
<file path=[Content_Types].xml><?xml version="1.0" encoding="utf-8"?>
<Types xmlns="http://schemas.openxmlformats.org/package/2006/content-types">
  <Default Extension="bin" ContentType="application/vnd.openxmlformats-officedocument.oleObject"/>
  <Default Extension="doc" ContentType="application/msword"/>
  <Default Extension="emf" ContentType="image/x-emf"/>
  <Default Extension="png" ContentType="image/png"/>
  <Default Extension="rels" ContentType="application/vnd.openxmlformats-package.relationships+xml"/>
  <Default Extension="vml" ContentType="application/vnd.openxmlformats-officedocument.vmlDrawing"/>
  <Default Extension="wmf" ContentType="image/x-wmf"/>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externalLinks/externalLink4.xml" ContentType="application/vnd.openxmlformats-officedocument.spreadsheetml.externalLink+xml"/>
  <Override PartName="/xl/externalLinks/externalLink5.xml" ContentType="application/vnd.openxmlformats-officedocument.spreadsheetml.externalLink+xml"/>
  <Override PartName="/xl/externalLinks/externalLink6.xml" ContentType="application/vnd.openxmlformats-officedocument.spreadsheetml.externalLink+xml"/>
  <Override PartName="/xl/externalLinks/externalLink7.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harts/chart1.xml" ContentType="application/vnd.openxmlformats-officedocument.drawingml.chart+xml"/>
  <Override PartName="/xl/charts/chart2.xml" ContentType="application/vnd.openxmlformats-officedocument.drawingml.chart+xml"/>
  <Override PartName="/xl/comments1.xml" ContentType="application/vnd.openxmlformats-officedocument.spreadsheetml.comments+xml"/>
  <Override PartName="/xl/drawings/drawing2.xml" ContentType="application/vnd.openxmlformats-officedocument.drawing+xml"/>
  <Override PartName="/xl/comments2.xml" ContentType="application/vnd.openxmlformats-officedocument.spreadsheetml.comments+xml"/>
  <Override PartName="/xl/charts/chart3.xml" ContentType="application/vnd.openxmlformats-officedocument.drawingml.chart+xml"/>
  <Override PartName="/xl/comments3.xml" ContentType="application/vnd.openxmlformats-officedocument.spreadsheetml.comments+xml"/>
  <Override PartName="/xl/comments4.xml" ContentType="application/vnd.openxmlformats-officedocument.spreadsheetml.comments+xml"/>
  <Override PartName="/xl/comments5.xml" ContentType="application/vnd.openxmlformats-officedocument.spreadsheetml.comments+xml"/>
  <Override PartName="/xl/drawings/drawing3.xml" ContentType="application/vnd.openxmlformats-officedocument.drawing+xml"/>
  <Override PartName="/xl/comments6.xml" ContentType="application/vnd.openxmlformats-officedocument.spreadsheetml.comments+xml"/>
  <Override PartName="/xl/comments7.xml" ContentType="application/vnd.openxmlformats-officedocument.spreadsheetml.comments+xml"/>
  <Override PartName="/xl/comments8.xml" ContentType="application/vnd.openxmlformats-officedocument.spreadsheetml.comments+xml"/>
  <Override PartName="/xl/comments9.xml" ContentType="application/vnd.openxmlformats-officedocument.spreadsheetml.comments+xml"/>
  <Override PartName="/xl/comments10.xml" ContentType="application/vnd.openxmlformats-officedocument.spreadsheetml.comments+xml"/>
  <Override PartName="/xl/drawings/drawing4.xml" ContentType="application/vnd.openxmlformats-officedocument.drawing+xml"/>
  <Override PartName="/xl/comments11.xml" ContentType="application/vnd.openxmlformats-officedocument.spreadsheetml.comments+xml"/>
  <Override PartName="/xl/drawings/drawing5.xml" ContentType="application/vnd.openxmlformats-officedocument.drawing+xml"/>
  <Override PartName="/xl/comments12.xml" ContentType="application/vnd.openxmlformats-officedocument.spreadsheetml.comments+xml"/>
  <Override PartName="/xl/drawings/drawing6.xml" ContentType="application/vnd.openxmlformats-officedocument.drawing+xml"/>
  <Override PartName="/xl/drawings/drawing7.xml" ContentType="application/vnd.openxmlformats-officedocument.drawing+xml"/>
  <Override PartName="/xl/comments13.xml" ContentType="application/vnd.openxmlformats-officedocument.spreadsheetml.comments+xml"/>
  <Override PartName="/xl/comments14.xml" ContentType="application/vnd.openxmlformats-officedocument.spreadsheetml.comments+xml"/>
  <Override PartName="/xl/drawings/drawing8.xml" ContentType="application/vnd.openxmlformats-officedocument.drawing+xml"/>
  <Override PartName="/xl/comments15.xml" ContentType="application/vnd.openxmlformats-officedocument.spreadsheetml.comments+xml"/>
  <Override PartName="/xl/drawings/drawing9.xml" ContentType="application/vnd.openxmlformats-officedocument.drawing+xml"/>
  <Override PartName="/xl/comments16.xml" ContentType="application/vnd.openxmlformats-officedocument.spreadsheetml.comments+xml"/>
  <Override PartName="/xl/drawings/drawing10.xml" ContentType="application/vnd.openxmlformats-officedocument.drawing+xml"/>
  <Override PartName="/xl/drawings/drawing11.xml" ContentType="application/vnd.openxmlformats-officedocument.drawing+xml"/>
  <Override PartName="/xl/drawings/drawing12.xml" ContentType="application/vnd.openxmlformats-officedocument.drawing+xml"/>
  <Override PartName="/xl/drawings/drawing13.xml" ContentType="application/vnd.openxmlformats-officedocument.drawing+xml"/>
  <Override PartName="/xl/drawings/drawing14.xml" ContentType="application/vnd.openxmlformats-officedocument.drawing+xml"/>
  <Override PartName="/xl/comments17.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3628"/>
  <workbookPr codeName="ThisWorkbook" hidePivotFieldList="1"/>
  <mc:AlternateContent xmlns:mc="http://schemas.openxmlformats.org/markup-compatibility/2006">
    <mc:Choice Requires="x15">
      <x15ac:absPath xmlns:x15ac="http://schemas.microsoft.com/office/spreadsheetml/2010/11/ac" url="C:\TIMES models\TIMES-Nordic\"/>
    </mc:Choice>
  </mc:AlternateContent>
  <xr:revisionPtr revIDLastSave="0" documentId="13_ncr:1_{294E480F-B287-459C-B5CC-786181962374}" xr6:coauthVersionLast="46" xr6:coauthVersionMax="46" xr10:uidLastSave="{00000000-0000-0000-0000-000000000000}"/>
  <bookViews>
    <workbookView xWindow="2760" yWindow="456" windowWidth="20676" windowHeight="16104" tabRatio="847" activeTab="5" xr2:uid="{00000000-000D-0000-FFFF-FFFF00000000}"/>
  </bookViews>
  <sheets>
    <sheet name="LOG" sheetId="234" r:id="rId1"/>
    <sheet name="TRA_BAL" sheetId="233" r:id="rId2"/>
    <sheet name="Commodities" sheetId="216" r:id="rId3"/>
    <sheet name="Processes" sheetId="231" r:id="rId4"/>
    <sheet name="TRA_Fuel" sheetId="232" r:id="rId5"/>
    <sheet name="Cars" sheetId="243" r:id="rId6"/>
    <sheet name="Moto-Mopeds" sheetId="286" r:id="rId7"/>
    <sheet name="WALK" sheetId="288" r:id="rId8"/>
    <sheet name="BIKE" sheetId="287" r:id="rId9"/>
    <sheet name="BUS" sheetId="245" r:id="rId10"/>
    <sheet name="TRAIN" sheetId="266" r:id="rId11"/>
    <sheet name="NAVI-AVI" sheetId="250" r:id="rId12"/>
    <sheet name="Freight NAVI_AVI" sheetId="291" r:id="rId13"/>
    <sheet name="Freight_Road" sheetId="247" r:id="rId14"/>
    <sheet name="Freight_Rail" sheetId="261" r:id="rId15"/>
    <sheet name="Emis" sheetId="242" r:id="rId16"/>
    <sheet name="Dem" sheetId="221" r:id="rId17"/>
    <sheet name="SE NAVI Data" sheetId="284" r:id="rId18"/>
    <sheet name="SE Driving patterns" sheetId="294" r:id="rId19"/>
    <sheet name="Eurostat data 2010" sheetId="293" r:id="rId20"/>
    <sheet name="SE Assumptions" sheetId="280" r:id="rId21"/>
    <sheet name="SE Roadfreight data" sheetId="276" r:id="rId22"/>
    <sheet name="EnergyEffRoadTransport_ksa" sheetId="264" r:id="rId23"/>
    <sheet name="SE km&amp;fuel data" sheetId="277" r:id="rId24"/>
    <sheet name="SE Rail data" sheetId="283" r:id="rId25"/>
    <sheet name="SE CarData" sheetId="253" r:id="rId26"/>
    <sheet name="CarMoreData" sheetId="267" r:id="rId27"/>
    <sheet name="SE car fuel use" sheetId="292" r:id="rId28"/>
    <sheet name="SE Public transp data" sheetId="281" r:id="rId29"/>
    <sheet name="SE_Moto-Moped" sheetId="290" r:id="rId30"/>
    <sheet name="SE Bicycle - Walk" sheetId="289" r:id="rId31"/>
    <sheet name="SE BUS data" sheetId="274" r:id="rId32"/>
    <sheet name="SE stock data" sheetId="268" r:id="rId33"/>
    <sheet name="SE Avi data" sheetId="282" r:id="rId34"/>
    <sheet name="SE Energy data" sheetId="285" r:id="rId35"/>
    <sheet name="SE Av drive dist" sheetId="295" r:id="rId36"/>
    <sheet name="DK TransData" sheetId="251" r:id="rId37"/>
  </sheets>
  <externalReferences>
    <externalReference r:id="rId38"/>
    <externalReference r:id="rId39"/>
    <externalReference r:id="rId40"/>
    <externalReference r:id="rId41"/>
    <externalReference r:id="rId42"/>
    <externalReference r:id="rId43"/>
    <externalReference r:id="rId44"/>
  </externalReferences>
  <definedNames>
    <definedName name="_bgvbyrgdt">[1]Tidsserier!$A$339:$IV$339</definedName>
    <definedName name="_bgvbyrlpg">[1]Tidsserier!$A$337:$IV$337</definedName>
    <definedName name="_bgvbyrlvn">[1]Tidsserier!$A$338:$IV$338</definedName>
    <definedName name="_bgvbyrnga">[1]Tidsserier!$A$340:$IV$340</definedName>
    <definedName name="_bgvbyrrga">[1]Tidsserier!$A$336:$IV$336</definedName>
    <definedName name="_bgvbyrska">[1]Tidsserier!$A$341:$IV$341</definedName>
    <definedName name="_celelrfut">[1]Tidsserier!$A$174:$IV$174</definedName>
    <definedName name="_celelrgdt">[1]Tidsserier!$A$173:$IV$173</definedName>
    <definedName name="_celelrhal">[1]Tidsserier!$A$176:$IV$176</definedName>
    <definedName name="_celelrske">[1]Tidsserier!$A$175:$IV$175</definedName>
    <definedName name="_cevelraff">[1]Tidsserier!$A$197:$IV$197</definedName>
    <definedName name="_cevelrbio">[1]Tidsserier!$A$196:$IV$196</definedName>
    <definedName name="_cevelrfli">[1]Tidsserier!$A$193:$IV$193</definedName>
    <definedName name="_cevelrfut">[1]Tidsserier!$A$187:$IV$187</definedName>
    <definedName name="_cevelrgdt">[1]Tidsserier!$A$186:$IV$186</definedName>
    <definedName name="_cevelrhal">[1]Tidsserier!$A$192:$IV$192</definedName>
    <definedName name="_cevelrlpg">[1]Tidsserier!$A$184:$IV$184</definedName>
    <definedName name="_cevelrlvn">[1]Tidsserier!$A$185:$IV$185</definedName>
    <definedName name="_cevelrnga">[1]Tidsserier!$A$190:$IV$190</definedName>
    <definedName name="_cevelrori">[1]Tidsserier!$A$189:$IV$189</definedName>
    <definedName name="_cevelrpko">[1]Tidsserier!$A$188:$IV$188</definedName>
    <definedName name="_cevelrrga">[1]Tidsserier!$A$183:$IV$183</definedName>
    <definedName name="_cevelrske">[1]Tidsserier!$A$191:$IV$191</definedName>
    <definedName name="_cevelrtaf">[1]Tidsserier!$A$195:$IV$195</definedName>
    <definedName name="_cevfjraff">[1]Tidsserier!$A$213:$IV$213</definedName>
    <definedName name="_cevfjrbio">[1]Tidsserier!$A$212:$IV$212</definedName>
    <definedName name="_cevfjrfli">[1]Tidsserier!$A$209:$IV$209</definedName>
    <definedName name="_cevfjrfut">[1]Tidsserier!$A$203:$IV$203</definedName>
    <definedName name="_cevfjrgdt">[1]Tidsserier!$A$202:$IV$202</definedName>
    <definedName name="_cevfjrhal">[1]Tidsserier!$A$208:$IV$208</definedName>
    <definedName name="_cevfjrlpg">[1]Tidsserier!$A$200:$IV$200</definedName>
    <definedName name="_cevfjrlvn">[1]Tidsserier!$A$201:$IV$201</definedName>
    <definedName name="_cevfjrnga">[1]Tidsserier!$A$206:$IV$206</definedName>
    <definedName name="_cevfjrori">[1]Tidsserier!$A$205:$IV$205</definedName>
    <definedName name="_cevfjrpko">[1]Tidsserier!$A$204:$IV$204</definedName>
    <definedName name="_cevfjrrga">[1]Tidsserier!$A$199:$IV$199</definedName>
    <definedName name="_cevfjrske">[1]Tidsserier!$A$207:$IV$207</definedName>
    <definedName name="_cevfjrtaf">[1]Tidsserier!$A$211:$IV$211</definedName>
    <definedName name="_cevfjrtpi">[1]Tidsserier!$A$210:$IV$210</definedName>
    <definedName name="_dnkexpelc">[1]Tidsserier!$A$69:$IV$69</definedName>
    <definedName name="_dnkexpnga">[1]Tidsserier!$A$68:$IV$68</definedName>
    <definedName name="_dnkexprao">[1]Tidsserier!$A$52:$IV$52</definedName>
    <definedName name="_dnkimpelc">[1]Tidsserier!$A$45:$IV$45</definedName>
    <definedName name="_dnkimpfjv">[1]Tidsserier!$A$46:$IV$46</definedName>
    <definedName name="_dnkudvaff">[1]Tidsserier!$A$17:$IV$17</definedName>
    <definedName name="_dnkudvbio">[1]Tidsserier!$A$16:$IV$16</definedName>
    <definedName name="_dnkudvbra">[1]Tidsserier!$A$13:$IV$13</definedName>
    <definedName name="_dnkudvfio">[1]Tidsserier!$A$18:$IV$18</definedName>
    <definedName name="_dnkudvfli">[1]Tidsserier!$A$12:$IV$12</definedName>
    <definedName name="_dnkudvgeo">[1]Tidsserier!$A$10:$IV$10</definedName>
    <definedName name="_dnkudvhal">[1]Tidsserier!$A$11:$IV$11</definedName>
    <definedName name="_dnkudvsol">[1]Tidsserier!$A$7:$IV$7</definedName>
    <definedName name="_dnkudvtaf">[1]Tidsserier!$A$15:$IV$15</definedName>
    <definedName name="_dnkudvtpi">[1]Tidsserier!$A$14:$IV$14</definedName>
    <definedName name="_dnkudvvan">[1]Tidsserier!$A$9:$IV$9</definedName>
    <definedName name="_dnkudvvin">[1]Tidsserier!$A$8:$IV$8</definedName>
    <definedName name="_dnkudvvmp">[1]Tidsserier!$A$19:$IV$19</definedName>
    <definedName name="_ensdstelc">[1]Tidsserier!$A$348:$IV$348</definedName>
    <definedName name="_enstabfjv">[1]Tidsserier!$A$352:$IV$352</definedName>
    <definedName name="_enstabnga">[1]Tidsserier!$A$350:$IV$350</definedName>
    <definedName name="_fbsiefbtm">[1]Tidsserier!$A$358:$IV$358</definedName>
    <definedName name="_fbsiefsmo">[1]Tidsserier!$A$357:$IV$357</definedName>
    <definedName name="_fbsiefter">[1]Tidsserier!$A$356:$IV$356</definedName>
    <definedName name="_fbsjttbzt">[1]Tidsserier!$A$373:$IV$373</definedName>
    <definedName name="_fbsjttelc">[1]Tidsserier!$A$376:$IV$376</definedName>
    <definedName name="_fbsjttgdt">[1]Tidsserier!$A$375:$IV$375</definedName>
    <definedName name="_fbsjttptr">[1]Tidsserier!$A$374:$IV$374</definedName>
    <definedName name="_fbslfibzt">[1]Tidsserier!$A$385:$IV$385</definedName>
    <definedName name="_fbslfifly">[1]Tidsserier!$A$384:$IV$384</definedName>
    <definedName name="_fbslfijp1">[1]Tidsserier!$A$387:$IV$387</definedName>
    <definedName name="_fbslfilpg">[1]Tidsserier!$A$383:$IV$383</definedName>
    <definedName name="_fbslfiptr">[1]Tidsserier!$A$386:$IV$386</definedName>
    <definedName name="_fbslfufly">[1]Tidsserier!$A$389:$IV$389</definedName>
    <definedName name="_fbslfujp1">[1]Tidsserier!$A$390:$IV$390</definedName>
    <definedName name="_fbsseafut">[1]Tidsserier!$A$381:$IV$381</definedName>
    <definedName name="_fbsseagdt">[1]Tidsserier!$A$380:$IV$380</definedName>
    <definedName name="_fbssealpg">[1]Tidsserier!$A$378:$IV$378</definedName>
    <definedName name="_fbsseaptr">[1]Tidsserier!$A$379:$IV$379</definedName>
    <definedName name="_fbstrpbzt">[1]Tidsserier!$A$362:$IV$362</definedName>
    <definedName name="_fbstrpfly">[1]Tidsserier!$A$361:$IV$361</definedName>
    <definedName name="_fbstrpgdt">[1]Tidsserier!$A$365:$IV$365</definedName>
    <definedName name="_fbstrpjp1">[1]Tidsserier!$A$364:$IV$364</definedName>
    <definedName name="_fbstrpjp4">[1]Tidsserier!$A$363:$IV$363</definedName>
    <definedName name="_fbsvttbzt">[1]Tidsserier!$A$368:$IV$368</definedName>
    <definedName name="_fbsvttfut">[1]Tidsserier!$A$371:$IV$371</definedName>
    <definedName name="_fbsvttgdt">[1]Tidsserier!$A$370:$IV$370</definedName>
    <definedName name="_fbsvttlpg">[1]Tidsserier!$A$367:$IV$367</definedName>
    <definedName name="_fbsvttptr">[1]Tidsserier!$A$369:$IV$369</definedName>
    <definedName name="_xlnm._FilterDatabase" localSheetId="5" hidden="1">Cars!$B$2:$AA$45</definedName>
    <definedName name="_xlnm._FilterDatabase" localSheetId="16" hidden="1">Dem!$B$4:$F$5</definedName>
    <definedName name="_fvvfjraff">[1]Tidsserier!$A$275:$IV$275</definedName>
    <definedName name="_fvvfjrbio">[1]Tidsserier!$A$274:$IV$274</definedName>
    <definedName name="_fvvfjrelc">[1]Tidsserier!$A$278:$IV$278</definedName>
    <definedName name="_fvvfjrfio">[1]Tidsserier!$A$276:$IV$276</definedName>
    <definedName name="_fvvfjrfli">[1]Tidsserier!$A$271:$IV$271</definedName>
    <definedName name="_fvvfjrfut">[1]Tidsserier!$A$262:$IV$262</definedName>
    <definedName name="_fvvfjrgdt">[1]Tidsserier!$A$261:$IV$261</definedName>
    <definedName name="_fvvfjrgeo">[1]Tidsserier!$A$269:$IV$269</definedName>
    <definedName name="_fvvfjrhal">[1]Tidsserier!$A$270:$IV$270</definedName>
    <definedName name="_fvvfjrlpg">[1]Tidsserier!$A$260:$IV$260</definedName>
    <definedName name="_fvvfjrnga">[1]Tidsserier!$A$265:$IV$265</definedName>
    <definedName name="_fvvfjrpko">[1]Tidsserier!$A$264:$IV$264</definedName>
    <definedName name="_fvvfjrrga">[1]Tidsserier!$A$259:$IV$259</definedName>
    <definedName name="_fvvfjrska">[1]Tidsserier!$A$267:$IV$267</definedName>
    <definedName name="_fvvfjrske">[1]Tidsserier!$A$266:$IV$266</definedName>
    <definedName name="_fvvfjrsol">[1]Tidsserier!$A$268:$IV$268</definedName>
    <definedName name="_fvvfjrspo">[1]Tidsserier!$A$263:$IV$263</definedName>
    <definedName name="_fvvfjrtaf">[1]Tidsserier!$A$273:$IV$273</definedName>
    <definedName name="_fvvfjrtpi">[1]Tidsserier!$A$272:$IV$272</definedName>
    <definedName name="_fvvfjrvmp">[1]Tidsserier!$A$277:$IV$277</definedName>
    <definedName name="_fvvnetfjv">[1]Tidsserier!$A$280:$IV$280</definedName>
    <definedName name="_kvtbrtelc">[1]Tidsserier!$A$245:$IV$245</definedName>
    <definedName name="_kvtelfelc">[1]Tidsserier!$A$243:$IV$243</definedName>
    <definedName name="_kvtelraff">[1]Tidsserier!$A$230:$IV$230</definedName>
    <definedName name="_kvtelrbio">[1]Tidsserier!$A$229:$IV$229</definedName>
    <definedName name="_kvtelrfli">[1]Tidsserier!$A$226:$IV$226</definedName>
    <definedName name="_kvtelrfut">[1]Tidsserier!$A$222:$IV$222</definedName>
    <definedName name="_kvtelrgdt">[1]Tidsserier!$A$221:$IV$221</definedName>
    <definedName name="_kvtelrhal">[1]Tidsserier!$A$225:$IV$225</definedName>
    <definedName name="_kvtelrnga">[1]Tidsserier!$A$223:$IV$223</definedName>
    <definedName name="_kvtelrska">[1]Tidsserier!$A$224:$IV$224</definedName>
    <definedName name="_kvtelrtaf">[1]Tidsserier!$A$228:$IV$228</definedName>
    <definedName name="_kvtelrtpi">[1]Tidsserier!$A$227:$IV$227</definedName>
    <definedName name="_kvtfjraff">[1]Tidsserier!$A$241:$IV$241</definedName>
    <definedName name="_kvtfjrbio">[1]Tidsserier!$A$240:$IV$240</definedName>
    <definedName name="_kvtfjrfli">[1]Tidsserier!$A$237:$IV$237</definedName>
    <definedName name="_kvtfjrfut">[1]Tidsserier!$A$233:$IV$233</definedName>
    <definedName name="_kvtfjrgdt">[1]Tidsserier!$A$232:$IV$232</definedName>
    <definedName name="_kvtfjrhal">[1]Tidsserier!$A$236:$IV$236</definedName>
    <definedName name="_kvtfjrnga">[1]Tidsserier!$A$234:$IV$234</definedName>
    <definedName name="_kvtfjrska">[1]Tidsserier!$A$235:$IV$235</definedName>
    <definedName name="_kvtfjrtaf">[1]Tidsserier!$A$239:$IV$239</definedName>
    <definedName name="_kvtfjrtpi">[1]Tidsserier!$A$238:$IV$238</definedName>
    <definedName name="_kvtnetfjv">[1]Tidsserier!$A$246:$IV$246</definedName>
    <definedName name="_pelbrtelc">[1]Tidsserier!$A$290:$IV$290</definedName>
    <definedName name="_pelelrbio">[1]Tidsserier!$A$288:$IV$288</definedName>
    <definedName name="_pelelrfut">[1]Tidsserier!$A$284:$IV$284</definedName>
    <definedName name="_pelelrgdt">[1]Tidsserier!$A$283:$IV$283</definedName>
    <definedName name="_pelelrnga">[1]Tidsserier!$A$285:$IV$285</definedName>
    <definedName name="_pelelrska">[1]Tidsserier!$A$286:$IV$286</definedName>
    <definedName name="_pelelrtaf">[1]Tidsserier!$A$287:$IV$287</definedName>
    <definedName name="_pevbrtelc">[1]Tidsserier!$A$317:$IV$317</definedName>
    <definedName name="_pevelraff">[1]Tidsserier!$A$303:$IV$303</definedName>
    <definedName name="_pevelrbio">[1]Tidsserier!$A$302:$IV$302</definedName>
    <definedName name="_pevelrfli">[1]Tidsserier!$A$300:$IV$300</definedName>
    <definedName name="_pevelrfut">[1]Tidsserier!$A$295:$IV$295</definedName>
    <definedName name="_pevelrgdt">[1]Tidsserier!$A$294:$IV$294</definedName>
    <definedName name="_pevelrhal">[1]Tidsserier!$A$299:$IV$299</definedName>
    <definedName name="_pevelrnga">[1]Tidsserier!$A$297:$IV$297</definedName>
    <definedName name="_pevelrrga">[1]Tidsserier!$A$293:$IV$293</definedName>
    <definedName name="_pevelrska">[1]Tidsserier!$A$298:$IV$298</definedName>
    <definedName name="_pevelrspo">[1]Tidsserier!$A$296:$IV$296</definedName>
    <definedName name="_pevelrtaf">[1]Tidsserier!$A$301:$IV$301</definedName>
    <definedName name="_pevfjraff">[1]Tidsserier!$A$315:$IV$315</definedName>
    <definedName name="_pevfjrbio">[1]Tidsserier!$A$314:$IV$314</definedName>
    <definedName name="_pevfjrfli">[1]Tidsserier!$A$312:$IV$312</definedName>
    <definedName name="_pevfjrfut">[1]Tidsserier!$A$307:$IV$307</definedName>
    <definedName name="_pevfjrgdt">[1]Tidsserier!$A$306:$IV$306</definedName>
    <definedName name="_pevfjrhal">[1]Tidsserier!$A$311:$IV$311</definedName>
    <definedName name="_pevfjrnga">[1]Tidsserier!$A$309:$IV$309</definedName>
    <definedName name="_pevfjrrga">[1]Tidsserier!$A$305:$IV$305</definedName>
    <definedName name="_pevfjrska">[1]Tidsserier!$A$310:$IV$310</definedName>
    <definedName name="_pevfjrspo">[1]Tidsserier!$A$308:$IV$308</definedName>
    <definedName name="_pevfjrtaf">[1]Tidsserier!$A$313:$IV$313</definedName>
    <definedName name="_pevnetfjv">[1]Tidsserier!$A$318:$IV$318</definedName>
    <definedName name="_plfudfnga">[1]Tidsserier!$A$151:$IV$151</definedName>
    <definedName name="_plfudvnga">[1]Tidsserier!$A$7:$IV$7</definedName>
    <definedName name="_plfudvrao">[1]Tidsserier!$A$5:$IV$5</definedName>
    <definedName name="_pvpfjraff">[1]Tidsserier!$A$330:$IV$330</definedName>
    <definedName name="_pvpfjrbio">[1]Tidsserier!$A$329:$IV$329</definedName>
    <definedName name="_pvpfjrfli">[1]Tidsserier!$A$326:$IV$326</definedName>
    <definedName name="_pvpfjrfut">[1]Tidsserier!$A$322:$IV$322</definedName>
    <definedName name="_pvpfjrgdt">[1]Tidsserier!$A$321:$IV$321</definedName>
    <definedName name="_pvpfjrnga">[1]Tidsserier!$A$324:$IV$324</definedName>
    <definedName name="_pvpfjrska">[1]Tidsserier!$A$325:$IV$325</definedName>
    <definedName name="_pvpfjrspo">[1]Tidsserier!$A$323:$IV$323</definedName>
    <definedName name="_pvpfjrtaf">[1]Tidsserier!$A$328:$IV$328</definedName>
    <definedName name="_pvpfjrtpi">[1]Tidsserier!$A$327:$IV$327</definedName>
    <definedName name="_pvpfjrvmp">[1]Tidsserier!$A$331:$IV$331</definedName>
    <definedName name="_pvpnetfjv">[1]Tidsserier!$A$333:$IV$333</definedName>
    <definedName name="_rafrfffut">[1]Tidsserier!$A$155:$IV$155</definedName>
    <definedName name="_rafrffgdt">[1]Tidsserier!$A$154:$IV$154</definedName>
    <definedName name="_rafrfflpg">[1]Tidsserier!$A$153:$IV$153</definedName>
    <definedName name="_rafrffrga">[1]Tidsserier!$A$152:$IV$152</definedName>
    <definedName name="_rafrfrelc">[1]Tidsserier!$A$149:$IV$149</definedName>
    <definedName name="_rafrfrfjv">[1]Tidsserier!$A$150:$IV$150</definedName>
    <definedName name="_vktbrtelc">[1]Tidsserier!$A$256:$IV$256</definedName>
    <definedName name="_vktelrvan">[1]Tidsserier!$A$254:$IV$254</definedName>
    <definedName name="_vmtbrtelc">[1]Tidsserier!$A$251:$IV$251</definedName>
    <definedName name="_vmtelrvin">[1]Tidsserier!$A$249:$IV$249</definedName>
    <definedName name="åbanettt" localSheetId="23">#REF!</definedName>
    <definedName name="åbanettt">#REF!</definedName>
    <definedName name="åbrslelc" localSheetId="23">#REF!</definedName>
    <definedName name="åbrslelc">#REF!</definedName>
    <definedName name="åbrslkul" localSheetId="23">#REF!</definedName>
    <definedName name="åbrslkul">#REF!</definedName>
    <definedName name="åbrslnga" localSheetId="23">#REF!</definedName>
    <definedName name="åbrslnga">#REF!</definedName>
    <definedName name="åbrsloil" localSheetId="23">#REF!</definedName>
    <definedName name="åbrsloil">#REF!</definedName>
    <definedName name="åbrslve" localSheetId="23">#REF!</definedName>
    <definedName name="åbrslve">#REF!</definedName>
    <definedName name="åbyrelc" localSheetId="23">'[2]Gas Works'!#REF!</definedName>
    <definedName name="åbyrelc">'[2]Gas Works'!#REF!</definedName>
    <definedName name="åfjvbrselc" localSheetId="23">'[2]Heat Production'!#REF!</definedName>
    <definedName name="åfjvbrselc">'[2]Heat Production'!#REF!</definedName>
    <definedName name="åfjvve" localSheetId="23">'[2]Heat Production'!#REF!</definedName>
    <definedName name="åfjvve">'[2]Heat Production'!#REF!</definedName>
    <definedName name="åfrsvttt" localSheetId="23">#REF!</definedName>
    <definedName name="åfrsvttt">#REF!</definedName>
    <definedName name="åfutbrsfjv" localSheetId="23">'[2]Heat Production'!#REF!</definedName>
    <definedName name="åfutbrsfjv">'[2]Heat Production'!#REF!</definedName>
    <definedName name="ågdtbrsfjv" localSheetId="23">'[2]Heat Production'!#REF!</definedName>
    <definedName name="ågdtbrsfjv">'[2]Heat Production'!#REF!</definedName>
    <definedName name="åimpbrsl" localSheetId="23">#REF!</definedName>
    <definedName name="åimpbrsl">#REF!</definedName>
    <definedName name="åimpfut" localSheetId="23">#REF!</definedName>
    <definedName name="åimpfut">#REF!</definedName>
    <definedName name="åimpkul" localSheetId="23">#REF!</definedName>
    <definedName name="åimpkul">#REF!</definedName>
    <definedName name="åimpnga" localSheetId="23">#REF!</definedName>
    <definedName name="åimpnga">#REF!</definedName>
    <definedName name="åimpori" localSheetId="23">#REF!</definedName>
    <definedName name="åimpori">#REF!</definedName>
    <definedName name="åkonfjrrga" localSheetId="23">#REF!</definedName>
    <definedName name="åkonfjrrga">#REF!</definedName>
    <definedName name="åkonfjrttt" localSheetId="23">#REF!</definedName>
    <definedName name="åkonfjrttt">#REF!</definedName>
    <definedName name="åkonfvraff" localSheetId="23">#REF!</definedName>
    <definedName name="åkonfvraff">#REF!</definedName>
    <definedName name="åkonfvrano" localSheetId="23">#REF!</definedName>
    <definedName name="åkonfvrano">#REF!</definedName>
    <definedName name="åkonfvrbio" localSheetId="23">#REF!</definedName>
    <definedName name="åkonfvrbio">#REF!</definedName>
    <definedName name="åkonfvrfut" localSheetId="23">#REF!</definedName>
    <definedName name="åkonfvrfut">#REF!</definedName>
    <definedName name="åkonfvrgeo" localSheetId="23">#REF!</definedName>
    <definedName name="åkonfvrgeo">#REF!</definedName>
    <definedName name="åkonfvrhal" localSheetId="23">#REF!</definedName>
    <definedName name="åkonfvrhal">#REF!</definedName>
    <definedName name="åkonfvrkul" localSheetId="23">#REF!</definedName>
    <definedName name="åkonfvrkul">#REF!</definedName>
    <definedName name="åkonfvrnga" localSheetId="23">#REF!</definedName>
    <definedName name="åkonfvrnga">#REF!</definedName>
    <definedName name="åkonfvrtræ" localSheetId="23">#REF!</definedName>
    <definedName name="åkonfvrtræ">#REF!</definedName>
    <definedName name="åkonfvrvea" localSheetId="23">#REF!</definedName>
    <definedName name="åkonfvrvea">#REF!</definedName>
    <definedName name="åkulbrsfjv" localSheetId="23">'[2]Heat Production'!#REF!</definedName>
    <definedName name="åkulbrsfjv">'[2]Heat Production'!#REF!</definedName>
    <definedName name="ålfittt" localSheetId="23">#REF!</definedName>
    <definedName name="ålfittt">#REF!</definedName>
    <definedName name="ålfuttt" localSheetId="23">#REF!</definedName>
    <definedName name="ålfuttt">#REF!</definedName>
    <definedName name="ålpgbrsfjv" localSheetId="23">'[2]Heat Production'!#REF!</definedName>
    <definedName name="ålpgbrsfjv">'[2]Heat Production'!#REF!</definedName>
    <definedName name="ålvnbrsfjv" localSheetId="23">'[2]Heat Production'!#REF!</definedName>
    <definedName name="ålvnbrsfjv">'[2]Heat Production'!#REF!</definedName>
    <definedName name="ångabrsfjv" localSheetId="23">'[2]Heat Production'!#REF!</definedName>
    <definedName name="ångabrsfjv">'[2]Heat Production'!#REF!</definedName>
    <definedName name="åoribrselc" localSheetId="23">'[2]Electricity Production'!#REF!</definedName>
    <definedName name="åoribrselc">'[2]Electricity Production'!#REF!</definedName>
    <definedName name="åpkobrsfjv" localSheetId="23">'[2]Heat Production'!#REF!</definedName>
    <definedName name="åpkobrsfjv">'[2]Heat Production'!#REF!</definedName>
    <definedName name="årgabrsfjv" localSheetId="23">'[2]Heat Production'!#REF!</definedName>
    <definedName name="årgabrsfjv">'[2]Heat Production'!#REF!</definedName>
    <definedName name="åsøttt" localSheetId="23">#REF!</definedName>
    <definedName name="åsøttt">#REF!</definedName>
    <definedName name="åspobrselc" localSheetId="23">'[2]Electricity Production'!#REF!</definedName>
    <definedName name="åspobrselc">'[2]Electricity Production'!#REF!</definedName>
    <definedName name="åspobrsfjv" localSheetId="23">'[2]Heat Production'!#REF!</definedName>
    <definedName name="åspobrsfjv">'[2]Heat Production'!#REF!</definedName>
    <definedName name="åtrpelc" localSheetId="23">#REF!</definedName>
    <definedName name="åtrpelc">#REF!</definedName>
    <definedName name="åtrpttt" localSheetId="23">#REF!</definedName>
    <definedName name="åtrpttt">#REF!</definedName>
    <definedName name="åudvraf" localSheetId="23">'[2]Gross Energy Consumption (obs.)'!#REF!</definedName>
    <definedName name="åudvraf">'[2]Gross Energy Consumption (obs.)'!#REF!</definedName>
    <definedName name="åvejttt" localSheetId="23">#REF!</definedName>
    <definedName name="åvejttt">#REF!</definedName>
    <definedName name="CVEL_RG">[3]EPdata_dk!$A$15:$IV$15</definedName>
    <definedName name="CVFV_RG">[3]EPdata_dk!$A$33:$IV$33</definedName>
    <definedName name="ELBGVKTJY">[3]Rådata!$A$446:$IV$446</definedName>
    <definedName name="elckorr_kurt" localSheetId="23">#REF!</definedName>
    <definedName name="elckorr_kurt">#REF!</definedName>
    <definedName name="ELDISTTJY">[3]Rådata!$A$447:$IV$447</definedName>
    <definedName name="ELEFGVKTJY">[3]EPdata_dk!$A$273:$IV$273</definedName>
    <definedName name="ELERAFTJY">[3]EPdata_dk!$A$266:$IV$266</definedName>
    <definedName name="ELFJVKTJY">[3]Rådata!$A$445:$IV$445</definedName>
    <definedName name="ELIMKORR_F">[1]Rådata!$A$7:$IV$7</definedName>
    <definedName name="ELIMKORR_KUVH">[1]Rådata!$A$10:$IV$10</definedName>
    <definedName name="ELIMKORR_NG">[1]Rådata!$A$9:$IV$9</definedName>
    <definedName name="ELIMKORR_ORI">[1]Rådata!$A$8:$IV$8</definedName>
    <definedName name="ELRAFFTJY">[3]Rådata!$A$444:$IV$444</definedName>
    <definedName name="EUFRVKJY_RG">[3]Rådata!$B$192:$IV$192</definedName>
    <definedName name="EUGSVKJY_RG">[3]Rådata!$B$191:$IV$191</definedName>
    <definedName name="FID_1">[4]AGR_Fuels!$A$2</definedName>
    <definedName name="FJFV_RG">[3]EPdata_dk!$A$77:$IV$77</definedName>
    <definedName name="fjvkorr_kurt" localSheetId="23">#REF!</definedName>
    <definedName name="fjvkorr_kurt">#REF!</definedName>
    <definedName name="FVPRRFTJY">[3]Rådata!$A$468:$IV$468</definedName>
    <definedName name="HTML_CodePage" hidden="1">1252</definedName>
    <definedName name="HTML_Control" hidden="1">{"'Ark1'!$A$8:$M$33"}</definedName>
    <definedName name="HTML_Description" hidden="1">""</definedName>
    <definedName name="HTML_Email" hidden="1">""</definedName>
    <definedName name="HTML_Header" hidden="1">"Ark1"</definedName>
    <definedName name="HTML_LastUpdate" hidden="1">"21-06-02"</definedName>
    <definedName name="HTML_LineAfter" hidden="1">FALSE</definedName>
    <definedName name="HTML_LineBefore" hidden="1">FALSE</definedName>
    <definedName name="HTML_Name" hidden="1">"Bjarne Ruby"</definedName>
    <definedName name="HTML_OBDlg2" hidden="1">TRUE</definedName>
    <definedName name="HTML_OBDlg4" hidden="1">TRUE</definedName>
    <definedName name="HTML_OS" hidden="1">0</definedName>
    <definedName name="HTML_PathFile" hidden="1">"L:\Nmr\Indicators\MinHTML.htm"</definedName>
    <definedName name="HTML_Title" hidden="1">"Data"</definedName>
    <definedName name="JPNY_NG">[3]Beregn!$A$27:$IV$27</definedName>
    <definedName name="JPTY_BIT">[3]Beregn!$A$24:$IV$24</definedName>
    <definedName name="JPTY_BZ">[3]Beregn!$A$11:$IV$11</definedName>
    <definedName name="JPTY_BZFLY">[3]Beregn!$A$12:$IV$12</definedName>
    <definedName name="JPTY_BZJP4">[3]Beregn!$A$13:$IV$13</definedName>
    <definedName name="JPTY_F">[3]Beregn!$A$19:$IV$19</definedName>
    <definedName name="JPTY_GASD">[3]Beregn!$A$18:$IV$18</definedName>
    <definedName name="JPTY_HF">[3]Beregn!$A$6:$IV$6</definedName>
    <definedName name="JPTY_JP1">[3]Beregn!$A$16:$IV$16</definedName>
    <definedName name="JPTY_LPG">[3]Beregn!$A$9:$IV$9</definedName>
    <definedName name="JPTY_LVN">[3]Beregn!$A$10:$IV$10</definedName>
    <definedName name="JPTY_PETR">[3]Beregn!$A$15:$IV$15</definedName>
    <definedName name="JPTY_PK">[3]Beregn!$A$21:$IV$21</definedName>
    <definedName name="JPTY_RG">[3]Beregn!$A$8:$IV$8</definedName>
    <definedName name="JPTY_RO">[3]Beregn!$A$3:$IV$3</definedName>
    <definedName name="JPTY_SO">[3]Beregn!$A$25:$IV$25</definedName>
    <definedName name="JPTY_TERP">[3]Beregn!$A$23:$IV$23</definedName>
    <definedName name="KONELNYBRTJY_NG">[3]EPdata_dk!$A$5:$IV$5</definedName>
    <definedName name="KONELRAFFTJY_F">[3]EPdata_dk!$A$212:$IV$212</definedName>
    <definedName name="KONFVRAFFTJY_F">[3]EPdata_dk!$A$239:$IV$239</definedName>
    <definedName name="NGDITTMY">[3]Rådata!$B$323:$IV$323</definedName>
    <definedName name="NGEFNSMY_NFUEL">[3]Rådata!$B$329:$IV$329</definedName>
    <definedName name="NGEFTRMY">[3]Rådata!$A$322:$IV$322</definedName>
    <definedName name="øbgabrsl" localSheetId="23">#REF!</definedName>
    <definedName name="øbgabrsl">#REF!</definedName>
    <definedName name="øelcbrsl" localSheetId="23">#REF!</definedName>
    <definedName name="øelcbrsl">#REF!</definedName>
    <definedName name="øfjvbrsl" localSheetId="23">#REF!</definedName>
    <definedName name="øfjvbrsl">#REF!</definedName>
    <definedName name="OpenSolver_ChosenSolver" localSheetId="5" hidden="1">CBC</definedName>
    <definedName name="OpenSolver_DualsNewSheet" localSheetId="5" hidden="1">FALSE</definedName>
    <definedName name="OpenSolver_LinearityCheck" localSheetId="5" hidden="1">1</definedName>
    <definedName name="OpenSolver_UpdateSensitivity" localSheetId="5" hidden="1">TRUE</definedName>
    <definedName name="OPEPMY_BZ">[3]Rådata!$A$69:$IV$69</definedName>
    <definedName name="OPEPMY_BZFLY">[3]Rådata!$A$61:$IV$61</definedName>
    <definedName name="OPEPMY_BZJP4">[3]Rådata!$A$85:$IV$85</definedName>
    <definedName name="OPEPMY_GASD">[3]Rådata!$A$109:$IV$109</definedName>
    <definedName name="OPEPMY_JP1">[3]Rådata!$A$101:$IV$101</definedName>
    <definedName name="OPEPMY_PETR">[3]Rådata!$A$93:$IV$93</definedName>
    <definedName name="OPEPTY_BIT">[3]Rådata!$A$181:$IV$181</definedName>
    <definedName name="OPEPTY_F">[3]Rådata!$A$129:$IV$129</definedName>
    <definedName name="OPEPTY_LPG">[3]Rådata!$A$44:$IV$44</definedName>
    <definedName name="OPEPTY_LVN">[3]Rådata!$A$53:$IV$53</definedName>
    <definedName name="OPEPTY_PK">[3]Rådata!$A$149:$IV$149</definedName>
    <definedName name="OPEPTY_RG">[3]Rådata!$A$40:$IV$40</definedName>
    <definedName name="OPEPTY_SO">[3]Rådata!$A$171:$IV$171</definedName>
    <definedName name="OPEPTY_TERP">[3]Rådata!$A$162:$IV$162</definedName>
    <definedName name="OPFRMY_GASD">[3]Rådata!$A$115:$IV$115</definedName>
    <definedName name="OPFRTY_F">[3]Rådata!$A$135:$IV$135</definedName>
    <definedName name="OPFRTY_LPG">[3]Rådata!$A$49:$IV$49</definedName>
    <definedName name="PVEL_RG">[3]EPdata_dk!$A$107:$IV$107</definedName>
    <definedName name="PVFV_RG">[3]EPdata_dk!$A$123:$IV$123</definedName>
    <definedName name="PVRENS_BIA">[3]EPdata_dk!$A$157:$IV$157</definedName>
    <definedName name="PVRENS_BID">[3]EPdata_dk!$A$156:$IV$156</definedName>
    <definedName name="RVEFTY_HF">[3]Rådata!$A$36:$IV$36</definedName>
    <definedName name="RVEFTY_RO">[3]Rådata!$A$28:$IV$28</definedName>
    <definedName name="solver_adj" localSheetId="9" hidden="1">BUS!$AJ$2:$AK$3,BUS!#REF!,BUS!#REF!</definedName>
    <definedName name="solver_adj" localSheetId="5" hidden="1">Cars!$BZ$100:$CA$101</definedName>
    <definedName name="solver_adj" localSheetId="14" hidden="1">Freight_Rail!$I$29</definedName>
    <definedName name="solver_adj" localSheetId="13" hidden="1">Freight_Road!$N$6:$N$6,Freight_Road!$N$8:$N$8,Freight_Road!#REF!,Freight_Road!$P$6:$P$6,Freight_Road!$P$8:$P$8,Freight_Road!#REF!</definedName>
    <definedName name="solver_cvg" localSheetId="9" hidden="1">0.0001</definedName>
    <definedName name="solver_cvg" localSheetId="5" hidden="1">0.0001</definedName>
    <definedName name="solver_cvg" localSheetId="14" hidden="1">0.0001</definedName>
    <definedName name="solver_cvg" localSheetId="13" hidden="1">0.0001</definedName>
    <definedName name="solver_drv" localSheetId="9" hidden="1">2</definedName>
    <definedName name="solver_drv" localSheetId="5" hidden="1">1</definedName>
    <definedName name="solver_drv" localSheetId="14" hidden="1">2</definedName>
    <definedName name="solver_drv" localSheetId="13" hidden="1">2</definedName>
    <definedName name="solver_eng" localSheetId="9" hidden="1">1</definedName>
    <definedName name="solver_eng" localSheetId="5" hidden="1">1</definedName>
    <definedName name="solver_eng" localSheetId="14" hidden="1">1</definedName>
    <definedName name="solver_eng" localSheetId="13" hidden="1">1</definedName>
    <definedName name="solver_est" localSheetId="9" hidden="1">1</definedName>
    <definedName name="solver_est" localSheetId="5" hidden="1">1</definedName>
    <definedName name="solver_est" localSheetId="14" hidden="1">1</definedName>
    <definedName name="solver_est" localSheetId="13" hidden="1">1</definedName>
    <definedName name="solver_itr" localSheetId="9" hidden="1">2147483647</definedName>
    <definedName name="solver_itr" localSheetId="5" hidden="1">2147483647</definedName>
    <definedName name="solver_itr" localSheetId="14" hidden="1">2147483647</definedName>
    <definedName name="solver_itr" localSheetId="13" hidden="1">2147483647</definedName>
    <definedName name="solver_lhs1" localSheetId="9" hidden="1">BUS!$AF$6:$AF$7</definedName>
    <definedName name="solver_lhs1" localSheetId="5" hidden="1">Cars!$BZ$100:$CA$101</definedName>
    <definedName name="solver_lhs10" localSheetId="5" hidden="1">Cars!#REF!</definedName>
    <definedName name="solver_lhs11" localSheetId="5" hidden="1">Cars!#REF!</definedName>
    <definedName name="solver_lhs12" localSheetId="5" hidden="1">Cars!#REF!</definedName>
    <definedName name="solver_lhs13" localSheetId="5" hidden="1">Cars!#REF!</definedName>
    <definedName name="solver_lhs14" localSheetId="5" hidden="1">Cars!#REF!</definedName>
    <definedName name="solver_lhs15" localSheetId="5" hidden="1">Cars!#REF!</definedName>
    <definedName name="solver_lhs16" localSheetId="5" hidden="1">Cars!#REF!</definedName>
    <definedName name="solver_lhs17" localSheetId="5" hidden="1">Cars!#REF!</definedName>
    <definedName name="solver_lhs2" localSheetId="9" hidden="1">BUS!$AK$2</definedName>
    <definedName name="solver_lhs2" localSheetId="5" hidden="1">Cars!$BZ$100:$CA$101</definedName>
    <definedName name="solver_lhs3" localSheetId="9" hidden="1">BUS!$AK$3</definedName>
    <definedName name="solver_lhs3" localSheetId="5" hidden="1">Cars!#REF!</definedName>
    <definedName name="solver_lhs4" localSheetId="9" hidden="1">BUS!#REF!</definedName>
    <definedName name="solver_lhs4" localSheetId="5" hidden="1">Cars!#REF!</definedName>
    <definedName name="solver_lhs5" localSheetId="9" hidden="1">BUS!#REF!</definedName>
    <definedName name="solver_lhs5" localSheetId="5" hidden="1">Cars!#REF!</definedName>
    <definedName name="solver_lhs6" localSheetId="9" hidden="1">BUS!#REF!</definedName>
    <definedName name="solver_lhs6" localSheetId="5" hidden="1">Cars!$BP$117:$BP$122</definedName>
    <definedName name="solver_lhs7" localSheetId="9" hidden="1">BUS!$AJ$2:$AK$3</definedName>
    <definedName name="solver_lhs7" localSheetId="5" hidden="1">Cars!$BZ$101:$CA$101</definedName>
    <definedName name="solver_lhs8" localSheetId="9" hidden="1">BUS!#REF!</definedName>
    <definedName name="solver_lhs8" localSheetId="5" hidden="1">Cars!$BP$117:$BP$122</definedName>
    <definedName name="solver_lhs9" localSheetId="5" hidden="1">Cars!#REF!</definedName>
    <definedName name="solver_mip" localSheetId="9" hidden="1">2147483647</definedName>
    <definedName name="solver_mip" localSheetId="5" hidden="1">2147483647</definedName>
    <definedName name="solver_mip" localSheetId="14" hidden="1">2147483647</definedName>
    <definedName name="solver_mip" localSheetId="13" hidden="1">2147483647</definedName>
    <definedName name="solver_mni" localSheetId="9" hidden="1">30</definedName>
    <definedName name="solver_mni" localSheetId="5" hidden="1">30</definedName>
    <definedName name="solver_mni" localSheetId="14" hidden="1">30</definedName>
    <definedName name="solver_mni" localSheetId="13" hidden="1">30</definedName>
    <definedName name="solver_mrt" localSheetId="9" hidden="1">0.075</definedName>
    <definedName name="solver_mrt" localSheetId="5" hidden="1">0.075</definedName>
    <definedName name="solver_mrt" localSheetId="14" hidden="1">0.075</definedName>
    <definedName name="solver_mrt" localSheetId="13" hidden="1">0.075</definedName>
    <definedName name="solver_msl" localSheetId="9" hidden="1">2</definedName>
    <definedName name="solver_msl" localSheetId="5" hidden="1">2</definedName>
    <definedName name="solver_msl" localSheetId="14" hidden="1">2</definedName>
    <definedName name="solver_msl" localSheetId="13" hidden="1">2</definedName>
    <definedName name="solver_neg" localSheetId="9" hidden="1">1</definedName>
    <definedName name="solver_neg" localSheetId="5" hidden="1">2</definedName>
    <definedName name="solver_neg" localSheetId="14" hidden="1">1</definedName>
    <definedName name="solver_neg" localSheetId="13" hidden="1">1</definedName>
    <definedName name="solver_nod" localSheetId="9" hidden="1">2147483647</definedName>
    <definedName name="solver_nod" localSheetId="5" hidden="1">2147483647</definedName>
    <definedName name="solver_nod" localSheetId="14" hidden="1">2147483647</definedName>
    <definedName name="solver_nod" localSheetId="13" hidden="1">2147483647</definedName>
    <definedName name="solver_num" localSheetId="9" hidden="1">3</definedName>
    <definedName name="solver_num" localSheetId="5" hidden="1">5</definedName>
    <definedName name="solver_num" localSheetId="14" hidden="1">0</definedName>
    <definedName name="solver_num" localSheetId="13" hidden="1">0</definedName>
    <definedName name="solver_nwt" localSheetId="9" hidden="1">1</definedName>
    <definedName name="solver_nwt" localSheetId="5" hidden="1">1</definedName>
    <definedName name="solver_nwt" localSheetId="14" hidden="1">1</definedName>
    <definedName name="solver_nwt" localSheetId="13" hidden="1">1</definedName>
    <definedName name="solver_opt" localSheetId="9" hidden="1">BUS!$AL$2</definedName>
    <definedName name="solver_opt" localSheetId="5" hidden="1">Cars!#REF!</definedName>
    <definedName name="solver_opt" localSheetId="14" hidden="1">Freight_Rail!#REF!</definedName>
    <definedName name="solver_opt" localSheetId="13" hidden="1">Freight_Road!$AS$6</definedName>
    <definedName name="solver_pre" localSheetId="9" hidden="1">0.000001</definedName>
    <definedName name="solver_pre" localSheetId="5" hidden="1">0.000001</definedName>
    <definedName name="solver_pre" localSheetId="14" hidden="1">0.000001</definedName>
    <definedName name="solver_pre" localSheetId="13" hidden="1">0.000001</definedName>
    <definedName name="solver_rbv" localSheetId="9" hidden="1">2</definedName>
    <definedName name="solver_rbv" localSheetId="5" hidden="1">1</definedName>
    <definedName name="solver_rbv" localSheetId="14" hidden="1">2</definedName>
    <definedName name="solver_rbv" localSheetId="13" hidden="1">2</definedName>
    <definedName name="solver_rel1" localSheetId="9" hidden="1">2</definedName>
    <definedName name="solver_rel1" localSheetId="5" hidden="1">1</definedName>
    <definedName name="solver_rel10" localSheetId="5" hidden="1">2</definedName>
    <definedName name="solver_rel11" localSheetId="5" hidden="1">3</definedName>
    <definedName name="solver_rel12" localSheetId="5" hidden="1">3</definedName>
    <definedName name="solver_rel13" localSheetId="5" hidden="1">2</definedName>
    <definedName name="solver_rel14" localSheetId="5" hidden="1">3</definedName>
    <definedName name="solver_rel15" localSheetId="5" hidden="1">3</definedName>
    <definedName name="solver_rel16" localSheetId="5" hidden="1">3</definedName>
    <definedName name="solver_rel17" localSheetId="5" hidden="1">2</definedName>
    <definedName name="solver_rel2" localSheetId="9" hidden="1">3</definedName>
    <definedName name="solver_rel2" localSheetId="5" hidden="1">3</definedName>
    <definedName name="solver_rel3" localSheetId="9" hidden="1">3</definedName>
    <definedName name="solver_rel3" localSheetId="5" hidden="1">2</definedName>
    <definedName name="solver_rel4" localSheetId="9" hidden="1">1</definedName>
    <definedName name="solver_rel4" localSheetId="5" hidden="1">1</definedName>
    <definedName name="solver_rel5" localSheetId="9" hidden="1">1</definedName>
    <definedName name="solver_rel5" localSheetId="5" hidden="1">3</definedName>
    <definedName name="solver_rel6" localSheetId="9" hidden="1">3</definedName>
    <definedName name="solver_rel6" localSheetId="5" hidden="1">2</definedName>
    <definedName name="solver_rel7" localSheetId="9" hidden="1">3</definedName>
    <definedName name="solver_rel7" localSheetId="5" hidden="1">3</definedName>
    <definedName name="solver_rel8" localSheetId="9" hidden="1">3</definedName>
    <definedName name="solver_rel8" localSheetId="5" hidden="1">2</definedName>
    <definedName name="solver_rel9" localSheetId="5" hidden="1">2</definedName>
    <definedName name="solver_rhs1" localSheetId="9" hidden="1">0</definedName>
    <definedName name="solver_rhs1" localSheetId="5" hidden="1">28000</definedName>
    <definedName name="solver_rhs10" localSheetId="5" hidden="1">1</definedName>
    <definedName name="solver_rhs11" localSheetId="5" hidden="1">0.15</definedName>
    <definedName name="solver_rhs12" localSheetId="5" hidden="1">0</definedName>
    <definedName name="solver_rhs13" localSheetId="5" hidden="1">Cars!#REF!</definedName>
    <definedName name="solver_rhs14" localSheetId="5" hidden="1">2</definedName>
    <definedName name="solver_rhs15" localSheetId="5" hidden="1">2</definedName>
    <definedName name="solver_rhs16" localSheetId="5" hidden="1">Cars!#REF!</definedName>
    <definedName name="solver_rhs17" localSheetId="5" hidden="1">Cars!#REF!</definedName>
    <definedName name="solver_rhs2" localSheetId="9" hidden="1">0.15</definedName>
    <definedName name="solver_rhs2" localSheetId="5" hidden="1">12000</definedName>
    <definedName name="solver_rhs3" localSheetId="9" hidden="1">0.1</definedName>
    <definedName name="solver_rhs3" localSheetId="5" hidden="1">0</definedName>
    <definedName name="solver_rhs4" localSheetId="9" hidden="1">0.01</definedName>
    <definedName name="solver_rhs4" localSheetId="5" hidden="1">0.5</definedName>
    <definedName name="solver_rhs5" localSheetId="9" hidden="1">0.01</definedName>
    <definedName name="solver_rhs5" localSheetId="5" hidden="1">0.2</definedName>
    <definedName name="solver_rhs6" localSheetId="9" hidden="1">-0.01</definedName>
    <definedName name="solver_rhs6" localSheetId="5" hidden="1">0</definedName>
    <definedName name="solver_rhs7" localSheetId="9" hidden="1">0.15</definedName>
    <definedName name="solver_rhs7" localSheetId="5" hidden="1">10000</definedName>
    <definedName name="solver_rhs8" localSheetId="9" hidden="1">BUS!#REF!</definedName>
    <definedName name="solver_rhs8" localSheetId="5" hidden="1">0</definedName>
    <definedName name="solver_rhs9" localSheetId="5" hidden="1">1</definedName>
    <definedName name="solver_rlx" localSheetId="9" hidden="1">2</definedName>
    <definedName name="solver_rlx" localSheetId="5" hidden="1">2</definedName>
    <definedName name="solver_rlx" localSheetId="14" hidden="1">2</definedName>
    <definedName name="solver_rlx" localSheetId="13" hidden="1">2</definedName>
    <definedName name="solver_rsd" localSheetId="9" hidden="1">0</definedName>
    <definedName name="solver_rsd" localSheetId="5" hidden="1">0</definedName>
    <definedName name="solver_rsd" localSheetId="14" hidden="1">0</definedName>
    <definedName name="solver_rsd" localSheetId="13" hidden="1">0</definedName>
    <definedName name="solver_scl" localSheetId="9" hidden="1">2</definedName>
    <definedName name="solver_scl" localSheetId="5" hidden="1">1</definedName>
    <definedName name="solver_scl" localSheetId="14" hidden="1">2</definedName>
    <definedName name="solver_scl" localSheetId="13" hidden="1">2</definedName>
    <definedName name="solver_sho" localSheetId="9" hidden="1">2</definedName>
    <definedName name="solver_sho" localSheetId="5" hidden="1">2</definedName>
    <definedName name="solver_sho" localSheetId="14" hidden="1">2</definedName>
    <definedName name="solver_sho" localSheetId="13" hidden="1">2</definedName>
    <definedName name="solver_ssz" localSheetId="9" hidden="1">100</definedName>
    <definedName name="solver_ssz" localSheetId="5" hidden="1">100</definedName>
    <definedName name="solver_ssz" localSheetId="14" hidden="1">100</definedName>
    <definedName name="solver_ssz" localSheetId="13" hidden="1">100</definedName>
    <definedName name="solver_tim" localSheetId="9" hidden="1">2147483647</definedName>
    <definedName name="solver_tim" localSheetId="5" hidden="1">2147483647</definedName>
    <definedName name="solver_tim" localSheetId="14" hidden="1">2147483647</definedName>
    <definedName name="solver_tim" localSheetId="13" hidden="1">2147483647</definedName>
    <definedName name="solver_tol" localSheetId="9" hidden="1">0.01</definedName>
    <definedName name="solver_tol" localSheetId="5" hidden="1">0.01</definedName>
    <definedName name="solver_tol" localSheetId="14" hidden="1">0.01</definedName>
    <definedName name="solver_tol" localSheetId="13" hidden="1">0.01</definedName>
    <definedName name="solver_typ" localSheetId="9" hidden="1">3</definedName>
    <definedName name="solver_typ" localSheetId="5" hidden="1">3</definedName>
    <definedName name="solver_typ" localSheetId="14" hidden="1">3</definedName>
    <definedName name="solver_typ" localSheetId="13" hidden="1">3</definedName>
    <definedName name="solver_val" localSheetId="9" hidden="1">1</definedName>
    <definedName name="solver_val" localSheetId="5" hidden="1">0</definedName>
    <definedName name="solver_val" localSheetId="14" hidden="1">0</definedName>
    <definedName name="solver_val" localSheetId="13" hidden="1">0</definedName>
    <definedName name="solver_ver" localSheetId="9" hidden="1">3</definedName>
    <definedName name="solver_ver" localSheetId="5" hidden="1">3</definedName>
    <definedName name="solver_ver" localSheetId="14" hidden="1">3</definedName>
    <definedName name="solver_ver" localSheetId="13" hidden="1">3</definedName>
    <definedName name="TPMY_BZ">[3]Beregn!$A$50:$IV$50</definedName>
    <definedName name="TPMY_BZFLY">[3]Beregn!$A$51:$IV$51</definedName>
    <definedName name="TPMY_BZJP4">[3]Beregn!$A$52:$IV$52</definedName>
    <definedName name="TPMY_GASD">[3]Beregn!$A$55:$IV$55</definedName>
    <definedName name="TPMY_JP1">[3]Beregn!$A$54:$IV$54</definedName>
    <definedName name="TPMY_PETR">[3]Beregn!$A$53:$IV$53</definedName>
    <definedName name="x" localSheetId="2">[5]AGR_Fuels!$A$2</definedName>
    <definedName name="x">[5]AGR_Fuels!$A$2</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BA57" i="243" l="1"/>
  <c r="BA55" i="243"/>
  <c r="B22" i="253"/>
  <c r="O26" i="280"/>
  <c r="O25" i="280"/>
  <c r="O24" i="280"/>
  <c r="O23" i="280"/>
  <c r="O27" i="280"/>
  <c r="O52" i="280" s="1"/>
  <c r="P24" i="247" s="1"/>
  <c r="N27" i="280"/>
  <c r="BH63" i="243" l="1"/>
  <c r="C14" i="242"/>
  <c r="C13" i="242"/>
  <c r="C12" i="242"/>
  <c r="E8" i="291"/>
  <c r="E10" i="291" s="1"/>
  <c r="E12" i="291" s="1"/>
  <c r="E14" i="291" s="1"/>
  <c r="E16" i="291" s="1"/>
  <c r="E18" i="291" s="1"/>
  <c r="E20" i="291" s="1"/>
  <c r="E22" i="291" s="1"/>
  <c r="E7" i="291"/>
  <c r="E9" i="291" s="1"/>
  <c r="E11" i="291" s="1"/>
  <c r="E13" i="291" s="1"/>
  <c r="E15" i="291" s="1"/>
  <c r="E17" i="291" s="1"/>
  <c r="E19" i="291" s="1"/>
  <c r="E21" i="291" s="1"/>
  <c r="E38" i="250"/>
  <c r="E37" i="250"/>
  <c r="E36" i="250"/>
  <c r="E35" i="250"/>
  <c r="E30" i="250"/>
  <c r="E29" i="250"/>
  <c r="E28" i="250"/>
  <c r="E27" i="250"/>
  <c r="E22" i="250"/>
  <c r="E21" i="250"/>
  <c r="E20" i="250"/>
  <c r="E19" i="250"/>
  <c r="E14" i="250"/>
  <c r="E13" i="250"/>
  <c r="E12" i="250"/>
  <c r="E11" i="250"/>
  <c r="L14" i="242"/>
  <c r="K14" i="242"/>
  <c r="J14" i="242"/>
  <c r="O13" i="242"/>
  <c r="S10" i="242"/>
  <c r="R10" i="242"/>
  <c r="Q10" i="242"/>
  <c r="P10" i="242"/>
  <c r="O10" i="242"/>
  <c r="N10" i="242"/>
  <c r="M10" i="242"/>
  <c r="G10" i="242"/>
  <c r="F10" i="242"/>
  <c r="E10" i="242"/>
  <c r="D10" i="242"/>
  <c r="D27" i="232"/>
  <c r="D26" i="232"/>
  <c r="C25" i="232"/>
  <c r="B25" i="232"/>
  <c r="E25" i="232" s="1"/>
  <c r="E50" i="231"/>
  <c r="D50" i="231"/>
  <c r="AF9" i="250"/>
  <c r="AF8" i="250"/>
  <c r="AF7" i="250"/>
  <c r="AC7" i="250"/>
  <c r="AC8" i="250"/>
  <c r="AC9" i="250"/>
  <c r="AC11" i="250"/>
  <c r="AC13" i="250"/>
  <c r="AC17" i="250"/>
  <c r="W11" i="250"/>
  <c r="T11" i="250" s="1"/>
  <c r="W7" i="250"/>
  <c r="W8" i="250"/>
  <c r="W17" i="250"/>
  <c r="AE9" i="250"/>
  <c r="AE8" i="250"/>
  <c r="AE7" i="250"/>
  <c r="W33" i="250"/>
  <c r="W25" i="250"/>
  <c r="T25" i="250" s="1"/>
  <c r="V17" i="250"/>
  <c r="V25" i="250" s="1"/>
  <c r="V33" i="250" s="1"/>
  <c r="AB33" i="250"/>
  <c r="T33" i="250"/>
  <c r="F33" i="250"/>
  <c r="E33" i="250"/>
  <c r="D33" i="250"/>
  <c r="B33" i="250"/>
  <c r="AB25" i="250"/>
  <c r="F25" i="250"/>
  <c r="E25" i="250"/>
  <c r="D25" i="250"/>
  <c r="B25" i="250"/>
  <c r="B17" i="250"/>
  <c r="T17" i="250"/>
  <c r="F17" i="250"/>
  <c r="E17" i="250"/>
  <c r="D17" i="250"/>
  <c r="W9" i="250"/>
  <c r="T9" i="250" s="1"/>
  <c r="D9" i="250"/>
  <c r="E9" i="250"/>
  <c r="E8" i="250"/>
  <c r="F9" i="250"/>
  <c r="AB9" i="250"/>
  <c r="V9" i="250"/>
  <c r="H39" i="221"/>
  <c r="G39" i="221"/>
  <c r="F39" i="221"/>
  <c r="F40" i="221" s="1"/>
  <c r="E39" i="221"/>
  <c r="H40" i="221"/>
  <c r="G40" i="221"/>
  <c r="E40" i="221"/>
  <c r="D40" i="221"/>
  <c r="C40" i="221"/>
  <c r="B40" i="221"/>
  <c r="L11" i="250"/>
  <c r="J7" i="250"/>
  <c r="E88" i="232"/>
  <c r="E86" i="232"/>
  <c r="E84" i="232"/>
  <c r="E82" i="232"/>
  <c r="B82" i="232" s="1"/>
  <c r="E80" i="232"/>
  <c r="B80" i="232" s="1"/>
  <c r="B88" i="232"/>
  <c r="B86" i="232"/>
  <c r="B84" i="232"/>
  <c r="D84" i="231"/>
  <c r="D83" i="231"/>
  <c r="D82" i="231"/>
  <c r="D81" i="231"/>
  <c r="D80" i="231"/>
  <c r="E52" i="231"/>
  <c r="C27" i="232" s="1"/>
  <c r="D52" i="231"/>
  <c r="B27" i="232" s="1"/>
  <c r="E27" i="232" s="1"/>
  <c r="D80" i="232" s="1"/>
  <c r="D26" i="231"/>
  <c r="C17" i="250" s="1"/>
  <c r="D25" i="231"/>
  <c r="F26" i="231"/>
  <c r="C33" i="250" l="1"/>
  <c r="C9" i="250"/>
  <c r="C25" i="250"/>
  <c r="L39" i="221"/>
  <c r="D62" i="231" l="1"/>
  <c r="B45" i="232" s="1"/>
  <c r="E45" i="232" s="1"/>
  <c r="D115" i="232" s="1"/>
  <c r="D117" i="232" s="1"/>
  <c r="D119" i="232" s="1"/>
  <c r="D122" i="232" s="1"/>
  <c r="D125" i="232" s="1"/>
  <c r="D47" i="231"/>
  <c r="B22" i="232" s="1"/>
  <c r="E22" i="232" s="1"/>
  <c r="D46" i="231"/>
  <c r="B21" i="232" s="1"/>
  <c r="E21" i="232" s="1"/>
  <c r="E137" i="232"/>
  <c r="B137" i="232" s="1"/>
  <c r="E134" i="232"/>
  <c r="E131" i="232"/>
  <c r="B131" i="232" s="1"/>
  <c r="E128" i="232"/>
  <c r="B128" i="232" s="1"/>
  <c r="E125" i="232"/>
  <c r="E122" i="232"/>
  <c r="B122" i="232" s="1"/>
  <c r="E119" i="232"/>
  <c r="B119" i="232" s="1"/>
  <c r="E117" i="232"/>
  <c r="B117" i="232" s="1"/>
  <c r="E115" i="232"/>
  <c r="E112" i="232"/>
  <c r="E109" i="232"/>
  <c r="E107" i="232"/>
  <c r="E105" i="232"/>
  <c r="B105" i="232" s="1"/>
  <c r="E103" i="232"/>
  <c r="E100" i="232"/>
  <c r="B100" i="232" s="1"/>
  <c r="E97" i="232"/>
  <c r="E94" i="232"/>
  <c r="B94" i="232" s="1"/>
  <c r="E92" i="232"/>
  <c r="B92" i="232" s="1"/>
  <c r="E90" i="232"/>
  <c r="B90" i="232" s="1"/>
  <c r="E78" i="232"/>
  <c r="B78" i="232" s="1"/>
  <c r="E76" i="232"/>
  <c r="B76" i="232" s="1"/>
  <c r="E74" i="232"/>
  <c r="B74" i="232" s="1"/>
  <c r="E72" i="232"/>
  <c r="B72" i="232" s="1"/>
  <c r="E70" i="232"/>
  <c r="B70" i="232" s="1"/>
  <c r="E68" i="232"/>
  <c r="B68" i="232" s="1"/>
  <c r="E66" i="232"/>
  <c r="E64" i="232"/>
  <c r="B64" i="232" s="1"/>
  <c r="E62" i="232"/>
  <c r="B62" i="232" s="1"/>
  <c r="E60" i="232"/>
  <c r="B60" i="232" s="1"/>
  <c r="E58" i="232"/>
  <c r="E56" i="232"/>
  <c r="E54" i="232"/>
  <c r="B54" i="232" s="1"/>
  <c r="E52" i="232"/>
  <c r="E50" i="232"/>
  <c r="B50" i="232" s="1"/>
  <c r="E64" i="231"/>
  <c r="C49" i="232" s="1"/>
  <c r="D64" i="231"/>
  <c r="B49" i="232" s="1"/>
  <c r="E49" i="232" s="1"/>
  <c r="D49" i="232" s="1"/>
  <c r="E63" i="231"/>
  <c r="C46" i="232" s="1"/>
  <c r="D63" i="231"/>
  <c r="B46" i="232" s="1"/>
  <c r="E46" i="232" s="1"/>
  <c r="D116" i="232" s="1"/>
  <c r="D118" i="232" s="1"/>
  <c r="D120" i="232" s="1"/>
  <c r="D123" i="232" s="1"/>
  <c r="D126" i="232" s="1"/>
  <c r="E62" i="231"/>
  <c r="C45" i="232" s="1"/>
  <c r="E61" i="231"/>
  <c r="C42" i="232" s="1"/>
  <c r="D61" i="231"/>
  <c r="B42" i="232" s="1"/>
  <c r="E42" i="232" s="1"/>
  <c r="D111" i="232" s="1"/>
  <c r="D114" i="232" s="1"/>
  <c r="E60" i="231"/>
  <c r="C39" i="232" s="1"/>
  <c r="D60" i="231"/>
  <c r="B39" i="232" s="1"/>
  <c r="E39" i="232" s="1"/>
  <c r="E59" i="231"/>
  <c r="C38" i="232" s="1"/>
  <c r="D59" i="231"/>
  <c r="B38" i="232" s="1"/>
  <c r="E38" i="232" s="1"/>
  <c r="E58" i="231"/>
  <c r="C37" i="232" s="1"/>
  <c r="D58" i="231"/>
  <c r="B37" i="232" s="1"/>
  <c r="E37" i="232" s="1"/>
  <c r="D129" i="232" s="1"/>
  <c r="D132" i="232" s="1"/>
  <c r="D135" i="232" s="1"/>
  <c r="E57" i="231"/>
  <c r="C36" i="232" s="1"/>
  <c r="D57" i="231"/>
  <c r="B36" i="232" s="1"/>
  <c r="E36" i="232" s="1"/>
  <c r="D82" i="232" s="1"/>
  <c r="D84" i="232" s="1"/>
  <c r="D86" i="232" s="1"/>
  <c r="D88" i="232" s="1"/>
  <c r="E56" i="231"/>
  <c r="C35" i="232" s="1"/>
  <c r="D56" i="231"/>
  <c r="B35" i="232" s="1"/>
  <c r="E35" i="232" s="1"/>
  <c r="D35" i="232" s="1"/>
  <c r="E55" i="231"/>
  <c r="C32" i="232" s="1"/>
  <c r="D55" i="231"/>
  <c r="B32" i="232" s="1"/>
  <c r="E32" i="232" s="1"/>
  <c r="E54" i="231"/>
  <c r="C31" i="232" s="1"/>
  <c r="D54" i="231"/>
  <c r="B31" i="232" s="1"/>
  <c r="E31" i="232" s="1"/>
  <c r="D31" i="232" s="1"/>
  <c r="E53" i="231"/>
  <c r="C28" i="232" s="1"/>
  <c r="D53" i="231"/>
  <c r="B28" i="232" s="1"/>
  <c r="E28" i="232" s="1"/>
  <c r="E51" i="231"/>
  <c r="C26" i="232" s="1"/>
  <c r="D51" i="231"/>
  <c r="B26" i="232" s="1"/>
  <c r="E26" i="232" s="1"/>
  <c r="E49" i="231"/>
  <c r="C24" i="232" s="1"/>
  <c r="D49" i="231"/>
  <c r="B24" i="232" s="1"/>
  <c r="E24" i="232" s="1"/>
  <c r="E48" i="231"/>
  <c r="C23" i="232" s="1"/>
  <c r="D48" i="231"/>
  <c r="B23" i="232" s="1"/>
  <c r="E23" i="232" s="1"/>
  <c r="E47" i="231"/>
  <c r="C22" i="232" s="1"/>
  <c r="E46" i="231"/>
  <c r="C21" i="232" s="1"/>
  <c r="E45" i="231"/>
  <c r="C20" i="232" s="1"/>
  <c r="D45" i="231"/>
  <c r="B20" i="232" s="1"/>
  <c r="E20" i="232" s="1"/>
  <c r="D21" i="232" s="1"/>
  <c r="D22" i="232" s="1"/>
  <c r="E44" i="231"/>
  <c r="C17" i="232" s="1"/>
  <c r="D44" i="231"/>
  <c r="B17" i="232" s="1"/>
  <c r="E17" i="232" s="1"/>
  <c r="D91" i="232" s="1"/>
  <c r="D93" i="232" s="1"/>
  <c r="D95" i="232" s="1"/>
  <c r="D98" i="232" s="1"/>
  <c r="D101" i="232" s="1"/>
  <c r="E43" i="231"/>
  <c r="C16" i="232" s="1"/>
  <c r="D43" i="231"/>
  <c r="B16" i="232" s="1"/>
  <c r="E16" i="232" s="1"/>
  <c r="E42" i="231"/>
  <c r="C15" i="232" s="1"/>
  <c r="D42" i="231"/>
  <c r="B15" i="232" s="1"/>
  <c r="E15" i="232" s="1"/>
  <c r="E41" i="231"/>
  <c r="C14" i="232" s="1"/>
  <c r="D41" i="231"/>
  <c r="B14" i="232" s="1"/>
  <c r="E14" i="232" s="1"/>
  <c r="D14" i="232" s="1"/>
  <c r="E40" i="231"/>
  <c r="C11" i="232" s="1"/>
  <c r="D40" i="231"/>
  <c r="B11" i="232" s="1"/>
  <c r="E11" i="232" s="1"/>
  <c r="D61" i="232" s="1"/>
  <c r="D63" i="232" s="1"/>
  <c r="D65" i="232" s="1"/>
  <c r="D67" i="232" s="1"/>
  <c r="D69" i="232" s="1"/>
  <c r="E39" i="231"/>
  <c r="C10" i="232" s="1"/>
  <c r="D39" i="231"/>
  <c r="B10" i="232" s="1"/>
  <c r="E10" i="232" s="1"/>
  <c r="E38" i="231"/>
  <c r="C7" i="232" s="1"/>
  <c r="D38" i="231"/>
  <c r="B7" i="232" s="1"/>
  <c r="E7" i="232" s="1"/>
  <c r="D51" i="232" s="1"/>
  <c r="D53" i="232" s="1"/>
  <c r="D55" i="232" s="1"/>
  <c r="D57" i="232" s="1"/>
  <c r="D59" i="232" s="1"/>
  <c r="E37" i="231"/>
  <c r="C6" i="232" s="1"/>
  <c r="D37" i="231"/>
  <c r="B6" i="232" s="1"/>
  <c r="E6" i="232" s="1"/>
  <c r="D50" i="232" s="1"/>
  <c r="D52" i="232" s="1"/>
  <c r="D54" i="232" s="1"/>
  <c r="D56" i="232" s="1"/>
  <c r="D58" i="232" s="1"/>
  <c r="C137" i="232"/>
  <c r="C134" i="232"/>
  <c r="B134" i="232"/>
  <c r="C131" i="232"/>
  <c r="C128" i="232"/>
  <c r="I127" i="232"/>
  <c r="C125" i="232"/>
  <c r="B125" i="232"/>
  <c r="C122" i="232"/>
  <c r="C119" i="232"/>
  <c r="C117" i="232"/>
  <c r="C115" i="232"/>
  <c r="B115" i="232"/>
  <c r="C112" i="232"/>
  <c r="B112" i="232"/>
  <c r="C109" i="232"/>
  <c r="B109" i="232"/>
  <c r="C107" i="232"/>
  <c r="B107" i="232"/>
  <c r="C105" i="232"/>
  <c r="C103" i="232"/>
  <c r="B103" i="232"/>
  <c r="I102" i="232"/>
  <c r="B97" i="232"/>
  <c r="B66" i="232"/>
  <c r="B58" i="232"/>
  <c r="B56" i="232"/>
  <c r="B52" i="232"/>
  <c r="E30" i="232"/>
  <c r="E29" i="232"/>
  <c r="D66" i="231"/>
  <c r="D67" i="231"/>
  <c r="D68" i="231"/>
  <c r="D69" i="231"/>
  <c r="D70" i="231"/>
  <c r="D71" i="231"/>
  <c r="D72" i="231"/>
  <c r="D73" i="231"/>
  <c r="D74" i="231"/>
  <c r="D75" i="231"/>
  <c r="D76" i="231"/>
  <c r="D77" i="231"/>
  <c r="D78" i="231"/>
  <c r="D79" i="231"/>
  <c r="D85" i="231"/>
  <c r="D86" i="231"/>
  <c r="D87" i="231"/>
  <c r="D88" i="231"/>
  <c r="D89" i="231"/>
  <c r="D90" i="231"/>
  <c r="D91" i="231"/>
  <c r="D92" i="231"/>
  <c r="D93" i="231"/>
  <c r="D94" i="231"/>
  <c r="D95" i="231"/>
  <c r="D96" i="231"/>
  <c r="D97" i="231"/>
  <c r="D98" i="231"/>
  <c r="D99" i="231"/>
  <c r="D100" i="231"/>
  <c r="D101" i="231"/>
  <c r="D102" i="231"/>
  <c r="D103" i="231"/>
  <c r="D65" i="231"/>
  <c r="M96" i="243"/>
  <c r="M97" i="243"/>
  <c r="M98" i="243"/>
  <c r="M95" i="243"/>
  <c r="M72" i="243"/>
  <c r="M73" i="243"/>
  <c r="M74" i="243"/>
  <c r="M71" i="243"/>
  <c r="M48" i="243"/>
  <c r="M49" i="243"/>
  <c r="M50" i="243"/>
  <c r="M47" i="243"/>
  <c r="M24" i="243"/>
  <c r="M25" i="243"/>
  <c r="M26" i="243"/>
  <c r="M23" i="243"/>
  <c r="F46" i="221"/>
  <c r="S10" i="261" s="1"/>
  <c r="E555" i="283"/>
  <c r="G47" i="221" s="1"/>
  <c r="E556" i="283"/>
  <c r="H47" i="221" s="1"/>
  <c r="E551" i="283"/>
  <c r="E553" i="283" s="1"/>
  <c r="E47" i="221" s="1"/>
  <c r="E554" i="283"/>
  <c r="F47" i="221" s="1"/>
  <c r="E542" i="283"/>
  <c r="E544" i="283" s="1"/>
  <c r="E46" i="221" s="1"/>
  <c r="S6" i="261" s="1"/>
  <c r="E545" i="283"/>
  <c r="I546" i="283"/>
  <c r="H10" i="261" s="1"/>
  <c r="H12" i="261" s="1"/>
  <c r="E532" i="283"/>
  <c r="E531" i="283"/>
  <c r="E535" i="283" s="1"/>
  <c r="C46" i="221"/>
  <c r="D46" i="221"/>
  <c r="C47" i="221"/>
  <c r="D47" i="221"/>
  <c r="B47" i="221"/>
  <c r="B46" i="221"/>
  <c r="N20" i="261"/>
  <c r="N18" i="261"/>
  <c r="N16" i="261"/>
  <c r="N14" i="261"/>
  <c r="N12" i="261"/>
  <c r="N10" i="261"/>
  <c r="E20" i="261"/>
  <c r="E16" i="261"/>
  <c r="F21" i="261"/>
  <c r="F20" i="261"/>
  <c r="F19" i="261"/>
  <c r="F18" i="261"/>
  <c r="F17" i="261"/>
  <c r="F16" i="261"/>
  <c r="F15" i="261"/>
  <c r="F14" i="261"/>
  <c r="D20" i="261"/>
  <c r="D18" i="261"/>
  <c r="D16" i="261"/>
  <c r="D14" i="261"/>
  <c r="F13" i="261"/>
  <c r="F12" i="261"/>
  <c r="F11" i="261"/>
  <c r="F10" i="261"/>
  <c r="E12" i="261"/>
  <c r="D12" i="261"/>
  <c r="D10" i="261"/>
  <c r="F9" i="261"/>
  <c r="F8" i="261"/>
  <c r="F7" i="261"/>
  <c r="F6" i="261"/>
  <c r="B124" i="251"/>
  <c r="B123" i="251"/>
  <c r="C122" i="251"/>
  <c r="B121" i="251"/>
  <c r="B120" i="251"/>
  <c r="C119" i="251"/>
  <c r="B118" i="251"/>
  <c r="B117" i="251"/>
  <c r="B116" i="251"/>
  <c r="C115" i="251"/>
  <c r="B114" i="251"/>
  <c r="B113" i="251"/>
  <c r="B112" i="251"/>
  <c r="C111" i="251"/>
  <c r="B106" i="251"/>
  <c r="B105" i="251"/>
  <c r="C104" i="251"/>
  <c r="B101" i="251"/>
  <c r="B100" i="251"/>
  <c r="C99" i="251"/>
  <c r="B97" i="251"/>
  <c r="B96" i="251"/>
  <c r="B95" i="251"/>
  <c r="B94" i="251"/>
  <c r="C93" i="251"/>
  <c r="K84" i="251"/>
  <c r="I84" i="251"/>
  <c r="G84" i="251"/>
  <c r="E84" i="251"/>
  <c r="R38" i="251"/>
  <c r="K83" i="251"/>
  <c r="I83" i="251"/>
  <c r="G83" i="251"/>
  <c r="E83" i="251"/>
  <c r="R37" i="251" s="1"/>
  <c r="K82" i="251"/>
  <c r="I82" i="251"/>
  <c r="G82" i="251"/>
  <c r="E82" i="251"/>
  <c r="R36" i="251" s="1"/>
  <c r="K81" i="251"/>
  <c r="I81" i="251"/>
  <c r="V35" i="251" s="1"/>
  <c r="G81" i="251"/>
  <c r="E81" i="251"/>
  <c r="K80" i="251"/>
  <c r="I80" i="251"/>
  <c r="G80" i="251"/>
  <c r="E80" i="251"/>
  <c r="K79" i="251"/>
  <c r="I79" i="251"/>
  <c r="G79" i="251"/>
  <c r="E79" i="251"/>
  <c r="K78" i="251"/>
  <c r="I78" i="251"/>
  <c r="G78" i="251"/>
  <c r="E78" i="251"/>
  <c r="K77" i="251"/>
  <c r="I77" i="251"/>
  <c r="G77" i="251"/>
  <c r="E77" i="251"/>
  <c r="K76" i="251"/>
  <c r="X38" i="251" s="1"/>
  <c r="I76" i="251"/>
  <c r="V38" i="251" s="1"/>
  <c r="G76" i="251"/>
  <c r="T38" i="251" s="1"/>
  <c r="E76" i="251"/>
  <c r="K75" i="251"/>
  <c r="X37" i="251" s="1"/>
  <c r="I75" i="251"/>
  <c r="V37" i="251" s="1"/>
  <c r="Y39" i="251" s="1"/>
  <c r="G75" i="251"/>
  <c r="E75" i="251"/>
  <c r="K74" i="251"/>
  <c r="I74" i="251"/>
  <c r="V36" i="251" s="1"/>
  <c r="G74" i="251"/>
  <c r="T36" i="251" s="1"/>
  <c r="E74" i="251"/>
  <c r="K73" i="251"/>
  <c r="X35" i="251" s="1"/>
  <c r="I73" i="251"/>
  <c r="G73" i="251"/>
  <c r="E73" i="251"/>
  <c r="R35" i="251" s="1"/>
  <c r="K72" i="251"/>
  <c r="I72" i="251"/>
  <c r="G72" i="251"/>
  <c r="E72" i="251"/>
  <c r="R34" i="251"/>
  <c r="K71" i="251"/>
  <c r="I71" i="251"/>
  <c r="G71" i="251"/>
  <c r="E71" i="251"/>
  <c r="K70" i="251"/>
  <c r="X32" i="251" s="1"/>
  <c r="I70" i="251"/>
  <c r="V32" i="251"/>
  <c r="G70" i="251"/>
  <c r="E70" i="251"/>
  <c r="K69" i="251"/>
  <c r="I69" i="251"/>
  <c r="G69" i="251"/>
  <c r="E69" i="251"/>
  <c r="R31" i="251"/>
  <c r="K68" i="251"/>
  <c r="X34" i="251" s="1"/>
  <c r="I68" i="251"/>
  <c r="V34" i="251" s="1"/>
  <c r="G68" i="251"/>
  <c r="E68" i="251"/>
  <c r="K67" i="251"/>
  <c r="X33" i="251" s="1"/>
  <c r="I67" i="251"/>
  <c r="V33" i="251"/>
  <c r="G67" i="251"/>
  <c r="E67" i="251"/>
  <c r="R33" i="251" s="1"/>
  <c r="K66" i="251"/>
  <c r="I66" i="251"/>
  <c r="G66" i="251"/>
  <c r="E66" i="251"/>
  <c r="R32" i="251"/>
  <c r="K65" i="251"/>
  <c r="X31" i="251" s="1"/>
  <c r="I65" i="251"/>
  <c r="V31" i="251" s="1"/>
  <c r="G65" i="251"/>
  <c r="T31" i="251" s="1"/>
  <c r="E65" i="251"/>
  <c r="K64" i="251"/>
  <c r="I64" i="251"/>
  <c r="G64" i="251"/>
  <c r="T29" i="251"/>
  <c r="E64" i="251"/>
  <c r="K63" i="251"/>
  <c r="I63" i="251"/>
  <c r="G63" i="251"/>
  <c r="E63" i="251"/>
  <c r="K62" i="251"/>
  <c r="I62" i="251"/>
  <c r="V27" i="251" s="1"/>
  <c r="G62" i="251"/>
  <c r="E62" i="251"/>
  <c r="K61" i="251"/>
  <c r="I61" i="251"/>
  <c r="G61" i="251"/>
  <c r="E61" i="251"/>
  <c r="K60" i="251"/>
  <c r="I60" i="251"/>
  <c r="G60" i="251"/>
  <c r="E60" i="251"/>
  <c r="K59" i="251"/>
  <c r="I59" i="251"/>
  <c r="G59" i="251"/>
  <c r="E59" i="251"/>
  <c r="X58" i="251"/>
  <c r="Y58" i="251" s="1"/>
  <c r="W58" i="251"/>
  <c r="V58" i="251"/>
  <c r="U58" i="251"/>
  <c r="S58" i="251"/>
  <c r="T58" i="251"/>
  <c r="R58" i="251"/>
  <c r="Q58" i="251"/>
  <c r="K58" i="251"/>
  <c r="X23" i="251" s="1"/>
  <c r="I58" i="251"/>
  <c r="G58" i="251"/>
  <c r="E58" i="251"/>
  <c r="Z57" i="251"/>
  <c r="K57" i="251"/>
  <c r="I57" i="251"/>
  <c r="G57" i="251"/>
  <c r="E57" i="251"/>
  <c r="R22" i="251"/>
  <c r="Z56" i="251"/>
  <c r="V56" i="251" s="1"/>
  <c r="R56" i="251"/>
  <c r="T56" i="251"/>
  <c r="K56" i="251"/>
  <c r="X29" i="251" s="1"/>
  <c r="I56" i="251"/>
  <c r="V29" i="251" s="1"/>
  <c r="G56" i="251"/>
  <c r="E56" i="251"/>
  <c r="R29" i="251" s="1"/>
  <c r="Z55" i="251"/>
  <c r="V55" i="251" s="1"/>
  <c r="K55" i="251"/>
  <c r="X28" i="251" s="1"/>
  <c r="I55" i="251"/>
  <c r="V28" i="251"/>
  <c r="G55" i="251"/>
  <c r="T28" i="251" s="1"/>
  <c r="E55" i="251"/>
  <c r="R28" i="251" s="1"/>
  <c r="Z54" i="251"/>
  <c r="X54" i="251"/>
  <c r="V54" i="251"/>
  <c r="T54" i="251"/>
  <c r="R54" i="251"/>
  <c r="K54" i="251"/>
  <c r="X27" i="251"/>
  <c r="I54" i="251"/>
  <c r="G54" i="251"/>
  <c r="E54" i="251"/>
  <c r="R27" i="251"/>
  <c r="Z53" i="251"/>
  <c r="K53" i="251"/>
  <c r="X26" i="251" s="1"/>
  <c r="I53" i="251"/>
  <c r="V26" i="251"/>
  <c r="G53" i="251"/>
  <c r="T26" i="251" s="1"/>
  <c r="E53" i="251"/>
  <c r="R26" i="251"/>
  <c r="Z52" i="251"/>
  <c r="V52" i="251" s="1"/>
  <c r="R52" i="251"/>
  <c r="K52" i="251"/>
  <c r="I52" i="251"/>
  <c r="G52" i="251"/>
  <c r="E52" i="251"/>
  <c r="Z51" i="251"/>
  <c r="V51" i="251"/>
  <c r="K51" i="251"/>
  <c r="I51" i="251"/>
  <c r="G51" i="251"/>
  <c r="E51" i="251"/>
  <c r="Z50" i="251"/>
  <c r="X50" i="251"/>
  <c r="V50" i="251"/>
  <c r="T50" i="251"/>
  <c r="R50" i="251"/>
  <c r="K50" i="251"/>
  <c r="I50" i="251"/>
  <c r="V23" i="251" s="1"/>
  <c r="G50" i="251"/>
  <c r="E50" i="251"/>
  <c r="R23" i="251"/>
  <c r="K49" i="251"/>
  <c r="I49" i="251"/>
  <c r="G49" i="251"/>
  <c r="T22" i="251" s="1"/>
  <c r="E49" i="251"/>
  <c r="K48" i="251"/>
  <c r="I48" i="251"/>
  <c r="V25" i="251"/>
  <c r="G48" i="251"/>
  <c r="T25" i="251"/>
  <c r="E48" i="251"/>
  <c r="R25" i="251" s="1"/>
  <c r="K47" i="251"/>
  <c r="I47" i="251"/>
  <c r="V24" i="251" s="1"/>
  <c r="G47" i="251"/>
  <c r="E47" i="251"/>
  <c r="R24" i="251"/>
  <c r="K46" i="251"/>
  <c r="I46" i="251"/>
  <c r="G46" i="251"/>
  <c r="T23" i="251" s="1"/>
  <c r="E46" i="251"/>
  <c r="K45" i="251"/>
  <c r="X22" i="251" s="1"/>
  <c r="I45" i="251"/>
  <c r="G45" i="251"/>
  <c r="E45" i="251"/>
  <c r="K44" i="251"/>
  <c r="X20" i="251"/>
  <c r="I44" i="251"/>
  <c r="G44" i="251"/>
  <c r="E44" i="251"/>
  <c r="K43" i="251"/>
  <c r="X19" i="251" s="1"/>
  <c r="I43" i="251"/>
  <c r="G43" i="251"/>
  <c r="E43" i="251"/>
  <c r="K42" i="251"/>
  <c r="X18" i="251" s="1"/>
  <c r="I42" i="251"/>
  <c r="V18" i="251" s="1"/>
  <c r="G42" i="251"/>
  <c r="T18" i="251" s="1"/>
  <c r="E42" i="251"/>
  <c r="K41" i="251"/>
  <c r="I41" i="251"/>
  <c r="G41" i="251"/>
  <c r="E41" i="251"/>
  <c r="R17" i="251"/>
  <c r="K40" i="251"/>
  <c r="I40" i="251"/>
  <c r="G40" i="251"/>
  <c r="E40" i="251"/>
  <c r="K39" i="251"/>
  <c r="I39" i="251"/>
  <c r="G39" i="251"/>
  <c r="E39" i="251"/>
  <c r="W38" i="251"/>
  <c r="U38" i="251"/>
  <c r="S38" i="251"/>
  <c r="Q38" i="251"/>
  <c r="K38" i="251"/>
  <c r="I38" i="251"/>
  <c r="G38" i="251"/>
  <c r="E38" i="251"/>
  <c r="W37" i="251"/>
  <c r="U37" i="251"/>
  <c r="T37" i="251"/>
  <c r="S37" i="251"/>
  <c r="Q37" i="251"/>
  <c r="K37" i="251"/>
  <c r="I37" i="251"/>
  <c r="G37" i="251"/>
  <c r="E37" i="251"/>
  <c r="X36" i="251"/>
  <c r="W36" i="251"/>
  <c r="U36" i="251"/>
  <c r="S36" i="251"/>
  <c r="Q36" i="251"/>
  <c r="K36" i="251"/>
  <c r="I36" i="251"/>
  <c r="G36" i="251"/>
  <c r="T20" i="251"/>
  <c r="E36" i="251"/>
  <c r="R20" i="251" s="1"/>
  <c r="W35" i="251"/>
  <c r="U35" i="251"/>
  <c r="T35" i="251"/>
  <c r="S35" i="251"/>
  <c r="Q35" i="251"/>
  <c r="K35" i="251"/>
  <c r="I35" i="251"/>
  <c r="V19" i="251"/>
  <c r="G35" i="251"/>
  <c r="E35" i="251"/>
  <c r="W34" i="251"/>
  <c r="U34" i="251"/>
  <c r="T34" i="251"/>
  <c r="S34" i="251"/>
  <c r="Q34" i="251"/>
  <c r="K34" i="251"/>
  <c r="I34" i="251"/>
  <c r="G34" i="251"/>
  <c r="E34" i="251"/>
  <c r="R18" i="251" s="1"/>
  <c r="W33" i="251"/>
  <c r="U33" i="251"/>
  <c r="T33" i="251"/>
  <c r="S33" i="251"/>
  <c r="Q33" i="251"/>
  <c r="K33" i="251"/>
  <c r="I33" i="251"/>
  <c r="G33" i="251"/>
  <c r="E33" i="251"/>
  <c r="W32" i="251"/>
  <c r="W39" i="251" s="1"/>
  <c r="U32" i="251"/>
  <c r="T32" i="251"/>
  <c r="S32" i="251"/>
  <c r="Q32" i="251"/>
  <c r="K32" i="251"/>
  <c r="I32" i="251"/>
  <c r="G32" i="251"/>
  <c r="E32" i="251"/>
  <c r="W31" i="251"/>
  <c r="U31" i="251"/>
  <c r="Z39" i="251"/>
  <c r="S31" i="251"/>
  <c r="S39" i="251" s="1"/>
  <c r="Q31" i="251"/>
  <c r="Q39" i="251"/>
  <c r="K31" i="251"/>
  <c r="I31" i="251"/>
  <c r="G31" i="251"/>
  <c r="E31" i="251"/>
  <c r="K30" i="251"/>
  <c r="I30" i="251"/>
  <c r="V14" i="251" s="1"/>
  <c r="G30" i="251"/>
  <c r="E30" i="251"/>
  <c r="W29" i="251"/>
  <c r="U29" i="251"/>
  <c r="S29" i="251"/>
  <c r="Q29" i="251"/>
  <c r="K29" i="251"/>
  <c r="I29" i="251"/>
  <c r="V13" i="251"/>
  <c r="G29" i="251"/>
  <c r="E29" i="251"/>
  <c r="R13" i="251" s="1"/>
  <c r="W28" i="251"/>
  <c r="U28" i="251"/>
  <c r="S28" i="251"/>
  <c r="Q28" i="251"/>
  <c r="K28" i="251"/>
  <c r="X16" i="251" s="1"/>
  <c r="I28" i="251"/>
  <c r="V16" i="251" s="1"/>
  <c r="G28" i="251"/>
  <c r="E28" i="251"/>
  <c r="R16" i="251" s="1"/>
  <c r="W27" i="251"/>
  <c r="U27" i="251"/>
  <c r="T27" i="251"/>
  <c r="S27" i="251"/>
  <c r="Q27" i="251"/>
  <c r="K27" i="251"/>
  <c r="I27" i="251"/>
  <c r="V15" i="251" s="1"/>
  <c r="G27" i="251"/>
  <c r="E27" i="251"/>
  <c r="R15" i="251"/>
  <c r="W26" i="251"/>
  <c r="U26" i="251"/>
  <c r="S26" i="251"/>
  <c r="Q26" i="251"/>
  <c r="K26" i="251"/>
  <c r="X14" i="251"/>
  <c r="I26" i="251"/>
  <c r="G26" i="251"/>
  <c r="T14" i="251" s="1"/>
  <c r="E26" i="251"/>
  <c r="R14" i="251" s="1"/>
  <c r="X25" i="251"/>
  <c r="W25" i="251"/>
  <c r="U25" i="251"/>
  <c r="S25" i="251"/>
  <c r="AE29" i="251" s="1"/>
  <c r="Q25" i="251"/>
  <c r="AC29" i="251" s="1"/>
  <c r="K25" i="251"/>
  <c r="I25" i="251"/>
  <c r="G25" i="251"/>
  <c r="T13" i="251" s="1"/>
  <c r="E25" i="251"/>
  <c r="W24" i="251"/>
  <c r="U24" i="251"/>
  <c r="T24" i="251"/>
  <c r="S24" i="251"/>
  <c r="Q24" i="251"/>
  <c r="K24" i="251"/>
  <c r="I24" i="251"/>
  <c r="G24" i="251"/>
  <c r="E24" i="251"/>
  <c r="W23" i="251"/>
  <c r="U23" i="251"/>
  <c r="S23" i="251"/>
  <c r="Q23" i="251"/>
  <c r="K23" i="251"/>
  <c r="I23" i="251"/>
  <c r="V11" i="251" s="1"/>
  <c r="G23" i="251"/>
  <c r="E23" i="251"/>
  <c r="W22" i="251"/>
  <c r="W30" i="251" s="1"/>
  <c r="U22" i="251"/>
  <c r="S22" i="251"/>
  <c r="Q22" i="251"/>
  <c r="K22" i="251"/>
  <c r="I22" i="251"/>
  <c r="V10" i="251"/>
  <c r="G22" i="251"/>
  <c r="E22" i="251"/>
  <c r="R10" i="251"/>
  <c r="K21" i="251"/>
  <c r="I21" i="251"/>
  <c r="G21" i="251"/>
  <c r="E21" i="251"/>
  <c r="W20" i="251"/>
  <c r="V20" i="251"/>
  <c r="U20" i="251"/>
  <c r="S20" i="251"/>
  <c r="AD15" i="251" s="1"/>
  <c r="Q20" i="251"/>
  <c r="AC15" i="251" s="1"/>
  <c r="K20" i="251"/>
  <c r="I20" i="251"/>
  <c r="G20" i="251"/>
  <c r="T8" i="251"/>
  <c r="E20" i="251"/>
  <c r="R8" i="251" s="1"/>
  <c r="W19" i="251"/>
  <c r="U19" i="251"/>
  <c r="AC14" i="251" s="1"/>
  <c r="T19" i="251"/>
  <c r="S19" i="251"/>
  <c r="AD14" i="251"/>
  <c r="R19" i="251"/>
  <c r="Q19" i="251"/>
  <c r="K19" i="251"/>
  <c r="I19" i="251"/>
  <c r="G19" i="251"/>
  <c r="E19" i="251"/>
  <c r="W18" i="251"/>
  <c r="U18" i="251"/>
  <c r="S18" i="251"/>
  <c r="AD13" i="251"/>
  <c r="Q18" i="251"/>
  <c r="K18" i="251"/>
  <c r="I18" i="251"/>
  <c r="G18" i="251"/>
  <c r="E18" i="251"/>
  <c r="X17" i="251"/>
  <c r="W17" i="251"/>
  <c r="AD12" i="251" s="1"/>
  <c r="V17" i="251"/>
  <c r="U17" i="251"/>
  <c r="AC12" i="251" s="1"/>
  <c r="S17" i="251"/>
  <c r="Q17" i="251"/>
  <c r="K17" i="251"/>
  <c r="I17" i="251"/>
  <c r="G17" i="251"/>
  <c r="E17" i="251"/>
  <c r="W16" i="251"/>
  <c r="U16" i="251"/>
  <c r="S16" i="251"/>
  <c r="AD10" i="251" s="1"/>
  <c r="Q16" i="251"/>
  <c r="AC10" i="251" s="1"/>
  <c r="K16" i="251"/>
  <c r="I16" i="251"/>
  <c r="V12" i="251"/>
  <c r="G16" i="251"/>
  <c r="T12" i="251"/>
  <c r="E16" i="251"/>
  <c r="R12" i="251" s="1"/>
  <c r="X15" i="251"/>
  <c r="W15" i="251"/>
  <c r="U15" i="251"/>
  <c r="S15" i="251"/>
  <c r="AD9" i="251" s="1"/>
  <c r="AD19" i="251" s="1"/>
  <c r="Q15" i="251"/>
  <c r="AC9" i="251" s="1"/>
  <c r="K15" i="251"/>
  <c r="I15" i="251"/>
  <c r="G15" i="251"/>
  <c r="T11" i="251"/>
  <c r="E15" i="251"/>
  <c r="W14" i="251"/>
  <c r="AD8" i="251"/>
  <c r="AD18" i="251" s="1"/>
  <c r="U14" i="251"/>
  <c r="S14" i="251"/>
  <c r="Q14" i="251"/>
  <c r="K14" i="251"/>
  <c r="X10" i="251" s="1"/>
  <c r="I14" i="251"/>
  <c r="G14" i="251"/>
  <c r="T10" i="251" s="1"/>
  <c r="E14" i="251"/>
  <c r="AC13" i="251"/>
  <c r="AE13" i="251" s="1"/>
  <c r="X13" i="251"/>
  <c r="W13" i="251"/>
  <c r="U13" i="251"/>
  <c r="AC7" i="251" s="1"/>
  <c r="S13" i="251"/>
  <c r="Q13" i="251"/>
  <c r="Q21" i="251"/>
  <c r="K13" i="251"/>
  <c r="I13" i="251"/>
  <c r="V9" i="251" s="1"/>
  <c r="G13" i="251"/>
  <c r="T9" i="251"/>
  <c r="E13" i="251"/>
  <c r="R9" i="251" s="1"/>
  <c r="X12" i="251"/>
  <c r="W12" i="251"/>
  <c r="U12" i="251"/>
  <c r="S12" i="251"/>
  <c r="Q12" i="251"/>
  <c r="K12" i="251"/>
  <c r="I12" i="251"/>
  <c r="G12" i="251"/>
  <c r="E12" i="251"/>
  <c r="X11" i="251"/>
  <c r="W11" i="251"/>
  <c r="U11" i="251"/>
  <c r="S11" i="251"/>
  <c r="R11" i="251"/>
  <c r="Q11" i="251"/>
  <c r="K11" i="251"/>
  <c r="I11" i="251"/>
  <c r="G11" i="251"/>
  <c r="E11" i="251"/>
  <c r="W10" i="251"/>
  <c r="U10" i="251"/>
  <c r="S10" i="251"/>
  <c r="Q10" i="251"/>
  <c r="K10" i="251"/>
  <c r="I10" i="251"/>
  <c r="G10" i="251"/>
  <c r="E10" i="251"/>
  <c r="X9" i="251"/>
  <c r="W9" i="251"/>
  <c r="U9" i="251"/>
  <c r="S9" i="251"/>
  <c r="Q9" i="251"/>
  <c r="K9" i="251"/>
  <c r="I9" i="251"/>
  <c r="G9" i="251"/>
  <c r="E9" i="251"/>
  <c r="AC8" i="251"/>
  <c r="AC18" i="251" s="1"/>
  <c r="AE18" i="251" s="1"/>
  <c r="W8" i="251"/>
  <c r="U8" i="251"/>
  <c r="S8" i="251"/>
  <c r="Q8" i="251"/>
  <c r="K8" i="251"/>
  <c r="X8" i="251" s="1"/>
  <c r="I8" i="251"/>
  <c r="V8" i="251" s="1"/>
  <c r="G8" i="251"/>
  <c r="E8" i="251"/>
  <c r="W7" i="251"/>
  <c r="U7" i="251"/>
  <c r="S7" i="251"/>
  <c r="Q7" i="251"/>
  <c r="K7" i="251"/>
  <c r="X7" i="251" s="1"/>
  <c r="I7" i="251"/>
  <c r="V7" i="251"/>
  <c r="G7" i="251"/>
  <c r="T7" i="251"/>
  <c r="E7" i="251"/>
  <c r="R7" i="251"/>
  <c r="W6" i="251"/>
  <c r="U6" i="251"/>
  <c r="S6" i="251"/>
  <c r="Q6" i="251"/>
  <c r="K6" i="251"/>
  <c r="I6" i="251"/>
  <c r="G6" i="251"/>
  <c r="T6" i="251" s="1"/>
  <c r="E6" i="251"/>
  <c r="R6" i="251"/>
  <c r="W5" i="251"/>
  <c r="U5" i="251"/>
  <c r="S5" i="251"/>
  <c r="R5" i="251"/>
  <c r="Q5" i="251"/>
  <c r="K5" i="251"/>
  <c r="X5" i="251" s="1"/>
  <c r="I5" i="251"/>
  <c r="V5" i="251" s="1"/>
  <c r="G5" i="251"/>
  <c r="E5" i="251"/>
  <c r="I365" i="295"/>
  <c r="I364" i="295"/>
  <c r="I363" i="295"/>
  <c r="I362" i="295"/>
  <c r="I361" i="295"/>
  <c r="F352" i="295"/>
  <c r="E352" i="295"/>
  <c r="C352" i="295"/>
  <c r="B352" i="295"/>
  <c r="F336" i="295"/>
  <c r="E336" i="295"/>
  <c r="C336" i="295"/>
  <c r="B336" i="295"/>
  <c r="C301" i="295"/>
  <c r="B301" i="295"/>
  <c r="D301" i="295" s="1"/>
  <c r="D300" i="295"/>
  <c r="D299" i="295"/>
  <c r="D298" i="295"/>
  <c r="D297" i="295"/>
  <c r="D296" i="295"/>
  <c r="D295" i="295"/>
  <c r="D294" i="295"/>
  <c r="C285" i="295"/>
  <c r="B285" i="295"/>
  <c r="D285" i="295" s="1"/>
  <c r="D284" i="295"/>
  <c r="D283" i="295"/>
  <c r="D282" i="295"/>
  <c r="D281" i="295"/>
  <c r="D280" i="295"/>
  <c r="D279" i="295"/>
  <c r="D278" i="295"/>
  <c r="D277" i="295"/>
  <c r="D276" i="295"/>
  <c r="D275" i="295"/>
  <c r="D274" i="295"/>
  <c r="C265" i="295"/>
  <c r="B265" i="295"/>
  <c r="D265" i="295"/>
  <c r="D264" i="295"/>
  <c r="D263" i="295"/>
  <c r="D262" i="295"/>
  <c r="D261" i="295"/>
  <c r="D260" i="295"/>
  <c r="D259" i="295"/>
  <c r="D258" i="295"/>
  <c r="D257" i="295"/>
  <c r="D256" i="295"/>
  <c r="D255" i="295"/>
  <c r="D254" i="295"/>
  <c r="D253" i="295"/>
  <c r="D252" i="295"/>
  <c r="D251" i="295"/>
  <c r="D250" i="295"/>
  <c r="D249" i="295"/>
  <c r="D248" i="295"/>
  <c r="D247" i="295"/>
  <c r="D246" i="295"/>
  <c r="D245" i="295"/>
  <c r="C232" i="295"/>
  <c r="B232" i="295"/>
  <c r="D232" i="295" s="1"/>
  <c r="D231" i="295"/>
  <c r="D230" i="295"/>
  <c r="D229" i="295"/>
  <c r="D228" i="295"/>
  <c r="D227" i="295"/>
  <c r="D226" i="295"/>
  <c r="D225" i="295"/>
  <c r="D224" i="295"/>
  <c r="D223" i="295"/>
  <c r="C214" i="295"/>
  <c r="B214" i="295"/>
  <c r="D213" i="295"/>
  <c r="D212" i="295"/>
  <c r="D211" i="295"/>
  <c r="D210" i="295"/>
  <c r="D209" i="295"/>
  <c r="D208" i="295"/>
  <c r="D207" i="295"/>
  <c r="D206" i="295"/>
  <c r="D205" i="295"/>
  <c r="D204" i="295"/>
  <c r="D203" i="295"/>
  <c r="D202" i="295"/>
  <c r="D201" i="295"/>
  <c r="D200" i="295"/>
  <c r="D199" i="295"/>
  <c r="D198" i="295"/>
  <c r="D197" i="295"/>
  <c r="D196" i="295"/>
  <c r="D195" i="295"/>
  <c r="D194" i="295"/>
  <c r="D193" i="295"/>
  <c r="D192" i="295"/>
  <c r="D191" i="295"/>
  <c r="C177" i="295"/>
  <c r="D177" i="295"/>
  <c r="B177" i="295"/>
  <c r="D176" i="295"/>
  <c r="D175" i="295"/>
  <c r="D174" i="295"/>
  <c r="D173" i="295"/>
  <c r="D172" i="295"/>
  <c r="D171" i="295"/>
  <c r="D170" i="295"/>
  <c r="D169" i="295"/>
  <c r="D168" i="295"/>
  <c r="D167" i="295"/>
  <c r="D166" i="295"/>
  <c r="D165" i="295"/>
  <c r="D164" i="295"/>
  <c r="D163" i="295"/>
  <c r="D162" i="295"/>
  <c r="D161" i="295"/>
  <c r="J152" i="295"/>
  <c r="H152" i="295"/>
  <c r="L152" i="295" s="1"/>
  <c r="G152" i="295"/>
  <c r="F152" i="295"/>
  <c r="D152" i="295"/>
  <c r="C152" i="295"/>
  <c r="K152" i="295" s="1"/>
  <c r="B152" i="295"/>
  <c r="L151" i="295"/>
  <c r="J151" i="295"/>
  <c r="L150" i="295"/>
  <c r="K150" i="295"/>
  <c r="J150" i="295"/>
  <c r="L149" i="295"/>
  <c r="K149" i="295"/>
  <c r="J149" i="295"/>
  <c r="L148" i="295"/>
  <c r="K148" i="295"/>
  <c r="J148" i="295"/>
  <c r="L147" i="295"/>
  <c r="K147" i="295"/>
  <c r="J147" i="295"/>
  <c r="L146" i="295"/>
  <c r="K146" i="295"/>
  <c r="J146" i="295"/>
  <c r="L145" i="295"/>
  <c r="K145" i="295"/>
  <c r="J145" i="295"/>
  <c r="L144" i="295"/>
  <c r="K144" i="295"/>
  <c r="J144" i="295"/>
  <c r="L143" i="295"/>
  <c r="K143" i="295"/>
  <c r="J143" i="295"/>
  <c r="L142" i="295"/>
  <c r="K142" i="295"/>
  <c r="J142" i="295"/>
  <c r="L141" i="295"/>
  <c r="K141" i="295"/>
  <c r="J141" i="295"/>
  <c r="L140" i="295"/>
  <c r="K140" i="295"/>
  <c r="J140" i="295"/>
  <c r="L139" i="295"/>
  <c r="K139" i="295"/>
  <c r="J139" i="295"/>
  <c r="L138" i="295"/>
  <c r="K138" i="295"/>
  <c r="J138" i="295"/>
  <c r="L137" i="295"/>
  <c r="K137" i="295"/>
  <c r="J137" i="295"/>
  <c r="L136" i="295"/>
  <c r="K136" i="295"/>
  <c r="J136" i="295"/>
  <c r="L135" i="295"/>
  <c r="K135" i="295"/>
  <c r="J135" i="295"/>
  <c r="L134" i="295"/>
  <c r="K134" i="295"/>
  <c r="J134" i="295"/>
  <c r="L133" i="295"/>
  <c r="K133" i="295"/>
  <c r="J133" i="295"/>
  <c r="L132" i="295"/>
  <c r="K132" i="295"/>
  <c r="J132" i="295"/>
  <c r="L131" i="295"/>
  <c r="K131" i="295"/>
  <c r="J131" i="295"/>
  <c r="F117" i="295"/>
  <c r="E117" i="295"/>
  <c r="C117" i="295"/>
  <c r="I117" i="295" s="1"/>
  <c r="B117" i="295"/>
  <c r="K116" i="295"/>
  <c r="I116" i="295"/>
  <c r="H116" i="295"/>
  <c r="K115" i="295"/>
  <c r="I115" i="295"/>
  <c r="H115" i="295"/>
  <c r="K114" i="295"/>
  <c r="I114" i="295"/>
  <c r="H114" i="295"/>
  <c r="K113" i="295"/>
  <c r="I113" i="295"/>
  <c r="H113" i="295"/>
  <c r="K112" i="295"/>
  <c r="I112" i="295"/>
  <c r="H112" i="295"/>
  <c r="K111" i="295"/>
  <c r="I111" i="295"/>
  <c r="H111" i="295"/>
  <c r="K110" i="295"/>
  <c r="I110" i="295"/>
  <c r="H110" i="295"/>
  <c r="F99" i="295"/>
  <c r="E99" i="295"/>
  <c r="C99" i="295"/>
  <c r="I99" i="295"/>
  <c r="B99" i="295"/>
  <c r="K99" i="295" s="1"/>
  <c r="H99" i="295"/>
  <c r="K98" i="295"/>
  <c r="I98" i="295"/>
  <c r="H98" i="295"/>
  <c r="K97" i="295"/>
  <c r="I97" i="295"/>
  <c r="H97" i="295"/>
  <c r="K96" i="295"/>
  <c r="I96" i="295"/>
  <c r="H96" i="295"/>
  <c r="K95" i="295"/>
  <c r="I95" i="295"/>
  <c r="H95" i="295"/>
  <c r="K94" i="295"/>
  <c r="I94" i="295"/>
  <c r="H94" i="295"/>
  <c r="K93" i="295"/>
  <c r="I93" i="295"/>
  <c r="H93" i="295"/>
  <c r="K92" i="295"/>
  <c r="I92" i="295"/>
  <c r="H92" i="295"/>
  <c r="K91" i="295"/>
  <c r="I91" i="295"/>
  <c r="H91" i="295"/>
  <c r="K90" i="295"/>
  <c r="I90" i="295"/>
  <c r="H90" i="295"/>
  <c r="K89" i="295"/>
  <c r="I89" i="295"/>
  <c r="H89" i="295"/>
  <c r="K88" i="295"/>
  <c r="I88" i="295"/>
  <c r="H88" i="295"/>
  <c r="K87" i="295"/>
  <c r="I87" i="295"/>
  <c r="H87" i="295"/>
  <c r="K86" i="295"/>
  <c r="I86" i="295"/>
  <c r="H86" i="295"/>
  <c r="K85" i="295"/>
  <c r="I85" i="295"/>
  <c r="H85" i="295"/>
  <c r="K84" i="295"/>
  <c r="I84" i="295"/>
  <c r="H84" i="295"/>
  <c r="K83" i="295"/>
  <c r="I83" i="295"/>
  <c r="H83" i="295"/>
  <c r="K82" i="295"/>
  <c r="I82" i="295"/>
  <c r="H82" i="295"/>
  <c r="K81" i="295"/>
  <c r="I81" i="295"/>
  <c r="H81" i="295"/>
  <c r="K80" i="295"/>
  <c r="I80" i="295"/>
  <c r="H80" i="295"/>
  <c r="K79" i="295"/>
  <c r="I79" i="295"/>
  <c r="H79" i="295"/>
  <c r="K78" i="295"/>
  <c r="I78" i="295"/>
  <c r="H78" i="295"/>
  <c r="I65" i="295"/>
  <c r="I64" i="295"/>
  <c r="I63" i="295"/>
  <c r="F63" i="295"/>
  <c r="C63" i="295"/>
  <c r="I62" i="295"/>
  <c r="I61" i="295"/>
  <c r="I60" i="295"/>
  <c r="I59" i="295"/>
  <c r="I58" i="295"/>
  <c r="F48" i="295"/>
  <c r="E48" i="295"/>
  <c r="C48" i="295"/>
  <c r="I48" i="295" s="1"/>
  <c r="B48" i="295"/>
  <c r="H48" i="295" s="1"/>
  <c r="J47" i="295"/>
  <c r="I47" i="295"/>
  <c r="H47" i="295"/>
  <c r="J46" i="295"/>
  <c r="I46" i="295"/>
  <c r="H46" i="295"/>
  <c r="J45" i="295"/>
  <c r="I45" i="295"/>
  <c r="H45" i="295"/>
  <c r="J44" i="295"/>
  <c r="I44" i="295"/>
  <c r="H44" i="295"/>
  <c r="J43" i="295"/>
  <c r="I43" i="295"/>
  <c r="H43" i="295"/>
  <c r="J42" i="295"/>
  <c r="I42" i="295"/>
  <c r="H42" i="295"/>
  <c r="J41" i="295"/>
  <c r="I41" i="295"/>
  <c r="H41" i="295"/>
  <c r="J40" i="295"/>
  <c r="I40" i="295"/>
  <c r="H40" i="295"/>
  <c r="J39" i="295"/>
  <c r="I39" i="295"/>
  <c r="H39" i="295"/>
  <c r="J38" i="295"/>
  <c r="I38" i="295"/>
  <c r="H38" i="295"/>
  <c r="J37" i="295"/>
  <c r="I37" i="295"/>
  <c r="H37" i="295"/>
  <c r="J36" i="295"/>
  <c r="I36" i="295"/>
  <c r="H36" i="295"/>
  <c r="J35" i="295"/>
  <c r="I35" i="295"/>
  <c r="H35" i="295"/>
  <c r="J34" i="295"/>
  <c r="I34" i="295"/>
  <c r="H34" i="295"/>
  <c r="O131" i="285"/>
  <c r="N131" i="285"/>
  <c r="M131" i="285"/>
  <c r="L131" i="285"/>
  <c r="K131" i="285"/>
  <c r="J131" i="285"/>
  <c r="I131" i="285"/>
  <c r="H131" i="285"/>
  <c r="G131" i="285"/>
  <c r="F131" i="285"/>
  <c r="E131" i="285"/>
  <c r="D131" i="285"/>
  <c r="C131" i="285"/>
  <c r="O130" i="285"/>
  <c r="N130" i="285"/>
  <c r="M130" i="285"/>
  <c r="L130" i="285"/>
  <c r="K130" i="285"/>
  <c r="J130" i="285"/>
  <c r="I130" i="285"/>
  <c r="H130" i="285"/>
  <c r="G130" i="285"/>
  <c r="F130" i="285"/>
  <c r="E130" i="285"/>
  <c r="D130" i="285"/>
  <c r="C130" i="285"/>
  <c r="O129" i="285"/>
  <c r="N129" i="285"/>
  <c r="M129" i="285"/>
  <c r="L129" i="285"/>
  <c r="K129" i="285"/>
  <c r="J129" i="285"/>
  <c r="I129" i="285"/>
  <c r="H129" i="285"/>
  <c r="G129" i="285"/>
  <c r="F129" i="285"/>
  <c r="E129" i="285"/>
  <c r="D129" i="285"/>
  <c r="C129" i="285"/>
  <c r="N128" i="285"/>
  <c r="N127" i="285"/>
  <c r="M127" i="285"/>
  <c r="L127" i="285"/>
  <c r="K127" i="285"/>
  <c r="J127" i="285"/>
  <c r="I127" i="285"/>
  <c r="H127" i="285"/>
  <c r="G127" i="285"/>
  <c r="O126" i="285"/>
  <c r="N126" i="285"/>
  <c r="M126" i="285"/>
  <c r="L126" i="285"/>
  <c r="K126" i="285"/>
  <c r="J126" i="285"/>
  <c r="I126" i="285"/>
  <c r="H126" i="285"/>
  <c r="G126" i="285"/>
  <c r="F126" i="285"/>
  <c r="E126" i="285"/>
  <c r="D126" i="285"/>
  <c r="C126" i="285"/>
  <c r="O125" i="285"/>
  <c r="N125" i="285"/>
  <c r="M125" i="285"/>
  <c r="L125" i="285"/>
  <c r="K125" i="285"/>
  <c r="J125" i="285"/>
  <c r="I125" i="285"/>
  <c r="H125" i="285"/>
  <c r="G125" i="285"/>
  <c r="F125" i="285"/>
  <c r="E125" i="285"/>
  <c r="D125" i="285"/>
  <c r="C125" i="285"/>
  <c r="O124" i="285"/>
  <c r="N124" i="285"/>
  <c r="M124" i="285"/>
  <c r="L124" i="285"/>
  <c r="K124" i="285"/>
  <c r="J124" i="285"/>
  <c r="I124" i="285"/>
  <c r="H124" i="285"/>
  <c r="G124" i="285"/>
  <c r="F124" i="285"/>
  <c r="E124" i="285"/>
  <c r="D124" i="285"/>
  <c r="C124" i="285"/>
  <c r="O123" i="285"/>
  <c r="N123" i="285"/>
  <c r="M123" i="285"/>
  <c r="L123" i="285"/>
  <c r="K123" i="285"/>
  <c r="J123" i="285"/>
  <c r="I123" i="285"/>
  <c r="H123" i="285"/>
  <c r="G123" i="285"/>
  <c r="F123" i="285"/>
  <c r="E123" i="285"/>
  <c r="D123" i="285"/>
  <c r="C123" i="285"/>
  <c r="O122" i="285"/>
  <c r="N122" i="285"/>
  <c r="M122" i="285"/>
  <c r="L122" i="285"/>
  <c r="K122" i="285"/>
  <c r="J122" i="285"/>
  <c r="I122" i="285"/>
  <c r="H122" i="285"/>
  <c r="G122" i="285"/>
  <c r="F122" i="285"/>
  <c r="E122" i="285"/>
  <c r="D122" i="285"/>
  <c r="C122" i="285"/>
  <c r="O121" i="285"/>
  <c r="N121" i="285"/>
  <c r="M121" i="285"/>
  <c r="L121" i="285"/>
  <c r="K121" i="285"/>
  <c r="J121" i="285"/>
  <c r="I121" i="285"/>
  <c r="H121" i="285"/>
  <c r="G121" i="285"/>
  <c r="F121" i="285"/>
  <c r="E121" i="285"/>
  <c r="D121" i="285"/>
  <c r="C121" i="285"/>
  <c r="O120" i="285"/>
  <c r="N120" i="285"/>
  <c r="M120" i="285"/>
  <c r="L120" i="285"/>
  <c r="K120" i="285"/>
  <c r="J120" i="285"/>
  <c r="I120" i="285"/>
  <c r="H120" i="285"/>
  <c r="G120" i="285"/>
  <c r="F120" i="285"/>
  <c r="E120" i="285"/>
  <c r="D120" i="285"/>
  <c r="C120" i="285"/>
  <c r="O119" i="285"/>
  <c r="N119" i="285"/>
  <c r="M119" i="285"/>
  <c r="L119" i="285"/>
  <c r="K119" i="285"/>
  <c r="J119" i="285"/>
  <c r="I119" i="285"/>
  <c r="H119" i="285"/>
  <c r="G119" i="285"/>
  <c r="F119" i="285"/>
  <c r="E119" i="285"/>
  <c r="D119" i="285"/>
  <c r="C119" i="285"/>
  <c r="O118" i="285"/>
  <c r="N118" i="285"/>
  <c r="M118" i="285"/>
  <c r="L118" i="285"/>
  <c r="K118" i="285"/>
  <c r="J118" i="285"/>
  <c r="I118" i="285"/>
  <c r="H118" i="285"/>
  <c r="G118" i="285"/>
  <c r="F118" i="285"/>
  <c r="E118" i="285"/>
  <c r="D118" i="285"/>
  <c r="C118" i="285"/>
  <c r="O117" i="285"/>
  <c r="N117" i="285"/>
  <c r="M117" i="285"/>
  <c r="L117" i="285"/>
  <c r="K117" i="285"/>
  <c r="J117" i="285"/>
  <c r="I117" i="285"/>
  <c r="H117" i="285"/>
  <c r="G117" i="285"/>
  <c r="F117" i="285"/>
  <c r="E117" i="285"/>
  <c r="D117" i="285"/>
  <c r="C117" i="285"/>
  <c r="O116" i="285"/>
  <c r="N116" i="285"/>
  <c r="M116" i="285"/>
  <c r="L116" i="285"/>
  <c r="K116" i="285"/>
  <c r="J116" i="285"/>
  <c r="I116" i="285"/>
  <c r="H116" i="285"/>
  <c r="G116" i="285"/>
  <c r="F116" i="285"/>
  <c r="E116" i="285"/>
  <c r="D116" i="285"/>
  <c r="C116" i="285"/>
  <c r="O115" i="285"/>
  <c r="N115" i="285"/>
  <c r="M115" i="285"/>
  <c r="L115" i="285"/>
  <c r="K115" i="285"/>
  <c r="J115" i="285"/>
  <c r="I115" i="285"/>
  <c r="H115" i="285"/>
  <c r="G115" i="285"/>
  <c r="F115" i="285"/>
  <c r="E115" i="285"/>
  <c r="D115" i="285"/>
  <c r="C115" i="285"/>
  <c r="O114" i="285"/>
  <c r="N114" i="285"/>
  <c r="M114" i="285"/>
  <c r="L114" i="285"/>
  <c r="K114" i="285"/>
  <c r="J114" i="285"/>
  <c r="I114" i="285"/>
  <c r="H114" i="285"/>
  <c r="G114" i="285"/>
  <c r="F114" i="285"/>
  <c r="E114" i="285"/>
  <c r="D114" i="285"/>
  <c r="C114" i="285"/>
  <c r="N108" i="285"/>
  <c r="M108" i="285"/>
  <c r="M128" i="285"/>
  <c r="L108" i="285"/>
  <c r="L128" i="285"/>
  <c r="K108" i="285"/>
  <c r="K128" i="285" s="1"/>
  <c r="J108" i="285"/>
  <c r="J128" i="285" s="1"/>
  <c r="I108" i="285"/>
  <c r="I128" i="285" s="1"/>
  <c r="H108" i="285"/>
  <c r="H128" i="285" s="1"/>
  <c r="G108" i="285"/>
  <c r="G128" i="285" s="1"/>
  <c r="N88" i="285"/>
  <c r="M88" i="285"/>
  <c r="L88" i="285"/>
  <c r="K88" i="285"/>
  <c r="J88" i="285"/>
  <c r="I88" i="285"/>
  <c r="H88" i="285"/>
  <c r="G88" i="285"/>
  <c r="O86" i="285"/>
  <c r="N86" i="285"/>
  <c r="M86" i="285"/>
  <c r="L86" i="285"/>
  <c r="K86" i="285"/>
  <c r="J86" i="285"/>
  <c r="I86" i="285"/>
  <c r="H86" i="285"/>
  <c r="G86" i="285"/>
  <c r="O77" i="285"/>
  <c r="N77" i="285"/>
  <c r="M77" i="285"/>
  <c r="L77" i="285"/>
  <c r="K77" i="285"/>
  <c r="J77" i="285"/>
  <c r="I77" i="285"/>
  <c r="H77" i="285"/>
  <c r="G77" i="285"/>
  <c r="F77" i="285"/>
  <c r="E77" i="285"/>
  <c r="D77" i="285"/>
  <c r="C77" i="285"/>
  <c r="F76" i="285"/>
  <c r="C74" i="285"/>
  <c r="C78" i="285" s="1"/>
  <c r="C81" i="285" s="1"/>
  <c r="D73" i="285"/>
  <c r="N76" i="285"/>
  <c r="H65" i="285"/>
  <c r="H76" i="285"/>
  <c r="N64" i="285"/>
  <c r="L64" i="285"/>
  <c r="L75" i="285"/>
  <c r="I64" i="285"/>
  <c r="O61" i="285"/>
  <c r="O65" i="285"/>
  <c r="O76" i="285" s="1"/>
  <c r="N61" i="285"/>
  <c r="N65" i="285" s="1"/>
  <c r="M61" i="285"/>
  <c r="M65" i="285"/>
  <c r="M76" i="285"/>
  <c r="L61" i="285"/>
  <c r="L65" i="285"/>
  <c r="L76" i="285" s="1"/>
  <c r="K61" i="285"/>
  <c r="K65" i="285" s="1"/>
  <c r="K76" i="285" s="1"/>
  <c r="J61" i="285"/>
  <c r="J65" i="285"/>
  <c r="J76" i="285"/>
  <c r="I61" i="285"/>
  <c r="I65" i="285" s="1"/>
  <c r="I76" i="285" s="1"/>
  <c r="H61" i="285"/>
  <c r="G61" i="285"/>
  <c r="G65" i="285" s="1"/>
  <c r="G76" i="285" s="1"/>
  <c r="F61" i="285"/>
  <c r="F65" i="285" s="1"/>
  <c r="E61" i="285"/>
  <c r="E65" i="285"/>
  <c r="E76" i="285"/>
  <c r="D61" i="285"/>
  <c r="D65" i="285" s="1"/>
  <c r="C61" i="285"/>
  <c r="C65" i="285"/>
  <c r="C76" i="285" s="1"/>
  <c r="O60" i="285"/>
  <c r="O64" i="285" s="1"/>
  <c r="O66" i="285" s="1"/>
  <c r="O67" i="285" s="1"/>
  <c r="N60" i="285"/>
  <c r="M60" i="285"/>
  <c r="M64" i="285"/>
  <c r="M75" i="285" s="1"/>
  <c r="L60" i="285"/>
  <c r="K60" i="285"/>
  <c r="K64" i="285"/>
  <c r="J60" i="285"/>
  <c r="J64" i="285"/>
  <c r="J75" i="285" s="1"/>
  <c r="I60" i="285"/>
  <c r="H60" i="285"/>
  <c r="H64" i="285" s="1"/>
  <c r="G60" i="285"/>
  <c r="G64" i="285" s="1"/>
  <c r="F60" i="285"/>
  <c r="F64" i="285" s="1"/>
  <c r="E60" i="285"/>
  <c r="E64" i="285"/>
  <c r="D60" i="285"/>
  <c r="D64" i="285" s="1"/>
  <c r="C60" i="285"/>
  <c r="C64" i="285" s="1"/>
  <c r="C66" i="285" s="1"/>
  <c r="C67" i="285" s="1"/>
  <c r="N47" i="285"/>
  <c r="N73" i="285" s="1"/>
  <c r="K47" i="285"/>
  <c r="K73" i="285" s="1"/>
  <c r="I47" i="285"/>
  <c r="I73" i="285" s="1"/>
  <c r="H47" i="285"/>
  <c r="H73" i="285"/>
  <c r="J46" i="285"/>
  <c r="J72" i="285" s="1"/>
  <c r="I46" i="285"/>
  <c r="O40" i="285"/>
  <c r="O39" i="285"/>
  <c r="O48" i="285"/>
  <c r="O74" i="285" s="1"/>
  <c r="N39" i="285"/>
  <c r="N48" i="285" s="1"/>
  <c r="N74" i="285" s="1"/>
  <c r="M39" i="285"/>
  <c r="M48" i="285" s="1"/>
  <c r="M74" i="285" s="1"/>
  <c r="L39" i="285"/>
  <c r="L48" i="285"/>
  <c r="L74" i="285" s="1"/>
  <c r="K39" i="285"/>
  <c r="K48" i="285"/>
  <c r="K74" i="285" s="1"/>
  <c r="J39" i="285"/>
  <c r="J48" i="285" s="1"/>
  <c r="J74" i="285" s="1"/>
  <c r="I39" i="285"/>
  <c r="I48" i="285"/>
  <c r="I74" i="285"/>
  <c r="H39" i="285"/>
  <c r="H48" i="285" s="1"/>
  <c r="H74" i="285" s="1"/>
  <c r="G39" i="285"/>
  <c r="G48" i="285" s="1"/>
  <c r="G74" i="285" s="1"/>
  <c r="F39" i="285"/>
  <c r="F48" i="285"/>
  <c r="F74" i="285" s="1"/>
  <c r="E39" i="285"/>
  <c r="E48" i="285" s="1"/>
  <c r="E74" i="285" s="1"/>
  <c r="D39" i="285"/>
  <c r="D48" i="285"/>
  <c r="D74" i="285"/>
  <c r="C39" i="285"/>
  <c r="C48" i="285" s="1"/>
  <c r="O38" i="285"/>
  <c r="O47" i="285" s="1"/>
  <c r="O73" i="285" s="1"/>
  <c r="N38" i="285"/>
  <c r="M38" i="285"/>
  <c r="M47" i="285" s="1"/>
  <c r="M73" i="285" s="1"/>
  <c r="L38" i="285"/>
  <c r="L47" i="285"/>
  <c r="L73" i="285" s="1"/>
  <c r="K38" i="285"/>
  <c r="J38" i="285"/>
  <c r="J47" i="285" s="1"/>
  <c r="J73" i="285" s="1"/>
  <c r="I38" i="285"/>
  <c r="H38" i="285"/>
  <c r="G38" i="285"/>
  <c r="G47" i="285"/>
  <c r="G73" i="285" s="1"/>
  <c r="F38" i="285"/>
  <c r="F47" i="285"/>
  <c r="E38" i="285"/>
  <c r="E47" i="285"/>
  <c r="E73" i="285" s="1"/>
  <c r="D38" i="285"/>
  <c r="D47" i="285"/>
  <c r="C38" i="285"/>
  <c r="C47" i="285" s="1"/>
  <c r="C73" i="285" s="1"/>
  <c r="O37" i="285"/>
  <c r="O46" i="285" s="1"/>
  <c r="N37" i="285"/>
  <c r="N46" i="285" s="1"/>
  <c r="M37" i="285"/>
  <c r="L37" i="285"/>
  <c r="L40" i="285" s="1"/>
  <c r="K37" i="285"/>
  <c r="J37" i="285"/>
  <c r="I37" i="285"/>
  <c r="H37" i="285"/>
  <c r="G37" i="285"/>
  <c r="F37" i="285"/>
  <c r="F46" i="285"/>
  <c r="F72" i="285" s="1"/>
  <c r="E37" i="285"/>
  <c r="E46" i="285" s="1"/>
  <c r="D37" i="285"/>
  <c r="D40" i="285" s="1"/>
  <c r="C37" i="285"/>
  <c r="C46" i="285" s="1"/>
  <c r="O23" i="285"/>
  <c r="N23" i="285"/>
  <c r="M23" i="285"/>
  <c r="L23" i="285"/>
  <c r="K23" i="285"/>
  <c r="J23" i="285"/>
  <c r="I23" i="285"/>
  <c r="H23" i="285"/>
  <c r="G23" i="285"/>
  <c r="F23" i="285"/>
  <c r="E23" i="285"/>
  <c r="D23" i="285"/>
  <c r="C23" i="285"/>
  <c r="M6" i="285"/>
  <c r="O5" i="285"/>
  <c r="N5" i="285"/>
  <c r="N6" i="285" s="1"/>
  <c r="M5" i="285"/>
  <c r="L5" i="285"/>
  <c r="L6" i="285"/>
  <c r="K5" i="285"/>
  <c r="K6" i="285"/>
  <c r="J5" i="285"/>
  <c r="O9" i="285" s="1"/>
  <c r="O10" i="285" s="1"/>
  <c r="I5" i="285"/>
  <c r="J6" i="285" s="1"/>
  <c r="I6" i="285"/>
  <c r="H5" i="285"/>
  <c r="G5" i="285"/>
  <c r="G6" i="285"/>
  <c r="F5" i="285"/>
  <c r="E5" i="285"/>
  <c r="E6" i="285" s="1"/>
  <c r="D5" i="285"/>
  <c r="D6" i="285" s="1"/>
  <c r="C5" i="285"/>
  <c r="L332" i="282"/>
  <c r="J332" i="282"/>
  <c r="L331" i="282"/>
  <c r="J331" i="282"/>
  <c r="L330" i="282"/>
  <c r="J330" i="282"/>
  <c r="L329" i="282"/>
  <c r="J329" i="282"/>
  <c r="L328" i="282"/>
  <c r="J328" i="282"/>
  <c r="L327" i="282"/>
  <c r="J327" i="282"/>
  <c r="M326" i="282"/>
  <c r="L326" i="282"/>
  <c r="J326" i="282"/>
  <c r="L325" i="282"/>
  <c r="J325" i="282"/>
  <c r="L324" i="282"/>
  <c r="J324" i="282"/>
  <c r="J323" i="282"/>
  <c r="E303" i="282"/>
  <c r="E302" i="282"/>
  <c r="E301" i="282"/>
  <c r="E300" i="282"/>
  <c r="E299" i="282"/>
  <c r="C18" i="282" s="1"/>
  <c r="E298" i="282"/>
  <c r="E297" i="282"/>
  <c r="E296" i="282"/>
  <c r="E295" i="282"/>
  <c r="E294" i="282"/>
  <c r="E293" i="282"/>
  <c r="E292" i="282"/>
  <c r="E291" i="282"/>
  <c r="E289" i="282"/>
  <c r="E288" i="282"/>
  <c r="E287" i="282"/>
  <c r="E286" i="282"/>
  <c r="E285" i="282"/>
  <c r="E284" i="282"/>
  <c r="E282" i="282"/>
  <c r="E281" i="282"/>
  <c r="E280" i="282"/>
  <c r="E279" i="282"/>
  <c r="E277" i="282"/>
  <c r="E276" i="282"/>
  <c r="E275" i="282"/>
  <c r="E274" i="282"/>
  <c r="E273" i="282"/>
  <c r="E272" i="282"/>
  <c r="E271" i="282"/>
  <c r="E270" i="282"/>
  <c r="E268" i="282"/>
  <c r="E267" i="282"/>
  <c r="E266" i="282"/>
  <c r="E265" i="282"/>
  <c r="E264" i="282"/>
  <c r="C17" i="282" s="1"/>
  <c r="E263" i="282"/>
  <c r="E262" i="282"/>
  <c r="O135" i="282"/>
  <c r="M135" i="282"/>
  <c r="I135" i="282"/>
  <c r="G135" i="282"/>
  <c r="K133" i="282"/>
  <c r="E133" i="282" s="1"/>
  <c r="Q132" i="282"/>
  <c r="Q131" i="282"/>
  <c r="Q129" i="282"/>
  <c r="Q127" i="282"/>
  <c r="Z18" i="282" s="1"/>
  <c r="Q123" i="282"/>
  <c r="K121" i="282"/>
  <c r="E121" i="282"/>
  <c r="K120" i="282"/>
  <c r="Q119" i="282"/>
  <c r="E119" i="282" s="1"/>
  <c r="Q118" i="282"/>
  <c r="K118" i="282"/>
  <c r="E118" i="282" s="1"/>
  <c r="Q117" i="282"/>
  <c r="Z17" i="282" s="1"/>
  <c r="Q116" i="282"/>
  <c r="Q114" i="282"/>
  <c r="K113" i="282"/>
  <c r="E113" i="282"/>
  <c r="Q111" i="282"/>
  <c r="K111" i="282"/>
  <c r="Q110" i="282"/>
  <c r="Q109" i="282"/>
  <c r="E109" i="282"/>
  <c r="N17" i="282" s="1"/>
  <c r="Q105" i="282"/>
  <c r="Q104" i="282"/>
  <c r="K104" i="282"/>
  <c r="E104" i="282" s="1"/>
  <c r="K103" i="282"/>
  <c r="Q102" i="282"/>
  <c r="K102" i="282"/>
  <c r="Q100" i="282"/>
  <c r="Z19" i="282" s="1"/>
  <c r="K98" i="282"/>
  <c r="Q97" i="282"/>
  <c r="K97" i="282"/>
  <c r="E97" i="282"/>
  <c r="Q96" i="282"/>
  <c r="AF46" i="282"/>
  <c r="Y46" i="282"/>
  <c r="R46" i="282"/>
  <c r="K46" i="282"/>
  <c r="D46" i="282"/>
  <c r="X20" i="282"/>
  <c r="V20" i="282"/>
  <c r="R20" i="282"/>
  <c r="P20" i="282"/>
  <c r="K20" i="282"/>
  <c r="I20" i="282"/>
  <c r="G20" i="282"/>
  <c r="E20" i="282"/>
  <c r="X19" i="282"/>
  <c r="V19" i="282"/>
  <c r="R19" i="282"/>
  <c r="P19" i="282"/>
  <c r="K19" i="282"/>
  <c r="I19" i="282"/>
  <c r="G19" i="282"/>
  <c r="E19" i="282"/>
  <c r="X18" i="282"/>
  <c r="V18" i="282"/>
  <c r="T18" i="282"/>
  <c r="R18" i="282"/>
  <c r="P18" i="282"/>
  <c r="N18" i="282"/>
  <c r="K18" i="282"/>
  <c r="I18" i="282"/>
  <c r="G18" i="282"/>
  <c r="E18" i="282"/>
  <c r="X17" i="282"/>
  <c r="V17" i="282"/>
  <c r="T17" i="282"/>
  <c r="R17" i="282"/>
  <c r="P17" i="282"/>
  <c r="P21" i="282" s="1"/>
  <c r="K17" i="282"/>
  <c r="I17" i="282"/>
  <c r="I21" i="282" s="1"/>
  <c r="G17" i="282"/>
  <c r="E17" i="282"/>
  <c r="E21" i="282" s="1"/>
  <c r="I380" i="268"/>
  <c r="I379" i="268"/>
  <c r="F378" i="268"/>
  <c r="C378" i="268"/>
  <c r="I377" i="268"/>
  <c r="I376" i="268"/>
  <c r="I375" i="268"/>
  <c r="I374" i="268"/>
  <c r="I373" i="268"/>
  <c r="F363" i="268"/>
  <c r="F364" i="268" s="1"/>
  <c r="C338" i="268" s="1"/>
  <c r="E363" i="268"/>
  <c r="H363" i="268"/>
  <c r="C363" i="268"/>
  <c r="B363" i="268"/>
  <c r="J362" i="268"/>
  <c r="I362" i="268"/>
  <c r="H362" i="268"/>
  <c r="J361" i="268"/>
  <c r="I361" i="268"/>
  <c r="H361" i="268"/>
  <c r="J360" i="268"/>
  <c r="I360" i="268"/>
  <c r="H360" i="268"/>
  <c r="J359" i="268"/>
  <c r="I359" i="268"/>
  <c r="H359" i="268"/>
  <c r="J358" i="268"/>
  <c r="I358" i="268"/>
  <c r="H358" i="268"/>
  <c r="J357" i="268"/>
  <c r="I357" i="268"/>
  <c r="H357" i="268"/>
  <c r="J356" i="268"/>
  <c r="I356" i="268"/>
  <c r="H356" i="268"/>
  <c r="J355" i="268"/>
  <c r="I355" i="268"/>
  <c r="H355" i="268"/>
  <c r="J354" i="268"/>
  <c r="I354" i="268"/>
  <c r="H354" i="268"/>
  <c r="J353" i="268"/>
  <c r="I353" i="268"/>
  <c r="H353" i="268"/>
  <c r="J352" i="268"/>
  <c r="I352" i="268"/>
  <c r="H352" i="268"/>
  <c r="J351" i="268"/>
  <c r="I351" i="268"/>
  <c r="H351" i="268"/>
  <c r="J350" i="268"/>
  <c r="I350" i="268"/>
  <c r="H350" i="268"/>
  <c r="J349" i="268"/>
  <c r="I349" i="268"/>
  <c r="H349" i="268"/>
  <c r="C335" i="268"/>
  <c r="AJ13" i="268"/>
  <c r="AI13" i="268"/>
  <c r="AH13" i="268"/>
  <c r="AG13" i="268"/>
  <c r="AF13" i="268"/>
  <c r="AF36" i="268"/>
  <c r="AE13" i="268"/>
  <c r="AE36" i="268" s="1"/>
  <c r="U72" i="274" s="1"/>
  <c r="AD13" i="268"/>
  <c r="AC13" i="268"/>
  <c r="AB13" i="268"/>
  <c r="AB36" i="268" s="1"/>
  <c r="AA13" i="268"/>
  <c r="AA36" i="268" s="1"/>
  <c r="Z13" i="268"/>
  <c r="Z36" i="268"/>
  <c r="AJ12" i="268"/>
  <c r="AI12" i="268"/>
  <c r="AH12" i="268"/>
  <c r="AG12" i="268"/>
  <c r="AF12" i="268"/>
  <c r="AF35" i="268"/>
  <c r="AE12" i="268"/>
  <c r="AD12" i="268"/>
  <c r="AC12" i="268"/>
  <c r="AC14" i="268" s="1"/>
  <c r="AC15" i="268" s="1"/>
  <c r="AB12" i="268"/>
  <c r="AB35" i="268" s="1"/>
  <c r="AA12" i="268"/>
  <c r="AA35" i="268" s="1"/>
  <c r="Z12" i="268"/>
  <c r="Z35" i="268" s="1"/>
  <c r="AJ11" i="268"/>
  <c r="AI11" i="268"/>
  <c r="AH11" i="268"/>
  <c r="AH14" i="268" s="1"/>
  <c r="AH15" i="268" s="1"/>
  <c r="AG11" i="268"/>
  <c r="AF11" i="268"/>
  <c r="AF34" i="268"/>
  <c r="AE11" i="268"/>
  <c r="AE34" i="268" s="1"/>
  <c r="U68" i="274" s="1"/>
  <c r="AD11" i="268"/>
  <c r="AC11" i="268"/>
  <c r="AB11" i="268"/>
  <c r="AB34" i="268" s="1"/>
  <c r="AA11" i="268"/>
  <c r="AA34" i="268" s="1"/>
  <c r="Z11" i="268"/>
  <c r="Z34" i="268"/>
  <c r="AJ10" i="268"/>
  <c r="AJ14" i="268" s="1"/>
  <c r="AJ15" i="268" s="1"/>
  <c r="AI10" i="268"/>
  <c r="AH10" i="268"/>
  <c r="AG10" i="268"/>
  <c r="AF10" i="268"/>
  <c r="AF33" i="268" s="1"/>
  <c r="AE10" i="268"/>
  <c r="AD10" i="268"/>
  <c r="AD14" i="268"/>
  <c r="AD15" i="268" s="1"/>
  <c r="AC10" i="268"/>
  <c r="AB10" i="268"/>
  <c r="AA10" i="268"/>
  <c r="Z10" i="268"/>
  <c r="C111" i="274"/>
  <c r="C106" i="274"/>
  <c r="C107" i="274" s="1"/>
  <c r="C101" i="274" s="1"/>
  <c r="C105" i="274"/>
  <c r="C102" i="274"/>
  <c r="B71" i="274"/>
  <c r="B68" i="274"/>
  <c r="U65" i="274"/>
  <c r="K45" i="274"/>
  <c r="K44" i="274"/>
  <c r="K43" i="274"/>
  <c r="M41" i="274"/>
  <c r="L41" i="274"/>
  <c r="AL84" i="289"/>
  <c r="AI84" i="289"/>
  <c r="AG84" i="289"/>
  <c r="AL83" i="289"/>
  <c r="AI83" i="289"/>
  <c r="AH83" i="289"/>
  <c r="AG83" i="289"/>
  <c r="AK81" i="289"/>
  <c r="AJ81" i="289"/>
  <c r="AJ84" i="289" s="1"/>
  <c r="AJ83" i="289"/>
  <c r="AI81" i="289"/>
  <c r="AH81" i="289"/>
  <c r="AH84" i="289" s="1"/>
  <c r="V76" i="289"/>
  <c r="U76" i="289"/>
  <c r="T76" i="289"/>
  <c r="V75" i="289"/>
  <c r="V77" i="289" s="1"/>
  <c r="U75" i="289"/>
  <c r="T75" i="289"/>
  <c r="T77" i="289" s="1"/>
  <c r="AO74" i="289"/>
  <c r="V64" i="289"/>
  <c r="U64" i="289"/>
  <c r="T64" i="289"/>
  <c r="V63" i="289"/>
  <c r="U63" i="289"/>
  <c r="U65" i="289"/>
  <c r="T63" i="289"/>
  <c r="T65" i="289" s="1"/>
  <c r="Q62" i="289"/>
  <c r="AG61" i="289"/>
  <c r="Q61" i="289"/>
  <c r="AG60" i="289"/>
  <c r="Q60" i="289"/>
  <c r="AG59" i="289"/>
  <c r="Q59" i="289"/>
  <c r="AG58" i="289"/>
  <c r="Q58" i="289"/>
  <c r="AG57" i="289"/>
  <c r="Q57" i="289"/>
  <c r="AF54" i="289"/>
  <c r="N30" i="289"/>
  <c r="M30" i="289"/>
  <c r="L30" i="289"/>
  <c r="K30" i="289"/>
  <c r="N29" i="289"/>
  <c r="M29" i="289"/>
  <c r="L29" i="289"/>
  <c r="K29" i="289"/>
  <c r="N28" i="289"/>
  <c r="N31" i="289" s="1"/>
  <c r="M28" i="289"/>
  <c r="M31" i="289"/>
  <c r="L28" i="289"/>
  <c r="L31" i="289" s="1"/>
  <c r="K28" i="289"/>
  <c r="K31" i="289" s="1"/>
  <c r="AB25" i="289"/>
  <c r="N12" i="289" s="1"/>
  <c r="N13" i="289" s="1"/>
  <c r="N25" i="289"/>
  <c r="AQ24" i="289"/>
  <c r="AP24" i="289"/>
  <c r="AO24" i="289"/>
  <c r="AN24" i="289"/>
  <c r="AQ23" i="289"/>
  <c r="AP23" i="289"/>
  <c r="AO23" i="289"/>
  <c r="AN23" i="289"/>
  <c r="N23" i="289"/>
  <c r="M23" i="289"/>
  <c r="L23" i="289"/>
  <c r="L25" i="289" s="1"/>
  <c r="K23" i="289"/>
  <c r="K25" i="289" s="1"/>
  <c r="AQ22" i="289"/>
  <c r="AP22" i="289"/>
  <c r="AO22" i="289"/>
  <c r="AN22" i="289"/>
  <c r="N22" i="289"/>
  <c r="M22" i="289"/>
  <c r="M25" i="289" s="1"/>
  <c r="L22" i="289"/>
  <c r="K22" i="289"/>
  <c r="AQ21" i="289"/>
  <c r="AP21" i="289"/>
  <c r="AO21" i="289"/>
  <c r="AN21" i="289"/>
  <c r="AQ20" i="289"/>
  <c r="AP20" i="289"/>
  <c r="AO20" i="289"/>
  <c r="AN20" i="289"/>
  <c r="AQ19" i="289"/>
  <c r="AP19" i="289"/>
  <c r="AO19" i="289"/>
  <c r="AN19" i="289"/>
  <c r="AQ18" i="289"/>
  <c r="AP18" i="289"/>
  <c r="AO18" i="289"/>
  <c r="AN18" i="289"/>
  <c r="AQ17" i="289"/>
  <c r="AP17" i="289"/>
  <c r="AO17" i="289"/>
  <c r="AN17" i="289"/>
  <c r="AQ16" i="289"/>
  <c r="AP16" i="289"/>
  <c r="AO16" i="289"/>
  <c r="AN16" i="289"/>
  <c r="AQ15" i="289"/>
  <c r="AP15" i="289"/>
  <c r="AO15" i="289"/>
  <c r="AN15" i="289"/>
  <c r="AQ14" i="289"/>
  <c r="AP14" i="289"/>
  <c r="AO14" i="289"/>
  <c r="AN14" i="289"/>
  <c r="AQ13" i="289"/>
  <c r="AP13" i="289"/>
  <c r="AP25" i="289"/>
  <c r="AO13" i="289"/>
  <c r="AN13" i="289"/>
  <c r="L13" i="289"/>
  <c r="AQ12" i="289"/>
  <c r="AP12" i="289"/>
  <c r="AO12" i="289"/>
  <c r="AN12" i="289"/>
  <c r="L12" i="289"/>
  <c r="AQ11" i="289"/>
  <c r="AP11" i="289"/>
  <c r="AO11" i="289"/>
  <c r="AN11" i="289"/>
  <c r="L11" i="289"/>
  <c r="AQ10" i="289"/>
  <c r="AP10" i="289"/>
  <c r="AO10" i="289"/>
  <c r="AN10" i="289"/>
  <c r="AQ9" i="289"/>
  <c r="AP9" i="289"/>
  <c r="AO9" i="289"/>
  <c r="AN9" i="289"/>
  <c r="AQ8" i="289"/>
  <c r="AP8" i="289"/>
  <c r="AO8" i="289"/>
  <c r="AN8" i="289"/>
  <c r="AQ7" i="289"/>
  <c r="AP7" i="289"/>
  <c r="AO7" i="289"/>
  <c r="AN7" i="289"/>
  <c r="AQ6" i="289"/>
  <c r="AP6" i="289"/>
  <c r="AO6" i="289"/>
  <c r="AN6" i="289"/>
  <c r="AQ5" i="289"/>
  <c r="AP5" i="289"/>
  <c r="AO5" i="289"/>
  <c r="AN5" i="289"/>
  <c r="AN25" i="289" s="1"/>
  <c r="AQ4" i="289"/>
  <c r="AQ25" i="289" s="1"/>
  <c r="AP4" i="289"/>
  <c r="AO4" i="289"/>
  <c r="AN4" i="289"/>
  <c r="AJ55" i="281"/>
  <c r="AD55" i="281"/>
  <c r="AJ54" i="281"/>
  <c r="AD54" i="281"/>
  <c r="AJ53" i="281"/>
  <c r="AD53" i="281"/>
  <c r="AJ52" i="281"/>
  <c r="AD52" i="281"/>
  <c r="L38" i="281"/>
  <c r="AA18" i="281"/>
  <c r="AA17" i="281"/>
  <c r="H17" i="281"/>
  <c r="AA16" i="281"/>
  <c r="AA15" i="281"/>
  <c r="AA14" i="281"/>
  <c r="AA13" i="281"/>
  <c r="U13" i="281"/>
  <c r="S13" i="281"/>
  <c r="AA12" i="281"/>
  <c r="U12" i="281"/>
  <c r="S12" i="281"/>
  <c r="AA11" i="281"/>
  <c r="S11" i="281"/>
  <c r="U11" i="281" s="1"/>
  <c r="S10" i="281"/>
  <c r="Q85" i="267"/>
  <c r="R59" i="267"/>
  <c r="P59" i="267"/>
  <c r="N59" i="267"/>
  <c r="R58" i="267"/>
  <c r="P58" i="267"/>
  <c r="N58" i="267"/>
  <c r="R57" i="267"/>
  <c r="P57" i="267"/>
  <c r="N57" i="267"/>
  <c r="I41" i="267"/>
  <c r="L39" i="267"/>
  <c r="F39" i="267"/>
  <c r="F38" i="267"/>
  <c r="F29" i="267"/>
  <c r="F28" i="267"/>
  <c r="K25" i="267"/>
  <c r="L25" i="267" s="1"/>
  <c r="M25" i="267" s="1"/>
  <c r="N25" i="267" s="1"/>
  <c r="O25" i="267" s="1"/>
  <c r="P25" i="267" s="1"/>
  <c r="P30" i="267" s="1"/>
  <c r="J25" i="267"/>
  <c r="I25" i="267"/>
  <c r="H25" i="267"/>
  <c r="F17" i="267"/>
  <c r="F14" i="267"/>
  <c r="F16" i="267" s="1"/>
  <c r="J13" i="267"/>
  <c r="I13" i="267"/>
  <c r="H13" i="267"/>
  <c r="H18" i="267" s="1"/>
  <c r="AM71" i="253"/>
  <c r="R65" i="253"/>
  <c r="Q65" i="253"/>
  <c r="R64" i="253"/>
  <c r="Q64" i="253"/>
  <c r="R63" i="253"/>
  <c r="Q63" i="253"/>
  <c r="R62" i="253"/>
  <c r="Q62" i="253"/>
  <c r="R61" i="253"/>
  <c r="Q61" i="253"/>
  <c r="R60" i="253"/>
  <c r="Q60" i="253"/>
  <c r="R59" i="253"/>
  <c r="Q59" i="253"/>
  <c r="R58" i="253"/>
  <c r="Q58" i="253"/>
  <c r="U57" i="253"/>
  <c r="T57" i="253"/>
  <c r="S57" i="253"/>
  <c r="P57" i="253"/>
  <c r="U48" i="253"/>
  <c r="Z48" i="253"/>
  <c r="T48" i="253"/>
  <c r="Y48" i="253" s="1"/>
  <c r="S48" i="253"/>
  <c r="R48" i="253"/>
  <c r="Q48" i="253"/>
  <c r="P48" i="253"/>
  <c r="X48" i="253" s="1"/>
  <c r="Z40" i="253"/>
  <c r="Y40" i="253"/>
  <c r="X40" i="253"/>
  <c r="Z39" i="253"/>
  <c r="Y39" i="253"/>
  <c r="X39" i="253"/>
  <c r="Z38" i="253"/>
  <c r="Y38" i="253"/>
  <c r="X38" i="253"/>
  <c r="Z37" i="253"/>
  <c r="Y37" i="253"/>
  <c r="X37" i="253"/>
  <c r="Z36" i="253"/>
  <c r="Y36" i="253"/>
  <c r="X36" i="253"/>
  <c r="Z35" i="253"/>
  <c r="Y35" i="253"/>
  <c r="X35" i="253"/>
  <c r="Z34" i="253"/>
  <c r="Y34" i="253"/>
  <c r="X34" i="253"/>
  <c r="Z33" i="253"/>
  <c r="Y33" i="253"/>
  <c r="X33" i="253"/>
  <c r="Z32" i="253"/>
  <c r="Y32" i="253"/>
  <c r="X32" i="253"/>
  <c r="Z31" i="253"/>
  <c r="Y31" i="253"/>
  <c r="X31" i="253"/>
  <c r="Z30" i="253"/>
  <c r="Y30" i="253"/>
  <c r="X30" i="253"/>
  <c r="Z29" i="253"/>
  <c r="Y29" i="253"/>
  <c r="X29" i="253"/>
  <c r="Z28" i="253"/>
  <c r="Y28" i="253"/>
  <c r="X28" i="253"/>
  <c r="Z27" i="253"/>
  <c r="Y27" i="253"/>
  <c r="X27" i="253"/>
  <c r="Z26" i="253"/>
  <c r="Y26" i="253"/>
  <c r="X26" i="253"/>
  <c r="F26" i="253"/>
  <c r="Z25" i="253"/>
  <c r="Y25" i="253"/>
  <c r="X25" i="253"/>
  <c r="Z24" i="253"/>
  <c r="Y24" i="253"/>
  <c r="X24" i="253"/>
  <c r="Z23" i="253"/>
  <c r="Y23" i="253"/>
  <c r="X23" i="253"/>
  <c r="Z22" i="253"/>
  <c r="Y22" i="253"/>
  <c r="X22" i="253"/>
  <c r="Z21" i="253"/>
  <c r="Y21" i="253"/>
  <c r="U21" i="253"/>
  <c r="P21" i="253"/>
  <c r="X21" i="253" s="1"/>
  <c r="K21" i="253"/>
  <c r="Z12" i="253"/>
  <c r="Y12" i="253"/>
  <c r="X12" i="253"/>
  <c r="L12" i="253"/>
  <c r="K12" i="253"/>
  <c r="J12" i="253"/>
  <c r="Z11" i="253"/>
  <c r="Y11" i="253"/>
  <c r="X11" i="253"/>
  <c r="L11" i="253"/>
  <c r="K11" i="253"/>
  <c r="J11" i="253"/>
  <c r="Z10" i="253"/>
  <c r="Y10" i="253"/>
  <c r="X10" i="253"/>
  <c r="Z9" i="253"/>
  <c r="Y9" i="253"/>
  <c r="X9" i="253"/>
  <c r="Z8" i="253"/>
  <c r="Y8" i="253"/>
  <c r="X8" i="253"/>
  <c r="Z7" i="253"/>
  <c r="Y7" i="253"/>
  <c r="X7" i="253"/>
  <c r="U6" i="253"/>
  <c r="AC527" i="283"/>
  <c r="AC514" i="283"/>
  <c r="AD513" i="283"/>
  <c r="AD514" i="283" s="1"/>
  <c r="AD512" i="283"/>
  <c r="AD511" i="283"/>
  <c r="Q508" i="283"/>
  <c r="Q506" i="283"/>
  <c r="Q505" i="283"/>
  <c r="H499" i="283"/>
  <c r="M457" i="283" s="1"/>
  <c r="M472" i="283" s="1"/>
  <c r="H498" i="283"/>
  <c r="H497" i="283"/>
  <c r="H504" i="283"/>
  <c r="P486" i="283"/>
  <c r="P485" i="283"/>
  <c r="H43" i="266" s="1"/>
  <c r="M485" i="283"/>
  <c r="P484" i="283"/>
  <c r="P482" i="283"/>
  <c r="P481" i="283"/>
  <c r="M481" i="283"/>
  <c r="P480" i="283"/>
  <c r="D478" i="283"/>
  <c r="D482" i="283" s="1"/>
  <c r="D486" i="283" s="1"/>
  <c r="P477" i="283"/>
  <c r="M477" i="283"/>
  <c r="P476" i="283"/>
  <c r="D475" i="283"/>
  <c r="D479" i="283" s="1"/>
  <c r="D483" i="283" s="1"/>
  <c r="D487" i="283" s="1"/>
  <c r="D474" i="283"/>
  <c r="P473" i="283"/>
  <c r="M473" i="283"/>
  <c r="D473" i="283"/>
  <c r="D477" i="283"/>
  <c r="D481" i="283"/>
  <c r="D485" i="283" s="1"/>
  <c r="P472" i="283"/>
  <c r="D472" i="283"/>
  <c r="D476" i="283" s="1"/>
  <c r="D480" i="283"/>
  <c r="D484" i="283" s="1"/>
  <c r="L469" i="283"/>
  <c r="L468" i="283"/>
  <c r="L467" i="283"/>
  <c r="L466" i="283"/>
  <c r="U463" i="283"/>
  <c r="U468" i="283"/>
  <c r="U458" i="283"/>
  <c r="W457" i="283"/>
  <c r="V457" i="283"/>
  <c r="S457" i="283"/>
  <c r="M7" i="266" s="1"/>
  <c r="M18" i="266" s="1"/>
  <c r="M29" i="266" s="1"/>
  <c r="M40" i="266" s="1"/>
  <c r="J457" i="283"/>
  <c r="Q457" i="283" s="1"/>
  <c r="W454" i="283"/>
  <c r="V454" i="283"/>
  <c r="S454" i="283"/>
  <c r="R454" i="283"/>
  <c r="Q454" i="283"/>
  <c r="N454" i="283"/>
  <c r="J454" i="283"/>
  <c r="R451" i="283"/>
  <c r="M451" i="283"/>
  <c r="F463" i="283" s="1"/>
  <c r="G451" i="283"/>
  <c r="N451" i="283" s="1"/>
  <c r="N460" i="283" s="1"/>
  <c r="F451" i="283"/>
  <c r="P450" i="283"/>
  <c r="P479" i="283" s="1"/>
  <c r="M450" i="283"/>
  <c r="G450" i="283"/>
  <c r="F450" i="283"/>
  <c r="P449" i="283"/>
  <c r="P474" i="283" s="1"/>
  <c r="M449" i="283"/>
  <c r="G449" i="283"/>
  <c r="J449" i="283" s="1"/>
  <c r="K12" i="266" s="1"/>
  <c r="F449" i="283"/>
  <c r="S449" i="283" s="1"/>
  <c r="AC426" i="283"/>
  <c r="AC421" i="283" s="1"/>
  <c r="AC423" i="283"/>
  <c r="Z423" i="283"/>
  <c r="AC422" i="283"/>
  <c r="Z422" i="283"/>
  <c r="Z421" i="283"/>
  <c r="Z426" i="283" s="1"/>
  <c r="AC414" i="283"/>
  <c r="AC395" i="283"/>
  <c r="Y363" i="283"/>
  <c r="AO330" i="283"/>
  <c r="I310" i="283"/>
  <c r="F310" i="283"/>
  <c r="G310" i="283" s="1"/>
  <c r="E310" i="283"/>
  <c r="Y182" i="283"/>
  <c r="Y181" i="283"/>
  <c r="Y174" i="283"/>
  <c r="AV146" i="283"/>
  <c r="AX146" i="283" s="1"/>
  <c r="AZ146" i="283"/>
  <c r="AV145" i="283"/>
  <c r="AZ145" i="283" s="1"/>
  <c r="I459" i="277"/>
  <c r="I458" i="277"/>
  <c r="F457" i="277"/>
  <c r="C457" i="277"/>
  <c r="I457" i="277" s="1"/>
  <c r="I456" i="277"/>
  <c r="I455" i="277"/>
  <c r="I454" i="277"/>
  <c r="I453" i="277"/>
  <c r="I452" i="277"/>
  <c r="F442" i="277"/>
  <c r="E442" i="277"/>
  <c r="C442" i="277"/>
  <c r="B442" i="277"/>
  <c r="J441" i="277"/>
  <c r="I441" i="277"/>
  <c r="H441" i="277"/>
  <c r="J440" i="277"/>
  <c r="I440" i="277"/>
  <c r="H440" i="277"/>
  <c r="J439" i="277"/>
  <c r="I439" i="277"/>
  <c r="H439" i="277"/>
  <c r="J438" i="277"/>
  <c r="I438" i="277"/>
  <c r="H438" i="277"/>
  <c r="J437" i="277"/>
  <c r="I437" i="277"/>
  <c r="H437" i="277"/>
  <c r="J436" i="277"/>
  <c r="I436" i="277"/>
  <c r="H436" i="277"/>
  <c r="J435" i="277"/>
  <c r="I435" i="277"/>
  <c r="H435" i="277"/>
  <c r="J434" i="277"/>
  <c r="I434" i="277"/>
  <c r="H434" i="277"/>
  <c r="J433" i="277"/>
  <c r="I433" i="277"/>
  <c r="H433" i="277"/>
  <c r="J432" i="277"/>
  <c r="I432" i="277"/>
  <c r="H432" i="277"/>
  <c r="J431" i="277"/>
  <c r="I431" i="277"/>
  <c r="H431" i="277"/>
  <c r="J430" i="277"/>
  <c r="I430" i="277"/>
  <c r="H430" i="277"/>
  <c r="J429" i="277"/>
  <c r="I429" i="277"/>
  <c r="H429" i="277"/>
  <c r="J428" i="277"/>
  <c r="I428" i="277"/>
  <c r="H428" i="277"/>
  <c r="I409" i="277"/>
  <c r="H409" i="277"/>
  <c r="G409" i="277"/>
  <c r="F409" i="277"/>
  <c r="E409" i="277"/>
  <c r="D409" i="277"/>
  <c r="C409" i="277"/>
  <c r="B409" i="277"/>
  <c r="J323" i="277"/>
  <c r="J320" i="277"/>
  <c r="J318" i="277"/>
  <c r="J316" i="277"/>
  <c r="J315" i="277"/>
  <c r="D73" i="280" s="1"/>
  <c r="J314" i="277"/>
  <c r="J311" i="277"/>
  <c r="J310" i="277"/>
  <c r="D74" i="280"/>
  <c r="J309" i="277"/>
  <c r="H279" i="277"/>
  <c r="G279" i="277"/>
  <c r="F279" i="277"/>
  <c r="E279" i="277"/>
  <c r="D279" i="277"/>
  <c r="C279" i="277"/>
  <c r="B279" i="277"/>
  <c r="H278" i="277"/>
  <c r="G278" i="277"/>
  <c r="F278" i="277"/>
  <c r="E278" i="277"/>
  <c r="E276" i="277"/>
  <c r="D278" i="277"/>
  <c r="E176" i="233" s="1"/>
  <c r="C278" i="277"/>
  <c r="B278" i="277"/>
  <c r="B276" i="277" s="1"/>
  <c r="H277" i="277"/>
  <c r="H276" i="277" s="1"/>
  <c r="G277" i="277"/>
  <c r="F277" i="277"/>
  <c r="F276" i="277" s="1"/>
  <c r="E277" i="277"/>
  <c r="D277" i="277"/>
  <c r="C277" i="277"/>
  <c r="B277" i="277"/>
  <c r="G276" i="277"/>
  <c r="C276" i="277"/>
  <c r="I260" i="277"/>
  <c r="I258" i="277" s="1"/>
  <c r="H260" i="277"/>
  <c r="H258" i="277"/>
  <c r="G260" i="277"/>
  <c r="F260" i="277"/>
  <c r="E260" i="277"/>
  <c r="D260" i="277"/>
  <c r="C260" i="277"/>
  <c r="B260" i="277"/>
  <c r="I259" i="277"/>
  <c r="H259" i="277"/>
  <c r="G259" i="277"/>
  <c r="G258" i="277" s="1"/>
  <c r="F259" i="277"/>
  <c r="E259" i="277"/>
  <c r="D259" i="277"/>
  <c r="D258" i="277" s="1"/>
  <c r="C259" i="277"/>
  <c r="B259" i="277"/>
  <c r="B258" i="277" s="1"/>
  <c r="F258" i="277"/>
  <c r="C258" i="277"/>
  <c r="I246" i="277"/>
  <c r="H246" i="277"/>
  <c r="G246" i="277"/>
  <c r="G244" i="277" s="1"/>
  <c r="F246" i="277"/>
  <c r="E246" i="277"/>
  <c r="E244" i="277"/>
  <c r="F142" i="233" s="1"/>
  <c r="D246" i="277"/>
  <c r="C246" i="277"/>
  <c r="B246" i="277"/>
  <c r="I245" i="277"/>
  <c r="H245" i="277"/>
  <c r="H244" i="277" s="1"/>
  <c r="G245" i="277"/>
  <c r="F245" i="277"/>
  <c r="F244" i="277" s="1"/>
  <c r="E245" i="277"/>
  <c r="D245" i="277"/>
  <c r="D244" i="277"/>
  <c r="Q229" i="277" s="1"/>
  <c r="C245" i="277"/>
  <c r="B245" i="277"/>
  <c r="B244" i="277" s="1"/>
  <c r="C244" i="277"/>
  <c r="I230" i="277"/>
  <c r="I227" i="277"/>
  <c r="H230" i="277"/>
  <c r="G230" i="277"/>
  <c r="H128" i="233" s="1"/>
  <c r="F230" i="277"/>
  <c r="E230" i="277"/>
  <c r="D230" i="277"/>
  <c r="C230" i="277"/>
  <c r="B230" i="277"/>
  <c r="I229" i="277"/>
  <c r="H229" i="277"/>
  <c r="G229" i="277"/>
  <c r="F229" i="277"/>
  <c r="E229" i="277"/>
  <c r="E227" i="277" s="1"/>
  <c r="F125" i="233" s="1"/>
  <c r="D229" i="277"/>
  <c r="E127" i="233" s="1"/>
  <c r="C229" i="277"/>
  <c r="B229" i="277"/>
  <c r="I228" i="277"/>
  <c r="J126" i="233" s="1"/>
  <c r="H228" i="277"/>
  <c r="H227" i="277" s="1"/>
  <c r="G228" i="277"/>
  <c r="G227" i="277"/>
  <c r="F228" i="277"/>
  <c r="E228" i="277"/>
  <c r="D228" i="277"/>
  <c r="D227" i="277" s="1"/>
  <c r="Q226" i="277" s="1"/>
  <c r="C228" i="277"/>
  <c r="C227" i="277" s="1"/>
  <c r="B228" i="277"/>
  <c r="B227" i="277" s="1"/>
  <c r="O194" i="277"/>
  <c r="M194" i="277"/>
  <c r="N194" i="277" s="1"/>
  <c r="E194" i="277"/>
  <c r="D194" i="277"/>
  <c r="M193" i="277"/>
  <c r="N193" i="277"/>
  <c r="D193" i="277"/>
  <c r="D192" i="277"/>
  <c r="F192" i="277"/>
  <c r="G191" i="277"/>
  <c r="D191" i="277"/>
  <c r="F191" i="277" s="1"/>
  <c r="G190" i="277"/>
  <c r="T44" i="221" s="1"/>
  <c r="F190" i="277"/>
  <c r="G189" i="277"/>
  <c r="F189" i="277"/>
  <c r="F188" i="277"/>
  <c r="F187" i="277"/>
  <c r="F186" i="277"/>
  <c r="M185" i="277"/>
  <c r="F185" i="277"/>
  <c r="F184" i="277"/>
  <c r="F183" i="277"/>
  <c r="F182" i="277"/>
  <c r="F181" i="277"/>
  <c r="F180" i="277"/>
  <c r="F179" i="277"/>
  <c r="F178" i="277"/>
  <c r="F177" i="277"/>
  <c r="F176" i="277"/>
  <c r="F175" i="277"/>
  <c r="F174" i="277"/>
  <c r="F173" i="277"/>
  <c r="F172" i="277"/>
  <c r="F171" i="277"/>
  <c r="F170" i="277"/>
  <c r="F169" i="277"/>
  <c r="F168" i="277"/>
  <c r="F167" i="277"/>
  <c r="F166" i="277"/>
  <c r="F165" i="277"/>
  <c r="F164" i="277"/>
  <c r="F163" i="277"/>
  <c r="F162" i="277"/>
  <c r="F161" i="277"/>
  <c r="F160" i="277"/>
  <c r="F159" i="277"/>
  <c r="F158" i="277"/>
  <c r="F157" i="277"/>
  <c r="F156" i="277"/>
  <c r="F155" i="277"/>
  <c r="F154" i="277"/>
  <c r="F153" i="277"/>
  <c r="F152" i="277"/>
  <c r="F151" i="277"/>
  <c r="F150" i="277"/>
  <c r="F149" i="277"/>
  <c r="F148" i="277"/>
  <c r="F147" i="277"/>
  <c r="F146" i="277"/>
  <c r="F145" i="277"/>
  <c r="F144" i="277"/>
  <c r="F143" i="277"/>
  <c r="F142" i="277"/>
  <c r="F141" i="277"/>
  <c r="F140" i="277"/>
  <c r="F139" i="277"/>
  <c r="M114" i="277"/>
  <c r="L114" i="277"/>
  <c r="J114" i="277"/>
  <c r="O114" i="277" s="1"/>
  <c r="F114" i="277"/>
  <c r="M113" i="277"/>
  <c r="L113" i="277"/>
  <c r="J113" i="277"/>
  <c r="O113" i="277" s="1"/>
  <c r="F113" i="277"/>
  <c r="M112" i="277"/>
  <c r="L112" i="277"/>
  <c r="O112" i="277" s="1"/>
  <c r="J112" i="277"/>
  <c r="F112" i="277"/>
  <c r="N112" i="277" s="1"/>
  <c r="L111" i="277"/>
  <c r="J111" i="277"/>
  <c r="N111" i="277" s="1"/>
  <c r="F111" i="277"/>
  <c r="S110" i="277"/>
  <c r="L110" i="277"/>
  <c r="O110" i="277" s="1"/>
  <c r="J110" i="277"/>
  <c r="F110" i="277"/>
  <c r="L109" i="277"/>
  <c r="J109" i="277"/>
  <c r="O109" i="277" s="1"/>
  <c r="F109" i="277"/>
  <c r="J108" i="277"/>
  <c r="O108" i="277"/>
  <c r="F108" i="277"/>
  <c r="N108" i="277" s="1"/>
  <c r="J107" i="277"/>
  <c r="O107" i="277" s="1"/>
  <c r="F107" i="277"/>
  <c r="N107" i="277" s="1"/>
  <c r="J106" i="277"/>
  <c r="O106" i="277" s="1"/>
  <c r="F106" i="277"/>
  <c r="N106" i="277"/>
  <c r="J105" i="277"/>
  <c r="O105" i="277"/>
  <c r="F105" i="277"/>
  <c r="N105" i="277" s="1"/>
  <c r="O104" i="277"/>
  <c r="J104" i="277"/>
  <c r="F104" i="277"/>
  <c r="N104" i="277" s="1"/>
  <c r="J103" i="277"/>
  <c r="O103" i="277"/>
  <c r="F103" i="277"/>
  <c r="J102" i="277"/>
  <c r="O102" i="277"/>
  <c r="F102" i="277"/>
  <c r="N102" i="277" s="1"/>
  <c r="J101" i="277"/>
  <c r="O101" i="277" s="1"/>
  <c r="F101" i="277"/>
  <c r="N101" i="277"/>
  <c r="J100" i="277"/>
  <c r="O100" i="277" s="1"/>
  <c r="F100" i="277"/>
  <c r="O99" i="277"/>
  <c r="N99" i="277"/>
  <c r="J99" i="277"/>
  <c r="F99" i="277"/>
  <c r="J98" i="277"/>
  <c r="N98" i="277" s="1"/>
  <c r="F98" i="277"/>
  <c r="J97" i="277"/>
  <c r="O97" i="277" s="1"/>
  <c r="F97" i="277"/>
  <c r="J96" i="277"/>
  <c r="N96" i="277" s="1"/>
  <c r="F96" i="277"/>
  <c r="J95" i="277"/>
  <c r="N95" i="277"/>
  <c r="F95" i="277"/>
  <c r="J94" i="277"/>
  <c r="F94" i="277"/>
  <c r="J93" i="277"/>
  <c r="F93" i="277"/>
  <c r="J92" i="277"/>
  <c r="N92" i="277"/>
  <c r="F92" i="277"/>
  <c r="J91" i="277"/>
  <c r="N91" i="277" s="1"/>
  <c r="F91" i="277"/>
  <c r="J90" i="277"/>
  <c r="F90" i="277"/>
  <c r="N90" i="277"/>
  <c r="J89" i="277"/>
  <c r="F89" i="277"/>
  <c r="N89" i="277" s="1"/>
  <c r="J88" i="277"/>
  <c r="F88" i="277"/>
  <c r="N88" i="277" s="1"/>
  <c r="J87" i="277"/>
  <c r="N87" i="277"/>
  <c r="F87" i="277"/>
  <c r="J86" i="277"/>
  <c r="F86" i="277"/>
  <c r="N86" i="277" s="1"/>
  <c r="J85" i="277"/>
  <c r="F85" i="277"/>
  <c r="J84" i="277"/>
  <c r="F84" i="277"/>
  <c r="N84" i="277" s="1"/>
  <c r="J83" i="277"/>
  <c r="F83" i="277"/>
  <c r="N83" i="277" s="1"/>
  <c r="J82" i="277"/>
  <c r="F82" i="277"/>
  <c r="N82" i="277" s="1"/>
  <c r="J81" i="277"/>
  <c r="F81" i="277"/>
  <c r="J80" i="277"/>
  <c r="N80" i="277" s="1"/>
  <c r="F80" i="277"/>
  <c r="J79" i="277"/>
  <c r="F79" i="277"/>
  <c r="N79" i="277" s="1"/>
  <c r="J78" i="277"/>
  <c r="F78" i="277"/>
  <c r="J77" i="277"/>
  <c r="F77" i="277"/>
  <c r="J76" i="277"/>
  <c r="F76" i="277"/>
  <c r="N76" i="277" s="1"/>
  <c r="J75" i="277"/>
  <c r="F75" i="277"/>
  <c r="J74" i="277"/>
  <c r="F74" i="277"/>
  <c r="J73" i="277"/>
  <c r="F73" i="277"/>
  <c r="N73" i="277"/>
  <c r="J72" i="277"/>
  <c r="N72" i="277"/>
  <c r="F72" i="277"/>
  <c r="J71" i="277"/>
  <c r="N71" i="277" s="1"/>
  <c r="F71" i="277"/>
  <c r="J70" i="277"/>
  <c r="F70" i="277"/>
  <c r="N70" i="277"/>
  <c r="J69" i="277"/>
  <c r="F69" i="277"/>
  <c r="J68" i="277"/>
  <c r="N68" i="277"/>
  <c r="F68" i="277"/>
  <c r="J67" i="277"/>
  <c r="F67" i="277"/>
  <c r="N67" i="277" s="1"/>
  <c r="J66" i="277"/>
  <c r="F66" i="277"/>
  <c r="N66" i="277" s="1"/>
  <c r="J65" i="277"/>
  <c r="F65" i="277"/>
  <c r="J64" i="277"/>
  <c r="N64" i="277"/>
  <c r="F64" i="277"/>
  <c r="J63" i="277"/>
  <c r="F63" i="277"/>
  <c r="N63" i="277" s="1"/>
  <c r="J62" i="277"/>
  <c r="F62" i="277"/>
  <c r="J61" i="277"/>
  <c r="F61" i="277"/>
  <c r="J60" i="277"/>
  <c r="F60" i="277"/>
  <c r="N60" i="277" s="1"/>
  <c r="J59" i="277"/>
  <c r="N59" i="277"/>
  <c r="F59" i="277"/>
  <c r="J58" i="277"/>
  <c r="F58" i="277"/>
  <c r="N58" i="277"/>
  <c r="J57" i="277"/>
  <c r="F57" i="277"/>
  <c r="N57" i="277"/>
  <c r="J56" i="277"/>
  <c r="F56" i="277"/>
  <c r="N56" i="277" s="1"/>
  <c r="J55" i="277"/>
  <c r="F55" i="277"/>
  <c r="N55" i="277" s="1"/>
  <c r="J54" i="277"/>
  <c r="F54" i="277"/>
  <c r="J53" i="277"/>
  <c r="F53" i="277"/>
  <c r="J52" i="277"/>
  <c r="F52" i="277"/>
  <c r="N52" i="277" s="1"/>
  <c r="J51" i="277"/>
  <c r="F51" i="277"/>
  <c r="N51" i="277" s="1"/>
  <c r="J50" i="277"/>
  <c r="F50" i="277"/>
  <c r="O41" i="277"/>
  <c r="N41" i="277"/>
  <c r="M41" i="277"/>
  <c r="O40" i="277"/>
  <c r="N40" i="277"/>
  <c r="M40" i="277"/>
  <c r="O39" i="277"/>
  <c r="N39" i="277"/>
  <c r="M39" i="277"/>
  <c r="O38" i="277"/>
  <c r="N38" i="277"/>
  <c r="M38" i="277"/>
  <c r="R37" i="277"/>
  <c r="O37" i="277"/>
  <c r="N37" i="277"/>
  <c r="AI40" i="243" s="1"/>
  <c r="M37" i="277"/>
  <c r="J37" i="277"/>
  <c r="O36" i="277"/>
  <c r="N36" i="277"/>
  <c r="M36" i="277"/>
  <c r="O35" i="277"/>
  <c r="N35" i="277"/>
  <c r="M35" i="277"/>
  <c r="O34" i="277"/>
  <c r="N34" i="277"/>
  <c r="M34" i="277"/>
  <c r="O33" i="277"/>
  <c r="N33" i="277"/>
  <c r="M33" i="277"/>
  <c r="O32" i="277"/>
  <c r="N32" i="277"/>
  <c r="M32" i="277"/>
  <c r="O31" i="277"/>
  <c r="N31" i="277"/>
  <c r="M31" i="277"/>
  <c r="O30" i="277"/>
  <c r="N30" i="277"/>
  <c r="M30" i="277"/>
  <c r="O29" i="277"/>
  <c r="N29" i="277"/>
  <c r="M29" i="277"/>
  <c r="O28" i="277"/>
  <c r="N28" i="277"/>
  <c r="M28" i="277"/>
  <c r="O27" i="277"/>
  <c r="N27" i="277"/>
  <c r="M27" i="277"/>
  <c r="O26" i="277"/>
  <c r="N26" i="277"/>
  <c r="M26" i="277"/>
  <c r="O25" i="277"/>
  <c r="N25" i="277"/>
  <c r="M25" i="277"/>
  <c r="O24" i="277"/>
  <c r="N24" i="277"/>
  <c r="M24" i="277"/>
  <c r="O23" i="277"/>
  <c r="N23" i="277"/>
  <c r="M23" i="277"/>
  <c r="O22" i="277"/>
  <c r="N22" i="277"/>
  <c r="M22" i="277"/>
  <c r="O21" i="277"/>
  <c r="N21" i="277"/>
  <c r="M21" i="277"/>
  <c r="O20" i="277"/>
  <c r="N20" i="277"/>
  <c r="M20" i="277"/>
  <c r="O19" i="277"/>
  <c r="N19" i="277"/>
  <c r="M19" i="277"/>
  <c r="O18" i="277"/>
  <c r="N18" i="277"/>
  <c r="M18" i="277"/>
  <c r="O17" i="277"/>
  <c r="N17" i="277"/>
  <c r="M17" i="277"/>
  <c r="M206" i="276"/>
  <c r="AH165" i="276"/>
  <c r="AG165" i="276"/>
  <c r="AH164" i="276"/>
  <c r="AG164" i="276"/>
  <c r="BI92" i="276"/>
  <c r="BH92" i="276"/>
  <c r="BG92" i="276"/>
  <c r="BF92" i="276"/>
  <c r="BI91" i="276"/>
  <c r="BH91" i="276"/>
  <c r="BG91" i="276"/>
  <c r="BF91" i="276"/>
  <c r="BI90" i="276"/>
  <c r="BH90" i="276"/>
  <c r="BG90" i="276"/>
  <c r="BF90" i="276"/>
  <c r="BI89" i="276"/>
  <c r="BH89" i="276"/>
  <c r="BG89" i="276"/>
  <c r="BF89" i="276"/>
  <c r="BI88" i="276"/>
  <c r="BH88" i="276"/>
  <c r="BG88" i="276"/>
  <c r="BF88" i="276"/>
  <c r="BI87" i="276"/>
  <c r="BH87" i="276"/>
  <c r="BG87" i="276"/>
  <c r="BF87" i="276"/>
  <c r="BI86" i="276"/>
  <c r="BH86" i="276"/>
  <c r="BG86" i="276"/>
  <c r="BF86" i="276"/>
  <c r="BI85" i="276"/>
  <c r="BH85" i="276"/>
  <c r="BG85" i="276"/>
  <c r="BF85" i="276"/>
  <c r="BI84" i="276"/>
  <c r="BH84" i="276"/>
  <c r="BG84" i="276"/>
  <c r="BF84" i="276"/>
  <c r="BI83" i="276"/>
  <c r="BH83" i="276"/>
  <c r="BG83" i="276"/>
  <c r="BF83" i="276"/>
  <c r="BI82" i="276"/>
  <c r="BH82" i="276"/>
  <c r="BG82" i="276"/>
  <c r="BF82" i="276"/>
  <c r="BI81" i="276"/>
  <c r="BH81" i="276"/>
  <c r="BG81" i="276"/>
  <c r="BF81" i="276"/>
  <c r="BI80" i="276"/>
  <c r="BH80" i="276"/>
  <c r="BG80" i="276"/>
  <c r="BF80" i="276"/>
  <c r="BI79" i="276"/>
  <c r="BH79" i="276"/>
  <c r="BG79" i="276"/>
  <c r="BF79" i="276"/>
  <c r="BI78" i="276"/>
  <c r="BH78" i="276"/>
  <c r="BG78" i="276"/>
  <c r="BF78" i="276"/>
  <c r="BI77" i="276"/>
  <c r="BH77" i="276"/>
  <c r="BH94" i="276" s="1"/>
  <c r="BG77" i="276"/>
  <c r="BF77" i="276"/>
  <c r="BI76" i="276"/>
  <c r="BH76" i="276"/>
  <c r="BG76" i="276"/>
  <c r="BF76" i="276"/>
  <c r="BI75" i="276"/>
  <c r="BH75" i="276"/>
  <c r="BG75" i="276"/>
  <c r="BF75" i="276"/>
  <c r="BI74" i="276"/>
  <c r="BI94" i="276"/>
  <c r="BH74" i="276"/>
  <c r="BG74" i="276"/>
  <c r="BF74" i="276"/>
  <c r="BI73" i="276"/>
  <c r="BH73" i="276"/>
  <c r="BG73" i="276"/>
  <c r="BF73" i="276"/>
  <c r="BI72" i="276"/>
  <c r="BH72" i="276"/>
  <c r="BG72" i="276"/>
  <c r="BF72" i="276"/>
  <c r="I8" i="276"/>
  <c r="D104" i="280"/>
  <c r="D103" i="280"/>
  <c r="D102" i="280"/>
  <c r="D101" i="280"/>
  <c r="D100" i="280"/>
  <c r="D99" i="280"/>
  <c r="D98" i="280"/>
  <c r="D97" i="280"/>
  <c r="G60" i="280"/>
  <c r="U50" i="280"/>
  <c r="D28" i="280"/>
  <c r="D41" i="280" s="1"/>
  <c r="O35" i="280"/>
  <c r="F44" i="221" s="1"/>
  <c r="Y18" i="247" s="1"/>
  <c r="U24" i="280"/>
  <c r="P20" i="247" s="1"/>
  <c r="V20" i="280"/>
  <c r="V19" i="280"/>
  <c r="V18" i="280"/>
  <c r="V17" i="280"/>
  <c r="O15" i="280"/>
  <c r="O14" i="280"/>
  <c r="O13" i="280"/>
  <c r="U9" i="280"/>
  <c r="U30" i="280" s="1"/>
  <c r="U43" i="280" s="1"/>
  <c r="O9" i="280"/>
  <c r="D9" i="280"/>
  <c r="H401" i="284"/>
  <c r="J405" i="284" s="1"/>
  <c r="R315" i="284"/>
  <c r="R314" i="284"/>
  <c r="L12" i="250" s="1"/>
  <c r="R313" i="284"/>
  <c r="R309" i="284"/>
  <c r="R308" i="284"/>
  <c r="R307" i="284"/>
  <c r="F260" i="284"/>
  <c r="F259" i="284"/>
  <c r="F258" i="284"/>
  <c r="F257" i="284"/>
  <c r="T170" i="284"/>
  <c r="U170" i="284" s="1"/>
  <c r="S170" i="284"/>
  <c r="T169" i="284"/>
  <c r="S169" i="284"/>
  <c r="T168" i="284"/>
  <c r="S168" i="284"/>
  <c r="U168" i="284" s="1"/>
  <c r="T167" i="284"/>
  <c r="S167" i="284"/>
  <c r="T166" i="284"/>
  <c r="S166" i="284"/>
  <c r="U166" i="284"/>
  <c r="T165" i="284"/>
  <c r="S165" i="284"/>
  <c r="U165" i="284" s="1"/>
  <c r="T164" i="284"/>
  <c r="S164" i="284"/>
  <c r="U164" i="284"/>
  <c r="T163" i="284"/>
  <c r="U163" i="284" s="1"/>
  <c r="S163" i="284"/>
  <c r="AC162" i="284"/>
  <c r="T162" i="284"/>
  <c r="S162" i="284"/>
  <c r="AC161" i="284"/>
  <c r="T161" i="284"/>
  <c r="S161" i="284"/>
  <c r="AC160" i="284"/>
  <c r="U160" i="284"/>
  <c r="T160" i="284"/>
  <c r="S160" i="284"/>
  <c r="AC159" i="284"/>
  <c r="T159" i="284"/>
  <c r="S159" i="284"/>
  <c r="U159" i="284"/>
  <c r="AF159" i="284" s="1"/>
  <c r="I130" i="284"/>
  <c r="J130" i="284" s="1"/>
  <c r="H130" i="284"/>
  <c r="I129" i="284"/>
  <c r="H129" i="284"/>
  <c r="I128" i="284"/>
  <c r="J128" i="284"/>
  <c r="H128" i="284"/>
  <c r="I127" i="284"/>
  <c r="H127" i="284"/>
  <c r="E116" i="284"/>
  <c r="AF38" i="284"/>
  <c r="M36" i="284"/>
  <c r="N399" i="284"/>
  <c r="N23" i="284"/>
  <c r="N19" i="284"/>
  <c r="AM7" i="284" s="1"/>
  <c r="AM8" i="284" s="1"/>
  <c r="AU8" i="284"/>
  <c r="AR8" i="284"/>
  <c r="R49" i="221"/>
  <c r="D50" i="221"/>
  <c r="C50" i="221"/>
  <c r="B50" i="221"/>
  <c r="U23" i="291" s="1"/>
  <c r="U24" i="291" s="1"/>
  <c r="U25" i="291" s="1"/>
  <c r="U26" i="291" s="1"/>
  <c r="R48" i="221"/>
  <c r="M48" i="221"/>
  <c r="D49" i="221"/>
  <c r="C49" i="221"/>
  <c r="B49" i="221"/>
  <c r="U9" i="291" s="1"/>
  <c r="U13" i="291" s="1"/>
  <c r="U17" i="291" s="1"/>
  <c r="U21" i="291" s="1"/>
  <c r="T47" i="221"/>
  <c r="T48" i="221" s="1"/>
  <c r="M47" i="221"/>
  <c r="D48" i="221"/>
  <c r="C48" i="221"/>
  <c r="AB17" i="250" s="1"/>
  <c r="B48" i="221"/>
  <c r="U7" i="291" s="1"/>
  <c r="U11" i="291" s="1"/>
  <c r="U15" i="291" s="1"/>
  <c r="U19" i="291" s="1"/>
  <c r="T46" i="221"/>
  <c r="H54" i="221"/>
  <c r="E54" i="221"/>
  <c r="D54" i="221"/>
  <c r="C54" i="221"/>
  <c r="B54" i="221"/>
  <c r="D45" i="221"/>
  <c r="C45" i="221"/>
  <c r="B45" i="221"/>
  <c r="X12" i="247" s="1"/>
  <c r="X19" i="247" s="1"/>
  <c r="X26" i="247" s="1"/>
  <c r="X33" i="247" s="1"/>
  <c r="D44" i="221"/>
  <c r="C44" i="221"/>
  <c r="B44" i="221"/>
  <c r="D43" i="221"/>
  <c r="C43" i="221"/>
  <c r="B43" i="221"/>
  <c r="X10" i="247" s="1"/>
  <c r="X17" i="247" s="1"/>
  <c r="X24" i="247" s="1"/>
  <c r="X31" i="247" s="1"/>
  <c r="D42" i="221"/>
  <c r="C42" i="221"/>
  <c r="B42" i="221"/>
  <c r="X7" i="247" s="1"/>
  <c r="X14" i="247" s="1"/>
  <c r="X21" i="247" s="1"/>
  <c r="X28" i="247" s="1"/>
  <c r="D41" i="221"/>
  <c r="C41" i="221"/>
  <c r="B41" i="221"/>
  <c r="X6" i="247" s="1"/>
  <c r="X13" i="247" s="1"/>
  <c r="X20" i="247" s="1"/>
  <c r="X27" i="247" s="1"/>
  <c r="D39" i="221"/>
  <c r="C39" i="221"/>
  <c r="AB8" i="250" s="1"/>
  <c r="B39" i="221"/>
  <c r="V8" i="250" s="1"/>
  <c r="V16" i="250" s="1"/>
  <c r="V24" i="250" s="1"/>
  <c r="V32" i="250" s="1"/>
  <c r="T38" i="221"/>
  <c r="M38" i="221"/>
  <c r="D38" i="221"/>
  <c r="C38" i="221"/>
  <c r="AB7" i="250" s="1"/>
  <c r="B38" i="221"/>
  <c r="V7" i="250" s="1"/>
  <c r="V15" i="250" s="1"/>
  <c r="V23" i="250" s="1"/>
  <c r="V31" i="250" s="1"/>
  <c r="T37" i="221"/>
  <c r="D37" i="221"/>
  <c r="C37" i="221"/>
  <c r="AB11" i="250" s="1"/>
  <c r="B37" i="221"/>
  <c r="V11" i="250" s="1"/>
  <c r="V19" i="250" s="1"/>
  <c r="V27" i="250" s="1"/>
  <c r="V35" i="250" s="1"/>
  <c r="T36" i="221"/>
  <c r="D36" i="221"/>
  <c r="W6" i="250" s="1"/>
  <c r="C36" i="221"/>
  <c r="AB13" i="250" s="1"/>
  <c r="B36" i="221"/>
  <c r="V13" i="250" s="1"/>
  <c r="V21" i="250" s="1"/>
  <c r="V29" i="250" s="1"/>
  <c r="V37" i="250" s="1"/>
  <c r="T35" i="221"/>
  <c r="D35" i="221"/>
  <c r="C35" i="221"/>
  <c r="B35" i="221"/>
  <c r="U14" i="266" s="1"/>
  <c r="U25" i="266" s="1"/>
  <c r="U36" i="266" s="1"/>
  <c r="U47" i="266" s="1"/>
  <c r="D34" i="221"/>
  <c r="C34" i="221"/>
  <c r="B34" i="221"/>
  <c r="U13" i="266" s="1"/>
  <c r="U24" i="266" s="1"/>
  <c r="U35" i="266" s="1"/>
  <c r="U46" i="266" s="1"/>
  <c r="D33" i="221"/>
  <c r="C33" i="221"/>
  <c r="B33" i="221"/>
  <c r="U12" i="266" s="1"/>
  <c r="U23" i="266" s="1"/>
  <c r="U34" i="266" s="1"/>
  <c r="U45" i="266" s="1"/>
  <c r="T32" i="221"/>
  <c r="D32" i="221"/>
  <c r="C32" i="221"/>
  <c r="B32" i="221"/>
  <c r="U11" i="266" s="1"/>
  <c r="U22" i="266" s="1"/>
  <c r="U33" i="266" s="1"/>
  <c r="U44" i="266" s="1"/>
  <c r="D31" i="221"/>
  <c r="C31" i="221"/>
  <c r="B31" i="221"/>
  <c r="U10" i="266" s="1"/>
  <c r="U21" i="266" s="1"/>
  <c r="U32" i="266" s="1"/>
  <c r="U43" i="266" s="1"/>
  <c r="D30" i="221"/>
  <c r="C30" i="221"/>
  <c r="B30" i="221"/>
  <c r="U9" i="266" s="1"/>
  <c r="T29" i="221"/>
  <c r="D29" i="221"/>
  <c r="C29" i="221"/>
  <c r="B29" i="221"/>
  <c r="U8" i="266" s="1"/>
  <c r="U19" i="266" s="1"/>
  <c r="U30" i="266" s="1"/>
  <c r="U41" i="266" s="1"/>
  <c r="D28" i="221"/>
  <c r="C28" i="221"/>
  <c r="B28" i="221"/>
  <c r="U7" i="266" s="1"/>
  <c r="U18" i="266" s="1"/>
  <c r="U29" i="266" s="1"/>
  <c r="U40" i="266" s="1"/>
  <c r="T27" i="221"/>
  <c r="D27" i="221"/>
  <c r="C27" i="221"/>
  <c r="B27" i="221"/>
  <c r="T16" i="245" s="1"/>
  <c r="T27" i="245" s="1"/>
  <c r="T38" i="245" s="1"/>
  <c r="T49" i="245" s="1"/>
  <c r="D26" i="221"/>
  <c r="C26" i="221"/>
  <c r="B26" i="221"/>
  <c r="D25" i="221"/>
  <c r="C25" i="221"/>
  <c r="B25" i="221"/>
  <c r="T14" i="245" s="1"/>
  <c r="T25" i="245" s="1"/>
  <c r="T36" i="245" s="1"/>
  <c r="T47" i="245" s="1"/>
  <c r="D24" i="221"/>
  <c r="C24" i="221"/>
  <c r="B24" i="221"/>
  <c r="T9" i="245" s="1"/>
  <c r="T20" i="245" s="1"/>
  <c r="T31" i="245" s="1"/>
  <c r="T42" i="245" s="1"/>
  <c r="D23" i="221"/>
  <c r="C23" i="221"/>
  <c r="B23" i="221"/>
  <c r="T8" i="245" s="1"/>
  <c r="T19" i="245" s="1"/>
  <c r="T30" i="245" s="1"/>
  <c r="T41" i="245" s="1"/>
  <c r="D22" i="221"/>
  <c r="C22" i="221"/>
  <c r="B22" i="221"/>
  <c r="T7" i="245" s="1"/>
  <c r="T18" i="245" s="1"/>
  <c r="T29" i="245" s="1"/>
  <c r="T40" i="245" s="1"/>
  <c r="D21" i="221"/>
  <c r="C21" i="221"/>
  <c r="B21" i="221"/>
  <c r="T20" i="221"/>
  <c r="D20" i="221"/>
  <c r="C20" i="221"/>
  <c r="B20" i="221"/>
  <c r="D19" i="221"/>
  <c r="C19" i="221"/>
  <c r="B19" i="221"/>
  <c r="D18" i="221"/>
  <c r="C18" i="221"/>
  <c r="B18" i="221"/>
  <c r="D17" i="221"/>
  <c r="C17" i="221"/>
  <c r="B17" i="221"/>
  <c r="D16" i="221"/>
  <c r="C16" i="221"/>
  <c r="B16" i="221"/>
  <c r="D15" i="221"/>
  <c r="C15" i="221"/>
  <c r="B15" i="221"/>
  <c r="D14" i="221"/>
  <c r="C14" i="221"/>
  <c r="B14" i="221"/>
  <c r="D13" i="221"/>
  <c r="C13" i="221"/>
  <c r="B13" i="221"/>
  <c r="D12" i="221"/>
  <c r="C12" i="221"/>
  <c r="B12" i="221"/>
  <c r="T11" i="221"/>
  <c r="D11" i="221"/>
  <c r="C11" i="221"/>
  <c r="B11" i="221"/>
  <c r="D10" i="221"/>
  <c r="C10" i="221"/>
  <c r="B10" i="221"/>
  <c r="D9" i="221"/>
  <c r="C9" i="221"/>
  <c r="B9" i="221"/>
  <c r="T8" i="221"/>
  <c r="D8" i="221"/>
  <c r="C8" i="221"/>
  <c r="B8" i="221"/>
  <c r="AB10" i="243" s="1"/>
  <c r="AB34" i="243" s="1"/>
  <c r="AB58" i="243" s="1"/>
  <c r="AB82" i="243" s="1"/>
  <c r="D7" i="221"/>
  <c r="C7" i="221"/>
  <c r="B7" i="221"/>
  <c r="AB9" i="243" s="1"/>
  <c r="AB33" i="243" s="1"/>
  <c r="AB57" i="243" s="1"/>
  <c r="AB81" i="243" s="1"/>
  <c r="D6" i="221"/>
  <c r="C6" i="221"/>
  <c r="B6" i="221"/>
  <c r="D5" i="221"/>
  <c r="C5" i="221"/>
  <c r="B5" i="221"/>
  <c r="AB7" i="243" s="1"/>
  <c r="AB31" i="243" s="1"/>
  <c r="AB55" i="243" s="1"/>
  <c r="AB79" i="243" s="1"/>
  <c r="V28" i="233"/>
  <c r="AB26" i="233"/>
  <c r="AA26" i="233"/>
  <c r="Z26" i="233"/>
  <c r="Y26" i="233"/>
  <c r="X26" i="233"/>
  <c r="W26" i="233"/>
  <c r="E56" i="261"/>
  <c r="AC6" i="261"/>
  <c r="D56" i="261"/>
  <c r="C56" i="261"/>
  <c r="E55" i="261"/>
  <c r="AC7" i="261"/>
  <c r="D55" i="261"/>
  <c r="C55" i="261"/>
  <c r="D40" i="261"/>
  <c r="C40" i="261"/>
  <c r="D39" i="261"/>
  <c r="C39" i="261"/>
  <c r="D38" i="261"/>
  <c r="C38" i="261"/>
  <c r="D37" i="261"/>
  <c r="C37" i="261"/>
  <c r="D36" i="261"/>
  <c r="G36" i="261" s="1"/>
  <c r="C36" i="261"/>
  <c r="D32" i="261"/>
  <c r="C32" i="261"/>
  <c r="D31" i="261"/>
  <c r="C31" i="261"/>
  <c r="D30" i="261"/>
  <c r="C30" i="261"/>
  <c r="C29" i="261"/>
  <c r="N8" i="261"/>
  <c r="E8" i="261"/>
  <c r="D8" i="261"/>
  <c r="N6" i="261"/>
  <c r="D6" i="261"/>
  <c r="J5" i="261"/>
  <c r="BN100" i="247"/>
  <c r="BM59" i="247"/>
  <c r="Q38" i="247" s="1"/>
  <c r="BM58" i="247"/>
  <c r="Q37" i="247" s="1"/>
  <c r="F33" i="247"/>
  <c r="F32" i="247"/>
  <c r="Q31" i="247"/>
  <c r="K31" i="247"/>
  <c r="J31" i="247"/>
  <c r="F31" i="247"/>
  <c r="D31" i="247"/>
  <c r="H30" i="247"/>
  <c r="F30" i="247"/>
  <c r="Q29" i="247"/>
  <c r="N29" i="247"/>
  <c r="H29" i="247"/>
  <c r="F29" i="247"/>
  <c r="D29" i="247"/>
  <c r="H28" i="247"/>
  <c r="F28" i="247"/>
  <c r="Q27" i="247"/>
  <c r="N27" i="247"/>
  <c r="J27" i="247"/>
  <c r="H27" i="247"/>
  <c r="F27" i="247"/>
  <c r="D27" i="247"/>
  <c r="AI26" i="247"/>
  <c r="F26" i="247"/>
  <c r="AI25" i="247"/>
  <c r="F25" i="247"/>
  <c r="AI24" i="247"/>
  <c r="Q24" i="247"/>
  <c r="M24" i="247"/>
  <c r="K24" i="247"/>
  <c r="J24" i="247"/>
  <c r="L24" i="247"/>
  <c r="F24" i="247"/>
  <c r="D24" i="247"/>
  <c r="H23" i="247"/>
  <c r="F23" i="247"/>
  <c r="Q22" i="247"/>
  <c r="N22" i="247"/>
  <c r="H22" i="247"/>
  <c r="F22" i="247"/>
  <c r="D22" i="247"/>
  <c r="H21" i="247"/>
  <c r="F21" i="247"/>
  <c r="Q20" i="247"/>
  <c r="N20" i="247"/>
  <c r="J20" i="247"/>
  <c r="H20" i="247"/>
  <c r="F20" i="247"/>
  <c r="D20" i="247"/>
  <c r="F19" i="247"/>
  <c r="F18" i="247"/>
  <c r="Q17" i="247"/>
  <c r="P17" i="247"/>
  <c r="K17" i="247"/>
  <c r="J17" i="247"/>
  <c r="L17" i="247" s="1"/>
  <c r="M17" i="247"/>
  <c r="F17" i="247"/>
  <c r="D17" i="247"/>
  <c r="F16" i="247"/>
  <c r="Q15" i="247"/>
  <c r="N15" i="247"/>
  <c r="J15" i="247"/>
  <c r="K15" i="247" s="1"/>
  <c r="F15" i="247"/>
  <c r="D15" i="247"/>
  <c r="F14" i="247"/>
  <c r="Q13" i="247"/>
  <c r="N13" i="247"/>
  <c r="J13" i="247"/>
  <c r="F13" i="247"/>
  <c r="D13" i="247"/>
  <c r="AI12" i="247"/>
  <c r="F12" i="247"/>
  <c r="AI11" i="247"/>
  <c r="X11" i="247"/>
  <c r="X18" i="247" s="1"/>
  <c r="X25" i="247" s="1"/>
  <c r="X32" i="247" s="1"/>
  <c r="F11" i="247"/>
  <c r="AI10" i="247"/>
  <c r="Q10" i="247"/>
  <c r="P10" i="247"/>
  <c r="O10" i="247"/>
  <c r="O11" i="247"/>
  <c r="O12" i="247" s="1"/>
  <c r="J10" i="247"/>
  <c r="F10" i="247"/>
  <c r="D10" i="247"/>
  <c r="O9" i="247"/>
  <c r="F9" i="247"/>
  <c r="Q8" i="247"/>
  <c r="O8" i="247"/>
  <c r="O22" i="247"/>
  <c r="N8" i="247"/>
  <c r="J8" i="247"/>
  <c r="F8" i="247"/>
  <c r="D8" i="247"/>
  <c r="O7" i="247"/>
  <c r="O14" i="247" s="1"/>
  <c r="O28" i="247"/>
  <c r="F7" i="247"/>
  <c r="Q6" i="247"/>
  <c r="O6" i="247"/>
  <c r="N6" i="247"/>
  <c r="J6" i="247"/>
  <c r="F6" i="247"/>
  <c r="D6" i="247"/>
  <c r="J5" i="247"/>
  <c r="F45" i="291"/>
  <c r="F43" i="291"/>
  <c r="F44" i="291"/>
  <c r="I32" i="291"/>
  <c r="F26" i="291"/>
  <c r="D26" i="291"/>
  <c r="F25" i="291"/>
  <c r="D25" i="291"/>
  <c r="F24" i="291"/>
  <c r="D24" i="291"/>
  <c r="F23" i="291"/>
  <c r="D23" i="291"/>
  <c r="F21" i="291"/>
  <c r="D21" i="291"/>
  <c r="F19" i="291"/>
  <c r="D19" i="291"/>
  <c r="F17" i="291"/>
  <c r="D17" i="291"/>
  <c r="F15" i="291"/>
  <c r="D15" i="291"/>
  <c r="I13" i="291"/>
  <c r="I17" i="291"/>
  <c r="I21" i="291" s="1"/>
  <c r="F13" i="291"/>
  <c r="D13" i="291"/>
  <c r="I11" i="291"/>
  <c r="I15" i="291" s="1"/>
  <c r="I19" i="291" s="1"/>
  <c r="F11" i="291"/>
  <c r="D11" i="291"/>
  <c r="F9" i="291"/>
  <c r="D9" i="291"/>
  <c r="F7" i="291"/>
  <c r="D7" i="291"/>
  <c r="Y76" i="250"/>
  <c r="AA76" i="250" s="1"/>
  <c r="Y75" i="250"/>
  <c r="AA75" i="250" s="1"/>
  <c r="Y74" i="250"/>
  <c r="AA74" i="250" s="1"/>
  <c r="Y73" i="250"/>
  <c r="AA73" i="250" s="1"/>
  <c r="Y70" i="250"/>
  <c r="AA70" i="250" s="1"/>
  <c r="Y69" i="250"/>
  <c r="AA69" i="250" s="1"/>
  <c r="Y68" i="250"/>
  <c r="AA68" i="250" s="1"/>
  <c r="Y67" i="250"/>
  <c r="AA67" i="250" s="1"/>
  <c r="Y66" i="250"/>
  <c r="AA66" i="250" s="1"/>
  <c r="Y65" i="250"/>
  <c r="AA65" i="250" s="1"/>
  <c r="Y64" i="250"/>
  <c r="AA64" i="250" s="1"/>
  <c r="Y63" i="250"/>
  <c r="AA63" i="250" s="1"/>
  <c r="C59" i="250"/>
  <c r="C58" i="250"/>
  <c r="K7" i="250" s="1"/>
  <c r="K15" i="250"/>
  <c r="K23" i="250" s="1"/>
  <c r="K31" i="250" s="1"/>
  <c r="M38" i="250"/>
  <c r="F38" i="250"/>
  <c r="I37" i="250"/>
  <c r="F37" i="250"/>
  <c r="D37" i="250"/>
  <c r="M36" i="250"/>
  <c r="F36" i="250"/>
  <c r="K35" i="250"/>
  <c r="I35" i="250"/>
  <c r="F35" i="250"/>
  <c r="D35" i="250"/>
  <c r="I34" i="250"/>
  <c r="F34" i="250"/>
  <c r="E34" i="250"/>
  <c r="D34" i="250"/>
  <c r="I32" i="250"/>
  <c r="F32" i="250"/>
  <c r="D32" i="250"/>
  <c r="I31" i="250"/>
  <c r="F31" i="250"/>
  <c r="D31" i="250"/>
  <c r="M30" i="250"/>
  <c r="L30" i="250"/>
  <c r="L38" i="250" s="1"/>
  <c r="F30" i="250"/>
  <c r="L29" i="250"/>
  <c r="L13" i="250" s="1"/>
  <c r="L21" i="250" s="1"/>
  <c r="I29" i="250"/>
  <c r="F29" i="250"/>
  <c r="D29" i="250"/>
  <c r="M28" i="250"/>
  <c r="L28" i="250"/>
  <c r="L36" i="250" s="1"/>
  <c r="F28" i="250"/>
  <c r="L27" i="250"/>
  <c r="L35" i="250" s="1"/>
  <c r="K27" i="250"/>
  <c r="I27" i="250"/>
  <c r="F27" i="250"/>
  <c r="D27" i="250"/>
  <c r="I26" i="250"/>
  <c r="F26" i="250"/>
  <c r="E26" i="250"/>
  <c r="D26" i="250"/>
  <c r="I24" i="250"/>
  <c r="F24" i="250"/>
  <c r="D24" i="250"/>
  <c r="I23" i="250"/>
  <c r="F23" i="250"/>
  <c r="D23" i="250"/>
  <c r="M22" i="250"/>
  <c r="F22" i="250"/>
  <c r="I21" i="250"/>
  <c r="F21" i="250"/>
  <c r="D21" i="250"/>
  <c r="M20" i="250"/>
  <c r="F20" i="250"/>
  <c r="I19" i="250"/>
  <c r="F19" i="250"/>
  <c r="D19" i="250"/>
  <c r="K18" i="250"/>
  <c r="K26" i="250" s="1"/>
  <c r="K34" i="250" s="1"/>
  <c r="J18" i="250"/>
  <c r="J26" i="250" s="1"/>
  <c r="J34" i="250" s="1"/>
  <c r="I18" i="250"/>
  <c r="F18" i="250"/>
  <c r="E18" i="250"/>
  <c r="D18" i="250"/>
  <c r="J16" i="250"/>
  <c r="J24" i="250" s="1"/>
  <c r="J32" i="250" s="1"/>
  <c r="I16" i="250"/>
  <c r="F16" i="250"/>
  <c r="D16" i="250"/>
  <c r="J15" i="250"/>
  <c r="J23" i="250" s="1"/>
  <c r="J31" i="250" s="1"/>
  <c r="I15" i="250"/>
  <c r="F15" i="250"/>
  <c r="D15" i="250"/>
  <c r="M14" i="250"/>
  <c r="F14" i="250"/>
  <c r="F13" i="250"/>
  <c r="D13" i="250"/>
  <c r="M12" i="250"/>
  <c r="L20" i="250"/>
  <c r="F12" i="250"/>
  <c r="L19" i="250"/>
  <c r="F11" i="250"/>
  <c r="D11" i="250"/>
  <c r="F10" i="250"/>
  <c r="E10" i="250"/>
  <c r="D10" i="250"/>
  <c r="F8" i="250"/>
  <c r="D8" i="250"/>
  <c r="F7" i="250"/>
  <c r="D7" i="250"/>
  <c r="N66" i="266"/>
  <c r="P65" i="266"/>
  <c r="I49" i="266" s="1"/>
  <c r="N65" i="266"/>
  <c r="O64" i="266"/>
  <c r="I37" i="266" s="1"/>
  <c r="N64" i="266"/>
  <c r="I26" i="266" s="1"/>
  <c r="I15" i="266"/>
  <c r="P63" i="266"/>
  <c r="O63" i="266"/>
  <c r="O66" i="266"/>
  <c r="I39" i="266"/>
  <c r="M63" i="266"/>
  <c r="P62" i="266"/>
  <c r="I46" i="266"/>
  <c r="O62" i="266"/>
  <c r="O65" i="266"/>
  <c r="I38" i="266" s="1"/>
  <c r="M62" i="266"/>
  <c r="M65" i="266" s="1"/>
  <c r="P61" i="266"/>
  <c r="P64" i="266"/>
  <c r="I48" i="266"/>
  <c r="O61" i="266"/>
  <c r="I34" i="266"/>
  <c r="M61" i="266"/>
  <c r="M64" i="266" s="1"/>
  <c r="P60" i="266"/>
  <c r="I44" i="266" s="1"/>
  <c r="V41" i="266" s="1"/>
  <c r="H29" i="221" s="1"/>
  <c r="O60" i="266"/>
  <c r="N60" i="266"/>
  <c r="M60" i="266"/>
  <c r="P59" i="266"/>
  <c r="O59" i="266"/>
  <c r="I32" i="266"/>
  <c r="V29" i="266"/>
  <c r="G28" i="221" s="1"/>
  <c r="N59" i="266"/>
  <c r="I21" i="266"/>
  <c r="M59" i="266"/>
  <c r="I10" i="266" s="1"/>
  <c r="P58" i="266"/>
  <c r="I42" i="266" s="1"/>
  <c r="O58" i="266"/>
  <c r="N58" i="266"/>
  <c r="I20" i="266" s="1"/>
  <c r="M58" i="266"/>
  <c r="P57" i="266"/>
  <c r="I41" i="266"/>
  <c r="O57" i="266"/>
  <c r="I30" i="266" s="1"/>
  <c r="N57" i="266"/>
  <c r="I19" i="266" s="1"/>
  <c r="M57" i="266"/>
  <c r="I8" i="266" s="1"/>
  <c r="V10" i="266" s="1"/>
  <c r="P56" i="266"/>
  <c r="O56" i="266"/>
  <c r="I29" i="266" s="1"/>
  <c r="N56" i="266"/>
  <c r="I18" i="266"/>
  <c r="M56" i="266"/>
  <c r="I7" i="266" s="1"/>
  <c r="M30" i="221" s="1"/>
  <c r="F50" i="266"/>
  <c r="F49" i="266"/>
  <c r="P48" i="266"/>
  <c r="F48" i="266"/>
  <c r="D48" i="266"/>
  <c r="F47" i="266"/>
  <c r="F46" i="266"/>
  <c r="P45" i="266"/>
  <c r="H45" i="266"/>
  <c r="F45" i="266"/>
  <c r="E45" i="266"/>
  <c r="D45" i="266"/>
  <c r="F44" i="266"/>
  <c r="P43" i="266"/>
  <c r="I43" i="266"/>
  <c r="V40" i="266" s="1"/>
  <c r="H28" i="221" s="1"/>
  <c r="F43" i="266"/>
  <c r="E43" i="266"/>
  <c r="D43" i="266"/>
  <c r="F42" i="266"/>
  <c r="F41" i="266"/>
  <c r="P40" i="266"/>
  <c r="I40" i="266"/>
  <c r="H40" i="266"/>
  <c r="F40" i="266"/>
  <c r="E40" i="266"/>
  <c r="D40" i="266"/>
  <c r="X39" i="266"/>
  <c r="F39" i="266"/>
  <c r="X38" i="266"/>
  <c r="F38" i="266"/>
  <c r="X37" i="266"/>
  <c r="F37" i="266"/>
  <c r="D37" i="266"/>
  <c r="I36" i="266"/>
  <c r="F36" i="266"/>
  <c r="F35" i="266"/>
  <c r="H34" i="266"/>
  <c r="F34" i="266"/>
  <c r="E34" i="266"/>
  <c r="D34" i="266"/>
  <c r="I33" i="266"/>
  <c r="F33" i="266"/>
  <c r="H32" i="266"/>
  <c r="F32" i="266"/>
  <c r="E32" i="266"/>
  <c r="D32" i="266"/>
  <c r="I31" i="266"/>
  <c r="F31" i="266"/>
  <c r="V30" i="266"/>
  <c r="G29" i="221" s="1"/>
  <c r="F30" i="266"/>
  <c r="H29" i="266"/>
  <c r="F29" i="266"/>
  <c r="E29" i="266"/>
  <c r="D29" i="266"/>
  <c r="X28" i="266"/>
  <c r="I28" i="266"/>
  <c r="F28" i="266"/>
  <c r="X27" i="266"/>
  <c r="I27" i="266"/>
  <c r="F27" i="266"/>
  <c r="X26" i="266"/>
  <c r="H26" i="266"/>
  <c r="F26" i="266"/>
  <c r="D26" i="266"/>
  <c r="I25" i="266"/>
  <c r="F25" i="266"/>
  <c r="I24" i="266"/>
  <c r="F24" i="266"/>
  <c r="I23" i="266"/>
  <c r="F23" i="266"/>
  <c r="E23" i="266"/>
  <c r="D23" i="266"/>
  <c r="I22" i="266"/>
  <c r="F22" i="266"/>
  <c r="H21" i="266"/>
  <c r="F21" i="266"/>
  <c r="E21" i="266"/>
  <c r="D21" i="266"/>
  <c r="U20" i="266"/>
  <c r="U31" i="266" s="1"/>
  <c r="U42" i="266" s="1"/>
  <c r="F20" i="266"/>
  <c r="F19" i="266"/>
  <c r="H18" i="266"/>
  <c r="F18" i="266"/>
  <c r="E18" i="266"/>
  <c r="D18" i="266"/>
  <c r="X17" i="266"/>
  <c r="F17" i="266"/>
  <c r="X16" i="266"/>
  <c r="I16" i="266"/>
  <c r="F16" i="266"/>
  <c r="X15" i="266"/>
  <c r="P15" i="266"/>
  <c r="P26" i="266" s="1"/>
  <c r="P37" i="266" s="1"/>
  <c r="F15" i="266"/>
  <c r="D15" i="266"/>
  <c r="F14" i="266"/>
  <c r="I13" i="266"/>
  <c r="F13" i="266"/>
  <c r="P12" i="266"/>
  <c r="P23" i="266" s="1"/>
  <c r="P34" i="266" s="1"/>
  <c r="M12" i="266"/>
  <c r="M23" i="266" s="1"/>
  <c r="M34" i="266"/>
  <c r="M45" i="266" s="1"/>
  <c r="K23" i="266"/>
  <c r="K34" i="266"/>
  <c r="K45" i="266" s="1"/>
  <c r="H12" i="266"/>
  <c r="F12" i="266"/>
  <c r="E12" i="266"/>
  <c r="D12" i="266"/>
  <c r="I11" i="266"/>
  <c r="F11" i="266"/>
  <c r="M10" i="266"/>
  <c r="M21" i="266" s="1"/>
  <c r="M32" i="266" s="1"/>
  <c r="M43" i="266" s="1"/>
  <c r="K10" i="266"/>
  <c r="K21" i="266" s="1"/>
  <c r="K32" i="266" s="1"/>
  <c r="K43" i="266" s="1"/>
  <c r="H10" i="266"/>
  <c r="F10" i="266"/>
  <c r="E10" i="266"/>
  <c r="D10" i="266"/>
  <c r="I9" i="266"/>
  <c r="M32" i="221" s="1"/>
  <c r="F9" i="266"/>
  <c r="F8" i="266"/>
  <c r="P7" i="266"/>
  <c r="P18" i="266" s="1"/>
  <c r="P29" i="266" s="1"/>
  <c r="P10" i="266"/>
  <c r="P21" i="266" s="1"/>
  <c r="P32" i="266" s="1"/>
  <c r="H7" i="266"/>
  <c r="F7" i="266"/>
  <c r="E7" i="266"/>
  <c r="D7" i="266"/>
  <c r="G81" i="245"/>
  <c r="F81" i="245"/>
  <c r="J38" i="245" s="1"/>
  <c r="E81" i="245"/>
  <c r="D81" i="245"/>
  <c r="J16" i="245" s="1"/>
  <c r="G80" i="245"/>
  <c r="J48" i="245"/>
  <c r="F80" i="245"/>
  <c r="J37" i="245" s="1"/>
  <c r="E80" i="245"/>
  <c r="D80" i="245"/>
  <c r="J15" i="245" s="1"/>
  <c r="G79" i="245"/>
  <c r="J47" i="245" s="1"/>
  <c r="F79" i="245"/>
  <c r="J36" i="245" s="1"/>
  <c r="E79" i="245"/>
  <c r="J25" i="245" s="1"/>
  <c r="D79" i="245"/>
  <c r="J14" i="245" s="1"/>
  <c r="G76" i="245"/>
  <c r="J46" i="245" s="1"/>
  <c r="F76" i="245"/>
  <c r="J35" i="245" s="1"/>
  <c r="E76" i="245"/>
  <c r="J20" i="245"/>
  <c r="D76" i="245"/>
  <c r="J13" i="245" s="1"/>
  <c r="G75" i="245"/>
  <c r="F75" i="245"/>
  <c r="J34" i="245" s="1"/>
  <c r="E75" i="245"/>
  <c r="J23" i="245" s="1"/>
  <c r="D75" i="245"/>
  <c r="J8" i="245"/>
  <c r="G74" i="245"/>
  <c r="J44" i="245" s="1"/>
  <c r="J40" i="245"/>
  <c r="F74" i="245"/>
  <c r="E74" i="245"/>
  <c r="J22" i="245" s="1"/>
  <c r="J18" i="245"/>
  <c r="D74" i="245"/>
  <c r="J11" i="245"/>
  <c r="G73" i="245"/>
  <c r="F73" i="245"/>
  <c r="J28" i="245" s="1"/>
  <c r="E73" i="245"/>
  <c r="D73" i="245"/>
  <c r="J10" i="245" s="1"/>
  <c r="E69" i="245"/>
  <c r="H58" i="245"/>
  <c r="F58" i="245"/>
  <c r="L8" i="245"/>
  <c r="E58" i="245"/>
  <c r="L14" i="245"/>
  <c r="L36" i="245" s="1"/>
  <c r="AC49" i="245"/>
  <c r="J49" i="245"/>
  <c r="F49" i="245"/>
  <c r="AC48" i="245"/>
  <c r="F48" i="245"/>
  <c r="AC47" i="245"/>
  <c r="P47" i="245"/>
  <c r="F47" i="245"/>
  <c r="D47" i="245"/>
  <c r="AC46" i="245"/>
  <c r="F46" i="245"/>
  <c r="AC45" i="245"/>
  <c r="F45" i="245"/>
  <c r="AC44" i="245"/>
  <c r="F44" i="245"/>
  <c r="AC43" i="245"/>
  <c r="P43" i="245"/>
  <c r="J43" i="245"/>
  <c r="I43" i="245"/>
  <c r="F43" i="245"/>
  <c r="D43" i="245"/>
  <c r="C43" i="245"/>
  <c r="AC42" i="245"/>
  <c r="J42" i="245"/>
  <c r="F42" i="245"/>
  <c r="AC41" i="245"/>
  <c r="F41" i="245"/>
  <c r="AC40" i="245"/>
  <c r="F40" i="245"/>
  <c r="AC39" i="245"/>
  <c r="P39" i="245"/>
  <c r="J39" i="245"/>
  <c r="F39" i="245"/>
  <c r="D39" i="245"/>
  <c r="AC38" i="245"/>
  <c r="F38" i="245"/>
  <c r="AC37" i="245"/>
  <c r="F37" i="245"/>
  <c r="AC36" i="245"/>
  <c r="P36" i="245"/>
  <c r="I36" i="245"/>
  <c r="F36" i="245"/>
  <c r="D36" i="245"/>
  <c r="AC35" i="245"/>
  <c r="F35" i="245"/>
  <c r="AC34" i="245"/>
  <c r="F34" i="245"/>
  <c r="AC33" i="245"/>
  <c r="F33" i="245"/>
  <c r="AC32" i="245"/>
  <c r="P32" i="245"/>
  <c r="J32" i="245"/>
  <c r="I32" i="245"/>
  <c r="F32" i="245"/>
  <c r="D32" i="245"/>
  <c r="C32" i="245"/>
  <c r="AC31" i="245"/>
  <c r="J31" i="245"/>
  <c r="F31" i="245"/>
  <c r="AC30" i="245"/>
  <c r="J30" i="245"/>
  <c r="F30" i="245"/>
  <c r="AC29" i="245"/>
  <c r="F29" i="245"/>
  <c r="AC28" i="245"/>
  <c r="P28" i="245"/>
  <c r="I28" i="245"/>
  <c r="F28" i="245"/>
  <c r="D28" i="245"/>
  <c r="AC27" i="245"/>
  <c r="J27" i="245"/>
  <c r="F27" i="245"/>
  <c r="AC26" i="245"/>
  <c r="J26" i="245"/>
  <c r="F26" i="245"/>
  <c r="AC25" i="245"/>
  <c r="P25" i="245"/>
  <c r="L25" i="245"/>
  <c r="I25" i="245"/>
  <c r="F25" i="245"/>
  <c r="D25" i="245"/>
  <c r="AC24" i="245"/>
  <c r="J24" i="245"/>
  <c r="F24" i="245"/>
  <c r="AC23" i="245"/>
  <c r="F23" i="245"/>
  <c r="AC22" i="245"/>
  <c r="F22" i="245"/>
  <c r="AC21" i="245"/>
  <c r="P21" i="245"/>
  <c r="J21" i="245"/>
  <c r="I21" i="245"/>
  <c r="F21" i="245"/>
  <c r="D21" i="245"/>
  <c r="C21" i="245"/>
  <c r="AC20" i="245"/>
  <c r="F20" i="245"/>
  <c r="AC19" i="245"/>
  <c r="F19" i="245"/>
  <c r="AC18" i="245"/>
  <c r="F18" i="245"/>
  <c r="AC17" i="245"/>
  <c r="P17" i="245"/>
  <c r="J17" i="245"/>
  <c r="I17" i="245"/>
  <c r="F17" i="245"/>
  <c r="D17" i="245"/>
  <c r="AC16" i="245"/>
  <c r="F16" i="245"/>
  <c r="AC15" i="245"/>
  <c r="T15" i="245"/>
  <c r="T26" i="245" s="1"/>
  <c r="T37" i="245" s="1"/>
  <c r="T48" i="245" s="1"/>
  <c r="L15" i="245"/>
  <c r="L26" i="245"/>
  <c r="F15" i="245"/>
  <c r="AC14" i="245"/>
  <c r="P14" i="245"/>
  <c r="F14" i="245"/>
  <c r="D14" i="245"/>
  <c r="AC13" i="245"/>
  <c r="F13" i="245"/>
  <c r="AC12" i="245"/>
  <c r="J12" i="245"/>
  <c r="F12" i="245"/>
  <c r="AC11" i="245"/>
  <c r="F11" i="245"/>
  <c r="AC10" i="245"/>
  <c r="P10" i="245"/>
  <c r="I10" i="245"/>
  <c r="F10" i="245"/>
  <c r="D10" i="245"/>
  <c r="C10" i="245"/>
  <c r="AC9" i="245"/>
  <c r="F9" i="245"/>
  <c r="AC8" i="245"/>
  <c r="F8" i="245"/>
  <c r="AC7" i="245"/>
  <c r="L7" i="245"/>
  <c r="J7" i="245"/>
  <c r="F7" i="245"/>
  <c r="AC6" i="245"/>
  <c r="T6" i="245"/>
  <c r="T17" i="245" s="1"/>
  <c r="T28" i="245" s="1"/>
  <c r="T39" i="245" s="1"/>
  <c r="P6" i="245"/>
  <c r="L6" i="245"/>
  <c r="J6" i="245"/>
  <c r="F6" i="245"/>
  <c r="D6" i="245"/>
  <c r="L35" i="287"/>
  <c r="K35" i="287"/>
  <c r="J17" i="287"/>
  <c r="J35" i="287"/>
  <c r="I35" i="287"/>
  <c r="L34" i="287"/>
  <c r="K34" i="287"/>
  <c r="J34" i="287"/>
  <c r="J14" i="287" s="1"/>
  <c r="I34" i="287"/>
  <c r="L33" i="287"/>
  <c r="K33" i="287"/>
  <c r="J11" i="287" s="1"/>
  <c r="J33" i="287"/>
  <c r="I33" i="287"/>
  <c r="J10" i="287"/>
  <c r="L32" i="287"/>
  <c r="K32" i="287"/>
  <c r="J32" i="287"/>
  <c r="J8" i="287" s="1"/>
  <c r="I32" i="287"/>
  <c r="J7" i="287" s="1"/>
  <c r="L31" i="287"/>
  <c r="K31" i="287"/>
  <c r="J31" i="287"/>
  <c r="I31" i="287"/>
  <c r="F12" i="287"/>
  <c r="F18" i="287" s="1"/>
  <c r="K17" i="287"/>
  <c r="O16" i="287"/>
  <c r="N16" i="287"/>
  <c r="K16" i="287"/>
  <c r="J16" i="287"/>
  <c r="I16" i="287"/>
  <c r="F10" i="287"/>
  <c r="F16" i="287" s="1"/>
  <c r="D16" i="287"/>
  <c r="K14" i="287"/>
  <c r="O13" i="287"/>
  <c r="N13" i="287"/>
  <c r="M13" i="287"/>
  <c r="K13" i="287"/>
  <c r="J13" i="287"/>
  <c r="I13" i="287"/>
  <c r="D13" i="287"/>
  <c r="F11" i="287"/>
  <c r="F17" i="287" s="1"/>
  <c r="P10" i="287"/>
  <c r="P16" i="287" s="1"/>
  <c r="M10" i="287"/>
  <c r="M16" i="287" s="1"/>
  <c r="D10" i="287"/>
  <c r="F9" i="287"/>
  <c r="F15" i="287" s="1"/>
  <c r="F8" i="287"/>
  <c r="F14" i="287" s="1"/>
  <c r="P7" i="287"/>
  <c r="M7" i="287"/>
  <c r="F7" i="287"/>
  <c r="F13" i="287" s="1"/>
  <c r="D7" i="287"/>
  <c r="L29" i="288"/>
  <c r="K29" i="288"/>
  <c r="J29" i="288"/>
  <c r="I29" i="288"/>
  <c r="J13" i="288" s="1"/>
  <c r="L28" i="288"/>
  <c r="K28" i="288"/>
  <c r="J28" i="288"/>
  <c r="I28" i="288"/>
  <c r="L27" i="288"/>
  <c r="K27" i="288"/>
  <c r="J27" i="288"/>
  <c r="J10" i="288" s="1"/>
  <c r="I27" i="288"/>
  <c r="J9" i="288" s="1"/>
  <c r="L26" i="288"/>
  <c r="K26" i="288"/>
  <c r="J26" i="288"/>
  <c r="J8" i="288"/>
  <c r="I26" i="288"/>
  <c r="J7" i="288"/>
  <c r="L25" i="288"/>
  <c r="K25" i="288"/>
  <c r="J25" i="288"/>
  <c r="I25" i="288"/>
  <c r="J14" i="288"/>
  <c r="F14" i="288"/>
  <c r="F13" i="288"/>
  <c r="J12" i="288"/>
  <c r="F12" i="288"/>
  <c r="J11" i="288"/>
  <c r="F11" i="288"/>
  <c r="D11" i="288"/>
  <c r="D13" i="288" s="1"/>
  <c r="F10" i="288"/>
  <c r="F9" i="288"/>
  <c r="F8" i="288"/>
  <c r="F7" i="288"/>
  <c r="D7" i="288"/>
  <c r="D9" i="288" s="1"/>
  <c r="D28" i="231"/>
  <c r="C7" i="288" s="1"/>
  <c r="E77" i="286"/>
  <c r="L8" i="286" s="1"/>
  <c r="L22" i="286" s="1"/>
  <c r="D77" i="286"/>
  <c r="L7" i="286" s="1"/>
  <c r="C77" i="286"/>
  <c r="L13" i="286" s="1"/>
  <c r="L27" i="286" s="1"/>
  <c r="D74" i="286"/>
  <c r="C74" i="286"/>
  <c r="L9" i="286" s="1"/>
  <c r="L23" i="286" s="1"/>
  <c r="L52" i="286"/>
  <c r="K52" i="286"/>
  <c r="I22" i="286" s="1"/>
  <c r="J52" i="286"/>
  <c r="I52" i="286"/>
  <c r="I8" i="286"/>
  <c r="L51" i="286"/>
  <c r="I28" i="286" s="1"/>
  <c r="K51" i="286"/>
  <c r="I21" i="286" s="1"/>
  <c r="J51" i="286"/>
  <c r="I14" i="286"/>
  <c r="I51" i="286"/>
  <c r="I7" i="286" s="1"/>
  <c r="L50" i="286"/>
  <c r="I27" i="286" s="1"/>
  <c r="K50" i="286"/>
  <c r="J50" i="286"/>
  <c r="J53" i="286" s="1"/>
  <c r="I13" i="286"/>
  <c r="I50" i="286"/>
  <c r="L46" i="286"/>
  <c r="I33" i="286"/>
  <c r="K46" i="286"/>
  <c r="I26" i="286" s="1"/>
  <c r="J46" i="286"/>
  <c r="I19" i="286"/>
  <c r="I46" i="286"/>
  <c r="I47" i="286" s="1"/>
  <c r="I12" i="286"/>
  <c r="L45" i="286"/>
  <c r="I32" i="286"/>
  <c r="K45" i="286"/>
  <c r="I25" i="286" s="1"/>
  <c r="J45" i="286"/>
  <c r="I18" i="286"/>
  <c r="I45" i="286"/>
  <c r="L44" i="286"/>
  <c r="I31" i="286" s="1"/>
  <c r="K44" i="286"/>
  <c r="J44" i="286"/>
  <c r="I17" i="286" s="1"/>
  <c r="I44" i="286"/>
  <c r="L43" i="286"/>
  <c r="I30" i="286" s="1"/>
  <c r="K43" i="286"/>
  <c r="J43" i="286"/>
  <c r="I16" i="286" s="1"/>
  <c r="I43" i="286"/>
  <c r="C39" i="286"/>
  <c r="V9" i="286" s="1"/>
  <c r="C36" i="286"/>
  <c r="V12" i="286" s="1"/>
  <c r="S28" i="286" s="1"/>
  <c r="H10" i="221" s="1"/>
  <c r="J33" i="286"/>
  <c r="F33" i="286"/>
  <c r="L32" i="286"/>
  <c r="J32" i="286"/>
  <c r="F32" i="286"/>
  <c r="J31" i="286"/>
  <c r="F31" i="286"/>
  <c r="O30" i="286"/>
  <c r="N30" i="286"/>
  <c r="J30" i="286"/>
  <c r="H30" i="286"/>
  <c r="F30" i="286"/>
  <c r="D30" i="286"/>
  <c r="S29" i="286"/>
  <c r="H11" i="221" s="1"/>
  <c r="J29" i="286"/>
  <c r="I29" i="286"/>
  <c r="F29" i="286"/>
  <c r="J28" i="286"/>
  <c r="F28" i="286"/>
  <c r="O27" i="286"/>
  <c r="N27" i="286"/>
  <c r="J27" i="286"/>
  <c r="H27" i="286"/>
  <c r="F27" i="286"/>
  <c r="D27" i="286"/>
  <c r="J26" i="286"/>
  <c r="F26" i="286"/>
  <c r="J25" i="286"/>
  <c r="F25" i="286"/>
  <c r="L24" i="286"/>
  <c r="J24" i="286"/>
  <c r="I24" i="286"/>
  <c r="F24" i="286"/>
  <c r="O23" i="286"/>
  <c r="N23" i="286"/>
  <c r="J23" i="286"/>
  <c r="I23" i="286"/>
  <c r="H23" i="286"/>
  <c r="F23" i="286"/>
  <c r="D23" i="286"/>
  <c r="J22" i="286"/>
  <c r="F22" i="286"/>
  <c r="J21" i="286"/>
  <c r="F21" i="286"/>
  <c r="O20" i="286"/>
  <c r="N20" i="286"/>
  <c r="J20" i="286"/>
  <c r="H20" i="286"/>
  <c r="F20" i="286"/>
  <c r="D20" i="286"/>
  <c r="L19" i="286"/>
  <c r="L33" i="286"/>
  <c r="F19" i="286"/>
  <c r="L18" i="286"/>
  <c r="F18" i="286"/>
  <c r="S17" i="286"/>
  <c r="F13" i="221" s="1"/>
  <c r="F17" i="286"/>
  <c r="H16" i="286"/>
  <c r="F16" i="286"/>
  <c r="D16" i="286"/>
  <c r="I15" i="286"/>
  <c r="F15" i="286"/>
  <c r="F14" i="286"/>
  <c r="H13" i="286"/>
  <c r="F13" i="286"/>
  <c r="D13" i="286"/>
  <c r="L12" i="286"/>
  <c r="L26" i="286" s="1"/>
  <c r="F12" i="286"/>
  <c r="V11" i="286"/>
  <c r="L11" i="286"/>
  <c r="L25" i="286" s="1"/>
  <c r="I11" i="286"/>
  <c r="F11" i="286"/>
  <c r="L10" i="286"/>
  <c r="I10" i="286"/>
  <c r="F10" i="286"/>
  <c r="P9" i="286"/>
  <c r="I9" i="286"/>
  <c r="H9" i="286"/>
  <c r="F9" i="286"/>
  <c r="D9" i="286"/>
  <c r="F8" i="286"/>
  <c r="L21" i="286"/>
  <c r="F7" i="286"/>
  <c r="P6" i="286"/>
  <c r="P20" i="286" s="1"/>
  <c r="L6" i="286"/>
  <c r="L20" i="286"/>
  <c r="I6" i="286"/>
  <c r="H6" i="286"/>
  <c r="F6" i="286"/>
  <c r="D6" i="286"/>
  <c r="AI202" i="243"/>
  <c r="AI196" i="243"/>
  <c r="AI184" i="243"/>
  <c r="AI177" i="243"/>
  <c r="AI171" i="243"/>
  <c r="AI165" i="243"/>
  <c r="AI159" i="243"/>
  <c r="AI152" i="243"/>
  <c r="I152" i="243"/>
  <c r="I151" i="243"/>
  <c r="I150" i="243"/>
  <c r="I149" i="243"/>
  <c r="I148" i="243"/>
  <c r="I147" i="243"/>
  <c r="I146" i="243"/>
  <c r="I145" i="243"/>
  <c r="I144" i="243"/>
  <c r="I143" i="243"/>
  <c r="I142" i="243"/>
  <c r="I141" i="243"/>
  <c r="AI140" i="243"/>
  <c r="S140" i="243"/>
  <c r="I140" i="243"/>
  <c r="X139" i="243"/>
  <c r="I139" i="243"/>
  <c r="AA138" i="243"/>
  <c r="M102" i="243" s="1"/>
  <c r="Z138" i="243"/>
  <c r="Y138" i="243"/>
  <c r="X138" i="243"/>
  <c r="S138" i="243"/>
  <c r="I138" i="243"/>
  <c r="AA137" i="243"/>
  <c r="M85" i="243" s="1"/>
  <c r="Z137" i="243"/>
  <c r="M65" i="243" s="1"/>
  <c r="Y137" i="243"/>
  <c r="X137" i="243"/>
  <c r="M13" i="243" s="1"/>
  <c r="I137" i="243"/>
  <c r="AA136" i="243"/>
  <c r="M88" i="243" s="1"/>
  <c r="Z136" i="243"/>
  <c r="M68" i="243" s="1"/>
  <c r="Y136" i="243"/>
  <c r="X136" i="243"/>
  <c r="AA135" i="243"/>
  <c r="Z135" i="243"/>
  <c r="M63" i="243" s="1"/>
  <c r="Y135" i="243"/>
  <c r="X135" i="243"/>
  <c r="M15" i="243" s="1"/>
  <c r="AI134" i="243"/>
  <c r="AI127" i="243"/>
  <c r="AI121" i="243"/>
  <c r="AI115" i="243"/>
  <c r="AI109" i="243"/>
  <c r="BT108" i="243"/>
  <c r="CI105" i="243"/>
  <c r="CH105" i="243"/>
  <c r="CG105" i="243"/>
  <c r="CF105" i="243"/>
  <c r="DO102" i="243"/>
  <c r="F102" i="243"/>
  <c r="DO101" i="243"/>
  <c r="DM101" i="243"/>
  <c r="BT101" i="243"/>
  <c r="M101" i="243"/>
  <c r="F101" i="243"/>
  <c r="DO100" i="243"/>
  <c r="DM100" i="243"/>
  <c r="DL96" i="243"/>
  <c r="DL100" i="243" s="1"/>
  <c r="BT100" i="243"/>
  <c r="M100" i="243"/>
  <c r="F100" i="243"/>
  <c r="DO99" i="243"/>
  <c r="F99" i="243"/>
  <c r="D99" i="243"/>
  <c r="DL98" i="243"/>
  <c r="DL102" i="243" s="1"/>
  <c r="F98" i="243"/>
  <c r="DM97" i="243"/>
  <c r="DL97" i="243"/>
  <c r="DL101" i="243" s="1"/>
  <c r="F97" i="243"/>
  <c r="DM96" i="243"/>
  <c r="F96" i="243"/>
  <c r="DL95" i="243"/>
  <c r="DL99" i="243" s="1"/>
  <c r="F95" i="243"/>
  <c r="D95" i="243"/>
  <c r="DL94" i="243"/>
  <c r="F94" i="243"/>
  <c r="DM93" i="243"/>
  <c r="DL93" i="243"/>
  <c r="M93" i="243"/>
  <c r="F93" i="243"/>
  <c r="DM92" i="243"/>
  <c r="DL92" i="243"/>
  <c r="M92" i="243"/>
  <c r="F92" i="243"/>
  <c r="DL91" i="243"/>
  <c r="F91" i="243"/>
  <c r="D91" i="243"/>
  <c r="DL90" i="243"/>
  <c r="F90" i="243"/>
  <c r="DM89" i="243"/>
  <c r="DL89" i="243"/>
  <c r="M89" i="243"/>
  <c r="F89" i="243"/>
  <c r="DM88" i="243"/>
  <c r="DL88" i="243"/>
  <c r="F88" i="243"/>
  <c r="DL87" i="243"/>
  <c r="M87" i="243"/>
  <c r="F87" i="243"/>
  <c r="D87" i="243"/>
  <c r="DL86" i="243"/>
  <c r="F86" i="243"/>
  <c r="DM85" i="243"/>
  <c r="DL85" i="243"/>
  <c r="F85" i="243"/>
  <c r="DM84" i="243"/>
  <c r="DL84" i="243"/>
  <c r="M84" i="243"/>
  <c r="F84" i="243"/>
  <c r="DL83" i="243"/>
  <c r="F83" i="243"/>
  <c r="D83" i="243"/>
  <c r="DL82" i="243"/>
  <c r="BA82" i="243"/>
  <c r="F82" i="243"/>
  <c r="DM81" i="243"/>
  <c r="DL81" i="243"/>
  <c r="BD81" i="243"/>
  <c r="BC81" i="243"/>
  <c r="BA81" i="243"/>
  <c r="M81" i="243"/>
  <c r="F81" i="243"/>
  <c r="DM80" i="243"/>
  <c r="DL80" i="243"/>
  <c r="BD80" i="243"/>
  <c r="BB80" i="243"/>
  <c r="BA80" i="243"/>
  <c r="AZ80" i="243"/>
  <c r="F80" i="243"/>
  <c r="DL79" i="243"/>
  <c r="DK79" i="243"/>
  <c r="BD79" i="243"/>
  <c r="BB79" i="243"/>
  <c r="BA79" i="243"/>
  <c r="M79" i="243"/>
  <c r="F79" i="243"/>
  <c r="D79" i="243"/>
  <c r="DO78" i="243"/>
  <c r="DL78" i="243"/>
  <c r="M78" i="243"/>
  <c r="F78" i="243"/>
  <c r="DO77" i="243"/>
  <c r="DM77" i="243"/>
  <c r="AZ77" i="243"/>
  <c r="M77" i="243"/>
  <c r="F77" i="243"/>
  <c r="DO76" i="243"/>
  <c r="DM76" i="243"/>
  <c r="AZ76" i="243"/>
  <c r="F76" i="243"/>
  <c r="DO75" i="243"/>
  <c r="DL71" i="243"/>
  <c r="DL75" i="243" s="1"/>
  <c r="F75" i="243"/>
  <c r="D75" i="243"/>
  <c r="DL74" i="243"/>
  <c r="F74" i="243"/>
  <c r="DM73" i="243"/>
  <c r="DL73" i="243"/>
  <c r="DL77" i="243" s="1"/>
  <c r="BE73" i="243"/>
  <c r="AZ73" i="243"/>
  <c r="F73" i="243"/>
  <c r="DM72" i="243"/>
  <c r="DL72" i="243"/>
  <c r="DL76" i="243" s="1"/>
  <c r="AZ72" i="243"/>
  <c r="AZ82" i="243" s="1"/>
  <c r="F72" i="243"/>
  <c r="F71" i="243"/>
  <c r="D71" i="243"/>
  <c r="DL70" i="243"/>
  <c r="AZ70" i="243"/>
  <c r="AZ81" i="243" s="1"/>
  <c r="F70" i="243"/>
  <c r="DM69" i="243"/>
  <c r="DL69" i="243"/>
  <c r="M69" i="243"/>
  <c r="F69" i="243"/>
  <c r="DM68" i="243"/>
  <c r="DL68" i="243"/>
  <c r="F68" i="243"/>
  <c r="DL67" i="243"/>
  <c r="F67" i="243"/>
  <c r="D67" i="243"/>
  <c r="DM66" i="243"/>
  <c r="DL66" i="243"/>
  <c r="F66" i="243"/>
  <c r="DM65" i="243"/>
  <c r="DL65" i="243"/>
  <c r="F65" i="243"/>
  <c r="DM64" i="243"/>
  <c r="DL64" i="243"/>
  <c r="BG64" i="243"/>
  <c r="M64" i="243"/>
  <c r="F64" i="243"/>
  <c r="DL63" i="243"/>
  <c r="F63" i="243"/>
  <c r="D63" i="243"/>
  <c r="DM62" i="243"/>
  <c r="DL62" i="243"/>
  <c r="F62" i="243"/>
  <c r="DM61" i="243"/>
  <c r="DL61" i="243"/>
  <c r="BJ61" i="243"/>
  <c r="BI61" i="243"/>
  <c r="BH61" i="243"/>
  <c r="AZ61" i="243"/>
  <c r="BG72" i="243"/>
  <c r="M61" i="243"/>
  <c r="F61" i="243"/>
  <c r="DM60" i="243"/>
  <c r="DL60" i="243"/>
  <c r="AZ60" i="243"/>
  <c r="BG71" i="243" s="1"/>
  <c r="M60" i="243"/>
  <c r="F60" i="243"/>
  <c r="DL59" i="243"/>
  <c r="AZ59" i="243"/>
  <c r="BG69" i="243"/>
  <c r="M59" i="243"/>
  <c r="F59" i="243"/>
  <c r="D59" i="243"/>
  <c r="DM58" i="243"/>
  <c r="DL58" i="243"/>
  <c r="AZ58" i="243"/>
  <c r="BG68" i="243" s="1"/>
  <c r="F58" i="243"/>
  <c r="DM57" i="243"/>
  <c r="DL57" i="243"/>
  <c r="AZ57" i="243"/>
  <c r="BG67" i="243"/>
  <c r="M57" i="243"/>
  <c r="F57" i="243"/>
  <c r="DM56" i="243"/>
  <c r="DL56" i="243"/>
  <c r="AZ56" i="243"/>
  <c r="BG65" i="243" s="1"/>
  <c r="M56" i="243"/>
  <c r="F56" i="243"/>
  <c r="DL55" i="243"/>
  <c r="DK55" i="243"/>
  <c r="AZ55" i="243"/>
  <c r="F55" i="243"/>
  <c r="D55" i="243"/>
  <c r="DO54" i="243"/>
  <c r="DM54" i="243"/>
  <c r="DL54" i="243"/>
  <c r="AZ54" i="243"/>
  <c r="BG63" i="243"/>
  <c r="F54" i="243"/>
  <c r="DO53" i="243"/>
  <c r="DM53" i="243"/>
  <c r="F53" i="243"/>
  <c r="DO52" i="243"/>
  <c r="DM52" i="243"/>
  <c r="DL48" i="243"/>
  <c r="DL52" i="243" s="1"/>
  <c r="M52" i="243"/>
  <c r="F52" i="243"/>
  <c r="DO51" i="243"/>
  <c r="M51" i="243"/>
  <c r="F51" i="243"/>
  <c r="D51" i="243"/>
  <c r="DM50" i="243"/>
  <c r="DL50" i="243"/>
  <c r="F50" i="243"/>
  <c r="DM49" i="243"/>
  <c r="DL49" i="243"/>
  <c r="DL53" i="243" s="1"/>
  <c r="BG49" i="243"/>
  <c r="F49" i="243"/>
  <c r="DM48" i="243"/>
  <c r="F48" i="243"/>
  <c r="DL47" i="243"/>
  <c r="DL51" i="243" s="1"/>
  <c r="BJ47" i="243"/>
  <c r="BI47" i="243"/>
  <c r="BH47" i="243"/>
  <c r="F47" i="243"/>
  <c r="D47" i="243"/>
  <c r="DM46" i="243"/>
  <c r="DL46" i="243"/>
  <c r="BC46" i="243"/>
  <c r="BB46" i="243"/>
  <c r="BA46" i="243"/>
  <c r="F46" i="243"/>
  <c r="DM45" i="243"/>
  <c r="DL45" i="243"/>
  <c r="BC45" i="243"/>
  <c r="BB45" i="243"/>
  <c r="BA45" i="243"/>
  <c r="F45" i="243"/>
  <c r="DM44" i="243"/>
  <c r="DL44" i="243"/>
  <c r="AZ44" i="243"/>
  <c r="BG52" i="243"/>
  <c r="M44" i="243"/>
  <c r="F44" i="243"/>
  <c r="DL43" i="243"/>
  <c r="AZ43" i="243"/>
  <c r="BG51" i="243" s="1"/>
  <c r="M43" i="243"/>
  <c r="F43" i="243"/>
  <c r="D43" i="243"/>
  <c r="DM42" i="243"/>
  <c r="DL42" i="243"/>
  <c r="AZ42" i="243"/>
  <c r="M42" i="243"/>
  <c r="F42" i="243"/>
  <c r="DM41" i="243"/>
  <c r="DL41" i="243"/>
  <c r="AZ41" i="243"/>
  <c r="BG48" i="243"/>
  <c r="F41" i="243"/>
  <c r="DM40" i="243"/>
  <c r="DL40" i="243"/>
  <c r="BG40" i="243"/>
  <c r="M40" i="243"/>
  <c r="F40" i="243"/>
  <c r="DL39" i="243"/>
  <c r="BG39" i="243"/>
  <c r="M39" i="243"/>
  <c r="F39" i="243"/>
  <c r="D39" i="243"/>
  <c r="DM38" i="243"/>
  <c r="DL38" i="243"/>
  <c r="F38" i="243"/>
  <c r="DM37" i="243"/>
  <c r="DL37" i="243"/>
  <c r="BG37" i="243"/>
  <c r="M37" i="243"/>
  <c r="F37" i="243"/>
  <c r="DM36" i="243"/>
  <c r="DL36" i="243"/>
  <c r="BG36" i="243"/>
  <c r="M36" i="243"/>
  <c r="F36" i="243"/>
  <c r="DL35" i="243"/>
  <c r="BG35" i="243"/>
  <c r="M35" i="243"/>
  <c r="F35" i="243"/>
  <c r="D35" i="243"/>
  <c r="DM34" i="243"/>
  <c r="DL34" i="243"/>
  <c r="F34" i="243"/>
  <c r="DM33" i="243"/>
  <c r="DL33" i="243"/>
  <c r="BG33" i="243"/>
  <c r="F33" i="243"/>
  <c r="DM32" i="243"/>
  <c r="DL32" i="243"/>
  <c r="BG32" i="243"/>
  <c r="M32" i="243"/>
  <c r="F32" i="243"/>
  <c r="DL31" i="243"/>
  <c r="DK31" i="243"/>
  <c r="BG31" i="243"/>
  <c r="M31" i="243"/>
  <c r="F31" i="243"/>
  <c r="D31" i="243"/>
  <c r="DO30" i="243"/>
  <c r="DM30" i="243"/>
  <c r="M30" i="243"/>
  <c r="F30" i="243"/>
  <c r="DO29" i="243"/>
  <c r="DM29" i="243"/>
  <c r="BG29" i="243"/>
  <c r="F29" i="243"/>
  <c r="DO28" i="243"/>
  <c r="DM28" i="243"/>
  <c r="BG28" i="243"/>
  <c r="M28" i="243"/>
  <c r="F28" i="243"/>
  <c r="DO27" i="243"/>
  <c r="BG27" i="243"/>
  <c r="M27" i="243"/>
  <c r="F27" i="243"/>
  <c r="D27" i="243"/>
  <c r="DM26" i="243"/>
  <c r="DL26" i="243"/>
  <c r="DL30" i="243" s="1"/>
  <c r="F26" i="243"/>
  <c r="DM25" i="243"/>
  <c r="DL25" i="243"/>
  <c r="DL29" i="243" s="1"/>
  <c r="BG25" i="243"/>
  <c r="F25" i="243"/>
  <c r="DM24" i="243"/>
  <c r="DL24" i="243"/>
  <c r="DL28" i="243" s="1"/>
  <c r="BG24" i="243"/>
  <c r="F24" i="243"/>
  <c r="DL23" i="243"/>
  <c r="DL27" i="243" s="1"/>
  <c r="BG23" i="243"/>
  <c r="F23" i="243"/>
  <c r="E23" i="243"/>
  <c r="D23" i="243"/>
  <c r="DM22" i="243"/>
  <c r="DL22" i="243"/>
  <c r="M22" i="243"/>
  <c r="F22" i="243"/>
  <c r="DM21" i="243"/>
  <c r="DL21" i="243"/>
  <c r="BG21" i="243"/>
  <c r="M21" i="243"/>
  <c r="F21" i="243"/>
  <c r="DM20" i="243"/>
  <c r="DL20" i="243"/>
  <c r="BG20" i="243"/>
  <c r="M20" i="243"/>
  <c r="F20" i="243"/>
  <c r="DL19" i="243"/>
  <c r="BG19" i="243"/>
  <c r="M19" i="243"/>
  <c r="F19" i="243"/>
  <c r="D19" i="243"/>
  <c r="DM18" i="243"/>
  <c r="DN18" i="243" s="1"/>
  <c r="DL18" i="243"/>
  <c r="M18" i="243"/>
  <c r="F18" i="243"/>
  <c r="DM17" i="243"/>
  <c r="DL17" i="243"/>
  <c r="BG17" i="243"/>
  <c r="M17" i="243"/>
  <c r="F17" i="243"/>
  <c r="DM16" i="243"/>
  <c r="DN16" i="243" s="1"/>
  <c r="DL16" i="243"/>
  <c r="BV16" i="243"/>
  <c r="BU16" i="243"/>
  <c r="BG16" i="243"/>
  <c r="M16" i="243"/>
  <c r="F16" i="243"/>
  <c r="DL15" i="243"/>
  <c r="BW15" i="243"/>
  <c r="BV15" i="243"/>
  <c r="BG15" i="243"/>
  <c r="F15" i="243"/>
  <c r="E15" i="243"/>
  <c r="D15" i="243"/>
  <c r="DM14" i="243"/>
  <c r="DL14" i="243"/>
  <c r="M14" i="243"/>
  <c r="F14" i="243"/>
  <c r="DM13" i="243"/>
  <c r="DL13" i="243"/>
  <c r="BG13" i="243"/>
  <c r="F13" i="243"/>
  <c r="DM12" i="243"/>
  <c r="DL12" i="243"/>
  <c r="BG12" i="243"/>
  <c r="M12" i="243"/>
  <c r="F12" i="243"/>
  <c r="DL11" i="243"/>
  <c r="BG11" i="243"/>
  <c r="M11" i="243"/>
  <c r="F11" i="243"/>
  <c r="D11" i="243"/>
  <c r="DM10" i="243"/>
  <c r="DL10" i="243"/>
  <c r="M10" i="243"/>
  <c r="F10" i="243"/>
  <c r="DM9" i="243"/>
  <c r="DL9" i="243"/>
  <c r="BG9" i="243"/>
  <c r="M9" i="243"/>
  <c r="F9" i="243"/>
  <c r="DM8" i="243"/>
  <c r="DL8" i="243"/>
  <c r="BG8" i="243"/>
  <c r="AB8" i="243"/>
  <c r="AB32" i="243" s="1"/>
  <c r="AB56" i="243" s="1"/>
  <c r="AB80" i="243" s="1"/>
  <c r="M8" i="243"/>
  <c r="F8" i="243"/>
  <c r="DL7" i="243"/>
  <c r="DK7" i="243"/>
  <c r="BG7" i="243"/>
  <c r="M7" i="243"/>
  <c r="F7" i="243"/>
  <c r="D7" i="243"/>
  <c r="X6" i="243"/>
  <c r="W6" i="243"/>
  <c r="V6" i="243"/>
  <c r="U6" i="243"/>
  <c r="T6" i="243"/>
  <c r="S6" i="243"/>
  <c r="R6" i="243"/>
  <c r="Q6" i="243"/>
  <c r="P6" i="243"/>
  <c r="O6" i="243"/>
  <c r="F36" i="231"/>
  <c r="F35" i="231"/>
  <c r="D35" i="231"/>
  <c r="C17" i="291" s="1"/>
  <c r="F34" i="231"/>
  <c r="F33" i="231"/>
  <c r="D33" i="231"/>
  <c r="C12" i="261" s="1"/>
  <c r="F32" i="231"/>
  <c r="F31" i="231"/>
  <c r="F30" i="231"/>
  <c r="F29" i="231"/>
  <c r="D29" i="231"/>
  <c r="C27" i="247" s="1"/>
  <c r="G28" i="231"/>
  <c r="F28" i="231"/>
  <c r="F27" i="231"/>
  <c r="D27" i="231"/>
  <c r="C7" i="287" s="1"/>
  <c r="F25" i="231"/>
  <c r="F24" i="231"/>
  <c r="D24" i="231"/>
  <c r="C18" i="250" s="1"/>
  <c r="F23" i="231"/>
  <c r="F22" i="231"/>
  <c r="D22" i="231"/>
  <c r="C35" i="250" s="1"/>
  <c r="F21" i="231"/>
  <c r="F20" i="231"/>
  <c r="D20" i="231"/>
  <c r="C30" i="286" s="1"/>
  <c r="F19" i="231"/>
  <c r="F17" i="231"/>
  <c r="F18" i="231"/>
  <c r="F16" i="231"/>
  <c r="F15" i="231"/>
  <c r="F14" i="231"/>
  <c r="D14" i="231"/>
  <c r="C12" i="266" s="1"/>
  <c r="F13" i="231"/>
  <c r="D13" i="231"/>
  <c r="C21" i="266" s="1"/>
  <c r="F12" i="231"/>
  <c r="D12" i="231"/>
  <c r="C7" i="266" s="1"/>
  <c r="F11" i="231"/>
  <c r="D11" i="231"/>
  <c r="C99" i="243" s="1"/>
  <c r="F10" i="231"/>
  <c r="D10" i="231"/>
  <c r="C23" i="243" s="1"/>
  <c r="F9" i="231"/>
  <c r="F8" i="231"/>
  <c r="D8" i="231"/>
  <c r="C87" i="243" s="1"/>
  <c r="F7" i="231"/>
  <c r="D7" i="231"/>
  <c r="C35" i="243" s="1"/>
  <c r="F6" i="231"/>
  <c r="D9" i="231"/>
  <c r="C91" i="243" s="1"/>
  <c r="S141" i="243"/>
  <c r="D216" i="233"/>
  <c r="C216" i="233"/>
  <c r="B216" i="233"/>
  <c r="C215" i="233"/>
  <c r="B215" i="233"/>
  <c r="D213" i="233"/>
  <c r="C213" i="233"/>
  <c r="B213" i="233"/>
  <c r="D211" i="233"/>
  <c r="C211" i="233"/>
  <c r="B211" i="233"/>
  <c r="D209" i="233"/>
  <c r="C209" i="233"/>
  <c r="B209" i="233"/>
  <c r="D208" i="233"/>
  <c r="C208" i="233"/>
  <c r="B208" i="233"/>
  <c r="D207" i="233"/>
  <c r="C207" i="233"/>
  <c r="B207" i="233"/>
  <c r="D204" i="233"/>
  <c r="C204" i="233"/>
  <c r="B204" i="233"/>
  <c r="D203" i="233"/>
  <c r="C203" i="233"/>
  <c r="B203" i="233"/>
  <c r="D202" i="233"/>
  <c r="C202" i="233"/>
  <c r="B202" i="233"/>
  <c r="D201" i="233"/>
  <c r="D200" i="233"/>
  <c r="E194" i="233"/>
  <c r="D194" i="233"/>
  <c r="E193" i="233"/>
  <c r="D193" i="233"/>
  <c r="E192" i="233"/>
  <c r="D192" i="233"/>
  <c r="B192" i="233"/>
  <c r="E191" i="233"/>
  <c r="D191" i="233"/>
  <c r="B191" i="233"/>
  <c r="E190" i="233"/>
  <c r="D190" i="233"/>
  <c r="B190" i="233"/>
  <c r="E189" i="233"/>
  <c r="D189" i="233"/>
  <c r="B189" i="233"/>
  <c r="E188" i="233"/>
  <c r="D188" i="233"/>
  <c r="B188" i="233"/>
  <c r="E187" i="233"/>
  <c r="D187" i="233"/>
  <c r="B187" i="233"/>
  <c r="E186" i="233"/>
  <c r="D186" i="233"/>
  <c r="B186" i="233"/>
  <c r="E185" i="233"/>
  <c r="D185" i="233"/>
  <c r="B185" i="233"/>
  <c r="E184" i="233"/>
  <c r="D184" i="233"/>
  <c r="B184" i="233"/>
  <c r="E183" i="233"/>
  <c r="D183" i="233"/>
  <c r="B183" i="233"/>
  <c r="E182" i="233"/>
  <c r="D182" i="233"/>
  <c r="B182" i="233"/>
  <c r="B180" i="233"/>
  <c r="J177" i="233"/>
  <c r="I177" i="233"/>
  <c r="H177" i="233"/>
  <c r="G177" i="233"/>
  <c r="F177" i="233"/>
  <c r="E177" i="233"/>
  <c r="D177" i="233"/>
  <c r="C177" i="233"/>
  <c r="B177" i="233"/>
  <c r="J176" i="233"/>
  <c r="I176" i="233"/>
  <c r="H176" i="233"/>
  <c r="G176" i="233"/>
  <c r="F176" i="233"/>
  <c r="D176" i="233"/>
  <c r="C176" i="233"/>
  <c r="B176" i="233"/>
  <c r="J175" i="233"/>
  <c r="I175" i="233"/>
  <c r="H175" i="233"/>
  <c r="G175" i="233"/>
  <c r="F175" i="233"/>
  <c r="E175" i="233"/>
  <c r="D175" i="233"/>
  <c r="C175" i="233"/>
  <c r="B175" i="233"/>
  <c r="J174" i="233"/>
  <c r="I174" i="233"/>
  <c r="H174" i="233"/>
  <c r="G174" i="233"/>
  <c r="F174" i="233"/>
  <c r="D174" i="233"/>
  <c r="C174" i="233"/>
  <c r="B174" i="233"/>
  <c r="J173" i="233"/>
  <c r="I173" i="233"/>
  <c r="H173" i="233"/>
  <c r="G173" i="233"/>
  <c r="F173" i="233"/>
  <c r="E173" i="233"/>
  <c r="D173" i="233"/>
  <c r="C173" i="233"/>
  <c r="B173" i="233"/>
  <c r="J172" i="233"/>
  <c r="I172" i="233"/>
  <c r="H172" i="233"/>
  <c r="G172" i="233"/>
  <c r="F172" i="233"/>
  <c r="E172" i="233"/>
  <c r="D172" i="233"/>
  <c r="C172" i="233"/>
  <c r="B172" i="233"/>
  <c r="J171" i="233"/>
  <c r="I171" i="233"/>
  <c r="H171" i="233"/>
  <c r="G171" i="233"/>
  <c r="F171" i="233"/>
  <c r="E171" i="233"/>
  <c r="D171" i="233"/>
  <c r="C171" i="233"/>
  <c r="B171" i="233"/>
  <c r="J169" i="233"/>
  <c r="I169" i="233"/>
  <c r="H169" i="233"/>
  <c r="G169" i="233"/>
  <c r="F169" i="233"/>
  <c r="E169" i="233"/>
  <c r="D169" i="233"/>
  <c r="C169" i="233"/>
  <c r="B169" i="233"/>
  <c r="J168" i="233"/>
  <c r="I168" i="233"/>
  <c r="H168" i="233"/>
  <c r="G168" i="233"/>
  <c r="F168" i="233"/>
  <c r="E168" i="233"/>
  <c r="D168" i="233"/>
  <c r="C168" i="233"/>
  <c r="B168" i="233"/>
  <c r="J167" i="233"/>
  <c r="I167" i="233"/>
  <c r="H167" i="233"/>
  <c r="G167" i="233"/>
  <c r="F167" i="233"/>
  <c r="E167" i="233"/>
  <c r="D167" i="233"/>
  <c r="C167" i="233"/>
  <c r="B167" i="233"/>
  <c r="J166" i="233"/>
  <c r="I166" i="233"/>
  <c r="H166" i="233"/>
  <c r="G166" i="233"/>
  <c r="F166" i="233"/>
  <c r="E166" i="233"/>
  <c r="D166" i="233"/>
  <c r="C166" i="233"/>
  <c r="B166" i="233"/>
  <c r="J164" i="233"/>
  <c r="I164" i="233"/>
  <c r="H164" i="233"/>
  <c r="G164" i="233"/>
  <c r="F164" i="233"/>
  <c r="E164" i="233"/>
  <c r="D164" i="233"/>
  <c r="C164" i="233"/>
  <c r="B164" i="233"/>
  <c r="B162" i="233"/>
  <c r="J158" i="233"/>
  <c r="I158" i="233"/>
  <c r="H158" i="233"/>
  <c r="G158" i="233"/>
  <c r="F158" i="233"/>
  <c r="E158" i="233"/>
  <c r="D158" i="233"/>
  <c r="C158" i="233"/>
  <c r="B158" i="233"/>
  <c r="J157" i="233"/>
  <c r="I157" i="233"/>
  <c r="H157" i="233"/>
  <c r="G157" i="233"/>
  <c r="E157" i="233"/>
  <c r="L60" i="233" s="1"/>
  <c r="D157" i="233"/>
  <c r="C157" i="233"/>
  <c r="B157" i="233"/>
  <c r="J156" i="233"/>
  <c r="I156" i="233"/>
  <c r="H156" i="233"/>
  <c r="G156" i="233"/>
  <c r="E156" i="233"/>
  <c r="D156" i="233"/>
  <c r="C156" i="233"/>
  <c r="B156" i="233"/>
  <c r="J155" i="233"/>
  <c r="I155" i="233"/>
  <c r="H155" i="233"/>
  <c r="G155" i="233"/>
  <c r="F155" i="233"/>
  <c r="E155" i="233"/>
  <c r="D155" i="233"/>
  <c r="C155" i="233"/>
  <c r="B155" i="233"/>
  <c r="B154" i="233"/>
  <c r="J152" i="233"/>
  <c r="I152" i="233"/>
  <c r="H152" i="233"/>
  <c r="G152" i="233"/>
  <c r="F152" i="233"/>
  <c r="E152" i="233"/>
  <c r="D152" i="233"/>
  <c r="C152" i="233"/>
  <c r="B152" i="233"/>
  <c r="J151" i="233"/>
  <c r="I151" i="233"/>
  <c r="H151" i="233"/>
  <c r="G151" i="233"/>
  <c r="F151" i="233"/>
  <c r="E151" i="233"/>
  <c r="D151" i="233"/>
  <c r="C151" i="233"/>
  <c r="B151" i="233"/>
  <c r="J150" i="233"/>
  <c r="I150" i="233"/>
  <c r="H150" i="233"/>
  <c r="G150" i="233"/>
  <c r="F150" i="233"/>
  <c r="E150" i="233"/>
  <c r="D150" i="233"/>
  <c r="C150" i="233"/>
  <c r="B150" i="233"/>
  <c r="J149" i="233"/>
  <c r="I149" i="233"/>
  <c r="H149" i="233"/>
  <c r="G149" i="233"/>
  <c r="F149" i="233"/>
  <c r="E149" i="233"/>
  <c r="D149" i="233"/>
  <c r="C149" i="233"/>
  <c r="B149" i="233"/>
  <c r="B147" i="233"/>
  <c r="J144" i="233"/>
  <c r="I144" i="233"/>
  <c r="H144" i="233"/>
  <c r="G144" i="233"/>
  <c r="F144" i="233"/>
  <c r="E144" i="233"/>
  <c r="D144" i="233"/>
  <c r="C144" i="233"/>
  <c r="B144" i="233"/>
  <c r="J143" i="233"/>
  <c r="H143" i="233"/>
  <c r="G143" i="233"/>
  <c r="F143" i="233"/>
  <c r="E143" i="233"/>
  <c r="L65" i="233" s="1"/>
  <c r="E95" i="233" s="1"/>
  <c r="D143" i="233"/>
  <c r="C143" i="233"/>
  <c r="B143" i="233"/>
  <c r="I142" i="233"/>
  <c r="H142" i="233"/>
  <c r="G142" i="233"/>
  <c r="E142" i="233"/>
  <c r="D142" i="233"/>
  <c r="C142" i="233"/>
  <c r="B142" i="233"/>
  <c r="J141" i="233"/>
  <c r="I141" i="233"/>
  <c r="H141" i="233"/>
  <c r="G141" i="233"/>
  <c r="F141" i="233"/>
  <c r="E141" i="233"/>
  <c r="D141" i="233"/>
  <c r="C141" i="233"/>
  <c r="B141" i="233"/>
  <c r="B140" i="233"/>
  <c r="J138" i="233"/>
  <c r="I138" i="233"/>
  <c r="H138" i="233"/>
  <c r="G138" i="233"/>
  <c r="F138" i="233"/>
  <c r="E138" i="233"/>
  <c r="D138" i="233"/>
  <c r="C138" i="233"/>
  <c r="B138" i="233"/>
  <c r="J137" i="233"/>
  <c r="I137" i="233"/>
  <c r="H137" i="233"/>
  <c r="G137" i="233"/>
  <c r="F137" i="233"/>
  <c r="E137" i="233"/>
  <c r="D137" i="233"/>
  <c r="C137" i="233"/>
  <c r="B137" i="233"/>
  <c r="U136" i="233"/>
  <c r="U137" i="233"/>
  <c r="T136" i="233"/>
  <c r="T137" i="233" s="1"/>
  <c r="S136" i="233"/>
  <c r="S137" i="233"/>
  <c r="J136" i="233"/>
  <c r="I136" i="233"/>
  <c r="H136" i="233"/>
  <c r="G136" i="233"/>
  <c r="F136" i="233"/>
  <c r="E136" i="233"/>
  <c r="D136" i="233"/>
  <c r="C136" i="233"/>
  <c r="B136" i="233"/>
  <c r="J135" i="233"/>
  <c r="I135" i="233"/>
  <c r="H135" i="233"/>
  <c r="G135" i="233"/>
  <c r="F135" i="233"/>
  <c r="E135" i="233"/>
  <c r="D135" i="233"/>
  <c r="C135" i="233"/>
  <c r="B135" i="233"/>
  <c r="U134" i="233"/>
  <c r="B133" i="233"/>
  <c r="J128" i="233"/>
  <c r="I128" i="233"/>
  <c r="G128" i="233"/>
  <c r="F128" i="233"/>
  <c r="E128" i="233"/>
  <c r="L64" i="233" s="1"/>
  <c r="D128" i="233"/>
  <c r="C128" i="233"/>
  <c r="B128" i="233"/>
  <c r="J127" i="233"/>
  <c r="I127" i="233"/>
  <c r="H127" i="233"/>
  <c r="G127" i="233"/>
  <c r="F127" i="233"/>
  <c r="D127" i="233"/>
  <c r="C127" i="233"/>
  <c r="B127" i="233"/>
  <c r="AG126" i="233"/>
  <c r="AF126" i="233"/>
  <c r="AE126" i="233"/>
  <c r="AD126" i="233"/>
  <c r="AC126" i="233"/>
  <c r="AB126" i="233"/>
  <c r="AA126" i="233"/>
  <c r="Z126" i="233"/>
  <c r="Y126" i="233"/>
  <c r="X126" i="233"/>
  <c r="W126" i="233"/>
  <c r="I126" i="233"/>
  <c r="H126" i="233"/>
  <c r="G126" i="233"/>
  <c r="F126" i="233"/>
  <c r="E126" i="233"/>
  <c r="L63" i="233" s="1"/>
  <c r="D126" i="233"/>
  <c r="C126" i="233"/>
  <c r="B126" i="233"/>
  <c r="J125" i="233"/>
  <c r="I125" i="233"/>
  <c r="H125" i="233"/>
  <c r="E125" i="233"/>
  <c r="D125" i="233"/>
  <c r="C125" i="233"/>
  <c r="B125" i="233"/>
  <c r="AG124" i="233"/>
  <c r="AF124" i="233"/>
  <c r="AE124" i="233"/>
  <c r="AD124" i="233"/>
  <c r="AC124" i="233"/>
  <c r="AB124" i="233"/>
  <c r="AA124" i="233"/>
  <c r="Z124" i="233"/>
  <c r="Y124" i="233"/>
  <c r="X124" i="233"/>
  <c r="W124" i="233"/>
  <c r="J124" i="233"/>
  <c r="I124" i="233"/>
  <c r="H124" i="233"/>
  <c r="G124" i="233"/>
  <c r="F124" i="233"/>
  <c r="E124" i="233"/>
  <c r="D124" i="233"/>
  <c r="C124" i="233"/>
  <c r="B124" i="233"/>
  <c r="AG123" i="233"/>
  <c r="AF123" i="233"/>
  <c r="AE123" i="233"/>
  <c r="AD123" i="233"/>
  <c r="AC123" i="233"/>
  <c r="AB123" i="233"/>
  <c r="AA123" i="233"/>
  <c r="Z123" i="233"/>
  <c r="Y123" i="233"/>
  <c r="X123" i="233"/>
  <c r="W123" i="233"/>
  <c r="B123" i="233"/>
  <c r="AG122" i="233"/>
  <c r="AF122" i="233"/>
  <c r="AE122" i="233"/>
  <c r="AD122" i="233"/>
  <c r="AC122" i="233"/>
  <c r="AB122" i="233"/>
  <c r="AA122" i="233"/>
  <c r="Z122" i="233"/>
  <c r="Y122" i="233"/>
  <c r="X122" i="233"/>
  <c r="W122" i="233"/>
  <c r="AG121" i="233"/>
  <c r="AF121" i="233"/>
  <c r="L31" i="233" s="1"/>
  <c r="AE121" i="233"/>
  <c r="AI121" i="233" s="1"/>
  <c r="AD121" i="233"/>
  <c r="AC121" i="233"/>
  <c r="AB121" i="233"/>
  <c r="AA121" i="233"/>
  <c r="Z121" i="233"/>
  <c r="Y121" i="233"/>
  <c r="X121" i="233"/>
  <c r="W121" i="233"/>
  <c r="AG120" i="233"/>
  <c r="AF120" i="233"/>
  <c r="AE120" i="233"/>
  <c r="AD120" i="233"/>
  <c r="AC120" i="233"/>
  <c r="AB120" i="233"/>
  <c r="AA120" i="233"/>
  <c r="Z120" i="233"/>
  <c r="Y120" i="233"/>
  <c r="X120" i="233"/>
  <c r="W120" i="233"/>
  <c r="AG119" i="233"/>
  <c r="AF119" i="233"/>
  <c r="AE119" i="233"/>
  <c r="AD119" i="233"/>
  <c r="AC119" i="233"/>
  <c r="AB119" i="233"/>
  <c r="AA119" i="233"/>
  <c r="Z119" i="233"/>
  <c r="Y119" i="233"/>
  <c r="X119" i="233"/>
  <c r="W119" i="233"/>
  <c r="B119" i="233"/>
  <c r="J117" i="233"/>
  <c r="I117" i="233"/>
  <c r="H117" i="233"/>
  <c r="G117" i="233"/>
  <c r="F117" i="233"/>
  <c r="E117" i="233"/>
  <c r="D117" i="233"/>
  <c r="C117" i="233"/>
  <c r="B117" i="233"/>
  <c r="J116" i="233"/>
  <c r="I116" i="233"/>
  <c r="H116" i="233"/>
  <c r="G116" i="233"/>
  <c r="F116" i="233"/>
  <c r="E116" i="233"/>
  <c r="D116" i="233"/>
  <c r="C116" i="233"/>
  <c r="B116" i="233"/>
  <c r="J115" i="233"/>
  <c r="I115" i="233"/>
  <c r="H115" i="233"/>
  <c r="G115" i="233"/>
  <c r="F115" i="233"/>
  <c r="E115" i="233"/>
  <c r="D115" i="233"/>
  <c r="C115" i="233"/>
  <c r="B115" i="233"/>
  <c r="J114" i="233"/>
  <c r="I114" i="233"/>
  <c r="H114" i="233"/>
  <c r="G114" i="233"/>
  <c r="F114" i="233"/>
  <c r="E114" i="233"/>
  <c r="D114" i="233"/>
  <c r="C114" i="233"/>
  <c r="B114" i="233"/>
  <c r="J113" i="233"/>
  <c r="I113" i="233"/>
  <c r="H113" i="233"/>
  <c r="G113" i="233"/>
  <c r="F113" i="233"/>
  <c r="E113" i="233"/>
  <c r="D113" i="233"/>
  <c r="C113" i="233"/>
  <c r="B113" i="233"/>
  <c r="B111" i="233"/>
  <c r="B107" i="233"/>
  <c r="Q106" i="233"/>
  <c r="E96" i="233"/>
  <c r="I90" i="233"/>
  <c r="I89" i="233"/>
  <c r="E89" i="233"/>
  <c r="I88" i="233"/>
  <c r="E88" i="233"/>
  <c r="E87" i="233"/>
  <c r="I86" i="233"/>
  <c r="E86" i="233"/>
  <c r="E85" i="233"/>
  <c r="L83" i="233"/>
  <c r="M83" i="233"/>
  <c r="I83" i="233"/>
  <c r="I91" i="233" s="1"/>
  <c r="E83" i="233"/>
  <c r="E82" i="233"/>
  <c r="F82" i="233" s="1"/>
  <c r="G82" i="233"/>
  <c r="L81" i="233"/>
  <c r="M81" i="233" s="1"/>
  <c r="I81" i="233"/>
  <c r="E81" i="233"/>
  <c r="L66" i="233"/>
  <c r="E94" i="233" s="1"/>
  <c r="L61" i="233"/>
  <c r="E58" i="233"/>
  <c r="E57" i="233"/>
  <c r="C50" i="233"/>
  <c r="B50" i="233"/>
  <c r="C49" i="233"/>
  <c r="B49" i="233"/>
  <c r="C47" i="233"/>
  <c r="B47" i="233"/>
  <c r="C46" i="233"/>
  <c r="B46" i="233"/>
  <c r="Z37" i="233"/>
  <c r="AA32" i="233"/>
  <c r="AA34" i="233"/>
  <c r="L33" i="233"/>
  <c r="AB28" i="233"/>
  <c r="AA28" i="233"/>
  <c r="Z28" i="233"/>
  <c r="Y28" i="233"/>
  <c r="X28" i="233"/>
  <c r="W28" i="233"/>
  <c r="AB27" i="233"/>
  <c r="AA27" i="233"/>
  <c r="Z27" i="233"/>
  <c r="Y27" i="233"/>
  <c r="X27" i="233"/>
  <c r="W27" i="233"/>
  <c r="V27" i="233"/>
  <c r="V26" i="233"/>
  <c r="P24" i="233"/>
  <c r="O24" i="233"/>
  <c r="N24" i="233"/>
  <c r="M24" i="233"/>
  <c r="L24" i="233"/>
  <c r="K24" i="233"/>
  <c r="J24" i="233"/>
  <c r="I24" i="233"/>
  <c r="H24" i="233"/>
  <c r="G24" i="233"/>
  <c r="F24" i="233"/>
  <c r="E24" i="233"/>
  <c r="D24" i="233"/>
  <c r="AC6" i="233"/>
  <c r="D30" i="234"/>
  <c r="D29" i="234"/>
  <c r="D28" i="234"/>
  <c r="D27" i="234"/>
  <c r="D26" i="234"/>
  <c r="D25" i="234"/>
  <c r="D24" i="234"/>
  <c r="D23" i="234"/>
  <c r="D22" i="234"/>
  <c r="D21" i="234"/>
  <c r="D20" i="234"/>
  <c r="D19" i="234"/>
  <c r="D18" i="234"/>
  <c r="D17" i="234"/>
  <c r="D16" i="234"/>
  <c r="D15" i="234"/>
  <c r="D14" i="234"/>
  <c r="D13" i="234"/>
  <c r="E26" i="291"/>
  <c r="E23" i="291"/>
  <c r="E31" i="250"/>
  <c r="E7" i="250"/>
  <c r="E15" i="250"/>
  <c r="E24" i="250"/>
  <c r="E16" i="250"/>
  <c r="E32" i="250"/>
  <c r="E25" i="291"/>
  <c r="E24" i="291"/>
  <c r="E23" i="250"/>
  <c r="C32" i="250"/>
  <c r="D36" i="231"/>
  <c r="C26" i="291" s="1"/>
  <c r="D23" i="231"/>
  <c r="C23" i="250" s="1"/>
  <c r="AA36" i="233"/>
  <c r="AA35" i="233"/>
  <c r="AA33" i="233"/>
  <c r="BW16" i="243"/>
  <c r="BX15" i="243"/>
  <c r="E18" i="261"/>
  <c r="E10" i="261"/>
  <c r="E14" i="261"/>
  <c r="E13" i="247"/>
  <c r="E25" i="245"/>
  <c r="E31" i="247"/>
  <c r="E14" i="245"/>
  <c r="E26" i="266"/>
  <c r="E6" i="247"/>
  <c r="E36" i="245"/>
  <c r="E27" i="247"/>
  <c r="E20" i="247"/>
  <c r="E28" i="245"/>
  <c r="E24" i="247"/>
  <c r="E48" i="266"/>
  <c r="E39" i="245"/>
  <c r="E47" i="245"/>
  <c r="E17" i="247"/>
  <c r="E37" i="266"/>
  <c r="E15" i="266"/>
  <c r="E6" i="245"/>
  <c r="E10" i="247"/>
  <c r="E17" i="245"/>
  <c r="D32" i="231"/>
  <c r="C6" i="261" s="1"/>
  <c r="E6" i="261"/>
  <c r="D31" i="231"/>
  <c r="C17" i="247" s="1"/>
  <c r="D6" i="231"/>
  <c r="C79" i="243" s="1"/>
  <c r="D17" i="231"/>
  <c r="C36" i="245" s="1"/>
  <c r="S136" i="243"/>
  <c r="D21" i="231"/>
  <c r="C29" i="250" s="1"/>
  <c r="D15" i="231"/>
  <c r="C37" i="266" s="1"/>
  <c r="D34" i="231"/>
  <c r="C15" i="291" s="1"/>
  <c r="J29" i="245"/>
  <c r="J33" i="245"/>
  <c r="D16" i="231"/>
  <c r="C39" i="245" s="1"/>
  <c r="E7" i="243"/>
  <c r="E31" i="243" s="1"/>
  <c r="E55" i="243" s="1"/>
  <c r="E91" i="233"/>
  <c r="C16" i="287"/>
  <c r="C13" i="287"/>
  <c r="M31" i="221"/>
  <c r="E31" i="221"/>
  <c r="L12" i="245"/>
  <c r="L10" i="245"/>
  <c r="J41" i="245"/>
  <c r="J45" i="245"/>
  <c r="BB81" i="243"/>
  <c r="M45" i="243"/>
  <c r="M41" i="243"/>
  <c r="E43" i="245"/>
  <c r="E10" i="245"/>
  <c r="E21" i="245"/>
  <c r="S139" i="243"/>
  <c r="E32" i="245"/>
  <c r="E19" i="243"/>
  <c r="E43" i="243" s="1"/>
  <c r="E29" i="247"/>
  <c r="E8" i="247"/>
  <c r="E22" i="247"/>
  <c r="E6" i="286"/>
  <c r="E15" i="247"/>
  <c r="S137" i="243"/>
  <c r="E23" i="286"/>
  <c r="E9" i="286"/>
  <c r="E13" i="286"/>
  <c r="E16" i="286"/>
  <c r="E30" i="286"/>
  <c r="E27" i="286"/>
  <c r="E11" i="243"/>
  <c r="E20" i="286"/>
  <c r="D30" i="231"/>
  <c r="C8" i="247" s="1"/>
  <c r="M33" i="243"/>
  <c r="I53" i="286"/>
  <c r="D19" i="231"/>
  <c r="C13" i="286" s="1"/>
  <c r="E27" i="243"/>
  <c r="M53" i="243"/>
  <c r="L29" i="245"/>
  <c r="L40" i="245"/>
  <c r="L18" i="245"/>
  <c r="L11" i="245"/>
  <c r="L22" i="245" s="1"/>
  <c r="R30" i="251"/>
  <c r="E39" i="243"/>
  <c r="Y139" i="243"/>
  <c r="I14" i="266"/>
  <c r="M35" i="221" s="1"/>
  <c r="M66" i="266"/>
  <c r="I17" i="266"/>
  <c r="P13" i="286"/>
  <c r="P27" i="286" s="1"/>
  <c r="D78" i="286"/>
  <c r="M29" i="221"/>
  <c r="V8" i="266"/>
  <c r="E29" i="221"/>
  <c r="S19" i="286"/>
  <c r="F15" i="221" s="1"/>
  <c r="M15" i="221"/>
  <c r="V7" i="286"/>
  <c r="S9" i="286" s="1"/>
  <c r="E12" i="221" s="1"/>
  <c r="V13" i="286"/>
  <c r="U167" i="284"/>
  <c r="V7" i="266"/>
  <c r="E28" i="221"/>
  <c r="M28" i="221"/>
  <c r="L13" i="247"/>
  <c r="K13" i="247"/>
  <c r="P16" i="286"/>
  <c r="P30" i="286"/>
  <c r="P23" i="286"/>
  <c r="S18" i="286"/>
  <c r="F14" i="221" s="1"/>
  <c r="L28" i="245"/>
  <c r="L39" i="245"/>
  <c r="L17" i="245"/>
  <c r="L19" i="245"/>
  <c r="L41" i="245"/>
  <c r="L30" i="245"/>
  <c r="S26" i="286"/>
  <c r="G15" i="221"/>
  <c r="L53" i="286"/>
  <c r="H131" i="284"/>
  <c r="J127" i="284"/>
  <c r="K6" i="286"/>
  <c r="K9" i="286" s="1"/>
  <c r="M9" i="286" s="1"/>
  <c r="Z21" i="286" s="1"/>
  <c r="L17" i="286"/>
  <c r="L31" i="286" s="1"/>
  <c r="D105" i="280"/>
  <c r="N461" i="283"/>
  <c r="U161" i="284"/>
  <c r="AF160" i="284"/>
  <c r="J442" i="277"/>
  <c r="H442" i="277"/>
  <c r="C443" i="277"/>
  <c r="C444" i="277" s="1"/>
  <c r="I442" i="277"/>
  <c r="J19" i="245"/>
  <c r="L47" i="245"/>
  <c r="F193" i="277"/>
  <c r="O193" i="277"/>
  <c r="V19" i="266"/>
  <c r="F29" i="221" s="1"/>
  <c r="V18" i="266"/>
  <c r="F28" i="221" s="1"/>
  <c r="L37" i="245"/>
  <c r="L48" i="245"/>
  <c r="J42" i="250"/>
  <c r="J13" i="250" s="1"/>
  <c r="J21" i="250" s="1"/>
  <c r="J29" i="250" s="1"/>
  <c r="J37" i="250" s="1"/>
  <c r="J7" i="291"/>
  <c r="J19" i="291" s="1"/>
  <c r="I35" i="266"/>
  <c r="P8" i="247"/>
  <c r="P22" i="247"/>
  <c r="P15" i="247"/>
  <c r="V16" i="247"/>
  <c r="P13" i="247"/>
  <c r="V13" i="247" s="1"/>
  <c r="P6" i="247"/>
  <c r="AC6" i="247" s="1"/>
  <c r="AC7" i="247"/>
  <c r="F194" i="277"/>
  <c r="G18" i="267"/>
  <c r="J18" i="267"/>
  <c r="I18" i="267"/>
  <c r="BF94" i="276"/>
  <c r="N65" i="277"/>
  <c r="N81" i="277"/>
  <c r="N97" i="277"/>
  <c r="M484" i="283"/>
  <c r="N457" i="283"/>
  <c r="K7" i="266"/>
  <c r="K18" i="266" s="1"/>
  <c r="M480" i="283"/>
  <c r="M476" i="283"/>
  <c r="T21" i="282"/>
  <c r="U20" i="282" s="1"/>
  <c r="K59" i="282" s="1"/>
  <c r="I45" i="266"/>
  <c r="S45" i="266"/>
  <c r="N61" i="277"/>
  <c r="N77" i="277"/>
  <c r="N93" i="277"/>
  <c r="AY145" i="283"/>
  <c r="AX145" i="283"/>
  <c r="AW145" i="283"/>
  <c r="S463" i="283"/>
  <c r="F468" i="283"/>
  <c r="V9" i="247"/>
  <c r="O16" i="280"/>
  <c r="O47" i="280"/>
  <c r="N17" i="247" s="1"/>
  <c r="AM12" i="247" s="1"/>
  <c r="P14" i="280"/>
  <c r="H11" i="247" s="1"/>
  <c r="O31" i="280"/>
  <c r="O39" i="280"/>
  <c r="G45" i="221" s="1"/>
  <c r="Y26" i="247" s="1"/>
  <c r="N62" i="277"/>
  <c r="N78" i="277"/>
  <c r="N94" i="277"/>
  <c r="N103" i="277"/>
  <c r="T45" i="221"/>
  <c r="F73" i="285"/>
  <c r="F49" i="285"/>
  <c r="F50" i="285" s="1"/>
  <c r="V21" i="247"/>
  <c r="G37" i="261"/>
  <c r="Q227" i="277"/>
  <c r="W450" i="283"/>
  <c r="L15" i="266"/>
  <c r="J450" i="283"/>
  <c r="F461" i="283"/>
  <c r="K20" i="247"/>
  <c r="AR23" i="284"/>
  <c r="F261" i="284"/>
  <c r="O111" i="277"/>
  <c r="G25" i="267"/>
  <c r="G13" i="267"/>
  <c r="F13" i="267"/>
  <c r="F18" i="267" s="1"/>
  <c r="AI114" i="243" s="1"/>
  <c r="AI116" i="243" s="1"/>
  <c r="I30" i="267"/>
  <c r="H30" i="267"/>
  <c r="AJ143" i="243" s="1"/>
  <c r="N30" i="267"/>
  <c r="O30" i="267"/>
  <c r="M30" i="267"/>
  <c r="L30" i="267"/>
  <c r="K30" i="267"/>
  <c r="J30" i="267"/>
  <c r="AU23" i="284"/>
  <c r="AU26" i="284" s="1"/>
  <c r="J129" i="284"/>
  <c r="P15" i="280"/>
  <c r="H12" i="247"/>
  <c r="H19" i="247" s="1"/>
  <c r="G463" i="283"/>
  <c r="G468" i="283" s="1"/>
  <c r="U462" i="283"/>
  <c r="U469" i="283" s="1"/>
  <c r="N53" i="277"/>
  <c r="N69" i="277"/>
  <c r="N85" i="277"/>
  <c r="N100" i="277"/>
  <c r="N109" i="277"/>
  <c r="J322" i="277"/>
  <c r="D215" i="233" s="1"/>
  <c r="G39" i="267"/>
  <c r="J39" i="267"/>
  <c r="I39" i="267"/>
  <c r="O39" i="267"/>
  <c r="P39" i="267"/>
  <c r="N39" i="267"/>
  <c r="M39" i="267"/>
  <c r="K39" i="267"/>
  <c r="H39" i="267"/>
  <c r="AE33" i="268"/>
  <c r="E111" i="282"/>
  <c r="N20" i="282"/>
  <c r="T20" i="282"/>
  <c r="G461" i="283"/>
  <c r="AE8" i="251"/>
  <c r="W21" i="251"/>
  <c r="Q57" i="253"/>
  <c r="L14" i="289"/>
  <c r="AG14" i="268"/>
  <c r="AG15" i="268"/>
  <c r="F20" i="282"/>
  <c r="T39" i="251"/>
  <c r="U39" i="251"/>
  <c r="D276" i="277"/>
  <c r="E174" i="233" s="1"/>
  <c r="P487" i="283"/>
  <c r="H48" i="266" s="1"/>
  <c r="P475" i="283"/>
  <c r="H15" i="266"/>
  <c r="P463" i="283"/>
  <c r="P468" i="283"/>
  <c r="T19" i="282"/>
  <c r="K135" i="282"/>
  <c r="E102" i="282"/>
  <c r="N19" i="282" s="1"/>
  <c r="L43" i="251"/>
  <c r="G460" i="283"/>
  <c r="M460" i="283"/>
  <c r="AK84" i="289"/>
  <c r="AK83" i="289"/>
  <c r="AF37" i="268"/>
  <c r="AA46" i="282"/>
  <c r="R21" i="251"/>
  <c r="S15" i="281"/>
  <c r="U15" i="281"/>
  <c r="U16" i="281" s="1"/>
  <c r="U10" i="281"/>
  <c r="V10" i="281"/>
  <c r="H117" i="295"/>
  <c r="K117" i="295"/>
  <c r="G40" i="285"/>
  <c r="G46" i="285"/>
  <c r="G49" i="285" s="1"/>
  <c r="G50" i="285" s="1"/>
  <c r="E66" i="285"/>
  <c r="E67" i="285" s="1"/>
  <c r="E75" i="285"/>
  <c r="E78" i="285" s="1"/>
  <c r="U28" i="280"/>
  <c r="U41" i="280"/>
  <c r="AW146" i="283"/>
  <c r="P460" i="283"/>
  <c r="H46" i="285"/>
  <c r="H49" i="285" s="1"/>
  <c r="H50" i="285" s="1"/>
  <c r="H40" i="285"/>
  <c r="E40" i="285"/>
  <c r="AB33" i="268"/>
  <c r="AB37" i="268"/>
  <c r="AB14" i="268"/>
  <c r="AB15" i="268" s="1"/>
  <c r="Q20" i="282"/>
  <c r="Q19" i="282"/>
  <c r="Q18" i="282"/>
  <c r="Q17" i="282"/>
  <c r="AD20" i="251"/>
  <c r="AE10" i="251"/>
  <c r="AY146" i="283"/>
  <c r="N11" i="289"/>
  <c r="L7" i="288" s="1"/>
  <c r="V65" i="289"/>
  <c r="AD7" i="251"/>
  <c r="AD17" i="251" s="1"/>
  <c r="AD21" i="251" s="1"/>
  <c r="S21" i="251"/>
  <c r="F19" i="282"/>
  <c r="Z20" i="282"/>
  <c r="E308" i="282"/>
  <c r="I40" i="285"/>
  <c r="H75" i="285"/>
  <c r="H66" i="285"/>
  <c r="H67" i="285"/>
  <c r="AC17" i="251"/>
  <c r="AE28" i="251"/>
  <c r="V450" i="283"/>
  <c r="P478" i="283"/>
  <c r="H23" i="266"/>
  <c r="S23" i="266" s="1"/>
  <c r="B23" i="253"/>
  <c r="B24" i="253"/>
  <c r="B26" i="253"/>
  <c r="B27" i="253"/>
  <c r="B28" i="253"/>
  <c r="J28" i="253" s="1"/>
  <c r="B29" i="253"/>
  <c r="B31" i="253"/>
  <c r="B32" i="253"/>
  <c r="B33" i="253"/>
  <c r="B34" i="253"/>
  <c r="B35" i="253"/>
  <c r="B36" i="253"/>
  <c r="B37" i="253"/>
  <c r="J37" i="253" s="1"/>
  <c r="B38" i="253"/>
  <c r="J38" i="253" s="1"/>
  <c r="B39" i="253"/>
  <c r="B40" i="253"/>
  <c r="B41" i="253"/>
  <c r="B43" i="253"/>
  <c r="B45" i="253"/>
  <c r="B47" i="253"/>
  <c r="B58" i="253"/>
  <c r="F59" i="253"/>
  <c r="B61" i="253"/>
  <c r="G65" i="253"/>
  <c r="C19" i="282"/>
  <c r="C21" i="282" s="1"/>
  <c r="F6" i="285"/>
  <c r="J40" i="285"/>
  <c r="I75" i="285"/>
  <c r="I66" i="285"/>
  <c r="I67" i="285" s="1"/>
  <c r="J66" i="285"/>
  <c r="J67" i="285"/>
  <c r="T30" i="251"/>
  <c r="X51" i="251"/>
  <c r="T51" i="251"/>
  <c r="R51" i="251"/>
  <c r="X53" i="251"/>
  <c r="V53" i="251"/>
  <c r="T53" i="251"/>
  <c r="R53" i="251"/>
  <c r="K46" i="285"/>
  <c r="K72" i="285" s="1"/>
  <c r="K40" i="285"/>
  <c r="L66" i="285"/>
  <c r="L67" i="285" s="1"/>
  <c r="P462" i="283"/>
  <c r="P469" i="283" s="1"/>
  <c r="B7" i="253"/>
  <c r="B8" i="253"/>
  <c r="B10" i="253"/>
  <c r="D22" i="253"/>
  <c r="D23" i="253"/>
  <c r="D48" i="253" s="1"/>
  <c r="D24" i="253"/>
  <c r="D25" i="253"/>
  <c r="D26" i="253"/>
  <c r="D27" i="253"/>
  <c r="D28" i="253"/>
  <c r="D29" i="253"/>
  <c r="D30" i="253"/>
  <c r="D31" i="253"/>
  <c r="D32" i="253"/>
  <c r="D33" i="253"/>
  <c r="D34" i="253"/>
  <c r="D35" i="253"/>
  <c r="D36" i="253"/>
  <c r="D37" i="253"/>
  <c r="D38" i="253"/>
  <c r="D39" i="253"/>
  <c r="D40" i="253"/>
  <c r="D43" i="253"/>
  <c r="D45" i="253"/>
  <c r="D47" i="253"/>
  <c r="D62" i="253"/>
  <c r="E64" i="253"/>
  <c r="J363" i="268"/>
  <c r="I363" i="268"/>
  <c r="AF58" i="282"/>
  <c r="AF57" i="282"/>
  <c r="AF59" i="282"/>
  <c r="AF65" i="282" s="1"/>
  <c r="C20" i="282"/>
  <c r="H6" i="285"/>
  <c r="C72" i="285"/>
  <c r="C49" i="285"/>
  <c r="C50" i="285"/>
  <c r="X21" i="251"/>
  <c r="AG29" i="251"/>
  <c r="AF29" i="251" s="1"/>
  <c r="AD29" i="251"/>
  <c r="F145" i="251" s="1"/>
  <c r="T16" i="251"/>
  <c r="X24" i="251"/>
  <c r="X30" i="251" s="1"/>
  <c r="X55" i="251"/>
  <c r="T55" i="251"/>
  <c r="R55" i="251"/>
  <c r="X57" i="251"/>
  <c r="V57" i="251"/>
  <c r="T57" i="251"/>
  <c r="R57" i="251"/>
  <c r="J19" i="282"/>
  <c r="AF56" i="282"/>
  <c r="M46" i="285"/>
  <c r="M40" i="285"/>
  <c r="K75" i="285"/>
  <c r="K66" i="285"/>
  <c r="K67" i="285"/>
  <c r="V21" i="251"/>
  <c r="L63" i="251"/>
  <c r="AF14" i="268"/>
  <c r="AF15" i="268" s="1"/>
  <c r="F17" i="282"/>
  <c r="Y56" i="282" s="1"/>
  <c r="N72" i="285"/>
  <c r="N49" i="285"/>
  <c r="N50" i="285" s="1"/>
  <c r="J48" i="295"/>
  <c r="S30" i="251"/>
  <c r="J20" i="282"/>
  <c r="I49" i="285"/>
  <c r="I50" i="285" s="1"/>
  <c r="I72" i="285"/>
  <c r="M66" i="285"/>
  <c r="M67" i="285" s="1"/>
  <c r="L23" i="251"/>
  <c r="V6" i="251"/>
  <c r="AC20" i="251"/>
  <c r="AE20" i="251"/>
  <c r="AE12" i="251"/>
  <c r="T15" i="251"/>
  <c r="T21" i="251" s="1"/>
  <c r="V22" i="251"/>
  <c r="V30" i="251" s="1"/>
  <c r="F7" i="253"/>
  <c r="F8" i="253"/>
  <c r="F9" i="253"/>
  <c r="F10" i="253"/>
  <c r="B42" i="253"/>
  <c r="B44" i="253"/>
  <c r="B46" i="253"/>
  <c r="Z14" i="268"/>
  <c r="Z15" i="268"/>
  <c r="Z21" i="282"/>
  <c r="AA17" i="282" s="1"/>
  <c r="AA18" i="282"/>
  <c r="D57" i="282" s="1"/>
  <c r="J49" i="285"/>
  <c r="J50" i="285" s="1"/>
  <c r="T5" i="251"/>
  <c r="AC19" i="251"/>
  <c r="AE19" i="251"/>
  <c r="AE9" i="251"/>
  <c r="AE14" i="251"/>
  <c r="AA14" i="268"/>
  <c r="AA15" i="268"/>
  <c r="AA33" i="268"/>
  <c r="AA37" i="268" s="1"/>
  <c r="F18" i="282"/>
  <c r="R21" i="282"/>
  <c r="S17" i="282" s="1"/>
  <c r="E49" i="285"/>
  <c r="E50" i="285"/>
  <c r="E72" i="285"/>
  <c r="T17" i="251"/>
  <c r="R39" i="251"/>
  <c r="O72" i="285"/>
  <c r="O49" i="285"/>
  <c r="O50" i="285" s="1"/>
  <c r="D75" i="285"/>
  <c r="Z21" i="251"/>
  <c r="O6" i="285"/>
  <c r="F40" i="285"/>
  <c r="C75" i="285"/>
  <c r="O75" i="285"/>
  <c r="Q30" i="251"/>
  <c r="X52" i="251"/>
  <c r="X56" i="251"/>
  <c r="O7" i="285"/>
  <c r="O8" i="285" s="1"/>
  <c r="K21" i="282"/>
  <c r="L18" i="282" s="1"/>
  <c r="L20" i="282"/>
  <c r="X21" i="282"/>
  <c r="Y17" i="282"/>
  <c r="Z33" i="268"/>
  <c r="Z37" i="268" s="1"/>
  <c r="I544" i="283"/>
  <c r="I545" i="283" s="1"/>
  <c r="H7" i="261" s="1"/>
  <c r="H9" i="261" s="1"/>
  <c r="N40" i="285"/>
  <c r="AR8" i="247"/>
  <c r="M6" i="247"/>
  <c r="V8" i="247"/>
  <c r="L10" i="247"/>
  <c r="O13" i="247"/>
  <c r="AC13" i="247" s="1"/>
  <c r="O17" i="247"/>
  <c r="O29" i="247"/>
  <c r="M31" i="247"/>
  <c r="L31" i="247"/>
  <c r="L8" i="247"/>
  <c r="K8" i="247"/>
  <c r="M10" i="247"/>
  <c r="O15" i="247"/>
  <c r="M27" i="247"/>
  <c r="L27" i="247"/>
  <c r="V6" i="247"/>
  <c r="Z6" i="247" s="1"/>
  <c r="M8" i="247"/>
  <c r="O30" i="247"/>
  <c r="O23" i="247"/>
  <c r="O16" i="247"/>
  <c r="K10" i="247"/>
  <c r="M15" i="247"/>
  <c r="L15" i="247"/>
  <c r="K27" i="247"/>
  <c r="V20" i="247"/>
  <c r="O21" i="247"/>
  <c r="F30" i="261"/>
  <c r="G55" i="261" s="1"/>
  <c r="L8" i="261" s="1"/>
  <c r="L12" i="261" s="1"/>
  <c r="L16" i="261" s="1"/>
  <c r="L20" i="261" s="1"/>
  <c r="D45" i="261"/>
  <c r="AA19" i="281"/>
  <c r="AC12" i="281"/>
  <c r="AD12" i="281" s="1"/>
  <c r="AC11" i="281"/>
  <c r="AC13" i="281" s="1"/>
  <c r="AD11" i="281"/>
  <c r="S44" i="266"/>
  <c r="W41" i="266"/>
  <c r="X41" i="266" s="1"/>
  <c r="S43" i="266"/>
  <c r="W40" i="266" s="1"/>
  <c r="X40" i="266"/>
  <c r="S11" i="266"/>
  <c r="W8" i="266" s="1"/>
  <c r="X8" i="266"/>
  <c r="S10" i="266"/>
  <c r="W7" i="266" s="1"/>
  <c r="S21" i="266"/>
  <c r="W18" i="266" s="1"/>
  <c r="X18" i="266" s="1"/>
  <c r="S33" i="266"/>
  <c r="W30" i="266"/>
  <c r="X30" i="266" s="1"/>
  <c r="S35" i="266"/>
  <c r="S46" i="266"/>
  <c r="S9" i="266"/>
  <c r="W11" i="266" s="1"/>
  <c r="S8" i="266"/>
  <c r="W10" i="266" s="1"/>
  <c r="X10" i="266" s="1"/>
  <c r="S7" i="266"/>
  <c r="W9" i="266"/>
  <c r="S32" i="266"/>
  <c r="W29" i="266"/>
  <c r="X29" i="266" s="1"/>
  <c r="S36" i="266"/>
  <c r="S24" i="266"/>
  <c r="S22" i="266"/>
  <c r="W19" i="266" s="1"/>
  <c r="S25" i="266"/>
  <c r="S34" i="266"/>
  <c r="F31" i="261"/>
  <c r="G56" i="261"/>
  <c r="L6" i="261"/>
  <c r="L10" i="261" s="1"/>
  <c r="L14" i="261" s="1"/>
  <c r="L18" i="261" s="1"/>
  <c r="M467" i="283"/>
  <c r="D18" i="282"/>
  <c r="G72" i="285"/>
  <c r="H6" i="261"/>
  <c r="H8" i="261" s="1"/>
  <c r="AF12" i="247"/>
  <c r="I78" i="285"/>
  <c r="I81" i="285" s="1"/>
  <c r="J36" i="253"/>
  <c r="Y21" i="251"/>
  <c r="G260" i="284"/>
  <c r="G258" i="284"/>
  <c r="V31" i="266"/>
  <c r="G30" i="221"/>
  <c r="V33" i="266"/>
  <c r="G32" i="221" s="1"/>
  <c r="V32" i="266"/>
  <c r="G31" i="221" s="1"/>
  <c r="M461" i="283"/>
  <c r="N462" i="283"/>
  <c r="S12" i="286"/>
  <c r="E15" i="221"/>
  <c r="S10" i="286"/>
  <c r="E13" i="221" s="1"/>
  <c r="S11" i="286"/>
  <c r="E14" i="221" s="1"/>
  <c r="J39" i="253"/>
  <c r="L23" i="245"/>
  <c r="L34" i="245"/>
  <c r="L45" i="245"/>
  <c r="E81" i="285"/>
  <c r="J35" i="253"/>
  <c r="J23" i="253"/>
  <c r="AA19" i="282"/>
  <c r="D58" i="282" s="1"/>
  <c r="K65" i="282"/>
  <c r="Y59" i="282"/>
  <c r="Y65" i="282" s="1"/>
  <c r="Y20" i="282"/>
  <c r="G257" i="284"/>
  <c r="I257" i="284" s="1"/>
  <c r="AR28" i="284"/>
  <c r="AR26" i="284"/>
  <c r="AR29" i="284"/>
  <c r="AR27" i="284"/>
  <c r="AR30" i="284" s="1"/>
  <c r="AR12" i="284"/>
  <c r="AR15" i="284" s="1"/>
  <c r="J15" i="291"/>
  <c r="J11" i="291"/>
  <c r="G466" i="283"/>
  <c r="J461" i="283"/>
  <c r="V14" i="247"/>
  <c r="Z14" i="247" s="1"/>
  <c r="AK7" i="247"/>
  <c r="J34" i="253"/>
  <c r="Y19" i="282"/>
  <c r="U19" i="282"/>
  <c r="K58" i="282"/>
  <c r="Y18" i="282"/>
  <c r="Y21" i="282" s="1"/>
  <c r="AJ168" i="243"/>
  <c r="AJ137" i="243"/>
  <c r="AJ106" i="243"/>
  <c r="AJ118" i="243"/>
  <c r="AJ156" i="243"/>
  <c r="AJ174" i="243"/>
  <c r="AJ162" i="243"/>
  <c r="AJ131" i="243"/>
  <c r="AJ124" i="243"/>
  <c r="V42" i="266"/>
  <c r="H30" i="221" s="1"/>
  <c r="BX16" i="243"/>
  <c r="BY15" i="243"/>
  <c r="BY16" i="243" s="1"/>
  <c r="G145" i="251"/>
  <c r="AF63" i="282"/>
  <c r="J33" i="253"/>
  <c r="Y58" i="282"/>
  <c r="Y64" i="282" s="1"/>
  <c r="K64" i="282"/>
  <c r="U66" i="274"/>
  <c r="AU12" i="284"/>
  <c r="AU17" i="284" s="1"/>
  <c r="AU29" i="284"/>
  <c r="AU27" i="284"/>
  <c r="AU30" i="284" s="1"/>
  <c r="AU28" i="284"/>
  <c r="N24" i="247"/>
  <c r="K20" i="286"/>
  <c r="Y30" i="251"/>
  <c r="L11" i="288"/>
  <c r="L13" i="288"/>
  <c r="L9" i="288"/>
  <c r="D46" i="261"/>
  <c r="M6" i="261" s="1"/>
  <c r="AM6" i="247"/>
  <c r="K49" i="285"/>
  <c r="K50" i="285"/>
  <c r="K78" i="285"/>
  <c r="K81" i="285"/>
  <c r="J32" i="253"/>
  <c r="L17" i="282"/>
  <c r="AI157" i="243"/>
  <c r="AI173" i="243"/>
  <c r="AI133" i="243"/>
  <c r="AI135" i="243"/>
  <c r="AI126" i="243"/>
  <c r="AI128" i="243" s="1"/>
  <c r="AI176" i="243"/>
  <c r="AI178" i="243"/>
  <c r="AI170" i="243"/>
  <c r="AI172" i="243" s="1"/>
  <c r="AI130" i="243"/>
  <c r="AI123" i="243"/>
  <c r="AI158" i="243"/>
  <c r="AI142" i="243"/>
  <c r="AI139" i="243"/>
  <c r="AI141" i="243" s="1"/>
  <c r="AI138" i="243"/>
  <c r="AI136" i="243"/>
  <c r="AI119" i="243"/>
  <c r="AI125" i="243"/>
  <c r="AI108" i="243"/>
  <c r="AI110" i="243" s="1"/>
  <c r="AI155" i="243"/>
  <c r="AI113" i="243"/>
  <c r="AI145" i="243"/>
  <c r="AI147" i="243" s="1"/>
  <c r="AI111" i="243"/>
  <c r="AI107" i="243"/>
  <c r="AI150" i="243"/>
  <c r="AI148" i="243"/>
  <c r="AI175" i="243"/>
  <c r="AI105" i="243"/>
  <c r="AI169" i="243"/>
  <c r="AI164" i="243"/>
  <c r="AI117" i="243"/>
  <c r="AI144" i="243"/>
  <c r="AI167" i="243"/>
  <c r="L44" i="245"/>
  <c r="L33" i="245"/>
  <c r="J27" i="253"/>
  <c r="V7" i="247"/>
  <c r="Z7" i="247" s="1"/>
  <c r="AR6" i="247"/>
  <c r="AS6" i="247"/>
  <c r="S33" i="286"/>
  <c r="H15" i="221" s="1"/>
  <c r="S30" i="286"/>
  <c r="H12" i="221" s="1"/>
  <c r="S32" i="286"/>
  <c r="H14" i="221" s="1"/>
  <c r="S31" i="286"/>
  <c r="H13" i="221"/>
  <c r="K62" i="282"/>
  <c r="F21" i="282"/>
  <c r="V21" i="266"/>
  <c r="F31" i="221" s="1"/>
  <c r="V22" i="266"/>
  <c r="F32" i="221" s="1"/>
  <c r="V20" i="266"/>
  <c r="F30" i="221"/>
  <c r="G40" i="261"/>
  <c r="AC14" i="247"/>
  <c r="O78" i="285"/>
  <c r="O81" i="285" s="1"/>
  <c r="J31" i="253"/>
  <c r="AE30" i="251"/>
  <c r="P467" i="283"/>
  <c r="V463" i="283"/>
  <c r="J463" i="283"/>
  <c r="AJ150" i="243"/>
  <c r="AJ144" i="243"/>
  <c r="AJ111" i="243"/>
  <c r="AJ148" i="243"/>
  <c r="AJ114" i="243"/>
  <c r="AJ116" i="243"/>
  <c r="AJ173" i="243"/>
  <c r="AJ158" i="243"/>
  <c r="AJ160" i="243"/>
  <c r="AJ142" i="243"/>
  <c r="AJ139" i="243"/>
  <c r="AJ141" i="243"/>
  <c r="AJ138" i="243"/>
  <c r="AJ136" i="243"/>
  <c r="AJ119" i="243"/>
  <c r="AJ126" i="243"/>
  <c r="AJ128" i="243" s="1"/>
  <c r="AJ157" i="243"/>
  <c r="AJ151" i="243"/>
  <c r="AJ153" i="243" s="1"/>
  <c r="AJ125" i="243"/>
  <c r="AJ108" i="243"/>
  <c r="AJ110" i="243"/>
  <c r="AJ164" i="243"/>
  <c r="AJ166" i="243" s="1"/>
  <c r="AJ133" i="243"/>
  <c r="AJ135" i="243"/>
  <c r="AJ170" i="243"/>
  <c r="AJ172" i="243"/>
  <c r="AJ163" i="243"/>
  <c r="AJ176" i="243"/>
  <c r="AJ178" i="243" s="1"/>
  <c r="AJ130" i="243"/>
  <c r="AJ175" i="243"/>
  <c r="AJ167" i="243"/>
  <c r="AJ123" i="243"/>
  <c r="AJ120" i="243"/>
  <c r="AJ122" i="243"/>
  <c r="AJ117" i="243"/>
  <c r="AJ107" i="243"/>
  <c r="AJ145" i="243"/>
  <c r="AJ147" i="243"/>
  <c r="AJ132" i="243"/>
  <c r="AJ161" i="243"/>
  <c r="AJ105" i="243"/>
  <c r="AJ155" i="243"/>
  <c r="AJ113" i="243"/>
  <c r="AJ169" i="243"/>
  <c r="J131" i="284"/>
  <c r="K129" i="284" s="1"/>
  <c r="S14" i="266"/>
  <c r="AJ140" i="243"/>
  <c r="AJ190" i="243"/>
  <c r="AJ165" i="243"/>
  <c r="AJ134" i="243"/>
  <c r="AJ115" i="243"/>
  <c r="AJ196" i="243"/>
  <c r="AJ171" i="243"/>
  <c r="AJ146" i="243"/>
  <c r="AJ184" i="243"/>
  <c r="AJ121" i="243"/>
  <c r="AJ159" i="243"/>
  <c r="AJ152" i="243"/>
  <c r="AJ109" i="243"/>
  <c r="AJ202" i="243"/>
  <c r="AJ177" i="243"/>
  <c r="AJ127" i="243"/>
  <c r="F466" i="283"/>
  <c r="U17" i="282"/>
  <c r="K56" i="282" s="1"/>
  <c r="V15" i="247"/>
  <c r="Z13" i="247"/>
  <c r="N21" i="282"/>
  <c r="O17" i="282" s="1"/>
  <c r="K63" i="282"/>
  <c r="Y57" i="282"/>
  <c r="Y63" i="282" s="1"/>
  <c r="M72" i="285"/>
  <c r="M78" i="285"/>
  <c r="M81" i="285"/>
  <c r="M49" i="285"/>
  <c r="M50" i="285"/>
  <c r="J29" i="253"/>
  <c r="AE17" i="251"/>
  <c r="AE21" i="251" s="1"/>
  <c r="AH18" i="251" s="1"/>
  <c r="U55" i="280"/>
  <c r="E41" i="221" s="1"/>
  <c r="Y6" i="247" s="1"/>
  <c r="U56" i="280"/>
  <c r="E42" i="221" s="1"/>
  <c r="Y7" i="247" s="1"/>
  <c r="Q450" i="283"/>
  <c r="K15" i="266"/>
  <c r="J26" i="253"/>
  <c r="AK6" i="247"/>
  <c r="J40" i="253"/>
  <c r="G467" i="283"/>
  <c r="L32" i="245"/>
  <c r="L43" i="245"/>
  <c r="L21" i="245"/>
  <c r="AF19" i="247"/>
  <c r="O18" i="247"/>
  <c r="O19" i="247" s="1"/>
  <c r="O24" i="247"/>
  <c r="O31" i="247" s="1"/>
  <c r="AD15" i="247"/>
  <c r="AD16" i="247"/>
  <c r="AS8" i="247"/>
  <c r="AD13" i="281"/>
  <c r="X7" i="266"/>
  <c r="M16" i="261"/>
  <c r="M8" i="261"/>
  <c r="M20" i="261"/>
  <c r="M12" i="261"/>
  <c r="M10" i="261"/>
  <c r="C83" i="286"/>
  <c r="O18" i="282"/>
  <c r="J466" i="283"/>
  <c r="I258" i="284"/>
  <c r="BZ15" i="243"/>
  <c r="AR18" i="284"/>
  <c r="AR19" i="284" s="1"/>
  <c r="AR16" i="284"/>
  <c r="AR17" i="284"/>
  <c r="I260" i="284"/>
  <c r="AF62" i="282"/>
  <c r="V19" i="247"/>
  <c r="Z19" i="247" s="1"/>
  <c r="O20" i="282"/>
  <c r="V468" i="283"/>
  <c r="J468" i="283"/>
  <c r="Q468" i="283"/>
  <c r="Q474" i="283" s="1"/>
  <c r="K23" i="286"/>
  <c r="R10" i="286"/>
  <c r="T10" i="286" s="1"/>
  <c r="R12" i="286"/>
  <c r="T12" i="286" s="1"/>
  <c r="R9" i="286"/>
  <c r="T9" i="286"/>
  <c r="N463" i="283"/>
  <c r="M463" i="283" s="1"/>
  <c r="M475" i="283" s="1"/>
  <c r="M468" i="283"/>
  <c r="N468" i="283"/>
  <c r="K128" i="284"/>
  <c r="O108" i="284" s="1"/>
  <c r="M487" i="283"/>
  <c r="M466" i="283"/>
  <c r="K26" i="266"/>
  <c r="Q463" i="283"/>
  <c r="Q461" i="283"/>
  <c r="Y62" i="282"/>
  <c r="O19" i="282"/>
  <c r="AU18" i="284"/>
  <c r="AU15" i="284"/>
  <c r="AU16" i="284"/>
  <c r="AU19" i="284" s="1"/>
  <c r="O25" i="247"/>
  <c r="O26" i="247" s="1"/>
  <c r="CA15" i="243"/>
  <c r="BZ16" i="243"/>
  <c r="Q482" i="283"/>
  <c r="Q478" i="283"/>
  <c r="K37" i="266"/>
  <c r="N108" i="284"/>
  <c r="F36" i="221"/>
  <c r="W21" i="250" s="1"/>
  <c r="T21" i="250" s="1"/>
  <c r="O21" i="282"/>
  <c r="N466" i="283"/>
  <c r="R25" i="286"/>
  <c r="M23" i="286"/>
  <c r="R24" i="286" s="1"/>
  <c r="R26" i="286"/>
  <c r="T26" i="286" s="1"/>
  <c r="AH17" i="251"/>
  <c r="CA16" i="243"/>
  <c r="CB15" i="243"/>
  <c r="CB16" i="243" s="1"/>
  <c r="AB21" i="286"/>
  <c r="K48" i="266"/>
  <c r="CC15" i="243"/>
  <c r="CC16" i="243" s="1"/>
  <c r="CD15" i="243"/>
  <c r="O42" i="280" l="1"/>
  <c r="H45" i="221" s="1"/>
  <c r="Y33" i="247" s="1"/>
  <c r="O40" i="280"/>
  <c r="H43" i="221" s="1"/>
  <c r="Y31" i="247" s="1"/>
  <c r="O34" i="280"/>
  <c r="F43" i="221" s="1"/>
  <c r="Y17" i="247" s="1"/>
  <c r="O41" i="280"/>
  <c r="H44" i="221" s="1"/>
  <c r="Y32" i="247" s="1"/>
  <c r="O36" i="280"/>
  <c r="F45" i="221" s="1"/>
  <c r="Y19" i="247" s="1"/>
  <c r="AA19" i="247" s="1"/>
  <c r="O37" i="280"/>
  <c r="G43" i="221" s="1"/>
  <c r="Y24" i="247" s="1"/>
  <c r="O38" i="280"/>
  <c r="G44" i="221" s="1"/>
  <c r="Y25" i="247" s="1"/>
  <c r="K32" i="243"/>
  <c r="C9" i="291"/>
  <c r="D71" i="232"/>
  <c r="D73" i="232" s="1"/>
  <c r="D75" i="232" s="1"/>
  <c r="D77" i="232" s="1"/>
  <c r="D79" i="232" s="1"/>
  <c r="D81" i="232"/>
  <c r="C9" i="288"/>
  <c r="C11" i="288"/>
  <c r="K25" i="250"/>
  <c r="H25" i="250" s="1"/>
  <c r="K33" i="250"/>
  <c r="H33" i="250" s="1"/>
  <c r="Y25" i="250"/>
  <c r="AD25" i="250" s="1"/>
  <c r="X25" i="250"/>
  <c r="K9" i="250"/>
  <c r="H9" i="250" s="1"/>
  <c r="K17" i="250"/>
  <c r="H17" i="250" s="1"/>
  <c r="H21" i="250"/>
  <c r="Y21" i="250" s="1"/>
  <c r="AA62" i="250"/>
  <c r="Y9" i="250"/>
  <c r="X9" i="250"/>
  <c r="L37" i="250"/>
  <c r="K8" i="250"/>
  <c r="K16" i="250" s="1"/>
  <c r="K24" i="250" s="1"/>
  <c r="K32" i="250" s="1"/>
  <c r="L28" i="221"/>
  <c r="F37" i="221"/>
  <c r="W19" i="250" s="1"/>
  <c r="T19" i="250" s="1"/>
  <c r="H19" i="250" s="1"/>
  <c r="L15" i="221"/>
  <c r="L46" i="221"/>
  <c r="N46" i="221" s="1"/>
  <c r="W46" i="221" s="1"/>
  <c r="D103" i="232"/>
  <c r="D105" i="232" s="1"/>
  <c r="D107" i="232" s="1"/>
  <c r="D109" i="232" s="1"/>
  <c r="D112" i="232" s="1"/>
  <c r="D83" i="232"/>
  <c r="D85" i="232" s="1"/>
  <c r="D87" i="232" s="1"/>
  <c r="D89" i="232" s="1"/>
  <c r="C16" i="286"/>
  <c r="C9" i="286"/>
  <c r="C15" i="247"/>
  <c r="C23" i="286"/>
  <c r="C29" i="247"/>
  <c r="C19" i="243"/>
  <c r="C43" i="243"/>
  <c r="C67" i="243"/>
  <c r="C83" i="243"/>
  <c r="C27" i="286"/>
  <c r="C20" i="286"/>
  <c r="C10" i="261"/>
  <c r="C13" i="288"/>
  <c r="C6" i="247"/>
  <c r="K55" i="243"/>
  <c r="C15" i="266"/>
  <c r="C28" i="245"/>
  <c r="C29" i="266"/>
  <c r="C31" i="250"/>
  <c r="C22" i="247"/>
  <c r="C6" i="286"/>
  <c r="C71" i="243"/>
  <c r="L39" i="243"/>
  <c r="C20" i="261"/>
  <c r="C7" i="243"/>
  <c r="C24" i="247"/>
  <c r="C23" i="266"/>
  <c r="C10" i="247"/>
  <c r="C27" i="250"/>
  <c r="C31" i="247"/>
  <c r="C7" i="291"/>
  <c r="C19" i="250"/>
  <c r="C11" i="250"/>
  <c r="C19" i="291"/>
  <c r="J13" i="243"/>
  <c r="K29" i="243"/>
  <c r="K24" i="243"/>
  <c r="K8" i="243"/>
  <c r="K12" i="243"/>
  <c r="K9" i="243"/>
  <c r="C10" i="287"/>
  <c r="C55" i="243"/>
  <c r="C21" i="291"/>
  <c r="C20" i="247"/>
  <c r="C13" i="291"/>
  <c r="E79" i="243"/>
  <c r="K17" i="243"/>
  <c r="E35" i="243"/>
  <c r="E59" i="243" s="1"/>
  <c r="K60" i="243" s="1"/>
  <c r="C95" i="243"/>
  <c r="C47" i="243"/>
  <c r="C40" i="266"/>
  <c r="J25" i="243"/>
  <c r="E47" i="243"/>
  <c r="K47" i="243" s="1"/>
  <c r="K16" i="243"/>
  <c r="C45" i="266"/>
  <c r="C23" i="291"/>
  <c r="C34" i="266"/>
  <c r="K23" i="243"/>
  <c r="C24" i="291"/>
  <c r="C18" i="261"/>
  <c r="C16" i="250"/>
  <c r="J24" i="243"/>
  <c r="C6" i="245"/>
  <c r="J23" i="243"/>
  <c r="J17" i="243"/>
  <c r="C17" i="245"/>
  <c r="K45" i="243"/>
  <c r="L43" i="243"/>
  <c r="E67" i="243"/>
  <c r="K43" i="243"/>
  <c r="J44" i="243"/>
  <c r="J43" i="243"/>
  <c r="D70" i="232"/>
  <c r="D72" i="232" s="1"/>
  <c r="D74" i="232" s="1"/>
  <c r="D76" i="232" s="1"/>
  <c r="D78" i="232" s="1"/>
  <c r="C75" i="243"/>
  <c r="K41" i="243"/>
  <c r="C24" i="250"/>
  <c r="J12" i="243"/>
  <c r="C25" i="291"/>
  <c r="K13" i="243"/>
  <c r="L15" i="243"/>
  <c r="C11" i="243"/>
  <c r="C48" i="266"/>
  <c r="C26" i="266"/>
  <c r="J36" i="243"/>
  <c r="J28" i="243"/>
  <c r="K28" i="243"/>
  <c r="K35" i="243"/>
  <c r="K39" i="243"/>
  <c r="C14" i="261"/>
  <c r="K37" i="243"/>
  <c r="E63" i="243"/>
  <c r="K20" i="243"/>
  <c r="E51" i="243"/>
  <c r="K53" i="243" s="1"/>
  <c r="J11" i="243"/>
  <c r="K21" i="243"/>
  <c r="C37" i="250"/>
  <c r="C13" i="250"/>
  <c r="C18" i="266"/>
  <c r="C11" i="291"/>
  <c r="K25" i="243"/>
  <c r="C21" i="250"/>
  <c r="J39" i="243"/>
  <c r="C27" i="243"/>
  <c r="C43" i="266"/>
  <c r="K15" i="243"/>
  <c r="C26" i="250"/>
  <c r="C10" i="266"/>
  <c r="K26" i="243"/>
  <c r="J27" i="243"/>
  <c r="C34" i="250"/>
  <c r="C32" i="266"/>
  <c r="C14" i="245"/>
  <c r="C10" i="250"/>
  <c r="L19" i="243"/>
  <c r="C25" i="245"/>
  <c r="K56" i="243"/>
  <c r="L23" i="243"/>
  <c r="C15" i="250"/>
  <c r="C47" i="245"/>
  <c r="C15" i="243"/>
  <c r="J40" i="243"/>
  <c r="J26" i="243"/>
  <c r="C7" i="250"/>
  <c r="C39" i="243"/>
  <c r="C51" i="243"/>
  <c r="CE15" i="243"/>
  <c r="CD16" i="243"/>
  <c r="M34" i="221"/>
  <c r="S13" i="266"/>
  <c r="U59" i="280"/>
  <c r="G41" i="221" s="1"/>
  <c r="Y20" i="247" s="1"/>
  <c r="U60" i="280"/>
  <c r="G42" i="221" s="1"/>
  <c r="Y21" i="247" s="1"/>
  <c r="D76" i="285"/>
  <c r="D66" i="285"/>
  <c r="D67" i="285" s="1"/>
  <c r="O109" i="284"/>
  <c r="N109" i="284"/>
  <c r="G36" i="221" s="1"/>
  <c r="Y12" i="251"/>
  <c r="X21" i="250"/>
  <c r="J60" i="243"/>
  <c r="K61" i="243"/>
  <c r="J45" i="243"/>
  <c r="AI166" i="243"/>
  <c r="Y67" i="282"/>
  <c r="AA6" i="247"/>
  <c r="D56" i="282"/>
  <c r="J35" i="243"/>
  <c r="S18" i="266"/>
  <c r="W20" i="266" s="1"/>
  <c r="X20" i="266" s="1"/>
  <c r="K29" i="266"/>
  <c r="S19" i="266"/>
  <c r="W21" i="266" s="1"/>
  <c r="X21" i="266" s="1"/>
  <c r="S20" i="266"/>
  <c r="W22" i="266" s="1"/>
  <c r="X22" i="266" s="1"/>
  <c r="J69" i="243"/>
  <c r="Q486" i="283"/>
  <c r="K57" i="243"/>
  <c r="N467" i="283"/>
  <c r="K36" i="243"/>
  <c r="O32" i="247"/>
  <c r="O33" i="247" s="1"/>
  <c r="AA7" i="247"/>
  <c r="N29" i="221"/>
  <c r="W29" i="221" s="1"/>
  <c r="Q21" i="282"/>
  <c r="K59" i="243"/>
  <c r="J59" i="243"/>
  <c r="AH19" i="251"/>
  <c r="K127" i="284"/>
  <c r="K130" i="284"/>
  <c r="J21" i="243"/>
  <c r="AI160" i="243"/>
  <c r="J29" i="243" s="1"/>
  <c r="J61" i="243"/>
  <c r="K33" i="243"/>
  <c r="M479" i="283"/>
  <c r="AH18" i="281"/>
  <c r="M43" i="221"/>
  <c r="E43" i="221"/>
  <c r="H25" i="247"/>
  <c r="AE11" i="247"/>
  <c r="L29" i="221"/>
  <c r="J24" i="253"/>
  <c r="H18" i="247"/>
  <c r="D17" i="282"/>
  <c r="D20" i="282"/>
  <c r="D19" i="282"/>
  <c r="R11" i="286"/>
  <c r="T11" i="286" s="1"/>
  <c r="BA13" i="243"/>
  <c r="C8" i="250"/>
  <c r="AI132" i="243"/>
  <c r="J16" i="243" s="1"/>
  <c r="AI163" i="243"/>
  <c r="J41" i="243" s="1"/>
  <c r="AJ112" i="243"/>
  <c r="K31" i="243" s="1"/>
  <c r="I11" i="243"/>
  <c r="H72" i="285"/>
  <c r="H78" i="285" s="1"/>
  <c r="H81" i="285" s="1"/>
  <c r="C31" i="243"/>
  <c r="BA42" i="243"/>
  <c r="S16" i="286"/>
  <c r="F12" i="221" s="1"/>
  <c r="R23" i="286"/>
  <c r="T23" i="286" s="1"/>
  <c r="J22" i="253"/>
  <c r="I47" i="266"/>
  <c r="S47" i="266" s="1"/>
  <c r="P66" i="266"/>
  <c r="I50" i="266" s="1"/>
  <c r="L32" i="233"/>
  <c r="L26" i="266"/>
  <c r="K40" i="243"/>
  <c r="K11" i="243"/>
  <c r="M14" i="261"/>
  <c r="M18" i="261"/>
  <c r="U18" i="282"/>
  <c r="K57" i="282" s="1"/>
  <c r="K67" i="282" s="1"/>
  <c r="N31" i="247"/>
  <c r="AJ149" i="243"/>
  <c r="L47" i="243"/>
  <c r="S468" i="283"/>
  <c r="C63" i="243"/>
  <c r="E8" i="276"/>
  <c r="N10" i="247"/>
  <c r="AE7" i="251"/>
  <c r="AI41" i="243"/>
  <c r="AI48" i="243"/>
  <c r="AI56" i="243" s="1"/>
  <c r="AI64" i="243" s="1"/>
  <c r="AC21" i="251"/>
  <c r="K27" i="243"/>
  <c r="L16" i="286"/>
  <c r="AD9" i="247"/>
  <c r="AD8" i="247"/>
  <c r="M483" i="283"/>
  <c r="AI120" i="243"/>
  <c r="AI161" i="243"/>
  <c r="J37" i="243" s="1"/>
  <c r="AI151" i="243"/>
  <c r="AA20" i="282"/>
  <c r="D59" i="282" s="1"/>
  <c r="X19" i="266"/>
  <c r="S20" i="282"/>
  <c r="L19" i="282"/>
  <c r="AF64" i="282" s="1"/>
  <c r="AF67" i="282" s="1"/>
  <c r="S25" i="286"/>
  <c r="G14" i="221" s="1"/>
  <c r="L14" i="221" s="1"/>
  <c r="S23" i="286"/>
  <c r="G12" i="221" s="1"/>
  <c r="S24" i="286"/>
  <c r="G13" i="221" s="1"/>
  <c r="L13" i="221" s="1"/>
  <c r="S18" i="282"/>
  <c r="S21" i="282" s="1"/>
  <c r="DN17" i="243"/>
  <c r="S19" i="282"/>
  <c r="F25" i="267"/>
  <c r="F30" i="267" s="1"/>
  <c r="G30" i="267"/>
  <c r="C8" i="261"/>
  <c r="C16" i="261"/>
  <c r="K19" i="243"/>
  <c r="J19" i="243"/>
  <c r="J20" i="243"/>
  <c r="K44" i="243"/>
  <c r="O33" i="280"/>
  <c r="O32" i="280"/>
  <c r="O43" i="280" s="1"/>
  <c r="E97" i="233"/>
  <c r="H26" i="247"/>
  <c r="BB82" i="243"/>
  <c r="M34" i="243"/>
  <c r="M54" i="243"/>
  <c r="M38" i="243"/>
  <c r="M46" i="243"/>
  <c r="V43" i="266"/>
  <c r="H31" i="221" s="1"/>
  <c r="L31" i="221" s="1"/>
  <c r="V44" i="266"/>
  <c r="H32" i="221" s="1"/>
  <c r="M62" i="243"/>
  <c r="M70" i="243"/>
  <c r="M58" i="243"/>
  <c r="M66" i="243"/>
  <c r="BC82" i="243"/>
  <c r="K7" i="243"/>
  <c r="G259" i="284"/>
  <c r="V11" i="266"/>
  <c r="E32" i="221" s="1"/>
  <c r="L32" i="221" s="1"/>
  <c r="V9" i="266"/>
  <c r="L9" i="245"/>
  <c r="L16" i="245"/>
  <c r="L6" i="247"/>
  <c r="K6" i="247"/>
  <c r="U461" i="283"/>
  <c r="U460" i="283"/>
  <c r="V39" i="251"/>
  <c r="P29" i="247"/>
  <c r="M82" i="243"/>
  <c r="V6" i="286"/>
  <c r="O27" i="247"/>
  <c r="AC28" i="247" s="1"/>
  <c r="O20" i="247"/>
  <c r="AI146" i="243"/>
  <c r="AI190" i="243"/>
  <c r="J50" i="243" s="1"/>
  <c r="I14" i="245"/>
  <c r="I47" i="245"/>
  <c r="I39" i="245"/>
  <c r="I6" i="245"/>
  <c r="K13" i="286"/>
  <c r="C59" i="243"/>
  <c r="BD82" i="243"/>
  <c r="M90" i="243"/>
  <c r="V10" i="286"/>
  <c r="AC163" i="284"/>
  <c r="AA72" i="250"/>
  <c r="AF162" i="284"/>
  <c r="D25" i="280"/>
  <c r="D38" i="280" s="1"/>
  <c r="D27" i="280"/>
  <c r="D40" i="280" s="1"/>
  <c r="F64" i="253"/>
  <c r="E60" i="253"/>
  <c r="B64" i="253"/>
  <c r="B60" i="253"/>
  <c r="C42" i="253"/>
  <c r="BA27" i="243" s="1"/>
  <c r="C38" i="253"/>
  <c r="G34" i="253"/>
  <c r="L34" i="253" s="1"/>
  <c r="C31" i="253"/>
  <c r="G27" i="253"/>
  <c r="L27" i="253" s="1"/>
  <c r="E24" i="253"/>
  <c r="BB9" i="243" s="1"/>
  <c r="G41" i="253"/>
  <c r="C24" i="253"/>
  <c r="K24" i="253" s="1"/>
  <c r="G8" i="253"/>
  <c r="L8" i="253" s="1"/>
  <c r="G47" i="253"/>
  <c r="F41" i="253"/>
  <c r="G59" i="253"/>
  <c r="BC55" i="243" s="1"/>
  <c r="F47" i="253"/>
  <c r="E41" i="253"/>
  <c r="E34" i="253"/>
  <c r="BB19" i="243" s="1"/>
  <c r="E27" i="253"/>
  <c r="BB12" i="243" s="1"/>
  <c r="E8" i="253"/>
  <c r="E59" i="253"/>
  <c r="E47" i="253"/>
  <c r="BB32" i="243" s="1"/>
  <c r="C41" i="253"/>
  <c r="BA26" i="243" s="1"/>
  <c r="G37" i="253"/>
  <c r="L37" i="253" s="1"/>
  <c r="C34" i="253"/>
  <c r="G30" i="253"/>
  <c r="L30" i="253" s="1"/>
  <c r="C27" i="253"/>
  <c r="D8" i="253"/>
  <c r="G63" i="253"/>
  <c r="C47" i="253"/>
  <c r="BA32" i="243" s="1"/>
  <c r="G23" i="253"/>
  <c r="L23" i="253" s="1"/>
  <c r="F63" i="253"/>
  <c r="C59" i="253"/>
  <c r="G46" i="253"/>
  <c r="B63" i="253"/>
  <c r="B59" i="253"/>
  <c r="F46" i="253"/>
  <c r="E37" i="253"/>
  <c r="BB22" i="243" s="1"/>
  <c r="E30" i="253"/>
  <c r="BB15" i="243" s="1"/>
  <c r="F23" i="253"/>
  <c r="BC8" i="243" s="1"/>
  <c r="E46" i="253"/>
  <c r="C37" i="253"/>
  <c r="G33" i="253"/>
  <c r="L33" i="253" s="1"/>
  <c r="C30" i="253"/>
  <c r="G26" i="253"/>
  <c r="L26" i="253" s="1"/>
  <c r="E23" i="253"/>
  <c r="BB8" i="243" s="1"/>
  <c r="D46" i="253"/>
  <c r="G40" i="253"/>
  <c r="L40" i="253" s="1"/>
  <c r="C23" i="253"/>
  <c r="F62" i="253"/>
  <c r="C46" i="253"/>
  <c r="BA31" i="243" s="1"/>
  <c r="F40" i="253"/>
  <c r="BC25" i="243" s="1"/>
  <c r="G44" i="253"/>
  <c r="E36" i="253"/>
  <c r="BB21" i="243" s="1"/>
  <c r="E29" i="253"/>
  <c r="BB14" i="243" s="1"/>
  <c r="E22" i="253"/>
  <c r="BB7" i="243" s="1"/>
  <c r="C10" i="253"/>
  <c r="J10" i="253" s="1"/>
  <c r="F44" i="253"/>
  <c r="G39" i="253"/>
  <c r="L39" i="253" s="1"/>
  <c r="C36" i="253"/>
  <c r="C29" i="253"/>
  <c r="G25" i="253"/>
  <c r="L25" i="253" s="1"/>
  <c r="C22" i="253"/>
  <c r="BA7" i="243" s="1"/>
  <c r="F65" i="253"/>
  <c r="BC61" i="243" s="1"/>
  <c r="F61" i="253"/>
  <c r="D44" i="253"/>
  <c r="F39" i="253"/>
  <c r="BC24" i="243" s="1"/>
  <c r="E65" i="253"/>
  <c r="E61" i="253"/>
  <c r="C44" i="253"/>
  <c r="BA29" i="243" s="1"/>
  <c r="E39" i="253"/>
  <c r="BB24" i="243" s="1"/>
  <c r="E32" i="253"/>
  <c r="BB17" i="243" s="1"/>
  <c r="E25" i="253"/>
  <c r="BB10" i="243" s="1"/>
  <c r="C61" i="253"/>
  <c r="B65" i="253"/>
  <c r="C64" i="253"/>
  <c r="G60" i="253"/>
  <c r="G42" i="253"/>
  <c r="G38" i="253"/>
  <c r="L38" i="253" s="1"/>
  <c r="C35" i="253"/>
  <c r="G31" i="253"/>
  <c r="L31" i="253" s="1"/>
  <c r="C28" i="253"/>
  <c r="C9" i="253"/>
  <c r="G64" i="253"/>
  <c r="F60" i="253"/>
  <c r="C45" i="253"/>
  <c r="BA30" i="243" s="1"/>
  <c r="F37" i="253"/>
  <c r="F32" i="253"/>
  <c r="F27" i="253"/>
  <c r="BC12" i="243" s="1"/>
  <c r="F22" i="253"/>
  <c r="E63" i="253"/>
  <c r="G61" i="253"/>
  <c r="E44" i="253"/>
  <c r="C32" i="253"/>
  <c r="G43" i="253"/>
  <c r="G9" i="253"/>
  <c r="D60" i="253"/>
  <c r="BB56" i="243" s="1"/>
  <c r="F43" i="253"/>
  <c r="C60" i="253"/>
  <c r="C43" i="253"/>
  <c r="BA28" i="243" s="1"/>
  <c r="G36" i="253"/>
  <c r="L36" i="253" s="1"/>
  <c r="E26" i="253"/>
  <c r="BB11" i="243" s="1"/>
  <c r="D9" i="253"/>
  <c r="F42" i="253"/>
  <c r="F36" i="253"/>
  <c r="F31" i="253"/>
  <c r="C26" i="253"/>
  <c r="E42" i="253"/>
  <c r="E31" i="253"/>
  <c r="BB16" i="243" s="1"/>
  <c r="D42" i="253"/>
  <c r="G58" i="253"/>
  <c r="G35" i="253"/>
  <c r="L35" i="253" s="1"/>
  <c r="F58" i="253"/>
  <c r="F30" i="253"/>
  <c r="BC15" i="243" s="1"/>
  <c r="F25" i="253"/>
  <c r="C8" i="253"/>
  <c r="J8" i="253" s="1"/>
  <c r="E58" i="253"/>
  <c r="E40" i="253"/>
  <c r="BB25" i="243" s="1"/>
  <c r="F35" i="253"/>
  <c r="C25" i="253"/>
  <c r="C58" i="253"/>
  <c r="C40" i="253"/>
  <c r="E35" i="253"/>
  <c r="BB20" i="243" s="1"/>
  <c r="G29" i="253"/>
  <c r="L29" i="253" s="1"/>
  <c r="G7" i="253"/>
  <c r="C65" i="253"/>
  <c r="F34" i="253"/>
  <c r="BC19" i="243" s="1"/>
  <c r="F29" i="253"/>
  <c r="E7" i="253"/>
  <c r="C39" i="253"/>
  <c r="G24" i="253"/>
  <c r="L24" i="253" s="1"/>
  <c r="D7" i="253"/>
  <c r="F24" i="253"/>
  <c r="BC9" i="243" s="1"/>
  <c r="C7" i="253"/>
  <c r="BA41" i="243" s="1"/>
  <c r="B25" i="253"/>
  <c r="G62" i="253"/>
  <c r="D41" i="253"/>
  <c r="F33" i="253"/>
  <c r="E33" i="253"/>
  <c r="BB18" i="243" s="1"/>
  <c r="G28" i="253"/>
  <c r="L28" i="253" s="1"/>
  <c r="G10" i="253"/>
  <c r="F6" i="253"/>
  <c r="F38" i="253"/>
  <c r="C33" i="253"/>
  <c r="F28" i="253"/>
  <c r="E6" i="253"/>
  <c r="E62" i="253"/>
  <c r="BB58" i="243" s="1"/>
  <c r="E38" i="253"/>
  <c r="BB23" i="243" s="1"/>
  <c r="E28" i="253"/>
  <c r="BB13" i="243" s="1"/>
  <c r="E10" i="253"/>
  <c r="D6" i="253"/>
  <c r="C62" i="253"/>
  <c r="G45" i="253"/>
  <c r="D10" i="253"/>
  <c r="C6" i="253"/>
  <c r="B30" i="253"/>
  <c r="B9" i="253"/>
  <c r="B62" i="253"/>
  <c r="F45" i="253"/>
  <c r="B6" i="253"/>
  <c r="AA139" i="243"/>
  <c r="M99" i="243"/>
  <c r="M91" i="243"/>
  <c r="L14" i="286"/>
  <c r="P31" i="247"/>
  <c r="E258" i="277"/>
  <c r="F156" i="233" s="1"/>
  <c r="F157" i="233"/>
  <c r="D61" i="253"/>
  <c r="BC79" i="243"/>
  <c r="M83" i="243"/>
  <c r="V8" i="286"/>
  <c r="S27" i="286"/>
  <c r="H9" i="221" s="1"/>
  <c r="I20" i="286"/>
  <c r="K53" i="286"/>
  <c r="AE55" i="281"/>
  <c r="AH17" i="281" s="1"/>
  <c r="U31" i="280"/>
  <c r="U44" i="280" s="1"/>
  <c r="U61" i="280" s="1"/>
  <c r="H41" i="221" s="1"/>
  <c r="Y27" i="247" s="1"/>
  <c r="U29" i="280"/>
  <c r="U42" i="280" s="1"/>
  <c r="J15" i="243"/>
  <c r="M67" i="243"/>
  <c r="Z139" i="243"/>
  <c r="L15" i="286"/>
  <c r="L29" i="286" s="1"/>
  <c r="L14" i="250"/>
  <c r="L22" i="250" s="1"/>
  <c r="M20" i="247"/>
  <c r="L20" i="247"/>
  <c r="N50" i="277"/>
  <c r="G22" i="253"/>
  <c r="BG94" i="276"/>
  <c r="C13" i="247"/>
  <c r="M80" i="243"/>
  <c r="J9" i="245"/>
  <c r="D64" i="253"/>
  <c r="BB60" i="243" s="1"/>
  <c r="M75" i="243"/>
  <c r="M13" i="247"/>
  <c r="AM7" i="247"/>
  <c r="P27" i="247"/>
  <c r="E9" i="253"/>
  <c r="G32" i="253"/>
  <c r="L32" i="253" s="1"/>
  <c r="M29" i="243"/>
  <c r="E43" i="253"/>
  <c r="BB28" i="243" s="1"/>
  <c r="J22" i="247"/>
  <c r="J29" i="247"/>
  <c r="E45" i="253"/>
  <c r="BB30" i="243" s="1"/>
  <c r="BC80" i="243"/>
  <c r="R457" i="283"/>
  <c r="M55" i="243"/>
  <c r="M76" i="243"/>
  <c r="M86" i="243"/>
  <c r="M94" i="243"/>
  <c r="D26" i="280"/>
  <c r="D39" i="280" s="1"/>
  <c r="AD56" i="281"/>
  <c r="V449" i="283"/>
  <c r="I143" i="233"/>
  <c r="O7" i="288"/>
  <c r="O9" i="288" s="1"/>
  <c r="O11" i="288" s="1"/>
  <c r="O13" i="288" s="1"/>
  <c r="P13" i="287"/>
  <c r="U169" i="284"/>
  <c r="O98" i="277"/>
  <c r="C71" i="274"/>
  <c r="H68" i="274" s="1"/>
  <c r="J78" i="285"/>
  <c r="J81" i="285" s="1"/>
  <c r="AC28" i="251"/>
  <c r="N113" i="277"/>
  <c r="AD160" i="284"/>
  <c r="F227" i="277"/>
  <c r="G125" i="233" s="1"/>
  <c r="Q228" i="277"/>
  <c r="P461" i="283"/>
  <c r="P483" i="283"/>
  <c r="G462" i="283"/>
  <c r="AO25" i="289"/>
  <c r="J18" i="282"/>
  <c r="J17" i="282"/>
  <c r="J21" i="282" s="1"/>
  <c r="D130" i="232"/>
  <c r="D133" i="232" s="1"/>
  <c r="D136" i="232" s="1"/>
  <c r="D138" i="232" s="1"/>
  <c r="D104" i="232"/>
  <c r="D106" i="232" s="1"/>
  <c r="D108" i="232" s="1"/>
  <c r="D110" i="232" s="1"/>
  <c r="D113" i="232" s="1"/>
  <c r="S450" i="283"/>
  <c r="M15" i="266" s="1"/>
  <c r="G6" i="253"/>
  <c r="C63" i="253"/>
  <c r="U77" i="289"/>
  <c r="D96" i="232"/>
  <c r="D99" i="232" s="1"/>
  <c r="D102" i="232" s="1"/>
  <c r="D121" i="232"/>
  <c r="D124" i="232" s="1"/>
  <c r="D127" i="232" s="1"/>
  <c r="F462" i="283"/>
  <c r="D63" i="253"/>
  <c r="U162" i="284"/>
  <c r="Z30" i="251"/>
  <c r="N114" i="277"/>
  <c r="W20" i="282"/>
  <c r="AE35" i="268"/>
  <c r="AE14" i="268"/>
  <c r="AE15" i="268" s="1"/>
  <c r="V21" i="282"/>
  <c r="I244" i="277"/>
  <c r="J142" i="233" s="1"/>
  <c r="Z12" i="251"/>
  <c r="X39" i="251"/>
  <c r="D65" i="253"/>
  <c r="F66" i="285"/>
  <c r="F67" i="285" s="1"/>
  <c r="F75" i="285"/>
  <c r="F78" i="285" s="1"/>
  <c r="F81" i="285" s="1"/>
  <c r="AE15" i="251"/>
  <c r="D60" i="232"/>
  <c r="D62" i="232" s="1"/>
  <c r="D64" i="232" s="1"/>
  <c r="D66" i="232" s="1"/>
  <c r="D68" i="232" s="1"/>
  <c r="D10" i="232"/>
  <c r="AI63" i="289"/>
  <c r="AL63" i="289" s="1"/>
  <c r="AI64" i="289"/>
  <c r="AL64" i="289" s="1"/>
  <c r="G66" i="285"/>
  <c r="G67" i="285" s="1"/>
  <c r="G75" i="285"/>
  <c r="G78" i="285" s="1"/>
  <c r="G81" i="285" s="1"/>
  <c r="H505" i="283"/>
  <c r="D214" i="295"/>
  <c r="X6" i="251"/>
  <c r="K13" i="267"/>
  <c r="I12" i="266"/>
  <c r="M33" i="221" s="1"/>
  <c r="N110" i="277"/>
  <c r="AI14" i="268"/>
  <c r="AI15" i="268" s="1"/>
  <c r="D58" i="253"/>
  <c r="W18" i="282"/>
  <c r="D59" i="253"/>
  <c r="N74" i="277"/>
  <c r="N75" i="285"/>
  <c r="N78" i="285" s="1"/>
  <c r="N81" i="285" s="1"/>
  <c r="N66" i="285"/>
  <c r="N67" i="285" s="1"/>
  <c r="D90" i="232"/>
  <c r="D92" i="232" s="1"/>
  <c r="D94" i="232" s="1"/>
  <c r="D97" i="232" s="1"/>
  <c r="D100" i="232" s="1"/>
  <c r="D16" i="232"/>
  <c r="N54" i="277"/>
  <c r="N75" i="277"/>
  <c r="W449" i="283"/>
  <c r="L7" i="266" s="1"/>
  <c r="F460" i="283"/>
  <c r="J460" i="283" s="1"/>
  <c r="D128" i="232"/>
  <c r="D131" i="232" s="1"/>
  <c r="D134" i="232" s="1"/>
  <c r="D137" i="232" s="1"/>
  <c r="D36" i="232"/>
  <c r="P13" i="280"/>
  <c r="H10" i="247" s="1"/>
  <c r="AE10" i="247" s="1"/>
  <c r="Q449" i="283"/>
  <c r="I378" i="268"/>
  <c r="D46" i="285"/>
  <c r="D6" i="232"/>
  <c r="U30" i="251"/>
  <c r="T52" i="251"/>
  <c r="G21" i="282"/>
  <c r="L46" i="285"/>
  <c r="E533" i="283"/>
  <c r="F54" i="221" s="1"/>
  <c r="R57" i="253"/>
  <c r="U21" i="251"/>
  <c r="E534" i="283"/>
  <c r="G54" i="221" s="1"/>
  <c r="E547" i="283"/>
  <c r="E546" i="283"/>
  <c r="I547" i="283"/>
  <c r="H11" i="261" s="1"/>
  <c r="H13" i="261" s="1"/>
  <c r="C40" i="285"/>
  <c r="BB26" i="243" l="1"/>
  <c r="B21" i="253"/>
  <c r="BB29" i="243"/>
  <c r="BC57" i="243"/>
  <c r="BB61" i="243"/>
  <c r="K35" i="253"/>
  <c r="BC27" i="243"/>
  <c r="BC30" i="243"/>
  <c r="BB31" i="243"/>
  <c r="BB55" i="243"/>
  <c r="BC14" i="243"/>
  <c r="BH16" i="243" s="1"/>
  <c r="K30" i="253"/>
  <c r="BC32" i="243"/>
  <c r="J7" i="253"/>
  <c r="Y17" i="250"/>
  <c r="X17" i="250"/>
  <c r="Y33" i="250"/>
  <c r="AD33" i="250" s="1"/>
  <c r="X33" i="250"/>
  <c r="X19" i="250"/>
  <c r="Y19" i="250"/>
  <c r="E83" i="243"/>
  <c r="J83" i="243" s="1"/>
  <c r="E75" i="243"/>
  <c r="K51" i="243"/>
  <c r="J53" i="243"/>
  <c r="J52" i="243"/>
  <c r="K52" i="243"/>
  <c r="K83" i="243"/>
  <c r="J51" i="243"/>
  <c r="I83" i="243"/>
  <c r="K80" i="243"/>
  <c r="J48" i="243"/>
  <c r="K49" i="243"/>
  <c r="E71" i="243"/>
  <c r="J72" i="243" s="1"/>
  <c r="J49" i="243"/>
  <c r="K79" i="243"/>
  <c r="K81" i="243"/>
  <c r="J47" i="243"/>
  <c r="K48" i="243"/>
  <c r="J85" i="243"/>
  <c r="K50" i="243"/>
  <c r="K64" i="243"/>
  <c r="E87" i="243"/>
  <c r="K63" i="243"/>
  <c r="J65" i="243"/>
  <c r="L63" i="243"/>
  <c r="J63" i="243"/>
  <c r="K65" i="243"/>
  <c r="J84" i="243"/>
  <c r="K85" i="243"/>
  <c r="J64" i="243"/>
  <c r="E91" i="243"/>
  <c r="K69" i="243"/>
  <c r="K68" i="243"/>
  <c r="L67" i="243"/>
  <c r="J68" i="243"/>
  <c r="K67" i="243"/>
  <c r="L28" i="286"/>
  <c r="G46" i="221"/>
  <c r="S14" i="261" s="1"/>
  <c r="I548" i="283"/>
  <c r="BB54" i="243"/>
  <c r="D57" i="253"/>
  <c r="AF161" i="284"/>
  <c r="BA10" i="243"/>
  <c r="J25" i="253"/>
  <c r="K26" i="253"/>
  <c r="BA11" i="243"/>
  <c r="AD161" i="284"/>
  <c r="AD162" i="284"/>
  <c r="W29" i="250"/>
  <c r="T29" i="250" s="1"/>
  <c r="H29" i="250" s="1"/>
  <c r="G37" i="221"/>
  <c r="W27" i="250" s="1"/>
  <c r="T27" i="250" s="1"/>
  <c r="H27" i="250" s="1"/>
  <c r="I550" i="283"/>
  <c r="H46" i="221"/>
  <c r="S18" i="261" s="1"/>
  <c r="BB59" i="243"/>
  <c r="C8" i="276"/>
  <c r="BG95" i="276"/>
  <c r="BH95" i="276"/>
  <c r="BI95" i="276"/>
  <c r="D8" i="276"/>
  <c r="B8" i="276"/>
  <c r="BF95" i="276"/>
  <c r="BC16" i="243"/>
  <c r="BC58" i="243"/>
  <c r="U62" i="280"/>
  <c r="H42" i="221" s="1"/>
  <c r="Y28" i="247" s="1"/>
  <c r="K40" i="266"/>
  <c r="S30" i="266"/>
  <c r="W32" i="266" s="1"/>
  <c r="X32" i="266" s="1"/>
  <c r="S29" i="266"/>
  <c r="W31" i="266" s="1"/>
  <c r="X31" i="266" s="1"/>
  <c r="S31" i="266"/>
  <c r="W33" i="266" s="1"/>
  <c r="X33" i="266" s="1"/>
  <c r="S462" i="283"/>
  <c r="F469" i="283"/>
  <c r="S469" i="283" s="1"/>
  <c r="S12" i="266"/>
  <c r="BH9" i="243"/>
  <c r="BI9" i="243"/>
  <c r="BC21" i="243"/>
  <c r="BA8" i="243"/>
  <c r="K23" i="253"/>
  <c r="S22" i="286"/>
  <c r="G11" i="221" s="1"/>
  <c r="S21" i="286"/>
  <c r="G10" i="221" s="1"/>
  <c r="S20" i="286"/>
  <c r="G9" i="221" s="1"/>
  <c r="M20" i="286"/>
  <c r="I259" i="284"/>
  <c r="L30" i="286"/>
  <c r="BC11" i="243"/>
  <c r="E30" i="221"/>
  <c r="L30" i="221" s="1"/>
  <c r="N32" i="221" s="1"/>
  <c r="W32" i="221" s="1"/>
  <c r="I35" i="243"/>
  <c r="G48" i="253"/>
  <c r="L48" i="253" s="1"/>
  <c r="L22" i="253"/>
  <c r="G21" i="253"/>
  <c r="L21" i="253" s="1"/>
  <c r="X11" i="266"/>
  <c r="K7" i="253"/>
  <c r="BB41" i="243"/>
  <c r="K18" i="267"/>
  <c r="L13" i="267"/>
  <c r="K9" i="253"/>
  <c r="BB43" i="243"/>
  <c r="BA61" i="243"/>
  <c r="AE53" i="281"/>
  <c r="AE54" i="281"/>
  <c r="AE52" i="281"/>
  <c r="BA58" i="243"/>
  <c r="K39" i="253"/>
  <c r="AA26" i="266"/>
  <c r="AA27" i="266"/>
  <c r="L37" i="266"/>
  <c r="L48" i="266" s="1"/>
  <c r="L72" i="285"/>
  <c r="L78" i="285" s="1"/>
  <c r="L81" i="285" s="1"/>
  <c r="L49" i="285"/>
  <c r="L50" i="285" s="1"/>
  <c r="J9" i="253"/>
  <c r="BA43" i="243"/>
  <c r="K27" i="286"/>
  <c r="K16" i="286"/>
  <c r="BA19" i="243"/>
  <c r="K34" i="253"/>
  <c r="H19" i="282"/>
  <c r="T46" i="282"/>
  <c r="M26" i="266"/>
  <c r="AA28" i="266" s="1"/>
  <c r="AA15" i="266"/>
  <c r="S17" i="266"/>
  <c r="W14" i="266" s="1"/>
  <c r="S16" i="266"/>
  <c r="S15" i="266"/>
  <c r="D21" i="282"/>
  <c r="BB44" i="243"/>
  <c r="K10" i="253"/>
  <c r="BC28" i="243"/>
  <c r="K37" i="253"/>
  <c r="BA22" i="243"/>
  <c r="BC26" i="243"/>
  <c r="AI124" i="243"/>
  <c r="J79" i="243" s="1"/>
  <c r="AI168" i="243"/>
  <c r="J57" i="243" s="1"/>
  <c r="AI174" i="243"/>
  <c r="J81" i="243" s="1"/>
  <c r="AI149" i="243"/>
  <c r="J80" i="243" s="1"/>
  <c r="AI162" i="243"/>
  <c r="J33" i="243" s="1"/>
  <c r="AI156" i="243"/>
  <c r="J9" i="243" s="1"/>
  <c r="AI137" i="243"/>
  <c r="J32" i="243" s="1"/>
  <c r="AI106" i="243"/>
  <c r="J7" i="243" s="1"/>
  <c r="AI118" i="243"/>
  <c r="J55" i="243" s="1"/>
  <c r="AI131" i="243"/>
  <c r="J8" i="243" s="1"/>
  <c r="AI112" i="243"/>
  <c r="J31" i="243" s="1"/>
  <c r="AI143" i="243"/>
  <c r="J56" i="243" s="1"/>
  <c r="X9" i="266"/>
  <c r="T24" i="286"/>
  <c r="L7" i="253"/>
  <c r="BC41" i="243"/>
  <c r="J21" i="253"/>
  <c r="L9" i="253"/>
  <c r="BC43" i="243"/>
  <c r="BH8" i="243"/>
  <c r="BI8" i="243"/>
  <c r="V18" i="247"/>
  <c r="Z18" i="247" s="1"/>
  <c r="AA18" i="247" s="1"/>
  <c r="AM11" i="247"/>
  <c r="AE18" i="247"/>
  <c r="I59" i="243"/>
  <c r="U57" i="280"/>
  <c r="U58" i="280"/>
  <c r="U45" i="280"/>
  <c r="L21" i="282"/>
  <c r="AH46" i="282" s="1"/>
  <c r="E99" i="243"/>
  <c r="J76" i="243"/>
  <c r="J77" i="243"/>
  <c r="K77" i="243"/>
  <c r="J75" i="243"/>
  <c r="K76" i="243"/>
  <c r="K75" i="243"/>
  <c r="AI49" i="243"/>
  <c r="AI43" i="243"/>
  <c r="I7" i="243"/>
  <c r="L35" i="233"/>
  <c r="D49" i="285"/>
  <c r="D50" i="285" s="1"/>
  <c r="D72" i="285"/>
  <c r="D78" i="285" s="1"/>
  <c r="D81" i="285" s="1"/>
  <c r="Q460" i="283"/>
  <c r="Q462" i="283"/>
  <c r="Q451" i="283"/>
  <c r="Q458" i="283" s="1"/>
  <c r="H17" i="247"/>
  <c r="H24" i="247"/>
  <c r="AR12" i="247"/>
  <c r="V10" i="247"/>
  <c r="Z10" i="247" s="1"/>
  <c r="C57" i="253"/>
  <c r="BA54" i="243"/>
  <c r="BC31" i="243"/>
  <c r="AR20" i="247"/>
  <c r="AC20" i="247"/>
  <c r="AC21" i="247"/>
  <c r="BA9" i="243"/>
  <c r="BC42" i="243"/>
  <c r="BA44" i="243"/>
  <c r="K25" i="253"/>
  <c r="B57" i="253"/>
  <c r="AC27" i="247"/>
  <c r="AO26" i="289"/>
  <c r="K17" i="289" s="1"/>
  <c r="AQ26" i="289"/>
  <c r="K19" i="289" s="1"/>
  <c r="AP26" i="289"/>
  <c r="K18" i="289" s="1"/>
  <c r="AN26" i="289"/>
  <c r="K16" i="289" s="1"/>
  <c r="BA17" i="243"/>
  <c r="K32" i="253"/>
  <c r="J462" i="283"/>
  <c r="V462" i="283"/>
  <c r="G469" i="283"/>
  <c r="M462" i="283"/>
  <c r="G464" i="283"/>
  <c r="L29" i="247"/>
  <c r="M29" i="247"/>
  <c r="K29" i="247"/>
  <c r="V29" i="247"/>
  <c r="V30" i="247"/>
  <c r="AD30" i="247"/>
  <c r="AD29" i="247"/>
  <c r="H37" i="266"/>
  <c r="P488" i="283"/>
  <c r="V22" i="247"/>
  <c r="Z20" i="247" s="1"/>
  <c r="AA20" i="247" s="1"/>
  <c r="K22" i="247"/>
  <c r="M22" i="247"/>
  <c r="AD23" i="247"/>
  <c r="L22" i="247"/>
  <c r="AD22" i="247"/>
  <c r="AD35" i="247" s="1"/>
  <c r="D47" i="233" s="1"/>
  <c r="AK20" i="247"/>
  <c r="AK21" i="247"/>
  <c r="V23" i="247"/>
  <c r="Z21" i="247" s="1"/>
  <c r="AA21" i="247" s="1"/>
  <c r="AR22" i="247"/>
  <c r="P466" i="283"/>
  <c r="P464" i="283"/>
  <c r="S461" i="283"/>
  <c r="BC20" i="243"/>
  <c r="C48" i="253"/>
  <c r="K22" i="253"/>
  <c r="BA59" i="243"/>
  <c r="K31" i="253"/>
  <c r="BA16" i="243"/>
  <c r="AK12" i="247"/>
  <c r="Q35" i="247"/>
  <c r="V12" i="247"/>
  <c r="Z12" i="247" s="1"/>
  <c r="V11" i="247"/>
  <c r="Z11" i="247" s="1"/>
  <c r="AK11" i="247"/>
  <c r="AK10" i="247"/>
  <c r="L12" i="221"/>
  <c r="B48" i="253"/>
  <c r="J48" i="253" s="1"/>
  <c r="AA21" i="282"/>
  <c r="W13" i="266"/>
  <c r="H20" i="282"/>
  <c r="F48" i="253"/>
  <c r="BC7" i="243"/>
  <c r="M6" i="286"/>
  <c r="S8" i="286"/>
  <c r="E11" i="221" s="1"/>
  <c r="S7" i="286"/>
  <c r="E10" i="221" s="1"/>
  <c r="S6" i="286"/>
  <c r="E9" i="221" s="1"/>
  <c r="O11" i="276"/>
  <c r="M11" i="276"/>
  <c r="J30" i="253"/>
  <c r="BA15" i="243"/>
  <c r="K40" i="253"/>
  <c r="BA25" i="243"/>
  <c r="L18" i="266"/>
  <c r="Z8" i="266"/>
  <c r="Z7" i="266"/>
  <c r="Z9" i="266"/>
  <c r="L10" i="266"/>
  <c r="H17" i="282"/>
  <c r="E57" i="253"/>
  <c r="BO13" i="243"/>
  <c r="BH13" i="243"/>
  <c r="K38" i="253"/>
  <c r="O110" i="284"/>
  <c r="N110" i="284"/>
  <c r="H36" i="221" s="1"/>
  <c r="L13" i="245"/>
  <c r="L42" i="245"/>
  <c r="L20" i="245"/>
  <c r="L31" i="245"/>
  <c r="BC13" i="243"/>
  <c r="BA14" i="243"/>
  <c r="K29" i="253"/>
  <c r="M13" i="286"/>
  <c r="R15" i="286" s="1"/>
  <c r="T15" i="286" s="1"/>
  <c r="S13" i="286"/>
  <c r="F9" i="221" s="1"/>
  <c r="S14" i="286"/>
  <c r="F10" i="221" s="1"/>
  <c r="S15" i="286"/>
  <c r="F11" i="221" s="1"/>
  <c r="BA18" i="243"/>
  <c r="K33" i="253"/>
  <c r="BC17" i="243"/>
  <c r="K36" i="253"/>
  <c r="BA21" i="243"/>
  <c r="BC59" i="243"/>
  <c r="H33" i="247"/>
  <c r="V33" i="247" s="1"/>
  <c r="Z33" i="247" s="1"/>
  <c r="AA33" i="247" s="1"/>
  <c r="V26" i="247"/>
  <c r="Z26" i="247" s="1"/>
  <c r="AA26" i="247" s="1"/>
  <c r="O107" i="284"/>
  <c r="N107" i="284"/>
  <c r="H18" i="282"/>
  <c r="Z40" i="251"/>
  <c r="BC23" i="243"/>
  <c r="BC10" i="243"/>
  <c r="BC22" i="243"/>
  <c r="BA56" i="243"/>
  <c r="AA17" i="266"/>
  <c r="BC29" i="243"/>
  <c r="BA60" i="243"/>
  <c r="U467" i="283"/>
  <c r="V467" i="283" s="1"/>
  <c r="V460" i="283"/>
  <c r="U464" i="283"/>
  <c r="BA23" i="243"/>
  <c r="H32" i="247"/>
  <c r="V32" i="247" s="1"/>
  <c r="Z32" i="247" s="1"/>
  <c r="AA32" i="247" s="1"/>
  <c r="V25" i="247"/>
  <c r="Z25" i="247" s="1"/>
  <c r="AA25" i="247" s="1"/>
  <c r="U21" i="282"/>
  <c r="F467" i="283"/>
  <c r="S460" i="283"/>
  <c r="F464" i="283"/>
  <c r="AB20" i="286"/>
  <c r="R20" i="286"/>
  <c r="T20" i="286" s="1"/>
  <c r="V28" i="247"/>
  <c r="AM21" i="247"/>
  <c r="AM20" i="247"/>
  <c r="V27" i="247"/>
  <c r="BO17" i="243"/>
  <c r="W17" i="282"/>
  <c r="W19" i="282"/>
  <c r="E24" i="282"/>
  <c r="BB57" i="243"/>
  <c r="BI67" i="243" s="1"/>
  <c r="L10" i="253"/>
  <c r="BC44" i="243"/>
  <c r="BC54" i="243"/>
  <c r="F57" i="253"/>
  <c r="BC56" i="243"/>
  <c r="U466" i="283"/>
  <c r="V461" i="283"/>
  <c r="AD159" i="284"/>
  <c r="AA16" i="266"/>
  <c r="H69" i="274"/>
  <c r="K69" i="274" s="1"/>
  <c r="K68" i="274"/>
  <c r="E48" i="253"/>
  <c r="K8" i="253"/>
  <c r="BB42" i="243"/>
  <c r="BC60" i="243"/>
  <c r="M44" i="221"/>
  <c r="E44" i="221"/>
  <c r="AI153" i="243"/>
  <c r="J92" i="243"/>
  <c r="Y10" i="247"/>
  <c r="L43" i="221"/>
  <c r="AC30" i="251"/>
  <c r="AG28" i="251"/>
  <c r="AF28" i="251" s="1"/>
  <c r="G144" i="251" s="1"/>
  <c r="G57" i="253"/>
  <c r="K27" i="253"/>
  <c r="BA12" i="243"/>
  <c r="M45" i="221"/>
  <c r="E45" i="221"/>
  <c r="BA24" i="243"/>
  <c r="CE16" i="243"/>
  <c r="BH17" i="243" s="1"/>
  <c r="CF15" i="243"/>
  <c r="U70" i="274"/>
  <c r="AE37" i="268"/>
  <c r="AK26" i="247"/>
  <c r="AE24" i="247"/>
  <c r="AF26" i="247"/>
  <c r="AE25" i="247"/>
  <c r="AK24" i="247"/>
  <c r="AK25" i="247"/>
  <c r="BC18" i="243"/>
  <c r="BB27" i="243"/>
  <c r="BB33" i="243" s="1"/>
  <c r="K28" i="253"/>
  <c r="D42" i="280"/>
  <c r="L38" i="245"/>
  <c r="L49" i="245"/>
  <c r="L27" i="245"/>
  <c r="BA20" i="243"/>
  <c r="AI122" i="243"/>
  <c r="J67" i="243"/>
  <c r="T25" i="286"/>
  <c r="BI71" i="243" l="1"/>
  <c r="BA33" i="243"/>
  <c r="BI64" i="243"/>
  <c r="BH71" i="243"/>
  <c r="BO16" i="243"/>
  <c r="BJ65" i="243"/>
  <c r="BJ72" i="243"/>
  <c r="BR72" i="243" s="1"/>
  <c r="BH67" i="243"/>
  <c r="K84" i="243"/>
  <c r="AD9" i="250"/>
  <c r="L11" i="221"/>
  <c r="K71" i="243"/>
  <c r="L71" i="243"/>
  <c r="K72" i="243"/>
  <c r="E95" i="243"/>
  <c r="K74" i="243"/>
  <c r="K73" i="243"/>
  <c r="J71" i="243"/>
  <c r="J74" i="243"/>
  <c r="J73" i="243"/>
  <c r="J93" i="243"/>
  <c r="K92" i="243"/>
  <c r="L91" i="243"/>
  <c r="K91" i="243"/>
  <c r="J91" i="243"/>
  <c r="K93" i="243"/>
  <c r="J89" i="243"/>
  <c r="L87" i="243"/>
  <c r="J88" i="243"/>
  <c r="J87" i="243"/>
  <c r="K88" i="243"/>
  <c r="K87" i="243"/>
  <c r="K89" i="243"/>
  <c r="BP72" i="243"/>
  <c r="BL72" i="243"/>
  <c r="BO72" i="243"/>
  <c r="BN72" i="243"/>
  <c r="BM72" i="243"/>
  <c r="BK72" i="243"/>
  <c r="BQ72" i="243"/>
  <c r="BB47" i="243"/>
  <c r="BI48" i="243" s="1"/>
  <c r="X27" i="250"/>
  <c r="Y27" i="250"/>
  <c r="Z27" i="247"/>
  <c r="AA27" i="247" s="1"/>
  <c r="K48" i="253"/>
  <c r="V469" i="283"/>
  <c r="J469" i="283"/>
  <c r="Q469" i="283" s="1"/>
  <c r="AR13" i="247"/>
  <c r="AS12" i="247"/>
  <c r="AR14" i="247"/>
  <c r="Y29" i="250"/>
  <c r="X29" i="250"/>
  <c r="BJ71" i="243"/>
  <c r="BH65" i="243"/>
  <c r="H31" i="247"/>
  <c r="V24" i="247"/>
  <c r="Z24" i="247" s="1"/>
  <c r="AA24" i="247" s="1"/>
  <c r="AR26" i="247"/>
  <c r="K99" i="243"/>
  <c r="K101" i="243"/>
  <c r="J99" i="243"/>
  <c r="J101" i="243"/>
  <c r="K100" i="243"/>
  <c r="J100" i="243"/>
  <c r="BO12" i="243"/>
  <c r="BH12" i="243"/>
  <c r="BI68" i="243"/>
  <c r="AM10" i="247"/>
  <c r="AE17" i="247"/>
  <c r="V17" i="247"/>
  <c r="Z17" i="247" s="1"/>
  <c r="AA17" i="247" s="1"/>
  <c r="AI51" i="243"/>
  <c r="AI44" i="243"/>
  <c r="I15" i="243"/>
  <c r="BJ64" i="243"/>
  <c r="R21" i="286"/>
  <c r="T21" i="286" s="1"/>
  <c r="R22" i="286"/>
  <c r="T22" i="286" s="1"/>
  <c r="BO65" i="243"/>
  <c r="BN65" i="243"/>
  <c r="BK65" i="243"/>
  <c r="BL65" i="243"/>
  <c r="BM65" i="243"/>
  <c r="BR65" i="243"/>
  <c r="BQ65" i="243"/>
  <c r="BP65" i="243"/>
  <c r="BO15" i="243"/>
  <c r="BH15" i="243"/>
  <c r="U470" i="283"/>
  <c r="V466" i="283"/>
  <c r="BJ67" i="243"/>
  <c r="D67" i="280"/>
  <c r="D66" i="280"/>
  <c r="D88" i="280"/>
  <c r="Y11" i="247"/>
  <c r="L44" i="221"/>
  <c r="N44" i="221" s="1"/>
  <c r="W44" i="221" s="1"/>
  <c r="M478" i="283"/>
  <c r="M486" i="283"/>
  <c r="M474" i="283"/>
  <c r="M464" i="283"/>
  <c r="M469" i="283"/>
  <c r="M482" i="283"/>
  <c r="AA10" i="247"/>
  <c r="Z28" i="247"/>
  <c r="AA28" i="247" s="1"/>
  <c r="BI11" i="243"/>
  <c r="BH11" i="243"/>
  <c r="L46" i="245"/>
  <c r="L24" i="245"/>
  <c r="L35" i="245"/>
  <c r="W37" i="250"/>
  <c r="T37" i="250" s="1"/>
  <c r="H37" i="250" s="1"/>
  <c r="H37" i="221"/>
  <c r="W35" i="250" s="1"/>
  <c r="T35" i="250" s="1"/>
  <c r="H35" i="250" s="1"/>
  <c r="M22" i="221"/>
  <c r="M21" i="221"/>
  <c r="M23" i="221"/>
  <c r="M24" i="221"/>
  <c r="J77" i="274"/>
  <c r="L9" i="221"/>
  <c r="Q466" i="283"/>
  <c r="S466" i="283"/>
  <c r="S6" i="289"/>
  <c r="S24" i="289"/>
  <c r="S23" i="289"/>
  <c r="S5" i="289"/>
  <c r="S4" i="289"/>
  <c r="Q464" i="283"/>
  <c r="R13" i="286"/>
  <c r="T13" i="286" s="1"/>
  <c r="M27" i="221"/>
  <c r="M25" i="221"/>
  <c r="M26" i="221"/>
  <c r="L10" i="221"/>
  <c r="S30" i="289"/>
  <c r="T12" i="288" s="1"/>
  <c r="S29" i="289"/>
  <c r="S11" i="289"/>
  <c r="S12" i="289"/>
  <c r="S10" i="289"/>
  <c r="M16" i="286"/>
  <c r="AA21" i="286" s="1"/>
  <c r="R19" i="286"/>
  <c r="T19" i="286" s="1"/>
  <c r="R18" i="286"/>
  <c r="T18" i="286" s="1"/>
  <c r="K30" i="286"/>
  <c r="R16" i="286"/>
  <c r="T16" i="286" s="1"/>
  <c r="R17" i="286"/>
  <c r="T17" i="286" s="1"/>
  <c r="S40" i="266"/>
  <c r="W42" i="266" s="1"/>
  <c r="X42" i="266" s="1"/>
  <c r="S41" i="266"/>
  <c r="W43" i="266" s="1"/>
  <c r="X43" i="266" s="1"/>
  <c r="S42" i="266"/>
  <c r="W44" i="266" s="1"/>
  <c r="X44" i="266" s="1"/>
  <c r="F38" i="221"/>
  <c r="W15" i="250" s="1"/>
  <c r="D63" i="282"/>
  <c r="R57" i="282"/>
  <c r="R63" i="282" s="1"/>
  <c r="AS22" i="247"/>
  <c r="AR31" i="247"/>
  <c r="S32" i="289"/>
  <c r="S13" i="289"/>
  <c r="S33" i="289"/>
  <c r="T14" i="288" s="1"/>
  <c r="S14" i="289"/>
  <c r="S15" i="289"/>
  <c r="R29" i="286"/>
  <c r="T29" i="286" s="1"/>
  <c r="M27" i="286"/>
  <c r="R27" i="286"/>
  <c r="T27" i="286" s="1"/>
  <c r="R28" i="286"/>
  <c r="T28" i="286" s="1"/>
  <c r="S467" i="283"/>
  <c r="J467" i="283"/>
  <c r="Q467" i="283" s="1"/>
  <c r="N113" i="284"/>
  <c r="N114" i="284" s="1"/>
  <c r="N111" i="284"/>
  <c r="AB66" i="284" s="1"/>
  <c r="E36" i="221"/>
  <c r="M36" i="221"/>
  <c r="C82" i="286"/>
  <c r="V17" i="286"/>
  <c r="Z20" i="286"/>
  <c r="R6" i="286"/>
  <c r="T6" i="286" s="1"/>
  <c r="R7" i="286"/>
  <c r="T7" i="286" s="1"/>
  <c r="R8" i="286"/>
  <c r="T8" i="286" s="1"/>
  <c r="S8" i="289"/>
  <c r="S27" i="289"/>
  <c r="T10" i="288" s="1"/>
  <c r="S26" i="289"/>
  <c r="S7" i="289"/>
  <c r="S9" i="289"/>
  <c r="U74" i="274"/>
  <c r="C85" i="274"/>
  <c r="O113" i="284"/>
  <c r="O114" i="284" s="1"/>
  <c r="M37" i="221"/>
  <c r="O111" i="284"/>
  <c r="AC66" i="284" s="1"/>
  <c r="BC33" i="243"/>
  <c r="BH7" i="243"/>
  <c r="BI7" i="243"/>
  <c r="R14" i="286"/>
  <c r="T14" i="286" s="1"/>
  <c r="AF163" i="284"/>
  <c r="BB62" i="243"/>
  <c r="BI63" i="243"/>
  <c r="H38" i="221"/>
  <c r="W31" i="250" s="1"/>
  <c r="R59" i="282"/>
  <c r="R65" i="282" s="1"/>
  <c r="D65" i="282"/>
  <c r="BJ69" i="243"/>
  <c r="AI57" i="243"/>
  <c r="I31" i="243"/>
  <c r="BJ68" i="243"/>
  <c r="I549" i="283"/>
  <c r="H15" i="261" s="1"/>
  <c r="H17" i="261" s="1"/>
  <c r="H14" i="261"/>
  <c r="H16" i="261" s="1"/>
  <c r="BC62" i="243"/>
  <c r="BJ63" i="243"/>
  <c r="BH64" i="243"/>
  <c r="BN19" i="243"/>
  <c r="BO19" i="243"/>
  <c r="D50" i="261"/>
  <c r="J12" i="261"/>
  <c r="J16" i="261"/>
  <c r="J6" i="261"/>
  <c r="J8" i="261"/>
  <c r="J10" i="261"/>
  <c r="J14" i="261"/>
  <c r="BA47" i="243"/>
  <c r="BH51" i="243" s="1"/>
  <c r="BC73" i="243" s="1"/>
  <c r="AA20" i="286"/>
  <c r="BN20" i="243"/>
  <c r="BO20" i="243"/>
  <c r="N15" i="221"/>
  <c r="AC20" i="286"/>
  <c r="BH52" i="243"/>
  <c r="BD73" i="243" s="1"/>
  <c r="F42" i="221"/>
  <c r="M42" i="221"/>
  <c r="AM25" i="247"/>
  <c r="BJ52" i="243"/>
  <c r="BJ49" i="243"/>
  <c r="F41" i="221"/>
  <c r="M41" i="221"/>
  <c r="U63" i="280"/>
  <c r="M37" i="266"/>
  <c r="M48" i="266" s="1"/>
  <c r="AA50" i="266" s="1"/>
  <c r="S27" i="266"/>
  <c r="W24" i="266" s="1"/>
  <c r="S26" i="266"/>
  <c r="W23" i="266" s="1"/>
  <c r="S28" i="266"/>
  <c r="W25" i="266" s="1"/>
  <c r="BH68" i="243"/>
  <c r="AF33" i="247"/>
  <c r="AF35" i="247" s="1"/>
  <c r="D49" i="233" s="1"/>
  <c r="R56" i="282"/>
  <c r="D62" i="282"/>
  <c r="E38" i="221"/>
  <c r="H21" i="282"/>
  <c r="AA11" i="247"/>
  <c r="AA38" i="266"/>
  <c r="H53" i="266"/>
  <c r="AH11" i="281"/>
  <c r="AE56" i="281"/>
  <c r="AH12" i="281"/>
  <c r="M8" i="276"/>
  <c r="O8" i="276"/>
  <c r="AM26" i="247"/>
  <c r="L45" i="221"/>
  <c r="N45" i="221" s="1"/>
  <c r="W45" i="221" s="1"/>
  <c r="Y12" i="247"/>
  <c r="AD28" i="251"/>
  <c r="F144" i="251" s="1"/>
  <c r="W21" i="282"/>
  <c r="Z11" i="266"/>
  <c r="L12" i="266"/>
  <c r="Z10" i="266"/>
  <c r="L21" i="266"/>
  <c r="BI65" i="243"/>
  <c r="G38" i="221"/>
  <c r="W23" i="250" s="1"/>
  <c r="R58" i="282"/>
  <c r="R64" i="282" s="1"/>
  <c r="D64" i="282"/>
  <c r="AH15" i="281"/>
  <c r="AH16" i="281"/>
  <c r="W12" i="266"/>
  <c r="M10" i="276"/>
  <c r="O10" i="276"/>
  <c r="BC47" i="243"/>
  <c r="BJ51" i="243" s="1"/>
  <c r="BJ48" i="243"/>
  <c r="AH13" i="281"/>
  <c r="AH14" i="281"/>
  <c r="AG30" i="251"/>
  <c r="AF30" i="251" s="1"/>
  <c r="AC35" i="247"/>
  <c r="D46" i="233" s="1"/>
  <c r="X33" i="233" s="1"/>
  <c r="AS20" i="247"/>
  <c r="AR30" i="247"/>
  <c r="BH72" i="243"/>
  <c r="L29" i="266"/>
  <c r="Z20" i="266"/>
  <c r="Z19" i="266"/>
  <c r="Z18" i="266"/>
  <c r="AE32" i="247"/>
  <c r="BI51" i="243"/>
  <c r="AJ28" i="243" s="1"/>
  <c r="P71" i="243" s="1"/>
  <c r="M9" i="276"/>
  <c r="O9" i="276"/>
  <c r="BI69" i="243"/>
  <c r="BH69" i="243"/>
  <c r="BA62" i="243"/>
  <c r="M13" i="267"/>
  <c r="L18" i="267"/>
  <c r="J20" i="261"/>
  <c r="J18" i="261"/>
  <c r="V70" i="274"/>
  <c r="J92" i="274" s="1"/>
  <c r="H32" i="245" s="1"/>
  <c r="CG15" i="243"/>
  <c r="CF16" i="243"/>
  <c r="BI72" i="243"/>
  <c r="H18" i="261"/>
  <c r="H20" i="261" s="1"/>
  <c r="I551" i="283"/>
  <c r="H19" i="261" s="1"/>
  <c r="H21" i="261" s="1"/>
  <c r="BI52" i="243" l="1"/>
  <c r="AJ37" i="243" s="1"/>
  <c r="P99" i="243" s="1"/>
  <c r="BI49" i="243"/>
  <c r="AJ19" i="243" s="1"/>
  <c r="P43" i="243" s="1"/>
  <c r="AJ15" i="243"/>
  <c r="P35" i="243" s="1"/>
  <c r="J97" i="243"/>
  <c r="L95" i="243"/>
  <c r="K98" i="243"/>
  <c r="J96" i="243"/>
  <c r="K95" i="243"/>
  <c r="K96" i="243"/>
  <c r="K97" i="243"/>
  <c r="J95" i="243"/>
  <c r="J98" i="243"/>
  <c r="AJ8" i="243"/>
  <c r="P7" i="243" s="1"/>
  <c r="AJ13" i="243"/>
  <c r="P27" i="243" s="1"/>
  <c r="AJ11" i="243"/>
  <c r="P19" i="243" s="1"/>
  <c r="M18" i="267"/>
  <c r="N13" i="267"/>
  <c r="D67" i="282"/>
  <c r="L67" i="282" s="1"/>
  <c r="Q484" i="283"/>
  <c r="Q480" i="283"/>
  <c r="Q476" i="283"/>
  <c r="Q472" i="283"/>
  <c r="Q470" i="283"/>
  <c r="BH73" i="243"/>
  <c r="R62" i="282"/>
  <c r="R67" i="282"/>
  <c r="N11" i="221"/>
  <c r="W11" i="221" s="1"/>
  <c r="BH19" i="243"/>
  <c r="V20" i="286"/>
  <c r="Q475" i="283"/>
  <c r="Q487" i="283"/>
  <c r="Q479" i="283"/>
  <c r="Q483" i="283"/>
  <c r="AG159" i="284"/>
  <c r="J257" i="284" s="1"/>
  <c r="E48" i="221" s="1"/>
  <c r="AG160" i="284"/>
  <c r="J258" i="284" s="1"/>
  <c r="F48" i="221" s="1"/>
  <c r="AG162" i="284"/>
  <c r="J260" i="284" s="1"/>
  <c r="H48" i="221" s="1"/>
  <c r="AJ21" i="243"/>
  <c r="P51" i="243" s="1"/>
  <c r="L38" i="221"/>
  <c r="N38" i="221" s="1"/>
  <c r="W38" i="221" s="1"/>
  <c r="AA12" i="247"/>
  <c r="M30" i="286"/>
  <c r="AC21" i="286" s="1"/>
  <c r="V21" i="286" s="1"/>
  <c r="Z21" i="266"/>
  <c r="L32" i="266"/>
  <c r="Z22" i="266"/>
  <c r="AA48" i="266"/>
  <c r="AG161" i="284"/>
  <c r="J259" i="284" s="1"/>
  <c r="G48" i="221" s="1"/>
  <c r="R70" i="274"/>
  <c r="X23" i="266"/>
  <c r="AA49" i="266"/>
  <c r="AC33" i="233"/>
  <c r="Z13" i="266"/>
  <c r="L23" i="266"/>
  <c r="Z12" i="266"/>
  <c r="Z14" i="266"/>
  <c r="W13" i="250"/>
  <c r="T13" i="250" s="1"/>
  <c r="H13" i="250" s="1"/>
  <c r="E37" i="221"/>
  <c r="L36" i="221"/>
  <c r="N36" i="221" s="1"/>
  <c r="W36" i="221" s="1"/>
  <c r="AJ24" i="243"/>
  <c r="P55" i="243" s="1"/>
  <c r="BL51" i="243"/>
  <c r="BK51" i="243"/>
  <c r="BR51" i="243"/>
  <c r="BQ51" i="243"/>
  <c r="BP51" i="243"/>
  <c r="BO51" i="243"/>
  <c r="BM51" i="243"/>
  <c r="BN51" i="243"/>
  <c r="AB8" i="287"/>
  <c r="S18" i="289"/>
  <c r="T13" i="287"/>
  <c r="BI12" i="243"/>
  <c r="AJ27" i="243"/>
  <c r="P67" i="243" s="1"/>
  <c r="T15" i="287"/>
  <c r="AB11" i="287"/>
  <c r="V35" i="266"/>
  <c r="G34" i="221" s="1"/>
  <c r="V34" i="266"/>
  <c r="G33" i="221" s="1"/>
  <c r="V36" i="266"/>
  <c r="G35" i="221" s="1"/>
  <c r="AJ25" i="243"/>
  <c r="P63" i="243" s="1"/>
  <c r="AA6" i="261"/>
  <c r="BM63" i="243"/>
  <c r="BJ73" i="243"/>
  <c r="BQ63" i="243"/>
  <c r="BO63" i="243"/>
  <c r="BK63" i="243"/>
  <c r="BR63" i="243"/>
  <c r="BP63" i="243"/>
  <c r="BN63" i="243"/>
  <c r="BL63" i="243"/>
  <c r="Q485" i="283"/>
  <c r="Q481" i="283"/>
  <c r="Q477" i="283"/>
  <c r="Q473" i="283"/>
  <c r="T14" i="287"/>
  <c r="AB10" i="287"/>
  <c r="N469" i="283"/>
  <c r="M470" i="283"/>
  <c r="AJ29" i="243"/>
  <c r="P75" i="243" s="1"/>
  <c r="T11" i="288"/>
  <c r="S37" i="289"/>
  <c r="BN21" i="243"/>
  <c r="AJ23" i="243"/>
  <c r="P59" i="243" s="1"/>
  <c r="AD30" i="251"/>
  <c r="BO49" i="243"/>
  <c r="BM49" i="243"/>
  <c r="BL49" i="243"/>
  <c r="BK49" i="243"/>
  <c r="BQ49" i="243"/>
  <c r="BR49" i="243"/>
  <c r="BP49" i="243"/>
  <c r="BN49" i="243"/>
  <c r="AJ26" i="247"/>
  <c r="G20" i="221"/>
  <c r="X35" i="250"/>
  <c r="Y35" i="250"/>
  <c r="AD17" i="250" s="1"/>
  <c r="V12" i="266"/>
  <c r="V13" i="266"/>
  <c r="V14" i="266"/>
  <c r="AS26" i="247"/>
  <c r="AR28" i="247"/>
  <c r="AR34" i="247" s="1"/>
  <c r="AR27" i="247"/>
  <c r="AR33" i="247" s="1"/>
  <c r="AJ7" i="243"/>
  <c r="P11" i="243" s="1"/>
  <c r="Y14" i="247"/>
  <c r="AA14" i="247" s="1"/>
  <c r="L42" i="221"/>
  <c r="BM48" i="243"/>
  <c r="BL48" i="243"/>
  <c r="BN48" i="243"/>
  <c r="BQ48" i="243"/>
  <c r="BP48" i="243"/>
  <c r="BK48" i="243"/>
  <c r="BO48" i="243"/>
  <c r="BR48" i="243"/>
  <c r="BO52" i="243"/>
  <c r="BK52" i="243"/>
  <c r="BM52" i="243"/>
  <c r="BN52" i="243"/>
  <c r="BR52" i="243"/>
  <c r="BP52" i="243"/>
  <c r="BL52" i="243"/>
  <c r="BQ52" i="243"/>
  <c r="X37" i="250"/>
  <c r="Y37" i="250"/>
  <c r="V46" i="266"/>
  <c r="H34" i="221" s="1"/>
  <c r="V45" i="266"/>
  <c r="H33" i="221" s="1"/>
  <c r="V47" i="266"/>
  <c r="H35" i="221" s="1"/>
  <c r="AJ9" i="243"/>
  <c r="P15" i="243" s="1"/>
  <c r="BK68" i="243"/>
  <c r="BN68" i="243"/>
  <c r="BP68" i="243"/>
  <c r="BM68" i="243"/>
  <c r="BO68" i="243"/>
  <c r="BR68" i="243"/>
  <c r="BL68" i="243"/>
  <c r="BQ68" i="243"/>
  <c r="V24" i="266"/>
  <c r="F34" i="221" s="1"/>
  <c r="V25" i="266"/>
  <c r="F35" i="221" s="1"/>
  <c r="V23" i="266"/>
  <c r="F33" i="221" s="1"/>
  <c r="AI32" i="243"/>
  <c r="AI25" i="243"/>
  <c r="O63" i="243" s="1"/>
  <c r="AI23" i="243"/>
  <c r="AI33" i="243"/>
  <c r="O87" i="243" s="1"/>
  <c r="AI35" i="243"/>
  <c r="O91" i="243" s="1"/>
  <c r="AI11" i="243"/>
  <c r="O19" i="243" s="1"/>
  <c r="AI36" i="243"/>
  <c r="O95" i="243" s="1"/>
  <c r="AI28" i="243"/>
  <c r="O71" i="243" s="1"/>
  <c r="AI13" i="243"/>
  <c r="O27" i="243" s="1"/>
  <c r="AI37" i="243"/>
  <c r="O99" i="243" s="1"/>
  <c r="AI29" i="243"/>
  <c r="O75" i="243" s="1"/>
  <c r="AI27" i="243"/>
  <c r="O67" i="243" s="1"/>
  <c r="AI24" i="243"/>
  <c r="AI31" i="243"/>
  <c r="V31" i="247"/>
  <c r="Z31" i="247" s="1"/>
  <c r="AA31" i="247" s="1"/>
  <c r="AM24" i="247"/>
  <c r="AE31" i="247"/>
  <c r="AE35" i="247" s="1"/>
  <c r="D50" i="233" s="1"/>
  <c r="X35" i="233" s="1"/>
  <c r="BO21" i="243"/>
  <c r="AJ12" i="243"/>
  <c r="P23" i="243" s="1"/>
  <c r="Y13" i="247"/>
  <c r="AA13" i="247" s="1"/>
  <c r="L41" i="221"/>
  <c r="R71" i="274"/>
  <c r="AJ31" i="243"/>
  <c r="P83" i="243" s="1"/>
  <c r="BH48" i="243"/>
  <c r="BA73" i="243" s="1"/>
  <c r="CF107" i="243" s="1"/>
  <c r="BH49" i="243"/>
  <c r="BB73" i="243" s="1"/>
  <c r="AI65" i="243"/>
  <c r="I79" i="243" s="1"/>
  <c r="I55" i="243"/>
  <c r="AC11" i="287"/>
  <c r="T18" i="287"/>
  <c r="BM64" i="243"/>
  <c r="BR64" i="243"/>
  <c r="BN64" i="243"/>
  <c r="BK64" i="243"/>
  <c r="BQ64" i="243"/>
  <c r="BP64" i="243"/>
  <c r="BO64" i="243"/>
  <c r="BL64" i="243"/>
  <c r="AJ33" i="243"/>
  <c r="P87" i="243" s="1"/>
  <c r="S48" i="266"/>
  <c r="W45" i="266" s="1"/>
  <c r="S49" i="266"/>
  <c r="W46" i="266" s="1"/>
  <c r="X46" i="266" s="1"/>
  <c r="S50" i="266"/>
  <c r="W47" i="266" s="1"/>
  <c r="X47" i="266" s="1"/>
  <c r="AJ36" i="243"/>
  <c r="P95" i="243" s="1"/>
  <c r="X12" i="266"/>
  <c r="Z6" i="261"/>
  <c r="AC10" i="287"/>
  <c r="T17" i="287"/>
  <c r="AI16" i="281"/>
  <c r="AI11" i="281"/>
  <c r="AH19" i="281"/>
  <c r="BN69" i="243"/>
  <c r="BK69" i="243"/>
  <c r="BO69" i="243"/>
  <c r="BR69" i="243"/>
  <c r="BQ69" i="243"/>
  <c r="BP69" i="243"/>
  <c r="BM69" i="243"/>
  <c r="BL69" i="243"/>
  <c r="AL26" i="247"/>
  <c r="H20" i="221"/>
  <c r="D68" i="280"/>
  <c r="D81" i="280"/>
  <c r="D77" i="280"/>
  <c r="AI45" i="243"/>
  <c r="I19" i="243"/>
  <c r="AI52" i="243"/>
  <c r="AA39" i="266"/>
  <c r="Y6" i="261"/>
  <c r="AC8" i="287"/>
  <c r="S19" i="289"/>
  <c r="T16" i="287"/>
  <c r="D82" i="280"/>
  <c r="D78" i="280"/>
  <c r="I39" i="243"/>
  <c r="AI59" i="243"/>
  <c r="AJ16" i="243"/>
  <c r="P31" i="243" s="1"/>
  <c r="S39" i="266"/>
  <c r="W36" i="266" s="1"/>
  <c r="X36" i="266" s="1"/>
  <c r="X7" i="261"/>
  <c r="D85" i="274"/>
  <c r="C112" i="274"/>
  <c r="C116" i="274"/>
  <c r="S38" i="289"/>
  <c r="T13" i="288"/>
  <c r="BQ67" i="243"/>
  <c r="BP67" i="243"/>
  <c r="BL67" i="243"/>
  <c r="BK67" i="243"/>
  <c r="BO67" i="243"/>
  <c r="BN67" i="243"/>
  <c r="BM67" i="243"/>
  <c r="BR67" i="243"/>
  <c r="AJ32" i="243"/>
  <c r="P79" i="243" s="1"/>
  <c r="L40" i="266"/>
  <c r="Z31" i="266"/>
  <c r="Z29" i="266"/>
  <c r="Z30" i="266"/>
  <c r="S38" i="266"/>
  <c r="W35" i="266" s="1"/>
  <c r="X6" i="261"/>
  <c r="T31" i="250"/>
  <c r="H31" i="250" s="1"/>
  <c r="V74" i="274"/>
  <c r="V72" i="274"/>
  <c r="V68" i="274"/>
  <c r="V66" i="274"/>
  <c r="T23" i="250"/>
  <c r="H23" i="250" s="1"/>
  <c r="AA37" i="266"/>
  <c r="AA52" i="266" s="1"/>
  <c r="D54" i="233" s="1"/>
  <c r="R15" i="261"/>
  <c r="Z7" i="261"/>
  <c r="BI73" i="243"/>
  <c r="CH107" i="243"/>
  <c r="CH106" i="243"/>
  <c r="BC70" i="243"/>
  <c r="BC68" i="243"/>
  <c r="BC69" i="243"/>
  <c r="BC72" i="243"/>
  <c r="CH15" i="243"/>
  <c r="CG16" i="243"/>
  <c r="Y7" i="261"/>
  <c r="T12" i="287"/>
  <c r="AA11" i="287"/>
  <c r="T7" i="287"/>
  <c r="M16" i="221"/>
  <c r="S16" i="289"/>
  <c r="Z8" i="287"/>
  <c r="S37" i="266"/>
  <c r="W34" i="266" s="1"/>
  <c r="X34" i="266" s="1"/>
  <c r="K14" i="261"/>
  <c r="R14" i="261" s="1"/>
  <c r="K16" i="261"/>
  <c r="K20" i="261"/>
  <c r="R19" i="261" s="1"/>
  <c r="K18" i="261"/>
  <c r="R18" i="261" s="1"/>
  <c r="K12" i="261"/>
  <c r="R11" i="261" s="1"/>
  <c r="K8" i="261"/>
  <c r="R7" i="261" s="1"/>
  <c r="K6" i="261"/>
  <c r="R6" i="261" s="1"/>
  <c r="K10" i="261"/>
  <c r="R10" i="261" s="1"/>
  <c r="AA8" i="287"/>
  <c r="AA13" i="287" s="1"/>
  <c r="H10" i="287" s="1"/>
  <c r="S17" i="289"/>
  <c r="T10" i="287"/>
  <c r="T8" i="287"/>
  <c r="Z10" i="287"/>
  <c r="AD10" i="287" s="1"/>
  <c r="M17" i="221"/>
  <c r="S36" i="289"/>
  <c r="T9" i="288"/>
  <c r="T15" i="250"/>
  <c r="H15" i="250" s="1"/>
  <c r="M19" i="221"/>
  <c r="T7" i="288"/>
  <c r="S35" i="289"/>
  <c r="BK71" i="243"/>
  <c r="AK13" i="243" s="1"/>
  <c r="Q27" i="243" s="1"/>
  <c r="BM71" i="243"/>
  <c r="BL71" i="243"/>
  <c r="BQ71" i="243"/>
  <c r="BR71" i="243"/>
  <c r="BO71" i="243"/>
  <c r="BP71" i="243"/>
  <c r="BN71" i="243"/>
  <c r="BD68" i="243"/>
  <c r="BD70" i="243"/>
  <c r="BD69" i="243"/>
  <c r="CI106" i="243"/>
  <c r="CI107" i="243"/>
  <c r="BD72" i="243"/>
  <c r="F20" i="221"/>
  <c r="AL12" i="247"/>
  <c r="T8" i="288"/>
  <c r="M20" i="221"/>
  <c r="AJ35" i="243"/>
  <c r="P91" i="243" s="1"/>
  <c r="AA7" i="261"/>
  <c r="AA10" i="287"/>
  <c r="T11" i="287"/>
  <c r="T9" i="287"/>
  <c r="Z11" i="287"/>
  <c r="M18" i="221"/>
  <c r="AI16" i="243" l="1"/>
  <c r="AI8" i="243"/>
  <c r="AI7" i="243"/>
  <c r="CF103" i="243" s="1"/>
  <c r="BZ101" i="243" s="1"/>
  <c r="AI73" i="243" s="1"/>
  <c r="AI19" i="243"/>
  <c r="O43" i="243" s="1"/>
  <c r="N143" i="243" s="1"/>
  <c r="AI21" i="243"/>
  <c r="O51" i="243" s="1"/>
  <c r="AJ20" i="243"/>
  <c r="P47" i="243" s="1"/>
  <c r="AJ17" i="243"/>
  <c r="P39" i="243" s="1"/>
  <c r="AI9" i="243"/>
  <c r="O15" i="243" s="1"/>
  <c r="AA18" i="243" s="1"/>
  <c r="AI20" i="243"/>
  <c r="O47" i="243" s="1"/>
  <c r="O142" i="243" s="1"/>
  <c r="AI15" i="243"/>
  <c r="T34" i="250"/>
  <c r="H34" i="250" s="1"/>
  <c r="T14" i="261"/>
  <c r="T10" i="261"/>
  <c r="T26" i="250"/>
  <c r="H26" i="250" s="1"/>
  <c r="X26" i="250" s="1"/>
  <c r="T18" i="261"/>
  <c r="T18" i="250"/>
  <c r="H18" i="250" s="1"/>
  <c r="L40" i="221"/>
  <c r="AC35" i="233"/>
  <c r="T6" i="261"/>
  <c r="S39" i="289"/>
  <c r="J90" i="274"/>
  <c r="H21" i="245" s="1"/>
  <c r="R69" i="274"/>
  <c r="R68" i="274"/>
  <c r="E19" i="221"/>
  <c r="F26" i="288"/>
  <c r="T16" i="288"/>
  <c r="AJ11" i="247"/>
  <c r="J94" i="274"/>
  <c r="H43" i="245" s="1"/>
  <c r="R73" i="274"/>
  <c r="R72" i="274"/>
  <c r="AD11" i="287"/>
  <c r="X45" i="266"/>
  <c r="CI103" i="243"/>
  <c r="CC101" i="243" s="1"/>
  <c r="AI97" i="243" s="1"/>
  <c r="O83" i="243"/>
  <c r="G19" i="221"/>
  <c r="AJ25" i="247"/>
  <c r="F28" i="288"/>
  <c r="H11" i="288" s="1"/>
  <c r="AJ24" i="247"/>
  <c r="G18" i="221"/>
  <c r="AI60" i="243"/>
  <c r="I43" i="243"/>
  <c r="DM43" i="243" s="1"/>
  <c r="I47" i="243"/>
  <c r="DM47" i="243" s="1"/>
  <c r="Z13" i="287"/>
  <c r="H7" i="287" s="1"/>
  <c r="AD8" i="287"/>
  <c r="O11" i="243"/>
  <c r="E18" i="221"/>
  <c r="AJ10" i="247"/>
  <c r="AL7" i="247"/>
  <c r="F17" i="221"/>
  <c r="M14" i="245"/>
  <c r="M17" i="245"/>
  <c r="M39" i="245"/>
  <c r="M32" i="245"/>
  <c r="M36" i="245"/>
  <c r="M25" i="245"/>
  <c r="M10" i="245"/>
  <c r="M6" i="245"/>
  <c r="M28" i="245"/>
  <c r="M47" i="245"/>
  <c r="M21" i="245"/>
  <c r="M43" i="245"/>
  <c r="D39" i="233"/>
  <c r="X36" i="233" s="1"/>
  <c r="X18" i="250"/>
  <c r="Y18" i="250"/>
  <c r="Y15" i="250"/>
  <c r="X15" i="250"/>
  <c r="F19" i="221"/>
  <c r="F27" i="288"/>
  <c r="H9" i="288" s="1"/>
  <c r="AL11" i="247"/>
  <c r="U28" i="245"/>
  <c r="G21" i="221" s="1"/>
  <c r="U29" i="245"/>
  <c r="G22" i="221" s="1"/>
  <c r="U30" i="245"/>
  <c r="G23" i="221" s="1"/>
  <c r="U31" i="245"/>
  <c r="G24" i="221" s="1"/>
  <c r="Y31" i="250"/>
  <c r="X31" i="250"/>
  <c r="T20" i="287"/>
  <c r="E16" i="221"/>
  <c r="AJ6" i="247"/>
  <c r="R15" i="291"/>
  <c r="H15" i="291" s="1"/>
  <c r="V15" i="291"/>
  <c r="F29" i="288"/>
  <c r="H13" i="288" s="1"/>
  <c r="AL25" i="247"/>
  <c r="H19" i="221"/>
  <c r="X34" i="250"/>
  <c r="Y34" i="250"/>
  <c r="S20" i="289"/>
  <c r="AB6" i="261"/>
  <c r="D58" i="233" s="1"/>
  <c r="AB7" i="261"/>
  <c r="D57" i="233" s="1"/>
  <c r="CH101" i="243"/>
  <c r="CB100" i="243" s="1"/>
  <c r="AI91" i="243" s="1"/>
  <c r="L55" i="243" s="1"/>
  <c r="O55" i="243"/>
  <c r="G16" i="221"/>
  <c r="AJ20" i="247"/>
  <c r="X35" i="266"/>
  <c r="N147" i="243"/>
  <c r="N146" i="243"/>
  <c r="N145" i="243"/>
  <c r="F18" i="221"/>
  <c r="AL10" i="247"/>
  <c r="G17" i="221"/>
  <c r="AJ21" i="247"/>
  <c r="AB13" i="287"/>
  <c r="H13" i="287" s="1"/>
  <c r="X25" i="266"/>
  <c r="AI19" i="281"/>
  <c r="AI17" i="281"/>
  <c r="AI18" i="281"/>
  <c r="DM15" i="243"/>
  <c r="DN15" i="243" s="1"/>
  <c r="M137" i="243"/>
  <c r="M138" i="243"/>
  <c r="M139" i="243"/>
  <c r="AI67" i="243"/>
  <c r="I87" i="243" s="1"/>
  <c r="DM87" i="243" s="1"/>
  <c r="I63" i="243"/>
  <c r="DM63" i="243" s="1"/>
  <c r="Z32" i="266"/>
  <c r="L43" i="266"/>
  <c r="Z33" i="266"/>
  <c r="E35" i="221"/>
  <c r="L35" i="221" s="1"/>
  <c r="X14" i="266"/>
  <c r="H18" i="221"/>
  <c r="AL24" i="247"/>
  <c r="E34" i="221"/>
  <c r="L34" i="221" s="1"/>
  <c r="X13" i="266"/>
  <c r="Q488" i="283"/>
  <c r="Z41" i="266"/>
  <c r="Z40" i="266"/>
  <c r="Z42" i="266"/>
  <c r="R12" i="287"/>
  <c r="U12" i="287" s="1"/>
  <c r="R10" i="287"/>
  <c r="U10" i="287" s="1"/>
  <c r="R11" i="287"/>
  <c r="U11" i="287" s="1"/>
  <c r="AI14" i="281"/>
  <c r="O146" i="243"/>
  <c r="O148" i="243"/>
  <c r="O145" i="243"/>
  <c r="O147" i="243"/>
  <c r="E33" i="221"/>
  <c r="L33" i="221" s="1"/>
  <c r="V52" i="266"/>
  <c r="BL73" i="243"/>
  <c r="R30" i="286"/>
  <c r="T30" i="286" s="1"/>
  <c r="E17" i="221"/>
  <c r="AJ7" i="247"/>
  <c r="O150" i="243"/>
  <c r="O152" i="243"/>
  <c r="O149" i="243"/>
  <c r="O151" i="243"/>
  <c r="BN73" i="243"/>
  <c r="R31" i="286"/>
  <c r="T31" i="286" s="1"/>
  <c r="BI13" i="243"/>
  <c r="BO23" i="243"/>
  <c r="BN23" i="243"/>
  <c r="BJ7" i="243"/>
  <c r="BH20" i="243"/>
  <c r="CH16" i="243"/>
  <c r="CI15" i="243"/>
  <c r="DM19" i="243"/>
  <c r="N138" i="243"/>
  <c r="N139" i="243"/>
  <c r="N137" i="243"/>
  <c r="BP73" i="243"/>
  <c r="R32" i="286"/>
  <c r="T32" i="286" s="1"/>
  <c r="W52" i="266"/>
  <c r="X52" i="266" s="1"/>
  <c r="N149" i="243"/>
  <c r="N150" i="243"/>
  <c r="N151" i="243"/>
  <c r="BR73" i="243"/>
  <c r="R33" i="286"/>
  <c r="T33" i="286" s="1"/>
  <c r="AJ12" i="247"/>
  <c r="E20" i="221"/>
  <c r="L20" i="221" s="1"/>
  <c r="M150" i="243"/>
  <c r="M151" i="243"/>
  <c r="M149" i="243"/>
  <c r="BK73" i="243"/>
  <c r="N18" i="267"/>
  <c r="O13" i="267"/>
  <c r="H16" i="221"/>
  <c r="AL20" i="247"/>
  <c r="BB69" i="243"/>
  <c r="BB70" i="243"/>
  <c r="CG106" i="243"/>
  <c r="CG107" i="243"/>
  <c r="BB68" i="243"/>
  <c r="BB72" i="243"/>
  <c r="BA72" i="243"/>
  <c r="CF106" i="243"/>
  <c r="BA69" i="243"/>
  <c r="BE69" i="243" s="1"/>
  <c r="BV115" i="243" s="1"/>
  <c r="BA68" i="243"/>
  <c r="BA70" i="243"/>
  <c r="BE70" i="243" s="1"/>
  <c r="BV116" i="243" s="1"/>
  <c r="BW116" i="243" s="1"/>
  <c r="CH103" i="243"/>
  <c r="CB101" i="243" s="1"/>
  <c r="AI89" i="243" s="1"/>
  <c r="O59" i="243"/>
  <c r="BO73" i="243"/>
  <c r="F50" i="221"/>
  <c r="W16" i="250"/>
  <c r="T16" i="250" s="1"/>
  <c r="H16" i="250" s="1"/>
  <c r="F16" i="221"/>
  <c r="AL6" i="247"/>
  <c r="H17" i="221"/>
  <c r="AL21" i="247"/>
  <c r="AC13" i="287"/>
  <c r="H16" i="287" s="1"/>
  <c r="AI12" i="281"/>
  <c r="BQ73" i="243"/>
  <c r="Z35" i="247"/>
  <c r="G50" i="221"/>
  <c r="W24" i="250"/>
  <c r="T24" i="250" s="1"/>
  <c r="H24" i="250" s="1"/>
  <c r="AI15" i="281"/>
  <c r="AI12" i="243"/>
  <c r="O23" i="243" s="1"/>
  <c r="E50" i="221"/>
  <c r="T8" i="250"/>
  <c r="O31" i="243"/>
  <c r="CG101" i="243"/>
  <c r="BM73" i="243"/>
  <c r="W32" i="250"/>
  <c r="T32" i="250" s="1"/>
  <c r="H32" i="250" s="1"/>
  <c r="H50" i="221"/>
  <c r="Y35" i="247"/>
  <c r="AA20" i="243"/>
  <c r="AA22" i="243"/>
  <c r="AA21" i="243"/>
  <c r="AA19" i="243"/>
  <c r="U38" i="245"/>
  <c r="G27" i="221" s="1"/>
  <c r="U37" i="245"/>
  <c r="G26" i="221" s="1"/>
  <c r="U36" i="245"/>
  <c r="G25" i="221" s="1"/>
  <c r="O7" i="243"/>
  <c r="CF101" i="243"/>
  <c r="L37" i="221"/>
  <c r="N37" i="221" s="1"/>
  <c r="W37" i="221" s="1"/>
  <c r="H11" i="250"/>
  <c r="X11" i="250" s="1"/>
  <c r="AI47" i="243"/>
  <c r="AI53" i="243"/>
  <c r="AI61" i="243" s="1"/>
  <c r="I23" i="243"/>
  <c r="M145" i="243"/>
  <c r="M146" i="243"/>
  <c r="M147" i="243"/>
  <c r="X13" i="250"/>
  <c r="Y13" i="250"/>
  <c r="AD13" i="250" s="1"/>
  <c r="D61" i="233" s="1"/>
  <c r="T7" i="250"/>
  <c r="H7" i="250" s="1"/>
  <c r="X7" i="250" s="1"/>
  <c r="Y26" i="250"/>
  <c r="X24" i="266"/>
  <c r="AI17" i="243"/>
  <c r="O39" i="243" s="1"/>
  <c r="AA42" i="243" s="1"/>
  <c r="V19" i="291"/>
  <c r="R19" i="291"/>
  <c r="H19" i="291" s="1"/>
  <c r="AA16" i="243"/>
  <c r="AA15" i="243"/>
  <c r="V11" i="291"/>
  <c r="R11" i="291"/>
  <c r="H11" i="291" s="1"/>
  <c r="CI101" i="243"/>
  <c r="CC100" i="243" s="1"/>
  <c r="AI99" i="243" s="1"/>
  <c r="L79" i="243" s="1"/>
  <c r="O79" i="243"/>
  <c r="Y23" i="250"/>
  <c r="X23" i="250"/>
  <c r="J88" i="274"/>
  <c r="R67" i="274"/>
  <c r="R66" i="274"/>
  <c r="AI13" i="281"/>
  <c r="Z25" i="266"/>
  <c r="L34" i="266"/>
  <c r="Z24" i="266"/>
  <c r="Z23" i="266"/>
  <c r="V7" i="291"/>
  <c r="F49" i="221"/>
  <c r="L47" i="221"/>
  <c r="N47" i="221" s="1"/>
  <c r="W47" i="221" s="1"/>
  <c r="E49" i="221"/>
  <c r="R7" i="291"/>
  <c r="H7" i="291" s="1"/>
  <c r="H49" i="221"/>
  <c r="G49" i="221"/>
  <c r="V19" i="286"/>
  <c r="N142" i="243" l="1"/>
  <c r="AA17" i="243"/>
  <c r="O141" i="243"/>
  <c r="N141" i="243"/>
  <c r="O143" i="243"/>
  <c r="O144" i="243"/>
  <c r="BZ100" i="243"/>
  <c r="AI75" i="243" s="1"/>
  <c r="L7" i="243" s="1"/>
  <c r="CA100" i="243"/>
  <c r="AI83" i="243" s="1"/>
  <c r="L31" i="243" s="1"/>
  <c r="K142" i="243" s="1"/>
  <c r="H8" i="250"/>
  <c r="AA35" i="247"/>
  <c r="AA57" i="243"/>
  <c r="AA58" i="243"/>
  <c r="AA55" i="243"/>
  <c r="AA56" i="243"/>
  <c r="K149" i="243"/>
  <c r="K151" i="243"/>
  <c r="K150" i="243"/>
  <c r="AA82" i="243"/>
  <c r="AA79" i="243"/>
  <c r="AA81" i="243"/>
  <c r="AA80" i="243"/>
  <c r="L59" i="243"/>
  <c r="DM59" i="243" s="1"/>
  <c r="AI96" i="243"/>
  <c r="L75" i="243" s="1"/>
  <c r="X32" i="250"/>
  <c r="Y32" i="250"/>
  <c r="R9" i="291"/>
  <c r="H9" i="291" s="1"/>
  <c r="V9" i="291"/>
  <c r="L48" i="221"/>
  <c r="N48" i="221" s="1"/>
  <c r="W48" i="221" s="1"/>
  <c r="AI68" i="243"/>
  <c r="I91" i="243" s="1"/>
  <c r="I67" i="243"/>
  <c r="V13" i="291"/>
  <c r="R13" i="291"/>
  <c r="H13" i="291" s="1"/>
  <c r="H29" i="291" s="1"/>
  <c r="I29" i="291" s="1"/>
  <c r="L49" i="221"/>
  <c r="R23" i="291"/>
  <c r="H23" i="291" s="1"/>
  <c r="V23" i="291"/>
  <c r="BE68" i="243"/>
  <c r="O137" i="243"/>
  <c r="O139" i="243"/>
  <c r="O138" i="243"/>
  <c r="DM23" i="243"/>
  <c r="O140" i="243"/>
  <c r="BW115" i="243"/>
  <c r="DN43" i="243"/>
  <c r="DN45" i="243"/>
  <c r="DN44" i="243"/>
  <c r="DN46" i="243"/>
  <c r="AC36" i="233"/>
  <c r="R11" i="288"/>
  <c r="U11" i="288" s="1"/>
  <c r="R12" i="288"/>
  <c r="U12" i="288" s="1"/>
  <c r="Z34" i="266"/>
  <c r="L45" i="266"/>
  <c r="Z35" i="266"/>
  <c r="Z36" i="266"/>
  <c r="DN64" i="243"/>
  <c r="DN65" i="243"/>
  <c r="DN63" i="243"/>
  <c r="DN66" i="243"/>
  <c r="BE72" i="243"/>
  <c r="BV117" i="243" s="1"/>
  <c r="BU117" i="243" s="1"/>
  <c r="K147" i="243"/>
  <c r="K146" i="243"/>
  <c r="K145" i="243"/>
  <c r="R15" i="287"/>
  <c r="U15" i="287" s="1"/>
  <c r="R13" i="287"/>
  <c r="U13" i="287" s="1"/>
  <c r="R14" i="287"/>
  <c r="U14" i="287" s="1"/>
  <c r="Y24" i="250"/>
  <c r="X24" i="250"/>
  <c r="AI103" i="243"/>
  <c r="L99" i="243" s="1"/>
  <c r="L83" i="243"/>
  <c r="R14" i="288"/>
  <c r="U14" i="288" s="1"/>
  <c r="R13" i="288"/>
  <c r="U13" i="288" s="1"/>
  <c r="U41" i="245"/>
  <c r="H23" i="221" s="1"/>
  <c r="U39" i="245"/>
  <c r="H21" i="221" s="1"/>
  <c r="U40" i="245"/>
  <c r="H22" i="221" s="1"/>
  <c r="U42" i="245"/>
  <c r="H24" i="221" s="1"/>
  <c r="AI69" i="243"/>
  <c r="I95" i="243" s="1"/>
  <c r="I71" i="243"/>
  <c r="AA41" i="243"/>
  <c r="W35" i="245"/>
  <c r="AA33" i="245"/>
  <c r="W33" i="245"/>
  <c r="AA35" i="245"/>
  <c r="W34" i="245"/>
  <c r="W32" i="245"/>
  <c r="AA34" i="245"/>
  <c r="AA32" i="245"/>
  <c r="U48" i="245"/>
  <c r="H26" i="221" s="1"/>
  <c r="U49" i="245"/>
  <c r="H27" i="221" s="1"/>
  <c r="U47" i="245"/>
  <c r="H25" i="221" s="1"/>
  <c r="DM79" i="243"/>
  <c r="AA39" i="243"/>
  <c r="AA16" i="291"/>
  <c r="W15" i="291"/>
  <c r="X15" i="291" s="1"/>
  <c r="Z15" i="291"/>
  <c r="AA44" i="245"/>
  <c r="W45" i="245"/>
  <c r="W43" i="245"/>
  <c r="W46" i="245"/>
  <c r="W44" i="245"/>
  <c r="AA45" i="245"/>
  <c r="AA43" i="245"/>
  <c r="AA46" i="245"/>
  <c r="AA40" i="243"/>
  <c r="DN88" i="243"/>
  <c r="DN89" i="243"/>
  <c r="DN87" i="243"/>
  <c r="DN90" i="243"/>
  <c r="J99" i="274"/>
  <c r="H10" i="245"/>
  <c r="Z11" i="291"/>
  <c r="AA12" i="291"/>
  <c r="W11" i="291"/>
  <c r="X11" i="291" s="1"/>
  <c r="L16" i="221"/>
  <c r="AA24" i="243"/>
  <c r="AA25" i="243"/>
  <c r="AA23" i="243"/>
  <c r="AA26" i="243"/>
  <c r="AI55" i="243"/>
  <c r="AI63" i="243" s="1"/>
  <c r="I27" i="243"/>
  <c r="I51" i="243"/>
  <c r="R18" i="287"/>
  <c r="U18" i="287" s="1"/>
  <c r="R17" i="287"/>
  <c r="U17" i="287" s="1"/>
  <c r="R16" i="287"/>
  <c r="U16" i="287" s="1"/>
  <c r="L17" i="221"/>
  <c r="H7" i="288"/>
  <c r="F31" i="288"/>
  <c r="Z43" i="266"/>
  <c r="Z44" i="266"/>
  <c r="L19" i="221"/>
  <c r="R17" i="291"/>
  <c r="H17" i="291" s="1"/>
  <c r="V17" i="291"/>
  <c r="V25" i="291"/>
  <c r="R25" i="291"/>
  <c r="H25" i="291" s="1"/>
  <c r="O35" i="243"/>
  <c r="CG103" i="243"/>
  <c r="CA101" i="243" s="1"/>
  <c r="AI81" i="243" s="1"/>
  <c r="U19" i="245"/>
  <c r="F23" i="221" s="1"/>
  <c r="U20" i="245"/>
  <c r="F24" i="221" s="1"/>
  <c r="U17" i="245"/>
  <c r="F21" i="221" s="1"/>
  <c r="U18" i="245"/>
  <c r="F22" i="221" s="1"/>
  <c r="U16" i="245"/>
  <c r="E27" i="221" s="1"/>
  <c r="U14" i="245"/>
  <c r="E25" i="221" s="1"/>
  <c r="U15" i="245"/>
  <c r="E26" i="221" s="1"/>
  <c r="AA20" i="291"/>
  <c r="Z19" i="291"/>
  <c r="W19" i="291"/>
  <c r="X19" i="291" s="1"/>
  <c r="U26" i="245"/>
  <c r="F26" i="221" s="1"/>
  <c r="U27" i="245"/>
  <c r="F27" i="221" s="1"/>
  <c r="U25" i="245"/>
  <c r="F25" i="221" s="1"/>
  <c r="V21" i="291"/>
  <c r="R21" i="291"/>
  <c r="H21" i="291" s="1"/>
  <c r="AI80" i="243"/>
  <c r="L27" i="243" s="1"/>
  <c r="L11" i="243"/>
  <c r="DM11" i="243" s="1"/>
  <c r="Y168" i="243"/>
  <c r="H49" i="250"/>
  <c r="I49" i="250" s="1"/>
  <c r="Y11" i="250"/>
  <c r="AD11" i="250" s="1"/>
  <c r="D62" i="233" s="1"/>
  <c r="AA22" i="245"/>
  <c r="AA23" i="245"/>
  <c r="W24" i="245"/>
  <c r="W22" i="245"/>
  <c r="W21" i="245"/>
  <c r="AA21" i="245"/>
  <c r="W23" i="245"/>
  <c r="AA24" i="245"/>
  <c r="Y169" i="243"/>
  <c r="U7" i="245"/>
  <c r="E22" i="221" s="1"/>
  <c r="R74" i="274"/>
  <c r="C94" i="274" s="1"/>
  <c r="D94" i="274" s="1"/>
  <c r="U6" i="245"/>
  <c r="U8" i="245"/>
  <c r="E23" i="221" s="1"/>
  <c r="U9" i="245"/>
  <c r="E24" i="221" s="1"/>
  <c r="C88" i="274"/>
  <c r="P13" i="267"/>
  <c r="P18" i="267" s="1"/>
  <c r="O18" i="267"/>
  <c r="N35" i="221"/>
  <c r="W35" i="221" s="1"/>
  <c r="L18" i="221"/>
  <c r="S40" i="289"/>
  <c r="M142" i="243"/>
  <c r="DM39" i="243"/>
  <c r="M141" i="243"/>
  <c r="M143" i="243"/>
  <c r="DN20" i="243"/>
  <c r="DN19" i="243"/>
  <c r="DN22" i="243"/>
  <c r="DN21" i="243"/>
  <c r="V26" i="291"/>
  <c r="R26" i="291"/>
  <c r="H26" i="291" s="1"/>
  <c r="CI16" i="243"/>
  <c r="CJ15" i="243"/>
  <c r="DN50" i="243"/>
  <c r="DN48" i="243"/>
  <c r="DN49" i="243"/>
  <c r="DN47" i="243"/>
  <c r="X16" i="250"/>
  <c r="Y16" i="250"/>
  <c r="BJ8" i="243"/>
  <c r="BI15" i="243"/>
  <c r="BO24" i="243"/>
  <c r="BN24" i="243"/>
  <c r="BH21" i="243"/>
  <c r="AA66" i="243"/>
  <c r="AA64" i="243"/>
  <c r="AA65" i="243"/>
  <c r="AA63" i="243"/>
  <c r="DM55" i="243"/>
  <c r="AD13" i="287"/>
  <c r="V24" i="291"/>
  <c r="R24" i="291"/>
  <c r="H24" i="291" s="1"/>
  <c r="AA90" i="243"/>
  <c r="AA88" i="243"/>
  <c r="AA87" i="243"/>
  <c r="AA89" i="243"/>
  <c r="R9" i="288"/>
  <c r="U9" i="288" s="1"/>
  <c r="R10" i="288"/>
  <c r="U10" i="288" s="1"/>
  <c r="H25" i="287"/>
  <c r="R8" i="287"/>
  <c r="U8" i="287" s="1"/>
  <c r="R7" i="287"/>
  <c r="R9" i="287"/>
  <c r="U9" i="287" s="1"/>
  <c r="W40" i="250"/>
  <c r="AA8" i="291"/>
  <c r="W7" i="291"/>
  <c r="X7" i="291" s="1"/>
  <c r="Z7" i="291"/>
  <c r="T10" i="250"/>
  <c r="H10" i="250" s="1"/>
  <c r="X10" i="250" s="1"/>
  <c r="AA50" i="243"/>
  <c r="AA49" i="243"/>
  <c r="AA48" i="243"/>
  <c r="AA47" i="243"/>
  <c r="AA45" i="243"/>
  <c r="AA43" i="243"/>
  <c r="AA46" i="243"/>
  <c r="AA44" i="243"/>
  <c r="AA31" i="243" l="1"/>
  <c r="AA34" i="243"/>
  <c r="K141" i="243"/>
  <c r="AA33" i="243"/>
  <c r="AA32" i="243"/>
  <c r="K143" i="243"/>
  <c r="DM31" i="243"/>
  <c r="X8" i="250"/>
  <c r="Y8" i="250"/>
  <c r="AD8" i="250" s="1"/>
  <c r="L25" i="221"/>
  <c r="L24" i="221"/>
  <c r="L26" i="221"/>
  <c r="N20" i="221"/>
  <c r="W20" i="221" s="1"/>
  <c r="L22" i="221"/>
  <c r="Z28" i="291"/>
  <c r="D68" i="233" s="1"/>
  <c r="K63" i="233" s="1"/>
  <c r="M63" i="233" s="1"/>
  <c r="AI88" i="243"/>
  <c r="L51" i="243" s="1"/>
  <c r="AA51" i="243" s="1"/>
  <c r="L35" i="243"/>
  <c r="DM35" i="243" s="1"/>
  <c r="I94" i="274"/>
  <c r="H39" i="245" s="1"/>
  <c r="BW117" i="243"/>
  <c r="AJ182" i="243"/>
  <c r="K18" i="243" s="1"/>
  <c r="AI194" i="243"/>
  <c r="J66" i="243" s="1"/>
  <c r="M148" i="243" s="1"/>
  <c r="AI183" i="243"/>
  <c r="AI186" i="243"/>
  <c r="J38" i="243" s="1"/>
  <c r="AJ195" i="243"/>
  <c r="AJ192" i="243"/>
  <c r="K62" i="243" s="1"/>
  <c r="AJ198" i="243"/>
  <c r="K86" i="243" s="1"/>
  <c r="AJ188" i="243"/>
  <c r="K42" i="243" s="1"/>
  <c r="AI192" i="243"/>
  <c r="J62" i="243" s="1"/>
  <c r="L148" i="243" s="1"/>
  <c r="AJ186" i="243"/>
  <c r="K38" i="243" s="1"/>
  <c r="AJ187" i="243"/>
  <c r="K34" i="243" s="1"/>
  <c r="AJ183" i="243"/>
  <c r="AJ189" i="243"/>
  <c r="AJ201" i="243"/>
  <c r="AJ193" i="243"/>
  <c r="K58" i="243" s="1"/>
  <c r="AJ199" i="243"/>
  <c r="K82" i="243" s="1"/>
  <c r="AI182" i="243"/>
  <c r="J18" i="243" s="1"/>
  <c r="M140" i="243" s="1"/>
  <c r="AI189" i="243"/>
  <c r="AJ180" i="243"/>
  <c r="K14" i="243" s="1"/>
  <c r="AI198" i="243"/>
  <c r="J86" i="243" s="1"/>
  <c r="L152" i="243" s="1"/>
  <c r="AJ194" i="243"/>
  <c r="K66" i="243" s="1"/>
  <c r="AI200" i="243"/>
  <c r="J90" i="243" s="1"/>
  <c r="M152" i="243" s="1"/>
  <c r="AI201" i="243"/>
  <c r="AJ181" i="243"/>
  <c r="K10" i="243" s="1"/>
  <c r="AJ200" i="243"/>
  <c r="K90" i="243" s="1"/>
  <c r="AI188" i="243"/>
  <c r="J42" i="243" s="1"/>
  <c r="M144" i="243" s="1"/>
  <c r="AI180" i="243"/>
  <c r="J14" i="243" s="1"/>
  <c r="L140" i="243" s="1"/>
  <c r="AI195" i="243"/>
  <c r="AI193" i="243"/>
  <c r="J58" i="243" s="1"/>
  <c r="K148" i="243" s="1"/>
  <c r="AI181" i="243"/>
  <c r="J10" i="243" s="1"/>
  <c r="K140" i="243" s="1"/>
  <c r="AI187" i="243"/>
  <c r="J34" i="243" s="1"/>
  <c r="K144" i="243" s="1"/>
  <c r="AI199" i="243"/>
  <c r="J82" i="243" s="1"/>
  <c r="K152" i="243" s="1"/>
  <c r="DN13" i="243"/>
  <c r="DN11" i="243"/>
  <c r="DN12" i="243"/>
  <c r="DN14" i="243"/>
  <c r="D88" i="274"/>
  <c r="O153" i="243"/>
  <c r="L23" i="221"/>
  <c r="R20" i="287"/>
  <c r="U20" i="287" s="1"/>
  <c r="U7" i="287"/>
  <c r="U51" i="245"/>
  <c r="E21" i="221"/>
  <c r="L21" i="221" s="1"/>
  <c r="C92" i="274"/>
  <c r="D92" i="274" s="1"/>
  <c r="C93" i="274"/>
  <c r="D93" i="274" s="1"/>
  <c r="I93" i="274" s="1"/>
  <c r="H36" i="245" s="1"/>
  <c r="AD23" i="291"/>
  <c r="W23" i="291"/>
  <c r="X23" i="291" s="1"/>
  <c r="AI71" i="243"/>
  <c r="I99" i="243" s="1"/>
  <c r="DM99" i="243" s="1"/>
  <c r="I75" i="243"/>
  <c r="DM75" i="243" s="1"/>
  <c r="C89" i="274"/>
  <c r="D89" i="274" s="1"/>
  <c r="I89" i="274" s="1"/>
  <c r="H14" i="245" s="1"/>
  <c r="AA27" i="243"/>
  <c r="AA29" i="243"/>
  <c r="AA30" i="243"/>
  <c r="AA28" i="243"/>
  <c r="K137" i="243"/>
  <c r="K138" i="243"/>
  <c r="K139" i="243"/>
  <c r="AA7" i="243"/>
  <c r="AA9" i="243"/>
  <c r="AA8" i="243"/>
  <c r="AA10" i="243"/>
  <c r="L27" i="221"/>
  <c r="W13" i="291"/>
  <c r="X13" i="291" s="1"/>
  <c r="AB13" i="291"/>
  <c r="AC14" i="291"/>
  <c r="L151" i="243"/>
  <c r="L150" i="243"/>
  <c r="AA85" i="243"/>
  <c r="AA84" i="243"/>
  <c r="AA83" i="243"/>
  <c r="AA86" i="243"/>
  <c r="L149" i="243"/>
  <c r="P150" i="243"/>
  <c r="P151" i="243"/>
  <c r="P149" i="243"/>
  <c r="AA69" i="243"/>
  <c r="AA68" i="243"/>
  <c r="AA67" i="243"/>
  <c r="AA70" i="243"/>
  <c r="DM67" i="243"/>
  <c r="CJ16" i="243"/>
  <c r="CK15" i="243"/>
  <c r="C90" i="274"/>
  <c r="D90" i="274" s="1"/>
  <c r="C95" i="274"/>
  <c r="D95" i="274" s="1"/>
  <c r="I95" i="274" s="1"/>
  <c r="H47" i="245" s="1"/>
  <c r="AA94" i="243"/>
  <c r="AA92" i="243"/>
  <c r="AA93" i="243"/>
  <c r="AA91" i="243"/>
  <c r="DM91" i="243"/>
  <c r="DN80" i="243"/>
  <c r="DN81" i="243"/>
  <c r="DN82" i="243"/>
  <c r="DN79" i="243"/>
  <c r="Z46" i="266"/>
  <c r="Z47" i="266"/>
  <c r="Z52" i="266" s="1"/>
  <c r="D53" i="233" s="1"/>
  <c r="Z45" i="266"/>
  <c r="AD24" i="291"/>
  <c r="W24" i="291"/>
  <c r="X24" i="291" s="1"/>
  <c r="AD26" i="291"/>
  <c r="W26" i="291"/>
  <c r="X26" i="291" s="1"/>
  <c r="AC10" i="291"/>
  <c r="W9" i="291"/>
  <c r="X9" i="291" s="1"/>
  <c r="AB9" i="291"/>
  <c r="BI16" i="243"/>
  <c r="BJ9" i="243"/>
  <c r="BO25" i="243"/>
  <c r="BN25" i="243"/>
  <c r="BM25" i="243"/>
  <c r="BH23" i="243"/>
  <c r="W10" i="245"/>
  <c r="W13" i="245"/>
  <c r="AA11" i="245"/>
  <c r="AA10" i="245"/>
  <c r="AA12" i="245"/>
  <c r="W12" i="245"/>
  <c r="W11" i="245"/>
  <c r="AA13" i="245"/>
  <c r="D66" i="233"/>
  <c r="P147" i="243"/>
  <c r="P146" i="243"/>
  <c r="P145" i="243"/>
  <c r="AD25" i="291"/>
  <c r="W25" i="291"/>
  <c r="X25" i="291" s="1"/>
  <c r="DN60" i="243"/>
  <c r="DN59" i="243"/>
  <c r="DN61" i="243"/>
  <c r="DN62" i="243"/>
  <c r="L147" i="243"/>
  <c r="L146" i="243"/>
  <c r="L145" i="243"/>
  <c r="AA59" i="243"/>
  <c r="AA62" i="243"/>
  <c r="AA61" i="243"/>
  <c r="AA60" i="243"/>
  <c r="DN42" i="243"/>
  <c r="DN39" i="243"/>
  <c r="DN40" i="243"/>
  <c r="DN41" i="243"/>
  <c r="L139" i="243"/>
  <c r="L138" i="243"/>
  <c r="L137" i="243"/>
  <c r="AA14" i="243"/>
  <c r="AA12" i="243"/>
  <c r="AA11" i="243"/>
  <c r="AA13" i="243"/>
  <c r="AB17" i="291"/>
  <c r="AC18" i="291"/>
  <c r="W17" i="291"/>
  <c r="X17" i="291" s="1"/>
  <c r="P137" i="243"/>
  <c r="P138" i="243"/>
  <c r="P139" i="243"/>
  <c r="DM27" i="243"/>
  <c r="AC22" i="291"/>
  <c r="W21" i="291"/>
  <c r="X21" i="291" s="1"/>
  <c r="AB21" i="291"/>
  <c r="DM7" i="243"/>
  <c r="DM83" i="243"/>
  <c r="T40" i="250"/>
  <c r="AA74" i="243"/>
  <c r="AA71" i="243"/>
  <c r="AA72" i="243"/>
  <c r="AA73" i="243"/>
  <c r="DM71" i="243"/>
  <c r="DN56" i="243"/>
  <c r="DN55" i="243"/>
  <c r="DN57" i="243"/>
  <c r="DN58" i="243"/>
  <c r="C91" i="274"/>
  <c r="D91" i="274" s="1"/>
  <c r="I91" i="274" s="1"/>
  <c r="H25" i="245" s="1"/>
  <c r="Y7" i="250"/>
  <c r="AA97" i="243"/>
  <c r="AA98" i="243"/>
  <c r="AA96" i="243"/>
  <c r="AA95" i="243"/>
  <c r="DM95" i="243"/>
  <c r="Y10" i="250"/>
  <c r="R8" i="288"/>
  <c r="U8" i="288" s="1"/>
  <c r="H19" i="288"/>
  <c r="R7" i="288"/>
  <c r="DN26" i="243"/>
  <c r="DN24" i="243"/>
  <c r="DN23" i="243"/>
  <c r="DN25" i="243"/>
  <c r="AA28" i="291"/>
  <c r="D69" i="233" s="1"/>
  <c r="DN31" i="243" l="1"/>
  <c r="DN33" i="243"/>
  <c r="DN32" i="243"/>
  <c r="DN34" i="243"/>
  <c r="AA54" i="243"/>
  <c r="Q145" i="243"/>
  <c r="Q151" i="243"/>
  <c r="Q147" i="243"/>
  <c r="AA53" i="243"/>
  <c r="AA52" i="243"/>
  <c r="Q146" i="243"/>
  <c r="AD7" i="250"/>
  <c r="X40" i="250"/>
  <c r="Q149" i="243"/>
  <c r="Q150" i="243"/>
  <c r="AD10" i="243"/>
  <c r="AD8" i="243"/>
  <c r="AD7" i="243"/>
  <c r="R16" i="288"/>
  <c r="U16" i="288" s="1"/>
  <c r="U7" i="288"/>
  <c r="DN83" i="243"/>
  <c r="DN84" i="243"/>
  <c r="DN85" i="243"/>
  <c r="DN86" i="243"/>
  <c r="DN10" i="243"/>
  <c r="DP30" i="243" s="1"/>
  <c r="DQ30" i="243" s="1"/>
  <c r="E8" i="221" s="1"/>
  <c r="DN9" i="243"/>
  <c r="DP29" i="243" s="1"/>
  <c r="DQ29" i="243" s="1"/>
  <c r="E7" i="221" s="1"/>
  <c r="DN7" i="243"/>
  <c r="DN8" i="243"/>
  <c r="AI203" i="243"/>
  <c r="J102" i="243" s="1"/>
  <c r="P152" i="243" s="1"/>
  <c r="J94" i="243"/>
  <c r="N152" i="243" s="1"/>
  <c r="N27" i="221"/>
  <c r="W27" i="221" s="1"/>
  <c r="J46" i="243"/>
  <c r="N144" i="243" s="1"/>
  <c r="AI191" i="243"/>
  <c r="J54" i="243" s="1"/>
  <c r="P144" i="243" s="1"/>
  <c r="M153" i="243"/>
  <c r="L92" i="274"/>
  <c r="I92" i="274"/>
  <c r="H28" i="245" s="1"/>
  <c r="AA51" i="245"/>
  <c r="D43" i="233" s="1"/>
  <c r="DN92" i="243"/>
  <c r="DN94" i="243"/>
  <c r="DN93" i="243"/>
  <c r="DN91" i="243"/>
  <c r="DN28" i="243"/>
  <c r="DN30" i="243"/>
  <c r="DN29" i="243"/>
  <c r="DN27" i="243"/>
  <c r="AJ203" i="243"/>
  <c r="K102" i="243" s="1"/>
  <c r="K94" i="243"/>
  <c r="D36" i="233"/>
  <c r="O155" i="243"/>
  <c r="O157" i="243" s="1"/>
  <c r="AJ191" i="243"/>
  <c r="K54" i="243" s="1"/>
  <c r="K46" i="243"/>
  <c r="Z48" i="245"/>
  <c r="V49" i="245"/>
  <c r="X49" i="245" s="1"/>
  <c r="Z47" i="245"/>
  <c r="V48" i="245"/>
  <c r="X48" i="245" s="1"/>
  <c r="V47" i="245"/>
  <c r="X47" i="245" s="1"/>
  <c r="Z49" i="245"/>
  <c r="AD9" i="243"/>
  <c r="AJ185" i="243"/>
  <c r="K30" i="243" s="1"/>
  <c r="K22" i="243"/>
  <c r="L90" i="274"/>
  <c r="I90" i="274"/>
  <c r="H17" i="245" s="1"/>
  <c r="CL15" i="243"/>
  <c r="CK16" i="243"/>
  <c r="I88" i="274"/>
  <c r="L88" i="274"/>
  <c r="DN98" i="243"/>
  <c r="DN95" i="243"/>
  <c r="DN96" i="243"/>
  <c r="DN97" i="243"/>
  <c r="BI17" i="243"/>
  <c r="BO27" i="243"/>
  <c r="BJ11" i="243"/>
  <c r="BM27" i="243"/>
  <c r="BN27" i="243"/>
  <c r="BH24" i="243"/>
  <c r="Q139" i="243"/>
  <c r="C96" i="274"/>
  <c r="D96" i="274" s="1"/>
  <c r="Q138" i="243"/>
  <c r="K153" i="243"/>
  <c r="Q137" i="243"/>
  <c r="DN78" i="243"/>
  <c r="DN76" i="243"/>
  <c r="DN77" i="243"/>
  <c r="DN75" i="243"/>
  <c r="D65" i="233"/>
  <c r="V25" i="245"/>
  <c r="X25" i="245" s="1"/>
  <c r="V26" i="245"/>
  <c r="X26" i="245" s="1"/>
  <c r="V27" i="245"/>
  <c r="X27" i="245" s="1"/>
  <c r="Z26" i="245"/>
  <c r="Z25" i="245"/>
  <c r="Z27" i="245"/>
  <c r="DN69" i="243"/>
  <c r="DN67" i="243"/>
  <c r="DN68" i="243"/>
  <c r="DN70" i="243"/>
  <c r="AB28" i="291"/>
  <c r="D70" i="233" s="1"/>
  <c r="AC28" i="291"/>
  <c r="D71" i="233" s="1"/>
  <c r="AJ197" i="243"/>
  <c r="K78" i="243" s="1"/>
  <c r="K70" i="243"/>
  <c r="DN102" i="243"/>
  <c r="DN99" i="243"/>
  <c r="DN100" i="243"/>
  <c r="DN101" i="243"/>
  <c r="AI185" i="243"/>
  <c r="J30" i="243" s="1"/>
  <c r="P140" i="243" s="1"/>
  <c r="J22" i="243"/>
  <c r="N140" i="243" s="1"/>
  <c r="DN36" i="243"/>
  <c r="DN38" i="243"/>
  <c r="DN37" i="243"/>
  <c r="DN35" i="243"/>
  <c r="V16" i="245"/>
  <c r="X16" i="245" s="1"/>
  <c r="V15" i="245"/>
  <c r="X15" i="245" s="1"/>
  <c r="V14" i="245"/>
  <c r="X14" i="245" s="1"/>
  <c r="Z15" i="245"/>
  <c r="Z14" i="245"/>
  <c r="Z16" i="245"/>
  <c r="DN72" i="243"/>
  <c r="DN74" i="243"/>
  <c r="DN71" i="243"/>
  <c r="DN73" i="243"/>
  <c r="AA78" i="243"/>
  <c r="AD58" i="243" s="1"/>
  <c r="AA77" i="243"/>
  <c r="AD57" i="243" s="1"/>
  <c r="AA76" i="243"/>
  <c r="AD56" i="243" s="1"/>
  <c r="AA75" i="243"/>
  <c r="AD55" i="243" s="1"/>
  <c r="AI197" i="243"/>
  <c r="J78" i="243" s="1"/>
  <c r="P148" i="243" s="1"/>
  <c r="J70" i="243"/>
  <c r="N148" i="243" s="1"/>
  <c r="D88" i="233"/>
  <c r="K64" i="233"/>
  <c r="M64" i="233" s="1"/>
  <c r="AA102" i="243"/>
  <c r="AD82" i="243" s="1"/>
  <c r="AA101" i="243"/>
  <c r="AD81" i="243" s="1"/>
  <c r="AA100" i="243"/>
  <c r="AD80" i="243" s="1"/>
  <c r="AA99" i="243"/>
  <c r="AD79" i="243" s="1"/>
  <c r="W39" i="245"/>
  <c r="V39" i="245" s="1"/>
  <c r="X39" i="245" s="1"/>
  <c r="Z39" i="245"/>
  <c r="Z40" i="245"/>
  <c r="Z41" i="245"/>
  <c r="W40" i="245"/>
  <c r="V40" i="245" s="1"/>
  <c r="X40" i="245" s="1"/>
  <c r="W41" i="245"/>
  <c r="V41" i="245" s="1"/>
  <c r="X41" i="245" s="1"/>
  <c r="W42" i="245"/>
  <c r="V42" i="245" s="1"/>
  <c r="X42" i="245" s="1"/>
  <c r="Z42" i="245"/>
  <c r="L94" i="274"/>
  <c r="AD28" i="291"/>
  <c r="D74" i="233" s="1"/>
  <c r="K61" i="233" s="1"/>
  <c r="M61" i="233" s="1"/>
  <c r="L142" i="243"/>
  <c r="L141" i="243"/>
  <c r="L143" i="243"/>
  <c r="L144" i="243"/>
  <c r="AA38" i="243"/>
  <c r="AD34" i="243" s="1"/>
  <c r="AA36" i="243"/>
  <c r="AA35" i="243"/>
  <c r="AD31" i="243" s="1"/>
  <c r="AA37" i="243"/>
  <c r="AD33" i="243" s="1"/>
  <c r="V36" i="245"/>
  <c r="X36" i="245" s="1"/>
  <c r="V37" i="245"/>
  <c r="X37" i="245" s="1"/>
  <c r="Z37" i="245"/>
  <c r="V38" i="245"/>
  <c r="X38" i="245" s="1"/>
  <c r="Z36" i="245"/>
  <c r="Z38" i="245"/>
  <c r="P142" i="243"/>
  <c r="P141" i="243"/>
  <c r="P143" i="243"/>
  <c r="DM51" i="243"/>
  <c r="Q143" i="243" l="1"/>
  <c r="Q142" i="243"/>
  <c r="Q141" i="243"/>
  <c r="AD32" i="243"/>
  <c r="DP76" i="243"/>
  <c r="DQ76" i="243" s="1"/>
  <c r="G6" i="221" s="1"/>
  <c r="AC56" i="243" s="1"/>
  <c r="DP78" i="243"/>
  <c r="DQ78" i="243" s="1"/>
  <c r="G8" i="221" s="1"/>
  <c r="AC58" i="243" s="1"/>
  <c r="DP75" i="243"/>
  <c r="DQ75" i="243" s="1"/>
  <c r="G5" i="221" s="1"/>
  <c r="AC55" i="243" s="1"/>
  <c r="DP77" i="243"/>
  <c r="DQ77" i="243" s="1"/>
  <c r="G7" i="221" s="1"/>
  <c r="AC57" i="243" s="1"/>
  <c r="AE57" i="243" s="1"/>
  <c r="DP28" i="243"/>
  <c r="DQ28" i="243" s="1"/>
  <c r="E6" i="221" s="1"/>
  <c r="DP102" i="243"/>
  <c r="DQ102" i="243" s="1"/>
  <c r="H8" i="221" s="1"/>
  <c r="AC82" i="243" s="1"/>
  <c r="DP101" i="243"/>
  <c r="DQ101" i="243" s="1"/>
  <c r="H7" i="221" s="1"/>
  <c r="AC81" i="243" s="1"/>
  <c r="DP99" i="243"/>
  <c r="DQ99" i="243" s="1"/>
  <c r="H5" i="221" s="1"/>
  <c r="AC79" i="243" s="1"/>
  <c r="AE79" i="243" s="1"/>
  <c r="Q144" i="243"/>
  <c r="Q152" i="243"/>
  <c r="AE58" i="243"/>
  <c r="DP100" i="243"/>
  <c r="DQ100" i="243" s="1"/>
  <c r="H6" i="221" s="1"/>
  <c r="AC80" i="243" s="1"/>
  <c r="AE80" i="243" s="1"/>
  <c r="Q148" i="243"/>
  <c r="AE55" i="243"/>
  <c r="P153" i="243"/>
  <c r="AE82" i="243"/>
  <c r="AE81" i="243"/>
  <c r="D34" i="233"/>
  <c r="M155" i="243"/>
  <c r="M157" i="243" s="1"/>
  <c r="L153" i="243"/>
  <c r="K66" i="233"/>
  <c r="M66" i="233" s="1"/>
  <c r="D94" i="233"/>
  <c r="AC8" i="243"/>
  <c r="AE8" i="243" s="1"/>
  <c r="DN105" i="243"/>
  <c r="DP27" i="243"/>
  <c r="K34" i="233"/>
  <c r="M34" i="233" s="1"/>
  <c r="D86" i="233"/>
  <c r="AC9" i="243"/>
  <c r="AE9" i="243" s="1"/>
  <c r="AC10" i="243"/>
  <c r="AE10" i="243" s="1"/>
  <c r="D100" i="233"/>
  <c r="F88" i="233"/>
  <c r="G88" i="233"/>
  <c r="D96" i="233"/>
  <c r="DN53" i="243"/>
  <c r="DP53" i="243" s="1"/>
  <c r="DQ53" i="243" s="1"/>
  <c r="F7" i="221" s="1"/>
  <c r="DN52" i="243"/>
  <c r="DN54" i="243"/>
  <c r="DN51" i="243"/>
  <c r="DP51" i="243" s="1"/>
  <c r="DQ51" i="243" s="1"/>
  <c r="F5" i="221" s="1"/>
  <c r="AC31" i="243" s="1"/>
  <c r="AE31" i="243" s="1"/>
  <c r="L99" i="274"/>
  <c r="DP54" i="243"/>
  <c r="DQ54" i="243" s="1"/>
  <c r="F8" i="221" s="1"/>
  <c r="AC34" i="243" s="1"/>
  <c r="AE34" i="243" s="1"/>
  <c r="D89" i="233"/>
  <c r="K60" i="233"/>
  <c r="M60" i="233" s="1"/>
  <c r="I96" i="274"/>
  <c r="I97" i="274"/>
  <c r="H6" i="245"/>
  <c r="DP52" i="243"/>
  <c r="DQ52" i="243" s="1"/>
  <c r="F6" i="221" s="1"/>
  <c r="AC32" i="243" s="1"/>
  <c r="AE32" i="243" s="1"/>
  <c r="BM28" i="243"/>
  <c r="BO28" i="243"/>
  <c r="BN28" i="243"/>
  <c r="BJ12" i="243"/>
  <c r="BI19" i="243"/>
  <c r="BH25" i="243"/>
  <c r="AE56" i="243"/>
  <c r="D95" i="233"/>
  <c r="K65" i="233"/>
  <c r="M65" i="233" s="1"/>
  <c r="D77" i="233"/>
  <c r="N153" i="243"/>
  <c r="CM15" i="243"/>
  <c r="CL16" i="243"/>
  <c r="Q140" i="243"/>
  <c r="W20" i="245"/>
  <c r="V20" i="245" s="1"/>
  <c r="X20" i="245" s="1"/>
  <c r="W17" i="245"/>
  <c r="V17" i="245" s="1"/>
  <c r="X17" i="245" s="1"/>
  <c r="W18" i="245"/>
  <c r="V18" i="245" s="1"/>
  <c r="X18" i="245" s="1"/>
  <c r="W19" i="245"/>
  <c r="V19" i="245" s="1"/>
  <c r="X19" i="245" s="1"/>
  <c r="Z17" i="245"/>
  <c r="Z18" i="245"/>
  <c r="Z19" i="245"/>
  <c r="Z20" i="245"/>
  <c r="K155" i="243"/>
  <c r="K157" i="243" s="1"/>
  <c r="D32" i="233"/>
  <c r="Z29" i="245"/>
  <c r="W30" i="245"/>
  <c r="V30" i="245" s="1"/>
  <c r="X30" i="245" s="1"/>
  <c r="W31" i="245"/>
  <c r="V31" i="245" s="1"/>
  <c r="X31" i="245" s="1"/>
  <c r="W29" i="245"/>
  <c r="V29" i="245" s="1"/>
  <c r="X29" i="245" s="1"/>
  <c r="W28" i="245"/>
  <c r="V28" i="245" s="1"/>
  <c r="X28" i="245" s="1"/>
  <c r="Z30" i="245"/>
  <c r="Z28" i="245"/>
  <c r="Z31" i="245"/>
  <c r="Q153" i="243" l="1"/>
  <c r="Q155" i="243" s="1"/>
  <c r="Q157" i="243" s="1"/>
  <c r="AC33" i="243"/>
  <c r="AE33" i="243" s="1"/>
  <c r="L7" i="221"/>
  <c r="L8" i="221"/>
  <c r="DQ27" i="243"/>
  <c r="DP105" i="243"/>
  <c r="D33" i="233"/>
  <c r="L155" i="243"/>
  <c r="L157" i="243" s="1"/>
  <c r="F96" i="233"/>
  <c r="I96" i="233"/>
  <c r="J96" i="233" s="1"/>
  <c r="G96" i="233"/>
  <c r="L6" i="221"/>
  <c r="Z8" i="245"/>
  <c r="W8" i="245"/>
  <c r="V8" i="245" s="1"/>
  <c r="X8" i="245" s="1"/>
  <c r="H52" i="245"/>
  <c r="W7" i="245"/>
  <c r="V7" i="245" s="1"/>
  <c r="X7" i="245" s="1"/>
  <c r="W9" i="245"/>
  <c r="V9" i="245" s="1"/>
  <c r="X9" i="245" s="1"/>
  <c r="W6" i="245"/>
  <c r="V6" i="245" s="1"/>
  <c r="Z6" i="245"/>
  <c r="Z7" i="245"/>
  <c r="Z9" i="245"/>
  <c r="D99" i="233"/>
  <c r="D97" i="233"/>
  <c r="F94" i="233"/>
  <c r="G94" i="233"/>
  <c r="I94" i="233"/>
  <c r="J94" i="233" s="1"/>
  <c r="G95" i="233"/>
  <c r="I95" i="233"/>
  <c r="J95" i="233" s="1"/>
  <c r="F95" i="233"/>
  <c r="BJ13" i="243"/>
  <c r="BN29" i="243"/>
  <c r="BM29" i="243"/>
  <c r="BO29" i="243"/>
  <c r="BI20" i="243"/>
  <c r="BK7" i="243"/>
  <c r="BH27" i="243"/>
  <c r="F86" i="233"/>
  <c r="G86" i="233"/>
  <c r="P155" i="243"/>
  <c r="P157" i="243" s="1"/>
  <c r="D37" i="233"/>
  <c r="D87" i="233" s="1"/>
  <c r="N155" i="243"/>
  <c r="N157" i="243" s="1"/>
  <c r="D35" i="233"/>
  <c r="G89" i="233"/>
  <c r="F89" i="233"/>
  <c r="CN15" i="243"/>
  <c r="CM16" i="243"/>
  <c r="CO15" i="243" l="1"/>
  <c r="CN16" i="243"/>
  <c r="V51" i="245"/>
  <c r="X51" i="245" s="1"/>
  <c r="X6" i="245"/>
  <c r="Z51" i="245"/>
  <c r="D42" i="233" s="1"/>
  <c r="F87" i="233"/>
  <c r="G87" i="233"/>
  <c r="D85" i="233"/>
  <c r="K33" i="233"/>
  <c r="M33" i="233" s="1"/>
  <c r="D83" i="233"/>
  <c r="X32" i="233"/>
  <c r="K32" i="233"/>
  <c r="M32" i="233" s="1"/>
  <c r="BN31" i="243"/>
  <c r="BM31" i="243"/>
  <c r="BK8" i="243"/>
  <c r="BO31" i="243"/>
  <c r="BJ15" i="243"/>
  <c r="BI21" i="243"/>
  <c r="BH28" i="243"/>
  <c r="DQ105" i="243"/>
  <c r="DQ106" i="243" s="1"/>
  <c r="E5" i="221"/>
  <c r="AC32" i="233" l="1"/>
  <c r="G85" i="233"/>
  <c r="F85" i="233"/>
  <c r="F83" i="233"/>
  <c r="G83" i="233"/>
  <c r="BJ16" i="243"/>
  <c r="BK9" i="243"/>
  <c r="BO32" i="243"/>
  <c r="BN32" i="243"/>
  <c r="BL32" i="243"/>
  <c r="BM32" i="243"/>
  <c r="BI23" i="243"/>
  <c r="BH29" i="243"/>
  <c r="X34" i="233"/>
  <c r="K31" i="233"/>
  <c r="D81" i="233"/>
  <c r="CP15" i="243"/>
  <c r="CO16" i="243"/>
  <c r="D51" i="233"/>
  <c r="AC7" i="243"/>
  <c r="AE7" i="243" s="1"/>
  <c r="L5" i="221"/>
  <c r="N8" i="221" s="1"/>
  <c r="W8" i="221" s="1"/>
  <c r="D76" i="233"/>
  <c r="CP16" i="243" l="1"/>
  <c r="CQ15" i="243"/>
  <c r="BO33" i="243"/>
  <c r="BJ17" i="243"/>
  <c r="BL33" i="243"/>
  <c r="BM33" i="243"/>
  <c r="BN33" i="243"/>
  <c r="BK11" i="243"/>
  <c r="BI24" i="243"/>
  <c r="BH31" i="243"/>
  <c r="M31" i="233"/>
  <c r="K35" i="233"/>
  <c r="M35" i="233" s="1"/>
  <c r="F81" i="233"/>
  <c r="G81" i="233"/>
  <c r="D91" i="233"/>
  <c r="AC34" i="233"/>
  <c r="X37" i="233"/>
  <c r="G91" i="233" l="1"/>
  <c r="F91" i="233"/>
  <c r="Y33" i="233"/>
  <c r="Y35" i="233"/>
  <c r="Y36" i="233"/>
  <c r="Y32" i="233"/>
  <c r="Y34" i="233"/>
  <c r="CR15" i="243"/>
  <c r="CQ16" i="243"/>
  <c r="BO35" i="243"/>
  <c r="BJ19" i="243"/>
  <c r="BN35" i="243"/>
  <c r="BL35" i="243"/>
  <c r="BK12" i="243"/>
  <c r="BM35" i="243"/>
  <c r="BI25" i="243"/>
  <c r="BH32" i="243"/>
  <c r="CR16" i="243" l="1"/>
  <c r="CS15" i="243"/>
  <c r="BK13" i="243"/>
  <c r="BN36" i="243"/>
  <c r="BL36" i="243"/>
  <c r="BJ20" i="243"/>
  <c r="BL7" i="243"/>
  <c r="BM36" i="243"/>
  <c r="BO36" i="243"/>
  <c r="BI27" i="243"/>
  <c r="BH33" i="243"/>
  <c r="CS16" i="243" l="1"/>
  <c r="CT15" i="243"/>
  <c r="BM37" i="243"/>
  <c r="BL8" i="243"/>
  <c r="BN37" i="243"/>
  <c r="BL37" i="243"/>
  <c r="BO37" i="243"/>
  <c r="BK15" i="243"/>
  <c r="BJ21" i="243"/>
  <c r="BI28" i="243"/>
  <c r="BH35" i="243"/>
  <c r="CT16" i="243" l="1"/>
  <c r="CU15" i="243"/>
  <c r="BL9" i="243"/>
  <c r="BK16" i="243"/>
  <c r="BL39" i="243"/>
  <c r="BN39" i="243"/>
  <c r="BM39" i="243"/>
  <c r="BK39" i="243"/>
  <c r="BO39" i="243"/>
  <c r="BJ23" i="243"/>
  <c r="BI29" i="243"/>
  <c r="BH36" i="243"/>
  <c r="CV15" i="243" l="1"/>
  <c r="CU16" i="243"/>
  <c r="BK40" i="243"/>
  <c r="BO40" i="243"/>
  <c r="BN40" i="243"/>
  <c r="BM40" i="243"/>
  <c r="BL40" i="243"/>
  <c r="BK17" i="243"/>
  <c r="BL11" i="243"/>
  <c r="BJ24" i="243"/>
  <c r="BI31" i="243"/>
  <c r="BH37" i="243"/>
  <c r="BK19" i="243" l="1"/>
  <c r="BL12" i="243"/>
  <c r="BJ25" i="243"/>
  <c r="BI32" i="243"/>
  <c r="BH39" i="243"/>
  <c r="CW15" i="243"/>
  <c r="CV16" i="243"/>
  <c r="BL13" i="243" l="1"/>
  <c r="BM7" i="243"/>
  <c r="BK20" i="243"/>
  <c r="BJ27" i="243"/>
  <c r="BI33" i="243"/>
  <c r="BH40" i="243"/>
  <c r="BH41" i="243" s="1"/>
  <c r="CW16" i="243"/>
  <c r="CX15" i="243"/>
  <c r="CY15" i="243" l="1"/>
  <c r="CX16" i="243"/>
  <c r="AK33" i="243"/>
  <c r="Q87" i="243" s="1"/>
  <c r="AK17" i="243"/>
  <c r="Q39" i="243" s="1"/>
  <c r="AK24" i="243"/>
  <c r="Q55" i="243" s="1"/>
  <c r="AK12" i="243"/>
  <c r="Q23" i="243" s="1"/>
  <c r="AK37" i="243"/>
  <c r="Q99" i="243" s="1"/>
  <c r="AK29" i="243"/>
  <c r="Q75" i="243" s="1"/>
  <c r="AK15" i="243"/>
  <c r="Q35" i="243" s="1"/>
  <c r="AK11" i="243"/>
  <c r="Q19" i="243" s="1"/>
  <c r="AK25" i="243"/>
  <c r="Q63" i="243" s="1"/>
  <c r="AK21" i="243"/>
  <c r="Q51" i="243" s="1"/>
  <c r="AK9" i="243"/>
  <c r="Q15" i="243" s="1"/>
  <c r="AK8" i="243"/>
  <c r="Q7" i="243" s="1"/>
  <c r="AK23" i="243"/>
  <c r="Q59" i="243" s="1"/>
  <c r="AK31" i="243"/>
  <c r="Q83" i="243" s="1"/>
  <c r="AK36" i="243"/>
  <c r="Q95" i="243" s="1"/>
  <c r="AK7" i="243"/>
  <c r="Q11" i="243" s="1"/>
  <c r="AK28" i="243"/>
  <c r="Q71" i="243" s="1"/>
  <c r="AK16" i="243"/>
  <c r="Q31" i="243" s="1"/>
  <c r="AK35" i="243"/>
  <c r="Q91" i="243" s="1"/>
  <c r="AK32" i="243"/>
  <c r="Q79" i="243" s="1"/>
  <c r="AK27" i="243"/>
  <c r="Q67" i="243" s="1"/>
  <c r="AK19" i="243"/>
  <c r="Q43" i="243" s="1"/>
  <c r="AK20" i="243"/>
  <c r="Q47" i="243" s="1"/>
  <c r="BM8" i="243"/>
  <c r="BL15" i="243"/>
  <c r="BK21" i="243"/>
  <c r="BJ28" i="243"/>
  <c r="BI35" i="243"/>
  <c r="BL16" i="243" l="1"/>
  <c r="BM9" i="243"/>
  <c r="BK23" i="243"/>
  <c r="BJ29" i="243"/>
  <c r="BI36" i="243"/>
  <c r="CY16" i="243"/>
  <c r="CZ15" i="243"/>
  <c r="DA15" i="243" l="1"/>
  <c r="CZ16" i="243"/>
  <c r="BL17" i="243"/>
  <c r="BM11" i="243"/>
  <c r="BK24" i="243"/>
  <c r="BJ31" i="243"/>
  <c r="BI37" i="243"/>
  <c r="BM12" i="243" l="1"/>
  <c r="BL19" i="243"/>
  <c r="BK25" i="243"/>
  <c r="BJ32" i="243"/>
  <c r="BI39" i="243"/>
  <c r="DB15" i="243"/>
  <c r="DA16" i="243"/>
  <c r="BM13" i="243" l="1"/>
  <c r="BN7" i="243"/>
  <c r="BL20" i="243"/>
  <c r="BK27" i="243"/>
  <c r="BJ33" i="243"/>
  <c r="BI40" i="243"/>
  <c r="BI41" i="243" s="1"/>
  <c r="DB16" i="243"/>
  <c r="DC15" i="243"/>
  <c r="DC16" i="243" l="1"/>
  <c r="DD15" i="243"/>
  <c r="BN8" i="243"/>
  <c r="BM15" i="243"/>
  <c r="BL21" i="243"/>
  <c r="BK28" i="243"/>
  <c r="BJ35" i="243"/>
  <c r="AL23" i="243"/>
  <c r="R59" i="243" s="1"/>
  <c r="AL16" i="243"/>
  <c r="R31" i="243" s="1"/>
  <c r="AL37" i="243"/>
  <c r="R99" i="243" s="1"/>
  <c r="AL15" i="243"/>
  <c r="R35" i="243" s="1"/>
  <c r="AL11" i="243"/>
  <c r="R19" i="243" s="1"/>
  <c r="AL12" i="243"/>
  <c r="R23" i="243" s="1"/>
  <c r="AL19" i="243"/>
  <c r="R43" i="243" s="1"/>
  <c r="AL13" i="243"/>
  <c r="R27" i="243" s="1"/>
  <c r="AL8" i="243"/>
  <c r="R7" i="243" s="1"/>
  <c r="AL29" i="243"/>
  <c r="R75" i="243" s="1"/>
  <c r="AL21" i="243"/>
  <c r="R51" i="243" s="1"/>
  <c r="AL33" i="243"/>
  <c r="R87" i="243" s="1"/>
  <c r="AL7" i="243"/>
  <c r="R11" i="243" s="1"/>
  <c r="AL9" i="243"/>
  <c r="R15" i="243" s="1"/>
  <c r="AL27" i="243"/>
  <c r="R67" i="243" s="1"/>
  <c r="AL25" i="243"/>
  <c r="R63" i="243" s="1"/>
  <c r="AL24" i="243"/>
  <c r="R55" i="243" s="1"/>
  <c r="AL35" i="243"/>
  <c r="R91" i="243" s="1"/>
  <c r="AL17" i="243"/>
  <c r="R39" i="243" s="1"/>
  <c r="AL32" i="243"/>
  <c r="R79" i="243" s="1"/>
  <c r="AL28" i="243"/>
  <c r="R71" i="243" s="1"/>
  <c r="AL31" i="243"/>
  <c r="R83" i="243" s="1"/>
  <c r="AL36" i="243"/>
  <c r="R95" i="243" s="1"/>
  <c r="AL20" i="243"/>
  <c r="R47" i="243" s="1"/>
  <c r="DE15" i="243" l="1"/>
  <c r="DD16" i="243"/>
  <c r="BM16" i="243"/>
  <c r="BN9" i="243"/>
  <c r="BL23" i="243"/>
  <c r="BK29" i="243"/>
  <c r="BJ36" i="243"/>
  <c r="BM17" i="243" l="1"/>
  <c r="BN11" i="243"/>
  <c r="BL24" i="243"/>
  <c r="BK31" i="243"/>
  <c r="BJ37" i="243"/>
  <c r="DF15" i="243"/>
  <c r="DE16" i="243"/>
  <c r="DG15" i="243" l="1"/>
  <c r="DF16" i="243"/>
  <c r="BN12" i="243"/>
  <c r="BM19" i="243"/>
  <c r="BL25" i="243"/>
  <c r="BK32" i="243"/>
  <c r="BJ39" i="243"/>
  <c r="BN13" i="243" l="1"/>
  <c r="BM20" i="243"/>
  <c r="BO7" i="243"/>
  <c r="BL27" i="243"/>
  <c r="BK33" i="243"/>
  <c r="BJ40" i="243"/>
  <c r="BJ41" i="243" s="1"/>
  <c r="DG16" i="243"/>
  <c r="DH15" i="243"/>
  <c r="BO8" i="243" l="1"/>
  <c r="BN15" i="243"/>
  <c r="BM21" i="243"/>
  <c r="BL28" i="243"/>
  <c r="BK35" i="243"/>
  <c r="DI15" i="243"/>
  <c r="DI16" i="243" s="1"/>
  <c r="DH16" i="243"/>
  <c r="AM35" i="243"/>
  <c r="S91" i="243" s="1"/>
  <c r="AM23" i="243"/>
  <c r="S59" i="243" s="1"/>
  <c r="AM27" i="243"/>
  <c r="S67" i="243" s="1"/>
  <c r="AM16" i="243"/>
  <c r="S31" i="243" s="1"/>
  <c r="AM11" i="243"/>
  <c r="S19" i="243" s="1"/>
  <c r="AM13" i="243"/>
  <c r="S27" i="243" s="1"/>
  <c r="AM37" i="243"/>
  <c r="S99" i="243" s="1"/>
  <c r="AM25" i="243"/>
  <c r="S63" i="243" s="1"/>
  <c r="AM36" i="243"/>
  <c r="S95" i="243" s="1"/>
  <c r="AM19" i="243"/>
  <c r="S43" i="243" s="1"/>
  <c r="AM21" i="243"/>
  <c r="S51" i="243" s="1"/>
  <c r="AM32" i="243"/>
  <c r="S79" i="243" s="1"/>
  <c r="AM9" i="243"/>
  <c r="S15" i="243" s="1"/>
  <c r="AM15" i="243"/>
  <c r="S35" i="243" s="1"/>
  <c r="AM24" i="243"/>
  <c r="S55" i="243" s="1"/>
  <c r="AM7" i="243"/>
  <c r="S11" i="243" s="1"/>
  <c r="AM33" i="243"/>
  <c r="S87" i="243" s="1"/>
  <c r="AM28" i="243"/>
  <c r="S71" i="243" s="1"/>
  <c r="AM29" i="243"/>
  <c r="S75" i="243" s="1"/>
  <c r="AM20" i="243"/>
  <c r="S47" i="243" s="1"/>
  <c r="AM17" i="243"/>
  <c r="S39" i="243" s="1"/>
  <c r="AM8" i="243"/>
  <c r="S7" i="243" s="1"/>
  <c r="AM31" i="243"/>
  <c r="S83" i="243" s="1"/>
  <c r="AM12" i="243"/>
  <c r="S23" i="243" s="1"/>
  <c r="BN16" i="243" l="1"/>
  <c r="BO9" i="243"/>
  <c r="BM23" i="243"/>
  <c r="BL29" i="243"/>
  <c r="BK36" i="243"/>
  <c r="BN17" i="243"/>
  <c r="BN41" i="243" s="1"/>
  <c r="BO11" i="243"/>
  <c r="BM24" i="243"/>
  <c r="BM41" i="243" s="1"/>
  <c r="BL31" i="243"/>
  <c r="BL41" i="243" s="1"/>
  <c r="BK37" i="243"/>
  <c r="BK41" i="243" s="1"/>
  <c r="AP16" i="243" l="1"/>
  <c r="V31" i="243" s="1"/>
  <c r="AP27" i="243"/>
  <c r="V67" i="243" s="1"/>
  <c r="AP35" i="243"/>
  <c r="V91" i="243" s="1"/>
  <c r="AP24" i="243"/>
  <c r="V55" i="243" s="1"/>
  <c r="AP25" i="243"/>
  <c r="V63" i="243" s="1"/>
  <c r="AP12" i="243"/>
  <c r="V23" i="243" s="1"/>
  <c r="AP15" i="243"/>
  <c r="V35" i="243" s="1"/>
  <c r="AP9" i="243"/>
  <c r="V15" i="243" s="1"/>
  <c r="AP17" i="243"/>
  <c r="V39" i="243" s="1"/>
  <c r="AP13" i="243"/>
  <c r="V27" i="243" s="1"/>
  <c r="AP32" i="243"/>
  <c r="V79" i="243" s="1"/>
  <c r="AP36" i="243"/>
  <c r="V95" i="243" s="1"/>
  <c r="AP7" i="243"/>
  <c r="V11" i="243" s="1"/>
  <c r="AP23" i="243"/>
  <c r="V59" i="243" s="1"/>
  <c r="AP20" i="243"/>
  <c r="V47" i="243" s="1"/>
  <c r="AP11" i="243"/>
  <c r="V19" i="243" s="1"/>
  <c r="AP37" i="243"/>
  <c r="V99" i="243" s="1"/>
  <c r="AP31" i="243"/>
  <c r="V83" i="243" s="1"/>
  <c r="AP19" i="243"/>
  <c r="V43" i="243" s="1"/>
  <c r="AP8" i="243"/>
  <c r="V7" i="243" s="1"/>
  <c r="AP33" i="243"/>
  <c r="V87" i="243" s="1"/>
  <c r="AP29" i="243"/>
  <c r="V75" i="243" s="1"/>
  <c r="AP28" i="243"/>
  <c r="V71" i="243" s="1"/>
  <c r="AP21" i="243"/>
  <c r="V51" i="243" s="1"/>
  <c r="AQ16" i="243"/>
  <c r="W31" i="243" s="1"/>
  <c r="AQ7" i="243"/>
  <c r="W11" i="243" s="1"/>
  <c r="AQ9" i="243"/>
  <c r="W15" i="243" s="1"/>
  <c r="AQ28" i="243"/>
  <c r="W71" i="243" s="1"/>
  <c r="AQ32" i="243"/>
  <c r="W79" i="243" s="1"/>
  <c r="AQ25" i="243"/>
  <c r="W63" i="243" s="1"/>
  <c r="AQ37" i="243"/>
  <c r="W99" i="243" s="1"/>
  <c r="AQ27" i="243"/>
  <c r="W67" i="243" s="1"/>
  <c r="AQ17" i="243"/>
  <c r="W39" i="243" s="1"/>
  <c r="AQ29" i="243"/>
  <c r="W75" i="243" s="1"/>
  <c r="AQ13" i="243"/>
  <c r="W27" i="243" s="1"/>
  <c r="AQ21" i="243"/>
  <c r="W51" i="243" s="1"/>
  <c r="AQ31" i="243"/>
  <c r="W83" i="243" s="1"/>
  <c r="AQ20" i="243"/>
  <c r="W47" i="243" s="1"/>
  <c r="AQ8" i="243"/>
  <c r="W7" i="243" s="1"/>
  <c r="AQ12" i="243"/>
  <c r="W23" i="243" s="1"/>
  <c r="AQ11" i="243"/>
  <c r="W19" i="243" s="1"/>
  <c r="AQ23" i="243"/>
  <c r="W59" i="243" s="1"/>
  <c r="AQ35" i="243"/>
  <c r="W91" i="243" s="1"/>
  <c r="AQ24" i="243"/>
  <c r="W55" i="243" s="1"/>
  <c r="AQ36" i="243"/>
  <c r="W95" i="243" s="1"/>
  <c r="AQ33" i="243"/>
  <c r="W87" i="243" s="1"/>
  <c r="AQ15" i="243"/>
  <c r="W35" i="243" s="1"/>
  <c r="AQ19" i="243"/>
  <c r="W43" i="243" s="1"/>
  <c r="AN24" i="243"/>
  <c r="T55" i="243" s="1"/>
  <c r="AN37" i="243"/>
  <c r="T99" i="243" s="1"/>
  <c r="AN12" i="243"/>
  <c r="T23" i="243" s="1"/>
  <c r="AN19" i="243"/>
  <c r="T43" i="243" s="1"/>
  <c r="AN35" i="243"/>
  <c r="T91" i="243" s="1"/>
  <c r="AN8" i="243"/>
  <c r="T7" i="243" s="1"/>
  <c r="AN28" i="243"/>
  <c r="T71" i="243" s="1"/>
  <c r="AN9" i="243"/>
  <c r="T15" i="243" s="1"/>
  <c r="AN23" i="243"/>
  <c r="T59" i="243" s="1"/>
  <c r="AN7" i="243"/>
  <c r="T11" i="243" s="1"/>
  <c r="AN15" i="243"/>
  <c r="T35" i="243" s="1"/>
  <c r="AN33" i="243"/>
  <c r="T87" i="243" s="1"/>
  <c r="AN25" i="243"/>
  <c r="T63" i="243" s="1"/>
  <c r="AN16" i="243"/>
  <c r="T31" i="243" s="1"/>
  <c r="AN13" i="243"/>
  <c r="T27" i="243" s="1"/>
  <c r="AN17" i="243"/>
  <c r="T39" i="243" s="1"/>
  <c r="AN32" i="243"/>
  <c r="T79" i="243" s="1"/>
  <c r="AN20" i="243"/>
  <c r="T47" i="243" s="1"/>
  <c r="AN29" i="243"/>
  <c r="T75" i="243" s="1"/>
  <c r="AN31" i="243"/>
  <c r="T83" i="243" s="1"/>
  <c r="AN27" i="243"/>
  <c r="T67" i="243" s="1"/>
  <c r="AN36" i="243"/>
  <c r="T95" i="243" s="1"/>
  <c r="AN11" i="243"/>
  <c r="T19" i="243" s="1"/>
  <c r="AN21" i="243"/>
  <c r="T51" i="243" s="1"/>
  <c r="BO41" i="243"/>
  <c r="AO12" i="243"/>
  <c r="U23" i="243" s="1"/>
  <c r="AO8" i="243"/>
  <c r="U7" i="243" s="1"/>
  <c r="AO31" i="243"/>
  <c r="U83" i="243" s="1"/>
  <c r="AO19" i="243"/>
  <c r="U43" i="243" s="1"/>
  <c r="AO13" i="243"/>
  <c r="U27" i="243" s="1"/>
  <c r="AO24" i="243"/>
  <c r="U55" i="243" s="1"/>
  <c r="AO35" i="243"/>
  <c r="U91" i="243" s="1"/>
  <c r="AO21" i="243"/>
  <c r="U51" i="243" s="1"/>
  <c r="AO9" i="243"/>
  <c r="U15" i="243" s="1"/>
  <c r="AO36" i="243"/>
  <c r="U95" i="243" s="1"/>
  <c r="AO20" i="243"/>
  <c r="U47" i="243" s="1"/>
  <c r="AO32" i="243"/>
  <c r="U79" i="243" s="1"/>
  <c r="AO29" i="243"/>
  <c r="U75" i="243" s="1"/>
  <c r="AO28" i="243"/>
  <c r="U71" i="243" s="1"/>
  <c r="AO23" i="243"/>
  <c r="U59" i="243" s="1"/>
  <c r="AO37" i="243"/>
  <c r="U99" i="243" s="1"/>
  <c r="AO16" i="243"/>
  <c r="U31" i="243" s="1"/>
  <c r="AO11" i="243"/>
  <c r="U19" i="243" s="1"/>
  <c r="AO27" i="243"/>
  <c r="U67" i="243" s="1"/>
  <c r="AO7" i="243"/>
  <c r="U11" i="243" s="1"/>
  <c r="AO15" i="243"/>
  <c r="U35" i="243" s="1"/>
  <c r="AO33" i="243"/>
  <c r="U87" i="243" s="1"/>
  <c r="AO25" i="243"/>
  <c r="U63" i="243" s="1"/>
  <c r="AO17" i="243"/>
  <c r="U39" i="243" s="1"/>
  <c r="AR17" i="243" l="1"/>
  <c r="X39" i="243" s="1"/>
  <c r="AR25" i="243"/>
  <c r="X63" i="243" s="1"/>
  <c r="AR31" i="243"/>
  <c r="X83" i="243" s="1"/>
  <c r="AR15" i="243"/>
  <c r="X35" i="243" s="1"/>
  <c r="AR33" i="243"/>
  <c r="X87" i="243" s="1"/>
  <c r="AR9" i="243"/>
  <c r="X15" i="243" s="1"/>
  <c r="AR8" i="243"/>
  <c r="X7" i="243" s="1"/>
  <c r="AR7" i="243"/>
  <c r="X11" i="243" s="1"/>
  <c r="AR35" i="243"/>
  <c r="X91" i="243" s="1"/>
  <c r="AR23" i="243"/>
  <c r="X59" i="243" s="1"/>
  <c r="AR16" i="243"/>
  <c r="X31" i="243" s="1"/>
  <c r="AR27" i="243"/>
  <c r="X67" i="243" s="1"/>
  <c r="AR37" i="243"/>
  <c r="X99" i="243" s="1"/>
  <c r="AR29" i="243"/>
  <c r="X75" i="243" s="1"/>
  <c r="AR19" i="243"/>
  <c r="X43" i="243" s="1"/>
  <c r="AR12" i="243"/>
  <c r="X23" i="243" s="1"/>
  <c r="AR21" i="243"/>
  <c r="X51" i="243" s="1"/>
  <c r="AR13" i="243"/>
  <c r="X27" i="243" s="1"/>
  <c r="AR11" i="243"/>
  <c r="X19" i="243" s="1"/>
  <c r="AR20" i="243"/>
  <c r="X47" i="243" s="1"/>
  <c r="AR36" i="243"/>
  <c r="X95" i="243" s="1"/>
  <c r="AR24" i="243"/>
  <c r="X55" i="243" s="1"/>
  <c r="AR28" i="243"/>
  <c r="X71" i="243" s="1"/>
  <c r="AR32" i="243"/>
  <c r="X79" i="243" s="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I102" authorId="0" shapeId="0" xr:uid="{FE227A00-5E91-4A3C-AB07-3925F47F3309}">
      <text>
        <r>
          <rPr>
            <b/>
            <sz val="9"/>
            <color indexed="81"/>
            <rFont val="Tahoma"/>
            <family val="2"/>
          </rPr>
          <t>Author:</t>
        </r>
        <r>
          <rPr>
            <sz val="9"/>
            <color indexed="81"/>
            <rFont val="Tahoma"/>
            <family val="2"/>
          </rPr>
          <t xml:space="preserve">
From VT_SUP calculation on mixing Hydrogen into Gas grid e.g. 15 % volumen</t>
        </r>
      </text>
    </comment>
    <comment ref="I127" authorId="0" shapeId="0" xr:uid="{D71C0E9D-9B82-4DA7-9C8A-6AC333F32ABA}">
      <text>
        <r>
          <rPr>
            <b/>
            <sz val="9"/>
            <color indexed="81"/>
            <rFont val="Tahoma"/>
            <family val="2"/>
          </rPr>
          <t>Author:</t>
        </r>
        <r>
          <rPr>
            <sz val="9"/>
            <color indexed="81"/>
            <rFont val="Tahoma"/>
            <family val="2"/>
          </rPr>
          <t xml:space="preserve">
From VT_SUP calculation on mixing Hydrogen into Gas grid e.g. 15 % volumen</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Martin Hagberg</author>
    <author>Olexandr Balyk</author>
    <author>Ida Adolfsson</author>
  </authors>
  <commentList>
    <comment ref="E27" authorId="0" shapeId="0" xr:uid="{00000000-0006-0000-0500-000001000000}">
      <text>
        <r>
          <rPr>
            <b/>
            <sz val="9"/>
            <color indexed="81"/>
            <rFont val="Tahoma"/>
            <family val="2"/>
          </rPr>
          <t>Martin Hagberg:</t>
        </r>
        <r>
          <rPr>
            <sz val="9"/>
            <color indexed="81"/>
            <rFont val="Tahoma"/>
            <family val="2"/>
          </rPr>
          <t xml:space="preserve">
Changed to a blended gasoline fuel for this tech ( high etghanol blend) </t>
        </r>
      </text>
    </comment>
    <comment ref="AZ32" authorId="1" shapeId="0" xr:uid="{00000000-0006-0000-0500-000002000000}">
      <text>
        <r>
          <rPr>
            <b/>
            <sz val="9"/>
            <color indexed="81"/>
            <rFont val="Tahoma"/>
            <family val="2"/>
            <charset val="204"/>
          </rPr>
          <t>Olexandr Balyk:</t>
        </r>
        <r>
          <rPr>
            <sz val="9"/>
            <color indexed="81"/>
            <rFont val="Tahoma"/>
            <family val="2"/>
            <charset val="204"/>
          </rPr>
          <t xml:space="preserve">
All cars above 24 years</t>
        </r>
      </text>
    </comment>
    <comment ref="AZ65" authorId="0" shapeId="0" xr:uid="{00000000-0006-0000-0500-000003000000}">
      <text>
        <r>
          <rPr>
            <b/>
            <sz val="9"/>
            <color indexed="81"/>
            <rFont val="Tahoma"/>
            <family val="2"/>
          </rPr>
          <t>Martin Hagberg:</t>
        </r>
        <r>
          <rPr>
            <sz val="9"/>
            <color indexed="81"/>
            <rFont val="Tahoma"/>
            <family val="2"/>
          </rPr>
          <t xml:space="preserve">
Skall det vara VKM eller PKM ? Nu VKM. </t>
        </r>
      </text>
    </comment>
    <comment ref="AZ73" authorId="2" shapeId="0" xr:uid="{00000000-0006-0000-0500-000004000000}">
      <text>
        <r>
          <rPr>
            <b/>
            <sz val="9"/>
            <color indexed="81"/>
            <rFont val="Tahoma"/>
            <family val="2"/>
          </rPr>
          <t>Ida Adolfsson:</t>
        </r>
        <r>
          <rPr>
            <sz val="9"/>
            <color indexed="81"/>
            <rFont val="Tahoma"/>
            <family val="2"/>
          </rPr>
          <t xml:space="preserve">
The division between each region for the transport work is based on the same percentage for car stock in each region.  
</t>
        </r>
      </text>
    </comment>
    <comment ref="AZ76" authorId="0" shapeId="0" xr:uid="{00000000-0006-0000-0500-000005000000}">
      <text>
        <r>
          <rPr>
            <b/>
            <sz val="9"/>
            <color indexed="81"/>
            <rFont val="Tahoma"/>
            <family val="2"/>
          </rPr>
          <t>Martin Hagberg:</t>
        </r>
        <r>
          <rPr>
            <sz val="9"/>
            <color indexed="81"/>
            <rFont val="Tahoma"/>
            <family val="2"/>
          </rPr>
          <t xml:space="preserve">
from TIMES DK for now</t>
        </r>
      </text>
    </comment>
    <comment ref="AI110" authorId="2" shapeId="0" xr:uid="{00000000-0006-0000-0500-000006000000}">
      <text>
        <r>
          <rPr>
            <b/>
            <sz val="9"/>
            <color indexed="81"/>
            <rFont val="Tahoma"/>
            <family val="2"/>
          </rPr>
          <t>Ida Adolfsson:</t>
        </r>
        <r>
          <rPr>
            <sz val="9"/>
            <color indexed="81"/>
            <rFont val="Tahoma"/>
            <family val="2"/>
          </rPr>
          <t xml:space="preserve">
Same as NG</t>
        </r>
      </text>
    </comment>
    <comment ref="AI135" authorId="2" shapeId="0" xr:uid="{00000000-0006-0000-0500-000007000000}">
      <text>
        <r>
          <rPr>
            <b/>
            <sz val="9"/>
            <color indexed="81"/>
            <rFont val="Tahoma"/>
            <family val="2"/>
          </rPr>
          <t>Ida Adolfsson:</t>
        </r>
        <r>
          <rPr>
            <sz val="9"/>
            <color indexed="81"/>
            <rFont val="Tahoma"/>
            <family val="2"/>
          </rPr>
          <t xml:space="preserve">
Same as NG</t>
        </r>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L6" authorId="0" shapeId="0" xr:uid="{00000000-0006-0000-0600-000001000000}">
      <text>
        <r>
          <rPr>
            <b/>
            <sz val="9"/>
            <color indexed="81"/>
            <rFont val="Tahoma"/>
            <family val="2"/>
          </rPr>
          <t>Author:</t>
        </r>
        <r>
          <rPr>
            <sz val="9"/>
            <color indexed="81"/>
            <rFont val="Tahoma"/>
            <family val="2"/>
          </rPr>
          <t xml:space="preserve">
For these efficiency it has been assumed that short-trips are urban, medium are rural and long are on highwaty. In this way we have used values from the Danish emissions inventory, by Aarhus University</t>
        </r>
      </text>
    </comment>
    <comment ref="P6" authorId="0" shapeId="0" xr:uid="{00000000-0006-0000-0600-000002000000}">
      <text>
        <r>
          <rPr>
            <b/>
            <sz val="9"/>
            <color indexed="81"/>
            <rFont val="Tahoma"/>
            <family val="2"/>
          </rPr>
          <t>Author:</t>
        </r>
        <r>
          <rPr>
            <sz val="9"/>
            <color indexed="81"/>
            <rFont val="Tahoma"/>
            <family val="2"/>
          </rPr>
          <t xml:space="preserve">
Assumption</t>
        </r>
      </text>
    </comment>
    <comment ref="V21" authorId="0" shapeId="0" xr:uid="{00000000-0006-0000-0600-000003000000}">
      <text>
        <r>
          <rPr>
            <b/>
            <sz val="9"/>
            <color indexed="81"/>
            <rFont val="Tahoma"/>
            <family val="2"/>
          </rPr>
          <t>Author:</t>
        </r>
        <r>
          <rPr>
            <sz val="9"/>
            <color indexed="81"/>
            <rFont val="Tahoma"/>
            <family val="2"/>
          </rPr>
          <t xml:space="preserve">
it is lower because it doesn't include moped30</t>
        </r>
      </text>
    </comment>
    <comment ref="B36" authorId="0" shapeId="0" xr:uid="{00000000-0006-0000-0600-000004000000}">
      <text>
        <r>
          <rPr>
            <b/>
            <sz val="9"/>
            <color indexed="81"/>
            <rFont val="Tahoma"/>
            <family val="2"/>
          </rPr>
          <t>Author:</t>
        </r>
        <r>
          <rPr>
            <sz val="9"/>
            <color indexed="81"/>
            <rFont val="Tahoma"/>
            <family val="2"/>
          </rPr>
          <t xml:space="preserve">
Statistiks Denmnark Table PKM1
</t>
        </r>
      </text>
    </comment>
    <comment ref="B70" authorId="0" shapeId="0" xr:uid="{00000000-0006-0000-0600-000005000000}">
      <text>
        <r>
          <rPr>
            <b/>
            <sz val="9"/>
            <color indexed="81"/>
            <rFont val="Tahoma"/>
            <family val="2"/>
          </rPr>
          <t>Author:</t>
        </r>
        <r>
          <rPr>
            <sz val="9"/>
            <color indexed="81"/>
            <rFont val="Tahoma"/>
            <family val="2"/>
          </rPr>
          <t xml:space="preserve">
From: DANISH EMISSION INVENTORIES
FOR ROAD TRANSPORT
AND OTHER MOBILE SOURCES, Aarhus University</t>
        </r>
      </text>
    </comment>
    <comment ref="C83" authorId="0" shapeId="0" xr:uid="{00000000-0006-0000-0600-000006000000}">
      <text>
        <r>
          <rPr>
            <b/>
            <sz val="9"/>
            <color indexed="81"/>
            <rFont val="Tahoma"/>
            <family val="2"/>
          </rPr>
          <t>Author:</t>
        </r>
        <r>
          <rPr>
            <sz val="9"/>
            <color indexed="81"/>
            <rFont val="Tahoma"/>
            <family val="2"/>
          </rPr>
          <t xml:space="preserve">
This value is much lower than 1266, given from the Danish Inventory. The reason is that this value is calculated accounting only the stock of 45-mopeds, while the consumtpion is related also to 30-mopeds</t>
        </r>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O7" authorId="0" shapeId="0" xr:uid="{00000000-0006-0000-0800-000001000000}">
      <text>
        <r>
          <rPr>
            <b/>
            <sz val="9"/>
            <color indexed="81"/>
            <rFont val="Tahoma"/>
            <family val="2"/>
          </rPr>
          <t>Author:</t>
        </r>
        <r>
          <rPr>
            <sz val="9"/>
            <color indexed="81"/>
            <rFont val="Tahoma"/>
            <family val="2"/>
          </rPr>
          <t xml:space="preserve">
http://www.cycling-embassy.dk/facts-about-cycling-in-denmark/statistics/ says that in 2013 about 5000 bikes were bought. Considering that in base year tehre were 4.3 million bikes, buying 50000 every year takes 8 years to have a new stock </t>
        </r>
      </text>
    </comment>
    <comment ref="O13" authorId="0" shapeId="0" xr:uid="{00000000-0006-0000-0800-000002000000}">
      <text>
        <r>
          <rPr>
            <b/>
            <sz val="9"/>
            <color indexed="81"/>
            <rFont val="Tahoma"/>
            <family val="2"/>
          </rPr>
          <t>Author:</t>
        </r>
        <r>
          <rPr>
            <sz val="9"/>
            <color indexed="81"/>
            <rFont val="Tahoma"/>
            <family val="2"/>
          </rPr>
          <t xml:space="preserve">
http://www.cycling-embassy.dk/facts-about-cycling-in-denmark/statistics/ says that in 2013 about 5000 bikes were bought. Considering that in base year tehre were 4.3 million bikes, buying 50000 every year takes 8 years to have a new stock </t>
        </r>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Author</author>
    <author>Jes Erik Jessen</author>
  </authors>
  <commentList>
    <comment ref="P6" authorId="0" shapeId="0" xr:uid="{00000000-0006-0000-0900-000001000000}">
      <text>
        <r>
          <rPr>
            <b/>
            <sz val="9"/>
            <color indexed="81"/>
            <rFont val="Tahoma"/>
            <family val="2"/>
          </rPr>
          <t>Author:</t>
        </r>
        <r>
          <rPr>
            <sz val="9"/>
            <color indexed="81"/>
            <rFont val="Tahoma"/>
            <family val="2"/>
          </rPr>
          <t xml:space="preserve">
From Alternativdrivmodellen, same as 2015</t>
        </r>
      </text>
    </comment>
    <comment ref="P10" authorId="0" shapeId="0" xr:uid="{00000000-0006-0000-0900-000002000000}">
      <text>
        <r>
          <rPr>
            <b/>
            <sz val="9"/>
            <color indexed="81"/>
            <rFont val="Tahoma"/>
            <family val="2"/>
          </rPr>
          <t>Author:</t>
        </r>
        <r>
          <rPr>
            <sz val="9"/>
            <color indexed="81"/>
            <rFont val="Tahoma"/>
            <family val="2"/>
          </rPr>
          <t xml:space="preserve">
From Alternativdrivmodellen, same as 2015</t>
        </r>
      </text>
    </comment>
    <comment ref="P14" authorId="0" shapeId="0" xr:uid="{00000000-0006-0000-0900-000003000000}">
      <text>
        <r>
          <rPr>
            <b/>
            <sz val="9"/>
            <color indexed="81"/>
            <rFont val="Tahoma"/>
            <family val="2"/>
          </rPr>
          <t>Author:</t>
        </r>
        <r>
          <rPr>
            <sz val="9"/>
            <color indexed="81"/>
            <rFont val="Tahoma"/>
            <family val="2"/>
          </rPr>
          <t xml:space="preserve">
From Alternativdrivmodellen, same as 2015</t>
        </r>
      </text>
    </comment>
    <comment ref="P17" authorId="0" shapeId="0" xr:uid="{00000000-0006-0000-0900-000004000000}">
      <text>
        <r>
          <rPr>
            <b/>
            <sz val="9"/>
            <color indexed="81"/>
            <rFont val="Tahoma"/>
            <family val="2"/>
          </rPr>
          <t>Author:</t>
        </r>
        <r>
          <rPr>
            <sz val="9"/>
            <color indexed="81"/>
            <rFont val="Tahoma"/>
            <family val="2"/>
          </rPr>
          <t xml:space="preserve">
From Alternativdrivmodellen, same as 2015</t>
        </r>
      </text>
    </comment>
    <comment ref="P21" authorId="0" shapeId="0" xr:uid="{00000000-0006-0000-0900-000005000000}">
      <text>
        <r>
          <rPr>
            <b/>
            <sz val="9"/>
            <color indexed="81"/>
            <rFont val="Tahoma"/>
            <family val="2"/>
          </rPr>
          <t>Author:</t>
        </r>
        <r>
          <rPr>
            <sz val="9"/>
            <color indexed="81"/>
            <rFont val="Tahoma"/>
            <family val="2"/>
          </rPr>
          <t xml:space="preserve">
From Alternativdrivmodellen, same as 2015</t>
        </r>
      </text>
    </comment>
    <comment ref="P25" authorId="0" shapeId="0" xr:uid="{00000000-0006-0000-0900-000006000000}">
      <text>
        <r>
          <rPr>
            <b/>
            <sz val="9"/>
            <color indexed="81"/>
            <rFont val="Tahoma"/>
            <family val="2"/>
          </rPr>
          <t>Author:</t>
        </r>
        <r>
          <rPr>
            <sz val="9"/>
            <color indexed="81"/>
            <rFont val="Tahoma"/>
            <family val="2"/>
          </rPr>
          <t xml:space="preserve">
From Alternativdrivmodellen, same as 2015</t>
        </r>
      </text>
    </comment>
    <comment ref="P28" authorId="0" shapeId="0" xr:uid="{00000000-0006-0000-0900-000007000000}">
      <text>
        <r>
          <rPr>
            <b/>
            <sz val="9"/>
            <color indexed="81"/>
            <rFont val="Tahoma"/>
            <family val="2"/>
          </rPr>
          <t>Author:</t>
        </r>
        <r>
          <rPr>
            <sz val="9"/>
            <color indexed="81"/>
            <rFont val="Tahoma"/>
            <family val="2"/>
          </rPr>
          <t xml:space="preserve">
From Alternativdrivmodellen, same as 2015</t>
        </r>
      </text>
    </comment>
    <comment ref="P32" authorId="0" shapeId="0" xr:uid="{00000000-0006-0000-0900-000008000000}">
      <text>
        <r>
          <rPr>
            <b/>
            <sz val="9"/>
            <color indexed="81"/>
            <rFont val="Tahoma"/>
            <family val="2"/>
          </rPr>
          <t>Author:</t>
        </r>
        <r>
          <rPr>
            <sz val="9"/>
            <color indexed="81"/>
            <rFont val="Tahoma"/>
            <family val="2"/>
          </rPr>
          <t xml:space="preserve">
From Alternativdrivmodellen, same as 2015</t>
        </r>
      </text>
    </comment>
    <comment ref="P36" authorId="0" shapeId="0" xr:uid="{00000000-0006-0000-0900-000009000000}">
      <text>
        <r>
          <rPr>
            <b/>
            <sz val="9"/>
            <color indexed="81"/>
            <rFont val="Tahoma"/>
            <family val="2"/>
          </rPr>
          <t>Author:</t>
        </r>
        <r>
          <rPr>
            <sz val="9"/>
            <color indexed="81"/>
            <rFont val="Tahoma"/>
            <family val="2"/>
          </rPr>
          <t xml:space="preserve">
From Alternativdrivmodellen, same as 2015</t>
        </r>
      </text>
    </comment>
    <comment ref="P39" authorId="0" shapeId="0" xr:uid="{00000000-0006-0000-0900-00000A000000}">
      <text>
        <r>
          <rPr>
            <b/>
            <sz val="9"/>
            <color indexed="81"/>
            <rFont val="Tahoma"/>
            <family val="2"/>
          </rPr>
          <t>Author:</t>
        </r>
        <r>
          <rPr>
            <sz val="9"/>
            <color indexed="81"/>
            <rFont val="Tahoma"/>
            <family val="2"/>
          </rPr>
          <t xml:space="preserve">
From Alternativdrivmodellen, same as 2015</t>
        </r>
      </text>
    </comment>
    <comment ref="P43" authorId="0" shapeId="0" xr:uid="{00000000-0006-0000-0900-00000B000000}">
      <text>
        <r>
          <rPr>
            <b/>
            <sz val="9"/>
            <color indexed="81"/>
            <rFont val="Tahoma"/>
            <family val="2"/>
          </rPr>
          <t>Author:</t>
        </r>
        <r>
          <rPr>
            <sz val="9"/>
            <color indexed="81"/>
            <rFont val="Tahoma"/>
            <family val="2"/>
          </rPr>
          <t xml:space="preserve">
From Alternativdrivmodellen, same as 2015</t>
        </r>
      </text>
    </comment>
    <comment ref="P47" authorId="0" shapeId="0" xr:uid="{00000000-0006-0000-0900-00000C000000}">
      <text>
        <r>
          <rPr>
            <b/>
            <sz val="9"/>
            <color indexed="81"/>
            <rFont val="Tahoma"/>
            <family val="2"/>
          </rPr>
          <t>Author:</t>
        </r>
        <r>
          <rPr>
            <sz val="9"/>
            <color indexed="81"/>
            <rFont val="Tahoma"/>
            <family val="2"/>
          </rPr>
          <t xml:space="preserve">
From Alternativdrivmodellen, same as 2015</t>
        </r>
      </text>
    </comment>
    <comment ref="C55" authorId="0" shapeId="0" xr:uid="{00000000-0006-0000-0900-00000D000000}">
      <text>
        <r>
          <rPr>
            <b/>
            <sz val="9"/>
            <color indexed="81"/>
            <rFont val="Tahoma"/>
            <family val="2"/>
          </rPr>
          <t>Author:</t>
        </r>
        <r>
          <rPr>
            <sz val="9"/>
            <color indexed="81"/>
            <rFont val="Tahoma"/>
            <family val="2"/>
          </rPr>
          <t xml:space="preserve">
From: DANISH EMISSION INVENTORIES
FOR ROAD TRANSPORT
AND OTHER MOBILE SOURCES, Aarhus University</t>
        </r>
      </text>
    </comment>
    <comment ref="D67" authorId="1" shapeId="0" xr:uid="{00000000-0006-0000-0900-00000E000000}">
      <text>
        <r>
          <rPr>
            <b/>
            <sz val="8"/>
            <color indexed="81"/>
            <rFont val="Tahoma"/>
            <family val="2"/>
          </rPr>
          <t>Jes Erik Jessen:</t>
        </r>
        <r>
          <rPr>
            <sz val="8"/>
            <color indexed="81"/>
            <rFont val="Tahoma"/>
            <family val="2"/>
          </rPr>
          <t xml:space="preserve">
Petroleum, gas/dieselolie og fuelolie
</t>
        </r>
      </text>
    </comment>
  </commentList>
</comments>
</file>

<file path=xl/comments6.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L5" authorId="0" shapeId="0" xr:uid="{00000000-0006-0000-0B00-000001000000}">
      <text>
        <r>
          <rPr>
            <b/>
            <sz val="9"/>
            <color indexed="81"/>
            <rFont val="Tahoma"/>
            <family val="2"/>
          </rPr>
          <t>Author:</t>
        </r>
        <r>
          <rPr>
            <sz val="9"/>
            <color indexed="81"/>
            <rFont val="Tahoma"/>
            <family val="2"/>
          </rPr>
          <t xml:space="preserve">
for the same comm-out I create many rows for the different fuels in and create share in for 2010-2015 to match with statistics</t>
        </r>
      </text>
    </comment>
    <comment ref="M5" authorId="0" shapeId="0" xr:uid="{00000000-0006-0000-0B00-000002000000}">
      <text>
        <r>
          <rPr>
            <b/>
            <sz val="9"/>
            <color indexed="81"/>
            <rFont val="Tahoma"/>
            <family val="2"/>
          </rPr>
          <t>Author:</t>
        </r>
        <r>
          <rPr>
            <sz val="9"/>
            <color indexed="81"/>
            <rFont val="Tahoma"/>
            <family val="2"/>
          </rPr>
          <t xml:space="preserve">
for the same comm-out I create many rows for the different fuels in and create share in for 2010-2015 to match with statistics</t>
        </r>
      </text>
    </comment>
    <comment ref="K7" authorId="0" shapeId="0" xr:uid="{00000000-0006-0000-0B00-000003000000}">
      <text>
        <r>
          <rPr>
            <b/>
            <sz val="9"/>
            <color indexed="81"/>
            <rFont val="Tahoma"/>
            <family val="2"/>
          </rPr>
          <t>Author:</t>
        </r>
        <r>
          <rPr>
            <sz val="9"/>
            <color indexed="81"/>
            <rFont val="Tahoma"/>
            <family val="2"/>
          </rPr>
          <t xml:space="preserve">
http://www.usatoday.com/story/travel/columnist/cox/2012/11/19/ask-the-captain-how-far-does-a-jet-fly-during-its-lifetime/1712269/</t>
        </r>
      </text>
    </comment>
    <comment ref="E11" authorId="0" shapeId="0" xr:uid="{00000000-0006-0000-0B00-000004000000}">
      <text>
        <r>
          <rPr>
            <b/>
            <sz val="9"/>
            <color indexed="81"/>
            <rFont val="Tahoma"/>
            <family val="2"/>
          </rPr>
          <t>Author:</t>
        </r>
        <r>
          <rPr>
            <sz val="9"/>
            <color indexed="81"/>
            <rFont val="Tahoma"/>
            <family val="2"/>
          </rPr>
          <t xml:space="preserve">
shall be diesel</t>
        </r>
      </text>
    </comment>
    <comment ref="Q13" authorId="0" shapeId="0" xr:uid="{00000000-0006-0000-0B00-000005000000}">
      <text>
        <r>
          <rPr>
            <b/>
            <sz val="9"/>
            <color indexed="81"/>
            <rFont val="Tahoma"/>
            <family val="2"/>
          </rPr>
          <t>Author:</t>
        </r>
        <r>
          <rPr>
            <sz val="9"/>
            <color indexed="81"/>
            <rFont val="Tahoma"/>
            <family val="2"/>
          </rPr>
          <t xml:space="preserve">
From http://www.eutransportghg2050.eu/cms/assets/EU-Transport-GHG-2050-Report-IV-Factors-that-limit-new-technology+concepts-04-01-10-FINAL.pdf  
Instead Adrivmodellen says 20 years</t>
        </r>
      </text>
    </comment>
    <comment ref="F14" authorId="0" shapeId="0" xr:uid="{00000000-0006-0000-0B00-000006000000}">
      <text>
        <r>
          <rPr>
            <b/>
            <sz val="9"/>
            <color indexed="81"/>
            <rFont val="Tahoma"/>
            <family val="2"/>
          </rPr>
          <t>Author:</t>
        </r>
        <r>
          <rPr>
            <sz val="9"/>
            <color indexed="81"/>
            <rFont val="Tahoma"/>
            <family val="2"/>
          </rPr>
          <t xml:space="preserve">
Ferries transport also goods. If ferry doesn't run any more it must be substituted by a cargo ship</t>
        </r>
      </text>
    </comment>
    <comment ref="K15" authorId="0" shapeId="0" xr:uid="{00000000-0006-0000-0B00-000007000000}">
      <text>
        <r>
          <rPr>
            <b/>
            <sz val="9"/>
            <color indexed="81"/>
            <rFont val="Tahoma"/>
            <family val="2"/>
          </rPr>
          <t>Author:</t>
        </r>
        <r>
          <rPr>
            <sz val="9"/>
            <color indexed="81"/>
            <rFont val="Tahoma"/>
            <family val="2"/>
          </rPr>
          <t xml:space="preserve">
http://www.usatoday.com/story/travel/columnist/cox/2012/11/19/ask-the-captain-how-far-does-a-jet-fly-during-its-lifetime/1712269/</t>
        </r>
      </text>
    </comment>
    <comment ref="K23" authorId="0" shapeId="0" xr:uid="{00000000-0006-0000-0B00-000008000000}">
      <text>
        <r>
          <rPr>
            <b/>
            <sz val="9"/>
            <color indexed="81"/>
            <rFont val="Tahoma"/>
            <family val="2"/>
          </rPr>
          <t>Author:</t>
        </r>
        <r>
          <rPr>
            <sz val="9"/>
            <color indexed="81"/>
            <rFont val="Tahoma"/>
            <family val="2"/>
          </rPr>
          <t xml:space="preserve">
http://www.usatoday.com/story/travel/columnist/cox/2012/11/19/ask-the-captain-how-far-does-a-jet-fly-during-its-lifetime/1712269/</t>
        </r>
      </text>
    </comment>
    <comment ref="Q29" authorId="0" shapeId="0" xr:uid="{00000000-0006-0000-0B00-00000A000000}">
      <text>
        <r>
          <rPr>
            <b/>
            <sz val="9"/>
            <color indexed="81"/>
            <rFont val="Tahoma"/>
            <family val="2"/>
          </rPr>
          <t>Author:</t>
        </r>
        <r>
          <rPr>
            <sz val="9"/>
            <color indexed="81"/>
            <rFont val="Tahoma"/>
            <family val="2"/>
          </rPr>
          <t xml:space="preserve">
From http://www.eutransportghg2050.eu/cms/assets/EU-Transport-GHG-2050-Report-IV-Factors-that-limit-new-technology+concepts-04-01-10-FINAL.pdf  
Instead Adrivmodellen says 20 years</t>
        </r>
      </text>
    </comment>
    <comment ref="F30" authorId="0" shapeId="0" xr:uid="{00000000-0006-0000-0B00-00000B000000}">
      <text>
        <r>
          <rPr>
            <b/>
            <sz val="9"/>
            <color indexed="81"/>
            <rFont val="Tahoma"/>
            <family val="2"/>
          </rPr>
          <t>Author:</t>
        </r>
        <r>
          <rPr>
            <sz val="9"/>
            <color indexed="81"/>
            <rFont val="Tahoma"/>
            <family val="2"/>
          </rPr>
          <t xml:space="preserve">
Ferries transport also goods. If ferry doesn't run any more it must be substituted by a cargo ship</t>
        </r>
      </text>
    </comment>
    <comment ref="K31" authorId="0" shapeId="0" xr:uid="{00000000-0006-0000-0B00-00000C000000}">
      <text>
        <r>
          <rPr>
            <b/>
            <sz val="9"/>
            <color indexed="81"/>
            <rFont val="Tahoma"/>
            <family val="2"/>
          </rPr>
          <t>Author:</t>
        </r>
        <r>
          <rPr>
            <sz val="9"/>
            <color indexed="81"/>
            <rFont val="Tahoma"/>
            <family val="2"/>
          </rPr>
          <t xml:space="preserve">
http://www.usatoday.com/story/travel/columnist/cox/2012/11/19/ask-the-captain-how-far-does-a-jet-fly-during-its-lifetime/1712269/</t>
        </r>
      </text>
    </comment>
    <comment ref="Y50" authorId="0" shapeId="0" xr:uid="{00000000-0006-0000-0B00-00000D000000}">
      <text>
        <r>
          <rPr>
            <b/>
            <sz val="9"/>
            <color indexed="81"/>
            <rFont val="Tahoma"/>
            <family val="2"/>
          </rPr>
          <t>Author:</t>
        </r>
        <r>
          <rPr>
            <sz val="9"/>
            <color indexed="81"/>
            <rFont val="Tahoma"/>
            <family val="2"/>
          </rPr>
          <t xml:space="preserve">
They are consistent with the Alternativdrivmodellen</t>
        </r>
      </text>
    </comment>
    <comment ref="B55" authorId="0" shapeId="0" xr:uid="{00000000-0006-0000-0B00-00000E000000}">
      <text>
        <r>
          <rPr>
            <b/>
            <sz val="9"/>
            <color indexed="81"/>
            <rFont val="Tahoma"/>
            <family val="2"/>
          </rPr>
          <t>Author:</t>
        </r>
        <r>
          <rPr>
            <sz val="9"/>
            <color indexed="81"/>
            <rFont val="Tahoma"/>
            <family val="2"/>
          </rPr>
          <t xml:space="preserve">
http://www.usatoday.com/story/travel/columnist/cox/2012/11/19/ask-the-captain-how-far-does-a-jet-fly-during-its-lifetime/1712269/</t>
        </r>
      </text>
    </comment>
    <comment ref="B56" authorId="0" shapeId="0" xr:uid="{00000000-0006-0000-0B00-00000F000000}">
      <text>
        <r>
          <rPr>
            <b/>
            <sz val="9"/>
            <color indexed="81"/>
            <rFont val="Tahoma"/>
            <family val="2"/>
          </rPr>
          <t>Author:</t>
        </r>
        <r>
          <rPr>
            <sz val="9"/>
            <color indexed="81"/>
            <rFont val="Tahoma"/>
            <family val="2"/>
          </rPr>
          <t xml:space="preserve">
https://it.answers.yahoo.com/question/index?qid=20090109060126AAiU7HD</t>
        </r>
      </text>
    </comment>
    <comment ref="B57" authorId="0" shapeId="0" xr:uid="{00000000-0006-0000-0B00-000010000000}">
      <text>
        <r>
          <rPr>
            <b/>
            <sz val="9"/>
            <color indexed="81"/>
            <rFont val="Tahoma"/>
            <family val="2"/>
          </rPr>
          <t>Author:</t>
        </r>
        <r>
          <rPr>
            <sz val="9"/>
            <color indexed="81"/>
            <rFont val="Tahoma"/>
            <family val="2"/>
          </rPr>
          <t xml:space="preserve">
https://it.answers.yahoo.com/question/index?qid=20090109060126AAiU7HD</t>
        </r>
      </text>
    </comment>
    <comment ref="X75" authorId="0" shapeId="0" xr:uid="{00000000-0006-0000-0B00-000011000000}">
      <text>
        <r>
          <rPr>
            <b/>
            <sz val="9"/>
            <color indexed="81"/>
            <rFont val="Tahoma"/>
            <family val="2"/>
          </rPr>
          <t>Author:</t>
        </r>
        <r>
          <rPr>
            <sz val="9"/>
            <color indexed="81"/>
            <rFont val="Tahoma"/>
            <family val="2"/>
          </rPr>
          <t xml:space="preserve">
Boeing 747</t>
        </r>
      </text>
    </comment>
    <comment ref="X90" authorId="0" shapeId="0" xr:uid="{00000000-0006-0000-0B00-000012000000}">
      <text>
        <r>
          <rPr>
            <b/>
            <sz val="9"/>
            <color rgb="FF000000"/>
            <rFont val="Tahoma"/>
            <family val="2"/>
          </rPr>
          <t>Author:</t>
        </r>
        <r>
          <rPr>
            <sz val="9"/>
            <color rgb="FF000000"/>
            <rFont val="Tahoma"/>
            <family val="2"/>
          </rPr>
          <t xml:space="preserve">
Boeing 747</t>
        </r>
      </text>
    </comment>
  </commentList>
</comments>
</file>

<file path=xl/comments7.xml><?xml version="1.0" encoding="utf-8"?>
<comments xmlns="http://schemas.openxmlformats.org/spreadsheetml/2006/main" xmlns:mc="http://schemas.openxmlformats.org/markup-compatibility/2006" xmlns:xr="http://schemas.microsoft.com/office/spreadsheetml/2014/revision" mc:Ignorable="xr">
  <authors>
    <author>Martin Hagberg</author>
    <author>Author</author>
  </authors>
  <commentList>
    <comment ref="H7" authorId="0" shapeId="0" xr:uid="{00000000-0006-0000-0C00-000001000000}">
      <text>
        <r>
          <rPr>
            <b/>
            <sz val="9"/>
            <color indexed="81"/>
            <rFont val="Tahoma"/>
            <family val="2"/>
          </rPr>
          <t>Martin Hagberg:</t>
        </r>
        <r>
          <rPr>
            <sz val="9"/>
            <color indexed="81"/>
            <rFont val="Tahoma"/>
            <family val="2"/>
          </rPr>
          <t xml:space="preserve">
calculated the other way around compared to TIMES_DK
</t>
        </r>
      </text>
    </comment>
    <comment ref="I23" authorId="1" shapeId="0" xr:uid="{00000000-0006-0000-0C00-000002000000}">
      <text>
        <r>
          <rPr>
            <b/>
            <sz val="9"/>
            <color indexed="81"/>
            <rFont val="Tahoma"/>
            <family val="2"/>
          </rPr>
          <t>Author:</t>
        </r>
        <r>
          <rPr>
            <sz val="9"/>
            <color indexed="81"/>
            <rFont val="Tahoma"/>
            <family val="2"/>
          </rPr>
          <t xml:space="preserve">
Boeing 747</t>
        </r>
      </text>
    </comment>
    <comment ref="I25" authorId="1" shapeId="0" xr:uid="{00000000-0006-0000-0C00-000003000000}">
      <text>
        <r>
          <rPr>
            <b/>
            <sz val="9"/>
            <color indexed="81"/>
            <rFont val="Tahoma"/>
            <family val="2"/>
          </rPr>
          <t>Author:</t>
        </r>
        <r>
          <rPr>
            <sz val="9"/>
            <color indexed="81"/>
            <rFont val="Tahoma"/>
            <family val="2"/>
          </rPr>
          <t xml:space="preserve">
Boeing 747</t>
        </r>
      </text>
    </comment>
    <comment ref="L54" authorId="1" shapeId="0" xr:uid="{00000000-0006-0000-0C00-000004000000}">
      <text>
        <r>
          <rPr>
            <b/>
            <sz val="9"/>
            <color rgb="FF000000"/>
            <rFont val="Tahoma"/>
            <family val="2"/>
          </rPr>
          <t>Author:</t>
        </r>
        <r>
          <rPr>
            <sz val="9"/>
            <color rgb="FF000000"/>
            <rFont val="Tahoma"/>
            <family val="2"/>
          </rPr>
          <t xml:space="preserve">
Without indexes from base year</t>
        </r>
      </text>
    </comment>
    <comment ref="K56" authorId="1" shapeId="0" xr:uid="{00000000-0006-0000-0C00-000005000000}">
      <text>
        <r>
          <rPr>
            <b/>
            <sz val="9"/>
            <color rgb="FF000000"/>
            <rFont val="Tahoma"/>
            <family val="2"/>
          </rPr>
          <t>Author:</t>
        </r>
        <r>
          <rPr>
            <sz val="9"/>
            <color rgb="FF000000"/>
            <rFont val="Tahoma"/>
            <family val="2"/>
          </rPr>
          <t xml:space="preserve">
Like in base year</t>
        </r>
      </text>
    </comment>
    <comment ref="L56" authorId="1" shapeId="0" xr:uid="{00000000-0006-0000-0C00-000006000000}">
      <text>
        <r>
          <rPr>
            <b/>
            <sz val="9"/>
            <color rgb="FF000000"/>
            <rFont val="Tahoma"/>
            <family val="2"/>
          </rPr>
          <t>Author:</t>
        </r>
        <r>
          <rPr>
            <sz val="9"/>
            <color rgb="FF000000"/>
            <rFont val="Tahoma"/>
            <family val="2"/>
          </rPr>
          <t xml:space="preserve">
in absolute terms, not relative to VT file</t>
        </r>
      </text>
    </comment>
  </commentList>
</comments>
</file>

<file path=xl/comments8.xml><?xml version="1.0" encoding="utf-8"?>
<comments xmlns="http://schemas.openxmlformats.org/spreadsheetml/2006/main" xmlns:mc="http://schemas.openxmlformats.org/markup-compatibility/2006" xmlns:xr="http://schemas.microsoft.com/office/spreadsheetml/2014/revision" mc:Ignorable="xr">
  <authors>
    <author>Martin Hagberg</author>
    <author>Olexandr Balyk</author>
    <author>Raffaele Salvucci</author>
    <author>Jes Erik Jessen</author>
    <author>Helene Sneftrup Fleischer</author>
  </authors>
  <commentList>
    <comment ref="O5" authorId="0" shapeId="0" xr:uid="{00000000-0006-0000-0D00-000001000000}">
      <text>
        <r>
          <rPr>
            <b/>
            <sz val="9"/>
            <color indexed="81"/>
            <rFont val="Tahoma"/>
            <family val="2"/>
          </rPr>
          <t>Martin Hagberg:</t>
        </r>
        <r>
          <rPr>
            <sz val="9"/>
            <color indexed="81"/>
            <rFont val="Tahoma"/>
            <family val="2"/>
          </rPr>
          <t xml:space="preserve">
Based on TIMES DK for now</t>
        </r>
      </text>
    </comment>
    <comment ref="O6" authorId="1" shapeId="0" xr:uid="{00000000-0006-0000-0D00-000002000000}">
      <text>
        <r>
          <rPr>
            <b/>
            <sz val="9"/>
            <color indexed="81"/>
            <rFont val="Tahoma"/>
            <family val="2"/>
            <charset val="204"/>
          </rPr>
          <t xml:space="preserve">Stefan: </t>
        </r>
        <r>
          <rPr>
            <sz val="9"/>
            <color indexed="81"/>
            <rFont val="Tahoma"/>
            <family val="2"/>
          </rPr>
          <t>From Energy efficientRoadTransport</t>
        </r>
      </text>
    </comment>
    <comment ref="S10" authorId="2" shapeId="0" xr:uid="{00000000-0006-0000-0D00-000003000000}">
      <text>
        <r>
          <rPr>
            <b/>
            <sz val="9"/>
            <color indexed="81"/>
            <rFont val="Tahoma"/>
            <family val="2"/>
          </rPr>
          <t>Raffaele Salvucci:</t>
        </r>
        <r>
          <rPr>
            <sz val="9"/>
            <color indexed="81"/>
            <rFont val="Tahoma"/>
            <family val="2"/>
          </rPr>
          <t xml:space="preserve">
Value from the SubRES</t>
        </r>
      </text>
    </comment>
    <comment ref="O13" authorId="1" shapeId="0" xr:uid="{00000000-0006-0000-0D00-000004000000}">
      <text>
        <r>
          <rPr>
            <b/>
            <sz val="9"/>
            <color indexed="81"/>
            <rFont val="Tahoma"/>
            <family val="2"/>
            <charset val="204"/>
          </rPr>
          <t xml:space="preserve">Stefan: </t>
        </r>
        <r>
          <rPr>
            <sz val="9"/>
            <color indexed="81"/>
            <rFont val="Tahoma"/>
            <family val="2"/>
          </rPr>
          <t>From Energy efficientRoadTransport</t>
        </r>
      </text>
    </comment>
    <comment ref="U53" authorId="1" shapeId="0" xr:uid="{00000000-0006-0000-0D00-000005000000}">
      <text>
        <r>
          <rPr>
            <b/>
            <sz val="9"/>
            <color indexed="81"/>
            <rFont val="Tahoma"/>
            <family val="2"/>
          </rPr>
          <t>Olexandr Balyk:</t>
        </r>
        <r>
          <rPr>
            <sz val="9"/>
            <color indexed="81"/>
            <rFont val="Tahoma"/>
            <family val="2"/>
          </rPr>
          <t xml:space="preserve">
From the Italian model. Values are for cars.</t>
        </r>
      </text>
    </comment>
    <comment ref="R69" authorId="3" shapeId="0" xr:uid="{00000000-0006-0000-0D00-000006000000}">
      <text>
        <r>
          <rPr>
            <b/>
            <sz val="8"/>
            <color indexed="81"/>
            <rFont val="Tahoma"/>
            <family val="2"/>
          </rPr>
          <t>Jes Erik Jessen:</t>
        </r>
        <r>
          <rPr>
            <sz val="8"/>
            <color indexed="81"/>
            <rFont val="Tahoma"/>
            <family val="2"/>
          </rPr>
          <t xml:space="preserve">
Petroleum, gas/dieselolie og fuelolie
</t>
        </r>
      </text>
    </comment>
    <comment ref="R72" authorId="3" shapeId="0" xr:uid="{00000000-0006-0000-0D00-000007000000}">
      <text>
        <r>
          <rPr>
            <b/>
            <sz val="8"/>
            <color indexed="81"/>
            <rFont val="Tahoma"/>
            <family val="2"/>
          </rPr>
          <t>Jes Erik Jessen:</t>
        </r>
        <r>
          <rPr>
            <sz val="8"/>
            <color indexed="81"/>
            <rFont val="Tahoma"/>
            <family val="2"/>
          </rPr>
          <t xml:space="preserve">
Energieffektivitet for køretøjer der ren bioethanol (for eksempel flexifuelmotor på E85)</t>
        </r>
      </text>
    </comment>
    <comment ref="R78" authorId="3" shapeId="0" xr:uid="{00000000-0006-0000-0D00-000008000000}">
      <text>
        <r>
          <rPr>
            <b/>
            <sz val="8"/>
            <color indexed="81"/>
            <rFont val="Tahoma"/>
            <family val="2"/>
          </rPr>
          <t>Jes Erik Jessen:</t>
        </r>
        <r>
          <rPr>
            <sz val="8"/>
            <color indexed="81"/>
            <rFont val="Tahoma"/>
            <family val="2"/>
          </rPr>
          <t xml:space="preserve">
Petroleum, gas/dieselolie og fuelolie
</t>
        </r>
      </text>
    </comment>
    <comment ref="R81" authorId="3" shapeId="0" xr:uid="{00000000-0006-0000-0D00-000009000000}">
      <text>
        <r>
          <rPr>
            <b/>
            <sz val="8"/>
            <color indexed="81"/>
            <rFont val="Tahoma"/>
            <family val="2"/>
          </rPr>
          <t>Jes Erik Jessen:</t>
        </r>
        <r>
          <rPr>
            <sz val="8"/>
            <color indexed="81"/>
            <rFont val="Tahoma"/>
            <family val="2"/>
          </rPr>
          <t xml:space="preserve">
Energieffektivitet for køretøjer der ren bioethanol (for eksempel flexifuelmotor på E85)</t>
        </r>
      </text>
    </comment>
    <comment ref="R86" authorId="3" shapeId="0" xr:uid="{00000000-0006-0000-0D00-00000A000000}">
      <text>
        <r>
          <rPr>
            <b/>
            <sz val="8"/>
            <color indexed="81"/>
            <rFont val="Tahoma"/>
            <family val="2"/>
          </rPr>
          <t>Jes Erik Jessen:</t>
        </r>
        <r>
          <rPr>
            <sz val="8"/>
            <color indexed="81"/>
            <rFont val="Tahoma"/>
            <family val="2"/>
          </rPr>
          <t xml:space="preserve">
Petroleum, gas/dieselolie og fuelolie
</t>
        </r>
      </text>
    </comment>
    <comment ref="BJ86" authorId="4" shapeId="0" xr:uid="{00000000-0006-0000-0D00-00000B000000}">
      <text>
        <r>
          <rPr>
            <b/>
            <sz val="8"/>
            <color indexed="81"/>
            <rFont val="Tahoma"/>
            <family val="2"/>
          </rPr>
          <t>Helene Sneftrup Fleischer:</t>
        </r>
        <r>
          <rPr>
            <sz val="8"/>
            <color indexed="81"/>
            <rFont val="Tahoma"/>
            <family val="2"/>
          </rPr>
          <t xml:space="preserve">
Dette antages at svare til Kaj Jørgensen varebiler 3,5-6 tons. </t>
        </r>
      </text>
    </comment>
    <comment ref="R93" authorId="3" shapeId="0" xr:uid="{00000000-0006-0000-0D00-00000C000000}">
      <text>
        <r>
          <rPr>
            <b/>
            <sz val="8"/>
            <color indexed="81"/>
            <rFont val="Tahoma"/>
            <family val="2"/>
          </rPr>
          <t>Jes Erik Jessen:</t>
        </r>
        <r>
          <rPr>
            <sz val="8"/>
            <color indexed="81"/>
            <rFont val="Tahoma"/>
            <family val="2"/>
          </rPr>
          <t xml:space="preserve">
Petroleum, gas/dieselolie og fuelolie
</t>
        </r>
      </text>
    </comment>
    <comment ref="BG93" authorId="4" shapeId="0" xr:uid="{00000000-0006-0000-0D00-00000D000000}">
      <text>
        <r>
          <rPr>
            <b/>
            <sz val="8"/>
            <color indexed="81"/>
            <rFont val="Tahoma"/>
            <family val="2"/>
          </rPr>
          <t>Helene Sneftrup Fleischer:</t>
        </r>
        <r>
          <rPr>
            <sz val="8"/>
            <color indexed="81"/>
            <rFont val="Tahoma"/>
            <family val="2"/>
          </rPr>
          <t xml:space="preserve">
Fra CO2 modellen til Transportministeriet baseret på dokumentationsgrundlaget hertil. CO2 emissioner for varebilsbestand &gt;2,5 kg baseret på tyske håndbog, der ligger bat TEMA model. Se tekniske dokumentationsnotat til CO2 modellen for en nærmere beskrivelser af datagrundlag hertil.  
Det giver fra 7-13MJ/km for CO2 modellens lastbiler over 7,5tons.</t>
        </r>
      </text>
    </comment>
  </commentList>
</comments>
</file>

<file path=xl/comments9.xml><?xml version="1.0" encoding="utf-8"?>
<comments xmlns="http://schemas.openxmlformats.org/spreadsheetml/2006/main" xmlns:mc="http://schemas.openxmlformats.org/markup-compatibility/2006" xmlns:xr="http://schemas.microsoft.com/office/spreadsheetml/2014/revision" mc:Ignorable="xr">
  <authors>
    <author>Raffaele Salvucci</author>
  </authors>
  <commentList>
    <comment ref="P6" authorId="0" shapeId="0" xr:uid="{00000000-0006-0000-0E00-000001000000}">
      <text>
        <r>
          <rPr>
            <b/>
            <sz val="9"/>
            <color indexed="81"/>
            <rFont val="Tahoma"/>
            <family val="2"/>
          </rPr>
          <t>Raffaele Salvucci:</t>
        </r>
        <r>
          <rPr>
            <sz val="9"/>
            <color indexed="81"/>
            <rFont val="Tahoma"/>
            <family val="2"/>
          </rPr>
          <t xml:space="preserve">
Value from the SubRES</t>
        </r>
      </text>
    </comment>
  </commentList>
</comments>
</file>

<file path=xl/comments10.xml><?xml version="1.0" encoding="utf-8"?>
<comments xmlns="http://schemas.openxmlformats.org/spreadsheetml/2006/main" xmlns:mc="http://schemas.openxmlformats.org/markup-compatibility/2006" xmlns:xr="http://schemas.microsoft.com/office/spreadsheetml/2014/revision" mc:Ignorable="xr">
  <authors>
    <author>Martin Hagberg</author>
    <author>Author</author>
  </authors>
  <commentList>
    <comment ref="T37" authorId="0" shapeId="0" xr:uid="{00000000-0006-0000-1000-000001000000}">
      <text>
        <r>
          <rPr>
            <b/>
            <sz val="9"/>
            <color indexed="81"/>
            <rFont val="Tahoma"/>
            <family val="2"/>
          </rPr>
          <t>Martin Hagberg:</t>
        </r>
        <r>
          <rPr>
            <sz val="9"/>
            <color indexed="81"/>
            <rFont val="Tahoma"/>
            <family val="2"/>
          </rPr>
          <t xml:space="preserve">
Probably refer to international shipping but within swedish borders
</t>
        </r>
      </text>
    </comment>
    <comment ref="T48" authorId="0" shapeId="0" xr:uid="{00000000-0006-0000-1000-000002000000}">
      <text>
        <r>
          <rPr>
            <b/>
            <sz val="9"/>
            <color indexed="81"/>
            <rFont val="Tahoma"/>
            <family val="2"/>
          </rPr>
          <t>Martin Hagberg:</t>
        </r>
        <r>
          <rPr>
            <sz val="9"/>
            <color indexed="81"/>
            <rFont val="Tahoma"/>
            <family val="2"/>
          </rPr>
          <t xml:space="preserve">
Probably refer to international shipping obut within swedish borders
</t>
        </r>
      </text>
    </comment>
    <comment ref="D50" authorId="1" shapeId="0" xr:uid="{00000000-0006-0000-1000-000003000000}">
      <text>
        <r>
          <rPr>
            <b/>
            <sz val="9"/>
            <color indexed="81"/>
            <rFont val="Tahoma"/>
            <family val="2"/>
          </rPr>
          <t>Author:</t>
        </r>
        <r>
          <rPr>
            <sz val="9"/>
            <color indexed="81"/>
            <rFont val="Tahoma"/>
            <family val="2"/>
          </rPr>
          <t xml:space="preserve">
From Danish energy statistics, because Danish statistics considers pkm and tkm also for airplanes not registred in DK. This value summed with E15 gives the total international fuel</t>
        </r>
      </text>
    </comment>
    <comment ref="E50" authorId="0" shapeId="0" xr:uid="{00000000-0006-0000-1000-000004000000}">
      <text>
        <r>
          <rPr>
            <b/>
            <sz val="9"/>
            <color indexed="81"/>
            <rFont val="Tahoma"/>
            <family val="2"/>
          </rPr>
          <t>Martin Hagberg:</t>
        </r>
        <r>
          <rPr>
            <sz val="9"/>
            <color indexed="81"/>
            <rFont val="Tahoma"/>
            <family val="2"/>
          </rPr>
          <t xml:space="preserve">
assume 100 times as much as national air freight.Needs to be checked if possible.
</t>
        </r>
      </text>
    </comment>
  </commentList>
</comments>
</file>

<file path=xl/comments11.xml><?xml version="1.0" encoding="utf-8"?>
<comments xmlns="http://schemas.openxmlformats.org/spreadsheetml/2006/main" xmlns:mc="http://schemas.openxmlformats.org/markup-compatibility/2006" xmlns:xr="http://schemas.microsoft.com/office/spreadsheetml/2014/revision" mc:Ignorable="xr">
  <authors>
    <author>Martin Hagberg</author>
  </authors>
  <commentList>
    <comment ref="U36" authorId="0" shapeId="0" xr:uid="{00000000-0006-0000-1400-000001000000}">
      <text>
        <r>
          <rPr>
            <b/>
            <sz val="9"/>
            <color indexed="81"/>
            <rFont val="Tahoma"/>
            <family val="2"/>
          </rPr>
          <t>Martin Hagberg:</t>
        </r>
        <r>
          <rPr>
            <sz val="9"/>
            <color indexed="81"/>
            <rFont val="Tahoma"/>
            <family val="2"/>
          </rPr>
          <t xml:space="preserve">
from Danish model
</t>
        </r>
      </text>
    </comment>
    <comment ref="U49" authorId="0" shapeId="0" xr:uid="{00000000-0006-0000-1400-000002000000}">
      <text>
        <r>
          <rPr>
            <b/>
            <sz val="9"/>
            <color indexed="81"/>
            <rFont val="Tahoma"/>
            <family val="2"/>
          </rPr>
          <t>Martin Hagberg:</t>
        </r>
        <r>
          <rPr>
            <sz val="9"/>
            <color indexed="81"/>
            <rFont val="Tahoma"/>
            <family val="2"/>
          </rPr>
          <t xml:space="preserve">
based on Danish model</t>
        </r>
      </text>
    </comment>
  </commentList>
</comments>
</file>

<file path=xl/comments12.xml><?xml version="1.0" encoding="utf-8"?>
<comments xmlns="http://schemas.openxmlformats.org/spreadsheetml/2006/main" xmlns:mc="http://schemas.openxmlformats.org/markup-compatibility/2006" xmlns:xr="http://schemas.microsoft.com/office/spreadsheetml/2014/revision" mc:Ignorable="xr">
  <authors>
    <author>Jes Erik Jessen</author>
    <author>Helene Sneftrup Fleischer</author>
  </authors>
  <commentList>
    <comment ref="AN7" authorId="0" shapeId="0" xr:uid="{00000000-0006-0000-1600-000001000000}">
      <text>
        <r>
          <rPr>
            <b/>
            <sz val="8"/>
            <color indexed="81"/>
            <rFont val="Tahoma"/>
            <family val="2"/>
          </rPr>
          <t>Jes Erik Jessen:</t>
        </r>
        <r>
          <rPr>
            <sz val="8"/>
            <color indexed="81"/>
            <rFont val="Tahoma"/>
            <family val="2"/>
          </rPr>
          <t xml:space="preserve">
Ved møde i Energistyrelsen den 31/8 2009 er det besluttet ind til videre at basere energi statistikens tal på Kaj J.'s estimater for køretøjernes energi-effektivitet. På sigt skal der tages beslutning om en ("glidende") overgang til DST data for personbilers energieffektivitet. </t>
        </r>
      </text>
    </comment>
    <comment ref="C8" authorId="0" shapeId="0" xr:uid="{00000000-0006-0000-1600-000002000000}">
      <text>
        <r>
          <rPr>
            <b/>
            <sz val="8"/>
            <color indexed="81"/>
            <rFont val="Tahoma"/>
            <family val="2"/>
          </rPr>
          <t>Jes Erik Jessen:</t>
        </r>
        <r>
          <rPr>
            <sz val="8"/>
            <color indexed="81"/>
            <rFont val="Tahoma"/>
            <family val="2"/>
          </rPr>
          <t xml:space="preserve">
Petroleum, gas/dieselolie og fuelolie
</t>
        </r>
      </text>
    </comment>
    <comment ref="AN8" authorId="0" shapeId="0" xr:uid="{00000000-0006-0000-1600-000003000000}">
      <text>
        <r>
          <rPr>
            <b/>
            <sz val="8"/>
            <color indexed="81"/>
            <rFont val="Tahoma"/>
            <family val="2"/>
          </rPr>
          <t>Jes Erik Jessen:</t>
        </r>
        <r>
          <rPr>
            <sz val="8"/>
            <color indexed="81"/>
            <rFont val="Tahoma"/>
            <family val="2"/>
          </rPr>
          <t xml:space="preserve">
Ved møde i Energistyrelsen den 31/8 2009 er det besluttet ind til videre at basere energi statistikens tal på Kaj J.'s estimater for køretøjernes energi-effektivitet. På sigt skal der tages beslutning om en ("glidende") overgang til DST data for personbilers energieffektivitet. </t>
        </r>
      </text>
    </comment>
    <comment ref="C11" authorId="0" shapeId="0" xr:uid="{00000000-0006-0000-1600-000004000000}">
      <text>
        <r>
          <rPr>
            <b/>
            <sz val="8"/>
            <color indexed="81"/>
            <rFont val="Tahoma"/>
            <family val="2"/>
          </rPr>
          <t>Jes Erik Jessen:</t>
        </r>
        <r>
          <rPr>
            <sz val="8"/>
            <color indexed="81"/>
            <rFont val="Tahoma"/>
            <family val="2"/>
          </rPr>
          <t xml:space="preserve">
Energieffektivitet for køretøjer der ren bioethanol (for eksempel flexifuelmotor på E85)</t>
        </r>
      </text>
    </comment>
    <comment ref="C16" authorId="0" shapeId="0" xr:uid="{00000000-0006-0000-1600-000005000000}">
      <text>
        <r>
          <rPr>
            <b/>
            <sz val="8"/>
            <color indexed="81"/>
            <rFont val="Tahoma"/>
            <family val="2"/>
          </rPr>
          <t>Jes Erik Jessen:</t>
        </r>
        <r>
          <rPr>
            <sz val="8"/>
            <color indexed="81"/>
            <rFont val="Tahoma"/>
            <family val="2"/>
          </rPr>
          <t xml:space="preserve">
Petroleum, gas/dieselolie og fuelolie
</t>
        </r>
      </text>
    </comment>
    <comment ref="C26" authorId="0" shapeId="0" xr:uid="{00000000-0006-0000-1600-000006000000}">
      <text>
        <r>
          <rPr>
            <b/>
            <sz val="8"/>
            <color indexed="81"/>
            <rFont val="Tahoma"/>
            <family val="2"/>
          </rPr>
          <t>Jes Erik Jessen:</t>
        </r>
        <r>
          <rPr>
            <sz val="8"/>
            <color indexed="81"/>
            <rFont val="Tahoma"/>
            <family val="2"/>
          </rPr>
          <t xml:space="preserve">
Petroleum, gas/dieselolie og fuelolie
</t>
        </r>
      </text>
    </comment>
    <comment ref="C29" authorId="0" shapeId="0" xr:uid="{00000000-0006-0000-1600-000007000000}">
      <text>
        <r>
          <rPr>
            <b/>
            <sz val="8"/>
            <color indexed="81"/>
            <rFont val="Tahoma"/>
            <family val="2"/>
          </rPr>
          <t>Jes Erik Jessen:</t>
        </r>
        <r>
          <rPr>
            <sz val="8"/>
            <color indexed="81"/>
            <rFont val="Tahoma"/>
            <family val="2"/>
          </rPr>
          <t xml:space="preserve">
Energieffektivitet for køretøjer der ren bioethanol (for eksempel flexifuelmotor på E85)</t>
        </r>
      </text>
    </comment>
    <comment ref="C35" authorId="0" shapeId="0" xr:uid="{00000000-0006-0000-1600-000008000000}">
      <text>
        <r>
          <rPr>
            <b/>
            <sz val="8"/>
            <color indexed="81"/>
            <rFont val="Tahoma"/>
            <family val="2"/>
          </rPr>
          <t>Jes Erik Jessen:</t>
        </r>
        <r>
          <rPr>
            <sz val="8"/>
            <color indexed="81"/>
            <rFont val="Tahoma"/>
            <family val="2"/>
          </rPr>
          <t xml:space="preserve">
Petroleum, gas/dieselolie og fuelolie
</t>
        </r>
      </text>
    </comment>
    <comment ref="C38" authorId="0" shapeId="0" xr:uid="{00000000-0006-0000-1600-000009000000}">
      <text>
        <r>
          <rPr>
            <b/>
            <sz val="8"/>
            <color indexed="81"/>
            <rFont val="Tahoma"/>
            <family val="2"/>
          </rPr>
          <t>Jes Erik Jessen:</t>
        </r>
        <r>
          <rPr>
            <sz val="8"/>
            <color indexed="81"/>
            <rFont val="Tahoma"/>
            <family val="2"/>
          </rPr>
          <t xml:space="preserve">
Energieffektivitet for køretøjer der ren bioethanol (for eksempel flexifuelmotor på E85)</t>
        </r>
      </text>
    </comment>
    <comment ref="C43" authorId="0" shapeId="0" xr:uid="{00000000-0006-0000-1600-00000A000000}">
      <text>
        <r>
          <rPr>
            <b/>
            <sz val="8"/>
            <color indexed="81"/>
            <rFont val="Tahoma"/>
            <family val="2"/>
          </rPr>
          <t>Jes Erik Jessen:</t>
        </r>
        <r>
          <rPr>
            <sz val="8"/>
            <color indexed="81"/>
            <rFont val="Tahoma"/>
            <family val="2"/>
          </rPr>
          <t xml:space="preserve">
Petroleum, gas/dieselolie og fuelolie
</t>
        </r>
      </text>
    </comment>
    <comment ref="AN43" authorId="1" shapeId="0" xr:uid="{00000000-0006-0000-1600-00000B000000}">
      <text>
        <r>
          <rPr>
            <b/>
            <sz val="8"/>
            <color indexed="81"/>
            <rFont val="Tahoma"/>
            <family val="2"/>
          </rPr>
          <t>Helene Sneftrup Fleischer:</t>
        </r>
        <r>
          <rPr>
            <sz val="8"/>
            <color indexed="81"/>
            <rFont val="Tahoma"/>
            <family val="2"/>
          </rPr>
          <t xml:space="preserve">
Dette antages at svare til Kaj Jørgensen varebiler 3,5-6 tons. </t>
        </r>
      </text>
    </comment>
    <comment ref="C50" authorId="0" shapeId="0" xr:uid="{00000000-0006-0000-1600-00000C000000}">
      <text>
        <r>
          <rPr>
            <b/>
            <sz val="8"/>
            <color indexed="81"/>
            <rFont val="Tahoma"/>
            <family val="2"/>
          </rPr>
          <t>Jes Erik Jessen:</t>
        </r>
        <r>
          <rPr>
            <sz val="8"/>
            <color indexed="81"/>
            <rFont val="Tahoma"/>
            <family val="2"/>
          </rPr>
          <t xml:space="preserve">
Petroleum, gas/dieselolie og fuelolie
</t>
        </r>
      </text>
    </comment>
    <comment ref="AK50" authorId="1" shapeId="0" xr:uid="{00000000-0006-0000-1600-00000D000000}">
      <text>
        <r>
          <rPr>
            <b/>
            <sz val="8"/>
            <color indexed="81"/>
            <rFont val="Tahoma"/>
            <family val="2"/>
          </rPr>
          <t>Helene Sneftrup Fleischer:</t>
        </r>
        <r>
          <rPr>
            <sz val="8"/>
            <color indexed="81"/>
            <rFont val="Tahoma"/>
            <family val="2"/>
          </rPr>
          <t xml:space="preserve">
Fra CO2 modellen til Transportministeriet baseret på dokumentationsgrundlaget hertil. CO2 emissioner for varebilsbestand &gt;2,5 kg baseret på tyske håndbog, der ligger bat TEMA model. Se tekniske dokumentationsnotat til CO2 modellen for en nærmere beskrivelser af datagrundlag hertil.  
Det giver fra 7-13MJ/km for CO2 modellens lastbiler over 7,5tons.</t>
        </r>
      </text>
    </comment>
    <comment ref="C56" authorId="0" shapeId="0" xr:uid="{00000000-0006-0000-1600-00000E000000}">
      <text>
        <r>
          <rPr>
            <b/>
            <sz val="8"/>
            <color indexed="81"/>
            <rFont val="Tahoma"/>
            <family val="2"/>
          </rPr>
          <t>Jes Erik Jessen:</t>
        </r>
        <r>
          <rPr>
            <sz val="8"/>
            <color indexed="81"/>
            <rFont val="Tahoma"/>
            <family val="2"/>
          </rPr>
          <t xml:space="preserve">
Gas/dieselolie, petroleum og motorbenzin. De sidste to stort set nul. </t>
        </r>
      </text>
    </comment>
    <comment ref="C61" authorId="0" shapeId="0" xr:uid="{00000000-0006-0000-1600-00000F000000}">
      <text>
        <r>
          <rPr>
            <b/>
            <sz val="8"/>
            <color indexed="81"/>
            <rFont val="Tahoma"/>
            <family val="2"/>
          </rPr>
          <t>Jes Erik Jessen:</t>
        </r>
        <r>
          <rPr>
            <sz val="8"/>
            <color indexed="81"/>
            <rFont val="Tahoma"/>
            <family val="2"/>
          </rPr>
          <t xml:space="preserve">
Alle lokal banetog er tilsyneladende diesel  drevne tog (mange er af typen LINT), og altovervejende beregnet til person transport iflg diverse lokal baners hjemmesider.</t>
        </r>
      </text>
    </comment>
    <comment ref="C63" authorId="0" shapeId="0" xr:uid="{00000000-0006-0000-1600-000010000000}">
      <text>
        <r>
          <rPr>
            <b/>
            <sz val="8"/>
            <color indexed="81"/>
            <rFont val="Tahoma"/>
            <family val="2"/>
          </rPr>
          <t>Jes Erik Jessen:</t>
        </r>
        <r>
          <rPr>
            <sz val="8"/>
            <color indexed="81"/>
            <rFont val="Tahoma"/>
            <family val="2"/>
          </rPr>
          <t xml:space="preserve">
Gas/dieselolie, petroleum og motorbenzin. De sidste to stort set nul. </t>
        </r>
      </text>
    </comment>
    <comment ref="C66" authorId="0" shapeId="0" xr:uid="{00000000-0006-0000-1600-000011000000}">
      <text>
        <r>
          <rPr>
            <b/>
            <sz val="8"/>
            <color indexed="81"/>
            <rFont val="Tahoma"/>
            <family val="2"/>
          </rPr>
          <t>Jes Erik Jessen:</t>
        </r>
        <r>
          <rPr>
            <sz val="8"/>
            <color indexed="81"/>
            <rFont val="Tahoma"/>
            <family val="2"/>
          </rPr>
          <t xml:space="preserve">
Gas/dieselolie, petroleum og LPG</t>
        </r>
      </text>
    </comment>
    <comment ref="C69" authorId="0" shapeId="0" xr:uid="{00000000-0006-0000-1600-000012000000}">
      <text>
        <r>
          <rPr>
            <b/>
            <sz val="8"/>
            <color indexed="81"/>
            <rFont val="Tahoma"/>
            <family val="2"/>
          </rPr>
          <t>Jes Erik Jessen:</t>
        </r>
        <r>
          <rPr>
            <sz val="8"/>
            <color indexed="81"/>
            <rFont val="Tahoma"/>
            <family val="2"/>
          </rPr>
          <t xml:space="preserve">
Gas/dieselolie, petroleum og LPG</t>
        </r>
      </text>
    </comment>
    <comment ref="C72" authorId="0" shapeId="0" xr:uid="{00000000-0006-0000-1600-000013000000}">
      <text>
        <r>
          <rPr>
            <b/>
            <sz val="8"/>
            <color indexed="81"/>
            <rFont val="Tahoma"/>
            <family val="2"/>
          </rPr>
          <t>Jes Erik Jessen:</t>
        </r>
        <r>
          <rPr>
            <sz val="8"/>
            <color indexed="81"/>
            <rFont val="Tahoma"/>
            <family val="2"/>
          </rPr>
          <t xml:space="preserve">
Gas/dieselolie, petroleum og LPG</t>
        </r>
      </text>
    </comment>
    <comment ref="C76" authorId="0" shapeId="0" xr:uid="{00000000-0006-0000-1600-000014000000}">
      <text>
        <r>
          <rPr>
            <b/>
            <sz val="8"/>
            <color indexed="81"/>
            <rFont val="Tahoma"/>
            <family val="2"/>
          </rPr>
          <t>Jes Erik Jessen:</t>
        </r>
        <r>
          <rPr>
            <sz val="8"/>
            <color indexed="81"/>
            <rFont val="Tahoma"/>
            <family val="2"/>
          </rPr>
          <t xml:space="preserve">
Petroleum, LPG og motorbenzin. Meget små forbrug af de øvrige brændsler som går til transport i lufthavnen og ikke i fly. </t>
        </r>
      </text>
    </comment>
    <comment ref="C79" authorId="0" shapeId="0" xr:uid="{00000000-0006-0000-1600-000015000000}">
      <text>
        <r>
          <rPr>
            <b/>
            <sz val="8"/>
            <color indexed="81"/>
            <rFont val="Tahoma"/>
            <family val="2"/>
          </rPr>
          <t>Jes Erik Jessen:</t>
        </r>
        <r>
          <rPr>
            <sz val="8"/>
            <color indexed="81"/>
            <rFont val="Tahoma"/>
            <family val="2"/>
          </rPr>
          <t xml:space="preserve">
Petroleum, LPG og motorbenzin. Meget små forbrug af de øvrige brændsler som går til transport i lufthavnen og ikke i fly. </t>
        </r>
      </text>
    </comment>
  </commentList>
</comments>
</file>

<file path=xl/comments13.xml><?xml version="1.0" encoding="utf-8"?>
<comments xmlns="http://schemas.openxmlformats.org/spreadsheetml/2006/main" xmlns:mc="http://schemas.openxmlformats.org/markup-compatibility/2006" xmlns:xr="http://schemas.microsoft.com/office/spreadsheetml/2014/revision" mc:Ignorable="xr">
  <authors>
    <author>broand03</author>
  </authors>
  <commentList>
    <comment ref="I372" authorId="0" shapeId="0" xr:uid="{00000000-0006-0000-1800-000001000000}">
      <text>
        <r>
          <rPr>
            <sz val="9"/>
            <color indexed="81"/>
            <rFont val="Tahoma"/>
            <family val="2"/>
          </rPr>
          <t xml:space="preserve">Fram till och med 2001 inkluderar uppgifterna tonkilometer av tomma privatvagnar. Med ”tonkilometer av tomma privatvagnar” avses den nettolast på sex ton som debiterades då en tom privatvagn drogs av en tågoperatör. Up to 2001, figures include tonne-kilometres by empty privately owned wagons. "Tonne-kilometres by empty privately owned wagons" refer to the six tonnes charged when an empty privately owned wagon was hauled by a railway undertaking.
</t>
        </r>
      </text>
    </comment>
    <comment ref="O376" authorId="0" shapeId="0" xr:uid="{00000000-0006-0000-1800-000002000000}">
      <text>
        <r>
          <rPr>
            <sz val="9"/>
            <color indexed="81"/>
            <rFont val="Tahoma"/>
            <family val="2"/>
          </rPr>
          <t xml:space="preserve">Första kvartalet 2005 stormfälldes ansenliga mängder skog i södra Sverige vilket märkbart ökade rundvirkestransporterna.  In 2005 the first quarter, southern Sweden was hit by a gale that fell a considerable number of trees resulting in a noticeable increase in transport of round timber.
</t>
        </r>
      </text>
    </comment>
    <comment ref="O379" authorId="0" shapeId="0" xr:uid="{00000000-0006-0000-1800-000003000000}">
      <text>
        <r>
          <rPr>
            <sz val="9"/>
            <color indexed="81"/>
            <rFont val="Tahoma"/>
            <family val="2"/>
          </rPr>
          <t xml:space="preserve">Första kvartalet 2005 stormfälldes ansenliga mängder skog i södra Sverige vilket märkbart ökade rundvirkestransporterna.  In 2005 the first quarter, southern Sweden was hit by a gale that fell a considerable number of trees resulting in a noticeable increase in transport of round timber.
</t>
        </r>
      </text>
    </comment>
    <comment ref="O390" authorId="0" shapeId="0" xr:uid="{00000000-0006-0000-1800-000004000000}">
      <text>
        <r>
          <rPr>
            <sz val="9"/>
            <color indexed="81"/>
            <rFont val="Tahoma"/>
            <family val="2"/>
          </rPr>
          <t>Första kvartalet 2005 stormfälldes ansenliga mängder skog i södra Sverige vilket märkbart ökade rundvirkestransporterna.  In 2005 the first quarter, southern Sweden was hit by a gale that fell a considerable number of trees resulting in a noticeable increase in transport of round timber.</t>
        </r>
      </text>
    </comment>
    <comment ref="O395" authorId="0" shapeId="0" xr:uid="{00000000-0006-0000-1800-000005000000}">
      <text>
        <r>
          <rPr>
            <sz val="9"/>
            <color indexed="81"/>
            <rFont val="Tahoma"/>
            <family val="2"/>
          </rPr>
          <t xml:space="preserve">Första kvartalet 2005 stormfälldes ansenliga mängder skog i södra Sverige vilket märkbart ökade rundvirkestransporterna.  In 2005 the first quarter, southern Sweden was hit by a gale that fell a considerable number of trees resulting in a noticeable increase in transport of round timber.
</t>
        </r>
      </text>
    </comment>
    <comment ref="O396" authorId="0" shapeId="0" xr:uid="{00000000-0006-0000-1800-000006000000}">
      <text>
        <r>
          <rPr>
            <sz val="9"/>
            <color indexed="81"/>
            <rFont val="Tahoma"/>
            <family val="2"/>
          </rPr>
          <t xml:space="preserve">Första kvartalet 2005 stormfälldes ansenliga mängder skog i södra Sverige vilket märkbart ökade rundvirkestransporterna.  In 2005 the first quarter, southern Sweden was hit by a gale that fell a considerable number of trees resulting in a noticeable increase in transport of round timber.
</t>
        </r>
      </text>
    </comment>
    <comment ref="O407" authorId="0" shapeId="0" xr:uid="{00000000-0006-0000-1800-000007000000}">
      <text>
        <r>
          <rPr>
            <sz val="9"/>
            <color indexed="81"/>
            <rFont val="Tahoma"/>
            <family val="2"/>
          </rPr>
          <t xml:space="preserve">Första kvartalet 2005 stormfälldes ansenliga mängder skog i södra Sverige vilket märkbart ökade rundvirkestransporterna.  In 2005 the first quarter, southern Sweden was hit by a gale that fell a considerable number of trees resulting in a noticeable increase in transport of round timber.
</t>
        </r>
      </text>
    </comment>
    <comment ref="O410" authorId="0" shapeId="0" xr:uid="{00000000-0006-0000-1800-000008000000}">
      <text>
        <r>
          <rPr>
            <sz val="9"/>
            <color indexed="81"/>
            <rFont val="Tahoma"/>
            <family val="2"/>
          </rPr>
          <t>Första kvartalet 2005 stormfälldes ansenliga mängder skog i södra Sverige vilket märkbart ökade rundvirkestransporterna.  In 2005 the first quarter, southern Sweden was hit by a gale that fell a considerable number of trees resulting in a noticeable increase in transport of round timber.</t>
        </r>
      </text>
    </comment>
    <comment ref="O426" authorId="0" shapeId="0" xr:uid="{00000000-0006-0000-1800-000009000000}">
      <text>
        <r>
          <rPr>
            <sz val="9"/>
            <color indexed="81"/>
            <rFont val="Tahoma"/>
            <family val="2"/>
          </rPr>
          <t xml:space="preserve">Första kvartalet 2005 stormfälldes ansenliga mängder skog i södra Sverige vilket märkbart ökade rundvirkestransporterna.  In 2005 the first quarter, southern Sweden was hit by a gale that fell a considerable number of trees resulting in a noticeable increase in transport of round timber.
</t>
        </r>
      </text>
    </comment>
    <comment ref="O427" authorId="0" shapeId="0" xr:uid="{00000000-0006-0000-1800-00000A000000}">
      <text>
        <r>
          <rPr>
            <sz val="9"/>
            <color indexed="81"/>
            <rFont val="Tahoma"/>
            <family val="2"/>
          </rPr>
          <t xml:space="preserve">Första kvartalet 2005 stormfälldes ansenliga mängder skog i södra Sverige vilket märkbart ökade rundvirkestransporterna.  In 2005 the first quarter, southern Sweden was hit by a gale that fell a considerable number of trees resulting in a noticeable increase in transport of round timber.
</t>
        </r>
      </text>
    </comment>
  </commentList>
</comments>
</file>

<file path=xl/comments14.xml><?xml version="1.0" encoding="utf-8"?>
<comments xmlns="http://schemas.openxmlformats.org/spreadsheetml/2006/main" xmlns:mc="http://schemas.openxmlformats.org/markup-compatibility/2006" xmlns:xr="http://schemas.microsoft.com/office/spreadsheetml/2014/revision" mc:Ignorable="xr">
  <authors>
    <author>Ida Adolfsson</author>
  </authors>
  <commentList>
    <comment ref="C57" authorId="0" shapeId="0" xr:uid="{00000000-0006-0000-1900-000001000000}">
      <text>
        <r>
          <rPr>
            <b/>
            <sz val="9"/>
            <color indexed="81"/>
            <rFont val="Tahoma"/>
            <family val="2"/>
          </rPr>
          <t>Ida Adolfsson:</t>
        </r>
        <r>
          <rPr>
            <sz val="9"/>
            <color indexed="81"/>
            <rFont val="Tahoma"/>
            <family val="2"/>
          </rPr>
          <t xml:space="preserve">
Same as year 2010
</t>
        </r>
      </text>
    </comment>
    <comment ref="D57" authorId="0" shapeId="0" xr:uid="{00000000-0006-0000-1900-000002000000}">
      <text>
        <r>
          <rPr>
            <b/>
            <sz val="9"/>
            <color indexed="81"/>
            <rFont val="Tahoma"/>
            <family val="2"/>
          </rPr>
          <t>Ida Adolfsson:</t>
        </r>
        <r>
          <rPr>
            <sz val="9"/>
            <color indexed="81"/>
            <rFont val="Tahoma"/>
            <family val="2"/>
          </rPr>
          <t xml:space="preserve">
Same as year 2013
</t>
        </r>
      </text>
    </comment>
    <comment ref="Q57" authorId="0" shapeId="0" xr:uid="{00000000-0006-0000-1900-000003000000}">
      <text>
        <r>
          <rPr>
            <b/>
            <sz val="9"/>
            <color indexed="81"/>
            <rFont val="Tahoma"/>
            <family val="2"/>
          </rPr>
          <t>Ida Adolfsson:</t>
        </r>
        <r>
          <rPr>
            <sz val="9"/>
            <color indexed="81"/>
            <rFont val="Tahoma"/>
            <family val="2"/>
          </rPr>
          <t xml:space="preserve">
Same as year 2010
</t>
        </r>
      </text>
    </comment>
    <comment ref="R57" authorId="0" shapeId="0" xr:uid="{00000000-0006-0000-1900-000004000000}">
      <text>
        <r>
          <rPr>
            <b/>
            <sz val="9"/>
            <color indexed="81"/>
            <rFont val="Tahoma"/>
            <family val="2"/>
          </rPr>
          <t>Ida Adolfsson:</t>
        </r>
        <r>
          <rPr>
            <sz val="9"/>
            <color indexed="81"/>
            <rFont val="Tahoma"/>
            <family val="2"/>
          </rPr>
          <t xml:space="preserve">
Same as year 2013
</t>
        </r>
      </text>
    </comment>
    <comment ref="B64" authorId="0" shapeId="0" xr:uid="{00000000-0006-0000-1900-000005000000}">
      <text>
        <r>
          <rPr>
            <b/>
            <sz val="9"/>
            <color indexed="81"/>
            <rFont val="Tahoma"/>
            <family val="2"/>
          </rPr>
          <t>Ida Adolfsson:</t>
        </r>
        <r>
          <rPr>
            <sz val="9"/>
            <color indexed="81"/>
            <rFont val="Tahoma"/>
            <family val="2"/>
          </rPr>
          <t xml:space="preserve">
Both ethanol, ethanol hybrid and other hybrid</t>
        </r>
      </text>
    </comment>
    <comment ref="P64" authorId="0" shapeId="0" xr:uid="{00000000-0006-0000-1900-000006000000}">
      <text>
        <r>
          <rPr>
            <b/>
            <sz val="9"/>
            <color indexed="81"/>
            <rFont val="Tahoma"/>
            <family val="2"/>
          </rPr>
          <t>Ida Adolfsson:</t>
        </r>
        <r>
          <rPr>
            <sz val="9"/>
            <color indexed="81"/>
            <rFont val="Tahoma"/>
            <family val="2"/>
          </rPr>
          <t xml:space="preserve">
Both ethanol, ethanol hybrid and other hybrid</t>
        </r>
      </text>
    </comment>
  </commentList>
</comments>
</file>

<file path=xl/comments15.xml><?xml version="1.0" encoding="utf-8"?>
<comments xmlns="http://schemas.openxmlformats.org/spreadsheetml/2006/main" xmlns:mc="http://schemas.openxmlformats.org/markup-compatibility/2006" xmlns:xr="http://schemas.microsoft.com/office/spreadsheetml/2014/revision" mc:Ignorable="xr">
  <authors>
    <author>Martin Hagberg</author>
  </authors>
  <commentList>
    <comment ref="H13" authorId="0" shapeId="0" xr:uid="{00000000-0006-0000-1C00-000001000000}">
      <text>
        <r>
          <rPr>
            <b/>
            <sz val="9"/>
            <color indexed="81"/>
            <rFont val="Tahoma"/>
            <family val="2"/>
          </rPr>
          <t>Martin Hagberg:</t>
        </r>
        <r>
          <rPr>
            <sz val="9"/>
            <color indexed="81"/>
            <rFont val="Tahoma"/>
            <family val="2"/>
          </rPr>
          <t xml:space="preserve">
OBS! ENDAST REGIONALA KOLLEKTIVTRAFIKMYNDIGHETERS TÅG!</t>
        </r>
      </text>
    </comment>
  </commentList>
</comments>
</file>

<file path=xl/comments16.xml><?xml version="1.0" encoding="utf-8"?>
<comments xmlns="http://schemas.openxmlformats.org/spreadsheetml/2006/main" xmlns:mc="http://schemas.openxmlformats.org/markup-compatibility/2006" xmlns:xr="http://schemas.microsoft.com/office/spreadsheetml/2014/revision" mc:Ignorable="xr">
  <authors>
    <author>Martin Hagberg</author>
    <author>Author</author>
  </authors>
  <commentList>
    <comment ref="N13" authorId="0" shapeId="0" xr:uid="{00000000-0006-0000-1E00-000001000000}">
      <text>
        <r>
          <rPr>
            <b/>
            <sz val="9"/>
            <color indexed="81"/>
            <rFont val="Tahoma"/>
            <family val="2"/>
          </rPr>
          <t>Martin Hagberg:</t>
        </r>
        <r>
          <rPr>
            <sz val="9"/>
            <color indexed="81"/>
            <rFont val="Tahoma"/>
            <family val="2"/>
          </rPr>
          <t xml:space="preserve">
assumptions
90 % have bike, 50 5 of them use it regularly</t>
        </r>
      </text>
    </comment>
    <comment ref="J24" authorId="0" shapeId="0" xr:uid="{00000000-0006-0000-1E00-000002000000}">
      <text>
        <r>
          <rPr>
            <b/>
            <sz val="9"/>
            <color indexed="81"/>
            <rFont val="Tahoma"/>
            <family val="2"/>
          </rPr>
          <t>Martin Hagberg:</t>
        </r>
        <r>
          <rPr>
            <sz val="9"/>
            <color indexed="81"/>
            <rFont val="Tahoma"/>
            <family val="2"/>
          </rPr>
          <t xml:space="preserve">
added together with short for now to better fit subres technologies
</t>
        </r>
      </text>
    </comment>
    <comment ref="AE55" authorId="1" shapeId="0" xr:uid="{00000000-0006-0000-1E00-000003000000}">
      <text>
        <r>
          <rPr>
            <b/>
            <sz val="9"/>
            <color indexed="81"/>
            <rFont val="Tahoma"/>
            <family val="2"/>
          </rPr>
          <t>Author:</t>
        </r>
        <r>
          <rPr>
            <sz val="9"/>
            <color indexed="81"/>
            <rFont val="Tahoma"/>
            <family val="2"/>
          </rPr>
          <t xml:space="preserve">
From TU survey figures on website http://www.modelcenter.transport.dtu.dk/english/TU/Hovedresultater</t>
        </r>
      </text>
    </comment>
    <comment ref="AL63" authorId="1" shapeId="0" xr:uid="{00000000-0006-0000-1E00-000004000000}">
      <text>
        <r>
          <rPr>
            <b/>
            <sz val="9"/>
            <color indexed="81"/>
            <rFont val="Tahoma"/>
            <family val="2"/>
          </rPr>
          <t>Author:</t>
        </r>
        <r>
          <rPr>
            <sz val="9"/>
            <color indexed="81"/>
            <rFont val="Tahoma"/>
            <family val="2"/>
          </rPr>
          <t xml:space="preserve">
According to the Ministry of Transport - The Danish transport system, facts and figures, pag27, this amount is more than 800 km </t>
        </r>
      </text>
    </comment>
    <comment ref="AH81" authorId="1" shapeId="0" xr:uid="{00000000-0006-0000-1E00-000005000000}">
      <text>
        <r>
          <rPr>
            <b/>
            <sz val="9"/>
            <color indexed="81"/>
            <rFont val="Tahoma"/>
            <family val="2"/>
          </rPr>
          <t>Author:</t>
        </r>
        <r>
          <rPr>
            <sz val="9"/>
            <color indexed="81"/>
            <rFont val="Tahoma"/>
            <family val="2"/>
          </rPr>
          <t xml:space="preserve">
Only 90% of Danes have bike</t>
        </r>
      </text>
    </comment>
    <comment ref="AI81" authorId="1" shapeId="0" xr:uid="{00000000-0006-0000-1E00-000006000000}">
      <text>
        <r>
          <rPr>
            <b/>
            <sz val="9"/>
            <color indexed="81"/>
            <rFont val="Tahoma"/>
            <family val="2"/>
          </rPr>
          <t>Author:</t>
        </r>
        <r>
          <rPr>
            <sz val="9"/>
            <color indexed="81"/>
            <rFont val="Tahoma"/>
            <family val="2"/>
          </rPr>
          <t xml:space="preserve">
70% of people who have bike ride it</t>
        </r>
      </text>
    </comment>
    <comment ref="AJ81" authorId="1" shapeId="0" xr:uid="{00000000-0006-0000-1E00-000007000000}">
      <text>
        <r>
          <rPr>
            <b/>
            <sz val="9"/>
            <color indexed="81"/>
            <rFont val="Tahoma"/>
            <family val="2"/>
          </rPr>
          <t>Author:</t>
        </r>
        <r>
          <rPr>
            <sz val="9"/>
            <color indexed="81"/>
            <rFont val="Tahoma"/>
            <family val="2"/>
          </rPr>
          <t xml:space="preserve">
Only 50% of people who have bike ride it regularly</t>
        </r>
      </text>
    </comment>
    <comment ref="AK81" authorId="1" shapeId="0" xr:uid="{00000000-0006-0000-1E00-000008000000}">
      <text>
        <r>
          <rPr>
            <b/>
            <sz val="9"/>
            <color indexed="81"/>
            <rFont val="Tahoma"/>
            <family val="2"/>
          </rPr>
          <t>Author:</t>
        </r>
        <r>
          <rPr>
            <sz val="9"/>
            <color indexed="81"/>
            <rFont val="Tahoma"/>
            <family val="2"/>
          </rPr>
          <t xml:space="preserve">
30% of people who have bike ride it</t>
        </r>
      </text>
    </comment>
    <comment ref="AL81" authorId="1" shapeId="0" xr:uid="{00000000-0006-0000-1E00-000009000000}">
      <text>
        <r>
          <rPr>
            <b/>
            <sz val="9"/>
            <color indexed="81"/>
            <rFont val="Tahoma"/>
            <family val="2"/>
          </rPr>
          <t>Author:</t>
        </r>
        <r>
          <rPr>
            <sz val="9"/>
            <color indexed="81"/>
            <rFont val="Tahoma"/>
            <family val="2"/>
          </rPr>
          <t xml:space="preserve">
daily mileage equal to average bike trip from TU survey</t>
        </r>
      </text>
    </comment>
  </commentList>
</comments>
</file>

<file path=xl/comments17.xml><?xml version="1.0" encoding="utf-8"?>
<comments xmlns="http://schemas.openxmlformats.org/spreadsheetml/2006/main" xmlns:mc="http://schemas.openxmlformats.org/markup-compatibility/2006" xmlns:xr="http://schemas.microsoft.com/office/spreadsheetml/2014/revision" mc:Ignorable="xr">
  <authors>
    <author>Author</author>
    <author>Stefan Petrovic</author>
  </authors>
  <commentList>
    <comment ref="A98" authorId="0" shapeId="0" xr:uid="{00000000-0006-0000-2400-000001000000}">
      <text>
        <r>
          <rPr>
            <b/>
            <sz val="10"/>
            <color indexed="81"/>
            <rFont val="Tahoma"/>
            <family val="2"/>
            <charset val="204"/>
          </rPr>
          <t>Author:</t>
        </r>
        <r>
          <rPr>
            <sz val="10"/>
            <color indexed="81"/>
            <rFont val="Tahoma"/>
            <family val="2"/>
            <charset val="204"/>
          </rPr>
          <t xml:space="preserve">
Kilde Incentives partners - opgørelse af udlandsandele for lastbiler og turistbusser</t>
        </r>
      </text>
    </comment>
    <comment ref="A100" authorId="0" shapeId="0" xr:uid="{00000000-0006-0000-2400-000002000000}">
      <text>
        <r>
          <rPr>
            <b/>
            <sz val="9"/>
            <color indexed="81"/>
            <rFont val="Tahoma"/>
            <family val="2"/>
          </rPr>
          <t>Author:</t>
        </r>
        <r>
          <rPr>
            <sz val="9"/>
            <color indexed="81"/>
            <rFont val="Tahoma"/>
            <family val="2"/>
          </rPr>
          <t xml:space="preserve">
Fordeling er udarbejdet med udgangspunkt i DSB´s materiel (se data input side)</t>
        </r>
      </text>
    </comment>
    <comment ref="A102" authorId="0" shapeId="0" xr:uid="{00000000-0006-0000-2400-000003000000}">
      <text>
        <r>
          <rPr>
            <b/>
            <sz val="9"/>
            <color indexed="81"/>
            <rFont val="Tahoma"/>
            <family val="2"/>
          </rPr>
          <t>Author:</t>
        </r>
        <r>
          <rPr>
            <sz val="9"/>
            <color indexed="81"/>
            <rFont val="Tahoma"/>
            <family val="2"/>
          </rPr>
          <t xml:space="preserve">
Antagelse: 100% el</t>
        </r>
      </text>
    </comment>
    <comment ref="B105" authorId="0" shapeId="0" xr:uid="{00000000-0006-0000-2400-000004000000}">
      <text>
        <r>
          <rPr>
            <b/>
            <sz val="10"/>
            <color indexed="81"/>
            <rFont val="Tahoma"/>
            <family val="2"/>
            <charset val="204"/>
          </rPr>
          <t>Author:</t>
        </r>
        <r>
          <rPr>
            <sz val="10"/>
            <color indexed="81"/>
            <rFont val="Tahoma"/>
            <family val="2"/>
            <charset val="204"/>
          </rPr>
          <t xml:space="preserve">
Fordeling med udgangspunkt i statistikbanken</t>
        </r>
      </text>
    </comment>
    <comment ref="B122" authorId="0" shapeId="0" xr:uid="{00000000-0006-0000-2400-000005000000}">
      <text>
        <r>
          <rPr>
            <b/>
            <sz val="9"/>
            <color indexed="81"/>
            <rFont val="Tahoma"/>
            <family val="2"/>
          </rPr>
          <t>Author:</t>
        </r>
        <r>
          <rPr>
            <sz val="9"/>
            <color indexed="81"/>
            <rFont val="Tahoma"/>
            <family val="2"/>
          </rPr>
          <t xml:space="preserve">
Fra statitstikbanken tabel 401 fås at 21tonkm (ud af 123) udføres på banestrækninger som ikke er elektricificeret. Dette er for region midtjylland og nordjylland. Dette giver 17% af det samlede transportarbejde.</t>
        </r>
      </text>
    </comment>
    <comment ref="B125" authorId="0" shapeId="0" xr:uid="{00000000-0006-0000-2400-000006000000}">
      <text>
        <r>
          <rPr>
            <b/>
            <sz val="9"/>
            <color indexed="81"/>
            <rFont val="Tahoma"/>
            <family val="2"/>
          </rPr>
          <t>Author:</t>
        </r>
        <r>
          <rPr>
            <sz val="9"/>
            <color indexed="81"/>
            <rFont val="Tahoma"/>
            <family val="2"/>
          </rPr>
          <t xml:space="preserve">
Alt kører på el</t>
        </r>
      </text>
    </comment>
    <comment ref="B130" authorId="1" shapeId="0" xr:uid="{00000000-0006-0000-2400-000007000000}">
      <text>
        <r>
          <rPr>
            <b/>
            <sz val="9"/>
            <color indexed="81"/>
            <rFont val="Tahoma"/>
            <family val="2"/>
          </rPr>
          <t>Stefan Petrovic:</t>
        </r>
        <r>
          <rPr>
            <sz val="9"/>
            <color indexed="81"/>
            <rFont val="Tahoma"/>
            <family val="2"/>
          </rPr>
          <t xml:space="preserve">
Assumed that the unit is M tkm</t>
        </r>
      </text>
    </comment>
  </commentList>
</comments>
</file>

<file path=xl/sharedStrings.xml><?xml version="1.0" encoding="utf-8"?>
<sst xmlns="http://schemas.openxmlformats.org/spreadsheetml/2006/main" count="12204" uniqueCount="3604">
  <si>
    <t>CAPUNIT</t>
  </si>
  <si>
    <t>Region</t>
  </si>
  <si>
    <t>TechName</t>
  </si>
  <si>
    <t>TechDesc</t>
  </si>
  <si>
    <t>CommName</t>
  </si>
  <si>
    <t>CommDesc</t>
  </si>
  <si>
    <t>CSet</t>
  </si>
  <si>
    <t>Unit</t>
  </si>
  <si>
    <t>~FI_T</t>
  </si>
  <si>
    <t>~FI_Comm</t>
  </si>
  <si>
    <t>LimType</t>
  </si>
  <si>
    <t>CTSLvl</t>
  </si>
  <si>
    <t>PeakTS</t>
  </si>
  <si>
    <t>Ctype</t>
  </si>
  <si>
    <t>Comm-IN</t>
  </si>
  <si>
    <t>Comm-OUT</t>
  </si>
  <si>
    <t>EFF</t>
  </si>
  <si>
    <t>DEM</t>
  </si>
  <si>
    <t>~FI_Process</t>
  </si>
  <si>
    <t>Sets</t>
  </si>
  <si>
    <t>Tact</t>
  </si>
  <si>
    <t>Tcap</t>
  </si>
  <si>
    <t>Tslvl</t>
  </si>
  <si>
    <t>PrimaryCG</t>
  </si>
  <si>
    <t>Vintage</t>
  </si>
  <si>
    <t>DMD</t>
  </si>
  <si>
    <t>*TechDesc</t>
  </si>
  <si>
    <t>*Unit</t>
  </si>
  <si>
    <t>*Process Set Membership</t>
  </si>
  <si>
    <t>Region Name</t>
  </si>
  <si>
    <t>Technology Name</t>
  </si>
  <si>
    <t>Technology Description</t>
  </si>
  <si>
    <t>Activity Unit</t>
  </si>
  <si>
    <t>Capacity Unit</t>
  </si>
  <si>
    <t>TimeSlice level of Process Activity</t>
  </si>
  <si>
    <t>Primary Commodity Group</t>
  </si>
  <si>
    <t>Vintage Tracking</t>
  </si>
  <si>
    <t>*Commodity Set Membership</t>
  </si>
  <si>
    <t>Commodity Name</t>
  </si>
  <si>
    <t>Commodity Description</t>
  </si>
  <si>
    <t>Sense of the Balance EQN.</t>
  </si>
  <si>
    <t>Timeslice Level</t>
  </si>
  <si>
    <t>Peak Monitoring</t>
  </si>
  <si>
    <t>Electricity Indicator</t>
  </si>
  <si>
    <t>PJ</t>
  </si>
  <si>
    <t>*Fuel Tech</t>
  </si>
  <si>
    <t>NRG</t>
  </si>
  <si>
    <t>PRE</t>
  </si>
  <si>
    <t>Pja</t>
  </si>
  <si>
    <t>Electricity</t>
  </si>
  <si>
    <t>TJ</t>
  </si>
  <si>
    <t>LPG</t>
  </si>
  <si>
    <t>Biodiesel</t>
  </si>
  <si>
    <t>LIFE</t>
  </si>
  <si>
    <t>Year</t>
  </si>
  <si>
    <t>DAYNITE</t>
  </si>
  <si>
    <t>ELC</t>
  </si>
  <si>
    <t>ENV</t>
  </si>
  <si>
    <t>kt</t>
  </si>
  <si>
    <t>Commodity Emissions</t>
  </si>
  <si>
    <t>kg/GJ = kt/PJ</t>
  </si>
  <si>
    <t>Diesel</t>
  </si>
  <si>
    <t>Nat. Gas</t>
  </si>
  <si>
    <t>~COMEMI</t>
  </si>
  <si>
    <t>*Units</t>
  </si>
  <si>
    <t>kg/GJ</t>
  </si>
  <si>
    <t>TRACO2</t>
  </si>
  <si>
    <t>TRANGA</t>
  </si>
  <si>
    <t>TRADSL</t>
  </si>
  <si>
    <t>TRAGSL</t>
  </si>
  <si>
    <t>TRALPG</t>
  </si>
  <si>
    <t>TRAELC</t>
  </si>
  <si>
    <t>Gasoline</t>
  </si>
  <si>
    <t>Kerosene</t>
  </si>
  <si>
    <t>Heavy Fuel Oil</t>
  </si>
  <si>
    <t>TRACO2A</t>
  </si>
  <si>
    <t>CO2 Transport Aviation</t>
  </si>
  <si>
    <t>CO2 Transport Navigation</t>
  </si>
  <si>
    <t>CO2 Transport (no aviation and navigation)</t>
  </si>
  <si>
    <t>Mpass-km</t>
  </si>
  <si>
    <t>Mt-km</t>
  </si>
  <si>
    <t>TPCS</t>
  </si>
  <si>
    <t>TPCM</t>
  </si>
  <si>
    <t>TPCL</t>
  </si>
  <si>
    <t>Max km per year</t>
  </si>
  <si>
    <t>Minimum share</t>
  </si>
  <si>
    <t>TFVL</t>
  </si>
  <si>
    <t>Transport Freight Sea International</t>
  </si>
  <si>
    <t>Transport Freight Sea National</t>
  </si>
  <si>
    <t>Transport Freight Vans Long distance (&gt;50 km)</t>
  </si>
  <si>
    <t>Formål</t>
  </si>
  <si>
    <t>Turkædelængde</t>
  </si>
  <si>
    <t>Trspmiddel</t>
  </si>
  <si>
    <t>Homr</t>
  </si>
  <si>
    <t>%</t>
  </si>
  <si>
    <t>Østjylland</t>
  </si>
  <si>
    <t>Øvr østdk+B</t>
  </si>
  <si>
    <t>Øvr Vestdk</t>
  </si>
  <si>
    <t>Arbejdsplads</t>
  </si>
  <si>
    <t>under  10 km</t>
  </si>
  <si>
    <t>10-50 km</t>
  </si>
  <si>
    <t>50-100 km</t>
  </si>
  <si>
    <t>over 100 km</t>
  </si>
  <si>
    <t>Erhverv</t>
  </si>
  <si>
    <t>Fritid</t>
  </si>
  <si>
    <t>Uddannelsessted</t>
  </si>
  <si>
    <t>Ærinde</t>
  </si>
  <si>
    <t>Sum</t>
  </si>
  <si>
    <t>Int</t>
  </si>
  <si>
    <t>I denne tabel er opdelt efter områder (grupper af nye kommuner). Definition ses på fanen "geogrupper".</t>
  </si>
  <si>
    <t>Østjylland er defineret som hos By- &amp; Landskabsstyrelsen (og Transportministeriets strategiske analysearbejde)</t>
  </si>
  <si>
    <t>National bus</t>
  </si>
  <si>
    <t>&lt; 5km</t>
  </si>
  <si>
    <t>5-25 km</t>
  </si>
  <si>
    <t>25-50km</t>
  </si>
  <si>
    <t>&gt;50 km</t>
  </si>
  <si>
    <t>International bus</t>
  </si>
  <si>
    <t>Mio pkm</t>
  </si>
  <si>
    <t>From Per's Transport Model. Source: unclear.</t>
  </si>
  <si>
    <t>Shares</t>
  </si>
  <si>
    <t>East</t>
  </si>
  <si>
    <t>West</t>
  </si>
  <si>
    <t>&lt;100 km</t>
  </si>
  <si>
    <t>&gt;100 km</t>
  </si>
  <si>
    <t>Total</t>
  </si>
  <si>
    <t>National rail</t>
  </si>
  <si>
    <t>National rail (diesel)</t>
  </si>
  <si>
    <t>National rail (electricity)</t>
  </si>
  <si>
    <t>International rail (electricity)</t>
  </si>
  <si>
    <t>National air</t>
  </si>
  <si>
    <t>International air</t>
  </si>
  <si>
    <t>International air (1-1000km)</t>
  </si>
  <si>
    <t>International air (&gt;1000km)</t>
  </si>
  <si>
    <t>National sea</t>
  </si>
  <si>
    <t>International sea</t>
  </si>
  <si>
    <t>Passengers</t>
  </si>
  <si>
    <t>Freight</t>
  </si>
  <si>
    <t>National truck</t>
  </si>
  <si>
    <t>&lt;50km</t>
  </si>
  <si>
    <t>50-200km</t>
  </si>
  <si>
    <t>&gt;200km</t>
  </si>
  <si>
    <t>International truck</t>
  </si>
  <si>
    <t>Vans (2-6 t)</t>
  </si>
  <si>
    <t>&gt;50km</t>
  </si>
  <si>
    <t xml:space="preserve">National rail </t>
  </si>
  <si>
    <t>National cargo air</t>
  </si>
  <si>
    <t>Internationa cargo air</t>
  </si>
  <si>
    <t>National cargo sea</t>
  </si>
  <si>
    <t>International cargo sea</t>
  </si>
  <si>
    <t>DKE</t>
  </si>
  <si>
    <t>DKW</t>
  </si>
  <si>
    <t>Transport Freight Sea National - Existing</t>
  </si>
  <si>
    <t>Transport Freight Sea International - Existing</t>
  </si>
  <si>
    <t>kvehicles</t>
  </si>
  <si>
    <t>Passenger cars, total</t>
  </si>
  <si>
    <t>0 year</t>
  </si>
  <si>
    <t>1 year</t>
  </si>
  <si>
    <t>2 years</t>
  </si>
  <si>
    <t>3 years</t>
  </si>
  <si>
    <t>4 years</t>
  </si>
  <si>
    <t>5 years</t>
  </si>
  <si>
    <t>6 years</t>
  </si>
  <si>
    <t>7 years</t>
  </si>
  <si>
    <t>8 years</t>
  </si>
  <si>
    <t>9 years</t>
  </si>
  <si>
    <t>10 years</t>
  </si>
  <si>
    <t>11 years</t>
  </si>
  <si>
    <t>12 years</t>
  </si>
  <si>
    <t>13 years</t>
  </si>
  <si>
    <t>14 years</t>
  </si>
  <si>
    <t>15 years</t>
  </si>
  <si>
    <t>16 years</t>
  </si>
  <si>
    <t>17 years</t>
  </si>
  <si>
    <t>18 years</t>
  </si>
  <si>
    <t>19 years</t>
  </si>
  <si>
    <t>20 years</t>
  </si>
  <si>
    <t>21 years</t>
  </si>
  <si>
    <t>22 years</t>
  </si>
  <si>
    <t>23 years</t>
  </si>
  <si>
    <t>24 years</t>
  </si>
  <si>
    <t>24 years and over</t>
  </si>
  <si>
    <t>Average age per. year</t>
  </si>
  <si>
    <t>Unit : Number</t>
  </si>
  <si>
    <t>Total propellant</t>
  </si>
  <si>
    <t>Petrol</t>
  </si>
  <si>
    <t>N-gas</t>
  </si>
  <si>
    <t>Average annual values</t>
  </si>
  <si>
    <t>Fuel</t>
  </si>
  <si>
    <t>STOCK</t>
  </si>
  <si>
    <t>STOCK~2012</t>
  </si>
  <si>
    <t>STOCK~2015</t>
  </si>
  <si>
    <t>STOCK~2020</t>
  </si>
  <si>
    <t>STOCK~2025</t>
  </si>
  <si>
    <t>STOCK~2030</t>
  </si>
  <si>
    <t>STOCK~2035</t>
  </si>
  <si>
    <t>STOCK~2040</t>
  </si>
  <si>
    <t>STOCK~2045</t>
  </si>
  <si>
    <t>STOCK~2050</t>
  </si>
  <si>
    <t>Age</t>
  </si>
  <si>
    <t>CEFF-O</t>
  </si>
  <si>
    <t>ACTFLO~DEMO</t>
  </si>
  <si>
    <t>Weibull parameters for car lifetime</t>
  </si>
  <si>
    <t>λ</t>
  </si>
  <si>
    <t>k</t>
  </si>
  <si>
    <t>θ</t>
  </si>
  <si>
    <t>Gas</t>
  </si>
  <si>
    <t>Transport Freight Air International</t>
  </si>
  <si>
    <t>S-tog</t>
  </si>
  <si>
    <t>VEHICLES ON THE ROAD TOTAL</t>
  </si>
  <si>
    <t>Bicycles/Mopeds max. 30 km/h</t>
  </si>
  <si>
    <t>Motor vehicles total</t>
  </si>
  <si>
    <t>Private cars and vans under 2.001 kg.</t>
  </si>
  <si>
    <t>Vans over 2.000 kg.</t>
  </si>
  <si>
    <t>Taxis</t>
  </si>
  <si>
    <t>Motorcycles</t>
  </si>
  <si>
    <t>Mopeds max. 45 km/h</t>
  </si>
  <si>
    <t>Buses and coaches total</t>
  </si>
  <si>
    <t>Sceduled buses</t>
  </si>
  <si>
    <t>..</t>
  </si>
  <si>
    <t>Coaches and other buses</t>
  </si>
  <si>
    <t>Train</t>
  </si>
  <si>
    <t>Ship</t>
  </si>
  <si>
    <t>Aeroplane</t>
  </si>
  <si>
    <t>Passenger transport performance by means of transport and time</t>
  </si>
  <si>
    <t>Revision of statistics for buses is on-going. The figures are subject to uncertainty. In August 2011 The Danish Road Directorate revised several data on road transport statistics. For further information on methodology: please refer to The Danish Road Directorate's homepage: www.vd.dk. Source: The Danish Road Directorate (road traffic) and Statistics Denmark (train, ship and plane).</t>
  </si>
  <si>
    <t>.. indicates that the observation is missing or fall under the limit of discretion/uncertainty.</t>
  </si>
  <si>
    <t>Unit : million passenger-km</t>
  </si>
  <si>
    <t>National</t>
  </si>
  <si>
    <t>International</t>
  </si>
  <si>
    <t>two types of buses</t>
  </si>
  <si>
    <t>Transport Freight Rail All</t>
  </si>
  <si>
    <t>Transport Freight Vans Short Distance (&lt;50 km)</t>
  </si>
  <si>
    <t>TFVS</t>
  </si>
  <si>
    <t>Transport Passengers Cars Long Distance (&gt;50 km)</t>
  </si>
  <si>
    <t>Transport Passengers Cars Medium Distance (25-50 km)</t>
  </si>
  <si>
    <t>Transport Passengers Cars Short Distance (&lt;25 km)</t>
  </si>
  <si>
    <t>VEHICLES TOTAL</t>
  </si>
  <si>
    <t>Private cars</t>
  </si>
  <si>
    <t>Private cars with a petrol engine, total</t>
  </si>
  <si>
    <t>Private cars with diesel engine etc., total</t>
  </si>
  <si>
    <t>Vans total</t>
  </si>
  <si>
    <t>Vans with a petrol engine, total</t>
  </si>
  <si>
    <t>Vans with a petrol engine, total weight under 2,001 kg</t>
  </si>
  <si>
    <t>Vans with a petrol engine, total weight 2,001-3,500 kg</t>
  </si>
  <si>
    <t>Vans with diesel engine etc., total</t>
  </si>
  <si>
    <t>Vans with diesel engine etc., total weight under 2,001 kg</t>
  </si>
  <si>
    <t>Vans with diesel engine etc., total weight 2,001-3,500 kg</t>
  </si>
  <si>
    <t>Lorries, total</t>
  </si>
  <si>
    <t>Road tractos, total</t>
  </si>
  <si>
    <t>Buses for public transportation</t>
  </si>
  <si>
    <t>Buses for other purposes</t>
  </si>
  <si>
    <t>Source: Road Directorate. From 2001 new methodology based on odometer reading data has been applied. The motor vehicle traffic 2005-2009 is mainly estimated on basis of the development in the motor vehicle traffic index of the Road Directorate. The Road Directorate has revised the traffic data in Sep. 2010 and March 2011. Further information is presented on www.vd.dk.</t>
  </si>
  <si>
    <t>Unit : Million vehicle-km</t>
  </si>
  <si>
    <t>Road traffic of Dannish vehicles on Danish roads by means of transport and time</t>
  </si>
  <si>
    <t>Transport Passengers Sea National - Existing</t>
  </si>
  <si>
    <t>Transport Passengers Sea International - Existing</t>
  </si>
  <si>
    <t>Transport Freight Truck Short Distance (&lt;50 km)</t>
  </si>
  <si>
    <t>Load (tonnes per vehicle)</t>
  </si>
  <si>
    <t>Stock</t>
  </si>
  <si>
    <t>Diesel locomotives</t>
  </si>
  <si>
    <t>Electric locomotives</t>
  </si>
  <si>
    <t>Other propellant</t>
  </si>
  <si>
    <t>Helge's scrapping model: EU project</t>
  </si>
  <si>
    <t>What is the exact source</t>
  </si>
  <si>
    <t>Transport Freight Truck Long Distance National (&gt;50 km)</t>
  </si>
  <si>
    <t>Transport Freight Truck Long Distance International (&gt;50 km)</t>
  </si>
  <si>
    <t>Date</t>
  </si>
  <si>
    <t>Name</t>
  </si>
  <si>
    <t>Explanation</t>
  </si>
  <si>
    <t>Maurizio</t>
  </si>
  <si>
    <t>Changed unit in PJf to be coherent with Energy Outlook and EU model</t>
  </si>
  <si>
    <t>Sheet Name</t>
  </si>
  <si>
    <t>Commodities</t>
  </si>
  <si>
    <t>F13, F14, F23, F24</t>
  </si>
  <si>
    <t>D20, D21</t>
  </si>
  <si>
    <t>Added long distance freight National and Internationl to take in account different National and EU policies</t>
  </si>
  <si>
    <t>TRAHFO</t>
  </si>
  <si>
    <t>TRAGSB</t>
  </si>
  <si>
    <t>TRADSB</t>
  </si>
  <si>
    <t>Commodieties</t>
  </si>
  <si>
    <t>TRASNG</t>
  </si>
  <si>
    <t>TRAKRB</t>
  </si>
  <si>
    <t>Cars</t>
  </si>
  <si>
    <t>Added biofuel (TRAxxx) as an extra input fuel</t>
  </si>
  <si>
    <t>E6,E9,E15,E21,E24,E30</t>
  </si>
  <si>
    <t>Olexandr</t>
  </si>
  <si>
    <t>Buses</t>
  </si>
  <si>
    <t>NAVI-AVI</t>
  </si>
  <si>
    <t>D8,D9</t>
  </si>
  <si>
    <t>D6,D7,D9,D10</t>
  </si>
  <si>
    <t>Freight_Road</t>
  </si>
  <si>
    <t>D6,D8,D12</t>
  </si>
  <si>
    <t>Diesel TRA</t>
  </si>
  <si>
    <t>Gasoline TRA</t>
  </si>
  <si>
    <t>Nat. Gas TRA</t>
  </si>
  <si>
    <t>Liquid petrol gas TRA</t>
  </si>
  <si>
    <t>Electricity TRA</t>
  </si>
  <si>
    <t>Heavy Fuel Oil TRA</t>
  </si>
  <si>
    <t>Changed fuel names and descriptions in accordance with fuel2.xlsx</t>
  </si>
  <si>
    <t>Trains</t>
  </si>
  <si>
    <t>D6,D8</t>
  </si>
  <si>
    <t>Freight_Rail</t>
  </si>
  <si>
    <t>D6</t>
  </si>
  <si>
    <t>Freight_Rest</t>
  </si>
  <si>
    <t>D8:D9</t>
  </si>
  <si>
    <t>Added long distance National and International freight instead of only long distance</t>
  </si>
  <si>
    <t>Dem</t>
  </si>
  <si>
    <t>Updated due to split between National and International freight for trucks</t>
  </si>
  <si>
    <t>D18:E20</t>
  </si>
  <si>
    <t>E13:E14</t>
  </si>
  <si>
    <t>F27:F37</t>
  </si>
  <si>
    <t>Source</t>
  </si>
  <si>
    <t>Annual driving values</t>
  </si>
  <si>
    <t>Vehicle type</t>
  </si>
  <si>
    <t>km</t>
  </si>
  <si>
    <t>Car</t>
  </si>
  <si>
    <t>Bus</t>
  </si>
  <si>
    <t>Truck</t>
  </si>
  <si>
    <t>ad_beregningsmodel_version_2_1_maj_2013 (4)</t>
  </si>
  <si>
    <t>COWI, Alternative drivmidler, Maj 2013</t>
  </si>
  <si>
    <t>Olexandr Balyk</t>
  </si>
  <si>
    <t>J9,J12,J15,J18,J21,J24,J27,J30,J33,J6</t>
  </si>
  <si>
    <t>Updated Max km value based on the Alternativ Drivmidler</t>
  </si>
  <si>
    <t>L6:M11</t>
  </si>
  <si>
    <t>K12:L12</t>
  </si>
  <si>
    <t>Personbiler</t>
  </si>
  <si>
    <t>Benzin</t>
  </si>
  <si>
    <t xml:space="preserve">Diesel </t>
  </si>
  <si>
    <t>Naturgas</t>
  </si>
  <si>
    <t>Biogas</t>
  </si>
  <si>
    <t xml:space="preserve">Bioethanol </t>
  </si>
  <si>
    <t xml:space="preserve">Elektricitet </t>
  </si>
  <si>
    <t>Brint</t>
  </si>
  <si>
    <t>Busser</t>
  </si>
  <si>
    <t>Knallerter (30 og 45)</t>
  </si>
  <si>
    <t>Motorcykler</t>
  </si>
  <si>
    <t>Varebiler u. 2 t</t>
  </si>
  <si>
    <t>Varebiler 2-3,5 t</t>
  </si>
  <si>
    <t>Små lastbiler 3,5-6 t</t>
  </si>
  <si>
    <t>Lastbiler o. 6 t (inkl. sættevognstrækkere)</t>
  </si>
  <si>
    <t>&lt;5 km</t>
  </si>
  <si>
    <t>25-50 km</t>
  </si>
  <si>
    <t>Work</t>
  </si>
  <si>
    <t>Leasure</t>
  </si>
  <si>
    <t>Calculated</t>
  </si>
  <si>
    <t>Statistics</t>
  </si>
  <si>
    <t>Workplace</t>
  </si>
  <si>
    <t>Free time</t>
  </si>
  <si>
    <t>Check table</t>
  </si>
  <si>
    <t>Metro</t>
  </si>
  <si>
    <t>Andre tog (lokal baner mv.)</t>
  </si>
  <si>
    <t>Fjern- og regionaltog</t>
  </si>
  <si>
    <t>Målt i MJ/km</t>
  </si>
  <si>
    <t>År</t>
  </si>
  <si>
    <t>Kategori</t>
  </si>
  <si>
    <t>Primært drivmiddel</t>
  </si>
  <si>
    <r>
      <t xml:space="preserve">Tabel 7: </t>
    </r>
    <r>
      <rPr>
        <sz val="10"/>
        <rFont val="Arial"/>
        <family val="2"/>
      </rPr>
      <t>Transport activities divided by journey's primary purpose group,  overall length and location (residence)</t>
    </r>
  </si>
  <si>
    <t>Education</t>
  </si>
  <si>
    <t>Buisness</t>
  </si>
  <si>
    <t>Currier</t>
  </si>
  <si>
    <t>light</t>
  </si>
  <si>
    <t>other</t>
  </si>
  <si>
    <t>car</t>
  </si>
  <si>
    <t>collective</t>
  </si>
  <si>
    <t>Motor Gasoline</t>
  </si>
  <si>
    <t>Other Kerosene</t>
  </si>
  <si>
    <t>Gas-/Diesel Oil</t>
  </si>
  <si>
    <t>Energy Statistics (PJ)</t>
  </si>
  <si>
    <t>Direct Energy Contents [TJ]</t>
  </si>
  <si>
    <t>Transport</t>
  </si>
  <si>
    <t>Aviation Gasoline</t>
  </si>
  <si>
    <t>JP1</t>
  </si>
  <si>
    <t>Fuel Oil</t>
  </si>
  <si>
    <t>Bioethanol</t>
  </si>
  <si>
    <t>Domestic Sea Transport</t>
  </si>
  <si>
    <t>Domestic Aviation</t>
  </si>
  <si>
    <t>International Aviation</t>
  </si>
  <si>
    <t>Energieffektivitetstal</t>
  </si>
  <si>
    <t>Energiforbrug per kilometer</t>
  </si>
  <si>
    <t>Personbiler (inkl. taxi)</t>
  </si>
  <si>
    <t>Godstog</t>
  </si>
  <si>
    <t>Kilde: Bemærk særligt at energiintensiteter for køretøjer til vejtransport pr. 30. august 2012 er baseret på egne modelberegninger udviklet og gennemført for Energistyrelsen. For data for motorcykler og knallerter er der dog tale om DMU-data (fra Annex 2B-6 i NERI Technical Report no. 821 2011).</t>
  </si>
  <si>
    <t>SUM</t>
  </si>
  <si>
    <t>Assumptions</t>
  </si>
  <si>
    <t>Aviation</t>
  </si>
  <si>
    <t>copied from Energy Statistics</t>
  </si>
  <si>
    <t>2010</t>
  </si>
  <si>
    <t>Mio tkm</t>
  </si>
  <si>
    <t>Energy calculated (PJ)</t>
  </si>
  <si>
    <t>MJ/kg</t>
  </si>
  <si>
    <t>-</t>
  </si>
  <si>
    <t>dye-out percentages</t>
  </si>
  <si>
    <t xml:space="preserve"> </t>
  </si>
  <si>
    <t>MJ/km</t>
  </si>
  <si>
    <t>Mvehicle*km/PJ</t>
  </si>
  <si>
    <t>Occupancy (persons per vehicle)</t>
  </si>
  <si>
    <t>Mvehicles*km/PJ</t>
  </si>
  <si>
    <t>Long</t>
  </si>
  <si>
    <t>Efficiency coefficients</t>
  </si>
  <si>
    <t>Short</t>
  </si>
  <si>
    <t>Input Demand</t>
  </si>
  <si>
    <t>Calculated Demand</t>
  </si>
  <si>
    <t>Interpolation rule</t>
  </si>
  <si>
    <t>Share-O~LO~0</t>
  </si>
  <si>
    <t>Share interpolation rule</t>
  </si>
  <si>
    <t>Processes</t>
  </si>
  <si>
    <t>Changed reference in the formular for DSL commodity instead of NGA</t>
  </si>
  <si>
    <t>*Description</t>
  </si>
  <si>
    <t>Cells</t>
  </si>
  <si>
    <t>Søfart, indenrigs persontransport</t>
  </si>
  <si>
    <t>Fuelolie</t>
  </si>
  <si>
    <t>Søfart, indenrigs godstransport ekskl. platforme i Nordsøen</t>
  </si>
  <si>
    <t>Søfart, indenrigs godstransport, oliepatforme i Nordsøen</t>
  </si>
  <si>
    <t>Luftfart, indenrigs persontransport</t>
  </si>
  <si>
    <t>Flyvebenzin</t>
  </si>
  <si>
    <t>Øvrige</t>
  </si>
  <si>
    <t xml:space="preserve">Luftfart, indenrigs godstransport </t>
  </si>
  <si>
    <t>Luftfart, udenrigs persontransport</t>
  </si>
  <si>
    <t xml:space="preserve">Luftfart, udenrigs godstransport </t>
  </si>
  <si>
    <t>DSB1</t>
  </si>
  <si>
    <t>DSB2</t>
  </si>
  <si>
    <t>Share~UP</t>
  </si>
  <si>
    <t>Start</t>
  </si>
  <si>
    <t>Share~LO</t>
  </si>
  <si>
    <t>GSB1</t>
  </si>
  <si>
    <t>GSB2</t>
  </si>
  <si>
    <t>KRB1</t>
  </si>
  <si>
    <t>KRB2</t>
  </si>
  <si>
    <t>SNG1</t>
  </si>
  <si>
    <t>SNG2</t>
  </si>
  <si>
    <t>TRADSBL1</t>
  </si>
  <si>
    <t>TRADSBL2</t>
  </si>
  <si>
    <t>TRADSBL3</t>
  </si>
  <si>
    <t>TRADSBL4</t>
  </si>
  <si>
    <t>TRANGBL1</t>
  </si>
  <si>
    <t>TRANGBL2</t>
  </si>
  <si>
    <t>TRANGBL3</t>
  </si>
  <si>
    <t>TRANGBL4</t>
  </si>
  <si>
    <t>TRADSBL5</t>
  </si>
  <si>
    <t>TRANGBL5</t>
  </si>
  <si>
    <t>TRAGSBL1</t>
  </si>
  <si>
    <t>TRAGSBL2</t>
  </si>
  <si>
    <t>TRAGSBL3</t>
  </si>
  <si>
    <t>TRAGSBL4</t>
  </si>
  <si>
    <t>TRAGSBL5</t>
  </si>
  <si>
    <t>Maurizio Gargiulo</t>
  </si>
  <si>
    <t>Added the new blending commodities</t>
  </si>
  <si>
    <t>Blended Fuel - Diesel &amp; Biodiesel - level 1 - TRA</t>
  </si>
  <si>
    <t>Blended Fuel - Diesel &amp; Biodiesel - level 2 - TRA</t>
  </si>
  <si>
    <t>Blended Fuel - Diesel &amp; Biodiesel - level 3 - TRA</t>
  </si>
  <si>
    <t>Blended Fuel - Diesel &amp; Biodiesel - level 4 - TRA</t>
  </si>
  <si>
    <t>Blended Fuel - Diesel &amp; Biodiesel - level 5 - TRA</t>
  </si>
  <si>
    <t>Blended Fuel - Gasoline &amp; Bioethanol - level 1 - TRA</t>
  </si>
  <si>
    <t>Blended Fuel - Gasoline &amp; Bioethanol - level 2 - TRA</t>
  </si>
  <si>
    <t>Blended Fuel - Gasoline &amp; Bioethanol - level 3 - TRA</t>
  </si>
  <si>
    <t>Blended Fuel - Gasoline &amp; Bioethanol - level 4 - TRA</t>
  </si>
  <si>
    <t>Blended Fuel - Gasoline &amp; Bioethanol - level 5 - TRA</t>
  </si>
  <si>
    <t>Blended Fuel - NGA &amp; SNG - level 1 - TRA</t>
  </si>
  <si>
    <t>Blended Fuel - NGA &amp; SNG - level 2 - TRA</t>
  </si>
  <si>
    <t>Blended Fuel - NGA &amp; SNG - level 3 - TRA</t>
  </si>
  <si>
    <t>Blended Fuel - NGA &amp; SNG - level 4 - TRA</t>
  </si>
  <si>
    <t>Blended Fuel - NGA &amp; SNG - level 5 - TRA</t>
  </si>
  <si>
    <t>Transport Passengers Cars - Diesel Engine - Blending 1 - Average size - Existing</t>
  </si>
  <si>
    <t>Transport Passengers Cars - Otto Engine - Blending 1 - Average size - Existing</t>
  </si>
  <si>
    <t>Transport Passengers Cars - LPG - Average size - Existing</t>
  </si>
  <si>
    <t>Transport Passengers Cars - Gas Engine - Blending 1 - Average size - Existing</t>
  </si>
  <si>
    <t>Transport Passengers Air National - Blending 1 - Existing</t>
  </si>
  <si>
    <t>Transport Freight Van - Diesel Engine - Blending 1 - Existing</t>
  </si>
  <si>
    <t>Transport Freight Van - Otto Engine - Blending 1 - Existing</t>
  </si>
  <si>
    <t>Transport Freight Truck - Diesel Engine - Blending 1 - Existing</t>
  </si>
  <si>
    <t>Transport Freight Train - Diesel Engine - Blending 1 - Existing</t>
  </si>
  <si>
    <t>Transport Freight Train - Electric - Existing</t>
  </si>
  <si>
    <t>Transport Freight Air International - Blending 1 - Existing</t>
  </si>
  <si>
    <t>Fuel Technology Diesel &amp; Biodiesel Blending - level 1</t>
  </si>
  <si>
    <t>Fuel Technology Diesel &amp; Biodiesel Blending - level 5</t>
  </si>
  <si>
    <t>Fuel Technology Diesel &amp; Biodiesel Blending - level 2</t>
  </si>
  <si>
    <t>Fuel Technology Diesel &amp; Biodiesel Blending - level 3</t>
  </si>
  <si>
    <t>Fuel Technology Diesel &amp; Biodiesel Blending - level 4</t>
  </si>
  <si>
    <t>Fuel Technology Gasoline &amp; Bioethanol Blending - level 1</t>
  </si>
  <si>
    <t>Fuel Technology Gasoline &amp; Bioethanol Blending - level 2</t>
  </si>
  <si>
    <t>Fuel Technology Gasoline &amp; Bioethanol Blending - level 3</t>
  </si>
  <si>
    <t>Fuel Technology Gasoline &amp; Bioethanol Blending - level 4</t>
  </si>
  <si>
    <t>Fuel Technology Gasoline &amp; Bioethanol Blending - level 5</t>
  </si>
  <si>
    <t>Fuel Technology Kerosene &amp; Biokerosene Blending - level 1</t>
  </si>
  <si>
    <t>Fuel Technology Kerosene &amp; Biokerosene Blending - level 2</t>
  </si>
  <si>
    <t>Fuel Technology Kerosene &amp; Biokerosene Blending - level 3</t>
  </si>
  <si>
    <t>Fuel Technology Kerosene &amp; Biokerosene Blending - level 4</t>
  </si>
  <si>
    <t>Fuel Technology Kerosene &amp; Biokerosene Blending - level 5</t>
  </si>
  <si>
    <t>Share~UP~0</t>
  </si>
  <si>
    <t>Share~LO~0</t>
  </si>
  <si>
    <t>Share relax coeff</t>
  </si>
  <si>
    <t>Share relaxation for cars output</t>
  </si>
  <si>
    <t>Share relaxation for trucks and vans</t>
  </si>
  <si>
    <t>TRA_Fuel</t>
  </si>
  <si>
    <t>Changed the upper share of biofuels to 100% to avoid dummies (to be reviewed)</t>
  </si>
  <si>
    <t>Rikke Næraa</t>
  </si>
  <si>
    <t xml:space="preserve">Changed to 100% because according to Lisa SNG is upgrated to excatly the same fuel quality as NGA </t>
  </si>
  <si>
    <t>The numbers has been changed assuming that the gasolin from 2010 is E5 and B7 ( the value refers to volumen percent)</t>
  </si>
  <si>
    <t>Changed upper share of biokerosene in the biofuel blending (similarly to the other technologies in the sector)</t>
  </si>
  <si>
    <t>Changed to allow aviation consume all blending types</t>
  </si>
  <si>
    <t>Share-O~LO</t>
  </si>
  <si>
    <t xml:space="preserve">BIL8: Stock of vehicles per 1 January by type of vehicle and age </t>
  </si>
  <si>
    <t>BIL707: Stock of vehicles per 1 January by region and type of vehicle</t>
  </si>
  <si>
    <t>Centrale beregningsforudsætninger</t>
  </si>
  <si>
    <t xml:space="preserve">De centrale beregningsforudsætninger omfatter specifikation af tre gennemsnitsbiler på grundlag af information om nye bilers egenskaber fra bilregistrene. Bilernes priser er baseret på et udtræk af DAF-data fra 2007 med en korrektion for, at bilerne i dag er mere brændstoføkonomiske og har en lavere registreringsafgift. Energistyrelsens/COWIs rapport om alternative drivmidler fra 2012 er kilden til den fremtidige forbedring af bilernes energieffektivitet.                                                                                                                                                                                                                                                                                                                                                                          </t>
  </si>
  <si>
    <t>Centrale beregningsforudsætninger for den gennemsnitlige personbil</t>
  </si>
  <si>
    <t>Benzinbil</t>
  </si>
  <si>
    <t>Brændstofforbrug i hele bilparken</t>
  </si>
  <si>
    <t>km/l</t>
  </si>
  <si>
    <t>Kilder: Bilregisterdata og bilpriser fra DAF. ENS/Cowi 2012: Beregningsmodel for alternative drivmidler har leveret udviklingen i brændstofeffektivitet for nye biler</t>
  </si>
  <si>
    <t>Brændstofforbruget er baseret på testdata for nye biler - ikke på målinger af bilparken.</t>
  </si>
  <si>
    <t>Registreringsafgiften er baseret på en brændstoføkonomi på 18,3 km/l. Udviklingen i ejerafgiften er baseret på L107 af 13/9 2012</t>
  </si>
  <si>
    <t>Dieselbil</t>
  </si>
  <si>
    <t>Registreringsafgiften er baseret på en brændstoføkonomi på 21,2 km/l. Udviklingen i ejerafgiften er baseret på L107 af 13/9 2012</t>
  </si>
  <si>
    <t>Elbil</t>
  </si>
  <si>
    <t>Elforbrug</t>
  </si>
  <si>
    <t>km/kWh</t>
  </si>
  <si>
    <t>Kilde:Transportøkonomiske enhedspriser</t>
  </si>
  <si>
    <t>http://www.modelcenter.transport.dtu.dk/Publikationer/Transportoekonomiske-Enhedspriser</t>
  </si>
  <si>
    <t>Vægtfylde motorbenzin</t>
  </si>
  <si>
    <t>Brændværdi</t>
  </si>
  <si>
    <t>kg/l</t>
  </si>
  <si>
    <t>Energy statistics 2013</t>
  </si>
  <si>
    <t>http://www.ens.dk/sites/ens.dk/files/info/tal-kort/statistik-noegletal/aarlig-energistatistik/energistatistik2013.pdf</t>
  </si>
  <si>
    <t>MJ/kWh</t>
  </si>
  <si>
    <t>Konverting fra kWh -&gt; MJ</t>
  </si>
  <si>
    <t>Mio. km</t>
  </si>
  <si>
    <t>Transportmiddel</t>
  </si>
  <si>
    <t>Taxi</t>
  </si>
  <si>
    <t xml:space="preserve">Efficency </t>
  </si>
  <si>
    <t>Share of trafic work</t>
  </si>
  <si>
    <t>Weighted share</t>
  </si>
  <si>
    <t>Realitetsfaktor</t>
  </si>
  <si>
    <t>AFA</t>
  </si>
  <si>
    <t>CEFF-O~2012</t>
  </si>
  <si>
    <t>Kristoffer Steen Andersen</t>
  </si>
  <si>
    <t>Added efficiency coefficient for years 2012 and 2015 from transportøkonomiske enhedspriser</t>
  </si>
  <si>
    <t>Added new calibration methodology and revised sources used for calibration</t>
  </si>
  <si>
    <t>Relaxed coefficent 20%-&gt;40%</t>
  </si>
  <si>
    <t>Lower blending share has been set a zero, to allow the model to avoid biofuels completly assuming that policies wtih respect to blending are abandoned (note no aggrement exits related to biofuel blending after 2020!</t>
  </si>
  <si>
    <t>Calibration</t>
  </si>
  <si>
    <t>Calibration check:</t>
  </si>
  <si>
    <t>3) Adjustning efficiency parameters to replicate energy statistics in base year (2010)</t>
  </si>
  <si>
    <t xml:space="preserve">Difference between norm and energy demand associated with real drivning behaviour </t>
  </si>
  <si>
    <t xml:space="preserve">&lt;= We use this number to calibrate the model with respect to energy statistics </t>
  </si>
  <si>
    <t>Transport work mio. km 2010</t>
  </si>
  <si>
    <t>Intermediate results</t>
  </si>
  <si>
    <t>&lt;=</t>
  </si>
  <si>
    <t>1) Calculating average km per year for different car types for year 2010 based on stock and mio. vehicle km. traveled</t>
  </si>
  <si>
    <t>&lt;= Note we should find a source for this parameter, maybe the tema model</t>
  </si>
  <si>
    <t>Source:</t>
  </si>
  <si>
    <t>New datasource added for historic transport work for cars (Nøgletal om vejtransport / statistikkataloget) This data should also be used for other roadtransport vechicles!</t>
  </si>
  <si>
    <t>Share relaxation coefficient:</t>
  </si>
  <si>
    <t>Transport Passengers Sea National</t>
  </si>
  <si>
    <t>Transport Passengers Sea International</t>
  </si>
  <si>
    <t>Transport Passengers Air National</t>
  </si>
  <si>
    <t>Added "Passengers" to commodity description</t>
  </si>
  <si>
    <t>East-West split for cars, mpk</t>
  </si>
  <si>
    <t>East-West split for public transport, mpk</t>
  </si>
  <si>
    <t>Table: Availability factors for diesel and gasoline cars for DK-East and DK-West</t>
  </si>
  <si>
    <t>Energy efficiency coefficients for different distances:</t>
  </si>
  <si>
    <t>Changed design of the table to make it more compact: added "region" dimension</t>
  </si>
  <si>
    <t>CEFF-O~2010</t>
  </si>
  <si>
    <t>STOCK~2010</t>
  </si>
  <si>
    <t>Occupancy (ppv)</t>
  </si>
  <si>
    <t>Max km/year</t>
  </si>
  <si>
    <t>Natural Gas</t>
  </si>
  <si>
    <t>Electric</t>
  </si>
  <si>
    <t>Difference:</t>
  </si>
  <si>
    <t>Stock of cars in 2010</t>
  </si>
  <si>
    <t>Changed the coefficient to 20% (original value)</t>
  </si>
  <si>
    <t>Transportvane undersoegelsen from 2010</t>
  </si>
  <si>
    <t>Bil10: Stock of passenger cars per 1 January by tare, propellant and time</t>
  </si>
  <si>
    <t>Car stock by fuel type, average annual values</t>
  </si>
  <si>
    <t>Car stock by region, average annual values</t>
  </si>
  <si>
    <t>Data source:</t>
  </si>
  <si>
    <t>Adjusted efficiency</t>
  </si>
  <si>
    <t>NG</t>
  </si>
  <si>
    <t>Input</t>
  </si>
  <si>
    <t>TIMES Fuel</t>
  </si>
  <si>
    <t>AFA~2010</t>
  </si>
  <si>
    <t>Car stock by region, fuel type and year (thousand vehicles)</t>
  </si>
  <si>
    <t>ACTFLO~DEMO~2010</t>
  </si>
  <si>
    <t>Maximum annual mileage (km)</t>
  </si>
  <si>
    <t>Average occupancy (passengers per vehicle)</t>
  </si>
  <si>
    <t>Energy efficiency for trips under 25 km (million vehicle km per PJ)</t>
  </si>
  <si>
    <t>Energy efficiency for trips 25-50 km  (million vehicle km per PJ)</t>
  </si>
  <si>
    <t>Energy efficiency for trips over 50 km  (million vehicle km per PJ)</t>
  </si>
  <si>
    <t>Car stock by age and  year, average annual values</t>
  </si>
  <si>
    <t>Age in 2014</t>
  </si>
  <si>
    <t>Summary of Input Data for Cars</t>
  </si>
  <si>
    <t>Projection of existing stock depending on car age in 2014, number of vehicles</t>
  </si>
  <si>
    <t>Car age</t>
  </si>
  <si>
    <t>Residual stock</t>
  </si>
  <si>
    <t>Trip length</t>
  </si>
  <si>
    <t>Regional share of car stock (statistics and projection)</t>
  </si>
  <si>
    <t>Car stock share by fuel (statistics and projection)</t>
  </si>
  <si>
    <t>Estimated Data for Cars</t>
  </si>
  <si>
    <t>Sourced Data for Cars</t>
  </si>
  <si>
    <t>&lt;25 km</t>
  </si>
  <si>
    <t>Calculated energy demand (PJ) versus energy statistics for cars in 2010</t>
  </si>
  <si>
    <t>SE1</t>
  </si>
  <si>
    <t>SE2</t>
  </si>
  <si>
    <t>SE3</t>
  </si>
  <si>
    <t>SE4</t>
  </si>
  <si>
    <t>All Sweden</t>
  </si>
  <si>
    <t>http://www.trafa.se/vagtrafik/fordon/</t>
  </si>
  <si>
    <t>Ethanol</t>
  </si>
  <si>
    <t>Note: Extracted 2016-02-20</t>
  </si>
  <si>
    <t>Se1</t>
  </si>
  <si>
    <t>http://projektwebbar.lansstyrelsen.se/rus/Sv/statistik-och-data/korstrackor-och-bransleforbrukning/Pages/default.aspx</t>
  </si>
  <si>
    <t xml:space="preserve">Source </t>
  </si>
  <si>
    <t>Se2</t>
  </si>
  <si>
    <t>Se3</t>
  </si>
  <si>
    <t>Se4</t>
  </si>
  <si>
    <t>Tabell PB13</t>
  </si>
  <si>
    <r>
      <t>Körsträckor och antal personbilar</t>
    </r>
    <r>
      <rPr>
        <b/>
        <vertAlign val="superscript"/>
        <sz val="9"/>
        <rFont val="Arial"/>
        <family val="2"/>
      </rPr>
      <t>1)</t>
    </r>
    <r>
      <rPr>
        <b/>
        <sz val="9"/>
        <rFont val="Arial"/>
        <family val="2"/>
      </rPr>
      <t xml:space="preserve"> efter drivmedel och ägare år 2014</t>
    </r>
  </si>
  <si>
    <t>10 Kilometres driven and number of passenger cars by fuel and owner year 2014</t>
  </si>
  <si>
    <t xml:space="preserve"> Totalt antal körda mil</t>
  </si>
  <si>
    <t>Antal personbilar</t>
  </si>
  <si>
    <t>Medelkörsträcka i mil</t>
  </si>
  <si>
    <t xml:space="preserve">Fysiska </t>
  </si>
  <si>
    <t xml:space="preserve">Juridiska </t>
  </si>
  <si>
    <t>Drivmedel</t>
  </si>
  <si>
    <t>personer</t>
  </si>
  <si>
    <t>Totalt</t>
  </si>
  <si>
    <t>Bensin</t>
  </si>
  <si>
    <t>El</t>
  </si>
  <si>
    <t>Elhybrider</t>
  </si>
  <si>
    <t>Laddhybrider</t>
  </si>
  <si>
    <t>Etanol/    etanolflexifuel</t>
  </si>
  <si>
    <t>Gas/gas flexifuel</t>
  </si>
  <si>
    <t>Övriga</t>
  </si>
  <si>
    <t xml:space="preserve">1) Personbilar som varit i trafik någon gång under året. </t>
  </si>
  <si>
    <t>http://www.trafa.se/vagtrafik/korstrackor/</t>
  </si>
  <si>
    <t>Körsträckor och antal personbilar efter drivmedel och ägare år 2010</t>
  </si>
  <si>
    <t>10 Kilometres driven and number of passenger cars by fuel and owner year 2010</t>
  </si>
  <si>
    <t>Etanol/    etanolhybrid</t>
  </si>
  <si>
    <t>Elhybrid/    laddhybrid</t>
  </si>
  <si>
    <r>
      <t>Körsträckor och antal personbilar</t>
    </r>
    <r>
      <rPr>
        <b/>
        <vertAlign val="superscript"/>
        <sz val="9"/>
        <rFont val="Arial"/>
        <family val="2"/>
      </rPr>
      <t>1)</t>
    </r>
    <r>
      <rPr>
        <b/>
        <sz val="9"/>
        <rFont val="Arial"/>
        <family val="2"/>
      </rPr>
      <t xml:space="preserve"> efter drivmedel och ägare år 2012</t>
    </r>
  </si>
  <si>
    <t>10 Kilometres driven and number of passenger cars by fuel and owner year 2012</t>
  </si>
  <si>
    <t>Elhybrid/   laddhybrid</t>
  </si>
  <si>
    <t>interpolation based on year 2012-2014</t>
  </si>
  <si>
    <t xml:space="preserve">Green values are based on Danish values </t>
  </si>
  <si>
    <t>share</t>
  </si>
  <si>
    <t>25-50</t>
  </si>
  <si>
    <t>DEMAND~SE1</t>
  </si>
  <si>
    <t>DEMAND~SE2</t>
  </si>
  <si>
    <t>DEMAND~SE3</t>
  </si>
  <si>
    <t>DEMAND~SE4</t>
  </si>
  <si>
    <t>Tabell RSK1</t>
  </si>
  <si>
    <r>
      <t>Fordon</t>
    </r>
    <r>
      <rPr>
        <b/>
        <vertAlign val="superscript"/>
        <sz val="10"/>
        <rFont val="Arial"/>
        <family val="2"/>
      </rPr>
      <t xml:space="preserve"> </t>
    </r>
    <r>
      <rPr>
        <b/>
        <sz val="10"/>
        <rFont val="Arial"/>
        <family val="2"/>
      </rPr>
      <t>i trafik efter fordonsslag och kommun vid slutet av år 2010</t>
    </r>
  </si>
  <si>
    <t>Vehicles in use by kind of vehicle and county at the end of year 2010</t>
  </si>
  <si>
    <t>Kommun-</t>
  </si>
  <si>
    <t>Kommun</t>
  </si>
  <si>
    <t>Personbilar</t>
  </si>
  <si>
    <t xml:space="preserve">       Lastbilar</t>
  </si>
  <si>
    <t>Bussar</t>
  </si>
  <si>
    <t>Motorcyklar</t>
  </si>
  <si>
    <t xml:space="preserve">Mopeder </t>
  </si>
  <si>
    <t>Traktorer</t>
  </si>
  <si>
    <t>Terrängskotrar</t>
  </si>
  <si>
    <t>Släpvagnar</t>
  </si>
  <si>
    <t>kod</t>
  </si>
  <si>
    <t xml:space="preserve">       Totalvikt i kg</t>
  </si>
  <si>
    <t>därav</t>
  </si>
  <si>
    <t>klass I</t>
  </si>
  <si>
    <t>3 501 -</t>
  </si>
  <si>
    <t>Dragbilar</t>
  </si>
  <si>
    <t xml:space="preserve">UPPLANDS VÄSBY </t>
  </si>
  <si>
    <t xml:space="preserve">VALLENTUNA     </t>
  </si>
  <si>
    <t xml:space="preserve">ÖSTERÅKER      </t>
  </si>
  <si>
    <t xml:space="preserve">VÄRMDÖ         </t>
  </si>
  <si>
    <t xml:space="preserve">JÄRFÄLLA       </t>
  </si>
  <si>
    <t xml:space="preserve">EKERÖ          </t>
  </si>
  <si>
    <t xml:space="preserve">HUDDINGE       </t>
  </si>
  <si>
    <t xml:space="preserve">BOTKYRKA       </t>
  </si>
  <si>
    <t xml:space="preserve">SALEM          </t>
  </si>
  <si>
    <t xml:space="preserve">HANINGE        </t>
  </si>
  <si>
    <t xml:space="preserve">TYRESÖ         </t>
  </si>
  <si>
    <t xml:space="preserve">UPPLANDS-BRO   </t>
  </si>
  <si>
    <t xml:space="preserve">NYKVARN        </t>
  </si>
  <si>
    <t xml:space="preserve">TÄBY           </t>
  </si>
  <si>
    <t xml:space="preserve">DANDERYD       </t>
  </si>
  <si>
    <t xml:space="preserve">SOLLENTUNA     </t>
  </si>
  <si>
    <t xml:space="preserve">STOCKHOLM      </t>
  </si>
  <si>
    <t xml:space="preserve">SÖDERTÄLJE     </t>
  </si>
  <si>
    <t xml:space="preserve">NACKA          </t>
  </si>
  <si>
    <t xml:space="preserve">SUNDBYBERG     </t>
  </si>
  <si>
    <t xml:space="preserve">SOLNA          </t>
  </si>
  <si>
    <t xml:space="preserve">LIDINGÖ        </t>
  </si>
  <si>
    <t xml:space="preserve">VAXHOLM        </t>
  </si>
  <si>
    <t xml:space="preserve">NORRTÄLJE      </t>
  </si>
  <si>
    <t xml:space="preserve">SIGTUNA        </t>
  </si>
  <si>
    <t xml:space="preserve">NYNÄSHAMN      </t>
  </si>
  <si>
    <t>01AA</t>
  </si>
  <si>
    <t xml:space="preserve">OKÄND KOMMUN   </t>
  </si>
  <si>
    <t>Stockholms län</t>
  </si>
  <si>
    <t xml:space="preserve">HÅBO           </t>
  </si>
  <si>
    <t xml:space="preserve">ÄLVKARLEBY     </t>
  </si>
  <si>
    <t xml:space="preserve">KNIVSTA        </t>
  </si>
  <si>
    <t xml:space="preserve">HEBY           </t>
  </si>
  <si>
    <t xml:space="preserve">TIERP          </t>
  </si>
  <si>
    <t xml:space="preserve">UPPSALA        </t>
  </si>
  <si>
    <t xml:space="preserve">ENKÖPING       </t>
  </si>
  <si>
    <t xml:space="preserve">ÖSTHAMMAR      </t>
  </si>
  <si>
    <t>Uppsala län</t>
  </si>
  <si>
    <t xml:space="preserve">VINGÅKER       </t>
  </si>
  <si>
    <t xml:space="preserve">GNESTA         </t>
  </si>
  <si>
    <t xml:space="preserve">NYKÖPING       </t>
  </si>
  <si>
    <t xml:space="preserve">OXELÖSUND      </t>
  </si>
  <si>
    <t xml:space="preserve">FLEN           </t>
  </si>
  <si>
    <t xml:space="preserve">KATRINEHOLM    </t>
  </si>
  <si>
    <t xml:space="preserve">ESKILSTUNA     </t>
  </si>
  <si>
    <t xml:space="preserve">STRÄNGNÄS      </t>
  </si>
  <si>
    <t xml:space="preserve">TROSA          </t>
  </si>
  <si>
    <t>04AA</t>
  </si>
  <si>
    <t>Södermanlands län</t>
  </si>
  <si>
    <t xml:space="preserve">ÖDESHÖG        </t>
  </si>
  <si>
    <t xml:space="preserve">YDRE           </t>
  </si>
  <si>
    <t xml:space="preserve">KINDA          </t>
  </si>
  <si>
    <t xml:space="preserve">BOXHOLM        </t>
  </si>
  <si>
    <t xml:space="preserve">ÅTVIDABERG     </t>
  </si>
  <si>
    <t xml:space="preserve">FINSPÅNG       </t>
  </si>
  <si>
    <t xml:space="preserve">VALDEMARSVIK   </t>
  </si>
  <si>
    <t xml:space="preserve">LINKÖPING      </t>
  </si>
  <si>
    <t xml:space="preserve">NORRKÖPING     </t>
  </si>
  <si>
    <t xml:space="preserve">SÖDERKÖPING    </t>
  </si>
  <si>
    <t xml:space="preserve">MOTALA         </t>
  </si>
  <si>
    <t xml:space="preserve">VADSTENA       </t>
  </si>
  <si>
    <t xml:space="preserve">MJÖLBY         </t>
  </si>
  <si>
    <t>05AA</t>
  </si>
  <si>
    <t xml:space="preserve">Östergötlands län    </t>
  </si>
  <si>
    <t xml:space="preserve">ANEBY          </t>
  </si>
  <si>
    <t xml:space="preserve">GNOSJÖ         </t>
  </si>
  <si>
    <t xml:space="preserve">MULLSJÖ        </t>
  </si>
  <si>
    <t xml:space="preserve">HABO           </t>
  </si>
  <si>
    <t xml:space="preserve">GISLAVED       </t>
  </si>
  <si>
    <t xml:space="preserve">VAGGERYD       </t>
  </si>
  <si>
    <t xml:space="preserve">JÖNKÖPING      </t>
  </si>
  <si>
    <t xml:space="preserve">NÄSSJÖ         </t>
  </si>
  <si>
    <t xml:space="preserve">VÄRNAMO        </t>
  </si>
  <si>
    <t xml:space="preserve">SÄVSJÖ         </t>
  </si>
  <si>
    <t xml:space="preserve">VETLANDA       </t>
  </si>
  <si>
    <t xml:space="preserve">EKSJÖ          </t>
  </si>
  <si>
    <t xml:space="preserve">TRANÅS         </t>
  </si>
  <si>
    <t>06AA</t>
  </si>
  <si>
    <t xml:space="preserve">Jönköpings län       </t>
  </si>
  <si>
    <t xml:space="preserve">UPPVIDINGE     </t>
  </si>
  <si>
    <t xml:space="preserve">LESSEBO        </t>
  </si>
  <si>
    <t xml:space="preserve">TINGSRYD       </t>
  </si>
  <si>
    <t xml:space="preserve">ALVESTA        </t>
  </si>
  <si>
    <t xml:space="preserve">ÄLMHULT        </t>
  </si>
  <si>
    <t xml:space="preserve">MARKARYD       </t>
  </si>
  <si>
    <t xml:space="preserve">VÄXJÖ          </t>
  </si>
  <si>
    <t xml:space="preserve">LJUNGBY        </t>
  </si>
  <si>
    <t xml:space="preserve">Kronobergs län       </t>
  </si>
  <si>
    <t xml:space="preserve">HÖGSBY         </t>
  </si>
  <si>
    <t xml:space="preserve">TORSÅS         </t>
  </si>
  <si>
    <t xml:space="preserve">MÖRBYLÅNGA     </t>
  </si>
  <si>
    <t xml:space="preserve">HULTSFRED      </t>
  </si>
  <si>
    <t xml:space="preserve">MÖNSTERÅS      </t>
  </si>
  <si>
    <t xml:space="preserve">EMMABODA       </t>
  </si>
  <si>
    <t xml:space="preserve">KALMAR         </t>
  </si>
  <si>
    <t xml:space="preserve">NYBRO          </t>
  </si>
  <si>
    <t xml:space="preserve">OSKARSHAMN     </t>
  </si>
  <si>
    <t xml:space="preserve">VÄSTERVIK      </t>
  </si>
  <si>
    <t xml:space="preserve">VIMMERBY       </t>
  </si>
  <si>
    <t xml:space="preserve">BORGHOLM       </t>
  </si>
  <si>
    <t xml:space="preserve">Kalmar län           </t>
  </si>
  <si>
    <t xml:space="preserve">GOTLAND        </t>
  </si>
  <si>
    <t xml:space="preserve">Gotlands län         </t>
  </si>
  <si>
    <t xml:space="preserve">OLOFSTRÖM      </t>
  </si>
  <si>
    <t xml:space="preserve">KARLSKRONA     </t>
  </si>
  <si>
    <t xml:space="preserve">RONNEBY        </t>
  </si>
  <si>
    <t xml:space="preserve">KARLSHAMN      </t>
  </si>
  <si>
    <t xml:space="preserve">SÖLVESBORG     </t>
  </si>
  <si>
    <t xml:space="preserve">Blekinge län         </t>
  </si>
  <si>
    <t xml:space="preserve">SVALÖV         </t>
  </si>
  <si>
    <t xml:space="preserve">STAFFANSTORP   </t>
  </si>
  <si>
    <t xml:space="preserve">BURLÖV         </t>
  </si>
  <si>
    <t xml:space="preserve">VELLINGE       </t>
  </si>
  <si>
    <t xml:space="preserve">ÖSTRA GÖINGE   </t>
  </si>
  <si>
    <t xml:space="preserve">ÖRKELLJUNGA    </t>
  </si>
  <si>
    <t xml:space="preserve">BJUV           </t>
  </si>
  <si>
    <t xml:space="preserve">KÄVLINGE       </t>
  </si>
  <si>
    <t xml:space="preserve">LOMMA          </t>
  </si>
  <si>
    <t xml:space="preserve">SVEDALA        </t>
  </si>
  <si>
    <t xml:space="preserve">SKURUP         </t>
  </si>
  <si>
    <t xml:space="preserve">SJÖBO          </t>
  </si>
  <si>
    <t xml:space="preserve">HÖRBY          </t>
  </si>
  <si>
    <t xml:space="preserve">HÖÖR           </t>
  </si>
  <si>
    <t xml:space="preserve">TOMELILLA      </t>
  </si>
  <si>
    <t xml:space="preserve">BROMÖLLA       </t>
  </si>
  <si>
    <t xml:space="preserve">OSBY           </t>
  </si>
  <si>
    <t xml:space="preserve">PERSTORP       </t>
  </si>
  <si>
    <t xml:space="preserve">KLIPPAN        </t>
  </si>
  <si>
    <t xml:space="preserve">ÅSTORP         </t>
  </si>
  <si>
    <t xml:space="preserve">BÅSTAD         </t>
  </si>
  <si>
    <t xml:space="preserve">MALMÖ          </t>
  </si>
  <si>
    <t xml:space="preserve">LUND           </t>
  </si>
  <si>
    <t xml:space="preserve">LANDSKRONA     </t>
  </si>
  <si>
    <t xml:space="preserve">HELSINGBORG    </t>
  </si>
  <si>
    <t xml:space="preserve">HÖGANÄS        </t>
  </si>
  <si>
    <t xml:space="preserve">ESLÖV          </t>
  </si>
  <si>
    <t xml:space="preserve">YSTAD          </t>
  </si>
  <si>
    <t xml:space="preserve">TRELLEBORG     </t>
  </si>
  <si>
    <t xml:space="preserve">KRISTIANSTAD   </t>
  </si>
  <si>
    <t xml:space="preserve">SIMRISHAMN     </t>
  </si>
  <si>
    <t xml:space="preserve">ÄNGELHOLM      </t>
  </si>
  <si>
    <t xml:space="preserve">HÄSSLEHOLM     </t>
  </si>
  <si>
    <t>12AA</t>
  </si>
  <si>
    <t xml:space="preserve">Skåne län            </t>
  </si>
  <si>
    <t xml:space="preserve">HYLTE          </t>
  </si>
  <si>
    <t xml:space="preserve">HALMSTAD       </t>
  </si>
  <si>
    <t xml:space="preserve">LAHOLM         </t>
  </si>
  <si>
    <t xml:space="preserve">FALKENBERG     </t>
  </si>
  <si>
    <t xml:space="preserve">VARBERG        </t>
  </si>
  <si>
    <t xml:space="preserve">KUNGSBACKA     </t>
  </si>
  <si>
    <t xml:space="preserve">Hallands län         </t>
  </si>
  <si>
    <t xml:space="preserve">HÄRRYDA        </t>
  </si>
  <si>
    <t xml:space="preserve">PARTILLE       </t>
  </si>
  <si>
    <t xml:space="preserve">ÖCKERÖ         </t>
  </si>
  <si>
    <t xml:space="preserve">STENUNGSUND    </t>
  </si>
  <si>
    <t xml:space="preserve">TJÖRN          </t>
  </si>
  <si>
    <t xml:space="preserve">ORUST          </t>
  </si>
  <si>
    <t xml:space="preserve">SOTENÄS        </t>
  </si>
  <si>
    <t xml:space="preserve">MUNKEDAL       </t>
  </si>
  <si>
    <t xml:space="preserve">TANUM          </t>
  </si>
  <si>
    <t xml:space="preserve">DALS-ED        </t>
  </si>
  <si>
    <t xml:space="preserve">FÄRGELANDA     </t>
  </si>
  <si>
    <t xml:space="preserve">ALE            </t>
  </si>
  <si>
    <t xml:space="preserve">LERUM          </t>
  </si>
  <si>
    <t xml:space="preserve">VÅRGÅRDA       </t>
  </si>
  <si>
    <t xml:space="preserve">BOLLEBYGD      </t>
  </si>
  <si>
    <t xml:space="preserve">GRÄSTORP       </t>
  </si>
  <si>
    <t xml:space="preserve">ESSUNGA        </t>
  </si>
  <si>
    <t xml:space="preserve">KARLSBORG      </t>
  </si>
  <si>
    <t xml:space="preserve">GULLSPÅNG      </t>
  </si>
  <si>
    <t xml:space="preserve">TRANEMO        </t>
  </si>
  <si>
    <t xml:space="preserve">BENGTSFORS     </t>
  </si>
  <si>
    <t xml:space="preserve">MELLERUD       </t>
  </si>
  <si>
    <t xml:space="preserve">LILLA EDET     </t>
  </si>
  <si>
    <t xml:space="preserve">MARK           </t>
  </si>
  <si>
    <t xml:space="preserve">SVENLJUNGA     </t>
  </si>
  <si>
    <t xml:space="preserve">HERRLJUNGA     </t>
  </si>
  <si>
    <t xml:space="preserve">VARA           </t>
  </si>
  <si>
    <t xml:space="preserve">GÖTENE         </t>
  </si>
  <si>
    <t xml:space="preserve">TIBRO          </t>
  </si>
  <si>
    <t xml:space="preserve">TÖREBODA       </t>
  </si>
  <si>
    <t xml:space="preserve">GÖTEBORG       </t>
  </si>
  <si>
    <t xml:space="preserve">MÖLNDAL        </t>
  </si>
  <si>
    <t xml:space="preserve">KUNGÄLV        </t>
  </si>
  <si>
    <t xml:space="preserve">LYSEKIL        </t>
  </si>
  <si>
    <t xml:space="preserve">UDDEVALLA      </t>
  </si>
  <si>
    <t xml:space="preserve">STRÖMSTAD      </t>
  </si>
  <si>
    <t xml:space="preserve">VÄNERSBORG     </t>
  </si>
  <si>
    <t xml:space="preserve">TROLLHÄTTAN    </t>
  </si>
  <si>
    <t xml:space="preserve">ALINGSÅS       </t>
  </si>
  <si>
    <t xml:space="preserve">BORÅS          </t>
  </si>
  <si>
    <t xml:space="preserve">ULRICEHAMN     </t>
  </si>
  <si>
    <t xml:space="preserve">ÅMÅL           </t>
  </si>
  <si>
    <t xml:space="preserve">MARIESTAD      </t>
  </si>
  <si>
    <t xml:space="preserve">LIDKÖPING      </t>
  </si>
  <si>
    <t xml:space="preserve">SKARA          </t>
  </si>
  <si>
    <t xml:space="preserve">SKÖVDE         </t>
  </si>
  <si>
    <t xml:space="preserve">HJO            </t>
  </si>
  <si>
    <t xml:space="preserve">TIDAHOLM       </t>
  </si>
  <si>
    <t xml:space="preserve">FALKÖPING      </t>
  </si>
  <si>
    <t>14AA</t>
  </si>
  <si>
    <t xml:space="preserve">Västra Götalands län </t>
  </si>
  <si>
    <t xml:space="preserve">KIL            </t>
  </si>
  <si>
    <t xml:space="preserve">EDA            </t>
  </si>
  <si>
    <t xml:space="preserve">TORSBY         </t>
  </si>
  <si>
    <t xml:space="preserve">STORFORS       </t>
  </si>
  <si>
    <t xml:space="preserve">HAMMARÖ        </t>
  </si>
  <si>
    <t xml:space="preserve">MUNKFORS       </t>
  </si>
  <si>
    <t xml:space="preserve">FORSHAGA       </t>
  </si>
  <si>
    <t xml:space="preserve">GRUMS          </t>
  </si>
  <si>
    <t xml:space="preserve">ÅRJÄNG         </t>
  </si>
  <si>
    <t xml:space="preserve">SUNNE          </t>
  </si>
  <si>
    <t xml:space="preserve">KARLSTAD       </t>
  </si>
  <si>
    <t xml:space="preserve">KRISTINEHAMN   </t>
  </si>
  <si>
    <t xml:space="preserve">FILIPSTAD      </t>
  </si>
  <si>
    <t xml:space="preserve">HAGFORS        </t>
  </si>
  <si>
    <t xml:space="preserve">ARVIKA         </t>
  </si>
  <si>
    <t xml:space="preserve">SÄFFLE         </t>
  </si>
  <si>
    <t>17AA</t>
  </si>
  <si>
    <t xml:space="preserve">Värmlands län        </t>
  </si>
  <si>
    <t xml:space="preserve">LEKEBERG       </t>
  </si>
  <si>
    <t xml:space="preserve">LAXÅ           </t>
  </si>
  <si>
    <t xml:space="preserve">HALLSBERG      </t>
  </si>
  <si>
    <t xml:space="preserve">DEGERFORS      </t>
  </si>
  <si>
    <t xml:space="preserve">HÄLLEFORS      </t>
  </si>
  <si>
    <t xml:space="preserve">LJUSNARSBERG   </t>
  </si>
  <si>
    <t xml:space="preserve">ÖREBRO         </t>
  </si>
  <si>
    <t xml:space="preserve">KUMLA          </t>
  </si>
  <si>
    <t xml:space="preserve">ASKERSUND      </t>
  </si>
  <si>
    <t xml:space="preserve">KARLSKOGA      </t>
  </si>
  <si>
    <t xml:space="preserve">NORA           </t>
  </si>
  <si>
    <t xml:space="preserve">LINDESBERG     </t>
  </si>
  <si>
    <t xml:space="preserve">Örebro län           </t>
  </si>
  <si>
    <t>SKINNSKATTEBERG</t>
  </si>
  <si>
    <t xml:space="preserve">SURAHAMMAR     </t>
  </si>
  <si>
    <t xml:space="preserve">KUNGSÖR        </t>
  </si>
  <si>
    <t xml:space="preserve">HALLSTAHAMMAR  </t>
  </si>
  <si>
    <t xml:space="preserve">NORBERG        </t>
  </si>
  <si>
    <t xml:space="preserve">VÄSTERÅS       </t>
  </si>
  <si>
    <t xml:space="preserve">SALA           </t>
  </si>
  <si>
    <t xml:space="preserve">FAGERSTA       </t>
  </si>
  <si>
    <t xml:space="preserve">KÖPING         </t>
  </si>
  <si>
    <t xml:space="preserve">ARBOGA         </t>
  </si>
  <si>
    <t>19AA</t>
  </si>
  <si>
    <t xml:space="preserve">Västmanlands län     </t>
  </si>
  <si>
    <t xml:space="preserve">VANSBRO        </t>
  </si>
  <si>
    <t xml:space="preserve">MALUNG         </t>
  </si>
  <si>
    <t xml:space="preserve">GAGNEF         </t>
  </si>
  <si>
    <t xml:space="preserve">LEKSAND        </t>
  </si>
  <si>
    <t xml:space="preserve">RÄTTVIK        </t>
  </si>
  <si>
    <t xml:space="preserve">ORSA           </t>
  </si>
  <si>
    <t xml:space="preserve">ÄLVDALEN       </t>
  </si>
  <si>
    <t xml:space="preserve">SMEDJEBACKEN   </t>
  </si>
  <si>
    <t xml:space="preserve">MORA           </t>
  </si>
  <si>
    <t xml:space="preserve">FALUN          </t>
  </si>
  <si>
    <t xml:space="preserve">BORLÄNGE       </t>
  </si>
  <si>
    <t xml:space="preserve">SÄTER          </t>
  </si>
  <si>
    <t xml:space="preserve">HEDEMORA       </t>
  </si>
  <si>
    <t xml:space="preserve">AVESTA         </t>
  </si>
  <si>
    <t xml:space="preserve">LUDVIKA        </t>
  </si>
  <si>
    <t xml:space="preserve">Dalarnas län         </t>
  </si>
  <si>
    <t xml:space="preserve">OCKELBO        </t>
  </si>
  <si>
    <t xml:space="preserve">HOFORS         </t>
  </si>
  <si>
    <t xml:space="preserve">OVANÅKER       </t>
  </si>
  <si>
    <t xml:space="preserve">NORDANSTIG     </t>
  </si>
  <si>
    <t xml:space="preserve">LJUSDAL        </t>
  </si>
  <si>
    <t xml:space="preserve">GÄVLE          </t>
  </si>
  <si>
    <t xml:space="preserve">SANDVIKEN      </t>
  </si>
  <si>
    <t xml:space="preserve">SÖDERHAMN      </t>
  </si>
  <si>
    <t xml:space="preserve">BOLLNÄS        </t>
  </si>
  <si>
    <t xml:space="preserve">HUDIKSVALL     </t>
  </si>
  <si>
    <t xml:space="preserve">Gävleborgs län       </t>
  </si>
  <si>
    <t xml:space="preserve">ÅNGE           </t>
  </si>
  <si>
    <t xml:space="preserve">TIMRÅ          </t>
  </si>
  <si>
    <t xml:space="preserve">HÄRNÖSAND      </t>
  </si>
  <si>
    <t xml:space="preserve">SUNDSVALL      </t>
  </si>
  <si>
    <t xml:space="preserve">KRAMFORS       </t>
  </si>
  <si>
    <t xml:space="preserve">SOLLEFTEÅ      </t>
  </si>
  <si>
    <t xml:space="preserve">ÖRNSKÖLDSVIK   </t>
  </si>
  <si>
    <t xml:space="preserve">Västernorrlands län  </t>
  </si>
  <si>
    <t xml:space="preserve">RAGUNDA        </t>
  </si>
  <si>
    <t xml:space="preserve">BRÄCKE         </t>
  </si>
  <si>
    <t xml:space="preserve">KROKOM         </t>
  </si>
  <si>
    <t xml:space="preserve">STRÖMSUND      </t>
  </si>
  <si>
    <t xml:space="preserve">ÅRE            </t>
  </si>
  <si>
    <t xml:space="preserve">BERG           </t>
  </si>
  <si>
    <t xml:space="preserve">HÄRJEDALEN     </t>
  </si>
  <si>
    <t xml:space="preserve">ÖSTERSUND      </t>
  </si>
  <si>
    <t xml:space="preserve">Jämtlands län        </t>
  </si>
  <si>
    <t xml:space="preserve">NORDMALING     </t>
  </si>
  <si>
    <t xml:space="preserve">BJURHOLM       </t>
  </si>
  <si>
    <t xml:space="preserve">VINDELN        </t>
  </si>
  <si>
    <t xml:space="preserve">ROBERTSFORS    </t>
  </si>
  <si>
    <t xml:space="preserve">NORSJÖ         </t>
  </si>
  <si>
    <t xml:space="preserve">MALÅ           </t>
  </si>
  <si>
    <t xml:space="preserve">STORUMAN       </t>
  </si>
  <si>
    <t xml:space="preserve">SORSELE        </t>
  </si>
  <si>
    <t xml:space="preserve">DOROTEA        </t>
  </si>
  <si>
    <t xml:space="preserve">VÄNNÄS         </t>
  </si>
  <si>
    <t xml:space="preserve">VILHELMINA     </t>
  </si>
  <si>
    <t xml:space="preserve">ÅSELE          </t>
  </si>
  <si>
    <t xml:space="preserve">UMEÅ           </t>
  </si>
  <si>
    <t xml:space="preserve">LYCKSELE       </t>
  </si>
  <si>
    <t xml:space="preserve">SKELLEFTEÅ     </t>
  </si>
  <si>
    <t xml:space="preserve">Västerbottens län    </t>
  </si>
  <si>
    <t xml:space="preserve">ARVIDSJAUR     </t>
  </si>
  <si>
    <t xml:space="preserve">ARJEPLOG       </t>
  </si>
  <si>
    <t xml:space="preserve">JOKKMOKK       </t>
  </si>
  <si>
    <t xml:space="preserve">ÖVERKALIX      </t>
  </si>
  <si>
    <t xml:space="preserve">KALIX          </t>
  </si>
  <si>
    <t xml:space="preserve">ÖVERTORNEÅ     </t>
  </si>
  <si>
    <t xml:space="preserve">PAJALA         </t>
  </si>
  <si>
    <t xml:space="preserve">GÄLLIVARE      </t>
  </si>
  <si>
    <t xml:space="preserve">ÄLVSBYN        </t>
  </si>
  <si>
    <t xml:space="preserve">LULEÅ          </t>
  </si>
  <si>
    <t xml:space="preserve">PITEÅ          </t>
  </si>
  <si>
    <t xml:space="preserve">BODEN          </t>
  </si>
  <si>
    <t xml:space="preserve">HAPARANDA      </t>
  </si>
  <si>
    <t xml:space="preserve">KIRUNA         </t>
  </si>
  <si>
    <t>25AA</t>
  </si>
  <si>
    <t xml:space="preserve">Norrbottens län      </t>
  </si>
  <si>
    <t>AAAA</t>
  </si>
  <si>
    <t xml:space="preserve">Okänt län            </t>
  </si>
  <si>
    <t>Tabell BU3</t>
  </si>
  <si>
    <t>Bussar i trafik och avställda fördelat på ägare, yrkesmässig trafik och firmabilstrafik, årsvis 2005-2014</t>
  </si>
  <si>
    <t>Buses in use by fuel in public service and on own account, by year 2005-2014</t>
  </si>
  <si>
    <t>Vid</t>
  </si>
  <si>
    <t>I trafik, 
juridiska personer</t>
  </si>
  <si>
    <t>Fysiska 
personer</t>
  </si>
  <si>
    <t>Avställda, 
jurdiska personer</t>
  </si>
  <si>
    <t>slutet</t>
  </si>
  <si>
    <t>Yrkesmässig</t>
  </si>
  <si>
    <t>Firmabils-</t>
  </si>
  <si>
    <t>av år</t>
  </si>
  <si>
    <t>trafik</t>
  </si>
  <si>
    <t>Tabell BU4</t>
  </si>
  <si>
    <t>Bussar i trafik efter drivmedel, årsvis 2005-2014</t>
  </si>
  <si>
    <t>Buses in use by fuel, by year 2005-2014</t>
  </si>
  <si>
    <t>Vid slutet</t>
  </si>
  <si>
    <t>Biodiesel/
biodiesel flexifuel</t>
  </si>
  <si>
    <t>Anmärkning:</t>
  </si>
  <si>
    <t>Bensin - bensindrivna fordon som endast har ett bränsle</t>
  </si>
  <si>
    <t>Diesel - dieseldrivna fordon som endast har ett bränsle</t>
  </si>
  <si>
    <t>El - eldrivna fordon som endast har el som drivmedel</t>
  </si>
  <si>
    <t>Elhybrid - de fordon som har el i kombination med annat</t>
  </si>
  <si>
    <t>Etanol/etanol flexifuel - de fordon som har etanol eller E85 som första eller andra bränsle</t>
  </si>
  <si>
    <t>Gas/ gas flexifuel - de fordon som har naturgas, biogas, vätgas eller metangas som första eller andra drivmedel</t>
  </si>
  <si>
    <t>Biodiesel/biodiesel flexifuel - de fordon som har biodiesel som första eller andra drivmedel</t>
  </si>
  <si>
    <t>FRÅN "Fordon 2014" www.trafa.se</t>
  </si>
  <si>
    <t>kommunkod</t>
  </si>
  <si>
    <t>Electricty price area code</t>
  </si>
  <si>
    <t>Upplands Väsby</t>
  </si>
  <si>
    <t>Vallentuna</t>
  </si>
  <si>
    <t>Österåker</t>
  </si>
  <si>
    <t>Värmdö</t>
  </si>
  <si>
    <t>Järfälla</t>
  </si>
  <si>
    <t>Ekerö</t>
  </si>
  <si>
    <t>Huddinge</t>
  </si>
  <si>
    <t>Botkyrka</t>
  </si>
  <si>
    <t>Salem</t>
  </si>
  <si>
    <t>Haninge</t>
  </si>
  <si>
    <t>Tyresö</t>
  </si>
  <si>
    <t>Upplands-Bro</t>
  </si>
  <si>
    <t>Nykvarn</t>
  </si>
  <si>
    <t>Täby</t>
  </si>
  <si>
    <t>Danderyd</t>
  </si>
  <si>
    <t>Sollentuna</t>
  </si>
  <si>
    <t>Stockholm</t>
  </si>
  <si>
    <t>Södertälje</t>
  </si>
  <si>
    <t>Nacka</t>
  </si>
  <si>
    <t>Sundbyberg</t>
  </si>
  <si>
    <t>Solna</t>
  </si>
  <si>
    <t>Lidingö</t>
  </si>
  <si>
    <t>Vaxholm</t>
  </si>
  <si>
    <t>Norrtälje</t>
  </si>
  <si>
    <t>Sigtuna</t>
  </si>
  <si>
    <t>Nynäshamn</t>
  </si>
  <si>
    <t>Håbo</t>
  </si>
  <si>
    <t>Älvkarleby</t>
  </si>
  <si>
    <t>Knivsta</t>
  </si>
  <si>
    <t>Heby</t>
  </si>
  <si>
    <t>Tierp</t>
  </si>
  <si>
    <t>Uppsala</t>
  </si>
  <si>
    <t>Enköping</t>
  </si>
  <si>
    <t>Östhammar</t>
  </si>
  <si>
    <t>Vingåker</t>
  </si>
  <si>
    <t>Gnesta</t>
  </si>
  <si>
    <t>Nyköping</t>
  </si>
  <si>
    <t>Oxelösund</t>
  </si>
  <si>
    <t>Flen</t>
  </si>
  <si>
    <t>Katrineholm</t>
  </si>
  <si>
    <t>Eskilstuna</t>
  </si>
  <si>
    <t>Strängnäs</t>
  </si>
  <si>
    <t>Trosa</t>
  </si>
  <si>
    <t>Ödeshög</t>
  </si>
  <si>
    <t>Ydre</t>
  </si>
  <si>
    <t>Kinda</t>
  </si>
  <si>
    <t>Boxholm</t>
  </si>
  <si>
    <t>Åtvidaberg</t>
  </si>
  <si>
    <t>Finspång</t>
  </si>
  <si>
    <t>Valdemarsvik</t>
  </si>
  <si>
    <t>Linköping</t>
  </si>
  <si>
    <t>Norrköping</t>
  </si>
  <si>
    <t>Söderköping</t>
  </si>
  <si>
    <t>Motala</t>
  </si>
  <si>
    <t>Vadstena</t>
  </si>
  <si>
    <t>Mjölby</t>
  </si>
  <si>
    <t>Aneby</t>
  </si>
  <si>
    <t>Gnosjö</t>
  </si>
  <si>
    <t>Mullsjö</t>
  </si>
  <si>
    <t>Habo</t>
  </si>
  <si>
    <t>Gislaved</t>
  </si>
  <si>
    <t>Vaggeryd</t>
  </si>
  <si>
    <t>Jönköping</t>
  </si>
  <si>
    <t>Nässjö</t>
  </si>
  <si>
    <t>Värnamo</t>
  </si>
  <si>
    <t>Sävsjö</t>
  </si>
  <si>
    <t>Vetlanda</t>
  </si>
  <si>
    <t>Eksjö</t>
  </si>
  <si>
    <t>Tranås</t>
  </si>
  <si>
    <t>Uppvidinge</t>
  </si>
  <si>
    <t>Lessebo</t>
  </si>
  <si>
    <t>Tingsryd</t>
  </si>
  <si>
    <t>Alvesta</t>
  </si>
  <si>
    <t>Älmhult</t>
  </si>
  <si>
    <t>Markaryd</t>
  </si>
  <si>
    <t>Växjö</t>
  </si>
  <si>
    <t>Ljungby</t>
  </si>
  <si>
    <t>Högsby</t>
  </si>
  <si>
    <t>Torsås</t>
  </si>
  <si>
    <t>Mörbylånga</t>
  </si>
  <si>
    <t>Hultsfred</t>
  </si>
  <si>
    <t>Mönsterås</t>
  </si>
  <si>
    <t>Emmaboda</t>
  </si>
  <si>
    <t>Kalmar</t>
  </si>
  <si>
    <t>Nybro</t>
  </si>
  <si>
    <t>Oskarshamn</t>
  </si>
  <si>
    <t>Västervik</t>
  </si>
  <si>
    <t>Vimmerby</t>
  </si>
  <si>
    <t>Borgholm</t>
  </si>
  <si>
    <t>Gotland</t>
  </si>
  <si>
    <t>Olofström</t>
  </si>
  <si>
    <t>Karlskrona</t>
  </si>
  <si>
    <t>Ronneby</t>
  </si>
  <si>
    <t>Karlshamn</t>
  </si>
  <si>
    <t>Sölvesborg</t>
  </si>
  <si>
    <t>Svalöv</t>
  </si>
  <si>
    <t>Staffanstorp</t>
  </si>
  <si>
    <t>Burlöv</t>
  </si>
  <si>
    <t>Vellinge</t>
  </si>
  <si>
    <t>Östra Göinge</t>
  </si>
  <si>
    <t>Örkelljunga</t>
  </si>
  <si>
    <t>Bjuv</t>
  </si>
  <si>
    <t>Kävlinge</t>
  </si>
  <si>
    <t>Lomma</t>
  </si>
  <si>
    <t>Svedala</t>
  </si>
  <si>
    <t>Skurup</t>
  </si>
  <si>
    <t>Sjöbo</t>
  </si>
  <si>
    <t>Hörby</t>
  </si>
  <si>
    <t>Höör</t>
  </si>
  <si>
    <t>Tomelilla</t>
  </si>
  <si>
    <t>Bromölla</t>
  </si>
  <si>
    <t>Osby</t>
  </si>
  <si>
    <t>Perstorp</t>
  </si>
  <si>
    <t>Klippan</t>
  </si>
  <si>
    <t>Åstorp</t>
  </si>
  <si>
    <t>Båstad</t>
  </si>
  <si>
    <t>Malmö</t>
  </si>
  <si>
    <t>Lund</t>
  </si>
  <si>
    <t>Landskrona</t>
  </si>
  <si>
    <t>Helsingborg</t>
  </si>
  <si>
    <t>Höganäs</t>
  </si>
  <si>
    <t>Eslöv</t>
  </si>
  <si>
    <t>Ystad</t>
  </si>
  <si>
    <t>Trelleborg</t>
  </si>
  <si>
    <t>Kristianstad</t>
  </si>
  <si>
    <t>Simrishamn</t>
  </si>
  <si>
    <t>Ängelholm</t>
  </si>
  <si>
    <t>Hässleholm</t>
  </si>
  <si>
    <t>Hylte</t>
  </si>
  <si>
    <t>Halmstad</t>
  </si>
  <si>
    <t>Laholm</t>
  </si>
  <si>
    <t>Falkenberg</t>
  </si>
  <si>
    <t>Varberg</t>
  </si>
  <si>
    <t>Kungsbacka</t>
  </si>
  <si>
    <t>Härryda</t>
  </si>
  <si>
    <t>Partille</t>
  </si>
  <si>
    <t>Öckerö</t>
  </si>
  <si>
    <t>Stenungsund</t>
  </si>
  <si>
    <t>Tjörn</t>
  </si>
  <si>
    <t>Orust</t>
  </si>
  <si>
    <t>Sotenäs</t>
  </si>
  <si>
    <t>Munkedal</t>
  </si>
  <si>
    <t>Tanum</t>
  </si>
  <si>
    <t>Dals-Ed</t>
  </si>
  <si>
    <t>Färgelanda</t>
  </si>
  <si>
    <t>Ale</t>
  </si>
  <si>
    <t>Lerum</t>
  </si>
  <si>
    <t>Vårgårda</t>
  </si>
  <si>
    <t>Bollebygd</t>
  </si>
  <si>
    <t>Grästorp</t>
  </si>
  <si>
    <t>Essunga</t>
  </si>
  <si>
    <t>Karlsborg</t>
  </si>
  <si>
    <t>Gullspång</t>
  </si>
  <si>
    <t>Tranemo</t>
  </si>
  <si>
    <t>Bengtsfors</t>
  </si>
  <si>
    <t>Mellerud</t>
  </si>
  <si>
    <t>Lilla Edet</t>
  </si>
  <si>
    <t>Mark</t>
  </si>
  <si>
    <t>Svenljunga</t>
  </si>
  <si>
    <t>Herrljunga</t>
  </si>
  <si>
    <t>Vara</t>
  </si>
  <si>
    <t>Götene</t>
  </si>
  <si>
    <t>Tibro</t>
  </si>
  <si>
    <t>Töreboda</t>
  </si>
  <si>
    <t>Göteborg</t>
  </si>
  <si>
    <t>Mölndal</t>
  </si>
  <si>
    <t>Kungälv</t>
  </si>
  <si>
    <t>Lysekil</t>
  </si>
  <si>
    <t>Uddevalla</t>
  </si>
  <si>
    <t>Strömstad</t>
  </si>
  <si>
    <t>Vänersborg</t>
  </si>
  <si>
    <t>Trollhättan</t>
  </si>
  <si>
    <t>Alingsås</t>
  </si>
  <si>
    <t>Borås</t>
  </si>
  <si>
    <t>Ulricehamn</t>
  </si>
  <si>
    <t>Åmål</t>
  </si>
  <si>
    <t>Mariestad</t>
  </si>
  <si>
    <t>Lidköping</t>
  </si>
  <si>
    <t>Skara</t>
  </si>
  <si>
    <t>Skövde</t>
  </si>
  <si>
    <t>Hjo</t>
  </si>
  <si>
    <t>Tidaholm</t>
  </si>
  <si>
    <t>Falköping</t>
  </si>
  <si>
    <t>Kil</t>
  </si>
  <si>
    <t>Eda</t>
  </si>
  <si>
    <t>Torsby</t>
  </si>
  <si>
    <t>Storfors</t>
  </si>
  <si>
    <t>Hammarö</t>
  </si>
  <si>
    <t>Munkfors</t>
  </si>
  <si>
    <t>Forshaga</t>
  </si>
  <si>
    <t>Grums</t>
  </si>
  <si>
    <t>Årjäng</t>
  </si>
  <si>
    <t>Sunne</t>
  </si>
  <si>
    <t>Karlstad</t>
  </si>
  <si>
    <t>Kristinehamn</t>
  </si>
  <si>
    <t>Filipstad</t>
  </si>
  <si>
    <t>Hagfors</t>
  </si>
  <si>
    <t>Arvika</t>
  </si>
  <si>
    <t>Säffle</t>
  </si>
  <si>
    <t>Lekeberg</t>
  </si>
  <si>
    <t>Laxå</t>
  </si>
  <si>
    <t>Hallsberg</t>
  </si>
  <si>
    <t>Degerfors</t>
  </si>
  <si>
    <t>Hällefors</t>
  </si>
  <si>
    <t>Ljusnarsberg</t>
  </si>
  <si>
    <t>Örebro</t>
  </si>
  <si>
    <t>Kumla</t>
  </si>
  <si>
    <t>Askersund</t>
  </si>
  <si>
    <t>Karlskoga</t>
  </si>
  <si>
    <t>Nora</t>
  </si>
  <si>
    <t>Lindesberg</t>
  </si>
  <si>
    <t>Skinnskatteberg</t>
  </si>
  <si>
    <t>Surahammar</t>
  </si>
  <si>
    <t>Kungsör</t>
  </si>
  <si>
    <t>Hallstahammar</t>
  </si>
  <si>
    <t>Norberg</t>
  </si>
  <si>
    <t>Västerås</t>
  </si>
  <si>
    <t>Sala</t>
  </si>
  <si>
    <t>Fagersta</t>
  </si>
  <si>
    <t>Köping</t>
  </si>
  <si>
    <t>Arboga</t>
  </si>
  <si>
    <t>Vansbro</t>
  </si>
  <si>
    <t>Malung-Sälen</t>
  </si>
  <si>
    <t>Gagnef</t>
  </si>
  <si>
    <t>Leksand</t>
  </si>
  <si>
    <t>Rättvik</t>
  </si>
  <si>
    <t>Orsa</t>
  </si>
  <si>
    <t>Älvdalen</t>
  </si>
  <si>
    <t>Smedjebacken</t>
  </si>
  <si>
    <t>Mora</t>
  </si>
  <si>
    <t>Falun</t>
  </si>
  <si>
    <t>Borlänge</t>
  </si>
  <si>
    <t>Säter</t>
  </si>
  <si>
    <t>Hedemora</t>
  </si>
  <si>
    <t>Avesta</t>
  </si>
  <si>
    <t>Ludvika</t>
  </si>
  <si>
    <t>Ockelbo</t>
  </si>
  <si>
    <t>Hofors</t>
  </si>
  <si>
    <t>Ovanåker</t>
  </si>
  <si>
    <t>Nordanstig</t>
  </si>
  <si>
    <t>Ljusdal</t>
  </si>
  <si>
    <t>Gävle</t>
  </si>
  <si>
    <t>Sandviken</t>
  </si>
  <si>
    <t>Söderhamn</t>
  </si>
  <si>
    <t>Bollnäs</t>
  </si>
  <si>
    <t>Hudiksvall</t>
  </si>
  <si>
    <t>Ånge</t>
  </si>
  <si>
    <t>Timrå</t>
  </si>
  <si>
    <t>Härnösand</t>
  </si>
  <si>
    <t>Sundsvall</t>
  </si>
  <si>
    <t>Kramfors</t>
  </si>
  <si>
    <t>Sollefteå</t>
  </si>
  <si>
    <t>Örnsköldsvik</t>
  </si>
  <si>
    <t>Ragunda</t>
  </si>
  <si>
    <t>Bräcke</t>
  </si>
  <si>
    <t>Krokom</t>
  </si>
  <si>
    <t>Strömsund</t>
  </si>
  <si>
    <t>Åre</t>
  </si>
  <si>
    <t>Berg</t>
  </si>
  <si>
    <t>Härjedalen</t>
  </si>
  <si>
    <t>Östersund</t>
  </si>
  <si>
    <t>Nordmaling</t>
  </si>
  <si>
    <t>Bjurholm</t>
  </si>
  <si>
    <t>Vindeln</t>
  </si>
  <si>
    <t>Robertsfors</t>
  </si>
  <si>
    <t>Norsjö</t>
  </si>
  <si>
    <t>Malå</t>
  </si>
  <si>
    <t>Storuman</t>
  </si>
  <si>
    <t>Sorsele</t>
  </si>
  <si>
    <t>Dorotea</t>
  </si>
  <si>
    <t>Vännäs</t>
  </si>
  <si>
    <t>Vilhelmina</t>
  </si>
  <si>
    <t>Åsele</t>
  </si>
  <si>
    <t>Umeå</t>
  </si>
  <si>
    <t>Lycksele</t>
  </si>
  <si>
    <t>Skellefteå</t>
  </si>
  <si>
    <t>Arvidsjaur</t>
  </si>
  <si>
    <t>Arjeplog</t>
  </si>
  <si>
    <t>Jokkmokk</t>
  </si>
  <si>
    <t>Överkalix</t>
  </si>
  <si>
    <t>Kalix</t>
  </si>
  <si>
    <t>Övertorneå</t>
  </si>
  <si>
    <t>Pajala</t>
  </si>
  <si>
    <t>Gällivare</t>
  </si>
  <si>
    <t>Älvsbyn</t>
  </si>
  <si>
    <t>Luleå</t>
  </si>
  <si>
    <t>Piteå</t>
  </si>
  <si>
    <t>Boden</t>
  </si>
  <si>
    <t>Haparanda</t>
  </si>
  <si>
    <t>Kiruna</t>
  </si>
  <si>
    <t>tot</t>
  </si>
  <si>
    <t>diff</t>
  </si>
  <si>
    <t>x</t>
  </si>
  <si>
    <t>Trafikarbetet på svenska vägar, miljoner fordonskilometer</t>
  </si>
  <si>
    <t>Vehicle kilometers on Swedish roads (millions)</t>
  </si>
  <si>
    <t>Summa</t>
  </si>
  <si>
    <t>MC</t>
  </si>
  <si>
    <t>Personbil</t>
  </si>
  <si>
    <t>Buss</t>
  </si>
  <si>
    <t>Lastbilar</t>
  </si>
  <si>
    <t xml:space="preserve"> ≤3,5 ton</t>
  </si>
  <si>
    <t>&gt;3.5t - ≤16 ton</t>
  </si>
  <si>
    <t xml:space="preserve"> &gt;16t - ≤26 ton</t>
  </si>
  <si>
    <t>&gt;26 ton</t>
  </si>
  <si>
    <t>totalvikt</t>
  </si>
  <si>
    <t>Passenger Car</t>
  </si>
  <si>
    <t xml:space="preserve">Lorries </t>
  </si>
  <si>
    <t xml:space="preserve"> ≤3,5 tonnes</t>
  </si>
  <si>
    <t>&gt;3.5t - ≤16 tonnes</t>
  </si>
  <si>
    <t xml:space="preserve"> &gt;16t - ≤26 tonnes</t>
  </si>
  <si>
    <t>&gt;26 tonnes</t>
  </si>
  <si>
    <r>
      <t>1999</t>
    </r>
    <r>
      <rPr>
        <vertAlign val="superscript"/>
        <sz val="11"/>
        <color theme="1"/>
        <rFont val="Calibri"/>
        <family val="2"/>
        <scheme val="minor"/>
      </rPr>
      <t>k</t>
    </r>
  </si>
  <si>
    <r>
      <t>2000</t>
    </r>
    <r>
      <rPr>
        <vertAlign val="superscript"/>
        <sz val="11"/>
        <color theme="1"/>
        <rFont val="Calibri"/>
        <family val="2"/>
        <scheme val="minor"/>
      </rPr>
      <t>k</t>
    </r>
  </si>
  <si>
    <r>
      <t>2011</t>
    </r>
    <r>
      <rPr>
        <vertAlign val="superscript"/>
        <sz val="11"/>
        <color theme="1"/>
        <rFont val="Calibri"/>
        <family val="2"/>
        <scheme val="minor"/>
      </rPr>
      <t>k</t>
    </r>
  </si>
  <si>
    <r>
      <t>2012</t>
    </r>
    <r>
      <rPr>
        <vertAlign val="superscript"/>
        <sz val="11"/>
        <color theme="1"/>
        <rFont val="Calibri"/>
        <family val="2"/>
        <scheme val="minor"/>
      </rPr>
      <t>k</t>
    </r>
  </si>
  <si>
    <r>
      <t>2013</t>
    </r>
    <r>
      <rPr>
        <vertAlign val="superscript"/>
        <sz val="11"/>
        <color theme="1"/>
        <rFont val="Calibri"/>
        <family val="2"/>
        <scheme val="minor"/>
      </rPr>
      <t>r</t>
    </r>
  </si>
  <si>
    <r>
      <t>2014</t>
    </r>
    <r>
      <rPr>
        <vertAlign val="superscript"/>
        <sz val="11"/>
        <color theme="1"/>
        <rFont val="Calibri"/>
        <family val="2"/>
        <scheme val="minor"/>
      </rPr>
      <t>r</t>
    </r>
  </si>
  <si>
    <t>www.trafa.se</t>
  </si>
  <si>
    <t>correction factor</t>
  </si>
  <si>
    <t>Correction factor for estimating total number of vehicles being used under 2010 (not only end of year). Corrections factors are calculated from 2014 data.</t>
  </si>
  <si>
    <t>Tabell 5. Inrikes godstransporter med svenska lastbilar i transporterad godsmängd och transportarbete efter transportavstånd, 2010.</t>
  </si>
  <si>
    <t>Table 5. National road goods transport by Swedish registrerd lorries in tonnes and tonnes-kilometres by length of haul, 2010.</t>
  </si>
  <si>
    <t>Transport-</t>
  </si>
  <si>
    <t>Yrkesmässig trafik</t>
  </si>
  <si>
    <t>Firmabilstrafik</t>
  </si>
  <si>
    <t>avstånd</t>
  </si>
  <si>
    <t>Transporterad gods-mängd, 1 000-tal ton</t>
  </si>
  <si>
    <t>Transportarbete,</t>
  </si>
  <si>
    <t>miljoner ton-km</t>
  </si>
  <si>
    <t>Ack %</t>
  </si>
  <si>
    <t>–</t>
  </si>
  <si>
    <t>Short Distance</t>
  </si>
  <si>
    <t>M ton km</t>
  </si>
  <si>
    <t>SE</t>
  </si>
  <si>
    <t>number of trucks from stock data</t>
  </si>
  <si>
    <t xml:space="preserve">Tabell 10. Utrikes godstransporter med svenska lastbilar fördelat på ekipagets totalvikt, </t>
  </si>
  <si>
    <t>maximilastvikt, antal axlar samt fordonets ålder, 2010.</t>
  </si>
  <si>
    <t xml:space="preserve">Table 10. International road goods transport with Swedish registered lorries by maximum permmissible </t>
  </si>
  <si>
    <t>load capacity, axle configuration of the vehicle combination and the age of the vehicle, 2010.</t>
  </si>
  <si>
    <t>Antal transporter</t>
  </si>
  <si>
    <t xml:space="preserve">Körda kilometer </t>
  </si>
  <si>
    <t>Godsmängd</t>
  </si>
  <si>
    <t xml:space="preserve">Transportarbete </t>
  </si>
  <si>
    <t>1 000-tal</t>
  </si>
  <si>
    <t>1 000-tal km</t>
  </si>
  <si>
    <t xml:space="preserve"> 1 000-tal ton</t>
  </si>
  <si>
    <t>Miljoner ton-km</t>
  </si>
  <si>
    <t xml:space="preserve"> 95 % K.I.</t>
  </si>
  <si>
    <r>
      <t>Totalvikt, ton</t>
    </r>
    <r>
      <rPr>
        <i/>
        <vertAlign val="superscript"/>
        <sz val="8"/>
        <rFont val="Arial"/>
        <family val="2"/>
      </rPr>
      <t>1</t>
    </r>
  </si>
  <si>
    <t>+</t>
  </si>
  <si>
    <t xml:space="preserve">– </t>
  </si>
  <si>
    <r>
      <t>Maximilastvikt, ton</t>
    </r>
    <r>
      <rPr>
        <b/>
        <i/>
        <vertAlign val="superscript"/>
        <sz val="8"/>
        <rFont val="Arial"/>
        <family val="2"/>
      </rPr>
      <t>1</t>
    </r>
  </si>
  <si>
    <t>Antal axlar</t>
  </si>
  <si>
    <t>Mer än 7</t>
  </si>
  <si>
    <t>Fordonets ålder, år</t>
  </si>
  <si>
    <t>10 eller mer</t>
  </si>
  <si>
    <t>Miljöklass</t>
  </si>
  <si>
    <t>Euro V</t>
  </si>
  <si>
    <t>Euro IV</t>
  </si>
  <si>
    <t>Euro III</t>
  </si>
  <si>
    <t>MK 3</t>
  </si>
  <si>
    <t>MK 2</t>
  </si>
  <si>
    <t>MK 1</t>
  </si>
  <si>
    <r>
      <t xml:space="preserve">1) Se avsnitt Definitioner för definition av total- och maximilastbikt. </t>
    </r>
    <r>
      <rPr>
        <i/>
        <sz val="8"/>
        <rFont val="Arial"/>
        <family val="2"/>
      </rPr>
      <t>Definitions of total weight anda load capacity, see Definitioner.</t>
    </r>
  </si>
  <si>
    <t>Long Distance - Nationally</t>
  </si>
  <si>
    <t>Long Distance - Internationally</t>
  </si>
  <si>
    <t>Long Distance - National</t>
  </si>
  <si>
    <t>Long Distance - International</t>
  </si>
  <si>
    <t>HEAVY TRUCKS</t>
  </si>
  <si>
    <t>M v km</t>
  </si>
  <si>
    <t>M vehicle km</t>
  </si>
  <si>
    <t>AVERAGE LOAD PRE VKM , ASSUMPTION</t>
  </si>
  <si>
    <t>ton / vehicle</t>
  </si>
  <si>
    <t>ASSUMPTION LONG / SHORT DISTANCE</t>
  </si>
  <si>
    <t>LIGHT TRUCKS ("VANS" in model)</t>
  </si>
  <si>
    <t>Long Distance</t>
  </si>
  <si>
    <t>Persontransportarbete i Sverige, miljarder personkilometer</t>
  </si>
  <si>
    <t>Person-bil</t>
  </si>
  <si>
    <t>Summa vägtrafik</t>
  </si>
  <si>
    <t>Järnväg</t>
  </si>
  <si>
    <t>Tunnel-bana</t>
  </si>
  <si>
    <t>Spårväg</t>
  </si>
  <si>
    <t>Summa bantrafik</t>
  </si>
  <si>
    <t>Inrikes luftfart</t>
  </si>
  <si>
    <t>Färjor</t>
  </si>
  <si>
    <t>Gång, cykel, moped</t>
  </si>
  <si>
    <t>Varav kollektiv-trafik</t>
  </si>
  <si>
    <t xml:space="preserve">1) Tidsserierbrott. Trafikanalys korrigerade körsträckorna för vägtrafik fr.o.m. 1999. Jämförelser av persontransportarbete för vägtrafik före och efter 1999 göres således med försiktighet. </t>
  </si>
  <si>
    <t>Godstransportarbete i Sverige, miljarder tonkilometer</t>
  </si>
  <si>
    <r>
      <t>Vägtrafik inrikes och utrikes</t>
    </r>
    <r>
      <rPr>
        <b/>
        <vertAlign val="superscript"/>
        <sz val="10"/>
        <rFont val="Arial"/>
        <family val="2"/>
      </rPr>
      <t xml:space="preserve">1 </t>
    </r>
  </si>
  <si>
    <t>Sjöfart</t>
  </si>
  <si>
    <r>
      <t>Varav svenska tunga lastbilar i inrikes trafik</t>
    </r>
    <r>
      <rPr>
        <b/>
        <vertAlign val="superscript"/>
        <sz val="10"/>
        <rFont val="Arial"/>
        <family val="2"/>
      </rPr>
      <t>1</t>
    </r>
  </si>
  <si>
    <t>Varav inrikes sjöfart</t>
  </si>
  <si>
    <r>
      <t xml:space="preserve">1) Avser svenskregistrerade tunga lastbilar. Lastbilsstatistiken är sedan undersökningsår 2012 omräknad, med ett tidsseriebrott som följd. I årsrapporten </t>
    </r>
    <r>
      <rPr>
        <i/>
        <sz val="8"/>
        <rFont val="Arial"/>
        <family val="2"/>
      </rPr>
      <t>Lastbilstrafik 2014</t>
    </r>
    <r>
      <rPr>
        <sz val="8"/>
        <rFont val="Arial"/>
        <family val="2"/>
      </rPr>
      <t xml:space="preserve"> (Statistik 2015:21) presenteras tidsserier med både den gamla metoden och den nya, för att överbrygga tidsseriebrottet. Läs mer om omräkningen i Trafikanalys PM 2015:10, </t>
    </r>
    <r>
      <rPr>
        <i/>
        <sz val="8"/>
        <rFont val="Arial"/>
        <family val="2"/>
      </rPr>
      <t>Omräkning av lastbilsstatistiken till följd av stilleståndsproblematik.</t>
    </r>
  </si>
  <si>
    <t>Inrikes sjöfart</t>
  </si>
  <si>
    <t>varav dieselolja</t>
  </si>
  <si>
    <t>varav Eo1</t>
  </si>
  <si>
    <t>varav Eo2-6</t>
  </si>
  <si>
    <t>Energimyndigheten, "Transportsektorns energianvändning 2015"</t>
  </si>
  <si>
    <t>Tabell 14 Användning av diesel, Eo1 och Eo2-6 för inrikes sjöfart, 2008-2015, uttryckt i 1000 m3</t>
  </si>
  <si>
    <t>Not. Siffror för diesel innan 2012 antas vara felaktigt fördelade och bör användas med försiktighet då den reella användningen antas vara mindre än de angivna värdena.</t>
  </si>
  <si>
    <t>Tabell 15 Användning av diesel, Eo1 och Eo2-6 för utrikes sjöfart, 2008-2015, uttryckt i 1000 m3</t>
  </si>
  <si>
    <t>varav dieselolja och Eo1</t>
  </si>
  <si>
    <t>Tabell 13 Användning av flygbränsle för inrikes och utrikes transporter, 2008-2015, uttryckt i 1000 m3</t>
  </si>
  <si>
    <t>Flygbränsle</t>
  </si>
  <si>
    <t>varav inrikes</t>
  </si>
  <si>
    <t>varav utrikes</t>
  </si>
  <si>
    <t>Tabell 12 Användning av el, utrtryckt i GWh, samt dieselanvändning, uttryckt i 1000 m3, 2006-2014 i bantrafiken</t>
  </si>
  <si>
    <t>El årlig statistik</t>
  </si>
  <si>
    <t>Varav högspänning</t>
  </si>
  <si>
    <t>Varav lågspänning</t>
  </si>
  <si>
    <t>Dieselanvändning inom bantrafiken</t>
  </si>
  <si>
    <t>Tabell 1 Omräkningsfaktorer för energibärare</t>
  </si>
  <si>
    <t xml:space="preserve">Bränsle </t>
  </si>
  <si>
    <t>Fysisk kvantitet</t>
  </si>
  <si>
    <t>GJ</t>
  </si>
  <si>
    <t>Motorbensin</t>
  </si>
  <si>
    <t>Flygfotogen och övriga mellanoljor</t>
  </si>
  <si>
    <t>Tunn eldningsolja nr 1</t>
  </si>
  <si>
    <t>Tjocka eldningsoljor nr2-6</t>
  </si>
  <si>
    <t>Etanol</t>
  </si>
  <si>
    <t>FAME</t>
  </si>
  <si>
    <t>HVO</t>
  </si>
  <si>
    <t>1 m3</t>
  </si>
  <si>
    <t>1000 m3</t>
  </si>
  <si>
    <t>1 GWh</t>
  </si>
  <si>
    <t>tågkm</t>
  </si>
  <si>
    <t>Fraktad mängd</t>
  </si>
  <si>
    <t>M ton</t>
  </si>
  <si>
    <t>Rail FREIGHT</t>
  </si>
  <si>
    <t>ASSUMPTION ON REGIONAL SPLIT</t>
  </si>
  <si>
    <t>AVERAGE LOAD PER VEHICEL, ASSUMPTION</t>
  </si>
  <si>
    <t>km/year</t>
  </si>
  <si>
    <t>thousands</t>
  </si>
  <si>
    <r>
      <t>Tabell 6. Trafikuppgifter och nyckeltal för trafikuppgifter efter trafikslag år 2010.</t>
    </r>
    <r>
      <rPr>
        <b/>
        <vertAlign val="superscript"/>
        <sz val="10"/>
        <rFont val="Arial"/>
        <family val="2"/>
      </rPr>
      <t>1</t>
    </r>
  </si>
  <si>
    <t xml:space="preserve">Key figures and information on traffic according to mode of transport 2010. </t>
  </si>
  <si>
    <r>
      <t>Resor</t>
    </r>
    <r>
      <rPr>
        <sz val="8"/>
        <rFont val="Arial"/>
        <family val="2"/>
      </rPr>
      <t xml:space="preserve"> </t>
    </r>
  </si>
  <si>
    <t>Utbuds-kilometer</t>
  </si>
  <si>
    <t>Sittplats-kilometer/invånare</t>
  </si>
  <si>
    <t>Person-kilometer</t>
  </si>
  <si>
    <t>Medel-reslängd</t>
  </si>
  <si>
    <t>Genom-snittligt antal sittplatser</t>
  </si>
  <si>
    <t>Resor/utbuds-kilometer</t>
  </si>
  <si>
    <t>Personkilometer/ utbudskilometer</t>
  </si>
  <si>
    <t>Trafikslag</t>
  </si>
  <si>
    <t>(1000-tal)</t>
  </si>
  <si>
    <t>T-bana</t>
  </si>
  <si>
    <t>Tåg</t>
  </si>
  <si>
    <t>Fartyg</t>
  </si>
  <si>
    <t>Samtliga trafikslag</t>
  </si>
  <si>
    <r>
      <t>1</t>
    </r>
    <r>
      <rPr>
        <sz val="8"/>
        <rFont val="Arial"/>
        <family val="2"/>
      </rPr>
      <t xml:space="preserve"> Se bilaga 2 för beskrivning av variabeldefinitioner.</t>
    </r>
  </si>
  <si>
    <r>
      <t>Tabell 13. Antal utbudskilometer efter trafikslag i riket år 1999-2010 (miljoner kilometer).</t>
    </r>
    <r>
      <rPr>
        <b/>
        <vertAlign val="superscript"/>
        <sz val="10"/>
        <rFont val="Arial"/>
        <family val="2"/>
      </rPr>
      <t>1</t>
    </r>
  </si>
  <si>
    <t xml:space="preserve">Number of kilometers available per mode of transport in the country in 1999-2010 (million kilometers). </t>
  </si>
  <si>
    <r>
      <t>Tabell 1. Trafik- och ekonomiuppgifter efter län år 2010.</t>
    </r>
    <r>
      <rPr>
        <b/>
        <vertAlign val="superscript"/>
        <sz val="10"/>
        <rFont val="Arial"/>
        <family val="2"/>
      </rPr>
      <t>1</t>
    </r>
  </si>
  <si>
    <t>Information on traffic and the economic situation according to county 2010.</t>
  </si>
  <si>
    <t>Sittplats-kilometer</t>
  </si>
  <si>
    <r>
      <t xml:space="preserve">Intäkter </t>
    </r>
    <r>
      <rPr>
        <sz val="8"/>
        <rFont val="Arial"/>
        <family val="2"/>
      </rPr>
      <t>(1000-tal kr)</t>
    </r>
  </si>
  <si>
    <r>
      <t xml:space="preserve">Kostnader </t>
    </r>
    <r>
      <rPr>
        <sz val="8"/>
        <rFont val="Arial"/>
        <family val="2"/>
      </rPr>
      <t>(1000-tal kr)</t>
    </r>
  </si>
  <si>
    <t>Län</t>
  </si>
  <si>
    <t>Trafik-intäkter</t>
  </si>
  <si>
    <t>Övriga affärsintäkter</t>
  </si>
  <si>
    <t>Bidrag/tillskott Kommun</t>
  </si>
  <si>
    <t>Bidrag/tillskott Landsting</t>
  </si>
  <si>
    <t>Bidrag/tillskott Staten/Trafikverket</t>
  </si>
  <si>
    <t>Totala verksam-hetsintäkter</t>
  </si>
  <si>
    <t>Totala bidrag/tillskott</t>
  </si>
  <si>
    <t>Totala intäkter</t>
  </si>
  <si>
    <t>Trafikerings-kostnader</t>
  </si>
  <si>
    <t>Kostnader för infrastruktur</t>
  </si>
  <si>
    <t>Övriga kostnader</t>
  </si>
  <si>
    <t>Totala kostnader</t>
  </si>
  <si>
    <t>Södermanland</t>
  </si>
  <si>
    <t>Östergötland</t>
  </si>
  <si>
    <t>Kronoberg</t>
  </si>
  <si>
    <t>Blekinge</t>
  </si>
  <si>
    <t>Skåne</t>
  </si>
  <si>
    <t>Halland</t>
  </si>
  <si>
    <t>Västra Götaland</t>
  </si>
  <si>
    <t>Värmland</t>
  </si>
  <si>
    <t>Västmanland</t>
  </si>
  <si>
    <t>Dalarna</t>
  </si>
  <si>
    <t>Gävleborg</t>
  </si>
  <si>
    <t>Västernorrland</t>
  </si>
  <si>
    <t>Jämtland</t>
  </si>
  <si>
    <t>Västerbotten</t>
  </si>
  <si>
    <t>Norrbotten</t>
  </si>
  <si>
    <t>Riket</t>
  </si>
  <si>
    <t>kollektivtrafik totalt</t>
  </si>
  <si>
    <t>Sittplatskm</t>
  </si>
  <si>
    <t>Occupancy</t>
  </si>
  <si>
    <r>
      <t>Tabell 12. Antal resor efter trafikslag i riket år 1999-2010 (miljoner resor).</t>
    </r>
    <r>
      <rPr>
        <b/>
        <vertAlign val="superscript"/>
        <sz val="10"/>
        <rFont val="Arial"/>
        <family val="2"/>
      </rPr>
      <t>1</t>
    </r>
  </si>
  <si>
    <t>Number of journeys in the country per mode of transport in 1999-2010 (million journeys).</t>
  </si>
  <si>
    <t>1000 tal</t>
  </si>
  <si>
    <t>1 o 2</t>
  </si>
  <si>
    <t>ASSUMPTION SPLIT SHORT AND LONG DISTANCE</t>
  </si>
  <si>
    <t>SHORT</t>
  </si>
  <si>
    <t>LONG</t>
  </si>
  <si>
    <t>M pass km</t>
  </si>
  <si>
    <t xml:space="preserve">ASSUMPTION ON SPLIT BUSES </t>
  </si>
  <si>
    <t>BUSES</t>
  </si>
  <si>
    <t>M Pass km</t>
  </si>
  <si>
    <t>REGIONAL SPLIT, ALT 2</t>
  </si>
  <si>
    <t>from stock data</t>
  </si>
  <si>
    <t>Tabell 4.8</t>
  </si>
  <si>
    <t xml:space="preserve">Ankommande och avgående frakt på svenska flygplatser med linjefart och </t>
  </si>
  <si>
    <t xml:space="preserve">Freight loaded and unloaded at Swedish airports with scheduled and </t>
  </si>
  <si>
    <t>Flygplats</t>
  </si>
  <si>
    <t>Utrikes trafik</t>
  </si>
  <si>
    <t>Inrikes trafik</t>
  </si>
  <si>
    <t>Airport</t>
  </si>
  <si>
    <t>International traffic</t>
  </si>
  <si>
    <t>Domestic traffic</t>
  </si>
  <si>
    <t>Ank</t>
  </si>
  <si>
    <t>Avg</t>
  </si>
  <si>
    <t>Unloaded</t>
  </si>
  <si>
    <t>Loaded</t>
  </si>
  <si>
    <t>Göteborg-Landvetter</t>
  </si>
  <si>
    <t>Göteborg-City</t>
  </si>
  <si>
    <t>Hemavan</t>
  </si>
  <si>
    <t>Kramfors-Sollefteå</t>
  </si>
  <si>
    <t>Linköping/Saab</t>
  </si>
  <si>
    <t>Luleå/Kallax</t>
  </si>
  <si>
    <t>Malmö-Airport</t>
  </si>
  <si>
    <t>Mora/Siljan</t>
  </si>
  <si>
    <t>Norrköping/Kungsängen</t>
  </si>
  <si>
    <t>Stockholm/Arlanda</t>
  </si>
  <si>
    <t>Stockholm/Bromma</t>
  </si>
  <si>
    <t>Stockholm/Skavsta</t>
  </si>
  <si>
    <t>Stockholm/Västerås</t>
  </si>
  <si>
    <t>Sundsvall/Härnösand</t>
  </si>
  <si>
    <t>Sveg</t>
  </si>
  <si>
    <t>Trollhättan-Vänersborg</t>
  </si>
  <si>
    <t>Visby</t>
  </si>
  <si>
    <t>Växjö-Kronoberg</t>
  </si>
  <si>
    <t>Åre Östersund</t>
  </si>
  <si>
    <t>Totalt Grand total</t>
  </si>
  <si>
    <t xml:space="preserve">  Only flown freight</t>
  </si>
  <si>
    <t xml:space="preserve">  rapporteringen av avgående fraktton.</t>
  </si>
  <si>
    <t xml:space="preserve">  The difference between the number of loaded and unloaded freight-tons depends on a more accurate report of</t>
  </si>
  <si>
    <t xml:space="preserve">  departing freight-tons.</t>
  </si>
  <si>
    <t>Tabell 4.10</t>
  </si>
  <si>
    <t>Antal flygplansrörelser i kontrollerat luftrum 2006-2010</t>
  </si>
  <si>
    <t>Number of  movements in controlled airspace 2005-2009</t>
  </si>
  <si>
    <t xml:space="preserve">Hela landet </t>
  </si>
  <si>
    <t>Total Sweden</t>
  </si>
  <si>
    <t xml:space="preserve">Varav överflygningar </t>
  </si>
  <si>
    <t>Of which overflights</t>
  </si>
  <si>
    <t xml:space="preserve">Starter/landningar </t>
  </si>
  <si>
    <t>Take-offs/landings</t>
  </si>
  <si>
    <t>Max antal luftrumsrörelser per dygn</t>
  </si>
  <si>
    <t>Max number of airspace movements per day</t>
  </si>
  <si>
    <t>Min antal luftrumsrörelser per dygn</t>
  </si>
  <si>
    <t>Min number of airspace movements per day</t>
  </si>
  <si>
    <t>Antal luftrumsrörelser i medeltal per dygn</t>
  </si>
  <si>
    <t>Average number of airspace movements per day</t>
  </si>
  <si>
    <t>Tabell 6</t>
  </si>
  <si>
    <t>Femårsöversikt</t>
  </si>
  <si>
    <t>Five-year summary</t>
  </si>
  <si>
    <t>Svenska flygplatser med linjefart och chartertrafik</t>
  </si>
  <si>
    <t>Swedish airports with scheduled and non-scheduled traffic</t>
  </si>
  <si>
    <t>Utrikes ankommande och avresande</t>
  </si>
  <si>
    <t>International arriving and departing</t>
  </si>
  <si>
    <t>Utrikes ankommande och avgående</t>
  </si>
  <si>
    <t>International loaded and unloaded</t>
  </si>
  <si>
    <t xml:space="preserve">I Sverige registrerade motordrivna </t>
  </si>
  <si>
    <t>luftfartyg den 31 december</t>
  </si>
  <si>
    <t>Swedish-registered powered</t>
  </si>
  <si>
    <t>aircraft in December 31</t>
  </si>
  <si>
    <t>r</t>
  </si>
  <si>
    <t xml:space="preserve">Antal haverier med svenskregistrerade </t>
  </si>
  <si>
    <t>motordrivna luftfartyg</t>
  </si>
  <si>
    <t>Number of accidents to Swedish-registered</t>
  </si>
  <si>
    <t>powered aircraft</t>
  </si>
  <si>
    <t>Linjefart och ej regelbunden trafik</t>
  </si>
  <si>
    <t>Scheduled and non-scheduled traffic</t>
  </si>
  <si>
    <t>Internationell statistik</t>
  </si>
  <si>
    <t>International statistics</t>
  </si>
  <si>
    <t>Antal befordrade passagerare i linjefart för</t>
  </si>
  <si>
    <t>. .</t>
  </si>
  <si>
    <t>Tabell 4.2</t>
  </si>
  <si>
    <t xml:space="preserve">Antal landningar på svenska flygplatser med linjefart och </t>
  </si>
  <si>
    <t>chartertrafik 2009-2010</t>
  </si>
  <si>
    <t xml:space="preserve">Number of landings at Swedish airports with scheduled and </t>
  </si>
  <si>
    <t xml:space="preserve">non-scheduled traffic 2009-2010 </t>
  </si>
  <si>
    <t>Linjefart och chartertrafik</t>
  </si>
  <si>
    <t>Taxiflyg</t>
  </si>
  <si>
    <t>Övrig</t>
  </si>
  <si>
    <t>Scheduled and non-</t>
  </si>
  <si>
    <t>flyg-</t>
  </si>
  <si>
    <t>scheduled traffic</t>
  </si>
  <si>
    <t>flights</t>
  </si>
  <si>
    <t xml:space="preserve">Utrikes </t>
  </si>
  <si>
    <t>Inrikes</t>
  </si>
  <si>
    <t>Other</t>
  </si>
  <si>
    <t>flying</t>
  </si>
  <si>
    <t>Domestic</t>
  </si>
  <si>
    <t>traffic</t>
  </si>
  <si>
    <t>Malmö- Airport</t>
  </si>
  <si>
    <t>Växjö/Kronoberg</t>
  </si>
  <si>
    <t>AVIATION , DOMESTIC</t>
  </si>
  <si>
    <t>AVIATION , INTERNATIONAL</t>
  </si>
  <si>
    <t>ASSUMPTIION, ALLOCACTION FREIGHT / PASSENGER</t>
  </si>
  <si>
    <t>Passenger</t>
  </si>
  <si>
    <t>?</t>
  </si>
  <si>
    <t>ASSUMPTION, ALLOCACTION FREIGHT / PASSENGER</t>
  </si>
  <si>
    <t>Tabell A1: Historisk översikt – Järnvägar</t>
  </si>
  <si>
    <t>Table A1: Historical overview – Railways</t>
  </si>
  <si>
    <t>Transportarbete</t>
  </si>
  <si>
    <t>Drivmedelsanvändning av järnvägstransporter</t>
  </si>
  <si>
    <t>Resande- och godståg</t>
  </si>
  <si>
    <t>Persontrafik</t>
  </si>
  <si>
    <t>Godstrafik</t>
  </si>
  <si>
    <t>Bränsle för ångdrift</t>
  </si>
  <si>
    <t>Regional trafik</t>
  </si>
  <si>
    <t>Fjärrtrafik</t>
  </si>
  <si>
    <t>Express- och styckegods</t>
  </si>
  <si>
    <t>Kombigods</t>
  </si>
  <si>
    <t>Vagnslast- gods</t>
  </si>
  <si>
    <t>miljoner bruttotonkm</t>
  </si>
  <si>
    <t xml:space="preserve">miljoner personkm </t>
  </si>
  <si>
    <t>miljoner tonkm</t>
  </si>
  <si>
    <t>GWh</t>
  </si>
  <si>
    <t>1000 ton</t>
  </si>
  <si>
    <r>
      <t>m</t>
    </r>
    <r>
      <rPr>
        <vertAlign val="superscript"/>
        <sz val="8"/>
        <rFont val="Arial"/>
        <family val="2"/>
      </rPr>
      <t>3</t>
    </r>
  </si>
  <si>
    <t>Transport performance</t>
  </si>
  <si>
    <t>Energy use by rail transports</t>
  </si>
  <si>
    <t>Passenger and freight trains</t>
  </si>
  <si>
    <t>Passenger traffic</t>
  </si>
  <si>
    <t>Freight traffic</t>
  </si>
  <si>
    <t>Steam
 (coal)</t>
  </si>
  <si>
    <t>Regional traffic</t>
  </si>
  <si>
    <t>Long distance traffic</t>
  </si>
  <si>
    <t>Express parcels and small traffic</t>
  </si>
  <si>
    <t>Intermodal consignments</t>
  </si>
  <si>
    <t>Full 
wagonloads</t>
  </si>
  <si>
    <t>million 
gross tonne-kilometres</t>
  </si>
  <si>
    <t xml:space="preserve">million passenger-kilometres </t>
  </si>
  <si>
    <t>million tonne-kilometres</t>
  </si>
  <si>
    <t>1000 tonnes</t>
  </si>
  <si>
    <r>
      <t>m</t>
    </r>
    <r>
      <rPr>
        <i/>
        <vertAlign val="superscript"/>
        <sz val="8"/>
        <rFont val="Arial"/>
        <family val="2"/>
      </rPr>
      <t>3</t>
    </r>
  </si>
  <si>
    <t xml:space="preserve">Fram till och med 2001 inkluderar uppgifterna tonkilometer av </t>
  </si>
  <si>
    <t>År 2010 bildades Trafikverket som förvaltar det statliga väg- och järnvägsnätet.</t>
  </si>
  <si>
    <t>tomma privatvagnar. Med ”tonkilometer av tomma privatvagnar”</t>
  </si>
  <si>
    <t>Uppgiften exkluderar från och med 2010 personal hos Trafikverket. Eftersom</t>
  </si>
  <si>
    <t>avses den nettolast på sex ton som debiterades då en tom privatvagn</t>
  </si>
  <si>
    <t>myndigheten arbetar trafikslagsövergripande arbetar samma personal med flera</t>
  </si>
  <si>
    <r>
      <t xml:space="preserve">drogs av en tågoperatör. </t>
    </r>
    <r>
      <rPr>
        <i/>
        <sz val="8"/>
        <color indexed="8"/>
        <rFont val="Arial"/>
        <family val="2"/>
      </rPr>
      <t>Up to 2001, figures include tonne-</t>
    </r>
  </si>
  <si>
    <t>olika trafikslag. Det är därför inte längre möjligt för myndigheten att särredovisa</t>
  </si>
  <si>
    <t xml:space="preserve">kilometres by empty privately owned wagons. "Tonne-kilometres by </t>
  </si>
  <si>
    <r>
      <t xml:space="preserve">personal för banarbeten. </t>
    </r>
    <r>
      <rPr>
        <i/>
        <sz val="8"/>
        <rFont val="Arial"/>
        <family val="2"/>
      </rPr>
      <t>In 2010, the Swedish Transport Administration was</t>
    </r>
  </si>
  <si>
    <t xml:space="preserve">empty privately owned wagons" refer to the six tonnes charged </t>
  </si>
  <si>
    <t>formed. This authority manages the state road and rail networks. As from 2010,</t>
  </si>
  <si>
    <t xml:space="preserve">when an empty privately owned wagon was hauled by a railway </t>
  </si>
  <si>
    <t>data exclude the staff of the Transport Administration. The authority works</t>
  </si>
  <si>
    <t>undertaking.</t>
  </si>
  <si>
    <t>intermodally why the same personnel can work with different modes of traffic.</t>
  </si>
  <si>
    <t>Före 2009 omfattar inte statistiken norska transittransporter</t>
  </si>
  <si>
    <t>Therefore, the authority can not specify the number of staff assigned to rail</t>
  </si>
  <si>
    <r>
      <t xml:space="preserve">från Norge till Norge genom Sverige. </t>
    </r>
    <r>
      <rPr>
        <i/>
        <sz val="8"/>
        <color indexed="8"/>
        <rFont val="Arial"/>
        <family val="2"/>
      </rPr>
      <t xml:space="preserve"> Before 2009, the statistics</t>
    </r>
  </si>
  <si>
    <t>infrastructure works.</t>
  </si>
  <si>
    <t>do not include Norwegian transit from Norway to Norway</t>
  </si>
  <si>
    <t>through Sweden.</t>
  </si>
  <si>
    <t xml:space="preserve">Tabell C1: Dragfordon – Järnvägar  </t>
  </si>
  <si>
    <t>Table C1: Tractive stock – Railways</t>
  </si>
  <si>
    <t>Antal dragfordon</t>
  </si>
  <si>
    <t>Number of tractive units and railcars</t>
  </si>
  <si>
    <t>Totalt dragfordon</t>
  </si>
  <si>
    <t>Total tractive stock</t>
  </si>
  <si>
    <t>- härav för persontrafik</t>
  </si>
  <si>
    <t>- of which for passenger traffic</t>
  </si>
  <si>
    <t>- härav för godstrafik</t>
  </si>
  <si>
    <t>- of which for freight traffic</t>
  </si>
  <si>
    <t>Lok och lokomotorer</t>
  </si>
  <si>
    <t>Locomotives and Light rail motor tractors</t>
  </si>
  <si>
    <t>Ellok</t>
  </si>
  <si>
    <t>Diesellok</t>
  </si>
  <si>
    <t>Ellokomotorer</t>
  </si>
  <si>
    <t>Electric light rail motor tractors</t>
  </si>
  <si>
    <t>Diesellokomotorer</t>
  </si>
  <si>
    <t>Diesel light rail motor tractors</t>
  </si>
  <si>
    <t>Motorvagnar</t>
  </si>
  <si>
    <t>Railcars</t>
  </si>
  <si>
    <t>Antal eldrivna motorvagnar</t>
  </si>
  <si>
    <t>Electric powered railcars</t>
  </si>
  <si>
    <t>Motorvagnssätt</t>
  </si>
  <si>
    <t>Railcar trainsets</t>
  </si>
  <si>
    <t>- härav med snabbtågskapacitet</t>
  </si>
  <si>
    <t>- of which with high-speed capacity</t>
  </si>
  <si>
    <t>Antal eldrivna dragfordon</t>
  </si>
  <si>
    <t>Electric powered tractive units</t>
  </si>
  <si>
    <t>I motorvagnssätt</t>
  </si>
  <si>
    <t>In railcar trainsets</t>
  </si>
  <si>
    <t>I motorvagnar</t>
  </si>
  <si>
    <t xml:space="preserve">In railcars </t>
  </si>
  <si>
    <t>Antal dieseldrivna motorvagnar</t>
  </si>
  <si>
    <t>Diesel powered railcars</t>
  </si>
  <si>
    <t>Antal dieseldrivna dragfordon</t>
  </si>
  <si>
    <t>Diesel powered tractive units</t>
  </si>
  <si>
    <t xml:space="preserve">Summa motorvagnar och </t>
  </si>
  <si>
    <t>Total railcars and railcar trainsets</t>
  </si>
  <si>
    <t>motorvagnssätt</t>
  </si>
  <si>
    <t>Summa dragfordon i motorvagnar</t>
  </si>
  <si>
    <t>Total tractive units in railcars</t>
  </si>
  <si>
    <t>och motorvagnssätt</t>
  </si>
  <si>
    <t>and railcar trainsets</t>
  </si>
  <si>
    <t xml:space="preserve">Tabell C2: Dragfordon – Spårvägar  </t>
  </si>
  <si>
    <t>Table C2: Tractive stock – Trams</t>
  </si>
  <si>
    <t>Number of tractive units</t>
  </si>
  <si>
    <t xml:space="preserve">Tabell C3: Dragfordon – Tunnelbanan </t>
  </si>
  <si>
    <t>Table C3: Tractive stock – Metro</t>
  </si>
  <si>
    <t xml:space="preserve">Tabell D1: Trafik – Järnvägar  </t>
  </si>
  <si>
    <t>Table D1: Traffic – Railways</t>
  </si>
  <si>
    <t>Tågkilometer (tusental)</t>
  </si>
  <si>
    <t>Train-kilometres (thousands)</t>
  </si>
  <si>
    <t>Med eldrift</t>
  </si>
  <si>
    <t>Electric powered</t>
  </si>
  <si>
    <t>Med dieseldrift</t>
  </si>
  <si>
    <t>Diesel powered</t>
  </si>
  <si>
    <t>Summa eldrift</t>
  </si>
  <si>
    <t>Total electric powered</t>
  </si>
  <si>
    <t>Summa dieseldrift</t>
  </si>
  <si>
    <t>Total diesel powered</t>
  </si>
  <si>
    <t>Grand total</t>
  </si>
  <si>
    <t>Bruttotonkilometer av vagnar (miljoner)</t>
  </si>
  <si>
    <t>Gross hauled tonne-kilometres (millions)</t>
  </si>
  <si>
    <t>Platskilometer (miljoner)</t>
  </si>
  <si>
    <t>Seat-kilometres (millions)</t>
  </si>
  <si>
    <t xml:space="preserve">Tabell D2: Trafik – Spårvägar </t>
  </si>
  <si>
    <t>Table D2: Traffic – Trams</t>
  </si>
  <si>
    <t xml:space="preserve"> (miljoner)</t>
  </si>
  <si>
    <t>(millions)</t>
  </si>
  <si>
    <t>Bruttotonkilometer av vagnar</t>
  </si>
  <si>
    <t>Gross hauled tonne-kilometres</t>
  </si>
  <si>
    <t>Platskilometer</t>
  </si>
  <si>
    <t>Seat- and standing place-kilometres</t>
  </si>
  <si>
    <t>- härav sittplatskilometer</t>
  </si>
  <si>
    <t>- of which seat-kilometres</t>
  </si>
  <si>
    <t>- härav ståplatskilometer</t>
  </si>
  <si>
    <t>- of which standing place-kilometres</t>
  </si>
  <si>
    <t xml:space="preserve">Tabell D3: Trafik – Tunnelbanan </t>
  </si>
  <si>
    <t>Table D3: Traffic – Metro</t>
  </si>
  <si>
    <t xml:space="preserve">Tabell D7: Energianvändning för trafik – Järnvägar  </t>
  </si>
  <si>
    <t>Table D7: Energy use for traffic – Railways</t>
  </si>
  <si>
    <t>Energianvändning</t>
  </si>
  <si>
    <t>Energy use</t>
  </si>
  <si>
    <t>El för persontrafik i GWh</t>
  </si>
  <si>
    <t>Electricity for passenger traffic in GWh</t>
  </si>
  <si>
    <t>El för godstrafik i GWh</t>
  </si>
  <si>
    <t>Electricity for freight traffic in GWh</t>
  </si>
  <si>
    <t>Totalt för trafik</t>
  </si>
  <si>
    <t>Total for traffic</t>
  </si>
  <si>
    <r>
      <t>Diesel för persontrafik i m</t>
    </r>
    <r>
      <rPr>
        <vertAlign val="superscript"/>
        <sz val="8"/>
        <rFont val="Arial"/>
        <family val="2"/>
      </rPr>
      <t>3</t>
    </r>
  </si>
  <si>
    <r>
      <t>Diesel for passenger traffic in m</t>
    </r>
    <r>
      <rPr>
        <vertAlign val="superscript"/>
        <sz val="8"/>
        <rFont val="Arial"/>
        <family val="2"/>
      </rPr>
      <t>3</t>
    </r>
  </si>
  <si>
    <r>
      <t>Diesel för godstrafik i m</t>
    </r>
    <r>
      <rPr>
        <vertAlign val="superscript"/>
        <sz val="8"/>
        <rFont val="Arial"/>
        <family val="2"/>
      </rPr>
      <t>3</t>
    </r>
    <r>
      <rPr>
        <sz val="8"/>
        <rFont val="Arial"/>
        <family val="2"/>
      </rPr>
      <t xml:space="preserve"> </t>
    </r>
  </si>
  <si>
    <r>
      <t>Diesel for freight traffic in m</t>
    </r>
    <r>
      <rPr>
        <vertAlign val="superscript"/>
        <sz val="8"/>
        <rFont val="Arial"/>
        <family val="2"/>
      </rPr>
      <t>3</t>
    </r>
  </si>
  <si>
    <t xml:space="preserve">Tabell D8: Energianvändning för trafik – Spårvägar   </t>
  </si>
  <si>
    <t>Table D8: Energy use for traffic – Trams</t>
  </si>
  <si>
    <t xml:space="preserve">Tabell D9: Energianvändning för trafik – Tunnelbanan  </t>
  </si>
  <si>
    <t>Table D9: Energy use for traffic – Metro</t>
  </si>
  <si>
    <t xml:space="preserve">Tabell D10: Godstransporter på järnväg  </t>
  </si>
  <si>
    <t>Table D10: Goods transport by railway</t>
  </si>
  <si>
    <t>Transporterad godsmängd  /  Tonnes carried</t>
  </si>
  <si>
    <t>Transporterad godsmängd</t>
  </si>
  <si>
    <t>Tonnes carried                                                               (in thousands)</t>
  </si>
  <si>
    <t>(tusen ton)</t>
  </si>
  <si>
    <t>Inland</t>
  </si>
  <si>
    <t>Domestic consignments</t>
  </si>
  <si>
    <t>Vagnslastgods</t>
  </si>
  <si>
    <t>Wagonloads</t>
  </si>
  <si>
    <t>Malm på malmbanan</t>
  </si>
  <si>
    <t>Ore on the Ore Railway</t>
  </si>
  <si>
    <t>Summa inland</t>
  </si>
  <si>
    <t>Utland</t>
  </si>
  <si>
    <t>Cross-border consignments</t>
  </si>
  <si>
    <t>Summa utland</t>
  </si>
  <si>
    <t>Inland och utland</t>
  </si>
  <si>
    <t>All consignments</t>
  </si>
  <si>
    <t>- härav med containrar och växelflak</t>
  </si>
  <si>
    <t>- of which with containers and swap bodies</t>
  </si>
  <si>
    <t>- härav med lastbilar och semitrailers</t>
  </si>
  <si>
    <t>- of which with lorries and semi-trailers</t>
  </si>
  <si>
    <t>- härav i systemtåg</t>
  </si>
  <si>
    <t>- of which full train loads</t>
  </si>
  <si>
    <t xml:space="preserve">  (exklusive malm på malmbanan)</t>
  </si>
  <si>
    <t xml:space="preserve">   (excluding ore on the Ore Railway)</t>
  </si>
  <si>
    <t>Transportarbete  /  Transport performance</t>
  </si>
  <si>
    <t>Transport performance                                                               (million tonne-kilometres)</t>
  </si>
  <si>
    <t>(miljoner tonkilometer)</t>
  </si>
  <si>
    <r>
      <rPr>
        <vertAlign val="superscript"/>
        <sz val="8"/>
        <rFont val="Arial"/>
        <family val="2"/>
      </rPr>
      <t xml:space="preserve">1 </t>
    </r>
    <r>
      <rPr>
        <sz val="8"/>
        <rFont val="Arial"/>
        <family val="2"/>
      </rPr>
      <t>Före 2009 omfattar inte statistiken norska transittransporter från Norge till Norge genom Sverige.</t>
    </r>
  </si>
  <si>
    <t xml:space="preserve">  Before 2009, the statistics do not include Norwegian transit from Norway to Norway through Sweden.</t>
  </si>
  <si>
    <t>Anm: I malm på malmbanan redovisas godsmängd och transportarbete för LKAB Malmtrafik AB:s samtliga godstransporter</t>
  </si>
  <si>
    <t>på malmbanan. Andra malmtransporter redovisas på andra rader i tabellen.</t>
  </si>
  <si>
    <t>Ore on the Ore Railway includes all goods transported and transport performance on the Ore Railway, as reported by LKAB Malmtrafik AB.</t>
  </si>
  <si>
    <t>Other transport of ore is reported on other lines in the table.</t>
  </si>
  <si>
    <t>OBS: den sk MALMBANAN ligger inom SE1</t>
  </si>
  <si>
    <t>JÄRNVÄG</t>
  </si>
  <si>
    <t>LOK</t>
  </si>
  <si>
    <t>Eldrivna dragfordon i motorvagnssätt</t>
  </si>
  <si>
    <t>Dieseldrivna dragfordon</t>
  </si>
  <si>
    <t>MOTORVAGN</t>
  </si>
  <si>
    <t>SPÅVÄGAR</t>
  </si>
  <si>
    <t>Eldrivna dragfordon</t>
  </si>
  <si>
    <t>TUNNELBANA</t>
  </si>
  <si>
    <t>PERSONTRAFIK</t>
  </si>
  <si>
    <t>GODSTRAFIK</t>
  </si>
  <si>
    <t>ANTAL</t>
  </si>
  <si>
    <t>AVERAGE VEHICLE KM PER VEHICLE AND YEAR</t>
  </si>
  <si>
    <t>v km</t>
  </si>
  <si>
    <t>ton km</t>
  </si>
  <si>
    <t>ton</t>
  </si>
  <si>
    <t xml:space="preserve">RAIL </t>
  </si>
  <si>
    <t>PASSENGER</t>
  </si>
  <si>
    <t>Tåg Regional</t>
  </si>
  <si>
    <t>Tåg Fjärr</t>
  </si>
  <si>
    <t>RAIL - PASSENGER</t>
  </si>
  <si>
    <t>Utrikes sjöfart</t>
  </si>
  <si>
    <t>SEA</t>
  </si>
  <si>
    <t>Andel pass</t>
  </si>
  <si>
    <t>Andel freight</t>
  </si>
  <si>
    <t>Inrukes sjöfart</t>
  </si>
  <si>
    <t>Tabell 2C</t>
  </si>
  <si>
    <t>Antal fartygsanlöp i svenska hamnar, ankommande fartyg</t>
  </si>
  <si>
    <t>Number of vessels entered in Swedish ports</t>
  </si>
  <si>
    <t/>
  </si>
  <si>
    <r>
      <t>Antal fartyg</t>
    </r>
    <r>
      <rPr>
        <b/>
        <vertAlign val="superscript"/>
        <sz val="8"/>
        <rFont val="Arial"/>
        <family val="2"/>
      </rPr>
      <t>1</t>
    </r>
    <r>
      <rPr>
        <b/>
        <sz val="8"/>
        <rFont val="Arial"/>
        <family val="2"/>
      </rPr>
      <t xml:space="preserve"> </t>
    </r>
    <r>
      <rPr>
        <b/>
        <sz val="8"/>
        <rFont val="Calibri"/>
        <family val="2"/>
      </rPr>
      <t xml:space="preserve">– </t>
    </r>
    <r>
      <rPr>
        <b/>
        <i/>
        <sz val="8"/>
        <rFont val="Arial"/>
        <family val="2"/>
      </rPr>
      <t>Number of vessels</t>
    </r>
    <r>
      <rPr>
        <b/>
        <i/>
        <vertAlign val="superscript"/>
        <sz val="8"/>
        <rFont val="Arial"/>
        <family val="2"/>
      </rPr>
      <t>1</t>
    </r>
    <r>
      <rPr>
        <b/>
        <i/>
        <sz val="8"/>
        <rFont val="Arial"/>
        <family val="2"/>
      </rPr>
      <t xml:space="preserve"> </t>
    </r>
  </si>
  <si>
    <t xml:space="preserve">därav </t>
  </si>
  <si>
    <r>
      <t>passagerarfartyg och färjor</t>
    </r>
    <r>
      <rPr>
        <i/>
        <vertAlign val="superscript"/>
        <sz val="8"/>
        <rFont val="Arial"/>
        <family val="2"/>
      </rPr>
      <t>2</t>
    </r>
  </si>
  <si>
    <t xml:space="preserve">of which </t>
  </si>
  <si>
    <r>
      <t>passenger vessels and ferries</t>
    </r>
    <r>
      <rPr>
        <i/>
        <vertAlign val="superscript"/>
        <sz val="8"/>
        <rFont val="Arial"/>
        <family val="2"/>
      </rPr>
      <t>2</t>
    </r>
  </si>
  <si>
    <r>
      <t xml:space="preserve">kryssningsfartyg </t>
    </r>
    <r>
      <rPr>
        <sz val="8"/>
        <rFont val="Calibri"/>
        <family val="2"/>
      </rPr>
      <t>–</t>
    </r>
    <r>
      <rPr>
        <sz val="8"/>
        <rFont val="Arial"/>
        <family val="2"/>
      </rPr>
      <t xml:space="preserve"> </t>
    </r>
    <r>
      <rPr>
        <i/>
        <sz val="8"/>
        <rFont val="Arial"/>
        <family val="2"/>
      </rPr>
      <t>cruise passenger vessels</t>
    </r>
  </si>
  <si>
    <r>
      <t xml:space="preserve">Bruttodräktighet i 1 000  – </t>
    </r>
    <r>
      <rPr>
        <i/>
        <sz val="8"/>
        <rFont val="Arial"/>
        <family val="2"/>
      </rPr>
      <t>Gross tonnage in 1,000</t>
    </r>
  </si>
  <si>
    <t>Därav i direkt utrikes fart</t>
  </si>
  <si>
    <t>vessels in direct voyages</t>
  </si>
  <si>
    <r>
      <t>Antal fartyg</t>
    </r>
    <r>
      <rPr>
        <vertAlign val="superscript"/>
        <sz val="8"/>
        <rFont val="Arial"/>
        <family val="2"/>
      </rPr>
      <t>1</t>
    </r>
  </si>
  <si>
    <r>
      <t>passagerarfartyg och färjor</t>
    </r>
    <r>
      <rPr>
        <vertAlign val="superscript"/>
        <sz val="8"/>
        <rFont val="Arial"/>
        <family val="2"/>
      </rPr>
      <t>2</t>
    </r>
  </si>
  <si>
    <t>kryssningsfartyg</t>
  </si>
  <si>
    <t xml:space="preserve">Bruttodräktighet i 1 000 </t>
  </si>
  <si>
    <t>Antal fartyg</t>
  </si>
  <si>
    <t>passagerarfartyg och färjor</t>
  </si>
  <si>
    <r>
      <t xml:space="preserve">1) Fr. o. m. år 2004 ingår kryssningsfartyg. </t>
    </r>
    <r>
      <rPr>
        <sz val="8"/>
        <rFont val="Calibri"/>
        <family val="2"/>
      </rPr>
      <t>–</t>
    </r>
    <r>
      <rPr>
        <sz val="8"/>
        <rFont val="Arial"/>
        <family val="2"/>
      </rPr>
      <t xml:space="preserve"> </t>
    </r>
    <r>
      <rPr>
        <i/>
        <sz val="8"/>
        <rFont val="Arial"/>
        <family val="2"/>
      </rPr>
      <t>From 2004 including cruise passenger vessels.</t>
    </r>
  </si>
  <si>
    <r>
      <t xml:space="preserve">2) Rorofartyg ingår i redovisningen. </t>
    </r>
    <r>
      <rPr>
        <sz val="8"/>
        <rFont val="Calibri"/>
        <family val="2"/>
      </rPr>
      <t>–</t>
    </r>
    <r>
      <rPr>
        <sz val="8"/>
        <rFont val="Arial"/>
        <family val="2"/>
      </rPr>
      <t xml:space="preserve"> </t>
    </r>
    <r>
      <rPr>
        <i/>
        <sz val="8"/>
        <rFont val="Arial"/>
        <family val="2"/>
      </rPr>
      <t>Roro vessels are included.</t>
    </r>
  </si>
  <si>
    <r>
      <t xml:space="preserve">Anmärkning: Inrikes passagerartrafik avser endast trafik till och från Gotland. </t>
    </r>
    <r>
      <rPr>
        <sz val="8"/>
        <rFont val="Calibri"/>
        <family val="2"/>
      </rPr>
      <t>–</t>
    </r>
    <r>
      <rPr>
        <sz val="8"/>
        <rFont val="Arial"/>
        <family val="2"/>
      </rPr>
      <t xml:space="preserve"> </t>
    </r>
    <r>
      <rPr>
        <i/>
        <sz val="8"/>
        <rFont val="Arial"/>
        <family val="2"/>
      </rPr>
      <t>Domestic passenger traffic is only traffic to and from Gotland.</t>
    </r>
  </si>
  <si>
    <t>Andel passagerarfartyg? Resten gods?</t>
  </si>
  <si>
    <t>Andel international?</t>
  </si>
  <si>
    <t>Sammanfattningstabell</t>
  </si>
  <si>
    <t>Summary table</t>
  </si>
  <si>
    <r>
      <t xml:space="preserve">Fartygstrafik </t>
    </r>
    <r>
      <rPr>
        <b/>
        <sz val="9"/>
        <rFont val="Calibri"/>
        <family val="2"/>
      </rPr>
      <t>–</t>
    </r>
    <r>
      <rPr>
        <b/>
        <sz val="9"/>
        <rFont val="Arial"/>
        <family val="2"/>
      </rPr>
      <t xml:space="preserve"> </t>
    </r>
    <r>
      <rPr>
        <b/>
        <i/>
        <sz val="9"/>
        <rFont val="Arial"/>
        <family val="2"/>
      </rPr>
      <t>Vessels entered</t>
    </r>
  </si>
  <si>
    <r>
      <t xml:space="preserve">antal ankomna fartyg – </t>
    </r>
    <r>
      <rPr>
        <i/>
        <sz val="9"/>
        <rFont val="Arial"/>
        <family val="2"/>
      </rPr>
      <t>number of vessels entered</t>
    </r>
  </si>
  <si>
    <r>
      <t>bruttodräktighet i 1 000 – g</t>
    </r>
    <r>
      <rPr>
        <i/>
        <sz val="9"/>
        <rFont val="Arial"/>
        <family val="2"/>
      </rPr>
      <t>ross tonnage in 1,000</t>
    </r>
  </si>
  <si>
    <r>
      <t xml:space="preserve">  därav i direkt utrikes fart – </t>
    </r>
    <r>
      <rPr>
        <i/>
        <sz val="9"/>
        <rFont val="Arial"/>
        <family val="2"/>
      </rPr>
      <t>of which vessels in direct voyages</t>
    </r>
  </si>
  <si>
    <r>
      <t xml:space="preserve">Godshantering, 1 000 ton – </t>
    </r>
    <r>
      <rPr>
        <b/>
        <i/>
        <sz val="9"/>
        <rFont val="Arial"/>
        <family val="2"/>
      </rPr>
      <t>Handling of goods, 1,000 tonnes</t>
    </r>
  </si>
  <si>
    <r>
      <t>Utrikes varutrafik</t>
    </r>
    <r>
      <rPr>
        <b/>
        <i/>
        <sz val="9"/>
        <rFont val="Arial"/>
        <family val="2"/>
      </rPr>
      <t xml:space="preserve"> </t>
    </r>
    <r>
      <rPr>
        <b/>
        <sz val="9"/>
        <rFont val="Calibri"/>
        <family val="2"/>
      </rPr>
      <t>–</t>
    </r>
    <r>
      <rPr>
        <b/>
        <i/>
        <sz val="9"/>
        <rFont val="Arial"/>
        <family val="2"/>
      </rPr>
      <t xml:space="preserve"> Foreign traffic</t>
    </r>
  </si>
  <si>
    <r>
      <t xml:space="preserve">Lossade varor </t>
    </r>
    <r>
      <rPr>
        <b/>
        <sz val="9"/>
        <rFont val="Calibri"/>
        <family val="2"/>
      </rPr>
      <t>–</t>
    </r>
    <r>
      <rPr>
        <b/>
        <sz val="9"/>
        <rFont val="Arial"/>
        <family val="2"/>
      </rPr>
      <t xml:space="preserve"> </t>
    </r>
    <r>
      <rPr>
        <b/>
        <i/>
        <sz val="9"/>
        <rFont val="Arial"/>
        <family val="2"/>
      </rPr>
      <t>Unloaded goods</t>
    </r>
  </si>
  <si>
    <t>varav på</t>
  </si>
  <si>
    <r>
      <t xml:space="preserve">lastfordon – </t>
    </r>
    <r>
      <rPr>
        <i/>
        <sz val="9"/>
        <rFont val="Arial"/>
        <family val="2"/>
      </rPr>
      <t>of which on trailers</t>
    </r>
  </si>
  <si>
    <r>
      <t xml:space="preserve">järnvägsvagnar </t>
    </r>
    <r>
      <rPr>
        <i/>
        <sz val="9"/>
        <rFont val="Arial"/>
        <family val="2"/>
      </rPr>
      <t>– railway wagons</t>
    </r>
  </si>
  <si>
    <r>
      <t xml:space="preserve">Lastade varor </t>
    </r>
    <r>
      <rPr>
        <b/>
        <sz val="9"/>
        <rFont val="Calibri"/>
        <family val="2"/>
      </rPr>
      <t>–</t>
    </r>
    <r>
      <rPr>
        <b/>
        <sz val="9"/>
        <rFont val="Arial"/>
        <family val="2"/>
      </rPr>
      <t xml:space="preserve"> </t>
    </r>
    <r>
      <rPr>
        <b/>
        <i/>
        <sz val="9"/>
        <rFont val="Arial"/>
        <family val="2"/>
      </rPr>
      <t>Loaded goods</t>
    </r>
  </si>
  <si>
    <r>
      <t xml:space="preserve">järnvägsvagnar – </t>
    </r>
    <r>
      <rPr>
        <i/>
        <sz val="9"/>
        <rFont val="Arial"/>
        <family val="2"/>
      </rPr>
      <t>railway wagons</t>
    </r>
  </si>
  <si>
    <r>
      <t xml:space="preserve">Total utrikes godshantering </t>
    </r>
    <r>
      <rPr>
        <b/>
        <sz val="9"/>
        <rFont val="Calibri"/>
        <family val="2"/>
      </rPr>
      <t>–</t>
    </r>
    <r>
      <rPr>
        <b/>
        <sz val="9"/>
        <rFont val="Arial"/>
        <family val="2"/>
      </rPr>
      <t xml:space="preserve"> </t>
    </r>
    <r>
      <rPr>
        <b/>
        <i/>
        <sz val="9"/>
        <rFont val="Arial"/>
        <family val="2"/>
      </rPr>
      <t>Total handling of foreign goods</t>
    </r>
  </si>
  <si>
    <r>
      <t>Inrikes varutrafik</t>
    </r>
    <r>
      <rPr>
        <b/>
        <i/>
        <sz val="9"/>
        <rFont val="Arial"/>
        <family val="2"/>
      </rPr>
      <t xml:space="preserve"> </t>
    </r>
    <r>
      <rPr>
        <b/>
        <sz val="9"/>
        <rFont val="Calibri"/>
        <family val="2"/>
      </rPr>
      <t>–</t>
    </r>
    <r>
      <rPr>
        <b/>
        <i/>
        <sz val="9"/>
        <rFont val="Arial"/>
        <family val="2"/>
      </rPr>
      <t xml:space="preserve"> Domestic traffic</t>
    </r>
  </si>
  <si>
    <r>
      <t xml:space="preserve">Lastade varor </t>
    </r>
    <r>
      <rPr>
        <b/>
        <sz val="9"/>
        <rFont val="Calibri"/>
        <family val="2"/>
      </rPr>
      <t xml:space="preserve">– </t>
    </r>
    <r>
      <rPr>
        <b/>
        <i/>
        <sz val="9"/>
        <rFont val="Arial"/>
        <family val="2"/>
      </rPr>
      <t>Loaded goods</t>
    </r>
  </si>
  <si>
    <r>
      <t xml:space="preserve">Total inrikes godshantering </t>
    </r>
    <r>
      <rPr>
        <b/>
        <sz val="9"/>
        <rFont val="Calibri"/>
        <family val="2"/>
      </rPr>
      <t>–</t>
    </r>
    <r>
      <rPr>
        <b/>
        <sz val="9"/>
        <rFont val="Arial"/>
        <family val="2"/>
      </rPr>
      <t xml:space="preserve"> </t>
    </r>
    <r>
      <rPr>
        <b/>
        <i/>
        <sz val="9"/>
        <rFont val="Arial"/>
        <family val="2"/>
      </rPr>
      <t>Total handling of domestic goods</t>
    </r>
  </si>
  <si>
    <r>
      <t xml:space="preserve">Total godshantering </t>
    </r>
    <r>
      <rPr>
        <b/>
        <sz val="9"/>
        <rFont val="Calibri"/>
        <family val="2"/>
      </rPr>
      <t>–</t>
    </r>
    <r>
      <rPr>
        <b/>
        <sz val="9"/>
        <rFont val="Arial"/>
        <family val="2"/>
      </rPr>
      <t xml:space="preserve"> </t>
    </r>
    <r>
      <rPr>
        <b/>
        <i/>
        <sz val="9"/>
        <rFont val="Arial"/>
        <family val="2"/>
      </rPr>
      <t>Total handling of goods</t>
    </r>
  </si>
  <si>
    <r>
      <t>Transportarbete, miljoner tonkm</t>
    </r>
    <r>
      <rPr>
        <b/>
        <i/>
        <sz val="9"/>
        <rFont val="Arial"/>
        <family val="2"/>
      </rPr>
      <t xml:space="preserve"> </t>
    </r>
    <r>
      <rPr>
        <b/>
        <sz val="9"/>
        <rFont val="Calibri"/>
        <family val="2"/>
      </rPr>
      <t>–</t>
    </r>
    <r>
      <rPr>
        <b/>
        <i/>
        <sz val="9"/>
        <rFont val="Arial"/>
        <family val="2"/>
      </rPr>
      <t xml:space="preserve"> Transport performance, million tonne-km</t>
    </r>
  </si>
  <si>
    <r>
      <t xml:space="preserve">Utrikes trafik – </t>
    </r>
    <r>
      <rPr>
        <b/>
        <i/>
        <sz val="9"/>
        <rFont val="Arial"/>
        <family val="2"/>
      </rPr>
      <t>Foreign traffic</t>
    </r>
  </si>
  <si>
    <t>varav</t>
  </si>
  <si>
    <r>
      <t xml:space="preserve">till Sverige från utlandet – </t>
    </r>
    <r>
      <rPr>
        <i/>
        <sz val="9"/>
        <rFont val="Arial"/>
        <family val="2"/>
      </rPr>
      <t>of which to Sweden from foreign ports</t>
    </r>
  </si>
  <si>
    <r>
      <t xml:space="preserve">från Sverige till utlandet – </t>
    </r>
    <r>
      <rPr>
        <i/>
        <sz val="9"/>
        <rFont val="Arial"/>
        <family val="2"/>
      </rPr>
      <t>of which from Sweden to foreign ports</t>
    </r>
  </si>
  <si>
    <r>
      <t xml:space="preserve">Inrikes trafik – </t>
    </r>
    <r>
      <rPr>
        <b/>
        <i/>
        <sz val="9"/>
        <rFont val="Arial"/>
        <family val="2"/>
      </rPr>
      <t>Domestic traffic</t>
    </r>
  </si>
  <si>
    <r>
      <t xml:space="preserve">Passagerare, 1 000-tal – </t>
    </r>
    <r>
      <rPr>
        <b/>
        <i/>
        <sz val="9"/>
        <rFont val="Arial"/>
        <family val="2"/>
      </rPr>
      <t>Passengers, thousands</t>
    </r>
  </si>
  <si>
    <r>
      <t xml:space="preserve">Utrikes passagerartrafik – </t>
    </r>
    <r>
      <rPr>
        <b/>
        <i/>
        <sz val="9"/>
        <rFont val="Arial"/>
        <family val="2"/>
      </rPr>
      <t>Foreign passenger traffic</t>
    </r>
  </si>
  <si>
    <r>
      <t xml:space="preserve">Antal inresta passagerare från – </t>
    </r>
    <r>
      <rPr>
        <b/>
        <i/>
        <sz val="9"/>
        <rFont val="Arial"/>
        <family val="2"/>
      </rPr>
      <t>Passengers arriving from</t>
    </r>
  </si>
  <si>
    <r>
      <t xml:space="preserve">Danska öresundshamnar – </t>
    </r>
    <r>
      <rPr>
        <i/>
        <sz val="9"/>
        <rFont val="Arial"/>
        <family val="2"/>
      </rPr>
      <t>Danish ports in Öresund</t>
    </r>
  </si>
  <si>
    <r>
      <t xml:space="preserve">Övriga danska hamnar – </t>
    </r>
    <r>
      <rPr>
        <i/>
        <sz val="9"/>
        <rFont val="Arial"/>
        <family val="2"/>
      </rPr>
      <t>Other Danish ports</t>
    </r>
  </si>
  <si>
    <r>
      <t xml:space="preserve">Finska hamnar – </t>
    </r>
    <r>
      <rPr>
        <i/>
        <sz val="9"/>
        <rFont val="Arial"/>
        <family val="2"/>
      </rPr>
      <t>Finnish ports</t>
    </r>
  </si>
  <si>
    <r>
      <t xml:space="preserve">Tyska hamnar – </t>
    </r>
    <r>
      <rPr>
        <i/>
        <sz val="9"/>
        <rFont val="Arial"/>
        <family val="2"/>
      </rPr>
      <t>German ports</t>
    </r>
  </si>
  <si>
    <r>
      <t xml:space="preserve">Övriga hamnar – </t>
    </r>
    <r>
      <rPr>
        <i/>
        <sz val="9"/>
        <rFont val="Arial"/>
        <family val="2"/>
      </rPr>
      <t>Other ports</t>
    </r>
  </si>
  <si>
    <r>
      <t xml:space="preserve">Totalt antal inresta passagerare – </t>
    </r>
    <r>
      <rPr>
        <b/>
        <i/>
        <sz val="9"/>
        <rFont val="Arial"/>
        <family val="2"/>
      </rPr>
      <t>Total number of arriving passengers</t>
    </r>
  </si>
  <si>
    <r>
      <t xml:space="preserve">Inrikes passagerartrafik – </t>
    </r>
    <r>
      <rPr>
        <b/>
        <i/>
        <sz val="9"/>
        <rFont val="Arial"/>
        <family val="2"/>
      </rPr>
      <t>Domestic passenger traffic</t>
    </r>
  </si>
  <si>
    <t>Nynäshamn–Visby</t>
  </si>
  <si>
    <t>Oskarshamn–Visby</t>
  </si>
  <si>
    <t>Grankullavik–Visby</t>
  </si>
  <si>
    <t>Visby–Nynäshamn</t>
  </si>
  <si>
    <t>Visby–Oskarshamn</t>
  </si>
  <si>
    <t>Visby–Grankullavik</t>
  </si>
  <si>
    <r>
      <t xml:space="preserve">Totalt antal inrikes passagerare – </t>
    </r>
    <r>
      <rPr>
        <b/>
        <i/>
        <sz val="9"/>
        <rFont val="Arial"/>
        <family val="2"/>
      </rPr>
      <t>Total number of domestic passengers</t>
    </r>
  </si>
  <si>
    <r>
      <t xml:space="preserve">Personkilometer, 1 000-tal – </t>
    </r>
    <r>
      <rPr>
        <b/>
        <i/>
        <sz val="9"/>
        <rFont val="Arial"/>
        <family val="2"/>
      </rPr>
      <t>Passenger kilometres, thousands</t>
    </r>
  </si>
  <si>
    <r>
      <t xml:space="preserve">Anmärkning: Personkilometer och transportarbete beräknat enligt Maritime Route dataset, se Beskrivning av Statistiken. – </t>
    </r>
    <r>
      <rPr>
        <i/>
        <sz val="8"/>
        <rFont val="Arial"/>
        <family val="2"/>
      </rPr>
      <t>Passenger kilometers and Transport performance computed by the Maritime Route dataset.</t>
    </r>
  </si>
  <si>
    <t>Tabell 1</t>
  </si>
  <si>
    <t>De största svenska hamnarna efter antal passagerare 2015</t>
  </si>
  <si>
    <t>The largest Swedish ports by number of passengers 2015</t>
  </si>
  <si>
    <t>Hamn</t>
  </si>
  <si>
    <t xml:space="preserve">Antal </t>
  </si>
  <si>
    <t>Port</t>
  </si>
  <si>
    <t>passagerare</t>
  </si>
  <si>
    <t>Number of</t>
  </si>
  <si>
    <t>passengers in</t>
  </si>
  <si>
    <t>Grisslehamn</t>
  </si>
  <si>
    <t>Kapellskär</t>
  </si>
  <si>
    <t>Övriga hamnar</t>
  </si>
  <si>
    <r>
      <t xml:space="preserve">Totalt 2015 – </t>
    </r>
    <r>
      <rPr>
        <b/>
        <i/>
        <sz val="9"/>
        <rFont val="Arial"/>
        <family val="2"/>
      </rPr>
      <t>Total 2015</t>
    </r>
  </si>
  <si>
    <r>
      <t xml:space="preserve">Totalt 2014 – </t>
    </r>
    <r>
      <rPr>
        <b/>
        <i/>
        <sz val="9"/>
        <rFont val="Arial"/>
        <family val="2"/>
      </rPr>
      <t>Total 2014</t>
    </r>
  </si>
  <si>
    <r>
      <t xml:space="preserve">Anmärkning: Besökande kryssningspassagerare ingår ej. </t>
    </r>
    <r>
      <rPr>
        <sz val="8"/>
        <rFont val="Calibri"/>
        <family val="2"/>
      </rPr>
      <t>–</t>
    </r>
    <r>
      <rPr>
        <sz val="8"/>
        <rFont val="Arial"/>
        <family val="2"/>
      </rPr>
      <t xml:space="preserve"> </t>
    </r>
    <r>
      <rPr>
        <i/>
        <sz val="8"/>
        <rFont val="Arial"/>
        <family val="2"/>
      </rPr>
      <t>Cruise passengers on excursion are excluded.</t>
    </r>
  </si>
  <si>
    <r>
      <t xml:space="preserve">Anmärkning: Inrikes passagerare räknas två gånger, en gång vid avresa och en gång vid ankomst. </t>
    </r>
    <r>
      <rPr>
        <sz val="8"/>
        <rFont val="Calibri"/>
        <family val="2"/>
      </rPr>
      <t>–</t>
    </r>
    <r>
      <rPr>
        <sz val="8"/>
        <rFont val="Arial"/>
        <family val="2"/>
      </rPr>
      <t xml:space="preserve"> </t>
    </r>
    <r>
      <rPr>
        <i/>
        <sz val="8"/>
        <rFont val="Arial"/>
        <family val="2"/>
      </rPr>
      <t>Domestic passengers are recorded twice, once on departure and once on arrival.</t>
    </r>
  </si>
  <si>
    <t>Tabell 8A</t>
  </si>
  <si>
    <t>Inrikes gods lossat i svenska hamnar 2015, mellan och inom geografiska områden. Kvantitet i ton</t>
  </si>
  <si>
    <t>Shipping of goods unloaded in Swedish ports in 2015 between and within groups of geographical areas. Quantity in tonnes</t>
  </si>
  <si>
    <t xml:space="preserve">Från geografiskt </t>
  </si>
  <si>
    <r>
      <t xml:space="preserve">Till geografiskt område </t>
    </r>
    <r>
      <rPr>
        <sz val="8"/>
        <rFont val="Calibri"/>
        <family val="2"/>
      </rPr>
      <t>–</t>
    </r>
    <r>
      <rPr>
        <sz val="8"/>
        <rFont val="Arial"/>
        <family val="2"/>
      </rPr>
      <t xml:space="preserve"> </t>
    </r>
    <r>
      <rPr>
        <i/>
        <sz val="8"/>
        <rFont val="Arial"/>
        <family val="2"/>
      </rPr>
      <t>To geographical area</t>
    </r>
  </si>
  <si>
    <t>område</t>
  </si>
  <si>
    <t>Hapa-</t>
  </si>
  <si>
    <t>Umeå–</t>
  </si>
  <si>
    <t>Hudiks-</t>
  </si>
  <si>
    <t>Norr-</t>
  </si>
  <si>
    <t>Upp-</t>
  </si>
  <si>
    <t xml:space="preserve">Södra </t>
  </si>
  <si>
    <t>From geographical</t>
  </si>
  <si>
    <t>randa–</t>
  </si>
  <si>
    <t>Sunds-</t>
  </si>
  <si>
    <t>vall–</t>
  </si>
  <si>
    <t>tälje–</t>
  </si>
  <si>
    <t>sala–</t>
  </si>
  <si>
    <t>ost-</t>
  </si>
  <si>
    <t>area</t>
  </si>
  <si>
    <t>Skel-</t>
  </si>
  <si>
    <t>vall</t>
  </si>
  <si>
    <t>Nynäs-</t>
  </si>
  <si>
    <t>Eskils-</t>
  </si>
  <si>
    <t>kusten</t>
  </si>
  <si>
    <t>lefteå</t>
  </si>
  <si>
    <t>hamn</t>
  </si>
  <si>
    <t>tuna</t>
  </si>
  <si>
    <t xml:space="preserve"> (Mälaren)</t>
  </si>
  <si>
    <r>
      <t>Haparanda</t>
    </r>
    <r>
      <rPr>
        <sz val="8"/>
        <rFont val="Calibri"/>
        <family val="2"/>
      </rPr>
      <t>–</t>
    </r>
    <r>
      <rPr>
        <sz val="8"/>
        <rFont val="Arial"/>
        <family val="2"/>
      </rPr>
      <t>Skellefteå</t>
    </r>
  </si>
  <si>
    <t>Umeå–Sundsvall</t>
  </si>
  <si>
    <t>Hudiksvall–Gävle</t>
  </si>
  <si>
    <t>Norrtälje–Nynäshamn</t>
  </si>
  <si>
    <t>Uppsala–Eskilstuna</t>
  </si>
  <si>
    <t>Södra ostkusten</t>
  </si>
  <si>
    <t>Karlskrona–Trelleborg</t>
  </si>
  <si>
    <t>Malmö–Helsingborg</t>
  </si>
  <si>
    <t>Halmstad–Varberg</t>
  </si>
  <si>
    <t>Stenungsund–Strömstad</t>
  </si>
  <si>
    <t>Trollhättan–Kristinehamn</t>
  </si>
  <si>
    <t>Okänd hamn</t>
  </si>
  <si>
    <r>
      <t xml:space="preserve">Totalt 2015 </t>
    </r>
    <r>
      <rPr>
        <b/>
        <sz val="8"/>
        <rFont val="Calibri"/>
        <family val="2"/>
      </rPr>
      <t>–</t>
    </r>
    <r>
      <rPr>
        <b/>
        <sz val="8"/>
        <rFont val="Arial"/>
        <family val="2"/>
      </rPr>
      <t xml:space="preserve"> </t>
    </r>
    <r>
      <rPr>
        <b/>
        <i/>
        <sz val="8"/>
        <rFont val="Arial"/>
        <family val="2"/>
      </rPr>
      <t>Total 2015</t>
    </r>
  </si>
  <si>
    <r>
      <t xml:space="preserve">Totalt 2014 – </t>
    </r>
    <r>
      <rPr>
        <b/>
        <i/>
        <sz val="8"/>
        <rFont val="Arial"/>
        <family val="2"/>
      </rPr>
      <t>Total 2014</t>
    </r>
  </si>
  <si>
    <t>Från geografiskt</t>
  </si>
  <si>
    <t>Till geografiskt område</t>
  </si>
  <si>
    <t>Karls-</t>
  </si>
  <si>
    <t>Malmö–</t>
  </si>
  <si>
    <t>Halm-</t>
  </si>
  <si>
    <t xml:space="preserve"> Göte-</t>
  </si>
  <si>
    <t>Stenung-</t>
  </si>
  <si>
    <t>Troll-</t>
  </si>
  <si>
    <t>krona–</t>
  </si>
  <si>
    <t>Helsing-</t>
  </si>
  <si>
    <t>stad–</t>
  </si>
  <si>
    <t xml:space="preserve"> borg</t>
  </si>
  <si>
    <t>sund–</t>
  </si>
  <si>
    <t>hättan–</t>
  </si>
  <si>
    <t>Trelle-</t>
  </si>
  <si>
    <t>borg</t>
  </si>
  <si>
    <t>(nedan-</t>
  </si>
  <si>
    <t>Ström-</t>
  </si>
  <si>
    <t>Kristine-</t>
  </si>
  <si>
    <t>för Troll-</t>
  </si>
  <si>
    <t>stad</t>
  </si>
  <si>
    <t>hätte kanal)</t>
  </si>
  <si>
    <t xml:space="preserve"> (Vänern)</t>
  </si>
  <si>
    <t>Tabell 4A</t>
  </si>
  <si>
    <t>Tabell 4A (forts)</t>
  </si>
  <si>
    <r>
      <t>Utrikes gods lossat i svenska hamnar 2015, fördelat efter varugrupper enligt NST 2007 samt efter geografiska områden. Kvantitet i 1</t>
    </r>
    <r>
      <rPr>
        <b/>
        <sz val="10"/>
        <rFont val="Calibri"/>
        <family val="2"/>
      </rPr>
      <t> </t>
    </r>
    <r>
      <rPr>
        <b/>
        <sz val="10"/>
        <rFont val="Arial"/>
        <family val="2"/>
      </rPr>
      <t>000-tal ton</t>
    </r>
  </si>
  <si>
    <t>Shipping of goods between Sweden and foreign countries in 2015. Goods to Sweden divided in commodity groups in NST 2007 and geographical areas. Quantity in 1,000 tonnes</t>
  </si>
  <si>
    <r>
      <t xml:space="preserve">Lossade varor – </t>
    </r>
    <r>
      <rPr>
        <i/>
        <sz val="9"/>
        <rFont val="Arial"/>
        <family val="2"/>
      </rPr>
      <t>Unloaded goods</t>
    </r>
  </si>
  <si>
    <t>Varugrupper enligt NST 2007</t>
  </si>
  <si>
    <t>Södra</t>
  </si>
  <si>
    <t>Commodity groups in NST 2007</t>
  </si>
  <si>
    <t>Produkter från jordbruk, skogsbruk och fiske</t>
  </si>
  <si>
    <t>spannmål</t>
  </si>
  <si>
    <t>rundvirke</t>
  </si>
  <si>
    <t>Kol, råolja och naturgas</t>
  </si>
  <si>
    <t>råolja</t>
  </si>
  <si>
    <t>Malm och andra produkter från utvinning</t>
  </si>
  <si>
    <t>jord, sten, grus och sand</t>
  </si>
  <si>
    <t>järnmalm</t>
  </si>
  <si>
    <t>annan malm än järnmalm</t>
  </si>
  <si>
    <t>Livsmedel, drycker och tobak</t>
  </si>
  <si>
    <t>Textil- och beklädnadsvaror, läder, lädervaror</t>
  </si>
  <si>
    <t xml:space="preserve">Trä samt varor av trä och kork (exkl möbler), </t>
  </si>
  <si>
    <t>massa, papper och pappersvaror, trycksaker</t>
  </si>
  <si>
    <t>sågade och hyvlade trävaror</t>
  </si>
  <si>
    <t>flis, trä/sågavfall</t>
  </si>
  <si>
    <t>pappersmassa</t>
  </si>
  <si>
    <t>papper, papp och varor därav</t>
  </si>
  <si>
    <t>Stenkolsprodukter och raffinerade</t>
  </si>
  <si>
    <t>petroleumprodukter</t>
  </si>
  <si>
    <t>raffinerade petroleumprodukter</t>
  </si>
  <si>
    <t xml:space="preserve">Kemikalier, kemiska produkter, konstfibrer, </t>
  </si>
  <si>
    <t>gummi- och plastvaror samt kärnbränsle</t>
  </si>
  <si>
    <t>Andra icke-metalliska mineraliska produkter</t>
  </si>
  <si>
    <t>Metallvaror exkl. maskiner och utrustning</t>
  </si>
  <si>
    <t>Maskiner och instrument</t>
  </si>
  <si>
    <t>Transportutrustning</t>
  </si>
  <si>
    <t>Möbler och andra tillverkade varor</t>
  </si>
  <si>
    <t>Avfall och returråvara</t>
  </si>
  <si>
    <t>Post och paket</t>
  </si>
  <si>
    <t>Utrustning för transport av gods</t>
  </si>
  <si>
    <t>Flyttgods, fordon för reparation</t>
  </si>
  <si>
    <t>Styckegods och samlastat gods</t>
  </si>
  <si>
    <t>Oidentifierbart gods</t>
  </si>
  <si>
    <t>gods på lastfordon</t>
  </si>
  <si>
    <t>gods på järnvägsvagnar</t>
  </si>
  <si>
    <t>containergods</t>
  </si>
  <si>
    <t>Andra varor, ej tidigare specificerade</t>
  </si>
  <si>
    <t>Totalt 2015 – Total 2015</t>
  </si>
  <si>
    <r>
      <t xml:space="preserve">Totalt 2014 </t>
    </r>
    <r>
      <rPr>
        <b/>
        <sz val="8"/>
        <rFont val="Calibri"/>
        <family val="2"/>
      </rPr>
      <t>–</t>
    </r>
    <r>
      <rPr>
        <b/>
        <sz val="8"/>
        <rFont val="Arial"/>
        <family val="2"/>
      </rPr>
      <t xml:space="preserve"> </t>
    </r>
    <r>
      <rPr>
        <b/>
        <i/>
        <sz val="8"/>
        <rFont val="Arial"/>
        <family val="2"/>
      </rPr>
      <t>Total 2014</t>
    </r>
  </si>
  <si>
    <t>Totalt 2014 – Total 2014</t>
  </si>
  <si>
    <t>SE1-4:</t>
  </si>
  <si>
    <t>UTRIKES GODS LOSSAT</t>
  </si>
  <si>
    <t>Från</t>
  </si>
  <si>
    <t>Till</t>
  </si>
  <si>
    <t>Från o Till</t>
  </si>
  <si>
    <t>GODS INRIKES</t>
  </si>
  <si>
    <t>PASSAGERARE</t>
  </si>
  <si>
    <t xml:space="preserve">GEOGRAFISK FÖRDELNING </t>
  </si>
  <si>
    <t>FÖRDELNING PASSAGERARE / GODS</t>
  </si>
  <si>
    <t xml:space="preserve">Passagerare </t>
  </si>
  <si>
    <t>Gods</t>
  </si>
  <si>
    <t>NATIONAL</t>
  </si>
  <si>
    <t>INTERNATIONAL</t>
  </si>
  <si>
    <t>FREIGHT</t>
  </si>
  <si>
    <t>MH: OBS STOCK OF VEHICLES ÄR</t>
  </si>
  <si>
    <t>TOTALT ANTAL ANVÄNDA FORDON</t>
  </si>
  <si>
    <t>I NULÄGET I SLUTET AV ÅRET (?), EJ</t>
  </si>
  <si>
    <t xml:space="preserve">UNDER ÅRET. </t>
  </si>
  <si>
    <t>[PJ]</t>
  </si>
  <si>
    <t>El bantrafik tot</t>
  </si>
  <si>
    <t>Diesel anv bantrafik tot</t>
  </si>
  <si>
    <t>Diesel för persontrafik</t>
  </si>
  <si>
    <t>Diesel för godstrafik</t>
  </si>
  <si>
    <t>El för persontrafik</t>
  </si>
  <si>
    <t>El för godstrafik</t>
  </si>
  <si>
    <t>SPÅRVÄG</t>
  </si>
  <si>
    <t>TOT</t>
  </si>
  <si>
    <t>EL</t>
  </si>
  <si>
    <t>M vehicle km/PJ</t>
  </si>
  <si>
    <t>Regional</t>
  </si>
  <si>
    <t>Fjärr</t>
  </si>
  <si>
    <t>Tot</t>
  </si>
  <si>
    <t>Dragfordon</t>
  </si>
  <si>
    <t>Tågkm</t>
  </si>
  <si>
    <t>kSeats</t>
  </si>
  <si>
    <t xml:space="preserve">Tågkm per år och tåg </t>
  </si>
  <si>
    <t>Miljoner personkm</t>
  </si>
  <si>
    <t>Tusental</t>
  </si>
  <si>
    <t>Miljoner</t>
  </si>
  <si>
    <t>Platskm</t>
  </si>
  <si>
    <t>Ståplatskm</t>
  </si>
  <si>
    <t>Bränsleförbrukning</t>
  </si>
  <si>
    <t>AF</t>
  </si>
  <si>
    <t>Plats/tåg</t>
  </si>
  <si>
    <t>from "SE Public transport data"</t>
  </si>
  <si>
    <t>VANS</t>
  </si>
  <si>
    <t>xx</t>
  </si>
  <si>
    <t>From "SE stock data"</t>
  </si>
  <si>
    <t>v km/(year, vehicle)</t>
  </si>
  <si>
    <t xml:space="preserve">AVERAGE LOAD PER VKM , </t>
  </si>
  <si>
    <t>antal</t>
  </si>
  <si>
    <t>kVehicles</t>
  </si>
  <si>
    <t>S1</t>
  </si>
  <si>
    <t>person per vehicle</t>
  </si>
  <si>
    <t>Persons per vehicle</t>
  </si>
  <si>
    <t>Vehicle km</t>
  </si>
  <si>
    <t>Per bus and year</t>
  </si>
  <si>
    <t>vkm</t>
  </si>
  <si>
    <t>vkm/bus</t>
  </si>
  <si>
    <t>SE REGION</t>
  </si>
  <si>
    <t>Data</t>
  </si>
  <si>
    <t xml:space="preserve">AVIATION SWEDEN </t>
  </si>
  <si>
    <t>Table copied from "SE km&amp;fuel data"</t>
  </si>
  <si>
    <r>
      <t>chartertrafik 2009-2010</t>
    </r>
    <r>
      <rPr>
        <b/>
        <vertAlign val="superscript"/>
        <sz val="10"/>
        <rFont val="Arial"/>
        <family val="2"/>
      </rPr>
      <t xml:space="preserve"> 1</t>
    </r>
    <r>
      <rPr>
        <b/>
        <sz val="10"/>
        <rFont val="Arial"/>
        <family val="2"/>
      </rPr>
      <t>. Ton.</t>
    </r>
  </si>
  <si>
    <r>
      <t xml:space="preserve">non-scheduled traffic 2009-2010 </t>
    </r>
    <r>
      <rPr>
        <vertAlign val="superscript"/>
        <sz val="10"/>
        <rFont val="Arial"/>
        <family val="2"/>
      </rPr>
      <t>1</t>
    </r>
    <r>
      <rPr>
        <sz val="10"/>
        <rFont val="Arial"/>
        <family val="2"/>
      </rPr>
      <t>. Tonnes.</t>
    </r>
  </si>
  <si>
    <r>
      <t>Ank</t>
    </r>
    <r>
      <rPr>
        <vertAlign val="superscript"/>
        <sz val="10"/>
        <rFont val="Arial"/>
        <family val="2"/>
      </rPr>
      <t>2</t>
    </r>
  </si>
  <si>
    <r>
      <t>Avg</t>
    </r>
    <r>
      <rPr>
        <vertAlign val="superscript"/>
        <sz val="10"/>
        <rFont val="Arial"/>
        <family val="2"/>
      </rPr>
      <t>2</t>
    </r>
  </si>
  <si>
    <r>
      <t>Unloaded</t>
    </r>
    <r>
      <rPr>
        <vertAlign val="superscript"/>
        <sz val="10"/>
        <rFont val="Arial"/>
        <family val="2"/>
      </rPr>
      <t>2</t>
    </r>
  </si>
  <si>
    <r>
      <t>Loaded</t>
    </r>
    <r>
      <rPr>
        <vertAlign val="superscript"/>
        <sz val="10"/>
        <rFont val="Arial"/>
        <family val="2"/>
      </rPr>
      <t>2</t>
    </r>
  </si>
  <si>
    <r>
      <t>1</t>
    </r>
    <r>
      <rPr>
        <sz val="10"/>
        <rFont val="Arial"/>
        <family val="2"/>
      </rPr>
      <t xml:space="preserve"> Avser flugen frakt </t>
    </r>
  </si>
  <si>
    <r>
      <t xml:space="preserve">2 </t>
    </r>
    <r>
      <rPr>
        <sz val="10"/>
        <rFont val="Arial"/>
        <family val="2"/>
      </rPr>
      <t xml:space="preserve">Skillnaden mellan antalet ankommande och avgående fraktton beror på en större noggrannhet i </t>
    </r>
  </si>
  <si>
    <r>
      <rPr>
        <b/>
        <sz val="10"/>
        <rFont val="Arial"/>
        <family val="2"/>
      </rPr>
      <t>Flygtrafik</t>
    </r>
    <r>
      <rPr>
        <b/>
        <i/>
        <sz val="10"/>
        <rFont val="Arial"/>
        <family val="2"/>
      </rPr>
      <t xml:space="preserve"> Air traffic</t>
    </r>
  </si>
  <si>
    <r>
      <rPr>
        <sz val="10"/>
        <rFont val="Arial"/>
        <family val="2"/>
      </rPr>
      <t>Landningar</t>
    </r>
    <r>
      <rPr>
        <i/>
        <sz val="10"/>
        <rFont val="Arial"/>
        <family val="2"/>
      </rPr>
      <t xml:space="preserve"> Landings</t>
    </r>
  </si>
  <si>
    <r>
      <t xml:space="preserve">Utrikes </t>
    </r>
    <r>
      <rPr>
        <i/>
        <sz val="10"/>
        <rFont val="Arial"/>
        <family val="2"/>
      </rPr>
      <t>International</t>
    </r>
  </si>
  <si>
    <r>
      <t xml:space="preserve">Inrikes </t>
    </r>
    <r>
      <rPr>
        <i/>
        <sz val="10"/>
        <rFont val="Arial"/>
        <family val="2"/>
      </rPr>
      <t>Domestic</t>
    </r>
  </si>
  <si>
    <r>
      <t xml:space="preserve">Taxiflyg </t>
    </r>
    <r>
      <rPr>
        <i/>
        <sz val="10"/>
        <rFont val="Arial"/>
        <family val="2"/>
      </rPr>
      <t>Taxi flights</t>
    </r>
  </si>
  <si>
    <r>
      <t xml:space="preserve">Övrig luftfart </t>
    </r>
    <r>
      <rPr>
        <i/>
        <sz val="10"/>
        <rFont val="Arial"/>
        <family val="2"/>
      </rPr>
      <t>Other flights</t>
    </r>
  </si>
  <si>
    <r>
      <t xml:space="preserve">Summa landningar </t>
    </r>
    <r>
      <rPr>
        <i/>
        <sz val="10"/>
        <rFont val="Arial"/>
        <family val="2"/>
      </rPr>
      <t>Landings, total</t>
    </r>
  </si>
  <si>
    <r>
      <rPr>
        <sz val="10"/>
        <rFont val="Arial"/>
        <family val="2"/>
      </rPr>
      <t>Passagerare (000)</t>
    </r>
    <r>
      <rPr>
        <i/>
        <sz val="10"/>
        <rFont val="Arial"/>
        <family val="2"/>
      </rPr>
      <t xml:space="preserve"> Passengers (000)</t>
    </r>
  </si>
  <si>
    <r>
      <t xml:space="preserve">Inrikes avresande </t>
    </r>
    <r>
      <rPr>
        <i/>
        <sz val="10"/>
        <rFont val="Arial"/>
        <family val="2"/>
      </rPr>
      <t>Domestic departing</t>
    </r>
  </si>
  <si>
    <r>
      <t xml:space="preserve">Summa passagerare </t>
    </r>
    <r>
      <rPr>
        <i/>
        <sz val="10"/>
        <rFont val="Arial"/>
        <family val="2"/>
      </rPr>
      <t>Passengers, total</t>
    </r>
  </si>
  <si>
    <r>
      <rPr>
        <sz val="10"/>
        <rFont val="Arial"/>
        <family val="2"/>
      </rPr>
      <t>Fraktgods, ton</t>
    </r>
    <r>
      <rPr>
        <i/>
        <sz val="10"/>
        <rFont val="Arial"/>
        <family val="2"/>
      </rPr>
      <t xml:space="preserve"> Freight, tonnes</t>
    </r>
  </si>
  <si>
    <r>
      <t xml:space="preserve">Inrikes avgående </t>
    </r>
    <r>
      <rPr>
        <i/>
        <sz val="10"/>
        <rFont val="Arial"/>
        <family val="2"/>
      </rPr>
      <t>Domestic loaded</t>
    </r>
  </si>
  <si>
    <r>
      <t xml:space="preserve">Summa fraktgods </t>
    </r>
    <r>
      <rPr>
        <i/>
        <sz val="10"/>
        <rFont val="Arial"/>
        <family val="2"/>
      </rPr>
      <t>Freight, total</t>
    </r>
  </si>
  <si>
    <r>
      <rPr>
        <sz val="10"/>
        <rFont val="Arial"/>
        <family val="2"/>
      </rPr>
      <t>Post, ton</t>
    </r>
    <r>
      <rPr>
        <i/>
        <sz val="10"/>
        <rFont val="Arial"/>
        <family val="2"/>
      </rPr>
      <t xml:space="preserve"> Mail, tonnes</t>
    </r>
  </si>
  <si>
    <r>
      <t xml:space="preserve">Summa post </t>
    </r>
    <r>
      <rPr>
        <i/>
        <sz val="10"/>
        <rFont val="Arial"/>
        <family val="2"/>
      </rPr>
      <t>Mail, total</t>
    </r>
  </si>
  <si>
    <r>
      <rPr>
        <b/>
        <sz val="10"/>
        <rFont val="Arial"/>
        <family val="2"/>
      </rPr>
      <t>Luftfartyg</t>
    </r>
    <r>
      <rPr>
        <b/>
        <i/>
        <sz val="10"/>
        <rFont val="Arial"/>
        <family val="2"/>
      </rPr>
      <t xml:space="preserve"> Aircraft</t>
    </r>
  </si>
  <si>
    <r>
      <t>Certifikat den 31 december</t>
    </r>
    <r>
      <rPr>
        <vertAlign val="superscript"/>
        <sz val="10"/>
        <rFont val="Arial"/>
        <family val="2"/>
      </rPr>
      <t>1</t>
    </r>
  </si>
  <si>
    <r>
      <t>Licences, December 31</t>
    </r>
    <r>
      <rPr>
        <i/>
        <vertAlign val="superscript"/>
        <sz val="10"/>
        <rFont val="Arial"/>
        <family val="2"/>
      </rPr>
      <t>1</t>
    </r>
  </si>
  <si>
    <r>
      <t xml:space="preserve">Bruksflyg </t>
    </r>
    <r>
      <rPr>
        <i/>
        <sz val="10"/>
        <rFont val="Arial"/>
        <family val="2"/>
      </rPr>
      <t>Miscellaneous commercial flying</t>
    </r>
  </si>
  <si>
    <r>
      <t xml:space="preserve">Skolflyg </t>
    </r>
    <r>
      <rPr>
        <i/>
        <sz val="10"/>
        <rFont val="Arial"/>
        <family val="2"/>
      </rPr>
      <t>Instructional operations</t>
    </r>
  </si>
  <si>
    <r>
      <t xml:space="preserve">Privatflyg </t>
    </r>
    <r>
      <rPr>
        <i/>
        <sz val="10"/>
        <rFont val="Arial"/>
        <family val="2"/>
      </rPr>
      <t xml:space="preserve">Private flights </t>
    </r>
  </si>
  <si>
    <r>
      <t xml:space="preserve">Summa haverier </t>
    </r>
    <r>
      <rPr>
        <i/>
        <sz val="10"/>
        <rFont val="Arial"/>
        <family val="2"/>
      </rPr>
      <t>Accidents, total</t>
    </r>
  </si>
  <si>
    <r>
      <t>samtliga ICAO-anslutna staters linjebolag (milj)</t>
    </r>
    <r>
      <rPr>
        <vertAlign val="superscript"/>
        <sz val="10"/>
        <rFont val="Arial"/>
        <family val="2"/>
      </rPr>
      <t>2</t>
    </r>
  </si>
  <si>
    <r>
      <t>1</t>
    </r>
    <r>
      <rPr>
        <sz val="10"/>
        <rFont val="Arial"/>
        <family val="2"/>
      </rPr>
      <t xml:space="preserve"> Se tabell 2.4. For  explanation see table 2.4</t>
    </r>
  </si>
  <si>
    <r>
      <t xml:space="preserve">2 </t>
    </r>
    <r>
      <rPr>
        <sz val="10"/>
        <rFont val="Arial"/>
        <family val="2"/>
      </rPr>
      <t>Number of passengers carried on scheduled sevices for ICAO contracting states' scheduled airlines</t>
    </r>
  </si>
  <si>
    <r>
      <t xml:space="preserve">r </t>
    </r>
    <r>
      <rPr>
        <sz val="10"/>
        <rFont val="Arial"/>
        <family val="2"/>
      </rPr>
      <t xml:space="preserve">Reviderade siffror. </t>
    </r>
    <r>
      <rPr>
        <i/>
        <sz val="10"/>
        <rFont val="Arial"/>
        <family val="2"/>
      </rPr>
      <t>Revised figures.</t>
    </r>
  </si>
  <si>
    <r>
      <t>verksamhet</t>
    </r>
    <r>
      <rPr>
        <vertAlign val="superscript"/>
        <sz val="10"/>
        <rFont val="Arial"/>
        <family val="2"/>
      </rPr>
      <t>1</t>
    </r>
  </si>
  <si>
    <r>
      <t>activity</t>
    </r>
    <r>
      <rPr>
        <vertAlign val="superscript"/>
        <sz val="10"/>
        <rFont val="Arial"/>
        <family val="2"/>
      </rPr>
      <t>1</t>
    </r>
  </si>
  <si>
    <r>
      <t>1</t>
    </r>
    <r>
      <rPr>
        <sz val="10"/>
        <rFont val="Arial"/>
        <family val="2"/>
      </rPr>
      <t xml:space="preserve"> Privatflyg, skolflyg, aerial work och militär. Private flights, instructional flights, aerial work and military.</t>
    </r>
  </si>
  <si>
    <r>
      <t>verksamhet</t>
    </r>
    <r>
      <rPr>
        <b/>
        <vertAlign val="superscript"/>
        <sz val="10"/>
        <rFont val="Arial"/>
        <family val="2"/>
      </rPr>
      <t>1</t>
    </r>
  </si>
  <si>
    <r>
      <t>activity</t>
    </r>
    <r>
      <rPr>
        <b/>
        <vertAlign val="superscript"/>
        <sz val="10"/>
        <rFont val="Arial"/>
        <family val="2"/>
      </rPr>
      <t>1</t>
    </r>
  </si>
  <si>
    <r>
      <t>Ank</t>
    </r>
    <r>
      <rPr>
        <b/>
        <vertAlign val="superscript"/>
        <sz val="10"/>
        <rFont val="Arial"/>
        <family val="2"/>
      </rPr>
      <t>2</t>
    </r>
  </si>
  <si>
    <r>
      <t>Avg</t>
    </r>
    <r>
      <rPr>
        <b/>
        <vertAlign val="superscript"/>
        <sz val="10"/>
        <rFont val="Arial"/>
        <family val="2"/>
      </rPr>
      <t>2</t>
    </r>
  </si>
  <si>
    <r>
      <t>Unloaded</t>
    </r>
    <r>
      <rPr>
        <b/>
        <vertAlign val="superscript"/>
        <sz val="10"/>
        <rFont val="Arial"/>
        <family val="2"/>
      </rPr>
      <t>2</t>
    </r>
  </si>
  <si>
    <r>
      <t>Loaded</t>
    </r>
    <r>
      <rPr>
        <b/>
        <vertAlign val="superscript"/>
        <sz val="10"/>
        <rFont val="Arial"/>
        <family val="2"/>
      </rPr>
      <t>2</t>
    </r>
  </si>
  <si>
    <t xml:space="preserve">ROAD FREIGHT SWEDEN </t>
  </si>
  <si>
    <t>Lastbilstrafik_2010.xls</t>
  </si>
  <si>
    <t>KM and FUEL data</t>
  </si>
  <si>
    <t>Fordonsgas</t>
  </si>
  <si>
    <t>TWh</t>
  </si>
  <si>
    <t>Eo1</t>
  </si>
  <si>
    <t>Eo2-5</t>
  </si>
  <si>
    <t>Biodiesel - FAME låginbl.</t>
  </si>
  <si>
    <t>Biodiesel - HVO låginbl.</t>
  </si>
  <si>
    <t>Biodiesel - övrig (FAME?)</t>
  </si>
  <si>
    <t>GJ/m3</t>
  </si>
  <si>
    <t>Etanol - Låginblandad</t>
  </si>
  <si>
    <t>Etanol - Övrig</t>
  </si>
  <si>
    <t>Biodiesel - övrig</t>
  </si>
  <si>
    <t>Andel biodrivmedel (%)</t>
  </si>
  <si>
    <t>El - bantrafik</t>
  </si>
  <si>
    <t xml:space="preserve">Nationell nivå </t>
  </si>
  <si>
    <t>varav - Låginblandad</t>
  </si>
  <si>
    <t>varav - Övrig</t>
  </si>
  <si>
    <t>El bantrafik</t>
  </si>
  <si>
    <t>El övrig</t>
  </si>
  <si>
    <t>Copied from "SE Energy data"</t>
  </si>
  <si>
    <t>Freight road</t>
  </si>
  <si>
    <t>Van</t>
  </si>
  <si>
    <t>Truck  - all</t>
  </si>
  <si>
    <t>Truck  - international</t>
  </si>
  <si>
    <t>Truck  - national</t>
  </si>
  <si>
    <t>SE3, SE4</t>
  </si>
  <si>
    <t>SE1, SE2</t>
  </si>
  <si>
    <t>Freight rail</t>
  </si>
  <si>
    <t>Heavy fuel oil</t>
  </si>
  <si>
    <t>Slutlig energianvändning i transportsektorn, inrikes, fr.om. 1970, TWh</t>
  </si>
  <si>
    <r>
      <t>Diesel</t>
    </r>
    <r>
      <rPr>
        <vertAlign val="superscript"/>
        <sz val="10"/>
        <rFont val="Calibri"/>
        <family val="2"/>
        <scheme val="minor"/>
      </rPr>
      <t>2</t>
    </r>
  </si>
  <si>
    <t>Eldningsolja 1</t>
  </si>
  <si>
    <t>Eldningsolja 2–6</t>
  </si>
  <si>
    <r>
      <t>Flygbränsle</t>
    </r>
    <r>
      <rPr>
        <vertAlign val="superscript"/>
        <sz val="10"/>
        <rFont val="Calibri"/>
        <family val="2"/>
        <scheme val="minor"/>
      </rPr>
      <t>1</t>
    </r>
  </si>
  <si>
    <t>Biodrivmedel</t>
  </si>
  <si>
    <t xml:space="preserve">Källa: Energimyndigheten, SCB, Transportstyrelsen. </t>
  </si>
  <si>
    <r>
      <t xml:space="preserve">Anm: </t>
    </r>
    <r>
      <rPr>
        <vertAlign val="superscript"/>
        <sz val="10"/>
        <rFont val="Calibri"/>
        <family val="2"/>
        <scheme val="minor"/>
      </rPr>
      <t>1</t>
    </r>
    <r>
      <rPr>
        <sz val="10"/>
        <rFont val="Calibri"/>
        <family val="2"/>
        <scheme val="minor"/>
      </rPr>
      <t xml:space="preserve"> Till och med 1989 inkluderas utrikes flyg i posten.</t>
    </r>
  </si>
  <si>
    <r>
      <rPr>
        <vertAlign val="superscript"/>
        <sz val="10"/>
        <rFont val="Calibri"/>
        <family val="2"/>
        <scheme val="minor"/>
      </rPr>
      <t xml:space="preserve">               2</t>
    </r>
    <r>
      <rPr>
        <sz val="10"/>
        <rFont val="Calibri"/>
        <family val="2"/>
        <scheme val="minor"/>
      </rPr>
      <t xml:space="preserve"> Till och med 1982 inkluderas eldningsolja 1 i posten.</t>
    </r>
  </si>
  <si>
    <t>Energimyndigheten, Energiläget 2015</t>
  </si>
  <si>
    <t>Diesel2</t>
  </si>
  <si>
    <t>Flygbränsle1</t>
  </si>
  <si>
    <t>Enerligäget stat</t>
  </si>
  <si>
    <t>Gas tot</t>
  </si>
  <si>
    <t>Calculation</t>
  </si>
  <si>
    <t>Capacity</t>
  </si>
  <si>
    <t>Relaxation</t>
  </si>
  <si>
    <t>(Trafa):</t>
  </si>
  <si>
    <t>DEMAND (LINKED TO DEMAND SHEET)</t>
  </si>
  <si>
    <t>Ida Adolfsson</t>
  </si>
  <si>
    <t>Cars etc</t>
  </si>
  <si>
    <t>Adjustments to Swedish model</t>
  </si>
  <si>
    <t>Martin Hagberg</t>
  </si>
  <si>
    <t>Cars, Demand</t>
  </si>
  <si>
    <t>Linked Car demand to Cars sheet</t>
  </si>
  <si>
    <t>TPCAX</t>
  </si>
  <si>
    <t>Transport Passengers Cars Short Distance (&lt;5 km)</t>
  </si>
  <si>
    <t>TPCAS</t>
  </si>
  <si>
    <t>TPCAM</t>
  </si>
  <si>
    <t>TPCAL</t>
  </si>
  <si>
    <t>TPBUX</t>
  </si>
  <si>
    <t>Transport Passengers Public Bus Extra Short Distance (&lt;5 km)</t>
  </si>
  <si>
    <t>TPBUS</t>
  </si>
  <si>
    <t>TPBUM</t>
  </si>
  <si>
    <t>Transport Passengers Public Bus Medium Distance (25-50 km)</t>
  </si>
  <si>
    <t>TPBUL</t>
  </si>
  <si>
    <t>Transport Passengers Public Bus Long distance (&gt;50 km)</t>
  </si>
  <si>
    <t>TPCOS</t>
  </si>
  <si>
    <t>Transport Passengers Coach Short Distance (&lt;50 km)</t>
  </si>
  <si>
    <t>TPCOM</t>
  </si>
  <si>
    <t>Transport Passengers Coach Medium Distance (25-50 km)</t>
  </si>
  <si>
    <t>TPCOL</t>
  </si>
  <si>
    <t>Transport Passengers Coach Long distance (&gt;50 km)</t>
  </si>
  <si>
    <t>TPRMX</t>
  </si>
  <si>
    <t>Transport Passengers Metro Extra Short Distance</t>
  </si>
  <si>
    <t>TPRMS</t>
  </si>
  <si>
    <t>Transport Passengers Metro Short Distance</t>
  </si>
  <si>
    <t>TPRSX</t>
  </si>
  <si>
    <t>Transport Passengers S-Train Extra Short Distance</t>
  </si>
  <si>
    <t>TPRSS</t>
  </si>
  <si>
    <t>Transport Passengers S-Train Short Distance</t>
  </si>
  <si>
    <t>TPRSM</t>
  </si>
  <si>
    <t>Transport Passengers S-Train Medium Distance</t>
  </si>
  <si>
    <t>TPROS</t>
  </si>
  <si>
    <t>Transport Passengers Train Short Distance</t>
  </si>
  <si>
    <t>TPROM</t>
  </si>
  <si>
    <t>Transport Passengers Train Medium Distance</t>
  </si>
  <si>
    <t>TPROL</t>
  </si>
  <si>
    <t>Transport Passengers Train Long Distance</t>
  </si>
  <si>
    <t>TPMTS</t>
  </si>
  <si>
    <t>Transport Passengers Motorbike Short Distance</t>
  </si>
  <si>
    <t>TPMTM</t>
  </si>
  <si>
    <t>Transport Passengers Motorbike Medium Distance</t>
  </si>
  <si>
    <t>TPMTL</t>
  </si>
  <si>
    <t>Transport Passengers Motorbike Long Distance</t>
  </si>
  <si>
    <t>TPMPX</t>
  </si>
  <si>
    <t>Transport Passengers Moped 45 Extra Short Distance</t>
  </si>
  <si>
    <t>TPMPS</t>
  </si>
  <si>
    <t>Transport Passengers Moped 45 Short Distance</t>
  </si>
  <si>
    <t>TPMPM</t>
  </si>
  <si>
    <t>Transport Passengers Moped 45 Medium Distance</t>
  </si>
  <si>
    <t>TPMPL</t>
  </si>
  <si>
    <t>Transport Passengers Moped 45 Long Distance</t>
  </si>
  <si>
    <t>TPSNH</t>
  </si>
  <si>
    <t>TPSIH</t>
  </si>
  <si>
    <t>TPANV</t>
  </si>
  <si>
    <t>TPBIX</t>
  </si>
  <si>
    <t>Transport Passengers bicycles Extra Short Distance (&lt;5 km)</t>
  </si>
  <si>
    <t>TPBIS</t>
  </si>
  <si>
    <t>Transport Passengers bicycles Short Distance (&lt;25 km)</t>
  </si>
  <si>
    <t>TPBIM</t>
  </si>
  <si>
    <t>Transport Passengers bicycles Medium Distance (25-50 km)</t>
  </si>
  <si>
    <t>TPWAX</t>
  </si>
  <si>
    <t xml:space="preserve">Transport Passengers Walk Extra Short Distance </t>
  </si>
  <si>
    <t>TPWAS</t>
  </si>
  <si>
    <t xml:space="preserve">Transport Passengers Walk Short Distance </t>
  </si>
  <si>
    <t>TFVAS</t>
  </si>
  <si>
    <t>TFVAL</t>
  </si>
  <si>
    <t>TFTRS</t>
  </si>
  <si>
    <t>TFTRN</t>
  </si>
  <si>
    <t>TFTRI</t>
  </si>
  <si>
    <t>TFRLA</t>
  </si>
  <si>
    <t>TFSNH</t>
  </si>
  <si>
    <t>TFSIH</t>
  </si>
  <si>
    <t>TFAIV</t>
  </si>
  <si>
    <t>TRAAGSL</t>
  </si>
  <si>
    <t>Aviation gasoline TRA</t>
  </si>
  <si>
    <t>TRAH2G</t>
  </si>
  <si>
    <t>Hydrogen TRA</t>
  </si>
  <si>
    <t>Transport Passengers Cars - Electricity BEV- Average size - Existing</t>
  </si>
  <si>
    <t>Transport Passengers Rail S-train - Electric - Existing</t>
  </si>
  <si>
    <t>Transport Passengers Rail Metro - Electric  - Existing</t>
  </si>
  <si>
    <t>Transport Passengers Rail Other train - Electric - Existing</t>
  </si>
  <si>
    <t>Transport Passengers Rail Other train - Diesel - Existing</t>
  </si>
  <si>
    <t>Transport Passengers Public Buses - Diesel Engine - Blending 1 - Existing</t>
  </si>
  <si>
    <t>Transport Passengers Coaches - Diesel Engine - Blending 1 - Existing</t>
  </si>
  <si>
    <t>Transport Passengers Motorbikes - Gasoline Engine - Blending 1 - Existing</t>
  </si>
  <si>
    <t>Transport Passengers Mopeds - Gasoline Engine - Blending 1 - Existing</t>
  </si>
  <si>
    <t>Transport Passengers Air National - Aviation gasoline - Existing</t>
  </si>
  <si>
    <t>Transport Passengers - Bike - Existing</t>
  </si>
  <si>
    <t>Transport Passengers - Walk - Existing</t>
  </si>
  <si>
    <t>Lägg till Etanol</t>
  </si>
  <si>
    <t>TPCX</t>
  </si>
  <si>
    <t>Share-O~UP~2010</t>
  </si>
  <si>
    <t>Driving pattern</t>
  </si>
  <si>
    <t>Extra Short &lt;5 km</t>
  </si>
  <si>
    <t>Short 5-25 km</t>
  </si>
  <si>
    <t>Medium 25-50 km</t>
  </si>
  <si>
    <t>Long &gt;50 km</t>
  </si>
  <si>
    <t>VAROM</t>
  </si>
  <si>
    <t>Mkr/(kvehicle*km)</t>
  </si>
  <si>
    <t>Energy efficiency for trips under 5 km (million vehicle km per PJ)</t>
  </si>
  <si>
    <t>Share-O~UP~0</t>
  </si>
  <si>
    <t>Transport Passengers Cars -Ethanol- Average size - Existing</t>
  </si>
  <si>
    <t>Demand</t>
  </si>
  <si>
    <t>Passengers/vehicle</t>
  </si>
  <si>
    <t>Demand (Pkm) 2010</t>
  </si>
  <si>
    <t>pkm mt</t>
  </si>
  <si>
    <t>pkm mp</t>
  </si>
  <si>
    <t>PJ mt</t>
  </si>
  <si>
    <t>PJ mp</t>
  </si>
  <si>
    <t>Mopeds</t>
  </si>
  <si>
    <t>Share</t>
  </si>
  <si>
    <t>Extra Short</t>
  </si>
  <si>
    <t>Medium</t>
  </si>
  <si>
    <t>Demand: million passenger-km</t>
  </si>
  <si>
    <t>Motorcycles Demand (Pkm)</t>
  </si>
  <si>
    <t>Motorcycles demand (Vkm)</t>
  </si>
  <si>
    <t>Motorbikes</t>
  </si>
  <si>
    <t>Mopeds max. 45 km/h Demand (Pkm)</t>
  </si>
  <si>
    <t>Units</t>
  </si>
  <si>
    <t>Motorcycles, total</t>
  </si>
  <si>
    <t>45-mopeds, total</t>
  </si>
  <si>
    <t xml:space="preserve">Efficiency </t>
  </si>
  <si>
    <t>Annex 7: Fuel consumption factors in 2010</t>
  </si>
  <si>
    <t>Urban</t>
  </si>
  <si>
    <t>Rural</t>
  </si>
  <si>
    <t>Highway</t>
  </si>
  <si>
    <t>Mopeds (MJ/km)</t>
  </si>
  <si>
    <t>Mopeds (Mvheic*km/PJ)</t>
  </si>
  <si>
    <t>Motorbikes (MJ/km)</t>
  </si>
  <si>
    <t>Motorbikes (Mvheic*km/PJ)</t>
  </si>
  <si>
    <t>Motorbikes efficiency weighted with shares</t>
  </si>
  <si>
    <t>Efficiencies from calibration with Energy Statistics</t>
  </si>
  <si>
    <t>Mvheic*km/PJ</t>
  </si>
  <si>
    <t>Maximum share</t>
  </si>
  <si>
    <t>Maximum share interpolation</t>
  </si>
  <si>
    <t>TPBIL</t>
  </si>
  <si>
    <t>Years</t>
  </si>
  <si>
    <t>From LTM</t>
  </si>
  <si>
    <t>Forecastyear</t>
  </si>
  <si>
    <t>Mode</t>
  </si>
  <si>
    <t>FromRegion</t>
  </si>
  <si>
    <t>FromUrbanization</t>
  </si>
  <si>
    <t>DistanceInterval</t>
  </si>
  <si>
    <t>PersonTripsPrWD</t>
  </si>
  <si>
    <t>PKM_WD</t>
  </si>
  <si>
    <t>PM_WD</t>
  </si>
  <si>
    <t>PersonTripsPrYear</t>
  </si>
  <si>
    <t>PKM</t>
  </si>
  <si>
    <t>PM</t>
  </si>
  <si>
    <t>AvgTotalSpeed</t>
  </si>
  <si>
    <t>Bike</t>
  </si>
  <si>
    <t>DKO</t>
  </si>
  <si>
    <t>Bike travel demand (Pkm)</t>
  </si>
  <si>
    <t>Average daily transport per age class</t>
  </si>
  <si>
    <t>Population ()</t>
  </si>
  <si>
    <t>Weights</t>
  </si>
  <si>
    <t>Bicycle</t>
  </si>
  <si>
    <t>Walk</t>
  </si>
  <si>
    <t>Bus, public transport</t>
  </si>
  <si>
    <t>Car passenger</t>
  </si>
  <si>
    <t>Car driver</t>
  </si>
  <si>
    <t>Suburban</t>
  </si>
  <si>
    <t>10-17 years</t>
  </si>
  <si>
    <t>18-29 years</t>
  </si>
  <si>
    <t>30-59 year</t>
  </si>
  <si>
    <t>60-69 years</t>
  </si>
  <si>
    <t>70-85 years</t>
  </si>
  <si>
    <t>DKV</t>
  </si>
  <si>
    <t>Total DKE</t>
  </si>
  <si>
    <t>Average km/(day*person) by bike Denmark</t>
  </si>
  <si>
    <t>Max km per year bike</t>
  </si>
  <si>
    <t>Total DKW</t>
  </si>
  <si>
    <t>Average km/(day*person) on foot Denmark</t>
  </si>
  <si>
    <t>Max km per year walk</t>
  </si>
  <si>
    <t>Total number of bicycles according to Minitry of Transport</t>
  </si>
  <si>
    <t>Walk travel demand (Pkm)</t>
  </si>
  <si>
    <t>equal to 0.9 bikes per person in this age</t>
  </si>
  <si>
    <t>The fact is that not everyone walks and goes by bike. The number above is calculated as if everyone in Denmark would make equal use of bike and walkk</t>
  </si>
  <si>
    <t>But some people do not bike at all, while those who move biking run more km/day than number calculated above</t>
  </si>
  <si>
    <t>Such values can be determined by TU survey (Master)</t>
  </si>
  <si>
    <t>I consider that km/day travelled by people in Denmark is equal to average bike trip length from TU survey</t>
  </si>
  <si>
    <t>I consider that km/day travelled by people in Denmark is equal to average walk trip length from TU survey</t>
  </si>
  <si>
    <t>Sensitivity analysis on cost of bike depending on mileage</t>
  </si>
  <si>
    <t>invcost</t>
  </si>
  <si>
    <t>Mkr/kveh</t>
  </si>
  <si>
    <t>varom</t>
  </si>
  <si>
    <t>Mkr/(kveh*km)</t>
  </si>
  <si>
    <t xml:space="preserve">lifetime </t>
  </si>
  <si>
    <t>years</t>
  </si>
  <si>
    <t>ACTFLO</t>
  </si>
  <si>
    <t>p/v</t>
  </si>
  <si>
    <t>DKK/pkm</t>
  </si>
  <si>
    <t>Data from COWI (2014)</t>
  </si>
  <si>
    <t>SNG</t>
  </si>
  <si>
    <t>Same emissions as for methane (NGA)</t>
  </si>
  <si>
    <t>Data from http://www.biomassenergycentre.org.uk/</t>
  </si>
  <si>
    <t>Synthetic Natural Gas</t>
  </si>
  <si>
    <t>Biokerosene</t>
  </si>
  <si>
    <t>Cars, buses,bike, walk mote-mopeds</t>
  </si>
  <si>
    <t>Adjustments to Swedish model.  Walk, buses, moto-mopeds is not finished</t>
  </si>
  <si>
    <t>Se i SUBRES!</t>
  </si>
  <si>
    <t>Added by IA</t>
  </si>
  <si>
    <t>Transport Passengers Public Buses - Gas Engine -Blending 2 -  Existing</t>
  </si>
  <si>
    <t>TPBUNGBL2E</t>
  </si>
  <si>
    <t>antal Diesel</t>
  </si>
  <si>
    <t xml:space="preserve">Antal Biogas </t>
  </si>
  <si>
    <t>Bio gas</t>
  </si>
  <si>
    <t>Mvehic*km/PJ</t>
  </si>
  <si>
    <t xml:space="preserve"> Rail S-train - Electric </t>
  </si>
  <si>
    <t xml:space="preserve">Rail Metro - Electric </t>
  </si>
  <si>
    <t>Rail Other train - Electric</t>
  </si>
  <si>
    <t>Rail Other train - Diesel</t>
  </si>
  <si>
    <t>Tunnelbana</t>
  </si>
  <si>
    <t>Share-I~FX</t>
  </si>
  <si>
    <t>Share-O~FX</t>
  </si>
  <si>
    <t>Share-I~FX~0</t>
  </si>
  <si>
    <t>Share-O~FX~0</t>
  </si>
  <si>
    <t>Demand 2010 (Pkm)</t>
  </si>
  <si>
    <t>EFFICIENCIES</t>
  </si>
  <si>
    <t xml:space="preserve">Demand </t>
  </si>
  <si>
    <t>Mpkm, Mtkm</t>
  </si>
  <si>
    <t>Demand MVkm</t>
  </si>
  <si>
    <t>Overall EFF Mvkm/PJ</t>
  </si>
  <si>
    <t>TPSN</t>
  </si>
  <si>
    <t>TPSI</t>
  </si>
  <si>
    <t>TPAN KRS</t>
  </si>
  <si>
    <t>TPAN AVGSL</t>
  </si>
  <si>
    <t>TPAI</t>
  </si>
  <si>
    <t>Loads (tons per vehicle)</t>
  </si>
  <si>
    <t xml:space="preserve">Mvehicle*km/PJ  </t>
  </si>
  <si>
    <t>TPPSIHFOE1</t>
  </si>
  <si>
    <t>TPPSNDSBLE1</t>
  </si>
  <si>
    <t>TFFSNDSBLE1</t>
  </si>
  <si>
    <t>TFFSIHFOE1</t>
  </si>
  <si>
    <t>TPPAIKEBL1E</t>
  </si>
  <si>
    <t>TFFAIKEBL1E</t>
  </si>
  <si>
    <t>traffic, antal landningar</t>
  </si>
  <si>
    <t>Tabell 4.4</t>
  </si>
  <si>
    <t>Antalet personkilometer, fordonskilometer och tonkilometer (gods och post)</t>
  </si>
  <si>
    <r>
      <t>i inrikes trafik 2006</t>
    </r>
    <r>
      <rPr>
        <b/>
        <sz val="10"/>
        <rFont val="Calibri"/>
        <family val="2"/>
      </rPr>
      <t>–</t>
    </r>
    <r>
      <rPr>
        <b/>
        <sz val="10"/>
        <rFont val="Arial"/>
        <family val="2"/>
      </rPr>
      <t>2016</t>
    </r>
    <r>
      <rPr>
        <b/>
        <sz val="10"/>
        <rFont val="Arial"/>
        <family val="2"/>
      </rPr>
      <t>, tusental</t>
    </r>
  </si>
  <si>
    <t>Number of passenger-km, vehicular traffic-km and tonne-km (mail and freight)</t>
  </si>
  <si>
    <r>
      <t>in domestic traffic 2006</t>
    </r>
    <r>
      <rPr>
        <sz val="10"/>
        <rFont val="Calibri"/>
        <family val="2"/>
      </rPr>
      <t>–</t>
    </r>
    <r>
      <rPr>
        <sz val="10"/>
        <rFont val="Arial"/>
        <family val="2"/>
      </rPr>
      <t>2016</t>
    </r>
    <r>
      <rPr>
        <sz val="10"/>
        <rFont val="Arial"/>
        <family val="2"/>
      </rPr>
      <t>, thousands</t>
    </r>
  </si>
  <si>
    <t>Personkilometer</t>
  </si>
  <si>
    <t>Fordonskilometer</t>
  </si>
  <si>
    <t>Tonkilometer</t>
  </si>
  <si>
    <t>Passenger- km</t>
  </si>
  <si>
    <t>Vehicular traffic- km</t>
  </si>
  <si>
    <t>Tonne- km</t>
  </si>
  <si>
    <t>Anmärkning: Antalet kilometer är beräknat på antalet inrikes passagerare, antalet passageraravgångar</t>
  </si>
  <si>
    <t>och gods/post mellan svenska flygplatser (första destination efter avgång).</t>
  </si>
  <si>
    <t>The number of kilometres has been calculated based on the number of domestic passengers, number</t>
  </si>
  <si>
    <t>of take-offs (passenger flights) and mail/freight between Swedish airports (first landing after take-off).</t>
  </si>
  <si>
    <t>kPassengers</t>
  </si>
  <si>
    <t>Maximum km per year</t>
  </si>
  <si>
    <t>Hours per year</t>
  </si>
  <si>
    <t>h/y</t>
  </si>
  <si>
    <t>Speed national</t>
  </si>
  <si>
    <t>km/h</t>
  </si>
  <si>
    <t>Speed international</t>
  </si>
  <si>
    <t>National max km/y</t>
  </si>
  <si>
    <t>km/y</t>
  </si>
  <si>
    <t>International max km/h</t>
  </si>
  <si>
    <t>From VT_DK</t>
  </si>
  <si>
    <t>kPassengers pkm</t>
  </si>
  <si>
    <t>Tabell 2B</t>
  </si>
  <si>
    <r>
      <t>Antal passagerare i svenska hamnar 2002–2016, 1</t>
    </r>
    <r>
      <rPr>
        <b/>
        <sz val="10"/>
        <rFont val="Calibri"/>
        <family val="2"/>
      </rPr>
      <t> </t>
    </r>
    <r>
      <rPr>
        <b/>
        <sz val="10"/>
        <rFont val="Arial"/>
        <family val="2"/>
      </rPr>
      <t>000-tal</t>
    </r>
  </si>
  <si>
    <t>Number of passengers in Swedish ports 2002–2016, thousands</t>
  </si>
  <si>
    <r>
      <t>Antal passagerare</t>
    </r>
    <r>
      <rPr>
        <b/>
        <vertAlign val="superscript"/>
        <sz val="8"/>
        <rFont val="Arial"/>
        <family val="2"/>
      </rPr>
      <t>1</t>
    </r>
    <r>
      <rPr>
        <b/>
        <sz val="8"/>
        <rFont val="Arial"/>
        <family val="2"/>
      </rPr>
      <t xml:space="preserve"> </t>
    </r>
    <r>
      <rPr>
        <b/>
        <sz val="8"/>
        <rFont val="Calibri"/>
        <family val="2"/>
      </rPr>
      <t>–</t>
    </r>
    <r>
      <rPr>
        <b/>
        <sz val="8"/>
        <rFont val="Arial"/>
        <family val="2"/>
      </rPr>
      <t xml:space="preserve"> </t>
    </r>
    <r>
      <rPr>
        <b/>
        <i/>
        <sz val="8"/>
        <rFont val="Arial"/>
        <family val="2"/>
      </rPr>
      <t>Number of passengers</t>
    </r>
    <r>
      <rPr>
        <b/>
        <i/>
        <vertAlign val="superscript"/>
        <sz val="8"/>
        <rFont val="Arial"/>
        <family val="2"/>
      </rPr>
      <t>1</t>
    </r>
  </si>
  <si>
    <r>
      <t xml:space="preserve">ankommande passagerare </t>
    </r>
    <r>
      <rPr>
        <sz val="8"/>
        <rFont val="Calibri"/>
        <family val="2"/>
      </rPr>
      <t>–</t>
    </r>
  </si>
  <si>
    <t>of which</t>
  </si>
  <si>
    <t>disembarking passengers</t>
  </si>
  <si>
    <r>
      <t xml:space="preserve">avresande passagerare </t>
    </r>
    <r>
      <rPr>
        <sz val="8"/>
        <rFont val="Calibri"/>
        <family val="2"/>
      </rPr>
      <t>–</t>
    </r>
  </si>
  <si>
    <t>embarking passengers</t>
  </si>
  <si>
    <r>
      <rPr>
        <b/>
        <sz val="8"/>
        <rFont val="Arial"/>
        <family val="2"/>
      </rPr>
      <t xml:space="preserve">Antal besökande kryssningspassagerare </t>
    </r>
    <r>
      <rPr>
        <i/>
        <sz val="8"/>
        <rFont val="Arial"/>
        <family val="2"/>
      </rPr>
      <t xml:space="preserve">– </t>
    </r>
  </si>
  <si>
    <t xml:space="preserve">Number of cruise passengers on excursion </t>
  </si>
  <si>
    <t>Antal passagerare</t>
  </si>
  <si>
    <t>ankommande passagerare</t>
  </si>
  <si>
    <t>avresande passagerare</t>
  </si>
  <si>
    <t xml:space="preserve">Antal besökande kryssningspassagerare </t>
  </si>
  <si>
    <r>
      <t xml:space="preserve">1) Antal passagerare avser passagerare som har påbörjat eller avslutat en resa i internationell trafik samt passagerare som reser till och från Gotland. – </t>
    </r>
    <r>
      <rPr>
        <i/>
        <sz val="8"/>
        <rFont val="Arial"/>
        <family val="2"/>
      </rPr>
      <t xml:space="preserve"> Number of passengers concerns passengers starting or finishing a voyage in foreign and domestic traffic. Passengers to and from Gotland are included (Interregional).</t>
    </r>
  </si>
  <si>
    <t>kpkm</t>
  </si>
  <si>
    <t>Foreign</t>
  </si>
  <si>
    <t>Antal fartygsanlöp i svenska hamnar 2002–2016, ankommande fartyg</t>
  </si>
  <si>
    <t>Number of vessels entered in Swedish ports 2002–2016</t>
  </si>
  <si>
    <t xml:space="preserve">Antal fartyg1 – Number of vessels1 </t>
  </si>
  <si>
    <t>passagerarfartyg och färjor2</t>
  </si>
  <si>
    <t>passenger vessels and ferries2</t>
  </si>
  <si>
    <t>kryssningsfartyg – cruise passenger vessels</t>
  </si>
  <si>
    <t>Bruttodräktighet i 1 000  – Gross tonnage in 1,000</t>
  </si>
  <si>
    <t>Därav i direkt utrikes fart3</t>
  </si>
  <si>
    <t>vessels in direct voyages3</t>
  </si>
  <si>
    <t>Antal fartyg1</t>
  </si>
  <si>
    <t>1) Fr. o. m. år 2004 ingår kryssningsfartyg. – From 2004 including cruise passenger vessels.</t>
  </si>
  <si>
    <t>2) Rorofartyg ingår i redovisningen. – Roro vessels are included.</t>
  </si>
  <si>
    <t>Anmärkning: Inrikes passagerartrafik avser endast trafik till och från Gotland. – Domestic passenger traffic is only traffic to and from Gotland.</t>
  </si>
  <si>
    <t>3) Fartyg som ankom från utlandet utan att anlöpa svensk mellanhamn. – Vessels who entered from foreign ports without first entering another swedish port.</t>
  </si>
  <si>
    <t>P/fartyg</t>
  </si>
  <si>
    <t>Internatinell</t>
  </si>
  <si>
    <t>Data from AletrnativDrivmodellen</t>
  </si>
  <si>
    <t>Days at sea/total voyage time</t>
  </si>
  <si>
    <t>ratio</t>
  </si>
  <si>
    <t>Cruise Speed</t>
  </si>
  <si>
    <t>knots</t>
  </si>
  <si>
    <t>Length of nautical mile</t>
  </si>
  <si>
    <t>km/nm</t>
  </si>
  <si>
    <t>http://www.trafa.se/globalassets/pm/pm-2016_12-fuels-in-the-baltic-sea-after-seca.pdf</t>
  </si>
  <si>
    <t xml:space="preserve">International </t>
  </si>
  <si>
    <t>E02-6</t>
  </si>
  <si>
    <t>Tabell 5C</t>
  </si>
  <si>
    <t xml:space="preserve">Utrikes varutrafik med fartyg samt utfört transportarbete och medeltransportlängd </t>
  </si>
  <si>
    <t>fördelat efter varugrupp enligt NST 2007. Kvantitet i 1 000-tal ton,</t>
  </si>
  <si>
    <t>transportarbete i miljoner tonkm och medeltransportlängd i km</t>
  </si>
  <si>
    <t>Goods loaded and unloaded in foreign traffic by ships, transport performance and average distance</t>
  </si>
  <si>
    <t>worked divided in commodity groups in NST 2007</t>
  </si>
  <si>
    <t>Lastade och</t>
  </si>
  <si>
    <t>Medel-</t>
  </si>
  <si>
    <t>lossade varor</t>
  </si>
  <si>
    <t>arbete milj</t>
  </si>
  <si>
    <t>transport-</t>
  </si>
  <si>
    <t>1 000 ton</t>
  </si>
  <si>
    <t>tonkilometer</t>
  </si>
  <si>
    <t>längd km1</t>
  </si>
  <si>
    <t>Loaded and</t>
  </si>
  <si>
    <t>Average</t>
  </si>
  <si>
    <t>unloaded</t>
  </si>
  <si>
    <t>performance</t>
  </si>
  <si>
    <t>distance</t>
  </si>
  <si>
    <t>goods</t>
  </si>
  <si>
    <t>million tonne-</t>
  </si>
  <si>
    <t>worked</t>
  </si>
  <si>
    <t>1 000 tonnes</t>
  </si>
  <si>
    <t>kilometres</t>
  </si>
  <si>
    <t>kilometres1</t>
  </si>
  <si>
    <t>Totalt 2010 – Total 2010</t>
  </si>
  <si>
    <t>Totalt 2009 – Total 2009</t>
  </si>
  <si>
    <t>1) Medeltransportlängd=Tonkilometer/ton. Average distance=Tonne-kilometres/tonnes</t>
  </si>
  <si>
    <t>Utrikes Mtonkm</t>
  </si>
  <si>
    <t>MJ/l</t>
  </si>
  <si>
    <t>EL gods</t>
  </si>
  <si>
    <t>Diesel m3 god</t>
  </si>
  <si>
    <t>GWh gods</t>
  </si>
  <si>
    <t xml:space="preserve">Gods </t>
  </si>
  <si>
    <t xml:space="preserve">Totalt utan malm </t>
  </si>
  <si>
    <t>Tabell 7</t>
  </si>
  <si>
    <t xml:space="preserve">Inrikes varutrafik med fartyg samt utfört transportarbete och medeltransportlängd </t>
  </si>
  <si>
    <t>fördelat efter varugrupper enligt NST 2007. Kvantitet i 1 000-tal ton, transportarbete</t>
  </si>
  <si>
    <t>i miljoner tonkm och medeltransportlängd i km. Lossade varor</t>
  </si>
  <si>
    <t>Shipping of goods between Swedish ports by ships, transport performance and average distance</t>
  </si>
  <si>
    <t>worked divided in commodity groups in NST 2007. Unloaded goods</t>
  </si>
  <si>
    <t>Lossade varor</t>
  </si>
  <si>
    <t xml:space="preserve">arbete milj </t>
  </si>
  <si>
    <t>transportlängd</t>
  </si>
  <si>
    <r>
      <t>kilometres</t>
    </r>
    <r>
      <rPr>
        <i/>
        <vertAlign val="superscript"/>
        <sz val="8"/>
        <rFont val="Arial"/>
        <family val="2"/>
      </rPr>
      <t>1</t>
    </r>
  </si>
  <si>
    <r>
      <t xml:space="preserve">Totalt 2010 </t>
    </r>
    <r>
      <rPr>
        <b/>
        <sz val="8"/>
        <rFont val="Calibri"/>
        <family val="2"/>
      </rPr>
      <t xml:space="preserve">– </t>
    </r>
    <r>
      <rPr>
        <b/>
        <i/>
        <sz val="8"/>
        <rFont val="Arial"/>
        <family val="2"/>
      </rPr>
      <t>Total 2010</t>
    </r>
  </si>
  <si>
    <r>
      <t xml:space="preserve">Totalt 2009 </t>
    </r>
    <r>
      <rPr>
        <b/>
        <sz val="8"/>
        <rFont val="Calibri"/>
        <family val="2"/>
      </rPr>
      <t>–</t>
    </r>
    <r>
      <rPr>
        <b/>
        <sz val="8"/>
        <rFont val="Arial"/>
        <family val="2"/>
      </rPr>
      <t xml:space="preserve"> </t>
    </r>
    <r>
      <rPr>
        <b/>
        <i/>
        <sz val="8"/>
        <rFont val="Arial"/>
        <family val="2"/>
      </rPr>
      <t>Total 2009</t>
    </r>
  </si>
  <si>
    <r>
      <t xml:space="preserve">1) Medeltransportlängd=Tonkilometer/ton. </t>
    </r>
    <r>
      <rPr>
        <i/>
        <sz val="8"/>
        <rFont val="Arial"/>
        <family val="2"/>
      </rPr>
      <t>Average distance=Tonne-kilometres/tonnes</t>
    </r>
  </si>
  <si>
    <t>Snöskotrar</t>
  </si>
  <si>
    <t>Terränghjulingar</t>
  </si>
  <si>
    <t>Terrängskotrar1)</t>
  </si>
  <si>
    <t>Mopeder</t>
  </si>
  <si>
    <t>01 Stockholms län</t>
  </si>
  <si>
    <t>03 Uppsala län</t>
  </si>
  <si>
    <t>04 Södermanlands län</t>
  </si>
  <si>
    <t>05 Östergötlands län</t>
  </si>
  <si>
    <t>06 Jönköpings län</t>
  </si>
  <si>
    <t>07 Kronobergs län</t>
  </si>
  <si>
    <t>08 Kalmar län</t>
  </si>
  <si>
    <t>09 Gotlands län</t>
  </si>
  <si>
    <t>10 Blekinge län</t>
  </si>
  <si>
    <t>12 Skåne län</t>
  </si>
  <si>
    <t>13 Hallands län</t>
  </si>
  <si>
    <t>14 Västra Götalands län</t>
  </si>
  <si>
    <t>17 Värmlands län</t>
  </si>
  <si>
    <t>18 Örebro län</t>
  </si>
  <si>
    <t>19 Västmanlands län</t>
  </si>
  <si>
    <t>20 Dalarnas län</t>
  </si>
  <si>
    <t>21 Gävleborgs län</t>
  </si>
  <si>
    <t>22 Västernorrlands län</t>
  </si>
  <si>
    <t>23 Jämtlands län</t>
  </si>
  <si>
    <t>24 Västerbottens län</t>
  </si>
  <si>
    <t>25 Norrbottens län</t>
  </si>
  <si>
    <t>Trafa</t>
  </si>
  <si>
    <t>Tunnel</t>
  </si>
  <si>
    <t>Järnvägen</t>
  </si>
  <si>
    <t>Spårtrafik</t>
  </si>
  <si>
    <t>Rail S-train - Electric - Existing</t>
  </si>
  <si>
    <t>Rail Metro - Electric  - Existing</t>
  </si>
  <si>
    <t>Rail Other train - Electric - Existing</t>
  </si>
  <si>
    <t>Rail Other train - Diesel - Existing</t>
  </si>
  <si>
    <t>plats/PJ</t>
  </si>
  <si>
    <t xml:space="preserve">Long </t>
  </si>
  <si>
    <t>tonkm</t>
  </si>
  <si>
    <t xml:space="preserve">ton </t>
  </si>
  <si>
    <t>Tabell 6A. Inrikes godstransporter med svenska lastbilar. Lastade och lossade godsmängder efter</t>
  </si>
  <si>
    <t>län samt efter destination respektive ursprung, 2010.</t>
  </si>
  <si>
    <t>Table 6A. National road goods transport with Swedish registered lorries. Loaded and unloaded goods by county</t>
  </si>
  <si>
    <t>and som city areas by destination and origin of the haulages respectively, 2010.</t>
  </si>
  <si>
    <t>Lastad godsmängd, 1 000-tal ton</t>
  </si>
  <si>
    <t>Lossad godsmängd, 1 000-tal ton</t>
  </si>
  <si>
    <t>95 % K.I.</t>
  </si>
  <si>
    <t>Därav med destination (%)</t>
  </si>
  <si>
    <t>Därav med ursprung (%)</t>
  </si>
  <si>
    <t>Inom egna länet/området</t>
  </si>
  <si>
    <t>Till andra län/områden</t>
  </si>
  <si>
    <r>
      <t>1) Se avsnitt Definitioner för definition av storstadsområden.</t>
    </r>
    <r>
      <rPr>
        <i/>
        <sz val="8"/>
        <rFont val="Arial"/>
        <family val="2"/>
      </rPr>
      <t xml:space="preserve"> Definitions of city areas, see Definitioner.</t>
    </r>
  </si>
  <si>
    <t>Mtonkm</t>
  </si>
  <si>
    <t xml:space="preserve">Truck </t>
  </si>
  <si>
    <t>mtonkm</t>
  </si>
  <si>
    <t xml:space="preserve">Van </t>
  </si>
  <si>
    <t>Tabell 3</t>
  </si>
  <si>
    <t>Färdlängd (miljoner kilometer) efter huvudresans1 huvudsakliga ärende och färdsätt år 2011</t>
  </si>
  <si>
    <t>Total distance traveled (in millions of kilometers) by main purpose of the journey1 and mode of travel year 2011</t>
  </si>
  <si>
    <t>Huvudsakligt ärende</t>
  </si>
  <si>
    <t>Färdsätt</t>
  </si>
  <si>
    <t>Samtliga</t>
  </si>
  <si>
    <t>Main purpose</t>
  </si>
  <si>
    <t>Mode of travel</t>
  </si>
  <si>
    <t>All</t>
  </si>
  <si>
    <t>Till fots, cykel</t>
  </si>
  <si>
    <t>Bil</t>
  </si>
  <si>
    <t>Kollektiva färdsätt3</t>
  </si>
  <si>
    <t>Övriga färdsätt4</t>
  </si>
  <si>
    <t>By foot, bicycle</t>
  </si>
  <si>
    <t>Public transport3</t>
  </si>
  <si>
    <t>Other mode of travel4</t>
  </si>
  <si>
    <t>Arbets-, tjänste- och skolresor</t>
  </si>
  <si>
    <t>Business, work and study-related</t>
  </si>
  <si>
    <t>Service och inköp</t>
  </si>
  <si>
    <t>Service and shopping</t>
  </si>
  <si>
    <t>Leisure</t>
  </si>
  <si>
    <t>Annat ärende</t>
  </si>
  <si>
    <t>Other purpose</t>
  </si>
  <si>
    <t>Uppgift saknas</t>
  </si>
  <si>
    <t>Information not available</t>
  </si>
  <si>
    <t>https://www.diva-portal.org/smash/get/diva2:670563/FULLTEXT01.pdf</t>
  </si>
  <si>
    <t>Total SE1</t>
  </si>
  <si>
    <t>Total SE2</t>
  </si>
  <si>
    <t>Total SE3</t>
  </si>
  <si>
    <t>Total SE4</t>
  </si>
  <si>
    <t>MpKM</t>
  </si>
  <si>
    <t>1 Stockholms län</t>
  </si>
  <si>
    <t>Människor</t>
  </si>
  <si>
    <t xml:space="preserve">Totalt </t>
  </si>
  <si>
    <t xml:space="preserve">Bike </t>
  </si>
  <si>
    <t>Demand SE1(MPkm)</t>
  </si>
  <si>
    <t>Demand SE2 (MPkm)</t>
  </si>
  <si>
    <t>Demand SE3(MPkm)</t>
  </si>
  <si>
    <t>Demand SE4 (MPkm)</t>
  </si>
  <si>
    <t xml:space="preserve">Walk </t>
  </si>
  <si>
    <t>Transport Passengers Public Bus Short Distance (&lt;25km)</t>
  </si>
  <si>
    <t>Share-I~FX~2010</t>
  </si>
  <si>
    <t>Demand 2010 (Tkm)</t>
  </si>
  <si>
    <t>E46</t>
  </si>
  <si>
    <t>E47</t>
  </si>
  <si>
    <t>E48</t>
  </si>
  <si>
    <t>F46</t>
  </si>
  <si>
    <t>G46</t>
  </si>
  <si>
    <t>H46</t>
  </si>
  <si>
    <t>F47</t>
  </si>
  <si>
    <t>G47</t>
  </si>
  <si>
    <t>H47</t>
  </si>
  <si>
    <t>F48</t>
  </si>
  <si>
    <t>G48</t>
  </si>
  <si>
    <t>H48</t>
  </si>
  <si>
    <t>Moto-Mopeds</t>
  </si>
  <si>
    <t>Buses (MJ/km)</t>
  </si>
  <si>
    <t>Buses (Mvheic*km/PJ)</t>
  </si>
  <si>
    <t>FROM TIMES_DK</t>
  </si>
  <si>
    <t>Natural Gas + Biogas</t>
  </si>
  <si>
    <t>Sea - Passenger</t>
  </si>
  <si>
    <t>Aviation - Passenger</t>
  </si>
  <si>
    <t>Sea - Freight</t>
  </si>
  <si>
    <t>Aviation - Freight</t>
  </si>
  <si>
    <t>LIFE from TIMES_DK, numbers seeem strange??</t>
  </si>
  <si>
    <t>Diesel blend</t>
  </si>
  <si>
    <t>Gasoline blend</t>
  </si>
  <si>
    <t>Fuel use</t>
  </si>
  <si>
    <t>Van - Gasoline blend</t>
  </si>
  <si>
    <t>Van - Diesel blend</t>
  </si>
  <si>
    <t>Truck national - Diesel blend</t>
  </si>
  <si>
    <t>Truck int - Diesel blend</t>
  </si>
  <si>
    <t>Ratio</t>
  </si>
  <si>
    <t>Antal dragfordon (Gods)</t>
  </si>
  <si>
    <t>km/dragfordon</t>
  </si>
  <si>
    <t>tonkm/fordonskm</t>
  </si>
  <si>
    <t>Fuel use, PJ</t>
  </si>
  <si>
    <t>Sea - Nat - DSB</t>
  </si>
  <si>
    <t>Sea - nat - HFO</t>
  </si>
  <si>
    <t>Air - Int - Ker</t>
  </si>
  <si>
    <t>Sea - int - DSB</t>
  </si>
  <si>
    <t>Sea - int- HFO</t>
  </si>
  <si>
    <t>Fuel oil</t>
  </si>
  <si>
    <t>MH, CHECK: ACTFLO cannot be right for TFXXX??? I put 0 share of TF for now</t>
  </si>
  <si>
    <t>SUM NATIONAL</t>
  </si>
  <si>
    <t>SUM INTERNATIONAL</t>
  </si>
  <si>
    <t xml:space="preserve">calculated </t>
  </si>
  <si>
    <t>Electricty</t>
  </si>
  <si>
    <t>Trains (all rail) - passenger</t>
  </si>
  <si>
    <t>Biodiesel, (excl. low blend in diesel)</t>
  </si>
  <si>
    <t>Ethanol (excl. low blend in gasoline)</t>
  </si>
  <si>
    <t>Aviation fuel (kerosine + av gasoline)</t>
  </si>
  <si>
    <t>Aviation fuel</t>
  </si>
  <si>
    <t>Diesel/EO1</t>
  </si>
  <si>
    <t>Heavy Fuel oil</t>
  </si>
  <si>
    <t>Stat</t>
  </si>
  <si>
    <t>Heavy fuel</t>
  </si>
  <si>
    <t>Nat</t>
  </si>
  <si>
    <t>nat</t>
  </si>
  <si>
    <t>int</t>
  </si>
  <si>
    <t>Diff</t>
  </si>
  <si>
    <t>statistics 1</t>
  </si>
  <si>
    <t>Stat 2</t>
  </si>
  <si>
    <t>all sheets</t>
  </si>
  <si>
    <t>general fix and cleanup</t>
  </si>
  <si>
    <t>Danish data to be updated</t>
  </si>
  <si>
    <t>antal ankommmande int fartyg gods</t>
  </si>
  <si>
    <t>m ton km</t>
  </si>
  <si>
    <t>m ton</t>
  </si>
  <si>
    <t>???</t>
  </si>
  <si>
    <t>Log</t>
  </si>
  <si>
    <t>Test hej</t>
  </si>
  <si>
    <t>Kilder: Dieselbiler: egne beregninger baseret på bestandsdata og nysalget i 2014 samt en simpel årgangsmodel. For 2010-2014 er kilden Vejdirektoratet.</t>
  </si>
  <si>
    <t xml:space="preserve">For elbiler er andelen dog baseret på oplysninger fra Energistyrelsen 2015 (elbilsbestand på 6000 i 2020/2021 stigende til 10000 i 2025). </t>
  </si>
  <si>
    <t>Endvidere er det antaget, at små elbiler kører 10.000 km om året, mens de store kører 20.000 km om året.</t>
  </si>
  <si>
    <t>Same efficiency for EVs independently of the trip length</t>
  </si>
  <si>
    <t>ktoe</t>
  </si>
  <si>
    <t>TRAELCEV</t>
  </si>
  <si>
    <t>Electricity TRA for electric cars</t>
  </si>
  <si>
    <t>Mpass km</t>
  </si>
  <si>
    <t>Biltransport</t>
  </si>
  <si>
    <r>
      <t xml:space="preserve">Transport work by trip length in 2010, </t>
    </r>
    <r>
      <rPr>
        <b/>
        <i/>
        <sz val="10"/>
        <color rgb="FFFF0000"/>
        <rFont val="Arial"/>
        <family val="2"/>
      </rPr>
      <t>m vehicle km</t>
    </r>
  </si>
  <si>
    <t xml:space="preserve"> Bensin- respektive dieselförbrukning, liter per mil. För bilar med bensin eller disel som enda bränsle</t>
  </si>
  <si>
    <t xml:space="preserve">Observera att redovisade uppgifter ej är jämförbara med tidigare år före 2012, då tidigare tabeller innehöll fordon med flera drivmedel. </t>
  </si>
  <si>
    <t>År 2012</t>
  </si>
  <si>
    <t>År 2013</t>
  </si>
  <si>
    <t>År 2014</t>
  </si>
  <si>
    <t>År 2015</t>
  </si>
  <si>
    <t>År 2016</t>
  </si>
  <si>
    <t>Kod</t>
  </si>
  <si>
    <t>l/mil</t>
  </si>
  <si>
    <t>kWh/mil</t>
  </si>
  <si>
    <t>01 RIKET</t>
  </si>
  <si>
    <t>01 STOCKHOLMS LÄN</t>
  </si>
  <si>
    <t>03 UPPSALA LÄN</t>
  </si>
  <si>
    <t>04 SÖDERMANLANDS LÄN</t>
  </si>
  <si>
    <t>05 ÖSTERGÖTLANDS LÄN</t>
  </si>
  <si>
    <t>06 JÖNKÖPINGS LÄN</t>
  </si>
  <si>
    <t>07 KRONOBERGS LÄN</t>
  </si>
  <si>
    <t>08 KALMAR LÄN</t>
  </si>
  <si>
    <t>09 GOTLANDS LÄN</t>
  </si>
  <si>
    <t>10 BLEKINGE LÄN</t>
  </si>
  <si>
    <t>12 SKÅNE LÄN</t>
  </si>
  <si>
    <t>13 HALLANDS LÄN</t>
  </si>
  <si>
    <t>14 VÄSTRA GÖTALANDS LÄN</t>
  </si>
  <si>
    <t>17 VÄRMLANDS LÄN</t>
  </si>
  <si>
    <t>18 ÖREBRO LÄN</t>
  </si>
  <si>
    <t>19 VÄSTMANLANDS LÄN</t>
  </si>
  <si>
    <t>20 DALARNAS LÄN</t>
  </si>
  <si>
    <t>21 GÄVLEBORGS LÄN</t>
  </si>
  <si>
    <t>22 VÄSTERNORRLANDS LÄN</t>
  </si>
  <si>
    <t>23 JÄMTLANDS LÄN</t>
  </si>
  <si>
    <t>24 VÄSTERBOTTENS LÄN</t>
  </si>
  <si>
    <t>25 NORRBOTTENS LÄN</t>
  </si>
  <si>
    <t xml:space="preserve">UPPLANDS-VÄSBY </t>
  </si>
  <si>
    <t>http://extra.lansstyrelsen.se/rus/Sv/statistik-och-data/korstrackor-och-bransleforbrukning/Pages/default.aspx</t>
  </si>
  <si>
    <t>tabell 6</t>
  </si>
  <si>
    <t xml:space="preserve">Car </t>
  </si>
  <si>
    <t>NO1</t>
  </si>
  <si>
    <t>NO2</t>
  </si>
  <si>
    <t>obs, tycks som två värdesiffror är det som läses in veda</t>
  </si>
  <si>
    <t>CURR</t>
  </si>
  <si>
    <t>Energy balance (June 2017 edition)</t>
  </si>
  <si>
    <t>0000</t>
  </si>
  <si>
    <t>3270A</t>
  </si>
  <si>
    <t>Sweden</t>
  </si>
  <si>
    <t>Total all products</t>
  </si>
  <si>
    <t>Solid fuels</t>
  </si>
  <si>
    <t>Anthracite</t>
  </si>
  <si>
    <t>Coking coal</t>
  </si>
  <si>
    <t>Other bituminous coal</t>
  </si>
  <si>
    <t>Sub-bituminous coal</t>
  </si>
  <si>
    <t>Lignite / Brown Coal</t>
  </si>
  <si>
    <t>Patent Fuels</t>
  </si>
  <si>
    <t>Coke oven coke</t>
  </si>
  <si>
    <t>Gas coke</t>
  </si>
  <si>
    <t>Coal tar</t>
  </si>
  <si>
    <t>BKB</t>
  </si>
  <si>
    <t>Peat</t>
  </si>
  <si>
    <t>Peat products</t>
  </si>
  <si>
    <t>Oil shale &amp; oil sands</t>
  </si>
  <si>
    <t>Oil (total)</t>
  </si>
  <si>
    <t>Crude oil</t>
  </si>
  <si>
    <t>Natural Gas Liguids</t>
  </si>
  <si>
    <t>Refinery Feedstocks</t>
  </si>
  <si>
    <t>Additives / Oxygenates</t>
  </si>
  <si>
    <t>Other Hydrocarb. (w/o bio)</t>
  </si>
  <si>
    <t>Refinery gas</t>
  </si>
  <si>
    <t>Ethane</t>
  </si>
  <si>
    <t>Motor Gasoline (w/o bio)</t>
  </si>
  <si>
    <t>Gasoline Type Jet Fuel</t>
  </si>
  <si>
    <t>Kerosene Type Jet Fuel</t>
  </si>
  <si>
    <t>Naphtha</t>
  </si>
  <si>
    <t>Gas/Diesel Oil (w/o bio)</t>
  </si>
  <si>
    <t>White spirit and SBP</t>
  </si>
  <si>
    <t>Lubricants</t>
  </si>
  <si>
    <t>Bitumen</t>
  </si>
  <si>
    <t>Petroleum Coke</t>
  </si>
  <si>
    <t>Paraffin Waxes</t>
  </si>
  <si>
    <t>Other Products</t>
  </si>
  <si>
    <t>Natural gas</t>
  </si>
  <si>
    <t xml:space="preserve">Coke oven gas </t>
  </si>
  <si>
    <t>Blast furnace gas</t>
  </si>
  <si>
    <t>Gasworks gas</t>
  </si>
  <si>
    <t>Other recovered gas</t>
  </si>
  <si>
    <t>Total Renewables</t>
  </si>
  <si>
    <t>Hydro power</t>
  </si>
  <si>
    <t>Wind power</t>
  </si>
  <si>
    <t>Tide, wave and ocean</t>
  </si>
  <si>
    <t>Solar thermal</t>
  </si>
  <si>
    <t>Solar PV</t>
  </si>
  <si>
    <t>Solid biomass</t>
  </si>
  <si>
    <t>Charcoal</t>
  </si>
  <si>
    <t>Biogas (all)</t>
  </si>
  <si>
    <t>Municipal wastes (renew.)</t>
  </si>
  <si>
    <t>Bio gasoline</t>
  </si>
  <si>
    <t>Bio jet kerosene</t>
  </si>
  <si>
    <t>Other liquid biofuels</t>
  </si>
  <si>
    <t>Geo-thermal</t>
  </si>
  <si>
    <t>Wastes (non ren.)</t>
  </si>
  <si>
    <t>Industrial wastes</t>
  </si>
  <si>
    <t>Municial wastes (non-ren.)</t>
  </si>
  <si>
    <t>Nuclear heat</t>
  </si>
  <si>
    <t>Derived heat</t>
  </si>
  <si>
    <t>Primary production</t>
  </si>
  <si>
    <t>B_100100</t>
  </si>
  <si>
    <t>Primary production receipt</t>
  </si>
  <si>
    <t>B_100110</t>
  </si>
  <si>
    <t>From other sources (Recovered products)</t>
  </si>
  <si>
    <t>B_100200</t>
  </si>
  <si>
    <t>of which From Oil Products</t>
  </si>
  <si>
    <t>B_150201</t>
  </si>
  <si>
    <t>of which From Natural Gas</t>
  </si>
  <si>
    <t>B_150202</t>
  </si>
  <si>
    <t>of which From Renewables</t>
  </si>
  <si>
    <t>B_150203</t>
  </si>
  <si>
    <t>of which From Coal</t>
  </si>
  <si>
    <t>B_150204</t>
  </si>
  <si>
    <t>Recycled products</t>
  </si>
  <si>
    <t>B_100210</t>
  </si>
  <si>
    <t>Imports</t>
  </si>
  <si>
    <t>B_100300</t>
  </si>
  <si>
    <t>Stock changes</t>
  </si>
  <si>
    <t>B_100400</t>
  </si>
  <si>
    <t>Exports</t>
  </si>
  <si>
    <t>B_100500</t>
  </si>
  <si>
    <t>Bunkers</t>
  </si>
  <si>
    <t>B_100800</t>
  </si>
  <si>
    <t>Direct use</t>
  </si>
  <si>
    <t>B_100112</t>
  </si>
  <si>
    <t>Gross inland consumption</t>
  </si>
  <si>
    <t>B_100900</t>
  </si>
  <si>
    <t>Transformation input</t>
  </si>
  <si>
    <t>B_101000</t>
  </si>
  <si>
    <t>Conventional Thermal Power Stations</t>
  </si>
  <si>
    <t>B_101001</t>
  </si>
  <si>
    <t>Main Activity Producer Conventional Thermal Power Stations</t>
  </si>
  <si>
    <t>B_101021</t>
  </si>
  <si>
    <t>Main Activity Producer Electricity Plants</t>
  </si>
  <si>
    <t>B_101031</t>
  </si>
  <si>
    <t>Main Activity Producer CHP Plants</t>
  </si>
  <si>
    <t>B_101032</t>
  </si>
  <si>
    <t>Autoproducer Conventional Thermal Power Stations</t>
  </si>
  <si>
    <t>B_101022</t>
  </si>
  <si>
    <t>Autoproducer Electricity Plants</t>
  </si>
  <si>
    <t>B_101034</t>
  </si>
  <si>
    <t>Autoproducer CHP Plants</t>
  </si>
  <si>
    <t>B_101035</t>
  </si>
  <si>
    <t>Used for electricity generation</t>
  </si>
  <si>
    <t>B_101017</t>
  </si>
  <si>
    <t>Nuclear Power Stations</t>
  </si>
  <si>
    <t>B_101002</t>
  </si>
  <si>
    <t>Coke-ovens</t>
  </si>
  <si>
    <t>B_101004</t>
  </si>
  <si>
    <t>Blast-furnaces</t>
  </si>
  <si>
    <t>B_101006</t>
  </si>
  <si>
    <t>Gas works</t>
  </si>
  <si>
    <t>B_101007</t>
  </si>
  <si>
    <t>Refineries</t>
  </si>
  <si>
    <t>B_101008</t>
  </si>
  <si>
    <t>District heating plants</t>
  </si>
  <si>
    <t>B_101009</t>
  </si>
  <si>
    <t>Main Activity Producer Heat Only Plants</t>
  </si>
  <si>
    <t>B_101038</t>
  </si>
  <si>
    <t>Autoproducer Heat Only Plants</t>
  </si>
  <si>
    <t>B_101039</t>
  </si>
  <si>
    <t>Used for heat pumps</t>
  </si>
  <si>
    <t>B_101322</t>
  </si>
  <si>
    <t>Used for electric boilers</t>
  </si>
  <si>
    <t>B_101323</t>
  </si>
  <si>
    <t>Patent fuel plants</t>
  </si>
  <si>
    <t>B_101010</t>
  </si>
  <si>
    <t>BKB / PB Plants</t>
  </si>
  <si>
    <t>B_101011</t>
  </si>
  <si>
    <t>Coal Liquefaction Plants</t>
  </si>
  <si>
    <t>B_101012</t>
  </si>
  <si>
    <t>For Blended Natural Gas</t>
  </si>
  <si>
    <t>B_101013</t>
  </si>
  <si>
    <t>Charcoal production plants (transformation)</t>
  </si>
  <si>
    <t>B_101015</t>
  </si>
  <si>
    <t>Gas-to-Liquids (GTL) Plants (transformation)</t>
  </si>
  <si>
    <t>B_101016</t>
  </si>
  <si>
    <t>Non-specified Transformation Input</t>
  </si>
  <si>
    <t>B_101020</t>
  </si>
  <si>
    <t>Transformation output</t>
  </si>
  <si>
    <t>B_101100</t>
  </si>
  <si>
    <t>B_101101</t>
  </si>
  <si>
    <t>B_101121</t>
  </si>
  <si>
    <t>El. Gen. Main activity electricity only - Geothermal</t>
  </si>
  <si>
    <t>15_107038</t>
  </si>
  <si>
    <t>El. Gen. Main activity electricity only - Combustible Fuels</t>
  </si>
  <si>
    <t>15_107048</t>
  </si>
  <si>
    <t>El. Gen. Main activity electricity only - Other Sources</t>
  </si>
  <si>
    <t>15_107054</t>
  </si>
  <si>
    <t>El. Gen. Main activity electricity only - Solar Thermal</t>
  </si>
  <si>
    <t>14_1070422</t>
  </si>
  <si>
    <t>El. Gen. Main activity CHP plants - Geothermal</t>
  </si>
  <si>
    <t>15_107039</t>
  </si>
  <si>
    <t>El. Gen. Main activity CHP plants - Combustible Fuels</t>
  </si>
  <si>
    <t>15_107049</t>
  </si>
  <si>
    <t>El. Gen. Main activity CHP plants - Other Sources</t>
  </si>
  <si>
    <t>15_107055</t>
  </si>
  <si>
    <t>El. Gen. Main activity CHP plants - Solar Thermal</t>
  </si>
  <si>
    <t>14_1070423</t>
  </si>
  <si>
    <t>Heat Prod. Main activity CHP plants - Geothermal</t>
  </si>
  <si>
    <t>15_107064</t>
  </si>
  <si>
    <t>Heat Prod. Main activity CHP plants - Combustible Fuels</t>
  </si>
  <si>
    <t>15_107072</t>
  </si>
  <si>
    <t>Heat Prod. Main activity CHP plants - Heat Pumps</t>
  </si>
  <si>
    <t>15_107076</t>
  </si>
  <si>
    <t>Heat Prod. Main activity CHP plants - Electric Boilers</t>
  </si>
  <si>
    <t>15_107080</t>
  </si>
  <si>
    <t>Heat Prod. Main activity CHP plants - Other Sources</t>
  </si>
  <si>
    <t>15_107086</t>
  </si>
  <si>
    <t>Heat Prod. Main activity CHP plants - Solar Thermal</t>
  </si>
  <si>
    <t>14_1070681</t>
  </si>
  <si>
    <t>B_101122</t>
  </si>
  <si>
    <t>El. Gen. Autoproducer electricity only - Geothermal</t>
  </si>
  <si>
    <t>15_107040</t>
  </si>
  <si>
    <t>El. Gen. Autoproducer electricity only - Combustible Fuels</t>
  </si>
  <si>
    <t>15_107050</t>
  </si>
  <si>
    <t>El. Gen. Autoproducer electricity only - Heat from Chemical Sources</t>
  </si>
  <si>
    <t>15_107052</t>
  </si>
  <si>
    <t>El. Gen. Autoproducer electricity only - Other Sources</t>
  </si>
  <si>
    <t>15_107056</t>
  </si>
  <si>
    <t>El. Gen. Autoproducer electricity only - Solar Thermal</t>
  </si>
  <si>
    <t>14_1070432</t>
  </si>
  <si>
    <t>El. Gen. Autoproducer CHP plants - Geothermal</t>
  </si>
  <si>
    <t>15_107041</t>
  </si>
  <si>
    <t>El. Gen. Autoproducer CHP plants - Combustible Fuels</t>
  </si>
  <si>
    <t>15_107051</t>
  </si>
  <si>
    <t>El. Gen. Autoproducer CHP plants - Heat from Chemical Sources</t>
  </si>
  <si>
    <t>15_107053</t>
  </si>
  <si>
    <t>El. Gen. Autoproducer CHP plants - Other Sources</t>
  </si>
  <si>
    <t>15_107057</t>
  </si>
  <si>
    <t>El. Gen. Autoproducer CHP plants - Solar Thermal</t>
  </si>
  <si>
    <t>14_1070433</t>
  </si>
  <si>
    <t>Heat Prod. Autoproducer CHP plants - Geothermal</t>
  </si>
  <si>
    <t>15_107066</t>
  </si>
  <si>
    <t>Heat Prod. Autoproducer CHP plants - Combustible Fuels</t>
  </si>
  <si>
    <t>15_107074</t>
  </si>
  <si>
    <t>Heat Prod. Autoproducer CHP plants - Heat Pumps</t>
  </si>
  <si>
    <t>15_107078</t>
  </si>
  <si>
    <t>Heat Prod. Autoproducer CHP plants - Electric Boilers</t>
  </si>
  <si>
    <t>15_107082</t>
  </si>
  <si>
    <t>Heat Prod. Autoproducer CHP plants - Heat from Chemical Sources</t>
  </si>
  <si>
    <t>15_107084</t>
  </si>
  <si>
    <t>Heat Prod. Autoproducer CHP plants - Other Sources</t>
  </si>
  <si>
    <t>15_107088</t>
  </si>
  <si>
    <t>Heat Prod. Autoproducer CHP plants - Solar Thermal</t>
  </si>
  <si>
    <t>14_1070701</t>
  </si>
  <si>
    <t>Nuclear power stations</t>
  </si>
  <si>
    <t>B_101102</t>
  </si>
  <si>
    <t>El. Gen. Main Activity electricity only - Nuclear</t>
  </si>
  <si>
    <t>15_107030</t>
  </si>
  <si>
    <t>El. Gen. Main Activity CHP plants - Nuclear</t>
  </si>
  <si>
    <t>15_107031</t>
  </si>
  <si>
    <t>El. Gen. Autoproducer electricity only - Nuclear</t>
  </si>
  <si>
    <t>15_107032</t>
  </si>
  <si>
    <t>El. Gen. Autoproducer CHP plants - Nuclear</t>
  </si>
  <si>
    <t>15_107033</t>
  </si>
  <si>
    <t>Heat Prod. Main Activity CHP plants - Nuclear</t>
  </si>
  <si>
    <t>15_107060</t>
  </si>
  <si>
    <t>Heat Prod. Autoproducer CHP plants - Nuclear</t>
  </si>
  <si>
    <t>15_107062</t>
  </si>
  <si>
    <t>B_101104</t>
  </si>
  <si>
    <t>B_101106</t>
  </si>
  <si>
    <t>B_101107</t>
  </si>
  <si>
    <t>B_101108</t>
  </si>
  <si>
    <t>Patent Fuel Plants</t>
  </si>
  <si>
    <t>B_101110</t>
  </si>
  <si>
    <t>B_101111</t>
  </si>
  <si>
    <t>Charcoal production plants</t>
  </si>
  <si>
    <t>B_101115</t>
  </si>
  <si>
    <t>District Heating Plants</t>
  </si>
  <si>
    <t>B_101109</t>
  </si>
  <si>
    <t>Heat Prod. Main activity heat only plants - Nuclear</t>
  </si>
  <si>
    <t>15_107061</t>
  </si>
  <si>
    <t>Heat Prod. Main activity heat only plants - Geothermal</t>
  </si>
  <si>
    <t>15_107065</t>
  </si>
  <si>
    <t>Heat Prod. Main activity heat only plants - Combustible Fuels</t>
  </si>
  <si>
    <t>15_107073</t>
  </si>
  <si>
    <t>Heat Prod. Main activity heat only plants - Heat Pumps</t>
  </si>
  <si>
    <t>15_107077</t>
  </si>
  <si>
    <t>Heat Prod. Main activity heat only plants - Electric Boilers</t>
  </si>
  <si>
    <t>15_107081</t>
  </si>
  <si>
    <t>Heat Prod. Main activity heat only plants - Other Sources</t>
  </si>
  <si>
    <t>15_107087</t>
  </si>
  <si>
    <t>Heat Prod. Main activity heat only plants - Solar Thermal</t>
  </si>
  <si>
    <t>14_1070691</t>
  </si>
  <si>
    <t>Heat Prod. Autoproducer heat only plants - Nuclear</t>
  </si>
  <si>
    <t>15_107063</t>
  </si>
  <si>
    <t>Heat Prod. Autoproducer heat only plants - Geothermal</t>
  </si>
  <si>
    <t>15_107067</t>
  </si>
  <si>
    <t>Heat Prod. Autoproducer heat only plants - Combustible Fuels</t>
  </si>
  <si>
    <t>15_107075</t>
  </si>
  <si>
    <t>Heat Prod. Autoproducer heat only plants - Heat Pumps</t>
  </si>
  <si>
    <t>15_107079</t>
  </si>
  <si>
    <t>Heat Prod. Autoproducer heat only plants - Electric Boilers</t>
  </si>
  <si>
    <t>15_107083</t>
  </si>
  <si>
    <t>Heat Prod. Autoproducer heat only plants - Heat from Chemical Sources</t>
  </si>
  <si>
    <t>15_107085</t>
  </si>
  <si>
    <t>Heat Prod. Autoproducer heat only plants - Other Sources</t>
  </si>
  <si>
    <t>15_107089</t>
  </si>
  <si>
    <t>Heat Prod. Autoproducer heat only plants - Solar Thermal</t>
  </si>
  <si>
    <t>14_1070711</t>
  </si>
  <si>
    <t>Exchanges and transfers, returns</t>
  </si>
  <si>
    <t>B_101200</t>
  </si>
  <si>
    <t>Interproduct tranfers</t>
  </si>
  <si>
    <t>B_101210</t>
  </si>
  <si>
    <t>Products transferred</t>
  </si>
  <si>
    <t>B_101220</t>
  </si>
  <si>
    <t>Petrochemical industry (Returns from petrochem. Industry)</t>
  </si>
  <si>
    <t>B_101230</t>
  </si>
  <si>
    <t>Consumption of the energy branch</t>
  </si>
  <si>
    <t>B_101300</t>
  </si>
  <si>
    <t>Own Use in Electricity, CHP and Heat Plants</t>
  </si>
  <si>
    <t>B_101301</t>
  </si>
  <si>
    <t>Pumped storage power stations balance (Pumping stations)</t>
  </si>
  <si>
    <t>B_101302</t>
  </si>
  <si>
    <t>Used for pumped storage</t>
  </si>
  <si>
    <t>17_107302</t>
  </si>
  <si>
    <t>Production in pumped storage power station</t>
  </si>
  <si>
    <t>17_107301</t>
  </si>
  <si>
    <t>El. Gen. Main Activity electricity only - Pumped Hydro</t>
  </si>
  <si>
    <t>15_107036</t>
  </si>
  <si>
    <t>El. Gen. Autoproducer electricity only - Pumped Hydro</t>
  </si>
  <si>
    <t>15_107037</t>
  </si>
  <si>
    <t>Oil and Natural Gas extraction plants</t>
  </si>
  <si>
    <t>B_101305</t>
  </si>
  <si>
    <t>Oil refineries (Petroleum Refineries)</t>
  </si>
  <si>
    <t>B_101307</t>
  </si>
  <si>
    <t>Nuclear industry</t>
  </si>
  <si>
    <t>B_101308</t>
  </si>
  <si>
    <t>Coal Mines</t>
  </si>
  <si>
    <t>B_101310</t>
  </si>
  <si>
    <t>B_101311</t>
  </si>
  <si>
    <t>Coke Ovens</t>
  </si>
  <si>
    <t>B_101312</t>
  </si>
  <si>
    <t>B_101313</t>
  </si>
  <si>
    <t>B_101314</t>
  </si>
  <si>
    <t>Blast Furnaces</t>
  </si>
  <si>
    <t>B_101315</t>
  </si>
  <si>
    <t>B_101316</t>
  </si>
  <si>
    <t>Liquefaction (LNG) / regasification plants</t>
  </si>
  <si>
    <t>B_101317</t>
  </si>
  <si>
    <t>Gasification plants for biogas</t>
  </si>
  <si>
    <t>B_101318</t>
  </si>
  <si>
    <t>Gas-to-Liquids (GTL) Plants (Energy)</t>
  </si>
  <si>
    <t>B_101319</t>
  </si>
  <si>
    <t>Non-specified (Energy)</t>
  </si>
  <si>
    <t>B_101320</t>
  </si>
  <si>
    <t>Charcoal production plants (Energy)</t>
  </si>
  <si>
    <t>B_101321</t>
  </si>
  <si>
    <t>Distribution losses</t>
  </si>
  <si>
    <t>B_101400</t>
  </si>
  <si>
    <t>Available for Final Consumption</t>
  </si>
  <si>
    <t>B_101500</t>
  </si>
  <si>
    <t>Final non-energy consumption</t>
  </si>
  <si>
    <t>B_101600</t>
  </si>
  <si>
    <t>Non-Energy Use in Transformation sector</t>
  </si>
  <si>
    <t>B_101603</t>
  </si>
  <si>
    <t>Non-Energy Use in Energy sector</t>
  </si>
  <si>
    <t>B_101604</t>
  </si>
  <si>
    <t>Non-Energy Use in Industry sector</t>
  </si>
  <si>
    <t>B_101605</t>
  </si>
  <si>
    <t>of which Non-Energy Use in Chemical/Petrochemical Industry</t>
  </si>
  <si>
    <t>B_101601</t>
  </si>
  <si>
    <t>Non-Energy Use in Transport sector</t>
  </si>
  <si>
    <t>B_101606</t>
  </si>
  <si>
    <t>Non-Energy Use in Other sectors</t>
  </si>
  <si>
    <t>B_101607</t>
  </si>
  <si>
    <t>Non-Energy Use in Industry, Transformation and Energy Sectors</t>
  </si>
  <si>
    <t>B_101608</t>
  </si>
  <si>
    <t>Final energy consumption</t>
  </si>
  <si>
    <t>B_101700</t>
  </si>
  <si>
    <t>Industry</t>
  </si>
  <si>
    <t>B_101800</t>
  </si>
  <si>
    <t>Iron &amp; steel industry</t>
  </si>
  <si>
    <t>B_101805</t>
  </si>
  <si>
    <t>Chemical and Petrochemical industry</t>
  </si>
  <si>
    <t>B_101815</t>
  </si>
  <si>
    <t>Non-ferrous metal industry</t>
  </si>
  <si>
    <t>B_101810</t>
  </si>
  <si>
    <t>Non-metallic Minerals (Glass, pottery &amp; building mat. Industry)</t>
  </si>
  <si>
    <t>B_101820</t>
  </si>
  <si>
    <t>Transport Equipment</t>
  </si>
  <si>
    <t>B_101846</t>
  </si>
  <si>
    <t>Machinery</t>
  </si>
  <si>
    <t>B_101847</t>
  </si>
  <si>
    <t>Mining and Quarrying</t>
  </si>
  <si>
    <t>B_101825</t>
  </si>
  <si>
    <t>Food and Tabacco</t>
  </si>
  <si>
    <t>B_101830</t>
  </si>
  <si>
    <t>Paper, Pulp and Print</t>
  </si>
  <si>
    <t>B_101840</t>
  </si>
  <si>
    <t>Wood and Wood Products</t>
  </si>
  <si>
    <t>B_101851</t>
  </si>
  <si>
    <t>Construction</t>
  </si>
  <si>
    <t>B_101852</t>
  </si>
  <si>
    <t>Textile and Leather</t>
  </si>
  <si>
    <t>B_101835</t>
  </si>
  <si>
    <t>Non-specified (Industry)</t>
  </si>
  <si>
    <t>B_101853</t>
  </si>
  <si>
    <t>B_101900</t>
  </si>
  <si>
    <t>Rail</t>
  </si>
  <si>
    <t>B_101910</t>
  </si>
  <si>
    <t>Road</t>
  </si>
  <si>
    <t>B_101920</t>
  </si>
  <si>
    <t>International aviation</t>
  </si>
  <si>
    <t>B_101931</t>
  </si>
  <si>
    <t>Domestic aviation</t>
  </si>
  <si>
    <t>B_101932</t>
  </si>
  <si>
    <t>Domestic Navigation</t>
  </si>
  <si>
    <t>B_101940</t>
  </si>
  <si>
    <t>Pipeline transport</t>
  </si>
  <si>
    <t>B_101945</t>
  </si>
  <si>
    <t>Non-specified (Transport)</t>
  </si>
  <si>
    <t>B_101950</t>
  </si>
  <si>
    <t>Other Sectors</t>
  </si>
  <si>
    <t>B_102000</t>
  </si>
  <si>
    <t>Services</t>
  </si>
  <si>
    <t>B_102035</t>
  </si>
  <si>
    <t>Residential</t>
  </si>
  <si>
    <t>B_102010</t>
  </si>
  <si>
    <t>Agriculture / Forestry</t>
  </si>
  <si>
    <t>B_102030</t>
  </si>
  <si>
    <t>Fishing</t>
  </si>
  <si>
    <t>B_102020</t>
  </si>
  <si>
    <t>Non-specified (Other)</t>
  </si>
  <si>
    <t>B_102040</t>
  </si>
  <si>
    <t>Statistical differences</t>
  </si>
  <si>
    <t>B_102200</t>
  </si>
  <si>
    <r>
      <rPr>
        <b/>
        <sz val="8"/>
        <color indexed="8"/>
        <rFont val="Arial"/>
        <family val="2"/>
      </rPr>
      <t>Source:</t>
    </r>
    <r>
      <rPr>
        <sz val="8"/>
        <color indexed="8"/>
        <rFont val="Arial"/>
        <family val="2"/>
      </rPr>
      <t xml:space="preserve"> </t>
    </r>
    <r>
      <rPr>
        <i/>
        <sz val="8"/>
        <color indexed="8"/>
        <rFont val="Arial"/>
        <family val="2"/>
      </rPr>
      <t>Eurostat (nrg_110a)</t>
    </r>
  </si>
  <si>
    <t>Memo item:</t>
  </si>
  <si>
    <t>Liquid biofuels blended in gasoline/diesel</t>
  </si>
  <si>
    <t>B_101014</t>
  </si>
  <si>
    <t>TO TIMES_SE</t>
  </si>
  <si>
    <t>X short</t>
  </si>
  <si>
    <t>SE1 data</t>
  </si>
  <si>
    <t>Motorbike</t>
  </si>
  <si>
    <t>n/a</t>
  </si>
  <si>
    <t>national data</t>
  </si>
  <si>
    <t>Moped</t>
  </si>
  <si>
    <t>SE2 data</t>
  </si>
  <si>
    <t>Public bus</t>
  </si>
  <si>
    <t>Coach</t>
  </si>
  <si>
    <t>only metro in SE3</t>
  </si>
  <si>
    <t>Light rail</t>
  </si>
  <si>
    <t>only light rail in SE3</t>
  </si>
  <si>
    <t>SE3 data</t>
  </si>
  <si>
    <t>SE4 data</t>
  </si>
  <si>
    <t>NATIONAL DATA</t>
  </si>
  <si>
    <t>Data based on Swedish travel survey for year 2011-2016</t>
  </si>
  <si>
    <t xml:space="preserve">UPDATED WITH SWEDISH VALUES </t>
  </si>
  <si>
    <t>to TRA BAL</t>
  </si>
  <si>
    <t>to demand sheet</t>
  </si>
  <si>
    <t>per person</t>
  </si>
  <si>
    <t>MH: Subres does not support TPBIM so remove this demand for now</t>
  </si>
  <si>
    <t>Bus, public</t>
  </si>
  <si>
    <t>Bus, coach</t>
  </si>
  <si>
    <t>STOCK BUSES</t>
  </si>
  <si>
    <t>public bus</t>
  </si>
  <si>
    <t xml:space="preserve">vkm </t>
  </si>
  <si>
    <t>TRAFA</t>
  </si>
  <si>
    <t>pkm</t>
  </si>
  <si>
    <t>bus</t>
  </si>
  <si>
    <t>pkm/vkm</t>
  </si>
  <si>
    <t>Tram</t>
  </si>
  <si>
    <t>Air national</t>
  </si>
  <si>
    <t>no value available</t>
  </si>
  <si>
    <t>Air international</t>
  </si>
  <si>
    <t>Sea National</t>
  </si>
  <si>
    <t>Sea International</t>
  </si>
  <si>
    <t>Rail freight</t>
  </si>
  <si>
    <t>Sea international</t>
  </si>
  <si>
    <t>Truck national</t>
  </si>
  <si>
    <t>Truck international</t>
  </si>
  <si>
    <t>Vans</t>
  </si>
  <si>
    <t>S train = Tram (in Swedish model)</t>
  </si>
  <si>
    <t>Linked to demand sheet</t>
  </si>
  <si>
    <t>per bike (assumption)</t>
  </si>
  <si>
    <t>Based on RVU data</t>
  </si>
  <si>
    <t>Walk, bike and moped</t>
  </si>
  <si>
    <t>personkm/tågkm</t>
  </si>
  <si>
    <t>TIMES_DK: VT FILE</t>
  </si>
  <si>
    <t>TIMES_DK: Subres</t>
  </si>
  <si>
    <t xml:space="preserve">MULTIPLICATION FACTOR </t>
  </si>
  <si>
    <t>Adjustment factor used to calibrate EFF to fit Swedish energy stat</t>
  </si>
  <si>
    <t>(To be) Included also in Scen_SE_TRA_xAssumptions.xlsx for future investments</t>
  </si>
  <si>
    <t>Data are from:</t>
  </si>
  <si>
    <t>Urikes</t>
  </si>
  <si>
    <t>urikes</t>
  </si>
  <si>
    <t>inrikes</t>
  </si>
  <si>
    <t>NUMBER OF SHIPS</t>
  </si>
  <si>
    <t>PJ/km</t>
  </si>
  <si>
    <t>PJ/Mkm</t>
  </si>
  <si>
    <t>Mkm/PJ</t>
  </si>
  <si>
    <t>EUROSTAT</t>
  </si>
  <si>
    <t>ROAD</t>
  </si>
  <si>
    <t>Diesel + biodiesel</t>
  </si>
  <si>
    <t>Gasoline + ethanol</t>
  </si>
  <si>
    <t>Natural gas + biogas</t>
  </si>
  <si>
    <t>Calc</t>
  </si>
  <si>
    <t>Eurostat</t>
  </si>
  <si>
    <t>Diesel med FAME</t>
  </si>
  <si>
    <t>totala leveranser (m3)</t>
  </si>
  <si>
    <t>Vägtrafik och arbetsmaskiner</t>
  </si>
  <si>
    <t>Vägtrafik</t>
  </si>
  <si>
    <t>Arbetsmaskiner</t>
  </si>
  <si>
    <t>Diesel med 5% fame</t>
  </si>
  <si>
    <t>kWh/m3</t>
  </si>
  <si>
    <t>Mk2</t>
  </si>
  <si>
    <t>Tabeller från: "Transportsektorn energiavändning 2010" och  "Transportsektorn energiavändning 2014"(Energimyndigheten)</t>
  </si>
  <si>
    <t>mc och moped</t>
  </si>
  <si>
    <t>CO2</t>
  </si>
  <si>
    <t>Gasoline + diesel</t>
  </si>
  <si>
    <t>stat trafikverket CO2 miljoner ton</t>
  </si>
  <si>
    <t>Tabell LB8</t>
  </si>
  <si>
    <t>Lätta lastbilar i trafik efter drivmedel, årsvis 2003-2012</t>
  </si>
  <si>
    <t>Light lorries in use by fuel, by year 2003-2012</t>
  </si>
  <si>
    <t xml:space="preserve">Etanol/    </t>
  </si>
  <si>
    <t>Elhybrid/</t>
  </si>
  <si>
    <t>etanolhybrid</t>
  </si>
  <si>
    <t>laddhybrid</t>
  </si>
  <si>
    <t>Tabell LB9</t>
  </si>
  <si>
    <t>Tunga lastbilar i trafik efter drivmedel, årsvis 2003-2012</t>
  </si>
  <si>
    <t>Heavy lorries in use by fuel, by year 2003-2012</t>
  </si>
  <si>
    <t>Diesel- dieseldrivna fordon som endast har ett bränsle</t>
  </si>
  <si>
    <t>El- eldrivna fordon som endast har el som drivmedel</t>
  </si>
  <si>
    <t>Etanol/etanolhybrid - de fordon som har etanol eller E85 som första eller andra bränsle</t>
  </si>
  <si>
    <t>Elhybrid/laddhybrid - de fordon som har el som andra drivmedel</t>
  </si>
  <si>
    <t>Gas - de fordon som har naturgas, biogas, vätgas eller metangas som första eller andra drivmedel</t>
  </si>
  <si>
    <t>MULTIPLICATION FACTOR</t>
  </si>
  <si>
    <t>AIR F</t>
  </si>
  <si>
    <t>AIR P</t>
  </si>
  <si>
    <t>SEA P</t>
  </si>
  <si>
    <t>SEA F</t>
  </si>
  <si>
    <t xml:space="preserve">BELOW MULTIPLICATION FACTORS ARE USED </t>
  </si>
  <si>
    <t xml:space="preserve">FOR INTERNATIONAL NAVI AND AVI TO ASSSUME </t>
  </si>
  <si>
    <t xml:space="preserve">PASS KM AND TON KM WHICH CORRESPOND </t>
  </si>
  <si>
    <t>CHECK AGAINST</t>
  </si>
  <si>
    <t>TRAFA STATISTICS</t>
  </si>
  <si>
    <t>TO ENERGY STATISTICS (SEE SHEET TRA_BAL).</t>
  </si>
  <si>
    <t>(MULTIPLIED BY NATIONAL DATA)</t>
  </si>
  <si>
    <t>Assumed/ Iterated to fit Energy statitics</t>
  </si>
  <si>
    <t>AIR NATIONAL:</t>
  </si>
  <si>
    <t>SEA NATIONAL:</t>
  </si>
  <si>
    <t>ADJUSTMENT FACTOR FOR SWEDEN</t>
  </si>
  <si>
    <t>TRUCK</t>
  </si>
  <si>
    <t>VAN DIESEL</t>
  </si>
  <si>
    <t>VAN GASOLINE</t>
  </si>
  <si>
    <t>BUS</t>
  </si>
  <si>
    <t>Do not need to be included Scen_SE_TRA_xAssumptions.xlsx</t>
  </si>
  <si>
    <t>Tabell PB1</t>
  </si>
  <si>
    <r>
      <t>Körsträckor och antal personbilar</t>
    </r>
    <r>
      <rPr>
        <b/>
        <vertAlign val="superscript"/>
        <sz val="9"/>
        <rFont val="Arial"/>
        <family val="2"/>
      </rPr>
      <t xml:space="preserve"> </t>
    </r>
    <r>
      <rPr>
        <b/>
        <sz val="9"/>
        <rFont val="Arial"/>
        <family val="2"/>
      </rPr>
      <t>efter tjänstevikt och ägare år 2010</t>
    </r>
  </si>
  <si>
    <t>10 Kilometres driven and number of passenger cars, by kerb weight and owner year 2010</t>
  </si>
  <si>
    <t>Totalt antal körda mil</t>
  </si>
  <si>
    <t>Tjänstevikt</t>
  </si>
  <si>
    <t>i kg</t>
  </si>
  <si>
    <t xml:space="preserve">          -    900</t>
  </si>
  <si>
    <t xml:space="preserve">   901 - 1 000</t>
  </si>
  <si>
    <t>1 001 - 1 100</t>
  </si>
  <si>
    <t>1 101 - 1 200</t>
  </si>
  <si>
    <t>1 201 - 1 300</t>
  </si>
  <si>
    <t>1 301 - 1 400</t>
  </si>
  <si>
    <t>1 401 - 1 500</t>
  </si>
  <si>
    <t>1 501 - 1 600</t>
  </si>
  <si>
    <t>1 601 - 1 700</t>
  </si>
  <si>
    <t>1 701 - 2 000</t>
  </si>
  <si>
    <t>2 001 - 2 500</t>
  </si>
  <si>
    <t>2 501 - 3 000</t>
  </si>
  <si>
    <t xml:space="preserve">3 001- </t>
  </si>
  <si>
    <t>Okänd</t>
  </si>
  <si>
    <t>Tabell PB2</t>
  </si>
  <si>
    <t>Körsträckor och antal personbilar efter ägare år 2010</t>
  </si>
  <si>
    <t>10 Kilometres driven and number of passenger cars by owner year 2010</t>
  </si>
  <si>
    <t>Ägare</t>
  </si>
  <si>
    <t>Fysiska personer</t>
  </si>
  <si>
    <t xml:space="preserve">     Kvinnor</t>
  </si>
  <si>
    <t xml:space="preserve">     Män</t>
  </si>
  <si>
    <t>Juridiska personer</t>
  </si>
  <si>
    <t xml:space="preserve">     därav personliga företag</t>
  </si>
  <si>
    <t xml:space="preserve">   därav leasade bilar</t>
  </si>
  <si>
    <t xml:space="preserve">              taxi</t>
  </si>
  <si>
    <t>mil</t>
  </si>
  <si>
    <t>miljarder km</t>
  </si>
  <si>
    <t>Tabell PB3</t>
  </si>
  <si>
    <t>Körsträckor och antal personbilar efter årsmodell/tillverkningsår och ägare år 2010</t>
  </si>
  <si>
    <t>10 Kilometres driven and number of passenger cars by year of model/construction and by owner year 2010</t>
  </si>
  <si>
    <t>Årsmodell/</t>
  </si>
  <si>
    <t>tillverkningsår</t>
  </si>
  <si>
    <t>-1992</t>
  </si>
  <si>
    <t>Tabell PB4</t>
  </si>
  <si>
    <t>Tabell LB1</t>
  </si>
  <si>
    <r>
      <t>Körsträckor och antal lastbilar</t>
    </r>
    <r>
      <rPr>
        <b/>
        <vertAlign val="superscript"/>
        <sz val="9"/>
        <rFont val="Arial"/>
        <family val="2"/>
      </rPr>
      <t xml:space="preserve"> </t>
    </r>
    <r>
      <rPr>
        <b/>
        <sz val="9"/>
        <rFont val="Arial"/>
        <family val="2"/>
      </rPr>
      <t>efter årsmodell/tillverkningsår och totalvikt år 2010</t>
    </r>
  </si>
  <si>
    <t>10 Kilometres driven and number of lorries by year of model/construction and permissible maximum weight year 2010</t>
  </si>
  <si>
    <t>Antal lastbilar</t>
  </si>
  <si>
    <t xml:space="preserve">Totalvikt i kg </t>
  </si>
  <si>
    <t>Tabell LB2</t>
  </si>
  <si>
    <t>Körsträckor och antal lastbilar efter totalvikt år 2010</t>
  </si>
  <si>
    <r>
      <t>10 Kilometres driven and number of lorries</t>
    </r>
    <r>
      <rPr>
        <vertAlign val="superscript"/>
        <sz val="9"/>
        <rFont val="Arial"/>
        <family val="2"/>
      </rPr>
      <t xml:space="preserve"> </t>
    </r>
    <r>
      <rPr>
        <sz val="9"/>
        <rFont val="Arial"/>
        <family val="2"/>
      </rPr>
      <t>by permissible maximum weight year 2010</t>
    </r>
  </si>
  <si>
    <t>Totalvikt i kg</t>
  </si>
  <si>
    <t xml:space="preserve">         0 –   1 600</t>
  </si>
  <si>
    <t xml:space="preserve">  1 601 –   2 000</t>
  </si>
  <si>
    <t xml:space="preserve">  2 001 –   2 500</t>
  </si>
  <si>
    <t xml:space="preserve">  2 501 –   3 000</t>
  </si>
  <si>
    <t xml:space="preserve">  3 001 –   3 500</t>
  </si>
  <si>
    <t xml:space="preserve">  3 501 –   6 000</t>
  </si>
  <si>
    <t xml:space="preserve">  6 001 – 10 000</t>
  </si>
  <si>
    <t>10 001 – 12 000</t>
  </si>
  <si>
    <t>12 001 – 16 000</t>
  </si>
  <si>
    <t>16 001 – 20 000</t>
  </si>
  <si>
    <t>20 001 – 22 000</t>
  </si>
  <si>
    <t>22 001 – 24 000</t>
  </si>
  <si>
    <t>24 001 – 26 000</t>
  </si>
  <si>
    <t>26 001 – 28 000</t>
  </si>
  <si>
    <t>28 001 – 30 000</t>
  </si>
  <si>
    <t xml:space="preserve">30 001 – </t>
  </si>
  <si>
    <t>Tabell LB3</t>
  </si>
  <si>
    <r>
      <t>Körsträckor och antal lastbilar</t>
    </r>
    <r>
      <rPr>
        <b/>
        <vertAlign val="superscript"/>
        <sz val="9"/>
        <rFont val="Arial"/>
        <family val="2"/>
      </rPr>
      <t xml:space="preserve"> </t>
    </r>
    <r>
      <rPr>
        <b/>
        <sz val="9"/>
        <rFont val="Arial"/>
        <family val="2"/>
      </rPr>
      <t>efter maximilastvikt år 2010</t>
    </r>
  </si>
  <si>
    <r>
      <t>10 Kilometres driven and number of lorries</t>
    </r>
    <r>
      <rPr>
        <vertAlign val="superscript"/>
        <sz val="9"/>
        <rFont val="Arial"/>
        <family val="2"/>
      </rPr>
      <t xml:space="preserve"> </t>
    </r>
    <r>
      <rPr>
        <sz val="9"/>
        <rFont val="Arial"/>
        <family val="2"/>
      </rPr>
      <t>by load capacity year 2010</t>
    </r>
  </si>
  <si>
    <t>Maximilastvikt i kg</t>
  </si>
  <si>
    <t xml:space="preserve">            –        500</t>
  </si>
  <si>
    <t xml:space="preserve">      501 –   1 000</t>
  </si>
  <si>
    <t xml:space="preserve">  1 001 –    1 500</t>
  </si>
  <si>
    <t xml:space="preserve">  1 501 –    2 000</t>
  </si>
  <si>
    <t xml:space="preserve">  2 001 –    2 500</t>
  </si>
  <si>
    <t xml:space="preserve">  2 501 –    3 000</t>
  </si>
  <si>
    <t xml:space="preserve">  3 001 –    3 500</t>
  </si>
  <si>
    <t xml:space="preserve">  3 501 –    4 000</t>
  </si>
  <si>
    <t xml:space="preserve">  4 001 –    5 000</t>
  </si>
  <si>
    <t xml:space="preserve">  5 001 –    6 000</t>
  </si>
  <si>
    <t xml:space="preserve">  6 001 –    7 000</t>
  </si>
  <si>
    <t xml:space="preserve">  7 001 –    8 000</t>
  </si>
  <si>
    <t xml:space="preserve">  8 001 –    9 000</t>
  </si>
  <si>
    <t xml:space="preserve">  9 001 –  10 000</t>
  </si>
  <si>
    <t>10 001 – 11 000</t>
  </si>
  <si>
    <t>11 001 – 12 000</t>
  </si>
  <si>
    <t>12 001 – 13 000</t>
  </si>
  <si>
    <t>13 001 – 14 000</t>
  </si>
  <si>
    <t>14 001 – 15 000</t>
  </si>
  <si>
    <t>15 001 – 16 000</t>
  </si>
  <si>
    <t>16 001 – 17 000</t>
  </si>
  <si>
    <t xml:space="preserve">17 001 – </t>
  </si>
  <si>
    <t>Tabell LB4</t>
  </si>
  <si>
    <t>Körsträckor och antal lastbilar efter karosseri år 2010</t>
  </si>
  <si>
    <t>10 Kilometres driven and number of lorries by type of body year 2010</t>
  </si>
  <si>
    <t>Kaross</t>
  </si>
  <si>
    <t>Flakbilar</t>
  </si>
  <si>
    <t>Skåpbilar</t>
  </si>
  <si>
    <t xml:space="preserve">    därav med kyl / frys</t>
  </si>
  <si>
    <t>Bankebilar</t>
  </si>
  <si>
    <t>Tankbilar</t>
  </si>
  <si>
    <t xml:space="preserve">    därav brandfarlig vätska</t>
  </si>
  <si>
    <t>Utbytbara karosserier och containers</t>
  </si>
  <si>
    <t>Tabell BU1</t>
  </si>
  <si>
    <r>
      <t>Körsträckor och antal bussar</t>
    </r>
    <r>
      <rPr>
        <b/>
        <vertAlign val="superscript"/>
        <sz val="9"/>
        <rFont val="Arial"/>
        <family val="2"/>
      </rPr>
      <t xml:space="preserve"> </t>
    </r>
    <r>
      <rPr>
        <b/>
        <sz val="9"/>
        <rFont val="Arial"/>
        <family val="2"/>
      </rPr>
      <t>efter årsmodell/tillverkningsår år 2010</t>
    </r>
  </si>
  <si>
    <r>
      <t>10 Kilometres driven and number of buses</t>
    </r>
    <r>
      <rPr>
        <vertAlign val="superscript"/>
        <sz val="9"/>
        <rFont val="Arial"/>
        <family val="2"/>
      </rPr>
      <t xml:space="preserve"> </t>
    </r>
    <r>
      <rPr>
        <sz val="9"/>
        <rFont val="Arial"/>
        <family val="2"/>
      </rPr>
      <t>by year of model/construction year 2010</t>
    </r>
  </si>
  <si>
    <t xml:space="preserve"> Totalt antal </t>
  </si>
  <si>
    <t>Antal bussar</t>
  </si>
  <si>
    <t xml:space="preserve">Medelkörsträcka </t>
  </si>
  <si>
    <t xml:space="preserve">tillverkningsår </t>
  </si>
  <si>
    <t>körda mil</t>
  </si>
  <si>
    <t>i mil</t>
  </si>
  <si>
    <t>Tabell BU2</t>
  </si>
  <si>
    <t>Körsträckor och antal bussar efter antal passagerare år 2010</t>
  </si>
  <si>
    <t>10 Kilometres driven and number of buses by number of passengers year 2010</t>
  </si>
  <si>
    <t xml:space="preserve">     –   8</t>
  </si>
  <si>
    <t xml:space="preserve">  9 – 10</t>
  </si>
  <si>
    <t>11 – 20</t>
  </si>
  <si>
    <t>21 – 30</t>
  </si>
  <si>
    <t>31 – 40</t>
  </si>
  <si>
    <t>41 – 50</t>
  </si>
  <si>
    <t>51 – 60</t>
  </si>
  <si>
    <t>61 – 70</t>
  </si>
  <si>
    <t>71 – 80</t>
  </si>
  <si>
    <t xml:space="preserve">81 – </t>
  </si>
  <si>
    <t xml:space="preserve">Okänd </t>
  </si>
  <si>
    <r>
      <t>Körsträckor och antal bussar</t>
    </r>
    <r>
      <rPr>
        <b/>
        <vertAlign val="superscript"/>
        <sz val="9"/>
        <rFont val="Arial"/>
        <family val="2"/>
      </rPr>
      <t xml:space="preserve"> </t>
    </r>
    <r>
      <rPr>
        <b/>
        <sz val="9"/>
        <rFont val="Arial"/>
        <family val="2"/>
      </rPr>
      <t>efter drivmedel år 2010</t>
    </r>
  </si>
  <si>
    <t>10 Kilometres driven and number of buses by fuel year 2010</t>
  </si>
  <si>
    <t xml:space="preserve"> Antal bussar</t>
  </si>
  <si>
    <t xml:space="preserve"> Medelkörsträcka i mil</t>
  </si>
  <si>
    <t>Etanol/              etanolhybrid</t>
  </si>
  <si>
    <t>Elhybrider/       laddhybrider</t>
  </si>
  <si>
    <t>Tabell MC1</t>
  </si>
  <si>
    <t>Körsträckor och antal motorcyklar efter årsmodell/tillverkningsår och ägare år 2009</t>
  </si>
  <si>
    <t>10 Kilometres driven and number of motorcycles by year of model/construction and owner year 2009</t>
  </si>
  <si>
    <t>Antal motorcyklar</t>
  </si>
  <si>
    <t>tillverknings-</t>
  </si>
  <si>
    <t>år</t>
  </si>
  <si>
    <t>-1991</t>
  </si>
  <si>
    <t>Tabell MC2</t>
  </si>
  <si>
    <r>
      <t>Körsträckor och antal motorcyklar</t>
    </r>
    <r>
      <rPr>
        <b/>
        <vertAlign val="superscript"/>
        <sz val="9"/>
        <rFont val="Arial"/>
        <family val="2"/>
      </rPr>
      <t xml:space="preserve"> </t>
    </r>
    <r>
      <rPr>
        <b/>
        <sz val="9"/>
        <rFont val="Arial"/>
        <family val="2"/>
      </rPr>
      <t>efter cylindervolym och ägare år 2009</t>
    </r>
  </si>
  <si>
    <t>10 Kilometres driven and number of motorcycles by cylinder volume and owner year 2009</t>
  </si>
  <si>
    <t>Cylindervolym</t>
  </si>
  <si>
    <t xml:space="preserve">              -    125</t>
  </si>
  <si>
    <t xml:space="preserve">    126   -    600</t>
  </si>
  <si>
    <t xml:space="preserve">    601   - 1 000</t>
  </si>
  <si>
    <t xml:space="preserve">1 001   - </t>
  </si>
  <si>
    <t>Tabell MC3</t>
  </si>
  <si>
    <t>Körsträckor och antal motorcyklar efter ägare år 2009</t>
  </si>
  <si>
    <t>10 Kilometres driven and number of motorcycles by owner year 2009</t>
  </si>
  <si>
    <t>Tabell RS7</t>
  </si>
  <si>
    <t>Genomsnittlig körsträcka i mil efter län och fordonsslag år 2010</t>
  </si>
  <si>
    <t>Average 10-km driven by different kind of vehicles, by county, regarding year 2010</t>
  </si>
  <si>
    <t xml:space="preserve">          Lastbilar</t>
  </si>
  <si>
    <r>
      <t>Motorcyklar</t>
    </r>
    <r>
      <rPr>
        <vertAlign val="superscript"/>
        <sz val="8"/>
        <rFont val="Arial"/>
        <family val="2"/>
      </rPr>
      <t>1)</t>
    </r>
  </si>
  <si>
    <t xml:space="preserve">Stockholm      </t>
  </si>
  <si>
    <t xml:space="preserve">Uppsala          </t>
  </si>
  <si>
    <t xml:space="preserve">Södermanland   </t>
  </si>
  <si>
    <t xml:space="preserve">Östergötland   </t>
  </si>
  <si>
    <t xml:space="preserve">Jönköping      </t>
  </si>
  <si>
    <t xml:space="preserve">Kronoberg      </t>
  </si>
  <si>
    <t xml:space="preserve">Kalmar           </t>
  </si>
  <si>
    <t xml:space="preserve">Gotland        </t>
  </si>
  <si>
    <t xml:space="preserve">Blekinge         </t>
  </si>
  <si>
    <t xml:space="preserve">Skåne            </t>
  </si>
  <si>
    <t xml:space="preserve">Halland        </t>
  </si>
  <si>
    <t xml:space="preserve">Värmland       </t>
  </si>
  <si>
    <t xml:space="preserve">Örebro           </t>
  </si>
  <si>
    <t xml:space="preserve">Västmanland    </t>
  </si>
  <si>
    <t xml:space="preserve">Dalarna        </t>
  </si>
  <si>
    <t xml:space="preserve">Gävleborg      </t>
  </si>
  <si>
    <t xml:space="preserve">Västernorrland </t>
  </si>
  <si>
    <t xml:space="preserve">Jämtland       </t>
  </si>
  <si>
    <t>Okänt</t>
  </si>
  <si>
    <t>1) Uppgifterna för motorcyklar avser år 2009</t>
  </si>
  <si>
    <t>KÖRSTRÄCKOR 2010</t>
  </si>
  <si>
    <t>Uppdaterad 2012-04-18. Uppgifter hämtade från Trafikanalys hemsida, tidigare SIKA, är ej längre aktuella.</t>
  </si>
  <si>
    <t>Uppdaterad 2013-06-12. Tabellerna för MC korrigerade.</t>
  </si>
  <si>
    <t>Tabellförteckning</t>
  </si>
  <si>
    <t xml:space="preserve">Tabell LB3 </t>
  </si>
  <si>
    <t xml:space="preserve">Tabell LB4 </t>
  </si>
  <si>
    <t>Regional statistik</t>
  </si>
  <si>
    <t>Tabell RS1</t>
  </si>
  <si>
    <t>BELOW: ADJUSTED DATA TO BE CARS IN TRAFFIC DURING THE WHOLE YEAR, NOT ONLY 1 JAN</t>
  </si>
  <si>
    <t>ADJUSTMENT FACTOR:</t>
  </si>
  <si>
    <t>ADJUSTMENT FACTOR</t>
  </si>
  <si>
    <t>medelkörsträckor 2010 från statistik</t>
  </si>
  <si>
    <t>A number of updates better fit statistics as well as be consistent with subres technologies</t>
  </si>
  <si>
    <t>TFRN</t>
  </si>
  <si>
    <t>TFRI</t>
  </si>
  <si>
    <t>Transport Freight Rail National</t>
  </si>
  <si>
    <t>Transport Freight Rail International</t>
  </si>
  <si>
    <t>Rafs Calculations</t>
  </si>
  <si>
    <t>Defined</t>
  </si>
  <si>
    <t>Delta</t>
  </si>
  <si>
    <t>WALK</t>
  </si>
  <si>
    <t>Added dummy cost previously included in scenario file</t>
  </si>
  <si>
    <t>TRALPGC</t>
  </si>
  <si>
    <t>TRAELCEVC</t>
  </si>
  <si>
    <t>TRAH2C</t>
  </si>
  <si>
    <t>TRAMOB</t>
  </si>
  <si>
    <t>TRAMGO</t>
  </si>
  <si>
    <t>TRAHFON</t>
  </si>
  <si>
    <t>TRADSLN</t>
  </si>
  <si>
    <t>TRADSBN</t>
  </si>
  <si>
    <t>TRAGSBN</t>
  </si>
  <si>
    <t>TRANGAN</t>
  </si>
  <si>
    <t>TRASNGN</t>
  </si>
  <si>
    <t>TRAAMM</t>
  </si>
  <si>
    <t>RE diesel (1G &amp; 2G) TRA</t>
  </si>
  <si>
    <t>RE ethanol (1G &amp; 2G) TRA</t>
  </si>
  <si>
    <t>Liquid petrol gas TRA Cars</t>
  </si>
  <si>
    <t>RE Synt. Nat. Gas (1G &amp; 2G) TRA</t>
  </si>
  <si>
    <t>Electricity TRA for electric EV</t>
  </si>
  <si>
    <t>Hydrogen Compressed TRA</t>
  </si>
  <si>
    <t>RE kerosene TRA</t>
  </si>
  <si>
    <t>Methanol TRA</t>
  </si>
  <si>
    <t>Transport marine gas oil</t>
  </si>
  <si>
    <t>Heavy Fuel Oil TRA Navigation</t>
  </si>
  <si>
    <t>Diesel TRA Navigation</t>
  </si>
  <si>
    <t>RE diesel (1G &amp; 2G) TRA Navigation</t>
  </si>
  <si>
    <t>RE ethanol (1G &amp; 2G) TRA Navigation</t>
  </si>
  <si>
    <t>Nat. Gas TRA Navigation</t>
  </si>
  <si>
    <t>RE Synt. Nat. Gas (1G &amp; 2G) TRA Navigation</t>
  </si>
  <si>
    <t>Ammonia TRA</t>
  </si>
  <si>
    <t>TRAOILBL1N</t>
  </si>
  <si>
    <t>Blended Fuel - Oil products bio and renewable - level 1 - TRA Navigation</t>
  </si>
  <si>
    <t>TRAOILBL2N</t>
  </si>
  <si>
    <t>Blended Fuel - Oil products bio and renewable - level 2 - TRA Navigation</t>
  </si>
  <si>
    <t>TRAOILBL3N</t>
  </si>
  <si>
    <t>Blended Fuel - Oil products bio and renewable - level 3 - TRA Navigation</t>
  </si>
  <si>
    <t>TRAOILBL4N</t>
  </si>
  <si>
    <t>Blended Fuel - Oil products bio and renewable - level 4 - TRA Navigation</t>
  </si>
  <si>
    <t>TRAOILBL5N</t>
  </si>
  <si>
    <t>Blended Fuel - Oil products bio and renewable - level 5 - TRA Navigation</t>
  </si>
  <si>
    <t>TRANGBL1N</t>
  </si>
  <si>
    <t>Liqufied Blended Fuel - NGA &amp; SNG - level 1 - TRA Navigation</t>
  </si>
  <si>
    <t>TRANGBL2N</t>
  </si>
  <si>
    <t>Liqufied Blended Fuel - NGA &amp; SNG - level 2 - TRA Navigation</t>
  </si>
  <si>
    <t>TRANGBL3N</t>
  </si>
  <si>
    <t>Liqufied Blended Fuel - NGA &amp; SNG - level 3 - TRA Navigation</t>
  </si>
  <si>
    <t>TRANGBL4N</t>
  </si>
  <si>
    <t>Liqufied Blended Fuel - NGA &amp; SNG - level 4 - TRA Navigation</t>
  </si>
  <si>
    <t>TRANGBL5N</t>
  </si>
  <si>
    <t>Liqufied Blended Fuel - NGA &amp; SNG - level 5 - TRA Navigation</t>
  </si>
  <si>
    <t>TRAMFO</t>
  </si>
  <si>
    <t>Blended Fuel - MGO &amp; Biodiesel - level 1 - TRA</t>
  </si>
  <si>
    <t>TRAMFO2</t>
  </si>
  <si>
    <t>Blended Fuel - MGO &amp; Biodiesel - level 2 - TRA</t>
  </si>
  <si>
    <t>TRAMFO3</t>
  </si>
  <si>
    <t>Blended Fuel - MGO &amp; Biodiesel - level 3 - TRA</t>
  </si>
  <si>
    <t>TRAMFO4</t>
  </si>
  <si>
    <t>Blended Fuel - MGO &amp; Biodiesel - level 4 - TRA</t>
  </si>
  <si>
    <t>Fuel Technology Compressed Nat. Gas &amp; Bio Synt. Nat. Gas Blending - level 1</t>
  </si>
  <si>
    <t>Fuel Technology Compressed Nat. Gas &amp; Bio Synt. Nat. Gas Blending - level 2</t>
  </si>
  <si>
    <t>Fuel Technology Compressed Nat. Gas &amp; Bio Synt. Nat. Gas Blending - level 3</t>
  </si>
  <si>
    <t>Fuel Technology Compressed Nat. Gas &amp; Bio Synt. Nat. Gas Blending - level 4</t>
  </si>
  <si>
    <t>Fuel Technology Compressed Nat. Gas &amp; Bio Synt. Nat. Gas Blending - level 5</t>
  </si>
  <si>
    <t>Fuel Technology Blended Fuel - Oil products bio and renewable - level 1 - TRA Navigation</t>
  </si>
  <si>
    <t>Fuel Technology Blended Fuel - Oil products bio and renewable - level 2 - TRA Navigation</t>
  </si>
  <si>
    <t>Fuel Technology Blended Fuel - Oil products bio and renewable - level 3 - TRA Navigation</t>
  </si>
  <si>
    <t>Fuel Technology Blended Fuel - Oil products bio and renewable - level 4 - TRA Navigation</t>
  </si>
  <si>
    <t>Fuel Technology Blended Fuel - Oil products bio and renewable - level 5 - TRA Navigation</t>
  </si>
  <si>
    <t>Fuel Technology Liqufied Blended Fuel - NGA &amp; SNG - level 1 - TRA Navigation</t>
  </si>
  <si>
    <t>Fuel Technology Liqufied Blended Fuel - NGA &amp; SNG - level 2 - TRA Navigation</t>
  </si>
  <si>
    <t>Fuel Technology Liqufied Blended Fuel - NGA &amp; SNG - level 3 - TRA Navigation</t>
  </si>
  <si>
    <t>Fuel Technology Liqufied Blended Fuel - NGA &amp; SNG - level 4 - TRA Navigation</t>
  </si>
  <si>
    <t>Fuel Technology Liqufied Blended Fuel - NGA &amp; SNG - level 5 - TRA Navigation</t>
  </si>
  <si>
    <t>Fuel Technology MGO &amp; Biodiesel Blending - level 1</t>
  </si>
  <si>
    <t>Fuel Technology MGO &amp; Biodiesel Blending - level 2</t>
  </si>
  <si>
    <t>Fuel Technology MGO &amp; Biodiesel Blending - level 3</t>
  </si>
  <si>
    <t>Fuel Technology MGO &amp; Biodiesel Blending - level 4</t>
  </si>
  <si>
    <t>DSE</t>
  </si>
  <si>
    <t>GSE</t>
  </si>
  <si>
    <t>SNE</t>
  </si>
  <si>
    <t>KRE</t>
  </si>
  <si>
    <t>MOB1</t>
  </si>
  <si>
    <t>MOB2</t>
  </si>
  <si>
    <t>MOE</t>
  </si>
  <si>
    <t>HFO</t>
  </si>
  <si>
    <t>DSL</t>
  </si>
  <si>
    <t>NGA</t>
  </si>
  <si>
    <t>ELCC</t>
  </si>
  <si>
    <t>H2</t>
  </si>
  <si>
    <t>TPAIL</t>
  </si>
  <si>
    <t>Transport Passengers Air International Long distance</t>
  </si>
  <si>
    <t>TPAIS</t>
  </si>
  <si>
    <t>Transport Passengers Air International Short distance</t>
  </si>
  <si>
    <t>TRAKEI</t>
  </si>
  <si>
    <t>Kerosene International TRA</t>
  </si>
  <si>
    <t>TRAKEN</t>
  </si>
  <si>
    <t>Kerosene National TRA</t>
  </si>
  <si>
    <t>TRAKEIN1</t>
  </si>
  <si>
    <t>Blended Fuel - Kerosene &amp; Biokerosene - level 1 - TRA InterNational</t>
  </si>
  <si>
    <t>TRAKEIN2</t>
  </si>
  <si>
    <t>Blended Fuel - Kerosene &amp; Biokerosene - level 2 - TRA InterNational</t>
  </si>
  <si>
    <t>TRAKEIN3</t>
  </si>
  <si>
    <t>Blended Fuel - Kerosene &amp; Biokerosene - level 3 - TRA InterNational</t>
  </si>
  <si>
    <t>TRAKEIN4</t>
  </si>
  <si>
    <t>Blended Fuel - Kerosene &amp; Biokerosene - level 4 - TRA InterNational</t>
  </si>
  <si>
    <t>TRAKEIN5</t>
  </si>
  <si>
    <t>Blended Fuel - Kerosene &amp; Biokerosene - level 5 - TRA InterNational</t>
  </si>
  <si>
    <t>TRAKENA1</t>
  </si>
  <si>
    <t>Blended Fuel - Kerosene &amp; Biokerosene - level 1 - TRA National</t>
  </si>
  <si>
    <t>TRAKENA2</t>
  </si>
  <si>
    <t>Blended Fuel - Kerosene &amp; Biokerosene - level 2 - TRA National</t>
  </si>
  <si>
    <t>TRAKENA3</t>
  </si>
  <si>
    <t>Blended Fuel - Kerosene &amp; Biokerosene - level 3 - TRA National</t>
  </si>
  <si>
    <t>TRAKENA4</t>
  </si>
  <si>
    <t>Blended Fuel - Kerosene &amp; Biokerosene - level 4 - TRA National</t>
  </si>
  <si>
    <t>TRAKENA5</t>
  </si>
  <si>
    <t>Blended Fuel - Kerosene &amp; Biokerosene - level 5 - TRA National</t>
  </si>
  <si>
    <t>TRACO2AI</t>
  </si>
  <si>
    <t>CO2 Transport Aviation International</t>
  </si>
  <si>
    <t>TRACO2AN</t>
  </si>
  <si>
    <t>CO2 Transport Aviation National</t>
  </si>
  <si>
    <t>Transport Passengers Air International - Blending 1 - Short distance Existing</t>
  </si>
  <si>
    <t>Transport Passengers Air International - Blending 1 - Long distance Existing</t>
  </si>
  <si>
    <t>KER</t>
  </si>
  <si>
    <t>Assumption is that 30 % of all international transport demand can be cover by either hybrid, battery electric or hydrogen airplanes between 2035-2050</t>
  </si>
  <si>
    <t>Check in demands</t>
  </si>
  <si>
    <t>TRAKER</t>
  </si>
  <si>
    <t>Kerosene TRA</t>
  </si>
  <si>
    <t>TRACO2S</t>
  </si>
  <si>
    <t>MKr12</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</si>
</sst>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67">
    <numFmt numFmtId="8" formatCode="&quot;£&quot;#,##0.00;[Red]\-&quot;£&quot;#,##0.00"/>
    <numFmt numFmtId="41" formatCode="_-* #,##0_-;\-* #,##0_-;_-* &quot;-&quot;_-;_-@_-"/>
    <numFmt numFmtId="43" formatCode="_-* #,##0.00_-;\-* #,##0.00_-;_-* &quot;-&quot;??_-;_-@_-"/>
    <numFmt numFmtId="164" formatCode="_-* #,##0.00\ _k_r_-;\-* #,##0.00\ _k_r_-;_-* &quot;-&quot;??\ _k_r_-;_-@_-"/>
    <numFmt numFmtId="165" formatCode="_ * #,##0.00_ ;_ * \-#,##0.00_ ;_ * &quot;-&quot;??_ ;_ @_ "/>
    <numFmt numFmtId="166" formatCode="_-&quot;€&quot;\ * #,##0.00_-;\-&quot;€&quot;\ * #,##0.00_-;_-&quot;€&quot;\ * &quot;-&quot;??_-;_-@_-"/>
    <numFmt numFmtId="167" formatCode="0.0"/>
    <numFmt numFmtId="168" formatCode="0.0000000"/>
    <numFmt numFmtId="169" formatCode="#,##0;\-\ #,##0;_-\ &quot;- &quot;"/>
    <numFmt numFmtId="170" formatCode="_-[$€-2]\ * #,##0.00_-;\-[$€-2]\ * #,##0.00_-;_-[$€-2]\ * &quot;-&quot;??_-"/>
    <numFmt numFmtId="171" formatCode="_-* #,##0.0_-;\-* #,##0.0_-;_-* &quot;-&quot;??_-;_-@_-"/>
    <numFmt numFmtId="172" formatCode="0.000"/>
    <numFmt numFmtId="173" formatCode="_([$€]* #,##0.00_);_([$€]* \(#,##0.00\);_([$€]* &quot;-&quot;??_);_(@_)"/>
    <numFmt numFmtId="174" formatCode="\Te\x\t"/>
    <numFmt numFmtId="175" formatCode="_ * #,##0_)\ _k_r_ ;_ * \(#,##0\)\ _k_r_ ;_ * &quot;-&quot;??_)\ _k_r_ ;_ @_ "/>
    <numFmt numFmtId="176" formatCode="0.0000_ ;[Red]\-0.0000\ "/>
    <numFmt numFmtId="177" formatCode="#,##0.000"/>
    <numFmt numFmtId="178" formatCode="#,##0.0"/>
    <numFmt numFmtId="179" formatCode="0.0%"/>
    <numFmt numFmtId="180" formatCode="0.0000"/>
    <numFmt numFmtId="181" formatCode="#,##0.0000"/>
    <numFmt numFmtId="182" formatCode="###\ ###\ ##0;###\ ###\ ##0;&quot;-&quot;"/>
    <numFmt numFmtId="183" formatCode="###\ ###\ ##0;\-###\ ###\ ##0;&quot;-&quot;"/>
    <numFmt numFmtId="184" formatCode="General_)"/>
    <numFmt numFmtId="185" formatCode="???,???.00"/>
    <numFmt numFmtId="186" formatCode="_ * #,##0_ ;_ * \-#,##0_ ;_ * &quot;-&quot;??_ ;_ @_ "/>
    <numFmt numFmtId="187" formatCode="_-* #,##0_-;\-* #,##0_-;_-* &quot;-&quot;??_-;_-@_-"/>
    <numFmt numFmtId="188" formatCode="_(* #,##0_);_(* \(#,##0\);_(* &quot;-&quot;??_);_(@_)"/>
    <numFmt numFmtId="189" formatCode="_-[$€-2]* #,##0.00_-;\-[$€-2]* #,##0.00_-;_-[$€-2]* &quot;-&quot;??_-"/>
    <numFmt numFmtId="190" formatCode="_(* #,##0.0_);_(* \(#,##0.0\);_(* &quot;-&quot;??_);_(@_)"/>
    <numFmt numFmtId="191" formatCode="#,###,##0"/>
    <numFmt numFmtId="192" formatCode="0.000000"/>
    <numFmt numFmtId="193" formatCode="0000"/>
    <numFmt numFmtId="194" formatCode="_-* #,##0\ _k_r_-;\-* #,##0\ _k_r_-;_-* &quot;-&quot;??\ _k_r_-;_-@_-"/>
    <numFmt numFmtId="195" formatCode="0.0000000000"/>
    <numFmt numFmtId="196" formatCode="0.00000000"/>
    <numFmt numFmtId="197" formatCode="#,##0;\-#,##0;&quot;-&quot;"/>
    <numFmt numFmtId="198" formatCode="&quot; &quot;;&quot; &quot;;&quot; &quot;"/>
    <numFmt numFmtId="199" formatCode="000"/>
    <numFmt numFmtId="200" formatCode="#,###;\-\ #,###;&quot;-&quot;"/>
    <numFmt numFmtId="201" formatCode="#,##0;\-#,##0;&quot;&quot;"/>
    <numFmt numFmtId="202" formatCode="#,##0;\-#,##0;&quot;–&quot;"/>
    <numFmt numFmtId="203" formatCode="#,##0.0000;\-#,##0.0000;&quot;–&quot;"/>
    <numFmt numFmtId="204" formatCode="#,##0.00;\-#,##0.00;&quot;–&quot;"/>
    <numFmt numFmtId="205" formatCode="#,##0;\-#,##0;&quot; &quot;"/>
    <numFmt numFmtId="206" formatCode="#,##0.00;\-#,##0.00;&quot;-&quot;"/>
    <numFmt numFmtId="207" formatCode="00"/>
    <numFmt numFmtId="208" formatCode="0_ ;\-0\ "/>
    <numFmt numFmtId="209" formatCode="0.00_ ;\-0.00\ "/>
    <numFmt numFmtId="210" formatCode="0.000000000"/>
    <numFmt numFmtId="211" formatCode="#,##0.0;\-#,##0.0;&quot;-&quot;"/>
    <numFmt numFmtId="212" formatCode="#,##0_ ;\-#,##0\ "/>
    <numFmt numFmtId="213" formatCode="0.00000"/>
    <numFmt numFmtId="214" formatCode="_-* #,##0.0\ _k_r_-;\-* #,##0.0\ _k_r_-;_-* &quot;-&quot;??\ _k_r_-;_-@_-"/>
    <numFmt numFmtId="215" formatCode="#,##0;#\ ##0"/>
    <numFmt numFmtId="216" formatCode="_-* #,##0.00\ _€_-;\-* #,##0.00\ _€_-;_-* &quot;-&quot;??\ _€_-;_-@_-"/>
    <numFmt numFmtId="217" formatCode="#,##0.00\ &quot;F&quot;;[Red]\-#,##0.00\ &quot;F&quot;"/>
    <numFmt numFmtId="218" formatCode="#,##0.0_)"/>
    <numFmt numFmtId="219" formatCode="0.0;\-0.0"/>
    <numFmt numFmtId="220" formatCode="\$#,##0\ ;\(\$#,##0\)"/>
    <numFmt numFmtId="221" formatCode="_ * #,##0_ ;_ * \-#,##0_ ;_ * &quot;-&quot;_ ;_ @_ "/>
    <numFmt numFmtId="222" formatCode="###0"/>
    <numFmt numFmtId="223" formatCode="#,##0.000;\-#,##0.000;&quot;&quot;"/>
    <numFmt numFmtId="224" formatCode="#,##0.0;\-#,##0.0;&quot;&quot;"/>
    <numFmt numFmtId="225" formatCode="#,##0.000_ ;\-#,##0.000\ "/>
    <numFmt numFmtId="226" formatCode="#,##0.000000"/>
    <numFmt numFmtId="227" formatCode="#,##0.0000000"/>
  </numFmts>
  <fonts count="280">
    <font>
      <sz val="10"/>
      <name val="Arial"/>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0"/>
      <name val="Arial"/>
      <family val="2"/>
    </font>
    <font>
      <sz val="10"/>
      <name val="Arial"/>
      <family val="2"/>
    </font>
    <font>
      <b/>
      <sz val="10"/>
      <color indexed="12"/>
      <name val="Arial"/>
      <family val="2"/>
    </font>
    <font>
      <sz val="11"/>
      <color indexed="8"/>
      <name val="Calibri"/>
      <family val="2"/>
    </font>
    <font>
      <sz val="11"/>
      <color indexed="9"/>
      <name val="Calibri"/>
      <family val="2"/>
    </font>
    <font>
      <b/>
      <sz val="11"/>
      <color indexed="52"/>
      <name val="Calibri"/>
      <family val="2"/>
    </font>
    <font>
      <sz val="11"/>
      <color indexed="52"/>
      <name val="Calibri"/>
      <family val="2"/>
    </font>
    <font>
      <b/>
      <sz val="11"/>
      <color indexed="9"/>
      <name val="Calibri"/>
      <family val="2"/>
    </font>
    <font>
      <sz val="11"/>
      <color indexed="62"/>
      <name val="Calibri"/>
      <family val="2"/>
    </font>
    <font>
      <sz val="10"/>
      <name val="MS Sans Serif"/>
      <family val="2"/>
    </font>
    <font>
      <sz val="11"/>
      <color indexed="60"/>
      <name val="Calibri"/>
      <family val="2"/>
    </font>
    <font>
      <b/>
      <sz val="11"/>
      <color indexed="63"/>
      <name val="Calibri"/>
      <family val="2"/>
    </font>
    <font>
      <sz val="11"/>
      <color indexed="10"/>
      <name val="Calibri"/>
      <family val="2"/>
    </font>
    <font>
      <i/>
      <sz val="11"/>
      <color indexed="23"/>
      <name val="Calibri"/>
      <family val="2"/>
    </font>
    <font>
      <b/>
      <sz val="18"/>
      <color indexed="56"/>
      <name val="Cambria"/>
      <family val="2"/>
    </font>
    <font>
      <b/>
      <sz val="15"/>
      <color indexed="56"/>
      <name val="Calibri"/>
      <family val="2"/>
    </font>
    <font>
      <b/>
      <sz val="13"/>
      <color indexed="56"/>
      <name val="Calibri"/>
      <family val="2"/>
    </font>
    <font>
      <b/>
      <sz val="11"/>
      <color indexed="56"/>
      <name val="Calibri"/>
      <family val="2"/>
    </font>
    <font>
      <b/>
      <sz val="11"/>
      <color indexed="8"/>
      <name val="Calibri"/>
      <family val="2"/>
    </font>
    <font>
      <sz val="11"/>
      <color indexed="20"/>
      <name val="Calibri"/>
      <family val="2"/>
    </font>
    <font>
      <sz val="11"/>
      <color indexed="17"/>
      <name val="Calibri"/>
      <family val="2"/>
    </font>
    <font>
      <sz val="8"/>
      <name val="Arial"/>
      <family val="2"/>
    </font>
    <font>
      <sz val="10"/>
      <name val="Calibri"/>
      <family val="2"/>
    </font>
    <font>
      <sz val="8"/>
      <name val="Calibri"/>
      <family val="2"/>
    </font>
    <font>
      <sz val="9"/>
      <color indexed="81"/>
      <name val="Tahoma"/>
      <family val="2"/>
    </font>
    <font>
      <b/>
      <sz val="9"/>
      <color indexed="81"/>
      <name val="Tahoma"/>
      <family val="2"/>
    </font>
    <font>
      <sz val="9"/>
      <name val="Arial"/>
      <family val="2"/>
    </font>
    <font>
      <b/>
      <sz val="10"/>
      <name val="Arial"/>
      <family val="2"/>
    </font>
    <font>
      <sz val="10"/>
      <name val="Arial"/>
      <family val="2"/>
      <charset val="204"/>
    </font>
    <font>
      <sz val="10"/>
      <name val="Courier"/>
      <family val="3"/>
    </font>
    <font>
      <sz val="9"/>
      <color indexed="8"/>
      <name val="Times New Roman"/>
      <family val="1"/>
    </font>
    <font>
      <sz val="9"/>
      <name val="Times New Roman"/>
      <family val="1"/>
    </font>
    <font>
      <b/>
      <sz val="9"/>
      <name val="Times New Roman"/>
      <family val="1"/>
    </font>
    <font>
      <sz val="10"/>
      <name val="Arial"/>
      <family val="2"/>
      <charset val="204"/>
    </font>
    <font>
      <sz val="10"/>
      <color indexed="9"/>
      <name val="Calibri"/>
      <family val="2"/>
    </font>
    <font>
      <sz val="10"/>
      <name val="Helv"/>
    </font>
    <font>
      <sz val="9"/>
      <color indexed="81"/>
      <name val="Tahoma"/>
      <family val="2"/>
      <charset val="204"/>
    </font>
    <font>
      <b/>
      <sz val="9"/>
      <color indexed="81"/>
      <name val="Tahoma"/>
      <family val="2"/>
      <charset val="204"/>
    </font>
    <font>
      <sz val="10"/>
      <color indexed="8"/>
      <name val="Arial"/>
      <family val="2"/>
    </font>
    <font>
      <b/>
      <sz val="10"/>
      <color indexed="8"/>
      <name val="Arial"/>
      <family val="2"/>
    </font>
    <font>
      <b/>
      <sz val="10"/>
      <color indexed="81"/>
      <name val="Tahoma"/>
      <family val="2"/>
      <charset val="204"/>
    </font>
    <font>
      <sz val="10"/>
      <color indexed="81"/>
      <name val="Tahoma"/>
      <family val="2"/>
      <charset val="204"/>
    </font>
    <font>
      <b/>
      <sz val="10"/>
      <name val="Arial"/>
      <family val="2"/>
      <charset val="204"/>
    </font>
    <font>
      <u/>
      <sz val="10"/>
      <name val="Arial"/>
      <family val="2"/>
      <charset val="204"/>
    </font>
    <font>
      <i/>
      <sz val="10"/>
      <name val="Arial"/>
      <family val="2"/>
    </font>
    <font>
      <i/>
      <sz val="9"/>
      <color indexed="8"/>
      <name val="Arial"/>
      <family val="2"/>
    </font>
    <font>
      <sz val="10"/>
      <color indexed="12"/>
      <name val="Arial"/>
      <family val="2"/>
    </font>
    <font>
      <sz val="11"/>
      <name val="Times New Roman"/>
      <family val="1"/>
    </font>
    <font>
      <b/>
      <sz val="11"/>
      <color indexed="8"/>
      <name val="Times New Roman"/>
      <family val="1"/>
    </font>
    <font>
      <sz val="11"/>
      <color indexed="8"/>
      <name val="Times New Roman"/>
      <family val="1"/>
    </font>
    <font>
      <b/>
      <sz val="11"/>
      <name val="Times New Roman"/>
      <family val="1"/>
    </font>
    <font>
      <sz val="10"/>
      <color indexed="9"/>
      <name val="Arial"/>
      <family val="2"/>
    </font>
    <font>
      <b/>
      <sz val="16"/>
      <color indexed="9"/>
      <name val="Arial"/>
      <family val="2"/>
    </font>
    <font>
      <b/>
      <sz val="14"/>
      <name val="Arial"/>
      <family val="2"/>
    </font>
    <font>
      <b/>
      <sz val="8"/>
      <color indexed="81"/>
      <name val="Tahoma"/>
      <family val="2"/>
    </font>
    <font>
      <sz val="8"/>
      <color indexed="81"/>
      <name val="Tahoma"/>
      <family val="2"/>
    </font>
    <font>
      <b/>
      <sz val="12"/>
      <color indexed="10"/>
      <name val="Arial"/>
      <family val="2"/>
    </font>
    <font>
      <u/>
      <sz val="8"/>
      <name val="Arial"/>
      <family val="2"/>
      <charset val="161"/>
    </font>
    <font>
      <sz val="8"/>
      <name val="Arial"/>
      <family val="2"/>
      <charset val="161"/>
    </font>
    <font>
      <sz val="12"/>
      <name val="Times New Roman"/>
      <family val="1"/>
    </font>
    <font>
      <sz val="10"/>
      <name val="Times New Roman"/>
      <family val="1"/>
    </font>
    <font>
      <b/>
      <sz val="8"/>
      <name val="Arial"/>
      <family val="2"/>
    </font>
    <font>
      <b/>
      <sz val="12"/>
      <name val="Times New Roman"/>
      <family val="1"/>
    </font>
    <font>
      <sz val="8"/>
      <name val="Helvetica"/>
      <family val="2"/>
    </font>
    <font>
      <sz val="10"/>
      <name val="Arial"/>
      <family val="2"/>
      <charset val="161"/>
    </font>
    <font>
      <sz val="11"/>
      <name val="Calibri"/>
      <family val="2"/>
    </font>
    <font>
      <sz val="11"/>
      <color theme="1"/>
      <name val="Calibri"/>
      <family val="2"/>
      <scheme val="minor"/>
    </font>
    <font>
      <sz val="11"/>
      <color rgb="FF9C0006"/>
      <name val="Calibri"/>
      <family val="2"/>
      <scheme val="minor"/>
    </font>
    <font>
      <sz val="10"/>
      <color rgb="FF9C0006"/>
      <name val="Calibri"/>
      <family val="2"/>
    </font>
    <font>
      <i/>
      <sz val="11"/>
      <color rgb="FF7F7F7F"/>
      <name val="Calibri"/>
      <family val="2"/>
      <scheme val="minor"/>
    </font>
    <font>
      <sz val="11"/>
      <color theme="1"/>
      <name val="Calibri"/>
      <family val="2"/>
    </font>
    <font>
      <sz val="10"/>
      <color theme="1"/>
      <name val="Calibri"/>
      <family val="2"/>
    </font>
    <font>
      <b/>
      <sz val="11"/>
      <color theme="1"/>
      <name val="Calibri"/>
      <family val="2"/>
      <scheme val="minor"/>
    </font>
    <font>
      <b/>
      <sz val="10"/>
      <color rgb="FFFF0000"/>
      <name val="Arial"/>
      <family val="2"/>
    </font>
    <font>
      <sz val="10"/>
      <color rgb="FFFF0000"/>
      <name val="Arial"/>
      <family val="2"/>
    </font>
    <font>
      <sz val="12"/>
      <color theme="0" tint="-0.499984740745262"/>
      <name val="Calibri"/>
      <family val="2"/>
      <scheme val="minor"/>
    </font>
    <font>
      <sz val="11"/>
      <color theme="0" tint="-0.499984740745262"/>
      <name val="Calibri"/>
      <family val="2"/>
      <scheme val="minor"/>
    </font>
    <font>
      <b/>
      <sz val="12"/>
      <color theme="1"/>
      <name val="Calibri"/>
      <family val="2"/>
      <scheme val="minor"/>
    </font>
    <font>
      <sz val="12"/>
      <color theme="1"/>
      <name val="Calibri"/>
      <family val="2"/>
      <scheme val="minor"/>
    </font>
    <font>
      <sz val="10"/>
      <color rgb="FFFF0000"/>
      <name val="Arial"/>
      <family val="2"/>
      <charset val="204"/>
    </font>
    <font>
      <sz val="11"/>
      <name val="Calibri"/>
      <family val="2"/>
      <scheme val="minor"/>
    </font>
    <font>
      <b/>
      <sz val="11"/>
      <name val="Calibri"/>
      <family val="2"/>
      <scheme val="minor"/>
    </font>
    <font>
      <b/>
      <sz val="11"/>
      <color rgb="FFFF0000"/>
      <name val="Calibri"/>
      <family val="2"/>
      <scheme val="minor"/>
    </font>
    <font>
      <sz val="10"/>
      <color rgb="FF0000FF"/>
      <name val="Arial"/>
      <family val="2"/>
    </font>
    <font>
      <sz val="10"/>
      <color theme="1"/>
      <name val="Times New Roman"/>
      <family val="1"/>
    </font>
    <font>
      <sz val="11"/>
      <color rgb="FF000000"/>
      <name val="Calibri"/>
      <family val="2"/>
    </font>
    <font>
      <sz val="10"/>
      <name val="Arial"/>
      <family val="2"/>
    </font>
    <font>
      <b/>
      <sz val="18"/>
      <color theme="3"/>
      <name val="Cambria"/>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6500"/>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sz val="11"/>
      <color theme="0"/>
      <name val="Calibri"/>
      <family val="2"/>
      <scheme val="minor"/>
    </font>
    <font>
      <sz val="10"/>
      <color indexed="10"/>
      <name val="Arial"/>
      <family val="2"/>
    </font>
    <font>
      <i/>
      <sz val="8"/>
      <name val="Arial"/>
      <family val="2"/>
    </font>
    <font>
      <sz val="11"/>
      <color rgb="FF3F3F76"/>
      <name val="Calibri"/>
      <family val="2"/>
      <scheme val="minor"/>
    </font>
    <font>
      <b/>
      <sz val="11"/>
      <color rgb="FF3F3F3F"/>
      <name val="Calibri"/>
      <family val="2"/>
      <scheme val="minor"/>
    </font>
    <font>
      <sz val="10"/>
      <color theme="1"/>
      <name val="Arial"/>
      <family val="2"/>
    </font>
    <font>
      <b/>
      <sz val="10"/>
      <color theme="1"/>
      <name val="Arial"/>
      <family val="2"/>
    </font>
    <font>
      <b/>
      <i/>
      <sz val="10"/>
      <name val="Arial"/>
      <family val="2"/>
    </font>
    <font>
      <sz val="10"/>
      <color indexed="45"/>
      <name val="Arial"/>
      <family val="2"/>
    </font>
    <font>
      <sz val="10"/>
      <name val="Calibri"/>
      <family val="2"/>
      <scheme val="minor"/>
    </font>
    <font>
      <sz val="10"/>
      <color rgb="FF008FBC"/>
      <name val="Calibri"/>
      <family val="2"/>
      <scheme val="minor"/>
    </font>
    <font>
      <u/>
      <sz val="10"/>
      <color indexed="12"/>
      <name val="Arial"/>
      <family val="2"/>
    </font>
    <font>
      <sz val="10"/>
      <color rgb="FF006100"/>
      <name val="Arial"/>
      <family val="2"/>
    </font>
    <font>
      <u/>
      <sz val="10"/>
      <color theme="10"/>
      <name val="Arial"/>
      <family val="2"/>
    </font>
    <font>
      <b/>
      <sz val="11"/>
      <color rgb="FF9C6500"/>
      <name val="Calibri"/>
      <family val="2"/>
      <scheme val="minor"/>
    </font>
    <font>
      <b/>
      <sz val="11"/>
      <color rgb="FF006100"/>
      <name val="Calibri"/>
      <family val="2"/>
      <scheme val="minor"/>
    </font>
    <font>
      <sz val="10"/>
      <name val="Arial"/>
      <family val="2"/>
    </font>
    <font>
      <b/>
      <i/>
      <sz val="11"/>
      <color rgb="FF7F7F7F"/>
      <name val="Calibri"/>
      <family val="2"/>
      <scheme val="minor"/>
    </font>
    <font>
      <b/>
      <u/>
      <sz val="14"/>
      <color rgb="FFFF0000"/>
      <name val="Calibri"/>
      <family val="2"/>
      <scheme val="minor"/>
    </font>
    <font>
      <b/>
      <sz val="14"/>
      <color rgb="FF0070C0"/>
      <name val="Arial"/>
      <family val="2"/>
    </font>
    <font>
      <u/>
      <sz val="10"/>
      <name val="Arial"/>
      <family val="2"/>
    </font>
    <font>
      <u/>
      <sz val="10"/>
      <color theme="10"/>
      <name val="Arial"/>
      <family val="2"/>
    </font>
    <font>
      <b/>
      <sz val="10"/>
      <name val="Arial"/>
      <family val="2"/>
    </font>
    <font>
      <sz val="10"/>
      <color theme="0"/>
      <name val="Arial"/>
      <family val="2"/>
    </font>
    <font>
      <sz val="22"/>
      <color theme="0"/>
      <name val="Arial"/>
      <family val="2"/>
    </font>
    <font>
      <sz val="10"/>
      <color theme="0"/>
      <name val="Arial"/>
      <family val="2"/>
      <charset val="204"/>
    </font>
    <font>
      <i/>
      <sz val="10"/>
      <color theme="0"/>
      <name val="Arial"/>
      <family val="2"/>
    </font>
    <font>
      <u/>
      <sz val="10"/>
      <color rgb="FF0070C0"/>
      <name val="Arial"/>
      <family val="2"/>
    </font>
    <font>
      <sz val="10"/>
      <color theme="6" tint="-0.249977111117893"/>
      <name val="Arial"/>
      <family val="2"/>
    </font>
    <font>
      <i/>
      <sz val="11"/>
      <color theme="1"/>
      <name val="Calibri"/>
      <family val="2"/>
      <scheme val="minor"/>
    </font>
    <font>
      <i/>
      <u/>
      <sz val="10"/>
      <color rgb="FF0070C0"/>
      <name val="Arial"/>
      <family val="2"/>
    </font>
    <font>
      <i/>
      <sz val="10"/>
      <color indexed="12"/>
      <name val="Arial"/>
      <family val="2"/>
    </font>
    <font>
      <b/>
      <i/>
      <sz val="11"/>
      <color rgb="FFFA7D00"/>
      <name val="Calibri"/>
      <family val="2"/>
      <scheme val="minor"/>
    </font>
    <font>
      <i/>
      <sz val="10"/>
      <color rgb="FFFF0000"/>
      <name val="Arial"/>
      <family val="2"/>
    </font>
    <font>
      <u/>
      <sz val="10"/>
      <color indexed="36"/>
      <name val="Arial"/>
      <family val="2"/>
    </font>
    <font>
      <b/>
      <sz val="9"/>
      <name val="Arial"/>
      <family val="2"/>
    </font>
    <font>
      <b/>
      <vertAlign val="superscript"/>
      <sz val="9"/>
      <name val="Arial"/>
      <family val="2"/>
    </font>
    <font>
      <sz val="8"/>
      <color indexed="8"/>
      <name val="Arial"/>
      <family val="2"/>
    </font>
    <font>
      <b/>
      <sz val="9"/>
      <color indexed="57"/>
      <name val="Arial"/>
      <family val="2"/>
    </font>
    <font>
      <i/>
      <sz val="10"/>
      <color theme="6" tint="-0.499984740745262"/>
      <name val="Arial"/>
      <family val="2"/>
    </font>
    <font>
      <sz val="10"/>
      <color theme="6" tint="-0.499984740745262"/>
      <name val="Arial"/>
      <family val="2"/>
    </font>
    <font>
      <b/>
      <sz val="10"/>
      <name val="Calibri"/>
      <family val="2"/>
    </font>
    <font>
      <b/>
      <sz val="12"/>
      <name val="Helvetica"/>
      <family val="2"/>
    </font>
    <font>
      <b/>
      <vertAlign val="superscript"/>
      <sz val="10"/>
      <name val="Arial"/>
      <family val="2"/>
    </font>
    <font>
      <sz val="9"/>
      <name val="Helvetica"/>
      <family val="2"/>
    </font>
    <font>
      <b/>
      <sz val="8"/>
      <color indexed="10"/>
      <name val="Arial"/>
      <family val="2"/>
    </font>
    <font>
      <sz val="8"/>
      <color rgb="FFFF0000"/>
      <name val="Arial"/>
      <family val="2"/>
    </font>
    <font>
      <b/>
      <sz val="11"/>
      <color rgb="FF000000"/>
      <name val="Calibri"/>
      <family val="2"/>
    </font>
    <font>
      <b/>
      <i/>
      <sz val="11"/>
      <color rgb="FFFF0000"/>
      <name val="Calibri"/>
      <family val="2"/>
      <scheme val="minor"/>
    </font>
    <font>
      <b/>
      <i/>
      <sz val="11"/>
      <color theme="1"/>
      <name val="Calibri"/>
      <family val="2"/>
      <scheme val="minor"/>
    </font>
    <font>
      <vertAlign val="superscript"/>
      <sz val="11"/>
      <color theme="1"/>
      <name val="Calibri"/>
      <family val="2"/>
      <scheme val="minor"/>
    </font>
    <font>
      <sz val="10"/>
      <color rgb="FF000000"/>
      <name val="Arial"/>
      <family val="2"/>
    </font>
    <font>
      <b/>
      <sz val="10"/>
      <color rgb="FF000000"/>
      <name val="Arial"/>
      <family val="2"/>
    </font>
    <font>
      <b/>
      <sz val="11"/>
      <name val="Arial"/>
      <family val="2"/>
    </font>
    <font>
      <sz val="11"/>
      <name val="Arial"/>
      <family val="2"/>
    </font>
    <font>
      <b/>
      <i/>
      <sz val="8"/>
      <name val="Arial"/>
      <family val="2"/>
    </font>
    <font>
      <i/>
      <vertAlign val="superscript"/>
      <sz val="8"/>
      <name val="Arial"/>
      <family val="2"/>
    </font>
    <font>
      <u/>
      <sz val="8"/>
      <name val="Arial"/>
      <family val="2"/>
    </font>
    <font>
      <b/>
      <i/>
      <vertAlign val="superscript"/>
      <sz val="8"/>
      <name val="Arial"/>
      <family val="2"/>
    </font>
    <font>
      <vertAlign val="superscript"/>
      <sz val="8"/>
      <name val="Arial"/>
      <family val="2"/>
    </font>
    <font>
      <sz val="8"/>
      <name val="Verdana"/>
      <family val="2"/>
    </font>
    <font>
      <b/>
      <sz val="10"/>
      <color theme="1"/>
      <name val="Calibri"/>
      <family val="2"/>
      <scheme val="minor"/>
    </font>
    <font>
      <i/>
      <sz val="9"/>
      <name val="Arial"/>
      <family val="2"/>
    </font>
    <font>
      <b/>
      <vertAlign val="superscript"/>
      <sz val="8"/>
      <name val="Arial"/>
      <family val="2"/>
    </font>
    <font>
      <b/>
      <i/>
      <sz val="9"/>
      <name val="Arial"/>
      <family val="2"/>
    </font>
    <font>
      <sz val="11"/>
      <color theme="1"/>
      <name val="Arial"/>
      <family val="2"/>
    </font>
    <font>
      <i/>
      <sz val="11"/>
      <color theme="1"/>
      <name val="Arial"/>
      <family val="2"/>
    </font>
    <font>
      <sz val="8"/>
      <color rgb="FF000000"/>
      <name val="Arial"/>
      <family val="2"/>
    </font>
    <font>
      <i/>
      <sz val="8"/>
      <color indexed="8"/>
      <name val="Arial"/>
      <family val="2"/>
    </font>
    <font>
      <vertAlign val="superscript"/>
      <sz val="16"/>
      <name val="Arial"/>
      <family val="2"/>
    </font>
    <font>
      <i/>
      <sz val="8"/>
      <color rgb="FF000000"/>
      <name val="Arial"/>
      <family val="2"/>
    </font>
    <font>
      <b/>
      <sz val="11"/>
      <color theme="1"/>
      <name val="Arial"/>
      <family val="2"/>
    </font>
    <font>
      <b/>
      <i/>
      <sz val="11"/>
      <color theme="1"/>
      <name val="Arial"/>
      <family val="2"/>
    </font>
    <font>
      <b/>
      <sz val="8"/>
      <color rgb="FFFF0000"/>
      <name val="Arial"/>
      <family val="2"/>
    </font>
    <font>
      <i/>
      <sz val="11"/>
      <name val="Arial"/>
      <family val="2"/>
    </font>
    <font>
      <b/>
      <sz val="8"/>
      <name val="Calibri"/>
      <family val="2"/>
    </font>
    <font>
      <sz val="6"/>
      <name val="Arial"/>
      <family val="2"/>
    </font>
    <font>
      <b/>
      <sz val="9"/>
      <name val="Calibri"/>
      <family val="2"/>
    </font>
    <font>
      <i/>
      <sz val="6"/>
      <name val="Arial"/>
      <family val="2"/>
    </font>
    <font>
      <vertAlign val="superscript"/>
      <sz val="6"/>
      <name val="Arial"/>
      <family val="2"/>
    </font>
    <font>
      <b/>
      <sz val="6"/>
      <name val="Arial"/>
      <family val="2"/>
    </font>
    <font>
      <b/>
      <i/>
      <sz val="10"/>
      <color rgb="FFFF0000"/>
      <name val="Arial"/>
      <family val="2"/>
    </font>
    <font>
      <sz val="14"/>
      <name val="Arial"/>
      <family val="2"/>
    </font>
    <font>
      <vertAlign val="superscript"/>
      <sz val="10"/>
      <name val="Arial"/>
      <family val="2"/>
    </font>
    <font>
      <i/>
      <vertAlign val="superscript"/>
      <sz val="10"/>
      <name val="Arial"/>
      <family val="2"/>
    </font>
    <font>
      <b/>
      <sz val="10"/>
      <color indexed="57"/>
      <name val="Arial"/>
      <family val="2"/>
    </font>
    <font>
      <sz val="10"/>
      <color rgb="FFFF0000"/>
      <name val="Calibri"/>
      <family val="2"/>
      <scheme val="minor"/>
    </font>
    <font>
      <b/>
      <sz val="14"/>
      <color theme="1"/>
      <name val="Calibri"/>
      <family val="2"/>
      <scheme val="minor"/>
    </font>
    <font>
      <sz val="14"/>
      <color theme="1"/>
      <name val="Calibri"/>
      <family val="2"/>
      <scheme val="minor"/>
    </font>
    <font>
      <i/>
      <sz val="10"/>
      <color theme="1"/>
      <name val="Calibri"/>
      <family val="2"/>
      <scheme val="minor"/>
    </font>
    <font>
      <sz val="9"/>
      <name val="Geneva"/>
      <family val="2"/>
    </font>
    <font>
      <b/>
      <sz val="12"/>
      <name val="Calibri"/>
      <family val="2"/>
      <scheme val="minor"/>
    </font>
    <font>
      <b/>
      <sz val="10"/>
      <name val="Calibri"/>
      <family val="2"/>
      <scheme val="minor"/>
    </font>
    <font>
      <vertAlign val="superscript"/>
      <sz val="10"/>
      <name val="Calibri"/>
      <family val="2"/>
      <scheme val="minor"/>
    </font>
    <font>
      <sz val="10"/>
      <color theme="1"/>
      <name val="Calibri"/>
      <family val="2"/>
      <scheme val="minor"/>
    </font>
    <font>
      <i/>
      <sz val="11"/>
      <color rgb="FF000000"/>
      <name val="Calibri"/>
      <family val="2"/>
    </font>
    <font>
      <sz val="7"/>
      <color rgb="FFFFFFFF"/>
      <name val="Arial"/>
      <family val="2"/>
    </font>
    <font>
      <sz val="7"/>
      <color rgb="FF000000"/>
      <name val="Arial"/>
      <family val="2"/>
    </font>
    <font>
      <sz val="10"/>
      <name val="Helvetica"/>
      <family val="2"/>
    </font>
    <font>
      <b/>
      <sz val="10"/>
      <name val="Helvetica"/>
      <family val="2"/>
    </font>
    <font>
      <b/>
      <sz val="13"/>
      <color rgb="FF000000"/>
      <name val="Calibri"/>
      <family val="2"/>
    </font>
    <font>
      <b/>
      <sz val="9"/>
      <color rgb="FF000000"/>
      <name val="Tahoma"/>
      <family val="2"/>
    </font>
    <font>
      <sz val="9"/>
      <color rgb="FF000000"/>
      <name val="Tahoma"/>
      <family val="2"/>
    </font>
    <font>
      <sz val="7"/>
      <color indexed="45"/>
      <name val="Arial"/>
      <family val="2"/>
    </font>
    <font>
      <b/>
      <sz val="7"/>
      <color indexed="45"/>
      <name val="Arial"/>
      <family val="2"/>
    </font>
    <font>
      <sz val="10"/>
      <name val="Geneva"/>
      <family val="2"/>
    </font>
    <font>
      <u/>
      <sz val="10"/>
      <color indexed="12"/>
      <name val="Geneva"/>
      <family val="2"/>
    </font>
    <font>
      <sz val="12"/>
      <name val="Arial"/>
      <family val="2"/>
    </font>
    <font>
      <sz val="7"/>
      <name val="Arial"/>
      <family val="2"/>
    </font>
    <font>
      <sz val="10"/>
      <color indexed="56"/>
      <name val="Arial"/>
      <family val="2"/>
    </font>
    <font>
      <sz val="10"/>
      <color indexed="63"/>
      <name val="Arial"/>
      <family val="2"/>
    </font>
    <font>
      <b/>
      <sz val="8"/>
      <color indexed="63"/>
      <name val="Arial Narrow"/>
      <family val="2"/>
    </font>
    <font>
      <b/>
      <i/>
      <sz val="10"/>
      <color indexed="18"/>
      <name val="Arial Narrow"/>
      <family val="2"/>
    </font>
    <font>
      <b/>
      <sz val="8"/>
      <color indexed="63"/>
      <name val="MS Sans Serif"/>
      <family val="2"/>
    </font>
    <font>
      <sz val="8"/>
      <color indexed="18"/>
      <name val="Arial Narrow"/>
      <family val="2"/>
    </font>
    <font>
      <sz val="11"/>
      <color indexed="9"/>
      <name val="Arial"/>
      <family val="2"/>
    </font>
    <font>
      <b/>
      <sz val="11"/>
      <color indexed="9"/>
      <name val="Arial"/>
      <family val="2"/>
    </font>
    <font>
      <b/>
      <sz val="8"/>
      <color indexed="18"/>
      <name val="Arial Narrow"/>
      <family val="2"/>
    </font>
    <font>
      <sz val="11"/>
      <color indexed="18"/>
      <name val="Arial"/>
      <family val="2"/>
    </font>
    <font>
      <b/>
      <sz val="8"/>
      <color indexed="18"/>
      <name val="Arial"/>
      <family val="2"/>
    </font>
    <font>
      <sz val="8"/>
      <color indexed="18"/>
      <name val="Arial"/>
      <family val="2"/>
    </font>
    <font>
      <sz val="12"/>
      <color indexed="56"/>
      <name val="Arial"/>
      <family val="2"/>
    </font>
    <font>
      <i/>
      <sz val="12"/>
      <color indexed="56"/>
      <name val="Arial"/>
      <family val="2"/>
    </font>
    <font>
      <b/>
      <sz val="11"/>
      <color indexed="18"/>
      <name val="Arial Narrow"/>
      <family val="2"/>
    </font>
    <font>
      <sz val="8"/>
      <color indexed="63"/>
      <name val="Arial Narrow"/>
      <family val="2"/>
    </font>
    <font>
      <i/>
      <sz val="10"/>
      <color indexed="56"/>
      <name val="Arial Narrow"/>
      <family val="2"/>
    </font>
    <font>
      <b/>
      <sz val="11"/>
      <color indexed="56"/>
      <name val="Arial"/>
      <family val="2"/>
    </font>
    <font>
      <b/>
      <i/>
      <sz val="11"/>
      <color indexed="56"/>
      <name val="Arial"/>
      <family val="2"/>
    </font>
    <font>
      <b/>
      <sz val="14"/>
      <color indexed="18"/>
      <name val="Arial"/>
      <family val="2"/>
    </font>
    <font>
      <b/>
      <sz val="15"/>
      <color indexed="62"/>
      <name val="Calibri"/>
      <family val="2"/>
    </font>
    <font>
      <b/>
      <sz val="13"/>
      <color indexed="62"/>
      <name val="Calibri"/>
      <family val="2"/>
    </font>
    <font>
      <b/>
      <sz val="11"/>
      <color indexed="62"/>
      <name val="Calibri"/>
      <family val="2"/>
    </font>
    <font>
      <b/>
      <sz val="18"/>
      <color indexed="62"/>
      <name val="Cambria"/>
      <family val="2"/>
    </font>
    <font>
      <sz val="10"/>
      <color indexed="24"/>
      <name val="Arial"/>
      <family val="2"/>
    </font>
    <font>
      <b/>
      <sz val="18"/>
      <color indexed="24"/>
      <name val="Arial"/>
      <family val="2"/>
    </font>
    <font>
      <b/>
      <sz val="12"/>
      <color indexed="24"/>
      <name val="Arial"/>
      <family val="2"/>
    </font>
    <font>
      <b/>
      <sz val="11"/>
      <color indexed="10"/>
      <name val="Calibri"/>
      <family val="2"/>
      <scheme val="minor"/>
    </font>
    <font>
      <u/>
      <sz val="10"/>
      <color theme="10"/>
      <name val="Courier"/>
      <family val="3"/>
    </font>
    <font>
      <sz val="11"/>
      <color indexed="19"/>
      <name val="Calibri"/>
      <family val="2"/>
      <scheme val="minor"/>
    </font>
    <font>
      <sz val="9"/>
      <name val="Geneva"/>
    </font>
    <font>
      <i/>
      <sz val="10"/>
      <name val="Calibri"/>
      <family val="2"/>
    </font>
    <font>
      <b/>
      <sz val="11"/>
      <name val="Calibri"/>
      <family val="2"/>
    </font>
    <font>
      <u/>
      <sz val="8"/>
      <color indexed="12"/>
      <name val="Arial"/>
      <family val="2"/>
    </font>
    <font>
      <sz val="10"/>
      <color rgb="FF0000FF"/>
      <name val="Calibri"/>
      <family val="2"/>
    </font>
    <font>
      <u/>
      <sz val="11"/>
      <color theme="10"/>
      <name val="Calibri"/>
      <family val="2"/>
      <scheme val="minor"/>
    </font>
    <font>
      <sz val="10"/>
      <color rgb="FF00B050"/>
      <name val="Calibri"/>
      <family val="2"/>
    </font>
    <font>
      <b/>
      <sz val="16"/>
      <color theme="0"/>
      <name val="Calibri"/>
      <family val="2"/>
      <scheme val="minor"/>
    </font>
    <font>
      <b/>
      <sz val="13"/>
      <color theme="0"/>
      <name val="Calibri"/>
      <family val="2"/>
      <scheme val="minor"/>
    </font>
    <font>
      <b/>
      <sz val="12"/>
      <color theme="0"/>
      <name val="Calibri"/>
      <family val="2"/>
      <scheme val="minor"/>
    </font>
    <font>
      <sz val="10"/>
      <color rgb="FFFF0000"/>
      <name val="Calibri"/>
      <family val="2"/>
    </font>
    <font>
      <sz val="14"/>
      <color indexed="50"/>
      <name val="Arial"/>
      <family val="2"/>
    </font>
    <font>
      <b/>
      <sz val="8.5"/>
      <color indexed="50"/>
      <name val="Arial"/>
      <family val="2"/>
    </font>
    <font>
      <b/>
      <sz val="7"/>
      <color indexed="9"/>
      <name val="Arial"/>
      <family val="2"/>
    </font>
    <font>
      <b/>
      <sz val="7"/>
      <name val="Arial"/>
      <family val="2"/>
    </font>
    <font>
      <sz val="7"/>
      <color indexed="8"/>
      <name val="Arial"/>
      <family val="2"/>
    </font>
    <font>
      <sz val="6.5"/>
      <name val="Arial"/>
      <family val="2"/>
    </font>
    <font>
      <sz val="18"/>
      <color theme="3"/>
      <name val="Cambria"/>
      <family val="2"/>
      <scheme val="major"/>
    </font>
    <font>
      <b/>
      <sz val="14"/>
      <name val="Helvetica"/>
      <family val="2"/>
    </font>
    <font>
      <b/>
      <i/>
      <u/>
      <sz val="10"/>
      <name val="Arial"/>
      <family val="2"/>
    </font>
    <font>
      <b/>
      <sz val="12"/>
      <name val="Arial"/>
      <family val="2"/>
    </font>
    <font>
      <b/>
      <sz val="15"/>
      <color rgb="FF333399"/>
      <name val="Arial"/>
      <family val="2"/>
    </font>
    <font>
      <sz val="9"/>
      <color rgb="FF333399"/>
      <name val="Arial"/>
      <family val="2"/>
    </font>
    <font>
      <b/>
      <sz val="11"/>
      <color indexed="8"/>
      <name val="Arial"/>
      <family val="2"/>
    </font>
    <font>
      <b/>
      <sz val="8"/>
      <color indexed="8"/>
      <name val="Arial"/>
      <family val="2"/>
    </font>
    <font>
      <sz val="6"/>
      <color indexed="8"/>
      <name val="Arial"/>
      <family val="2"/>
    </font>
    <font>
      <sz val="6"/>
      <color rgb="FFFF0000"/>
      <name val="Arial"/>
      <family val="2"/>
    </font>
    <font>
      <b/>
      <i/>
      <sz val="8"/>
      <color rgb="FFFF0000"/>
      <name val="Arial"/>
      <family val="2"/>
    </font>
    <font>
      <i/>
      <sz val="8"/>
      <color rgb="FFFF0000"/>
      <name val="Arial"/>
      <family val="2"/>
    </font>
    <font>
      <i/>
      <sz val="6"/>
      <color rgb="FFFF0000"/>
      <name val="Arial"/>
      <family val="2"/>
    </font>
    <font>
      <b/>
      <sz val="10"/>
      <color rgb="FF92D050"/>
      <name val="Arial"/>
      <family val="2"/>
    </font>
    <font>
      <b/>
      <sz val="9"/>
      <color theme="8" tint="-0.499984740745262"/>
      <name val="Arial"/>
      <family val="2"/>
    </font>
    <font>
      <vertAlign val="superscript"/>
      <sz val="9"/>
      <name val="Arial"/>
      <family val="2"/>
    </font>
    <font>
      <b/>
      <sz val="18"/>
      <name val="Arial"/>
      <family val="2"/>
    </font>
  </fonts>
  <fills count="116">
    <fill>
      <patternFill patternType="none"/>
    </fill>
    <fill>
      <patternFill patternType="gray125"/>
    </fill>
    <fill>
      <patternFill patternType="solid">
        <fgColor indexed="31"/>
      </patternFill>
    </fill>
    <fill>
      <patternFill patternType="solid">
        <fgColor indexed="45"/>
      </patternFill>
    </fill>
    <fill>
      <patternFill patternType="solid">
        <fgColor indexed="42"/>
      </patternFill>
    </fill>
    <fill>
      <patternFill patternType="solid">
        <fgColor indexed="46"/>
      </patternFill>
    </fill>
    <fill>
      <patternFill patternType="solid">
        <fgColor indexed="27"/>
      </patternFill>
    </fill>
    <fill>
      <patternFill patternType="solid">
        <fgColor indexed="47"/>
      </patternFill>
    </fill>
    <fill>
      <patternFill patternType="solid">
        <fgColor indexed="44"/>
      </patternFill>
    </fill>
    <fill>
      <patternFill patternType="solid">
        <fgColor indexed="29"/>
      </patternFill>
    </fill>
    <fill>
      <patternFill patternType="solid">
        <fgColor indexed="11"/>
      </patternFill>
    </fill>
    <fill>
      <patternFill patternType="solid">
        <fgColor indexed="51"/>
      </patternFill>
    </fill>
    <fill>
      <patternFill patternType="solid">
        <fgColor indexed="30"/>
      </patternFill>
    </fill>
    <fill>
      <patternFill patternType="solid">
        <fgColor indexed="36"/>
      </patternFill>
    </fill>
    <fill>
      <patternFill patternType="solid">
        <fgColor indexed="49"/>
      </patternFill>
    </fill>
    <fill>
      <patternFill patternType="solid">
        <fgColor indexed="52"/>
      </patternFill>
    </fill>
    <fill>
      <patternFill patternType="solid">
        <fgColor indexed="62"/>
      </patternFill>
    </fill>
    <fill>
      <patternFill patternType="solid">
        <fgColor indexed="10"/>
      </patternFill>
    </fill>
    <fill>
      <patternFill patternType="solid">
        <fgColor indexed="57"/>
      </patternFill>
    </fill>
    <fill>
      <patternFill patternType="solid">
        <fgColor indexed="53"/>
      </patternFill>
    </fill>
    <fill>
      <patternFill patternType="solid">
        <fgColor indexed="47"/>
        <bgColor indexed="64"/>
      </patternFill>
    </fill>
    <fill>
      <patternFill patternType="solid">
        <fgColor indexed="22"/>
      </patternFill>
    </fill>
    <fill>
      <patternFill patternType="solid">
        <fgColor indexed="55"/>
      </patternFill>
    </fill>
    <fill>
      <patternFill patternType="solid">
        <fgColor indexed="43"/>
      </patternFill>
    </fill>
    <fill>
      <patternFill patternType="solid">
        <fgColor indexed="55"/>
        <bgColor indexed="64"/>
      </patternFill>
    </fill>
    <fill>
      <patternFill patternType="solid">
        <fgColor indexed="22"/>
        <bgColor indexed="64"/>
      </patternFill>
    </fill>
    <fill>
      <patternFill patternType="solid">
        <fgColor indexed="26"/>
      </patternFill>
    </fill>
    <fill>
      <patternFill patternType="darkTrellis"/>
    </fill>
    <fill>
      <patternFill patternType="solid">
        <fgColor indexed="42"/>
        <bgColor indexed="64"/>
      </patternFill>
    </fill>
    <fill>
      <patternFill patternType="solid">
        <fgColor indexed="43"/>
        <bgColor indexed="64"/>
      </patternFill>
    </fill>
    <fill>
      <patternFill patternType="solid">
        <fgColor indexed="29"/>
        <bgColor indexed="64"/>
      </patternFill>
    </fill>
    <fill>
      <patternFill patternType="solid">
        <fgColor indexed="12"/>
        <bgColor indexed="64"/>
      </patternFill>
    </fill>
    <fill>
      <patternFill patternType="solid">
        <fgColor indexed="22"/>
        <bgColor indexed="0"/>
      </patternFill>
    </fill>
    <fill>
      <patternFill patternType="solid">
        <fgColor indexed="9"/>
        <bgColor indexed="64"/>
      </patternFill>
    </fill>
    <fill>
      <patternFill patternType="solid">
        <fgColor indexed="41"/>
        <bgColor indexed="64"/>
      </patternFill>
    </fill>
    <fill>
      <patternFill patternType="solid">
        <fgColor indexed="18"/>
        <bgColor indexed="64"/>
      </patternFill>
    </fill>
    <fill>
      <patternFill patternType="solid">
        <fgColor rgb="FFFFC7CE"/>
      </patternFill>
    </fill>
    <fill>
      <patternFill patternType="solid">
        <fgColor theme="9" tint="0.59999389629810485"/>
        <bgColor indexed="64"/>
      </patternFill>
    </fill>
    <fill>
      <patternFill patternType="solid">
        <fgColor theme="4" tint="0.79998168889431442"/>
        <bgColor indexed="64"/>
      </patternFill>
    </fill>
    <fill>
      <patternFill patternType="solid">
        <fgColor theme="3" tint="0.79998168889431442"/>
        <bgColor indexed="64"/>
      </patternFill>
    </fill>
    <fill>
      <patternFill patternType="solid">
        <fgColor rgb="FFFFC000"/>
        <bgColor indexed="64"/>
      </patternFill>
    </fill>
    <fill>
      <patternFill patternType="solid">
        <fgColor theme="8" tint="0.39997558519241921"/>
        <bgColor indexed="64"/>
      </patternFill>
    </fill>
    <fill>
      <patternFill patternType="solid">
        <fgColor theme="6" tint="0.59999389629810485"/>
        <bgColor indexed="64"/>
      </patternFill>
    </fill>
    <fill>
      <patternFill patternType="solid">
        <fgColor rgb="FFFFFF00"/>
        <bgColor indexed="64"/>
      </patternFill>
    </fill>
    <fill>
      <patternFill patternType="solid">
        <fgColor theme="5" tint="0.79998168889431442"/>
        <bgColor indexed="64"/>
      </patternFill>
    </fill>
    <fill>
      <patternFill patternType="solid">
        <fgColor theme="8" tint="0.79998168889431442"/>
        <bgColor indexed="64"/>
      </patternFill>
    </fill>
    <fill>
      <patternFill patternType="solid">
        <fgColor theme="2" tint="-9.9978637043366805E-2"/>
        <bgColor indexed="64"/>
      </patternFill>
    </fill>
    <fill>
      <patternFill patternType="solid">
        <fgColor theme="0"/>
        <bgColor indexed="64"/>
      </patternFill>
    </fill>
    <fill>
      <patternFill patternType="solid">
        <fgColor rgb="FFFF0000"/>
        <bgColor indexed="64"/>
      </patternFill>
    </fill>
    <fill>
      <patternFill patternType="solid">
        <fgColor theme="5" tint="0.59999389629810485"/>
        <bgColor indexed="64"/>
      </patternFill>
    </fill>
    <fill>
      <patternFill patternType="solid">
        <fgColor theme="3" tint="0.39997558519241921"/>
        <bgColor indexed="64"/>
      </patternFill>
    </fill>
    <fill>
      <patternFill patternType="solid">
        <fgColor theme="6" tint="0.79998168889431442"/>
        <bgColor indexed="64"/>
      </patternFill>
    </fill>
    <fill>
      <patternFill patternType="solid">
        <fgColor theme="6"/>
        <bgColor indexed="64"/>
      </patternFill>
    </fill>
    <fill>
      <patternFill patternType="solid">
        <fgColor theme="9"/>
        <bgColor indexed="64"/>
      </patternFill>
    </fill>
    <fill>
      <patternFill patternType="solid">
        <fgColor rgb="FFC6EFCE"/>
      </patternFill>
    </fill>
    <fill>
      <patternFill patternType="solid">
        <fgColor rgb="FFFFEB9C"/>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theme="0" tint="-0.249977111117893"/>
        <bgColor indexed="64"/>
      </patternFill>
    </fill>
    <fill>
      <patternFill patternType="solid">
        <fgColor rgb="FFFFCC99"/>
      </patternFill>
    </fill>
    <fill>
      <patternFill patternType="solid">
        <fgColor indexed="46"/>
        <bgColor indexed="64"/>
      </patternFill>
    </fill>
    <fill>
      <patternFill patternType="solid">
        <fgColor theme="9" tint="0.79998168889431442"/>
        <bgColor indexed="64"/>
      </patternFill>
    </fill>
    <fill>
      <patternFill patternType="solid">
        <fgColor theme="4"/>
        <bgColor indexed="64"/>
      </patternFill>
    </fill>
    <fill>
      <patternFill patternType="solid">
        <fgColor theme="6" tint="-0.249977111117893"/>
        <bgColor indexed="64"/>
      </patternFill>
    </fill>
    <fill>
      <patternFill patternType="solid">
        <fgColor theme="5" tint="-0.249977111117893"/>
        <bgColor indexed="64"/>
      </patternFill>
    </fill>
    <fill>
      <patternFill patternType="gray0625">
        <fgColor indexed="9"/>
      </patternFill>
    </fill>
    <fill>
      <patternFill patternType="solid">
        <fgColor rgb="FFB7FAFF"/>
        <bgColor rgb="FF000000"/>
      </patternFill>
    </fill>
    <fill>
      <patternFill patternType="solid">
        <fgColor theme="8" tint="0.59999389629810485"/>
        <bgColor indexed="64"/>
      </patternFill>
    </fill>
    <fill>
      <patternFill patternType="solid">
        <fgColor theme="2"/>
        <bgColor indexed="64"/>
      </patternFill>
    </fill>
    <fill>
      <patternFill patternType="solid">
        <fgColor theme="0"/>
        <bgColor rgb="FF000000"/>
      </patternFill>
    </fill>
    <fill>
      <patternFill patternType="solid">
        <fgColor rgb="FF4F81BD"/>
        <bgColor indexed="64"/>
      </patternFill>
    </fill>
    <fill>
      <patternFill patternType="solid">
        <fgColor rgb="FFDCE6F1"/>
        <bgColor indexed="64"/>
      </patternFill>
    </fill>
    <fill>
      <patternFill patternType="solid">
        <fgColor theme="0" tint="-4.9989318521683403E-2"/>
        <bgColor indexed="64"/>
      </patternFill>
    </fill>
    <fill>
      <patternFill patternType="solid">
        <fgColor indexed="44"/>
        <bgColor indexed="64"/>
      </patternFill>
    </fill>
    <fill>
      <patternFill patternType="solid">
        <fgColor indexed="9"/>
      </patternFill>
    </fill>
    <fill>
      <patternFill patternType="solid">
        <fgColor indexed="56"/>
      </patternFill>
    </fill>
    <fill>
      <patternFill patternType="solid">
        <fgColor indexed="54"/>
      </patternFill>
    </fill>
    <fill>
      <patternFill patternType="solid">
        <fgColor indexed="10"/>
        <bgColor indexed="64"/>
      </patternFill>
    </fill>
    <fill>
      <patternFill patternType="solid">
        <fgColor indexed="21"/>
        <bgColor indexed="64"/>
      </patternFill>
    </fill>
    <fill>
      <patternFill patternType="solid">
        <fgColor indexed="9"/>
        <bgColor indexed="54"/>
      </patternFill>
    </fill>
    <fill>
      <patternFill patternType="solid">
        <fgColor indexed="26"/>
        <bgColor indexed="64"/>
      </patternFill>
    </fill>
    <fill>
      <patternFill patternType="solid">
        <fgColor indexed="40"/>
      </patternFill>
    </fill>
    <fill>
      <patternFill patternType="solid">
        <fgColor rgb="FFBED6EE"/>
        <bgColor indexed="64"/>
      </patternFill>
    </fill>
    <fill>
      <patternFill patternType="solid">
        <fgColor theme="6" tint="0.59996337778862885"/>
        <bgColor indexed="64"/>
      </patternFill>
    </fill>
    <fill>
      <patternFill patternType="solid">
        <fgColor theme="0" tint="-0.34998626667073579"/>
        <bgColor indexed="64"/>
      </patternFill>
    </fill>
    <fill>
      <patternFill patternType="solid">
        <fgColor theme="0" tint="-0.24994659260841701"/>
        <bgColor indexed="64"/>
      </patternFill>
    </fill>
    <fill>
      <patternFill patternType="solid">
        <fgColor indexed="27"/>
        <bgColor indexed="64"/>
      </patternFill>
    </fill>
    <fill>
      <patternFill patternType="solid">
        <fgColor theme="4" tint="0.59999389629810485"/>
        <bgColor indexed="64"/>
      </patternFill>
    </fill>
    <fill>
      <patternFill patternType="solid">
        <fgColor theme="9" tint="0.39997558519241921"/>
        <bgColor indexed="64"/>
      </patternFill>
    </fill>
    <fill>
      <patternFill patternType="solid">
        <fgColor theme="9" tint="0.39997558519241921"/>
        <bgColor rgb="FF000000"/>
      </patternFill>
    </fill>
    <fill>
      <patternFill patternType="solid">
        <fgColor theme="7" tint="0.79998168889431442"/>
        <bgColor indexed="64"/>
      </patternFill>
    </fill>
  </fills>
  <borders count="196">
    <border>
      <left/>
      <right/>
      <top/>
      <bottom/>
      <diagonal/>
    </border>
    <border>
      <left style="medium">
        <color indexed="64"/>
      </left>
      <right style="thin">
        <color indexed="64"/>
      </right>
      <top style="thin">
        <color indexed="64"/>
      </top>
      <bottom style="thin">
        <color indexed="64"/>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bottom style="thin">
        <color indexed="64"/>
      </bottom>
      <diagonal/>
    </border>
    <border>
      <left style="thin">
        <color indexed="23"/>
      </left>
      <right style="thin">
        <color indexed="23"/>
      </right>
      <top style="thin">
        <color indexed="23"/>
      </top>
      <bottom style="thin">
        <color indexed="23"/>
      </bottom>
      <diagonal/>
    </border>
    <border>
      <left/>
      <right/>
      <top/>
      <bottom style="double">
        <color indexed="52"/>
      </bottom>
      <diagonal/>
    </border>
    <border>
      <left style="double">
        <color indexed="63"/>
      </left>
      <right style="double">
        <color indexed="63"/>
      </right>
      <top style="double">
        <color indexed="63"/>
      </top>
      <bottom style="double">
        <color indexed="63"/>
      </bottom>
      <diagonal/>
    </border>
    <border>
      <left style="medium">
        <color indexed="64"/>
      </left>
      <right/>
      <top style="thin">
        <color indexed="64"/>
      </top>
      <bottom style="thin">
        <color indexed="64"/>
      </bottom>
      <diagonal/>
    </border>
    <border>
      <left/>
      <right/>
      <top/>
      <bottom style="thick">
        <color indexed="62"/>
      </bottom>
      <diagonal/>
    </border>
    <border>
      <left/>
      <right/>
      <top/>
      <bottom style="thick">
        <color indexed="22"/>
      </bottom>
      <diagonal/>
    </border>
    <border>
      <left/>
      <right/>
      <top/>
      <bottom style="medium">
        <color indexed="30"/>
      </bottom>
      <diagonal/>
    </border>
    <border>
      <left style="thin">
        <color indexed="22"/>
      </left>
      <right style="thin">
        <color indexed="22"/>
      </right>
      <top style="thin">
        <color indexed="22"/>
      </top>
      <bottom style="thin">
        <color indexed="22"/>
      </bottom>
      <diagonal/>
    </border>
    <border>
      <left style="thin">
        <color indexed="63"/>
      </left>
      <right style="thin">
        <color indexed="63"/>
      </right>
      <top style="thin">
        <color indexed="63"/>
      </top>
      <bottom style="thin">
        <color indexed="63"/>
      </bottom>
      <diagonal/>
    </border>
    <border>
      <left/>
      <right/>
      <top style="thin">
        <color indexed="62"/>
      </top>
      <bottom style="double">
        <color indexed="62"/>
      </bottom>
      <diagonal/>
    </border>
    <border>
      <left style="double">
        <color indexed="64"/>
      </left>
      <right/>
      <top style="double">
        <color indexed="64"/>
      </top>
      <bottom style="double">
        <color indexed="64"/>
      </bottom>
      <diagonal/>
    </border>
    <border>
      <left/>
      <right/>
      <top style="thin">
        <color indexed="64"/>
      </top>
      <bottom style="medium">
        <color indexed="64"/>
      </bottom>
      <diagonal/>
    </border>
    <border>
      <left/>
      <right/>
      <top style="thin">
        <color indexed="64"/>
      </top>
      <bottom/>
      <diagonal/>
    </border>
    <border>
      <left/>
      <right style="thin">
        <color indexed="64"/>
      </right>
      <top style="thin">
        <color indexed="64"/>
      </top>
      <bottom/>
      <diagonal/>
    </border>
    <border>
      <left/>
      <right style="thin">
        <color indexed="64"/>
      </right>
      <top style="thin">
        <color indexed="64"/>
      </top>
      <bottom style="medium">
        <color indexed="64"/>
      </bottom>
      <diagonal/>
    </border>
    <border>
      <left style="thin">
        <color indexed="64"/>
      </left>
      <right/>
      <top/>
      <bottom/>
      <diagonal/>
    </border>
    <border>
      <left/>
      <right/>
      <top/>
      <bottom style="thin">
        <color indexed="64"/>
      </bottom>
      <diagonal/>
    </border>
    <border>
      <left/>
      <right/>
      <top style="thin">
        <color indexed="64"/>
      </top>
      <bottom style="thin">
        <color indexed="64"/>
      </bottom>
      <diagonal/>
    </border>
    <border>
      <left/>
      <right style="thin">
        <color indexed="64"/>
      </right>
      <top/>
      <bottom/>
      <diagonal/>
    </border>
    <border>
      <left/>
      <right style="thin">
        <color indexed="64"/>
      </right>
      <top/>
      <bottom style="thin">
        <color indexed="64"/>
      </bottom>
      <diagonal/>
    </border>
    <border>
      <left style="thin">
        <color indexed="64"/>
      </left>
      <right/>
      <top/>
      <bottom style="thin">
        <color indexed="64"/>
      </bottom>
      <diagonal/>
    </border>
    <border>
      <left/>
      <right/>
      <top/>
      <bottom style="medium">
        <color indexed="64"/>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top/>
      <bottom/>
      <diagonal/>
    </border>
    <border>
      <left/>
      <right style="medium">
        <color indexed="64"/>
      </right>
      <top/>
      <bottom/>
      <diagonal/>
    </border>
    <border>
      <left style="medium">
        <color indexed="64"/>
      </left>
      <right style="thin">
        <color indexed="8"/>
      </right>
      <top style="thin">
        <color indexed="8"/>
      </top>
      <bottom/>
      <diagonal/>
    </border>
    <border>
      <left style="thin">
        <color indexed="8"/>
      </left>
      <right style="thin">
        <color indexed="8"/>
      </right>
      <top style="thin">
        <color indexed="8"/>
      </top>
      <bottom/>
      <diagonal/>
    </border>
    <border>
      <left style="thin">
        <color indexed="8"/>
      </left>
      <right/>
      <top style="thin">
        <color indexed="8"/>
      </top>
      <bottom/>
      <diagonal/>
    </border>
    <border>
      <left style="thin">
        <color indexed="8"/>
      </left>
      <right style="medium">
        <color indexed="64"/>
      </right>
      <top style="thin">
        <color indexed="8"/>
      </top>
      <bottom/>
      <diagonal/>
    </border>
    <border>
      <left style="thin">
        <color indexed="8"/>
      </left>
      <right/>
      <top/>
      <bottom/>
      <diagonal/>
    </border>
    <border>
      <left style="thick">
        <color indexed="64"/>
      </left>
      <right/>
      <top style="thick">
        <color indexed="64"/>
      </top>
      <bottom/>
      <diagonal/>
    </border>
    <border>
      <left/>
      <right/>
      <top style="thick">
        <color indexed="64"/>
      </top>
      <bottom/>
      <diagonal/>
    </border>
    <border>
      <left style="thin">
        <color indexed="8"/>
      </left>
      <right style="thin">
        <color indexed="8"/>
      </right>
      <top style="thick">
        <color indexed="64"/>
      </top>
      <bottom/>
      <diagonal/>
    </border>
    <border>
      <left style="thin">
        <color indexed="8"/>
      </left>
      <right/>
      <top style="thick">
        <color indexed="64"/>
      </top>
      <bottom/>
      <diagonal/>
    </border>
    <border>
      <left style="thin">
        <color indexed="8"/>
      </left>
      <right style="medium">
        <color indexed="64"/>
      </right>
      <top style="thick">
        <color indexed="64"/>
      </top>
      <bottom/>
      <diagonal/>
    </border>
    <border>
      <left style="thin">
        <color indexed="8"/>
      </left>
      <right style="thick">
        <color indexed="64"/>
      </right>
      <top style="thick">
        <color indexed="64"/>
      </top>
      <bottom/>
      <diagonal/>
    </border>
    <border>
      <left style="thin">
        <color indexed="64"/>
      </left>
      <right style="thin">
        <color indexed="22"/>
      </right>
      <top style="thin">
        <color indexed="64"/>
      </top>
      <bottom style="thin">
        <color indexed="22"/>
      </bottom>
      <diagonal/>
    </border>
    <border>
      <left style="thin">
        <color indexed="22"/>
      </left>
      <right style="thin">
        <color indexed="22"/>
      </right>
      <top style="thin">
        <color indexed="64"/>
      </top>
      <bottom style="thin">
        <color indexed="22"/>
      </bottom>
      <diagonal/>
    </border>
    <border>
      <left style="thin">
        <color indexed="64"/>
      </left>
      <right/>
      <top style="thin">
        <color indexed="64"/>
      </top>
      <bottom/>
      <diagonal/>
    </border>
    <border>
      <left style="thick">
        <color indexed="64"/>
      </left>
      <right style="thin">
        <color indexed="22"/>
      </right>
      <top style="medium">
        <color indexed="64"/>
      </top>
      <bottom style="thin">
        <color indexed="22"/>
      </bottom>
      <diagonal/>
    </border>
    <border>
      <left style="thin">
        <color indexed="22"/>
      </left>
      <right style="thin">
        <color indexed="22"/>
      </right>
      <top style="medium">
        <color indexed="64"/>
      </top>
      <bottom style="thin">
        <color indexed="22"/>
      </bottom>
      <diagonal/>
    </border>
    <border>
      <left/>
      <right style="thick">
        <color indexed="64"/>
      </right>
      <top style="medium">
        <color indexed="64"/>
      </top>
      <bottom/>
      <diagonal/>
    </border>
    <border>
      <left style="thin">
        <color indexed="64"/>
      </left>
      <right style="thin">
        <color indexed="22"/>
      </right>
      <top style="thin">
        <color indexed="22"/>
      </top>
      <bottom style="thin">
        <color indexed="22"/>
      </bottom>
      <diagonal/>
    </border>
    <border>
      <left style="thin">
        <color indexed="22"/>
      </left>
      <right/>
      <top style="thin">
        <color indexed="22"/>
      </top>
      <bottom style="thin">
        <color indexed="22"/>
      </bottom>
      <diagonal/>
    </border>
    <border>
      <left style="thick">
        <color indexed="64"/>
      </left>
      <right style="thin">
        <color indexed="22"/>
      </right>
      <top style="thin">
        <color indexed="22"/>
      </top>
      <bottom style="thin">
        <color indexed="22"/>
      </bottom>
      <diagonal/>
    </border>
    <border>
      <left style="thin">
        <color indexed="22"/>
      </left>
      <right style="medium">
        <color indexed="64"/>
      </right>
      <top style="thin">
        <color indexed="22"/>
      </top>
      <bottom style="thin">
        <color indexed="22"/>
      </bottom>
      <diagonal/>
    </border>
    <border>
      <left/>
      <right style="thick">
        <color indexed="64"/>
      </right>
      <top/>
      <bottom/>
      <diagonal/>
    </border>
    <border>
      <left style="thin">
        <color indexed="22"/>
      </left>
      <right style="thin">
        <color indexed="22"/>
      </right>
      <top style="thin">
        <color indexed="22"/>
      </top>
      <bottom style="medium">
        <color indexed="64"/>
      </bottom>
      <diagonal/>
    </border>
    <border>
      <left style="thin">
        <color indexed="22"/>
      </left>
      <right style="medium">
        <color indexed="64"/>
      </right>
      <top style="thin">
        <color indexed="22"/>
      </top>
      <bottom style="medium">
        <color indexed="64"/>
      </bottom>
      <diagonal/>
    </border>
    <border>
      <left style="medium">
        <color indexed="64"/>
      </left>
      <right/>
      <top/>
      <bottom style="medium">
        <color indexed="64"/>
      </bottom>
      <diagonal/>
    </border>
    <border>
      <left/>
      <right style="medium">
        <color indexed="64"/>
      </right>
      <top/>
      <bottom style="medium">
        <color indexed="64"/>
      </bottom>
      <diagonal/>
    </border>
    <border>
      <left/>
      <right style="thick">
        <color indexed="64"/>
      </right>
      <top/>
      <bottom style="medium">
        <color indexed="64"/>
      </bottom>
      <diagonal/>
    </border>
    <border>
      <left style="thin">
        <color indexed="22"/>
      </left>
      <right style="thin">
        <color indexed="22"/>
      </right>
      <top style="thin">
        <color indexed="22"/>
      </top>
      <bottom/>
      <diagonal/>
    </border>
    <border>
      <left style="thin">
        <color indexed="22"/>
      </left>
      <right style="medium">
        <color indexed="64"/>
      </right>
      <top style="thin">
        <color indexed="22"/>
      </top>
      <bottom/>
      <diagonal/>
    </border>
    <border>
      <left style="thick">
        <color indexed="64"/>
      </left>
      <right/>
      <top style="thin">
        <color indexed="64"/>
      </top>
      <bottom style="medium">
        <color indexed="64"/>
      </bottom>
      <diagonal/>
    </border>
    <border>
      <left/>
      <right style="medium">
        <color indexed="64"/>
      </right>
      <top style="thin">
        <color indexed="64"/>
      </top>
      <bottom style="medium">
        <color indexed="64"/>
      </bottom>
      <diagonal/>
    </border>
    <border>
      <left style="medium">
        <color indexed="64"/>
      </left>
      <right/>
      <top style="thin">
        <color indexed="64"/>
      </top>
      <bottom style="medium">
        <color indexed="64"/>
      </bottom>
      <diagonal/>
    </border>
    <border>
      <left/>
      <right style="thick">
        <color indexed="64"/>
      </right>
      <top style="thin">
        <color indexed="64"/>
      </top>
      <bottom style="medium">
        <color indexed="64"/>
      </bottom>
      <diagonal/>
    </border>
    <border>
      <left style="thin">
        <color indexed="64"/>
      </left>
      <right style="thin">
        <color indexed="22"/>
      </right>
      <top style="thin">
        <color indexed="22"/>
      </top>
      <bottom style="thin">
        <color indexed="64"/>
      </bottom>
      <diagonal/>
    </border>
    <border>
      <left style="thin">
        <color indexed="22"/>
      </left>
      <right style="thin">
        <color indexed="22"/>
      </right>
      <top style="thin">
        <color indexed="22"/>
      </top>
      <bottom style="thin">
        <color indexed="64"/>
      </bottom>
      <diagonal/>
    </border>
    <border>
      <left style="thin">
        <color indexed="22"/>
      </left>
      <right/>
      <top style="thin">
        <color indexed="22"/>
      </top>
      <bottom style="thin">
        <color indexed="64"/>
      </bottom>
      <diagonal/>
    </border>
    <border>
      <left style="thick">
        <color indexed="64"/>
      </left>
      <right/>
      <top style="thin">
        <color indexed="64"/>
      </top>
      <bottom style="thick">
        <color indexed="64"/>
      </bottom>
      <diagonal/>
    </border>
    <border>
      <left/>
      <right/>
      <top style="thin">
        <color indexed="64"/>
      </top>
      <bottom style="thick">
        <color indexed="64"/>
      </bottom>
      <diagonal/>
    </border>
    <border>
      <left/>
      <right style="medium">
        <color indexed="64"/>
      </right>
      <top style="thin">
        <color indexed="64"/>
      </top>
      <bottom style="thick">
        <color indexed="64"/>
      </bottom>
      <diagonal/>
    </border>
    <border>
      <left style="medium">
        <color indexed="64"/>
      </left>
      <right/>
      <top style="thin">
        <color indexed="64"/>
      </top>
      <bottom style="thick">
        <color indexed="64"/>
      </bottom>
      <diagonal/>
    </border>
    <border>
      <left/>
      <right style="thick">
        <color indexed="64"/>
      </right>
      <top style="thin">
        <color indexed="64"/>
      </top>
      <bottom style="thick">
        <color indexed="64"/>
      </bottom>
      <diagonal/>
    </border>
    <border>
      <left style="thin">
        <color indexed="64"/>
      </left>
      <right style="thin">
        <color indexed="64"/>
      </right>
      <top/>
      <bottom/>
      <diagonal/>
    </border>
    <border>
      <left style="thin">
        <color indexed="64"/>
      </left>
      <right style="thin">
        <color indexed="64"/>
      </right>
      <top style="thin">
        <color indexed="64"/>
      </top>
      <bottom/>
      <diagonal/>
    </border>
    <border>
      <left style="medium">
        <color indexed="64"/>
      </left>
      <right style="medium">
        <color indexed="64"/>
      </right>
      <top/>
      <bottom style="thin">
        <color indexed="64"/>
      </bottom>
      <diagonal/>
    </border>
    <border>
      <left style="medium">
        <color indexed="64"/>
      </left>
      <right style="medium">
        <color indexed="64"/>
      </right>
      <top/>
      <bottom/>
      <diagonal/>
    </border>
    <border>
      <left style="thin">
        <color indexed="64"/>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style="thin">
        <color indexed="64"/>
      </right>
      <top style="medium">
        <color indexed="64"/>
      </top>
      <bottom/>
      <diagonal/>
    </border>
    <border>
      <left/>
      <right/>
      <top/>
      <bottom style="thick">
        <color indexed="64"/>
      </bottom>
      <diagonal/>
    </border>
    <border>
      <left/>
      <right style="thick">
        <color indexed="64"/>
      </right>
      <top/>
      <bottom style="thick">
        <color indexed="64"/>
      </bottom>
      <diagonal/>
    </border>
    <border>
      <left style="thin">
        <color indexed="64"/>
      </left>
      <right/>
      <top style="medium">
        <color indexed="64"/>
      </top>
      <bottom/>
      <diagonal/>
    </border>
    <border>
      <left/>
      <right style="thick">
        <color indexed="64"/>
      </right>
      <top style="thick">
        <color indexed="64"/>
      </top>
      <bottom/>
      <diagonal/>
    </border>
    <border>
      <left style="thick">
        <color indexed="64"/>
      </left>
      <right/>
      <top/>
      <bottom/>
      <diagonal/>
    </border>
    <border>
      <left style="thick">
        <color indexed="64"/>
      </left>
      <right/>
      <top/>
      <bottom style="thick">
        <color indexed="64"/>
      </bottom>
      <diagonal/>
    </border>
    <border>
      <left style="medium">
        <color indexed="64"/>
      </left>
      <right style="thin">
        <color indexed="64"/>
      </right>
      <top style="medium">
        <color indexed="64"/>
      </top>
      <bottom style="thin">
        <color indexed="64"/>
      </bottom>
      <diagonal/>
    </border>
    <border>
      <left/>
      <right/>
      <top style="medium">
        <color indexed="64"/>
      </top>
      <bottom style="thin">
        <color indexed="64"/>
      </bottom>
      <diagonal/>
    </border>
    <border>
      <left/>
      <right style="medium">
        <color indexed="64"/>
      </right>
      <top style="medium">
        <color indexed="64"/>
      </top>
      <bottom style="thin">
        <color indexed="64"/>
      </bottom>
      <diagonal/>
    </border>
    <border>
      <left style="medium">
        <color indexed="64"/>
      </left>
      <right style="thin">
        <color indexed="64"/>
      </right>
      <top/>
      <bottom style="thin">
        <color indexed="64"/>
      </bottom>
      <diagonal/>
    </border>
    <border>
      <left/>
      <right style="medium">
        <color indexed="64"/>
      </right>
      <top/>
      <bottom style="thin">
        <color indexed="64"/>
      </bottom>
      <diagonal/>
    </border>
    <border>
      <left style="medium">
        <color indexed="64"/>
      </left>
      <right style="thin">
        <color indexed="64"/>
      </right>
      <top/>
      <bottom/>
      <diagonal/>
    </border>
    <border>
      <left/>
      <right style="medium">
        <color indexed="64"/>
      </right>
      <top style="thin">
        <color indexed="64"/>
      </top>
      <bottom style="thin">
        <color indexed="64"/>
      </bottom>
      <diagonal/>
    </border>
    <border>
      <left style="medium">
        <color indexed="64"/>
      </left>
      <right style="thin">
        <color indexed="64"/>
      </right>
      <top/>
      <bottom style="medium">
        <color indexed="64"/>
      </bottom>
      <diagonal/>
    </border>
    <border>
      <left/>
      <right style="thin">
        <color indexed="64"/>
      </right>
      <top/>
      <bottom style="medium">
        <color indexed="64"/>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style="thin">
        <color indexed="64"/>
      </left>
      <right style="thin">
        <color indexed="64"/>
      </right>
      <top/>
      <bottom style="medium">
        <color indexed="64"/>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style="medium">
        <color indexed="64"/>
      </left>
      <right/>
      <top style="medium">
        <color indexed="64"/>
      </top>
      <bottom style="thin">
        <color indexed="64"/>
      </bottom>
      <diagonal/>
    </border>
    <border>
      <left/>
      <right style="thin">
        <color indexed="64"/>
      </right>
      <top style="medium">
        <color indexed="64"/>
      </top>
      <bottom style="thin">
        <color indexed="64"/>
      </bottom>
      <diagonal/>
    </border>
    <border>
      <left style="thin">
        <color rgb="FF3F3F3F"/>
      </left>
      <right style="thin">
        <color rgb="FF3F3F3F"/>
      </right>
      <top style="thin">
        <color rgb="FF3F3F3F"/>
      </top>
      <bottom style="thin">
        <color rgb="FF3F3F3F"/>
      </bottom>
      <diagonal/>
    </border>
    <border>
      <left/>
      <right/>
      <top/>
      <bottom style="thin">
        <color rgb="FF7F7F7F"/>
      </bottom>
      <diagonal/>
    </border>
    <border>
      <left/>
      <right style="double">
        <color rgb="FF3F3F3F"/>
      </right>
      <top style="double">
        <color rgb="FF3F3F3F"/>
      </top>
      <bottom style="double">
        <color rgb="FF3F3F3F"/>
      </bottom>
      <diagonal/>
    </border>
    <border>
      <left style="double">
        <color rgb="FF3F3F3F"/>
      </left>
      <right style="double">
        <color rgb="FF3F3F3F"/>
      </right>
      <top/>
      <bottom style="thin">
        <color indexed="64"/>
      </bottom>
      <diagonal/>
    </border>
    <border>
      <left style="thin">
        <color indexed="64"/>
      </left>
      <right style="thin">
        <color rgb="FFB2B2B2"/>
      </right>
      <top style="thin">
        <color indexed="64"/>
      </top>
      <bottom style="thin">
        <color rgb="FFB2B2B2"/>
      </bottom>
      <diagonal/>
    </border>
    <border>
      <left style="thin">
        <color rgb="FFB2B2B2"/>
      </left>
      <right style="thin">
        <color rgb="FFB2B2B2"/>
      </right>
      <top style="thin">
        <color indexed="64"/>
      </top>
      <bottom style="thin">
        <color rgb="FFB2B2B2"/>
      </bottom>
      <diagonal/>
    </border>
    <border>
      <left style="thin">
        <color rgb="FFB2B2B2"/>
      </left>
      <right style="thin">
        <color indexed="64"/>
      </right>
      <top style="thin">
        <color indexed="64"/>
      </top>
      <bottom style="thin">
        <color rgb="FFB2B2B2"/>
      </bottom>
      <diagonal/>
    </border>
    <border>
      <left style="thin">
        <color rgb="FF7F7F7F"/>
      </left>
      <right style="thin">
        <color indexed="64"/>
      </right>
      <top style="thin">
        <color rgb="FF7F7F7F"/>
      </top>
      <bottom style="thin">
        <color rgb="FF7F7F7F"/>
      </bottom>
      <diagonal/>
    </border>
    <border>
      <left style="double">
        <color rgb="FF3F3F3F"/>
      </left>
      <right/>
      <top style="double">
        <color rgb="FF3F3F3F"/>
      </top>
      <bottom style="double">
        <color rgb="FF3F3F3F"/>
      </bottom>
      <diagonal/>
    </border>
    <border>
      <left/>
      <right style="double">
        <color rgb="FF3F3F3F"/>
      </right>
      <top style="thin">
        <color indexed="64"/>
      </top>
      <bottom style="thin">
        <color indexed="64"/>
      </bottom>
      <diagonal/>
    </border>
    <border>
      <left/>
      <right/>
      <top style="thin">
        <color indexed="47"/>
      </top>
      <bottom style="thin">
        <color indexed="47"/>
      </bottom>
      <diagonal/>
    </border>
    <border>
      <left/>
      <right/>
      <top style="thin">
        <color indexed="47"/>
      </top>
      <bottom style="thin">
        <color indexed="64"/>
      </bottom>
      <diagonal/>
    </border>
    <border>
      <left/>
      <right/>
      <top style="thin">
        <color indexed="64"/>
      </top>
      <bottom style="thin">
        <color indexed="47"/>
      </bottom>
      <diagonal/>
    </border>
    <border>
      <left/>
      <right/>
      <top/>
      <bottom style="thin">
        <color indexed="47"/>
      </bottom>
      <diagonal/>
    </border>
    <border>
      <left/>
      <right/>
      <top/>
      <bottom style="thin">
        <color theme="0" tint="-0.14996795556505021"/>
      </bottom>
      <diagonal/>
    </border>
    <border>
      <left/>
      <right/>
      <top style="thin">
        <color theme="0" tint="-0.14996795556505021"/>
      </top>
      <bottom style="thin">
        <color theme="0" tint="-0.14996795556505021"/>
      </bottom>
      <diagonal/>
    </border>
    <border>
      <left/>
      <right/>
      <top style="thin">
        <color indexed="64"/>
      </top>
      <bottom style="thin">
        <color theme="0" tint="-0.14996795556505021"/>
      </bottom>
      <diagonal/>
    </border>
    <border>
      <left/>
      <right/>
      <top style="thin">
        <color theme="0" tint="-0.14996795556505021"/>
      </top>
      <bottom style="thin">
        <color indexed="64"/>
      </bottom>
      <diagonal/>
    </border>
    <border>
      <left/>
      <right/>
      <top style="thin">
        <color indexed="47"/>
      </top>
      <bottom/>
      <diagonal/>
    </border>
    <border>
      <left/>
      <right/>
      <top style="thin">
        <color rgb="FF000000"/>
      </top>
      <bottom/>
      <diagonal/>
    </border>
    <border>
      <left/>
      <right/>
      <top style="thin">
        <color indexed="64"/>
      </top>
      <bottom style="thin">
        <color rgb="FF000000"/>
      </bottom>
      <diagonal/>
    </border>
    <border>
      <left/>
      <right/>
      <top/>
      <bottom style="thin">
        <color indexed="55"/>
      </bottom>
      <diagonal/>
    </border>
    <border>
      <left style="thin">
        <color indexed="64"/>
      </left>
      <right/>
      <top/>
      <bottom style="medium">
        <color indexed="64"/>
      </bottom>
      <diagonal/>
    </border>
    <border>
      <left/>
      <right/>
      <top/>
      <bottom style="thin">
        <color theme="0" tint="-0.34998626667073579"/>
      </bottom>
      <diagonal/>
    </border>
    <border>
      <left style="thin">
        <color indexed="64"/>
      </left>
      <right/>
      <top/>
      <bottom style="thin">
        <color indexed="55"/>
      </bottom>
      <diagonal/>
    </border>
    <border>
      <left style="thin">
        <color indexed="64"/>
      </left>
      <right/>
      <top/>
      <bottom style="thin">
        <color theme="0" tint="-0.34998626667073579"/>
      </bottom>
      <diagonal/>
    </border>
    <border>
      <left/>
      <right style="thin">
        <color indexed="64"/>
      </right>
      <top/>
      <bottom style="thin">
        <color theme="0" tint="-0.34998626667073579"/>
      </bottom>
      <diagonal/>
    </border>
    <border>
      <left style="thin">
        <color indexed="64"/>
      </left>
      <right/>
      <top style="thin">
        <color indexed="47"/>
      </top>
      <bottom style="thin">
        <color indexed="47"/>
      </bottom>
      <diagonal/>
    </border>
    <border>
      <left/>
      <right style="thin">
        <color indexed="64"/>
      </right>
      <top style="thin">
        <color indexed="47"/>
      </top>
      <bottom style="thin">
        <color indexed="47"/>
      </bottom>
      <diagonal/>
    </border>
    <border>
      <left style="thin">
        <color indexed="64"/>
      </left>
      <right/>
      <top style="thin">
        <color indexed="47"/>
      </top>
      <bottom/>
      <diagonal/>
    </border>
    <border>
      <left/>
      <right style="thin">
        <color indexed="64"/>
      </right>
      <top style="thin">
        <color indexed="47"/>
      </top>
      <bottom/>
      <diagonal/>
    </border>
    <border>
      <left style="thin">
        <color indexed="64"/>
      </left>
      <right/>
      <top style="thin">
        <color indexed="47"/>
      </top>
      <bottom style="thin">
        <color indexed="64"/>
      </bottom>
      <diagonal/>
    </border>
    <border>
      <left/>
      <right style="thin">
        <color indexed="64"/>
      </right>
      <top style="thin">
        <color indexed="47"/>
      </top>
      <bottom style="thin">
        <color indexed="64"/>
      </bottom>
      <diagonal/>
    </border>
    <border>
      <left/>
      <right/>
      <top/>
      <bottom style="thin">
        <color rgb="FFFDE9D9"/>
      </bottom>
      <diagonal/>
    </border>
    <border>
      <left style="thin">
        <color indexed="64"/>
      </left>
      <right/>
      <top/>
      <bottom style="thin">
        <color rgb="FFFDE9D9"/>
      </bottom>
      <diagonal/>
    </border>
    <border>
      <left/>
      <right style="thin">
        <color indexed="64"/>
      </right>
      <top/>
      <bottom style="thin">
        <color rgb="FFFDE9D9"/>
      </bottom>
      <diagonal/>
    </border>
    <border>
      <left/>
      <right/>
      <top/>
      <bottom style="medium">
        <color rgb="FF95B3D7"/>
      </bottom>
      <diagonal/>
    </border>
    <border>
      <left style="medium">
        <color rgb="FF95B3D7"/>
      </left>
      <right/>
      <top style="medium">
        <color rgb="FF95B3D7"/>
      </top>
      <bottom style="medium">
        <color rgb="FF95B3D7"/>
      </bottom>
      <diagonal/>
    </border>
    <border>
      <left/>
      <right/>
      <top style="medium">
        <color rgb="FF95B3D7"/>
      </top>
      <bottom style="medium">
        <color rgb="FF95B3D7"/>
      </bottom>
      <diagonal/>
    </border>
    <border>
      <left/>
      <right style="medium">
        <color rgb="FF95B3D7"/>
      </right>
      <top style="medium">
        <color rgb="FF95B3D7"/>
      </top>
      <bottom style="medium">
        <color rgb="FF95B3D7"/>
      </bottom>
      <diagonal/>
    </border>
    <border>
      <left/>
      <right/>
      <top style="thick">
        <color indexed="8"/>
      </top>
      <bottom/>
      <diagonal/>
    </border>
    <border>
      <left/>
      <right/>
      <top style="thick">
        <color indexed="8"/>
      </top>
      <bottom style="thin">
        <color indexed="64"/>
      </bottom>
      <diagonal/>
    </border>
    <border>
      <left/>
      <right/>
      <top/>
      <bottom style="thick">
        <color indexed="8"/>
      </bottom>
      <diagonal/>
    </border>
    <border>
      <left style="thin">
        <color indexed="64"/>
      </left>
      <right style="thin">
        <color rgb="FF7F7F7F"/>
      </right>
      <top style="thin">
        <color indexed="64"/>
      </top>
      <bottom style="thin">
        <color indexed="64"/>
      </bottom>
      <diagonal/>
    </border>
    <border>
      <left style="double">
        <color rgb="FF3F3F3F"/>
      </left>
      <right style="thin">
        <color indexed="64"/>
      </right>
      <top/>
      <bottom style="thin">
        <color indexed="64"/>
      </bottom>
      <diagonal/>
    </border>
    <border>
      <left/>
      <right/>
      <top style="thin">
        <color indexed="45"/>
      </top>
      <bottom style="thin">
        <color indexed="45"/>
      </bottom>
      <diagonal/>
    </border>
    <border>
      <left/>
      <right/>
      <top/>
      <bottom style="thick">
        <color indexed="56"/>
      </bottom>
      <diagonal/>
    </border>
    <border>
      <left/>
      <right/>
      <top/>
      <bottom style="thick">
        <color indexed="27"/>
      </bottom>
      <diagonal/>
    </border>
    <border>
      <left/>
      <right/>
      <top/>
      <bottom style="medium">
        <color indexed="27"/>
      </bottom>
      <diagonal/>
    </border>
    <border>
      <left/>
      <right/>
      <top/>
      <bottom style="double">
        <color indexed="10"/>
      </bottom>
      <diagonal/>
    </border>
    <border>
      <left/>
      <right/>
      <top/>
      <bottom style="thick">
        <color indexed="44"/>
      </bottom>
      <diagonal/>
    </border>
    <border>
      <left/>
      <right/>
      <top style="thin">
        <color indexed="56"/>
      </top>
      <bottom style="double">
        <color indexed="56"/>
      </bottom>
      <diagonal/>
    </border>
    <border>
      <left/>
      <right/>
      <top style="double">
        <color indexed="64"/>
      </top>
      <bottom/>
      <diagonal/>
    </border>
    <border>
      <left style="medium">
        <color auto="1"/>
      </left>
      <right/>
      <top style="thin">
        <color auto="1"/>
      </top>
      <bottom style="thin">
        <color auto="1"/>
      </bottom>
      <diagonal/>
    </border>
    <border>
      <left/>
      <right/>
      <top/>
      <bottom style="thin">
        <color indexed="50"/>
      </bottom>
      <diagonal/>
    </border>
    <border>
      <left style="thin">
        <color indexed="64"/>
      </left>
      <right/>
      <top style="thin">
        <color indexed="64"/>
      </top>
      <bottom/>
      <diagonal/>
    </border>
    <border>
      <left/>
      <right style="thin">
        <color indexed="64"/>
      </right>
      <top style="thin">
        <color indexed="64"/>
      </top>
      <bottom/>
      <diagonal/>
    </border>
    <border>
      <left/>
      <right/>
      <top style="thin">
        <color indexed="64"/>
      </top>
      <bottom/>
      <diagonal/>
    </border>
    <border>
      <left style="thin">
        <color indexed="64"/>
      </left>
      <right/>
      <top style="thin">
        <color indexed="64"/>
      </top>
      <bottom style="thin">
        <color indexed="64"/>
      </bottom>
      <diagonal/>
    </border>
    <border>
      <left style="thin">
        <color rgb="FF7F7F7F"/>
      </left>
      <right style="thin">
        <color rgb="FF7F7F7F"/>
      </right>
      <top style="thin">
        <color rgb="FF7F7F7F"/>
      </top>
      <bottom style="thin">
        <color indexed="64"/>
      </bottom>
      <diagonal/>
    </border>
    <border>
      <left style="thin">
        <color rgb="FF7F7F7F"/>
      </left>
      <right style="thin">
        <color indexed="64"/>
      </right>
      <top style="thin">
        <color rgb="FF7F7F7F"/>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right/>
      <top style="thin">
        <color indexed="64"/>
      </top>
      <bottom style="hair">
        <color indexed="22"/>
      </bottom>
      <diagonal/>
    </border>
    <border>
      <left style="thin">
        <color indexed="64"/>
      </left>
      <right/>
      <top style="thin">
        <color indexed="64"/>
      </top>
      <bottom style="hair">
        <color indexed="22"/>
      </bottom>
      <diagonal/>
    </border>
    <border>
      <left/>
      <right/>
      <top style="hair">
        <color indexed="22"/>
      </top>
      <bottom style="hair">
        <color indexed="22"/>
      </bottom>
      <diagonal/>
    </border>
    <border>
      <left style="thin">
        <color indexed="64"/>
      </left>
      <right/>
      <top style="hair">
        <color indexed="22"/>
      </top>
      <bottom style="hair">
        <color indexed="22"/>
      </bottom>
      <diagonal/>
    </border>
    <border>
      <left/>
      <right/>
      <top style="hair">
        <color indexed="22"/>
      </top>
      <bottom style="thin">
        <color indexed="64"/>
      </bottom>
      <diagonal/>
    </border>
    <border>
      <left style="thin">
        <color indexed="64"/>
      </left>
      <right/>
      <top style="hair">
        <color indexed="22"/>
      </top>
      <bottom style="thin">
        <color indexed="64"/>
      </bottom>
      <diagonal/>
    </border>
    <border>
      <left/>
      <right/>
      <top/>
      <bottom style="hair">
        <color indexed="22"/>
      </bottom>
      <diagonal/>
    </border>
    <border>
      <left style="thin">
        <color indexed="64"/>
      </left>
      <right/>
      <top/>
      <bottom style="hair">
        <color indexed="22"/>
      </bottom>
      <diagonal/>
    </border>
    <border>
      <left/>
      <right/>
      <top/>
      <bottom style="thin">
        <color indexed="8"/>
      </bottom>
      <diagonal/>
    </border>
    <border>
      <left style="thin">
        <color indexed="64"/>
      </left>
      <right/>
      <top/>
      <bottom style="thin">
        <color indexed="8"/>
      </bottom>
      <diagonal/>
    </border>
    <border>
      <left/>
      <right/>
      <top style="hair">
        <color indexed="22"/>
      </top>
      <bottom style="thin">
        <color indexed="8"/>
      </bottom>
      <diagonal/>
    </border>
    <border>
      <left style="thin">
        <color indexed="64"/>
      </left>
      <right/>
      <top style="hair">
        <color indexed="22"/>
      </top>
      <bottom style="thin">
        <color indexed="8"/>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style="thin">
        <color indexed="64"/>
      </top>
      <bottom/>
      <diagonal/>
    </border>
    <border>
      <left/>
      <right/>
      <top style="thin">
        <color indexed="47"/>
      </top>
      <bottom style="thin">
        <color indexed="47"/>
      </bottom>
      <diagonal/>
    </border>
    <border>
      <left/>
      <right/>
      <top style="thin">
        <color indexed="47"/>
      </top>
      <bottom/>
      <diagonal/>
    </border>
    <border>
      <left/>
      <right/>
      <top style="thin">
        <color indexed="47"/>
      </top>
      <bottom style="thin">
        <color indexed="64"/>
      </bottom>
      <diagonal/>
    </border>
    <border>
      <left style="medium">
        <color indexed="64"/>
      </left>
      <right style="medium">
        <color indexed="64"/>
      </right>
      <top style="medium">
        <color indexed="64"/>
      </top>
      <bottom/>
      <diagonal/>
    </border>
    <border>
      <left style="medium">
        <color indexed="64"/>
      </left>
      <right style="medium">
        <color indexed="64"/>
      </right>
      <top/>
      <bottom style="medium">
        <color indexed="64"/>
      </bottom>
      <diagonal/>
    </border>
    <border>
      <left/>
      <right/>
      <top style="thin">
        <color theme="0" tint="-0.14996795556505021"/>
      </top>
      <bottom/>
      <diagonal/>
    </border>
    <border>
      <left/>
      <right/>
      <top/>
      <bottom style="thin">
        <color auto="1"/>
      </bottom>
      <diagonal/>
    </border>
    <border>
      <left/>
      <right/>
      <top style="thin">
        <color auto="1"/>
      </top>
      <bottom/>
      <diagonal/>
    </border>
    <border>
      <left/>
      <right style="thin">
        <color auto="1"/>
      </right>
      <top style="thin">
        <color auto="1"/>
      </top>
      <bottom/>
      <diagonal/>
    </border>
    <border>
      <left style="thin">
        <color auto="1"/>
      </left>
      <right/>
      <top/>
      <bottom/>
      <diagonal/>
    </border>
    <border>
      <left style="thin">
        <color auto="1"/>
      </left>
      <right/>
      <top style="thin">
        <color auto="1"/>
      </top>
      <bottom/>
      <diagonal/>
    </border>
  </borders>
  <cellStyleXfs count="57684">
    <xf numFmtId="0" fontId="0" fillId="0" borderId="0"/>
    <xf numFmtId="0" fontId="13" fillId="2" borderId="0" applyNumberFormat="0" applyBorder="0" applyAlignment="0" applyProtection="0"/>
    <xf numFmtId="0" fontId="13" fillId="3" borderId="0" applyNumberFormat="0" applyBorder="0" applyAlignment="0" applyProtection="0"/>
    <xf numFmtId="0" fontId="13" fillId="4" borderId="0" applyNumberFormat="0" applyBorder="0" applyAlignment="0" applyProtection="0"/>
    <xf numFmtId="0" fontId="13" fillId="5" borderId="0" applyNumberFormat="0" applyBorder="0" applyAlignment="0" applyProtection="0"/>
    <xf numFmtId="0" fontId="13" fillId="6" borderId="0" applyNumberFormat="0" applyBorder="0" applyAlignment="0" applyProtection="0"/>
    <xf numFmtId="0" fontId="13" fillId="7" borderId="0" applyNumberFormat="0" applyBorder="0" applyAlignment="0" applyProtection="0"/>
    <xf numFmtId="0" fontId="13" fillId="8" borderId="0" applyNumberFormat="0" applyBorder="0" applyAlignment="0" applyProtection="0"/>
    <xf numFmtId="0" fontId="13" fillId="9" borderId="0" applyNumberFormat="0" applyBorder="0" applyAlignment="0" applyProtection="0"/>
    <xf numFmtId="0" fontId="13" fillId="10" borderId="0" applyNumberFormat="0" applyBorder="0" applyAlignment="0" applyProtection="0"/>
    <xf numFmtId="0" fontId="13" fillId="5" borderId="0" applyNumberFormat="0" applyBorder="0" applyAlignment="0" applyProtection="0"/>
    <xf numFmtId="0" fontId="13" fillId="8" borderId="0" applyNumberFormat="0" applyBorder="0" applyAlignment="0" applyProtection="0"/>
    <xf numFmtId="0" fontId="13" fillId="11" borderId="0" applyNumberFormat="0" applyBorder="0" applyAlignment="0" applyProtection="0"/>
    <xf numFmtId="0" fontId="11" fillId="0" borderId="0" applyNumberFormat="0" applyFont="0" applyFill="0" applyBorder="0" applyProtection="0">
      <alignment horizontal="left" vertical="center" indent="5"/>
    </xf>
    <xf numFmtId="49" fontId="41" fillId="0" borderId="1" applyNumberFormat="0" applyFont="0" applyFill="0" applyBorder="0" applyProtection="0">
      <alignment horizontal="left" vertical="center" indent="5"/>
    </xf>
    <xf numFmtId="0" fontId="14" fillId="12" borderId="0" applyNumberFormat="0" applyBorder="0" applyAlignment="0" applyProtection="0"/>
    <xf numFmtId="0" fontId="14" fillId="9" borderId="0" applyNumberFormat="0" applyBorder="0" applyAlignment="0" applyProtection="0"/>
    <xf numFmtId="0" fontId="14" fillId="10" borderId="0" applyNumberFormat="0" applyBorder="0" applyAlignment="0" applyProtection="0"/>
    <xf numFmtId="0" fontId="14" fillId="13" borderId="0" applyNumberFormat="0" applyBorder="0" applyAlignment="0" applyProtection="0"/>
    <xf numFmtId="0" fontId="14" fillId="14" borderId="0" applyNumberFormat="0" applyBorder="0" applyAlignment="0" applyProtection="0"/>
    <xf numFmtId="0" fontId="14" fillId="15" borderId="0" applyNumberFormat="0" applyBorder="0" applyAlignment="0" applyProtection="0"/>
    <xf numFmtId="4" fontId="40" fillId="20" borderId="2">
      <alignment horizontal="right" vertical="center"/>
    </xf>
    <xf numFmtId="4" fontId="40" fillId="20" borderId="2">
      <alignment horizontal="right" vertical="center"/>
    </xf>
    <xf numFmtId="0" fontId="77" fillId="36" borderId="0" applyNumberFormat="0" applyBorder="0" applyAlignment="0" applyProtection="0"/>
    <xf numFmtId="0" fontId="78" fillId="36" borderId="0" applyNumberFormat="0" applyBorder="0" applyAlignment="0" applyProtection="0"/>
    <xf numFmtId="4" fontId="42" fillId="0" borderId="3" applyFill="0" applyBorder="0" applyProtection="0">
      <alignment horizontal="right" vertical="center"/>
    </xf>
    <xf numFmtId="0" fontId="15" fillId="21" borderId="4" applyNumberFormat="0" applyAlignment="0" applyProtection="0"/>
    <xf numFmtId="0" fontId="16" fillId="0" borderId="5" applyNumberFormat="0" applyFill="0" applyAlignment="0" applyProtection="0"/>
    <xf numFmtId="0" fontId="17" fillId="22" borderId="6" applyNumberFormat="0" applyAlignment="0" applyProtection="0"/>
    <xf numFmtId="0" fontId="14" fillId="16" borderId="0" applyNumberFormat="0" applyBorder="0" applyAlignment="0" applyProtection="0"/>
    <xf numFmtId="0" fontId="14" fillId="17" borderId="0" applyNumberFormat="0" applyBorder="0" applyAlignment="0" applyProtection="0"/>
    <xf numFmtId="0" fontId="14" fillId="18" borderId="0" applyNumberFormat="0" applyBorder="0" applyAlignment="0" applyProtection="0"/>
    <xf numFmtId="0" fontId="14" fillId="13" borderId="0" applyNumberFormat="0" applyBorder="0" applyAlignment="0" applyProtection="0"/>
    <xf numFmtId="0" fontId="14" fillId="14" borderId="0" applyNumberFormat="0" applyBorder="0" applyAlignment="0" applyProtection="0"/>
    <xf numFmtId="0" fontId="14" fillId="19" borderId="0" applyNumberFormat="0" applyBorder="0" applyAlignment="0" applyProtection="0"/>
    <xf numFmtId="43" fontId="10" fillId="0" borderId="0" applyFont="0" applyFill="0" applyBorder="0" applyAlignment="0" applyProtection="0"/>
    <xf numFmtId="43" fontId="38" fillId="0" borderId="0" applyFont="0" applyFill="0" applyBorder="0" applyAlignment="0" applyProtection="0"/>
    <xf numFmtId="43" fontId="38" fillId="0" borderId="0" applyFont="0" applyFill="0" applyBorder="0" applyAlignment="0" applyProtection="0"/>
    <xf numFmtId="43" fontId="43" fillId="0" borderId="0" applyFont="0" applyFill="0" applyBorder="0" applyAlignment="0" applyProtection="0"/>
    <xf numFmtId="43" fontId="38" fillId="0" borderId="0" applyFont="0" applyFill="0" applyBorder="0" applyAlignment="0" applyProtection="0"/>
    <xf numFmtId="43" fontId="76" fillId="0" borderId="0" applyFont="0" applyFill="0" applyBorder="0" applyAlignment="0" applyProtection="0"/>
    <xf numFmtId="43" fontId="11" fillId="0" borderId="0" applyFont="0" applyFill="0" applyBorder="0" applyAlignment="0" applyProtection="0"/>
    <xf numFmtId="164" fontId="11" fillId="0" borderId="0" applyFont="0" applyFill="0" applyBorder="0" applyAlignment="0" applyProtection="0"/>
    <xf numFmtId="0" fontId="45" fillId="0" borderId="0"/>
    <xf numFmtId="0" fontId="41" fillId="0" borderId="7">
      <alignment horizontal="left" vertical="center" wrapText="1" indent="2"/>
    </xf>
    <xf numFmtId="170" fontId="10" fillId="0" borderId="0" applyFont="0" applyFill="0" applyBorder="0" applyAlignment="0" applyProtection="0"/>
    <xf numFmtId="166" fontId="10" fillId="0" borderId="0" applyFont="0" applyFill="0" applyBorder="0" applyAlignment="0" applyProtection="0"/>
    <xf numFmtId="166" fontId="11" fillId="0" borderId="0" applyFont="0" applyFill="0" applyBorder="0" applyAlignment="0" applyProtection="0"/>
    <xf numFmtId="166" fontId="43" fillId="0" borderId="0" applyFont="0" applyFill="0" applyBorder="0" applyAlignment="0" applyProtection="0"/>
    <xf numFmtId="166" fontId="38" fillId="0" borderId="0" applyFont="0" applyFill="0" applyBorder="0" applyAlignment="0" applyProtection="0"/>
    <xf numFmtId="166" fontId="10" fillId="0" borderId="0" applyFont="0" applyFill="0" applyBorder="0" applyAlignment="0" applyProtection="0"/>
    <xf numFmtId="166" fontId="11" fillId="0" borderId="0" applyFont="0" applyFill="0" applyBorder="0" applyAlignment="0" applyProtection="0"/>
    <xf numFmtId="166" fontId="43" fillId="0" borderId="0" applyFont="0" applyFill="0" applyBorder="0" applyAlignment="0" applyProtection="0"/>
    <xf numFmtId="166" fontId="38" fillId="0" borderId="0" applyFont="0" applyFill="0" applyBorder="0" applyAlignment="0" applyProtection="0"/>
    <xf numFmtId="166" fontId="10" fillId="0" borderId="0" applyFont="0" applyFill="0" applyBorder="0" applyAlignment="0" applyProtection="0"/>
    <xf numFmtId="166" fontId="11" fillId="0" borderId="0" applyFont="0" applyFill="0" applyBorder="0" applyAlignment="0" applyProtection="0"/>
    <xf numFmtId="166" fontId="43" fillId="0" borderId="0" applyFont="0" applyFill="0" applyBorder="0" applyAlignment="0" applyProtection="0"/>
    <xf numFmtId="166" fontId="38" fillId="0" borderId="0" applyFont="0" applyFill="0" applyBorder="0" applyAlignment="0" applyProtection="0"/>
    <xf numFmtId="166" fontId="10" fillId="0" borderId="0" applyFont="0" applyFill="0" applyBorder="0" applyAlignment="0" applyProtection="0"/>
    <xf numFmtId="166" fontId="11" fillId="0" borderId="0" applyFont="0" applyFill="0" applyBorder="0" applyAlignment="0" applyProtection="0"/>
    <xf numFmtId="166" fontId="43" fillId="0" borderId="0" applyFont="0" applyFill="0" applyBorder="0" applyAlignment="0" applyProtection="0"/>
    <xf numFmtId="166" fontId="38" fillId="0" borderId="0" applyFont="0" applyFill="0" applyBorder="0" applyAlignment="0" applyProtection="0"/>
    <xf numFmtId="166" fontId="10" fillId="0" borderId="0" applyFont="0" applyFill="0" applyBorder="0" applyAlignment="0" applyProtection="0"/>
    <xf numFmtId="166" fontId="11" fillId="0" borderId="0" applyFont="0" applyFill="0" applyBorder="0" applyAlignment="0" applyProtection="0"/>
    <xf numFmtId="166" fontId="43" fillId="0" borderId="0" applyFont="0" applyFill="0" applyBorder="0" applyAlignment="0" applyProtection="0"/>
    <xf numFmtId="166" fontId="38" fillId="0" borderId="0" applyFont="0" applyFill="0" applyBorder="0" applyAlignment="0" applyProtection="0"/>
    <xf numFmtId="166" fontId="10" fillId="0" borderId="0" applyFont="0" applyFill="0" applyBorder="0" applyAlignment="0" applyProtection="0"/>
    <xf numFmtId="166" fontId="11" fillId="0" borderId="0" applyFont="0" applyFill="0" applyBorder="0" applyAlignment="0" applyProtection="0"/>
    <xf numFmtId="166" fontId="43" fillId="0" borderId="0" applyFont="0" applyFill="0" applyBorder="0" applyAlignment="0" applyProtection="0"/>
    <xf numFmtId="166" fontId="38" fillId="0" borderId="0" applyFont="0" applyFill="0" applyBorder="0" applyAlignment="0" applyProtection="0"/>
    <xf numFmtId="166" fontId="10" fillId="0" borderId="0" applyFont="0" applyFill="0" applyBorder="0" applyAlignment="0" applyProtection="0"/>
    <xf numFmtId="166" fontId="11" fillId="0" borderId="0" applyFont="0" applyFill="0" applyBorder="0" applyAlignment="0" applyProtection="0"/>
    <xf numFmtId="166" fontId="43" fillId="0" borderId="0" applyFont="0" applyFill="0" applyBorder="0" applyAlignment="0" applyProtection="0"/>
    <xf numFmtId="166" fontId="38" fillId="0" borderId="0" applyFont="0" applyFill="0" applyBorder="0" applyAlignment="0" applyProtection="0"/>
    <xf numFmtId="166" fontId="10" fillId="0" borderId="0" applyFont="0" applyFill="0" applyBorder="0" applyAlignment="0" applyProtection="0"/>
    <xf numFmtId="166" fontId="11" fillId="0" borderId="0" applyFont="0" applyFill="0" applyBorder="0" applyAlignment="0" applyProtection="0"/>
    <xf numFmtId="166" fontId="43" fillId="0" borderId="0" applyFont="0" applyFill="0" applyBorder="0" applyAlignment="0" applyProtection="0"/>
    <xf numFmtId="166" fontId="38" fillId="0" borderId="0" applyFont="0" applyFill="0" applyBorder="0" applyAlignment="0" applyProtection="0"/>
    <xf numFmtId="166" fontId="10" fillId="0" borderId="0" applyFont="0" applyFill="0" applyBorder="0" applyAlignment="0" applyProtection="0"/>
    <xf numFmtId="166" fontId="11" fillId="0" borderId="0" applyFont="0" applyFill="0" applyBorder="0" applyAlignment="0" applyProtection="0"/>
    <xf numFmtId="166" fontId="43" fillId="0" borderId="0" applyFont="0" applyFill="0" applyBorder="0" applyAlignment="0" applyProtection="0"/>
    <xf numFmtId="166" fontId="38" fillId="0" borderId="0" applyFont="0" applyFill="0" applyBorder="0" applyAlignment="0" applyProtection="0"/>
    <xf numFmtId="166" fontId="10" fillId="0" borderId="0" applyFont="0" applyFill="0" applyBorder="0" applyAlignment="0" applyProtection="0"/>
    <xf numFmtId="166" fontId="11" fillId="0" borderId="0" applyFont="0" applyFill="0" applyBorder="0" applyAlignment="0" applyProtection="0"/>
    <xf numFmtId="166" fontId="43" fillId="0" borderId="0" applyFont="0" applyFill="0" applyBorder="0" applyAlignment="0" applyProtection="0"/>
    <xf numFmtId="166" fontId="38" fillId="0" borderId="0" applyFont="0" applyFill="0" applyBorder="0" applyAlignment="0" applyProtection="0"/>
    <xf numFmtId="166" fontId="10" fillId="0" borderId="0" applyFont="0" applyFill="0" applyBorder="0" applyAlignment="0" applyProtection="0"/>
    <xf numFmtId="166" fontId="11" fillId="0" borderId="0" applyFont="0" applyFill="0" applyBorder="0" applyAlignment="0" applyProtection="0"/>
    <xf numFmtId="166" fontId="43" fillId="0" borderId="0" applyFont="0" applyFill="0" applyBorder="0" applyAlignment="0" applyProtection="0"/>
    <xf numFmtId="166" fontId="38" fillId="0" borderId="0" applyFont="0" applyFill="0" applyBorder="0" applyAlignment="0" applyProtection="0"/>
    <xf numFmtId="166" fontId="10" fillId="0" borderId="0" applyFont="0" applyFill="0" applyBorder="0" applyAlignment="0" applyProtection="0"/>
    <xf numFmtId="166" fontId="11" fillId="0" borderId="0" applyFont="0" applyFill="0" applyBorder="0" applyAlignment="0" applyProtection="0"/>
    <xf numFmtId="166" fontId="43" fillId="0" borderId="0" applyFont="0" applyFill="0" applyBorder="0" applyAlignment="0" applyProtection="0"/>
    <xf numFmtId="166" fontId="38" fillId="0" borderId="0" applyFont="0" applyFill="0" applyBorder="0" applyAlignment="0" applyProtection="0"/>
    <xf numFmtId="166" fontId="10" fillId="0" borderId="0" applyFont="0" applyFill="0" applyBorder="0" applyAlignment="0" applyProtection="0"/>
    <xf numFmtId="166" fontId="11" fillId="0" borderId="0" applyFont="0" applyFill="0" applyBorder="0" applyAlignment="0" applyProtection="0"/>
    <xf numFmtId="166" fontId="43" fillId="0" borderId="0" applyFont="0" applyFill="0" applyBorder="0" applyAlignment="0" applyProtection="0"/>
    <xf numFmtId="166" fontId="38" fillId="0" borderId="0" applyFont="0" applyFill="0" applyBorder="0" applyAlignment="0" applyProtection="0"/>
    <xf numFmtId="166" fontId="10" fillId="0" borderId="0" applyFont="0" applyFill="0" applyBorder="0" applyAlignment="0" applyProtection="0"/>
    <xf numFmtId="166" fontId="11" fillId="0" borderId="0" applyFont="0" applyFill="0" applyBorder="0" applyAlignment="0" applyProtection="0"/>
    <xf numFmtId="166" fontId="43" fillId="0" borderId="0" applyFont="0" applyFill="0" applyBorder="0" applyAlignment="0" applyProtection="0"/>
    <xf numFmtId="166" fontId="38" fillId="0" borderId="0" applyFont="0" applyFill="0" applyBorder="0" applyAlignment="0" applyProtection="0"/>
    <xf numFmtId="166" fontId="10" fillId="0" borderId="0" applyFont="0" applyFill="0" applyBorder="0" applyAlignment="0" applyProtection="0"/>
    <xf numFmtId="166" fontId="11" fillId="0" borderId="0" applyFont="0" applyFill="0" applyBorder="0" applyAlignment="0" applyProtection="0"/>
    <xf numFmtId="166" fontId="43" fillId="0" borderId="0" applyFont="0" applyFill="0" applyBorder="0" applyAlignment="0" applyProtection="0"/>
    <xf numFmtId="166" fontId="38" fillId="0" borderId="0" applyFont="0" applyFill="0" applyBorder="0" applyAlignment="0" applyProtection="0"/>
    <xf numFmtId="166" fontId="10" fillId="0" borderId="0" applyFont="0" applyFill="0" applyBorder="0" applyAlignment="0" applyProtection="0"/>
    <xf numFmtId="166" fontId="11" fillId="0" borderId="0" applyFont="0" applyFill="0" applyBorder="0" applyAlignment="0" applyProtection="0"/>
    <xf numFmtId="166" fontId="43" fillId="0" borderId="0" applyFont="0" applyFill="0" applyBorder="0" applyAlignment="0" applyProtection="0"/>
    <xf numFmtId="166" fontId="38" fillId="0" borderId="0" applyFont="0" applyFill="0" applyBorder="0" applyAlignment="0" applyProtection="0"/>
    <xf numFmtId="166" fontId="10" fillId="0" borderId="0" applyFont="0" applyFill="0" applyBorder="0" applyAlignment="0" applyProtection="0"/>
    <xf numFmtId="166" fontId="11" fillId="0" borderId="0" applyFont="0" applyFill="0" applyBorder="0" applyAlignment="0" applyProtection="0"/>
    <xf numFmtId="166" fontId="43" fillId="0" borderId="0" applyFont="0" applyFill="0" applyBorder="0" applyAlignment="0" applyProtection="0"/>
    <xf numFmtId="166" fontId="38" fillId="0" borderId="0" applyFont="0" applyFill="0" applyBorder="0" applyAlignment="0" applyProtection="0"/>
    <xf numFmtId="166" fontId="10" fillId="0" borderId="0" applyFont="0" applyFill="0" applyBorder="0" applyAlignment="0" applyProtection="0"/>
    <xf numFmtId="166" fontId="11" fillId="0" borderId="0" applyFont="0" applyFill="0" applyBorder="0" applyAlignment="0" applyProtection="0"/>
    <xf numFmtId="166" fontId="43" fillId="0" borderId="0" applyFont="0" applyFill="0" applyBorder="0" applyAlignment="0" applyProtection="0"/>
    <xf numFmtId="166" fontId="38" fillId="0" borderId="0" applyFont="0" applyFill="0" applyBorder="0" applyAlignment="0" applyProtection="0"/>
    <xf numFmtId="166" fontId="10" fillId="0" borderId="0" applyFont="0" applyFill="0" applyBorder="0" applyAlignment="0" applyProtection="0"/>
    <xf numFmtId="166" fontId="11" fillId="0" borderId="0" applyFont="0" applyFill="0" applyBorder="0" applyAlignment="0" applyProtection="0"/>
    <xf numFmtId="166" fontId="43" fillId="0" borderId="0" applyFont="0" applyFill="0" applyBorder="0" applyAlignment="0" applyProtection="0"/>
    <xf numFmtId="166" fontId="38" fillId="0" borderId="0" applyFont="0" applyFill="0" applyBorder="0" applyAlignment="0" applyProtection="0"/>
    <xf numFmtId="166" fontId="10" fillId="0" borderId="0" applyFont="0" applyFill="0" applyBorder="0" applyAlignment="0" applyProtection="0"/>
    <xf numFmtId="166" fontId="11" fillId="0" borderId="0" applyFont="0" applyFill="0" applyBorder="0" applyAlignment="0" applyProtection="0"/>
    <xf numFmtId="166" fontId="43" fillId="0" borderId="0" applyFont="0" applyFill="0" applyBorder="0" applyAlignment="0" applyProtection="0"/>
    <xf numFmtId="166" fontId="38" fillId="0" borderId="0" applyFont="0" applyFill="0" applyBorder="0" applyAlignment="0" applyProtection="0"/>
    <xf numFmtId="166" fontId="10" fillId="0" borderId="0" applyFont="0" applyFill="0" applyBorder="0" applyAlignment="0" applyProtection="0"/>
    <xf numFmtId="166" fontId="11" fillId="0" borderId="0" applyFont="0" applyFill="0" applyBorder="0" applyAlignment="0" applyProtection="0"/>
    <xf numFmtId="166" fontId="43" fillId="0" borderId="0" applyFont="0" applyFill="0" applyBorder="0" applyAlignment="0" applyProtection="0"/>
    <xf numFmtId="166" fontId="38" fillId="0" borderId="0" applyFont="0" applyFill="0" applyBorder="0" applyAlignment="0" applyProtection="0"/>
    <xf numFmtId="166" fontId="10" fillId="0" borderId="0" applyFont="0" applyFill="0" applyBorder="0" applyAlignment="0" applyProtection="0"/>
    <xf numFmtId="166" fontId="11" fillId="0" borderId="0" applyFont="0" applyFill="0" applyBorder="0" applyAlignment="0" applyProtection="0"/>
    <xf numFmtId="166" fontId="43" fillId="0" borderId="0" applyFont="0" applyFill="0" applyBorder="0" applyAlignment="0" applyProtection="0"/>
    <xf numFmtId="166" fontId="38" fillId="0" borderId="0" applyFont="0" applyFill="0" applyBorder="0" applyAlignment="0" applyProtection="0"/>
    <xf numFmtId="166" fontId="10" fillId="0" borderId="0" applyFont="0" applyFill="0" applyBorder="0" applyAlignment="0" applyProtection="0"/>
    <xf numFmtId="166" fontId="11" fillId="0" borderId="0" applyFont="0" applyFill="0" applyBorder="0" applyAlignment="0" applyProtection="0"/>
    <xf numFmtId="166" fontId="43" fillId="0" borderId="0" applyFont="0" applyFill="0" applyBorder="0" applyAlignment="0" applyProtection="0"/>
    <xf numFmtId="166" fontId="38" fillId="0" borderId="0" applyFont="0" applyFill="0" applyBorder="0" applyAlignment="0" applyProtection="0"/>
    <xf numFmtId="166" fontId="10" fillId="0" borderId="0" applyFont="0" applyFill="0" applyBorder="0" applyAlignment="0" applyProtection="0"/>
    <xf numFmtId="166" fontId="11" fillId="0" borderId="0" applyFont="0" applyFill="0" applyBorder="0" applyAlignment="0" applyProtection="0"/>
    <xf numFmtId="166" fontId="43" fillId="0" borderId="0" applyFont="0" applyFill="0" applyBorder="0" applyAlignment="0" applyProtection="0"/>
    <xf numFmtId="166" fontId="38" fillId="0" borderId="0" applyFont="0" applyFill="0" applyBorder="0" applyAlignment="0" applyProtection="0"/>
    <xf numFmtId="166" fontId="10" fillId="0" borderId="0" applyFont="0" applyFill="0" applyBorder="0" applyAlignment="0" applyProtection="0"/>
    <xf numFmtId="166" fontId="11" fillId="0" borderId="0" applyFont="0" applyFill="0" applyBorder="0" applyAlignment="0" applyProtection="0"/>
    <xf numFmtId="166" fontId="43" fillId="0" borderId="0" applyFont="0" applyFill="0" applyBorder="0" applyAlignment="0" applyProtection="0"/>
    <xf numFmtId="166" fontId="38" fillId="0" borderId="0" applyFont="0" applyFill="0" applyBorder="0" applyAlignment="0" applyProtection="0"/>
    <xf numFmtId="166" fontId="10" fillId="0" borderId="0" applyFont="0" applyFill="0" applyBorder="0" applyAlignment="0" applyProtection="0"/>
    <xf numFmtId="166" fontId="11" fillId="0" borderId="0" applyFont="0" applyFill="0" applyBorder="0" applyAlignment="0" applyProtection="0"/>
    <xf numFmtId="166" fontId="43" fillId="0" borderId="0" applyFont="0" applyFill="0" applyBorder="0" applyAlignment="0" applyProtection="0"/>
    <xf numFmtId="166" fontId="38" fillId="0" borderId="0" applyFont="0" applyFill="0" applyBorder="0" applyAlignment="0" applyProtection="0"/>
    <xf numFmtId="166" fontId="10" fillId="0" borderId="0" applyFont="0" applyFill="0" applyBorder="0" applyAlignment="0" applyProtection="0"/>
    <xf numFmtId="166" fontId="11" fillId="0" borderId="0" applyFont="0" applyFill="0" applyBorder="0" applyAlignment="0" applyProtection="0"/>
    <xf numFmtId="166" fontId="43" fillId="0" borderId="0" applyFont="0" applyFill="0" applyBorder="0" applyAlignment="0" applyProtection="0"/>
    <xf numFmtId="166" fontId="38" fillId="0" borderId="0" applyFont="0" applyFill="0" applyBorder="0" applyAlignment="0" applyProtection="0"/>
    <xf numFmtId="166" fontId="10" fillId="0" borderId="0" applyFont="0" applyFill="0" applyBorder="0" applyAlignment="0" applyProtection="0"/>
    <xf numFmtId="166" fontId="11" fillId="0" borderId="0" applyFont="0" applyFill="0" applyBorder="0" applyAlignment="0" applyProtection="0"/>
    <xf numFmtId="166" fontId="43" fillId="0" borderId="0" applyFont="0" applyFill="0" applyBorder="0" applyAlignment="0" applyProtection="0"/>
    <xf numFmtId="166" fontId="38" fillId="0" borderId="0" applyFont="0" applyFill="0" applyBorder="0" applyAlignment="0" applyProtection="0"/>
    <xf numFmtId="166" fontId="10" fillId="0" borderId="0" applyFont="0" applyFill="0" applyBorder="0" applyAlignment="0" applyProtection="0"/>
    <xf numFmtId="166" fontId="11" fillId="0" borderId="0" applyFont="0" applyFill="0" applyBorder="0" applyAlignment="0" applyProtection="0"/>
    <xf numFmtId="166" fontId="43" fillId="0" borderId="0" applyFont="0" applyFill="0" applyBorder="0" applyAlignment="0" applyProtection="0"/>
    <xf numFmtId="166" fontId="38" fillId="0" borderId="0" applyFont="0" applyFill="0" applyBorder="0" applyAlignment="0" applyProtection="0"/>
    <xf numFmtId="166" fontId="10" fillId="0" borderId="0" applyFont="0" applyFill="0" applyBorder="0" applyAlignment="0" applyProtection="0"/>
    <xf numFmtId="166" fontId="11" fillId="0" borderId="0" applyFont="0" applyFill="0" applyBorder="0" applyAlignment="0" applyProtection="0"/>
    <xf numFmtId="166" fontId="43" fillId="0" borderId="0" applyFont="0" applyFill="0" applyBorder="0" applyAlignment="0" applyProtection="0"/>
    <xf numFmtId="166" fontId="38" fillId="0" borderId="0" applyFont="0" applyFill="0" applyBorder="0" applyAlignment="0" applyProtection="0"/>
    <xf numFmtId="166" fontId="10" fillId="0" borderId="0" applyFont="0" applyFill="0" applyBorder="0" applyAlignment="0" applyProtection="0"/>
    <xf numFmtId="166" fontId="11" fillId="0" borderId="0" applyFont="0" applyFill="0" applyBorder="0" applyAlignment="0" applyProtection="0"/>
    <xf numFmtId="166" fontId="43" fillId="0" borderId="0" applyFont="0" applyFill="0" applyBorder="0" applyAlignment="0" applyProtection="0"/>
    <xf numFmtId="166" fontId="38" fillId="0" borderId="0" applyFont="0" applyFill="0" applyBorder="0" applyAlignment="0" applyProtection="0"/>
    <xf numFmtId="166" fontId="10" fillId="0" borderId="0" applyFont="0" applyFill="0" applyBorder="0" applyAlignment="0" applyProtection="0"/>
    <xf numFmtId="166" fontId="11" fillId="0" borderId="0" applyFont="0" applyFill="0" applyBorder="0" applyAlignment="0" applyProtection="0"/>
    <xf numFmtId="166" fontId="43" fillId="0" borderId="0" applyFont="0" applyFill="0" applyBorder="0" applyAlignment="0" applyProtection="0"/>
    <xf numFmtId="166" fontId="38" fillId="0" borderId="0" applyFont="0" applyFill="0" applyBorder="0" applyAlignment="0" applyProtection="0"/>
    <xf numFmtId="166" fontId="10" fillId="0" borderId="0" applyFont="0" applyFill="0" applyBorder="0" applyAlignment="0" applyProtection="0"/>
    <xf numFmtId="166" fontId="11" fillId="0" borderId="0" applyFont="0" applyFill="0" applyBorder="0" applyAlignment="0" applyProtection="0"/>
    <xf numFmtId="166" fontId="43" fillId="0" borderId="0" applyFont="0" applyFill="0" applyBorder="0" applyAlignment="0" applyProtection="0"/>
    <xf numFmtId="166" fontId="38" fillId="0" borderId="0" applyFont="0" applyFill="0" applyBorder="0" applyAlignment="0" applyProtection="0"/>
    <xf numFmtId="166" fontId="10" fillId="0" borderId="0" applyFont="0" applyFill="0" applyBorder="0" applyAlignment="0" applyProtection="0"/>
    <xf numFmtId="166" fontId="11" fillId="0" borderId="0" applyFont="0" applyFill="0" applyBorder="0" applyAlignment="0" applyProtection="0"/>
    <xf numFmtId="166" fontId="43" fillId="0" borderId="0" applyFont="0" applyFill="0" applyBorder="0" applyAlignment="0" applyProtection="0"/>
    <xf numFmtId="166" fontId="38" fillId="0" borderId="0" applyFont="0" applyFill="0" applyBorder="0" applyAlignment="0" applyProtection="0"/>
    <xf numFmtId="166" fontId="10" fillId="0" borderId="0" applyFont="0" applyFill="0" applyBorder="0" applyAlignment="0" applyProtection="0"/>
    <xf numFmtId="166" fontId="11" fillId="0" borderId="0" applyFont="0" applyFill="0" applyBorder="0" applyAlignment="0" applyProtection="0"/>
    <xf numFmtId="166" fontId="43" fillId="0" borderId="0" applyFont="0" applyFill="0" applyBorder="0" applyAlignment="0" applyProtection="0"/>
    <xf numFmtId="166" fontId="38" fillId="0" borderId="0" applyFont="0" applyFill="0" applyBorder="0" applyAlignment="0" applyProtection="0"/>
    <xf numFmtId="166" fontId="10" fillId="0" borderId="0" applyFont="0" applyFill="0" applyBorder="0" applyAlignment="0" applyProtection="0"/>
    <xf numFmtId="166" fontId="11" fillId="0" borderId="0" applyFont="0" applyFill="0" applyBorder="0" applyAlignment="0" applyProtection="0"/>
    <xf numFmtId="166" fontId="43" fillId="0" borderId="0" applyFont="0" applyFill="0" applyBorder="0" applyAlignment="0" applyProtection="0"/>
    <xf numFmtId="166" fontId="38" fillId="0" borderId="0" applyFont="0" applyFill="0" applyBorder="0" applyAlignment="0" applyProtection="0"/>
    <xf numFmtId="166" fontId="10" fillId="0" borderId="0" applyFont="0" applyFill="0" applyBorder="0" applyAlignment="0" applyProtection="0"/>
    <xf numFmtId="166" fontId="11" fillId="0" borderId="0" applyFont="0" applyFill="0" applyBorder="0" applyAlignment="0" applyProtection="0"/>
    <xf numFmtId="166" fontId="43" fillId="0" borderId="0" applyFont="0" applyFill="0" applyBorder="0" applyAlignment="0" applyProtection="0"/>
    <xf numFmtId="166" fontId="38" fillId="0" borderId="0" applyFont="0" applyFill="0" applyBorder="0" applyAlignment="0" applyProtection="0"/>
    <xf numFmtId="166" fontId="10" fillId="0" borderId="0" applyFont="0" applyFill="0" applyBorder="0" applyAlignment="0" applyProtection="0"/>
    <xf numFmtId="166" fontId="11" fillId="0" borderId="0" applyFont="0" applyFill="0" applyBorder="0" applyAlignment="0" applyProtection="0"/>
    <xf numFmtId="166" fontId="43" fillId="0" borderId="0" applyFont="0" applyFill="0" applyBorder="0" applyAlignment="0" applyProtection="0"/>
    <xf numFmtId="166" fontId="38" fillId="0" borderId="0" applyFont="0" applyFill="0" applyBorder="0" applyAlignment="0" applyProtection="0"/>
    <xf numFmtId="173" fontId="11" fillId="0" borderId="0" applyFont="0" applyFill="0" applyBorder="0" applyAlignment="0" applyProtection="0"/>
    <xf numFmtId="170" fontId="11" fillId="0" borderId="0" applyFont="0" applyFill="0" applyBorder="0" applyAlignment="0" applyProtection="0"/>
    <xf numFmtId="170" fontId="43" fillId="0" borderId="0" applyFont="0" applyFill="0" applyBorder="0" applyAlignment="0" applyProtection="0"/>
    <xf numFmtId="170" fontId="38" fillId="0" borderId="0" applyFont="0" applyFill="0" applyBorder="0" applyAlignment="0" applyProtection="0"/>
    <xf numFmtId="0" fontId="11" fillId="0" borderId="0" applyFont="0" applyFill="0" applyBorder="0" applyAlignment="0" applyProtection="0"/>
    <xf numFmtId="166" fontId="10" fillId="0" borderId="0" applyFont="0" applyFill="0" applyBorder="0" applyAlignment="0" applyProtection="0"/>
    <xf numFmtId="166" fontId="11" fillId="0" borderId="0" applyFont="0" applyFill="0" applyBorder="0" applyAlignment="0" applyProtection="0"/>
    <xf numFmtId="166" fontId="43" fillId="0" borderId="0" applyFont="0" applyFill="0" applyBorder="0" applyAlignment="0" applyProtection="0"/>
    <xf numFmtId="166" fontId="38" fillId="0" borderId="0" applyFont="0" applyFill="0" applyBorder="0" applyAlignment="0" applyProtection="0"/>
    <xf numFmtId="166" fontId="10" fillId="0" borderId="0" applyFont="0" applyFill="0" applyBorder="0" applyAlignment="0" applyProtection="0"/>
    <xf numFmtId="166" fontId="11" fillId="0" borderId="0" applyFont="0" applyFill="0" applyBorder="0" applyAlignment="0" applyProtection="0"/>
    <xf numFmtId="166" fontId="43" fillId="0" borderId="0" applyFont="0" applyFill="0" applyBorder="0" applyAlignment="0" applyProtection="0"/>
    <xf numFmtId="166" fontId="38" fillId="0" borderId="0" applyFont="0" applyFill="0" applyBorder="0" applyAlignment="0" applyProtection="0"/>
    <xf numFmtId="166" fontId="10" fillId="0" borderId="0" applyFont="0" applyFill="0" applyBorder="0" applyAlignment="0" applyProtection="0"/>
    <xf numFmtId="166" fontId="11" fillId="0" borderId="0" applyFont="0" applyFill="0" applyBorder="0" applyAlignment="0" applyProtection="0"/>
    <xf numFmtId="166" fontId="43" fillId="0" borderId="0" applyFont="0" applyFill="0" applyBorder="0" applyAlignment="0" applyProtection="0"/>
    <xf numFmtId="166" fontId="38" fillId="0" borderId="0" applyFont="0" applyFill="0" applyBorder="0" applyAlignment="0" applyProtection="0"/>
    <xf numFmtId="166" fontId="10" fillId="0" borderId="0" applyFont="0" applyFill="0" applyBorder="0" applyAlignment="0" applyProtection="0"/>
    <xf numFmtId="166" fontId="11" fillId="0" borderId="0" applyFont="0" applyFill="0" applyBorder="0" applyAlignment="0" applyProtection="0"/>
    <xf numFmtId="166" fontId="43" fillId="0" borderId="0" applyFont="0" applyFill="0" applyBorder="0" applyAlignment="0" applyProtection="0"/>
    <xf numFmtId="166" fontId="38" fillId="0" borderId="0" applyFont="0" applyFill="0" applyBorder="0" applyAlignment="0" applyProtection="0"/>
    <xf numFmtId="166" fontId="10" fillId="0" borderId="0" applyFont="0" applyFill="0" applyBorder="0" applyAlignment="0" applyProtection="0"/>
    <xf numFmtId="166" fontId="11" fillId="0" borderId="0" applyFont="0" applyFill="0" applyBorder="0" applyAlignment="0" applyProtection="0"/>
    <xf numFmtId="166" fontId="43" fillId="0" borderId="0" applyFont="0" applyFill="0" applyBorder="0" applyAlignment="0" applyProtection="0"/>
    <xf numFmtId="166" fontId="38" fillId="0" borderId="0" applyFont="0" applyFill="0" applyBorder="0" applyAlignment="0" applyProtection="0"/>
    <xf numFmtId="0" fontId="79" fillId="0" borderId="0" applyNumberFormat="0" applyFill="0" applyBorder="0" applyAlignment="0" applyProtection="0"/>
    <xf numFmtId="0" fontId="45" fillId="0" borderId="0"/>
    <xf numFmtId="0" fontId="72" fillId="0" borderId="0" applyNumberFormat="0" applyFill="0" applyBorder="0" applyAlignment="0" applyProtection="0"/>
    <xf numFmtId="0" fontId="18" fillId="7" borderId="4" applyNumberFormat="0" applyAlignment="0" applyProtection="0"/>
    <xf numFmtId="0" fontId="18" fillId="7" borderId="4" applyNumberFormat="0" applyAlignment="0" applyProtection="0"/>
    <xf numFmtId="4" fontId="41" fillId="0" borderId="0" applyBorder="0">
      <alignment horizontal="right" vertical="center"/>
    </xf>
    <xf numFmtId="41" fontId="19" fillId="0" borderId="0" applyFont="0" applyFill="0" applyBorder="0" applyAlignment="0" applyProtection="0"/>
    <xf numFmtId="41" fontId="19" fillId="0" borderId="0" applyFont="0" applyFill="0" applyBorder="0" applyAlignment="0" applyProtection="0"/>
    <xf numFmtId="41" fontId="19" fillId="0" borderId="0" applyFont="0" applyFill="0" applyBorder="0" applyAlignment="0" applyProtection="0"/>
    <xf numFmtId="41" fontId="19" fillId="0" borderId="0" applyFont="0" applyFill="0" applyBorder="0" applyAlignment="0" applyProtection="0"/>
    <xf numFmtId="41" fontId="19" fillId="0" borderId="0" applyFont="0" applyFill="0" applyBorder="0" applyAlignment="0" applyProtection="0"/>
    <xf numFmtId="41" fontId="19" fillId="0" borderId="0" applyFont="0" applyFill="0" applyBorder="0" applyAlignment="0" applyProtection="0"/>
    <xf numFmtId="41" fontId="19" fillId="0" borderId="0" applyFont="0" applyFill="0" applyBorder="0" applyAlignment="0" applyProtection="0"/>
    <xf numFmtId="41" fontId="19" fillId="0" borderId="0" applyFont="0" applyFill="0" applyBorder="0" applyAlignment="0" applyProtection="0"/>
    <xf numFmtId="41" fontId="19" fillId="0" borderId="0" applyFont="0" applyFill="0" applyBorder="0" applyAlignment="0" applyProtection="0"/>
    <xf numFmtId="41" fontId="19" fillId="0" borderId="0" applyFont="0" applyFill="0" applyBorder="0" applyAlignment="0" applyProtection="0"/>
    <xf numFmtId="41" fontId="19" fillId="0" borderId="0" applyFont="0" applyFill="0" applyBorder="0" applyAlignment="0" applyProtection="0"/>
    <xf numFmtId="41" fontId="19" fillId="0" borderId="0" applyFont="0" applyFill="0" applyBorder="0" applyAlignment="0" applyProtection="0"/>
    <xf numFmtId="41" fontId="19" fillId="0" borderId="0" applyFont="0" applyFill="0" applyBorder="0" applyAlignment="0" applyProtection="0"/>
    <xf numFmtId="41" fontId="19" fillId="0" borderId="0" applyFont="0" applyFill="0" applyBorder="0" applyAlignment="0" applyProtection="0"/>
    <xf numFmtId="41" fontId="19" fillId="0" borderId="0" applyFont="0" applyFill="0" applyBorder="0" applyAlignment="0" applyProtection="0"/>
    <xf numFmtId="41" fontId="19" fillId="0" borderId="0" applyFont="0" applyFill="0" applyBorder="0" applyAlignment="0" applyProtection="0"/>
    <xf numFmtId="41" fontId="19" fillId="0" borderId="0" applyFont="0" applyFill="0" applyBorder="0" applyAlignment="0" applyProtection="0"/>
    <xf numFmtId="41" fontId="19" fillId="0" borderId="0" applyFont="0" applyFill="0" applyBorder="0" applyAlignment="0" applyProtection="0"/>
    <xf numFmtId="41" fontId="19" fillId="0" borderId="0" applyFont="0" applyFill="0" applyBorder="0" applyAlignment="0" applyProtection="0"/>
    <xf numFmtId="41" fontId="19" fillId="0" borderId="0" applyFont="0" applyFill="0" applyBorder="0" applyAlignment="0" applyProtection="0"/>
    <xf numFmtId="41" fontId="19" fillId="0" borderId="0" applyFont="0" applyFill="0" applyBorder="0" applyAlignment="0" applyProtection="0"/>
    <xf numFmtId="41" fontId="19" fillId="0" borderId="0" applyFont="0" applyFill="0" applyBorder="0" applyAlignment="0" applyProtection="0"/>
    <xf numFmtId="41" fontId="19" fillId="0" borderId="0" applyFont="0" applyFill="0" applyBorder="0" applyAlignment="0" applyProtection="0"/>
    <xf numFmtId="41" fontId="19" fillId="0" borderId="0" applyFont="0" applyFill="0" applyBorder="0" applyAlignment="0" applyProtection="0"/>
    <xf numFmtId="41" fontId="19" fillId="0" borderId="0" applyFont="0" applyFill="0" applyBorder="0" applyAlignment="0" applyProtection="0"/>
    <xf numFmtId="41" fontId="19" fillId="0" borderId="0" applyFont="0" applyFill="0" applyBorder="0" applyAlignment="0" applyProtection="0"/>
    <xf numFmtId="41" fontId="19" fillId="0" borderId="0" applyFont="0" applyFill="0" applyBorder="0" applyAlignment="0" applyProtection="0"/>
    <xf numFmtId="41" fontId="19" fillId="0" borderId="0" applyFont="0" applyFill="0" applyBorder="0" applyAlignment="0" applyProtection="0"/>
    <xf numFmtId="41" fontId="19" fillId="0" borderId="0" applyFont="0" applyFill="0" applyBorder="0" applyAlignment="0" applyProtection="0"/>
    <xf numFmtId="41" fontId="19" fillId="0" borderId="0" applyFont="0" applyFill="0" applyBorder="0" applyAlignment="0" applyProtection="0"/>
    <xf numFmtId="41" fontId="19" fillId="0" borderId="0" applyFont="0" applyFill="0" applyBorder="0" applyAlignment="0" applyProtection="0"/>
    <xf numFmtId="41" fontId="19" fillId="0" borderId="0" applyFont="0" applyFill="0" applyBorder="0" applyAlignment="0" applyProtection="0"/>
    <xf numFmtId="41" fontId="19" fillId="0" borderId="0" applyFont="0" applyFill="0" applyBorder="0" applyAlignment="0" applyProtection="0"/>
    <xf numFmtId="41" fontId="19" fillId="0" borderId="0" applyFont="0" applyFill="0" applyBorder="0" applyAlignment="0" applyProtection="0"/>
    <xf numFmtId="41" fontId="19" fillId="0" borderId="0" applyFont="0" applyFill="0" applyBorder="0" applyAlignment="0" applyProtection="0"/>
    <xf numFmtId="41" fontId="19" fillId="0" borderId="0" applyFont="0" applyFill="0" applyBorder="0" applyAlignment="0" applyProtection="0"/>
    <xf numFmtId="41" fontId="19" fillId="0" borderId="0" applyFont="0" applyFill="0" applyBorder="0" applyAlignment="0" applyProtection="0"/>
    <xf numFmtId="41" fontId="19" fillId="0" borderId="0" applyFont="0" applyFill="0" applyBorder="0" applyAlignment="0" applyProtection="0"/>
    <xf numFmtId="41" fontId="19" fillId="0" borderId="0" applyFont="0" applyFill="0" applyBorder="0" applyAlignment="0" applyProtection="0"/>
    <xf numFmtId="41" fontId="19" fillId="0" borderId="0" applyFont="0" applyFill="0" applyBorder="0" applyAlignment="0" applyProtection="0"/>
    <xf numFmtId="41" fontId="19" fillId="0" borderId="0" applyFont="0" applyFill="0" applyBorder="0" applyAlignment="0" applyProtection="0"/>
    <xf numFmtId="41" fontId="19" fillId="0" borderId="0" applyFont="0" applyFill="0" applyBorder="0" applyAlignment="0" applyProtection="0"/>
    <xf numFmtId="41" fontId="19" fillId="0" borderId="0" applyFont="0" applyFill="0" applyBorder="0" applyAlignment="0" applyProtection="0"/>
    <xf numFmtId="41" fontId="19" fillId="0" borderId="0" applyFont="0" applyFill="0" applyBorder="0" applyAlignment="0" applyProtection="0"/>
    <xf numFmtId="41" fontId="19" fillId="0" borderId="0" applyFont="0" applyFill="0" applyBorder="0" applyAlignment="0" applyProtection="0"/>
    <xf numFmtId="41" fontId="19" fillId="0" borderId="0" applyFont="0" applyFill="0" applyBorder="0" applyAlignment="0" applyProtection="0"/>
    <xf numFmtId="41" fontId="19" fillId="0" borderId="0" applyFont="0" applyFill="0" applyBorder="0" applyAlignment="0" applyProtection="0"/>
    <xf numFmtId="41" fontId="19" fillId="0" borderId="0" applyFont="0" applyFill="0" applyBorder="0" applyAlignment="0" applyProtection="0"/>
    <xf numFmtId="41" fontId="19" fillId="0" borderId="0" applyFont="0" applyFill="0" applyBorder="0" applyAlignment="0" applyProtection="0"/>
    <xf numFmtId="41" fontId="19" fillId="0" borderId="0" applyFont="0" applyFill="0" applyBorder="0" applyAlignment="0" applyProtection="0"/>
    <xf numFmtId="41" fontId="19" fillId="0" borderId="0" applyFont="0" applyFill="0" applyBorder="0" applyAlignment="0" applyProtection="0"/>
    <xf numFmtId="41" fontId="19" fillId="0" borderId="0" applyFont="0" applyFill="0" applyBorder="0" applyAlignment="0" applyProtection="0"/>
    <xf numFmtId="41" fontId="19" fillId="0" borderId="0" applyFont="0" applyFill="0" applyBorder="0" applyAlignment="0" applyProtection="0"/>
    <xf numFmtId="41" fontId="19" fillId="0" borderId="0" applyFont="0" applyFill="0" applyBorder="0" applyAlignment="0" applyProtection="0"/>
    <xf numFmtId="41" fontId="19" fillId="0" borderId="0" applyFont="0" applyFill="0" applyBorder="0" applyAlignment="0" applyProtection="0"/>
    <xf numFmtId="41" fontId="19" fillId="0" borderId="0" applyFont="0" applyFill="0" applyBorder="0" applyAlignment="0" applyProtection="0"/>
    <xf numFmtId="41" fontId="19" fillId="0" borderId="0" applyFont="0" applyFill="0" applyBorder="0" applyAlignment="0" applyProtection="0"/>
    <xf numFmtId="41" fontId="19" fillId="0" borderId="0" applyFont="0" applyFill="0" applyBorder="0" applyAlignment="0" applyProtection="0"/>
    <xf numFmtId="43" fontId="10" fillId="0" borderId="0" applyFont="0" applyFill="0" applyBorder="0" applyAlignment="0" applyProtection="0"/>
    <xf numFmtId="43" fontId="11" fillId="0" borderId="0" applyFont="0" applyFill="0" applyBorder="0" applyAlignment="0" applyProtection="0"/>
    <xf numFmtId="43" fontId="43" fillId="0" borderId="0" applyFont="0" applyFill="0" applyBorder="0" applyAlignment="0" applyProtection="0"/>
    <xf numFmtId="43" fontId="38" fillId="0" borderId="0" applyFont="0" applyFill="0" applyBorder="0" applyAlignment="0" applyProtection="0"/>
    <xf numFmtId="43" fontId="10" fillId="0" borderId="0" applyFont="0" applyFill="0" applyBorder="0" applyAlignment="0" applyProtection="0"/>
    <xf numFmtId="43" fontId="11" fillId="0" borderId="0" applyFont="0" applyFill="0" applyBorder="0" applyAlignment="0" applyProtection="0"/>
    <xf numFmtId="43" fontId="43" fillId="0" borderId="0" applyFont="0" applyFill="0" applyBorder="0" applyAlignment="0" applyProtection="0"/>
    <xf numFmtId="43" fontId="38" fillId="0" borderId="0" applyFont="0" applyFill="0" applyBorder="0" applyAlignment="0" applyProtection="0"/>
    <xf numFmtId="43" fontId="10" fillId="0" borderId="0" applyFont="0" applyFill="0" applyBorder="0" applyAlignment="0" applyProtection="0"/>
    <xf numFmtId="43" fontId="11" fillId="0" borderId="0" applyFont="0" applyFill="0" applyBorder="0" applyAlignment="0" applyProtection="0"/>
    <xf numFmtId="43" fontId="43" fillId="0" borderId="0" applyFont="0" applyFill="0" applyBorder="0" applyAlignment="0" applyProtection="0"/>
    <xf numFmtId="43" fontId="38" fillId="0" borderId="0" applyFont="0" applyFill="0" applyBorder="0" applyAlignment="0" applyProtection="0"/>
    <xf numFmtId="43" fontId="10" fillId="0" borderId="0" applyFont="0" applyFill="0" applyBorder="0" applyAlignment="0" applyProtection="0"/>
    <xf numFmtId="43" fontId="11" fillId="0" borderId="0" applyFont="0" applyFill="0" applyBorder="0" applyAlignment="0" applyProtection="0"/>
    <xf numFmtId="43" fontId="43" fillId="0" borderId="0" applyFont="0" applyFill="0" applyBorder="0" applyAlignment="0" applyProtection="0"/>
    <xf numFmtId="43" fontId="38" fillId="0" borderId="0" applyFont="0" applyFill="0" applyBorder="0" applyAlignment="0" applyProtection="0"/>
    <xf numFmtId="43" fontId="10" fillId="0" borderId="0" applyFont="0" applyFill="0" applyBorder="0" applyAlignment="0" applyProtection="0"/>
    <xf numFmtId="43" fontId="11" fillId="0" borderId="0" applyFont="0" applyFill="0" applyBorder="0" applyAlignment="0" applyProtection="0"/>
    <xf numFmtId="43" fontId="43" fillId="0" borderId="0" applyFont="0" applyFill="0" applyBorder="0" applyAlignment="0" applyProtection="0"/>
    <xf numFmtId="43" fontId="38" fillId="0" borderId="0" applyFont="0" applyFill="0" applyBorder="0" applyAlignment="0" applyProtection="0"/>
    <xf numFmtId="43" fontId="10" fillId="0" borderId="0" applyFont="0" applyFill="0" applyBorder="0" applyAlignment="0" applyProtection="0"/>
    <xf numFmtId="43" fontId="11" fillId="0" borderId="0" applyFont="0" applyFill="0" applyBorder="0" applyAlignment="0" applyProtection="0"/>
    <xf numFmtId="43" fontId="43" fillId="0" borderId="0" applyFont="0" applyFill="0" applyBorder="0" applyAlignment="0" applyProtection="0"/>
    <xf numFmtId="43" fontId="38" fillId="0" borderId="0" applyFont="0" applyFill="0" applyBorder="0" applyAlignment="0" applyProtection="0"/>
    <xf numFmtId="43" fontId="10" fillId="0" borderId="0" applyFont="0" applyFill="0" applyBorder="0" applyAlignment="0" applyProtection="0"/>
    <xf numFmtId="43" fontId="11" fillId="0" borderId="0" applyFont="0" applyFill="0" applyBorder="0" applyAlignment="0" applyProtection="0"/>
    <xf numFmtId="43" fontId="43" fillId="0" borderId="0" applyFont="0" applyFill="0" applyBorder="0" applyAlignment="0" applyProtection="0"/>
    <xf numFmtId="43" fontId="38" fillId="0" borderId="0" applyFont="0" applyFill="0" applyBorder="0" applyAlignment="0" applyProtection="0"/>
    <xf numFmtId="43" fontId="10" fillId="0" borderId="0" applyFont="0" applyFill="0" applyBorder="0" applyAlignment="0" applyProtection="0"/>
    <xf numFmtId="43" fontId="11" fillId="0" borderId="0" applyFont="0" applyFill="0" applyBorder="0" applyAlignment="0" applyProtection="0"/>
    <xf numFmtId="43" fontId="43" fillId="0" borderId="0" applyFont="0" applyFill="0" applyBorder="0" applyAlignment="0" applyProtection="0"/>
    <xf numFmtId="43" fontId="38" fillId="0" borderId="0" applyFont="0" applyFill="0" applyBorder="0" applyAlignment="0" applyProtection="0"/>
    <xf numFmtId="43" fontId="10" fillId="0" borderId="0" applyFont="0" applyFill="0" applyBorder="0" applyAlignment="0" applyProtection="0"/>
    <xf numFmtId="43" fontId="11" fillId="0" borderId="0" applyFont="0" applyFill="0" applyBorder="0" applyAlignment="0" applyProtection="0"/>
    <xf numFmtId="43" fontId="43" fillId="0" borderId="0" applyFont="0" applyFill="0" applyBorder="0" applyAlignment="0" applyProtection="0"/>
    <xf numFmtId="43" fontId="38" fillId="0" borderId="0" applyFont="0" applyFill="0" applyBorder="0" applyAlignment="0" applyProtection="0"/>
    <xf numFmtId="43" fontId="10" fillId="0" borderId="0" applyFont="0" applyFill="0" applyBorder="0" applyAlignment="0" applyProtection="0"/>
    <xf numFmtId="43" fontId="11" fillId="0" borderId="0" applyFont="0" applyFill="0" applyBorder="0" applyAlignment="0" applyProtection="0"/>
    <xf numFmtId="43" fontId="43" fillId="0" borderId="0" applyFont="0" applyFill="0" applyBorder="0" applyAlignment="0" applyProtection="0"/>
    <xf numFmtId="43" fontId="38" fillId="0" borderId="0" applyFont="0" applyFill="0" applyBorder="0" applyAlignment="0" applyProtection="0"/>
    <xf numFmtId="43" fontId="10"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43" fillId="0" borderId="0" applyFont="0" applyFill="0" applyBorder="0" applyAlignment="0" applyProtection="0"/>
    <xf numFmtId="43" fontId="38" fillId="0" borderId="0" applyFont="0" applyFill="0" applyBorder="0" applyAlignment="0" applyProtection="0"/>
    <xf numFmtId="43" fontId="11" fillId="0" borderId="0" applyFont="0" applyFill="0" applyBorder="0" applyAlignment="0" applyProtection="0"/>
    <xf numFmtId="43" fontId="10" fillId="0" borderId="0" applyFont="0" applyFill="0" applyBorder="0" applyAlignment="0" applyProtection="0"/>
    <xf numFmtId="43" fontId="11" fillId="0" borderId="0" applyFont="0" applyFill="0" applyBorder="0" applyAlignment="0" applyProtection="0"/>
    <xf numFmtId="43" fontId="43" fillId="0" borderId="0" applyFont="0" applyFill="0" applyBorder="0" applyAlignment="0" applyProtection="0"/>
    <xf numFmtId="43" fontId="38" fillId="0" borderId="0" applyFont="0" applyFill="0" applyBorder="0" applyAlignment="0" applyProtection="0"/>
    <xf numFmtId="43" fontId="10" fillId="0" borderId="0" applyFont="0" applyFill="0" applyBorder="0" applyAlignment="0" applyProtection="0"/>
    <xf numFmtId="43" fontId="11" fillId="0" borderId="0" applyFont="0" applyFill="0" applyBorder="0" applyAlignment="0" applyProtection="0"/>
    <xf numFmtId="43" fontId="43" fillId="0" borderId="0" applyFont="0" applyFill="0" applyBorder="0" applyAlignment="0" applyProtection="0"/>
    <xf numFmtId="43" fontId="38" fillId="0" borderId="0" applyFont="0" applyFill="0" applyBorder="0" applyAlignment="0" applyProtection="0"/>
    <xf numFmtId="43" fontId="10" fillId="0" borderId="0" applyFont="0" applyFill="0" applyBorder="0" applyAlignment="0" applyProtection="0"/>
    <xf numFmtId="43" fontId="11" fillId="0" borderId="0" applyFont="0" applyFill="0" applyBorder="0" applyAlignment="0" applyProtection="0"/>
    <xf numFmtId="43" fontId="43" fillId="0" borderId="0" applyFont="0" applyFill="0" applyBorder="0" applyAlignment="0" applyProtection="0"/>
    <xf numFmtId="43" fontId="38" fillId="0" borderId="0" applyFont="0" applyFill="0" applyBorder="0" applyAlignment="0" applyProtection="0"/>
    <xf numFmtId="43" fontId="10" fillId="0" borderId="0" applyFont="0" applyFill="0" applyBorder="0" applyAlignment="0" applyProtection="0"/>
    <xf numFmtId="43" fontId="11" fillId="0" borderId="0" applyFont="0" applyFill="0" applyBorder="0" applyAlignment="0" applyProtection="0"/>
    <xf numFmtId="43" fontId="43" fillId="0" borderId="0" applyFont="0" applyFill="0" applyBorder="0" applyAlignment="0" applyProtection="0"/>
    <xf numFmtId="43" fontId="38" fillId="0" borderId="0" applyFont="0" applyFill="0" applyBorder="0" applyAlignment="0" applyProtection="0"/>
    <xf numFmtId="43" fontId="10" fillId="0" borderId="0" applyFont="0" applyFill="0" applyBorder="0" applyAlignment="0" applyProtection="0"/>
    <xf numFmtId="43" fontId="11" fillId="0" borderId="0" applyFont="0" applyFill="0" applyBorder="0" applyAlignment="0" applyProtection="0"/>
    <xf numFmtId="43" fontId="43" fillId="0" borderId="0" applyFont="0" applyFill="0" applyBorder="0" applyAlignment="0" applyProtection="0"/>
    <xf numFmtId="43" fontId="38" fillId="0" borderId="0" applyFont="0" applyFill="0" applyBorder="0" applyAlignment="0" applyProtection="0"/>
    <xf numFmtId="43" fontId="10" fillId="0" borderId="0" applyFont="0" applyFill="0" applyBorder="0" applyAlignment="0" applyProtection="0"/>
    <xf numFmtId="43" fontId="11" fillId="0" borderId="0" applyFont="0" applyFill="0" applyBorder="0" applyAlignment="0" applyProtection="0"/>
    <xf numFmtId="43" fontId="43" fillId="0" borderId="0" applyFont="0" applyFill="0" applyBorder="0" applyAlignment="0" applyProtection="0"/>
    <xf numFmtId="43" fontId="38" fillId="0" borderId="0" applyFont="0" applyFill="0" applyBorder="0" applyAlignment="0" applyProtection="0"/>
    <xf numFmtId="43" fontId="10" fillId="0" borderId="0" applyFont="0" applyFill="0" applyBorder="0" applyAlignment="0" applyProtection="0"/>
    <xf numFmtId="43" fontId="11" fillId="0" borderId="0" applyFont="0" applyFill="0" applyBorder="0" applyAlignment="0" applyProtection="0"/>
    <xf numFmtId="43" fontId="43" fillId="0" borderId="0" applyFont="0" applyFill="0" applyBorder="0" applyAlignment="0" applyProtection="0"/>
    <xf numFmtId="43" fontId="38" fillId="0" borderId="0" applyFont="0" applyFill="0" applyBorder="0" applyAlignment="0" applyProtection="0"/>
    <xf numFmtId="43" fontId="10" fillId="0" borderId="0" applyFont="0" applyFill="0" applyBorder="0" applyAlignment="0" applyProtection="0"/>
    <xf numFmtId="43" fontId="11" fillId="0" borderId="0" applyFont="0" applyFill="0" applyBorder="0" applyAlignment="0" applyProtection="0"/>
    <xf numFmtId="43" fontId="43" fillId="0" borderId="0" applyFont="0" applyFill="0" applyBorder="0" applyAlignment="0" applyProtection="0"/>
    <xf numFmtId="43" fontId="38" fillId="0" borderId="0" applyFont="0" applyFill="0" applyBorder="0" applyAlignment="0" applyProtection="0"/>
    <xf numFmtId="43" fontId="10" fillId="0" borderId="0" applyFont="0" applyFill="0" applyBorder="0" applyAlignment="0" applyProtection="0"/>
    <xf numFmtId="43" fontId="11" fillId="0" borderId="0" applyFont="0" applyFill="0" applyBorder="0" applyAlignment="0" applyProtection="0"/>
    <xf numFmtId="43" fontId="43" fillId="0" borderId="0" applyFont="0" applyFill="0" applyBorder="0" applyAlignment="0" applyProtection="0"/>
    <xf numFmtId="43" fontId="38" fillId="0" borderId="0" applyFont="0" applyFill="0" applyBorder="0" applyAlignment="0" applyProtection="0"/>
    <xf numFmtId="43" fontId="10" fillId="0" borderId="0" applyFont="0" applyFill="0" applyBorder="0" applyAlignment="0" applyProtection="0"/>
    <xf numFmtId="43" fontId="11" fillId="0" borderId="0" applyFont="0" applyFill="0" applyBorder="0" applyAlignment="0" applyProtection="0"/>
    <xf numFmtId="43" fontId="43" fillId="0" borderId="0" applyFont="0" applyFill="0" applyBorder="0" applyAlignment="0" applyProtection="0"/>
    <xf numFmtId="43" fontId="38" fillId="0" borderId="0" applyFont="0" applyFill="0" applyBorder="0" applyAlignment="0" applyProtection="0"/>
    <xf numFmtId="43" fontId="10" fillId="0" borderId="0" applyFont="0" applyFill="0" applyBorder="0" applyAlignment="0" applyProtection="0"/>
    <xf numFmtId="43" fontId="11" fillId="0" borderId="0" applyFont="0" applyFill="0" applyBorder="0" applyAlignment="0" applyProtection="0"/>
    <xf numFmtId="43" fontId="43" fillId="0" borderId="0" applyFont="0" applyFill="0" applyBorder="0" applyAlignment="0" applyProtection="0"/>
    <xf numFmtId="43" fontId="38" fillId="0" borderId="0" applyFont="0" applyFill="0" applyBorder="0" applyAlignment="0" applyProtection="0"/>
    <xf numFmtId="43" fontId="10" fillId="0" borderId="0" applyFont="0" applyFill="0" applyBorder="0" applyAlignment="0" applyProtection="0"/>
    <xf numFmtId="43" fontId="11" fillId="0" borderId="0" applyFont="0" applyFill="0" applyBorder="0" applyAlignment="0" applyProtection="0"/>
    <xf numFmtId="43" fontId="43" fillId="0" borderId="0" applyFont="0" applyFill="0" applyBorder="0" applyAlignment="0" applyProtection="0"/>
    <xf numFmtId="43" fontId="38" fillId="0" borderId="0" applyFont="0" applyFill="0" applyBorder="0" applyAlignment="0" applyProtection="0"/>
    <xf numFmtId="43" fontId="10" fillId="0" borderId="0" applyFont="0" applyFill="0" applyBorder="0" applyAlignment="0" applyProtection="0"/>
    <xf numFmtId="43" fontId="11" fillId="0" borderId="0" applyFont="0" applyFill="0" applyBorder="0" applyAlignment="0" applyProtection="0"/>
    <xf numFmtId="43" fontId="43" fillId="0" borderId="0" applyFont="0" applyFill="0" applyBorder="0" applyAlignment="0" applyProtection="0"/>
    <xf numFmtId="43" fontId="38" fillId="0" borderId="0" applyFont="0" applyFill="0" applyBorder="0" applyAlignment="0" applyProtection="0"/>
    <xf numFmtId="43" fontId="10" fillId="0" borderId="0" applyFont="0" applyFill="0" applyBorder="0" applyAlignment="0" applyProtection="0"/>
    <xf numFmtId="43" fontId="11" fillId="0" borderId="0" applyFont="0" applyFill="0" applyBorder="0" applyAlignment="0" applyProtection="0"/>
    <xf numFmtId="43" fontId="43" fillId="0" borderId="0" applyFont="0" applyFill="0" applyBorder="0" applyAlignment="0" applyProtection="0"/>
    <xf numFmtId="43" fontId="38" fillId="0" borderId="0" applyFont="0" applyFill="0" applyBorder="0" applyAlignment="0" applyProtection="0"/>
    <xf numFmtId="43" fontId="10" fillId="0" borderId="0" applyFont="0" applyFill="0" applyBorder="0" applyAlignment="0" applyProtection="0"/>
    <xf numFmtId="43" fontId="11" fillId="0" borderId="0" applyFont="0" applyFill="0" applyBorder="0" applyAlignment="0" applyProtection="0"/>
    <xf numFmtId="43" fontId="43" fillId="0" borderId="0" applyFont="0" applyFill="0" applyBorder="0" applyAlignment="0" applyProtection="0"/>
    <xf numFmtId="43" fontId="38" fillId="0" borderId="0" applyFont="0" applyFill="0" applyBorder="0" applyAlignment="0" applyProtection="0"/>
    <xf numFmtId="43" fontId="10" fillId="0" borderId="0" applyFont="0" applyFill="0" applyBorder="0" applyAlignment="0" applyProtection="0"/>
    <xf numFmtId="43" fontId="11" fillId="0" borderId="0" applyFont="0" applyFill="0" applyBorder="0" applyAlignment="0" applyProtection="0"/>
    <xf numFmtId="43" fontId="43" fillId="0" borderId="0" applyFont="0" applyFill="0" applyBorder="0" applyAlignment="0" applyProtection="0"/>
    <xf numFmtId="43" fontId="38" fillId="0" borderId="0" applyFont="0" applyFill="0" applyBorder="0" applyAlignment="0" applyProtection="0"/>
    <xf numFmtId="43" fontId="10" fillId="0" borderId="0" applyFont="0" applyFill="0" applyBorder="0" applyAlignment="0" applyProtection="0"/>
    <xf numFmtId="43" fontId="11" fillId="0" borderId="0" applyFont="0" applyFill="0" applyBorder="0" applyAlignment="0" applyProtection="0"/>
    <xf numFmtId="43" fontId="43" fillId="0" borderId="0" applyFont="0" applyFill="0" applyBorder="0" applyAlignment="0" applyProtection="0"/>
    <xf numFmtId="43" fontId="38" fillId="0" borderId="0" applyFont="0" applyFill="0" applyBorder="0" applyAlignment="0" applyProtection="0"/>
    <xf numFmtId="43" fontId="10" fillId="0" borderId="0" applyFont="0" applyFill="0" applyBorder="0" applyAlignment="0" applyProtection="0"/>
    <xf numFmtId="43" fontId="11" fillId="0" borderId="0" applyFont="0" applyFill="0" applyBorder="0" applyAlignment="0" applyProtection="0"/>
    <xf numFmtId="43" fontId="43" fillId="0" borderId="0" applyFont="0" applyFill="0" applyBorder="0" applyAlignment="0" applyProtection="0"/>
    <xf numFmtId="43" fontId="38" fillId="0" borderId="0" applyFont="0" applyFill="0" applyBorder="0" applyAlignment="0" applyProtection="0"/>
    <xf numFmtId="43" fontId="10" fillId="0" borderId="0" applyFont="0" applyFill="0" applyBorder="0" applyAlignment="0" applyProtection="0"/>
    <xf numFmtId="43" fontId="11" fillId="0" borderId="0" applyFont="0" applyFill="0" applyBorder="0" applyAlignment="0" applyProtection="0"/>
    <xf numFmtId="43" fontId="43" fillId="0" borderId="0" applyFont="0" applyFill="0" applyBorder="0" applyAlignment="0" applyProtection="0"/>
    <xf numFmtId="43" fontId="38" fillId="0" borderId="0" applyFont="0" applyFill="0" applyBorder="0" applyAlignment="0" applyProtection="0"/>
    <xf numFmtId="43" fontId="10" fillId="0" borderId="0" applyFont="0" applyFill="0" applyBorder="0" applyAlignment="0" applyProtection="0"/>
    <xf numFmtId="43" fontId="11" fillId="0" borderId="0" applyFont="0" applyFill="0" applyBorder="0" applyAlignment="0" applyProtection="0"/>
    <xf numFmtId="43" fontId="43" fillId="0" borderId="0" applyFont="0" applyFill="0" applyBorder="0" applyAlignment="0" applyProtection="0"/>
    <xf numFmtId="43" fontId="38" fillId="0" borderId="0" applyFont="0" applyFill="0" applyBorder="0" applyAlignment="0" applyProtection="0"/>
    <xf numFmtId="43" fontId="10" fillId="0" borderId="0" applyFont="0" applyFill="0" applyBorder="0" applyAlignment="0" applyProtection="0"/>
    <xf numFmtId="43" fontId="11" fillId="0" borderId="0" applyFont="0" applyFill="0" applyBorder="0" applyAlignment="0" applyProtection="0"/>
    <xf numFmtId="43" fontId="43" fillId="0" borderId="0" applyFont="0" applyFill="0" applyBorder="0" applyAlignment="0" applyProtection="0"/>
    <xf numFmtId="43" fontId="38" fillId="0" borderId="0" applyFont="0" applyFill="0" applyBorder="0" applyAlignment="0" applyProtection="0"/>
    <xf numFmtId="43" fontId="10" fillId="0" borderId="0" applyFont="0" applyFill="0" applyBorder="0" applyAlignment="0" applyProtection="0"/>
    <xf numFmtId="43" fontId="11" fillId="0" borderId="0" applyFont="0" applyFill="0" applyBorder="0" applyAlignment="0" applyProtection="0"/>
    <xf numFmtId="43" fontId="43" fillId="0" borderId="0" applyFont="0" applyFill="0" applyBorder="0" applyAlignment="0" applyProtection="0"/>
    <xf numFmtId="43" fontId="38" fillId="0" borderId="0" applyFont="0" applyFill="0" applyBorder="0" applyAlignment="0" applyProtection="0"/>
    <xf numFmtId="43" fontId="10" fillId="0" borderId="0" applyFont="0" applyFill="0" applyBorder="0" applyAlignment="0" applyProtection="0"/>
    <xf numFmtId="43" fontId="11" fillId="0" borderId="0" applyFont="0" applyFill="0" applyBorder="0" applyAlignment="0" applyProtection="0"/>
    <xf numFmtId="43" fontId="43" fillId="0" borderId="0" applyFont="0" applyFill="0" applyBorder="0" applyAlignment="0" applyProtection="0"/>
    <xf numFmtId="43" fontId="38" fillId="0" borderId="0" applyFont="0" applyFill="0" applyBorder="0" applyAlignment="0" applyProtection="0"/>
    <xf numFmtId="43" fontId="10" fillId="0" borderId="0" applyFont="0" applyFill="0" applyBorder="0" applyAlignment="0" applyProtection="0"/>
    <xf numFmtId="43" fontId="11" fillId="0" borderId="0" applyFont="0" applyFill="0" applyBorder="0" applyAlignment="0" applyProtection="0"/>
    <xf numFmtId="43" fontId="43" fillId="0" borderId="0" applyFont="0" applyFill="0" applyBorder="0" applyAlignment="0" applyProtection="0"/>
    <xf numFmtId="43" fontId="38" fillId="0" borderId="0" applyFont="0" applyFill="0" applyBorder="0" applyAlignment="0" applyProtection="0"/>
    <xf numFmtId="43" fontId="10" fillId="0" borderId="0" applyFont="0" applyFill="0" applyBorder="0" applyAlignment="0" applyProtection="0"/>
    <xf numFmtId="43" fontId="11" fillId="0" borderId="0" applyFont="0" applyFill="0" applyBorder="0" applyAlignment="0" applyProtection="0"/>
    <xf numFmtId="43" fontId="43" fillId="0" borderId="0" applyFont="0" applyFill="0" applyBorder="0" applyAlignment="0" applyProtection="0"/>
    <xf numFmtId="43" fontId="38" fillId="0" borderId="0" applyFont="0" applyFill="0" applyBorder="0" applyAlignment="0" applyProtection="0"/>
    <xf numFmtId="43" fontId="10" fillId="0" borderId="0" applyFont="0" applyFill="0" applyBorder="0" applyAlignment="0" applyProtection="0"/>
    <xf numFmtId="43" fontId="11" fillId="0" borderId="0" applyFont="0" applyFill="0" applyBorder="0" applyAlignment="0" applyProtection="0"/>
    <xf numFmtId="43" fontId="43" fillId="0" borderId="0" applyFont="0" applyFill="0" applyBorder="0" applyAlignment="0" applyProtection="0"/>
    <xf numFmtId="43" fontId="38" fillId="0" borderId="0" applyFont="0" applyFill="0" applyBorder="0" applyAlignment="0" applyProtection="0"/>
    <xf numFmtId="43" fontId="10" fillId="0" borderId="0" applyFont="0" applyFill="0" applyBorder="0" applyAlignment="0" applyProtection="0"/>
    <xf numFmtId="43" fontId="11" fillId="0" borderId="0" applyFont="0" applyFill="0" applyBorder="0" applyAlignment="0" applyProtection="0"/>
    <xf numFmtId="43" fontId="43" fillId="0" borderId="0" applyFont="0" applyFill="0" applyBorder="0" applyAlignment="0" applyProtection="0"/>
    <xf numFmtId="43" fontId="38" fillId="0" borderId="0" applyFont="0" applyFill="0" applyBorder="0" applyAlignment="0" applyProtection="0"/>
    <xf numFmtId="43" fontId="10" fillId="0" borderId="0" applyFont="0" applyFill="0" applyBorder="0" applyAlignment="0" applyProtection="0"/>
    <xf numFmtId="43" fontId="11" fillId="0" borderId="0" applyFont="0" applyFill="0" applyBorder="0" applyAlignment="0" applyProtection="0"/>
    <xf numFmtId="43" fontId="43" fillId="0" borderId="0" applyFont="0" applyFill="0" applyBorder="0" applyAlignment="0" applyProtection="0"/>
    <xf numFmtId="43" fontId="38" fillId="0" borderId="0" applyFont="0" applyFill="0" applyBorder="0" applyAlignment="0" applyProtection="0"/>
    <xf numFmtId="43" fontId="10" fillId="0" borderId="0" applyFont="0" applyFill="0" applyBorder="0" applyAlignment="0" applyProtection="0"/>
    <xf numFmtId="43" fontId="11" fillId="0" borderId="0" applyFont="0" applyFill="0" applyBorder="0" applyAlignment="0" applyProtection="0"/>
    <xf numFmtId="43" fontId="43" fillId="0" borderId="0" applyFont="0" applyFill="0" applyBorder="0" applyAlignment="0" applyProtection="0"/>
    <xf numFmtId="43" fontId="38" fillId="0" borderId="0" applyFont="0" applyFill="0" applyBorder="0" applyAlignment="0" applyProtection="0"/>
    <xf numFmtId="43" fontId="10" fillId="0" borderId="0" applyFont="0" applyFill="0" applyBorder="0" applyAlignment="0" applyProtection="0"/>
    <xf numFmtId="43" fontId="11" fillId="0" borderId="0" applyFont="0" applyFill="0" applyBorder="0" applyAlignment="0" applyProtection="0"/>
    <xf numFmtId="43" fontId="43" fillId="0" borderId="0" applyFont="0" applyFill="0" applyBorder="0" applyAlignment="0" applyProtection="0"/>
    <xf numFmtId="43" fontId="38" fillId="0" borderId="0" applyFont="0" applyFill="0" applyBorder="0" applyAlignment="0" applyProtection="0"/>
    <xf numFmtId="43" fontId="10" fillId="0" borderId="0" applyFont="0" applyFill="0" applyBorder="0" applyAlignment="0" applyProtection="0"/>
    <xf numFmtId="43" fontId="11" fillId="0" borderId="0" applyFont="0" applyFill="0" applyBorder="0" applyAlignment="0" applyProtection="0"/>
    <xf numFmtId="43" fontId="43" fillId="0" borderId="0" applyFont="0" applyFill="0" applyBorder="0" applyAlignment="0" applyProtection="0"/>
    <xf numFmtId="43" fontId="38" fillId="0" borderId="0" applyFont="0" applyFill="0" applyBorder="0" applyAlignment="0" applyProtection="0"/>
    <xf numFmtId="43" fontId="10" fillId="0" borderId="0" applyFont="0" applyFill="0" applyBorder="0" applyAlignment="0" applyProtection="0"/>
    <xf numFmtId="43" fontId="11" fillId="0" borderId="0" applyFont="0" applyFill="0" applyBorder="0" applyAlignment="0" applyProtection="0"/>
    <xf numFmtId="43" fontId="43" fillId="0" borderId="0" applyFont="0" applyFill="0" applyBorder="0" applyAlignment="0" applyProtection="0"/>
    <xf numFmtId="43" fontId="38" fillId="0" borderId="0" applyFont="0" applyFill="0" applyBorder="0" applyAlignment="0" applyProtection="0"/>
    <xf numFmtId="43" fontId="10" fillId="0" borderId="0" applyFont="0" applyFill="0" applyBorder="0" applyAlignment="0" applyProtection="0"/>
    <xf numFmtId="43" fontId="11" fillId="0" borderId="0" applyFont="0" applyFill="0" applyBorder="0" applyAlignment="0" applyProtection="0"/>
    <xf numFmtId="43" fontId="43" fillId="0" borderId="0" applyFont="0" applyFill="0" applyBorder="0" applyAlignment="0" applyProtection="0"/>
    <xf numFmtId="43" fontId="38" fillId="0" borderId="0" applyFont="0" applyFill="0" applyBorder="0" applyAlignment="0" applyProtection="0"/>
    <xf numFmtId="43" fontId="10" fillId="0" borderId="0" applyFont="0" applyFill="0" applyBorder="0" applyAlignment="0" applyProtection="0"/>
    <xf numFmtId="43" fontId="11" fillId="0" borderId="0" applyFont="0" applyFill="0" applyBorder="0" applyAlignment="0" applyProtection="0"/>
    <xf numFmtId="43" fontId="43" fillId="0" borderId="0" applyFont="0" applyFill="0" applyBorder="0" applyAlignment="0" applyProtection="0"/>
    <xf numFmtId="43" fontId="38" fillId="0" borderId="0" applyFont="0" applyFill="0" applyBorder="0" applyAlignment="0" applyProtection="0"/>
    <xf numFmtId="43" fontId="10" fillId="0" borderId="0" applyFont="0" applyFill="0" applyBorder="0" applyAlignment="0" applyProtection="0"/>
    <xf numFmtId="43" fontId="11" fillId="0" borderId="0" applyFont="0" applyFill="0" applyBorder="0" applyAlignment="0" applyProtection="0"/>
    <xf numFmtId="43" fontId="43" fillId="0" borderId="0" applyFont="0" applyFill="0" applyBorder="0" applyAlignment="0" applyProtection="0"/>
    <xf numFmtId="43" fontId="38" fillId="0" borderId="0" applyFont="0" applyFill="0" applyBorder="0" applyAlignment="0" applyProtection="0"/>
    <xf numFmtId="43" fontId="10" fillId="0" borderId="0" applyFont="0" applyFill="0" applyBorder="0" applyAlignment="0" applyProtection="0"/>
    <xf numFmtId="43" fontId="11" fillId="0" borderId="0" applyFont="0" applyFill="0" applyBorder="0" applyAlignment="0" applyProtection="0"/>
    <xf numFmtId="43" fontId="43" fillId="0" borderId="0" applyFont="0" applyFill="0" applyBorder="0" applyAlignment="0" applyProtection="0"/>
    <xf numFmtId="43" fontId="38" fillId="0" borderId="0" applyFont="0" applyFill="0" applyBorder="0" applyAlignment="0" applyProtection="0"/>
    <xf numFmtId="43" fontId="10" fillId="0" borderId="0" applyFont="0" applyFill="0" applyBorder="0" applyAlignment="0" applyProtection="0"/>
    <xf numFmtId="43" fontId="11" fillId="0" borderId="0" applyFont="0" applyFill="0" applyBorder="0" applyAlignment="0" applyProtection="0"/>
    <xf numFmtId="43" fontId="43" fillId="0" borderId="0" applyFont="0" applyFill="0" applyBorder="0" applyAlignment="0" applyProtection="0"/>
    <xf numFmtId="43" fontId="38" fillId="0" borderId="0" applyFont="0" applyFill="0" applyBorder="0" applyAlignment="0" applyProtection="0"/>
    <xf numFmtId="43" fontId="10" fillId="0" borderId="0" applyFont="0" applyFill="0" applyBorder="0" applyAlignment="0" applyProtection="0"/>
    <xf numFmtId="43" fontId="11" fillId="0" borderId="0" applyFont="0" applyFill="0" applyBorder="0" applyAlignment="0" applyProtection="0"/>
    <xf numFmtId="43" fontId="43" fillId="0" borderId="0" applyFont="0" applyFill="0" applyBorder="0" applyAlignment="0" applyProtection="0"/>
    <xf numFmtId="43" fontId="38" fillId="0" borderId="0" applyFont="0" applyFill="0" applyBorder="0" applyAlignment="0" applyProtection="0"/>
    <xf numFmtId="43" fontId="10" fillId="0" borderId="0" applyFont="0" applyFill="0" applyBorder="0" applyAlignment="0" applyProtection="0"/>
    <xf numFmtId="43" fontId="11" fillId="0" borderId="0" applyFont="0" applyFill="0" applyBorder="0" applyAlignment="0" applyProtection="0"/>
    <xf numFmtId="43" fontId="43" fillId="0" borderId="0" applyFont="0" applyFill="0" applyBorder="0" applyAlignment="0" applyProtection="0"/>
    <xf numFmtId="43" fontId="38" fillId="0" borderId="0" applyFont="0" applyFill="0" applyBorder="0" applyAlignment="0" applyProtection="0"/>
    <xf numFmtId="43" fontId="10" fillId="0" borderId="0" applyFont="0" applyFill="0" applyBorder="0" applyAlignment="0" applyProtection="0"/>
    <xf numFmtId="43" fontId="11" fillId="0" borderId="0" applyFont="0" applyFill="0" applyBorder="0" applyAlignment="0" applyProtection="0"/>
    <xf numFmtId="43" fontId="43" fillId="0" borderId="0" applyFont="0" applyFill="0" applyBorder="0" applyAlignment="0" applyProtection="0"/>
    <xf numFmtId="43" fontId="38" fillId="0" borderId="0" applyFont="0" applyFill="0" applyBorder="0" applyAlignment="0" applyProtection="0"/>
    <xf numFmtId="43" fontId="10" fillId="0" borderId="0" applyFont="0" applyFill="0" applyBorder="0" applyAlignment="0" applyProtection="0"/>
    <xf numFmtId="43" fontId="11" fillId="0" borderId="0" applyFont="0" applyFill="0" applyBorder="0" applyAlignment="0" applyProtection="0"/>
    <xf numFmtId="43" fontId="43" fillId="0" borderId="0" applyFont="0" applyFill="0" applyBorder="0" applyAlignment="0" applyProtection="0"/>
    <xf numFmtId="43" fontId="38" fillId="0" borderId="0" applyFont="0" applyFill="0" applyBorder="0" applyAlignment="0" applyProtection="0"/>
    <xf numFmtId="43" fontId="10" fillId="0" borderId="0" applyFont="0" applyFill="0" applyBorder="0" applyAlignment="0" applyProtection="0"/>
    <xf numFmtId="43" fontId="11" fillId="0" borderId="0" applyFont="0" applyFill="0" applyBorder="0" applyAlignment="0" applyProtection="0"/>
    <xf numFmtId="43" fontId="43" fillId="0" borderId="0" applyFont="0" applyFill="0" applyBorder="0" applyAlignment="0" applyProtection="0"/>
    <xf numFmtId="43" fontId="38" fillId="0" borderId="0" applyFont="0" applyFill="0" applyBorder="0" applyAlignment="0" applyProtection="0"/>
    <xf numFmtId="43" fontId="10" fillId="0" borderId="0" applyFont="0" applyFill="0" applyBorder="0" applyAlignment="0" applyProtection="0"/>
    <xf numFmtId="43" fontId="11" fillId="0" borderId="0" applyFont="0" applyFill="0" applyBorder="0" applyAlignment="0" applyProtection="0"/>
    <xf numFmtId="43" fontId="43" fillId="0" borderId="0" applyFont="0" applyFill="0" applyBorder="0" applyAlignment="0" applyProtection="0"/>
    <xf numFmtId="43" fontId="38" fillId="0" borderId="0" applyFont="0" applyFill="0" applyBorder="0" applyAlignment="0" applyProtection="0"/>
    <xf numFmtId="43" fontId="10" fillId="0" borderId="0" applyFont="0" applyFill="0" applyBorder="0" applyAlignment="0" applyProtection="0"/>
    <xf numFmtId="43" fontId="11" fillId="0" borderId="0" applyFont="0" applyFill="0" applyBorder="0" applyAlignment="0" applyProtection="0"/>
    <xf numFmtId="43" fontId="43" fillId="0" borderId="0" applyFont="0" applyFill="0" applyBorder="0" applyAlignment="0" applyProtection="0"/>
    <xf numFmtId="43" fontId="38" fillId="0" borderId="0" applyFont="0" applyFill="0" applyBorder="0" applyAlignment="0" applyProtection="0"/>
    <xf numFmtId="43" fontId="10" fillId="0" borderId="0" applyFont="0" applyFill="0" applyBorder="0" applyAlignment="0" applyProtection="0"/>
    <xf numFmtId="43" fontId="11" fillId="0" borderId="0" applyFont="0" applyFill="0" applyBorder="0" applyAlignment="0" applyProtection="0"/>
    <xf numFmtId="43" fontId="43" fillId="0" borderId="0" applyFont="0" applyFill="0" applyBorder="0" applyAlignment="0" applyProtection="0"/>
    <xf numFmtId="43" fontId="38" fillId="0" borderId="0" applyFont="0" applyFill="0" applyBorder="0" applyAlignment="0" applyProtection="0"/>
    <xf numFmtId="43" fontId="10" fillId="0" borderId="0" applyFont="0" applyFill="0" applyBorder="0" applyAlignment="0" applyProtection="0"/>
    <xf numFmtId="43" fontId="11" fillId="0" borderId="0" applyFont="0" applyFill="0" applyBorder="0" applyAlignment="0" applyProtection="0"/>
    <xf numFmtId="43" fontId="43" fillId="0" borderId="0" applyFont="0" applyFill="0" applyBorder="0" applyAlignment="0" applyProtection="0"/>
    <xf numFmtId="43" fontId="38" fillId="0" borderId="0" applyFont="0" applyFill="0" applyBorder="0" applyAlignment="0" applyProtection="0"/>
    <xf numFmtId="43" fontId="10" fillId="0" borderId="0" applyFont="0" applyFill="0" applyBorder="0" applyAlignment="0" applyProtection="0"/>
    <xf numFmtId="43" fontId="11" fillId="0" borderId="0" applyFont="0" applyFill="0" applyBorder="0" applyAlignment="0" applyProtection="0"/>
    <xf numFmtId="43" fontId="43" fillId="0" borderId="0" applyFont="0" applyFill="0" applyBorder="0" applyAlignment="0" applyProtection="0"/>
    <xf numFmtId="43" fontId="38" fillId="0" borderId="0" applyFont="0" applyFill="0" applyBorder="0" applyAlignment="0" applyProtection="0"/>
    <xf numFmtId="43" fontId="10" fillId="0" borderId="0" applyFont="0" applyFill="0" applyBorder="0" applyAlignment="0" applyProtection="0"/>
    <xf numFmtId="43" fontId="11" fillId="0" borderId="0" applyFont="0" applyFill="0" applyBorder="0" applyAlignment="0" applyProtection="0"/>
    <xf numFmtId="43" fontId="43" fillId="0" borderId="0" applyFont="0" applyFill="0" applyBorder="0" applyAlignment="0" applyProtection="0"/>
    <xf numFmtId="43" fontId="38" fillId="0" borderId="0" applyFont="0" applyFill="0" applyBorder="0" applyAlignment="0" applyProtection="0"/>
    <xf numFmtId="43" fontId="10" fillId="0" borderId="0" applyFont="0" applyFill="0" applyBorder="0" applyAlignment="0" applyProtection="0"/>
    <xf numFmtId="43" fontId="11" fillId="0" borderId="0" applyFont="0" applyFill="0" applyBorder="0" applyAlignment="0" applyProtection="0"/>
    <xf numFmtId="43" fontId="43" fillId="0" borderId="0" applyFont="0" applyFill="0" applyBorder="0" applyAlignment="0" applyProtection="0"/>
    <xf numFmtId="43" fontId="38" fillId="0" borderId="0" applyFont="0" applyFill="0" applyBorder="0" applyAlignment="0" applyProtection="0"/>
    <xf numFmtId="0" fontId="20" fillId="23" borderId="0" applyNumberFormat="0" applyBorder="0" applyAlignment="0" applyProtection="0"/>
    <xf numFmtId="0" fontId="11" fillId="0" borderId="0"/>
    <xf numFmtId="0" fontId="11" fillId="0" borderId="0"/>
    <xf numFmtId="0" fontId="45" fillId="0" borderId="0"/>
    <xf numFmtId="0" fontId="76" fillId="0" borderId="0"/>
    <xf numFmtId="0" fontId="76" fillId="0" borderId="0"/>
    <xf numFmtId="0" fontId="76" fillId="0" borderId="0"/>
    <xf numFmtId="0" fontId="31" fillId="0" borderId="0"/>
    <xf numFmtId="0" fontId="80" fillId="0" borderId="0"/>
    <xf numFmtId="0" fontId="76" fillId="0" borderId="0"/>
    <xf numFmtId="0" fontId="81" fillId="0" borderId="0"/>
    <xf numFmtId="185" fontId="36" fillId="0" borderId="0" applyNumberFormat="0" applyProtection="0">
      <alignment horizontal="center" vertical="center"/>
    </xf>
    <xf numFmtId="0" fontId="76" fillId="0" borderId="0"/>
    <xf numFmtId="0" fontId="68" fillId="0" borderId="0"/>
    <xf numFmtId="0" fontId="81" fillId="0" borderId="0"/>
    <xf numFmtId="0" fontId="74" fillId="0" borderId="0"/>
    <xf numFmtId="0" fontId="31" fillId="0" borderId="0"/>
    <xf numFmtId="4" fontId="41" fillId="0" borderId="2" applyFill="0" applyBorder="0" applyProtection="0">
      <alignment horizontal="right" vertical="center"/>
    </xf>
    <xf numFmtId="0" fontId="42" fillId="0" borderId="0" applyNumberFormat="0" applyFill="0" applyBorder="0" applyProtection="0">
      <alignment horizontal="left" vertical="center"/>
    </xf>
    <xf numFmtId="0" fontId="41" fillId="0" borderId="2" applyNumberFormat="0" applyFill="0" applyAlignment="0" applyProtection="0"/>
    <xf numFmtId="0" fontId="11" fillId="24" borderId="0" applyNumberFormat="0" applyFont="0" applyBorder="0" applyAlignment="0" applyProtection="0"/>
    <xf numFmtId="0" fontId="73" fillId="25" borderId="0" applyNumberFormat="0" applyFont="0" applyBorder="0" applyAlignment="0" applyProtection="0"/>
    <xf numFmtId="184" fontId="39" fillId="0" borderId="0"/>
    <xf numFmtId="0" fontId="31" fillId="0" borderId="0"/>
    <xf numFmtId="0" fontId="48" fillId="0" borderId="0"/>
    <xf numFmtId="0" fontId="11" fillId="0" borderId="0"/>
    <xf numFmtId="0" fontId="11" fillId="0" borderId="0"/>
    <xf numFmtId="0" fontId="11" fillId="0" borderId="0"/>
    <xf numFmtId="0" fontId="19" fillId="0" borderId="0"/>
    <xf numFmtId="0" fontId="11" fillId="0" borderId="0"/>
    <xf numFmtId="0" fontId="11" fillId="0" borderId="0"/>
    <xf numFmtId="0" fontId="11" fillId="0" borderId="0"/>
    <xf numFmtId="0" fontId="19" fillId="0" borderId="0"/>
    <xf numFmtId="0" fontId="11" fillId="0" borderId="0"/>
    <xf numFmtId="0" fontId="11" fillId="0" borderId="0"/>
    <xf numFmtId="0" fontId="11" fillId="0" borderId="0"/>
    <xf numFmtId="0" fontId="19" fillId="0" borderId="0"/>
    <xf numFmtId="0" fontId="11" fillId="0" borderId="0"/>
    <xf numFmtId="0" fontId="11" fillId="0" borderId="0"/>
    <xf numFmtId="0" fontId="11" fillId="0" borderId="0"/>
    <xf numFmtId="0" fontId="19" fillId="0" borderId="0"/>
    <xf numFmtId="0" fontId="11" fillId="0" borderId="0"/>
    <xf numFmtId="0" fontId="11" fillId="0" borderId="0"/>
    <xf numFmtId="0" fontId="11" fillId="0" borderId="0"/>
    <xf numFmtId="0" fontId="19" fillId="0" borderId="0"/>
    <xf numFmtId="0" fontId="11" fillId="0" borderId="0"/>
    <xf numFmtId="0" fontId="11" fillId="0" borderId="0"/>
    <xf numFmtId="0" fontId="11" fillId="0" borderId="0"/>
    <xf numFmtId="0" fontId="19" fillId="0" borderId="0"/>
    <xf numFmtId="0" fontId="11" fillId="0" borderId="0"/>
    <xf numFmtId="0" fontId="11" fillId="0" borderId="0"/>
    <xf numFmtId="0" fontId="13" fillId="0" borderId="0"/>
    <xf numFmtId="0" fontId="13" fillId="0" borderId="0"/>
    <xf numFmtId="0" fontId="11" fillId="0" borderId="0"/>
    <xf numFmtId="0" fontId="11" fillId="0" borderId="0"/>
    <xf numFmtId="0" fontId="19"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9"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9"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9"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9"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9" fillId="0" borderId="0"/>
    <xf numFmtId="0" fontId="11" fillId="0" borderId="0"/>
    <xf numFmtId="0" fontId="11" fillId="0" borderId="0"/>
    <xf numFmtId="0" fontId="11" fillId="0" borderId="0"/>
    <xf numFmtId="0" fontId="19" fillId="0" borderId="0"/>
    <xf numFmtId="0" fontId="11" fillId="0" borderId="0"/>
    <xf numFmtId="0" fontId="11" fillId="0" borderId="0"/>
    <xf numFmtId="0" fontId="11" fillId="0" borderId="0"/>
    <xf numFmtId="0" fontId="19" fillId="0" borderId="0"/>
    <xf numFmtId="0" fontId="39" fillId="0" borderId="0"/>
    <xf numFmtId="0" fontId="10" fillId="26" borderId="11" applyNumberFormat="0" applyFont="0" applyAlignment="0" applyProtection="0"/>
    <xf numFmtId="0" fontId="11" fillId="26" borderId="11" applyNumberFormat="0" applyFont="0" applyAlignment="0" applyProtection="0"/>
    <xf numFmtId="0" fontId="43" fillId="26" borderId="11" applyNumberFormat="0" applyFont="0" applyAlignment="0" applyProtection="0"/>
    <xf numFmtId="0" fontId="38" fillId="26" borderId="11" applyNumberFormat="0" applyFont="0" applyAlignment="0" applyProtection="0"/>
    <xf numFmtId="169" fontId="10" fillId="0" borderId="0" applyFont="0" applyFill="0" applyBorder="0" applyAlignment="0" applyProtection="0"/>
    <xf numFmtId="169" fontId="10" fillId="0" borderId="0" applyFont="0" applyFill="0" applyBorder="0" applyAlignment="0" applyProtection="0"/>
    <xf numFmtId="169" fontId="11" fillId="0" borderId="0" applyFont="0" applyFill="0" applyBorder="0" applyAlignment="0" applyProtection="0"/>
    <xf numFmtId="169" fontId="43" fillId="0" borderId="0" applyFont="0" applyFill="0" applyBorder="0" applyAlignment="0" applyProtection="0"/>
    <xf numFmtId="169" fontId="38" fillId="0" borderId="0" applyFont="0" applyFill="0" applyBorder="0" applyAlignment="0" applyProtection="0"/>
    <xf numFmtId="169" fontId="10" fillId="0" borderId="0" applyFont="0" applyFill="0" applyBorder="0" applyAlignment="0" applyProtection="0"/>
    <xf numFmtId="169" fontId="11" fillId="0" borderId="0" applyFont="0" applyFill="0" applyBorder="0" applyAlignment="0" applyProtection="0"/>
    <xf numFmtId="169" fontId="43" fillId="0" borderId="0" applyFont="0" applyFill="0" applyBorder="0" applyAlignment="0" applyProtection="0"/>
    <xf numFmtId="169" fontId="38" fillId="0" borderId="0" applyFont="0" applyFill="0" applyBorder="0" applyAlignment="0" applyProtection="0"/>
    <xf numFmtId="169" fontId="10" fillId="0" borderId="0" applyFont="0" applyFill="0" applyBorder="0" applyAlignment="0" applyProtection="0"/>
    <xf numFmtId="169" fontId="11" fillId="0" borderId="0" applyFont="0" applyFill="0" applyBorder="0" applyAlignment="0" applyProtection="0"/>
    <xf numFmtId="169" fontId="43" fillId="0" borderId="0" applyFont="0" applyFill="0" applyBorder="0" applyAlignment="0" applyProtection="0"/>
    <xf numFmtId="169" fontId="38" fillId="0" borderId="0" applyFont="0" applyFill="0" applyBorder="0" applyAlignment="0" applyProtection="0"/>
    <xf numFmtId="169" fontId="10" fillId="0" borderId="0" applyFont="0" applyFill="0" applyBorder="0" applyAlignment="0" applyProtection="0"/>
    <xf numFmtId="169" fontId="11" fillId="0" borderId="0" applyFont="0" applyFill="0" applyBorder="0" applyAlignment="0" applyProtection="0"/>
    <xf numFmtId="169" fontId="43" fillId="0" borderId="0" applyFont="0" applyFill="0" applyBorder="0" applyAlignment="0" applyProtection="0"/>
    <xf numFmtId="169" fontId="38" fillId="0" borderId="0" applyFont="0" applyFill="0" applyBorder="0" applyAlignment="0" applyProtection="0"/>
    <xf numFmtId="169" fontId="10" fillId="0" borderId="0" applyFont="0" applyFill="0" applyBorder="0" applyAlignment="0" applyProtection="0"/>
    <xf numFmtId="169" fontId="11" fillId="0" borderId="0" applyFont="0" applyFill="0" applyBorder="0" applyAlignment="0" applyProtection="0"/>
    <xf numFmtId="169" fontId="43" fillId="0" borderId="0" applyFont="0" applyFill="0" applyBorder="0" applyAlignment="0" applyProtection="0"/>
    <xf numFmtId="169" fontId="38" fillId="0" borderId="0" applyFont="0" applyFill="0" applyBorder="0" applyAlignment="0" applyProtection="0"/>
    <xf numFmtId="169" fontId="10" fillId="0" borderId="0" applyFont="0" applyFill="0" applyBorder="0" applyAlignment="0" applyProtection="0"/>
    <xf numFmtId="169" fontId="11" fillId="0" borderId="0" applyFont="0" applyFill="0" applyBorder="0" applyAlignment="0" applyProtection="0"/>
    <xf numFmtId="169" fontId="43" fillId="0" borderId="0" applyFont="0" applyFill="0" applyBorder="0" applyAlignment="0" applyProtection="0"/>
    <xf numFmtId="169" fontId="38" fillId="0" borderId="0" applyFont="0" applyFill="0" applyBorder="0" applyAlignment="0" applyProtection="0"/>
    <xf numFmtId="169" fontId="10" fillId="0" borderId="0" applyFont="0" applyFill="0" applyBorder="0" applyAlignment="0" applyProtection="0"/>
    <xf numFmtId="169" fontId="11" fillId="0" borderId="0" applyFont="0" applyFill="0" applyBorder="0" applyAlignment="0" applyProtection="0"/>
    <xf numFmtId="169" fontId="43" fillId="0" borderId="0" applyFont="0" applyFill="0" applyBorder="0" applyAlignment="0" applyProtection="0"/>
    <xf numFmtId="169" fontId="38" fillId="0" borderId="0" applyFont="0" applyFill="0" applyBorder="0" applyAlignment="0" applyProtection="0"/>
    <xf numFmtId="169" fontId="10" fillId="0" borderId="0" applyFont="0" applyFill="0" applyBorder="0" applyAlignment="0" applyProtection="0"/>
    <xf numFmtId="169" fontId="11" fillId="0" borderId="0" applyFont="0" applyFill="0" applyBorder="0" applyAlignment="0" applyProtection="0"/>
    <xf numFmtId="169" fontId="43" fillId="0" borderId="0" applyFont="0" applyFill="0" applyBorder="0" applyAlignment="0" applyProtection="0"/>
    <xf numFmtId="169" fontId="38" fillId="0" borderId="0" applyFont="0" applyFill="0" applyBorder="0" applyAlignment="0" applyProtection="0"/>
    <xf numFmtId="169" fontId="10" fillId="0" borderId="0" applyFont="0" applyFill="0" applyBorder="0" applyAlignment="0" applyProtection="0"/>
    <xf numFmtId="169" fontId="11" fillId="0" borderId="0" applyFont="0" applyFill="0" applyBorder="0" applyAlignment="0" applyProtection="0"/>
    <xf numFmtId="169" fontId="43" fillId="0" borderId="0" applyFont="0" applyFill="0" applyBorder="0" applyAlignment="0" applyProtection="0"/>
    <xf numFmtId="169" fontId="38" fillId="0" borderId="0" applyFont="0" applyFill="0" applyBorder="0" applyAlignment="0" applyProtection="0"/>
    <xf numFmtId="169" fontId="10" fillId="0" borderId="0" applyFont="0" applyFill="0" applyBorder="0" applyAlignment="0" applyProtection="0"/>
    <xf numFmtId="169" fontId="11" fillId="0" borderId="0" applyFont="0" applyFill="0" applyBorder="0" applyAlignment="0" applyProtection="0"/>
    <xf numFmtId="169" fontId="43" fillId="0" borderId="0" applyFont="0" applyFill="0" applyBorder="0" applyAlignment="0" applyProtection="0"/>
    <xf numFmtId="169" fontId="38" fillId="0" borderId="0" applyFont="0" applyFill="0" applyBorder="0" applyAlignment="0" applyProtection="0"/>
    <xf numFmtId="169" fontId="10" fillId="0" borderId="0" applyFont="0" applyFill="0" applyBorder="0" applyAlignment="0" applyProtection="0"/>
    <xf numFmtId="169" fontId="11" fillId="0" borderId="0" applyFont="0" applyFill="0" applyBorder="0" applyAlignment="0" applyProtection="0"/>
    <xf numFmtId="169" fontId="43" fillId="0" borderId="0" applyFont="0" applyFill="0" applyBorder="0" applyAlignment="0" applyProtection="0"/>
    <xf numFmtId="169" fontId="38" fillId="0" borderId="0" applyFont="0" applyFill="0" applyBorder="0" applyAlignment="0" applyProtection="0"/>
    <xf numFmtId="169" fontId="10" fillId="0" borderId="0" applyFont="0" applyFill="0" applyBorder="0" applyAlignment="0" applyProtection="0"/>
    <xf numFmtId="169" fontId="11" fillId="0" borderId="0" applyFont="0" applyFill="0" applyBorder="0" applyAlignment="0" applyProtection="0"/>
    <xf numFmtId="169" fontId="43" fillId="0" borderId="0" applyFont="0" applyFill="0" applyBorder="0" applyAlignment="0" applyProtection="0"/>
    <xf numFmtId="169" fontId="38" fillId="0" borderId="0" applyFont="0" applyFill="0" applyBorder="0" applyAlignment="0" applyProtection="0"/>
    <xf numFmtId="169" fontId="10" fillId="0" borderId="0" applyFont="0" applyFill="0" applyBorder="0" applyAlignment="0" applyProtection="0"/>
    <xf numFmtId="169" fontId="11" fillId="0" borderId="0" applyFont="0" applyFill="0" applyBorder="0" applyAlignment="0" applyProtection="0"/>
    <xf numFmtId="169" fontId="43" fillId="0" borderId="0" applyFont="0" applyFill="0" applyBorder="0" applyAlignment="0" applyProtection="0"/>
    <xf numFmtId="169" fontId="38" fillId="0" borderId="0" applyFont="0" applyFill="0" applyBorder="0" applyAlignment="0" applyProtection="0"/>
    <xf numFmtId="169" fontId="10" fillId="0" borderId="0" applyFont="0" applyFill="0" applyBorder="0" applyAlignment="0" applyProtection="0"/>
    <xf numFmtId="169" fontId="11" fillId="0" borderId="0" applyFont="0" applyFill="0" applyBorder="0" applyAlignment="0" applyProtection="0"/>
    <xf numFmtId="169" fontId="43" fillId="0" borderId="0" applyFont="0" applyFill="0" applyBorder="0" applyAlignment="0" applyProtection="0"/>
    <xf numFmtId="169" fontId="38" fillId="0" borderId="0" applyFont="0" applyFill="0" applyBorder="0" applyAlignment="0" applyProtection="0"/>
    <xf numFmtId="169" fontId="10" fillId="0" borderId="0" applyFont="0" applyFill="0" applyBorder="0" applyAlignment="0" applyProtection="0"/>
    <xf numFmtId="169" fontId="11" fillId="0" borderId="0" applyFont="0" applyFill="0" applyBorder="0" applyAlignment="0" applyProtection="0"/>
    <xf numFmtId="169" fontId="43" fillId="0" borderId="0" applyFont="0" applyFill="0" applyBorder="0" applyAlignment="0" applyProtection="0"/>
    <xf numFmtId="169" fontId="38" fillId="0" borderId="0" applyFont="0" applyFill="0" applyBorder="0" applyAlignment="0" applyProtection="0"/>
    <xf numFmtId="169" fontId="10" fillId="0" borderId="0" applyFont="0" applyFill="0" applyBorder="0" applyAlignment="0" applyProtection="0"/>
    <xf numFmtId="169" fontId="11" fillId="0" borderId="0" applyFont="0" applyFill="0" applyBorder="0" applyAlignment="0" applyProtection="0"/>
    <xf numFmtId="169" fontId="43" fillId="0" borderId="0" applyFont="0" applyFill="0" applyBorder="0" applyAlignment="0" applyProtection="0"/>
    <xf numFmtId="169" fontId="38" fillId="0" borderId="0" applyFont="0" applyFill="0" applyBorder="0" applyAlignment="0" applyProtection="0"/>
    <xf numFmtId="169" fontId="10" fillId="0" borderId="0" applyFont="0" applyFill="0" applyBorder="0" applyAlignment="0" applyProtection="0"/>
    <xf numFmtId="169" fontId="11" fillId="0" borderId="0" applyFont="0" applyFill="0" applyBorder="0" applyAlignment="0" applyProtection="0"/>
    <xf numFmtId="169" fontId="43" fillId="0" borderId="0" applyFont="0" applyFill="0" applyBorder="0" applyAlignment="0" applyProtection="0"/>
    <xf numFmtId="169" fontId="38" fillId="0" borderId="0" applyFont="0" applyFill="0" applyBorder="0" applyAlignment="0" applyProtection="0"/>
    <xf numFmtId="169" fontId="10" fillId="0" borderId="0" applyFont="0" applyFill="0" applyBorder="0" applyAlignment="0" applyProtection="0"/>
    <xf numFmtId="169" fontId="11" fillId="0" borderId="0" applyFont="0" applyFill="0" applyBorder="0" applyAlignment="0" applyProtection="0"/>
    <xf numFmtId="169" fontId="43" fillId="0" borderId="0" applyFont="0" applyFill="0" applyBorder="0" applyAlignment="0" applyProtection="0"/>
    <xf numFmtId="169" fontId="38" fillId="0" borderId="0" applyFont="0" applyFill="0" applyBorder="0" applyAlignment="0" applyProtection="0"/>
    <xf numFmtId="169" fontId="10" fillId="0" borderId="0" applyFont="0" applyFill="0" applyBorder="0" applyAlignment="0" applyProtection="0"/>
    <xf numFmtId="169" fontId="11" fillId="0" borderId="0" applyFont="0" applyFill="0" applyBorder="0" applyAlignment="0" applyProtection="0"/>
    <xf numFmtId="169" fontId="43" fillId="0" borderId="0" applyFont="0" applyFill="0" applyBorder="0" applyAlignment="0" applyProtection="0"/>
    <xf numFmtId="169" fontId="38" fillId="0" borderId="0" applyFont="0" applyFill="0" applyBorder="0" applyAlignment="0" applyProtection="0"/>
    <xf numFmtId="169" fontId="10" fillId="0" borderId="0" applyFont="0" applyFill="0" applyBorder="0" applyAlignment="0" applyProtection="0"/>
    <xf numFmtId="169" fontId="11" fillId="0" borderId="0" applyFont="0" applyFill="0" applyBorder="0" applyAlignment="0" applyProtection="0"/>
    <xf numFmtId="169" fontId="43" fillId="0" borderId="0" applyFont="0" applyFill="0" applyBorder="0" applyAlignment="0" applyProtection="0"/>
    <xf numFmtId="169" fontId="38" fillId="0" borderId="0" applyFont="0" applyFill="0" applyBorder="0" applyAlignment="0" applyProtection="0"/>
    <xf numFmtId="169" fontId="10" fillId="0" borderId="0" applyFont="0" applyFill="0" applyBorder="0" applyAlignment="0" applyProtection="0"/>
    <xf numFmtId="169" fontId="11" fillId="0" borderId="0" applyFont="0" applyFill="0" applyBorder="0" applyAlignment="0" applyProtection="0"/>
    <xf numFmtId="169" fontId="43" fillId="0" borderId="0" applyFont="0" applyFill="0" applyBorder="0" applyAlignment="0" applyProtection="0"/>
    <xf numFmtId="169" fontId="38" fillId="0" borderId="0" applyFont="0" applyFill="0" applyBorder="0" applyAlignment="0" applyProtection="0"/>
    <xf numFmtId="169" fontId="10" fillId="0" borderId="0" applyFont="0" applyFill="0" applyBorder="0" applyAlignment="0" applyProtection="0"/>
    <xf numFmtId="169" fontId="11" fillId="0" borderId="0" applyFont="0" applyFill="0" applyBorder="0" applyAlignment="0" applyProtection="0"/>
    <xf numFmtId="169" fontId="43" fillId="0" borderId="0" applyFont="0" applyFill="0" applyBorder="0" applyAlignment="0" applyProtection="0"/>
    <xf numFmtId="169" fontId="38" fillId="0" borderId="0" applyFont="0" applyFill="0" applyBorder="0" applyAlignment="0" applyProtection="0"/>
    <xf numFmtId="169" fontId="10" fillId="0" borderId="0" applyFont="0" applyFill="0" applyBorder="0" applyAlignment="0" applyProtection="0"/>
    <xf numFmtId="169" fontId="11" fillId="0" borderId="0" applyFont="0" applyFill="0" applyBorder="0" applyAlignment="0" applyProtection="0"/>
    <xf numFmtId="169" fontId="43" fillId="0" borderId="0" applyFont="0" applyFill="0" applyBorder="0" applyAlignment="0" applyProtection="0"/>
    <xf numFmtId="169" fontId="38" fillId="0" borderId="0" applyFont="0" applyFill="0" applyBorder="0" applyAlignment="0" applyProtection="0"/>
    <xf numFmtId="169" fontId="10" fillId="0" borderId="0" applyFont="0" applyFill="0" applyBorder="0" applyAlignment="0" applyProtection="0"/>
    <xf numFmtId="169" fontId="11" fillId="0" borderId="0" applyFont="0" applyFill="0" applyBorder="0" applyAlignment="0" applyProtection="0"/>
    <xf numFmtId="169" fontId="43" fillId="0" borderId="0" applyFont="0" applyFill="0" applyBorder="0" applyAlignment="0" applyProtection="0"/>
    <xf numFmtId="169" fontId="38" fillId="0" borderId="0" applyFont="0" applyFill="0" applyBorder="0" applyAlignment="0" applyProtection="0"/>
    <xf numFmtId="169" fontId="10" fillId="0" borderId="0" applyFont="0" applyFill="0" applyBorder="0" applyAlignment="0" applyProtection="0"/>
    <xf numFmtId="169" fontId="11" fillId="0" borderId="0" applyFont="0" applyFill="0" applyBorder="0" applyAlignment="0" applyProtection="0"/>
    <xf numFmtId="169" fontId="43" fillId="0" borderId="0" applyFont="0" applyFill="0" applyBorder="0" applyAlignment="0" applyProtection="0"/>
    <xf numFmtId="169" fontId="38" fillId="0" borderId="0" applyFont="0" applyFill="0" applyBorder="0" applyAlignment="0" applyProtection="0"/>
    <xf numFmtId="169" fontId="10" fillId="0" borderId="0" applyFont="0" applyFill="0" applyBorder="0" applyAlignment="0" applyProtection="0"/>
    <xf numFmtId="169" fontId="11" fillId="0" borderId="0" applyFont="0" applyFill="0" applyBorder="0" applyAlignment="0" applyProtection="0"/>
    <xf numFmtId="169" fontId="43" fillId="0" borderId="0" applyFont="0" applyFill="0" applyBorder="0" applyAlignment="0" applyProtection="0"/>
    <xf numFmtId="169" fontId="38" fillId="0" borderId="0" applyFont="0" applyFill="0" applyBorder="0" applyAlignment="0" applyProtection="0"/>
    <xf numFmtId="169" fontId="10" fillId="0" borderId="0" applyFont="0" applyFill="0" applyBorder="0" applyAlignment="0" applyProtection="0"/>
    <xf numFmtId="169" fontId="11" fillId="0" borderId="0" applyFont="0" applyFill="0" applyBorder="0" applyAlignment="0" applyProtection="0"/>
    <xf numFmtId="169" fontId="43" fillId="0" borderId="0" applyFont="0" applyFill="0" applyBorder="0" applyAlignment="0" applyProtection="0"/>
    <xf numFmtId="169" fontId="38" fillId="0" borderId="0" applyFont="0" applyFill="0" applyBorder="0" applyAlignment="0" applyProtection="0"/>
    <xf numFmtId="169" fontId="10" fillId="0" borderId="0" applyFont="0" applyFill="0" applyBorder="0" applyAlignment="0" applyProtection="0"/>
    <xf numFmtId="169" fontId="11" fillId="0" borderId="0" applyFont="0" applyFill="0" applyBorder="0" applyAlignment="0" applyProtection="0"/>
    <xf numFmtId="169" fontId="43" fillId="0" borderId="0" applyFont="0" applyFill="0" applyBorder="0" applyAlignment="0" applyProtection="0"/>
    <xf numFmtId="169" fontId="38" fillId="0" borderId="0" applyFont="0" applyFill="0" applyBorder="0" applyAlignment="0" applyProtection="0"/>
    <xf numFmtId="169" fontId="10" fillId="0" borderId="0" applyFont="0" applyFill="0" applyBorder="0" applyAlignment="0" applyProtection="0"/>
    <xf numFmtId="169" fontId="11" fillId="0" borderId="0" applyFont="0" applyFill="0" applyBorder="0" applyAlignment="0" applyProtection="0"/>
    <xf numFmtId="169" fontId="43" fillId="0" borderId="0" applyFont="0" applyFill="0" applyBorder="0" applyAlignment="0" applyProtection="0"/>
    <xf numFmtId="169" fontId="38" fillId="0" borderId="0" applyFont="0" applyFill="0" applyBorder="0" applyAlignment="0" applyProtection="0"/>
    <xf numFmtId="169" fontId="10" fillId="0" borderId="0" applyFont="0" applyFill="0" applyBorder="0" applyAlignment="0" applyProtection="0"/>
    <xf numFmtId="169" fontId="11" fillId="0" borderId="0" applyFont="0" applyFill="0" applyBorder="0" applyAlignment="0" applyProtection="0"/>
    <xf numFmtId="169" fontId="43" fillId="0" borderId="0" applyFont="0" applyFill="0" applyBorder="0" applyAlignment="0" applyProtection="0"/>
    <xf numFmtId="169" fontId="38" fillId="0" borderId="0" applyFont="0" applyFill="0" applyBorder="0" applyAlignment="0" applyProtection="0"/>
    <xf numFmtId="169" fontId="10" fillId="0" borderId="0" applyFont="0" applyFill="0" applyBorder="0" applyAlignment="0" applyProtection="0"/>
    <xf numFmtId="169" fontId="11" fillId="0" borderId="0" applyFont="0" applyFill="0" applyBorder="0" applyAlignment="0" applyProtection="0"/>
    <xf numFmtId="169" fontId="43" fillId="0" borderId="0" applyFont="0" applyFill="0" applyBorder="0" applyAlignment="0" applyProtection="0"/>
    <xf numFmtId="169" fontId="38" fillId="0" borderId="0" applyFont="0" applyFill="0" applyBorder="0" applyAlignment="0" applyProtection="0"/>
    <xf numFmtId="169" fontId="10" fillId="0" borderId="0" applyFont="0" applyFill="0" applyBorder="0" applyAlignment="0" applyProtection="0"/>
    <xf numFmtId="169" fontId="11" fillId="0" borderId="0" applyFont="0" applyFill="0" applyBorder="0" applyAlignment="0" applyProtection="0"/>
    <xf numFmtId="169" fontId="43" fillId="0" borderId="0" applyFont="0" applyFill="0" applyBorder="0" applyAlignment="0" applyProtection="0"/>
    <xf numFmtId="169" fontId="38" fillId="0" borderId="0" applyFont="0" applyFill="0" applyBorder="0" applyAlignment="0" applyProtection="0"/>
    <xf numFmtId="169" fontId="10" fillId="0" borderId="0" applyFont="0" applyFill="0" applyBorder="0" applyAlignment="0" applyProtection="0"/>
    <xf numFmtId="169" fontId="11" fillId="0" borderId="0" applyFont="0" applyFill="0" applyBorder="0" applyAlignment="0" applyProtection="0"/>
    <xf numFmtId="169" fontId="43" fillId="0" borderId="0" applyFont="0" applyFill="0" applyBorder="0" applyAlignment="0" applyProtection="0"/>
    <xf numFmtId="169" fontId="38" fillId="0" borderId="0" applyFont="0" applyFill="0" applyBorder="0" applyAlignment="0" applyProtection="0"/>
    <xf numFmtId="169" fontId="10" fillId="0" borderId="0" applyFont="0" applyFill="0" applyBorder="0" applyAlignment="0" applyProtection="0"/>
    <xf numFmtId="169" fontId="11" fillId="0" borderId="0" applyFont="0" applyFill="0" applyBorder="0" applyAlignment="0" applyProtection="0"/>
    <xf numFmtId="169" fontId="43" fillId="0" borderId="0" applyFont="0" applyFill="0" applyBorder="0" applyAlignment="0" applyProtection="0"/>
    <xf numFmtId="169" fontId="38" fillId="0" borderId="0" applyFont="0" applyFill="0" applyBorder="0" applyAlignment="0" applyProtection="0"/>
    <xf numFmtId="169" fontId="10" fillId="0" borderId="0" applyFont="0" applyFill="0" applyBorder="0" applyAlignment="0" applyProtection="0"/>
    <xf numFmtId="169" fontId="11" fillId="0" borderId="0" applyFont="0" applyFill="0" applyBorder="0" applyAlignment="0" applyProtection="0"/>
    <xf numFmtId="169" fontId="43" fillId="0" borderId="0" applyFont="0" applyFill="0" applyBorder="0" applyAlignment="0" applyProtection="0"/>
    <xf numFmtId="169" fontId="38" fillId="0" borderId="0" applyFont="0" applyFill="0" applyBorder="0" applyAlignment="0" applyProtection="0"/>
    <xf numFmtId="169" fontId="10" fillId="0" borderId="0" applyFont="0" applyFill="0" applyBorder="0" applyAlignment="0" applyProtection="0"/>
    <xf numFmtId="169" fontId="11" fillId="0" borderId="0" applyFont="0" applyFill="0" applyBorder="0" applyAlignment="0" applyProtection="0"/>
    <xf numFmtId="169" fontId="43" fillId="0" borderId="0" applyFont="0" applyFill="0" applyBorder="0" applyAlignment="0" applyProtection="0"/>
    <xf numFmtId="169" fontId="38" fillId="0" borderId="0" applyFont="0" applyFill="0" applyBorder="0" applyAlignment="0" applyProtection="0"/>
    <xf numFmtId="169" fontId="10" fillId="0" borderId="0" applyFont="0" applyFill="0" applyBorder="0" applyAlignment="0" applyProtection="0"/>
    <xf numFmtId="169" fontId="11" fillId="0" borderId="0" applyFont="0" applyFill="0" applyBorder="0" applyAlignment="0" applyProtection="0"/>
    <xf numFmtId="169" fontId="43" fillId="0" borderId="0" applyFont="0" applyFill="0" applyBorder="0" applyAlignment="0" applyProtection="0"/>
    <xf numFmtId="169" fontId="38" fillId="0" borderId="0" applyFont="0" applyFill="0" applyBorder="0" applyAlignment="0" applyProtection="0"/>
    <xf numFmtId="169" fontId="10" fillId="0" borderId="0" applyFont="0" applyFill="0" applyBorder="0" applyAlignment="0" applyProtection="0"/>
    <xf numFmtId="169" fontId="11" fillId="0" borderId="0" applyFont="0" applyFill="0" applyBorder="0" applyAlignment="0" applyProtection="0"/>
    <xf numFmtId="169" fontId="43" fillId="0" borderId="0" applyFont="0" applyFill="0" applyBorder="0" applyAlignment="0" applyProtection="0"/>
    <xf numFmtId="169" fontId="38" fillId="0" borderId="0" applyFont="0" applyFill="0" applyBorder="0" applyAlignment="0" applyProtection="0"/>
    <xf numFmtId="169" fontId="11" fillId="0" borderId="0" applyFont="0" applyFill="0" applyBorder="0" applyAlignment="0" applyProtection="0"/>
    <xf numFmtId="169" fontId="43" fillId="0" borderId="0" applyFont="0" applyFill="0" applyBorder="0" applyAlignment="0" applyProtection="0"/>
    <xf numFmtId="169" fontId="38" fillId="0" borderId="0" applyFont="0" applyFill="0" applyBorder="0" applyAlignment="0" applyProtection="0"/>
    <xf numFmtId="169" fontId="10" fillId="0" borderId="0" applyFont="0" applyFill="0" applyBorder="0" applyAlignment="0" applyProtection="0"/>
    <xf numFmtId="169" fontId="11" fillId="0" borderId="0" applyFont="0" applyFill="0" applyBorder="0" applyAlignment="0" applyProtection="0"/>
    <xf numFmtId="169" fontId="43" fillId="0" borderId="0" applyFont="0" applyFill="0" applyBorder="0" applyAlignment="0" applyProtection="0"/>
    <xf numFmtId="169" fontId="38" fillId="0" borderId="0" applyFont="0" applyFill="0" applyBorder="0" applyAlignment="0" applyProtection="0"/>
    <xf numFmtId="169" fontId="10" fillId="0" borderId="0" applyFont="0" applyFill="0" applyBorder="0" applyAlignment="0" applyProtection="0"/>
    <xf numFmtId="169" fontId="11" fillId="0" borderId="0" applyFont="0" applyFill="0" applyBorder="0" applyAlignment="0" applyProtection="0"/>
    <xf numFmtId="169" fontId="43" fillId="0" borderId="0" applyFont="0" applyFill="0" applyBorder="0" applyAlignment="0" applyProtection="0"/>
    <xf numFmtId="169" fontId="38" fillId="0" borderId="0" applyFont="0" applyFill="0" applyBorder="0" applyAlignment="0" applyProtection="0"/>
    <xf numFmtId="169" fontId="10" fillId="0" borderId="0" applyFont="0" applyFill="0" applyBorder="0" applyAlignment="0" applyProtection="0"/>
    <xf numFmtId="169" fontId="11" fillId="0" borderId="0" applyFont="0" applyFill="0" applyBorder="0" applyAlignment="0" applyProtection="0"/>
    <xf numFmtId="169" fontId="43" fillId="0" borderId="0" applyFont="0" applyFill="0" applyBorder="0" applyAlignment="0" applyProtection="0"/>
    <xf numFmtId="169" fontId="38" fillId="0" borderId="0" applyFont="0" applyFill="0" applyBorder="0" applyAlignment="0" applyProtection="0"/>
    <xf numFmtId="169" fontId="10" fillId="0" borderId="0" applyFont="0" applyFill="0" applyBorder="0" applyAlignment="0" applyProtection="0"/>
    <xf numFmtId="169" fontId="11" fillId="0" borderId="0" applyFont="0" applyFill="0" applyBorder="0" applyAlignment="0" applyProtection="0"/>
    <xf numFmtId="169" fontId="43" fillId="0" borderId="0" applyFont="0" applyFill="0" applyBorder="0" applyAlignment="0" applyProtection="0"/>
    <xf numFmtId="169" fontId="38" fillId="0" borderId="0" applyFont="0" applyFill="0" applyBorder="0" applyAlignment="0" applyProtection="0"/>
    <xf numFmtId="169" fontId="10" fillId="0" borderId="0" applyFont="0" applyFill="0" applyBorder="0" applyAlignment="0" applyProtection="0"/>
    <xf numFmtId="169" fontId="11" fillId="0" borderId="0" applyFont="0" applyFill="0" applyBorder="0" applyAlignment="0" applyProtection="0"/>
    <xf numFmtId="169" fontId="43" fillId="0" borderId="0" applyFont="0" applyFill="0" applyBorder="0" applyAlignment="0" applyProtection="0"/>
    <xf numFmtId="169" fontId="38" fillId="0" borderId="0" applyFont="0" applyFill="0" applyBorder="0" applyAlignment="0" applyProtection="0"/>
    <xf numFmtId="0" fontId="21" fillId="21" borderId="12" applyNumberFormat="0" applyAlignment="0" applyProtection="0"/>
    <xf numFmtId="0" fontId="21" fillId="21" borderId="12" applyNumberFormat="0" applyAlignment="0" applyProtection="0"/>
    <xf numFmtId="181" fontId="41" fillId="27" borderId="2" applyNumberFormat="0" applyFont="0" applyBorder="0" applyAlignment="0" applyProtection="0">
      <alignment horizontal="right" vertical="center"/>
    </xf>
    <xf numFmtId="0" fontId="45" fillId="0" borderId="0"/>
    <xf numFmtId="9" fontId="10" fillId="0" borderId="0" applyFont="0" applyFill="0" applyBorder="0" applyAlignment="0" applyProtection="0"/>
    <xf numFmtId="9" fontId="11" fillId="0" borderId="0" applyFont="0" applyFill="0" applyBorder="0" applyAlignment="0" applyProtection="0"/>
    <xf numFmtId="9" fontId="38" fillId="0" borderId="0" applyFont="0" applyFill="0" applyBorder="0" applyAlignment="0" applyProtection="0"/>
    <xf numFmtId="9" fontId="38" fillId="0" borderId="0" applyFont="0" applyFill="0" applyBorder="0" applyAlignment="0" applyProtection="0"/>
    <xf numFmtId="9" fontId="43" fillId="0" borderId="0" applyFont="0" applyFill="0" applyBorder="0" applyAlignment="0" applyProtection="0"/>
    <xf numFmtId="9" fontId="38" fillId="0" borderId="0" applyFont="0" applyFill="0" applyBorder="0" applyAlignment="0" applyProtection="0"/>
    <xf numFmtId="9" fontId="76" fillId="0" borderId="0" applyFont="0" applyFill="0" applyBorder="0" applyAlignment="0" applyProtection="0"/>
    <xf numFmtId="9" fontId="31" fillId="0" borderId="0" applyFont="0" applyFill="0" applyBorder="0" applyAlignment="0" applyProtection="0"/>
    <xf numFmtId="9" fontId="10" fillId="0" borderId="0" applyFont="0" applyFill="0" applyBorder="0" applyAlignment="0" applyProtection="0"/>
    <xf numFmtId="9" fontId="11" fillId="0" borderId="0" applyFont="0" applyFill="0" applyBorder="0" applyAlignment="0" applyProtection="0"/>
    <xf numFmtId="9" fontId="43" fillId="0" borderId="0" applyFont="0" applyFill="0" applyBorder="0" applyAlignment="0" applyProtection="0"/>
    <xf numFmtId="9" fontId="38" fillId="0" borderId="0" applyFont="0" applyFill="0" applyBorder="0" applyAlignment="0" applyProtection="0"/>
    <xf numFmtId="9" fontId="10" fillId="0" borderId="0" applyFont="0" applyFill="0" applyBorder="0" applyAlignment="0" applyProtection="0"/>
    <xf numFmtId="9" fontId="11" fillId="0" borderId="0" applyFont="0" applyFill="0" applyBorder="0" applyAlignment="0" applyProtection="0"/>
    <xf numFmtId="9" fontId="43" fillId="0" borderId="0" applyFont="0" applyFill="0" applyBorder="0" applyAlignment="0" applyProtection="0"/>
    <xf numFmtId="9" fontId="38" fillId="0" borderId="0" applyFont="0" applyFill="0" applyBorder="0" applyAlignment="0" applyProtection="0"/>
    <xf numFmtId="9" fontId="10" fillId="0" borderId="0" applyFont="0" applyFill="0" applyBorder="0" applyAlignment="0" applyProtection="0"/>
    <xf numFmtId="9" fontId="11" fillId="0" borderId="0" applyFont="0" applyFill="0" applyBorder="0" applyAlignment="0" applyProtection="0"/>
    <xf numFmtId="9" fontId="43" fillId="0" borderId="0" applyFont="0" applyFill="0" applyBorder="0" applyAlignment="0" applyProtection="0"/>
    <xf numFmtId="9" fontId="38" fillId="0" borderId="0" applyFont="0" applyFill="0" applyBorder="0" applyAlignment="0" applyProtection="0"/>
    <xf numFmtId="9" fontId="10" fillId="0" borderId="0" applyFont="0" applyFill="0" applyBorder="0" applyAlignment="0" applyProtection="0"/>
    <xf numFmtId="9" fontId="11" fillId="0" borderId="0" applyFont="0" applyFill="0" applyBorder="0" applyAlignment="0" applyProtection="0"/>
    <xf numFmtId="9" fontId="43" fillId="0" borderId="0" applyFont="0" applyFill="0" applyBorder="0" applyAlignment="0" applyProtection="0"/>
    <xf numFmtId="9" fontId="38" fillId="0" borderId="0" applyFont="0" applyFill="0" applyBorder="0" applyAlignment="0" applyProtection="0"/>
    <xf numFmtId="9" fontId="10" fillId="0" borderId="0" applyFont="0" applyFill="0" applyBorder="0" applyAlignment="0" applyProtection="0"/>
    <xf numFmtId="9" fontId="11" fillId="0" borderId="0" applyFont="0" applyFill="0" applyBorder="0" applyAlignment="0" applyProtection="0"/>
    <xf numFmtId="9" fontId="43" fillId="0" borderId="0" applyFont="0" applyFill="0" applyBorder="0" applyAlignment="0" applyProtection="0"/>
    <xf numFmtId="9" fontId="38" fillId="0" borderId="0" applyFont="0" applyFill="0" applyBorder="0" applyAlignment="0" applyProtection="0"/>
    <xf numFmtId="9" fontId="10" fillId="0" borderId="0" applyFont="0" applyFill="0" applyBorder="0" applyAlignment="0" applyProtection="0"/>
    <xf numFmtId="9" fontId="11" fillId="0" borderId="0" applyFont="0" applyFill="0" applyBorder="0" applyAlignment="0" applyProtection="0"/>
    <xf numFmtId="9" fontId="43" fillId="0" borderId="0" applyFont="0" applyFill="0" applyBorder="0" applyAlignment="0" applyProtection="0"/>
    <xf numFmtId="9" fontId="38" fillId="0" borderId="0" applyFont="0" applyFill="0" applyBorder="0" applyAlignment="0" applyProtection="0"/>
    <xf numFmtId="9" fontId="10" fillId="0" borderId="0" applyFont="0" applyFill="0" applyBorder="0" applyAlignment="0" applyProtection="0"/>
    <xf numFmtId="9" fontId="11" fillId="0" borderId="0" applyFont="0" applyFill="0" applyBorder="0" applyAlignment="0" applyProtection="0"/>
    <xf numFmtId="9" fontId="43" fillId="0" borderId="0" applyFont="0" applyFill="0" applyBorder="0" applyAlignment="0" applyProtection="0"/>
    <xf numFmtId="9" fontId="38" fillId="0" borderId="0" applyFont="0" applyFill="0" applyBorder="0" applyAlignment="0" applyProtection="0"/>
    <xf numFmtId="9" fontId="10" fillId="0" borderId="0" applyFont="0" applyFill="0" applyBorder="0" applyAlignment="0" applyProtection="0"/>
    <xf numFmtId="9" fontId="11" fillId="0" borderId="0" applyFont="0" applyFill="0" applyBorder="0" applyAlignment="0" applyProtection="0"/>
    <xf numFmtId="9" fontId="43" fillId="0" borderId="0" applyFont="0" applyFill="0" applyBorder="0" applyAlignment="0" applyProtection="0"/>
    <xf numFmtId="9" fontId="38" fillId="0" borderId="0" applyFont="0" applyFill="0" applyBorder="0" applyAlignment="0" applyProtection="0"/>
    <xf numFmtId="9" fontId="10" fillId="0" borderId="0" applyFont="0" applyFill="0" applyBorder="0" applyAlignment="0" applyProtection="0"/>
    <xf numFmtId="9" fontId="11" fillId="0" borderId="0" applyFont="0" applyFill="0" applyBorder="0" applyAlignment="0" applyProtection="0"/>
    <xf numFmtId="9" fontId="43" fillId="0" borderId="0" applyFont="0" applyFill="0" applyBorder="0" applyAlignment="0" applyProtection="0"/>
    <xf numFmtId="9" fontId="38" fillId="0" borderId="0" applyFont="0" applyFill="0" applyBorder="0" applyAlignment="0" applyProtection="0"/>
    <xf numFmtId="9" fontId="10" fillId="0" borderId="0" applyFont="0" applyFill="0" applyBorder="0" applyAlignment="0" applyProtection="0"/>
    <xf numFmtId="9" fontId="11" fillId="0" borderId="0" applyFont="0" applyFill="0" applyBorder="0" applyAlignment="0" applyProtection="0"/>
    <xf numFmtId="9" fontId="43" fillId="0" borderId="0" applyFont="0" applyFill="0" applyBorder="0" applyAlignment="0" applyProtection="0"/>
    <xf numFmtId="9" fontId="38" fillId="0" borderId="0" applyFont="0" applyFill="0" applyBorder="0" applyAlignment="0" applyProtection="0"/>
    <xf numFmtId="9" fontId="10" fillId="0" borderId="0" applyFont="0" applyFill="0" applyBorder="0" applyAlignment="0" applyProtection="0"/>
    <xf numFmtId="9" fontId="11" fillId="0" borderId="0" applyFont="0" applyFill="0" applyBorder="0" applyAlignment="0" applyProtection="0"/>
    <xf numFmtId="9" fontId="43" fillId="0" borderId="0" applyFont="0" applyFill="0" applyBorder="0" applyAlignment="0" applyProtection="0"/>
    <xf numFmtId="9" fontId="38" fillId="0" borderId="0" applyFont="0" applyFill="0" applyBorder="0" applyAlignment="0" applyProtection="0"/>
    <xf numFmtId="9" fontId="10" fillId="0" borderId="0" applyFont="0" applyFill="0" applyBorder="0" applyAlignment="0" applyProtection="0"/>
    <xf numFmtId="9" fontId="11" fillId="0" borderId="0" applyFont="0" applyFill="0" applyBorder="0" applyAlignment="0" applyProtection="0"/>
    <xf numFmtId="9" fontId="43" fillId="0" borderId="0" applyFont="0" applyFill="0" applyBorder="0" applyAlignment="0" applyProtection="0"/>
    <xf numFmtId="9" fontId="38" fillId="0" borderId="0" applyFont="0" applyFill="0" applyBorder="0" applyAlignment="0" applyProtection="0"/>
    <xf numFmtId="9" fontId="10" fillId="0" borderId="0" applyFont="0" applyFill="0" applyBorder="0" applyAlignment="0" applyProtection="0"/>
    <xf numFmtId="9" fontId="11" fillId="0" borderId="0" applyFont="0" applyFill="0" applyBorder="0" applyAlignment="0" applyProtection="0"/>
    <xf numFmtId="9" fontId="43" fillId="0" borderId="0" applyFont="0" applyFill="0" applyBorder="0" applyAlignment="0" applyProtection="0"/>
    <xf numFmtId="9" fontId="38" fillId="0" borderId="0" applyFont="0" applyFill="0" applyBorder="0" applyAlignment="0" applyProtection="0"/>
    <xf numFmtId="9" fontId="10" fillId="0" borderId="0" applyFont="0" applyFill="0" applyBorder="0" applyAlignment="0" applyProtection="0"/>
    <xf numFmtId="9" fontId="11" fillId="0" borderId="0" applyFont="0" applyFill="0" applyBorder="0" applyAlignment="0" applyProtection="0"/>
    <xf numFmtId="9" fontId="43" fillId="0" borderId="0" applyFont="0" applyFill="0" applyBorder="0" applyAlignment="0" applyProtection="0"/>
    <xf numFmtId="9" fontId="38" fillId="0" borderId="0" applyFont="0" applyFill="0" applyBorder="0" applyAlignment="0" applyProtection="0"/>
    <xf numFmtId="9" fontId="10" fillId="0" borderId="0" applyFont="0" applyFill="0" applyBorder="0" applyAlignment="0" applyProtection="0"/>
    <xf numFmtId="9" fontId="11" fillId="0" borderId="0" applyFont="0" applyFill="0" applyBorder="0" applyAlignment="0" applyProtection="0"/>
    <xf numFmtId="9" fontId="43" fillId="0" borderId="0" applyFont="0" applyFill="0" applyBorder="0" applyAlignment="0" applyProtection="0"/>
    <xf numFmtId="9" fontId="38" fillId="0" borderId="0" applyFont="0" applyFill="0" applyBorder="0" applyAlignment="0" applyProtection="0"/>
    <xf numFmtId="9" fontId="10" fillId="0" borderId="0" applyFont="0" applyFill="0" applyBorder="0" applyAlignment="0" applyProtection="0"/>
    <xf numFmtId="9" fontId="11" fillId="0" borderId="0" applyFont="0" applyFill="0" applyBorder="0" applyAlignment="0" applyProtection="0"/>
    <xf numFmtId="9" fontId="43" fillId="0" borderId="0" applyFont="0" applyFill="0" applyBorder="0" applyAlignment="0" applyProtection="0"/>
    <xf numFmtId="9" fontId="38" fillId="0" borderId="0" applyFont="0" applyFill="0" applyBorder="0" applyAlignment="0" applyProtection="0"/>
    <xf numFmtId="9" fontId="10" fillId="0" borderId="0" applyFont="0" applyFill="0" applyBorder="0" applyAlignment="0" applyProtection="0"/>
    <xf numFmtId="9" fontId="11" fillId="0" borderId="0" applyFont="0" applyFill="0" applyBorder="0" applyAlignment="0" applyProtection="0"/>
    <xf numFmtId="9" fontId="43" fillId="0" borderId="0" applyFont="0" applyFill="0" applyBorder="0" applyAlignment="0" applyProtection="0"/>
    <xf numFmtId="9" fontId="38" fillId="0" borderId="0" applyFont="0" applyFill="0" applyBorder="0" applyAlignment="0" applyProtection="0"/>
    <xf numFmtId="9" fontId="10" fillId="0" borderId="0" applyFont="0" applyFill="0" applyBorder="0" applyAlignment="0" applyProtection="0"/>
    <xf numFmtId="9" fontId="11" fillId="0" borderId="0" applyFont="0" applyFill="0" applyBorder="0" applyAlignment="0" applyProtection="0"/>
    <xf numFmtId="9" fontId="43" fillId="0" borderId="0" applyFont="0" applyFill="0" applyBorder="0" applyAlignment="0" applyProtection="0"/>
    <xf numFmtId="9" fontId="38" fillId="0" borderId="0" applyFont="0" applyFill="0" applyBorder="0" applyAlignment="0" applyProtection="0"/>
    <xf numFmtId="9" fontId="10" fillId="0" borderId="0" applyFont="0" applyFill="0" applyBorder="0" applyAlignment="0" applyProtection="0"/>
    <xf numFmtId="9" fontId="11" fillId="0" borderId="0" applyFont="0" applyFill="0" applyBorder="0" applyAlignment="0" applyProtection="0"/>
    <xf numFmtId="9" fontId="43" fillId="0" borderId="0" applyFont="0" applyFill="0" applyBorder="0" applyAlignment="0" applyProtection="0"/>
    <xf numFmtId="9" fontId="38" fillId="0" borderId="0" applyFont="0" applyFill="0" applyBorder="0" applyAlignment="0" applyProtection="0"/>
    <xf numFmtId="9" fontId="10" fillId="0" borderId="0" applyFont="0" applyFill="0" applyBorder="0" applyAlignment="0" applyProtection="0"/>
    <xf numFmtId="9" fontId="11" fillId="0" borderId="0" applyFont="0" applyFill="0" applyBorder="0" applyAlignment="0" applyProtection="0"/>
    <xf numFmtId="9" fontId="43" fillId="0" borderId="0" applyFont="0" applyFill="0" applyBorder="0" applyAlignment="0" applyProtection="0"/>
    <xf numFmtId="9" fontId="38" fillId="0" borderId="0" applyFont="0" applyFill="0" applyBorder="0" applyAlignment="0" applyProtection="0"/>
    <xf numFmtId="9" fontId="10" fillId="0" borderId="0" applyFont="0" applyFill="0" applyBorder="0" applyAlignment="0" applyProtection="0"/>
    <xf numFmtId="9" fontId="11" fillId="0" borderId="0" applyFont="0" applyFill="0" applyBorder="0" applyAlignment="0" applyProtection="0"/>
    <xf numFmtId="9" fontId="43" fillId="0" borderId="0" applyFont="0" applyFill="0" applyBorder="0" applyAlignment="0" applyProtection="0"/>
    <xf numFmtId="9" fontId="38" fillId="0" borderId="0" applyFont="0" applyFill="0" applyBorder="0" applyAlignment="0" applyProtection="0"/>
    <xf numFmtId="9" fontId="10" fillId="0" borderId="0" applyFont="0" applyFill="0" applyBorder="0" applyAlignment="0" applyProtection="0"/>
    <xf numFmtId="9" fontId="11" fillId="0" borderId="0" applyFont="0" applyFill="0" applyBorder="0" applyAlignment="0" applyProtection="0"/>
    <xf numFmtId="9" fontId="43" fillId="0" borderId="0" applyFont="0" applyFill="0" applyBorder="0" applyAlignment="0" applyProtection="0"/>
    <xf numFmtId="9" fontId="38" fillId="0" borderId="0" applyFont="0" applyFill="0" applyBorder="0" applyAlignment="0" applyProtection="0"/>
    <xf numFmtId="9" fontId="10" fillId="0" borderId="0" applyFont="0" applyFill="0" applyBorder="0" applyAlignment="0" applyProtection="0"/>
    <xf numFmtId="9" fontId="11" fillId="0" borderId="0" applyFont="0" applyFill="0" applyBorder="0" applyAlignment="0" applyProtection="0"/>
    <xf numFmtId="9" fontId="43" fillId="0" borderId="0" applyFont="0" applyFill="0" applyBorder="0" applyAlignment="0" applyProtection="0"/>
    <xf numFmtId="9" fontId="38" fillId="0" borderId="0" applyFont="0" applyFill="0" applyBorder="0" applyAlignment="0" applyProtection="0"/>
    <xf numFmtId="9" fontId="10" fillId="0" borderId="0" applyFont="0" applyFill="0" applyBorder="0" applyAlignment="0" applyProtection="0"/>
    <xf numFmtId="9" fontId="11" fillId="0" borderId="0" applyFont="0" applyFill="0" applyBorder="0" applyAlignment="0" applyProtection="0"/>
    <xf numFmtId="9" fontId="43" fillId="0" borderId="0" applyFont="0" applyFill="0" applyBorder="0" applyAlignment="0" applyProtection="0"/>
    <xf numFmtId="9" fontId="38" fillId="0" borderId="0" applyFont="0" applyFill="0" applyBorder="0" applyAlignment="0" applyProtection="0"/>
    <xf numFmtId="9" fontId="10" fillId="0" borderId="0" applyFont="0" applyFill="0" applyBorder="0" applyAlignment="0" applyProtection="0"/>
    <xf numFmtId="9" fontId="11" fillId="0" borderId="0" applyFont="0" applyFill="0" applyBorder="0" applyAlignment="0" applyProtection="0"/>
    <xf numFmtId="9" fontId="43" fillId="0" borderId="0" applyFont="0" applyFill="0" applyBorder="0" applyAlignment="0" applyProtection="0"/>
    <xf numFmtId="9" fontId="38" fillId="0" borderId="0" applyFont="0" applyFill="0" applyBorder="0" applyAlignment="0" applyProtection="0"/>
    <xf numFmtId="9" fontId="10" fillId="0" borderId="0" applyFont="0" applyFill="0" applyBorder="0" applyAlignment="0" applyProtection="0"/>
    <xf numFmtId="9" fontId="11" fillId="0" borderId="0" applyFont="0" applyFill="0" applyBorder="0" applyAlignment="0" applyProtection="0"/>
    <xf numFmtId="9" fontId="43" fillId="0" borderId="0" applyFont="0" applyFill="0" applyBorder="0" applyAlignment="0" applyProtection="0"/>
    <xf numFmtId="9" fontId="38" fillId="0" borderId="0" applyFont="0" applyFill="0" applyBorder="0" applyAlignment="0" applyProtection="0"/>
    <xf numFmtId="9" fontId="10" fillId="0" borderId="0" applyFont="0" applyFill="0" applyBorder="0" applyAlignment="0" applyProtection="0"/>
    <xf numFmtId="9" fontId="11" fillId="0" borderId="0" applyFont="0" applyFill="0" applyBorder="0" applyAlignment="0" applyProtection="0"/>
    <xf numFmtId="9" fontId="43" fillId="0" borderId="0" applyFont="0" applyFill="0" applyBorder="0" applyAlignment="0" applyProtection="0"/>
    <xf numFmtId="9" fontId="38" fillId="0" borderId="0" applyFont="0" applyFill="0" applyBorder="0" applyAlignment="0" applyProtection="0"/>
    <xf numFmtId="9" fontId="10" fillId="0" borderId="0" applyFont="0" applyFill="0" applyBorder="0" applyAlignment="0" applyProtection="0"/>
    <xf numFmtId="9" fontId="11" fillId="0" borderId="0" applyFont="0" applyFill="0" applyBorder="0" applyAlignment="0" applyProtection="0"/>
    <xf numFmtId="9" fontId="43" fillId="0" borderId="0" applyFont="0" applyFill="0" applyBorder="0" applyAlignment="0" applyProtection="0"/>
    <xf numFmtId="9" fontId="38" fillId="0" borderId="0" applyFont="0" applyFill="0" applyBorder="0" applyAlignment="0" applyProtection="0"/>
    <xf numFmtId="9" fontId="10" fillId="0" borderId="0" applyFont="0" applyFill="0" applyBorder="0" applyAlignment="0" applyProtection="0"/>
    <xf numFmtId="9" fontId="11" fillId="0" borderId="0" applyFont="0" applyFill="0" applyBorder="0" applyAlignment="0" applyProtection="0"/>
    <xf numFmtId="9" fontId="43" fillId="0" borderId="0" applyFont="0" applyFill="0" applyBorder="0" applyAlignment="0" applyProtection="0"/>
    <xf numFmtId="9" fontId="38" fillId="0" borderId="0" applyFont="0" applyFill="0" applyBorder="0" applyAlignment="0" applyProtection="0"/>
    <xf numFmtId="9" fontId="10" fillId="0" borderId="0" applyFont="0" applyFill="0" applyBorder="0" applyAlignment="0" applyProtection="0"/>
    <xf numFmtId="9" fontId="11" fillId="0" borderId="0" applyFont="0" applyFill="0" applyBorder="0" applyAlignment="0" applyProtection="0"/>
    <xf numFmtId="9" fontId="43" fillId="0" borderId="0" applyFont="0" applyFill="0" applyBorder="0" applyAlignment="0" applyProtection="0"/>
    <xf numFmtId="9" fontId="38" fillId="0" borderId="0" applyFont="0" applyFill="0" applyBorder="0" applyAlignment="0" applyProtection="0"/>
    <xf numFmtId="9" fontId="10" fillId="0" borderId="0" applyFont="0" applyFill="0" applyBorder="0" applyAlignment="0" applyProtection="0"/>
    <xf numFmtId="9" fontId="11" fillId="0" borderId="0" applyFont="0" applyFill="0" applyBorder="0" applyAlignment="0" applyProtection="0"/>
    <xf numFmtId="9" fontId="43" fillId="0" borderId="0" applyFont="0" applyFill="0" applyBorder="0" applyAlignment="0" applyProtection="0"/>
    <xf numFmtId="9" fontId="38" fillId="0" borderId="0" applyFont="0" applyFill="0" applyBorder="0" applyAlignment="0" applyProtection="0"/>
    <xf numFmtId="9" fontId="10" fillId="0" borderId="0" applyFont="0" applyFill="0" applyBorder="0" applyAlignment="0" applyProtection="0"/>
    <xf numFmtId="9" fontId="11" fillId="0" borderId="0" applyFont="0" applyFill="0" applyBorder="0" applyAlignment="0" applyProtection="0"/>
    <xf numFmtId="9" fontId="43" fillId="0" borderId="0" applyFont="0" applyFill="0" applyBorder="0" applyAlignment="0" applyProtection="0"/>
    <xf numFmtId="9" fontId="38" fillId="0" borderId="0" applyFont="0" applyFill="0" applyBorder="0" applyAlignment="0" applyProtection="0"/>
    <xf numFmtId="9" fontId="10" fillId="0" borderId="0" applyFont="0" applyFill="0" applyBorder="0" applyAlignment="0" applyProtection="0"/>
    <xf numFmtId="9" fontId="11" fillId="0" borderId="0" applyFont="0" applyFill="0" applyBorder="0" applyAlignment="0" applyProtection="0"/>
    <xf numFmtId="9" fontId="43" fillId="0" borderId="0" applyFont="0" applyFill="0" applyBorder="0" applyAlignment="0" applyProtection="0"/>
    <xf numFmtId="9" fontId="38" fillId="0" borderId="0" applyFont="0" applyFill="0" applyBorder="0" applyAlignment="0" applyProtection="0"/>
    <xf numFmtId="9" fontId="10" fillId="0" borderId="0" applyFont="0" applyFill="0" applyBorder="0" applyAlignment="0" applyProtection="0"/>
    <xf numFmtId="9" fontId="11" fillId="0" borderId="0" applyFont="0" applyFill="0" applyBorder="0" applyAlignment="0" applyProtection="0"/>
    <xf numFmtId="9" fontId="43" fillId="0" borderId="0" applyFont="0" applyFill="0" applyBorder="0" applyAlignment="0" applyProtection="0"/>
    <xf numFmtId="9" fontId="38" fillId="0" borderId="0" applyFont="0" applyFill="0" applyBorder="0" applyAlignment="0" applyProtection="0"/>
    <xf numFmtId="9" fontId="10" fillId="0" borderId="0" applyFont="0" applyFill="0" applyBorder="0" applyAlignment="0" applyProtection="0"/>
    <xf numFmtId="9" fontId="11" fillId="0" borderId="0" applyFont="0" applyFill="0" applyBorder="0" applyAlignment="0" applyProtection="0"/>
    <xf numFmtId="9" fontId="43" fillId="0" borderId="0" applyFont="0" applyFill="0" applyBorder="0" applyAlignment="0" applyProtection="0"/>
    <xf numFmtId="9" fontId="38" fillId="0" borderId="0" applyFont="0" applyFill="0" applyBorder="0" applyAlignment="0" applyProtection="0"/>
    <xf numFmtId="9" fontId="10" fillId="0" borderId="0" applyFont="0" applyFill="0" applyBorder="0" applyAlignment="0" applyProtection="0"/>
    <xf numFmtId="9" fontId="11" fillId="0" borderId="0" applyFont="0" applyFill="0" applyBorder="0" applyAlignment="0" applyProtection="0"/>
    <xf numFmtId="9" fontId="43" fillId="0" borderId="0" applyFont="0" applyFill="0" applyBorder="0" applyAlignment="0" applyProtection="0"/>
    <xf numFmtId="9" fontId="38" fillId="0" borderId="0" applyFont="0" applyFill="0" applyBorder="0" applyAlignment="0" applyProtection="0"/>
    <xf numFmtId="9" fontId="10" fillId="0" borderId="0" applyFont="0" applyFill="0" applyBorder="0" applyAlignment="0" applyProtection="0"/>
    <xf numFmtId="9" fontId="11" fillId="0" borderId="0" applyFont="0" applyFill="0" applyBorder="0" applyAlignment="0" applyProtection="0"/>
    <xf numFmtId="9" fontId="43" fillId="0" borderId="0" applyFont="0" applyFill="0" applyBorder="0" applyAlignment="0" applyProtection="0"/>
    <xf numFmtId="9" fontId="38" fillId="0" borderId="0" applyFont="0" applyFill="0" applyBorder="0" applyAlignment="0" applyProtection="0"/>
    <xf numFmtId="9" fontId="10" fillId="0" borderId="0" applyFont="0" applyFill="0" applyBorder="0" applyAlignment="0" applyProtection="0"/>
    <xf numFmtId="9" fontId="11" fillId="0" borderId="0" applyFont="0" applyFill="0" applyBorder="0" applyAlignment="0" applyProtection="0"/>
    <xf numFmtId="9" fontId="43" fillId="0" borderId="0" applyFont="0" applyFill="0" applyBorder="0" applyAlignment="0" applyProtection="0"/>
    <xf numFmtId="9" fontId="38" fillId="0" borderId="0" applyFont="0" applyFill="0" applyBorder="0" applyAlignment="0" applyProtection="0"/>
    <xf numFmtId="9" fontId="10" fillId="0" borderId="0" applyFont="0" applyFill="0" applyBorder="0" applyAlignment="0" applyProtection="0"/>
    <xf numFmtId="9" fontId="11" fillId="0" borderId="0" applyFont="0" applyFill="0" applyBorder="0" applyAlignment="0" applyProtection="0"/>
    <xf numFmtId="9" fontId="43" fillId="0" borderId="0" applyFont="0" applyFill="0" applyBorder="0" applyAlignment="0" applyProtection="0"/>
    <xf numFmtId="9" fontId="38" fillId="0" borderId="0" applyFont="0" applyFill="0" applyBorder="0" applyAlignment="0" applyProtection="0"/>
    <xf numFmtId="9" fontId="10" fillId="0" borderId="0" applyFont="0" applyFill="0" applyBorder="0" applyAlignment="0" applyProtection="0"/>
    <xf numFmtId="9" fontId="11" fillId="0" borderId="0" applyFont="0" applyFill="0" applyBorder="0" applyAlignment="0" applyProtection="0"/>
    <xf numFmtId="9" fontId="43" fillId="0" borderId="0" applyFont="0" applyFill="0" applyBorder="0" applyAlignment="0" applyProtection="0"/>
    <xf numFmtId="9" fontId="38" fillId="0" borderId="0" applyFont="0" applyFill="0" applyBorder="0" applyAlignment="0" applyProtection="0"/>
    <xf numFmtId="9" fontId="10" fillId="0" borderId="0" applyFont="0" applyFill="0" applyBorder="0" applyAlignment="0" applyProtection="0"/>
    <xf numFmtId="9" fontId="11" fillId="0" borderId="0" applyFont="0" applyFill="0" applyBorder="0" applyAlignment="0" applyProtection="0"/>
    <xf numFmtId="9" fontId="43" fillId="0" borderId="0" applyFont="0" applyFill="0" applyBorder="0" applyAlignment="0" applyProtection="0"/>
    <xf numFmtId="9" fontId="38" fillId="0" borderId="0" applyFont="0" applyFill="0" applyBorder="0" applyAlignment="0" applyProtection="0"/>
    <xf numFmtId="9" fontId="10" fillId="0" borderId="0" applyFont="0" applyFill="0" applyBorder="0" applyAlignment="0" applyProtection="0"/>
    <xf numFmtId="9" fontId="11" fillId="0" borderId="0" applyFont="0" applyFill="0" applyBorder="0" applyAlignment="0" applyProtection="0"/>
    <xf numFmtId="9" fontId="43" fillId="0" borderId="0" applyFont="0" applyFill="0" applyBorder="0" applyAlignment="0" applyProtection="0"/>
    <xf numFmtId="9" fontId="38" fillId="0" borderId="0" applyFont="0" applyFill="0" applyBorder="0" applyAlignment="0" applyProtection="0"/>
    <xf numFmtId="9" fontId="10" fillId="0" borderId="0" applyFont="0" applyFill="0" applyBorder="0" applyAlignment="0" applyProtection="0"/>
    <xf numFmtId="9" fontId="11" fillId="0" borderId="0" applyFont="0" applyFill="0" applyBorder="0" applyAlignment="0" applyProtection="0"/>
    <xf numFmtId="9" fontId="43" fillId="0" borderId="0" applyFont="0" applyFill="0" applyBorder="0" applyAlignment="0" applyProtection="0"/>
    <xf numFmtId="9" fontId="38" fillId="0" borderId="0" applyFont="0" applyFill="0" applyBorder="0" applyAlignment="0" applyProtection="0"/>
    <xf numFmtId="9" fontId="10" fillId="0" borderId="0" applyFont="0" applyFill="0" applyBorder="0" applyAlignment="0" applyProtection="0"/>
    <xf numFmtId="9" fontId="11" fillId="0" borderId="0" applyFont="0" applyFill="0" applyBorder="0" applyAlignment="0" applyProtection="0"/>
    <xf numFmtId="9" fontId="43" fillId="0" borderId="0" applyFont="0" applyFill="0" applyBorder="0" applyAlignment="0" applyProtection="0"/>
    <xf numFmtId="9" fontId="38" fillId="0" borderId="0" applyFont="0" applyFill="0" applyBorder="0" applyAlignment="0" applyProtection="0"/>
    <xf numFmtId="9" fontId="10" fillId="0" borderId="0" applyFont="0" applyFill="0" applyBorder="0" applyAlignment="0" applyProtection="0"/>
    <xf numFmtId="9" fontId="11" fillId="0" borderId="0" applyFont="0" applyFill="0" applyBorder="0" applyAlignment="0" applyProtection="0"/>
    <xf numFmtId="9" fontId="43" fillId="0" borderId="0" applyFont="0" applyFill="0" applyBorder="0" applyAlignment="0" applyProtection="0"/>
    <xf numFmtId="9" fontId="38" fillId="0" borderId="0" applyFont="0" applyFill="0" applyBorder="0" applyAlignment="0" applyProtection="0"/>
    <xf numFmtId="9" fontId="10" fillId="0" borderId="0" applyFont="0" applyFill="0" applyBorder="0" applyAlignment="0" applyProtection="0"/>
    <xf numFmtId="9" fontId="11" fillId="0" borderId="0" applyFont="0" applyFill="0" applyBorder="0" applyAlignment="0" applyProtection="0"/>
    <xf numFmtId="9" fontId="43" fillId="0" borderId="0" applyFont="0" applyFill="0" applyBorder="0" applyAlignment="0" applyProtection="0"/>
    <xf numFmtId="9" fontId="38" fillId="0" borderId="0" applyFont="0" applyFill="0" applyBorder="0" applyAlignment="0" applyProtection="0"/>
    <xf numFmtId="9" fontId="10" fillId="0" borderId="0" applyFont="0" applyFill="0" applyBorder="0" applyAlignment="0" applyProtection="0"/>
    <xf numFmtId="9" fontId="11" fillId="0" borderId="0" applyFont="0" applyFill="0" applyBorder="0" applyAlignment="0" applyProtection="0"/>
    <xf numFmtId="9" fontId="43" fillId="0" borderId="0" applyFont="0" applyFill="0" applyBorder="0" applyAlignment="0" applyProtection="0"/>
    <xf numFmtId="9" fontId="38" fillId="0" borderId="0" applyFont="0" applyFill="0" applyBorder="0" applyAlignment="0" applyProtection="0"/>
    <xf numFmtId="9" fontId="10" fillId="0" borderId="0" applyFont="0" applyFill="0" applyBorder="0" applyAlignment="0" applyProtection="0"/>
    <xf numFmtId="9" fontId="11" fillId="0" borderId="0" applyFont="0" applyFill="0" applyBorder="0" applyAlignment="0" applyProtection="0"/>
    <xf numFmtId="9" fontId="43" fillId="0" borderId="0" applyFont="0" applyFill="0" applyBorder="0" applyAlignment="0" applyProtection="0"/>
    <xf numFmtId="9" fontId="38" fillId="0" borderId="0" applyFont="0" applyFill="0" applyBorder="0" applyAlignment="0" applyProtection="0"/>
    <xf numFmtId="9" fontId="10" fillId="0" borderId="0" applyFont="0" applyFill="0" applyBorder="0" applyAlignment="0" applyProtection="0"/>
    <xf numFmtId="9" fontId="11" fillId="0" borderId="0" applyFont="0" applyFill="0" applyBorder="0" applyAlignment="0" applyProtection="0"/>
    <xf numFmtId="9" fontId="43" fillId="0" borderId="0" applyFont="0" applyFill="0" applyBorder="0" applyAlignment="0" applyProtection="0"/>
    <xf numFmtId="9" fontId="38" fillId="0" borderId="0" applyFont="0" applyFill="0" applyBorder="0" applyAlignment="0" applyProtection="0"/>
    <xf numFmtId="9" fontId="10" fillId="0" borderId="0" applyFont="0" applyFill="0" applyBorder="0" applyAlignment="0" applyProtection="0"/>
    <xf numFmtId="9" fontId="11" fillId="0" borderId="0" applyFont="0" applyFill="0" applyBorder="0" applyAlignment="0" applyProtection="0"/>
    <xf numFmtId="9" fontId="43" fillId="0" borderId="0" applyFont="0" applyFill="0" applyBorder="0" applyAlignment="0" applyProtection="0"/>
    <xf numFmtId="9" fontId="38" fillId="0" borderId="0" applyFont="0" applyFill="0" applyBorder="0" applyAlignment="0" applyProtection="0"/>
    <xf numFmtId="9" fontId="10" fillId="0" borderId="0" applyFont="0" applyFill="0" applyBorder="0" applyAlignment="0" applyProtection="0"/>
    <xf numFmtId="9" fontId="11" fillId="0" borderId="0" applyFont="0" applyFill="0" applyBorder="0" applyAlignment="0" applyProtection="0"/>
    <xf numFmtId="9" fontId="43" fillId="0" borderId="0" applyFont="0" applyFill="0" applyBorder="0" applyAlignment="0" applyProtection="0"/>
    <xf numFmtId="9" fontId="38" fillId="0" borderId="0" applyFont="0" applyFill="0" applyBorder="0" applyAlignment="0" applyProtection="0"/>
    <xf numFmtId="9" fontId="10" fillId="0" borderId="0" applyFont="0" applyFill="0" applyBorder="0" applyAlignment="0" applyProtection="0"/>
    <xf numFmtId="9" fontId="11" fillId="0" borderId="0" applyFont="0" applyFill="0" applyBorder="0" applyAlignment="0" applyProtection="0"/>
    <xf numFmtId="9" fontId="43" fillId="0" borderId="0" applyFont="0" applyFill="0" applyBorder="0" applyAlignment="0" applyProtection="0"/>
    <xf numFmtId="9" fontId="38" fillId="0" borderId="0" applyFont="0" applyFill="0" applyBorder="0" applyAlignment="0" applyProtection="0"/>
    <xf numFmtId="9" fontId="10" fillId="0" borderId="0" applyFont="0" applyFill="0" applyBorder="0" applyAlignment="0" applyProtection="0"/>
    <xf numFmtId="9" fontId="11" fillId="0" borderId="0" applyFont="0" applyFill="0" applyBorder="0" applyAlignment="0" applyProtection="0"/>
    <xf numFmtId="9" fontId="43" fillId="0" borderId="0" applyFont="0" applyFill="0" applyBorder="0" applyAlignment="0" applyProtection="0"/>
    <xf numFmtId="9" fontId="38" fillId="0" borderId="0" applyFont="0" applyFill="0" applyBorder="0" applyAlignment="0" applyProtection="0"/>
    <xf numFmtId="9" fontId="10" fillId="0" borderId="0" applyFont="0" applyFill="0" applyBorder="0" applyAlignment="0" applyProtection="0"/>
    <xf numFmtId="9" fontId="11" fillId="0" borderId="0" applyFont="0" applyFill="0" applyBorder="0" applyAlignment="0" applyProtection="0"/>
    <xf numFmtId="9" fontId="43" fillId="0" borderId="0" applyFont="0" applyFill="0" applyBorder="0" applyAlignment="0" applyProtection="0"/>
    <xf numFmtId="9" fontId="38" fillId="0" borderId="0" applyFont="0" applyFill="0" applyBorder="0" applyAlignment="0" applyProtection="0"/>
    <xf numFmtId="9" fontId="10" fillId="0" borderId="0" applyFont="0" applyFill="0" applyBorder="0" applyAlignment="0" applyProtection="0"/>
    <xf numFmtId="9" fontId="11" fillId="0" borderId="0" applyFont="0" applyFill="0" applyBorder="0" applyAlignment="0" applyProtection="0"/>
    <xf numFmtId="9" fontId="43" fillId="0" borderId="0" applyFont="0" applyFill="0" applyBorder="0" applyAlignment="0" applyProtection="0"/>
    <xf numFmtId="9" fontId="38" fillId="0" borderId="0" applyFont="0" applyFill="0" applyBorder="0" applyAlignment="0" applyProtection="0"/>
    <xf numFmtId="9" fontId="10" fillId="0" borderId="0" applyFont="0" applyFill="0" applyBorder="0" applyAlignment="0" applyProtection="0"/>
    <xf numFmtId="9" fontId="11" fillId="0" borderId="0" applyFont="0" applyFill="0" applyBorder="0" applyAlignment="0" applyProtection="0"/>
    <xf numFmtId="9" fontId="43" fillId="0" borderId="0" applyFont="0" applyFill="0" applyBorder="0" applyAlignment="0" applyProtection="0"/>
    <xf numFmtId="9" fontId="38" fillId="0" borderId="0" applyFont="0" applyFill="0" applyBorder="0" applyAlignment="0" applyProtection="0"/>
    <xf numFmtId="9" fontId="10" fillId="0" borderId="0" applyFont="0" applyFill="0" applyBorder="0" applyAlignment="0" applyProtection="0"/>
    <xf numFmtId="9" fontId="11" fillId="0" borderId="0" applyFont="0" applyFill="0" applyBorder="0" applyAlignment="0" applyProtection="0"/>
    <xf numFmtId="9" fontId="43" fillId="0" borderId="0" applyFont="0" applyFill="0" applyBorder="0" applyAlignment="0" applyProtection="0"/>
    <xf numFmtId="9" fontId="38"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10" fillId="0" borderId="0" applyFont="0" applyFill="0" applyBorder="0" applyAlignment="0" applyProtection="0"/>
    <xf numFmtId="9" fontId="11" fillId="0" borderId="0" applyFont="0" applyFill="0" applyBorder="0" applyAlignment="0" applyProtection="0"/>
    <xf numFmtId="9" fontId="43" fillId="0" borderId="0" applyFont="0" applyFill="0" applyBorder="0" applyAlignment="0" applyProtection="0"/>
    <xf numFmtId="9" fontId="38" fillId="0" borderId="0" applyFont="0" applyFill="0" applyBorder="0" applyAlignment="0" applyProtection="0"/>
    <xf numFmtId="9" fontId="10" fillId="0" borderId="0" applyFont="0" applyFill="0" applyBorder="0" applyAlignment="0" applyProtection="0"/>
    <xf numFmtId="9" fontId="11" fillId="0" borderId="0" applyFont="0" applyFill="0" applyBorder="0" applyAlignment="0" applyProtection="0"/>
    <xf numFmtId="9" fontId="43" fillId="0" borderId="0" applyFont="0" applyFill="0" applyBorder="0" applyAlignment="0" applyProtection="0"/>
    <xf numFmtId="9" fontId="38" fillId="0" borderId="0" applyFont="0" applyFill="0" applyBorder="0" applyAlignment="0" applyProtection="0"/>
    <xf numFmtId="9" fontId="10" fillId="0" borderId="0" applyFont="0" applyFill="0" applyBorder="0" applyAlignment="0" applyProtection="0"/>
    <xf numFmtId="9" fontId="11" fillId="0" borderId="0" applyFont="0" applyFill="0" applyBorder="0" applyAlignment="0" applyProtection="0"/>
    <xf numFmtId="9" fontId="43" fillId="0" borderId="0" applyFont="0" applyFill="0" applyBorder="0" applyAlignment="0" applyProtection="0"/>
    <xf numFmtId="9" fontId="38" fillId="0" borderId="0" applyFont="0" applyFill="0" applyBorder="0" applyAlignment="0" applyProtection="0"/>
    <xf numFmtId="9" fontId="10" fillId="0" borderId="0" applyFont="0" applyFill="0" applyBorder="0" applyAlignment="0" applyProtection="0"/>
    <xf numFmtId="9" fontId="11" fillId="0" borderId="0" applyFont="0" applyFill="0" applyBorder="0" applyAlignment="0" applyProtection="0"/>
    <xf numFmtId="9" fontId="43" fillId="0" borderId="0" applyFont="0" applyFill="0" applyBorder="0" applyAlignment="0" applyProtection="0"/>
    <xf numFmtId="9" fontId="38" fillId="0" borderId="0" applyFont="0" applyFill="0" applyBorder="0" applyAlignment="0" applyProtection="0"/>
    <xf numFmtId="9" fontId="10" fillId="0" borderId="0" applyFont="0" applyFill="0" applyBorder="0" applyAlignment="0" applyProtection="0"/>
    <xf numFmtId="9" fontId="11" fillId="0" borderId="0" applyFont="0" applyFill="0" applyBorder="0" applyAlignment="0" applyProtection="0"/>
    <xf numFmtId="9" fontId="43" fillId="0" borderId="0" applyFont="0" applyFill="0" applyBorder="0" applyAlignment="0" applyProtection="0"/>
    <xf numFmtId="9" fontId="38" fillId="0" borderId="0" applyFont="0" applyFill="0" applyBorder="0" applyAlignment="0" applyProtection="0"/>
    <xf numFmtId="0" fontId="22"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5" fillId="0" borderId="8" applyNumberFormat="0" applyFill="0" applyAlignment="0" applyProtection="0"/>
    <xf numFmtId="0" fontId="26" fillId="0" borderId="9" applyNumberFormat="0" applyFill="0" applyAlignment="0" applyProtection="0"/>
    <xf numFmtId="0" fontId="27" fillId="0" borderId="10" applyNumberFormat="0" applyFill="0" applyAlignment="0" applyProtection="0"/>
    <xf numFmtId="0" fontId="27" fillId="0" borderId="0" applyNumberFormat="0" applyFill="0" applyBorder="0" applyAlignment="0" applyProtection="0"/>
    <xf numFmtId="0" fontId="28" fillId="0" borderId="13" applyNumberFormat="0" applyFill="0" applyAlignment="0" applyProtection="0"/>
    <xf numFmtId="0" fontId="29" fillId="3" borderId="0" applyNumberFormat="0" applyBorder="0" applyAlignment="0" applyProtection="0"/>
    <xf numFmtId="0" fontId="30" fillId="4" borderId="0" applyNumberFormat="0" applyBorder="0" applyAlignment="0" applyProtection="0"/>
    <xf numFmtId="0" fontId="66" fillId="0" borderId="14">
      <alignment horizontal="center"/>
      <protection hidden="1"/>
    </xf>
    <xf numFmtId="4" fontId="41" fillId="0" borderId="0"/>
    <xf numFmtId="0" fontId="95" fillId="0" borderId="0" applyNumberFormat="0" applyBorder="0" applyAlignment="0"/>
    <xf numFmtId="0" fontId="97" fillId="0" borderId="0" applyNumberFormat="0" applyFill="0" applyBorder="0" applyAlignment="0" applyProtection="0"/>
    <xf numFmtId="0" fontId="98" fillId="0" borderId="98" applyNumberFormat="0" applyFill="0" applyAlignment="0" applyProtection="0"/>
    <xf numFmtId="0" fontId="99" fillId="0" borderId="99" applyNumberFormat="0" applyFill="0" applyAlignment="0" applyProtection="0"/>
    <xf numFmtId="0" fontId="100" fillId="0" borderId="100" applyNumberFormat="0" applyFill="0" applyAlignment="0" applyProtection="0"/>
    <xf numFmtId="0" fontId="100" fillId="0" borderId="0" applyNumberFormat="0" applyFill="0" applyBorder="0" applyAlignment="0" applyProtection="0"/>
    <xf numFmtId="0" fontId="101" fillId="54" borderId="0" applyNumberFormat="0" applyBorder="0" applyAlignment="0" applyProtection="0"/>
    <xf numFmtId="0" fontId="102" fillId="55" borderId="0" applyNumberFormat="0" applyBorder="0" applyAlignment="0" applyProtection="0"/>
    <xf numFmtId="0" fontId="103" fillId="56" borderId="101" applyNumberFormat="0" applyAlignment="0" applyProtection="0"/>
    <xf numFmtId="0" fontId="104" fillId="0" borderId="102" applyNumberFormat="0" applyFill="0" applyAlignment="0" applyProtection="0"/>
    <xf numFmtId="0" fontId="105" fillId="57" borderId="103" applyNumberFormat="0" applyAlignment="0" applyProtection="0"/>
    <xf numFmtId="0" fontId="106" fillId="0" borderId="0" applyNumberFormat="0" applyFill="0" applyBorder="0" applyAlignment="0" applyProtection="0"/>
    <xf numFmtId="0" fontId="82" fillId="0" borderId="105" applyNumberFormat="0" applyFill="0" applyAlignment="0" applyProtection="0"/>
    <xf numFmtId="0" fontId="107" fillId="59" borderId="0" applyNumberFormat="0" applyBorder="0" applyAlignment="0" applyProtection="0"/>
    <xf numFmtId="0" fontId="9" fillId="60" borderId="0" applyNumberFormat="0" applyBorder="0" applyAlignment="0" applyProtection="0"/>
    <xf numFmtId="0" fontId="9" fillId="61" borderId="0" applyNumberFormat="0" applyBorder="0" applyAlignment="0" applyProtection="0"/>
    <xf numFmtId="0" fontId="107" fillId="62" borderId="0" applyNumberFormat="0" applyBorder="0" applyAlignment="0" applyProtection="0"/>
    <xf numFmtId="0" fontId="107" fillId="63" borderId="0" applyNumberFormat="0" applyBorder="0" applyAlignment="0" applyProtection="0"/>
    <xf numFmtId="0" fontId="9" fillId="64" borderId="0" applyNumberFormat="0" applyBorder="0" applyAlignment="0" applyProtection="0"/>
    <xf numFmtId="0" fontId="9" fillId="65" borderId="0" applyNumberFormat="0" applyBorder="0" applyAlignment="0" applyProtection="0"/>
    <xf numFmtId="0" fontId="107" fillId="66" borderId="0" applyNumberFormat="0" applyBorder="0" applyAlignment="0" applyProtection="0"/>
    <xf numFmtId="0" fontId="107" fillId="67" borderId="0" applyNumberFormat="0" applyBorder="0" applyAlignment="0" applyProtection="0"/>
    <xf numFmtId="0" fontId="9" fillId="68" borderId="0" applyNumberFormat="0" applyBorder="0" applyAlignment="0" applyProtection="0"/>
    <xf numFmtId="0" fontId="9" fillId="69" borderId="0" applyNumberFormat="0" applyBorder="0" applyAlignment="0" applyProtection="0"/>
    <xf numFmtId="0" fontId="107" fillId="70" borderId="0" applyNumberFormat="0" applyBorder="0" applyAlignment="0" applyProtection="0"/>
    <xf numFmtId="0" fontId="107" fillId="71" borderId="0" applyNumberFormat="0" applyBorder="0" applyAlignment="0" applyProtection="0"/>
    <xf numFmtId="0" fontId="9" fillId="72" borderId="0" applyNumberFormat="0" applyBorder="0" applyAlignment="0" applyProtection="0"/>
    <xf numFmtId="0" fontId="9" fillId="73" borderId="0" applyNumberFormat="0" applyBorder="0" applyAlignment="0" applyProtection="0"/>
    <xf numFmtId="0" fontId="107" fillId="74" borderId="0" applyNumberFormat="0" applyBorder="0" applyAlignment="0" applyProtection="0"/>
    <xf numFmtId="0" fontId="107" fillId="75" borderId="0" applyNumberFormat="0" applyBorder="0" applyAlignment="0" applyProtection="0"/>
    <xf numFmtId="0" fontId="9" fillId="76" borderId="0" applyNumberFormat="0" applyBorder="0" applyAlignment="0" applyProtection="0"/>
    <xf numFmtId="0" fontId="9" fillId="77" borderId="0" applyNumberFormat="0" applyBorder="0" applyAlignment="0" applyProtection="0"/>
    <xf numFmtId="0" fontId="107" fillId="78" borderId="0" applyNumberFormat="0" applyBorder="0" applyAlignment="0" applyProtection="0"/>
    <xf numFmtId="0" fontId="107" fillId="79" borderId="0" applyNumberFormat="0" applyBorder="0" applyAlignment="0" applyProtection="0"/>
    <xf numFmtId="0" fontId="9" fillId="80" borderId="0" applyNumberFormat="0" applyBorder="0" applyAlignment="0" applyProtection="0"/>
    <xf numFmtId="0" fontId="9" fillId="81" borderId="0" applyNumberFormat="0" applyBorder="0" applyAlignment="0" applyProtection="0"/>
    <xf numFmtId="0" fontId="107" fillId="82" borderId="0" applyNumberFormat="0" applyBorder="0" applyAlignment="0" applyProtection="0"/>
    <xf numFmtId="3" fontId="117" fillId="38" borderId="0" applyBorder="0" applyAlignment="0">
      <protection locked="0"/>
    </xf>
    <xf numFmtId="165" fontId="10" fillId="0" borderId="0" applyFont="0" applyFill="0" applyBorder="0" applyAlignment="0" applyProtection="0"/>
    <xf numFmtId="189" fontId="10" fillId="0" borderId="0" applyFont="0" applyFill="0" applyBorder="0" applyAlignment="0" applyProtection="0"/>
    <xf numFmtId="4" fontId="56" fillId="28" borderId="19" applyNumberFormat="0" applyFont="0" applyBorder="0" applyAlignment="0" applyProtection="0">
      <alignment horizontal="right"/>
    </xf>
    <xf numFmtId="0" fontId="10" fillId="0" borderId="0"/>
    <xf numFmtId="0" fontId="116" fillId="0" borderId="0"/>
    <xf numFmtId="189" fontId="96" fillId="0" borderId="0" applyFont="0" applyFill="0" applyBorder="0" applyAlignment="0" applyProtection="0"/>
    <xf numFmtId="0" fontId="110" fillId="84" borderId="101" applyNumberFormat="0" applyAlignment="0" applyProtection="0"/>
    <xf numFmtId="0" fontId="111" fillId="56" borderId="108" applyNumberFormat="0" applyAlignment="0" applyProtection="0"/>
    <xf numFmtId="165" fontId="96" fillId="0" borderId="0" applyFont="0" applyFill="0" applyBorder="0" applyAlignment="0" applyProtection="0"/>
    <xf numFmtId="165" fontId="10" fillId="0" borderId="0" applyFont="0" applyFill="0" applyBorder="0" applyAlignment="0" applyProtection="0"/>
    <xf numFmtId="0" fontId="96" fillId="0" borderId="0"/>
    <xf numFmtId="0" fontId="9" fillId="0" borderId="0"/>
    <xf numFmtId="0" fontId="9" fillId="58" borderId="104" applyNumberFormat="0" applyFont="0" applyAlignment="0" applyProtection="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4" fontId="56" fillId="85" borderId="0" applyNumberFormat="0" applyFont="0" applyBorder="0" applyAlignment="0" applyProtection="0">
      <alignment horizontal="right"/>
    </xf>
    <xf numFmtId="9" fontId="96" fillId="0" borderId="0" applyFont="0" applyFill="0" applyBorder="0" applyAlignment="0" applyProtection="0"/>
    <xf numFmtId="0" fontId="108" fillId="21" borderId="4" applyNumberFormat="0" applyFill="0" applyBorder="0" applyAlignment="0" applyProtection="0"/>
    <xf numFmtId="0" fontId="112" fillId="0" borderId="0"/>
    <xf numFmtId="165" fontId="112" fillId="0" borderId="0" applyFont="0" applyFill="0" applyBorder="0" applyAlignment="0" applyProtection="0"/>
    <xf numFmtId="9" fontId="112" fillId="0" borderId="0" applyFont="0" applyFill="0" applyBorder="0" applyAlignment="0" applyProtection="0"/>
    <xf numFmtId="0" fontId="118" fillId="0" borderId="0" applyNumberFormat="0" applyFill="0" applyBorder="0" applyAlignment="0" applyProtection="0">
      <alignment vertical="top"/>
      <protection locked="0"/>
    </xf>
    <xf numFmtId="165" fontId="10" fillId="0" borderId="0" applyFont="0" applyFill="0" applyBorder="0" applyAlignment="0" applyProtection="0"/>
    <xf numFmtId="0" fontId="112" fillId="0" borderId="0"/>
    <xf numFmtId="0" fontId="119" fillId="54" borderId="0" applyNumberFormat="0" applyBorder="0" applyAlignment="0" applyProtection="0"/>
    <xf numFmtId="0" fontId="112" fillId="58" borderId="104" applyNumberFormat="0" applyFont="0" applyAlignment="0" applyProtection="0"/>
    <xf numFmtId="0" fontId="120" fillId="0" borderId="0" applyNumberFormat="0" applyFill="0" applyBorder="0" applyAlignment="0" applyProtection="0"/>
    <xf numFmtId="0" fontId="10" fillId="0" borderId="0"/>
    <xf numFmtId="165" fontId="10" fillId="0" borderId="0" applyFill="0" applyBorder="0" applyAlignment="0" applyProtection="0"/>
    <xf numFmtId="165" fontId="9" fillId="0" borderId="0" applyFont="0" applyFill="0" applyBorder="0" applyAlignment="0" applyProtection="0"/>
    <xf numFmtId="9" fontId="9" fillId="0" borderId="0" applyFont="0" applyFill="0" applyBorder="0" applyAlignment="0" applyProtection="0"/>
    <xf numFmtId="0" fontId="95" fillId="0" borderId="0" applyNumberFormat="0" applyBorder="0" applyAlignment="0"/>
    <xf numFmtId="0" fontId="10" fillId="0" borderId="0" applyNumberFormat="0" applyFont="0" applyFill="0" applyBorder="0" applyProtection="0">
      <alignment horizontal="left" vertical="center" indent="5"/>
    </xf>
    <xf numFmtId="43" fontId="8" fillId="0" borderId="0" applyFont="0" applyFill="0" applyBorder="0" applyAlignment="0" applyProtection="0"/>
    <xf numFmtId="43" fontId="10" fillId="0" borderId="0" applyFont="0" applyFill="0" applyBorder="0" applyAlignment="0" applyProtection="0"/>
    <xf numFmtId="164" fontId="10" fillId="0" borderId="0" applyFont="0" applyFill="0" applyBorder="0" applyAlignment="0" applyProtection="0"/>
    <xf numFmtId="166" fontId="10" fillId="0" borderId="0" applyFont="0" applyFill="0" applyBorder="0" applyAlignment="0" applyProtection="0"/>
    <xf numFmtId="166" fontId="10" fillId="0" borderId="0" applyFont="0" applyFill="0" applyBorder="0" applyAlignment="0" applyProtection="0"/>
    <xf numFmtId="166" fontId="10" fillId="0" borderId="0" applyFont="0" applyFill="0" applyBorder="0" applyAlignment="0" applyProtection="0"/>
    <xf numFmtId="166" fontId="10" fillId="0" borderId="0" applyFont="0" applyFill="0" applyBorder="0" applyAlignment="0" applyProtection="0"/>
    <xf numFmtId="166" fontId="10" fillId="0" borderId="0" applyFont="0" applyFill="0" applyBorder="0" applyAlignment="0" applyProtection="0"/>
    <xf numFmtId="166" fontId="10" fillId="0" borderId="0" applyFont="0" applyFill="0" applyBorder="0" applyAlignment="0" applyProtection="0"/>
    <xf numFmtId="166" fontId="10" fillId="0" borderId="0" applyFont="0" applyFill="0" applyBorder="0" applyAlignment="0" applyProtection="0"/>
    <xf numFmtId="166" fontId="10" fillId="0" borderId="0" applyFont="0" applyFill="0" applyBorder="0" applyAlignment="0" applyProtection="0"/>
    <xf numFmtId="166" fontId="10" fillId="0" borderId="0" applyFont="0" applyFill="0" applyBorder="0" applyAlignment="0" applyProtection="0"/>
    <xf numFmtId="166" fontId="10" fillId="0" borderId="0" applyFont="0" applyFill="0" applyBorder="0" applyAlignment="0" applyProtection="0"/>
    <xf numFmtId="166" fontId="10" fillId="0" borderId="0" applyFont="0" applyFill="0" applyBorder="0" applyAlignment="0" applyProtection="0"/>
    <xf numFmtId="166" fontId="10" fillId="0" borderId="0" applyFont="0" applyFill="0" applyBorder="0" applyAlignment="0" applyProtection="0"/>
    <xf numFmtId="166" fontId="10" fillId="0" borderId="0" applyFont="0" applyFill="0" applyBorder="0" applyAlignment="0" applyProtection="0"/>
    <xf numFmtId="166" fontId="10" fillId="0" borderId="0" applyFont="0" applyFill="0" applyBorder="0" applyAlignment="0" applyProtection="0"/>
    <xf numFmtId="166" fontId="10" fillId="0" borderId="0" applyFont="0" applyFill="0" applyBorder="0" applyAlignment="0" applyProtection="0"/>
    <xf numFmtId="166" fontId="10" fillId="0" borderId="0" applyFont="0" applyFill="0" applyBorder="0" applyAlignment="0" applyProtection="0"/>
    <xf numFmtId="166" fontId="10" fillId="0" borderId="0" applyFont="0" applyFill="0" applyBorder="0" applyAlignment="0" applyProtection="0"/>
    <xf numFmtId="166" fontId="10" fillId="0" borderId="0" applyFont="0" applyFill="0" applyBorder="0" applyAlignment="0" applyProtection="0"/>
    <xf numFmtId="166" fontId="10" fillId="0" borderId="0" applyFont="0" applyFill="0" applyBorder="0" applyAlignment="0" applyProtection="0"/>
    <xf numFmtId="166" fontId="10" fillId="0" borderId="0" applyFont="0" applyFill="0" applyBorder="0" applyAlignment="0" applyProtection="0"/>
    <xf numFmtId="166" fontId="10" fillId="0" borderId="0" applyFont="0" applyFill="0" applyBorder="0" applyAlignment="0" applyProtection="0"/>
    <xf numFmtId="166" fontId="10" fillId="0" borderId="0" applyFont="0" applyFill="0" applyBorder="0" applyAlignment="0" applyProtection="0"/>
    <xf numFmtId="166" fontId="10" fillId="0" borderId="0" applyFont="0" applyFill="0" applyBorder="0" applyAlignment="0" applyProtection="0"/>
    <xf numFmtId="166" fontId="10" fillId="0" borderId="0" applyFont="0" applyFill="0" applyBorder="0" applyAlignment="0" applyProtection="0"/>
    <xf numFmtId="166" fontId="10" fillId="0" borderId="0" applyFont="0" applyFill="0" applyBorder="0" applyAlignment="0" applyProtection="0"/>
    <xf numFmtId="166" fontId="10" fillId="0" borderId="0" applyFont="0" applyFill="0" applyBorder="0" applyAlignment="0" applyProtection="0"/>
    <xf numFmtId="166" fontId="10" fillId="0" borderId="0" applyFont="0" applyFill="0" applyBorder="0" applyAlignment="0" applyProtection="0"/>
    <xf numFmtId="166" fontId="10" fillId="0" borderId="0" applyFont="0" applyFill="0" applyBorder="0" applyAlignment="0" applyProtection="0"/>
    <xf numFmtId="166" fontId="10" fillId="0" borderId="0" applyFont="0" applyFill="0" applyBorder="0" applyAlignment="0" applyProtection="0"/>
    <xf numFmtId="166" fontId="10" fillId="0" borderId="0" applyFont="0" applyFill="0" applyBorder="0" applyAlignment="0" applyProtection="0"/>
    <xf numFmtId="166" fontId="10" fillId="0" borderId="0" applyFont="0" applyFill="0" applyBorder="0" applyAlignment="0" applyProtection="0"/>
    <xf numFmtId="166" fontId="10" fillId="0" borderId="0" applyFont="0" applyFill="0" applyBorder="0" applyAlignment="0" applyProtection="0"/>
    <xf numFmtId="166" fontId="10" fillId="0" borderId="0" applyFont="0" applyFill="0" applyBorder="0" applyAlignment="0" applyProtection="0"/>
    <xf numFmtId="166" fontId="10" fillId="0" borderId="0" applyFont="0" applyFill="0" applyBorder="0" applyAlignment="0" applyProtection="0"/>
    <xf numFmtId="166" fontId="10" fillId="0" borderId="0" applyFont="0" applyFill="0" applyBorder="0" applyAlignment="0" applyProtection="0"/>
    <xf numFmtId="166" fontId="10" fillId="0" borderId="0" applyFont="0" applyFill="0" applyBorder="0" applyAlignment="0" applyProtection="0"/>
    <xf numFmtId="166" fontId="10" fillId="0" borderId="0" applyFont="0" applyFill="0" applyBorder="0" applyAlignment="0" applyProtection="0"/>
    <xf numFmtId="166" fontId="10" fillId="0" borderId="0" applyFont="0" applyFill="0" applyBorder="0" applyAlignment="0" applyProtection="0"/>
    <xf numFmtId="173" fontId="10" fillId="0" borderId="0" applyFont="0" applyFill="0" applyBorder="0" applyAlignment="0" applyProtection="0"/>
    <xf numFmtId="170" fontId="10" fillId="0" borderId="0" applyFont="0" applyFill="0" applyBorder="0" applyAlignment="0" applyProtection="0"/>
    <xf numFmtId="0" fontId="10" fillId="0" borderId="0" applyFont="0" applyFill="0" applyBorder="0" applyAlignment="0" applyProtection="0"/>
    <xf numFmtId="166" fontId="10" fillId="0" borderId="0" applyFont="0" applyFill="0" applyBorder="0" applyAlignment="0" applyProtection="0"/>
    <xf numFmtId="166" fontId="10" fillId="0" borderId="0" applyFont="0" applyFill="0" applyBorder="0" applyAlignment="0" applyProtection="0"/>
    <xf numFmtId="166" fontId="10" fillId="0" borderId="0" applyFont="0" applyFill="0" applyBorder="0" applyAlignment="0" applyProtection="0"/>
    <xf numFmtId="166" fontId="10" fillId="0" borderId="0" applyFont="0" applyFill="0" applyBorder="0" applyAlignment="0" applyProtection="0"/>
    <xf numFmtId="166"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0" fontId="10" fillId="0" borderId="0"/>
    <xf numFmtId="0" fontId="8" fillId="0" borderId="0"/>
    <xf numFmtId="0" fontId="8" fillId="0" borderId="0"/>
    <xf numFmtId="0" fontId="8" fillId="0" borderId="0"/>
    <xf numFmtId="0" fontId="8" fillId="0" borderId="0"/>
    <xf numFmtId="0" fontId="8" fillId="0" borderId="0"/>
    <xf numFmtId="0" fontId="10" fillId="24" borderId="0" applyNumberFormat="0" applyFont="0" applyBorder="0" applyAlignment="0" applyProtection="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26" borderId="11" applyNumberFormat="0" applyFont="0" applyAlignment="0" applyProtection="0"/>
    <xf numFmtId="169" fontId="10" fillId="0" borderId="0" applyFont="0" applyFill="0" applyBorder="0" applyAlignment="0" applyProtection="0"/>
    <xf numFmtId="169" fontId="10" fillId="0" borderId="0" applyFont="0" applyFill="0" applyBorder="0" applyAlignment="0" applyProtection="0"/>
    <xf numFmtId="169" fontId="10" fillId="0" borderId="0" applyFont="0" applyFill="0" applyBorder="0" applyAlignment="0" applyProtection="0"/>
    <xf numFmtId="169" fontId="10" fillId="0" borderId="0" applyFont="0" applyFill="0" applyBorder="0" applyAlignment="0" applyProtection="0"/>
    <xf numFmtId="169" fontId="10" fillId="0" borderId="0" applyFont="0" applyFill="0" applyBorder="0" applyAlignment="0" applyProtection="0"/>
    <xf numFmtId="169" fontId="10" fillId="0" borderId="0" applyFont="0" applyFill="0" applyBorder="0" applyAlignment="0" applyProtection="0"/>
    <xf numFmtId="169" fontId="10" fillId="0" borderId="0" applyFont="0" applyFill="0" applyBorder="0" applyAlignment="0" applyProtection="0"/>
    <xf numFmtId="169" fontId="10" fillId="0" borderId="0" applyFont="0" applyFill="0" applyBorder="0" applyAlignment="0" applyProtection="0"/>
    <xf numFmtId="169" fontId="10" fillId="0" borderId="0" applyFont="0" applyFill="0" applyBorder="0" applyAlignment="0" applyProtection="0"/>
    <xf numFmtId="169" fontId="10" fillId="0" borderId="0" applyFont="0" applyFill="0" applyBorder="0" applyAlignment="0" applyProtection="0"/>
    <xf numFmtId="169" fontId="10" fillId="0" borderId="0" applyFont="0" applyFill="0" applyBorder="0" applyAlignment="0" applyProtection="0"/>
    <xf numFmtId="169" fontId="10" fillId="0" borderId="0" applyFont="0" applyFill="0" applyBorder="0" applyAlignment="0" applyProtection="0"/>
    <xf numFmtId="169" fontId="10" fillId="0" borderId="0" applyFont="0" applyFill="0" applyBorder="0" applyAlignment="0" applyProtection="0"/>
    <xf numFmtId="169" fontId="10" fillId="0" borderId="0" applyFont="0" applyFill="0" applyBorder="0" applyAlignment="0" applyProtection="0"/>
    <xf numFmtId="169" fontId="10" fillId="0" borderId="0" applyFont="0" applyFill="0" applyBorder="0" applyAlignment="0" applyProtection="0"/>
    <xf numFmtId="169" fontId="10" fillId="0" borderId="0" applyFont="0" applyFill="0" applyBorder="0" applyAlignment="0" applyProtection="0"/>
    <xf numFmtId="169" fontId="10" fillId="0" borderId="0" applyFont="0" applyFill="0" applyBorder="0" applyAlignment="0" applyProtection="0"/>
    <xf numFmtId="169" fontId="10" fillId="0" borderId="0" applyFont="0" applyFill="0" applyBorder="0" applyAlignment="0" applyProtection="0"/>
    <xf numFmtId="169" fontId="10" fillId="0" borderId="0" applyFont="0" applyFill="0" applyBorder="0" applyAlignment="0" applyProtection="0"/>
    <xf numFmtId="169" fontId="10" fillId="0" borderId="0" applyFont="0" applyFill="0" applyBorder="0" applyAlignment="0" applyProtection="0"/>
    <xf numFmtId="169" fontId="10" fillId="0" borderId="0" applyFont="0" applyFill="0" applyBorder="0" applyAlignment="0" applyProtection="0"/>
    <xf numFmtId="169" fontId="10" fillId="0" borderId="0" applyFont="0" applyFill="0" applyBorder="0" applyAlignment="0" applyProtection="0"/>
    <xf numFmtId="169" fontId="10" fillId="0" borderId="0" applyFont="0" applyFill="0" applyBorder="0" applyAlignment="0" applyProtection="0"/>
    <xf numFmtId="169" fontId="10" fillId="0" borderId="0" applyFont="0" applyFill="0" applyBorder="0" applyAlignment="0" applyProtection="0"/>
    <xf numFmtId="169" fontId="10" fillId="0" borderId="0" applyFont="0" applyFill="0" applyBorder="0" applyAlignment="0" applyProtection="0"/>
    <xf numFmtId="169" fontId="10" fillId="0" borderId="0" applyFont="0" applyFill="0" applyBorder="0" applyAlignment="0" applyProtection="0"/>
    <xf numFmtId="169" fontId="10" fillId="0" borderId="0" applyFont="0" applyFill="0" applyBorder="0" applyAlignment="0" applyProtection="0"/>
    <xf numFmtId="169" fontId="10" fillId="0" borderId="0" applyFont="0" applyFill="0" applyBorder="0" applyAlignment="0" applyProtection="0"/>
    <xf numFmtId="169" fontId="10" fillId="0" borderId="0" applyFont="0" applyFill="0" applyBorder="0" applyAlignment="0" applyProtection="0"/>
    <xf numFmtId="169" fontId="10" fillId="0" borderId="0" applyFont="0" applyFill="0" applyBorder="0" applyAlignment="0" applyProtection="0"/>
    <xf numFmtId="169" fontId="10" fillId="0" borderId="0" applyFont="0" applyFill="0" applyBorder="0" applyAlignment="0" applyProtection="0"/>
    <xf numFmtId="169" fontId="10" fillId="0" borderId="0" applyFont="0" applyFill="0" applyBorder="0" applyAlignment="0" applyProtection="0"/>
    <xf numFmtId="169" fontId="10" fillId="0" borderId="0" applyFont="0" applyFill="0" applyBorder="0" applyAlignment="0" applyProtection="0"/>
    <xf numFmtId="169" fontId="10" fillId="0" borderId="0" applyFont="0" applyFill="0" applyBorder="0" applyAlignment="0" applyProtection="0"/>
    <xf numFmtId="169" fontId="10" fillId="0" borderId="0" applyFont="0" applyFill="0" applyBorder="0" applyAlignment="0" applyProtection="0"/>
    <xf numFmtId="169" fontId="10" fillId="0" borderId="0" applyFont="0" applyFill="0" applyBorder="0" applyAlignment="0" applyProtection="0"/>
    <xf numFmtId="169" fontId="10" fillId="0" borderId="0" applyFont="0" applyFill="0" applyBorder="0" applyAlignment="0" applyProtection="0"/>
    <xf numFmtId="169" fontId="10" fillId="0" borderId="0" applyFont="0" applyFill="0" applyBorder="0" applyAlignment="0" applyProtection="0"/>
    <xf numFmtId="169" fontId="10" fillId="0" borderId="0" applyFont="0" applyFill="0" applyBorder="0" applyAlignment="0" applyProtection="0"/>
    <xf numFmtId="169" fontId="10" fillId="0" borderId="0" applyFont="0" applyFill="0" applyBorder="0" applyAlignment="0" applyProtection="0"/>
    <xf numFmtId="169" fontId="10" fillId="0" borderId="0" applyFont="0" applyFill="0" applyBorder="0" applyAlignment="0" applyProtection="0"/>
    <xf numFmtId="169" fontId="10" fillId="0" borderId="0" applyFont="0" applyFill="0" applyBorder="0" applyAlignment="0" applyProtection="0"/>
    <xf numFmtId="169" fontId="10" fillId="0" borderId="0" applyFont="0" applyFill="0" applyBorder="0" applyAlignment="0" applyProtection="0"/>
    <xf numFmtId="169" fontId="10" fillId="0" borderId="0" applyFont="0" applyFill="0" applyBorder="0" applyAlignment="0" applyProtection="0"/>
    <xf numFmtId="9" fontId="10" fillId="0" borderId="0" applyFont="0" applyFill="0" applyBorder="0" applyAlignment="0" applyProtection="0"/>
    <xf numFmtId="9" fontId="8"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0" fontId="123" fillId="58" borderId="104" applyNumberFormat="0" applyFont="0" applyAlignment="0" applyProtection="0"/>
    <xf numFmtId="0" fontId="128" fillId="0" borderId="0" applyNumberFormat="0" applyFill="0" applyBorder="0" applyAlignment="0" applyProtection="0"/>
    <xf numFmtId="0" fontId="141" fillId="0" borderId="0" applyNumberFormat="0" applyFill="0" applyBorder="0" applyAlignment="0" applyProtection="0">
      <alignment vertical="top"/>
      <protection locked="0"/>
    </xf>
    <xf numFmtId="0" fontId="120" fillId="0" borderId="0" applyNumberFormat="0" applyFill="0" applyBorder="0" applyAlignment="0" applyProtection="0">
      <alignment vertical="top"/>
      <protection locked="0"/>
    </xf>
    <xf numFmtId="0" fontId="10" fillId="0" borderId="0" applyNumberFormat="0"/>
    <xf numFmtId="191" fontId="49" fillId="90" borderId="0" applyNumberFormat="0" applyBorder="0">
      <protection locked="0"/>
    </xf>
    <xf numFmtId="164" fontId="10" fillId="0" borderId="0" applyFont="0" applyFill="0" applyBorder="0" applyAlignment="0" applyProtection="0"/>
    <xf numFmtId="0" fontId="31" fillId="0" borderId="0"/>
    <xf numFmtId="0" fontId="31" fillId="0" borderId="0"/>
    <xf numFmtId="0" fontId="31" fillId="0" borderId="0"/>
    <xf numFmtId="0" fontId="167" fillId="0" borderId="0"/>
    <xf numFmtId="0" fontId="197" fillId="0" borderId="0"/>
    <xf numFmtId="0" fontId="6" fillId="0" borderId="0"/>
    <xf numFmtId="0" fontId="6" fillId="0" borderId="0"/>
    <xf numFmtId="0" fontId="95" fillId="0" borderId="0" applyNumberFormat="0" applyBorder="0" applyAlignment="0"/>
    <xf numFmtId="0" fontId="10" fillId="0" borderId="0"/>
    <xf numFmtId="208" fontId="32" fillId="47" borderId="0" applyNumberFormat="0" applyBorder="0" applyAlignment="0"/>
    <xf numFmtId="0" fontId="5" fillId="0" borderId="0"/>
    <xf numFmtId="0" fontId="10" fillId="0" borderId="0"/>
    <xf numFmtId="0" fontId="4" fillId="0" borderId="0"/>
    <xf numFmtId="9" fontId="4"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9" fontId="1" fillId="0" borderId="0" applyFont="0" applyFill="0" applyBorder="0" applyAlignment="0" applyProtection="0"/>
    <xf numFmtId="0" fontId="1" fillId="60" borderId="0" applyNumberFormat="0" applyBorder="0" applyAlignment="0" applyProtection="0"/>
    <xf numFmtId="0" fontId="1" fillId="61" borderId="0" applyNumberFormat="0" applyBorder="0" applyAlignment="0" applyProtection="0"/>
    <xf numFmtId="0" fontId="1" fillId="64" borderId="0" applyNumberFormat="0" applyBorder="0" applyAlignment="0" applyProtection="0"/>
    <xf numFmtId="0" fontId="1" fillId="65" borderId="0" applyNumberFormat="0" applyBorder="0" applyAlignment="0" applyProtection="0"/>
    <xf numFmtId="0" fontId="1" fillId="68" borderId="0" applyNumberFormat="0" applyBorder="0" applyAlignment="0" applyProtection="0"/>
    <xf numFmtId="0" fontId="1" fillId="69" borderId="0" applyNumberFormat="0" applyBorder="0" applyAlignment="0" applyProtection="0"/>
    <xf numFmtId="0" fontId="1" fillId="72" borderId="0" applyNumberFormat="0" applyBorder="0" applyAlignment="0" applyProtection="0"/>
    <xf numFmtId="0" fontId="1" fillId="73" borderId="0" applyNumberFormat="0" applyBorder="0" applyAlignment="0" applyProtection="0"/>
    <xf numFmtId="0" fontId="1" fillId="76" borderId="0" applyNumberFormat="0" applyBorder="0" applyAlignment="0" applyProtection="0"/>
    <xf numFmtId="0" fontId="1" fillId="77" borderId="0" applyNumberFormat="0" applyBorder="0" applyAlignment="0" applyProtection="0"/>
    <xf numFmtId="0" fontId="1" fillId="80" borderId="0" applyNumberFormat="0" applyBorder="0" applyAlignment="0" applyProtection="0"/>
    <xf numFmtId="0" fontId="1" fillId="81" borderId="0" applyNumberFormat="0" applyBorder="0" applyAlignment="0" applyProtection="0"/>
    <xf numFmtId="189" fontId="10" fillId="0" borderId="0" applyFont="0" applyFill="0" applyBorder="0" applyAlignment="0" applyProtection="0"/>
    <xf numFmtId="165" fontId="10" fillId="0" borderId="0" applyFont="0" applyFill="0" applyBorder="0" applyAlignment="0" applyProtection="0"/>
    <xf numFmtId="0" fontId="1" fillId="0" borderId="0"/>
    <xf numFmtId="0" fontId="1" fillId="58" borderId="104" applyNumberFormat="0" applyFont="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9" fontId="10" fillId="0" borderId="0" applyFont="0" applyFill="0" applyBorder="0" applyAlignment="0" applyProtection="0"/>
    <xf numFmtId="165" fontId="1" fillId="0" borderId="0" applyFont="0" applyFill="0" applyBorder="0" applyAlignment="0" applyProtection="0"/>
    <xf numFmtId="9"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9" fontId="1" fillId="0" borderId="0" applyFont="0" applyFill="0" applyBorder="0" applyAlignment="0" applyProtection="0"/>
    <xf numFmtId="0" fontId="1" fillId="0" borderId="0"/>
    <xf numFmtId="0" fontId="1" fillId="65" borderId="0" applyNumberFormat="0" applyBorder="0" applyAlignment="0" applyProtection="0"/>
    <xf numFmtId="0" fontId="1" fillId="76" borderId="0" applyNumberFormat="0" applyBorder="0" applyAlignment="0" applyProtection="0"/>
    <xf numFmtId="0" fontId="10" fillId="0" borderId="0"/>
    <xf numFmtId="43" fontId="10" fillId="0" borderId="0" applyFont="0" applyFill="0" applyBorder="0" applyAlignment="0" applyProtection="0"/>
    <xf numFmtId="9" fontId="10" fillId="0" borderId="0" applyFont="0" applyFill="0" applyBorder="0" applyAlignment="0" applyProtection="0"/>
    <xf numFmtId="0" fontId="211" fillId="0" borderId="153" applyNumberFormat="0">
      <alignment vertical="center"/>
    </xf>
    <xf numFmtId="215" fontId="210" fillId="0" borderId="153">
      <alignment horizontal="right" vertical="center"/>
    </xf>
    <xf numFmtId="0" fontId="1" fillId="0" borderId="0"/>
    <xf numFmtId="9"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9" fillId="0" borderId="0"/>
    <xf numFmtId="0" fontId="1" fillId="0" borderId="0"/>
    <xf numFmtId="0" fontId="10" fillId="0" borderId="0"/>
    <xf numFmtId="0" fontId="1" fillId="8"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6" borderId="0" applyNumberFormat="0" applyBorder="0" applyAlignment="0" applyProtection="0"/>
    <xf numFmtId="0" fontId="1" fillId="76" borderId="0" applyNumberFormat="0" applyBorder="0" applyAlignment="0" applyProtection="0"/>
    <xf numFmtId="0" fontId="1" fillId="76" borderId="0" applyNumberFormat="0" applyBorder="0" applyAlignment="0" applyProtection="0"/>
    <xf numFmtId="0" fontId="1" fillId="76" borderId="0" applyNumberFormat="0" applyBorder="0" applyAlignment="0" applyProtection="0"/>
    <xf numFmtId="0" fontId="1" fillId="76" borderId="0" applyNumberFormat="0" applyBorder="0" applyAlignment="0" applyProtection="0"/>
    <xf numFmtId="0" fontId="1" fillId="76" borderId="0" applyNumberFormat="0" applyBorder="0" applyAlignment="0" applyProtection="0"/>
    <xf numFmtId="0" fontId="1" fillId="76" borderId="0" applyNumberFormat="0" applyBorder="0" applyAlignment="0" applyProtection="0"/>
    <xf numFmtId="0" fontId="1" fillId="76" borderId="0" applyNumberFormat="0" applyBorder="0" applyAlignment="0" applyProtection="0"/>
    <xf numFmtId="0" fontId="1" fillId="76" borderId="0" applyNumberFormat="0" applyBorder="0" applyAlignment="0" applyProtection="0"/>
    <xf numFmtId="0" fontId="1" fillId="76" borderId="0" applyNumberFormat="0" applyBorder="0" applyAlignment="0" applyProtection="0"/>
    <xf numFmtId="0" fontId="1" fillId="76" borderId="0" applyNumberFormat="0" applyBorder="0" applyAlignment="0" applyProtection="0"/>
    <xf numFmtId="0" fontId="1" fillId="76" borderId="0" applyNumberFormat="0" applyBorder="0" applyAlignment="0" applyProtection="0"/>
    <xf numFmtId="0" fontId="1" fillId="76" borderId="0" applyNumberFormat="0" applyBorder="0" applyAlignment="0" applyProtection="0"/>
    <xf numFmtId="0" fontId="1" fillId="76" borderId="0" applyNumberFormat="0" applyBorder="0" applyAlignment="0" applyProtection="0"/>
    <xf numFmtId="0" fontId="1" fillId="76" borderId="0" applyNumberFormat="0" applyBorder="0" applyAlignment="0" applyProtection="0"/>
    <xf numFmtId="0" fontId="1" fillId="76" borderId="0" applyNumberFormat="0" applyBorder="0" applyAlignment="0" applyProtection="0"/>
    <xf numFmtId="0" fontId="1" fillId="76" borderId="0" applyNumberFormat="0" applyBorder="0" applyAlignment="0" applyProtection="0"/>
    <xf numFmtId="0" fontId="1" fillId="76" borderId="0" applyNumberFormat="0" applyBorder="0" applyAlignment="0" applyProtection="0"/>
    <xf numFmtId="0" fontId="1" fillId="76" borderId="0" applyNumberFormat="0" applyBorder="0" applyAlignment="0" applyProtection="0"/>
    <xf numFmtId="0" fontId="1" fillId="76" borderId="0" applyNumberFormat="0" applyBorder="0" applyAlignment="0" applyProtection="0"/>
    <xf numFmtId="0" fontId="1" fillId="76" borderId="0" applyNumberFormat="0" applyBorder="0" applyAlignment="0" applyProtection="0"/>
    <xf numFmtId="0" fontId="1" fillId="76" borderId="0" applyNumberFormat="0" applyBorder="0" applyAlignment="0" applyProtection="0"/>
    <xf numFmtId="0" fontId="1" fillId="76" borderId="0" applyNumberFormat="0" applyBorder="0" applyAlignment="0" applyProtection="0"/>
    <xf numFmtId="0" fontId="1" fillId="76" borderId="0" applyNumberFormat="0" applyBorder="0" applyAlignment="0" applyProtection="0"/>
    <xf numFmtId="0" fontId="1" fillId="76" borderId="0" applyNumberFormat="0" applyBorder="0" applyAlignment="0" applyProtection="0"/>
    <xf numFmtId="0" fontId="1" fillId="76" borderId="0" applyNumberFormat="0" applyBorder="0" applyAlignment="0" applyProtection="0"/>
    <xf numFmtId="0" fontId="1" fillId="76" borderId="0" applyNumberFormat="0" applyBorder="0" applyAlignment="0" applyProtection="0"/>
    <xf numFmtId="0" fontId="1" fillId="76" borderId="0" applyNumberFormat="0" applyBorder="0" applyAlignment="0" applyProtection="0"/>
    <xf numFmtId="0" fontId="1" fillId="76" borderId="0" applyNumberFormat="0" applyBorder="0" applyAlignment="0" applyProtection="0"/>
    <xf numFmtId="0" fontId="1" fillId="76" borderId="0" applyNumberFormat="0" applyBorder="0" applyAlignment="0" applyProtection="0"/>
    <xf numFmtId="0" fontId="1" fillId="76" borderId="0" applyNumberFormat="0" applyBorder="0" applyAlignment="0" applyProtection="0"/>
    <xf numFmtId="0" fontId="1" fillId="76" borderId="0" applyNumberFormat="0" applyBorder="0" applyAlignment="0" applyProtection="0"/>
    <xf numFmtId="0" fontId="1" fillId="76" borderId="0" applyNumberFormat="0" applyBorder="0" applyAlignment="0" applyProtection="0"/>
    <xf numFmtId="0" fontId="1" fillId="76" borderId="0" applyNumberFormat="0" applyBorder="0" applyAlignment="0" applyProtection="0"/>
    <xf numFmtId="0" fontId="1" fillId="76" borderId="0" applyNumberFormat="0" applyBorder="0" applyAlignment="0" applyProtection="0"/>
    <xf numFmtId="0" fontId="1" fillId="76" borderId="0" applyNumberFormat="0" applyBorder="0" applyAlignment="0" applyProtection="0"/>
    <xf numFmtId="0" fontId="1" fillId="76" borderId="0" applyNumberFormat="0" applyBorder="0" applyAlignment="0" applyProtection="0"/>
    <xf numFmtId="0" fontId="1" fillId="76" borderId="0" applyNumberFormat="0" applyBorder="0" applyAlignment="0" applyProtection="0"/>
    <xf numFmtId="0" fontId="1" fillId="76" borderId="0" applyNumberFormat="0" applyBorder="0" applyAlignment="0" applyProtection="0"/>
    <xf numFmtId="0" fontId="1" fillId="76" borderId="0" applyNumberFormat="0" applyBorder="0" applyAlignment="0" applyProtection="0"/>
    <xf numFmtId="0" fontId="1" fillId="76" borderId="0" applyNumberFormat="0" applyBorder="0" applyAlignment="0" applyProtection="0"/>
    <xf numFmtId="0" fontId="1" fillId="76" borderId="0" applyNumberFormat="0" applyBorder="0" applyAlignment="0" applyProtection="0"/>
    <xf numFmtId="0" fontId="1" fillId="76" borderId="0" applyNumberFormat="0" applyBorder="0" applyAlignment="0" applyProtection="0"/>
    <xf numFmtId="0" fontId="1" fillId="76" borderId="0" applyNumberFormat="0" applyBorder="0" applyAlignment="0" applyProtection="0"/>
    <xf numFmtId="0" fontId="1" fillId="76" borderId="0" applyNumberFormat="0" applyBorder="0" applyAlignment="0" applyProtection="0"/>
    <xf numFmtId="0" fontId="1" fillId="76" borderId="0" applyNumberFormat="0" applyBorder="0" applyAlignment="0" applyProtection="0"/>
    <xf numFmtId="0" fontId="1" fillId="76" borderId="0" applyNumberFormat="0" applyBorder="0" applyAlignment="0" applyProtection="0"/>
    <xf numFmtId="0" fontId="1" fillId="76" borderId="0" applyNumberFormat="0" applyBorder="0" applyAlignment="0" applyProtection="0"/>
    <xf numFmtId="0" fontId="1" fillId="76" borderId="0" applyNumberFormat="0" applyBorder="0" applyAlignment="0" applyProtection="0"/>
    <xf numFmtId="0" fontId="1" fillId="76" borderId="0" applyNumberFormat="0" applyBorder="0" applyAlignment="0" applyProtection="0"/>
    <xf numFmtId="0" fontId="1" fillId="76" borderId="0" applyNumberFormat="0" applyBorder="0" applyAlignment="0" applyProtection="0"/>
    <xf numFmtId="0" fontId="1" fillId="76" borderId="0" applyNumberFormat="0" applyBorder="0" applyAlignment="0" applyProtection="0"/>
    <xf numFmtId="0" fontId="1" fillId="76" borderId="0" applyNumberFormat="0" applyBorder="0" applyAlignment="0" applyProtection="0"/>
    <xf numFmtId="0" fontId="1" fillId="76" borderId="0" applyNumberFormat="0" applyBorder="0" applyAlignment="0" applyProtection="0"/>
    <xf numFmtId="0" fontId="1" fillId="76" borderId="0" applyNumberFormat="0" applyBorder="0" applyAlignment="0" applyProtection="0"/>
    <xf numFmtId="0" fontId="1" fillId="76" borderId="0" applyNumberFormat="0" applyBorder="0" applyAlignment="0" applyProtection="0"/>
    <xf numFmtId="0" fontId="1" fillId="76" borderId="0" applyNumberFormat="0" applyBorder="0" applyAlignment="0" applyProtection="0"/>
    <xf numFmtId="0" fontId="1" fillId="76" borderId="0" applyNumberFormat="0" applyBorder="0" applyAlignment="0" applyProtection="0"/>
    <xf numFmtId="0" fontId="1" fillId="76" borderId="0" applyNumberFormat="0" applyBorder="0" applyAlignment="0" applyProtection="0"/>
    <xf numFmtId="0" fontId="1" fillId="76" borderId="0" applyNumberFormat="0" applyBorder="0" applyAlignment="0" applyProtection="0"/>
    <xf numFmtId="0" fontId="1" fillId="76" borderId="0" applyNumberFormat="0" applyBorder="0" applyAlignment="0" applyProtection="0"/>
    <xf numFmtId="0" fontId="1" fillId="76" borderId="0" applyNumberFormat="0" applyBorder="0" applyAlignment="0" applyProtection="0"/>
    <xf numFmtId="0" fontId="1" fillId="76" borderId="0" applyNumberFormat="0" applyBorder="0" applyAlignment="0" applyProtection="0"/>
    <xf numFmtId="0" fontId="1" fillId="76" borderId="0" applyNumberFormat="0" applyBorder="0" applyAlignment="0" applyProtection="0"/>
    <xf numFmtId="0" fontId="1" fillId="76" borderId="0" applyNumberFormat="0" applyBorder="0" applyAlignment="0" applyProtection="0"/>
    <xf numFmtId="0" fontId="1" fillId="76" borderId="0" applyNumberFormat="0" applyBorder="0" applyAlignment="0" applyProtection="0"/>
    <xf numFmtId="0" fontId="1" fillId="76" borderId="0" applyNumberFormat="0" applyBorder="0" applyAlignment="0" applyProtection="0"/>
    <xf numFmtId="0" fontId="1" fillId="76" borderId="0" applyNumberFormat="0" applyBorder="0" applyAlignment="0" applyProtection="0"/>
    <xf numFmtId="0" fontId="1" fillId="76" borderId="0" applyNumberFormat="0" applyBorder="0" applyAlignment="0" applyProtection="0"/>
    <xf numFmtId="0" fontId="1" fillId="76" borderId="0" applyNumberFormat="0" applyBorder="0" applyAlignment="0" applyProtection="0"/>
    <xf numFmtId="0" fontId="1" fillId="76" borderId="0" applyNumberFormat="0" applyBorder="0" applyAlignment="0" applyProtection="0"/>
    <xf numFmtId="0" fontId="1" fillId="76" borderId="0" applyNumberFormat="0" applyBorder="0" applyAlignment="0" applyProtection="0"/>
    <xf numFmtId="0" fontId="1" fillId="76" borderId="0" applyNumberFormat="0" applyBorder="0" applyAlignment="0" applyProtection="0"/>
    <xf numFmtId="0" fontId="1" fillId="76" borderId="0" applyNumberFormat="0" applyBorder="0" applyAlignment="0" applyProtection="0"/>
    <xf numFmtId="0" fontId="1" fillId="76" borderId="0" applyNumberFormat="0" applyBorder="0" applyAlignment="0" applyProtection="0"/>
    <xf numFmtId="0" fontId="1" fillId="76" borderId="0" applyNumberFormat="0" applyBorder="0" applyAlignment="0" applyProtection="0"/>
    <xf numFmtId="0" fontId="1" fillId="76" borderId="0" applyNumberFormat="0" applyBorder="0" applyAlignment="0" applyProtection="0"/>
    <xf numFmtId="0" fontId="1" fillId="76" borderId="0" applyNumberFormat="0" applyBorder="0" applyAlignment="0" applyProtection="0"/>
    <xf numFmtId="0" fontId="1" fillId="76" borderId="0" applyNumberFormat="0" applyBorder="0" applyAlignment="0" applyProtection="0"/>
    <xf numFmtId="0" fontId="1" fillId="76" borderId="0" applyNumberFormat="0" applyBorder="0" applyAlignment="0" applyProtection="0"/>
    <xf numFmtId="0" fontId="1" fillId="76" borderId="0" applyNumberFormat="0" applyBorder="0" applyAlignment="0" applyProtection="0"/>
    <xf numFmtId="0" fontId="1" fillId="76" borderId="0" applyNumberFormat="0" applyBorder="0" applyAlignment="0" applyProtection="0"/>
    <xf numFmtId="0" fontId="1" fillId="76" borderId="0" applyNumberFormat="0" applyBorder="0" applyAlignment="0" applyProtection="0"/>
    <xf numFmtId="0" fontId="1" fillId="76" borderId="0" applyNumberFormat="0" applyBorder="0" applyAlignment="0" applyProtection="0"/>
    <xf numFmtId="0" fontId="1" fillId="76" borderId="0" applyNumberFormat="0" applyBorder="0" applyAlignment="0" applyProtection="0"/>
    <xf numFmtId="0" fontId="1" fillId="76" borderId="0" applyNumberFormat="0" applyBorder="0" applyAlignment="0" applyProtection="0"/>
    <xf numFmtId="0" fontId="1" fillId="76" borderId="0" applyNumberFormat="0" applyBorder="0" applyAlignment="0" applyProtection="0"/>
    <xf numFmtId="0" fontId="1" fillId="76" borderId="0" applyNumberFormat="0" applyBorder="0" applyAlignment="0" applyProtection="0"/>
    <xf numFmtId="0" fontId="1" fillId="76" borderId="0" applyNumberFormat="0" applyBorder="0" applyAlignment="0" applyProtection="0"/>
    <xf numFmtId="0" fontId="1" fillId="76" borderId="0" applyNumberFormat="0" applyBorder="0" applyAlignment="0" applyProtection="0"/>
    <xf numFmtId="0" fontId="1" fillId="76" borderId="0" applyNumberFormat="0" applyBorder="0" applyAlignment="0" applyProtection="0"/>
    <xf numFmtId="0" fontId="1" fillId="76" borderId="0" applyNumberFormat="0" applyBorder="0" applyAlignment="0" applyProtection="0"/>
    <xf numFmtId="0" fontId="1" fillId="76" borderId="0" applyNumberFormat="0" applyBorder="0" applyAlignment="0" applyProtection="0"/>
    <xf numFmtId="0" fontId="1" fillId="76" borderId="0" applyNumberFormat="0" applyBorder="0" applyAlignment="0" applyProtection="0"/>
    <xf numFmtId="0" fontId="1" fillId="76" borderId="0" applyNumberFormat="0" applyBorder="0" applyAlignment="0" applyProtection="0"/>
    <xf numFmtId="0" fontId="1" fillId="76" borderId="0" applyNumberFormat="0" applyBorder="0" applyAlignment="0" applyProtection="0"/>
    <xf numFmtId="0" fontId="1" fillId="76" borderId="0" applyNumberFormat="0" applyBorder="0" applyAlignment="0" applyProtection="0"/>
    <xf numFmtId="0" fontId="1" fillId="76" borderId="0" applyNumberFormat="0" applyBorder="0" applyAlignment="0" applyProtection="0"/>
    <xf numFmtId="0" fontId="1" fillId="76" borderId="0" applyNumberFormat="0" applyBorder="0" applyAlignment="0" applyProtection="0"/>
    <xf numFmtId="0" fontId="1" fillId="76" borderId="0" applyNumberFormat="0" applyBorder="0" applyAlignment="0" applyProtection="0"/>
    <xf numFmtId="0" fontId="1" fillId="76" borderId="0" applyNumberFormat="0" applyBorder="0" applyAlignment="0" applyProtection="0"/>
    <xf numFmtId="0" fontId="1" fillId="76" borderId="0" applyNumberFormat="0" applyBorder="0" applyAlignment="0" applyProtection="0"/>
    <xf numFmtId="0" fontId="1" fillId="76" borderId="0" applyNumberFormat="0" applyBorder="0" applyAlignment="0" applyProtection="0"/>
    <xf numFmtId="0" fontId="1" fillId="76" borderId="0" applyNumberFormat="0" applyBorder="0" applyAlignment="0" applyProtection="0"/>
    <xf numFmtId="0" fontId="1" fillId="76" borderId="0" applyNumberFormat="0" applyBorder="0" applyAlignment="0" applyProtection="0"/>
    <xf numFmtId="0" fontId="1" fillId="76" borderId="0" applyNumberFormat="0" applyBorder="0" applyAlignment="0" applyProtection="0"/>
    <xf numFmtId="0" fontId="1" fillId="76" borderId="0" applyNumberFormat="0" applyBorder="0" applyAlignment="0" applyProtection="0"/>
    <xf numFmtId="0" fontId="1" fillId="76" borderId="0" applyNumberFormat="0" applyBorder="0" applyAlignment="0" applyProtection="0"/>
    <xf numFmtId="0" fontId="1" fillId="76" borderId="0" applyNumberFormat="0" applyBorder="0" applyAlignment="0" applyProtection="0"/>
    <xf numFmtId="0" fontId="1" fillId="76" borderId="0" applyNumberFormat="0" applyBorder="0" applyAlignment="0" applyProtection="0"/>
    <xf numFmtId="0" fontId="1" fillId="76" borderId="0" applyNumberFormat="0" applyBorder="0" applyAlignment="0" applyProtection="0"/>
    <xf numFmtId="0" fontId="1" fillId="76" borderId="0" applyNumberFormat="0" applyBorder="0" applyAlignment="0" applyProtection="0"/>
    <xf numFmtId="0" fontId="1" fillId="76" borderId="0" applyNumberFormat="0" applyBorder="0" applyAlignment="0" applyProtection="0"/>
    <xf numFmtId="0" fontId="1" fillId="76" borderId="0" applyNumberFormat="0" applyBorder="0" applyAlignment="0" applyProtection="0"/>
    <xf numFmtId="0" fontId="1" fillId="76" borderId="0" applyNumberFormat="0" applyBorder="0" applyAlignment="0" applyProtection="0"/>
    <xf numFmtId="0" fontId="1" fillId="76" borderId="0" applyNumberFormat="0" applyBorder="0" applyAlignment="0" applyProtection="0"/>
    <xf numFmtId="0" fontId="1" fillId="76" borderId="0" applyNumberFormat="0" applyBorder="0" applyAlignment="0" applyProtection="0"/>
    <xf numFmtId="0" fontId="1" fillId="76" borderId="0" applyNumberFormat="0" applyBorder="0" applyAlignment="0" applyProtection="0"/>
    <xf numFmtId="0" fontId="1" fillId="76" borderId="0" applyNumberFormat="0" applyBorder="0" applyAlignment="0" applyProtection="0"/>
    <xf numFmtId="0" fontId="1" fillId="76" borderId="0" applyNumberFormat="0" applyBorder="0" applyAlignment="0" applyProtection="0"/>
    <xf numFmtId="0" fontId="1" fillId="76" borderId="0" applyNumberFormat="0" applyBorder="0" applyAlignment="0" applyProtection="0"/>
    <xf numFmtId="0" fontId="1" fillId="76" borderId="0" applyNumberFormat="0" applyBorder="0" applyAlignment="0" applyProtection="0"/>
    <xf numFmtId="0" fontId="1" fillId="76" borderId="0" applyNumberFormat="0" applyBorder="0" applyAlignment="0" applyProtection="0"/>
    <xf numFmtId="0" fontId="1" fillId="76" borderId="0" applyNumberFormat="0" applyBorder="0" applyAlignment="0" applyProtection="0"/>
    <xf numFmtId="0" fontId="1" fillId="76" borderId="0" applyNumberFormat="0" applyBorder="0" applyAlignment="0" applyProtection="0"/>
    <xf numFmtId="0" fontId="1" fillId="76" borderId="0" applyNumberFormat="0" applyBorder="0" applyAlignment="0" applyProtection="0"/>
    <xf numFmtId="0" fontId="1" fillId="76" borderId="0" applyNumberFormat="0" applyBorder="0" applyAlignment="0" applyProtection="0"/>
    <xf numFmtId="0" fontId="1" fillId="76" borderId="0" applyNumberFormat="0" applyBorder="0" applyAlignment="0" applyProtection="0"/>
    <xf numFmtId="0" fontId="1" fillId="76" borderId="0" applyNumberFormat="0" applyBorder="0" applyAlignment="0" applyProtection="0"/>
    <xf numFmtId="0" fontId="1" fillId="76" borderId="0" applyNumberFormat="0" applyBorder="0" applyAlignment="0" applyProtection="0"/>
    <xf numFmtId="0" fontId="1" fillId="76" borderId="0" applyNumberFormat="0" applyBorder="0" applyAlignment="0" applyProtection="0"/>
    <xf numFmtId="0" fontId="1" fillId="76" borderId="0" applyNumberFormat="0" applyBorder="0" applyAlignment="0" applyProtection="0"/>
    <xf numFmtId="0" fontId="1" fillId="76" borderId="0" applyNumberFormat="0" applyBorder="0" applyAlignment="0" applyProtection="0"/>
    <xf numFmtId="0" fontId="1" fillId="76" borderId="0" applyNumberFormat="0" applyBorder="0" applyAlignment="0" applyProtection="0"/>
    <xf numFmtId="0" fontId="1" fillId="76" borderId="0" applyNumberFormat="0" applyBorder="0" applyAlignment="0" applyProtection="0"/>
    <xf numFmtId="0" fontId="1" fillId="76" borderId="0" applyNumberFormat="0" applyBorder="0" applyAlignment="0" applyProtection="0"/>
    <xf numFmtId="0" fontId="1" fillId="76" borderId="0" applyNumberFormat="0" applyBorder="0" applyAlignment="0" applyProtection="0"/>
    <xf numFmtId="0" fontId="1" fillId="76" borderId="0" applyNumberFormat="0" applyBorder="0" applyAlignment="0" applyProtection="0"/>
    <xf numFmtId="0" fontId="1" fillId="76" borderId="0" applyNumberFormat="0" applyBorder="0" applyAlignment="0" applyProtection="0"/>
    <xf numFmtId="0" fontId="1" fillId="76" borderId="0" applyNumberFormat="0" applyBorder="0" applyAlignment="0" applyProtection="0"/>
    <xf numFmtId="0" fontId="1" fillId="76" borderId="0" applyNumberFormat="0" applyBorder="0" applyAlignment="0" applyProtection="0"/>
    <xf numFmtId="0" fontId="1" fillId="76" borderId="0" applyNumberFormat="0" applyBorder="0" applyAlignment="0" applyProtection="0"/>
    <xf numFmtId="0" fontId="1" fillId="76" borderId="0" applyNumberFormat="0" applyBorder="0" applyAlignment="0" applyProtection="0"/>
    <xf numFmtId="0" fontId="1" fillId="76" borderId="0" applyNumberFormat="0" applyBorder="0" applyAlignment="0" applyProtection="0"/>
    <xf numFmtId="0" fontId="1" fillId="76" borderId="0" applyNumberFormat="0" applyBorder="0" applyAlignment="0" applyProtection="0"/>
    <xf numFmtId="0" fontId="1" fillId="76" borderId="0" applyNumberFormat="0" applyBorder="0" applyAlignment="0" applyProtection="0"/>
    <xf numFmtId="0" fontId="1" fillId="76" borderId="0" applyNumberFormat="0" applyBorder="0" applyAlignment="0" applyProtection="0"/>
    <xf numFmtId="0" fontId="1" fillId="76" borderId="0" applyNumberFormat="0" applyBorder="0" applyAlignment="0" applyProtection="0"/>
    <xf numFmtId="0" fontId="1" fillId="76" borderId="0" applyNumberFormat="0" applyBorder="0" applyAlignment="0" applyProtection="0"/>
    <xf numFmtId="0" fontId="1" fillId="76" borderId="0" applyNumberFormat="0" applyBorder="0" applyAlignment="0" applyProtection="0"/>
    <xf numFmtId="0" fontId="1" fillId="76" borderId="0" applyNumberFormat="0" applyBorder="0" applyAlignment="0" applyProtection="0"/>
    <xf numFmtId="0" fontId="1" fillId="76" borderId="0" applyNumberFormat="0" applyBorder="0" applyAlignment="0" applyProtection="0"/>
    <xf numFmtId="0" fontId="1" fillId="76" borderId="0" applyNumberFormat="0" applyBorder="0" applyAlignment="0" applyProtection="0"/>
    <xf numFmtId="0" fontId="1" fillId="76" borderId="0" applyNumberFormat="0" applyBorder="0" applyAlignment="0" applyProtection="0"/>
    <xf numFmtId="0" fontId="1" fillId="76" borderId="0" applyNumberFormat="0" applyBorder="0" applyAlignment="0" applyProtection="0"/>
    <xf numFmtId="0" fontId="1" fillId="76" borderId="0" applyNumberFormat="0" applyBorder="0" applyAlignment="0" applyProtection="0"/>
    <xf numFmtId="0" fontId="1" fillId="76" borderId="0" applyNumberFormat="0" applyBorder="0" applyAlignment="0" applyProtection="0"/>
    <xf numFmtId="0" fontId="1" fillId="76" borderId="0" applyNumberFormat="0" applyBorder="0" applyAlignment="0" applyProtection="0"/>
    <xf numFmtId="0" fontId="1" fillId="76" borderId="0" applyNumberFormat="0" applyBorder="0" applyAlignment="0" applyProtection="0"/>
    <xf numFmtId="0" fontId="1" fillId="76" borderId="0" applyNumberFormat="0" applyBorder="0" applyAlignment="0" applyProtection="0"/>
    <xf numFmtId="0" fontId="1" fillId="76" borderId="0" applyNumberFormat="0" applyBorder="0" applyAlignment="0" applyProtection="0"/>
    <xf numFmtId="0" fontId="1" fillId="7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49" fontId="41" fillId="0" borderId="2" applyNumberFormat="0" applyFont="0" applyFill="0" applyBorder="0" applyProtection="0">
      <alignment horizontal="left" vertical="center" indent="2"/>
    </xf>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5" borderId="0" applyNumberFormat="0" applyBorder="0" applyAlignment="0" applyProtection="0"/>
    <xf numFmtId="0" fontId="1" fillId="65" borderId="0" applyNumberFormat="0" applyBorder="0" applyAlignment="0" applyProtection="0"/>
    <xf numFmtId="0" fontId="1" fillId="65" borderId="0" applyNumberFormat="0" applyBorder="0" applyAlignment="0" applyProtection="0"/>
    <xf numFmtId="0" fontId="1" fillId="65" borderId="0" applyNumberFormat="0" applyBorder="0" applyAlignment="0" applyProtection="0"/>
    <xf numFmtId="0" fontId="1" fillId="65" borderId="0" applyNumberFormat="0" applyBorder="0" applyAlignment="0" applyProtection="0"/>
    <xf numFmtId="0" fontId="1" fillId="65" borderId="0" applyNumberFormat="0" applyBorder="0" applyAlignment="0" applyProtection="0"/>
    <xf numFmtId="0" fontId="1" fillId="65" borderId="0" applyNumberFormat="0" applyBorder="0" applyAlignment="0" applyProtection="0"/>
    <xf numFmtId="0" fontId="1" fillId="65" borderId="0" applyNumberFormat="0" applyBorder="0" applyAlignment="0" applyProtection="0"/>
    <xf numFmtId="0" fontId="1" fillId="65" borderId="0" applyNumberFormat="0" applyBorder="0" applyAlignment="0" applyProtection="0"/>
    <xf numFmtId="0" fontId="1" fillId="65" borderId="0" applyNumberFormat="0" applyBorder="0" applyAlignment="0" applyProtection="0"/>
    <xf numFmtId="0" fontId="1" fillId="65" borderId="0" applyNumberFormat="0" applyBorder="0" applyAlignment="0" applyProtection="0"/>
    <xf numFmtId="0" fontId="1" fillId="65" borderId="0" applyNumberFormat="0" applyBorder="0" applyAlignment="0" applyProtection="0"/>
    <xf numFmtId="0" fontId="1" fillId="65" borderId="0" applyNumberFormat="0" applyBorder="0" applyAlignment="0" applyProtection="0"/>
    <xf numFmtId="0" fontId="1" fillId="65" borderId="0" applyNumberFormat="0" applyBorder="0" applyAlignment="0" applyProtection="0"/>
    <xf numFmtId="0" fontId="1" fillId="65" borderId="0" applyNumberFormat="0" applyBorder="0" applyAlignment="0" applyProtection="0"/>
    <xf numFmtId="0" fontId="1" fillId="65" borderId="0" applyNumberFormat="0" applyBorder="0" applyAlignment="0" applyProtection="0"/>
    <xf numFmtId="0" fontId="1" fillId="65" borderId="0" applyNumberFormat="0" applyBorder="0" applyAlignment="0" applyProtection="0"/>
    <xf numFmtId="0" fontId="1" fillId="65" borderId="0" applyNumberFormat="0" applyBorder="0" applyAlignment="0" applyProtection="0"/>
    <xf numFmtId="0" fontId="1" fillId="65" borderId="0" applyNumberFormat="0" applyBorder="0" applyAlignment="0" applyProtection="0"/>
    <xf numFmtId="0" fontId="1" fillId="65" borderId="0" applyNumberFormat="0" applyBorder="0" applyAlignment="0" applyProtection="0"/>
    <xf numFmtId="0" fontId="1" fillId="65" borderId="0" applyNumberFormat="0" applyBorder="0" applyAlignment="0" applyProtection="0"/>
    <xf numFmtId="0" fontId="1" fillId="65" borderId="0" applyNumberFormat="0" applyBorder="0" applyAlignment="0" applyProtection="0"/>
    <xf numFmtId="0" fontId="1" fillId="65" borderId="0" applyNumberFormat="0" applyBorder="0" applyAlignment="0" applyProtection="0"/>
    <xf numFmtId="0" fontId="1" fillId="65" borderId="0" applyNumberFormat="0" applyBorder="0" applyAlignment="0" applyProtection="0"/>
    <xf numFmtId="0" fontId="1" fillId="65" borderId="0" applyNumberFormat="0" applyBorder="0" applyAlignment="0" applyProtection="0"/>
    <xf numFmtId="0" fontId="1" fillId="65" borderId="0" applyNumberFormat="0" applyBorder="0" applyAlignment="0" applyProtection="0"/>
    <xf numFmtId="0" fontId="1" fillId="65" borderId="0" applyNumberFormat="0" applyBorder="0" applyAlignment="0" applyProtection="0"/>
    <xf numFmtId="0" fontId="1" fillId="65" borderId="0" applyNumberFormat="0" applyBorder="0" applyAlignment="0" applyProtection="0"/>
    <xf numFmtId="0" fontId="1" fillId="65" borderId="0" applyNumberFormat="0" applyBorder="0" applyAlignment="0" applyProtection="0"/>
    <xf numFmtId="0" fontId="1" fillId="65" borderId="0" applyNumberFormat="0" applyBorder="0" applyAlignment="0" applyProtection="0"/>
    <xf numFmtId="0" fontId="1" fillId="65" borderId="0" applyNumberFormat="0" applyBorder="0" applyAlignment="0" applyProtection="0"/>
    <xf numFmtId="0" fontId="1" fillId="65" borderId="0" applyNumberFormat="0" applyBorder="0" applyAlignment="0" applyProtection="0"/>
    <xf numFmtId="0" fontId="1" fillId="65" borderId="0" applyNumberFormat="0" applyBorder="0" applyAlignment="0" applyProtection="0"/>
    <xf numFmtId="0" fontId="1" fillId="65" borderId="0" applyNumberFormat="0" applyBorder="0" applyAlignment="0" applyProtection="0"/>
    <xf numFmtId="0" fontId="1" fillId="65" borderId="0" applyNumberFormat="0" applyBorder="0" applyAlignment="0" applyProtection="0"/>
    <xf numFmtId="0" fontId="1" fillId="65" borderId="0" applyNumberFormat="0" applyBorder="0" applyAlignment="0" applyProtection="0"/>
    <xf numFmtId="0" fontId="1" fillId="65" borderId="0" applyNumberFormat="0" applyBorder="0" applyAlignment="0" applyProtection="0"/>
    <xf numFmtId="0" fontId="1" fillId="65" borderId="0" applyNumberFormat="0" applyBorder="0" applyAlignment="0" applyProtection="0"/>
    <xf numFmtId="0" fontId="1" fillId="65" borderId="0" applyNumberFormat="0" applyBorder="0" applyAlignment="0" applyProtection="0"/>
    <xf numFmtId="0" fontId="1" fillId="65" borderId="0" applyNumberFormat="0" applyBorder="0" applyAlignment="0" applyProtection="0"/>
    <xf numFmtId="0" fontId="1" fillId="65" borderId="0" applyNumberFormat="0" applyBorder="0" applyAlignment="0" applyProtection="0"/>
    <xf numFmtId="0" fontId="1" fillId="65" borderId="0" applyNumberFormat="0" applyBorder="0" applyAlignment="0" applyProtection="0"/>
    <xf numFmtId="0" fontId="1" fillId="65" borderId="0" applyNumberFormat="0" applyBorder="0" applyAlignment="0" applyProtection="0"/>
    <xf numFmtId="0" fontId="1" fillId="65" borderId="0" applyNumberFormat="0" applyBorder="0" applyAlignment="0" applyProtection="0"/>
    <xf numFmtId="0" fontId="1" fillId="65" borderId="0" applyNumberFormat="0" applyBorder="0" applyAlignment="0" applyProtection="0"/>
    <xf numFmtId="0" fontId="1" fillId="65" borderId="0" applyNumberFormat="0" applyBorder="0" applyAlignment="0" applyProtection="0"/>
    <xf numFmtId="0" fontId="1" fillId="65" borderId="0" applyNumberFormat="0" applyBorder="0" applyAlignment="0" applyProtection="0"/>
    <xf numFmtId="0" fontId="1" fillId="65" borderId="0" applyNumberFormat="0" applyBorder="0" applyAlignment="0" applyProtection="0"/>
    <xf numFmtId="0" fontId="1" fillId="65" borderId="0" applyNumberFormat="0" applyBorder="0" applyAlignment="0" applyProtection="0"/>
    <xf numFmtId="0" fontId="1" fillId="65" borderId="0" applyNumberFormat="0" applyBorder="0" applyAlignment="0" applyProtection="0"/>
    <xf numFmtId="0" fontId="1" fillId="65" borderId="0" applyNumberFormat="0" applyBorder="0" applyAlignment="0" applyProtection="0"/>
    <xf numFmtId="0" fontId="1" fillId="65" borderId="0" applyNumberFormat="0" applyBorder="0" applyAlignment="0" applyProtection="0"/>
    <xf numFmtId="0" fontId="1" fillId="65" borderId="0" applyNumberFormat="0" applyBorder="0" applyAlignment="0" applyProtection="0"/>
    <xf numFmtId="0" fontId="1" fillId="65" borderId="0" applyNumberFormat="0" applyBorder="0" applyAlignment="0" applyProtection="0"/>
    <xf numFmtId="0" fontId="1" fillId="65" borderId="0" applyNumberFormat="0" applyBorder="0" applyAlignment="0" applyProtection="0"/>
    <xf numFmtId="0" fontId="1" fillId="65" borderId="0" applyNumberFormat="0" applyBorder="0" applyAlignment="0" applyProtection="0"/>
    <xf numFmtId="0" fontId="1" fillId="65" borderId="0" applyNumberFormat="0" applyBorder="0" applyAlignment="0" applyProtection="0"/>
    <xf numFmtId="0" fontId="1" fillId="65" borderId="0" applyNumberFormat="0" applyBorder="0" applyAlignment="0" applyProtection="0"/>
    <xf numFmtId="0" fontId="1" fillId="65" borderId="0" applyNumberFormat="0" applyBorder="0" applyAlignment="0" applyProtection="0"/>
    <xf numFmtId="0" fontId="1" fillId="65" borderId="0" applyNumberFormat="0" applyBorder="0" applyAlignment="0" applyProtection="0"/>
    <xf numFmtId="0" fontId="1" fillId="65" borderId="0" applyNumberFormat="0" applyBorder="0" applyAlignment="0" applyProtection="0"/>
    <xf numFmtId="0" fontId="1" fillId="65" borderId="0" applyNumberFormat="0" applyBorder="0" applyAlignment="0" applyProtection="0"/>
    <xf numFmtId="0" fontId="1" fillId="65" borderId="0" applyNumberFormat="0" applyBorder="0" applyAlignment="0" applyProtection="0"/>
    <xf numFmtId="0" fontId="1" fillId="65" borderId="0" applyNumberFormat="0" applyBorder="0" applyAlignment="0" applyProtection="0"/>
    <xf numFmtId="0" fontId="1" fillId="65" borderId="0" applyNumberFormat="0" applyBorder="0" applyAlignment="0" applyProtection="0"/>
    <xf numFmtId="0" fontId="1" fillId="65" borderId="0" applyNumberFormat="0" applyBorder="0" applyAlignment="0" applyProtection="0"/>
    <xf numFmtId="0" fontId="1" fillId="65" borderId="0" applyNumberFormat="0" applyBorder="0" applyAlignment="0" applyProtection="0"/>
    <xf numFmtId="0" fontId="1" fillId="65" borderId="0" applyNumberFormat="0" applyBorder="0" applyAlignment="0" applyProtection="0"/>
    <xf numFmtId="0" fontId="1" fillId="65" borderId="0" applyNumberFormat="0" applyBorder="0" applyAlignment="0" applyProtection="0"/>
    <xf numFmtId="0" fontId="1" fillId="65" borderId="0" applyNumberFormat="0" applyBorder="0" applyAlignment="0" applyProtection="0"/>
    <xf numFmtId="0" fontId="1" fillId="65" borderId="0" applyNumberFormat="0" applyBorder="0" applyAlignment="0" applyProtection="0"/>
    <xf numFmtId="0" fontId="1" fillId="65" borderId="0" applyNumberFormat="0" applyBorder="0" applyAlignment="0" applyProtection="0"/>
    <xf numFmtId="0" fontId="1" fillId="65" borderId="0" applyNumberFormat="0" applyBorder="0" applyAlignment="0" applyProtection="0"/>
    <xf numFmtId="0" fontId="1" fillId="65" borderId="0" applyNumberFormat="0" applyBorder="0" applyAlignment="0" applyProtection="0"/>
    <xf numFmtId="0" fontId="1" fillId="65" borderId="0" applyNumberFormat="0" applyBorder="0" applyAlignment="0" applyProtection="0"/>
    <xf numFmtId="0" fontId="1" fillId="65" borderId="0" applyNumberFormat="0" applyBorder="0" applyAlignment="0" applyProtection="0"/>
    <xf numFmtId="0" fontId="1" fillId="65" borderId="0" applyNumberFormat="0" applyBorder="0" applyAlignment="0" applyProtection="0"/>
    <xf numFmtId="0" fontId="1" fillId="65" borderId="0" applyNumberFormat="0" applyBorder="0" applyAlignment="0" applyProtection="0"/>
    <xf numFmtId="0" fontId="1" fillId="65" borderId="0" applyNumberFormat="0" applyBorder="0" applyAlignment="0" applyProtection="0"/>
    <xf numFmtId="0" fontId="1" fillId="65" borderId="0" applyNumberFormat="0" applyBorder="0" applyAlignment="0" applyProtection="0"/>
    <xf numFmtId="0" fontId="1" fillId="65" borderId="0" applyNumberFormat="0" applyBorder="0" applyAlignment="0" applyProtection="0"/>
    <xf numFmtId="0" fontId="1" fillId="65" borderId="0" applyNumberFormat="0" applyBorder="0" applyAlignment="0" applyProtection="0"/>
    <xf numFmtId="0" fontId="1" fillId="65" borderId="0" applyNumberFormat="0" applyBorder="0" applyAlignment="0" applyProtection="0"/>
    <xf numFmtId="0" fontId="1" fillId="65" borderId="0" applyNumberFormat="0" applyBorder="0" applyAlignment="0" applyProtection="0"/>
    <xf numFmtId="0" fontId="1" fillId="65" borderId="0" applyNumberFormat="0" applyBorder="0" applyAlignment="0" applyProtection="0"/>
    <xf numFmtId="0" fontId="1" fillId="65" borderId="0" applyNumberFormat="0" applyBorder="0" applyAlignment="0" applyProtection="0"/>
    <xf numFmtId="0" fontId="1" fillId="65" borderId="0" applyNumberFormat="0" applyBorder="0" applyAlignment="0" applyProtection="0"/>
    <xf numFmtId="0" fontId="1" fillId="65" borderId="0" applyNumberFormat="0" applyBorder="0" applyAlignment="0" applyProtection="0"/>
    <xf numFmtId="0" fontId="1" fillId="65" borderId="0" applyNumberFormat="0" applyBorder="0" applyAlignment="0" applyProtection="0"/>
    <xf numFmtId="0" fontId="1" fillId="65" borderId="0" applyNumberFormat="0" applyBorder="0" applyAlignment="0" applyProtection="0"/>
    <xf numFmtId="0" fontId="1" fillId="65" borderId="0" applyNumberFormat="0" applyBorder="0" applyAlignment="0" applyProtection="0"/>
    <xf numFmtId="0" fontId="1" fillId="65" borderId="0" applyNumberFormat="0" applyBorder="0" applyAlignment="0" applyProtection="0"/>
    <xf numFmtId="0" fontId="1" fillId="65" borderId="0" applyNumberFormat="0" applyBorder="0" applyAlignment="0" applyProtection="0"/>
    <xf numFmtId="0" fontId="1" fillId="65" borderId="0" applyNumberFormat="0" applyBorder="0" applyAlignment="0" applyProtection="0"/>
    <xf numFmtId="0" fontId="1" fillId="65" borderId="0" applyNumberFormat="0" applyBorder="0" applyAlignment="0" applyProtection="0"/>
    <xf numFmtId="0" fontId="1" fillId="65" borderId="0" applyNumberFormat="0" applyBorder="0" applyAlignment="0" applyProtection="0"/>
    <xf numFmtId="0" fontId="1" fillId="65" borderId="0" applyNumberFormat="0" applyBorder="0" applyAlignment="0" applyProtection="0"/>
    <xf numFmtId="0" fontId="1" fillId="65" borderId="0" applyNumberFormat="0" applyBorder="0" applyAlignment="0" applyProtection="0"/>
    <xf numFmtId="0" fontId="1" fillId="65" borderId="0" applyNumberFormat="0" applyBorder="0" applyAlignment="0" applyProtection="0"/>
    <xf numFmtId="0" fontId="1" fillId="65" borderId="0" applyNumberFormat="0" applyBorder="0" applyAlignment="0" applyProtection="0"/>
    <xf numFmtId="0" fontId="1" fillId="65" borderId="0" applyNumberFormat="0" applyBorder="0" applyAlignment="0" applyProtection="0"/>
    <xf numFmtId="0" fontId="1" fillId="65" borderId="0" applyNumberFormat="0" applyBorder="0" applyAlignment="0" applyProtection="0"/>
    <xf numFmtId="0" fontId="1" fillId="65" borderId="0" applyNumberFormat="0" applyBorder="0" applyAlignment="0" applyProtection="0"/>
    <xf numFmtId="0" fontId="1" fillId="65" borderId="0" applyNumberFormat="0" applyBorder="0" applyAlignment="0" applyProtection="0"/>
    <xf numFmtId="0" fontId="1" fillId="65" borderId="0" applyNumberFormat="0" applyBorder="0" applyAlignment="0" applyProtection="0"/>
    <xf numFmtId="0" fontId="1" fillId="65" borderId="0" applyNumberFormat="0" applyBorder="0" applyAlignment="0" applyProtection="0"/>
    <xf numFmtId="0" fontId="1" fillId="65" borderId="0" applyNumberFormat="0" applyBorder="0" applyAlignment="0" applyProtection="0"/>
    <xf numFmtId="0" fontId="1" fillId="65" borderId="0" applyNumberFormat="0" applyBorder="0" applyAlignment="0" applyProtection="0"/>
    <xf numFmtId="0" fontId="1" fillId="65" borderId="0" applyNumberFormat="0" applyBorder="0" applyAlignment="0" applyProtection="0"/>
    <xf numFmtId="0" fontId="1" fillId="65" borderId="0" applyNumberFormat="0" applyBorder="0" applyAlignment="0" applyProtection="0"/>
    <xf numFmtId="0" fontId="1" fillId="65" borderId="0" applyNumberFormat="0" applyBorder="0" applyAlignment="0" applyProtection="0"/>
    <xf numFmtId="0" fontId="1" fillId="65" borderId="0" applyNumberFormat="0" applyBorder="0" applyAlignment="0" applyProtection="0"/>
    <xf numFmtId="0" fontId="1" fillId="65" borderId="0" applyNumberFormat="0" applyBorder="0" applyAlignment="0" applyProtection="0"/>
    <xf numFmtId="0" fontId="1" fillId="65" borderId="0" applyNumberFormat="0" applyBorder="0" applyAlignment="0" applyProtection="0"/>
    <xf numFmtId="0" fontId="1" fillId="65" borderId="0" applyNumberFormat="0" applyBorder="0" applyAlignment="0" applyProtection="0"/>
    <xf numFmtId="0" fontId="1" fillId="65" borderId="0" applyNumberFormat="0" applyBorder="0" applyAlignment="0" applyProtection="0"/>
    <xf numFmtId="0" fontId="1" fillId="65" borderId="0" applyNumberFormat="0" applyBorder="0" applyAlignment="0" applyProtection="0"/>
    <xf numFmtId="0" fontId="1" fillId="65" borderId="0" applyNumberFormat="0" applyBorder="0" applyAlignment="0" applyProtection="0"/>
    <xf numFmtId="0" fontId="1" fillId="65" borderId="0" applyNumberFormat="0" applyBorder="0" applyAlignment="0" applyProtection="0"/>
    <xf numFmtId="0" fontId="1" fillId="65" borderId="0" applyNumberFormat="0" applyBorder="0" applyAlignment="0" applyProtection="0"/>
    <xf numFmtId="0" fontId="1" fillId="65" borderId="0" applyNumberFormat="0" applyBorder="0" applyAlignment="0" applyProtection="0"/>
    <xf numFmtId="0" fontId="1" fillId="65" borderId="0" applyNumberFormat="0" applyBorder="0" applyAlignment="0" applyProtection="0"/>
    <xf numFmtId="0" fontId="1" fillId="65" borderId="0" applyNumberFormat="0" applyBorder="0" applyAlignment="0" applyProtection="0"/>
    <xf numFmtId="0" fontId="1" fillId="65" borderId="0" applyNumberFormat="0" applyBorder="0" applyAlignment="0" applyProtection="0"/>
    <xf numFmtId="0" fontId="1" fillId="65" borderId="0" applyNumberFormat="0" applyBorder="0" applyAlignment="0" applyProtection="0"/>
    <xf numFmtId="0" fontId="1" fillId="65" borderId="0" applyNumberFormat="0" applyBorder="0" applyAlignment="0" applyProtection="0"/>
    <xf numFmtId="0" fontId="1" fillId="65" borderId="0" applyNumberFormat="0" applyBorder="0" applyAlignment="0" applyProtection="0"/>
    <xf numFmtId="0" fontId="1" fillId="65" borderId="0" applyNumberFormat="0" applyBorder="0" applyAlignment="0" applyProtection="0"/>
    <xf numFmtId="0" fontId="1" fillId="65" borderId="0" applyNumberFormat="0" applyBorder="0" applyAlignment="0" applyProtection="0"/>
    <xf numFmtId="0" fontId="1" fillId="65" borderId="0" applyNumberFormat="0" applyBorder="0" applyAlignment="0" applyProtection="0"/>
    <xf numFmtId="0" fontId="1" fillId="65" borderId="0" applyNumberFormat="0" applyBorder="0" applyAlignment="0" applyProtection="0"/>
    <xf numFmtId="0" fontId="1" fillId="65" borderId="0" applyNumberFormat="0" applyBorder="0" applyAlignment="0" applyProtection="0"/>
    <xf numFmtId="0" fontId="1" fillId="65" borderId="0" applyNumberFormat="0" applyBorder="0" applyAlignment="0" applyProtection="0"/>
    <xf numFmtId="0" fontId="1" fillId="65" borderId="0" applyNumberFormat="0" applyBorder="0" applyAlignment="0" applyProtection="0"/>
    <xf numFmtId="0" fontId="1" fillId="65" borderId="0" applyNumberFormat="0" applyBorder="0" applyAlignment="0" applyProtection="0"/>
    <xf numFmtId="0" fontId="1" fillId="65" borderId="0" applyNumberFormat="0" applyBorder="0" applyAlignment="0" applyProtection="0"/>
    <xf numFmtId="0" fontId="1" fillId="65" borderId="0" applyNumberFormat="0" applyBorder="0" applyAlignment="0" applyProtection="0"/>
    <xf numFmtId="0" fontId="1" fillId="65" borderId="0" applyNumberFormat="0" applyBorder="0" applyAlignment="0" applyProtection="0"/>
    <xf numFmtId="0" fontId="1" fillId="65" borderId="0" applyNumberFormat="0" applyBorder="0" applyAlignment="0" applyProtection="0"/>
    <xf numFmtId="0" fontId="1" fillId="65" borderId="0" applyNumberFormat="0" applyBorder="0" applyAlignment="0" applyProtection="0"/>
    <xf numFmtId="0" fontId="1" fillId="65" borderId="0" applyNumberFormat="0" applyBorder="0" applyAlignment="0" applyProtection="0"/>
    <xf numFmtId="0" fontId="1" fillId="65" borderId="0" applyNumberFormat="0" applyBorder="0" applyAlignment="0" applyProtection="0"/>
    <xf numFmtId="0" fontId="1" fillId="65" borderId="0" applyNumberFormat="0" applyBorder="0" applyAlignment="0" applyProtection="0"/>
    <xf numFmtId="0" fontId="1" fillId="65" borderId="0" applyNumberFormat="0" applyBorder="0" applyAlignment="0" applyProtection="0"/>
    <xf numFmtId="0" fontId="1" fillId="65" borderId="0" applyNumberFormat="0" applyBorder="0" applyAlignment="0" applyProtection="0"/>
    <xf numFmtId="0" fontId="1" fillId="65" borderId="0" applyNumberFormat="0" applyBorder="0" applyAlignment="0" applyProtection="0"/>
    <xf numFmtId="0" fontId="1" fillId="65" borderId="0" applyNumberFormat="0" applyBorder="0" applyAlignment="0" applyProtection="0"/>
    <xf numFmtId="0" fontId="1" fillId="65" borderId="0" applyNumberFormat="0" applyBorder="0" applyAlignment="0" applyProtection="0"/>
    <xf numFmtId="0" fontId="1" fillId="65" borderId="0" applyNumberFormat="0" applyBorder="0" applyAlignment="0" applyProtection="0"/>
    <xf numFmtId="0" fontId="1" fillId="65" borderId="0" applyNumberFormat="0" applyBorder="0" applyAlignment="0" applyProtection="0"/>
    <xf numFmtId="0" fontId="1" fillId="65" borderId="0" applyNumberFormat="0" applyBorder="0" applyAlignment="0" applyProtection="0"/>
    <xf numFmtId="0" fontId="1" fillId="65" borderId="0" applyNumberFormat="0" applyBorder="0" applyAlignment="0" applyProtection="0"/>
    <xf numFmtId="0" fontId="1" fillId="65" borderId="0" applyNumberFormat="0" applyBorder="0" applyAlignment="0" applyProtection="0"/>
    <xf numFmtId="0" fontId="1" fillId="65" borderId="0" applyNumberFormat="0" applyBorder="0" applyAlignment="0" applyProtection="0"/>
    <xf numFmtId="0" fontId="1" fillId="65" borderId="0" applyNumberFormat="0" applyBorder="0" applyAlignment="0" applyProtection="0"/>
    <xf numFmtId="0" fontId="1" fillId="65" borderId="0" applyNumberFormat="0" applyBorder="0" applyAlignment="0" applyProtection="0"/>
    <xf numFmtId="0" fontId="1" fillId="65" borderId="0" applyNumberFormat="0" applyBorder="0" applyAlignment="0" applyProtection="0"/>
    <xf numFmtId="0" fontId="1" fillId="65" borderId="0" applyNumberFormat="0" applyBorder="0" applyAlignment="0" applyProtection="0"/>
    <xf numFmtId="0" fontId="1" fillId="65" borderId="0" applyNumberFormat="0" applyBorder="0" applyAlignment="0" applyProtection="0"/>
    <xf numFmtId="0" fontId="1" fillId="65" borderId="0" applyNumberFormat="0" applyBorder="0" applyAlignment="0" applyProtection="0"/>
    <xf numFmtId="0" fontId="1" fillId="65" borderId="0" applyNumberFormat="0" applyBorder="0" applyAlignment="0" applyProtection="0"/>
    <xf numFmtId="0" fontId="1" fillId="65"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3" borderId="0" applyNumberFormat="0" applyBorder="0" applyAlignment="0" applyProtection="0"/>
    <xf numFmtId="0" fontId="1" fillId="3" borderId="0" applyNumberFormat="0" applyBorder="0" applyAlignment="0" applyProtection="0"/>
    <xf numFmtId="0" fontId="1" fillId="3" borderId="0" applyNumberFormat="0" applyBorder="0" applyAlignment="0" applyProtection="0"/>
    <xf numFmtId="0" fontId="1" fillId="3" borderId="0" applyNumberFormat="0" applyBorder="0" applyAlignment="0" applyProtection="0"/>
    <xf numFmtId="0" fontId="1" fillId="3" borderId="0" applyNumberFormat="0" applyBorder="0" applyAlignment="0" applyProtection="0"/>
    <xf numFmtId="0" fontId="1" fillId="3" borderId="0" applyNumberFormat="0" applyBorder="0" applyAlignment="0" applyProtection="0"/>
    <xf numFmtId="0" fontId="1" fillId="3" borderId="0" applyNumberFormat="0" applyBorder="0" applyAlignment="0" applyProtection="0"/>
    <xf numFmtId="0" fontId="1" fillId="3" borderId="0" applyNumberFormat="0" applyBorder="0" applyAlignment="0" applyProtection="0"/>
    <xf numFmtId="0" fontId="1" fillId="3" borderId="0" applyNumberFormat="0" applyBorder="0" applyAlignment="0" applyProtection="0"/>
    <xf numFmtId="0" fontId="1" fillId="3" borderId="0" applyNumberFormat="0" applyBorder="0" applyAlignment="0" applyProtection="0"/>
    <xf numFmtId="0" fontId="1" fillId="3" borderId="0" applyNumberFormat="0" applyBorder="0" applyAlignment="0" applyProtection="0"/>
    <xf numFmtId="0" fontId="1" fillId="3" borderId="0" applyNumberFormat="0" applyBorder="0" applyAlignment="0" applyProtection="0"/>
    <xf numFmtId="0" fontId="1" fillId="3" borderId="0" applyNumberFormat="0" applyBorder="0" applyAlignment="0" applyProtection="0"/>
    <xf numFmtId="0" fontId="1" fillId="3" borderId="0" applyNumberFormat="0" applyBorder="0" applyAlignment="0" applyProtection="0"/>
    <xf numFmtId="0" fontId="1" fillId="3" borderId="0" applyNumberFormat="0" applyBorder="0" applyAlignment="0" applyProtection="0"/>
    <xf numFmtId="0" fontId="1" fillId="3" borderId="0" applyNumberFormat="0" applyBorder="0" applyAlignment="0" applyProtection="0"/>
    <xf numFmtId="0" fontId="1" fillId="3" borderId="0" applyNumberFormat="0" applyBorder="0" applyAlignment="0" applyProtection="0"/>
    <xf numFmtId="0" fontId="1" fillId="3" borderId="0" applyNumberFormat="0" applyBorder="0" applyAlignment="0" applyProtection="0"/>
    <xf numFmtId="0" fontId="1" fillId="3" borderId="0" applyNumberFormat="0" applyBorder="0" applyAlignment="0" applyProtection="0"/>
    <xf numFmtId="0" fontId="1" fillId="3" borderId="0" applyNumberFormat="0" applyBorder="0" applyAlignment="0" applyProtection="0"/>
    <xf numFmtId="0" fontId="1" fillId="3" borderId="0" applyNumberFormat="0" applyBorder="0" applyAlignment="0" applyProtection="0"/>
    <xf numFmtId="0" fontId="1" fillId="3" borderId="0" applyNumberFormat="0" applyBorder="0" applyAlignment="0" applyProtection="0"/>
    <xf numFmtId="0" fontId="1" fillId="3" borderId="0" applyNumberFormat="0" applyBorder="0" applyAlignment="0" applyProtection="0"/>
    <xf numFmtId="0" fontId="1" fillId="3" borderId="0" applyNumberFormat="0" applyBorder="0" applyAlignment="0" applyProtection="0"/>
    <xf numFmtId="0" fontId="1" fillId="3" borderId="0" applyNumberFormat="0" applyBorder="0" applyAlignment="0" applyProtection="0"/>
    <xf numFmtId="0" fontId="1" fillId="3" borderId="0" applyNumberFormat="0" applyBorder="0" applyAlignment="0" applyProtection="0"/>
    <xf numFmtId="0" fontId="1" fillId="3" borderId="0" applyNumberFormat="0" applyBorder="0" applyAlignment="0" applyProtection="0"/>
    <xf numFmtId="0" fontId="1" fillId="3" borderId="0" applyNumberFormat="0" applyBorder="0" applyAlignment="0" applyProtection="0"/>
    <xf numFmtId="0" fontId="1" fillId="3" borderId="0" applyNumberFormat="0" applyBorder="0" applyAlignment="0" applyProtection="0"/>
    <xf numFmtId="0" fontId="1" fillId="3" borderId="0" applyNumberFormat="0" applyBorder="0" applyAlignment="0" applyProtection="0"/>
    <xf numFmtId="0" fontId="1" fillId="3" borderId="0" applyNumberFormat="0" applyBorder="0" applyAlignment="0" applyProtection="0"/>
    <xf numFmtId="0" fontId="1" fillId="3" borderId="0" applyNumberFormat="0" applyBorder="0" applyAlignment="0" applyProtection="0"/>
    <xf numFmtId="0" fontId="1" fillId="3" borderId="0" applyNumberFormat="0" applyBorder="0" applyAlignment="0" applyProtection="0"/>
    <xf numFmtId="0" fontId="1" fillId="3" borderId="0" applyNumberFormat="0" applyBorder="0" applyAlignment="0" applyProtection="0"/>
    <xf numFmtId="0" fontId="1" fillId="3" borderId="0" applyNumberFormat="0" applyBorder="0" applyAlignment="0" applyProtection="0"/>
    <xf numFmtId="0" fontId="1" fillId="3" borderId="0" applyNumberFormat="0" applyBorder="0" applyAlignment="0" applyProtection="0"/>
    <xf numFmtId="0" fontId="1" fillId="3" borderId="0" applyNumberFormat="0" applyBorder="0" applyAlignment="0" applyProtection="0"/>
    <xf numFmtId="0" fontId="1" fillId="3" borderId="0" applyNumberFormat="0" applyBorder="0" applyAlignment="0" applyProtection="0"/>
    <xf numFmtId="0" fontId="1" fillId="3" borderId="0" applyNumberFormat="0" applyBorder="0" applyAlignment="0" applyProtection="0"/>
    <xf numFmtId="0" fontId="1" fillId="3" borderId="0" applyNumberFormat="0" applyBorder="0" applyAlignment="0" applyProtection="0"/>
    <xf numFmtId="0" fontId="1" fillId="3" borderId="0" applyNumberFormat="0" applyBorder="0" applyAlignment="0" applyProtection="0"/>
    <xf numFmtId="0" fontId="1" fillId="3" borderId="0" applyNumberFormat="0" applyBorder="0" applyAlignment="0" applyProtection="0"/>
    <xf numFmtId="0" fontId="1" fillId="3" borderId="0" applyNumberFormat="0" applyBorder="0" applyAlignment="0" applyProtection="0"/>
    <xf numFmtId="0" fontId="1" fillId="3" borderId="0" applyNumberFormat="0" applyBorder="0" applyAlignment="0" applyProtection="0"/>
    <xf numFmtId="0" fontId="1" fillId="3" borderId="0" applyNumberFormat="0" applyBorder="0" applyAlignment="0" applyProtection="0"/>
    <xf numFmtId="0" fontId="1" fillId="3" borderId="0" applyNumberFormat="0" applyBorder="0" applyAlignment="0" applyProtection="0"/>
    <xf numFmtId="0" fontId="1" fillId="3" borderId="0" applyNumberFormat="0" applyBorder="0" applyAlignment="0" applyProtection="0"/>
    <xf numFmtId="0" fontId="1" fillId="3" borderId="0" applyNumberFormat="0" applyBorder="0" applyAlignment="0" applyProtection="0"/>
    <xf numFmtId="0" fontId="1" fillId="3" borderId="0" applyNumberFormat="0" applyBorder="0" applyAlignment="0" applyProtection="0"/>
    <xf numFmtId="0" fontId="1" fillId="3" borderId="0" applyNumberFormat="0" applyBorder="0" applyAlignment="0" applyProtection="0"/>
    <xf numFmtId="0" fontId="1" fillId="3" borderId="0" applyNumberFormat="0" applyBorder="0" applyAlignment="0" applyProtection="0"/>
    <xf numFmtId="0" fontId="1" fillId="3" borderId="0" applyNumberFormat="0" applyBorder="0" applyAlignment="0" applyProtection="0"/>
    <xf numFmtId="0" fontId="1" fillId="3" borderId="0" applyNumberFormat="0" applyBorder="0" applyAlignment="0" applyProtection="0"/>
    <xf numFmtId="0" fontId="1" fillId="3" borderId="0" applyNumberFormat="0" applyBorder="0" applyAlignment="0" applyProtection="0"/>
    <xf numFmtId="0" fontId="1" fillId="3" borderId="0" applyNumberFormat="0" applyBorder="0" applyAlignment="0" applyProtection="0"/>
    <xf numFmtId="0" fontId="1" fillId="3" borderId="0" applyNumberFormat="0" applyBorder="0" applyAlignment="0" applyProtection="0"/>
    <xf numFmtId="0" fontId="1" fillId="3" borderId="0" applyNumberFormat="0" applyBorder="0" applyAlignment="0" applyProtection="0"/>
    <xf numFmtId="0" fontId="1" fillId="3" borderId="0" applyNumberFormat="0" applyBorder="0" applyAlignment="0" applyProtection="0"/>
    <xf numFmtId="0" fontId="1" fillId="3" borderId="0" applyNumberFormat="0" applyBorder="0" applyAlignment="0" applyProtection="0"/>
    <xf numFmtId="0" fontId="1" fillId="3" borderId="0" applyNumberFormat="0" applyBorder="0" applyAlignment="0" applyProtection="0"/>
    <xf numFmtId="0" fontId="1" fillId="3" borderId="0" applyNumberFormat="0" applyBorder="0" applyAlignment="0" applyProtection="0"/>
    <xf numFmtId="0" fontId="1" fillId="3" borderId="0" applyNumberFormat="0" applyBorder="0" applyAlignment="0" applyProtection="0"/>
    <xf numFmtId="0" fontId="1" fillId="3" borderId="0" applyNumberFormat="0" applyBorder="0" applyAlignment="0" applyProtection="0"/>
    <xf numFmtId="0" fontId="1" fillId="3" borderId="0" applyNumberFormat="0" applyBorder="0" applyAlignment="0" applyProtection="0"/>
    <xf numFmtId="0" fontId="1" fillId="3" borderId="0" applyNumberFormat="0" applyBorder="0" applyAlignment="0" applyProtection="0"/>
    <xf numFmtId="0" fontId="1" fillId="3" borderId="0" applyNumberFormat="0" applyBorder="0" applyAlignment="0" applyProtection="0"/>
    <xf numFmtId="0" fontId="1" fillId="3" borderId="0" applyNumberFormat="0" applyBorder="0" applyAlignment="0" applyProtection="0"/>
    <xf numFmtId="0" fontId="1" fillId="3" borderId="0" applyNumberFormat="0" applyBorder="0" applyAlignment="0" applyProtection="0"/>
    <xf numFmtId="0" fontId="1" fillId="3" borderId="0" applyNumberFormat="0" applyBorder="0" applyAlignment="0" applyProtection="0"/>
    <xf numFmtId="0" fontId="1" fillId="3" borderId="0" applyNumberFormat="0" applyBorder="0" applyAlignment="0" applyProtection="0"/>
    <xf numFmtId="0" fontId="1" fillId="3" borderId="0" applyNumberFormat="0" applyBorder="0" applyAlignment="0" applyProtection="0"/>
    <xf numFmtId="0" fontId="1" fillId="3" borderId="0" applyNumberFormat="0" applyBorder="0" applyAlignment="0" applyProtection="0"/>
    <xf numFmtId="0" fontId="1" fillId="3" borderId="0" applyNumberFormat="0" applyBorder="0" applyAlignment="0" applyProtection="0"/>
    <xf numFmtId="0" fontId="1" fillId="3" borderId="0" applyNumberFormat="0" applyBorder="0" applyAlignment="0" applyProtection="0"/>
    <xf numFmtId="0" fontId="1" fillId="3" borderId="0" applyNumberFormat="0" applyBorder="0" applyAlignment="0" applyProtection="0"/>
    <xf numFmtId="0" fontId="1" fillId="3" borderId="0" applyNumberFormat="0" applyBorder="0" applyAlignment="0" applyProtection="0"/>
    <xf numFmtId="0" fontId="1" fillId="3" borderId="0" applyNumberFormat="0" applyBorder="0" applyAlignment="0" applyProtection="0"/>
    <xf numFmtId="0" fontId="1" fillId="3" borderId="0" applyNumberFormat="0" applyBorder="0" applyAlignment="0" applyProtection="0"/>
    <xf numFmtId="0" fontId="1" fillId="3" borderId="0" applyNumberFormat="0" applyBorder="0" applyAlignment="0" applyProtection="0"/>
    <xf numFmtId="0" fontId="1" fillId="3" borderId="0" applyNumberFormat="0" applyBorder="0" applyAlignment="0" applyProtection="0"/>
    <xf numFmtId="0" fontId="1" fillId="3" borderId="0" applyNumberFormat="0" applyBorder="0" applyAlignment="0" applyProtection="0"/>
    <xf numFmtId="0" fontId="1" fillId="3" borderId="0" applyNumberFormat="0" applyBorder="0" applyAlignment="0" applyProtection="0"/>
    <xf numFmtId="0" fontId="1" fillId="3" borderId="0" applyNumberFormat="0" applyBorder="0" applyAlignment="0" applyProtection="0"/>
    <xf numFmtId="0" fontId="1" fillId="3" borderId="0" applyNumberFormat="0" applyBorder="0" applyAlignment="0" applyProtection="0"/>
    <xf numFmtId="0" fontId="1" fillId="3" borderId="0" applyNumberFormat="0" applyBorder="0" applyAlignment="0" applyProtection="0"/>
    <xf numFmtId="0" fontId="1" fillId="3" borderId="0" applyNumberFormat="0" applyBorder="0" applyAlignment="0" applyProtection="0"/>
    <xf numFmtId="0" fontId="1" fillId="3" borderId="0" applyNumberFormat="0" applyBorder="0" applyAlignment="0" applyProtection="0"/>
    <xf numFmtId="0" fontId="1" fillId="3" borderId="0" applyNumberFormat="0" applyBorder="0" applyAlignment="0" applyProtection="0"/>
    <xf numFmtId="0" fontId="1" fillId="3" borderId="0" applyNumberFormat="0" applyBorder="0" applyAlignment="0" applyProtection="0"/>
    <xf numFmtId="0" fontId="1" fillId="3" borderId="0" applyNumberFormat="0" applyBorder="0" applyAlignment="0" applyProtection="0"/>
    <xf numFmtId="0" fontId="1" fillId="3" borderId="0" applyNumberFormat="0" applyBorder="0" applyAlignment="0" applyProtection="0"/>
    <xf numFmtId="0" fontId="1" fillId="3" borderId="0" applyNumberFormat="0" applyBorder="0" applyAlignment="0" applyProtection="0"/>
    <xf numFmtId="0" fontId="1" fillId="3" borderId="0" applyNumberFormat="0" applyBorder="0" applyAlignment="0" applyProtection="0"/>
    <xf numFmtId="0" fontId="1" fillId="3" borderId="0" applyNumberFormat="0" applyBorder="0" applyAlignment="0" applyProtection="0"/>
    <xf numFmtId="0" fontId="1" fillId="3" borderId="0" applyNumberFormat="0" applyBorder="0" applyAlignment="0" applyProtection="0"/>
    <xf numFmtId="0" fontId="1" fillId="3" borderId="0" applyNumberFormat="0" applyBorder="0" applyAlignment="0" applyProtection="0"/>
    <xf numFmtId="0" fontId="1" fillId="3" borderId="0" applyNumberFormat="0" applyBorder="0" applyAlignment="0" applyProtection="0"/>
    <xf numFmtId="0" fontId="1" fillId="3" borderId="0" applyNumberFormat="0" applyBorder="0" applyAlignment="0" applyProtection="0"/>
    <xf numFmtId="0" fontId="1" fillId="3" borderId="0" applyNumberFormat="0" applyBorder="0" applyAlignment="0" applyProtection="0"/>
    <xf numFmtId="0" fontId="1" fillId="3" borderId="0" applyNumberFormat="0" applyBorder="0" applyAlignment="0" applyProtection="0"/>
    <xf numFmtId="0" fontId="1" fillId="3" borderId="0" applyNumberFormat="0" applyBorder="0" applyAlignment="0" applyProtection="0"/>
    <xf numFmtId="0" fontId="1" fillId="3" borderId="0" applyNumberFormat="0" applyBorder="0" applyAlignment="0" applyProtection="0"/>
    <xf numFmtId="0" fontId="1" fillId="3" borderId="0" applyNumberFormat="0" applyBorder="0" applyAlignment="0" applyProtection="0"/>
    <xf numFmtId="0" fontId="1" fillId="3" borderId="0" applyNumberFormat="0" applyBorder="0" applyAlignment="0" applyProtection="0"/>
    <xf numFmtId="0" fontId="1" fillId="3" borderId="0" applyNumberFormat="0" applyBorder="0" applyAlignment="0" applyProtection="0"/>
    <xf numFmtId="0" fontId="1" fillId="3" borderId="0" applyNumberFormat="0" applyBorder="0" applyAlignment="0" applyProtection="0"/>
    <xf numFmtId="0" fontId="1" fillId="3" borderId="0" applyNumberFormat="0" applyBorder="0" applyAlignment="0" applyProtection="0"/>
    <xf numFmtId="0" fontId="1" fillId="3" borderId="0" applyNumberFormat="0" applyBorder="0" applyAlignment="0" applyProtection="0"/>
    <xf numFmtId="0" fontId="1" fillId="3" borderId="0" applyNumberFormat="0" applyBorder="0" applyAlignment="0" applyProtection="0"/>
    <xf numFmtId="0" fontId="1" fillId="3" borderId="0" applyNumberFormat="0" applyBorder="0" applyAlignment="0" applyProtection="0"/>
    <xf numFmtId="0" fontId="1" fillId="3" borderId="0" applyNumberFormat="0" applyBorder="0" applyAlignment="0" applyProtection="0"/>
    <xf numFmtId="0" fontId="1" fillId="3" borderId="0" applyNumberFormat="0" applyBorder="0" applyAlignment="0" applyProtection="0"/>
    <xf numFmtId="0" fontId="1" fillId="3" borderId="0" applyNumberFormat="0" applyBorder="0" applyAlignment="0" applyProtection="0"/>
    <xf numFmtId="0" fontId="1" fillId="3" borderId="0" applyNumberFormat="0" applyBorder="0" applyAlignment="0" applyProtection="0"/>
    <xf numFmtId="0" fontId="1" fillId="3" borderId="0" applyNumberFormat="0" applyBorder="0" applyAlignment="0" applyProtection="0"/>
    <xf numFmtId="0" fontId="1" fillId="3" borderId="0" applyNumberFormat="0" applyBorder="0" applyAlignment="0" applyProtection="0"/>
    <xf numFmtId="0" fontId="1" fillId="3" borderId="0" applyNumberFormat="0" applyBorder="0" applyAlignment="0" applyProtection="0"/>
    <xf numFmtId="0" fontId="1" fillId="3" borderId="0" applyNumberFormat="0" applyBorder="0" applyAlignment="0" applyProtection="0"/>
    <xf numFmtId="0" fontId="1" fillId="3" borderId="0" applyNumberFormat="0" applyBorder="0" applyAlignment="0" applyProtection="0"/>
    <xf numFmtId="0" fontId="1" fillId="3" borderId="0" applyNumberFormat="0" applyBorder="0" applyAlignment="0" applyProtection="0"/>
    <xf numFmtId="0" fontId="1" fillId="3" borderId="0" applyNumberFormat="0" applyBorder="0" applyAlignment="0" applyProtection="0"/>
    <xf numFmtId="0" fontId="1" fillId="3" borderId="0" applyNumberFormat="0" applyBorder="0" applyAlignment="0" applyProtection="0"/>
    <xf numFmtId="0" fontId="1" fillId="3" borderId="0" applyNumberFormat="0" applyBorder="0" applyAlignment="0" applyProtection="0"/>
    <xf numFmtId="0" fontId="1" fillId="3" borderId="0" applyNumberFormat="0" applyBorder="0" applyAlignment="0" applyProtection="0"/>
    <xf numFmtId="0" fontId="1" fillId="3" borderId="0" applyNumberFormat="0" applyBorder="0" applyAlignment="0" applyProtection="0"/>
    <xf numFmtId="0" fontId="1" fillId="3" borderId="0" applyNumberFormat="0" applyBorder="0" applyAlignment="0" applyProtection="0"/>
    <xf numFmtId="0" fontId="1" fillId="3" borderId="0" applyNumberFormat="0" applyBorder="0" applyAlignment="0" applyProtection="0"/>
    <xf numFmtId="0" fontId="1" fillId="3" borderId="0" applyNumberFormat="0" applyBorder="0" applyAlignment="0" applyProtection="0"/>
    <xf numFmtId="0" fontId="1" fillId="3" borderId="0" applyNumberFormat="0" applyBorder="0" applyAlignment="0" applyProtection="0"/>
    <xf numFmtId="0" fontId="1" fillId="3" borderId="0" applyNumberFormat="0" applyBorder="0" applyAlignment="0" applyProtection="0"/>
    <xf numFmtId="0" fontId="1" fillId="3" borderId="0" applyNumberFormat="0" applyBorder="0" applyAlignment="0" applyProtection="0"/>
    <xf numFmtId="0" fontId="1" fillId="3" borderId="0" applyNumberFormat="0" applyBorder="0" applyAlignment="0" applyProtection="0"/>
    <xf numFmtId="0" fontId="1" fillId="3" borderId="0" applyNumberFormat="0" applyBorder="0" applyAlignment="0" applyProtection="0"/>
    <xf numFmtId="0" fontId="1" fillId="3" borderId="0" applyNumberFormat="0" applyBorder="0" applyAlignment="0" applyProtection="0"/>
    <xf numFmtId="0" fontId="1" fillId="3" borderId="0" applyNumberFormat="0" applyBorder="0" applyAlignment="0" applyProtection="0"/>
    <xf numFmtId="0" fontId="1" fillId="3" borderId="0" applyNumberFormat="0" applyBorder="0" applyAlignment="0" applyProtection="0"/>
    <xf numFmtId="0" fontId="1" fillId="3" borderId="0" applyNumberFormat="0" applyBorder="0" applyAlignment="0" applyProtection="0"/>
    <xf numFmtId="0" fontId="1" fillId="3" borderId="0" applyNumberFormat="0" applyBorder="0" applyAlignment="0" applyProtection="0"/>
    <xf numFmtId="0" fontId="1" fillId="3" borderId="0" applyNumberFormat="0" applyBorder="0" applyAlignment="0" applyProtection="0"/>
    <xf numFmtId="0" fontId="1" fillId="3" borderId="0" applyNumberFormat="0" applyBorder="0" applyAlignment="0" applyProtection="0"/>
    <xf numFmtId="0" fontId="1" fillId="3" borderId="0" applyNumberFormat="0" applyBorder="0" applyAlignment="0" applyProtection="0"/>
    <xf numFmtId="0" fontId="1" fillId="3" borderId="0" applyNumberFormat="0" applyBorder="0" applyAlignment="0" applyProtection="0"/>
    <xf numFmtId="0" fontId="1" fillId="3" borderId="0" applyNumberFormat="0" applyBorder="0" applyAlignment="0" applyProtection="0"/>
    <xf numFmtId="0" fontId="1" fillId="3" borderId="0" applyNumberFormat="0" applyBorder="0" applyAlignment="0" applyProtection="0"/>
    <xf numFmtId="0" fontId="1" fillId="3" borderId="0" applyNumberFormat="0" applyBorder="0" applyAlignment="0" applyProtection="0"/>
    <xf numFmtId="0" fontId="1" fillId="3" borderId="0" applyNumberFormat="0" applyBorder="0" applyAlignment="0" applyProtection="0"/>
    <xf numFmtId="0" fontId="1" fillId="3" borderId="0" applyNumberFormat="0" applyBorder="0" applyAlignment="0" applyProtection="0"/>
    <xf numFmtId="0" fontId="1" fillId="3" borderId="0" applyNumberFormat="0" applyBorder="0" applyAlignment="0" applyProtection="0"/>
    <xf numFmtId="0" fontId="1" fillId="3" borderId="0" applyNumberFormat="0" applyBorder="0" applyAlignment="0" applyProtection="0"/>
    <xf numFmtId="0" fontId="1" fillId="3" borderId="0" applyNumberFormat="0" applyBorder="0" applyAlignment="0" applyProtection="0"/>
    <xf numFmtId="0" fontId="1" fillId="3" borderId="0" applyNumberFormat="0" applyBorder="0" applyAlignment="0" applyProtection="0"/>
    <xf numFmtId="0" fontId="1" fillId="3" borderId="0" applyNumberFormat="0" applyBorder="0" applyAlignment="0" applyProtection="0"/>
    <xf numFmtId="0" fontId="1" fillId="3" borderId="0" applyNumberFormat="0" applyBorder="0" applyAlignment="0" applyProtection="0"/>
    <xf numFmtId="0" fontId="1" fillId="3" borderId="0" applyNumberFormat="0" applyBorder="0" applyAlignment="0" applyProtection="0"/>
    <xf numFmtId="0" fontId="1" fillId="3" borderId="0" applyNumberFormat="0" applyBorder="0" applyAlignment="0" applyProtection="0"/>
    <xf numFmtId="0" fontId="1" fillId="3" borderId="0" applyNumberFormat="0" applyBorder="0" applyAlignment="0" applyProtection="0"/>
    <xf numFmtId="0" fontId="1" fillId="3" borderId="0" applyNumberFormat="0" applyBorder="0" applyAlignment="0" applyProtection="0"/>
    <xf numFmtId="0" fontId="1" fillId="3" borderId="0" applyNumberFormat="0" applyBorder="0" applyAlignment="0" applyProtection="0"/>
    <xf numFmtId="0" fontId="1" fillId="3" borderId="0" applyNumberFormat="0" applyBorder="0" applyAlignment="0" applyProtection="0"/>
    <xf numFmtId="0" fontId="1" fillId="3" borderId="0" applyNumberFormat="0" applyBorder="0" applyAlignment="0" applyProtection="0"/>
    <xf numFmtId="0" fontId="1" fillId="3" borderId="0" applyNumberFormat="0" applyBorder="0" applyAlignment="0" applyProtection="0"/>
    <xf numFmtId="0" fontId="1" fillId="3" borderId="0" applyNumberFormat="0" applyBorder="0" applyAlignment="0" applyProtection="0"/>
    <xf numFmtId="0" fontId="1" fillId="3" borderId="0" applyNumberFormat="0" applyBorder="0" applyAlignment="0" applyProtection="0"/>
    <xf numFmtId="0" fontId="1" fillId="3" borderId="0" applyNumberFormat="0" applyBorder="0" applyAlignment="0" applyProtection="0"/>
    <xf numFmtId="0" fontId="1" fillId="3" borderId="0" applyNumberFormat="0" applyBorder="0" applyAlignment="0" applyProtection="0"/>
    <xf numFmtId="0" fontId="1" fillId="3" borderId="0" applyNumberFormat="0" applyBorder="0" applyAlignment="0" applyProtection="0"/>
    <xf numFmtId="0" fontId="1" fillId="3" borderId="0" applyNumberFormat="0" applyBorder="0" applyAlignment="0" applyProtection="0"/>
    <xf numFmtId="0" fontId="1" fillId="3" borderId="0" applyNumberFormat="0" applyBorder="0" applyAlignment="0" applyProtection="0"/>
    <xf numFmtId="0" fontId="1" fillId="3" borderId="0" applyNumberFormat="0" applyBorder="0" applyAlignment="0" applyProtection="0"/>
    <xf numFmtId="0" fontId="1" fillId="3" borderId="0" applyNumberFormat="0" applyBorder="0" applyAlignment="0" applyProtection="0"/>
    <xf numFmtId="0" fontId="1" fillId="3" borderId="0" applyNumberFormat="0" applyBorder="0" applyAlignment="0" applyProtection="0"/>
    <xf numFmtId="0" fontId="1" fillId="3" borderId="0" applyNumberFormat="0" applyBorder="0" applyAlignment="0" applyProtection="0"/>
    <xf numFmtId="0" fontId="1" fillId="3" borderId="0" applyNumberFormat="0" applyBorder="0" applyAlignment="0" applyProtection="0"/>
    <xf numFmtId="0" fontId="1" fillId="3" borderId="0" applyNumberFormat="0" applyBorder="0" applyAlignment="0" applyProtection="0"/>
    <xf numFmtId="0" fontId="1" fillId="3" borderId="0" applyNumberFormat="0" applyBorder="0" applyAlignment="0" applyProtection="0"/>
    <xf numFmtId="0" fontId="1" fillId="3" borderId="0" applyNumberFormat="0" applyBorder="0" applyAlignment="0" applyProtection="0"/>
    <xf numFmtId="0" fontId="1" fillId="3" borderId="0" applyNumberFormat="0" applyBorder="0" applyAlignment="0" applyProtection="0"/>
    <xf numFmtId="0" fontId="1" fillId="3" borderId="0" applyNumberFormat="0" applyBorder="0" applyAlignment="0" applyProtection="0"/>
    <xf numFmtId="0" fontId="1" fillId="3" borderId="0" applyNumberFormat="0" applyBorder="0" applyAlignment="0" applyProtection="0"/>
    <xf numFmtId="0" fontId="1" fillId="3" borderId="0" applyNumberFormat="0" applyBorder="0" applyAlignment="0" applyProtection="0"/>
    <xf numFmtId="0" fontId="1" fillId="3" borderId="0" applyNumberFormat="0" applyBorder="0" applyAlignment="0" applyProtection="0"/>
    <xf numFmtId="0" fontId="1" fillId="3" borderId="0" applyNumberFormat="0" applyBorder="0" applyAlignment="0" applyProtection="0"/>
    <xf numFmtId="0" fontId="1" fillId="3" borderId="0" applyNumberFormat="0" applyBorder="0" applyAlignment="0" applyProtection="0"/>
    <xf numFmtId="0" fontId="1" fillId="3" borderId="0" applyNumberFormat="0" applyBorder="0" applyAlignment="0" applyProtection="0"/>
    <xf numFmtId="0" fontId="1" fillId="3" borderId="0" applyNumberFormat="0" applyBorder="0" applyAlignment="0" applyProtection="0"/>
    <xf numFmtId="0" fontId="1" fillId="3" borderId="0" applyNumberFormat="0" applyBorder="0" applyAlignment="0" applyProtection="0"/>
    <xf numFmtId="0" fontId="1" fillId="3" borderId="0" applyNumberFormat="0" applyBorder="0" applyAlignment="0" applyProtection="0"/>
    <xf numFmtId="0" fontId="1" fillId="3" borderId="0" applyNumberFormat="0" applyBorder="0" applyAlignment="0" applyProtection="0"/>
    <xf numFmtId="0" fontId="1" fillId="3" borderId="0" applyNumberFormat="0" applyBorder="0" applyAlignment="0" applyProtection="0"/>
    <xf numFmtId="0" fontId="1" fillId="3" borderId="0" applyNumberFormat="0" applyBorder="0" applyAlignment="0" applyProtection="0"/>
    <xf numFmtId="0" fontId="1" fillId="3" borderId="0" applyNumberFormat="0" applyBorder="0" applyAlignment="0" applyProtection="0"/>
    <xf numFmtId="0" fontId="1" fillId="3" borderId="0" applyNumberFormat="0" applyBorder="0" applyAlignment="0" applyProtection="0"/>
    <xf numFmtId="0" fontId="1" fillId="3" borderId="0" applyNumberFormat="0" applyBorder="0" applyAlignment="0" applyProtection="0"/>
    <xf numFmtId="0" fontId="1" fillId="3" borderId="0" applyNumberFormat="0" applyBorder="0" applyAlignment="0" applyProtection="0"/>
    <xf numFmtId="0" fontId="1" fillId="3" borderId="0" applyNumberFormat="0" applyBorder="0" applyAlignment="0" applyProtection="0"/>
    <xf numFmtId="0" fontId="1" fillId="3" borderId="0" applyNumberFormat="0" applyBorder="0" applyAlignment="0" applyProtection="0"/>
    <xf numFmtId="0" fontId="1" fillId="3" borderId="0" applyNumberFormat="0" applyBorder="0" applyAlignment="0" applyProtection="0"/>
    <xf numFmtId="0" fontId="1" fillId="3" borderId="0" applyNumberFormat="0" applyBorder="0" applyAlignment="0" applyProtection="0"/>
    <xf numFmtId="0" fontId="1" fillId="3" borderId="0" applyNumberFormat="0" applyBorder="0" applyAlignment="0" applyProtection="0"/>
    <xf numFmtId="0" fontId="1" fillId="3" borderId="0" applyNumberFormat="0" applyBorder="0" applyAlignment="0" applyProtection="0"/>
    <xf numFmtId="0" fontId="1" fillId="3" borderId="0" applyNumberFormat="0" applyBorder="0" applyAlignment="0" applyProtection="0"/>
    <xf numFmtId="0" fontId="1" fillId="3" borderId="0" applyNumberFormat="0" applyBorder="0" applyAlignment="0" applyProtection="0"/>
    <xf numFmtId="0" fontId="1" fillId="3" borderId="0" applyNumberFormat="0" applyBorder="0" applyAlignment="0" applyProtection="0"/>
    <xf numFmtId="0" fontId="1" fillId="3" borderId="0" applyNumberFormat="0" applyBorder="0" applyAlignment="0" applyProtection="0"/>
    <xf numFmtId="0" fontId="1" fillId="3" borderId="0" applyNumberFormat="0" applyBorder="0" applyAlignment="0" applyProtection="0"/>
    <xf numFmtId="0" fontId="1" fillId="3" borderId="0" applyNumberFormat="0" applyBorder="0" applyAlignment="0" applyProtection="0"/>
    <xf numFmtId="0" fontId="1" fillId="3" borderId="0" applyNumberFormat="0" applyBorder="0" applyAlignment="0" applyProtection="0"/>
    <xf numFmtId="0" fontId="1" fillId="3" borderId="0" applyNumberFormat="0" applyBorder="0" applyAlignment="0" applyProtection="0"/>
    <xf numFmtId="0" fontId="1" fillId="3" borderId="0" applyNumberFormat="0" applyBorder="0" applyAlignment="0" applyProtection="0"/>
    <xf numFmtId="0" fontId="1" fillId="3" borderId="0" applyNumberFormat="0" applyBorder="0" applyAlignment="0" applyProtection="0"/>
    <xf numFmtId="0" fontId="1" fillId="3" borderId="0" applyNumberFormat="0" applyBorder="0" applyAlignment="0" applyProtection="0"/>
    <xf numFmtId="0" fontId="1" fillId="3" borderId="0" applyNumberFormat="0" applyBorder="0" applyAlignment="0" applyProtection="0"/>
    <xf numFmtId="0" fontId="1" fillId="3" borderId="0" applyNumberFormat="0" applyBorder="0" applyAlignment="0" applyProtection="0"/>
    <xf numFmtId="0" fontId="1" fillId="3" borderId="0" applyNumberFormat="0" applyBorder="0" applyAlignment="0" applyProtection="0"/>
    <xf numFmtId="0" fontId="1" fillId="3" borderId="0" applyNumberFormat="0" applyBorder="0" applyAlignment="0" applyProtection="0"/>
    <xf numFmtId="0" fontId="1" fillId="3" borderId="0" applyNumberFormat="0" applyBorder="0" applyAlignment="0" applyProtection="0"/>
    <xf numFmtId="0" fontId="1" fillId="3" borderId="0" applyNumberFormat="0" applyBorder="0" applyAlignment="0" applyProtection="0"/>
    <xf numFmtId="0" fontId="1" fillId="3" borderId="0" applyNumberFormat="0" applyBorder="0" applyAlignment="0" applyProtection="0"/>
    <xf numFmtId="0" fontId="1" fillId="3" borderId="0" applyNumberFormat="0" applyBorder="0" applyAlignment="0" applyProtection="0"/>
    <xf numFmtId="0" fontId="1" fillId="3" borderId="0" applyNumberFormat="0" applyBorder="0" applyAlignment="0" applyProtection="0"/>
    <xf numFmtId="0" fontId="1" fillId="3" borderId="0" applyNumberFormat="0" applyBorder="0" applyAlignment="0" applyProtection="0"/>
    <xf numFmtId="0" fontId="1" fillId="3" borderId="0" applyNumberFormat="0" applyBorder="0" applyAlignment="0" applyProtection="0"/>
    <xf numFmtId="0" fontId="1" fillId="3" borderId="0" applyNumberFormat="0" applyBorder="0" applyAlignment="0" applyProtection="0"/>
    <xf numFmtId="0" fontId="1" fillId="3" borderId="0" applyNumberFormat="0" applyBorder="0" applyAlignment="0" applyProtection="0"/>
    <xf numFmtId="0" fontId="1" fillId="3" borderId="0" applyNumberFormat="0" applyBorder="0" applyAlignment="0" applyProtection="0"/>
    <xf numFmtId="0" fontId="1" fillId="3" borderId="0" applyNumberFormat="0" applyBorder="0" applyAlignment="0" applyProtection="0"/>
    <xf numFmtId="0" fontId="1" fillId="3" borderId="0" applyNumberFormat="0" applyBorder="0" applyAlignment="0" applyProtection="0"/>
    <xf numFmtId="0" fontId="1" fillId="3" borderId="0" applyNumberFormat="0" applyBorder="0" applyAlignment="0" applyProtection="0"/>
    <xf numFmtId="0" fontId="1" fillId="3" borderId="0" applyNumberFormat="0" applyBorder="0" applyAlignment="0" applyProtection="0"/>
    <xf numFmtId="0" fontId="1" fillId="3" borderId="0" applyNumberFormat="0" applyBorder="0" applyAlignment="0" applyProtection="0"/>
    <xf numFmtId="0" fontId="1" fillId="3" borderId="0" applyNumberFormat="0" applyBorder="0" applyAlignment="0" applyProtection="0"/>
    <xf numFmtId="0" fontId="1" fillId="3" borderId="0" applyNumberFormat="0" applyBorder="0" applyAlignment="0" applyProtection="0"/>
    <xf numFmtId="0" fontId="1" fillId="3" borderId="0" applyNumberFormat="0" applyBorder="0" applyAlignment="0" applyProtection="0"/>
    <xf numFmtId="0" fontId="1" fillId="3" borderId="0" applyNumberFormat="0" applyBorder="0" applyAlignment="0" applyProtection="0"/>
    <xf numFmtId="0" fontId="1" fillId="3" borderId="0" applyNumberFormat="0" applyBorder="0" applyAlignment="0" applyProtection="0"/>
    <xf numFmtId="0" fontId="1" fillId="3" borderId="0" applyNumberFormat="0" applyBorder="0" applyAlignment="0" applyProtection="0"/>
    <xf numFmtId="0" fontId="1" fillId="3" borderId="0" applyNumberFormat="0" applyBorder="0" applyAlignment="0" applyProtection="0"/>
    <xf numFmtId="0" fontId="1" fillId="3" borderId="0" applyNumberFormat="0" applyBorder="0" applyAlignment="0" applyProtection="0"/>
    <xf numFmtId="0" fontId="1" fillId="3" borderId="0" applyNumberFormat="0" applyBorder="0" applyAlignment="0" applyProtection="0"/>
    <xf numFmtId="0" fontId="1" fillId="3" borderId="0" applyNumberFormat="0" applyBorder="0" applyAlignment="0" applyProtection="0"/>
    <xf numFmtId="0" fontId="1" fillId="3" borderId="0" applyNumberFormat="0" applyBorder="0" applyAlignment="0" applyProtection="0"/>
    <xf numFmtId="0" fontId="1" fillId="3" borderId="0" applyNumberFormat="0" applyBorder="0" applyAlignment="0" applyProtection="0"/>
    <xf numFmtId="0" fontId="1" fillId="3" borderId="0" applyNumberFormat="0" applyBorder="0" applyAlignment="0" applyProtection="0"/>
    <xf numFmtId="0" fontId="1" fillId="3" borderId="0" applyNumberFormat="0" applyBorder="0" applyAlignment="0" applyProtection="0"/>
    <xf numFmtId="0" fontId="1" fillId="3" borderId="0" applyNumberFormat="0" applyBorder="0" applyAlignment="0" applyProtection="0"/>
    <xf numFmtId="0" fontId="1" fillId="3" borderId="0" applyNumberFormat="0" applyBorder="0" applyAlignment="0" applyProtection="0"/>
    <xf numFmtId="0" fontId="1" fillId="3" borderId="0" applyNumberFormat="0" applyBorder="0" applyAlignment="0" applyProtection="0"/>
    <xf numFmtId="0" fontId="1" fillId="3" borderId="0" applyNumberFormat="0" applyBorder="0" applyAlignment="0" applyProtection="0"/>
    <xf numFmtId="0" fontId="1" fillId="3" borderId="0" applyNumberFormat="0" applyBorder="0" applyAlignment="0" applyProtection="0"/>
    <xf numFmtId="0" fontId="1" fillId="3" borderId="0" applyNumberFormat="0" applyBorder="0" applyAlignment="0" applyProtection="0"/>
    <xf numFmtId="0" fontId="1" fillId="3" borderId="0" applyNumberFormat="0" applyBorder="0" applyAlignment="0" applyProtection="0"/>
    <xf numFmtId="0" fontId="1" fillId="3" borderId="0" applyNumberFormat="0" applyBorder="0" applyAlignment="0" applyProtection="0"/>
    <xf numFmtId="0" fontId="1" fillId="3" borderId="0" applyNumberFormat="0" applyBorder="0" applyAlignment="0" applyProtection="0"/>
    <xf numFmtId="0" fontId="1" fillId="3" borderId="0" applyNumberFormat="0" applyBorder="0" applyAlignment="0" applyProtection="0"/>
    <xf numFmtId="0" fontId="1" fillId="3" borderId="0" applyNumberFormat="0" applyBorder="0" applyAlignment="0" applyProtection="0"/>
    <xf numFmtId="0" fontId="1" fillId="3" borderId="0" applyNumberFormat="0" applyBorder="0" applyAlignment="0" applyProtection="0"/>
    <xf numFmtId="0" fontId="1" fillId="3" borderId="0" applyNumberFormat="0" applyBorder="0" applyAlignment="0" applyProtection="0"/>
    <xf numFmtId="0" fontId="1" fillId="3" borderId="0" applyNumberFormat="0" applyBorder="0" applyAlignment="0" applyProtection="0"/>
    <xf numFmtId="0" fontId="1" fillId="3" borderId="0" applyNumberFormat="0" applyBorder="0" applyAlignment="0" applyProtection="0"/>
    <xf numFmtId="0" fontId="1" fillId="3" borderId="0" applyNumberFormat="0" applyBorder="0" applyAlignment="0" applyProtection="0"/>
    <xf numFmtId="0" fontId="1" fillId="3" borderId="0" applyNumberFormat="0" applyBorder="0" applyAlignment="0" applyProtection="0"/>
    <xf numFmtId="0" fontId="1" fillId="3" borderId="0" applyNumberFormat="0" applyBorder="0" applyAlignment="0" applyProtection="0"/>
    <xf numFmtId="0" fontId="1" fillId="3" borderId="0" applyNumberFormat="0" applyBorder="0" applyAlignment="0" applyProtection="0"/>
    <xf numFmtId="0" fontId="1" fillId="3" borderId="0" applyNumberFormat="0" applyBorder="0" applyAlignment="0" applyProtection="0"/>
    <xf numFmtId="0" fontId="1" fillId="3" borderId="0" applyNumberFormat="0" applyBorder="0" applyAlignment="0" applyProtection="0"/>
    <xf numFmtId="0" fontId="1" fillId="3" borderId="0" applyNumberFormat="0" applyBorder="0" applyAlignment="0" applyProtection="0"/>
    <xf numFmtId="0" fontId="1" fillId="3" borderId="0" applyNumberFormat="0" applyBorder="0" applyAlignment="0" applyProtection="0"/>
    <xf numFmtId="0" fontId="1" fillId="3" borderId="0" applyNumberFormat="0" applyBorder="0" applyAlignment="0" applyProtection="0"/>
    <xf numFmtId="0" fontId="1" fillId="3" borderId="0" applyNumberFormat="0" applyBorder="0" applyAlignment="0" applyProtection="0"/>
    <xf numFmtId="0" fontId="1" fillId="3" borderId="0" applyNumberFormat="0" applyBorder="0" applyAlignment="0" applyProtection="0"/>
    <xf numFmtId="0" fontId="1" fillId="3" borderId="0" applyNumberFormat="0" applyBorder="0" applyAlignment="0" applyProtection="0"/>
    <xf numFmtId="0" fontId="1" fillId="3" borderId="0" applyNumberFormat="0" applyBorder="0" applyAlignment="0" applyProtection="0"/>
    <xf numFmtId="0" fontId="1" fillId="3" borderId="0" applyNumberFormat="0" applyBorder="0" applyAlignment="0" applyProtection="0"/>
    <xf numFmtId="0" fontId="1" fillId="3" borderId="0" applyNumberFormat="0" applyBorder="0" applyAlignment="0" applyProtection="0"/>
    <xf numFmtId="0" fontId="1" fillId="3" borderId="0" applyNumberFormat="0" applyBorder="0" applyAlignment="0" applyProtection="0"/>
    <xf numFmtId="0" fontId="1" fillId="3" borderId="0" applyNumberFormat="0" applyBorder="0" applyAlignment="0" applyProtection="0"/>
    <xf numFmtId="0" fontId="1" fillId="3" borderId="0" applyNumberFormat="0" applyBorder="0" applyAlignment="0" applyProtection="0"/>
    <xf numFmtId="0" fontId="1" fillId="3"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07" fillId="6" borderId="0" applyNumberFormat="0" applyBorder="0" applyAlignment="0" applyProtection="0"/>
    <xf numFmtId="0" fontId="107" fillId="6" borderId="0" applyNumberFormat="0" applyBorder="0" applyAlignment="0" applyProtection="0"/>
    <xf numFmtId="0" fontId="107" fillId="6" borderId="0" applyNumberFormat="0" applyBorder="0" applyAlignment="0" applyProtection="0"/>
    <xf numFmtId="0" fontId="107" fillId="6" borderId="0" applyNumberFormat="0" applyBorder="0" applyAlignment="0" applyProtection="0"/>
    <xf numFmtId="0" fontId="107" fillId="6" borderId="0" applyNumberFormat="0" applyBorder="0" applyAlignment="0" applyProtection="0"/>
    <xf numFmtId="0" fontId="107" fillId="19" borderId="0" applyNumberFormat="0" applyBorder="0" applyAlignment="0" applyProtection="0"/>
    <xf numFmtId="0" fontId="107" fillId="19" borderId="0" applyNumberFormat="0" applyBorder="0" applyAlignment="0" applyProtection="0"/>
    <xf numFmtId="0" fontId="107" fillId="19" borderId="0" applyNumberFormat="0" applyBorder="0" applyAlignment="0" applyProtection="0"/>
    <xf numFmtId="0" fontId="107" fillId="19" borderId="0" applyNumberFormat="0" applyBorder="0" applyAlignment="0" applyProtection="0"/>
    <xf numFmtId="0" fontId="107" fillId="19" borderId="0" applyNumberFormat="0" applyBorder="0" applyAlignment="0" applyProtection="0"/>
    <xf numFmtId="0" fontId="107" fillId="11" borderId="0" applyNumberFormat="0" applyBorder="0" applyAlignment="0" applyProtection="0"/>
    <xf numFmtId="0" fontId="107" fillId="11" borderId="0" applyNumberFormat="0" applyBorder="0" applyAlignment="0" applyProtection="0"/>
    <xf numFmtId="0" fontId="107" fillId="11" borderId="0" applyNumberFormat="0" applyBorder="0" applyAlignment="0" applyProtection="0"/>
    <xf numFmtId="0" fontId="107" fillId="11" borderId="0" applyNumberFormat="0" applyBorder="0" applyAlignment="0" applyProtection="0"/>
    <xf numFmtId="0" fontId="107" fillId="11" borderId="0" applyNumberFormat="0" applyBorder="0" applyAlignment="0" applyProtection="0"/>
    <xf numFmtId="0" fontId="107" fillId="11" borderId="0" applyNumberFormat="0" applyBorder="0" applyAlignment="0" applyProtection="0"/>
    <xf numFmtId="0" fontId="107" fillId="11" borderId="0" applyNumberFormat="0" applyBorder="0" applyAlignment="0" applyProtection="0"/>
    <xf numFmtId="0" fontId="107" fillId="3" borderId="0" applyNumberFormat="0" applyBorder="0" applyAlignment="0" applyProtection="0"/>
    <xf numFmtId="0" fontId="107" fillId="3" borderId="0" applyNumberFormat="0" applyBorder="0" applyAlignment="0" applyProtection="0"/>
    <xf numFmtId="0" fontId="107" fillId="3" borderId="0" applyNumberFormat="0" applyBorder="0" applyAlignment="0" applyProtection="0"/>
    <xf numFmtId="0" fontId="107" fillId="3" borderId="0" applyNumberFormat="0" applyBorder="0" applyAlignment="0" applyProtection="0"/>
    <xf numFmtId="0" fontId="107" fillId="3" borderId="0" applyNumberFormat="0" applyBorder="0" applyAlignment="0" applyProtection="0"/>
    <xf numFmtId="0" fontId="107" fillId="3" borderId="0" applyNumberFormat="0" applyBorder="0" applyAlignment="0" applyProtection="0"/>
    <xf numFmtId="0" fontId="107" fillId="3" borderId="0" applyNumberFormat="0" applyBorder="0" applyAlignment="0" applyProtection="0"/>
    <xf numFmtId="0" fontId="107" fillId="6" borderId="0" applyNumberFormat="0" applyBorder="0" applyAlignment="0" applyProtection="0"/>
    <xf numFmtId="0" fontId="107" fillId="6" borderId="0" applyNumberFormat="0" applyBorder="0" applyAlignment="0" applyProtection="0"/>
    <xf numFmtId="0" fontId="107" fillId="6" borderId="0" applyNumberFormat="0" applyBorder="0" applyAlignment="0" applyProtection="0"/>
    <xf numFmtId="0" fontId="107" fillId="6" borderId="0" applyNumberFormat="0" applyBorder="0" applyAlignment="0" applyProtection="0"/>
    <xf numFmtId="0" fontId="107" fillId="6" borderId="0" applyNumberFormat="0" applyBorder="0" applyAlignment="0" applyProtection="0"/>
    <xf numFmtId="0" fontId="107" fillId="9" borderId="0" applyNumberFormat="0" applyBorder="0" applyAlignment="0" applyProtection="0"/>
    <xf numFmtId="0" fontId="107" fillId="9" borderId="0" applyNumberFormat="0" applyBorder="0" applyAlignment="0" applyProtection="0"/>
    <xf numFmtId="0" fontId="107" fillId="9" borderId="0" applyNumberFormat="0" applyBorder="0" applyAlignment="0" applyProtection="0"/>
    <xf numFmtId="0" fontId="107" fillId="9" borderId="0" applyNumberFormat="0" applyBorder="0" applyAlignment="0" applyProtection="0"/>
    <xf numFmtId="0" fontId="107" fillId="9" borderId="0" applyNumberFormat="0" applyBorder="0" applyAlignment="0" applyProtection="0"/>
    <xf numFmtId="0" fontId="107" fillId="9" borderId="0" applyNumberFormat="0" applyBorder="0" applyAlignment="0" applyProtection="0"/>
    <xf numFmtId="0" fontId="107" fillId="9" borderId="0" applyNumberFormat="0" applyBorder="0" applyAlignment="0" applyProtection="0"/>
    <xf numFmtId="218" fontId="215" fillId="0" borderId="0" applyAlignment="0" applyProtection="0"/>
    <xf numFmtId="218" fontId="215" fillId="0" borderId="0" applyAlignment="0" applyProtection="0"/>
    <xf numFmtId="0" fontId="13" fillId="58" borderId="104" applyNumberFormat="0" applyFont="0" applyAlignment="0" applyProtection="0"/>
    <xf numFmtId="0" fontId="13" fillId="58" borderId="104" applyNumberFormat="0" applyFont="0" applyAlignment="0" applyProtection="0"/>
    <xf numFmtId="0" fontId="13" fillId="58" borderId="104" applyNumberFormat="0" applyFont="0" applyAlignment="0" applyProtection="0"/>
    <xf numFmtId="0" fontId="13" fillId="58" borderId="104" applyNumberFormat="0" applyFont="0" applyAlignment="0" applyProtection="0"/>
    <xf numFmtId="0" fontId="13" fillId="58" borderId="104" applyNumberFormat="0" applyFont="0" applyAlignment="0" applyProtection="0"/>
    <xf numFmtId="0" fontId="13" fillId="58" borderId="104" applyNumberFormat="0" applyFont="0" applyAlignment="0" applyProtection="0"/>
    <xf numFmtId="0" fontId="13" fillId="58" borderId="104" applyNumberFormat="0" applyFont="0" applyAlignment="0" applyProtection="0"/>
    <xf numFmtId="0" fontId="13" fillId="58" borderId="104" applyNumberFormat="0" applyFont="0" applyAlignment="0" applyProtection="0"/>
    <xf numFmtId="0" fontId="13" fillId="58" borderId="104" applyNumberFormat="0" applyFont="0" applyAlignment="0" applyProtection="0"/>
    <xf numFmtId="0" fontId="13" fillId="58" borderId="104" applyNumberFormat="0" applyFont="0" applyAlignment="0" applyProtection="0"/>
    <xf numFmtId="0" fontId="13" fillId="58" borderId="104" applyNumberFormat="0" applyFont="0" applyAlignment="0" applyProtection="0"/>
    <xf numFmtId="0" fontId="13" fillId="58" borderId="104" applyNumberFormat="0" applyFont="0" applyAlignment="0" applyProtection="0"/>
    <xf numFmtId="0" fontId="13" fillId="58" borderId="104" applyNumberFormat="0" applyFont="0" applyAlignment="0" applyProtection="0"/>
    <xf numFmtId="0" fontId="13" fillId="58" borderId="104" applyNumberFormat="0" applyFont="0" applyAlignment="0" applyProtection="0"/>
    <xf numFmtId="0" fontId="13" fillId="58" borderId="104" applyNumberFormat="0" applyFont="0" applyAlignment="0" applyProtection="0"/>
    <xf numFmtId="0" fontId="13" fillId="58" borderId="104" applyNumberFormat="0" applyFont="0" applyAlignment="0" applyProtection="0"/>
    <xf numFmtId="0" fontId="13" fillId="58" borderId="104" applyNumberFormat="0" applyFont="0" applyAlignment="0" applyProtection="0"/>
    <xf numFmtId="0" fontId="13" fillId="58" borderId="104" applyNumberFormat="0" applyFont="0" applyAlignment="0" applyProtection="0"/>
    <xf numFmtId="0" fontId="13" fillId="58" borderId="104" applyNumberFormat="0" applyFont="0" applyAlignment="0" applyProtection="0"/>
    <xf numFmtId="0" fontId="13" fillId="58" borderId="104" applyNumberFormat="0" applyFont="0" applyAlignment="0" applyProtection="0"/>
    <xf numFmtId="0" fontId="13" fillId="58" borderId="104" applyNumberFormat="0" applyFont="0" applyAlignment="0" applyProtection="0"/>
    <xf numFmtId="0" fontId="13" fillId="58" borderId="104" applyNumberFormat="0" applyFont="0" applyAlignment="0" applyProtection="0"/>
    <xf numFmtId="0" fontId="13" fillId="58" borderId="104" applyNumberFormat="0" applyFont="0" applyAlignment="0" applyProtection="0"/>
    <xf numFmtId="0" fontId="13" fillId="58" borderId="104" applyNumberFormat="0" applyFont="0" applyAlignment="0" applyProtection="0"/>
    <xf numFmtId="0" fontId="13" fillId="58" borderId="104" applyNumberFormat="0" applyFont="0" applyAlignment="0" applyProtection="0"/>
    <xf numFmtId="0" fontId="13" fillId="58" borderId="104" applyNumberFormat="0" applyFont="0" applyAlignment="0" applyProtection="0"/>
    <xf numFmtId="0" fontId="13" fillId="58" borderId="104" applyNumberFormat="0" applyFont="0" applyAlignment="0" applyProtection="0"/>
    <xf numFmtId="0" fontId="13" fillId="58" borderId="104" applyNumberFormat="0" applyFont="0" applyAlignment="0" applyProtection="0"/>
    <xf numFmtId="0" fontId="13" fillId="58" borderId="104" applyNumberFormat="0" applyFont="0" applyAlignment="0" applyProtection="0"/>
    <xf numFmtId="0" fontId="13" fillId="58" borderId="104" applyNumberFormat="0" applyFont="0" applyAlignment="0" applyProtection="0"/>
    <xf numFmtId="0" fontId="13" fillId="58" borderId="104" applyNumberFormat="0" applyFont="0" applyAlignment="0" applyProtection="0"/>
    <xf numFmtId="0" fontId="13" fillId="58" borderId="104" applyNumberFormat="0" applyFont="0" applyAlignment="0" applyProtection="0"/>
    <xf numFmtId="0" fontId="13" fillId="58" borderId="104" applyNumberFormat="0" applyFont="0" applyAlignment="0" applyProtection="0"/>
    <xf numFmtId="0" fontId="13" fillId="58" borderId="104" applyNumberFormat="0" applyFont="0" applyAlignment="0" applyProtection="0"/>
    <xf numFmtId="0" fontId="13" fillId="58" borderId="104" applyNumberFormat="0" applyFont="0" applyAlignment="0" applyProtection="0"/>
    <xf numFmtId="0" fontId="13" fillId="58" borderId="104" applyNumberFormat="0" applyFont="0" applyAlignment="0" applyProtection="0"/>
    <xf numFmtId="0" fontId="13" fillId="58" borderId="104" applyNumberFormat="0" applyFont="0" applyAlignment="0" applyProtection="0"/>
    <xf numFmtId="0" fontId="13" fillId="58" borderId="104" applyNumberFormat="0" applyFont="0" applyAlignment="0" applyProtection="0"/>
    <xf numFmtId="0" fontId="13" fillId="58" borderId="104" applyNumberFormat="0" applyFont="0" applyAlignment="0" applyProtection="0"/>
    <xf numFmtId="0" fontId="13" fillId="58" borderId="104" applyNumberFormat="0" applyFont="0" applyAlignment="0" applyProtection="0"/>
    <xf numFmtId="0" fontId="13" fillId="58" borderId="104" applyNumberFormat="0" applyFont="0" applyAlignment="0" applyProtection="0"/>
    <xf numFmtId="0" fontId="13" fillId="58" borderId="104" applyNumberFormat="0" applyFont="0" applyAlignment="0" applyProtection="0"/>
    <xf numFmtId="0" fontId="13" fillId="58" borderId="104" applyNumberFormat="0" applyFont="0" applyAlignment="0" applyProtection="0"/>
    <xf numFmtId="0" fontId="13" fillId="58" borderId="104" applyNumberFormat="0" applyFont="0" applyAlignment="0" applyProtection="0"/>
    <xf numFmtId="0" fontId="13" fillId="58" borderId="104" applyNumberFormat="0" applyFont="0" applyAlignment="0" applyProtection="0"/>
    <xf numFmtId="0" fontId="13" fillId="58" borderId="104" applyNumberFormat="0" applyFont="0" applyAlignment="0" applyProtection="0"/>
    <xf numFmtId="0" fontId="13" fillId="58" borderId="104" applyNumberFormat="0" applyFont="0" applyAlignment="0" applyProtection="0"/>
    <xf numFmtId="0" fontId="13" fillId="58" borderId="104" applyNumberFormat="0" applyFont="0" applyAlignment="0" applyProtection="0"/>
    <xf numFmtId="0" fontId="13" fillId="58" borderId="104" applyNumberFormat="0" applyFont="0" applyAlignment="0" applyProtection="0"/>
    <xf numFmtId="0" fontId="13" fillId="58" borderId="104" applyNumberFormat="0" applyFont="0" applyAlignment="0" applyProtection="0"/>
    <xf numFmtId="0" fontId="13" fillId="58" borderId="104" applyNumberFormat="0" applyFont="0" applyAlignment="0" applyProtection="0"/>
    <xf numFmtId="0" fontId="13" fillId="58" borderId="104" applyNumberFormat="0" applyFont="0" applyAlignment="0" applyProtection="0"/>
    <xf numFmtId="0" fontId="13" fillId="58" borderId="104" applyNumberFormat="0" applyFont="0" applyAlignment="0" applyProtection="0"/>
    <xf numFmtId="0" fontId="13" fillId="58" borderId="104" applyNumberFormat="0" applyFont="0" applyAlignment="0" applyProtection="0"/>
    <xf numFmtId="0" fontId="13" fillId="58" borderId="104" applyNumberFormat="0" applyFont="0" applyAlignment="0" applyProtection="0"/>
    <xf numFmtId="0" fontId="13" fillId="58" borderId="104" applyNumberFormat="0" applyFont="0" applyAlignment="0" applyProtection="0"/>
    <xf numFmtId="0" fontId="13" fillId="58" borderId="104" applyNumberFormat="0" applyFont="0" applyAlignment="0" applyProtection="0"/>
    <xf numFmtId="0" fontId="13" fillId="58" borderId="104" applyNumberFormat="0" applyFont="0" applyAlignment="0" applyProtection="0"/>
    <xf numFmtId="0" fontId="13" fillId="58" borderId="104" applyNumberFormat="0" applyFont="0" applyAlignment="0" applyProtection="0"/>
    <xf numFmtId="0" fontId="13" fillId="58" borderId="104" applyNumberFormat="0" applyFont="0" applyAlignment="0" applyProtection="0"/>
    <xf numFmtId="0" fontId="13" fillId="58" borderId="104" applyNumberFormat="0" applyFont="0" applyAlignment="0" applyProtection="0"/>
    <xf numFmtId="0" fontId="13" fillId="58" borderId="104" applyNumberFormat="0" applyFont="0" applyAlignment="0" applyProtection="0"/>
    <xf numFmtId="0" fontId="13" fillId="58" borderId="104" applyNumberFormat="0" applyFont="0" applyAlignment="0" applyProtection="0"/>
    <xf numFmtId="0" fontId="13" fillId="58" borderId="104" applyNumberFormat="0" applyFont="0" applyAlignment="0" applyProtection="0"/>
    <xf numFmtId="0" fontId="13" fillId="58" borderId="104" applyNumberFormat="0" applyFont="0" applyAlignment="0" applyProtection="0"/>
    <xf numFmtId="0" fontId="13" fillId="58" borderId="104" applyNumberFormat="0" applyFont="0" applyAlignment="0" applyProtection="0"/>
    <xf numFmtId="0" fontId="13" fillId="58" borderId="104" applyNumberFormat="0" applyFont="0" applyAlignment="0" applyProtection="0"/>
    <xf numFmtId="0" fontId="13" fillId="58" borderId="104" applyNumberFormat="0" applyFont="0" applyAlignment="0" applyProtection="0"/>
    <xf numFmtId="0" fontId="13" fillId="58" borderId="104" applyNumberFormat="0" applyFont="0" applyAlignment="0" applyProtection="0"/>
    <xf numFmtId="0" fontId="13" fillId="58" borderId="104" applyNumberFormat="0" applyFont="0" applyAlignment="0" applyProtection="0"/>
    <xf numFmtId="0" fontId="13" fillId="58" borderId="104" applyNumberFormat="0" applyFont="0" applyAlignment="0" applyProtection="0"/>
    <xf numFmtId="0" fontId="13" fillId="58" borderId="104" applyNumberFormat="0" applyFont="0" applyAlignment="0" applyProtection="0"/>
    <xf numFmtId="0" fontId="13" fillId="58" borderId="104" applyNumberFormat="0" applyFont="0" applyAlignment="0" applyProtection="0"/>
    <xf numFmtId="0" fontId="13" fillId="58" borderId="104" applyNumberFormat="0" applyFont="0" applyAlignment="0" applyProtection="0"/>
    <xf numFmtId="0" fontId="13" fillId="58" borderId="104" applyNumberFormat="0" applyFont="0" applyAlignment="0" applyProtection="0"/>
    <xf numFmtId="0" fontId="13" fillId="58" borderId="104" applyNumberFormat="0" applyFont="0" applyAlignment="0" applyProtection="0"/>
    <xf numFmtId="0" fontId="13" fillId="58" borderId="104" applyNumberFormat="0" applyFont="0" applyAlignment="0" applyProtection="0"/>
    <xf numFmtId="0" fontId="13" fillId="58" borderId="104" applyNumberFormat="0" applyFont="0" applyAlignment="0" applyProtection="0"/>
    <xf numFmtId="0" fontId="13" fillId="58" borderId="104" applyNumberFormat="0" applyFont="0" applyAlignment="0" applyProtection="0"/>
    <xf numFmtId="0" fontId="13" fillId="58" borderId="104" applyNumberFormat="0" applyFont="0" applyAlignment="0" applyProtection="0"/>
    <xf numFmtId="0" fontId="13" fillId="58" borderId="104" applyNumberFormat="0" applyFont="0" applyAlignment="0" applyProtection="0"/>
    <xf numFmtId="0" fontId="13" fillId="58" borderId="104" applyNumberFormat="0" applyFont="0" applyAlignment="0" applyProtection="0"/>
    <xf numFmtId="0" fontId="13" fillId="58" borderId="104" applyNumberFormat="0" applyFont="0" applyAlignment="0" applyProtection="0"/>
    <xf numFmtId="0" fontId="13" fillId="58" borderId="104" applyNumberFormat="0" applyFont="0" applyAlignment="0" applyProtection="0"/>
    <xf numFmtId="0" fontId="13" fillId="58" borderId="104" applyNumberFormat="0" applyFont="0" applyAlignment="0" applyProtection="0"/>
    <xf numFmtId="0" fontId="13" fillId="58" borderId="104" applyNumberFormat="0" applyFont="0" applyAlignment="0" applyProtection="0"/>
    <xf numFmtId="0" fontId="13" fillId="58" borderId="104" applyNumberFormat="0" applyFont="0" applyAlignment="0" applyProtection="0"/>
    <xf numFmtId="0" fontId="13" fillId="58" borderId="104" applyNumberFormat="0" applyFont="0" applyAlignment="0" applyProtection="0"/>
    <xf numFmtId="0" fontId="13" fillId="58" borderId="104" applyNumberFormat="0" applyFont="0" applyAlignment="0" applyProtection="0"/>
    <xf numFmtId="0" fontId="13" fillId="58" borderId="104" applyNumberFormat="0" applyFont="0" applyAlignment="0" applyProtection="0"/>
    <xf numFmtId="0" fontId="13" fillId="58" borderId="104" applyNumberFormat="0" applyFont="0" applyAlignment="0" applyProtection="0"/>
    <xf numFmtId="0" fontId="13" fillId="58" borderId="104" applyNumberFormat="0" applyFont="0" applyAlignment="0" applyProtection="0"/>
    <xf numFmtId="0" fontId="13" fillId="58" borderId="104" applyNumberFormat="0" applyFont="0" applyAlignment="0" applyProtection="0"/>
    <xf numFmtId="0" fontId="13" fillId="58" borderId="104" applyNumberFormat="0" applyFont="0" applyAlignment="0" applyProtection="0"/>
    <xf numFmtId="0" fontId="13" fillId="58" borderId="104" applyNumberFormat="0" applyFont="0" applyAlignment="0" applyProtection="0"/>
    <xf numFmtId="0" fontId="13" fillId="58" borderId="104" applyNumberFormat="0" applyFont="0" applyAlignment="0" applyProtection="0"/>
    <xf numFmtId="0" fontId="13" fillId="58" borderId="104" applyNumberFormat="0" applyFont="0" applyAlignment="0" applyProtection="0"/>
    <xf numFmtId="0" fontId="13" fillId="58" borderId="104" applyNumberFormat="0" applyFont="0" applyAlignment="0" applyProtection="0"/>
    <xf numFmtId="0" fontId="13" fillId="58" borderId="104" applyNumberFormat="0" applyFont="0" applyAlignment="0" applyProtection="0"/>
    <xf numFmtId="0" fontId="13" fillId="58" borderId="104" applyNumberFormat="0" applyFont="0" applyAlignment="0" applyProtection="0"/>
    <xf numFmtId="0" fontId="13" fillId="58" borderId="104" applyNumberFormat="0" applyFont="0" applyAlignment="0" applyProtection="0"/>
    <xf numFmtId="0" fontId="13" fillId="58" borderId="104" applyNumberFormat="0" applyFont="0" applyAlignment="0" applyProtection="0"/>
    <xf numFmtId="0" fontId="13" fillId="58" borderId="104" applyNumberFormat="0" applyFont="0" applyAlignment="0" applyProtection="0"/>
    <xf numFmtId="0" fontId="13" fillId="58" borderId="104" applyNumberFormat="0" applyFont="0" applyAlignment="0" applyProtection="0"/>
    <xf numFmtId="0" fontId="13" fillId="58" borderId="104" applyNumberFormat="0" applyFont="0" applyAlignment="0" applyProtection="0"/>
    <xf numFmtId="0" fontId="13" fillId="58" borderId="104" applyNumberFormat="0" applyFont="0" applyAlignment="0" applyProtection="0"/>
    <xf numFmtId="0" fontId="13" fillId="58" borderId="104" applyNumberFormat="0" applyFont="0" applyAlignment="0" applyProtection="0"/>
    <xf numFmtId="0" fontId="13" fillId="58" borderId="104" applyNumberFormat="0" applyFont="0" applyAlignment="0" applyProtection="0"/>
    <xf numFmtId="0" fontId="13" fillId="58" borderId="104" applyNumberFormat="0" applyFont="0" applyAlignment="0" applyProtection="0"/>
    <xf numFmtId="0" fontId="13" fillId="58" borderId="104" applyNumberFormat="0" applyFont="0" applyAlignment="0" applyProtection="0"/>
    <xf numFmtId="0" fontId="13" fillId="58" borderId="104" applyNumberFormat="0" applyFont="0" applyAlignment="0" applyProtection="0"/>
    <xf numFmtId="0" fontId="13" fillId="58" borderId="104" applyNumberFormat="0" applyFont="0" applyAlignment="0" applyProtection="0"/>
    <xf numFmtId="0" fontId="13" fillId="58" borderId="104" applyNumberFormat="0" applyFont="0" applyAlignment="0" applyProtection="0"/>
    <xf numFmtId="0" fontId="13" fillId="58" borderId="104" applyNumberFormat="0" applyFont="0" applyAlignment="0" applyProtection="0"/>
    <xf numFmtId="0" fontId="13" fillId="58" borderId="104" applyNumberFormat="0" applyFont="0" applyAlignment="0" applyProtection="0"/>
    <xf numFmtId="0" fontId="13" fillId="58" borderId="104" applyNumberFormat="0" applyFont="0" applyAlignment="0" applyProtection="0"/>
    <xf numFmtId="0" fontId="13" fillId="58" borderId="104" applyNumberFormat="0" applyFont="0" applyAlignment="0" applyProtection="0"/>
    <xf numFmtId="0" fontId="13" fillId="58" borderId="104" applyNumberFormat="0" applyFont="0" applyAlignment="0" applyProtection="0"/>
    <xf numFmtId="0" fontId="13" fillId="58" borderId="104" applyNumberFormat="0" applyFont="0" applyAlignment="0" applyProtection="0"/>
    <xf numFmtId="0" fontId="13" fillId="58" borderId="104" applyNumberFormat="0" applyFont="0" applyAlignment="0" applyProtection="0"/>
    <xf numFmtId="0" fontId="13" fillId="58" borderId="104" applyNumberFormat="0" applyFont="0" applyAlignment="0" applyProtection="0"/>
    <xf numFmtId="0" fontId="13" fillId="58" borderId="104" applyNumberFormat="0" applyFont="0" applyAlignment="0" applyProtection="0"/>
    <xf numFmtId="0" fontId="13" fillId="58" borderId="104" applyNumberFormat="0" applyFont="0" applyAlignment="0" applyProtection="0"/>
    <xf numFmtId="0" fontId="13" fillId="58" borderId="104" applyNumberFormat="0" applyFont="0" applyAlignment="0" applyProtection="0"/>
    <xf numFmtId="0" fontId="13" fillId="58" borderId="104" applyNumberFormat="0" applyFont="0" applyAlignment="0" applyProtection="0"/>
    <xf numFmtId="0" fontId="13" fillId="58" borderId="104" applyNumberFormat="0" applyFont="0" applyAlignment="0" applyProtection="0"/>
    <xf numFmtId="0" fontId="13" fillId="58" borderId="104" applyNumberFormat="0" applyFont="0" applyAlignment="0" applyProtection="0"/>
    <xf numFmtId="0" fontId="13" fillId="58" borderId="104" applyNumberFormat="0" applyFont="0" applyAlignment="0" applyProtection="0"/>
    <xf numFmtId="0" fontId="13" fillId="58" borderId="104" applyNumberFormat="0" applyFont="0" applyAlignment="0" applyProtection="0"/>
    <xf numFmtId="0" fontId="13" fillId="58" borderId="104" applyNumberFormat="0" applyFont="0" applyAlignment="0" applyProtection="0"/>
    <xf numFmtId="0" fontId="13" fillId="58" borderId="104" applyNumberFormat="0" applyFont="0" applyAlignment="0" applyProtection="0"/>
    <xf numFmtId="0" fontId="13" fillId="58" borderId="104" applyNumberFormat="0" applyFont="0" applyAlignment="0" applyProtection="0"/>
    <xf numFmtId="0" fontId="13" fillId="58" borderId="104" applyNumberFormat="0" applyFont="0" applyAlignment="0" applyProtection="0"/>
    <xf numFmtId="0" fontId="13" fillId="58" borderId="104" applyNumberFormat="0" applyFont="0" applyAlignment="0" applyProtection="0"/>
    <xf numFmtId="0" fontId="13" fillId="58" borderId="104" applyNumberFormat="0" applyFont="0" applyAlignment="0" applyProtection="0"/>
    <xf numFmtId="0" fontId="13" fillId="58" borderId="104" applyNumberFormat="0" applyFont="0" applyAlignment="0" applyProtection="0"/>
    <xf numFmtId="0" fontId="13" fillId="58" borderId="104" applyNumberFormat="0" applyFont="0" applyAlignment="0" applyProtection="0"/>
    <xf numFmtId="0" fontId="13" fillId="58" borderId="104" applyNumberFormat="0" applyFont="0" applyAlignment="0" applyProtection="0"/>
    <xf numFmtId="0" fontId="13" fillId="58" borderId="104" applyNumberFormat="0" applyFont="0" applyAlignment="0" applyProtection="0"/>
    <xf numFmtId="0" fontId="13" fillId="58" borderId="104" applyNumberFormat="0" applyFont="0" applyAlignment="0" applyProtection="0"/>
    <xf numFmtId="0" fontId="13" fillId="58" borderId="104" applyNumberFormat="0" applyFont="0" applyAlignment="0" applyProtection="0"/>
    <xf numFmtId="0" fontId="13" fillId="58" borderId="104" applyNumberFormat="0" applyFont="0" applyAlignment="0" applyProtection="0"/>
    <xf numFmtId="0" fontId="13" fillId="58" borderId="104" applyNumberFormat="0" applyFont="0" applyAlignment="0" applyProtection="0"/>
    <xf numFmtId="0" fontId="13" fillId="58" borderId="104" applyNumberFormat="0" applyFont="0" applyAlignment="0" applyProtection="0"/>
    <xf numFmtId="0" fontId="13" fillId="58" borderId="104" applyNumberFormat="0" applyFont="0" applyAlignment="0" applyProtection="0"/>
    <xf numFmtId="0" fontId="13" fillId="58" borderId="104" applyNumberFormat="0" applyFont="0" applyAlignment="0" applyProtection="0"/>
    <xf numFmtId="0" fontId="13" fillId="58" borderId="104" applyNumberFormat="0" applyFont="0" applyAlignment="0" applyProtection="0"/>
    <xf numFmtId="0" fontId="13" fillId="58" borderId="104" applyNumberFormat="0" applyFont="0" applyAlignment="0" applyProtection="0"/>
    <xf numFmtId="0" fontId="13" fillId="58" borderId="104" applyNumberFormat="0" applyFont="0" applyAlignment="0" applyProtection="0"/>
    <xf numFmtId="0" fontId="13" fillId="58" borderId="104" applyNumberFormat="0" applyFont="0" applyAlignment="0" applyProtection="0"/>
    <xf numFmtId="0" fontId="13" fillId="58" borderId="104" applyNumberFormat="0" applyFont="0" applyAlignment="0" applyProtection="0"/>
    <xf numFmtId="0" fontId="13" fillId="58" borderId="104" applyNumberFormat="0" applyFont="0" applyAlignment="0" applyProtection="0"/>
    <xf numFmtId="0" fontId="13" fillId="58" borderId="104" applyNumberFormat="0" applyFont="0" applyAlignment="0" applyProtection="0"/>
    <xf numFmtId="0" fontId="13" fillId="58" borderId="104" applyNumberFormat="0" applyFont="0" applyAlignment="0" applyProtection="0"/>
    <xf numFmtId="0" fontId="13" fillId="58" borderId="104" applyNumberFormat="0" applyFont="0" applyAlignment="0" applyProtection="0"/>
    <xf numFmtId="0" fontId="13" fillId="58" borderId="104" applyNumberFormat="0" applyFont="0" applyAlignment="0" applyProtection="0"/>
    <xf numFmtId="0" fontId="13" fillId="58" borderId="104" applyNumberFormat="0" applyFont="0" applyAlignment="0" applyProtection="0"/>
    <xf numFmtId="0" fontId="13" fillId="58" borderId="104" applyNumberFormat="0" applyFont="0" applyAlignment="0" applyProtection="0"/>
    <xf numFmtId="0" fontId="13" fillId="58" borderId="104" applyNumberFormat="0" applyFont="0" applyAlignment="0" applyProtection="0"/>
    <xf numFmtId="0" fontId="13" fillId="58" borderId="104" applyNumberFormat="0" applyFont="0" applyAlignment="0" applyProtection="0"/>
    <xf numFmtId="0" fontId="13" fillId="58" borderId="104" applyNumberFormat="0" applyFont="0" applyAlignment="0" applyProtection="0"/>
    <xf numFmtId="0" fontId="13" fillId="58" borderId="104" applyNumberFormat="0" applyFont="0" applyAlignment="0" applyProtection="0"/>
    <xf numFmtId="0" fontId="13" fillId="58" borderId="104" applyNumberFormat="0" applyFont="0" applyAlignment="0" applyProtection="0"/>
    <xf numFmtId="0" fontId="13" fillId="58" borderId="104" applyNumberFormat="0" applyFont="0" applyAlignment="0" applyProtection="0"/>
    <xf numFmtId="0" fontId="13" fillId="58" borderId="104" applyNumberFormat="0" applyFont="0" applyAlignment="0" applyProtection="0"/>
    <xf numFmtId="0" fontId="13" fillId="58" borderId="104" applyNumberFormat="0" applyFont="0" applyAlignment="0" applyProtection="0"/>
    <xf numFmtId="0" fontId="13" fillId="58" borderId="104" applyNumberFormat="0" applyFont="0" applyAlignment="0" applyProtection="0"/>
    <xf numFmtId="0" fontId="13" fillId="58" borderId="104" applyNumberFormat="0" applyFont="0" applyAlignment="0" applyProtection="0"/>
    <xf numFmtId="0" fontId="13" fillId="58" borderId="104" applyNumberFormat="0" applyFont="0" applyAlignment="0" applyProtection="0"/>
    <xf numFmtId="0" fontId="13" fillId="58" borderId="104" applyNumberFormat="0" applyFont="0" applyAlignment="0" applyProtection="0"/>
    <xf numFmtId="0" fontId="13" fillId="58" borderId="104" applyNumberFormat="0" applyFont="0" applyAlignment="0" applyProtection="0"/>
    <xf numFmtId="0" fontId="13" fillId="58" borderId="104" applyNumberFormat="0" applyFont="0" applyAlignment="0" applyProtection="0"/>
    <xf numFmtId="0" fontId="13" fillId="58" borderId="104" applyNumberFormat="0" applyFont="0" applyAlignment="0" applyProtection="0"/>
    <xf numFmtId="0" fontId="13" fillId="58" borderId="104" applyNumberFormat="0" applyFont="0" applyAlignment="0" applyProtection="0"/>
    <xf numFmtId="0" fontId="13" fillId="58" borderId="104" applyNumberFormat="0" applyFont="0" applyAlignment="0" applyProtection="0"/>
    <xf numFmtId="0" fontId="13" fillId="58" borderId="104" applyNumberFormat="0" applyFont="0" applyAlignment="0" applyProtection="0"/>
    <xf numFmtId="0" fontId="13" fillId="58" borderId="104" applyNumberFormat="0" applyFont="0" applyAlignment="0" applyProtection="0"/>
    <xf numFmtId="0" fontId="13" fillId="58" borderId="104" applyNumberFormat="0" applyFont="0" applyAlignment="0" applyProtection="0"/>
    <xf numFmtId="0" fontId="13" fillId="58" borderId="104" applyNumberFormat="0" applyFont="0" applyAlignment="0" applyProtection="0"/>
    <xf numFmtId="0" fontId="13" fillId="58" borderId="104" applyNumberFormat="0" applyFont="0" applyAlignment="0" applyProtection="0"/>
    <xf numFmtId="0" fontId="13" fillId="58" borderId="104" applyNumberFormat="0" applyFont="0" applyAlignment="0" applyProtection="0"/>
    <xf numFmtId="0" fontId="13" fillId="58" borderId="104" applyNumberFormat="0" applyFont="0" applyAlignment="0" applyProtection="0"/>
    <xf numFmtId="0" fontId="13" fillId="58" borderId="104" applyNumberFormat="0" applyFont="0" applyAlignment="0" applyProtection="0"/>
    <xf numFmtId="0" fontId="13" fillId="58" borderId="104" applyNumberFormat="0" applyFont="0" applyAlignment="0" applyProtection="0"/>
    <xf numFmtId="0" fontId="13" fillId="58" borderId="104" applyNumberFormat="0" applyFont="0" applyAlignment="0" applyProtection="0"/>
    <xf numFmtId="0" fontId="13" fillId="58" borderId="104" applyNumberFormat="0" applyFont="0" applyAlignment="0" applyProtection="0"/>
    <xf numFmtId="0" fontId="13" fillId="58" borderId="104" applyNumberFormat="0" applyFont="0" applyAlignment="0" applyProtection="0"/>
    <xf numFmtId="0" fontId="13" fillId="58" borderId="104" applyNumberFormat="0" applyFont="0" applyAlignment="0" applyProtection="0"/>
    <xf numFmtId="0" fontId="13" fillId="58" borderId="104" applyNumberFormat="0" applyFont="0" applyAlignment="0" applyProtection="0"/>
    <xf numFmtId="0" fontId="13" fillId="58" borderId="104" applyNumberFormat="0" applyFont="0" applyAlignment="0" applyProtection="0"/>
    <xf numFmtId="0" fontId="13" fillId="58" borderId="104" applyNumberFormat="0" applyFont="0" applyAlignment="0" applyProtection="0"/>
    <xf numFmtId="0" fontId="13" fillId="58" borderId="104" applyNumberFormat="0" applyFont="0" applyAlignment="0" applyProtection="0"/>
    <xf numFmtId="0" fontId="13" fillId="58" borderId="104" applyNumberFormat="0" applyFont="0" applyAlignment="0" applyProtection="0"/>
    <xf numFmtId="0" fontId="13" fillId="58" borderId="104" applyNumberFormat="0" applyFont="0" applyAlignment="0" applyProtection="0"/>
    <xf numFmtId="0" fontId="13" fillId="58" borderId="104" applyNumberFormat="0" applyFont="0" applyAlignment="0" applyProtection="0"/>
    <xf numFmtId="0" fontId="13" fillId="58" borderId="104" applyNumberFormat="0" applyFont="0" applyAlignment="0" applyProtection="0"/>
    <xf numFmtId="0" fontId="13" fillId="58" borderId="104" applyNumberFormat="0" applyFont="0" applyAlignment="0" applyProtection="0"/>
    <xf numFmtId="0" fontId="13" fillId="58" borderId="104" applyNumberFormat="0" applyFont="0" applyAlignment="0" applyProtection="0"/>
    <xf numFmtId="0" fontId="13" fillId="58" borderId="104" applyNumberFormat="0" applyFont="0" applyAlignment="0" applyProtection="0"/>
    <xf numFmtId="0" fontId="13" fillId="58" borderId="104" applyNumberFormat="0" applyFont="0" applyAlignment="0" applyProtection="0"/>
    <xf numFmtId="0" fontId="13" fillId="58" borderId="104" applyNumberFormat="0" applyFont="0" applyAlignment="0" applyProtection="0"/>
    <xf numFmtId="0" fontId="13" fillId="58" borderId="104" applyNumberFormat="0" applyFont="0" applyAlignment="0" applyProtection="0"/>
    <xf numFmtId="0" fontId="13" fillId="58" borderId="104" applyNumberFormat="0" applyFont="0" applyAlignment="0" applyProtection="0"/>
    <xf numFmtId="0" fontId="13" fillId="58" borderId="104" applyNumberFormat="0" applyFont="0" applyAlignment="0" applyProtection="0"/>
    <xf numFmtId="0" fontId="13" fillId="58" borderId="104" applyNumberFormat="0" applyFont="0" applyAlignment="0" applyProtection="0"/>
    <xf numFmtId="0" fontId="13" fillId="58" borderId="104" applyNumberFormat="0" applyFont="0" applyAlignment="0" applyProtection="0"/>
    <xf numFmtId="0" fontId="13" fillId="58" borderId="104" applyNumberFormat="0" applyFont="0" applyAlignment="0" applyProtection="0"/>
    <xf numFmtId="0" fontId="13" fillId="58" borderId="104" applyNumberFormat="0" applyFont="0" applyAlignment="0" applyProtection="0"/>
    <xf numFmtId="0" fontId="13" fillId="58" borderId="104" applyNumberFormat="0" applyFont="0" applyAlignment="0" applyProtection="0"/>
    <xf numFmtId="0" fontId="13" fillId="58" borderId="104" applyNumberFormat="0" applyFont="0" applyAlignment="0" applyProtection="0"/>
    <xf numFmtId="0" fontId="13" fillId="58" borderId="104" applyNumberFormat="0" applyFont="0" applyAlignment="0" applyProtection="0"/>
    <xf numFmtId="0" fontId="13" fillId="58" borderId="104" applyNumberFormat="0" applyFont="0" applyAlignment="0" applyProtection="0"/>
    <xf numFmtId="0" fontId="13" fillId="58" borderId="104" applyNumberFormat="0" applyFont="0" applyAlignment="0" applyProtection="0"/>
    <xf numFmtId="0" fontId="13" fillId="58" borderId="104" applyNumberFormat="0" applyFont="0" applyAlignment="0" applyProtection="0"/>
    <xf numFmtId="0" fontId="13" fillId="58" borderId="104" applyNumberFormat="0" applyFont="0" applyAlignment="0" applyProtection="0"/>
    <xf numFmtId="0" fontId="13" fillId="58" borderId="104" applyNumberFormat="0" applyFont="0" applyAlignment="0" applyProtection="0"/>
    <xf numFmtId="0" fontId="13" fillId="58" borderId="104" applyNumberFormat="0" applyFont="0" applyAlignment="0" applyProtection="0"/>
    <xf numFmtId="0" fontId="13" fillId="58" borderId="104" applyNumberFormat="0" applyFont="0" applyAlignment="0" applyProtection="0"/>
    <xf numFmtId="0" fontId="13" fillId="58" borderId="104" applyNumberFormat="0" applyFont="0" applyAlignment="0" applyProtection="0"/>
    <xf numFmtId="0" fontId="13" fillId="58" borderId="104" applyNumberFormat="0" applyFont="0" applyAlignment="0" applyProtection="0"/>
    <xf numFmtId="0" fontId="13" fillId="58" borderId="104" applyNumberFormat="0" applyFont="0" applyAlignment="0" applyProtection="0"/>
    <xf numFmtId="0" fontId="13" fillId="58" borderId="104" applyNumberFormat="0" applyFont="0" applyAlignment="0" applyProtection="0"/>
    <xf numFmtId="0" fontId="13" fillId="58" borderId="104" applyNumberFormat="0" applyFont="0" applyAlignment="0" applyProtection="0"/>
    <xf numFmtId="0" fontId="13" fillId="58" borderId="104" applyNumberFormat="0" applyFont="0" applyAlignment="0" applyProtection="0"/>
    <xf numFmtId="0" fontId="13" fillId="58" borderId="104" applyNumberFormat="0" applyFont="0" applyAlignment="0" applyProtection="0"/>
    <xf numFmtId="0" fontId="13" fillId="58" borderId="104" applyNumberFormat="0" applyFont="0" applyAlignment="0" applyProtection="0"/>
    <xf numFmtId="0" fontId="13" fillId="58" borderId="104" applyNumberFormat="0" applyFont="0" applyAlignment="0" applyProtection="0"/>
    <xf numFmtId="0" fontId="13" fillId="58" borderId="104" applyNumberFormat="0" applyFont="0" applyAlignment="0" applyProtection="0"/>
    <xf numFmtId="0" fontId="13" fillId="58" borderId="104" applyNumberFormat="0" applyFont="0" applyAlignment="0" applyProtection="0"/>
    <xf numFmtId="0" fontId="13" fillId="58" borderId="104" applyNumberFormat="0" applyFont="0" applyAlignment="0" applyProtection="0"/>
    <xf numFmtId="0" fontId="13" fillId="58" borderId="104" applyNumberFormat="0" applyFont="0" applyAlignment="0" applyProtection="0"/>
    <xf numFmtId="0" fontId="13" fillId="58" borderId="104" applyNumberFormat="0" applyFont="0" applyAlignment="0" applyProtection="0"/>
    <xf numFmtId="0" fontId="13" fillId="58" borderId="104" applyNumberFormat="0" applyFont="0" applyAlignment="0" applyProtection="0"/>
    <xf numFmtId="0" fontId="13" fillId="58" borderId="104" applyNumberFormat="0" applyFont="0" applyAlignment="0" applyProtection="0"/>
    <xf numFmtId="0" fontId="13" fillId="58" borderId="104" applyNumberFormat="0" applyFont="0" applyAlignment="0" applyProtection="0"/>
    <xf numFmtId="0" fontId="13" fillId="58" borderId="104" applyNumberFormat="0" applyFont="0" applyAlignment="0" applyProtection="0"/>
    <xf numFmtId="0" fontId="13" fillId="58" borderId="104" applyNumberFormat="0" applyFont="0" applyAlignment="0" applyProtection="0"/>
    <xf numFmtId="0" fontId="13" fillId="58" borderId="104" applyNumberFormat="0" applyFont="0" applyAlignment="0" applyProtection="0"/>
    <xf numFmtId="0" fontId="13" fillId="58" borderId="104" applyNumberFormat="0" applyFont="0" applyAlignment="0" applyProtection="0"/>
    <xf numFmtId="0" fontId="13" fillId="58" borderId="104" applyNumberFormat="0" applyFont="0" applyAlignment="0" applyProtection="0"/>
    <xf numFmtId="0" fontId="13" fillId="58" borderId="104" applyNumberFormat="0" applyFont="0" applyAlignment="0" applyProtection="0"/>
    <xf numFmtId="0" fontId="13" fillId="58" borderId="104" applyNumberFormat="0" applyFont="0" applyAlignment="0" applyProtection="0"/>
    <xf numFmtId="0" fontId="13" fillId="58" borderId="104" applyNumberFormat="0" applyFont="0" applyAlignment="0" applyProtection="0"/>
    <xf numFmtId="0" fontId="13" fillId="58" borderId="104" applyNumberFormat="0" applyFont="0" applyAlignment="0" applyProtection="0"/>
    <xf numFmtId="0" fontId="13" fillId="58" borderId="104" applyNumberFormat="0" applyFont="0" applyAlignment="0" applyProtection="0"/>
    <xf numFmtId="0" fontId="13" fillId="58" borderId="104" applyNumberFormat="0" applyFont="0" applyAlignment="0" applyProtection="0"/>
    <xf numFmtId="0" fontId="13" fillId="58" borderId="104" applyNumberFormat="0" applyFont="0" applyAlignment="0" applyProtection="0"/>
    <xf numFmtId="0" fontId="13" fillId="58" borderId="104" applyNumberFormat="0" applyFont="0" applyAlignment="0" applyProtection="0"/>
    <xf numFmtId="0" fontId="13" fillId="58" borderId="104" applyNumberFormat="0" applyFont="0" applyAlignment="0" applyProtection="0"/>
    <xf numFmtId="0" fontId="13" fillId="58" borderId="104" applyNumberFormat="0" applyFont="0" applyAlignment="0" applyProtection="0"/>
    <xf numFmtId="0" fontId="13" fillId="58" borderId="104" applyNumberFormat="0" applyFont="0" applyAlignment="0" applyProtection="0"/>
    <xf numFmtId="0" fontId="13" fillId="58" borderId="104" applyNumberFormat="0" applyFont="0" applyAlignment="0" applyProtection="0"/>
    <xf numFmtId="0" fontId="13" fillId="58" borderId="104" applyNumberFormat="0" applyFont="0" applyAlignment="0" applyProtection="0"/>
    <xf numFmtId="0" fontId="13" fillId="58" borderId="104" applyNumberFormat="0" applyFont="0" applyAlignment="0" applyProtection="0"/>
    <xf numFmtId="0" fontId="13" fillId="58" borderId="104" applyNumberFormat="0" applyFont="0" applyAlignment="0" applyProtection="0"/>
    <xf numFmtId="0" fontId="13" fillId="58" borderId="104" applyNumberFormat="0" applyFont="0" applyAlignment="0" applyProtection="0"/>
    <xf numFmtId="0" fontId="13" fillId="58" borderId="104" applyNumberFormat="0" applyFont="0" applyAlignment="0" applyProtection="0"/>
    <xf numFmtId="0" fontId="13" fillId="58" borderId="104" applyNumberFormat="0" applyFont="0" applyAlignment="0" applyProtection="0"/>
    <xf numFmtId="0" fontId="13" fillId="58" borderId="104" applyNumberFormat="0" applyFont="0" applyAlignment="0" applyProtection="0"/>
    <xf numFmtId="0" fontId="13" fillId="58" borderId="104" applyNumberFormat="0" applyFont="0" applyAlignment="0" applyProtection="0"/>
    <xf numFmtId="0" fontId="13" fillId="58" borderId="104" applyNumberFormat="0" applyFont="0" applyAlignment="0" applyProtection="0"/>
    <xf numFmtId="0" fontId="13" fillId="58" borderId="104" applyNumberFormat="0" applyFont="0" applyAlignment="0" applyProtection="0"/>
    <xf numFmtId="0" fontId="13" fillId="58" borderId="104" applyNumberFormat="0" applyFont="0" applyAlignment="0" applyProtection="0"/>
    <xf numFmtId="0" fontId="13" fillId="58" borderId="104" applyNumberFormat="0" applyFont="0" applyAlignment="0" applyProtection="0"/>
    <xf numFmtId="0" fontId="13" fillId="58" borderId="104" applyNumberFormat="0" applyFont="0" applyAlignment="0" applyProtection="0"/>
    <xf numFmtId="0" fontId="13" fillId="58" borderId="104" applyNumberFormat="0" applyFont="0" applyAlignment="0" applyProtection="0"/>
    <xf numFmtId="0" fontId="13" fillId="58" borderId="104" applyNumberFormat="0" applyFont="0" applyAlignment="0" applyProtection="0"/>
    <xf numFmtId="0" fontId="13" fillId="58" borderId="104" applyNumberFormat="0" applyFont="0" applyAlignment="0" applyProtection="0"/>
    <xf numFmtId="0" fontId="13" fillId="58" borderId="104" applyNumberFormat="0" applyFont="0" applyAlignment="0" applyProtection="0"/>
    <xf numFmtId="0" fontId="13" fillId="58" borderId="104" applyNumberFormat="0" applyFont="0" applyAlignment="0" applyProtection="0"/>
    <xf numFmtId="0" fontId="13" fillId="58" borderId="104" applyNumberFormat="0" applyFont="0" applyAlignment="0" applyProtection="0"/>
    <xf numFmtId="0" fontId="13" fillId="58" borderId="104" applyNumberFormat="0" applyFont="0" applyAlignment="0" applyProtection="0"/>
    <xf numFmtId="0" fontId="13" fillId="58" borderId="104" applyNumberFormat="0" applyFont="0" applyAlignment="0" applyProtection="0"/>
    <xf numFmtId="0" fontId="13" fillId="58" borderId="104" applyNumberFormat="0" applyFont="0" applyAlignment="0" applyProtection="0"/>
    <xf numFmtId="0" fontId="13" fillId="58" borderId="104" applyNumberFormat="0" applyFont="0" applyAlignment="0" applyProtection="0"/>
    <xf numFmtId="0" fontId="13" fillId="58" borderId="104" applyNumberFormat="0" applyFont="0" applyAlignment="0" applyProtection="0"/>
    <xf numFmtId="0" fontId="13" fillId="58" borderId="104" applyNumberFormat="0" applyFont="0" applyAlignment="0" applyProtection="0"/>
    <xf numFmtId="0" fontId="13" fillId="58" borderId="104" applyNumberFormat="0" applyFont="0" applyAlignment="0" applyProtection="0"/>
    <xf numFmtId="0" fontId="13" fillId="58" borderId="104" applyNumberFormat="0" applyFont="0" applyAlignment="0" applyProtection="0"/>
    <xf numFmtId="0" fontId="13" fillId="58" borderId="104" applyNumberFormat="0" applyFont="0" applyAlignment="0" applyProtection="0"/>
    <xf numFmtId="0" fontId="13" fillId="58" borderId="104" applyNumberFormat="0" applyFont="0" applyAlignment="0" applyProtection="0"/>
    <xf numFmtId="0" fontId="13" fillId="58" borderId="104" applyNumberFormat="0" applyFont="0" applyAlignment="0" applyProtection="0"/>
    <xf numFmtId="0" fontId="13" fillId="58" borderId="104" applyNumberFormat="0" applyFont="0" applyAlignment="0" applyProtection="0"/>
    <xf numFmtId="0" fontId="13" fillId="58" borderId="104" applyNumberFormat="0" applyFont="0" applyAlignment="0" applyProtection="0"/>
    <xf numFmtId="0" fontId="13" fillId="58" borderId="104" applyNumberFormat="0" applyFont="0" applyAlignment="0" applyProtection="0"/>
    <xf numFmtId="0" fontId="13" fillId="58" borderId="104" applyNumberFormat="0" applyFont="0" applyAlignment="0" applyProtection="0"/>
    <xf numFmtId="0" fontId="13" fillId="58" borderId="104" applyNumberFormat="0" applyFont="0" applyAlignment="0" applyProtection="0"/>
    <xf numFmtId="0" fontId="13" fillId="58" borderId="104" applyNumberFormat="0" applyFont="0" applyAlignment="0" applyProtection="0"/>
    <xf numFmtId="0" fontId="13" fillId="58" borderId="104" applyNumberFormat="0" applyFont="0" applyAlignment="0" applyProtection="0"/>
    <xf numFmtId="0" fontId="13" fillId="58" borderId="104" applyNumberFormat="0" applyFont="0" applyAlignment="0" applyProtection="0"/>
    <xf numFmtId="0" fontId="13" fillId="58" borderId="104" applyNumberFormat="0" applyFont="0" applyAlignment="0" applyProtection="0"/>
    <xf numFmtId="0" fontId="13" fillId="58" borderId="104" applyNumberFormat="0" applyFont="0" applyAlignment="0" applyProtection="0"/>
    <xf numFmtId="0" fontId="13" fillId="58" borderId="104" applyNumberFormat="0" applyFont="0" applyAlignment="0" applyProtection="0"/>
    <xf numFmtId="0" fontId="13" fillId="58" borderId="104" applyNumberFormat="0" applyFont="0" applyAlignment="0" applyProtection="0"/>
    <xf numFmtId="0" fontId="13" fillId="58" borderId="104" applyNumberFormat="0" applyFont="0" applyAlignment="0" applyProtection="0"/>
    <xf numFmtId="0" fontId="13" fillId="58" borderId="104" applyNumberFormat="0" applyFont="0" applyAlignment="0" applyProtection="0"/>
    <xf numFmtId="0" fontId="13" fillId="58" borderId="104" applyNumberFormat="0" applyFont="0" applyAlignment="0" applyProtection="0"/>
    <xf numFmtId="0" fontId="13" fillId="58" borderId="104" applyNumberFormat="0" applyFont="0" applyAlignment="0" applyProtection="0"/>
    <xf numFmtId="0" fontId="13" fillId="58" borderId="104" applyNumberFormat="0" applyFont="0" applyAlignment="0" applyProtection="0"/>
    <xf numFmtId="0" fontId="13" fillId="58" borderId="104" applyNumberFormat="0" applyFont="0" applyAlignment="0" applyProtection="0"/>
    <xf numFmtId="0" fontId="13" fillId="58" borderId="104" applyNumberFormat="0" applyFont="0" applyAlignment="0" applyProtection="0"/>
    <xf numFmtId="0" fontId="13" fillId="58" borderId="104" applyNumberFormat="0" applyFont="0" applyAlignment="0" applyProtection="0"/>
    <xf numFmtId="0" fontId="13" fillId="58" borderId="104" applyNumberFormat="0" applyFont="0" applyAlignment="0" applyProtection="0"/>
    <xf numFmtId="0" fontId="13" fillId="58" borderId="104" applyNumberFormat="0" applyFont="0" applyAlignment="0" applyProtection="0"/>
    <xf numFmtId="0" fontId="13" fillId="58" borderId="104" applyNumberFormat="0" applyFont="0" applyAlignment="0" applyProtection="0"/>
    <xf numFmtId="0" fontId="13" fillId="58" borderId="104" applyNumberFormat="0" applyFont="0" applyAlignment="0" applyProtection="0"/>
    <xf numFmtId="0" fontId="13" fillId="58" borderId="104" applyNumberFormat="0" applyFont="0" applyAlignment="0" applyProtection="0"/>
    <xf numFmtId="0" fontId="13" fillId="58" borderId="104" applyNumberFormat="0" applyFont="0" applyAlignment="0" applyProtection="0"/>
    <xf numFmtId="0" fontId="13" fillId="58" borderId="104" applyNumberFormat="0" applyFont="0" applyAlignment="0" applyProtection="0"/>
    <xf numFmtId="0" fontId="13" fillId="58" borderId="104" applyNumberFormat="0" applyFont="0" applyAlignment="0" applyProtection="0"/>
    <xf numFmtId="0" fontId="13" fillId="58" borderId="104" applyNumberFormat="0" applyFont="0" applyAlignment="0" applyProtection="0"/>
    <xf numFmtId="0" fontId="13" fillId="58" borderId="104" applyNumberFormat="0" applyFont="0" applyAlignment="0" applyProtection="0"/>
    <xf numFmtId="0" fontId="13" fillId="58" borderId="104" applyNumberFormat="0" applyFont="0" applyAlignment="0" applyProtection="0"/>
    <xf numFmtId="0" fontId="13" fillId="58" borderId="104" applyNumberFormat="0" applyFont="0" applyAlignment="0" applyProtection="0"/>
    <xf numFmtId="0" fontId="13" fillId="58" borderId="104" applyNumberFormat="0" applyFont="0" applyAlignment="0" applyProtection="0"/>
    <xf numFmtId="0" fontId="13" fillId="58" borderId="104" applyNumberFormat="0" applyFont="0" applyAlignment="0" applyProtection="0"/>
    <xf numFmtId="0" fontId="13" fillId="58" borderId="104" applyNumberFormat="0" applyFont="0" applyAlignment="0" applyProtection="0"/>
    <xf numFmtId="0" fontId="13" fillId="58" borderId="104" applyNumberFormat="0" applyFont="0" applyAlignment="0" applyProtection="0"/>
    <xf numFmtId="0" fontId="13" fillId="58" borderId="104" applyNumberFormat="0" applyFont="0" applyAlignment="0" applyProtection="0"/>
    <xf numFmtId="0" fontId="13" fillId="58" borderId="104" applyNumberFormat="0" applyFont="0" applyAlignment="0" applyProtection="0"/>
    <xf numFmtId="0" fontId="13" fillId="58" borderId="104" applyNumberFormat="0" applyFont="0" applyAlignment="0" applyProtection="0"/>
    <xf numFmtId="0" fontId="13" fillId="58" borderId="104" applyNumberFormat="0" applyFont="0" applyAlignment="0" applyProtection="0"/>
    <xf numFmtId="0" fontId="13" fillId="58" borderId="104" applyNumberFormat="0" applyFont="0" applyAlignment="0" applyProtection="0"/>
    <xf numFmtId="0" fontId="13" fillId="58" borderId="104" applyNumberFormat="0" applyFont="0" applyAlignment="0" applyProtection="0"/>
    <xf numFmtId="0" fontId="243" fillId="99" borderId="101" applyNumberFormat="0" applyAlignment="0" applyProtection="0"/>
    <xf numFmtId="0" fontId="243" fillId="99" borderId="101" applyNumberFormat="0" applyAlignment="0" applyProtection="0"/>
    <xf numFmtId="0" fontId="243" fillId="99" borderId="101" applyNumberFormat="0" applyAlignment="0" applyProtection="0"/>
    <xf numFmtId="0" fontId="243" fillId="99" borderId="101" applyNumberFormat="0" applyAlignment="0" applyProtection="0"/>
    <xf numFmtId="0" fontId="243" fillId="99" borderId="101" applyNumberFormat="0" applyAlignment="0" applyProtection="0"/>
    <xf numFmtId="3" fontId="240" fillId="0" borderId="0" applyFont="0" applyFill="0" applyBorder="0" applyAlignment="0" applyProtection="0"/>
    <xf numFmtId="219" fontId="10" fillId="0" borderId="0"/>
    <xf numFmtId="219" fontId="10" fillId="0" borderId="0"/>
    <xf numFmtId="219" fontId="10" fillId="0" borderId="0"/>
    <xf numFmtId="219" fontId="10" fillId="0" borderId="0"/>
    <xf numFmtId="219" fontId="10" fillId="0" borderId="0"/>
    <xf numFmtId="0" fontId="45" fillId="0" borderId="0"/>
    <xf numFmtId="220" fontId="240" fillId="0" borderId="0" applyFont="0" applyFill="0" applyBorder="0" applyAlignment="0" applyProtection="0"/>
    <xf numFmtId="0" fontId="240" fillId="0" borderId="0" applyFont="0" applyFill="0" applyBorder="0" applyAlignment="0" applyProtection="0"/>
    <xf numFmtId="0" fontId="45" fillId="0" borderId="0"/>
    <xf numFmtId="2" fontId="240" fillId="0" borderId="0" applyFont="0" applyFill="0" applyBorder="0" applyAlignment="0" applyProtection="0"/>
    <xf numFmtId="0" fontId="101" fillId="6" borderId="0" applyNumberFormat="0" applyBorder="0" applyAlignment="0" applyProtection="0"/>
    <xf numFmtId="0" fontId="101" fillId="6" borderId="0" applyNumberFormat="0" applyBorder="0" applyAlignment="0" applyProtection="0"/>
    <xf numFmtId="0" fontId="101" fillId="6" borderId="0" applyNumberFormat="0" applyBorder="0" applyAlignment="0" applyProtection="0"/>
    <xf numFmtId="0" fontId="101" fillId="6" borderId="0" applyNumberFormat="0" applyBorder="0" applyAlignment="0" applyProtection="0"/>
    <xf numFmtId="0" fontId="101" fillId="6" borderId="0" applyNumberFormat="0" applyBorder="0" applyAlignment="0" applyProtection="0"/>
    <xf numFmtId="0" fontId="241" fillId="0" borderId="0" applyNumberFormat="0" applyFill="0" applyBorder="0" applyAlignment="0" applyProtection="0"/>
    <xf numFmtId="0" fontId="241" fillId="0" borderId="0" applyNumberFormat="0" applyFill="0" applyBorder="0" applyAlignment="0" applyProtection="0"/>
    <xf numFmtId="0" fontId="242" fillId="0" borderId="0" applyNumberFormat="0" applyFill="0" applyBorder="0" applyAlignment="0" applyProtection="0"/>
    <xf numFmtId="0" fontId="242" fillId="0" borderId="0" applyNumberFormat="0" applyFill="0" applyBorder="0" applyAlignment="0" applyProtection="0"/>
    <xf numFmtId="0" fontId="110" fillId="23" borderId="101" applyNumberFormat="0" applyAlignment="0" applyProtection="0"/>
    <xf numFmtId="0" fontId="110" fillId="23" borderId="101" applyNumberFormat="0" applyAlignment="0" applyProtection="0"/>
    <xf numFmtId="0" fontId="110" fillId="23" borderId="101" applyNumberFormat="0" applyAlignment="0" applyProtection="0"/>
    <xf numFmtId="0" fontId="110" fillId="23" borderId="101" applyNumberFormat="0" applyAlignment="0" applyProtection="0"/>
    <xf numFmtId="0" fontId="110" fillId="23" borderId="101" applyNumberFormat="0" applyAlignment="0" applyProtection="0"/>
    <xf numFmtId="216" fontId="10" fillId="0" borderId="0" applyFont="0" applyFill="0" applyBorder="0" applyAlignment="0" applyProtection="0"/>
    <xf numFmtId="164"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5" fontId="39" fillId="0" borderId="0" applyFont="0" applyFill="0" applyBorder="0" applyAlignment="0" applyProtection="0"/>
    <xf numFmtId="165" fontId="13" fillId="0" borderId="0" applyFont="0" applyFill="0" applyBorder="0" applyAlignment="0" applyProtection="0"/>
    <xf numFmtId="165" fontId="13" fillId="0" borderId="0" applyFont="0" applyFill="0" applyBorder="0" applyAlignment="0" applyProtection="0"/>
    <xf numFmtId="165" fontId="13" fillId="0" borderId="0" applyFont="0" applyFill="0" applyBorder="0" applyAlignment="0" applyProtection="0"/>
    <xf numFmtId="165" fontId="13" fillId="0" borderId="0" applyFont="0" applyFill="0" applyBorder="0" applyAlignment="0" applyProtection="0"/>
    <xf numFmtId="165" fontId="13" fillId="0" borderId="0" applyFont="0" applyFill="0" applyBorder="0" applyAlignment="0" applyProtection="0"/>
    <xf numFmtId="165" fontId="13" fillId="0" borderId="0" applyFont="0" applyFill="0" applyBorder="0" applyAlignment="0" applyProtection="0"/>
    <xf numFmtId="165" fontId="39" fillId="0" borderId="0" applyFont="0" applyFill="0" applyBorder="0" applyAlignment="0" applyProtection="0"/>
    <xf numFmtId="43" fontId="10" fillId="0" borderId="0" applyFont="0" applyFill="0" applyBorder="0" applyAlignment="0" applyProtection="0"/>
    <xf numFmtId="165" fontId="39" fillId="0" borderId="0" applyFont="0" applyFill="0" applyBorder="0" applyAlignment="0" applyProtection="0"/>
    <xf numFmtId="165" fontId="39"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39" fillId="0" borderId="0" applyFont="0" applyFill="0" applyBorder="0" applyAlignment="0" applyProtection="0"/>
    <xf numFmtId="216" fontId="10" fillId="0" borderId="0" applyFont="0" applyFill="0" applyBorder="0" applyAlignment="0" applyProtection="0"/>
    <xf numFmtId="0" fontId="213" fillId="0" borderId="0" applyNumberFormat="0" applyFill="0" applyBorder="0" applyAlignment="0" applyProtection="0">
      <alignment vertical="top"/>
      <protection locked="0"/>
    </xf>
    <xf numFmtId="0" fontId="120" fillId="0" borderId="0" applyNumberFormat="0" applyFill="0" applyBorder="0" applyAlignment="0" applyProtection="0">
      <alignment vertical="top"/>
      <protection locked="0"/>
    </xf>
    <xf numFmtId="0" fontId="120" fillId="0" borderId="0" applyNumberFormat="0" applyFill="0" applyBorder="0" applyAlignment="0" applyProtection="0"/>
    <xf numFmtId="0" fontId="244" fillId="0" borderId="0" applyNumberFormat="0" applyFill="0" applyBorder="0" applyAlignment="0" applyProtection="0">
      <alignment vertical="top"/>
    </xf>
    <xf numFmtId="0" fontId="118" fillId="0" borderId="0" applyNumberFormat="0" applyFill="0" applyBorder="0" applyAlignment="0" applyProtection="0">
      <alignment vertical="top"/>
      <protection locked="0"/>
    </xf>
    <xf numFmtId="0" fontId="213" fillId="0" borderId="0" applyNumberFormat="0" applyFill="0" applyBorder="0" applyAlignment="0" applyProtection="0">
      <alignment vertical="top"/>
      <protection locked="0"/>
    </xf>
    <xf numFmtId="0" fontId="107" fillId="100" borderId="0" applyNumberFormat="0" applyBorder="0" applyAlignment="0" applyProtection="0"/>
    <xf numFmtId="0" fontId="107" fillId="100" borderId="0" applyNumberFormat="0" applyBorder="0" applyAlignment="0" applyProtection="0"/>
    <xf numFmtId="0" fontId="107" fillId="100" borderId="0" applyNumberFormat="0" applyBorder="0" applyAlignment="0" applyProtection="0"/>
    <xf numFmtId="0" fontId="107" fillId="100" borderId="0" applyNumberFormat="0" applyBorder="0" applyAlignment="0" applyProtection="0"/>
    <xf numFmtId="0" fontId="107" fillId="100" borderId="0" applyNumberFormat="0" applyBorder="0" applyAlignment="0" applyProtection="0"/>
    <xf numFmtId="0" fontId="107" fillId="19" borderId="0" applyNumberFormat="0" applyBorder="0" applyAlignment="0" applyProtection="0"/>
    <xf numFmtId="0" fontId="107" fillId="19" borderId="0" applyNumberFormat="0" applyBorder="0" applyAlignment="0" applyProtection="0"/>
    <xf numFmtId="0" fontId="107" fillId="19" borderId="0" applyNumberFormat="0" applyBorder="0" applyAlignment="0" applyProtection="0"/>
    <xf numFmtId="0" fontId="107" fillId="19" borderId="0" applyNumberFormat="0" applyBorder="0" applyAlignment="0" applyProtection="0"/>
    <xf numFmtId="0" fontId="107" fillId="19" borderId="0" applyNumberFormat="0" applyBorder="0" applyAlignment="0" applyProtection="0"/>
    <xf numFmtId="0" fontId="107" fillId="11" borderId="0" applyNumberFormat="0" applyBorder="0" applyAlignment="0" applyProtection="0"/>
    <xf numFmtId="0" fontId="107" fillId="11" borderId="0" applyNumberFormat="0" applyBorder="0" applyAlignment="0" applyProtection="0"/>
    <xf numFmtId="0" fontId="107" fillId="11" borderId="0" applyNumberFormat="0" applyBorder="0" applyAlignment="0" applyProtection="0"/>
    <xf numFmtId="0" fontId="107" fillId="11" borderId="0" applyNumberFormat="0" applyBorder="0" applyAlignment="0" applyProtection="0"/>
    <xf numFmtId="0" fontId="107" fillId="11" borderId="0" applyNumberFormat="0" applyBorder="0" applyAlignment="0" applyProtection="0"/>
    <xf numFmtId="0" fontId="107" fillId="101" borderId="0" applyNumberFormat="0" applyBorder="0" applyAlignment="0" applyProtection="0"/>
    <xf numFmtId="0" fontId="107" fillId="101" borderId="0" applyNumberFormat="0" applyBorder="0" applyAlignment="0" applyProtection="0"/>
    <xf numFmtId="0" fontId="107" fillId="101" borderId="0" applyNumberFormat="0" applyBorder="0" applyAlignment="0" applyProtection="0"/>
    <xf numFmtId="0" fontId="107" fillId="101" borderId="0" applyNumberFormat="0" applyBorder="0" applyAlignment="0" applyProtection="0"/>
    <xf numFmtId="0" fontId="107" fillId="101" borderId="0" applyNumberFormat="0" applyBorder="0" applyAlignment="0" applyProtection="0"/>
    <xf numFmtId="0" fontId="107" fillId="17" borderId="0" applyNumberFormat="0" applyBorder="0" applyAlignment="0" applyProtection="0"/>
    <xf numFmtId="0" fontId="107" fillId="17" borderId="0" applyNumberFormat="0" applyBorder="0" applyAlignment="0" applyProtection="0"/>
    <xf numFmtId="0" fontId="107" fillId="17" borderId="0" applyNumberFormat="0" applyBorder="0" applyAlignment="0" applyProtection="0"/>
    <xf numFmtId="0" fontId="107" fillId="17" borderId="0" applyNumberFormat="0" applyBorder="0" applyAlignment="0" applyProtection="0"/>
    <xf numFmtId="0" fontId="107" fillId="17" borderId="0" applyNumberFormat="0" applyBorder="0" applyAlignment="0" applyProtection="0"/>
    <xf numFmtId="0" fontId="245" fillId="55" borderId="0" applyNumberFormat="0" applyBorder="0" applyAlignment="0" applyProtection="0"/>
    <xf numFmtId="0" fontId="245" fillId="55" borderId="0" applyNumberFormat="0" applyBorder="0" applyAlignment="0" applyProtection="0"/>
    <xf numFmtId="0" fontId="245" fillId="55" borderId="0" applyNumberFormat="0" applyBorder="0" applyAlignment="0" applyProtection="0"/>
    <xf numFmtId="0" fontId="245" fillId="55" borderId="0" applyNumberFormat="0" applyBorder="0" applyAlignment="0" applyProtection="0"/>
    <xf numFmtId="0" fontId="245" fillId="55" borderId="0" applyNumberFormat="0" applyBorder="0" applyAlignment="0" applyProtection="0"/>
    <xf numFmtId="0" fontId="1" fillId="0" borderId="0"/>
    <xf numFmtId="0" fontId="10" fillId="0" borderId="0"/>
    <xf numFmtId="0" fontId="1" fillId="0" borderId="0"/>
    <xf numFmtId="0" fontId="10" fillId="0" borderId="0"/>
    <xf numFmtId="0" fontId="1" fillId="0" borderId="0"/>
    <xf numFmtId="0" fontId="1" fillId="0" borderId="0"/>
    <xf numFmtId="0" fontId="1" fillId="0" borderId="0"/>
    <xf numFmtId="0" fontId="10" fillId="0" borderId="0"/>
    <xf numFmtId="0" fontId="1" fillId="0" borderId="0"/>
    <xf numFmtId="0" fontId="1" fillId="0" borderId="0"/>
    <xf numFmtId="0" fontId="1" fillId="0" borderId="0"/>
    <xf numFmtId="0" fontId="1" fillId="0" borderId="0"/>
    <xf numFmtId="0" fontId="39" fillId="0" borderId="0">
      <alignment vertical="top"/>
    </xf>
    <xf numFmtId="0" fontId="1" fillId="0" borderId="0"/>
    <xf numFmtId="0" fontId="1" fillId="0" borderId="0"/>
    <xf numFmtId="0" fontId="1" fillId="0" borderId="0"/>
    <xf numFmtId="0" fontId="10" fillId="0" borderId="0"/>
    <xf numFmtId="0" fontId="10" fillId="0" borderId="0"/>
    <xf numFmtId="0" fontId="240" fillId="0" borderId="0"/>
    <xf numFmtId="0" fontId="240" fillId="0" borderId="0"/>
    <xf numFmtId="0" fontId="240" fillId="0" borderId="0"/>
    <xf numFmtId="0" fontId="10" fillId="0" borderId="0"/>
    <xf numFmtId="0" fontId="39" fillId="0" borderId="0">
      <alignment vertical="top"/>
    </xf>
    <xf numFmtId="0" fontId="10" fillId="0" borderId="0"/>
    <xf numFmtId="0" fontId="1" fillId="0" borderId="0"/>
    <xf numFmtId="0" fontId="10" fillId="0" borderId="0"/>
    <xf numFmtId="0" fontId="39" fillId="0" borderId="0">
      <alignment vertical="top"/>
    </xf>
    <xf numFmtId="0" fontId="39" fillId="0" borderId="0">
      <alignment vertical="top"/>
    </xf>
    <xf numFmtId="0" fontId="1" fillId="0" borderId="0"/>
    <xf numFmtId="0" fontId="10" fillId="0" borderId="0"/>
    <xf numFmtId="0" fontId="10" fillId="0" borderId="0"/>
    <xf numFmtId="0" fontId="10" fillId="0" borderId="0"/>
    <xf numFmtId="0" fontId="1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0" fillId="0" borderId="0"/>
    <xf numFmtId="0" fontId="1" fillId="0" borderId="0"/>
    <xf numFmtId="0" fontId="1" fillId="0" borderId="0"/>
    <xf numFmtId="0" fontId="48" fillId="0" borderId="0"/>
    <xf numFmtId="0" fontId="10" fillId="0" borderId="0"/>
    <xf numFmtId="0" fontId="10" fillId="0" borderId="0"/>
    <xf numFmtId="0" fontId="1" fillId="0" borderId="0"/>
    <xf numFmtId="0" fontId="10" fillId="0" borderId="0"/>
    <xf numFmtId="0" fontId="1" fillId="0" borderId="0"/>
    <xf numFmtId="0" fontId="10" fillId="0" borderId="0"/>
    <xf numFmtId="0" fontId="10" fillId="0" borderId="0"/>
    <xf numFmtId="0" fontId="1" fillId="0" borderId="0"/>
    <xf numFmtId="0" fontId="39" fillId="0" borderId="0">
      <alignment vertical="top"/>
    </xf>
    <xf numFmtId="0" fontId="1" fillId="0" borderId="0"/>
    <xf numFmtId="0" fontId="39" fillId="0" borderId="0">
      <alignment vertical="top"/>
    </xf>
    <xf numFmtId="0" fontId="10" fillId="0" borderId="0"/>
    <xf numFmtId="0" fontId="1" fillId="0" borderId="0"/>
    <xf numFmtId="0" fontId="10" fillId="0" borderId="0"/>
    <xf numFmtId="0" fontId="1" fillId="0" borderId="0"/>
    <xf numFmtId="0" fontId="10" fillId="0" borderId="0"/>
    <xf numFmtId="0" fontId="10" fillId="0" borderId="0"/>
    <xf numFmtId="0" fontId="1" fillId="0" borderId="0"/>
    <xf numFmtId="0" fontId="1" fillId="0" borderId="0"/>
    <xf numFmtId="0" fontId="1" fillId="0" borderId="0"/>
    <xf numFmtId="0" fontId="10" fillId="0" borderId="0"/>
    <xf numFmtId="0" fontId="39" fillId="0" borderId="0">
      <alignment vertical="top"/>
    </xf>
    <xf numFmtId="0" fontId="1" fillId="0" borderId="0"/>
    <xf numFmtId="0" fontId="1" fillId="0" borderId="0"/>
    <xf numFmtId="0" fontId="1" fillId="0" borderId="0"/>
    <xf numFmtId="0" fontId="1" fillId="0" borderId="0"/>
    <xf numFmtId="0" fontId="10" fillId="0" borderId="0"/>
    <xf numFmtId="0" fontId="10" fillId="0" borderId="0"/>
    <xf numFmtId="0" fontId="1" fillId="0" borderId="0"/>
    <xf numFmtId="0" fontId="1" fillId="0" borderId="0"/>
    <xf numFmtId="0" fontId="10" fillId="0" borderId="0"/>
    <xf numFmtId="0" fontId="10" fillId="0" borderId="0"/>
    <xf numFmtId="0" fontId="10" fillId="0" borderId="0"/>
    <xf numFmtId="0" fontId="19" fillId="0" borderId="0"/>
    <xf numFmtId="0" fontId="1" fillId="0" borderId="0"/>
    <xf numFmtId="0" fontId="1" fillId="0" borderId="0"/>
    <xf numFmtId="0" fontId="39" fillId="0" borderId="0">
      <alignment vertical="top"/>
    </xf>
    <xf numFmtId="0" fontId="1" fillId="0" borderId="0"/>
    <xf numFmtId="49" fontId="42" fillId="0" borderId="2" applyNumberFormat="0" applyFill="0" applyBorder="0" applyProtection="0">
      <alignment horizontal="left" vertical="center"/>
    </xf>
    <xf numFmtId="0" fontId="13" fillId="58" borderId="104" applyNumberFormat="0" applyFont="0" applyAlignment="0" applyProtection="0"/>
    <xf numFmtId="0" fontId="13" fillId="58" borderId="104" applyNumberFormat="0" applyFont="0" applyAlignment="0" applyProtection="0"/>
    <xf numFmtId="0" fontId="111" fillId="99" borderId="108" applyNumberFormat="0" applyAlignment="0" applyProtection="0"/>
    <xf numFmtId="0" fontId="111" fillId="99" borderId="108" applyNumberFormat="0" applyAlignment="0" applyProtection="0"/>
    <xf numFmtId="0" fontId="111" fillId="99" borderId="108" applyNumberFormat="0" applyAlignment="0" applyProtection="0"/>
    <xf numFmtId="0" fontId="111" fillId="99" borderId="108" applyNumberFormat="0" applyAlignment="0" applyProtection="0"/>
    <xf numFmtId="0" fontId="111" fillId="99" borderId="108" applyNumberFormat="0" applyAlignment="0" applyProtection="0"/>
    <xf numFmtId="0" fontId="236" fillId="0" borderId="154" applyNumberFormat="0" applyFill="0" applyAlignment="0" applyProtection="0"/>
    <xf numFmtId="0" fontId="236" fillId="0" borderId="154" applyNumberFormat="0" applyFill="0" applyAlignment="0" applyProtection="0"/>
    <xf numFmtId="0" fontId="236" fillId="0" borderId="154" applyNumberFormat="0" applyFill="0" applyAlignment="0" applyProtection="0"/>
    <xf numFmtId="0" fontId="236" fillId="0" borderId="154" applyNumberFormat="0" applyFill="0" applyAlignment="0" applyProtection="0"/>
    <xf numFmtId="0" fontId="236" fillId="0" borderId="154" applyNumberFormat="0" applyFill="0" applyAlignment="0" applyProtection="0"/>
    <xf numFmtId="0" fontId="237" fillId="0" borderId="155" applyNumberFormat="0" applyFill="0" applyAlignment="0" applyProtection="0"/>
    <xf numFmtId="0" fontId="237" fillId="0" borderId="155" applyNumberFormat="0" applyFill="0" applyAlignment="0" applyProtection="0"/>
    <xf numFmtId="0" fontId="237" fillId="0" borderId="155" applyNumberFormat="0" applyFill="0" applyAlignment="0" applyProtection="0"/>
    <xf numFmtId="0" fontId="237" fillId="0" borderId="155" applyNumberFormat="0" applyFill="0" applyAlignment="0" applyProtection="0"/>
    <xf numFmtId="0" fontId="237" fillId="0" borderId="155" applyNumberFormat="0" applyFill="0" applyAlignment="0" applyProtection="0"/>
    <xf numFmtId="0" fontId="238" fillId="0" borderId="156" applyNumberFormat="0" applyFill="0" applyAlignment="0" applyProtection="0"/>
    <xf numFmtId="0" fontId="238" fillId="0" borderId="156" applyNumberFormat="0" applyFill="0" applyAlignment="0" applyProtection="0"/>
    <xf numFmtId="0" fontId="238" fillId="0" borderId="156" applyNumberFormat="0" applyFill="0" applyAlignment="0" applyProtection="0"/>
    <xf numFmtId="0" fontId="238" fillId="0" borderId="156" applyNumberFormat="0" applyFill="0" applyAlignment="0" applyProtection="0"/>
    <xf numFmtId="0" fontId="238" fillId="0" borderId="156" applyNumberFormat="0" applyFill="0" applyAlignment="0" applyProtection="0"/>
    <xf numFmtId="0" fontId="238" fillId="0" borderId="0" applyNumberFormat="0" applyFill="0" applyBorder="0" applyAlignment="0" applyProtection="0"/>
    <xf numFmtId="0" fontId="238" fillId="0" borderId="0" applyNumberFormat="0" applyFill="0" applyBorder="0" applyAlignment="0" applyProtection="0"/>
    <xf numFmtId="0" fontId="238" fillId="0" borderId="0" applyNumberFormat="0" applyFill="0" applyBorder="0" applyAlignment="0" applyProtection="0"/>
    <xf numFmtId="0" fontId="238" fillId="0" borderId="0" applyNumberFormat="0" applyFill="0" applyBorder="0" applyAlignment="0" applyProtection="0"/>
    <xf numFmtId="0" fontId="238" fillId="0" borderId="0" applyNumberFormat="0" applyFill="0" applyBorder="0" applyAlignment="0" applyProtection="0"/>
    <xf numFmtId="0" fontId="45" fillId="0" borderId="0"/>
    <xf numFmtId="9" fontId="212" fillId="0" borderId="0" applyFont="0" applyFill="0" applyBorder="0" applyAlignment="0" applyProtection="0"/>
    <xf numFmtId="9" fontId="212" fillId="0" borderId="0" applyFont="0" applyFill="0" applyBorder="0" applyAlignment="0" applyProtection="0"/>
    <xf numFmtId="9" fontId="212" fillId="0" borderId="0" applyFont="0" applyFill="0" applyBorder="0" applyAlignment="0" applyProtection="0"/>
    <xf numFmtId="9" fontId="13" fillId="0" borderId="0" applyFont="0" applyFill="0" applyBorder="0" applyAlignment="0" applyProtection="0"/>
    <xf numFmtId="9" fontId="13" fillId="0" borderId="0" applyFont="0" applyFill="0" applyBorder="0" applyAlignment="0" applyProtection="0"/>
    <xf numFmtId="9" fontId="212" fillId="0" borderId="0" applyFont="0" applyFill="0" applyBorder="0" applyAlignment="0" applyProtection="0"/>
    <xf numFmtId="9" fontId="212" fillId="0" borderId="0" applyFont="0" applyFill="0" applyBorder="0" applyAlignment="0" applyProtection="0"/>
    <xf numFmtId="9" fontId="10" fillId="0" borderId="0" applyFont="0" applyFill="0" applyBorder="0" applyAlignment="0" applyProtection="0"/>
    <xf numFmtId="9" fontId="39" fillId="0" borderId="0" applyFont="0" applyFill="0" applyBorder="0" applyAlignment="0" applyProtection="0"/>
    <xf numFmtId="9" fontId="39" fillId="0" borderId="0" applyFont="0" applyFill="0" applyBorder="0" applyAlignment="0" applyProtection="0"/>
    <xf numFmtId="9" fontId="13" fillId="0" borderId="0" applyFont="0" applyFill="0" applyBorder="0" applyAlignment="0" applyProtection="0"/>
    <xf numFmtId="9" fontId="13" fillId="0" borderId="0" applyFont="0" applyFill="0" applyBorder="0" applyAlignment="0" applyProtection="0"/>
    <xf numFmtId="9" fontId="39" fillId="0" borderId="0" applyFont="0" applyFill="0" applyBorder="0" applyAlignment="0" applyProtection="0"/>
    <xf numFmtId="9" fontId="39" fillId="0" borderId="0" applyFont="0" applyFill="0" applyBorder="0" applyAlignment="0" applyProtection="0"/>
    <xf numFmtId="9" fontId="13" fillId="0" borderId="0" applyFont="0" applyFill="0" applyBorder="0" applyAlignment="0" applyProtection="0"/>
    <xf numFmtId="9" fontId="13" fillId="0" borderId="0" applyFont="0" applyFill="0" applyBorder="0" applyAlignment="0" applyProtection="0"/>
    <xf numFmtId="9" fontId="13" fillId="0" borderId="0" applyFont="0" applyFill="0" applyBorder="0" applyAlignment="0" applyProtection="0"/>
    <xf numFmtId="9" fontId="13" fillId="0" borderId="0" applyFont="0" applyFill="0" applyBorder="0" applyAlignment="0" applyProtection="0"/>
    <xf numFmtId="9" fontId="13" fillId="0" borderId="0" applyFont="0" applyFill="0" applyBorder="0" applyAlignment="0" applyProtection="0"/>
    <xf numFmtId="9" fontId="13"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39" fillId="0" borderId="0" applyFont="0" applyFill="0" applyBorder="0" applyAlignment="0" applyProtection="0"/>
    <xf numFmtId="10" fontId="240" fillId="0" borderId="0" applyFont="0" applyFill="0" applyBorder="0" applyAlignment="0" applyProtection="0"/>
    <xf numFmtId="9" fontId="13" fillId="0" borderId="0" applyFont="0" applyFill="0" applyBorder="0" applyAlignment="0" applyProtection="0"/>
    <xf numFmtId="9" fontId="13" fillId="0" borderId="0" applyFont="0" applyFill="0" applyBorder="0" applyAlignment="0" applyProtection="0"/>
    <xf numFmtId="9" fontId="39" fillId="0" borderId="0" applyFont="0" applyFill="0" applyBorder="0" applyAlignment="0" applyProtection="0"/>
    <xf numFmtId="0" fontId="22" fillId="0" borderId="157" applyNumberFormat="0" applyFill="0" applyAlignment="0" applyProtection="0"/>
    <xf numFmtId="0" fontId="22" fillId="0" borderId="157" applyNumberFormat="0" applyFill="0" applyAlignment="0" applyProtection="0"/>
    <xf numFmtId="0" fontId="22" fillId="0" borderId="157" applyNumberFormat="0" applyFill="0" applyAlignment="0" applyProtection="0"/>
    <xf numFmtId="0" fontId="22" fillId="0" borderId="157" applyNumberFormat="0" applyFill="0" applyAlignment="0" applyProtection="0"/>
    <xf numFmtId="0" fontId="22" fillId="0" borderId="157" applyNumberFormat="0" applyFill="0" applyAlignment="0" applyProtection="0"/>
    <xf numFmtId="0" fontId="22" fillId="0" borderId="157" applyNumberFormat="0" applyFill="0" applyAlignment="0" applyProtection="0"/>
    <xf numFmtId="0" fontId="22" fillId="0" borderId="157" applyNumberFormat="0" applyFill="0" applyAlignment="0" applyProtection="0"/>
    <xf numFmtId="4" fontId="218" fillId="29" borderId="158" applyNumberFormat="0" applyProtection="0">
      <alignment vertical="center"/>
    </xf>
    <xf numFmtId="4" fontId="219" fillId="29" borderId="158" applyNumberFormat="0" applyProtection="0">
      <alignment vertical="center"/>
    </xf>
    <xf numFmtId="4" fontId="220" fillId="23" borderId="158" applyNumberFormat="0" applyProtection="0">
      <alignment horizontal="left" vertical="center" indent="1"/>
    </xf>
    <xf numFmtId="0" fontId="10" fillId="0" borderId="0"/>
    <xf numFmtId="4" fontId="221" fillId="99" borderId="158" applyNumberFormat="0" applyProtection="0">
      <alignment horizontal="left" vertical="center" indent="1"/>
    </xf>
    <xf numFmtId="4" fontId="222" fillId="102" borderId="158" applyNumberFormat="0" applyProtection="0">
      <alignment vertical="center"/>
    </xf>
    <xf numFmtId="0" fontId="10" fillId="0" borderId="0"/>
    <xf numFmtId="0" fontId="10" fillId="0" borderId="0"/>
    <xf numFmtId="0" fontId="10" fillId="0" borderId="0"/>
    <xf numFmtId="4" fontId="161" fillId="20" borderId="158" applyNumberFormat="0" applyProtection="0">
      <alignment vertical="center"/>
    </xf>
    <xf numFmtId="0" fontId="10" fillId="0" borderId="0"/>
    <xf numFmtId="0" fontId="10" fillId="0" borderId="0"/>
    <xf numFmtId="0" fontId="10" fillId="0" borderId="0"/>
    <xf numFmtId="4" fontId="222" fillId="103" borderId="158" applyNumberFormat="0" applyProtection="0">
      <alignment vertical="center"/>
    </xf>
    <xf numFmtId="0" fontId="10" fillId="0" borderId="0"/>
    <xf numFmtId="0" fontId="10" fillId="0" borderId="0"/>
    <xf numFmtId="0" fontId="10" fillId="0" borderId="0"/>
    <xf numFmtId="4" fontId="223" fillId="102" borderId="158" applyNumberFormat="0" applyProtection="0">
      <alignment vertical="center"/>
    </xf>
    <xf numFmtId="4" fontId="224" fillId="104" borderId="158" applyNumberFormat="0" applyProtection="0">
      <alignment horizontal="left" vertical="center" indent="1"/>
    </xf>
    <xf numFmtId="4" fontId="224" fillId="99" borderId="158" applyNumberFormat="0" applyProtection="0">
      <alignment horizontal="left" vertical="center" indent="1"/>
    </xf>
    <xf numFmtId="4" fontId="224" fillId="99" borderId="158" applyNumberFormat="0" applyProtection="0">
      <alignment horizontal="left" vertical="center" indent="1"/>
    </xf>
    <xf numFmtId="4" fontId="225" fillId="98" borderId="158" applyNumberFormat="0" applyProtection="0">
      <alignment vertical="center"/>
    </xf>
    <xf numFmtId="4" fontId="216" fillId="33" borderId="158" applyNumberFormat="0" applyProtection="0">
      <alignment horizontal="left" vertical="center" indent="1"/>
    </xf>
    <xf numFmtId="4" fontId="226" fillId="99" borderId="0" applyNumberFormat="0" applyProtection="0">
      <alignment horizontal="left" vertical="center" indent="1"/>
    </xf>
    <xf numFmtId="4" fontId="227" fillId="99" borderId="0" applyNumberFormat="0" applyProtection="0">
      <alignment horizontal="left" vertical="center" indent="1"/>
    </xf>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4" fontId="228" fillId="33" borderId="158" applyNumberFormat="0" applyProtection="0">
      <alignment vertical="center"/>
    </xf>
    <xf numFmtId="4" fontId="229" fillId="33" borderId="158" applyNumberFormat="0" applyProtection="0">
      <alignment vertical="center"/>
    </xf>
    <xf numFmtId="4" fontId="230" fillId="34" borderId="158" applyNumberFormat="0" applyProtection="0">
      <alignment horizontal="left" vertical="center" indent="1"/>
    </xf>
    <xf numFmtId="0" fontId="10" fillId="0" borderId="0"/>
    <xf numFmtId="4" fontId="231" fillId="33" borderId="158" applyNumberFormat="0" applyProtection="0">
      <alignment horizontal="right" vertical="center"/>
    </xf>
    <xf numFmtId="4" fontId="232" fillId="33" borderId="158" applyNumberFormat="0" applyProtection="0">
      <alignment vertical="center"/>
    </xf>
    <xf numFmtId="4" fontId="231" fillId="26" borderId="158" applyNumberFormat="0" applyProtection="0">
      <alignment horizontal="left" vertical="center"/>
    </xf>
    <xf numFmtId="0" fontId="10" fillId="0" borderId="0"/>
    <xf numFmtId="4" fontId="233" fillId="33" borderId="158" applyNumberFormat="0" applyProtection="0">
      <alignment vertical="center"/>
    </xf>
    <xf numFmtId="4" fontId="234" fillId="33" borderId="158" applyNumberFormat="0" applyProtection="0">
      <alignment vertical="center"/>
    </xf>
    <xf numFmtId="4" fontId="230" fillId="105" borderId="158" applyNumberFormat="0" applyProtection="0">
      <alignment horizontal="left" vertical="center" indent="1"/>
    </xf>
    <xf numFmtId="4" fontId="235" fillId="106" borderId="0" applyNumberFormat="0" applyProtection="0">
      <alignment horizontal="left" indent="1"/>
    </xf>
    <xf numFmtId="4" fontId="217" fillId="33" borderId="158" applyNumberFormat="0" applyProtection="0">
      <alignment vertical="center"/>
    </xf>
    <xf numFmtId="0" fontId="214" fillId="0" borderId="0"/>
    <xf numFmtId="0" fontId="239" fillId="0" borderId="0" applyNumberFormat="0" applyFill="0" applyBorder="0" applyAlignment="0" applyProtection="0"/>
    <xf numFmtId="0" fontId="239" fillId="0" borderId="0" applyNumberFormat="0" applyFill="0" applyBorder="0" applyAlignment="0" applyProtection="0"/>
    <xf numFmtId="0" fontId="239" fillId="0" borderId="0" applyNumberFormat="0" applyFill="0" applyBorder="0" applyAlignment="0" applyProtection="0"/>
    <xf numFmtId="0" fontId="239" fillId="0" borderId="0" applyNumberFormat="0" applyFill="0" applyBorder="0" applyAlignment="0" applyProtection="0"/>
    <xf numFmtId="0" fontId="239" fillId="0" borderId="0" applyNumberFormat="0" applyFill="0" applyBorder="0" applyAlignment="0" applyProtection="0"/>
    <xf numFmtId="0" fontId="82" fillId="0" borderId="159" applyNumberFormat="0" applyFill="0" applyAlignment="0" applyProtection="0"/>
    <xf numFmtId="0" fontId="82" fillId="0" borderId="159" applyNumberFormat="0" applyFill="0" applyAlignment="0" applyProtection="0"/>
    <xf numFmtId="0" fontId="240" fillId="0" borderId="160" applyNumberFormat="0" applyFont="0" applyFill="0" applyAlignment="0" applyProtection="0"/>
    <xf numFmtId="0" fontId="82" fillId="0" borderId="159" applyNumberFormat="0" applyFill="0" applyAlignment="0" applyProtection="0"/>
    <xf numFmtId="0" fontId="82" fillId="0" borderId="159" applyNumberFormat="0" applyFill="0" applyAlignment="0" applyProtection="0"/>
    <xf numFmtId="0" fontId="82" fillId="0" borderId="159" applyNumberFormat="0" applyFill="0" applyAlignment="0" applyProtection="0"/>
    <xf numFmtId="0" fontId="77" fillId="5" borderId="0" applyNumberFormat="0" applyBorder="0" applyAlignment="0" applyProtection="0"/>
    <xf numFmtId="0" fontId="77" fillId="5" borderId="0" applyNumberFormat="0" applyBorder="0" applyAlignment="0" applyProtection="0"/>
    <xf numFmtId="0" fontId="77" fillId="5" borderId="0" applyNumberFormat="0" applyBorder="0" applyAlignment="0" applyProtection="0"/>
    <xf numFmtId="0" fontId="77" fillId="5" borderId="0" applyNumberFormat="0" applyBorder="0" applyAlignment="0" applyProtection="0"/>
    <xf numFmtId="0" fontId="77" fillId="5" borderId="0" applyNumberFormat="0" applyBorder="0" applyAlignment="0" applyProtection="0"/>
    <xf numFmtId="217" fontId="212" fillId="0" borderId="0" applyFont="0" applyFill="0" applyBorder="0" applyAlignment="0" applyProtection="0"/>
    <xf numFmtId="217" fontId="212" fillId="0" borderId="0" applyFont="0" applyFill="0" applyBorder="0" applyAlignment="0" applyProtection="0"/>
    <xf numFmtId="217" fontId="212" fillId="0" borderId="0" applyFont="0" applyFill="0" applyBorder="0" applyAlignment="0" applyProtection="0"/>
    <xf numFmtId="217" fontId="212" fillId="0" borderId="0" applyFont="0" applyFill="0" applyBorder="0" applyAlignment="0" applyProtection="0"/>
    <xf numFmtId="217" fontId="212" fillId="0" borderId="0" applyFont="0" applyFill="0" applyBorder="0" applyAlignment="0" applyProtection="0"/>
    <xf numFmtId="0" fontId="212" fillId="0" borderId="0"/>
    <xf numFmtId="0" fontId="97" fillId="0" borderId="0" applyNumberFormat="0" applyFill="0" applyBorder="0" applyAlignment="0" applyProtection="0"/>
    <xf numFmtId="0" fontId="98" fillId="0" borderId="98" applyNumberFormat="0" applyFill="0" applyAlignment="0" applyProtection="0"/>
    <xf numFmtId="0" fontId="99" fillId="0" borderId="99" applyNumberFormat="0" applyFill="0" applyAlignment="0" applyProtection="0"/>
    <xf numFmtId="0" fontId="100" fillId="0" borderId="100" applyNumberFormat="0" applyFill="0" applyAlignment="0" applyProtection="0"/>
    <xf numFmtId="0" fontId="100" fillId="0" borderId="0" applyNumberFormat="0" applyFill="0" applyBorder="0" applyAlignment="0" applyProtection="0"/>
    <xf numFmtId="0" fontId="101" fillId="54" borderId="0" applyNumberFormat="0" applyBorder="0" applyAlignment="0" applyProtection="0"/>
    <xf numFmtId="0" fontId="77" fillId="36" borderId="0" applyNumberFormat="0" applyBorder="0" applyAlignment="0" applyProtection="0"/>
    <xf numFmtId="0" fontId="102" fillId="55" borderId="0" applyNumberFormat="0" applyBorder="0" applyAlignment="0" applyProtection="0"/>
    <xf numFmtId="0" fontId="110" fillId="84" borderId="101" applyNumberFormat="0" applyAlignment="0" applyProtection="0"/>
    <xf numFmtId="0" fontId="111" fillId="56" borderId="108" applyNumberFormat="0" applyAlignment="0" applyProtection="0"/>
    <xf numFmtId="0" fontId="103" fillId="56" borderId="101" applyNumberFormat="0" applyAlignment="0" applyProtection="0"/>
    <xf numFmtId="0" fontId="104" fillId="0" borderId="102" applyNumberFormat="0" applyFill="0" applyAlignment="0" applyProtection="0"/>
    <xf numFmtId="0" fontId="82" fillId="0" borderId="105" applyNumberFormat="0" applyFill="0" applyAlignment="0" applyProtection="0"/>
    <xf numFmtId="0" fontId="107" fillId="59" borderId="0" applyNumberFormat="0" applyBorder="0" applyAlignment="0" applyProtection="0"/>
    <xf numFmtId="0" fontId="1" fillId="60" borderId="0" applyNumberFormat="0" applyBorder="0" applyAlignment="0" applyProtection="0"/>
    <xf numFmtId="0" fontId="1" fillId="61" borderId="0" applyNumberFormat="0" applyBorder="0" applyAlignment="0" applyProtection="0"/>
    <xf numFmtId="0" fontId="107" fillId="62" borderId="0" applyNumberFormat="0" applyBorder="0" applyAlignment="0" applyProtection="0"/>
    <xf numFmtId="0" fontId="107" fillId="63" borderId="0" applyNumberFormat="0" applyBorder="0" applyAlignment="0" applyProtection="0"/>
    <xf numFmtId="0" fontId="1" fillId="64" borderId="0" applyNumberFormat="0" applyBorder="0" applyAlignment="0" applyProtection="0"/>
    <xf numFmtId="0" fontId="1" fillId="65" borderId="0" applyNumberFormat="0" applyBorder="0" applyAlignment="0" applyProtection="0"/>
    <xf numFmtId="0" fontId="107" fillId="66" borderId="0" applyNumberFormat="0" applyBorder="0" applyAlignment="0" applyProtection="0"/>
    <xf numFmtId="0" fontId="107" fillId="67" borderId="0" applyNumberFormat="0" applyBorder="0" applyAlignment="0" applyProtection="0"/>
    <xf numFmtId="0" fontId="1" fillId="68" borderId="0" applyNumberFormat="0" applyBorder="0" applyAlignment="0" applyProtection="0"/>
    <xf numFmtId="0" fontId="1" fillId="69" borderId="0" applyNumberFormat="0" applyBorder="0" applyAlignment="0" applyProtection="0"/>
    <xf numFmtId="0" fontId="107" fillId="70" borderId="0" applyNumberFormat="0" applyBorder="0" applyAlignment="0" applyProtection="0"/>
    <xf numFmtId="0" fontId="107" fillId="71" borderId="0" applyNumberFormat="0" applyBorder="0" applyAlignment="0" applyProtection="0"/>
    <xf numFmtId="0" fontId="1" fillId="72" borderId="0" applyNumberFormat="0" applyBorder="0" applyAlignment="0" applyProtection="0"/>
    <xf numFmtId="0" fontId="1" fillId="73" borderId="0" applyNumberFormat="0" applyBorder="0" applyAlignment="0" applyProtection="0"/>
    <xf numFmtId="0" fontId="107" fillId="74" borderId="0" applyNumberFormat="0" applyBorder="0" applyAlignment="0" applyProtection="0"/>
    <xf numFmtId="0" fontId="1" fillId="76" borderId="0" applyNumberFormat="0" applyBorder="0" applyAlignment="0" applyProtection="0"/>
    <xf numFmtId="0" fontId="1" fillId="77" borderId="0" applyNumberFormat="0" applyBorder="0" applyAlignment="0" applyProtection="0"/>
    <xf numFmtId="0" fontId="107" fillId="78" borderId="0" applyNumberFormat="0" applyBorder="0" applyAlignment="0" applyProtection="0"/>
    <xf numFmtId="0" fontId="107" fillId="79" borderId="0" applyNumberFormat="0" applyBorder="0" applyAlignment="0" applyProtection="0"/>
    <xf numFmtId="0" fontId="1" fillId="80" borderId="0" applyNumberFormat="0" applyBorder="0" applyAlignment="0" applyProtection="0"/>
    <xf numFmtId="0" fontId="1" fillId="81" borderId="0" applyNumberFormat="0" applyBorder="0" applyAlignment="0" applyProtection="0"/>
    <xf numFmtId="0" fontId="107" fillId="82"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6" borderId="0" applyNumberFormat="0" applyBorder="0" applyAlignment="0" applyProtection="0"/>
    <xf numFmtId="0" fontId="1" fillId="76" borderId="0" applyNumberFormat="0" applyBorder="0" applyAlignment="0" applyProtection="0"/>
    <xf numFmtId="0" fontId="1" fillId="76" borderId="0" applyNumberFormat="0" applyBorder="0" applyAlignment="0" applyProtection="0"/>
    <xf numFmtId="0" fontId="1" fillId="76" borderId="0" applyNumberFormat="0" applyBorder="0" applyAlignment="0" applyProtection="0"/>
    <xf numFmtId="0" fontId="1" fillId="76" borderId="0" applyNumberFormat="0" applyBorder="0" applyAlignment="0" applyProtection="0"/>
    <xf numFmtId="0" fontId="1" fillId="76" borderId="0" applyNumberFormat="0" applyBorder="0" applyAlignment="0" applyProtection="0"/>
    <xf numFmtId="0" fontId="1" fillId="76" borderId="0" applyNumberFormat="0" applyBorder="0" applyAlignment="0" applyProtection="0"/>
    <xf numFmtId="0" fontId="1" fillId="76" borderId="0" applyNumberFormat="0" applyBorder="0" applyAlignment="0" applyProtection="0"/>
    <xf numFmtId="0" fontId="1" fillId="76" borderId="0" applyNumberFormat="0" applyBorder="0" applyAlignment="0" applyProtection="0"/>
    <xf numFmtId="0" fontId="1" fillId="76" borderId="0" applyNumberFormat="0" applyBorder="0" applyAlignment="0" applyProtection="0"/>
    <xf numFmtId="0" fontId="1" fillId="76" borderId="0" applyNumberFormat="0" applyBorder="0" applyAlignment="0" applyProtection="0"/>
    <xf numFmtId="0" fontId="1" fillId="76" borderId="0" applyNumberFormat="0" applyBorder="0" applyAlignment="0" applyProtection="0"/>
    <xf numFmtId="0" fontId="1" fillId="76" borderId="0" applyNumberFormat="0" applyBorder="0" applyAlignment="0" applyProtection="0"/>
    <xf numFmtId="0" fontId="1" fillId="76" borderId="0" applyNumberFormat="0" applyBorder="0" applyAlignment="0" applyProtection="0"/>
    <xf numFmtId="0" fontId="1" fillId="76" borderId="0" applyNumberFormat="0" applyBorder="0" applyAlignment="0" applyProtection="0"/>
    <xf numFmtId="0" fontId="1" fillId="76" borderId="0" applyNumberFormat="0" applyBorder="0" applyAlignment="0" applyProtection="0"/>
    <xf numFmtId="0" fontId="1" fillId="76" borderId="0" applyNumberFormat="0" applyBorder="0" applyAlignment="0" applyProtection="0"/>
    <xf numFmtId="0" fontId="1" fillId="76" borderId="0" applyNumberFormat="0" applyBorder="0" applyAlignment="0" applyProtection="0"/>
    <xf numFmtId="0" fontId="1" fillId="76" borderId="0" applyNumberFormat="0" applyBorder="0" applyAlignment="0" applyProtection="0"/>
    <xf numFmtId="0" fontId="1" fillId="76" borderId="0" applyNumberFormat="0" applyBorder="0" applyAlignment="0" applyProtection="0"/>
    <xf numFmtId="0" fontId="1" fillId="76" borderId="0" applyNumberFormat="0" applyBorder="0" applyAlignment="0" applyProtection="0"/>
    <xf numFmtId="0" fontId="1" fillId="76" borderId="0" applyNumberFormat="0" applyBorder="0" applyAlignment="0" applyProtection="0"/>
    <xf numFmtId="0" fontId="1" fillId="76" borderId="0" applyNumberFormat="0" applyBorder="0" applyAlignment="0" applyProtection="0"/>
    <xf numFmtId="0" fontId="1" fillId="76" borderId="0" applyNumberFormat="0" applyBorder="0" applyAlignment="0" applyProtection="0"/>
    <xf numFmtId="0" fontId="1" fillId="76" borderId="0" applyNumberFormat="0" applyBorder="0" applyAlignment="0" applyProtection="0"/>
    <xf numFmtId="0" fontId="1" fillId="76" borderId="0" applyNumberFormat="0" applyBorder="0" applyAlignment="0" applyProtection="0"/>
    <xf numFmtId="0" fontId="1" fillId="76" borderId="0" applyNumberFormat="0" applyBorder="0" applyAlignment="0" applyProtection="0"/>
    <xf numFmtId="0" fontId="1" fillId="76" borderId="0" applyNumberFormat="0" applyBorder="0" applyAlignment="0" applyProtection="0"/>
    <xf numFmtId="0" fontId="1" fillId="76" borderId="0" applyNumberFormat="0" applyBorder="0" applyAlignment="0" applyProtection="0"/>
    <xf numFmtId="0" fontId="1" fillId="76" borderId="0" applyNumberFormat="0" applyBorder="0" applyAlignment="0" applyProtection="0"/>
    <xf numFmtId="0" fontId="1" fillId="76" borderId="0" applyNumberFormat="0" applyBorder="0" applyAlignment="0" applyProtection="0"/>
    <xf numFmtId="0" fontId="1" fillId="76" borderId="0" applyNumberFormat="0" applyBorder="0" applyAlignment="0" applyProtection="0"/>
    <xf numFmtId="0" fontId="1" fillId="76" borderId="0" applyNumberFormat="0" applyBorder="0" applyAlignment="0" applyProtection="0"/>
    <xf numFmtId="0" fontId="1" fillId="76" borderId="0" applyNumberFormat="0" applyBorder="0" applyAlignment="0" applyProtection="0"/>
    <xf numFmtId="0" fontId="1" fillId="76" borderId="0" applyNumberFormat="0" applyBorder="0" applyAlignment="0" applyProtection="0"/>
    <xf numFmtId="0" fontId="1" fillId="76" borderId="0" applyNumberFormat="0" applyBorder="0" applyAlignment="0" applyProtection="0"/>
    <xf numFmtId="0" fontId="1" fillId="76" borderId="0" applyNumberFormat="0" applyBorder="0" applyAlignment="0" applyProtection="0"/>
    <xf numFmtId="0" fontId="1" fillId="76" borderId="0" applyNumberFormat="0" applyBorder="0" applyAlignment="0" applyProtection="0"/>
    <xf numFmtId="0" fontId="1" fillId="76" borderId="0" applyNumberFormat="0" applyBorder="0" applyAlignment="0" applyProtection="0"/>
    <xf numFmtId="0" fontId="1" fillId="76" borderId="0" applyNumberFormat="0" applyBorder="0" applyAlignment="0" applyProtection="0"/>
    <xf numFmtId="0" fontId="1" fillId="76" borderId="0" applyNumberFormat="0" applyBorder="0" applyAlignment="0" applyProtection="0"/>
    <xf numFmtId="0" fontId="1" fillId="76" borderId="0" applyNumberFormat="0" applyBorder="0" applyAlignment="0" applyProtection="0"/>
    <xf numFmtId="0" fontId="1" fillId="76" borderId="0" applyNumberFormat="0" applyBorder="0" applyAlignment="0" applyProtection="0"/>
    <xf numFmtId="0" fontId="1" fillId="76" borderId="0" applyNumberFormat="0" applyBorder="0" applyAlignment="0" applyProtection="0"/>
    <xf numFmtId="0" fontId="1" fillId="76" borderId="0" applyNumberFormat="0" applyBorder="0" applyAlignment="0" applyProtection="0"/>
    <xf numFmtId="0" fontId="1" fillId="76" borderId="0" applyNumberFormat="0" applyBorder="0" applyAlignment="0" applyProtection="0"/>
    <xf numFmtId="0" fontId="1" fillId="76" borderId="0" applyNumberFormat="0" applyBorder="0" applyAlignment="0" applyProtection="0"/>
    <xf numFmtId="0" fontId="1" fillId="76" borderId="0" applyNumberFormat="0" applyBorder="0" applyAlignment="0" applyProtection="0"/>
    <xf numFmtId="0" fontId="1" fillId="76" borderId="0" applyNumberFormat="0" applyBorder="0" applyAlignment="0" applyProtection="0"/>
    <xf numFmtId="0" fontId="1" fillId="76" borderId="0" applyNumberFormat="0" applyBorder="0" applyAlignment="0" applyProtection="0"/>
    <xf numFmtId="0" fontId="1" fillId="76" borderId="0" applyNumberFormat="0" applyBorder="0" applyAlignment="0" applyProtection="0"/>
    <xf numFmtId="0" fontId="1" fillId="76" borderId="0" applyNumberFormat="0" applyBorder="0" applyAlignment="0" applyProtection="0"/>
    <xf numFmtId="0" fontId="1" fillId="76" borderId="0" applyNumberFormat="0" applyBorder="0" applyAlignment="0" applyProtection="0"/>
    <xf numFmtId="0" fontId="1" fillId="7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5" borderId="0" applyNumberFormat="0" applyBorder="0" applyAlignment="0" applyProtection="0"/>
    <xf numFmtId="0" fontId="1" fillId="65" borderId="0" applyNumberFormat="0" applyBorder="0" applyAlignment="0" applyProtection="0"/>
    <xf numFmtId="0" fontId="1" fillId="65" borderId="0" applyNumberFormat="0" applyBorder="0" applyAlignment="0" applyProtection="0"/>
    <xf numFmtId="0" fontId="1" fillId="65" borderId="0" applyNumberFormat="0" applyBorder="0" applyAlignment="0" applyProtection="0"/>
    <xf numFmtId="0" fontId="1" fillId="65" borderId="0" applyNumberFormat="0" applyBorder="0" applyAlignment="0" applyProtection="0"/>
    <xf numFmtId="0" fontId="1" fillId="65" borderId="0" applyNumberFormat="0" applyBorder="0" applyAlignment="0" applyProtection="0"/>
    <xf numFmtId="0" fontId="1" fillId="65" borderId="0" applyNumberFormat="0" applyBorder="0" applyAlignment="0" applyProtection="0"/>
    <xf numFmtId="0" fontId="1" fillId="65" borderId="0" applyNumberFormat="0" applyBorder="0" applyAlignment="0" applyProtection="0"/>
    <xf numFmtId="0" fontId="1" fillId="65" borderId="0" applyNumberFormat="0" applyBorder="0" applyAlignment="0" applyProtection="0"/>
    <xf numFmtId="0" fontId="1" fillId="65" borderId="0" applyNumberFormat="0" applyBorder="0" applyAlignment="0" applyProtection="0"/>
    <xf numFmtId="0" fontId="1" fillId="65" borderId="0" applyNumberFormat="0" applyBorder="0" applyAlignment="0" applyProtection="0"/>
    <xf numFmtId="0" fontId="1" fillId="65" borderId="0" applyNumberFormat="0" applyBorder="0" applyAlignment="0" applyProtection="0"/>
    <xf numFmtId="0" fontId="1" fillId="65" borderId="0" applyNumberFormat="0" applyBorder="0" applyAlignment="0" applyProtection="0"/>
    <xf numFmtId="0" fontId="1" fillId="65" borderId="0" applyNumberFormat="0" applyBorder="0" applyAlignment="0" applyProtection="0"/>
    <xf numFmtId="0" fontId="1" fillId="65" borderId="0" applyNumberFormat="0" applyBorder="0" applyAlignment="0" applyProtection="0"/>
    <xf numFmtId="0" fontId="1" fillId="65" borderId="0" applyNumberFormat="0" applyBorder="0" applyAlignment="0" applyProtection="0"/>
    <xf numFmtId="0" fontId="1" fillId="65" borderId="0" applyNumberFormat="0" applyBorder="0" applyAlignment="0" applyProtection="0"/>
    <xf numFmtId="0" fontId="1" fillId="65" borderId="0" applyNumberFormat="0" applyBorder="0" applyAlignment="0" applyProtection="0"/>
    <xf numFmtId="0" fontId="1" fillId="65" borderId="0" applyNumberFormat="0" applyBorder="0" applyAlignment="0" applyProtection="0"/>
    <xf numFmtId="0" fontId="1" fillId="65" borderId="0" applyNumberFormat="0" applyBorder="0" applyAlignment="0" applyProtection="0"/>
    <xf numFmtId="0" fontId="1" fillId="65" borderId="0" applyNumberFormat="0" applyBorder="0" applyAlignment="0" applyProtection="0"/>
    <xf numFmtId="0" fontId="1" fillId="65" borderId="0" applyNumberFormat="0" applyBorder="0" applyAlignment="0" applyProtection="0"/>
    <xf numFmtId="0" fontId="1" fillId="65" borderId="0" applyNumberFormat="0" applyBorder="0" applyAlignment="0" applyProtection="0"/>
    <xf numFmtId="0" fontId="1" fillId="65" borderId="0" applyNumberFormat="0" applyBorder="0" applyAlignment="0" applyProtection="0"/>
    <xf numFmtId="0" fontId="1" fillId="65" borderId="0" applyNumberFormat="0" applyBorder="0" applyAlignment="0" applyProtection="0"/>
    <xf numFmtId="0" fontId="1" fillId="65" borderId="0" applyNumberFormat="0" applyBorder="0" applyAlignment="0" applyProtection="0"/>
    <xf numFmtId="0" fontId="1" fillId="65" borderId="0" applyNumberFormat="0" applyBorder="0" applyAlignment="0" applyProtection="0"/>
    <xf numFmtId="0" fontId="1" fillId="65" borderId="0" applyNumberFormat="0" applyBorder="0" applyAlignment="0" applyProtection="0"/>
    <xf numFmtId="0" fontId="1" fillId="65" borderId="0" applyNumberFormat="0" applyBorder="0" applyAlignment="0" applyProtection="0"/>
    <xf numFmtId="0" fontId="1" fillId="65" borderId="0" applyNumberFormat="0" applyBorder="0" applyAlignment="0" applyProtection="0"/>
    <xf numFmtId="0" fontId="1" fillId="65" borderId="0" applyNumberFormat="0" applyBorder="0" applyAlignment="0" applyProtection="0"/>
    <xf numFmtId="0" fontId="1" fillId="65" borderId="0" applyNumberFormat="0" applyBorder="0" applyAlignment="0" applyProtection="0"/>
    <xf numFmtId="0" fontId="1" fillId="65" borderId="0" applyNumberFormat="0" applyBorder="0" applyAlignment="0" applyProtection="0"/>
    <xf numFmtId="0" fontId="1" fillId="65" borderId="0" applyNumberFormat="0" applyBorder="0" applyAlignment="0" applyProtection="0"/>
    <xf numFmtId="0" fontId="1" fillId="65" borderId="0" applyNumberFormat="0" applyBorder="0" applyAlignment="0" applyProtection="0"/>
    <xf numFmtId="0" fontId="1" fillId="65" borderId="0" applyNumberFormat="0" applyBorder="0" applyAlignment="0" applyProtection="0"/>
    <xf numFmtId="0" fontId="1" fillId="65" borderId="0" applyNumberFormat="0" applyBorder="0" applyAlignment="0" applyProtection="0"/>
    <xf numFmtId="0" fontId="1" fillId="65" borderId="0" applyNumberFormat="0" applyBorder="0" applyAlignment="0" applyProtection="0"/>
    <xf numFmtId="0" fontId="1" fillId="65" borderId="0" applyNumberFormat="0" applyBorder="0" applyAlignment="0" applyProtection="0"/>
    <xf numFmtId="0" fontId="1" fillId="65" borderId="0" applyNumberFormat="0" applyBorder="0" applyAlignment="0" applyProtection="0"/>
    <xf numFmtId="0" fontId="1" fillId="65" borderId="0" applyNumberFormat="0" applyBorder="0" applyAlignment="0" applyProtection="0"/>
    <xf numFmtId="0" fontId="1" fillId="65" borderId="0" applyNumberFormat="0" applyBorder="0" applyAlignment="0" applyProtection="0"/>
    <xf numFmtId="0" fontId="1" fillId="65" borderId="0" applyNumberFormat="0" applyBorder="0" applyAlignment="0" applyProtection="0"/>
    <xf numFmtId="0" fontId="1" fillId="65" borderId="0" applyNumberFormat="0" applyBorder="0" applyAlignment="0" applyProtection="0"/>
    <xf numFmtId="0" fontId="1" fillId="65" borderId="0" applyNumberFormat="0" applyBorder="0" applyAlignment="0" applyProtection="0"/>
    <xf numFmtId="0" fontId="1" fillId="65" borderId="0" applyNumberFormat="0" applyBorder="0" applyAlignment="0" applyProtection="0"/>
    <xf numFmtId="0" fontId="1" fillId="65" borderId="0" applyNumberFormat="0" applyBorder="0" applyAlignment="0" applyProtection="0"/>
    <xf numFmtId="0" fontId="1" fillId="65" borderId="0" applyNumberFormat="0" applyBorder="0" applyAlignment="0" applyProtection="0"/>
    <xf numFmtId="0" fontId="1" fillId="65" borderId="0" applyNumberFormat="0" applyBorder="0" applyAlignment="0" applyProtection="0"/>
    <xf numFmtId="0" fontId="1" fillId="65" borderId="0" applyNumberFormat="0" applyBorder="0" applyAlignment="0" applyProtection="0"/>
    <xf numFmtId="0" fontId="1" fillId="65" borderId="0" applyNumberFormat="0" applyBorder="0" applyAlignment="0" applyProtection="0"/>
    <xf numFmtId="0" fontId="1" fillId="65" borderId="0" applyNumberFormat="0" applyBorder="0" applyAlignment="0" applyProtection="0"/>
    <xf numFmtId="0" fontId="1" fillId="65" borderId="0" applyNumberFormat="0" applyBorder="0" applyAlignment="0" applyProtection="0"/>
    <xf numFmtId="0" fontId="1" fillId="65"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3" borderId="0" applyNumberFormat="0" applyBorder="0" applyAlignment="0" applyProtection="0"/>
    <xf numFmtId="0" fontId="1" fillId="3" borderId="0" applyNumberFormat="0" applyBorder="0" applyAlignment="0" applyProtection="0"/>
    <xf numFmtId="0" fontId="1" fillId="3" borderId="0" applyNumberFormat="0" applyBorder="0" applyAlignment="0" applyProtection="0"/>
    <xf numFmtId="0" fontId="1" fillId="3" borderId="0" applyNumberFormat="0" applyBorder="0" applyAlignment="0" applyProtection="0"/>
    <xf numFmtId="0" fontId="1" fillId="3" borderId="0" applyNumberFormat="0" applyBorder="0" applyAlignment="0" applyProtection="0"/>
    <xf numFmtId="0" fontId="1" fillId="3" borderId="0" applyNumberFormat="0" applyBorder="0" applyAlignment="0" applyProtection="0"/>
    <xf numFmtId="0" fontId="1" fillId="3" borderId="0" applyNumberFormat="0" applyBorder="0" applyAlignment="0" applyProtection="0"/>
    <xf numFmtId="0" fontId="1" fillId="3" borderId="0" applyNumberFormat="0" applyBorder="0" applyAlignment="0" applyProtection="0"/>
    <xf numFmtId="0" fontId="1" fillId="3" borderId="0" applyNumberFormat="0" applyBorder="0" applyAlignment="0" applyProtection="0"/>
    <xf numFmtId="0" fontId="1" fillId="3" borderId="0" applyNumberFormat="0" applyBorder="0" applyAlignment="0" applyProtection="0"/>
    <xf numFmtId="0" fontId="1" fillId="3" borderId="0" applyNumberFormat="0" applyBorder="0" applyAlignment="0" applyProtection="0"/>
    <xf numFmtId="0" fontId="1" fillId="3" borderId="0" applyNumberFormat="0" applyBorder="0" applyAlignment="0" applyProtection="0"/>
    <xf numFmtId="0" fontId="1" fillId="3" borderId="0" applyNumberFormat="0" applyBorder="0" applyAlignment="0" applyProtection="0"/>
    <xf numFmtId="0" fontId="1" fillId="3" borderId="0" applyNumberFormat="0" applyBorder="0" applyAlignment="0" applyProtection="0"/>
    <xf numFmtId="0" fontId="1" fillId="3" borderId="0" applyNumberFormat="0" applyBorder="0" applyAlignment="0" applyProtection="0"/>
    <xf numFmtId="0" fontId="1" fillId="3" borderId="0" applyNumberFormat="0" applyBorder="0" applyAlignment="0" applyProtection="0"/>
    <xf numFmtId="0" fontId="1" fillId="3" borderId="0" applyNumberFormat="0" applyBorder="0" applyAlignment="0" applyProtection="0"/>
    <xf numFmtId="0" fontId="1" fillId="3" borderId="0" applyNumberFormat="0" applyBorder="0" applyAlignment="0" applyProtection="0"/>
    <xf numFmtId="0" fontId="1" fillId="3" borderId="0" applyNumberFormat="0" applyBorder="0" applyAlignment="0" applyProtection="0"/>
    <xf numFmtId="0" fontId="1" fillId="3" borderId="0" applyNumberFormat="0" applyBorder="0" applyAlignment="0" applyProtection="0"/>
    <xf numFmtId="0" fontId="1" fillId="3" borderId="0" applyNumberFormat="0" applyBorder="0" applyAlignment="0" applyProtection="0"/>
    <xf numFmtId="0" fontId="1" fillId="3" borderId="0" applyNumberFormat="0" applyBorder="0" applyAlignment="0" applyProtection="0"/>
    <xf numFmtId="0" fontId="1" fillId="3" borderId="0" applyNumberFormat="0" applyBorder="0" applyAlignment="0" applyProtection="0"/>
    <xf numFmtId="0" fontId="1" fillId="3" borderId="0" applyNumberFormat="0" applyBorder="0" applyAlignment="0" applyProtection="0"/>
    <xf numFmtId="0" fontId="1" fillId="3" borderId="0" applyNumberFormat="0" applyBorder="0" applyAlignment="0" applyProtection="0"/>
    <xf numFmtId="0" fontId="1" fillId="3" borderId="0" applyNumberFormat="0" applyBorder="0" applyAlignment="0" applyProtection="0"/>
    <xf numFmtId="0" fontId="1" fillId="3" borderId="0" applyNumberFormat="0" applyBorder="0" applyAlignment="0" applyProtection="0"/>
    <xf numFmtId="0" fontId="1" fillId="3" borderId="0" applyNumberFormat="0" applyBorder="0" applyAlignment="0" applyProtection="0"/>
    <xf numFmtId="0" fontId="1" fillId="3" borderId="0" applyNumberFormat="0" applyBorder="0" applyAlignment="0" applyProtection="0"/>
    <xf numFmtId="0" fontId="1" fillId="3" borderId="0" applyNumberFormat="0" applyBorder="0" applyAlignment="0" applyProtection="0"/>
    <xf numFmtId="0" fontId="1" fillId="3" borderId="0" applyNumberFormat="0" applyBorder="0" applyAlignment="0" applyProtection="0"/>
    <xf numFmtId="0" fontId="1" fillId="3" borderId="0" applyNumberFormat="0" applyBorder="0" applyAlignment="0" applyProtection="0"/>
    <xf numFmtId="0" fontId="1" fillId="3" borderId="0" applyNumberFormat="0" applyBorder="0" applyAlignment="0" applyProtection="0"/>
    <xf numFmtId="0" fontId="1" fillId="3" borderId="0" applyNumberFormat="0" applyBorder="0" applyAlignment="0" applyProtection="0"/>
    <xf numFmtId="0" fontId="1" fillId="3" borderId="0" applyNumberFormat="0" applyBorder="0" applyAlignment="0" applyProtection="0"/>
    <xf numFmtId="0" fontId="1" fillId="3" borderId="0" applyNumberFormat="0" applyBorder="0" applyAlignment="0" applyProtection="0"/>
    <xf numFmtId="0" fontId="1" fillId="3" borderId="0" applyNumberFormat="0" applyBorder="0" applyAlignment="0" applyProtection="0"/>
    <xf numFmtId="0" fontId="1" fillId="3" borderId="0" applyNumberFormat="0" applyBorder="0" applyAlignment="0" applyProtection="0"/>
    <xf numFmtId="0" fontId="1" fillId="3" borderId="0" applyNumberFormat="0" applyBorder="0" applyAlignment="0" applyProtection="0"/>
    <xf numFmtId="0" fontId="1" fillId="3" borderId="0" applyNumberFormat="0" applyBorder="0" applyAlignment="0" applyProtection="0"/>
    <xf numFmtId="0" fontId="1" fillId="3" borderId="0" applyNumberFormat="0" applyBorder="0" applyAlignment="0" applyProtection="0"/>
    <xf numFmtId="0" fontId="1" fillId="3" borderId="0" applyNumberFormat="0" applyBorder="0" applyAlignment="0" applyProtection="0"/>
    <xf numFmtId="0" fontId="1" fillId="3" borderId="0" applyNumberFormat="0" applyBorder="0" applyAlignment="0" applyProtection="0"/>
    <xf numFmtId="0" fontId="1" fillId="3" borderId="0" applyNumberFormat="0" applyBorder="0" applyAlignment="0" applyProtection="0"/>
    <xf numFmtId="0" fontId="1" fillId="3" borderId="0" applyNumberFormat="0" applyBorder="0" applyAlignment="0" applyProtection="0"/>
    <xf numFmtId="0" fontId="1" fillId="3" borderId="0" applyNumberFormat="0" applyBorder="0" applyAlignment="0" applyProtection="0"/>
    <xf numFmtId="0" fontId="1" fillId="3" borderId="0" applyNumberFormat="0" applyBorder="0" applyAlignment="0" applyProtection="0"/>
    <xf numFmtId="0" fontId="1" fillId="3" borderId="0" applyNumberFormat="0" applyBorder="0" applyAlignment="0" applyProtection="0"/>
    <xf numFmtId="0" fontId="1" fillId="3" borderId="0" applyNumberFormat="0" applyBorder="0" applyAlignment="0" applyProtection="0"/>
    <xf numFmtId="0" fontId="1" fillId="3" borderId="0" applyNumberFormat="0" applyBorder="0" applyAlignment="0" applyProtection="0"/>
    <xf numFmtId="0" fontId="1" fillId="3" borderId="0" applyNumberFormat="0" applyBorder="0" applyAlignment="0" applyProtection="0"/>
    <xf numFmtId="0" fontId="1" fillId="3" borderId="0" applyNumberFormat="0" applyBorder="0" applyAlignment="0" applyProtection="0"/>
    <xf numFmtId="0" fontId="1" fillId="3" borderId="0" applyNumberFormat="0" applyBorder="0" applyAlignment="0" applyProtection="0"/>
    <xf numFmtId="0" fontId="1" fillId="3" borderId="0" applyNumberFormat="0" applyBorder="0" applyAlignment="0" applyProtection="0"/>
    <xf numFmtId="0" fontId="1" fillId="3" borderId="0" applyNumberFormat="0" applyBorder="0" applyAlignment="0" applyProtection="0"/>
    <xf numFmtId="0" fontId="1" fillId="3" borderId="0" applyNumberFormat="0" applyBorder="0" applyAlignment="0" applyProtection="0"/>
    <xf numFmtId="0" fontId="1" fillId="3"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3" fontId="240"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58" borderId="104" applyNumberFormat="0" applyFont="0" applyAlignment="0" applyProtection="0"/>
    <xf numFmtId="0" fontId="1" fillId="58" borderId="104" applyNumberFormat="0" applyFont="0" applyAlignment="0" applyProtection="0"/>
    <xf numFmtId="0" fontId="1" fillId="60" borderId="0" applyNumberFormat="0" applyBorder="0" applyAlignment="0" applyProtection="0"/>
    <xf numFmtId="0" fontId="1" fillId="61" borderId="0" applyNumberFormat="0" applyBorder="0" applyAlignment="0" applyProtection="0"/>
    <xf numFmtId="0" fontId="1" fillId="64" borderId="0" applyNumberFormat="0" applyBorder="0" applyAlignment="0" applyProtection="0"/>
    <xf numFmtId="0" fontId="1" fillId="68" borderId="0" applyNumberFormat="0" applyBorder="0" applyAlignment="0" applyProtection="0"/>
    <xf numFmtId="0" fontId="1" fillId="69" borderId="0" applyNumberFormat="0" applyBorder="0" applyAlignment="0" applyProtection="0"/>
    <xf numFmtId="0" fontId="1" fillId="72" borderId="0" applyNumberFormat="0" applyBorder="0" applyAlignment="0" applyProtection="0"/>
    <xf numFmtId="0" fontId="1" fillId="73" borderId="0" applyNumberFormat="0" applyBorder="0" applyAlignment="0" applyProtection="0"/>
    <xf numFmtId="0" fontId="1" fillId="77" borderId="0" applyNumberFormat="0" applyBorder="0" applyAlignment="0" applyProtection="0"/>
    <xf numFmtId="0" fontId="1" fillId="80" borderId="0" applyNumberFormat="0" applyBorder="0" applyAlignment="0" applyProtection="0"/>
    <xf numFmtId="0" fontId="1" fillId="81" borderId="0" applyNumberFormat="0" applyBorder="0" applyAlignment="0" applyProtection="0"/>
    <xf numFmtId="0" fontId="1" fillId="60" borderId="0" applyNumberFormat="0" applyBorder="0" applyAlignment="0" applyProtection="0"/>
    <xf numFmtId="0" fontId="1" fillId="61" borderId="0" applyNumberFormat="0" applyBorder="0" applyAlignment="0" applyProtection="0"/>
    <xf numFmtId="0" fontId="1" fillId="64" borderId="0" applyNumberFormat="0" applyBorder="0" applyAlignment="0" applyProtection="0"/>
    <xf numFmtId="0" fontId="1" fillId="68" borderId="0" applyNumberFormat="0" applyBorder="0" applyAlignment="0" applyProtection="0"/>
    <xf numFmtId="0" fontId="1" fillId="69" borderId="0" applyNumberFormat="0" applyBorder="0" applyAlignment="0" applyProtection="0"/>
    <xf numFmtId="0" fontId="1" fillId="72" borderId="0" applyNumberFormat="0" applyBorder="0" applyAlignment="0" applyProtection="0"/>
    <xf numFmtId="0" fontId="1" fillId="73" borderId="0" applyNumberFormat="0" applyBorder="0" applyAlignment="0" applyProtection="0"/>
    <xf numFmtId="0" fontId="1" fillId="77" borderId="0" applyNumberFormat="0" applyBorder="0" applyAlignment="0" applyProtection="0"/>
    <xf numFmtId="0" fontId="1" fillId="80" borderId="0" applyNumberFormat="0" applyBorder="0" applyAlignment="0" applyProtection="0"/>
    <xf numFmtId="0" fontId="1" fillId="81" borderId="0" applyNumberFormat="0" applyBorder="0" applyAlignment="0" applyProtection="0"/>
    <xf numFmtId="0" fontId="1" fillId="58" borderId="104" applyNumberFormat="0" applyFont="0" applyAlignment="0" applyProtection="0"/>
    <xf numFmtId="0" fontId="1" fillId="60" borderId="0" applyNumberFormat="0" applyBorder="0" applyAlignment="0" applyProtection="0"/>
    <xf numFmtId="0" fontId="1" fillId="61" borderId="0" applyNumberFormat="0" applyBorder="0" applyAlignment="0" applyProtection="0"/>
    <xf numFmtId="0" fontId="1" fillId="64" borderId="0" applyNumberFormat="0" applyBorder="0" applyAlignment="0" applyProtection="0"/>
    <xf numFmtId="0" fontId="1" fillId="68" borderId="0" applyNumberFormat="0" applyBorder="0" applyAlignment="0" applyProtection="0"/>
    <xf numFmtId="0" fontId="1" fillId="69" borderId="0" applyNumberFormat="0" applyBorder="0" applyAlignment="0" applyProtection="0"/>
    <xf numFmtId="0" fontId="1" fillId="72" borderId="0" applyNumberFormat="0" applyBorder="0" applyAlignment="0" applyProtection="0"/>
    <xf numFmtId="0" fontId="1" fillId="73" borderId="0" applyNumberFormat="0" applyBorder="0" applyAlignment="0" applyProtection="0"/>
    <xf numFmtId="0" fontId="1" fillId="77" borderId="0" applyNumberFormat="0" applyBorder="0" applyAlignment="0" applyProtection="0"/>
    <xf numFmtId="0" fontId="1" fillId="80" borderId="0" applyNumberFormat="0" applyBorder="0" applyAlignment="0" applyProtection="0"/>
    <xf numFmtId="0" fontId="1" fillId="81" borderId="0" applyNumberFormat="0" applyBorder="0" applyAlignment="0" applyProtection="0"/>
    <xf numFmtId="0" fontId="1" fillId="58" borderId="104" applyNumberFormat="0" applyFont="0" applyAlignment="0" applyProtection="0"/>
    <xf numFmtId="0" fontId="1" fillId="58" borderId="104" applyNumberFormat="0" applyFont="0" applyAlignment="0" applyProtection="0"/>
    <xf numFmtId="0" fontId="1" fillId="60" borderId="0" applyNumberFormat="0" applyBorder="0" applyAlignment="0" applyProtection="0"/>
    <xf numFmtId="0" fontId="1" fillId="61" borderId="0" applyNumberFormat="0" applyBorder="0" applyAlignment="0" applyProtection="0"/>
    <xf numFmtId="0" fontId="1" fillId="64" borderId="0" applyNumberFormat="0" applyBorder="0" applyAlignment="0" applyProtection="0"/>
    <xf numFmtId="0" fontId="1" fillId="68" borderId="0" applyNumberFormat="0" applyBorder="0" applyAlignment="0" applyProtection="0"/>
    <xf numFmtId="0" fontId="1" fillId="69" borderId="0" applyNumberFormat="0" applyBorder="0" applyAlignment="0" applyProtection="0"/>
    <xf numFmtId="0" fontId="1" fillId="72" borderId="0" applyNumberFormat="0" applyBorder="0" applyAlignment="0" applyProtection="0"/>
    <xf numFmtId="0" fontId="1" fillId="73" borderId="0" applyNumberFormat="0" applyBorder="0" applyAlignment="0" applyProtection="0"/>
    <xf numFmtId="0" fontId="1" fillId="77" borderId="0" applyNumberFormat="0" applyBorder="0" applyAlignment="0" applyProtection="0"/>
    <xf numFmtId="0" fontId="1" fillId="80" borderId="0" applyNumberFormat="0" applyBorder="0" applyAlignment="0" applyProtection="0"/>
    <xf numFmtId="0" fontId="1" fillId="81" borderId="0" applyNumberFormat="0" applyBorder="0" applyAlignment="0" applyProtection="0"/>
    <xf numFmtId="0" fontId="1" fillId="60" borderId="0" applyNumberFormat="0" applyBorder="0" applyAlignment="0" applyProtection="0"/>
    <xf numFmtId="0" fontId="1" fillId="61" borderId="0" applyNumberFormat="0" applyBorder="0" applyAlignment="0" applyProtection="0"/>
    <xf numFmtId="0" fontId="1" fillId="64" borderId="0" applyNumberFormat="0" applyBorder="0" applyAlignment="0" applyProtection="0"/>
    <xf numFmtId="0" fontId="1" fillId="68" borderId="0" applyNumberFormat="0" applyBorder="0" applyAlignment="0" applyProtection="0"/>
    <xf numFmtId="0" fontId="1" fillId="69" borderId="0" applyNumberFormat="0" applyBorder="0" applyAlignment="0" applyProtection="0"/>
    <xf numFmtId="0" fontId="1" fillId="72" borderId="0" applyNumberFormat="0" applyBorder="0" applyAlignment="0" applyProtection="0"/>
    <xf numFmtId="0" fontId="1" fillId="73" borderId="0" applyNumberFormat="0" applyBorder="0" applyAlignment="0" applyProtection="0"/>
    <xf numFmtId="0" fontId="1" fillId="77" borderId="0" applyNumberFormat="0" applyBorder="0" applyAlignment="0" applyProtection="0"/>
    <xf numFmtId="0" fontId="1" fillId="80" borderId="0" applyNumberFormat="0" applyBorder="0" applyAlignment="0" applyProtection="0"/>
    <xf numFmtId="0" fontId="1" fillId="81" borderId="0" applyNumberFormat="0" applyBorder="0" applyAlignment="0" applyProtection="0"/>
    <xf numFmtId="0" fontId="1" fillId="58" borderId="104" applyNumberFormat="0" applyFont="0" applyAlignment="0" applyProtection="0"/>
    <xf numFmtId="0" fontId="1" fillId="60" borderId="0" applyNumberFormat="0" applyBorder="0" applyAlignment="0" applyProtection="0"/>
    <xf numFmtId="0" fontId="1" fillId="61" borderId="0" applyNumberFormat="0" applyBorder="0" applyAlignment="0" applyProtection="0"/>
    <xf numFmtId="0" fontId="1" fillId="64" borderId="0" applyNumberFormat="0" applyBorder="0" applyAlignment="0" applyProtection="0"/>
    <xf numFmtId="0" fontId="1" fillId="68" borderId="0" applyNumberFormat="0" applyBorder="0" applyAlignment="0" applyProtection="0"/>
    <xf numFmtId="0" fontId="1" fillId="69" borderId="0" applyNumberFormat="0" applyBorder="0" applyAlignment="0" applyProtection="0"/>
    <xf numFmtId="0" fontId="1" fillId="72" borderId="0" applyNumberFormat="0" applyBorder="0" applyAlignment="0" applyProtection="0"/>
    <xf numFmtId="0" fontId="1" fillId="73" borderId="0" applyNumberFormat="0" applyBorder="0" applyAlignment="0" applyProtection="0"/>
    <xf numFmtId="0" fontId="1" fillId="77" borderId="0" applyNumberFormat="0" applyBorder="0" applyAlignment="0" applyProtection="0"/>
    <xf numFmtId="0" fontId="1" fillId="80" borderId="0" applyNumberFormat="0" applyBorder="0" applyAlignment="0" applyProtection="0"/>
    <xf numFmtId="0" fontId="1" fillId="81" borderId="0" applyNumberFormat="0" applyBorder="0" applyAlignment="0" applyProtection="0"/>
    <xf numFmtId="0" fontId="1" fillId="58" borderId="104" applyNumberFormat="0" applyFont="0" applyAlignment="0" applyProtection="0"/>
    <xf numFmtId="0" fontId="1" fillId="58" borderId="104" applyNumberFormat="0" applyFont="0" applyAlignment="0" applyProtection="0"/>
    <xf numFmtId="0" fontId="1" fillId="60" borderId="0" applyNumberFormat="0" applyBorder="0" applyAlignment="0" applyProtection="0"/>
    <xf numFmtId="0" fontId="1" fillId="61" borderId="0" applyNumberFormat="0" applyBorder="0" applyAlignment="0" applyProtection="0"/>
    <xf numFmtId="0" fontId="1" fillId="64" borderId="0" applyNumberFormat="0" applyBorder="0" applyAlignment="0" applyProtection="0"/>
    <xf numFmtId="0" fontId="1" fillId="68" borderId="0" applyNumberFormat="0" applyBorder="0" applyAlignment="0" applyProtection="0"/>
    <xf numFmtId="0" fontId="1" fillId="69" borderId="0" applyNumberFormat="0" applyBorder="0" applyAlignment="0" applyProtection="0"/>
    <xf numFmtId="0" fontId="1" fillId="72" borderId="0" applyNumberFormat="0" applyBorder="0" applyAlignment="0" applyProtection="0"/>
    <xf numFmtId="0" fontId="1" fillId="73" borderId="0" applyNumberFormat="0" applyBorder="0" applyAlignment="0" applyProtection="0"/>
    <xf numFmtId="0" fontId="1" fillId="77" borderId="0" applyNumberFormat="0" applyBorder="0" applyAlignment="0" applyProtection="0"/>
    <xf numFmtId="0" fontId="1" fillId="80" borderId="0" applyNumberFormat="0" applyBorder="0" applyAlignment="0" applyProtection="0"/>
    <xf numFmtId="0" fontId="1" fillId="81" borderId="0" applyNumberFormat="0" applyBorder="0" applyAlignment="0" applyProtection="0"/>
    <xf numFmtId="0" fontId="1" fillId="60" borderId="0" applyNumberFormat="0" applyBorder="0" applyAlignment="0" applyProtection="0"/>
    <xf numFmtId="0" fontId="1" fillId="61" borderId="0" applyNumberFormat="0" applyBorder="0" applyAlignment="0" applyProtection="0"/>
    <xf numFmtId="0" fontId="1" fillId="64" borderId="0" applyNumberFormat="0" applyBorder="0" applyAlignment="0" applyProtection="0"/>
    <xf numFmtId="0" fontId="1" fillId="68" borderId="0" applyNumberFormat="0" applyBorder="0" applyAlignment="0" applyProtection="0"/>
    <xf numFmtId="0" fontId="1" fillId="69" borderId="0" applyNumberFormat="0" applyBorder="0" applyAlignment="0" applyProtection="0"/>
    <xf numFmtId="0" fontId="1" fillId="72" borderId="0" applyNumberFormat="0" applyBorder="0" applyAlignment="0" applyProtection="0"/>
    <xf numFmtId="0" fontId="1" fillId="73" borderId="0" applyNumberFormat="0" applyBorder="0" applyAlignment="0" applyProtection="0"/>
    <xf numFmtId="0" fontId="1" fillId="77" borderId="0" applyNumberFormat="0" applyBorder="0" applyAlignment="0" applyProtection="0"/>
    <xf numFmtId="0" fontId="1" fillId="80" borderId="0" applyNumberFormat="0" applyBorder="0" applyAlignment="0" applyProtection="0"/>
    <xf numFmtId="0" fontId="1" fillId="81" borderId="0" applyNumberFormat="0" applyBorder="0" applyAlignment="0" applyProtection="0"/>
    <xf numFmtId="0" fontId="1" fillId="58" borderId="104" applyNumberFormat="0" applyFont="0" applyAlignment="0" applyProtection="0"/>
    <xf numFmtId="0" fontId="1" fillId="60" borderId="0" applyNumberFormat="0" applyBorder="0" applyAlignment="0" applyProtection="0"/>
    <xf numFmtId="0" fontId="1" fillId="61" borderId="0" applyNumberFormat="0" applyBorder="0" applyAlignment="0" applyProtection="0"/>
    <xf numFmtId="0" fontId="1" fillId="64" borderId="0" applyNumberFormat="0" applyBorder="0" applyAlignment="0" applyProtection="0"/>
    <xf numFmtId="0" fontId="1" fillId="68" borderId="0" applyNumberFormat="0" applyBorder="0" applyAlignment="0" applyProtection="0"/>
    <xf numFmtId="0" fontId="1" fillId="69" borderId="0" applyNumberFormat="0" applyBorder="0" applyAlignment="0" applyProtection="0"/>
    <xf numFmtId="0" fontId="1" fillId="72" borderId="0" applyNumberFormat="0" applyBorder="0" applyAlignment="0" applyProtection="0"/>
    <xf numFmtId="0" fontId="1" fillId="73" borderId="0" applyNumberFormat="0" applyBorder="0" applyAlignment="0" applyProtection="0"/>
    <xf numFmtId="0" fontId="1" fillId="77" borderId="0" applyNumberFormat="0" applyBorder="0" applyAlignment="0" applyProtection="0"/>
    <xf numFmtId="0" fontId="1" fillId="80" borderId="0" applyNumberFormat="0" applyBorder="0" applyAlignment="0" applyProtection="0"/>
    <xf numFmtId="0" fontId="1" fillId="81" borderId="0" applyNumberFormat="0" applyBorder="0" applyAlignment="0" applyProtection="0"/>
    <xf numFmtId="0" fontId="1" fillId="58" borderId="104" applyNumberFormat="0" applyFont="0" applyAlignment="0" applyProtection="0"/>
    <xf numFmtId="0" fontId="1" fillId="58" borderId="104" applyNumberFormat="0" applyFont="0" applyAlignment="0" applyProtection="0"/>
    <xf numFmtId="0" fontId="1" fillId="60" borderId="0" applyNumberFormat="0" applyBorder="0" applyAlignment="0" applyProtection="0"/>
    <xf numFmtId="0" fontId="1" fillId="61" borderId="0" applyNumberFormat="0" applyBorder="0" applyAlignment="0" applyProtection="0"/>
    <xf numFmtId="0" fontId="1" fillId="64" borderId="0" applyNumberFormat="0" applyBorder="0" applyAlignment="0" applyProtection="0"/>
    <xf numFmtId="0" fontId="1" fillId="68" borderId="0" applyNumberFormat="0" applyBorder="0" applyAlignment="0" applyProtection="0"/>
    <xf numFmtId="0" fontId="1" fillId="69" borderId="0" applyNumberFormat="0" applyBorder="0" applyAlignment="0" applyProtection="0"/>
    <xf numFmtId="0" fontId="1" fillId="72" borderId="0" applyNumberFormat="0" applyBorder="0" applyAlignment="0" applyProtection="0"/>
    <xf numFmtId="0" fontId="1" fillId="73" borderId="0" applyNumberFormat="0" applyBorder="0" applyAlignment="0" applyProtection="0"/>
    <xf numFmtId="0" fontId="1" fillId="77" borderId="0" applyNumberFormat="0" applyBorder="0" applyAlignment="0" applyProtection="0"/>
    <xf numFmtId="0" fontId="1" fillId="80" borderId="0" applyNumberFormat="0" applyBorder="0" applyAlignment="0" applyProtection="0"/>
    <xf numFmtId="0" fontId="1" fillId="81" borderId="0" applyNumberFormat="0" applyBorder="0" applyAlignment="0" applyProtection="0"/>
    <xf numFmtId="0" fontId="1" fillId="60" borderId="0" applyNumberFormat="0" applyBorder="0" applyAlignment="0" applyProtection="0"/>
    <xf numFmtId="0" fontId="1" fillId="61" borderId="0" applyNumberFormat="0" applyBorder="0" applyAlignment="0" applyProtection="0"/>
    <xf numFmtId="0" fontId="1" fillId="64" borderId="0" applyNumberFormat="0" applyBorder="0" applyAlignment="0" applyProtection="0"/>
    <xf numFmtId="0" fontId="1" fillId="68" borderId="0" applyNumberFormat="0" applyBorder="0" applyAlignment="0" applyProtection="0"/>
    <xf numFmtId="0" fontId="1" fillId="69" borderId="0" applyNumberFormat="0" applyBorder="0" applyAlignment="0" applyProtection="0"/>
    <xf numFmtId="0" fontId="1" fillId="72" borderId="0" applyNumberFormat="0" applyBorder="0" applyAlignment="0" applyProtection="0"/>
    <xf numFmtId="0" fontId="1" fillId="73" borderId="0" applyNumberFormat="0" applyBorder="0" applyAlignment="0" applyProtection="0"/>
    <xf numFmtId="0" fontId="1" fillId="77" borderId="0" applyNumberFormat="0" applyBorder="0" applyAlignment="0" applyProtection="0"/>
    <xf numFmtId="0" fontId="1" fillId="80" borderId="0" applyNumberFormat="0" applyBorder="0" applyAlignment="0" applyProtection="0"/>
    <xf numFmtId="0" fontId="1" fillId="81" borderId="0" applyNumberFormat="0" applyBorder="0" applyAlignment="0" applyProtection="0"/>
    <xf numFmtId="0" fontId="1" fillId="58" borderId="104" applyNumberFormat="0" applyFont="0" applyAlignment="0" applyProtection="0"/>
    <xf numFmtId="0" fontId="1" fillId="60" borderId="0" applyNumberFormat="0" applyBorder="0" applyAlignment="0" applyProtection="0"/>
    <xf numFmtId="0" fontId="1" fillId="61" borderId="0" applyNumberFormat="0" applyBorder="0" applyAlignment="0" applyProtection="0"/>
    <xf numFmtId="0" fontId="1" fillId="64" borderId="0" applyNumberFormat="0" applyBorder="0" applyAlignment="0" applyProtection="0"/>
    <xf numFmtId="0" fontId="1" fillId="68" borderId="0" applyNumberFormat="0" applyBorder="0" applyAlignment="0" applyProtection="0"/>
    <xf numFmtId="0" fontId="1" fillId="69" borderId="0" applyNumberFormat="0" applyBorder="0" applyAlignment="0" applyProtection="0"/>
    <xf numFmtId="0" fontId="1" fillId="72" borderId="0" applyNumberFormat="0" applyBorder="0" applyAlignment="0" applyProtection="0"/>
    <xf numFmtId="0" fontId="1" fillId="73" borderId="0" applyNumberFormat="0" applyBorder="0" applyAlignment="0" applyProtection="0"/>
    <xf numFmtId="0" fontId="1" fillId="77" borderId="0" applyNumberFormat="0" applyBorder="0" applyAlignment="0" applyProtection="0"/>
    <xf numFmtId="0" fontId="1" fillId="80" borderId="0" applyNumberFormat="0" applyBorder="0" applyAlignment="0" applyProtection="0"/>
    <xf numFmtId="0" fontId="1" fillId="81" borderId="0" applyNumberFormat="0" applyBorder="0" applyAlignment="0" applyProtection="0"/>
    <xf numFmtId="0" fontId="1" fillId="58" borderId="104" applyNumberFormat="0" applyFont="0" applyAlignment="0" applyProtection="0"/>
    <xf numFmtId="0" fontId="1" fillId="58" borderId="104" applyNumberFormat="0" applyFont="0" applyAlignment="0" applyProtection="0"/>
    <xf numFmtId="0" fontId="1" fillId="60" borderId="0" applyNumberFormat="0" applyBorder="0" applyAlignment="0" applyProtection="0"/>
    <xf numFmtId="0" fontId="1" fillId="61" borderId="0" applyNumberFormat="0" applyBorder="0" applyAlignment="0" applyProtection="0"/>
    <xf numFmtId="0" fontId="1" fillId="64" borderId="0" applyNumberFormat="0" applyBorder="0" applyAlignment="0" applyProtection="0"/>
    <xf numFmtId="0" fontId="1" fillId="68" borderId="0" applyNumberFormat="0" applyBorder="0" applyAlignment="0" applyProtection="0"/>
    <xf numFmtId="0" fontId="1" fillId="69" borderId="0" applyNumberFormat="0" applyBorder="0" applyAlignment="0" applyProtection="0"/>
    <xf numFmtId="0" fontId="1" fillId="72" borderId="0" applyNumberFormat="0" applyBorder="0" applyAlignment="0" applyProtection="0"/>
    <xf numFmtId="0" fontId="1" fillId="73" borderId="0" applyNumberFormat="0" applyBorder="0" applyAlignment="0" applyProtection="0"/>
    <xf numFmtId="0" fontId="1" fillId="77" borderId="0" applyNumberFormat="0" applyBorder="0" applyAlignment="0" applyProtection="0"/>
    <xf numFmtId="0" fontId="1" fillId="80" borderId="0" applyNumberFormat="0" applyBorder="0" applyAlignment="0" applyProtection="0"/>
    <xf numFmtId="0" fontId="1" fillId="81" borderId="0" applyNumberFormat="0" applyBorder="0" applyAlignment="0" applyProtection="0"/>
    <xf numFmtId="0" fontId="1" fillId="60" borderId="0" applyNumberFormat="0" applyBorder="0" applyAlignment="0" applyProtection="0"/>
    <xf numFmtId="0" fontId="1" fillId="61" borderId="0" applyNumberFormat="0" applyBorder="0" applyAlignment="0" applyProtection="0"/>
    <xf numFmtId="0" fontId="1" fillId="64" borderId="0" applyNumberFormat="0" applyBorder="0" applyAlignment="0" applyProtection="0"/>
    <xf numFmtId="0" fontId="1" fillId="68" borderId="0" applyNumberFormat="0" applyBorder="0" applyAlignment="0" applyProtection="0"/>
    <xf numFmtId="0" fontId="1" fillId="69" borderId="0" applyNumberFormat="0" applyBorder="0" applyAlignment="0" applyProtection="0"/>
    <xf numFmtId="0" fontId="1" fillId="72" borderId="0" applyNumberFormat="0" applyBorder="0" applyAlignment="0" applyProtection="0"/>
    <xf numFmtId="0" fontId="1" fillId="73" borderId="0" applyNumberFormat="0" applyBorder="0" applyAlignment="0" applyProtection="0"/>
    <xf numFmtId="0" fontId="1" fillId="77" borderId="0" applyNumberFormat="0" applyBorder="0" applyAlignment="0" applyProtection="0"/>
    <xf numFmtId="0" fontId="1" fillId="80" borderId="0" applyNumberFormat="0" applyBorder="0" applyAlignment="0" applyProtection="0"/>
    <xf numFmtId="0" fontId="1" fillId="81" borderId="0" applyNumberFormat="0" applyBorder="0" applyAlignment="0" applyProtection="0"/>
    <xf numFmtId="0" fontId="1" fillId="58" borderId="104" applyNumberFormat="0" applyFont="0" applyAlignment="0" applyProtection="0"/>
    <xf numFmtId="0" fontId="1" fillId="60" borderId="0" applyNumberFormat="0" applyBorder="0" applyAlignment="0" applyProtection="0"/>
    <xf numFmtId="0" fontId="1" fillId="61" borderId="0" applyNumberFormat="0" applyBorder="0" applyAlignment="0" applyProtection="0"/>
    <xf numFmtId="0" fontId="1" fillId="64" borderId="0" applyNumberFormat="0" applyBorder="0" applyAlignment="0" applyProtection="0"/>
    <xf numFmtId="0" fontId="1" fillId="68" borderId="0" applyNumberFormat="0" applyBorder="0" applyAlignment="0" applyProtection="0"/>
    <xf numFmtId="0" fontId="1" fillId="69" borderId="0" applyNumberFormat="0" applyBorder="0" applyAlignment="0" applyProtection="0"/>
    <xf numFmtId="0" fontId="1" fillId="72" borderId="0" applyNumberFormat="0" applyBorder="0" applyAlignment="0" applyProtection="0"/>
    <xf numFmtId="0" fontId="1" fillId="73" borderId="0" applyNumberFormat="0" applyBorder="0" applyAlignment="0" applyProtection="0"/>
    <xf numFmtId="0" fontId="1" fillId="77" borderId="0" applyNumberFormat="0" applyBorder="0" applyAlignment="0" applyProtection="0"/>
    <xf numFmtId="0" fontId="1" fillId="80" borderId="0" applyNumberFormat="0" applyBorder="0" applyAlignment="0" applyProtection="0"/>
    <xf numFmtId="0" fontId="1" fillId="81" borderId="0" applyNumberFormat="0" applyBorder="0" applyAlignment="0" applyProtection="0"/>
    <xf numFmtId="0" fontId="1" fillId="58" borderId="104" applyNumberFormat="0" applyFont="0" applyAlignment="0" applyProtection="0"/>
    <xf numFmtId="0" fontId="1" fillId="58" borderId="104" applyNumberFormat="0" applyFont="0" applyAlignment="0" applyProtection="0"/>
    <xf numFmtId="0" fontId="1" fillId="60" borderId="0" applyNumberFormat="0" applyBorder="0" applyAlignment="0" applyProtection="0"/>
    <xf numFmtId="0" fontId="1" fillId="61" borderId="0" applyNumberFormat="0" applyBorder="0" applyAlignment="0" applyProtection="0"/>
    <xf numFmtId="0" fontId="1" fillId="64" borderId="0" applyNumberFormat="0" applyBorder="0" applyAlignment="0" applyProtection="0"/>
    <xf numFmtId="0" fontId="1" fillId="68" borderId="0" applyNumberFormat="0" applyBorder="0" applyAlignment="0" applyProtection="0"/>
    <xf numFmtId="0" fontId="1" fillId="69" borderId="0" applyNumberFormat="0" applyBorder="0" applyAlignment="0" applyProtection="0"/>
    <xf numFmtId="0" fontId="1" fillId="72" borderId="0" applyNumberFormat="0" applyBorder="0" applyAlignment="0" applyProtection="0"/>
    <xf numFmtId="0" fontId="1" fillId="73" borderId="0" applyNumberFormat="0" applyBorder="0" applyAlignment="0" applyProtection="0"/>
    <xf numFmtId="0" fontId="1" fillId="77" borderId="0" applyNumberFormat="0" applyBorder="0" applyAlignment="0" applyProtection="0"/>
    <xf numFmtId="0" fontId="1" fillId="80" borderId="0" applyNumberFormat="0" applyBorder="0" applyAlignment="0" applyProtection="0"/>
    <xf numFmtId="0" fontId="1" fillId="81" borderId="0" applyNumberFormat="0" applyBorder="0" applyAlignment="0" applyProtection="0"/>
    <xf numFmtId="0" fontId="1" fillId="60" borderId="0" applyNumberFormat="0" applyBorder="0" applyAlignment="0" applyProtection="0"/>
    <xf numFmtId="0" fontId="1" fillId="61" borderId="0" applyNumberFormat="0" applyBorder="0" applyAlignment="0" applyProtection="0"/>
    <xf numFmtId="0" fontId="1" fillId="64" borderId="0" applyNumberFormat="0" applyBorder="0" applyAlignment="0" applyProtection="0"/>
    <xf numFmtId="0" fontId="1" fillId="68" borderId="0" applyNumberFormat="0" applyBorder="0" applyAlignment="0" applyProtection="0"/>
    <xf numFmtId="0" fontId="1" fillId="69" borderId="0" applyNumberFormat="0" applyBorder="0" applyAlignment="0" applyProtection="0"/>
    <xf numFmtId="0" fontId="1" fillId="72" borderId="0" applyNumberFormat="0" applyBorder="0" applyAlignment="0" applyProtection="0"/>
    <xf numFmtId="0" fontId="1" fillId="73" borderId="0" applyNumberFormat="0" applyBorder="0" applyAlignment="0" applyProtection="0"/>
    <xf numFmtId="0" fontId="1" fillId="77" borderId="0" applyNumberFormat="0" applyBorder="0" applyAlignment="0" applyProtection="0"/>
    <xf numFmtId="0" fontId="1" fillId="80" borderId="0" applyNumberFormat="0" applyBorder="0" applyAlignment="0" applyProtection="0"/>
    <xf numFmtId="0" fontId="1" fillId="81" borderId="0" applyNumberFormat="0" applyBorder="0" applyAlignment="0" applyProtection="0"/>
    <xf numFmtId="0" fontId="1" fillId="58" borderId="104" applyNumberFormat="0" applyFont="0" applyAlignment="0" applyProtection="0"/>
    <xf numFmtId="0" fontId="1" fillId="60" borderId="0" applyNumberFormat="0" applyBorder="0" applyAlignment="0" applyProtection="0"/>
    <xf numFmtId="0" fontId="1" fillId="60" borderId="0" applyNumberFormat="0" applyBorder="0" applyAlignment="0" applyProtection="0"/>
    <xf numFmtId="0" fontId="1" fillId="60" borderId="0" applyNumberFormat="0" applyBorder="0" applyAlignment="0" applyProtection="0"/>
    <xf numFmtId="0" fontId="1" fillId="60" borderId="0" applyNumberFormat="0" applyBorder="0" applyAlignment="0" applyProtection="0"/>
    <xf numFmtId="0" fontId="1" fillId="60" borderId="0" applyNumberFormat="0" applyBorder="0" applyAlignment="0" applyProtection="0"/>
    <xf numFmtId="0" fontId="1" fillId="60" borderId="0" applyNumberFormat="0" applyBorder="0" applyAlignment="0" applyProtection="0"/>
    <xf numFmtId="0" fontId="1" fillId="60" borderId="0" applyNumberFormat="0" applyBorder="0" applyAlignment="0" applyProtection="0"/>
    <xf numFmtId="0" fontId="1" fillId="60" borderId="0" applyNumberFormat="0" applyBorder="0" applyAlignment="0" applyProtection="0"/>
    <xf numFmtId="0" fontId="1" fillId="60" borderId="0" applyNumberFormat="0" applyBorder="0" applyAlignment="0" applyProtection="0"/>
    <xf numFmtId="0" fontId="1" fillId="64" borderId="0" applyNumberFormat="0" applyBorder="0" applyAlignment="0" applyProtection="0"/>
    <xf numFmtId="0" fontId="1" fillId="64" borderId="0" applyNumberFormat="0" applyBorder="0" applyAlignment="0" applyProtection="0"/>
    <xf numFmtId="0" fontId="1" fillId="64" borderId="0" applyNumberFormat="0" applyBorder="0" applyAlignment="0" applyProtection="0"/>
    <xf numFmtId="0" fontId="1" fillId="64" borderId="0" applyNumberFormat="0" applyBorder="0" applyAlignment="0" applyProtection="0"/>
    <xf numFmtId="0" fontId="1" fillId="64" borderId="0" applyNumberFormat="0" applyBorder="0" applyAlignment="0" applyProtection="0"/>
    <xf numFmtId="0" fontId="1" fillId="64" borderId="0" applyNumberFormat="0" applyBorder="0" applyAlignment="0" applyProtection="0"/>
    <xf numFmtId="0" fontId="1" fillId="64" borderId="0" applyNumberFormat="0" applyBorder="0" applyAlignment="0" applyProtection="0"/>
    <xf numFmtId="0" fontId="1" fillId="64" borderId="0" applyNumberFormat="0" applyBorder="0" applyAlignment="0" applyProtection="0"/>
    <xf numFmtId="0" fontId="1" fillId="64" borderId="0" applyNumberFormat="0" applyBorder="0" applyAlignment="0" applyProtection="0"/>
    <xf numFmtId="0" fontId="1" fillId="68" borderId="0" applyNumberFormat="0" applyBorder="0" applyAlignment="0" applyProtection="0"/>
    <xf numFmtId="0" fontId="1" fillId="68" borderId="0" applyNumberFormat="0" applyBorder="0" applyAlignment="0" applyProtection="0"/>
    <xf numFmtId="0" fontId="1" fillId="68" borderId="0" applyNumberFormat="0" applyBorder="0" applyAlignment="0" applyProtection="0"/>
    <xf numFmtId="0" fontId="1" fillId="68" borderId="0" applyNumberFormat="0" applyBorder="0" applyAlignment="0" applyProtection="0"/>
    <xf numFmtId="0" fontId="1" fillId="68" borderId="0" applyNumberFormat="0" applyBorder="0" applyAlignment="0" applyProtection="0"/>
    <xf numFmtId="0" fontId="1" fillId="68" borderId="0" applyNumberFormat="0" applyBorder="0" applyAlignment="0" applyProtection="0"/>
    <xf numFmtId="0" fontId="1" fillId="68" borderId="0" applyNumberFormat="0" applyBorder="0" applyAlignment="0" applyProtection="0"/>
    <xf numFmtId="0" fontId="1" fillId="68" borderId="0" applyNumberFormat="0" applyBorder="0" applyAlignment="0" applyProtection="0"/>
    <xf numFmtId="0" fontId="1" fillId="68" borderId="0" applyNumberFormat="0" applyBorder="0" applyAlignment="0" applyProtection="0"/>
    <xf numFmtId="0" fontId="1" fillId="72" borderId="0" applyNumberFormat="0" applyBorder="0" applyAlignment="0" applyProtection="0"/>
    <xf numFmtId="0" fontId="1" fillId="72" borderId="0" applyNumberFormat="0" applyBorder="0" applyAlignment="0" applyProtection="0"/>
    <xf numFmtId="0" fontId="1" fillId="72" borderId="0" applyNumberFormat="0" applyBorder="0" applyAlignment="0" applyProtection="0"/>
    <xf numFmtId="0" fontId="1" fillId="72" borderId="0" applyNumberFormat="0" applyBorder="0" applyAlignment="0" applyProtection="0"/>
    <xf numFmtId="0" fontId="1" fillId="72" borderId="0" applyNumberFormat="0" applyBorder="0" applyAlignment="0" applyProtection="0"/>
    <xf numFmtId="0" fontId="1" fillId="72" borderId="0" applyNumberFormat="0" applyBorder="0" applyAlignment="0" applyProtection="0"/>
    <xf numFmtId="0" fontId="1" fillId="72" borderId="0" applyNumberFormat="0" applyBorder="0" applyAlignment="0" applyProtection="0"/>
    <xf numFmtId="0" fontId="1" fillId="72" borderId="0" applyNumberFormat="0" applyBorder="0" applyAlignment="0" applyProtection="0"/>
    <xf numFmtId="0" fontId="1" fillId="72" borderId="0" applyNumberFormat="0" applyBorder="0" applyAlignment="0" applyProtection="0"/>
    <xf numFmtId="0" fontId="1" fillId="80" borderId="0" applyNumberFormat="0" applyBorder="0" applyAlignment="0" applyProtection="0"/>
    <xf numFmtId="0" fontId="1" fillId="80" borderId="0" applyNumberFormat="0" applyBorder="0" applyAlignment="0" applyProtection="0"/>
    <xf numFmtId="0" fontId="1" fillId="80" borderId="0" applyNumberFormat="0" applyBorder="0" applyAlignment="0" applyProtection="0"/>
    <xf numFmtId="0" fontId="1" fillId="80" borderId="0" applyNumberFormat="0" applyBorder="0" applyAlignment="0" applyProtection="0"/>
    <xf numFmtId="0" fontId="1" fillId="80" borderId="0" applyNumberFormat="0" applyBorder="0" applyAlignment="0" applyProtection="0"/>
    <xf numFmtId="0" fontId="1" fillId="80" borderId="0" applyNumberFormat="0" applyBorder="0" applyAlignment="0" applyProtection="0"/>
    <xf numFmtId="0" fontId="1" fillId="80" borderId="0" applyNumberFormat="0" applyBorder="0" applyAlignment="0" applyProtection="0"/>
    <xf numFmtId="0" fontId="1" fillId="80" borderId="0" applyNumberFormat="0" applyBorder="0" applyAlignment="0" applyProtection="0"/>
    <xf numFmtId="0" fontId="1" fillId="80" borderId="0" applyNumberFormat="0" applyBorder="0" applyAlignment="0" applyProtection="0"/>
    <xf numFmtId="0" fontId="1" fillId="61" borderId="0" applyNumberFormat="0" applyBorder="0" applyAlignment="0" applyProtection="0"/>
    <xf numFmtId="0" fontId="1" fillId="61" borderId="0" applyNumberFormat="0" applyBorder="0" applyAlignment="0" applyProtection="0"/>
    <xf numFmtId="0" fontId="1" fillId="61" borderId="0" applyNumberFormat="0" applyBorder="0" applyAlignment="0" applyProtection="0"/>
    <xf numFmtId="0" fontId="1" fillId="61" borderId="0" applyNumberFormat="0" applyBorder="0" applyAlignment="0" applyProtection="0"/>
    <xf numFmtId="0" fontId="1" fillId="61" borderId="0" applyNumberFormat="0" applyBorder="0" applyAlignment="0" applyProtection="0"/>
    <xf numFmtId="0" fontId="1" fillId="61" borderId="0" applyNumberFormat="0" applyBorder="0" applyAlignment="0" applyProtection="0"/>
    <xf numFmtId="0" fontId="1" fillId="61" borderId="0" applyNumberFormat="0" applyBorder="0" applyAlignment="0" applyProtection="0"/>
    <xf numFmtId="0" fontId="1" fillId="61" borderId="0" applyNumberFormat="0" applyBorder="0" applyAlignment="0" applyProtection="0"/>
    <xf numFmtId="0" fontId="1" fillId="61" borderId="0" applyNumberFormat="0" applyBorder="0" applyAlignment="0" applyProtection="0"/>
    <xf numFmtId="0" fontId="1" fillId="69" borderId="0" applyNumberFormat="0" applyBorder="0" applyAlignment="0" applyProtection="0"/>
    <xf numFmtId="0" fontId="1" fillId="69" borderId="0" applyNumberFormat="0" applyBorder="0" applyAlignment="0" applyProtection="0"/>
    <xf numFmtId="0" fontId="1" fillId="69" borderId="0" applyNumberFormat="0" applyBorder="0" applyAlignment="0" applyProtection="0"/>
    <xf numFmtId="0" fontId="1" fillId="69" borderId="0" applyNumberFormat="0" applyBorder="0" applyAlignment="0" applyProtection="0"/>
    <xf numFmtId="0" fontId="1" fillId="69" borderId="0" applyNumberFormat="0" applyBorder="0" applyAlignment="0" applyProtection="0"/>
    <xf numFmtId="0" fontId="1" fillId="69" borderId="0" applyNumberFormat="0" applyBorder="0" applyAlignment="0" applyProtection="0"/>
    <xf numFmtId="0" fontId="1" fillId="69" borderId="0" applyNumberFormat="0" applyBorder="0" applyAlignment="0" applyProtection="0"/>
    <xf numFmtId="0" fontId="1" fillId="69" borderId="0" applyNumberFormat="0" applyBorder="0" applyAlignment="0" applyProtection="0"/>
    <xf numFmtId="0" fontId="1" fillId="69" borderId="0" applyNumberFormat="0" applyBorder="0" applyAlignment="0" applyProtection="0"/>
    <xf numFmtId="0" fontId="1" fillId="73" borderId="0" applyNumberFormat="0" applyBorder="0" applyAlignment="0" applyProtection="0"/>
    <xf numFmtId="0" fontId="1" fillId="73" borderId="0" applyNumberFormat="0" applyBorder="0" applyAlignment="0" applyProtection="0"/>
    <xf numFmtId="0" fontId="1" fillId="73" borderId="0" applyNumberFormat="0" applyBorder="0" applyAlignment="0" applyProtection="0"/>
    <xf numFmtId="0" fontId="1" fillId="73" borderId="0" applyNumberFormat="0" applyBorder="0" applyAlignment="0" applyProtection="0"/>
    <xf numFmtId="0" fontId="1" fillId="73" borderId="0" applyNumberFormat="0" applyBorder="0" applyAlignment="0" applyProtection="0"/>
    <xf numFmtId="0" fontId="1" fillId="73" borderId="0" applyNumberFormat="0" applyBorder="0" applyAlignment="0" applyProtection="0"/>
    <xf numFmtId="0" fontId="1" fillId="73" borderId="0" applyNumberFormat="0" applyBorder="0" applyAlignment="0" applyProtection="0"/>
    <xf numFmtId="0" fontId="1" fillId="73" borderId="0" applyNumberFormat="0" applyBorder="0" applyAlignment="0" applyProtection="0"/>
    <xf numFmtId="0" fontId="1" fillId="73" borderId="0" applyNumberFormat="0" applyBorder="0" applyAlignment="0" applyProtection="0"/>
    <xf numFmtId="0" fontId="1" fillId="77" borderId="0" applyNumberFormat="0" applyBorder="0" applyAlignment="0" applyProtection="0"/>
    <xf numFmtId="0" fontId="1" fillId="77" borderId="0" applyNumberFormat="0" applyBorder="0" applyAlignment="0" applyProtection="0"/>
    <xf numFmtId="0" fontId="1" fillId="77" borderId="0" applyNumberFormat="0" applyBorder="0" applyAlignment="0" applyProtection="0"/>
    <xf numFmtId="0" fontId="1" fillId="77" borderId="0" applyNumberFormat="0" applyBorder="0" applyAlignment="0" applyProtection="0"/>
    <xf numFmtId="0" fontId="1" fillId="77" borderId="0" applyNumberFormat="0" applyBorder="0" applyAlignment="0" applyProtection="0"/>
    <xf numFmtId="0" fontId="1" fillId="77" borderId="0" applyNumberFormat="0" applyBorder="0" applyAlignment="0" applyProtection="0"/>
    <xf numFmtId="0" fontId="1" fillId="77" borderId="0" applyNumberFormat="0" applyBorder="0" applyAlignment="0" applyProtection="0"/>
    <xf numFmtId="0" fontId="1" fillId="77" borderId="0" applyNumberFormat="0" applyBorder="0" applyAlignment="0" applyProtection="0"/>
    <xf numFmtId="0" fontId="1" fillId="77" borderId="0" applyNumberFormat="0" applyBorder="0" applyAlignment="0" applyProtection="0"/>
    <xf numFmtId="0" fontId="1" fillId="81" borderId="0" applyNumberFormat="0" applyBorder="0" applyAlignment="0" applyProtection="0"/>
    <xf numFmtId="0" fontId="1" fillId="81" borderId="0" applyNumberFormat="0" applyBorder="0" applyAlignment="0" applyProtection="0"/>
    <xf numFmtId="0" fontId="1" fillId="81" borderId="0" applyNumberFormat="0" applyBorder="0" applyAlignment="0" applyProtection="0"/>
    <xf numFmtId="0" fontId="1" fillId="81" borderId="0" applyNumberFormat="0" applyBorder="0" applyAlignment="0" applyProtection="0"/>
    <xf numFmtId="0" fontId="1" fillId="81" borderId="0" applyNumberFormat="0" applyBorder="0" applyAlignment="0" applyProtection="0"/>
    <xf numFmtId="0" fontId="1" fillId="81" borderId="0" applyNumberFormat="0" applyBorder="0" applyAlignment="0" applyProtection="0"/>
    <xf numFmtId="0" fontId="1" fillId="81" borderId="0" applyNumberFormat="0" applyBorder="0" applyAlignment="0" applyProtection="0"/>
    <xf numFmtId="0" fontId="1" fillId="81" borderId="0" applyNumberFormat="0" applyBorder="0" applyAlignment="0" applyProtection="0"/>
    <xf numFmtId="0" fontId="1" fillId="81" borderId="0" applyNumberFormat="0" applyBorder="0" applyAlignment="0" applyProtection="0"/>
    <xf numFmtId="0" fontId="107" fillId="70" borderId="0" applyNumberFormat="0" applyBorder="0" applyAlignment="0" applyProtection="0"/>
    <xf numFmtId="0" fontId="107" fillId="74" borderId="0" applyNumberFormat="0" applyBorder="0" applyAlignment="0" applyProtection="0"/>
    <xf numFmtId="0" fontId="107" fillId="82" borderId="0" applyNumberFormat="0" applyBorder="0" applyAlignment="0" applyProtection="0"/>
    <xf numFmtId="0" fontId="1" fillId="58" borderId="104" applyNumberFormat="0" applyFont="0" applyAlignment="0" applyProtection="0"/>
    <xf numFmtId="0" fontId="1" fillId="58" borderId="104" applyNumberFormat="0" applyFont="0" applyAlignment="0" applyProtection="0"/>
    <xf numFmtId="0" fontId="1" fillId="58" borderId="104" applyNumberFormat="0" applyFont="0" applyAlignment="0" applyProtection="0"/>
    <xf numFmtId="0" fontId="1" fillId="58" borderId="104" applyNumberFormat="0" applyFont="0" applyAlignment="0" applyProtection="0"/>
    <xf numFmtId="0" fontId="1" fillId="58" borderId="104" applyNumberFormat="0" applyFont="0" applyAlignment="0" applyProtection="0"/>
    <xf numFmtId="0" fontId="1" fillId="58" borderId="104" applyNumberFormat="0" applyFont="0" applyAlignment="0" applyProtection="0"/>
    <xf numFmtId="0" fontId="1" fillId="58" borderId="104" applyNumberFormat="0" applyFont="0" applyAlignment="0" applyProtection="0"/>
    <xf numFmtId="0" fontId="1" fillId="58" borderId="104" applyNumberFormat="0" applyFont="0" applyAlignment="0" applyProtection="0"/>
    <xf numFmtId="0" fontId="1" fillId="58" borderId="104" applyNumberFormat="0" applyFont="0" applyAlignment="0" applyProtection="0"/>
    <xf numFmtId="9" fontId="1" fillId="0" borderId="0" applyFont="0" applyFill="0" applyBorder="0" applyAlignment="0" applyProtection="0"/>
    <xf numFmtId="0" fontId="1" fillId="60" borderId="0" applyNumberFormat="0" applyBorder="0" applyAlignment="0" applyProtection="0"/>
    <xf numFmtId="0" fontId="1" fillId="61" borderId="0" applyNumberFormat="0" applyBorder="0" applyAlignment="0" applyProtection="0"/>
    <xf numFmtId="0" fontId="1" fillId="64" borderId="0" applyNumberFormat="0" applyBorder="0" applyAlignment="0" applyProtection="0"/>
    <xf numFmtId="0" fontId="1" fillId="68" borderId="0" applyNumberFormat="0" applyBorder="0" applyAlignment="0" applyProtection="0"/>
    <xf numFmtId="0" fontId="1" fillId="69" borderId="0" applyNumberFormat="0" applyBorder="0" applyAlignment="0" applyProtection="0"/>
    <xf numFmtId="0" fontId="1" fillId="72" borderId="0" applyNumberFormat="0" applyBorder="0" applyAlignment="0" applyProtection="0"/>
    <xf numFmtId="0" fontId="1" fillId="73" borderId="0" applyNumberFormat="0" applyBorder="0" applyAlignment="0" applyProtection="0"/>
    <xf numFmtId="0" fontId="1" fillId="77" borderId="0" applyNumberFormat="0" applyBorder="0" applyAlignment="0" applyProtection="0"/>
    <xf numFmtId="0" fontId="1" fillId="80" borderId="0" applyNumberFormat="0" applyBorder="0" applyAlignment="0" applyProtection="0"/>
    <xf numFmtId="0" fontId="1" fillId="81" borderId="0" applyNumberFormat="0" applyBorder="0" applyAlignment="0" applyProtection="0"/>
    <xf numFmtId="0" fontId="1" fillId="58" borderId="104" applyNumberFormat="0" applyFont="0" applyAlignment="0" applyProtection="0"/>
    <xf numFmtId="0" fontId="1" fillId="58" borderId="104" applyNumberFormat="0" applyFont="0" applyAlignment="0" applyProtection="0"/>
    <xf numFmtId="0" fontId="1" fillId="60" borderId="0" applyNumberFormat="0" applyBorder="0" applyAlignment="0" applyProtection="0"/>
    <xf numFmtId="0" fontId="1" fillId="61" borderId="0" applyNumberFormat="0" applyBorder="0" applyAlignment="0" applyProtection="0"/>
    <xf numFmtId="0" fontId="1" fillId="64" borderId="0" applyNumberFormat="0" applyBorder="0" applyAlignment="0" applyProtection="0"/>
    <xf numFmtId="0" fontId="1" fillId="68" borderId="0" applyNumberFormat="0" applyBorder="0" applyAlignment="0" applyProtection="0"/>
    <xf numFmtId="0" fontId="1" fillId="69" borderId="0" applyNumberFormat="0" applyBorder="0" applyAlignment="0" applyProtection="0"/>
    <xf numFmtId="0" fontId="1" fillId="72" borderId="0" applyNumberFormat="0" applyBorder="0" applyAlignment="0" applyProtection="0"/>
    <xf numFmtId="0" fontId="1" fillId="73" borderId="0" applyNumberFormat="0" applyBorder="0" applyAlignment="0" applyProtection="0"/>
    <xf numFmtId="0" fontId="1" fillId="77" borderId="0" applyNumberFormat="0" applyBorder="0" applyAlignment="0" applyProtection="0"/>
    <xf numFmtId="0" fontId="1" fillId="80" borderId="0" applyNumberFormat="0" applyBorder="0" applyAlignment="0" applyProtection="0"/>
    <xf numFmtId="0" fontId="1" fillId="81" borderId="0" applyNumberFormat="0" applyBorder="0" applyAlignment="0" applyProtection="0"/>
    <xf numFmtId="0" fontId="1" fillId="60" borderId="0" applyNumberFormat="0" applyBorder="0" applyAlignment="0" applyProtection="0"/>
    <xf numFmtId="0" fontId="1" fillId="61" borderId="0" applyNumberFormat="0" applyBorder="0" applyAlignment="0" applyProtection="0"/>
    <xf numFmtId="0" fontId="1" fillId="64" borderId="0" applyNumberFormat="0" applyBorder="0" applyAlignment="0" applyProtection="0"/>
    <xf numFmtId="0" fontId="1" fillId="68" borderId="0" applyNumberFormat="0" applyBorder="0" applyAlignment="0" applyProtection="0"/>
    <xf numFmtId="0" fontId="1" fillId="69" borderId="0" applyNumberFormat="0" applyBorder="0" applyAlignment="0" applyProtection="0"/>
    <xf numFmtId="0" fontId="1" fillId="72" borderId="0" applyNumberFormat="0" applyBorder="0" applyAlignment="0" applyProtection="0"/>
    <xf numFmtId="0" fontId="1" fillId="73" borderId="0" applyNumberFormat="0" applyBorder="0" applyAlignment="0" applyProtection="0"/>
    <xf numFmtId="0" fontId="1" fillId="77" borderId="0" applyNumberFormat="0" applyBorder="0" applyAlignment="0" applyProtection="0"/>
    <xf numFmtId="0" fontId="1" fillId="80" borderId="0" applyNumberFormat="0" applyBorder="0" applyAlignment="0" applyProtection="0"/>
    <xf numFmtId="0" fontId="1" fillId="81" borderId="0" applyNumberFormat="0" applyBorder="0" applyAlignment="0" applyProtection="0"/>
    <xf numFmtId="0" fontId="1" fillId="58" borderId="104" applyNumberFormat="0" applyFont="0" applyAlignment="0" applyProtection="0"/>
    <xf numFmtId="0" fontId="1" fillId="60" borderId="0" applyNumberFormat="0" applyBorder="0" applyAlignment="0" applyProtection="0"/>
    <xf numFmtId="0" fontId="1" fillId="61" borderId="0" applyNumberFormat="0" applyBorder="0" applyAlignment="0" applyProtection="0"/>
    <xf numFmtId="0" fontId="1" fillId="64" borderId="0" applyNumberFormat="0" applyBorder="0" applyAlignment="0" applyProtection="0"/>
    <xf numFmtId="0" fontId="1" fillId="68" borderId="0" applyNumberFormat="0" applyBorder="0" applyAlignment="0" applyProtection="0"/>
    <xf numFmtId="0" fontId="1" fillId="69" borderId="0" applyNumberFormat="0" applyBorder="0" applyAlignment="0" applyProtection="0"/>
    <xf numFmtId="0" fontId="1" fillId="72" borderId="0" applyNumberFormat="0" applyBorder="0" applyAlignment="0" applyProtection="0"/>
    <xf numFmtId="0" fontId="1" fillId="73" borderId="0" applyNumberFormat="0" applyBorder="0" applyAlignment="0" applyProtection="0"/>
    <xf numFmtId="0" fontId="1" fillId="77" borderId="0" applyNumberFormat="0" applyBorder="0" applyAlignment="0" applyProtection="0"/>
    <xf numFmtId="0" fontId="1" fillId="80" borderId="0" applyNumberFormat="0" applyBorder="0" applyAlignment="0" applyProtection="0"/>
    <xf numFmtId="0" fontId="1" fillId="81" borderId="0" applyNumberFormat="0" applyBorder="0" applyAlignment="0" applyProtection="0"/>
    <xf numFmtId="0" fontId="1" fillId="58" borderId="104" applyNumberFormat="0" applyFont="0" applyAlignment="0" applyProtection="0"/>
    <xf numFmtId="0" fontId="1" fillId="58" borderId="104" applyNumberFormat="0" applyFont="0" applyAlignment="0" applyProtection="0"/>
    <xf numFmtId="0" fontId="1" fillId="60" borderId="0" applyNumberFormat="0" applyBorder="0" applyAlignment="0" applyProtection="0"/>
    <xf numFmtId="0" fontId="1" fillId="61" borderId="0" applyNumberFormat="0" applyBorder="0" applyAlignment="0" applyProtection="0"/>
    <xf numFmtId="0" fontId="1" fillId="64" borderId="0" applyNumberFormat="0" applyBorder="0" applyAlignment="0" applyProtection="0"/>
    <xf numFmtId="0" fontId="1" fillId="68" borderId="0" applyNumberFormat="0" applyBorder="0" applyAlignment="0" applyProtection="0"/>
    <xf numFmtId="0" fontId="1" fillId="69" borderId="0" applyNumberFormat="0" applyBorder="0" applyAlignment="0" applyProtection="0"/>
    <xf numFmtId="0" fontId="1" fillId="72" borderId="0" applyNumberFormat="0" applyBorder="0" applyAlignment="0" applyProtection="0"/>
    <xf numFmtId="0" fontId="1" fillId="73" borderId="0" applyNumberFormat="0" applyBorder="0" applyAlignment="0" applyProtection="0"/>
    <xf numFmtId="0" fontId="1" fillId="77" borderId="0" applyNumberFormat="0" applyBorder="0" applyAlignment="0" applyProtection="0"/>
    <xf numFmtId="0" fontId="1" fillId="80" borderId="0" applyNumberFormat="0" applyBorder="0" applyAlignment="0" applyProtection="0"/>
    <xf numFmtId="0" fontId="1" fillId="81" borderId="0" applyNumberFormat="0" applyBorder="0" applyAlignment="0" applyProtection="0"/>
    <xf numFmtId="0" fontId="1" fillId="60" borderId="0" applyNumberFormat="0" applyBorder="0" applyAlignment="0" applyProtection="0"/>
    <xf numFmtId="0" fontId="1" fillId="61" borderId="0" applyNumberFormat="0" applyBorder="0" applyAlignment="0" applyProtection="0"/>
    <xf numFmtId="0" fontId="1" fillId="64" borderId="0" applyNumberFormat="0" applyBorder="0" applyAlignment="0" applyProtection="0"/>
    <xf numFmtId="0" fontId="1" fillId="68" borderId="0" applyNumberFormat="0" applyBorder="0" applyAlignment="0" applyProtection="0"/>
    <xf numFmtId="0" fontId="1" fillId="69" borderId="0" applyNumberFormat="0" applyBorder="0" applyAlignment="0" applyProtection="0"/>
    <xf numFmtId="0" fontId="1" fillId="72" borderId="0" applyNumberFormat="0" applyBorder="0" applyAlignment="0" applyProtection="0"/>
    <xf numFmtId="0" fontId="1" fillId="73" borderId="0" applyNumberFormat="0" applyBorder="0" applyAlignment="0" applyProtection="0"/>
    <xf numFmtId="0" fontId="1" fillId="77" borderId="0" applyNumberFormat="0" applyBorder="0" applyAlignment="0" applyProtection="0"/>
    <xf numFmtId="0" fontId="1" fillId="80" borderId="0" applyNumberFormat="0" applyBorder="0" applyAlignment="0" applyProtection="0"/>
    <xf numFmtId="0" fontId="1" fillId="81" borderId="0" applyNumberFormat="0" applyBorder="0" applyAlignment="0" applyProtection="0"/>
    <xf numFmtId="0" fontId="1" fillId="58" borderId="104" applyNumberFormat="0" applyFont="0" applyAlignment="0" applyProtection="0"/>
    <xf numFmtId="0" fontId="1" fillId="60" borderId="0" applyNumberFormat="0" applyBorder="0" applyAlignment="0" applyProtection="0"/>
    <xf numFmtId="0" fontId="1" fillId="61" borderId="0" applyNumberFormat="0" applyBorder="0" applyAlignment="0" applyProtection="0"/>
    <xf numFmtId="0" fontId="1" fillId="64" borderId="0" applyNumberFormat="0" applyBorder="0" applyAlignment="0" applyProtection="0"/>
    <xf numFmtId="0" fontId="1" fillId="68" borderId="0" applyNumberFormat="0" applyBorder="0" applyAlignment="0" applyProtection="0"/>
    <xf numFmtId="0" fontId="1" fillId="69" borderId="0" applyNumberFormat="0" applyBorder="0" applyAlignment="0" applyProtection="0"/>
    <xf numFmtId="0" fontId="1" fillId="72" borderId="0" applyNumberFormat="0" applyBorder="0" applyAlignment="0" applyProtection="0"/>
    <xf numFmtId="0" fontId="1" fillId="73" borderId="0" applyNumberFormat="0" applyBorder="0" applyAlignment="0" applyProtection="0"/>
    <xf numFmtId="0" fontId="1" fillId="77" borderId="0" applyNumberFormat="0" applyBorder="0" applyAlignment="0" applyProtection="0"/>
    <xf numFmtId="0" fontId="1" fillId="80" borderId="0" applyNumberFormat="0" applyBorder="0" applyAlignment="0" applyProtection="0"/>
    <xf numFmtId="0" fontId="1" fillId="81" borderId="0" applyNumberFormat="0" applyBorder="0" applyAlignment="0" applyProtection="0"/>
    <xf numFmtId="0" fontId="1" fillId="58" borderId="104" applyNumberFormat="0" applyFont="0" applyAlignment="0" applyProtection="0"/>
    <xf numFmtId="0" fontId="1" fillId="58" borderId="104" applyNumberFormat="0" applyFont="0" applyAlignment="0" applyProtection="0"/>
    <xf numFmtId="0" fontId="1" fillId="60" borderId="0" applyNumberFormat="0" applyBorder="0" applyAlignment="0" applyProtection="0"/>
    <xf numFmtId="0" fontId="1" fillId="61" borderId="0" applyNumberFormat="0" applyBorder="0" applyAlignment="0" applyProtection="0"/>
    <xf numFmtId="0" fontId="1" fillId="64" borderId="0" applyNumberFormat="0" applyBorder="0" applyAlignment="0" applyProtection="0"/>
    <xf numFmtId="0" fontId="1" fillId="68" borderId="0" applyNumberFormat="0" applyBorder="0" applyAlignment="0" applyProtection="0"/>
    <xf numFmtId="0" fontId="1" fillId="69" borderId="0" applyNumberFormat="0" applyBorder="0" applyAlignment="0" applyProtection="0"/>
    <xf numFmtId="0" fontId="1" fillId="72" borderId="0" applyNumberFormat="0" applyBorder="0" applyAlignment="0" applyProtection="0"/>
    <xf numFmtId="0" fontId="1" fillId="73" borderId="0" applyNumberFormat="0" applyBorder="0" applyAlignment="0" applyProtection="0"/>
    <xf numFmtId="0" fontId="1" fillId="77" borderId="0" applyNumberFormat="0" applyBorder="0" applyAlignment="0" applyProtection="0"/>
    <xf numFmtId="0" fontId="1" fillId="80" borderId="0" applyNumberFormat="0" applyBorder="0" applyAlignment="0" applyProtection="0"/>
    <xf numFmtId="0" fontId="1" fillId="81" borderId="0" applyNumberFormat="0" applyBorder="0" applyAlignment="0" applyProtection="0"/>
    <xf numFmtId="0" fontId="1" fillId="60" borderId="0" applyNumberFormat="0" applyBorder="0" applyAlignment="0" applyProtection="0"/>
    <xf numFmtId="0" fontId="1" fillId="61" borderId="0" applyNumberFormat="0" applyBorder="0" applyAlignment="0" applyProtection="0"/>
    <xf numFmtId="0" fontId="1" fillId="64" borderId="0" applyNumberFormat="0" applyBorder="0" applyAlignment="0" applyProtection="0"/>
    <xf numFmtId="0" fontId="1" fillId="68" borderId="0" applyNumberFormat="0" applyBorder="0" applyAlignment="0" applyProtection="0"/>
    <xf numFmtId="0" fontId="1" fillId="69" borderId="0" applyNumberFormat="0" applyBorder="0" applyAlignment="0" applyProtection="0"/>
    <xf numFmtId="0" fontId="1" fillId="72" borderId="0" applyNumberFormat="0" applyBorder="0" applyAlignment="0" applyProtection="0"/>
    <xf numFmtId="0" fontId="1" fillId="73" borderId="0" applyNumberFormat="0" applyBorder="0" applyAlignment="0" applyProtection="0"/>
    <xf numFmtId="0" fontId="1" fillId="77" borderId="0" applyNumberFormat="0" applyBorder="0" applyAlignment="0" applyProtection="0"/>
    <xf numFmtId="0" fontId="1" fillId="80" borderId="0" applyNumberFormat="0" applyBorder="0" applyAlignment="0" applyProtection="0"/>
    <xf numFmtId="0" fontId="1" fillId="81" borderId="0" applyNumberFormat="0" applyBorder="0" applyAlignment="0" applyProtection="0"/>
    <xf numFmtId="0" fontId="1" fillId="58" borderId="104" applyNumberFormat="0" applyFont="0" applyAlignment="0" applyProtection="0"/>
    <xf numFmtId="0" fontId="1" fillId="60" borderId="0" applyNumberFormat="0" applyBorder="0" applyAlignment="0" applyProtection="0"/>
    <xf numFmtId="0" fontId="1" fillId="61" borderId="0" applyNumberFormat="0" applyBorder="0" applyAlignment="0" applyProtection="0"/>
    <xf numFmtId="0" fontId="1" fillId="64" borderId="0" applyNumberFormat="0" applyBorder="0" applyAlignment="0" applyProtection="0"/>
    <xf numFmtId="0" fontId="1" fillId="68" borderId="0" applyNumberFormat="0" applyBorder="0" applyAlignment="0" applyProtection="0"/>
    <xf numFmtId="0" fontId="1" fillId="69" borderId="0" applyNumberFormat="0" applyBorder="0" applyAlignment="0" applyProtection="0"/>
    <xf numFmtId="0" fontId="1" fillId="72" borderId="0" applyNumberFormat="0" applyBorder="0" applyAlignment="0" applyProtection="0"/>
    <xf numFmtId="0" fontId="1" fillId="73" borderId="0" applyNumberFormat="0" applyBorder="0" applyAlignment="0" applyProtection="0"/>
    <xf numFmtId="0" fontId="1" fillId="77" borderId="0" applyNumberFormat="0" applyBorder="0" applyAlignment="0" applyProtection="0"/>
    <xf numFmtId="0" fontId="1" fillId="80" borderId="0" applyNumberFormat="0" applyBorder="0" applyAlignment="0" applyProtection="0"/>
    <xf numFmtId="0" fontId="1" fillId="81" borderId="0" applyNumberFormat="0" applyBorder="0" applyAlignment="0" applyProtection="0"/>
    <xf numFmtId="0" fontId="1" fillId="58" borderId="104" applyNumberFormat="0" applyFont="0" applyAlignment="0" applyProtection="0"/>
    <xf numFmtId="0" fontId="1" fillId="58" borderId="104" applyNumberFormat="0" applyFont="0" applyAlignment="0" applyProtection="0"/>
    <xf numFmtId="0" fontId="1" fillId="60" borderId="0" applyNumberFormat="0" applyBorder="0" applyAlignment="0" applyProtection="0"/>
    <xf numFmtId="0" fontId="1" fillId="61" borderId="0" applyNumberFormat="0" applyBorder="0" applyAlignment="0" applyProtection="0"/>
    <xf numFmtId="0" fontId="1" fillId="64" borderId="0" applyNumberFormat="0" applyBorder="0" applyAlignment="0" applyProtection="0"/>
    <xf numFmtId="0" fontId="1" fillId="68" borderId="0" applyNumberFormat="0" applyBorder="0" applyAlignment="0" applyProtection="0"/>
    <xf numFmtId="0" fontId="1" fillId="69" borderId="0" applyNumberFormat="0" applyBorder="0" applyAlignment="0" applyProtection="0"/>
    <xf numFmtId="0" fontId="1" fillId="72" borderId="0" applyNumberFormat="0" applyBorder="0" applyAlignment="0" applyProtection="0"/>
    <xf numFmtId="0" fontId="1" fillId="73" borderId="0" applyNumberFormat="0" applyBorder="0" applyAlignment="0" applyProtection="0"/>
    <xf numFmtId="0" fontId="1" fillId="77" borderId="0" applyNumberFormat="0" applyBorder="0" applyAlignment="0" applyProtection="0"/>
    <xf numFmtId="0" fontId="1" fillId="80" borderId="0" applyNumberFormat="0" applyBorder="0" applyAlignment="0" applyProtection="0"/>
    <xf numFmtId="0" fontId="1" fillId="81" borderId="0" applyNumberFormat="0" applyBorder="0" applyAlignment="0" applyProtection="0"/>
    <xf numFmtId="0" fontId="1" fillId="60" borderId="0" applyNumberFormat="0" applyBorder="0" applyAlignment="0" applyProtection="0"/>
    <xf numFmtId="0" fontId="1" fillId="61" borderId="0" applyNumberFormat="0" applyBorder="0" applyAlignment="0" applyProtection="0"/>
    <xf numFmtId="0" fontId="1" fillId="64" borderId="0" applyNumberFormat="0" applyBorder="0" applyAlignment="0" applyProtection="0"/>
    <xf numFmtId="0" fontId="1" fillId="68" borderId="0" applyNumberFormat="0" applyBorder="0" applyAlignment="0" applyProtection="0"/>
    <xf numFmtId="0" fontId="1" fillId="69" borderId="0" applyNumberFormat="0" applyBorder="0" applyAlignment="0" applyProtection="0"/>
    <xf numFmtId="0" fontId="1" fillId="72" borderId="0" applyNumberFormat="0" applyBorder="0" applyAlignment="0" applyProtection="0"/>
    <xf numFmtId="0" fontId="1" fillId="73" borderId="0" applyNumberFormat="0" applyBorder="0" applyAlignment="0" applyProtection="0"/>
    <xf numFmtId="0" fontId="1" fillId="77" borderId="0" applyNumberFormat="0" applyBorder="0" applyAlignment="0" applyProtection="0"/>
    <xf numFmtId="0" fontId="1" fillId="80" borderId="0" applyNumberFormat="0" applyBorder="0" applyAlignment="0" applyProtection="0"/>
    <xf numFmtId="0" fontId="1" fillId="81" borderId="0" applyNumberFormat="0" applyBorder="0" applyAlignment="0" applyProtection="0"/>
    <xf numFmtId="0" fontId="1" fillId="58" borderId="104" applyNumberFormat="0" applyFont="0" applyAlignment="0" applyProtection="0"/>
    <xf numFmtId="0" fontId="1" fillId="60" borderId="0" applyNumberFormat="0" applyBorder="0" applyAlignment="0" applyProtection="0"/>
    <xf numFmtId="0" fontId="1" fillId="61" borderId="0" applyNumberFormat="0" applyBorder="0" applyAlignment="0" applyProtection="0"/>
    <xf numFmtId="0" fontId="1" fillId="64" borderId="0" applyNumberFormat="0" applyBorder="0" applyAlignment="0" applyProtection="0"/>
    <xf numFmtId="0" fontId="1" fillId="68" borderId="0" applyNumberFormat="0" applyBorder="0" applyAlignment="0" applyProtection="0"/>
    <xf numFmtId="0" fontId="1" fillId="69" borderId="0" applyNumberFormat="0" applyBorder="0" applyAlignment="0" applyProtection="0"/>
    <xf numFmtId="0" fontId="1" fillId="72" borderId="0" applyNumberFormat="0" applyBorder="0" applyAlignment="0" applyProtection="0"/>
    <xf numFmtId="0" fontId="1" fillId="73" borderId="0" applyNumberFormat="0" applyBorder="0" applyAlignment="0" applyProtection="0"/>
    <xf numFmtId="0" fontId="1" fillId="77" borderId="0" applyNumberFormat="0" applyBorder="0" applyAlignment="0" applyProtection="0"/>
    <xf numFmtId="0" fontId="1" fillId="80" borderId="0" applyNumberFormat="0" applyBorder="0" applyAlignment="0" applyProtection="0"/>
    <xf numFmtId="0" fontId="1" fillId="81" borderId="0" applyNumberFormat="0" applyBorder="0" applyAlignment="0" applyProtection="0"/>
    <xf numFmtId="0" fontId="1" fillId="58" borderId="104" applyNumberFormat="0" applyFont="0" applyAlignment="0" applyProtection="0"/>
    <xf numFmtId="0" fontId="1" fillId="58" borderId="104" applyNumberFormat="0" applyFont="0" applyAlignment="0" applyProtection="0"/>
    <xf numFmtId="0" fontId="1" fillId="60" borderId="0" applyNumberFormat="0" applyBorder="0" applyAlignment="0" applyProtection="0"/>
    <xf numFmtId="0" fontId="1" fillId="61" borderId="0" applyNumberFormat="0" applyBorder="0" applyAlignment="0" applyProtection="0"/>
    <xf numFmtId="0" fontId="1" fillId="64" borderId="0" applyNumberFormat="0" applyBorder="0" applyAlignment="0" applyProtection="0"/>
    <xf numFmtId="0" fontId="1" fillId="68" borderId="0" applyNumberFormat="0" applyBorder="0" applyAlignment="0" applyProtection="0"/>
    <xf numFmtId="0" fontId="1" fillId="69" borderId="0" applyNumberFormat="0" applyBorder="0" applyAlignment="0" applyProtection="0"/>
    <xf numFmtId="0" fontId="1" fillId="72" borderId="0" applyNumberFormat="0" applyBorder="0" applyAlignment="0" applyProtection="0"/>
    <xf numFmtId="0" fontId="1" fillId="73" borderId="0" applyNumberFormat="0" applyBorder="0" applyAlignment="0" applyProtection="0"/>
    <xf numFmtId="0" fontId="1" fillId="77" borderId="0" applyNumberFormat="0" applyBorder="0" applyAlignment="0" applyProtection="0"/>
    <xf numFmtId="0" fontId="1" fillId="80" borderId="0" applyNumberFormat="0" applyBorder="0" applyAlignment="0" applyProtection="0"/>
    <xf numFmtId="0" fontId="1" fillId="81" borderId="0" applyNumberFormat="0" applyBorder="0" applyAlignment="0" applyProtection="0"/>
    <xf numFmtId="0" fontId="1" fillId="60" borderId="0" applyNumberFormat="0" applyBorder="0" applyAlignment="0" applyProtection="0"/>
    <xf numFmtId="0" fontId="1" fillId="61" borderId="0" applyNumberFormat="0" applyBorder="0" applyAlignment="0" applyProtection="0"/>
    <xf numFmtId="0" fontId="1" fillId="64" borderId="0" applyNumberFormat="0" applyBorder="0" applyAlignment="0" applyProtection="0"/>
    <xf numFmtId="0" fontId="1" fillId="68" borderId="0" applyNumberFormat="0" applyBorder="0" applyAlignment="0" applyProtection="0"/>
    <xf numFmtId="0" fontId="1" fillId="69" borderId="0" applyNumberFormat="0" applyBorder="0" applyAlignment="0" applyProtection="0"/>
    <xf numFmtId="0" fontId="1" fillId="72" borderId="0" applyNumberFormat="0" applyBorder="0" applyAlignment="0" applyProtection="0"/>
    <xf numFmtId="0" fontId="1" fillId="73" borderId="0" applyNumberFormat="0" applyBorder="0" applyAlignment="0" applyProtection="0"/>
    <xf numFmtId="0" fontId="1" fillId="77" borderId="0" applyNumberFormat="0" applyBorder="0" applyAlignment="0" applyProtection="0"/>
    <xf numFmtId="0" fontId="1" fillId="80" borderId="0" applyNumberFormat="0" applyBorder="0" applyAlignment="0" applyProtection="0"/>
    <xf numFmtId="0" fontId="1" fillId="81" borderId="0" applyNumberFormat="0" applyBorder="0" applyAlignment="0" applyProtection="0"/>
    <xf numFmtId="0" fontId="1" fillId="58" borderId="104" applyNumberFormat="0" applyFont="0" applyAlignment="0" applyProtection="0"/>
    <xf numFmtId="0" fontId="1" fillId="60" borderId="0" applyNumberFormat="0" applyBorder="0" applyAlignment="0" applyProtection="0"/>
    <xf numFmtId="0" fontId="1" fillId="61" borderId="0" applyNumberFormat="0" applyBorder="0" applyAlignment="0" applyProtection="0"/>
    <xf numFmtId="0" fontId="1" fillId="64" borderId="0" applyNumberFormat="0" applyBorder="0" applyAlignment="0" applyProtection="0"/>
    <xf numFmtId="0" fontId="1" fillId="68" borderId="0" applyNumberFormat="0" applyBorder="0" applyAlignment="0" applyProtection="0"/>
    <xf numFmtId="0" fontId="1" fillId="69" borderId="0" applyNumberFormat="0" applyBorder="0" applyAlignment="0" applyProtection="0"/>
    <xf numFmtId="0" fontId="1" fillId="72" borderId="0" applyNumberFormat="0" applyBorder="0" applyAlignment="0" applyProtection="0"/>
    <xf numFmtId="0" fontId="1" fillId="73" borderId="0" applyNumberFormat="0" applyBorder="0" applyAlignment="0" applyProtection="0"/>
    <xf numFmtId="0" fontId="1" fillId="77" borderId="0" applyNumberFormat="0" applyBorder="0" applyAlignment="0" applyProtection="0"/>
    <xf numFmtId="0" fontId="1" fillId="80" borderId="0" applyNumberFormat="0" applyBorder="0" applyAlignment="0" applyProtection="0"/>
    <xf numFmtId="0" fontId="1" fillId="81" borderId="0" applyNumberFormat="0" applyBorder="0" applyAlignment="0" applyProtection="0"/>
    <xf numFmtId="0" fontId="1" fillId="58" borderId="104" applyNumberFormat="0" applyFont="0" applyAlignment="0" applyProtection="0"/>
    <xf numFmtId="0" fontId="1" fillId="58" borderId="104" applyNumberFormat="0" applyFont="0" applyAlignment="0" applyProtection="0"/>
    <xf numFmtId="0" fontId="1" fillId="60" borderId="0" applyNumberFormat="0" applyBorder="0" applyAlignment="0" applyProtection="0"/>
    <xf numFmtId="0" fontId="1" fillId="61" borderId="0" applyNumberFormat="0" applyBorder="0" applyAlignment="0" applyProtection="0"/>
    <xf numFmtId="0" fontId="1" fillId="64" borderId="0" applyNumberFormat="0" applyBorder="0" applyAlignment="0" applyProtection="0"/>
    <xf numFmtId="0" fontId="1" fillId="68" borderId="0" applyNumberFormat="0" applyBorder="0" applyAlignment="0" applyProtection="0"/>
    <xf numFmtId="0" fontId="1" fillId="69" borderId="0" applyNumberFormat="0" applyBorder="0" applyAlignment="0" applyProtection="0"/>
    <xf numFmtId="0" fontId="1" fillId="72" borderId="0" applyNumberFormat="0" applyBorder="0" applyAlignment="0" applyProtection="0"/>
    <xf numFmtId="0" fontId="1" fillId="73" borderId="0" applyNumberFormat="0" applyBorder="0" applyAlignment="0" applyProtection="0"/>
    <xf numFmtId="0" fontId="1" fillId="77" borderId="0" applyNumberFormat="0" applyBorder="0" applyAlignment="0" applyProtection="0"/>
    <xf numFmtId="0" fontId="1" fillId="80" borderId="0" applyNumberFormat="0" applyBorder="0" applyAlignment="0" applyProtection="0"/>
    <xf numFmtId="0" fontId="1" fillId="81" borderId="0" applyNumberFormat="0" applyBorder="0" applyAlignment="0" applyProtection="0"/>
    <xf numFmtId="0" fontId="1" fillId="60" borderId="0" applyNumberFormat="0" applyBorder="0" applyAlignment="0" applyProtection="0"/>
    <xf numFmtId="0" fontId="1" fillId="61" borderId="0" applyNumberFormat="0" applyBorder="0" applyAlignment="0" applyProtection="0"/>
    <xf numFmtId="0" fontId="1" fillId="64" borderId="0" applyNumberFormat="0" applyBorder="0" applyAlignment="0" applyProtection="0"/>
    <xf numFmtId="0" fontId="1" fillId="68" borderId="0" applyNumberFormat="0" applyBorder="0" applyAlignment="0" applyProtection="0"/>
    <xf numFmtId="0" fontId="1" fillId="69" borderId="0" applyNumberFormat="0" applyBorder="0" applyAlignment="0" applyProtection="0"/>
    <xf numFmtId="0" fontId="1" fillId="72" borderId="0" applyNumberFormat="0" applyBorder="0" applyAlignment="0" applyProtection="0"/>
    <xf numFmtId="0" fontId="1" fillId="73" borderId="0" applyNumberFormat="0" applyBorder="0" applyAlignment="0" applyProtection="0"/>
    <xf numFmtId="0" fontId="1" fillId="77" borderId="0" applyNumberFormat="0" applyBorder="0" applyAlignment="0" applyProtection="0"/>
    <xf numFmtId="0" fontId="1" fillId="80" borderId="0" applyNumberFormat="0" applyBorder="0" applyAlignment="0" applyProtection="0"/>
    <xf numFmtId="0" fontId="1" fillId="81" borderId="0" applyNumberFormat="0" applyBorder="0" applyAlignment="0" applyProtection="0"/>
    <xf numFmtId="0" fontId="1" fillId="58" borderId="104" applyNumberFormat="0" applyFont="0" applyAlignment="0" applyProtection="0"/>
    <xf numFmtId="0" fontId="1" fillId="60" borderId="0" applyNumberFormat="0" applyBorder="0" applyAlignment="0" applyProtection="0"/>
    <xf numFmtId="0" fontId="1" fillId="60" borderId="0" applyNumberFormat="0" applyBorder="0" applyAlignment="0" applyProtection="0"/>
    <xf numFmtId="0" fontId="1" fillId="60" borderId="0" applyNumberFormat="0" applyBorder="0" applyAlignment="0" applyProtection="0"/>
    <xf numFmtId="0" fontId="1" fillId="60" borderId="0" applyNumberFormat="0" applyBorder="0" applyAlignment="0" applyProtection="0"/>
    <xf numFmtId="0" fontId="1" fillId="60" borderId="0" applyNumberFormat="0" applyBorder="0" applyAlignment="0" applyProtection="0"/>
    <xf numFmtId="0" fontId="1" fillId="60" borderId="0" applyNumberFormat="0" applyBorder="0" applyAlignment="0" applyProtection="0"/>
    <xf numFmtId="0" fontId="1" fillId="60" borderId="0" applyNumberFormat="0" applyBorder="0" applyAlignment="0" applyProtection="0"/>
    <xf numFmtId="0" fontId="1" fillId="60" borderId="0" applyNumberFormat="0" applyBorder="0" applyAlignment="0" applyProtection="0"/>
    <xf numFmtId="0" fontId="1" fillId="60" borderId="0" applyNumberFormat="0" applyBorder="0" applyAlignment="0" applyProtection="0"/>
    <xf numFmtId="0" fontId="1" fillId="64" borderId="0" applyNumberFormat="0" applyBorder="0" applyAlignment="0" applyProtection="0"/>
    <xf numFmtId="0" fontId="1" fillId="64" borderId="0" applyNumberFormat="0" applyBorder="0" applyAlignment="0" applyProtection="0"/>
    <xf numFmtId="0" fontId="1" fillId="64" borderId="0" applyNumberFormat="0" applyBorder="0" applyAlignment="0" applyProtection="0"/>
    <xf numFmtId="0" fontId="1" fillId="64" borderId="0" applyNumberFormat="0" applyBorder="0" applyAlignment="0" applyProtection="0"/>
    <xf numFmtId="0" fontId="1" fillId="64" borderId="0" applyNumberFormat="0" applyBorder="0" applyAlignment="0" applyProtection="0"/>
    <xf numFmtId="0" fontId="1" fillId="64" borderId="0" applyNumberFormat="0" applyBorder="0" applyAlignment="0" applyProtection="0"/>
    <xf numFmtId="0" fontId="1" fillId="64" borderId="0" applyNumberFormat="0" applyBorder="0" applyAlignment="0" applyProtection="0"/>
    <xf numFmtId="0" fontId="1" fillId="64" borderId="0" applyNumberFormat="0" applyBorder="0" applyAlignment="0" applyProtection="0"/>
    <xf numFmtId="0" fontId="1" fillId="64" borderId="0" applyNumberFormat="0" applyBorder="0" applyAlignment="0" applyProtection="0"/>
    <xf numFmtId="0" fontId="1" fillId="68" borderId="0" applyNumberFormat="0" applyBorder="0" applyAlignment="0" applyProtection="0"/>
    <xf numFmtId="0" fontId="1" fillId="68" borderId="0" applyNumberFormat="0" applyBorder="0" applyAlignment="0" applyProtection="0"/>
    <xf numFmtId="0" fontId="1" fillId="68" borderId="0" applyNumberFormat="0" applyBorder="0" applyAlignment="0" applyProtection="0"/>
    <xf numFmtId="0" fontId="1" fillId="68" borderId="0" applyNumberFormat="0" applyBorder="0" applyAlignment="0" applyProtection="0"/>
    <xf numFmtId="0" fontId="1" fillId="68" borderId="0" applyNumberFormat="0" applyBorder="0" applyAlignment="0" applyProtection="0"/>
    <xf numFmtId="0" fontId="1" fillId="68" borderId="0" applyNumberFormat="0" applyBorder="0" applyAlignment="0" applyProtection="0"/>
    <xf numFmtId="0" fontId="1" fillId="68" borderId="0" applyNumberFormat="0" applyBorder="0" applyAlignment="0" applyProtection="0"/>
    <xf numFmtId="0" fontId="1" fillId="68" borderId="0" applyNumberFormat="0" applyBorder="0" applyAlignment="0" applyProtection="0"/>
    <xf numFmtId="0" fontId="1" fillId="68" borderId="0" applyNumberFormat="0" applyBorder="0" applyAlignment="0" applyProtection="0"/>
    <xf numFmtId="0" fontId="1" fillId="72" borderId="0" applyNumberFormat="0" applyBorder="0" applyAlignment="0" applyProtection="0"/>
    <xf numFmtId="0" fontId="1" fillId="72" borderId="0" applyNumberFormat="0" applyBorder="0" applyAlignment="0" applyProtection="0"/>
    <xf numFmtId="0" fontId="1" fillId="72" borderId="0" applyNumberFormat="0" applyBorder="0" applyAlignment="0" applyProtection="0"/>
    <xf numFmtId="0" fontId="1" fillId="72" borderId="0" applyNumberFormat="0" applyBorder="0" applyAlignment="0" applyProtection="0"/>
    <xf numFmtId="0" fontId="1" fillId="72" borderId="0" applyNumberFormat="0" applyBorder="0" applyAlignment="0" applyProtection="0"/>
    <xf numFmtId="0" fontId="1" fillId="72" borderId="0" applyNumberFormat="0" applyBorder="0" applyAlignment="0" applyProtection="0"/>
    <xf numFmtId="0" fontId="1" fillId="72" borderId="0" applyNumberFormat="0" applyBorder="0" applyAlignment="0" applyProtection="0"/>
    <xf numFmtId="0" fontId="1" fillId="72" borderId="0" applyNumberFormat="0" applyBorder="0" applyAlignment="0" applyProtection="0"/>
    <xf numFmtId="0" fontId="1" fillId="72" borderId="0" applyNumberFormat="0" applyBorder="0" applyAlignment="0" applyProtection="0"/>
    <xf numFmtId="0" fontId="1" fillId="80" borderId="0" applyNumberFormat="0" applyBorder="0" applyAlignment="0" applyProtection="0"/>
    <xf numFmtId="0" fontId="1" fillId="80" borderId="0" applyNumberFormat="0" applyBorder="0" applyAlignment="0" applyProtection="0"/>
    <xf numFmtId="0" fontId="1" fillId="80" borderId="0" applyNumberFormat="0" applyBorder="0" applyAlignment="0" applyProtection="0"/>
    <xf numFmtId="0" fontId="1" fillId="80" borderId="0" applyNumberFormat="0" applyBorder="0" applyAlignment="0" applyProtection="0"/>
    <xf numFmtId="0" fontId="1" fillId="80" borderId="0" applyNumberFormat="0" applyBorder="0" applyAlignment="0" applyProtection="0"/>
    <xf numFmtId="0" fontId="1" fillId="80" borderId="0" applyNumberFormat="0" applyBorder="0" applyAlignment="0" applyProtection="0"/>
    <xf numFmtId="0" fontId="1" fillId="80" borderId="0" applyNumberFormat="0" applyBorder="0" applyAlignment="0" applyProtection="0"/>
    <xf numFmtId="0" fontId="1" fillId="80" borderId="0" applyNumberFormat="0" applyBorder="0" applyAlignment="0" applyProtection="0"/>
    <xf numFmtId="0" fontId="1" fillId="80" borderId="0" applyNumberFormat="0" applyBorder="0" applyAlignment="0" applyProtection="0"/>
    <xf numFmtId="0" fontId="1" fillId="61" borderId="0" applyNumberFormat="0" applyBorder="0" applyAlignment="0" applyProtection="0"/>
    <xf numFmtId="0" fontId="1" fillId="61" borderId="0" applyNumberFormat="0" applyBorder="0" applyAlignment="0" applyProtection="0"/>
    <xf numFmtId="0" fontId="1" fillId="61" borderId="0" applyNumberFormat="0" applyBorder="0" applyAlignment="0" applyProtection="0"/>
    <xf numFmtId="0" fontId="1" fillId="61" borderId="0" applyNumberFormat="0" applyBorder="0" applyAlignment="0" applyProtection="0"/>
    <xf numFmtId="0" fontId="1" fillId="61" borderId="0" applyNumberFormat="0" applyBorder="0" applyAlignment="0" applyProtection="0"/>
    <xf numFmtId="0" fontId="1" fillId="61" borderId="0" applyNumberFormat="0" applyBorder="0" applyAlignment="0" applyProtection="0"/>
    <xf numFmtId="0" fontId="1" fillId="61" borderId="0" applyNumberFormat="0" applyBorder="0" applyAlignment="0" applyProtection="0"/>
    <xf numFmtId="0" fontId="1" fillId="61" borderId="0" applyNumberFormat="0" applyBorder="0" applyAlignment="0" applyProtection="0"/>
    <xf numFmtId="0" fontId="1" fillId="61" borderId="0" applyNumberFormat="0" applyBorder="0" applyAlignment="0" applyProtection="0"/>
    <xf numFmtId="0" fontId="1" fillId="69" borderId="0" applyNumberFormat="0" applyBorder="0" applyAlignment="0" applyProtection="0"/>
    <xf numFmtId="0" fontId="1" fillId="69" borderId="0" applyNumberFormat="0" applyBorder="0" applyAlignment="0" applyProtection="0"/>
    <xf numFmtId="0" fontId="1" fillId="69" borderId="0" applyNumberFormat="0" applyBorder="0" applyAlignment="0" applyProtection="0"/>
    <xf numFmtId="0" fontId="1" fillId="69" borderId="0" applyNumberFormat="0" applyBorder="0" applyAlignment="0" applyProtection="0"/>
    <xf numFmtId="0" fontId="1" fillId="69" borderId="0" applyNumberFormat="0" applyBorder="0" applyAlignment="0" applyProtection="0"/>
    <xf numFmtId="0" fontId="1" fillId="69" borderId="0" applyNumberFormat="0" applyBorder="0" applyAlignment="0" applyProtection="0"/>
    <xf numFmtId="0" fontId="1" fillId="69" borderId="0" applyNumberFormat="0" applyBorder="0" applyAlignment="0" applyProtection="0"/>
    <xf numFmtId="0" fontId="1" fillId="69" borderId="0" applyNumberFormat="0" applyBorder="0" applyAlignment="0" applyProtection="0"/>
    <xf numFmtId="0" fontId="1" fillId="69" borderId="0" applyNumberFormat="0" applyBorder="0" applyAlignment="0" applyProtection="0"/>
    <xf numFmtId="0" fontId="1" fillId="73" borderId="0" applyNumberFormat="0" applyBorder="0" applyAlignment="0" applyProtection="0"/>
    <xf numFmtId="0" fontId="1" fillId="73" borderId="0" applyNumberFormat="0" applyBorder="0" applyAlignment="0" applyProtection="0"/>
    <xf numFmtId="0" fontId="1" fillId="73" borderId="0" applyNumberFormat="0" applyBorder="0" applyAlignment="0" applyProtection="0"/>
    <xf numFmtId="0" fontId="1" fillId="73" borderId="0" applyNumberFormat="0" applyBorder="0" applyAlignment="0" applyProtection="0"/>
    <xf numFmtId="0" fontId="1" fillId="73" borderId="0" applyNumberFormat="0" applyBorder="0" applyAlignment="0" applyProtection="0"/>
    <xf numFmtId="0" fontId="1" fillId="73" borderId="0" applyNumberFormat="0" applyBorder="0" applyAlignment="0" applyProtection="0"/>
    <xf numFmtId="0" fontId="1" fillId="73" borderId="0" applyNumberFormat="0" applyBorder="0" applyAlignment="0" applyProtection="0"/>
    <xf numFmtId="0" fontId="1" fillId="73" borderId="0" applyNumberFormat="0" applyBorder="0" applyAlignment="0" applyProtection="0"/>
    <xf numFmtId="0" fontId="1" fillId="73" borderId="0" applyNumberFormat="0" applyBorder="0" applyAlignment="0" applyProtection="0"/>
    <xf numFmtId="0" fontId="1" fillId="77" borderId="0" applyNumberFormat="0" applyBorder="0" applyAlignment="0" applyProtection="0"/>
    <xf numFmtId="0" fontId="1" fillId="77" borderId="0" applyNumberFormat="0" applyBorder="0" applyAlignment="0" applyProtection="0"/>
    <xf numFmtId="0" fontId="1" fillId="77" borderId="0" applyNumberFormat="0" applyBorder="0" applyAlignment="0" applyProtection="0"/>
    <xf numFmtId="0" fontId="1" fillId="77" borderId="0" applyNumberFormat="0" applyBorder="0" applyAlignment="0" applyProtection="0"/>
    <xf numFmtId="0" fontId="1" fillId="77" borderId="0" applyNumberFormat="0" applyBorder="0" applyAlignment="0" applyProtection="0"/>
    <xf numFmtId="0" fontId="1" fillId="77" borderId="0" applyNumberFormat="0" applyBorder="0" applyAlignment="0" applyProtection="0"/>
    <xf numFmtId="0" fontId="1" fillId="77" borderId="0" applyNumberFormat="0" applyBorder="0" applyAlignment="0" applyProtection="0"/>
    <xf numFmtId="0" fontId="1" fillId="77" borderId="0" applyNumberFormat="0" applyBorder="0" applyAlignment="0" applyProtection="0"/>
    <xf numFmtId="0" fontId="1" fillId="77" borderId="0" applyNumberFormat="0" applyBorder="0" applyAlignment="0" applyProtection="0"/>
    <xf numFmtId="0" fontId="1" fillId="81" borderId="0" applyNumberFormat="0" applyBorder="0" applyAlignment="0" applyProtection="0"/>
    <xf numFmtId="0" fontId="1" fillId="81" borderId="0" applyNumberFormat="0" applyBorder="0" applyAlignment="0" applyProtection="0"/>
    <xf numFmtId="0" fontId="1" fillId="81" borderId="0" applyNumberFormat="0" applyBorder="0" applyAlignment="0" applyProtection="0"/>
    <xf numFmtId="0" fontId="1" fillId="81" borderId="0" applyNumberFormat="0" applyBorder="0" applyAlignment="0" applyProtection="0"/>
    <xf numFmtId="0" fontId="1" fillId="81" borderId="0" applyNumberFormat="0" applyBorder="0" applyAlignment="0" applyProtection="0"/>
    <xf numFmtId="0" fontId="1" fillId="81" borderId="0" applyNumberFormat="0" applyBorder="0" applyAlignment="0" applyProtection="0"/>
    <xf numFmtId="0" fontId="1" fillId="81" borderId="0" applyNumberFormat="0" applyBorder="0" applyAlignment="0" applyProtection="0"/>
    <xf numFmtId="0" fontId="1" fillId="81" borderId="0" applyNumberFormat="0" applyBorder="0" applyAlignment="0" applyProtection="0"/>
    <xf numFmtId="0" fontId="1" fillId="81" borderId="0" applyNumberFormat="0" applyBorder="0" applyAlignment="0" applyProtection="0"/>
    <xf numFmtId="0" fontId="1" fillId="58" borderId="104" applyNumberFormat="0" applyFont="0" applyAlignment="0" applyProtection="0"/>
    <xf numFmtId="0" fontId="1" fillId="58" borderId="104" applyNumberFormat="0" applyFont="0" applyAlignment="0" applyProtection="0"/>
    <xf numFmtId="0" fontId="1" fillId="58" borderId="104" applyNumberFormat="0" applyFont="0" applyAlignment="0" applyProtection="0"/>
    <xf numFmtId="0" fontId="1" fillId="58" borderId="104" applyNumberFormat="0" applyFont="0" applyAlignment="0" applyProtection="0"/>
    <xf numFmtId="0" fontId="1" fillId="58" borderId="104" applyNumberFormat="0" applyFont="0" applyAlignment="0" applyProtection="0"/>
    <xf numFmtId="0" fontId="1" fillId="58" borderId="104" applyNumberFormat="0" applyFont="0" applyAlignment="0" applyProtection="0"/>
    <xf numFmtId="0" fontId="1" fillId="58" borderId="104" applyNumberFormat="0" applyFont="0" applyAlignment="0" applyProtection="0"/>
    <xf numFmtId="0" fontId="1" fillId="58" borderId="104" applyNumberFormat="0" applyFont="0" applyAlignment="0" applyProtection="0"/>
    <xf numFmtId="0" fontId="1" fillId="58" borderId="104" applyNumberFormat="0" applyFont="0" applyAlignment="0" applyProtection="0"/>
    <xf numFmtId="165" fontId="1" fillId="0" borderId="0" applyFont="0" applyFill="0" applyBorder="0" applyAlignment="0" applyProtection="0"/>
    <xf numFmtId="0" fontId="1" fillId="0" borderId="0"/>
    <xf numFmtId="0" fontId="39" fillId="0" borderId="0">
      <alignment vertical="top"/>
    </xf>
    <xf numFmtId="0" fontId="1" fillId="6" borderId="0" applyNumberFormat="0" applyBorder="0" applyAlignment="0" applyProtection="0"/>
    <xf numFmtId="0" fontId="1" fillId="9" borderId="0" applyNumberFormat="0" applyBorder="0" applyAlignment="0" applyProtection="0"/>
    <xf numFmtId="0" fontId="1" fillId="26" borderId="0" applyNumberFormat="0" applyBorder="0" applyAlignment="0" applyProtection="0"/>
    <xf numFmtId="0" fontId="1" fillId="9" borderId="0" applyNumberFormat="0" applyBorder="0" applyAlignment="0" applyProtection="0"/>
    <xf numFmtId="0" fontId="1" fillId="6" borderId="0" applyNumberFormat="0" applyBorder="0" applyAlignment="0" applyProtection="0"/>
    <xf numFmtId="0" fontId="1" fillId="26" borderId="0" applyNumberFormat="0" applyBorder="0" applyAlignment="0" applyProtection="0"/>
    <xf numFmtId="0" fontId="1" fillId="9" borderId="0" applyNumberFormat="0" applyBorder="0" applyAlignment="0" applyProtection="0"/>
    <xf numFmtId="0" fontId="1" fillId="58" borderId="104" applyNumberFormat="0" applyFont="0" applyAlignment="0" applyProtection="0"/>
    <xf numFmtId="0" fontId="1" fillId="23" borderId="0" applyNumberFormat="0" applyBorder="0" applyAlignment="0" applyProtection="0"/>
    <xf numFmtId="0" fontId="1" fillId="23"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58" borderId="104" applyNumberFormat="0" applyFont="0" applyAlignment="0" applyProtection="0"/>
    <xf numFmtId="0" fontId="1" fillId="6" borderId="0" applyNumberFormat="0" applyBorder="0" applyAlignment="0" applyProtection="0"/>
    <xf numFmtId="0" fontId="1" fillId="9" borderId="0" applyNumberFormat="0" applyBorder="0" applyAlignment="0" applyProtection="0"/>
    <xf numFmtId="0" fontId="1" fillId="6" borderId="0" applyNumberFormat="0" applyBorder="0" applyAlignment="0" applyProtection="0"/>
    <xf numFmtId="0" fontId="1" fillId="60" borderId="0" applyNumberFormat="0" applyBorder="0" applyAlignment="0" applyProtection="0"/>
    <xf numFmtId="0" fontId="1" fillId="61" borderId="0" applyNumberFormat="0" applyBorder="0" applyAlignment="0" applyProtection="0"/>
    <xf numFmtId="0" fontId="1" fillId="3" borderId="0" applyNumberFormat="0" applyBorder="0" applyAlignment="0" applyProtection="0"/>
    <xf numFmtId="0" fontId="1" fillId="64" borderId="0" applyNumberFormat="0" applyBorder="0" applyAlignment="0" applyProtection="0"/>
    <xf numFmtId="0" fontId="1" fillId="65" borderId="0" applyNumberFormat="0" applyBorder="0" applyAlignment="0" applyProtection="0"/>
    <xf numFmtId="0" fontId="1" fillId="68" borderId="0" applyNumberFormat="0" applyBorder="0" applyAlignment="0" applyProtection="0"/>
    <xf numFmtId="0" fontId="1" fillId="69" borderId="0" applyNumberFormat="0" applyBorder="0" applyAlignment="0" applyProtection="0"/>
    <xf numFmtId="0" fontId="1" fillId="26" borderId="0" applyNumberFormat="0" applyBorder="0" applyAlignment="0" applyProtection="0"/>
    <xf numFmtId="0" fontId="1" fillId="72" borderId="0" applyNumberFormat="0" applyBorder="0" applyAlignment="0" applyProtection="0"/>
    <xf numFmtId="0" fontId="1" fillId="73" borderId="0" applyNumberFormat="0" applyBorder="0" applyAlignment="0" applyProtection="0"/>
    <xf numFmtId="0" fontId="1" fillId="9" borderId="0" applyNumberFormat="0" applyBorder="0" applyAlignment="0" applyProtection="0"/>
    <xf numFmtId="0" fontId="1" fillId="76" borderId="0" applyNumberFormat="0" applyBorder="0" applyAlignment="0" applyProtection="0"/>
    <xf numFmtId="0" fontId="1" fillId="77" borderId="0" applyNumberFormat="0" applyBorder="0" applyAlignment="0" applyProtection="0"/>
    <xf numFmtId="0" fontId="1" fillId="6" borderId="0" applyNumberFormat="0" applyBorder="0" applyAlignment="0" applyProtection="0"/>
    <xf numFmtId="0" fontId="1" fillId="80" borderId="0" applyNumberFormat="0" applyBorder="0" applyAlignment="0" applyProtection="0"/>
    <xf numFmtId="0" fontId="1" fillId="81" borderId="0" applyNumberFormat="0" applyBorder="0" applyAlignment="0" applyProtection="0"/>
    <xf numFmtId="0" fontId="99" fillId="0" borderId="99" applyNumberFormat="0" applyFill="0" applyAlignment="0" applyProtection="0"/>
    <xf numFmtId="0" fontId="1" fillId="58" borderId="104" applyNumberFormat="0" applyFont="0" applyAlignment="0" applyProtection="0"/>
    <xf numFmtId="0" fontId="1" fillId="58" borderId="104" applyNumberFormat="0" applyFont="0" applyAlignment="0" applyProtection="0"/>
    <xf numFmtId="0" fontId="1" fillId="60" borderId="0" applyNumberFormat="0" applyBorder="0" applyAlignment="0" applyProtection="0"/>
    <xf numFmtId="0" fontId="1" fillId="61" borderId="0" applyNumberFormat="0" applyBorder="0" applyAlignment="0" applyProtection="0"/>
    <xf numFmtId="0" fontId="1" fillId="64" borderId="0" applyNumberFormat="0" applyBorder="0" applyAlignment="0" applyProtection="0"/>
    <xf numFmtId="0" fontId="1" fillId="65" borderId="0" applyNumberFormat="0" applyBorder="0" applyAlignment="0" applyProtection="0"/>
    <xf numFmtId="0" fontId="1" fillId="68" borderId="0" applyNumberFormat="0" applyBorder="0" applyAlignment="0" applyProtection="0"/>
    <xf numFmtId="0" fontId="1" fillId="69" borderId="0" applyNumberFormat="0" applyBorder="0" applyAlignment="0" applyProtection="0"/>
    <xf numFmtId="0" fontId="1" fillId="72" borderId="0" applyNumberFormat="0" applyBorder="0" applyAlignment="0" applyProtection="0"/>
    <xf numFmtId="0" fontId="1" fillId="73" borderId="0" applyNumberFormat="0" applyBorder="0" applyAlignment="0" applyProtection="0"/>
    <xf numFmtId="0" fontId="1" fillId="76" borderId="0" applyNumberFormat="0" applyBorder="0" applyAlignment="0" applyProtection="0"/>
    <xf numFmtId="0" fontId="1" fillId="77" borderId="0" applyNumberFormat="0" applyBorder="0" applyAlignment="0" applyProtection="0"/>
    <xf numFmtId="0" fontId="1" fillId="80" borderId="0" applyNumberFormat="0" applyBorder="0" applyAlignment="0" applyProtection="0"/>
    <xf numFmtId="0" fontId="1" fillId="81" borderId="0" applyNumberFormat="0" applyBorder="0" applyAlignment="0" applyProtection="0"/>
    <xf numFmtId="0" fontId="100" fillId="0" borderId="100" applyNumberFormat="0" applyFill="0" applyAlignment="0" applyProtection="0"/>
    <xf numFmtId="0" fontId="1" fillId="6" borderId="0" applyNumberFormat="0" applyBorder="0" applyAlignment="0" applyProtection="0"/>
    <xf numFmtId="0" fontId="1" fillId="60" borderId="0" applyNumberFormat="0" applyBorder="0" applyAlignment="0" applyProtection="0"/>
    <xf numFmtId="0" fontId="1" fillId="61" borderId="0" applyNumberFormat="0" applyBorder="0" applyAlignment="0" applyProtection="0"/>
    <xf numFmtId="0" fontId="1" fillId="64" borderId="0" applyNumberFormat="0" applyBorder="0" applyAlignment="0" applyProtection="0"/>
    <xf numFmtId="0" fontId="1" fillId="65" borderId="0" applyNumberFormat="0" applyBorder="0" applyAlignment="0" applyProtection="0"/>
    <xf numFmtId="0" fontId="1" fillId="68" borderId="0" applyNumberFormat="0" applyBorder="0" applyAlignment="0" applyProtection="0"/>
    <xf numFmtId="0" fontId="1" fillId="69" borderId="0" applyNumberFormat="0" applyBorder="0" applyAlignment="0" applyProtection="0"/>
    <xf numFmtId="0" fontId="1" fillId="72" borderId="0" applyNumberFormat="0" applyBorder="0" applyAlignment="0" applyProtection="0"/>
    <xf numFmtId="0" fontId="1" fillId="73" borderId="0" applyNumberFormat="0" applyBorder="0" applyAlignment="0" applyProtection="0"/>
    <xf numFmtId="0" fontId="1" fillId="76" borderId="0" applyNumberFormat="0" applyBorder="0" applyAlignment="0" applyProtection="0"/>
    <xf numFmtId="0" fontId="1" fillId="77" borderId="0" applyNumberFormat="0" applyBorder="0" applyAlignment="0" applyProtection="0"/>
    <xf numFmtId="0" fontId="1" fillId="80" borderId="0" applyNumberFormat="0" applyBorder="0" applyAlignment="0" applyProtection="0"/>
    <xf numFmtId="0" fontId="1" fillId="81" borderId="0" applyNumberFormat="0" applyBorder="0" applyAlignment="0" applyProtection="0"/>
    <xf numFmtId="0" fontId="1" fillId="58" borderId="104" applyNumberFormat="0" applyFont="0" applyAlignment="0" applyProtection="0"/>
    <xf numFmtId="0" fontId="1" fillId="26" borderId="0" applyNumberFormat="0" applyBorder="0" applyAlignment="0" applyProtection="0"/>
    <xf numFmtId="0" fontId="1" fillId="60" borderId="0" applyNumberFormat="0" applyBorder="0" applyAlignment="0" applyProtection="0"/>
    <xf numFmtId="0" fontId="1" fillId="61" borderId="0" applyNumberFormat="0" applyBorder="0" applyAlignment="0" applyProtection="0"/>
    <xf numFmtId="0" fontId="1" fillId="64" borderId="0" applyNumberFormat="0" applyBorder="0" applyAlignment="0" applyProtection="0"/>
    <xf numFmtId="0" fontId="1" fillId="65" borderId="0" applyNumberFormat="0" applyBorder="0" applyAlignment="0" applyProtection="0"/>
    <xf numFmtId="0" fontId="1" fillId="68" borderId="0" applyNumberFormat="0" applyBorder="0" applyAlignment="0" applyProtection="0"/>
    <xf numFmtId="0" fontId="1" fillId="69" borderId="0" applyNumberFormat="0" applyBorder="0" applyAlignment="0" applyProtection="0"/>
    <xf numFmtId="0" fontId="1" fillId="72" borderId="0" applyNumberFormat="0" applyBorder="0" applyAlignment="0" applyProtection="0"/>
    <xf numFmtId="0" fontId="1" fillId="73" borderId="0" applyNumberFormat="0" applyBorder="0" applyAlignment="0" applyProtection="0"/>
    <xf numFmtId="0" fontId="1" fillId="76" borderId="0" applyNumberFormat="0" applyBorder="0" applyAlignment="0" applyProtection="0"/>
    <xf numFmtId="0" fontId="1" fillId="77" borderId="0" applyNumberFormat="0" applyBorder="0" applyAlignment="0" applyProtection="0"/>
    <xf numFmtId="0" fontId="1" fillId="80" borderId="0" applyNumberFormat="0" applyBorder="0" applyAlignment="0" applyProtection="0"/>
    <xf numFmtId="0" fontId="1" fillId="81" borderId="0" applyNumberFormat="0" applyBorder="0" applyAlignment="0" applyProtection="0"/>
    <xf numFmtId="0" fontId="1" fillId="58" borderId="104" applyNumberFormat="0" applyFont="0" applyAlignment="0" applyProtection="0"/>
    <xf numFmtId="0" fontId="1" fillId="58" borderId="104" applyNumberFormat="0" applyFont="0" applyAlignment="0" applyProtection="0"/>
    <xf numFmtId="0" fontId="1" fillId="60" borderId="0" applyNumberFormat="0" applyBorder="0" applyAlignment="0" applyProtection="0"/>
    <xf numFmtId="0" fontId="1" fillId="61" borderId="0" applyNumberFormat="0" applyBorder="0" applyAlignment="0" applyProtection="0"/>
    <xf numFmtId="0" fontId="1" fillId="64" borderId="0" applyNumberFormat="0" applyBorder="0" applyAlignment="0" applyProtection="0"/>
    <xf numFmtId="0" fontId="1" fillId="65" borderId="0" applyNumberFormat="0" applyBorder="0" applyAlignment="0" applyProtection="0"/>
    <xf numFmtId="0" fontId="1" fillId="68" borderId="0" applyNumberFormat="0" applyBorder="0" applyAlignment="0" applyProtection="0"/>
    <xf numFmtId="0" fontId="1" fillId="69" borderId="0" applyNumberFormat="0" applyBorder="0" applyAlignment="0" applyProtection="0"/>
    <xf numFmtId="0" fontId="1" fillId="72" borderId="0" applyNumberFormat="0" applyBorder="0" applyAlignment="0" applyProtection="0"/>
    <xf numFmtId="0" fontId="1" fillId="73" borderId="0" applyNumberFormat="0" applyBorder="0" applyAlignment="0" applyProtection="0"/>
    <xf numFmtId="0" fontId="1" fillId="76" borderId="0" applyNumberFormat="0" applyBorder="0" applyAlignment="0" applyProtection="0"/>
    <xf numFmtId="0" fontId="1" fillId="77" borderId="0" applyNumberFormat="0" applyBorder="0" applyAlignment="0" applyProtection="0"/>
    <xf numFmtId="0" fontId="1" fillId="80" borderId="0" applyNumberFormat="0" applyBorder="0" applyAlignment="0" applyProtection="0"/>
    <xf numFmtId="0" fontId="1" fillId="81" borderId="0" applyNumberFormat="0" applyBorder="0" applyAlignment="0" applyProtection="0"/>
    <xf numFmtId="0" fontId="1" fillId="60" borderId="0" applyNumberFormat="0" applyBorder="0" applyAlignment="0" applyProtection="0"/>
    <xf numFmtId="0" fontId="1" fillId="61" borderId="0" applyNumberFormat="0" applyBorder="0" applyAlignment="0" applyProtection="0"/>
    <xf numFmtId="0" fontId="1" fillId="64" borderId="0" applyNumberFormat="0" applyBorder="0" applyAlignment="0" applyProtection="0"/>
    <xf numFmtId="0" fontId="1" fillId="65" borderId="0" applyNumberFormat="0" applyBorder="0" applyAlignment="0" applyProtection="0"/>
    <xf numFmtId="0" fontId="1" fillId="68" borderId="0" applyNumberFormat="0" applyBorder="0" applyAlignment="0" applyProtection="0"/>
    <xf numFmtId="0" fontId="1" fillId="69" borderId="0" applyNumberFormat="0" applyBorder="0" applyAlignment="0" applyProtection="0"/>
    <xf numFmtId="0" fontId="1" fillId="72" borderId="0" applyNumberFormat="0" applyBorder="0" applyAlignment="0" applyProtection="0"/>
    <xf numFmtId="0" fontId="1" fillId="73" borderId="0" applyNumberFormat="0" applyBorder="0" applyAlignment="0" applyProtection="0"/>
    <xf numFmtId="0" fontId="1" fillId="76" borderId="0" applyNumberFormat="0" applyBorder="0" applyAlignment="0" applyProtection="0"/>
    <xf numFmtId="0" fontId="1" fillId="77" borderId="0" applyNumberFormat="0" applyBorder="0" applyAlignment="0" applyProtection="0"/>
    <xf numFmtId="0" fontId="1" fillId="80" borderId="0" applyNumberFormat="0" applyBorder="0" applyAlignment="0" applyProtection="0"/>
    <xf numFmtId="0" fontId="1" fillId="81" borderId="0" applyNumberFormat="0" applyBorder="0" applyAlignment="0" applyProtection="0"/>
    <xf numFmtId="0" fontId="1" fillId="58" borderId="104" applyNumberFormat="0" applyFont="0" applyAlignment="0" applyProtection="0"/>
    <xf numFmtId="0" fontId="1" fillId="60" borderId="0" applyNumberFormat="0" applyBorder="0" applyAlignment="0" applyProtection="0"/>
    <xf numFmtId="0" fontId="1" fillId="61" borderId="0" applyNumberFormat="0" applyBorder="0" applyAlignment="0" applyProtection="0"/>
    <xf numFmtId="0" fontId="1" fillId="64" borderId="0" applyNumberFormat="0" applyBorder="0" applyAlignment="0" applyProtection="0"/>
    <xf numFmtId="0" fontId="1" fillId="65" borderId="0" applyNumberFormat="0" applyBorder="0" applyAlignment="0" applyProtection="0"/>
    <xf numFmtId="0" fontId="1" fillId="68" borderId="0" applyNumberFormat="0" applyBorder="0" applyAlignment="0" applyProtection="0"/>
    <xf numFmtId="0" fontId="1" fillId="69" borderId="0" applyNumberFormat="0" applyBorder="0" applyAlignment="0" applyProtection="0"/>
    <xf numFmtId="0" fontId="1" fillId="72" borderId="0" applyNumberFormat="0" applyBorder="0" applyAlignment="0" applyProtection="0"/>
    <xf numFmtId="0" fontId="1" fillId="73" borderId="0" applyNumberFormat="0" applyBorder="0" applyAlignment="0" applyProtection="0"/>
    <xf numFmtId="0" fontId="1" fillId="76" borderId="0" applyNumberFormat="0" applyBorder="0" applyAlignment="0" applyProtection="0"/>
    <xf numFmtId="0" fontId="1" fillId="77" borderId="0" applyNumberFormat="0" applyBorder="0" applyAlignment="0" applyProtection="0"/>
    <xf numFmtId="0" fontId="1" fillId="80" borderId="0" applyNumberFormat="0" applyBorder="0" applyAlignment="0" applyProtection="0"/>
    <xf numFmtId="0" fontId="1" fillId="81" borderId="0" applyNumberFormat="0" applyBorder="0" applyAlignment="0" applyProtection="0"/>
    <xf numFmtId="0" fontId="1" fillId="58" borderId="104" applyNumberFormat="0" applyFont="0" applyAlignment="0" applyProtection="0"/>
    <xf numFmtId="0" fontId="1" fillId="58" borderId="104" applyNumberFormat="0" applyFont="0" applyAlignment="0" applyProtection="0"/>
    <xf numFmtId="0" fontId="1" fillId="60" borderId="0" applyNumberFormat="0" applyBorder="0" applyAlignment="0" applyProtection="0"/>
    <xf numFmtId="0" fontId="1" fillId="61" borderId="0" applyNumberFormat="0" applyBorder="0" applyAlignment="0" applyProtection="0"/>
    <xf numFmtId="0" fontId="1" fillId="64" borderId="0" applyNumberFormat="0" applyBorder="0" applyAlignment="0" applyProtection="0"/>
    <xf numFmtId="0" fontId="1" fillId="65" borderId="0" applyNumberFormat="0" applyBorder="0" applyAlignment="0" applyProtection="0"/>
    <xf numFmtId="0" fontId="1" fillId="68" borderId="0" applyNumberFormat="0" applyBorder="0" applyAlignment="0" applyProtection="0"/>
    <xf numFmtId="0" fontId="1" fillId="69" borderId="0" applyNumberFormat="0" applyBorder="0" applyAlignment="0" applyProtection="0"/>
    <xf numFmtId="0" fontId="1" fillId="72" borderId="0" applyNumberFormat="0" applyBorder="0" applyAlignment="0" applyProtection="0"/>
    <xf numFmtId="0" fontId="1" fillId="73" borderId="0" applyNumberFormat="0" applyBorder="0" applyAlignment="0" applyProtection="0"/>
    <xf numFmtId="0" fontId="1" fillId="76" borderId="0" applyNumberFormat="0" applyBorder="0" applyAlignment="0" applyProtection="0"/>
    <xf numFmtId="0" fontId="1" fillId="77" borderId="0" applyNumberFormat="0" applyBorder="0" applyAlignment="0" applyProtection="0"/>
    <xf numFmtId="0" fontId="1" fillId="80" borderId="0" applyNumberFormat="0" applyBorder="0" applyAlignment="0" applyProtection="0"/>
    <xf numFmtId="0" fontId="1" fillId="81" borderId="0" applyNumberFormat="0" applyBorder="0" applyAlignment="0" applyProtection="0"/>
    <xf numFmtId="0" fontId="1" fillId="60" borderId="0" applyNumberFormat="0" applyBorder="0" applyAlignment="0" applyProtection="0"/>
    <xf numFmtId="0" fontId="1" fillId="61" borderId="0" applyNumberFormat="0" applyBorder="0" applyAlignment="0" applyProtection="0"/>
    <xf numFmtId="0" fontId="1" fillId="64" borderId="0" applyNumberFormat="0" applyBorder="0" applyAlignment="0" applyProtection="0"/>
    <xf numFmtId="0" fontId="1" fillId="65" borderId="0" applyNumberFormat="0" applyBorder="0" applyAlignment="0" applyProtection="0"/>
    <xf numFmtId="0" fontId="1" fillId="68" borderId="0" applyNumberFormat="0" applyBorder="0" applyAlignment="0" applyProtection="0"/>
    <xf numFmtId="0" fontId="1" fillId="69" borderId="0" applyNumberFormat="0" applyBorder="0" applyAlignment="0" applyProtection="0"/>
    <xf numFmtId="0" fontId="1" fillId="72" borderId="0" applyNumberFormat="0" applyBorder="0" applyAlignment="0" applyProtection="0"/>
    <xf numFmtId="0" fontId="1" fillId="73" borderId="0" applyNumberFormat="0" applyBorder="0" applyAlignment="0" applyProtection="0"/>
    <xf numFmtId="0" fontId="1" fillId="76" borderId="0" applyNumberFormat="0" applyBorder="0" applyAlignment="0" applyProtection="0"/>
    <xf numFmtId="0" fontId="1" fillId="77" borderId="0" applyNumberFormat="0" applyBorder="0" applyAlignment="0" applyProtection="0"/>
    <xf numFmtId="0" fontId="1" fillId="80" borderId="0" applyNumberFormat="0" applyBorder="0" applyAlignment="0" applyProtection="0"/>
    <xf numFmtId="0" fontId="1" fillId="81" borderId="0" applyNumberFormat="0" applyBorder="0" applyAlignment="0" applyProtection="0"/>
    <xf numFmtId="0" fontId="1" fillId="58" borderId="104" applyNumberFormat="0" applyFont="0" applyAlignment="0" applyProtection="0"/>
    <xf numFmtId="0" fontId="1" fillId="0" borderId="0"/>
    <xf numFmtId="0" fontId="1" fillId="26" borderId="0" applyNumberFormat="0" applyBorder="0" applyAlignment="0" applyProtection="0"/>
    <xf numFmtId="0" fontId="1" fillId="9" borderId="0" applyNumberFormat="0" applyBorder="0" applyAlignment="0" applyProtection="0"/>
    <xf numFmtId="0" fontId="1" fillId="0" borderId="0"/>
    <xf numFmtId="0" fontId="1" fillId="60" borderId="0" applyNumberFormat="0" applyBorder="0" applyAlignment="0" applyProtection="0"/>
    <xf numFmtId="0" fontId="1" fillId="61" borderId="0" applyNumberFormat="0" applyBorder="0" applyAlignment="0" applyProtection="0"/>
    <xf numFmtId="0" fontId="1" fillId="64" borderId="0" applyNumberFormat="0" applyBorder="0" applyAlignment="0" applyProtection="0"/>
    <xf numFmtId="0" fontId="1" fillId="65" borderId="0" applyNumberFormat="0" applyBorder="0" applyAlignment="0" applyProtection="0"/>
    <xf numFmtId="0" fontId="1" fillId="68" borderId="0" applyNumberFormat="0" applyBorder="0" applyAlignment="0" applyProtection="0"/>
    <xf numFmtId="0" fontId="1" fillId="69" borderId="0" applyNumberFormat="0" applyBorder="0" applyAlignment="0" applyProtection="0"/>
    <xf numFmtId="0" fontId="1" fillId="72" borderId="0" applyNumberFormat="0" applyBorder="0" applyAlignment="0" applyProtection="0"/>
    <xf numFmtId="0" fontId="1" fillId="73" borderId="0" applyNumberFormat="0" applyBorder="0" applyAlignment="0" applyProtection="0"/>
    <xf numFmtId="0" fontId="1" fillId="76" borderId="0" applyNumberFormat="0" applyBorder="0" applyAlignment="0" applyProtection="0"/>
    <xf numFmtId="0" fontId="1" fillId="77" borderId="0" applyNumberFormat="0" applyBorder="0" applyAlignment="0" applyProtection="0"/>
    <xf numFmtId="0" fontId="1" fillId="80" borderId="0" applyNumberFormat="0" applyBorder="0" applyAlignment="0" applyProtection="0"/>
    <xf numFmtId="0" fontId="1" fillId="81" borderId="0" applyNumberFormat="0" applyBorder="0" applyAlignment="0" applyProtection="0"/>
    <xf numFmtId="0" fontId="1" fillId="58" borderId="104" applyNumberFormat="0" applyFont="0" applyAlignment="0" applyProtection="0"/>
    <xf numFmtId="0" fontId="1" fillId="58" borderId="104" applyNumberFormat="0" applyFont="0" applyAlignment="0" applyProtection="0"/>
    <xf numFmtId="0" fontId="1" fillId="60" borderId="0" applyNumberFormat="0" applyBorder="0" applyAlignment="0" applyProtection="0"/>
    <xf numFmtId="0" fontId="1" fillId="61" borderId="0" applyNumberFormat="0" applyBorder="0" applyAlignment="0" applyProtection="0"/>
    <xf numFmtId="0" fontId="1" fillId="64" borderId="0" applyNumberFormat="0" applyBorder="0" applyAlignment="0" applyProtection="0"/>
    <xf numFmtId="0" fontId="1" fillId="65" borderId="0" applyNumberFormat="0" applyBorder="0" applyAlignment="0" applyProtection="0"/>
    <xf numFmtId="0" fontId="1" fillId="68" borderId="0" applyNumberFormat="0" applyBorder="0" applyAlignment="0" applyProtection="0"/>
    <xf numFmtId="0" fontId="1" fillId="69" borderId="0" applyNumberFormat="0" applyBorder="0" applyAlignment="0" applyProtection="0"/>
    <xf numFmtId="0" fontId="1" fillId="72" borderId="0" applyNumberFormat="0" applyBorder="0" applyAlignment="0" applyProtection="0"/>
    <xf numFmtId="0" fontId="1" fillId="73" borderId="0" applyNumberFormat="0" applyBorder="0" applyAlignment="0" applyProtection="0"/>
    <xf numFmtId="0" fontId="1" fillId="76" borderId="0" applyNumberFormat="0" applyBorder="0" applyAlignment="0" applyProtection="0"/>
    <xf numFmtId="0" fontId="1" fillId="77" borderId="0" applyNumberFormat="0" applyBorder="0" applyAlignment="0" applyProtection="0"/>
    <xf numFmtId="0" fontId="1" fillId="80" borderId="0" applyNumberFormat="0" applyBorder="0" applyAlignment="0" applyProtection="0"/>
    <xf numFmtId="0" fontId="1" fillId="81" borderId="0" applyNumberFormat="0" applyBorder="0" applyAlignment="0" applyProtection="0"/>
    <xf numFmtId="0" fontId="1" fillId="60" borderId="0" applyNumberFormat="0" applyBorder="0" applyAlignment="0" applyProtection="0"/>
    <xf numFmtId="0" fontId="1" fillId="61" borderId="0" applyNumberFormat="0" applyBorder="0" applyAlignment="0" applyProtection="0"/>
    <xf numFmtId="0" fontId="1" fillId="64" borderId="0" applyNumberFormat="0" applyBorder="0" applyAlignment="0" applyProtection="0"/>
    <xf numFmtId="0" fontId="1" fillId="65" borderId="0" applyNumberFormat="0" applyBorder="0" applyAlignment="0" applyProtection="0"/>
    <xf numFmtId="0" fontId="1" fillId="68" borderId="0" applyNumberFormat="0" applyBorder="0" applyAlignment="0" applyProtection="0"/>
    <xf numFmtId="0" fontId="1" fillId="69" borderId="0" applyNumberFormat="0" applyBorder="0" applyAlignment="0" applyProtection="0"/>
    <xf numFmtId="0" fontId="1" fillId="72" borderId="0" applyNumberFormat="0" applyBorder="0" applyAlignment="0" applyProtection="0"/>
    <xf numFmtId="0" fontId="1" fillId="73" borderId="0" applyNumberFormat="0" applyBorder="0" applyAlignment="0" applyProtection="0"/>
    <xf numFmtId="0" fontId="1" fillId="76" borderId="0" applyNumberFormat="0" applyBorder="0" applyAlignment="0" applyProtection="0"/>
    <xf numFmtId="0" fontId="1" fillId="77" borderId="0" applyNumberFormat="0" applyBorder="0" applyAlignment="0" applyProtection="0"/>
    <xf numFmtId="0" fontId="1" fillId="80" borderId="0" applyNumberFormat="0" applyBorder="0" applyAlignment="0" applyProtection="0"/>
    <xf numFmtId="0" fontId="1" fillId="81" borderId="0" applyNumberFormat="0" applyBorder="0" applyAlignment="0" applyProtection="0"/>
    <xf numFmtId="0" fontId="1" fillId="58" borderId="104" applyNumberFormat="0" applyFont="0" applyAlignment="0" applyProtection="0"/>
    <xf numFmtId="0" fontId="1" fillId="60" borderId="0" applyNumberFormat="0" applyBorder="0" applyAlignment="0" applyProtection="0"/>
    <xf numFmtId="0" fontId="1" fillId="61" borderId="0" applyNumberFormat="0" applyBorder="0" applyAlignment="0" applyProtection="0"/>
    <xf numFmtId="0" fontId="1" fillId="64" borderId="0" applyNumberFormat="0" applyBorder="0" applyAlignment="0" applyProtection="0"/>
    <xf numFmtId="0" fontId="1" fillId="65" borderId="0" applyNumberFormat="0" applyBorder="0" applyAlignment="0" applyProtection="0"/>
    <xf numFmtId="0" fontId="1" fillId="68" borderId="0" applyNumberFormat="0" applyBorder="0" applyAlignment="0" applyProtection="0"/>
    <xf numFmtId="0" fontId="1" fillId="69" borderId="0" applyNumberFormat="0" applyBorder="0" applyAlignment="0" applyProtection="0"/>
    <xf numFmtId="0" fontId="1" fillId="72" borderId="0" applyNumberFormat="0" applyBorder="0" applyAlignment="0" applyProtection="0"/>
    <xf numFmtId="0" fontId="1" fillId="73" borderId="0" applyNumberFormat="0" applyBorder="0" applyAlignment="0" applyProtection="0"/>
    <xf numFmtId="0" fontId="1" fillId="76" borderId="0" applyNumberFormat="0" applyBorder="0" applyAlignment="0" applyProtection="0"/>
    <xf numFmtId="0" fontId="1" fillId="77" borderId="0" applyNumberFormat="0" applyBorder="0" applyAlignment="0" applyProtection="0"/>
    <xf numFmtId="0" fontId="1" fillId="80" borderId="0" applyNumberFormat="0" applyBorder="0" applyAlignment="0" applyProtection="0"/>
    <xf numFmtId="0" fontId="1" fillId="81" borderId="0" applyNumberFormat="0" applyBorder="0" applyAlignment="0" applyProtection="0"/>
    <xf numFmtId="0" fontId="1" fillId="58" borderId="104" applyNumberFormat="0" applyFont="0" applyAlignment="0" applyProtection="0"/>
    <xf numFmtId="0" fontId="1" fillId="58" borderId="104" applyNumberFormat="0" applyFont="0" applyAlignment="0" applyProtection="0"/>
    <xf numFmtId="0" fontId="1" fillId="60" borderId="0" applyNumberFormat="0" applyBorder="0" applyAlignment="0" applyProtection="0"/>
    <xf numFmtId="0" fontId="1" fillId="61" borderId="0" applyNumberFormat="0" applyBorder="0" applyAlignment="0" applyProtection="0"/>
    <xf numFmtId="0" fontId="1" fillId="64" borderId="0" applyNumberFormat="0" applyBorder="0" applyAlignment="0" applyProtection="0"/>
    <xf numFmtId="0" fontId="1" fillId="65" borderId="0" applyNumberFormat="0" applyBorder="0" applyAlignment="0" applyProtection="0"/>
    <xf numFmtId="0" fontId="1" fillId="68" borderId="0" applyNumberFormat="0" applyBorder="0" applyAlignment="0" applyProtection="0"/>
    <xf numFmtId="0" fontId="1" fillId="69" borderId="0" applyNumberFormat="0" applyBorder="0" applyAlignment="0" applyProtection="0"/>
    <xf numFmtId="0" fontId="1" fillId="72" borderId="0" applyNumberFormat="0" applyBorder="0" applyAlignment="0" applyProtection="0"/>
    <xf numFmtId="0" fontId="1" fillId="73" borderId="0" applyNumberFormat="0" applyBorder="0" applyAlignment="0" applyProtection="0"/>
    <xf numFmtId="0" fontId="1" fillId="76" borderId="0" applyNumberFormat="0" applyBorder="0" applyAlignment="0" applyProtection="0"/>
    <xf numFmtId="0" fontId="1" fillId="77" borderId="0" applyNumberFormat="0" applyBorder="0" applyAlignment="0" applyProtection="0"/>
    <xf numFmtId="0" fontId="1" fillId="80" borderId="0" applyNumberFormat="0" applyBorder="0" applyAlignment="0" applyProtection="0"/>
    <xf numFmtId="0" fontId="1" fillId="81" borderId="0" applyNumberFormat="0" applyBorder="0" applyAlignment="0" applyProtection="0"/>
    <xf numFmtId="0" fontId="1" fillId="60" borderId="0" applyNumberFormat="0" applyBorder="0" applyAlignment="0" applyProtection="0"/>
    <xf numFmtId="0" fontId="1" fillId="61" borderId="0" applyNumberFormat="0" applyBorder="0" applyAlignment="0" applyProtection="0"/>
    <xf numFmtId="0" fontId="1" fillId="64" borderId="0" applyNumberFormat="0" applyBorder="0" applyAlignment="0" applyProtection="0"/>
    <xf numFmtId="0" fontId="1" fillId="65" borderId="0" applyNumberFormat="0" applyBorder="0" applyAlignment="0" applyProtection="0"/>
    <xf numFmtId="0" fontId="1" fillId="68" borderId="0" applyNumberFormat="0" applyBorder="0" applyAlignment="0" applyProtection="0"/>
    <xf numFmtId="0" fontId="1" fillId="69" borderId="0" applyNumberFormat="0" applyBorder="0" applyAlignment="0" applyProtection="0"/>
    <xf numFmtId="0" fontId="1" fillId="72" borderId="0" applyNumberFormat="0" applyBorder="0" applyAlignment="0" applyProtection="0"/>
    <xf numFmtId="0" fontId="1" fillId="73" borderId="0" applyNumberFormat="0" applyBorder="0" applyAlignment="0" applyProtection="0"/>
    <xf numFmtId="0" fontId="1" fillId="76" borderId="0" applyNumberFormat="0" applyBorder="0" applyAlignment="0" applyProtection="0"/>
    <xf numFmtId="0" fontId="1" fillId="77" borderId="0" applyNumberFormat="0" applyBorder="0" applyAlignment="0" applyProtection="0"/>
    <xf numFmtId="0" fontId="1" fillId="80" borderId="0" applyNumberFormat="0" applyBorder="0" applyAlignment="0" applyProtection="0"/>
    <xf numFmtId="0" fontId="1" fillId="81" borderId="0" applyNumberFormat="0" applyBorder="0" applyAlignment="0" applyProtection="0"/>
    <xf numFmtId="0" fontId="1" fillId="58" borderId="104" applyNumberFormat="0" applyFont="0" applyAlignment="0" applyProtection="0"/>
    <xf numFmtId="0" fontId="1" fillId="60" borderId="0" applyNumberFormat="0" applyBorder="0" applyAlignment="0" applyProtection="0"/>
    <xf numFmtId="0" fontId="1" fillId="61" borderId="0" applyNumberFormat="0" applyBorder="0" applyAlignment="0" applyProtection="0"/>
    <xf numFmtId="0" fontId="1" fillId="64" borderId="0" applyNumberFormat="0" applyBorder="0" applyAlignment="0" applyProtection="0"/>
    <xf numFmtId="0" fontId="1" fillId="65" borderId="0" applyNumberFormat="0" applyBorder="0" applyAlignment="0" applyProtection="0"/>
    <xf numFmtId="0" fontId="1" fillId="68" borderId="0" applyNumberFormat="0" applyBorder="0" applyAlignment="0" applyProtection="0"/>
    <xf numFmtId="0" fontId="1" fillId="69" borderId="0" applyNumberFormat="0" applyBorder="0" applyAlignment="0" applyProtection="0"/>
    <xf numFmtId="0" fontId="1" fillId="72" borderId="0" applyNumberFormat="0" applyBorder="0" applyAlignment="0" applyProtection="0"/>
    <xf numFmtId="0" fontId="1" fillId="73" borderId="0" applyNumberFormat="0" applyBorder="0" applyAlignment="0" applyProtection="0"/>
    <xf numFmtId="0" fontId="1" fillId="76" borderId="0" applyNumberFormat="0" applyBorder="0" applyAlignment="0" applyProtection="0"/>
    <xf numFmtId="0" fontId="1" fillId="77" borderId="0" applyNumberFormat="0" applyBorder="0" applyAlignment="0" applyProtection="0"/>
    <xf numFmtId="0" fontId="1" fillId="80" borderId="0" applyNumberFormat="0" applyBorder="0" applyAlignment="0" applyProtection="0"/>
    <xf numFmtId="0" fontId="1" fillId="81" borderId="0" applyNumberFormat="0" applyBorder="0" applyAlignment="0" applyProtection="0"/>
    <xf numFmtId="0" fontId="1" fillId="58" borderId="104" applyNumberFormat="0" applyFont="0" applyAlignment="0" applyProtection="0"/>
    <xf numFmtId="0" fontId="1" fillId="58" borderId="104" applyNumberFormat="0" applyFont="0" applyAlignment="0" applyProtection="0"/>
    <xf numFmtId="0" fontId="1" fillId="60" borderId="0" applyNumberFormat="0" applyBorder="0" applyAlignment="0" applyProtection="0"/>
    <xf numFmtId="0" fontId="1" fillId="61" borderId="0" applyNumberFormat="0" applyBorder="0" applyAlignment="0" applyProtection="0"/>
    <xf numFmtId="0" fontId="1" fillId="64" borderId="0" applyNumberFormat="0" applyBorder="0" applyAlignment="0" applyProtection="0"/>
    <xf numFmtId="0" fontId="1" fillId="65" borderId="0" applyNumberFormat="0" applyBorder="0" applyAlignment="0" applyProtection="0"/>
    <xf numFmtId="0" fontId="1" fillId="68" borderId="0" applyNumberFormat="0" applyBorder="0" applyAlignment="0" applyProtection="0"/>
    <xf numFmtId="0" fontId="1" fillId="69" borderId="0" applyNumberFormat="0" applyBorder="0" applyAlignment="0" applyProtection="0"/>
    <xf numFmtId="0" fontId="1" fillId="72" borderId="0" applyNumberFormat="0" applyBorder="0" applyAlignment="0" applyProtection="0"/>
    <xf numFmtId="0" fontId="1" fillId="73" borderId="0" applyNumberFormat="0" applyBorder="0" applyAlignment="0" applyProtection="0"/>
    <xf numFmtId="0" fontId="1" fillId="76" borderId="0" applyNumberFormat="0" applyBorder="0" applyAlignment="0" applyProtection="0"/>
    <xf numFmtId="0" fontId="1" fillId="77" borderId="0" applyNumberFormat="0" applyBorder="0" applyAlignment="0" applyProtection="0"/>
    <xf numFmtId="0" fontId="1" fillId="80" borderId="0" applyNumberFormat="0" applyBorder="0" applyAlignment="0" applyProtection="0"/>
    <xf numFmtId="0" fontId="1" fillId="81" borderId="0" applyNumberFormat="0" applyBorder="0" applyAlignment="0" applyProtection="0"/>
    <xf numFmtId="0" fontId="1" fillId="60" borderId="0" applyNumberFormat="0" applyBorder="0" applyAlignment="0" applyProtection="0"/>
    <xf numFmtId="0" fontId="1" fillId="61" borderId="0" applyNumberFormat="0" applyBorder="0" applyAlignment="0" applyProtection="0"/>
    <xf numFmtId="0" fontId="1" fillId="64" borderId="0" applyNumberFormat="0" applyBorder="0" applyAlignment="0" applyProtection="0"/>
    <xf numFmtId="0" fontId="1" fillId="65" borderId="0" applyNumberFormat="0" applyBorder="0" applyAlignment="0" applyProtection="0"/>
    <xf numFmtId="0" fontId="1" fillId="68" borderId="0" applyNumberFormat="0" applyBorder="0" applyAlignment="0" applyProtection="0"/>
    <xf numFmtId="0" fontId="1" fillId="69" borderId="0" applyNumberFormat="0" applyBorder="0" applyAlignment="0" applyProtection="0"/>
    <xf numFmtId="0" fontId="1" fillId="72" borderId="0" applyNumberFormat="0" applyBorder="0" applyAlignment="0" applyProtection="0"/>
    <xf numFmtId="0" fontId="1" fillId="73" borderId="0" applyNumberFormat="0" applyBorder="0" applyAlignment="0" applyProtection="0"/>
    <xf numFmtId="0" fontId="1" fillId="76" borderId="0" applyNumberFormat="0" applyBorder="0" applyAlignment="0" applyProtection="0"/>
    <xf numFmtId="0" fontId="1" fillId="77" borderId="0" applyNumberFormat="0" applyBorder="0" applyAlignment="0" applyProtection="0"/>
    <xf numFmtId="0" fontId="1" fillId="80" borderId="0" applyNumberFormat="0" applyBorder="0" applyAlignment="0" applyProtection="0"/>
    <xf numFmtId="0" fontId="1" fillId="81" borderId="0" applyNumberFormat="0" applyBorder="0" applyAlignment="0" applyProtection="0"/>
    <xf numFmtId="0" fontId="1" fillId="58" borderId="104" applyNumberFormat="0" applyFont="0" applyAlignment="0" applyProtection="0"/>
    <xf numFmtId="0" fontId="1" fillId="26" borderId="0" applyNumberFormat="0" applyBorder="0" applyAlignment="0" applyProtection="0"/>
    <xf numFmtId="0" fontId="1" fillId="60" borderId="0" applyNumberFormat="0" applyBorder="0" applyAlignment="0" applyProtection="0"/>
    <xf numFmtId="0" fontId="1" fillId="60" borderId="0" applyNumberFormat="0" applyBorder="0" applyAlignment="0" applyProtection="0"/>
    <xf numFmtId="0" fontId="1" fillId="60" borderId="0" applyNumberFormat="0" applyBorder="0" applyAlignment="0" applyProtection="0"/>
    <xf numFmtId="0" fontId="1" fillId="60" borderId="0" applyNumberFormat="0" applyBorder="0" applyAlignment="0" applyProtection="0"/>
    <xf numFmtId="0" fontId="1" fillId="60" borderId="0" applyNumberFormat="0" applyBorder="0" applyAlignment="0" applyProtection="0"/>
    <xf numFmtId="0" fontId="1" fillId="60" borderId="0" applyNumberFormat="0" applyBorder="0" applyAlignment="0" applyProtection="0"/>
    <xf numFmtId="0" fontId="1" fillId="60" borderId="0" applyNumberFormat="0" applyBorder="0" applyAlignment="0" applyProtection="0"/>
    <xf numFmtId="0" fontId="1" fillId="60" borderId="0" applyNumberFormat="0" applyBorder="0" applyAlignment="0" applyProtection="0"/>
    <xf numFmtId="0" fontId="1" fillId="60" borderId="0" applyNumberFormat="0" applyBorder="0" applyAlignment="0" applyProtection="0"/>
    <xf numFmtId="0" fontId="1" fillId="64" borderId="0" applyNumberFormat="0" applyBorder="0" applyAlignment="0" applyProtection="0"/>
    <xf numFmtId="0" fontId="1" fillId="64" borderId="0" applyNumberFormat="0" applyBorder="0" applyAlignment="0" applyProtection="0"/>
    <xf numFmtId="0" fontId="1" fillId="64" borderId="0" applyNumberFormat="0" applyBorder="0" applyAlignment="0" applyProtection="0"/>
    <xf numFmtId="0" fontId="1" fillId="64" borderId="0" applyNumberFormat="0" applyBorder="0" applyAlignment="0" applyProtection="0"/>
    <xf numFmtId="0" fontId="1" fillId="64" borderId="0" applyNumberFormat="0" applyBorder="0" applyAlignment="0" applyProtection="0"/>
    <xf numFmtId="0" fontId="1" fillId="64" borderId="0" applyNumberFormat="0" applyBorder="0" applyAlignment="0" applyProtection="0"/>
    <xf numFmtId="0" fontId="1" fillId="64" borderId="0" applyNumberFormat="0" applyBorder="0" applyAlignment="0" applyProtection="0"/>
    <xf numFmtId="0" fontId="1" fillId="64" borderId="0" applyNumberFormat="0" applyBorder="0" applyAlignment="0" applyProtection="0"/>
    <xf numFmtId="0" fontId="1" fillId="64" borderId="0" applyNumberFormat="0" applyBorder="0" applyAlignment="0" applyProtection="0"/>
    <xf numFmtId="0" fontId="1" fillId="68" borderId="0" applyNumberFormat="0" applyBorder="0" applyAlignment="0" applyProtection="0"/>
    <xf numFmtId="0" fontId="1" fillId="68" borderId="0" applyNumberFormat="0" applyBorder="0" applyAlignment="0" applyProtection="0"/>
    <xf numFmtId="0" fontId="1" fillId="68" borderId="0" applyNumberFormat="0" applyBorder="0" applyAlignment="0" applyProtection="0"/>
    <xf numFmtId="0" fontId="1" fillId="68" borderId="0" applyNumberFormat="0" applyBorder="0" applyAlignment="0" applyProtection="0"/>
    <xf numFmtId="0" fontId="1" fillId="68" borderId="0" applyNumberFormat="0" applyBorder="0" applyAlignment="0" applyProtection="0"/>
    <xf numFmtId="0" fontId="1" fillId="68" borderId="0" applyNumberFormat="0" applyBorder="0" applyAlignment="0" applyProtection="0"/>
    <xf numFmtId="0" fontId="1" fillId="68" borderId="0" applyNumberFormat="0" applyBorder="0" applyAlignment="0" applyProtection="0"/>
    <xf numFmtId="0" fontId="1" fillId="68" borderId="0" applyNumberFormat="0" applyBorder="0" applyAlignment="0" applyProtection="0"/>
    <xf numFmtId="0" fontId="1" fillId="68" borderId="0" applyNumberFormat="0" applyBorder="0" applyAlignment="0" applyProtection="0"/>
    <xf numFmtId="0" fontId="1" fillId="72" borderId="0" applyNumberFormat="0" applyBorder="0" applyAlignment="0" applyProtection="0"/>
    <xf numFmtId="0" fontId="1" fillId="72" borderId="0" applyNumberFormat="0" applyBorder="0" applyAlignment="0" applyProtection="0"/>
    <xf numFmtId="0" fontId="1" fillId="72" borderId="0" applyNumberFormat="0" applyBorder="0" applyAlignment="0" applyProtection="0"/>
    <xf numFmtId="0" fontId="1" fillId="72" borderId="0" applyNumberFormat="0" applyBorder="0" applyAlignment="0" applyProtection="0"/>
    <xf numFmtId="0" fontId="1" fillId="72" borderId="0" applyNumberFormat="0" applyBorder="0" applyAlignment="0" applyProtection="0"/>
    <xf numFmtId="0" fontId="1" fillId="72" borderId="0" applyNumberFormat="0" applyBorder="0" applyAlignment="0" applyProtection="0"/>
    <xf numFmtId="0" fontId="1" fillId="72" borderId="0" applyNumberFormat="0" applyBorder="0" applyAlignment="0" applyProtection="0"/>
    <xf numFmtId="0" fontId="1" fillId="72" borderId="0" applyNumberFormat="0" applyBorder="0" applyAlignment="0" applyProtection="0"/>
    <xf numFmtId="0" fontId="1" fillId="72" borderId="0" applyNumberFormat="0" applyBorder="0" applyAlignment="0" applyProtection="0"/>
    <xf numFmtId="0" fontId="1" fillId="76" borderId="0" applyNumberFormat="0" applyBorder="0" applyAlignment="0" applyProtection="0"/>
    <xf numFmtId="0" fontId="1" fillId="76" borderId="0" applyNumberFormat="0" applyBorder="0" applyAlignment="0" applyProtection="0"/>
    <xf numFmtId="0" fontId="1" fillId="76" borderId="0" applyNumberFormat="0" applyBorder="0" applyAlignment="0" applyProtection="0"/>
    <xf numFmtId="0" fontId="1" fillId="76" borderId="0" applyNumberFormat="0" applyBorder="0" applyAlignment="0" applyProtection="0"/>
    <xf numFmtId="0" fontId="1" fillId="76" borderId="0" applyNumberFormat="0" applyBorder="0" applyAlignment="0" applyProtection="0"/>
    <xf numFmtId="0" fontId="1" fillId="76" borderId="0" applyNumberFormat="0" applyBorder="0" applyAlignment="0" applyProtection="0"/>
    <xf numFmtId="0" fontId="1" fillId="76" borderId="0" applyNumberFormat="0" applyBorder="0" applyAlignment="0" applyProtection="0"/>
    <xf numFmtId="0" fontId="1" fillId="76" borderId="0" applyNumberFormat="0" applyBorder="0" applyAlignment="0" applyProtection="0"/>
    <xf numFmtId="0" fontId="1" fillId="76" borderId="0" applyNumberFormat="0" applyBorder="0" applyAlignment="0" applyProtection="0"/>
    <xf numFmtId="0" fontId="1" fillId="80" borderId="0" applyNumberFormat="0" applyBorder="0" applyAlignment="0" applyProtection="0"/>
    <xf numFmtId="0" fontId="1" fillId="80" borderId="0" applyNumberFormat="0" applyBorder="0" applyAlignment="0" applyProtection="0"/>
    <xf numFmtId="0" fontId="1" fillId="80" borderId="0" applyNumberFormat="0" applyBorder="0" applyAlignment="0" applyProtection="0"/>
    <xf numFmtId="0" fontId="1" fillId="80" borderId="0" applyNumberFormat="0" applyBorder="0" applyAlignment="0" applyProtection="0"/>
    <xf numFmtId="0" fontId="1" fillId="80" borderId="0" applyNumberFormat="0" applyBorder="0" applyAlignment="0" applyProtection="0"/>
    <xf numFmtId="0" fontId="1" fillId="80" borderId="0" applyNumberFormat="0" applyBorder="0" applyAlignment="0" applyProtection="0"/>
    <xf numFmtId="0" fontId="1" fillId="80" borderId="0" applyNumberFormat="0" applyBorder="0" applyAlignment="0" applyProtection="0"/>
    <xf numFmtId="0" fontId="1" fillId="80" borderId="0" applyNumberFormat="0" applyBorder="0" applyAlignment="0" applyProtection="0"/>
    <xf numFmtId="0" fontId="1" fillId="80" borderId="0" applyNumberFormat="0" applyBorder="0" applyAlignment="0" applyProtection="0"/>
    <xf numFmtId="0" fontId="1" fillId="61" borderId="0" applyNumberFormat="0" applyBorder="0" applyAlignment="0" applyProtection="0"/>
    <xf numFmtId="0" fontId="1" fillId="61" borderId="0" applyNumberFormat="0" applyBorder="0" applyAlignment="0" applyProtection="0"/>
    <xf numFmtId="0" fontId="1" fillId="61" borderId="0" applyNumberFormat="0" applyBorder="0" applyAlignment="0" applyProtection="0"/>
    <xf numFmtId="0" fontId="1" fillId="61" borderId="0" applyNumberFormat="0" applyBorder="0" applyAlignment="0" applyProtection="0"/>
    <xf numFmtId="0" fontId="1" fillId="61" borderId="0" applyNumberFormat="0" applyBorder="0" applyAlignment="0" applyProtection="0"/>
    <xf numFmtId="0" fontId="1" fillId="61" borderId="0" applyNumberFormat="0" applyBorder="0" applyAlignment="0" applyProtection="0"/>
    <xf numFmtId="0" fontId="1" fillId="61" borderId="0" applyNumberFormat="0" applyBorder="0" applyAlignment="0" applyProtection="0"/>
    <xf numFmtId="0" fontId="1" fillId="61" borderId="0" applyNumberFormat="0" applyBorder="0" applyAlignment="0" applyProtection="0"/>
    <xf numFmtId="0" fontId="1" fillId="61" borderId="0" applyNumberFormat="0" applyBorder="0" applyAlignment="0" applyProtection="0"/>
    <xf numFmtId="0" fontId="1" fillId="65" borderId="0" applyNumberFormat="0" applyBorder="0" applyAlignment="0" applyProtection="0"/>
    <xf numFmtId="0" fontId="1" fillId="65" borderId="0" applyNumberFormat="0" applyBorder="0" applyAlignment="0" applyProtection="0"/>
    <xf numFmtId="0" fontId="1" fillId="65" borderId="0" applyNumberFormat="0" applyBorder="0" applyAlignment="0" applyProtection="0"/>
    <xf numFmtId="0" fontId="1" fillId="65" borderId="0" applyNumberFormat="0" applyBorder="0" applyAlignment="0" applyProtection="0"/>
    <xf numFmtId="0" fontId="1" fillId="65" borderId="0" applyNumberFormat="0" applyBorder="0" applyAlignment="0" applyProtection="0"/>
    <xf numFmtId="0" fontId="1" fillId="65" borderId="0" applyNumberFormat="0" applyBorder="0" applyAlignment="0" applyProtection="0"/>
    <xf numFmtId="0" fontId="1" fillId="65" borderId="0" applyNumberFormat="0" applyBorder="0" applyAlignment="0" applyProtection="0"/>
    <xf numFmtId="0" fontId="1" fillId="65" borderId="0" applyNumberFormat="0" applyBorder="0" applyAlignment="0" applyProtection="0"/>
    <xf numFmtId="0" fontId="1" fillId="65" borderId="0" applyNumberFormat="0" applyBorder="0" applyAlignment="0" applyProtection="0"/>
    <xf numFmtId="0" fontId="1" fillId="69" borderId="0" applyNumberFormat="0" applyBorder="0" applyAlignment="0" applyProtection="0"/>
    <xf numFmtId="0" fontId="1" fillId="69" borderId="0" applyNumberFormat="0" applyBorder="0" applyAlignment="0" applyProtection="0"/>
    <xf numFmtId="0" fontId="1" fillId="69" borderId="0" applyNumberFormat="0" applyBorder="0" applyAlignment="0" applyProtection="0"/>
    <xf numFmtId="0" fontId="1" fillId="69" borderId="0" applyNumberFormat="0" applyBorder="0" applyAlignment="0" applyProtection="0"/>
    <xf numFmtId="0" fontId="1" fillId="69" borderId="0" applyNumberFormat="0" applyBorder="0" applyAlignment="0" applyProtection="0"/>
    <xf numFmtId="0" fontId="1" fillId="69" borderId="0" applyNumberFormat="0" applyBorder="0" applyAlignment="0" applyProtection="0"/>
    <xf numFmtId="0" fontId="1" fillId="69" borderId="0" applyNumberFormat="0" applyBorder="0" applyAlignment="0" applyProtection="0"/>
    <xf numFmtId="0" fontId="1" fillId="69" borderId="0" applyNumberFormat="0" applyBorder="0" applyAlignment="0" applyProtection="0"/>
    <xf numFmtId="0" fontId="1" fillId="69" borderId="0" applyNumberFormat="0" applyBorder="0" applyAlignment="0" applyProtection="0"/>
    <xf numFmtId="0" fontId="1" fillId="73" borderId="0" applyNumberFormat="0" applyBorder="0" applyAlignment="0" applyProtection="0"/>
    <xf numFmtId="0" fontId="1" fillId="73" borderId="0" applyNumberFormat="0" applyBorder="0" applyAlignment="0" applyProtection="0"/>
    <xf numFmtId="0" fontId="1" fillId="73" borderId="0" applyNumberFormat="0" applyBorder="0" applyAlignment="0" applyProtection="0"/>
    <xf numFmtId="0" fontId="1" fillId="73" borderId="0" applyNumberFormat="0" applyBorder="0" applyAlignment="0" applyProtection="0"/>
    <xf numFmtId="0" fontId="1" fillId="73" borderId="0" applyNumberFormat="0" applyBorder="0" applyAlignment="0" applyProtection="0"/>
    <xf numFmtId="0" fontId="1" fillId="73" borderId="0" applyNumberFormat="0" applyBorder="0" applyAlignment="0" applyProtection="0"/>
    <xf numFmtId="0" fontId="1" fillId="73" borderId="0" applyNumberFormat="0" applyBorder="0" applyAlignment="0" applyProtection="0"/>
    <xf numFmtId="0" fontId="1" fillId="73" borderId="0" applyNumberFormat="0" applyBorder="0" applyAlignment="0" applyProtection="0"/>
    <xf numFmtId="0" fontId="1" fillId="73" borderId="0" applyNumberFormat="0" applyBorder="0" applyAlignment="0" applyProtection="0"/>
    <xf numFmtId="0" fontId="1" fillId="77" borderId="0" applyNumberFormat="0" applyBorder="0" applyAlignment="0" applyProtection="0"/>
    <xf numFmtId="0" fontId="1" fillId="77" borderId="0" applyNumberFormat="0" applyBorder="0" applyAlignment="0" applyProtection="0"/>
    <xf numFmtId="0" fontId="1" fillId="77" borderId="0" applyNumberFormat="0" applyBorder="0" applyAlignment="0" applyProtection="0"/>
    <xf numFmtId="0" fontId="1" fillId="77" borderId="0" applyNumberFormat="0" applyBorder="0" applyAlignment="0" applyProtection="0"/>
    <xf numFmtId="0" fontId="1" fillId="77" borderId="0" applyNumberFormat="0" applyBorder="0" applyAlignment="0" applyProtection="0"/>
    <xf numFmtId="0" fontId="1" fillId="77" borderId="0" applyNumberFormat="0" applyBorder="0" applyAlignment="0" applyProtection="0"/>
    <xf numFmtId="0" fontId="1" fillId="77" borderId="0" applyNumberFormat="0" applyBorder="0" applyAlignment="0" applyProtection="0"/>
    <xf numFmtId="0" fontId="1" fillId="77" borderId="0" applyNumberFormat="0" applyBorder="0" applyAlignment="0" applyProtection="0"/>
    <xf numFmtId="0" fontId="1" fillId="77" borderId="0" applyNumberFormat="0" applyBorder="0" applyAlignment="0" applyProtection="0"/>
    <xf numFmtId="0" fontId="1" fillId="81" borderId="0" applyNumberFormat="0" applyBorder="0" applyAlignment="0" applyProtection="0"/>
    <xf numFmtId="0" fontId="1" fillId="81" borderId="0" applyNumberFormat="0" applyBorder="0" applyAlignment="0" applyProtection="0"/>
    <xf numFmtId="0" fontId="1" fillId="81" borderId="0" applyNumberFormat="0" applyBorder="0" applyAlignment="0" applyProtection="0"/>
    <xf numFmtId="0" fontId="1" fillId="81" borderId="0" applyNumberFormat="0" applyBorder="0" applyAlignment="0" applyProtection="0"/>
    <xf numFmtId="0" fontId="1" fillId="81" borderId="0" applyNumberFormat="0" applyBorder="0" applyAlignment="0" applyProtection="0"/>
    <xf numFmtId="0" fontId="1" fillId="81" borderId="0" applyNumberFormat="0" applyBorder="0" applyAlignment="0" applyProtection="0"/>
    <xf numFmtId="0" fontId="1" fillId="81" borderId="0" applyNumberFormat="0" applyBorder="0" applyAlignment="0" applyProtection="0"/>
    <xf numFmtId="0" fontId="1" fillId="81" borderId="0" applyNumberFormat="0" applyBorder="0" applyAlignment="0" applyProtection="0"/>
    <xf numFmtId="0" fontId="1" fillId="81" borderId="0" applyNumberFormat="0" applyBorder="0" applyAlignment="0" applyProtection="0"/>
    <xf numFmtId="0" fontId="1" fillId="23" borderId="0" applyNumberFormat="0" applyBorder="0" applyAlignment="0" applyProtection="0"/>
    <xf numFmtId="0" fontId="1" fillId="58" borderId="104" applyNumberFormat="0" applyFont="0" applyAlignment="0" applyProtection="0"/>
    <xf numFmtId="0" fontId="1" fillId="58" borderId="104" applyNumberFormat="0" applyFont="0" applyAlignment="0" applyProtection="0"/>
    <xf numFmtId="0" fontId="1" fillId="58" borderId="104" applyNumberFormat="0" applyFont="0" applyAlignment="0" applyProtection="0"/>
    <xf numFmtId="0" fontId="1" fillId="58" borderId="104" applyNumberFormat="0" applyFont="0" applyAlignment="0" applyProtection="0"/>
    <xf numFmtId="0" fontId="1" fillId="58" borderId="104" applyNumberFormat="0" applyFont="0" applyAlignment="0" applyProtection="0"/>
    <xf numFmtId="0" fontId="1" fillId="58" borderId="104" applyNumberFormat="0" applyFont="0" applyAlignment="0" applyProtection="0"/>
    <xf numFmtId="0" fontId="1" fillId="58" borderId="104" applyNumberFormat="0" applyFont="0" applyAlignment="0" applyProtection="0"/>
    <xf numFmtId="0" fontId="1" fillId="58" borderId="104" applyNumberFormat="0" applyFont="0" applyAlignment="0" applyProtection="0"/>
    <xf numFmtId="0" fontId="1" fillId="58" borderId="104" applyNumberFormat="0" applyFont="0" applyAlignment="0" applyProtection="0"/>
    <xf numFmtId="0" fontId="1" fillId="58" borderId="104" applyNumberFormat="0" applyFont="0" applyAlignment="0" applyProtection="0"/>
    <xf numFmtId="0" fontId="1" fillId="26" borderId="0" applyNumberFormat="0" applyBorder="0" applyAlignment="0" applyProtection="0"/>
    <xf numFmtId="0" fontId="1" fillId="58" borderId="104" applyNumberFormat="0" applyFont="0" applyAlignment="0" applyProtection="0"/>
    <xf numFmtId="0" fontId="1" fillId="23" borderId="0" applyNumberFormat="0" applyBorder="0" applyAlignment="0" applyProtection="0"/>
    <xf numFmtId="0" fontId="1" fillId="58" borderId="104" applyNumberFormat="0" applyFont="0" applyAlignment="0" applyProtection="0"/>
    <xf numFmtId="0" fontId="1" fillId="6" borderId="0" applyNumberFormat="0" applyBorder="0" applyAlignment="0" applyProtection="0"/>
    <xf numFmtId="0" fontId="1" fillId="0" borderId="0"/>
    <xf numFmtId="0" fontId="1" fillId="0" borderId="0"/>
    <xf numFmtId="0" fontId="1" fillId="9" borderId="0" applyNumberFormat="0" applyBorder="0" applyAlignment="0" applyProtection="0"/>
    <xf numFmtId="0" fontId="1" fillId="6"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7" borderId="0" applyNumberFormat="0" applyBorder="0" applyAlignment="0" applyProtection="0"/>
    <xf numFmtId="9" fontId="1" fillId="0" borderId="0" applyFont="0" applyFill="0" applyBorder="0" applyAlignment="0" applyProtection="0"/>
    <xf numFmtId="0" fontId="102" fillId="55" borderId="0" applyNumberFormat="0" applyBorder="0" applyAlignment="0" applyProtection="0"/>
    <xf numFmtId="0" fontId="1" fillId="26" borderId="0" applyNumberFormat="0" applyBorder="0" applyAlignment="0" applyProtection="0"/>
    <xf numFmtId="0" fontId="1" fillId="23" borderId="0" applyNumberFormat="0" applyBorder="0" applyAlignment="0" applyProtection="0"/>
    <xf numFmtId="0" fontId="1" fillId="26" borderId="0" applyNumberFormat="0" applyBorder="0" applyAlignment="0" applyProtection="0"/>
    <xf numFmtId="0" fontId="1" fillId="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8"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8" borderId="0" applyNumberFormat="0" applyBorder="0" applyAlignment="0" applyProtection="0"/>
    <xf numFmtId="0" fontId="1" fillId="26" borderId="0" applyNumberFormat="0" applyBorder="0" applyAlignment="0" applyProtection="0"/>
    <xf numFmtId="0" fontId="1" fillId="9"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8" borderId="0" applyNumberFormat="0" applyBorder="0" applyAlignment="0" applyProtection="0"/>
    <xf numFmtId="0" fontId="1" fillId="26"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8" borderId="0" applyNumberFormat="0" applyBorder="0" applyAlignment="0" applyProtection="0"/>
    <xf numFmtId="0" fontId="1" fillId="26" borderId="0" applyNumberFormat="0" applyBorder="0" applyAlignment="0" applyProtection="0"/>
    <xf numFmtId="0" fontId="1" fillId="8"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60" borderId="0" applyNumberFormat="0" applyBorder="0" applyAlignment="0" applyProtection="0"/>
    <xf numFmtId="0" fontId="1" fillId="61" borderId="0" applyNumberFormat="0" applyBorder="0" applyAlignment="0" applyProtection="0"/>
    <xf numFmtId="0" fontId="1" fillId="64" borderId="0" applyNumberFormat="0" applyBorder="0" applyAlignment="0" applyProtection="0"/>
    <xf numFmtId="0" fontId="1" fillId="65" borderId="0" applyNumberFormat="0" applyBorder="0" applyAlignment="0" applyProtection="0"/>
    <xf numFmtId="0" fontId="1" fillId="68" borderId="0" applyNumberFormat="0" applyBorder="0" applyAlignment="0" applyProtection="0"/>
    <xf numFmtId="0" fontId="1" fillId="69" borderId="0" applyNumberFormat="0" applyBorder="0" applyAlignment="0" applyProtection="0"/>
    <xf numFmtId="0" fontId="1" fillId="72" borderId="0" applyNumberFormat="0" applyBorder="0" applyAlignment="0" applyProtection="0"/>
    <xf numFmtId="0" fontId="1" fillId="73" borderId="0" applyNumberFormat="0" applyBorder="0" applyAlignment="0" applyProtection="0"/>
    <xf numFmtId="0" fontId="1" fillId="76" borderId="0" applyNumberFormat="0" applyBorder="0" applyAlignment="0" applyProtection="0"/>
    <xf numFmtId="0" fontId="1" fillId="77" borderId="0" applyNumberFormat="0" applyBorder="0" applyAlignment="0" applyProtection="0"/>
    <xf numFmtId="0" fontId="1" fillId="80" borderId="0" applyNumberFormat="0" applyBorder="0" applyAlignment="0" applyProtection="0"/>
    <xf numFmtId="0" fontId="1" fillId="81" borderId="0" applyNumberFormat="0" applyBorder="0" applyAlignment="0" applyProtection="0"/>
    <xf numFmtId="0" fontId="1" fillId="58" borderId="104" applyNumberFormat="0" applyFont="0" applyAlignment="0" applyProtection="0"/>
    <xf numFmtId="0" fontId="1" fillId="58" borderId="104" applyNumberFormat="0" applyFont="0" applyAlignment="0" applyProtection="0"/>
    <xf numFmtId="0" fontId="1" fillId="60" borderId="0" applyNumberFormat="0" applyBorder="0" applyAlignment="0" applyProtection="0"/>
    <xf numFmtId="0" fontId="1" fillId="61" borderId="0" applyNumberFormat="0" applyBorder="0" applyAlignment="0" applyProtection="0"/>
    <xf numFmtId="0" fontId="1" fillId="64" borderId="0" applyNumberFormat="0" applyBorder="0" applyAlignment="0" applyProtection="0"/>
    <xf numFmtId="0" fontId="1" fillId="65" borderId="0" applyNumberFormat="0" applyBorder="0" applyAlignment="0" applyProtection="0"/>
    <xf numFmtId="0" fontId="1" fillId="68" borderId="0" applyNumberFormat="0" applyBorder="0" applyAlignment="0" applyProtection="0"/>
    <xf numFmtId="0" fontId="1" fillId="69" borderId="0" applyNumberFormat="0" applyBorder="0" applyAlignment="0" applyProtection="0"/>
    <xf numFmtId="0" fontId="1" fillId="72" borderId="0" applyNumberFormat="0" applyBorder="0" applyAlignment="0" applyProtection="0"/>
    <xf numFmtId="0" fontId="1" fillId="73" borderId="0" applyNumberFormat="0" applyBorder="0" applyAlignment="0" applyProtection="0"/>
    <xf numFmtId="0" fontId="1" fillId="76" borderId="0" applyNumberFormat="0" applyBorder="0" applyAlignment="0" applyProtection="0"/>
    <xf numFmtId="0" fontId="1" fillId="77" borderId="0" applyNumberFormat="0" applyBorder="0" applyAlignment="0" applyProtection="0"/>
    <xf numFmtId="0" fontId="1" fillId="80" borderId="0" applyNumberFormat="0" applyBorder="0" applyAlignment="0" applyProtection="0"/>
    <xf numFmtId="0" fontId="1" fillId="81" borderId="0" applyNumberFormat="0" applyBorder="0" applyAlignment="0" applyProtection="0"/>
    <xf numFmtId="0" fontId="1" fillId="60" borderId="0" applyNumberFormat="0" applyBorder="0" applyAlignment="0" applyProtection="0"/>
    <xf numFmtId="0" fontId="1" fillId="61" borderId="0" applyNumberFormat="0" applyBorder="0" applyAlignment="0" applyProtection="0"/>
    <xf numFmtId="0" fontId="1" fillId="64" borderId="0" applyNumberFormat="0" applyBorder="0" applyAlignment="0" applyProtection="0"/>
    <xf numFmtId="0" fontId="1" fillId="65" borderId="0" applyNumberFormat="0" applyBorder="0" applyAlignment="0" applyProtection="0"/>
    <xf numFmtId="0" fontId="1" fillId="68" borderId="0" applyNumberFormat="0" applyBorder="0" applyAlignment="0" applyProtection="0"/>
    <xf numFmtId="0" fontId="1" fillId="69" borderId="0" applyNumberFormat="0" applyBorder="0" applyAlignment="0" applyProtection="0"/>
    <xf numFmtId="0" fontId="1" fillId="72" borderId="0" applyNumberFormat="0" applyBorder="0" applyAlignment="0" applyProtection="0"/>
    <xf numFmtId="0" fontId="1" fillId="73" borderId="0" applyNumberFormat="0" applyBorder="0" applyAlignment="0" applyProtection="0"/>
    <xf numFmtId="0" fontId="1" fillId="76" borderId="0" applyNumberFormat="0" applyBorder="0" applyAlignment="0" applyProtection="0"/>
    <xf numFmtId="0" fontId="1" fillId="77" borderId="0" applyNumberFormat="0" applyBorder="0" applyAlignment="0" applyProtection="0"/>
    <xf numFmtId="0" fontId="1" fillId="80" borderId="0" applyNumberFormat="0" applyBorder="0" applyAlignment="0" applyProtection="0"/>
    <xf numFmtId="0" fontId="1" fillId="81" borderId="0" applyNumberFormat="0" applyBorder="0" applyAlignment="0" applyProtection="0"/>
    <xf numFmtId="0" fontId="1" fillId="58" borderId="104" applyNumberFormat="0" applyFont="0" applyAlignment="0" applyProtection="0"/>
    <xf numFmtId="0" fontId="1" fillId="60" borderId="0" applyNumberFormat="0" applyBorder="0" applyAlignment="0" applyProtection="0"/>
    <xf numFmtId="0" fontId="1" fillId="61" borderId="0" applyNumberFormat="0" applyBorder="0" applyAlignment="0" applyProtection="0"/>
    <xf numFmtId="0" fontId="1" fillId="64" borderId="0" applyNumberFormat="0" applyBorder="0" applyAlignment="0" applyProtection="0"/>
    <xf numFmtId="0" fontId="1" fillId="65" borderId="0" applyNumberFormat="0" applyBorder="0" applyAlignment="0" applyProtection="0"/>
    <xf numFmtId="0" fontId="1" fillId="68" borderId="0" applyNumberFormat="0" applyBorder="0" applyAlignment="0" applyProtection="0"/>
    <xf numFmtId="0" fontId="1" fillId="69" borderId="0" applyNumberFormat="0" applyBorder="0" applyAlignment="0" applyProtection="0"/>
    <xf numFmtId="0" fontId="1" fillId="72" borderId="0" applyNumberFormat="0" applyBorder="0" applyAlignment="0" applyProtection="0"/>
    <xf numFmtId="0" fontId="1" fillId="73" borderId="0" applyNumberFormat="0" applyBorder="0" applyAlignment="0" applyProtection="0"/>
    <xf numFmtId="0" fontId="1" fillId="76" borderId="0" applyNumberFormat="0" applyBorder="0" applyAlignment="0" applyProtection="0"/>
    <xf numFmtId="0" fontId="1" fillId="77" borderId="0" applyNumberFormat="0" applyBorder="0" applyAlignment="0" applyProtection="0"/>
    <xf numFmtId="0" fontId="1" fillId="80" borderId="0" applyNumberFormat="0" applyBorder="0" applyAlignment="0" applyProtection="0"/>
    <xf numFmtId="0" fontId="1" fillId="81" borderId="0" applyNumberFormat="0" applyBorder="0" applyAlignment="0" applyProtection="0"/>
    <xf numFmtId="0" fontId="1" fillId="58" borderId="104" applyNumberFormat="0" applyFont="0" applyAlignment="0" applyProtection="0"/>
    <xf numFmtId="0" fontId="1" fillId="58" borderId="104" applyNumberFormat="0" applyFont="0" applyAlignment="0" applyProtection="0"/>
    <xf numFmtId="0" fontId="1" fillId="60" borderId="0" applyNumberFormat="0" applyBorder="0" applyAlignment="0" applyProtection="0"/>
    <xf numFmtId="0" fontId="1" fillId="61" borderId="0" applyNumberFormat="0" applyBorder="0" applyAlignment="0" applyProtection="0"/>
    <xf numFmtId="0" fontId="1" fillId="64" borderId="0" applyNumberFormat="0" applyBorder="0" applyAlignment="0" applyProtection="0"/>
    <xf numFmtId="0" fontId="1" fillId="65" borderId="0" applyNumberFormat="0" applyBorder="0" applyAlignment="0" applyProtection="0"/>
    <xf numFmtId="0" fontId="1" fillId="68" borderId="0" applyNumberFormat="0" applyBorder="0" applyAlignment="0" applyProtection="0"/>
    <xf numFmtId="0" fontId="1" fillId="69" borderId="0" applyNumberFormat="0" applyBorder="0" applyAlignment="0" applyProtection="0"/>
    <xf numFmtId="0" fontId="1" fillId="72" borderId="0" applyNumberFormat="0" applyBorder="0" applyAlignment="0" applyProtection="0"/>
    <xf numFmtId="0" fontId="1" fillId="73" borderId="0" applyNumberFormat="0" applyBorder="0" applyAlignment="0" applyProtection="0"/>
    <xf numFmtId="0" fontId="1" fillId="76" borderId="0" applyNumberFormat="0" applyBorder="0" applyAlignment="0" applyProtection="0"/>
    <xf numFmtId="0" fontId="1" fillId="77" borderId="0" applyNumberFormat="0" applyBorder="0" applyAlignment="0" applyProtection="0"/>
    <xf numFmtId="0" fontId="1" fillId="80" borderId="0" applyNumberFormat="0" applyBorder="0" applyAlignment="0" applyProtection="0"/>
    <xf numFmtId="0" fontId="1" fillId="81" borderId="0" applyNumberFormat="0" applyBorder="0" applyAlignment="0" applyProtection="0"/>
    <xf numFmtId="0" fontId="1" fillId="60" borderId="0" applyNumberFormat="0" applyBorder="0" applyAlignment="0" applyProtection="0"/>
    <xf numFmtId="0" fontId="1" fillId="61" borderId="0" applyNumberFormat="0" applyBorder="0" applyAlignment="0" applyProtection="0"/>
    <xf numFmtId="0" fontId="1" fillId="64" borderId="0" applyNumberFormat="0" applyBorder="0" applyAlignment="0" applyProtection="0"/>
    <xf numFmtId="0" fontId="1" fillId="65" borderId="0" applyNumberFormat="0" applyBorder="0" applyAlignment="0" applyProtection="0"/>
    <xf numFmtId="0" fontId="1" fillId="68" borderId="0" applyNumberFormat="0" applyBorder="0" applyAlignment="0" applyProtection="0"/>
    <xf numFmtId="0" fontId="1" fillId="69" borderId="0" applyNumberFormat="0" applyBorder="0" applyAlignment="0" applyProtection="0"/>
    <xf numFmtId="0" fontId="1" fillId="72" borderId="0" applyNumberFormat="0" applyBorder="0" applyAlignment="0" applyProtection="0"/>
    <xf numFmtId="0" fontId="1" fillId="73" borderId="0" applyNumberFormat="0" applyBorder="0" applyAlignment="0" applyProtection="0"/>
    <xf numFmtId="0" fontId="1" fillId="76" borderId="0" applyNumberFormat="0" applyBorder="0" applyAlignment="0" applyProtection="0"/>
    <xf numFmtId="0" fontId="1" fillId="77" borderId="0" applyNumberFormat="0" applyBorder="0" applyAlignment="0" applyProtection="0"/>
    <xf numFmtId="0" fontId="1" fillId="80" borderId="0" applyNumberFormat="0" applyBorder="0" applyAlignment="0" applyProtection="0"/>
    <xf numFmtId="0" fontId="1" fillId="81" borderId="0" applyNumberFormat="0" applyBorder="0" applyAlignment="0" applyProtection="0"/>
    <xf numFmtId="0" fontId="1" fillId="58" borderId="104" applyNumberFormat="0" applyFont="0" applyAlignment="0" applyProtection="0"/>
    <xf numFmtId="0" fontId="1" fillId="60" borderId="0" applyNumberFormat="0" applyBorder="0" applyAlignment="0" applyProtection="0"/>
    <xf numFmtId="0" fontId="1" fillId="61" borderId="0" applyNumberFormat="0" applyBorder="0" applyAlignment="0" applyProtection="0"/>
    <xf numFmtId="0" fontId="1" fillId="64" borderId="0" applyNumberFormat="0" applyBorder="0" applyAlignment="0" applyProtection="0"/>
    <xf numFmtId="0" fontId="1" fillId="65" borderId="0" applyNumberFormat="0" applyBorder="0" applyAlignment="0" applyProtection="0"/>
    <xf numFmtId="0" fontId="1" fillId="68" borderId="0" applyNumberFormat="0" applyBorder="0" applyAlignment="0" applyProtection="0"/>
    <xf numFmtId="0" fontId="1" fillId="69" borderId="0" applyNumberFormat="0" applyBorder="0" applyAlignment="0" applyProtection="0"/>
    <xf numFmtId="0" fontId="1" fillId="72" borderId="0" applyNumberFormat="0" applyBorder="0" applyAlignment="0" applyProtection="0"/>
    <xf numFmtId="0" fontId="1" fillId="73" borderId="0" applyNumberFormat="0" applyBorder="0" applyAlignment="0" applyProtection="0"/>
    <xf numFmtId="0" fontId="1" fillId="76" borderId="0" applyNumberFormat="0" applyBorder="0" applyAlignment="0" applyProtection="0"/>
    <xf numFmtId="0" fontId="1" fillId="77" borderId="0" applyNumberFormat="0" applyBorder="0" applyAlignment="0" applyProtection="0"/>
    <xf numFmtId="0" fontId="1" fillId="80" borderId="0" applyNumberFormat="0" applyBorder="0" applyAlignment="0" applyProtection="0"/>
    <xf numFmtId="0" fontId="1" fillId="81" borderId="0" applyNumberFormat="0" applyBorder="0" applyAlignment="0" applyProtection="0"/>
    <xf numFmtId="0" fontId="1" fillId="58" borderId="104" applyNumberFormat="0" applyFont="0" applyAlignment="0" applyProtection="0"/>
    <xf numFmtId="0" fontId="1" fillId="58" borderId="104" applyNumberFormat="0" applyFont="0" applyAlignment="0" applyProtection="0"/>
    <xf numFmtId="0" fontId="1" fillId="60" borderId="0" applyNumberFormat="0" applyBorder="0" applyAlignment="0" applyProtection="0"/>
    <xf numFmtId="0" fontId="1" fillId="61" borderId="0" applyNumberFormat="0" applyBorder="0" applyAlignment="0" applyProtection="0"/>
    <xf numFmtId="0" fontId="1" fillId="64" borderId="0" applyNumberFormat="0" applyBorder="0" applyAlignment="0" applyProtection="0"/>
    <xf numFmtId="0" fontId="1" fillId="65" borderId="0" applyNumberFormat="0" applyBorder="0" applyAlignment="0" applyProtection="0"/>
    <xf numFmtId="0" fontId="1" fillId="68" borderId="0" applyNumberFormat="0" applyBorder="0" applyAlignment="0" applyProtection="0"/>
    <xf numFmtId="0" fontId="1" fillId="69" borderId="0" applyNumberFormat="0" applyBorder="0" applyAlignment="0" applyProtection="0"/>
    <xf numFmtId="0" fontId="1" fillId="72" borderId="0" applyNumberFormat="0" applyBorder="0" applyAlignment="0" applyProtection="0"/>
    <xf numFmtId="0" fontId="1" fillId="73" borderId="0" applyNumberFormat="0" applyBorder="0" applyAlignment="0" applyProtection="0"/>
    <xf numFmtId="0" fontId="1" fillId="76" borderId="0" applyNumberFormat="0" applyBorder="0" applyAlignment="0" applyProtection="0"/>
    <xf numFmtId="0" fontId="1" fillId="77" borderId="0" applyNumberFormat="0" applyBorder="0" applyAlignment="0" applyProtection="0"/>
    <xf numFmtId="0" fontId="1" fillId="80" borderId="0" applyNumberFormat="0" applyBorder="0" applyAlignment="0" applyProtection="0"/>
    <xf numFmtId="0" fontId="1" fillId="81" borderId="0" applyNumberFormat="0" applyBorder="0" applyAlignment="0" applyProtection="0"/>
    <xf numFmtId="0" fontId="1" fillId="60" borderId="0" applyNumberFormat="0" applyBorder="0" applyAlignment="0" applyProtection="0"/>
    <xf numFmtId="0" fontId="1" fillId="61" borderId="0" applyNumberFormat="0" applyBorder="0" applyAlignment="0" applyProtection="0"/>
    <xf numFmtId="0" fontId="1" fillId="64" borderId="0" applyNumberFormat="0" applyBorder="0" applyAlignment="0" applyProtection="0"/>
    <xf numFmtId="0" fontId="1" fillId="65" borderId="0" applyNumberFormat="0" applyBorder="0" applyAlignment="0" applyProtection="0"/>
    <xf numFmtId="0" fontId="1" fillId="68" borderId="0" applyNumberFormat="0" applyBorder="0" applyAlignment="0" applyProtection="0"/>
    <xf numFmtId="0" fontId="1" fillId="69" borderId="0" applyNumberFormat="0" applyBorder="0" applyAlignment="0" applyProtection="0"/>
    <xf numFmtId="0" fontId="1" fillId="72" borderId="0" applyNumberFormat="0" applyBorder="0" applyAlignment="0" applyProtection="0"/>
    <xf numFmtId="0" fontId="1" fillId="73" borderId="0" applyNumberFormat="0" applyBorder="0" applyAlignment="0" applyProtection="0"/>
    <xf numFmtId="0" fontId="1" fillId="76" borderId="0" applyNumberFormat="0" applyBorder="0" applyAlignment="0" applyProtection="0"/>
    <xf numFmtId="0" fontId="1" fillId="77" borderId="0" applyNumberFormat="0" applyBorder="0" applyAlignment="0" applyProtection="0"/>
    <xf numFmtId="0" fontId="1" fillId="80" borderId="0" applyNumberFormat="0" applyBorder="0" applyAlignment="0" applyProtection="0"/>
    <xf numFmtId="0" fontId="1" fillId="81" borderId="0" applyNumberFormat="0" applyBorder="0" applyAlignment="0" applyProtection="0"/>
    <xf numFmtId="0" fontId="1" fillId="58" borderId="104" applyNumberFormat="0" applyFont="0" applyAlignment="0" applyProtection="0"/>
    <xf numFmtId="0" fontId="1" fillId="60" borderId="0" applyNumberFormat="0" applyBorder="0" applyAlignment="0" applyProtection="0"/>
    <xf numFmtId="0" fontId="1" fillId="61" borderId="0" applyNumberFormat="0" applyBorder="0" applyAlignment="0" applyProtection="0"/>
    <xf numFmtId="0" fontId="1" fillId="64" borderId="0" applyNumberFormat="0" applyBorder="0" applyAlignment="0" applyProtection="0"/>
    <xf numFmtId="0" fontId="1" fillId="65" borderId="0" applyNumberFormat="0" applyBorder="0" applyAlignment="0" applyProtection="0"/>
    <xf numFmtId="0" fontId="1" fillId="68" borderId="0" applyNumberFormat="0" applyBorder="0" applyAlignment="0" applyProtection="0"/>
    <xf numFmtId="0" fontId="1" fillId="69" borderId="0" applyNumberFormat="0" applyBorder="0" applyAlignment="0" applyProtection="0"/>
    <xf numFmtId="0" fontId="1" fillId="72" borderId="0" applyNumberFormat="0" applyBorder="0" applyAlignment="0" applyProtection="0"/>
    <xf numFmtId="0" fontId="1" fillId="73" borderId="0" applyNumberFormat="0" applyBorder="0" applyAlignment="0" applyProtection="0"/>
    <xf numFmtId="0" fontId="1" fillId="76" borderId="0" applyNumberFormat="0" applyBorder="0" applyAlignment="0" applyProtection="0"/>
    <xf numFmtId="0" fontId="1" fillId="77" borderId="0" applyNumberFormat="0" applyBorder="0" applyAlignment="0" applyProtection="0"/>
    <xf numFmtId="0" fontId="1" fillId="80" borderId="0" applyNumberFormat="0" applyBorder="0" applyAlignment="0" applyProtection="0"/>
    <xf numFmtId="0" fontId="1" fillId="81" borderId="0" applyNumberFormat="0" applyBorder="0" applyAlignment="0" applyProtection="0"/>
    <xf numFmtId="0" fontId="1" fillId="58" borderId="104" applyNumberFormat="0" applyFont="0" applyAlignment="0" applyProtection="0"/>
    <xf numFmtId="0" fontId="1" fillId="58" borderId="104" applyNumberFormat="0" applyFont="0" applyAlignment="0" applyProtection="0"/>
    <xf numFmtId="0" fontId="1" fillId="60" borderId="0" applyNumberFormat="0" applyBorder="0" applyAlignment="0" applyProtection="0"/>
    <xf numFmtId="0" fontId="1" fillId="61" borderId="0" applyNumberFormat="0" applyBorder="0" applyAlignment="0" applyProtection="0"/>
    <xf numFmtId="0" fontId="1" fillId="64" borderId="0" applyNumberFormat="0" applyBorder="0" applyAlignment="0" applyProtection="0"/>
    <xf numFmtId="0" fontId="1" fillId="65" borderId="0" applyNumberFormat="0" applyBorder="0" applyAlignment="0" applyProtection="0"/>
    <xf numFmtId="0" fontId="1" fillId="68" borderId="0" applyNumberFormat="0" applyBorder="0" applyAlignment="0" applyProtection="0"/>
    <xf numFmtId="0" fontId="1" fillId="69" borderId="0" applyNumberFormat="0" applyBorder="0" applyAlignment="0" applyProtection="0"/>
    <xf numFmtId="0" fontId="1" fillId="72" borderId="0" applyNumberFormat="0" applyBorder="0" applyAlignment="0" applyProtection="0"/>
    <xf numFmtId="0" fontId="1" fillId="73" borderId="0" applyNumberFormat="0" applyBorder="0" applyAlignment="0" applyProtection="0"/>
    <xf numFmtId="0" fontId="1" fillId="76" borderId="0" applyNumberFormat="0" applyBorder="0" applyAlignment="0" applyProtection="0"/>
    <xf numFmtId="0" fontId="1" fillId="77" borderId="0" applyNumberFormat="0" applyBorder="0" applyAlignment="0" applyProtection="0"/>
    <xf numFmtId="0" fontId="1" fillId="80" borderId="0" applyNumberFormat="0" applyBorder="0" applyAlignment="0" applyProtection="0"/>
    <xf numFmtId="0" fontId="1" fillId="81" borderId="0" applyNumberFormat="0" applyBorder="0" applyAlignment="0" applyProtection="0"/>
    <xf numFmtId="0" fontId="1" fillId="60" borderId="0" applyNumberFormat="0" applyBorder="0" applyAlignment="0" applyProtection="0"/>
    <xf numFmtId="0" fontId="1" fillId="61" borderId="0" applyNumberFormat="0" applyBorder="0" applyAlignment="0" applyProtection="0"/>
    <xf numFmtId="0" fontId="1" fillId="64" borderId="0" applyNumberFormat="0" applyBorder="0" applyAlignment="0" applyProtection="0"/>
    <xf numFmtId="0" fontId="1" fillId="65" borderId="0" applyNumberFormat="0" applyBorder="0" applyAlignment="0" applyProtection="0"/>
    <xf numFmtId="0" fontId="1" fillId="68" borderId="0" applyNumberFormat="0" applyBorder="0" applyAlignment="0" applyProtection="0"/>
    <xf numFmtId="0" fontId="1" fillId="69" borderId="0" applyNumberFormat="0" applyBorder="0" applyAlignment="0" applyProtection="0"/>
    <xf numFmtId="0" fontId="1" fillId="72" borderId="0" applyNumberFormat="0" applyBorder="0" applyAlignment="0" applyProtection="0"/>
    <xf numFmtId="0" fontId="1" fillId="73" borderId="0" applyNumberFormat="0" applyBorder="0" applyAlignment="0" applyProtection="0"/>
    <xf numFmtId="0" fontId="1" fillId="76" borderId="0" applyNumberFormat="0" applyBorder="0" applyAlignment="0" applyProtection="0"/>
    <xf numFmtId="0" fontId="1" fillId="77" borderId="0" applyNumberFormat="0" applyBorder="0" applyAlignment="0" applyProtection="0"/>
    <xf numFmtId="0" fontId="1" fillId="80" borderId="0" applyNumberFormat="0" applyBorder="0" applyAlignment="0" applyProtection="0"/>
    <xf numFmtId="0" fontId="1" fillId="81" borderId="0" applyNumberFormat="0" applyBorder="0" applyAlignment="0" applyProtection="0"/>
    <xf numFmtId="0" fontId="1" fillId="58" borderId="104" applyNumberFormat="0" applyFont="0" applyAlignment="0" applyProtection="0"/>
    <xf numFmtId="0" fontId="1" fillId="60" borderId="0" applyNumberFormat="0" applyBorder="0" applyAlignment="0" applyProtection="0"/>
    <xf numFmtId="0" fontId="1" fillId="61" borderId="0" applyNumberFormat="0" applyBorder="0" applyAlignment="0" applyProtection="0"/>
    <xf numFmtId="0" fontId="1" fillId="64" borderId="0" applyNumberFormat="0" applyBorder="0" applyAlignment="0" applyProtection="0"/>
    <xf numFmtId="0" fontId="1" fillId="65" borderId="0" applyNumberFormat="0" applyBorder="0" applyAlignment="0" applyProtection="0"/>
    <xf numFmtId="0" fontId="1" fillId="68" borderId="0" applyNumberFormat="0" applyBorder="0" applyAlignment="0" applyProtection="0"/>
    <xf numFmtId="0" fontId="1" fillId="69" borderId="0" applyNumberFormat="0" applyBorder="0" applyAlignment="0" applyProtection="0"/>
    <xf numFmtId="0" fontId="1" fillId="72" borderId="0" applyNumberFormat="0" applyBorder="0" applyAlignment="0" applyProtection="0"/>
    <xf numFmtId="0" fontId="1" fillId="73" borderId="0" applyNumberFormat="0" applyBorder="0" applyAlignment="0" applyProtection="0"/>
    <xf numFmtId="0" fontId="1" fillId="76" borderId="0" applyNumberFormat="0" applyBorder="0" applyAlignment="0" applyProtection="0"/>
    <xf numFmtId="0" fontId="1" fillId="77" borderId="0" applyNumberFormat="0" applyBorder="0" applyAlignment="0" applyProtection="0"/>
    <xf numFmtId="0" fontId="1" fillId="80" borderId="0" applyNumberFormat="0" applyBorder="0" applyAlignment="0" applyProtection="0"/>
    <xf numFmtId="0" fontId="1" fillId="81" borderId="0" applyNumberFormat="0" applyBorder="0" applyAlignment="0" applyProtection="0"/>
    <xf numFmtId="0" fontId="1" fillId="58" borderId="104" applyNumberFormat="0" applyFont="0" applyAlignment="0" applyProtection="0"/>
    <xf numFmtId="0" fontId="1" fillId="58" borderId="104" applyNumberFormat="0" applyFont="0" applyAlignment="0" applyProtection="0"/>
    <xf numFmtId="0" fontId="1" fillId="60" borderId="0" applyNumberFormat="0" applyBorder="0" applyAlignment="0" applyProtection="0"/>
    <xf numFmtId="0" fontId="1" fillId="61" borderId="0" applyNumberFormat="0" applyBorder="0" applyAlignment="0" applyProtection="0"/>
    <xf numFmtId="0" fontId="1" fillId="64" borderId="0" applyNumberFormat="0" applyBorder="0" applyAlignment="0" applyProtection="0"/>
    <xf numFmtId="0" fontId="1" fillId="65" borderId="0" applyNumberFormat="0" applyBorder="0" applyAlignment="0" applyProtection="0"/>
    <xf numFmtId="0" fontId="1" fillId="68" borderId="0" applyNumberFormat="0" applyBorder="0" applyAlignment="0" applyProtection="0"/>
    <xf numFmtId="0" fontId="1" fillId="69" borderId="0" applyNumberFormat="0" applyBorder="0" applyAlignment="0" applyProtection="0"/>
    <xf numFmtId="0" fontId="1" fillId="72" borderId="0" applyNumberFormat="0" applyBorder="0" applyAlignment="0" applyProtection="0"/>
    <xf numFmtId="0" fontId="1" fillId="73" borderId="0" applyNumberFormat="0" applyBorder="0" applyAlignment="0" applyProtection="0"/>
    <xf numFmtId="0" fontId="1" fillId="76" borderId="0" applyNumberFormat="0" applyBorder="0" applyAlignment="0" applyProtection="0"/>
    <xf numFmtId="0" fontId="1" fillId="77" borderId="0" applyNumberFormat="0" applyBorder="0" applyAlignment="0" applyProtection="0"/>
    <xf numFmtId="0" fontId="1" fillId="80" borderId="0" applyNumberFormat="0" applyBorder="0" applyAlignment="0" applyProtection="0"/>
    <xf numFmtId="0" fontId="1" fillId="81" borderId="0" applyNumberFormat="0" applyBorder="0" applyAlignment="0" applyProtection="0"/>
    <xf numFmtId="0" fontId="1" fillId="60" borderId="0" applyNumberFormat="0" applyBorder="0" applyAlignment="0" applyProtection="0"/>
    <xf numFmtId="0" fontId="1" fillId="61" borderId="0" applyNumberFormat="0" applyBorder="0" applyAlignment="0" applyProtection="0"/>
    <xf numFmtId="0" fontId="1" fillId="64" borderId="0" applyNumberFormat="0" applyBorder="0" applyAlignment="0" applyProtection="0"/>
    <xf numFmtId="0" fontId="1" fillId="65" borderId="0" applyNumberFormat="0" applyBorder="0" applyAlignment="0" applyProtection="0"/>
    <xf numFmtId="0" fontId="1" fillId="68" borderId="0" applyNumberFormat="0" applyBorder="0" applyAlignment="0" applyProtection="0"/>
    <xf numFmtId="0" fontId="1" fillId="69" borderId="0" applyNumberFormat="0" applyBorder="0" applyAlignment="0" applyProtection="0"/>
    <xf numFmtId="0" fontId="1" fillId="72" borderId="0" applyNumberFormat="0" applyBorder="0" applyAlignment="0" applyProtection="0"/>
    <xf numFmtId="0" fontId="1" fillId="73" borderId="0" applyNumberFormat="0" applyBorder="0" applyAlignment="0" applyProtection="0"/>
    <xf numFmtId="0" fontId="1" fillId="76" borderId="0" applyNumberFormat="0" applyBorder="0" applyAlignment="0" applyProtection="0"/>
    <xf numFmtId="0" fontId="1" fillId="77" borderId="0" applyNumberFormat="0" applyBorder="0" applyAlignment="0" applyProtection="0"/>
    <xf numFmtId="0" fontId="1" fillId="80" borderId="0" applyNumberFormat="0" applyBorder="0" applyAlignment="0" applyProtection="0"/>
    <xf numFmtId="0" fontId="1" fillId="81" borderId="0" applyNumberFormat="0" applyBorder="0" applyAlignment="0" applyProtection="0"/>
    <xf numFmtId="0" fontId="1" fillId="58" borderId="104" applyNumberFormat="0" applyFont="0" applyAlignment="0" applyProtection="0"/>
    <xf numFmtId="0" fontId="1" fillId="60" borderId="0" applyNumberFormat="0" applyBorder="0" applyAlignment="0" applyProtection="0"/>
    <xf numFmtId="0" fontId="1" fillId="61" borderId="0" applyNumberFormat="0" applyBorder="0" applyAlignment="0" applyProtection="0"/>
    <xf numFmtId="0" fontId="1" fillId="64" borderId="0" applyNumberFormat="0" applyBorder="0" applyAlignment="0" applyProtection="0"/>
    <xf numFmtId="0" fontId="1" fillId="65" borderId="0" applyNumberFormat="0" applyBorder="0" applyAlignment="0" applyProtection="0"/>
    <xf numFmtId="0" fontId="1" fillId="68" borderId="0" applyNumberFormat="0" applyBorder="0" applyAlignment="0" applyProtection="0"/>
    <xf numFmtId="0" fontId="1" fillId="69" borderId="0" applyNumberFormat="0" applyBorder="0" applyAlignment="0" applyProtection="0"/>
    <xf numFmtId="0" fontId="1" fillId="72" borderId="0" applyNumberFormat="0" applyBorder="0" applyAlignment="0" applyProtection="0"/>
    <xf numFmtId="0" fontId="1" fillId="73" borderId="0" applyNumberFormat="0" applyBorder="0" applyAlignment="0" applyProtection="0"/>
    <xf numFmtId="0" fontId="1" fillId="76" borderId="0" applyNumberFormat="0" applyBorder="0" applyAlignment="0" applyProtection="0"/>
    <xf numFmtId="0" fontId="1" fillId="77" borderId="0" applyNumberFormat="0" applyBorder="0" applyAlignment="0" applyProtection="0"/>
    <xf numFmtId="0" fontId="1" fillId="80" borderId="0" applyNumberFormat="0" applyBorder="0" applyAlignment="0" applyProtection="0"/>
    <xf numFmtId="0" fontId="1" fillId="81" borderId="0" applyNumberFormat="0" applyBorder="0" applyAlignment="0" applyProtection="0"/>
    <xf numFmtId="0" fontId="1" fillId="58" borderId="104" applyNumberFormat="0" applyFont="0" applyAlignment="0" applyProtection="0"/>
    <xf numFmtId="0" fontId="1" fillId="58" borderId="104" applyNumberFormat="0" applyFont="0" applyAlignment="0" applyProtection="0"/>
    <xf numFmtId="0" fontId="1" fillId="60" borderId="0" applyNumberFormat="0" applyBorder="0" applyAlignment="0" applyProtection="0"/>
    <xf numFmtId="0" fontId="1" fillId="61" borderId="0" applyNumberFormat="0" applyBorder="0" applyAlignment="0" applyProtection="0"/>
    <xf numFmtId="0" fontId="1" fillId="64" borderId="0" applyNumberFormat="0" applyBorder="0" applyAlignment="0" applyProtection="0"/>
    <xf numFmtId="0" fontId="1" fillId="65" borderId="0" applyNumberFormat="0" applyBorder="0" applyAlignment="0" applyProtection="0"/>
    <xf numFmtId="0" fontId="1" fillId="68" borderId="0" applyNumberFormat="0" applyBorder="0" applyAlignment="0" applyProtection="0"/>
    <xf numFmtId="0" fontId="1" fillId="69" borderId="0" applyNumberFormat="0" applyBorder="0" applyAlignment="0" applyProtection="0"/>
    <xf numFmtId="0" fontId="1" fillId="72" borderId="0" applyNumberFormat="0" applyBorder="0" applyAlignment="0" applyProtection="0"/>
    <xf numFmtId="0" fontId="1" fillId="73" borderId="0" applyNumberFormat="0" applyBorder="0" applyAlignment="0" applyProtection="0"/>
    <xf numFmtId="0" fontId="1" fillId="76" borderId="0" applyNumberFormat="0" applyBorder="0" applyAlignment="0" applyProtection="0"/>
    <xf numFmtId="0" fontId="1" fillId="77" borderId="0" applyNumberFormat="0" applyBorder="0" applyAlignment="0" applyProtection="0"/>
    <xf numFmtId="0" fontId="1" fillId="80" borderId="0" applyNumberFormat="0" applyBorder="0" applyAlignment="0" applyProtection="0"/>
    <xf numFmtId="0" fontId="1" fillId="81" borderId="0" applyNumberFormat="0" applyBorder="0" applyAlignment="0" applyProtection="0"/>
    <xf numFmtId="0" fontId="1" fillId="60" borderId="0" applyNumberFormat="0" applyBorder="0" applyAlignment="0" applyProtection="0"/>
    <xf numFmtId="0" fontId="1" fillId="61" borderId="0" applyNumberFormat="0" applyBorder="0" applyAlignment="0" applyProtection="0"/>
    <xf numFmtId="0" fontId="1" fillId="64" borderId="0" applyNumberFormat="0" applyBorder="0" applyAlignment="0" applyProtection="0"/>
    <xf numFmtId="0" fontId="1" fillId="65" borderId="0" applyNumberFormat="0" applyBorder="0" applyAlignment="0" applyProtection="0"/>
    <xf numFmtId="0" fontId="1" fillId="68" borderId="0" applyNumberFormat="0" applyBorder="0" applyAlignment="0" applyProtection="0"/>
    <xf numFmtId="0" fontId="1" fillId="69" borderId="0" applyNumberFormat="0" applyBorder="0" applyAlignment="0" applyProtection="0"/>
    <xf numFmtId="0" fontId="1" fillId="72" borderId="0" applyNumberFormat="0" applyBorder="0" applyAlignment="0" applyProtection="0"/>
    <xf numFmtId="0" fontId="1" fillId="73" borderId="0" applyNumberFormat="0" applyBorder="0" applyAlignment="0" applyProtection="0"/>
    <xf numFmtId="0" fontId="1" fillId="76" borderId="0" applyNumberFormat="0" applyBorder="0" applyAlignment="0" applyProtection="0"/>
    <xf numFmtId="0" fontId="1" fillId="77" borderId="0" applyNumberFormat="0" applyBorder="0" applyAlignment="0" applyProtection="0"/>
    <xf numFmtId="0" fontId="1" fillId="80" borderId="0" applyNumberFormat="0" applyBorder="0" applyAlignment="0" applyProtection="0"/>
    <xf numFmtId="0" fontId="1" fillId="81" borderId="0" applyNumberFormat="0" applyBorder="0" applyAlignment="0" applyProtection="0"/>
    <xf numFmtId="0" fontId="1" fillId="58" borderId="104" applyNumberFormat="0" applyFont="0" applyAlignment="0" applyProtection="0"/>
    <xf numFmtId="0" fontId="1" fillId="26" borderId="0" applyNumberFormat="0" applyBorder="0" applyAlignment="0" applyProtection="0"/>
    <xf numFmtId="0" fontId="1" fillId="60" borderId="0" applyNumberFormat="0" applyBorder="0" applyAlignment="0" applyProtection="0"/>
    <xf numFmtId="0" fontId="1" fillId="60" borderId="0" applyNumberFormat="0" applyBorder="0" applyAlignment="0" applyProtection="0"/>
    <xf numFmtId="0" fontId="1" fillId="60" borderId="0" applyNumberFormat="0" applyBorder="0" applyAlignment="0" applyProtection="0"/>
    <xf numFmtId="0" fontId="1" fillId="60" borderId="0" applyNumberFormat="0" applyBorder="0" applyAlignment="0" applyProtection="0"/>
    <xf numFmtId="0" fontId="1" fillId="60" borderId="0" applyNumberFormat="0" applyBorder="0" applyAlignment="0" applyProtection="0"/>
    <xf numFmtId="0" fontId="1" fillId="60" borderId="0" applyNumberFormat="0" applyBorder="0" applyAlignment="0" applyProtection="0"/>
    <xf numFmtId="0" fontId="1" fillId="60" borderId="0" applyNumberFormat="0" applyBorder="0" applyAlignment="0" applyProtection="0"/>
    <xf numFmtId="0" fontId="1" fillId="60" borderId="0" applyNumberFormat="0" applyBorder="0" applyAlignment="0" applyProtection="0"/>
    <xf numFmtId="0" fontId="1" fillId="60" borderId="0" applyNumberFormat="0" applyBorder="0" applyAlignment="0" applyProtection="0"/>
    <xf numFmtId="0" fontId="1" fillId="64" borderId="0" applyNumberFormat="0" applyBorder="0" applyAlignment="0" applyProtection="0"/>
    <xf numFmtId="0" fontId="1" fillId="64" borderId="0" applyNumberFormat="0" applyBorder="0" applyAlignment="0" applyProtection="0"/>
    <xf numFmtId="0" fontId="1" fillId="64" borderId="0" applyNumberFormat="0" applyBorder="0" applyAlignment="0" applyProtection="0"/>
    <xf numFmtId="0" fontId="1" fillId="64" borderId="0" applyNumberFormat="0" applyBorder="0" applyAlignment="0" applyProtection="0"/>
    <xf numFmtId="0" fontId="1" fillId="64" borderId="0" applyNumberFormat="0" applyBorder="0" applyAlignment="0" applyProtection="0"/>
    <xf numFmtId="0" fontId="1" fillId="64" borderId="0" applyNumberFormat="0" applyBorder="0" applyAlignment="0" applyProtection="0"/>
    <xf numFmtId="0" fontId="1" fillId="64" borderId="0" applyNumberFormat="0" applyBorder="0" applyAlignment="0" applyProtection="0"/>
    <xf numFmtId="0" fontId="1" fillId="64" borderId="0" applyNumberFormat="0" applyBorder="0" applyAlignment="0" applyProtection="0"/>
    <xf numFmtId="0" fontId="1" fillId="64" borderId="0" applyNumberFormat="0" applyBorder="0" applyAlignment="0" applyProtection="0"/>
    <xf numFmtId="0" fontId="1" fillId="68" borderId="0" applyNumberFormat="0" applyBorder="0" applyAlignment="0" applyProtection="0"/>
    <xf numFmtId="0" fontId="1" fillId="68" borderId="0" applyNumberFormat="0" applyBorder="0" applyAlignment="0" applyProtection="0"/>
    <xf numFmtId="0" fontId="1" fillId="68" borderId="0" applyNumberFormat="0" applyBorder="0" applyAlignment="0" applyProtection="0"/>
    <xf numFmtId="0" fontId="1" fillId="68" borderId="0" applyNumberFormat="0" applyBorder="0" applyAlignment="0" applyProtection="0"/>
    <xf numFmtId="0" fontId="1" fillId="68" borderId="0" applyNumberFormat="0" applyBorder="0" applyAlignment="0" applyProtection="0"/>
    <xf numFmtId="0" fontId="1" fillId="68" borderId="0" applyNumberFormat="0" applyBorder="0" applyAlignment="0" applyProtection="0"/>
    <xf numFmtId="0" fontId="1" fillId="68" borderId="0" applyNumberFormat="0" applyBorder="0" applyAlignment="0" applyProtection="0"/>
    <xf numFmtId="0" fontId="1" fillId="68" borderId="0" applyNumberFormat="0" applyBorder="0" applyAlignment="0" applyProtection="0"/>
    <xf numFmtId="0" fontId="1" fillId="68" borderId="0" applyNumberFormat="0" applyBorder="0" applyAlignment="0" applyProtection="0"/>
    <xf numFmtId="0" fontId="1" fillId="72" borderId="0" applyNumberFormat="0" applyBorder="0" applyAlignment="0" applyProtection="0"/>
    <xf numFmtId="0" fontId="1" fillId="72" borderId="0" applyNumberFormat="0" applyBorder="0" applyAlignment="0" applyProtection="0"/>
    <xf numFmtId="0" fontId="1" fillId="72" borderId="0" applyNumberFormat="0" applyBorder="0" applyAlignment="0" applyProtection="0"/>
    <xf numFmtId="0" fontId="1" fillId="72" borderId="0" applyNumberFormat="0" applyBorder="0" applyAlignment="0" applyProtection="0"/>
    <xf numFmtId="0" fontId="1" fillId="72" borderId="0" applyNumberFormat="0" applyBorder="0" applyAlignment="0" applyProtection="0"/>
    <xf numFmtId="0" fontId="1" fillId="72" borderId="0" applyNumberFormat="0" applyBorder="0" applyAlignment="0" applyProtection="0"/>
    <xf numFmtId="0" fontId="1" fillId="72" borderId="0" applyNumberFormat="0" applyBorder="0" applyAlignment="0" applyProtection="0"/>
    <xf numFmtId="0" fontId="1" fillId="72" borderId="0" applyNumberFormat="0" applyBorder="0" applyAlignment="0" applyProtection="0"/>
    <xf numFmtId="0" fontId="1" fillId="72" borderId="0" applyNumberFormat="0" applyBorder="0" applyAlignment="0" applyProtection="0"/>
    <xf numFmtId="0" fontId="1" fillId="76" borderId="0" applyNumberFormat="0" applyBorder="0" applyAlignment="0" applyProtection="0"/>
    <xf numFmtId="0" fontId="1" fillId="76" borderId="0" applyNumberFormat="0" applyBorder="0" applyAlignment="0" applyProtection="0"/>
    <xf numFmtId="0" fontId="1" fillId="76" borderId="0" applyNumberFormat="0" applyBorder="0" applyAlignment="0" applyProtection="0"/>
    <xf numFmtId="0" fontId="1" fillId="76" borderId="0" applyNumberFormat="0" applyBorder="0" applyAlignment="0" applyProtection="0"/>
    <xf numFmtId="0" fontId="1" fillId="76" borderId="0" applyNumberFormat="0" applyBorder="0" applyAlignment="0" applyProtection="0"/>
    <xf numFmtId="0" fontId="1" fillId="76" borderId="0" applyNumberFormat="0" applyBorder="0" applyAlignment="0" applyProtection="0"/>
    <xf numFmtId="0" fontId="1" fillId="76" borderId="0" applyNumberFormat="0" applyBorder="0" applyAlignment="0" applyProtection="0"/>
    <xf numFmtId="0" fontId="1" fillId="76" borderId="0" applyNumberFormat="0" applyBorder="0" applyAlignment="0" applyProtection="0"/>
    <xf numFmtId="0" fontId="1" fillId="76" borderId="0" applyNumberFormat="0" applyBorder="0" applyAlignment="0" applyProtection="0"/>
    <xf numFmtId="0" fontId="1" fillId="80" borderId="0" applyNumberFormat="0" applyBorder="0" applyAlignment="0" applyProtection="0"/>
    <xf numFmtId="0" fontId="1" fillId="80" borderId="0" applyNumberFormat="0" applyBorder="0" applyAlignment="0" applyProtection="0"/>
    <xf numFmtId="0" fontId="1" fillId="80" borderId="0" applyNumberFormat="0" applyBorder="0" applyAlignment="0" applyProtection="0"/>
    <xf numFmtId="0" fontId="1" fillId="80" borderId="0" applyNumberFormat="0" applyBorder="0" applyAlignment="0" applyProtection="0"/>
    <xf numFmtId="0" fontId="1" fillId="80" borderId="0" applyNumberFormat="0" applyBorder="0" applyAlignment="0" applyProtection="0"/>
    <xf numFmtId="0" fontId="1" fillId="80" borderId="0" applyNumberFormat="0" applyBorder="0" applyAlignment="0" applyProtection="0"/>
    <xf numFmtId="0" fontId="1" fillId="80" borderId="0" applyNumberFormat="0" applyBorder="0" applyAlignment="0" applyProtection="0"/>
    <xf numFmtId="0" fontId="1" fillId="80" borderId="0" applyNumberFormat="0" applyBorder="0" applyAlignment="0" applyProtection="0"/>
    <xf numFmtId="0" fontId="1" fillId="80" borderId="0" applyNumberFormat="0" applyBorder="0" applyAlignment="0" applyProtection="0"/>
    <xf numFmtId="0" fontId="1" fillId="61" borderId="0" applyNumberFormat="0" applyBorder="0" applyAlignment="0" applyProtection="0"/>
    <xf numFmtId="0" fontId="1" fillId="61" borderId="0" applyNumberFormat="0" applyBorder="0" applyAlignment="0" applyProtection="0"/>
    <xf numFmtId="0" fontId="1" fillId="61" borderId="0" applyNumberFormat="0" applyBorder="0" applyAlignment="0" applyProtection="0"/>
    <xf numFmtId="0" fontId="1" fillId="61" borderId="0" applyNumberFormat="0" applyBorder="0" applyAlignment="0" applyProtection="0"/>
    <xf numFmtId="0" fontId="1" fillId="61" borderId="0" applyNumberFormat="0" applyBorder="0" applyAlignment="0" applyProtection="0"/>
    <xf numFmtId="0" fontId="1" fillId="61" borderId="0" applyNumberFormat="0" applyBorder="0" applyAlignment="0" applyProtection="0"/>
    <xf numFmtId="0" fontId="1" fillId="61" borderId="0" applyNumberFormat="0" applyBorder="0" applyAlignment="0" applyProtection="0"/>
    <xf numFmtId="0" fontId="1" fillId="61" borderId="0" applyNumberFormat="0" applyBorder="0" applyAlignment="0" applyProtection="0"/>
    <xf numFmtId="0" fontId="1" fillId="61" borderId="0" applyNumberFormat="0" applyBorder="0" applyAlignment="0" applyProtection="0"/>
    <xf numFmtId="0" fontId="1" fillId="65" borderId="0" applyNumberFormat="0" applyBorder="0" applyAlignment="0" applyProtection="0"/>
    <xf numFmtId="0" fontId="1" fillId="65" borderId="0" applyNumberFormat="0" applyBorder="0" applyAlignment="0" applyProtection="0"/>
    <xf numFmtId="0" fontId="1" fillId="65" borderId="0" applyNumberFormat="0" applyBorder="0" applyAlignment="0" applyProtection="0"/>
    <xf numFmtId="0" fontId="1" fillId="65" borderId="0" applyNumberFormat="0" applyBorder="0" applyAlignment="0" applyProtection="0"/>
    <xf numFmtId="0" fontId="1" fillId="65" borderId="0" applyNumberFormat="0" applyBorder="0" applyAlignment="0" applyProtection="0"/>
    <xf numFmtId="0" fontId="1" fillId="65" borderId="0" applyNumberFormat="0" applyBorder="0" applyAlignment="0" applyProtection="0"/>
    <xf numFmtId="0" fontId="1" fillId="65" borderId="0" applyNumberFormat="0" applyBorder="0" applyAlignment="0" applyProtection="0"/>
    <xf numFmtId="0" fontId="1" fillId="65" borderId="0" applyNumberFormat="0" applyBorder="0" applyAlignment="0" applyProtection="0"/>
    <xf numFmtId="0" fontId="1" fillId="65" borderId="0" applyNumberFormat="0" applyBorder="0" applyAlignment="0" applyProtection="0"/>
    <xf numFmtId="0" fontId="1" fillId="69" borderId="0" applyNumberFormat="0" applyBorder="0" applyAlignment="0" applyProtection="0"/>
    <xf numFmtId="0" fontId="1" fillId="69" borderId="0" applyNumberFormat="0" applyBorder="0" applyAlignment="0" applyProtection="0"/>
    <xf numFmtId="0" fontId="1" fillId="69" borderId="0" applyNumberFormat="0" applyBorder="0" applyAlignment="0" applyProtection="0"/>
    <xf numFmtId="0" fontId="1" fillId="69" borderId="0" applyNumberFormat="0" applyBorder="0" applyAlignment="0" applyProtection="0"/>
    <xf numFmtId="0" fontId="1" fillId="69" borderId="0" applyNumberFormat="0" applyBorder="0" applyAlignment="0" applyProtection="0"/>
    <xf numFmtId="0" fontId="1" fillId="69" borderId="0" applyNumberFormat="0" applyBorder="0" applyAlignment="0" applyProtection="0"/>
    <xf numFmtId="0" fontId="1" fillId="69" borderId="0" applyNumberFormat="0" applyBorder="0" applyAlignment="0" applyProtection="0"/>
    <xf numFmtId="0" fontId="1" fillId="69" borderId="0" applyNumberFormat="0" applyBorder="0" applyAlignment="0" applyProtection="0"/>
    <xf numFmtId="0" fontId="1" fillId="69" borderId="0" applyNumberFormat="0" applyBorder="0" applyAlignment="0" applyProtection="0"/>
    <xf numFmtId="0" fontId="1" fillId="73" borderId="0" applyNumberFormat="0" applyBorder="0" applyAlignment="0" applyProtection="0"/>
    <xf numFmtId="0" fontId="1" fillId="73" borderId="0" applyNumberFormat="0" applyBorder="0" applyAlignment="0" applyProtection="0"/>
    <xf numFmtId="0" fontId="1" fillId="73" borderId="0" applyNumberFormat="0" applyBorder="0" applyAlignment="0" applyProtection="0"/>
    <xf numFmtId="0" fontId="1" fillId="73" borderId="0" applyNumberFormat="0" applyBorder="0" applyAlignment="0" applyProtection="0"/>
    <xf numFmtId="0" fontId="1" fillId="73" borderId="0" applyNumberFormat="0" applyBorder="0" applyAlignment="0" applyProtection="0"/>
    <xf numFmtId="0" fontId="1" fillId="73" borderId="0" applyNumberFormat="0" applyBorder="0" applyAlignment="0" applyProtection="0"/>
    <xf numFmtId="0" fontId="1" fillId="73" borderId="0" applyNumberFormat="0" applyBorder="0" applyAlignment="0" applyProtection="0"/>
    <xf numFmtId="0" fontId="1" fillId="73" borderId="0" applyNumberFormat="0" applyBorder="0" applyAlignment="0" applyProtection="0"/>
    <xf numFmtId="0" fontId="1" fillId="73" borderId="0" applyNumberFormat="0" applyBorder="0" applyAlignment="0" applyProtection="0"/>
    <xf numFmtId="0" fontId="1" fillId="77" borderId="0" applyNumberFormat="0" applyBorder="0" applyAlignment="0" applyProtection="0"/>
    <xf numFmtId="0" fontId="1" fillId="77" borderId="0" applyNumberFormat="0" applyBorder="0" applyAlignment="0" applyProtection="0"/>
    <xf numFmtId="0" fontId="1" fillId="77" borderId="0" applyNumberFormat="0" applyBorder="0" applyAlignment="0" applyProtection="0"/>
    <xf numFmtId="0" fontId="1" fillId="77" borderId="0" applyNumberFormat="0" applyBorder="0" applyAlignment="0" applyProtection="0"/>
    <xf numFmtId="0" fontId="1" fillId="77" borderId="0" applyNumberFormat="0" applyBorder="0" applyAlignment="0" applyProtection="0"/>
    <xf numFmtId="0" fontId="1" fillId="77" borderId="0" applyNumberFormat="0" applyBorder="0" applyAlignment="0" applyProtection="0"/>
    <xf numFmtId="0" fontId="1" fillId="77" borderId="0" applyNumberFormat="0" applyBorder="0" applyAlignment="0" applyProtection="0"/>
    <xf numFmtId="0" fontId="1" fillId="77" borderId="0" applyNumberFormat="0" applyBorder="0" applyAlignment="0" applyProtection="0"/>
    <xf numFmtId="0" fontId="1" fillId="77" borderId="0" applyNumberFormat="0" applyBorder="0" applyAlignment="0" applyProtection="0"/>
    <xf numFmtId="0" fontId="1" fillId="81" borderId="0" applyNumberFormat="0" applyBorder="0" applyAlignment="0" applyProtection="0"/>
    <xf numFmtId="0" fontId="1" fillId="81" borderId="0" applyNumberFormat="0" applyBorder="0" applyAlignment="0" applyProtection="0"/>
    <xf numFmtId="0" fontId="1" fillId="81" borderId="0" applyNumberFormat="0" applyBorder="0" applyAlignment="0" applyProtection="0"/>
    <xf numFmtId="0" fontId="1" fillId="81" borderId="0" applyNumberFormat="0" applyBorder="0" applyAlignment="0" applyProtection="0"/>
    <xf numFmtId="0" fontId="1" fillId="81" borderId="0" applyNumberFormat="0" applyBorder="0" applyAlignment="0" applyProtection="0"/>
    <xf numFmtId="0" fontId="1" fillId="81" borderId="0" applyNumberFormat="0" applyBorder="0" applyAlignment="0" applyProtection="0"/>
    <xf numFmtId="0" fontId="1" fillId="81" borderId="0" applyNumberFormat="0" applyBorder="0" applyAlignment="0" applyProtection="0"/>
    <xf numFmtId="0" fontId="1" fillId="81" borderId="0" applyNumberFormat="0" applyBorder="0" applyAlignment="0" applyProtection="0"/>
    <xf numFmtId="0" fontId="1" fillId="81" borderId="0" applyNumberFormat="0" applyBorder="0" applyAlignment="0" applyProtection="0"/>
    <xf numFmtId="0" fontId="1" fillId="58" borderId="104" applyNumberFormat="0" applyFont="0" applyAlignment="0" applyProtection="0"/>
    <xf numFmtId="0" fontId="1" fillId="58" borderId="104" applyNumberFormat="0" applyFont="0" applyAlignment="0" applyProtection="0"/>
    <xf numFmtId="0" fontId="1" fillId="58" borderId="104" applyNumberFormat="0" applyFont="0" applyAlignment="0" applyProtection="0"/>
    <xf numFmtId="0" fontId="1" fillId="58" borderId="104" applyNumberFormat="0" applyFont="0" applyAlignment="0" applyProtection="0"/>
    <xf numFmtId="0" fontId="1" fillId="58" borderId="104" applyNumberFormat="0" applyFont="0" applyAlignment="0" applyProtection="0"/>
    <xf numFmtId="0" fontId="1" fillId="58" borderId="104" applyNumberFormat="0" applyFont="0" applyAlignment="0" applyProtection="0"/>
    <xf numFmtId="0" fontId="1" fillId="58" borderId="104" applyNumberFormat="0" applyFont="0" applyAlignment="0" applyProtection="0"/>
    <xf numFmtId="0" fontId="1" fillId="58" borderId="104" applyNumberFormat="0" applyFont="0" applyAlignment="0" applyProtection="0"/>
    <xf numFmtId="0" fontId="1" fillId="58" borderId="104" applyNumberFormat="0" applyFont="0" applyAlignment="0" applyProtection="0"/>
    <xf numFmtId="0" fontId="1" fillId="0" borderId="0"/>
    <xf numFmtId="165" fontId="1" fillId="0" borderId="0" applyFont="0" applyFill="0" applyBorder="0" applyAlignment="0" applyProtection="0"/>
    <xf numFmtId="0" fontId="1" fillId="0" borderId="0"/>
    <xf numFmtId="0" fontId="1" fillId="0" borderId="0"/>
    <xf numFmtId="0" fontId="240" fillId="0" borderId="0"/>
    <xf numFmtId="3" fontId="240" fillId="0" borderId="0" applyFont="0" applyFill="0" applyBorder="0" applyAlignment="0" applyProtection="0"/>
    <xf numFmtId="220" fontId="240" fillId="0" borderId="0" applyFont="0" applyFill="0" applyBorder="0" applyAlignment="0" applyProtection="0"/>
    <xf numFmtId="0" fontId="240" fillId="0" borderId="0" applyFont="0" applyFill="0" applyBorder="0" applyAlignment="0" applyProtection="0"/>
    <xf numFmtId="2" fontId="240" fillId="0" borderId="0" applyFont="0" applyFill="0" applyBorder="0" applyAlignment="0" applyProtection="0"/>
    <xf numFmtId="0" fontId="241" fillId="0" borderId="0" applyNumberFormat="0" applyFill="0" applyBorder="0" applyAlignment="0" applyProtection="0"/>
    <xf numFmtId="0" fontId="242" fillId="0" borderId="0" applyNumberFormat="0" applyFill="0" applyBorder="0" applyAlignment="0" applyProtection="0"/>
    <xf numFmtId="10" fontId="240" fillId="0" borderId="0" applyFont="0" applyFill="0" applyBorder="0" applyAlignment="0" applyProtection="0"/>
    <xf numFmtId="0" fontId="240" fillId="0" borderId="160" applyNumberFormat="0" applyFont="0" applyFill="0" applyAlignment="0" applyProtection="0"/>
    <xf numFmtId="0" fontId="1" fillId="0" borderId="0"/>
    <xf numFmtId="0" fontId="1" fillId="60" borderId="0" applyNumberFormat="0" applyBorder="0" applyAlignment="0" applyProtection="0"/>
    <xf numFmtId="0" fontId="1" fillId="61" borderId="0" applyNumberFormat="0" applyBorder="0" applyAlignment="0" applyProtection="0"/>
    <xf numFmtId="0" fontId="1" fillId="64" borderId="0" applyNumberFormat="0" applyBorder="0" applyAlignment="0" applyProtection="0"/>
    <xf numFmtId="0" fontId="1" fillId="65" borderId="0" applyNumberFormat="0" applyBorder="0" applyAlignment="0" applyProtection="0"/>
    <xf numFmtId="0" fontId="1" fillId="68" borderId="0" applyNumberFormat="0" applyBorder="0" applyAlignment="0" applyProtection="0"/>
    <xf numFmtId="0" fontId="1" fillId="69" borderId="0" applyNumberFormat="0" applyBorder="0" applyAlignment="0" applyProtection="0"/>
    <xf numFmtId="0" fontId="1" fillId="72" borderId="0" applyNumberFormat="0" applyBorder="0" applyAlignment="0" applyProtection="0"/>
    <xf numFmtId="0" fontId="1" fillId="73" borderId="0" applyNumberFormat="0" applyBorder="0" applyAlignment="0" applyProtection="0"/>
    <xf numFmtId="0" fontId="1" fillId="76" borderId="0" applyNumberFormat="0" applyBorder="0" applyAlignment="0" applyProtection="0"/>
    <xf numFmtId="0" fontId="1" fillId="77" borderId="0" applyNumberFormat="0" applyBorder="0" applyAlignment="0" applyProtection="0"/>
    <xf numFmtId="0" fontId="1" fillId="80" borderId="0" applyNumberFormat="0" applyBorder="0" applyAlignment="0" applyProtection="0"/>
    <xf numFmtId="0" fontId="1" fillId="81" borderId="0" applyNumberFormat="0" applyBorder="0" applyAlignment="0" applyProtection="0"/>
    <xf numFmtId="0" fontId="1" fillId="7" borderId="0" applyNumberFormat="0" applyBorder="0" applyAlignment="0" applyProtection="0"/>
    <xf numFmtId="0" fontId="1" fillId="58" borderId="104" applyNumberFormat="0" applyFont="0" applyAlignment="0" applyProtection="0"/>
    <xf numFmtId="0" fontId="1" fillId="58" borderId="104" applyNumberFormat="0" applyFont="0" applyAlignment="0" applyProtection="0"/>
    <xf numFmtId="0" fontId="1" fillId="60" borderId="0" applyNumberFormat="0" applyBorder="0" applyAlignment="0" applyProtection="0"/>
    <xf numFmtId="0" fontId="1" fillId="61" borderId="0" applyNumberFormat="0" applyBorder="0" applyAlignment="0" applyProtection="0"/>
    <xf numFmtId="0" fontId="1" fillId="64" borderId="0" applyNumberFormat="0" applyBorder="0" applyAlignment="0" applyProtection="0"/>
    <xf numFmtId="0" fontId="1" fillId="65" borderId="0" applyNumberFormat="0" applyBorder="0" applyAlignment="0" applyProtection="0"/>
    <xf numFmtId="0" fontId="1" fillId="68" borderId="0" applyNumberFormat="0" applyBorder="0" applyAlignment="0" applyProtection="0"/>
    <xf numFmtId="0" fontId="1" fillId="69" borderId="0" applyNumberFormat="0" applyBorder="0" applyAlignment="0" applyProtection="0"/>
    <xf numFmtId="0" fontId="1" fillId="72" borderId="0" applyNumberFormat="0" applyBorder="0" applyAlignment="0" applyProtection="0"/>
    <xf numFmtId="0" fontId="1" fillId="73" borderId="0" applyNumberFormat="0" applyBorder="0" applyAlignment="0" applyProtection="0"/>
    <xf numFmtId="0" fontId="1" fillId="76" borderId="0" applyNumberFormat="0" applyBorder="0" applyAlignment="0" applyProtection="0"/>
    <xf numFmtId="0" fontId="1" fillId="77" borderId="0" applyNumberFormat="0" applyBorder="0" applyAlignment="0" applyProtection="0"/>
    <xf numFmtId="0" fontId="1" fillId="80" borderId="0" applyNumberFormat="0" applyBorder="0" applyAlignment="0" applyProtection="0"/>
    <xf numFmtId="0" fontId="1" fillId="81" borderId="0" applyNumberFormat="0" applyBorder="0" applyAlignment="0" applyProtection="0"/>
    <xf numFmtId="0" fontId="1" fillId="60" borderId="0" applyNumberFormat="0" applyBorder="0" applyAlignment="0" applyProtection="0"/>
    <xf numFmtId="0" fontId="1" fillId="61" borderId="0" applyNumberFormat="0" applyBorder="0" applyAlignment="0" applyProtection="0"/>
    <xf numFmtId="0" fontId="1" fillId="64" borderId="0" applyNumberFormat="0" applyBorder="0" applyAlignment="0" applyProtection="0"/>
    <xf numFmtId="0" fontId="1" fillId="65" borderId="0" applyNumberFormat="0" applyBorder="0" applyAlignment="0" applyProtection="0"/>
    <xf numFmtId="0" fontId="1" fillId="68" borderId="0" applyNumberFormat="0" applyBorder="0" applyAlignment="0" applyProtection="0"/>
    <xf numFmtId="0" fontId="1" fillId="69" borderId="0" applyNumberFormat="0" applyBorder="0" applyAlignment="0" applyProtection="0"/>
    <xf numFmtId="0" fontId="1" fillId="72" borderId="0" applyNumberFormat="0" applyBorder="0" applyAlignment="0" applyProtection="0"/>
    <xf numFmtId="0" fontId="1" fillId="73" borderId="0" applyNumberFormat="0" applyBorder="0" applyAlignment="0" applyProtection="0"/>
    <xf numFmtId="0" fontId="1" fillId="76" borderId="0" applyNumberFormat="0" applyBorder="0" applyAlignment="0" applyProtection="0"/>
    <xf numFmtId="0" fontId="1" fillId="77" borderId="0" applyNumberFormat="0" applyBorder="0" applyAlignment="0" applyProtection="0"/>
    <xf numFmtId="0" fontId="1" fillId="80" borderId="0" applyNumberFormat="0" applyBorder="0" applyAlignment="0" applyProtection="0"/>
    <xf numFmtId="0" fontId="1" fillId="81" borderId="0" applyNumberFormat="0" applyBorder="0" applyAlignment="0" applyProtection="0"/>
    <xf numFmtId="0" fontId="1" fillId="58" borderId="104" applyNumberFormat="0" applyFont="0" applyAlignment="0" applyProtection="0"/>
    <xf numFmtId="0" fontId="1" fillId="60" borderId="0" applyNumberFormat="0" applyBorder="0" applyAlignment="0" applyProtection="0"/>
    <xf numFmtId="0" fontId="1" fillId="61" borderId="0" applyNumberFormat="0" applyBorder="0" applyAlignment="0" applyProtection="0"/>
    <xf numFmtId="0" fontId="1" fillId="64" borderId="0" applyNumberFormat="0" applyBorder="0" applyAlignment="0" applyProtection="0"/>
    <xf numFmtId="0" fontId="1" fillId="65" borderId="0" applyNumberFormat="0" applyBorder="0" applyAlignment="0" applyProtection="0"/>
    <xf numFmtId="0" fontId="1" fillId="68" borderId="0" applyNumberFormat="0" applyBorder="0" applyAlignment="0" applyProtection="0"/>
    <xf numFmtId="0" fontId="1" fillId="69" borderId="0" applyNumberFormat="0" applyBorder="0" applyAlignment="0" applyProtection="0"/>
    <xf numFmtId="0" fontId="1" fillId="72" borderId="0" applyNumberFormat="0" applyBorder="0" applyAlignment="0" applyProtection="0"/>
    <xf numFmtId="0" fontId="1" fillId="73" borderId="0" applyNumberFormat="0" applyBorder="0" applyAlignment="0" applyProtection="0"/>
    <xf numFmtId="0" fontId="1" fillId="76" borderId="0" applyNumberFormat="0" applyBorder="0" applyAlignment="0" applyProtection="0"/>
    <xf numFmtId="0" fontId="1" fillId="77" borderId="0" applyNumberFormat="0" applyBorder="0" applyAlignment="0" applyProtection="0"/>
    <xf numFmtId="0" fontId="1" fillId="80" borderId="0" applyNumberFormat="0" applyBorder="0" applyAlignment="0" applyProtection="0"/>
    <xf numFmtId="0" fontId="1" fillId="81" borderId="0" applyNumberFormat="0" applyBorder="0" applyAlignment="0" applyProtection="0"/>
    <xf numFmtId="0" fontId="1" fillId="58" borderId="104" applyNumberFormat="0" applyFont="0" applyAlignment="0" applyProtection="0"/>
    <xf numFmtId="0" fontId="1" fillId="58" borderId="104" applyNumberFormat="0" applyFont="0" applyAlignment="0" applyProtection="0"/>
    <xf numFmtId="0" fontId="1" fillId="60" borderId="0" applyNumberFormat="0" applyBorder="0" applyAlignment="0" applyProtection="0"/>
    <xf numFmtId="0" fontId="1" fillId="61" borderId="0" applyNumberFormat="0" applyBorder="0" applyAlignment="0" applyProtection="0"/>
    <xf numFmtId="0" fontId="1" fillId="64" borderId="0" applyNumberFormat="0" applyBorder="0" applyAlignment="0" applyProtection="0"/>
    <xf numFmtId="0" fontId="1" fillId="65" borderId="0" applyNumberFormat="0" applyBorder="0" applyAlignment="0" applyProtection="0"/>
    <xf numFmtId="0" fontId="1" fillId="68" borderId="0" applyNumberFormat="0" applyBorder="0" applyAlignment="0" applyProtection="0"/>
    <xf numFmtId="0" fontId="1" fillId="69" borderId="0" applyNumberFormat="0" applyBorder="0" applyAlignment="0" applyProtection="0"/>
    <xf numFmtId="0" fontId="1" fillId="72" borderId="0" applyNumberFormat="0" applyBorder="0" applyAlignment="0" applyProtection="0"/>
    <xf numFmtId="0" fontId="1" fillId="73" borderId="0" applyNumberFormat="0" applyBorder="0" applyAlignment="0" applyProtection="0"/>
    <xf numFmtId="0" fontId="1" fillId="76" borderId="0" applyNumberFormat="0" applyBorder="0" applyAlignment="0" applyProtection="0"/>
    <xf numFmtId="0" fontId="1" fillId="77" borderId="0" applyNumberFormat="0" applyBorder="0" applyAlignment="0" applyProtection="0"/>
    <xf numFmtId="0" fontId="1" fillId="80" borderId="0" applyNumberFormat="0" applyBorder="0" applyAlignment="0" applyProtection="0"/>
    <xf numFmtId="0" fontId="1" fillId="81" borderId="0" applyNumberFormat="0" applyBorder="0" applyAlignment="0" applyProtection="0"/>
    <xf numFmtId="0" fontId="1" fillId="60" borderId="0" applyNumberFormat="0" applyBorder="0" applyAlignment="0" applyProtection="0"/>
    <xf numFmtId="0" fontId="1" fillId="61" borderId="0" applyNumberFormat="0" applyBorder="0" applyAlignment="0" applyProtection="0"/>
    <xf numFmtId="0" fontId="1" fillId="64" borderId="0" applyNumberFormat="0" applyBorder="0" applyAlignment="0" applyProtection="0"/>
    <xf numFmtId="0" fontId="1" fillId="65" borderId="0" applyNumberFormat="0" applyBorder="0" applyAlignment="0" applyProtection="0"/>
    <xf numFmtId="0" fontId="1" fillId="68" borderId="0" applyNumberFormat="0" applyBorder="0" applyAlignment="0" applyProtection="0"/>
    <xf numFmtId="0" fontId="1" fillId="69" borderId="0" applyNumberFormat="0" applyBorder="0" applyAlignment="0" applyProtection="0"/>
    <xf numFmtId="0" fontId="1" fillId="72" borderId="0" applyNumberFormat="0" applyBorder="0" applyAlignment="0" applyProtection="0"/>
    <xf numFmtId="0" fontId="1" fillId="73" borderId="0" applyNumberFormat="0" applyBorder="0" applyAlignment="0" applyProtection="0"/>
    <xf numFmtId="0" fontId="1" fillId="76" borderId="0" applyNumberFormat="0" applyBorder="0" applyAlignment="0" applyProtection="0"/>
    <xf numFmtId="0" fontId="1" fillId="77" borderId="0" applyNumberFormat="0" applyBorder="0" applyAlignment="0" applyProtection="0"/>
    <xf numFmtId="0" fontId="1" fillId="80" borderId="0" applyNumberFormat="0" applyBorder="0" applyAlignment="0" applyProtection="0"/>
    <xf numFmtId="0" fontId="1" fillId="81" borderId="0" applyNumberFormat="0" applyBorder="0" applyAlignment="0" applyProtection="0"/>
    <xf numFmtId="0" fontId="1" fillId="58" borderId="104" applyNumberFormat="0" applyFont="0" applyAlignment="0" applyProtection="0"/>
    <xf numFmtId="0" fontId="1" fillId="60" borderId="0" applyNumberFormat="0" applyBorder="0" applyAlignment="0" applyProtection="0"/>
    <xf numFmtId="0" fontId="1" fillId="61" borderId="0" applyNumberFormat="0" applyBorder="0" applyAlignment="0" applyProtection="0"/>
    <xf numFmtId="0" fontId="1" fillId="64" borderId="0" applyNumberFormat="0" applyBorder="0" applyAlignment="0" applyProtection="0"/>
    <xf numFmtId="0" fontId="1" fillId="65" borderId="0" applyNumberFormat="0" applyBorder="0" applyAlignment="0" applyProtection="0"/>
    <xf numFmtId="0" fontId="1" fillId="68" borderId="0" applyNumberFormat="0" applyBorder="0" applyAlignment="0" applyProtection="0"/>
    <xf numFmtId="0" fontId="1" fillId="69" borderId="0" applyNumberFormat="0" applyBorder="0" applyAlignment="0" applyProtection="0"/>
    <xf numFmtId="0" fontId="1" fillId="72" borderId="0" applyNumberFormat="0" applyBorder="0" applyAlignment="0" applyProtection="0"/>
    <xf numFmtId="0" fontId="1" fillId="73" borderId="0" applyNumberFormat="0" applyBorder="0" applyAlignment="0" applyProtection="0"/>
    <xf numFmtId="0" fontId="1" fillId="76" borderId="0" applyNumberFormat="0" applyBorder="0" applyAlignment="0" applyProtection="0"/>
    <xf numFmtId="0" fontId="1" fillId="77" borderId="0" applyNumberFormat="0" applyBorder="0" applyAlignment="0" applyProtection="0"/>
    <xf numFmtId="0" fontId="1" fillId="80" borderId="0" applyNumberFormat="0" applyBorder="0" applyAlignment="0" applyProtection="0"/>
    <xf numFmtId="0" fontId="1" fillId="81" borderId="0" applyNumberFormat="0" applyBorder="0" applyAlignment="0" applyProtection="0"/>
    <xf numFmtId="0" fontId="1" fillId="58" borderId="104" applyNumberFormat="0" applyFont="0" applyAlignment="0" applyProtection="0"/>
    <xf numFmtId="0" fontId="1" fillId="58" borderId="104" applyNumberFormat="0" applyFont="0" applyAlignment="0" applyProtection="0"/>
    <xf numFmtId="0" fontId="1" fillId="60" borderId="0" applyNumberFormat="0" applyBorder="0" applyAlignment="0" applyProtection="0"/>
    <xf numFmtId="0" fontId="1" fillId="61" borderId="0" applyNumberFormat="0" applyBorder="0" applyAlignment="0" applyProtection="0"/>
    <xf numFmtId="0" fontId="1" fillId="64" borderId="0" applyNumberFormat="0" applyBorder="0" applyAlignment="0" applyProtection="0"/>
    <xf numFmtId="0" fontId="1" fillId="65" borderId="0" applyNumberFormat="0" applyBorder="0" applyAlignment="0" applyProtection="0"/>
    <xf numFmtId="0" fontId="1" fillId="68" borderId="0" applyNumberFormat="0" applyBorder="0" applyAlignment="0" applyProtection="0"/>
    <xf numFmtId="0" fontId="1" fillId="69" borderId="0" applyNumberFormat="0" applyBorder="0" applyAlignment="0" applyProtection="0"/>
    <xf numFmtId="0" fontId="1" fillId="72" borderId="0" applyNumberFormat="0" applyBorder="0" applyAlignment="0" applyProtection="0"/>
    <xf numFmtId="0" fontId="1" fillId="73" borderId="0" applyNumberFormat="0" applyBorder="0" applyAlignment="0" applyProtection="0"/>
    <xf numFmtId="0" fontId="1" fillId="76" borderId="0" applyNumberFormat="0" applyBorder="0" applyAlignment="0" applyProtection="0"/>
    <xf numFmtId="0" fontId="1" fillId="77" borderId="0" applyNumberFormat="0" applyBorder="0" applyAlignment="0" applyProtection="0"/>
    <xf numFmtId="0" fontId="1" fillId="80" borderId="0" applyNumberFormat="0" applyBorder="0" applyAlignment="0" applyProtection="0"/>
    <xf numFmtId="0" fontId="1" fillId="81" borderId="0" applyNumberFormat="0" applyBorder="0" applyAlignment="0" applyProtection="0"/>
    <xf numFmtId="0" fontId="1" fillId="60" borderId="0" applyNumberFormat="0" applyBorder="0" applyAlignment="0" applyProtection="0"/>
    <xf numFmtId="0" fontId="1" fillId="61" borderId="0" applyNumberFormat="0" applyBorder="0" applyAlignment="0" applyProtection="0"/>
    <xf numFmtId="0" fontId="1" fillId="64" borderId="0" applyNumberFormat="0" applyBorder="0" applyAlignment="0" applyProtection="0"/>
    <xf numFmtId="0" fontId="1" fillId="65" borderId="0" applyNumberFormat="0" applyBorder="0" applyAlignment="0" applyProtection="0"/>
    <xf numFmtId="0" fontId="1" fillId="68" borderId="0" applyNumberFormat="0" applyBorder="0" applyAlignment="0" applyProtection="0"/>
    <xf numFmtId="0" fontId="1" fillId="69" borderId="0" applyNumberFormat="0" applyBorder="0" applyAlignment="0" applyProtection="0"/>
    <xf numFmtId="0" fontId="1" fillId="72" borderId="0" applyNumberFormat="0" applyBorder="0" applyAlignment="0" applyProtection="0"/>
    <xf numFmtId="0" fontId="1" fillId="73" borderId="0" applyNumberFormat="0" applyBorder="0" applyAlignment="0" applyProtection="0"/>
    <xf numFmtId="0" fontId="1" fillId="76" borderId="0" applyNumberFormat="0" applyBorder="0" applyAlignment="0" applyProtection="0"/>
    <xf numFmtId="0" fontId="1" fillId="77" borderId="0" applyNumberFormat="0" applyBorder="0" applyAlignment="0" applyProtection="0"/>
    <xf numFmtId="0" fontId="1" fillId="80" borderId="0" applyNumberFormat="0" applyBorder="0" applyAlignment="0" applyProtection="0"/>
    <xf numFmtId="0" fontId="1" fillId="81" borderId="0" applyNumberFormat="0" applyBorder="0" applyAlignment="0" applyProtection="0"/>
    <xf numFmtId="0" fontId="1" fillId="58" borderId="104" applyNumberFormat="0" applyFont="0" applyAlignment="0" applyProtection="0"/>
    <xf numFmtId="0" fontId="1" fillId="0" borderId="0"/>
    <xf numFmtId="0" fontId="1" fillId="0" borderId="0"/>
    <xf numFmtId="0" fontId="1" fillId="60" borderId="0" applyNumberFormat="0" applyBorder="0" applyAlignment="0" applyProtection="0"/>
    <xf numFmtId="0" fontId="1" fillId="61" borderId="0" applyNumberFormat="0" applyBorder="0" applyAlignment="0" applyProtection="0"/>
    <xf numFmtId="0" fontId="1" fillId="64" borderId="0" applyNumberFormat="0" applyBorder="0" applyAlignment="0" applyProtection="0"/>
    <xf numFmtId="0" fontId="1" fillId="65" borderId="0" applyNumberFormat="0" applyBorder="0" applyAlignment="0" applyProtection="0"/>
    <xf numFmtId="0" fontId="1" fillId="68" borderId="0" applyNumberFormat="0" applyBorder="0" applyAlignment="0" applyProtection="0"/>
    <xf numFmtId="0" fontId="1" fillId="69" borderId="0" applyNumberFormat="0" applyBorder="0" applyAlignment="0" applyProtection="0"/>
    <xf numFmtId="0" fontId="1" fillId="72" borderId="0" applyNumberFormat="0" applyBorder="0" applyAlignment="0" applyProtection="0"/>
    <xf numFmtId="0" fontId="1" fillId="73" borderId="0" applyNumberFormat="0" applyBorder="0" applyAlignment="0" applyProtection="0"/>
    <xf numFmtId="0" fontId="1" fillId="76" borderId="0" applyNumberFormat="0" applyBorder="0" applyAlignment="0" applyProtection="0"/>
    <xf numFmtId="0" fontId="1" fillId="77" borderId="0" applyNumberFormat="0" applyBorder="0" applyAlignment="0" applyProtection="0"/>
    <xf numFmtId="0" fontId="1" fillId="80" borderId="0" applyNumberFormat="0" applyBorder="0" applyAlignment="0" applyProtection="0"/>
    <xf numFmtId="0" fontId="1" fillId="81" borderId="0" applyNumberFormat="0" applyBorder="0" applyAlignment="0" applyProtection="0"/>
    <xf numFmtId="0" fontId="1" fillId="58" borderId="104" applyNumberFormat="0" applyFont="0" applyAlignment="0" applyProtection="0"/>
    <xf numFmtId="0" fontId="1" fillId="58" borderId="104" applyNumberFormat="0" applyFont="0" applyAlignment="0" applyProtection="0"/>
    <xf numFmtId="0" fontId="1" fillId="60" borderId="0" applyNumberFormat="0" applyBorder="0" applyAlignment="0" applyProtection="0"/>
    <xf numFmtId="0" fontId="1" fillId="61" borderId="0" applyNumberFormat="0" applyBorder="0" applyAlignment="0" applyProtection="0"/>
    <xf numFmtId="0" fontId="1" fillId="64" borderId="0" applyNumberFormat="0" applyBorder="0" applyAlignment="0" applyProtection="0"/>
    <xf numFmtId="0" fontId="1" fillId="65" borderId="0" applyNumberFormat="0" applyBorder="0" applyAlignment="0" applyProtection="0"/>
    <xf numFmtId="0" fontId="1" fillId="68" borderId="0" applyNumberFormat="0" applyBorder="0" applyAlignment="0" applyProtection="0"/>
    <xf numFmtId="0" fontId="1" fillId="69" borderId="0" applyNumberFormat="0" applyBorder="0" applyAlignment="0" applyProtection="0"/>
    <xf numFmtId="0" fontId="1" fillId="72" borderId="0" applyNumberFormat="0" applyBorder="0" applyAlignment="0" applyProtection="0"/>
    <xf numFmtId="0" fontId="1" fillId="73" borderId="0" applyNumberFormat="0" applyBorder="0" applyAlignment="0" applyProtection="0"/>
    <xf numFmtId="0" fontId="1" fillId="76" borderId="0" applyNumberFormat="0" applyBorder="0" applyAlignment="0" applyProtection="0"/>
    <xf numFmtId="0" fontId="1" fillId="77" borderId="0" applyNumberFormat="0" applyBorder="0" applyAlignment="0" applyProtection="0"/>
    <xf numFmtId="0" fontId="1" fillId="80" borderId="0" applyNumberFormat="0" applyBorder="0" applyAlignment="0" applyProtection="0"/>
    <xf numFmtId="0" fontId="1" fillId="81" borderId="0" applyNumberFormat="0" applyBorder="0" applyAlignment="0" applyProtection="0"/>
    <xf numFmtId="0" fontId="1" fillId="60" borderId="0" applyNumberFormat="0" applyBorder="0" applyAlignment="0" applyProtection="0"/>
    <xf numFmtId="0" fontId="1" fillId="61" borderId="0" applyNumberFormat="0" applyBorder="0" applyAlignment="0" applyProtection="0"/>
    <xf numFmtId="0" fontId="1" fillId="64" borderId="0" applyNumberFormat="0" applyBorder="0" applyAlignment="0" applyProtection="0"/>
    <xf numFmtId="0" fontId="1" fillId="65" borderId="0" applyNumberFormat="0" applyBorder="0" applyAlignment="0" applyProtection="0"/>
    <xf numFmtId="0" fontId="1" fillId="68" borderId="0" applyNumberFormat="0" applyBorder="0" applyAlignment="0" applyProtection="0"/>
    <xf numFmtId="0" fontId="1" fillId="69" borderId="0" applyNumberFormat="0" applyBorder="0" applyAlignment="0" applyProtection="0"/>
    <xf numFmtId="0" fontId="1" fillId="72" borderId="0" applyNumberFormat="0" applyBorder="0" applyAlignment="0" applyProtection="0"/>
    <xf numFmtId="0" fontId="1" fillId="73" borderId="0" applyNumberFormat="0" applyBorder="0" applyAlignment="0" applyProtection="0"/>
    <xf numFmtId="0" fontId="1" fillId="76" borderId="0" applyNumberFormat="0" applyBorder="0" applyAlignment="0" applyProtection="0"/>
    <xf numFmtId="0" fontId="1" fillId="77" borderId="0" applyNumberFormat="0" applyBorder="0" applyAlignment="0" applyProtection="0"/>
    <xf numFmtId="0" fontId="1" fillId="80" borderId="0" applyNumberFormat="0" applyBorder="0" applyAlignment="0" applyProtection="0"/>
    <xf numFmtId="0" fontId="1" fillId="81" borderId="0" applyNumberFormat="0" applyBorder="0" applyAlignment="0" applyProtection="0"/>
    <xf numFmtId="0" fontId="1" fillId="58" borderId="104" applyNumberFormat="0" applyFont="0" applyAlignment="0" applyProtection="0"/>
    <xf numFmtId="0" fontId="1" fillId="60" borderId="0" applyNumberFormat="0" applyBorder="0" applyAlignment="0" applyProtection="0"/>
    <xf numFmtId="0" fontId="1" fillId="61" borderId="0" applyNumberFormat="0" applyBorder="0" applyAlignment="0" applyProtection="0"/>
    <xf numFmtId="0" fontId="1" fillId="64" borderId="0" applyNumberFormat="0" applyBorder="0" applyAlignment="0" applyProtection="0"/>
    <xf numFmtId="0" fontId="1" fillId="65" borderId="0" applyNumberFormat="0" applyBorder="0" applyAlignment="0" applyProtection="0"/>
    <xf numFmtId="0" fontId="1" fillId="68" borderId="0" applyNumberFormat="0" applyBorder="0" applyAlignment="0" applyProtection="0"/>
    <xf numFmtId="0" fontId="1" fillId="69" borderId="0" applyNumberFormat="0" applyBorder="0" applyAlignment="0" applyProtection="0"/>
    <xf numFmtId="0" fontId="1" fillId="72" borderId="0" applyNumberFormat="0" applyBorder="0" applyAlignment="0" applyProtection="0"/>
    <xf numFmtId="0" fontId="1" fillId="73" borderId="0" applyNumberFormat="0" applyBorder="0" applyAlignment="0" applyProtection="0"/>
    <xf numFmtId="0" fontId="1" fillId="76" borderId="0" applyNumberFormat="0" applyBorder="0" applyAlignment="0" applyProtection="0"/>
    <xf numFmtId="0" fontId="1" fillId="77" borderId="0" applyNumberFormat="0" applyBorder="0" applyAlignment="0" applyProtection="0"/>
    <xf numFmtId="0" fontId="1" fillId="80" borderId="0" applyNumberFormat="0" applyBorder="0" applyAlignment="0" applyProtection="0"/>
    <xf numFmtId="0" fontId="1" fillId="81" borderId="0" applyNumberFormat="0" applyBorder="0" applyAlignment="0" applyProtection="0"/>
    <xf numFmtId="0" fontId="1" fillId="58" borderId="104" applyNumberFormat="0" applyFont="0" applyAlignment="0" applyProtection="0"/>
    <xf numFmtId="0" fontId="1" fillId="58" borderId="104" applyNumberFormat="0" applyFont="0" applyAlignment="0" applyProtection="0"/>
    <xf numFmtId="0" fontId="1" fillId="60" borderId="0" applyNumberFormat="0" applyBorder="0" applyAlignment="0" applyProtection="0"/>
    <xf numFmtId="0" fontId="1" fillId="61" borderId="0" applyNumberFormat="0" applyBorder="0" applyAlignment="0" applyProtection="0"/>
    <xf numFmtId="0" fontId="1" fillId="64" borderId="0" applyNumberFormat="0" applyBorder="0" applyAlignment="0" applyProtection="0"/>
    <xf numFmtId="0" fontId="1" fillId="65" borderId="0" applyNumberFormat="0" applyBorder="0" applyAlignment="0" applyProtection="0"/>
    <xf numFmtId="0" fontId="1" fillId="68" borderId="0" applyNumberFormat="0" applyBorder="0" applyAlignment="0" applyProtection="0"/>
    <xf numFmtId="0" fontId="1" fillId="69" borderId="0" applyNumberFormat="0" applyBorder="0" applyAlignment="0" applyProtection="0"/>
    <xf numFmtId="0" fontId="1" fillId="72" borderId="0" applyNumberFormat="0" applyBorder="0" applyAlignment="0" applyProtection="0"/>
    <xf numFmtId="0" fontId="1" fillId="73" borderId="0" applyNumberFormat="0" applyBorder="0" applyAlignment="0" applyProtection="0"/>
    <xf numFmtId="0" fontId="1" fillId="76" borderId="0" applyNumberFormat="0" applyBorder="0" applyAlignment="0" applyProtection="0"/>
    <xf numFmtId="0" fontId="1" fillId="77" borderId="0" applyNumberFormat="0" applyBorder="0" applyAlignment="0" applyProtection="0"/>
    <xf numFmtId="0" fontId="1" fillId="80" borderId="0" applyNumberFormat="0" applyBorder="0" applyAlignment="0" applyProtection="0"/>
    <xf numFmtId="0" fontId="1" fillId="81" borderId="0" applyNumberFormat="0" applyBorder="0" applyAlignment="0" applyProtection="0"/>
    <xf numFmtId="0" fontId="1" fillId="60" borderId="0" applyNumberFormat="0" applyBorder="0" applyAlignment="0" applyProtection="0"/>
    <xf numFmtId="0" fontId="1" fillId="61" borderId="0" applyNumberFormat="0" applyBorder="0" applyAlignment="0" applyProtection="0"/>
    <xf numFmtId="0" fontId="1" fillId="64" borderId="0" applyNumberFormat="0" applyBorder="0" applyAlignment="0" applyProtection="0"/>
    <xf numFmtId="0" fontId="1" fillId="65" borderId="0" applyNumberFormat="0" applyBorder="0" applyAlignment="0" applyProtection="0"/>
    <xf numFmtId="0" fontId="1" fillId="68" borderId="0" applyNumberFormat="0" applyBorder="0" applyAlignment="0" applyProtection="0"/>
    <xf numFmtId="0" fontId="1" fillId="69" borderId="0" applyNumberFormat="0" applyBorder="0" applyAlignment="0" applyProtection="0"/>
    <xf numFmtId="0" fontId="1" fillId="72" borderId="0" applyNumberFormat="0" applyBorder="0" applyAlignment="0" applyProtection="0"/>
    <xf numFmtId="0" fontId="1" fillId="73" borderId="0" applyNumberFormat="0" applyBorder="0" applyAlignment="0" applyProtection="0"/>
    <xf numFmtId="0" fontId="1" fillId="76" borderId="0" applyNumberFormat="0" applyBorder="0" applyAlignment="0" applyProtection="0"/>
    <xf numFmtId="0" fontId="1" fillId="77" borderId="0" applyNumberFormat="0" applyBorder="0" applyAlignment="0" applyProtection="0"/>
    <xf numFmtId="0" fontId="1" fillId="80" borderId="0" applyNumberFormat="0" applyBorder="0" applyAlignment="0" applyProtection="0"/>
    <xf numFmtId="0" fontId="1" fillId="81" borderId="0" applyNumberFormat="0" applyBorder="0" applyAlignment="0" applyProtection="0"/>
    <xf numFmtId="0" fontId="1" fillId="58" borderId="104" applyNumberFormat="0" applyFont="0" applyAlignment="0" applyProtection="0"/>
    <xf numFmtId="0" fontId="1" fillId="60" borderId="0" applyNumberFormat="0" applyBorder="0" applyAlignment="0" applyProtection="0"/>
    <xf numFmtId="0" fontId="1" fillId="61" borderId="0" applyNumberFormat="0" applyBorder="0" applyAlignment="0" applyProtection="0"/>
    <xf numFmtId="0" fontId="1" fillId="64" borderId="0" applyNumberFormat="0" applyBorder="0" applyAlignment="0" applyProtection="0"/>
    <xf numFmtId="0" fontId="1" fillId="65" borderId="0" applyNumberFormat="0" applyBorder="0" applyAlignment="0" applyProtection="0"/>
    <xf numFmtId="0" fontId="1" fillId="68" borderId="0" applyNumberFormat="0" applyBorder="0" applyAlignment="0" applyProtection="0"/>
    <xf numFmtId="0" fontId="1" fillId="69" borderId="0" applyNumberFormat="0" applyBorder="0" applyAlignment="0" applyProtection="0"/>
    <xf numFmtId="0" fontId="1" fillId="72" borderId="0" applyNumberFormat="0" applyBorder="0" applyAlignment="0" applyProtection="0"/>
    <xf numFmtId="0" fontId="1" fillId="73" borderId="0" applyNumberFormat="0" applyBorder="0" applyAlignment="0" applyProtection="0"/>
    <xf numFmtId="0" fontId="1" fillId="76" borderId="0" applyNumberFormat="0" applyBorder="0" applyAlignment="0" applyProtection="0"/>
    <xf numFmtId="0" fontId="1" fillId="77" borderId="0" applyNumberFormat="0" applyBorder="0" applyAlignment="0" applyProtection="0"/>
    <xf numFmtId="0" fontId="1" fillId="80" borderId="0" applyNumberFormat="0" applyBorder="0" applyAlignment="0" applyProtection="0"/>
    <xf numFmtId="0" fontId="1" fillId="81" borderId="0" applyNumberFormat="0" applyBorder="0" applyAlignment="0" applyProtection="0"/>
    <xf numFmtId="0" fontId="1" fillId="58" borderId="104" applyNumberFormat="0" applyFont="0" applyAlignment="0" applyProtection="0"/>
    <xf numFmtId="0" fontId="1" fillId="58" borderId="104" applyNumberFormat="0" applyFont="0" applyAlignment="0" applyProtection="0"/>
    <xf numFmtId="0" fontId="1" fillId="60" borderId="0" applyNumberFormat="0" applyBorder="0" applyAlignment="0" applyProtection="0"/>
    <xf numFmtId="0" fontId="1" fillId="61" borderId="0" applyNumberFormat="0" applyBorder="0" applyAlignment="0" applyProtection="0"/>
    <xf numFmtId="0" fontId="1" fillId="64" borderId="0" applyNumberFormat="0" applyBorder="0" applyAlignment="0" applyProtection="0"/>
    <xf numFmtId="0" fontId="1" fillId="65" borderId="0" applyNumberFormat="0" applyBorder="0" applyAlignment="0" applyProtection="0"/>
    <xf numFmtId="0" fontId="1" fillId="68" borderId="0" applyNumberFormat="0" applyBorder="0" applyAlignment="0" applyProtection="0"/>
    <xf numFmtId="0" fontId="1" fillId="69" borderId="0" applyNumberFormat="0" applyBorder="0" applyAlignment="0" applyProtection="0"/>
    <xf numFmtId="0" fontId="1" fillId="72" borderId="0" applyNumberFormat="0" applyBorder="0" applyAlignment="0" applyProtection="0"/>
    <xf numFmtId="0" fontId="1" fillId="73" borderId="0" applyNumberFormat="0" applyBorder="0" applyAlignment="0" applyProtection="0"/>
    <xf numFmtId="0" fontId="1" fillId="76" borderId="0" applyNumberFormat="0" applyBorder="0" applyAlignment="0" applyProtection="0"/>
    <xf numFmtId="0" fontId="1" fillId="77" borderId="0" applyNumberFormat="0" applyBorder="0" applyAlignment="0" applyProtection="0"/>
    <xf numFmtId="0" fontId="1" fillId="80" borderId="0" applyNumberFormat="0" applyBorder="0" applyAlignment="0" applyProtection="0"/>
    <xf numFmtId="0" fontId="1" fillId="81" borderId="0" applyNumberFormat="0" applyBorder="0" applyAlignment="0" applyProtection="0"/>
    <xf numFmtId="0" fontId="1" fillId="60" borderId="0" applyNumberFormat="0" applyBorder="0" applyAlignment="0" applyProtection="0"/>
    <xf numFmtId="0" fontId="1" fillId="61" borderId="0" applyNumberFormat="0" applyBorder="0" applyAlignment="0" applyProtection="0"/>
    <xf numFmtId="0" fontId="1" fillId="64" borderId="0" applyNumberFormat="0" applyBorder="0" applyAlignment="0" applyProtection="0"/>
    <xf numFmtId="0" fontId="1" fillId="65" borderId="0" applyNumberFormat="0" applyBorder="0" applyAlignment="0" applyProtection="0"/>
    <xf numFmtId="0" fontId="1" fillId="68" borderId="0" applyNumberFormat="0" applyBorder="0" applyAlignment="0" applyProtection="0"/>
    <xf numFmtId="0" fontId="1" fillId="69" borderId="0" applyNumberFormat="0" applyBorder="0" applyAlignment="0" applyProtection="0"/>
    <xf numFmtId="0" fontId="1" fillId="72" borderId="0" applyNumberFormat="0" applyBorder="0" applyAlignment="0" applyProtection="0"/>
    <xf numFmtId="0" fontId="1" fillId="73" borderId="0" applyNumberFormat="0" applyBorder="0" applyAlignment="0" applyProtection="0"/>
    <xf numFmtId="0" fontId="1" fillId="76" borderId="0" applyNumberFormat="0" applyBorder="0" applyAlignment="0" applyProtection="0"/>
    <xf numFmtId="0" fontId="1" fillId="77" borderId="0" applyNumberFormat="0" applyBorder="0" applyAlignment="0" applyProtection="0"/>
    <xf numFmtId="0" fontId="1" fillId="80" borderId="0" applyNumberFormat="0" applyBorder="0" applyAlignment="0" applyProtection="0"/>
    <xf numFmtId="0" fontId="1" fillId="81" borderId="0" applyNumberFormat="0" applyBorder="0" applyAlignment="0" applyProtection="0"/>
    <xf numFmtId="0" fontId="1" fillId="58" borderId="104" applyNumberFormat="0" applyFont="0" applyAlignment="0" applyProtection="0"/>
    <xf numFmtId="0" fontId="1" fillId="9" borderId="0" applyNumberFormat="0" applyBorder="0" applyAlignment="0" applyProtection="0"/>
    <xf numFmtId="0" fontId="1" fillId="60" borderId="0" applyNumberFormat="0" applyBorder="0" applyAlignment="0" applyProtection="0"/>
    <xf numFmtId="0" fontId="1" fillId="60" borderId="0" applyNumberFormat="0" applyBorder="0" applyAlignment="0" applyProtection="0"/>
    <xf numFmtId="0" fontId="1" fillId="60" borderId="0" applyNumberFormat="0" applyBorder="0" applyAlignment="0" applyProtection="0"/>
    <xf numFmtId="0" fontId="1" fillId="60" borderId="0" applyNumberFormat="0" applyBorder="0" applyAlignment="0" applyProtection="0"/>
    <xf numFmtId="0" fontId="1" fillId="60" borderId="0" applyNumberFormat="0" applyBorder="0" applyAlignment="0" applyProtection="0"/>
    <xf numFmtId="0" fontId="1" fillId="60" borderId="0" applyNumberFormat="0" applyBorder="0" applyAlignment="0" applyProtection="0"/>
    <xf numFmtId="0" fontId="1" fillId="60" borderId="0" applyNumberFormat="0" applyBorder="0" applyAlignment="0" applyProtection="0"/>
    <xf numFmtId="0" fontId="1" fillId="60" borderId="0" applyNumberFormat="0" applyBorder="0" applyAlignment="0" applyProtection="0"/>
    <xf numFmtId="0" fontId="1" fillId="60" borderId="0" applyNumberFormat="0" applyBorder="0" applyAlignment="0" applyProtection="0"/>
    <xf numFmtId="0" fontId="1" fillId="64" borderId="0" applyNumberFormat="0" applyBorder="0" applyAlignment="0" applyProtection="0"/>
    <xf numFmtId="0" fontId="1" fillId="64" borderId="0" applyNumberFormat="0" applyBorder="0" applyAlignment="0" applyProtection="0"/>
    <xf numFmtId="0" fontId="1" fillId="64" borderId="0" applyNumberFormat="0" applyBorder="0" applyAlignment="0" applyProtection="0"/>
    <xf numFmtId="0" fontId="1" fillId="64" borderId="0" applyNumberFormat="0" applyBorder="0" applyAlignment="0" applyProtection="0"/>
    <xf numFmtId="0" fontId="1" fillId="64" borderId="0" applyNumberFormat="0" applyBorder="0" applyAlignment="0" applyProtection="0"/>
    <xf numFmtId="0" fontId="1" fillId="64" borderId="0" applyNumberFormat="0" applyBorder="0" applyAlignment="0" applyProtection="0"/>
    <xf numFmtId="0" fontId="1" fillId="64" borderId="0" applyNumberFormat="0" applyBorder="0" applyAlignment="0" applyProtection="0"/>
    <xf numFmtId="0" fontId="1" fillId="64" borderId="0" applyNumberFormat="0" applyBorder="0" applyAlignment="0" applyProtection="0"/>
    <xf numFmtId="0" fontId="1" fillId="64" borderId="0" applyNumberFormat="0" applyBorder="0" applyAlignment="0" applyProtection="0"/>
    <xf numFmtId="0" fontId="1" fillId="68" borderId="0" applyNumberFormat="0" applyBorder="0" applyAlignment="0" applyProtection="0"/>
    <xf numFmtId="0" fontId="1" fillId="68" borderId="0" applyNumberFormat="0" applyBorder="0" applyAlignment="0" applyProtection="0"/>
    <xf numFmtId="0" fontId="1" fillId="68" borderId="0" applyNumberFormat="0" applyBorder="0" applyAlignment="0" applyProtection="0"/>
    <xf numFmtId="0" fontId="1" fillId="68" borderId="0" applyNumberFormat="0" applyBorder="0" applyAlignment="0" applyProtection="0"/>
    <xf numFmtId="0" fontId="1" fillId="68" borderId="0" applyNumberFormat="0" applyBorder="0" applyAlignment="0" applyProtection="0"/>
    <xf numFmtId="0" fontId="1" fillId="68" borderId="0" applyNumberFormat="0" applyBorder="0" applyAlignment="0" applyProtection="0"/>
    <xf numFmtId="0" fontId="1" fillId="68" borderId="0" applyNumberFormat="0" applyBorder="0" applyAlignment="0" applyProtection="0"/>
    <xf numFmtId="0" fontId="1" fillId="68" borderId="0" applyNumberFormat="0" applyBorder="0" applyAlignment="0" applyProtection="0"/>
    <xf numFmtId="0" fontId="1" fillId="68" borderId="0" applyNumberFormat="0" applyBorder="0" applyAlignment="0" applyProtection="0"/>
    <xf numFmtId="0" fontId="1" fillId="72" borderId="0" applyNumberFormat="0" applyBorder="0" applyAlignment="0" applyProtection="0"/>
    <xf numFmtId="0" fontId="1" fillId="72" borderId="0" applyNumberFormat="0" applyBorder="0" applyAlignment="0" applyProtection="0"/>
    <xf numFmtId="0" fontId="1" fillId="72" borderId="0" applyNumberFormat="0" applyBorder="0" applyAlignment="0" applyProtection="0"/>
    <xf numFmtId="0" fontId="1" fillId="72" borderId="0" applyNumberFormat="0" applyBorder="0" applyAlignment="0" applyProtection="0"/>
    <xf numFmtId="0" fontId="1" fillId="72" borderId="0" applyNumberFormat="0" applyBorder="0" applyAlignment="0" applyProtection="0"/>
    <xf numFmtId="0" fontId="1" fillId="72" borderId="0" applyNumberFormat="0" applyBorder="0" applyAlignment="0" applyProtection="0"/>
    <xf numFmtId="0" fontId="1" fillId="72" borderId="0" applyNumberFormat="0" applyBorder="0" applyAlignment="0" applyProtection="0"/>
    <xf numFmtId="0" fontId="1" fillId="72" borderId="0" applyNumberFormat="0" applyBorder="0" applyAlignment="0" applyProtection="0"/>
    <xf numFmtId="0" fontId="1" fillId="72" borderId="0" applyNumberFormat="0" applyBorder="0" applyAlignment="0" applyProtection="0"/>
    <xf numFmtId="0" fontId="1" fillId="76" borderId="0" applyNumberFormat="0" applyBorder="0" applyAlignment="0" applyProtection="0"/>
    <xf numFmtId="0" fontId="1" fillId="76" borderId="0" applyNumberFormat="0" applyBorder="0" applyAlignment="0" applyProtection="0"/>
    <xf numFmtId="0" fontId="1" fillId="76" borderId="0" applyNumberFormat="0" applyBorder="0" applyAlignment="0" applyProtection="0"/>
    <xf numFmtId="0" fontId="1" fillId="76" borderId="0" applyNumberFormat="0" applyBorder="0" applyAlignment="0" applyProtection="0"/>
    <xf numFmtId="0" fontId="1" fillId="76" borderId="0" applyNumberFormat="0" applyBorder="0" applyAlignment="0" applyProtection="0"/>
    <xf numFmtId="0" fontId="1" fillId="76" borderId="0" applyNumberFormat="0" applyBorder="0" applyAlignment="0" applyProtection="0"/>
    <xf numFmtId="0" fontId="1" fillId="76" borderId="0" applyNumberFormat="0" applyBorder="0" applyAlignment="0" applyProtection="0"/>
    <xf numFmtId="0" fontId="1" fillId="76" borderId="0" applyNumberFormat="0" applyBorder="0" applyAlignment="0" applyProtection="0"/>
    <xf numFmtId="0" fontId="1" fillId="76" borderId="0" applyNumberFormat="0" applyBorder="0" applyAlignment="0" applyProtection="0"/>
    <xf numFmtId="0" fontId="1" fillId="80" borderId="0" applyNumberFormat="0" applyBorder="0" applyAlignment="0" applyProtection="0"/>
    <xf numFmtId="0" fontId="1" fillId="80" borderId="0" applyNumberFormat="0" applyBorder="0" applyAlignment="0" applyProtection="0"/>
    <xf numFmtId="0" fontId="1" fillId="80" borderId="0" applyNumberFormat="0" applyBorder="0" applyAlignment="0" applyProtection="0"/>
    <xf numFmtId="0" fontId="1" fillId="80" borderId="0" applyNumberFormat="0" applyBorder="0" applyAlignment="0" applyProtection="0"/>
    <xf numFmtId="0" fontId="1" fillId="80" borderId="0" applyNumberFormat="0" applyBorder="0" applyAlignment="0" applyProtection="0"/>
    <xf numFmtId="0" fontId="1" fillId="80" borderId="0" applyNumberFormat="0" applyBorder="0" applyAlignment="0" applyProtection="0"/>
    <xf numFmtId="0" fontId="1" fillId="80" borderId="0" applyNumberFormat="0" applyBorder="0" applyAlignment="0" applyProtection="0"/>
    <xf numFmtId="0" fontId="1" fillId="80" borderId="0" applyNumberFormat="0" applyBorder="0" applyAlignment="0" applyProtection="0"/>
    <xf numFmtId="0" fontId="1" fillId="80" borderId="0" applyNumberFormat="0" applyBorder="0" applyAlignment="0" applyProtection="0"/>
    <xf numFmtId="0" fontId="1" fillId="61" borderId="0" applyNumberFormat="0" applyBorder="0" applyAlignment="0" applyProtection="0"/>
    <xf numFmtId="0" fontId="1" fillId="61" borderId="0" applyNumberFormat="0" applyBorder="0" applyAlignment="0" applyProtection="0"/>
    <xf numFmtId="0" fontId="1" fillId="61" borderId="0" applyNumberFormat="0" applyBorder="0" applyAlignment="0" applyProtection="0"/>
    <xf numFmtId="0" fontId="1" fillId="61" borderId="0" applyNumberFormat="0" applyBorder="0" applyAlignment="0" applyProtection="0"/>
    <xf numFmtId="0" fontId="1" fillId="61" borderId="0" applyNumberFormat="0" applyBorder="0" applyAlignment="0" applyProtection="0"/>
    <xf numFmtId="0" fontId="1" fillId="61" borderId="0" applyNumberFormat="0" applyBorder="0" applyAlignment="0" applyProtection="0"/>
    <xf numFmtId="0" fontId="1" fillId="61" borderId="0" applyNumberFormat="0" applyBorder="0" applyAlignment="0" applyProtection="0"/>
    <xf numFmtId="0" fontId="1" fillId="61" borderId="0" applyNumberFormat="0" applyBorder="0" applyAlignment="0" applyProtection="0"/>
    <xf numFmtId="0" fontId="1" fillId="61" borderId="0" applyNumberFormat="0" applyBorder="0" applyAlignment="0" applyProtection="0"/>
    <xf numFmtId="0" fontId="1" fillId="65" borderId="0" applyNumberFormat="0" applyBorder="0" applyAlignment="0" applyProtection="0"/>
    <xf numFmtId="0" fontId="1" fillId="65" borderId="0" applyNumberFormat="0" applyBorder="0" applyAlignment="0" applyProtection="0"/>
    <xf numFmtId="0" fontId="1" fillId="65" borderId="0" applyNumberFormat="0" applyBorder="0" applyAlignment="0" applyProtection="0"/>
    <xf numFmtId="0" fontId="1" fillId="65" borderId="0" applyNumberFormat="0" applyBorder="0" applyAlignment="0" applyProtection="0"/>
    <xf numFmtId="0" fontId="1" fillId="65" borderId="0" applyNumberFormat="0" applyBorder="0" applyAlignment="0" applyProtection="0"/>
    <xf numFmtId="0" fontId="1" fillId="65" borderId="0" applyNumberFormat="0" applyBorder="0" applyAlignment="0" applyProtection="0"/>
    <xf numFmtId="0" fontId="1" fillId="65" borderId="0" applyNumberFormat="0" applyBorder="0" applyAlignment="0" applyProtection="0"/>
    <xf numFmtId="0" fontId="1" fillId="65" borderId="0" applyNumberFormat="0" applyBorder="0" applyAlignment="0" applyProtection="0"/>
    <xf numFmtId="0" fontId="1" fillId="65" borderId="0" applyNumberFormat="0" applyBorder="0" applyAlignment="0" applyProtection="0"/>
    <xf numFmtId="0" fontId="1" fillId="69" borderId="0" applyNumberFormat="0" applyBorder="0" applyAlignment="0" applyProtection="0"/>
    <xf numFmtId="0" fontId="1" fillId="69" borderId="0" applyNumberFormat="0" applyBorder="0" applyAlignment="0" applyProtection="0"/>
    <xf numFmtId="0" fontId="1" fillId="69" borderId="0" applyNumberFormat="0" applyBorder="0" applyAlignment="0" applyProtection="0"/>
    <xf numFmtId="0" fontId="1" fillId="69" borderId="0" applyNumberFormat="0" applyBorder="0" applyAlignment="0" applyProtection="0"/>
    <xf numFmtId="0" fontId="1" fillId="69" borderId="0" applyNumberFormat="0" applyBorder="0" applyAlignment="0" applyProtection="0"/>
    <xf numFmtId="0" fontId="1" fillId="69" borderId="0" applyNumberFormat="0" applyBorder="0" applyAlignment="0" applyProtection="0"/>
    <xf numFmtId="0" fontId="1" fillId="69" borderId="0" applyNumberFormat="0" applyBorder="0" applyAlignment="0" applyProtection="0"/>
    <xf numFmtId="0" fontId="1" fillId="69" borderId="0" applyNumberFormat="0" applyBorder="0" applyAlignment="0" applyProtection="0"/>
    <xf numFmtId="0" fontId="1" fillId="69" borderId="0" applyNumberFormat="0" applyBorder="0" applyAlignment="0" applyProtection="0"/>
    <xf numFmtId="0" fontId="1" fillId="73" borderId="0" applyNumberFormat="0" applyBorder="0" applyAlignment="0" applyProtection="0"/>
    <xf numFmtId="0" fontId="1" fillId="73" borderId="0" applyNumberFormat="0" applyBorder="0" applyAlignment="0" applyProtection="0"/>
    <xf numFmtId="0" fontId="1" fillId="73" borderId="0" applyNumberFormat="0" applyBorder="0" applyAlignment="0" applyProtection="0"/>
    <xf numFmtId="0" fontId="1" fillId="73" borderId="0" applyNumberFormat="0" applyBorder="0" applyAlignment="0" applyProtection="0"/>
    <xf numFmtId="0" fontId="1" fillId="73" borderId="0" applyNumberFormat="0" applyBorder="0" applyAlignment="0" applyProtection="0"/>
    <xf numFmtId="0" fontId="1" fillId="73" borderId="0" applyNumberFormat="0" applyBorder="0" applyAlignment="0" applyProtection="0"/>
    <xf numFmtId="0" fontId="1" fillId="73" borderId="0" applyNumberFormat="0" applyBorder="0" applyAlignment="0" applyProtection="0"/>
    <xf numFmtId="0" fontId="1" fillId="73" borderId="0" applyNumberFormat="0" applyBorder="0" applyAlignment="0" applyProtection="0"/>
    <xf numFmtId="0" fontId="1" fillId="73" borderId="0" applyNumberFormat="0" applyBorder="0" applyAlignment="0" applyProtection="0"/>
    <xf numFmtId="0" fontId="1" fillId="77" borderId="0" applyNumberFormat="0" applyBorder="0" applyAlignment="0" applyProtection="0"/>
    <xf numFmtId="0" fontId="1" fillId="77" borderId="0" applyNumberFormat="0" applyBorder="0" applyAlignment="0" applyProtection="0"/>
    <xf numFmtId="0" fontId="1" fillId="77" borderId="0" applyNumberFormat="0" applyBorder="0" applyAlignment="0" applyProtection="0"/>
    <xf numFmtId="0" fontId="1" fillId="77" borderId="0" applyNumberFormat="0" applyBorder="0" applyAlignment="0" applyProtection="0"/>
    <xf numFmtId="0" fontId="1" fillId="77" borderId="0" applyNumberFormat="0" applyBorder="0" applyAlignment="0" applyProtection="0"/>
    <xf numFmtId="0" fontId="1" fillId="77" borderId="0" applyNumberFormat="0" applyBorder="0" applyAlignment="0" applyProtection="0"/>
    <xf numFmtId="0" fontId="1" fillId="77" borderId="0" applyNumberFormat="0" applyBorder="0" applyAlignment="0" applyProtection="0"/>
    <xf numFmtId="0" fontId="1" fillId="77" borderId="0" applyNumberFormat="0" applyBorder="0" applyAlignment="0" applyProtection="0"/>
    <xf numFmtId="0" fontId="1" fillId="77" borderId="0" applyNumberFormat="0" applyBorder="0" applyAlignment="0" applyProtection="0"/>
    <xf numFmtId="0" fontId="1" fillId="81" borderId="0" applyNumberFormat="0" applyBorder="0" applyAlignment="0" applyProtection="0"/>
    <xf numFmtId="0" fontId="1" fillId="81" borderId="0" applyNumberFormat="0" applyBorder="0" applyAlignment="0" applyProtection="0"/>
    <xf numFmtId="0" fontId="1" fillId="81" borderId="0" applyNumberFormat="0" applyBorder="0" applyAlignment="0" applyProtection="0"/>
    <xf numFmtId="0" fontId="1" fillId="81" borderId="0" applyNumberFormat="0" applyBorder="0" applyAlignment="0" applyProtection="0"/>
    <xf numFmtId="0" fontId="1" fillId="81" borderId="0" applyNumberFormat="0" applyBorder="0" applyAlignment="0" applyProtection="0"/>
    <xf numFmtId="0" fontId="1" fillId="81" borderId="0" applyNumberFormat="0" applyBorder="0" applyAlignment="0" applyProtection="0"/>
    <xf numFmtId="0" fontId="1" fillId="81" borderId="0" applyNumberFormat="0" applyBorder="0" applyAlignment="0" applyProtection="0"/>
    <xf numFmtId="0" fontId="1" fillId="81" borderId="0" applyNumberFormat="0" applyBorder="0" applyAlignment="0" applyProtection="0"/>
    <xf numFmtId="0" fontId="1" fillId="81" borderId="0" applyNumberFormat="0" applyBorder="0" applyAlignment="0" applyProtection="0"/>
    <xf numFmtId="0" fontId="1" fillId="58" borderId="104" applyNumberFormat="0" applyFont="0" applyAlignment="0" applyProtection="0"/>
    <xf numFmtId="0" fontId="1" fillId="58" borderId="104" applyNumberFormat="0" applyFont="0" applyAlignment="0" applyProtection="0"/>
    <xf numFmtId="0" fontId="1" fillId="58" borderId="104" applyNumberFormat="0" applyFont="0" applyAlignment="0" applyProtection="0"/>
    <xf numFmtId="0" fontId="1" fillId="58" borderId="104" applyNumberFormat="0" applyFont="0" applyAlignment="0" applyProtection="0"/>
    <xf numFmtId="0" fontId="1" fillId="58" borderId="104" applyNumberFormat="0" applyFont="0" applyAlignment="0" applyProtection="0"/>
    <xf numFmtId="0" fontId="1" fillId="58" borderId="104" applyNumberFormat="0" applyFont="0" applyAlignment="0" applyProtection="0"/>
    <xf numFmtId="0" fontId="1" fillId="58" borderId="104" applyNumberFormat="0" applyFont="0" applyAlignment="0" applyProtection="0"/>
    <xf numFmtId="0" fontId="1" fillId="58" borderId="104" applyNumberFormat="0" applyFont="0" applyAlignment="0" applyProtection="0"/>
    <xf numFmtId="0" fontId="1" fillId="58" borderId="104" applyNumberFormat="0" applyFont="0" applyAlignment="0" applyProtection="0"/>
    <xf numFmtId="0" fontId="1" fillId="0" borderId="0"/>
    <xf numFmtId="0" fontId="1" fillId="0" borderId="0"/>
    <xf numFmtId="9" fontId="1" fillId="0" borderId="0" applyFont="0" applyFill="0" applyBorder="0" applyAlignment="0" applyProtection="0"/>
    <xf numFmtId="0" fontId="1" fillId="60" borderId="0" applyNumberFormat="0" applyBorder="0" applyAlignment="0" applyProtection="0"/>
    <xf numFmtId="0" fontId="1" fillId="61" borderId="0" applyNumberFormat="0" applyBorder="0" applyAlignment="0" applyProtection="0"/>
    <xf numFmtId="0" fontId="1" fillId="64" borderId="0" applyNumberFormat="0" applyBorder="0" applyAlignment="0" applyProtection="0"/>
    <xf numFmtId="0" fontId="1" fillId="65" borderId="0" applyNumberFormat="0" applyBorder="0" applyAlignment="0" applyProtection="0"/>
    <xf numFmtId="0" fontId="1" fillId="68" borderId="0" applyNumberFormat="0" applyBorder="0" applyAlignment="0" applyProtection="0"/>
    <xf numFmtId="0" fontId="1" fillId="69" borderId="0" applyNumberFormat="0" applyBorder="0" applyAlignment="0" applyProtection="0"/>
    <xf numFmtId="0" fontId="1" fillId="72" borderId="0" applyNumberFormat="0" applyBorder="0" applyAlignment="0" applyProtection="0"/>
    <xf numFmtId="0" fontId="1" fillId="73" borderId="0" applyNumberFormat="0" applyBorder="0" applyAlignment="0" applyProtection="0"/>
    <xf numFmtId="0" fontId="1" fillId="76" borderId="0" applyNumberFormat="0" applyBorder="0" applyAlignment="0" applyProtection="0"/>
    <xf numFmtId="0" fontId="1" fillId="77" borderId="0" applyNumberFormat="0" applyBorder="0" applyAlignment="0" applyProtection="0"/>
    <xf numFmtId="0" fontId="1" fillId="80" borderId="0" applyNumberFormat="0" applyBorder="0" applyAlignment="0" applyProtection="0"/>
    <xf numFmtId="0" fontId="1" fillId="81" borderId="0" applyNumberFormat="0" applyBorder="0" applyAlignment="0" applyProtection="0"/>
    <xf numFmtId="0" fontId="1" fillId="58" borderId="104" applyNumberFormat="0" applyFont="0" applyAlignment="0" applyProtection="0"/>
    <xf numFmtId="0" fontId="1" fillId="58" borderId="104" applyNumberFormat="0" applyFont="0" applyAlignment="0" applyProtection="0"/>
    <xf numFmtId="0" fontId="1" fillId="60" borderId="0" applyNumberFormat="0" applyBorder="0" applyAlignment="0" applyProtection="0"/>
    <xf numFmtId="0" fontId="1" fillId="61" borderId="0" applyNumberFormat="0" applyBorder="0" applyAlignment="0" applyProtection="0"/>
    <xf numFmtId="0" fontId="1" fillId="64" borderId="0" applyNumberFormat="0" applyBorder="0" applyAlignment="0" applyProtection="0"/>
    <xf numFmtId="0" fontId="1" fillId="65" borderId="0" applyNumberFormat="0" applyBorder="0" applyAlignment="0" applyProtection="0"/>
    <xf numFmtId="0" fontId="1" fillId="68" borderId="0" applyNumberFormat="0" applyBorder="0" applyAlignment="0" applyProtection="0"/>
    <xf numFmtId="0" fontId="1" fillId="69" borderId="0" applyNumberFormat="0" applyBorder="0" applyAlignment="0" applyProtection="0"/>
    <xf numFmtId="0" fontId="1" fillId="72" borderId="0" applyNumberFormat="0" applyBorder="0" applyAlignment="0" applyProtection="0"/>
    <xf numFmtId="0" fontId="1" fillId="73" borderId="0" applyNumberFormat="0" applyBorder="0" applyAlignment="0" applyProtection="0"/>
    <xf numFmtId="0" fontId="1" fillId="76" borderId="0" applyNumberFormat="0" applyBorder="0" applyAlignment="0" applyProtection="0"/>
    <xf numFmtId="0" fontId="1" fillId="77" borderId="0" applyNumberFormat="0" applyBorder="0" applyAlignment="0" applyProtection="0"/>
    <xf numFmtId="0" fontId="1" fillId="80" borderId="0" applyNumberFormat="0" applyBorder="0" applyAlignment="0" applyProtection="0"/>
    <xf numFmtId="0" fontId="1" fillId="81" borderId="0" applyNumberFormat="0" applyBorder="0" applyAlignment="0" applyProtection="0"/>
    <xf numFmtId="0" fontId="1" fillId="60" borderId="0" applyNumberFormat="0" applyBorder="0" applyAlignment="0" applyProtection="0"/>
    <xf numFmtId="0" fontId="1" fillId="61" borderId="0" applyNumberFormat="0" applyBorder="0" applyAlignment="0" applyProtection="0"/>
    <xf numFmtId="0" fontId="1" fillId="64" borderId="0" applyNumberFormat="0" applyBorder="0" applyAlignment="0" applyProtection="0"/>
    <xf numFmtId="0" fontId="1" fillId="65" borderId="0" applyNumberFormat="0" applyBorder="0" applyAlignment="0" applyProtection="0"/>
    <xf numFmtId="0" fontId="1" fillId="68" borderId="0" applyNumberFormat="0" applyBorder="0" applyAlignment="0" applyProtection="0"/>
    <xf numFmtId="0" fontId="1" fillId="69" borderId="0" applyNumberFormat="0" applyBorder="0" applyAlignment="0" applyProtection="0"/>
    <xf numFmtId="0" fontId="1" fillId="72" borderId="0" applyNumberFormat="0" applyBorder="0" applyAlignment="0" applyProtection="0"/>
    <xf numFmtId="0" fontId="1" fillId="73" borderId="0" applyNumberFormat="0" applyBorder="0" applyAlignment="0" applyProtection="0"/>
    <xf numFmtId="0" fontId="1" fillId="76" borderId="0" applyNumberFormat="0" applyBorder="0" applyAlignment="0" applyProtection="0"/>
    <xf numFmtId="0" fontId="1" fillId="77" borderId="0" applyNumberFormat="0" applyBorder="0" applyAlignment="0" applyProtection="0"/>
    <xf numFmtId="0" fontId="1" fillId="80" borderId="0" applyNumberFormat="0" applyBorder="0" applyAlignment="0" applyProtection="0"/>
    <xf numFmtId="0" fontId="1" fillId="81" borderId="0" applyNumberFormat="0" applyBorder="0" applyAlignment="0" applyProtection="0"/>
    <xf numFmtId="0" fontId="1" fillId="58" borderId="104" applyNumberFormat="0" applyFont="0" applyAlignment="0" applyProtection="0"/>
    <xf numFmtId="0" fontId="1" fillId="60" borderId="0" applyNumberFormat="0" applyBorder="0" applyAlignment="0" applyProtection="0"/>
    <xf numFmtId="0" fontId="1" fillId="61" borderId="0" applyNumberFormat="0" applyBorder="0" applyAlignment="0" applyProtection="0"/>
    <xf numFmtId="0" fontId="1" fillId="64" borderId="0" applyNumberFormat="0" applyBorder="0" applyAlignment="0" applyProtection="0"/>
    <xf numFmtId="0" fontId="1" fillId="65" borderId="0" applyNumberFormat="0" applyBorder="0" applyAlignment="0" applyProtection="0"/>
    <xf numFmtId="0" fontId="1" fillId="68" borderId="0" applyNumberFormat="0" applyBorder="0" applyAlignment="0" applyProtection="0"/>
    <xf numFmtId="0" fontId="1" fillId="69" borderId="0" applyNumberFormat="0" applyBorder="0" applyAlignment="0" applyProtection="0"/>
    <xf numFmtId="0" fontId="1" fillId="72" borderId="0" applyNumberFormat="0" applyBorder="0" applyAlignment="0" applyProtection="0"/>
    <xf numFmtId="0" fontId="1" fillId="73" borderId="0" applyNumberFormat="0" applyBorder="0" applyAlignment="0" applyProtection="0"/>
    <xf numFmtId="0" fontId="1" fillId="76" borderId="0" applyNumberFormat="0" applyBorder="0" applyAlignment="0" applyProtection="0"/>
    <xf numFmtId="0" fontId="1" fillId="77" borderId="0" applyNumberFormat="0" applyBorder="0" applyAlignment="0" applyProtection="0"/>
    <xf numFmtId="0" fontId="1" fillId="80" borderId="0" applyNumberFormat="0" applyBorder="0" applyAlignment="0" applyProtection="0"/>
    <xf numFmtId="0" fontId="1" fillId="81" borderId="0" applyNumberFormat="0" applyBorder="0" applyAlignment="0" applyProtection="0"/>
    <xf numFmtId="0" fontId="1" fillId="58" borderId="104" applyNumberFormat="0" applyFont="0" applyAlignment="0" applyProtection="0"/>
    <xf numFmtId="0" fontId="1" fillId="58" borderId="104" applyNumberFormat="0" applyFont="0" applyAlignment="0" applyProtection="0"/>
    <xf numFmtId="0" fontId="1" fillId="60" borderId="0" applyNumberFormat="0" applyBorder="0" applyAlignment="0" applyProtection="0"/>
    <xf numFmtId="0" fontId="1" fillId="61" borderId="0" applyNumberFormat="0" applyBorder="0" applyAlignment="0" applyProtection="0"/>
    <xf numFmtId="0" fontId="1" fillId="64" borderId="0" applyNumberFormat="0" applyBorder="0" applyAlignment="0" applyProtection="0"/>
    <xf numFmtId="0" fontId="1" fillId="65" borderId="0" applyNumberFormat="0" applyBorder="0" applyAlignment="0" applyProtection="0"/>
    <xf numFmtId="0" fontId="1" fillId="68" borderId="0" applyNumberFormat="0" applyBorder="0" applyAlignment="0" applyProtection="0"/>
    <xf numFmtId="0" fontId="1" fillId="69" borderId="0" applyNumberFormat="0" applyBorder="0" applyAlignment="0" applyProtection="0"/>
    <xf numFmtId="0" fontId="1" fillId="72" borderId="0" applyNumberFormat="0" applyBorder="0" applyAlignment="0" applyProtection="0"/>
    <xf numFmtId="0" fontId="1" fillId="73" borderId="0" applyNumberFormat="0" applyBorder="0" applyAlignment="0" applyProtection="0"/>
    <xf numFmtId="0" fontId="1" fillId="76" borderId="0" applyNumberFormat="0" applyBorder="0" applyAlignment="0" applyProtection="0"/>
    <xf numFmtId="0" fontId="1" fillId="77" borderId="0" applyNumberFormat="0" applyBorder="0" applyAlignment="0" applyProtection="0"/>
    <xf numFmtId="0" fontId="1" fillId="80" borderId="0" applyNumberFormat="0" applyBorder="0" applyAlignment="0" applyProtection="0"/>
    <xf numFmtId="0" fontId="1" fillId="81" borderId="0" applyNumberFormat="0" applyBorder="0" applyAlignment="0" applyProtection="0"/>
    <xf numFmtId="0" fontId="1" fillId="60" borderId="0" applyNumberFormat="0" applyBorder="0" applyAlignment="0" applyProtection="0"/>
    <xf numFmtId="0" fontId="1" fillId="61" borderId="0" applyNumberFormat="0" applyBorder="0" applyAlignment="0" applyProtection="0"/>
    <xf numFmtId="0" fontId="1" fillId="64" borderId="0" applyNumberFormat="0" applyBorder="0" applyAlignment="0" applyProtection="0"/>
    <xf numFmtId="0" fontId="1" fillId="65" borderId="0" applyNumberFormat="0" applyBorder="0" applyAlignment="0" applyProtection="0"/>
    <xf numFmtId="0" fontId="1" fillId="68" borderId="0" applyNumberFormat="0" applyBorder="0" applyAlignment="0" applyProtection="0"/>
    <xf numFmtId="0" fontId="1" fillId="69" borderId="0" applyNumberFormat="0" applyBorder="0" applyAlignment="0" applyProtection="0"/>
    <xf numFmtId="0" fontId="1" fillId="72" borderId="0" applyNumberFormat="0" applyBorder="0" applyAlignment="0" applyProtection="0"/>
    <xf numFmtId="0" fontId="1" fillId="73" borderId="0" applyNumberFormat="0" applyBorder="0" applyAlignment="0" applyProtection="0"/>
    <xf numFmtId="0" fontId="1" fillId="76" borderId="0" applyNumberFormat="0" applyBorder="0" applyAlignment="0" applyProtection="0"/>
    <xf numFmtId="0" fontId="1" fillId="77" borderId="0" applyNumberFormat="0" applyBorder="0" applyAlignment="0" applyProtection="0"/>
    <xf numFmtId="0" fontId="1" fillId="80" borderId="0" applyNumberFormat="0" applyBorder="0" applyAlignment="0" applyProtection="0"/>
    <xf numFmtId="0" fontId="1" fillId="81" borderId="0" applyNumberFormat="0" applyBorder="0" applyAlignment="0" applyProtection="0"/>
    <xf numFmtId="0" fontId="1" fillId="58" borderId="104" applyNumberFormat="0" applyFont="0" applyAlignment="0" applyProtection="0"/>
    <xf numFmtId="0" fontId="1" fillId="60" borderId="0" applyNumberFormat="0" applyBorder="0" applyAlignment="0" applyProtection="0"/>
    <xf numFmtId="0" fontId="1" fillId="61" borderId="0" applyNumberFormat="0" applyBorder="0" applyAlignment="0" applyProtection="0"/>
    <xf numFmtId="0" fontId="1" fillId="64" borderId="0" applyNumberFormat="0" applyBorder="0" applyAlignment="0" applyProtection="0"/>
    <xf numFmtId="0" fontId="1" fillId="65" borderId="0" applyNumberFormat="0" applyBorder="0" applyAlignment="0" applyProtection="0"/>
    <xf numFmtId="0" fontId="1" fillId="68" borderId="0" applyNumberFormat="0" applyBorder="0" applyAlignment="0" applyProtection="0"/>
    <xf numFmtId="0" fontId="1" fillId="69" borderId="0" applyNumberFormat="0" applyBorder="0" applyAlignment="0" applyProtection="0"/>
    <xf numFmtId="0" fontId="1" fillId="72" borderId="0" applyNumberFormat="0" applyBorder="0" applyAlignment="0" applyProtection="0"/>
    <xf numFmtId="0" fontId="1" fillId="73" borderId="0" applyNumberFormat="0" applyBorder="0" applyAlignment="0" applyProtection="0"/>
    <xf numFmtId="0" fontId="1" fillId="76" borderId="0" applyNumberFormat="0" applyBorder="0" applyAlignment="0" applyProtection="0"/>
    <xf numFmtId="0" fontId="1" fillId="77" borderId="0" applyNumberFormat="0" applyBorder="0" applyAlignment="0" applyProtection="0"/>
    <xf numFmtId="0" fontId="1" fillId="80" borderId="0" applyNumberFormat="0" applyBorder="0" applyAlignment="0" applyProtection="0"/>
    <xf numFmtId="0" fontId="1" fillId="81" borderId="0" applyNumberFormat="0" applyBorder="0" applyAlignment="0" applyProtection="0"/>
    <xf numFmtId="0" fontId="1" fillId="58" borderId="104" applyNumberFormat="0" applyFont="0" applyAlignment="0" applyProtection="0"/>
    <xf numFmtId="0" fontId="1" fillId="58" borderId="104" applyNumberFormat="0" applyFont="0" applyAlignment="0" applyProtection="0"/>
    <xf numFmtId="0" fontId="1" fillId="60" borderId="0" applyNumberFormat="0" applyBorder="0" applyAlignment="0" applyProtection="0"/>
    <xf numFmtId="0" fontId="1" fillId="61" borderId="0" applyNumberFormat="0" applyBorder="0" applyAlignment="0" applyProtection="0"/>
    <xf numFmtId="0" fontId="1" fillId="64" borderId="0" applyNumberFormat="0" applyBorder="0" applyAlignment="0" applyProtection="0"/>
    <xf numFmtId="0" fontId="1" fillId="65" borderId="0" applyNumberFormat="0" applyBorder="0" applyAlignment="0" applyProtection="0"/>
    <xf numFmtId="0" fontId="1" fillId="68" borderId="0" applyNumberFormat="0" applyBorder="0" applyAlignment="0" applyProtection="0"/>
    <xf numFmtId="0" fontId="1" fillId="69" borderId="0" applyNumberFormat="0" applyBorder="0" applyAlignment="0" applyProtection="0"/>
    <xf numFmtId="0" fontId="1" fillId="72" borderId="0" applyNumberFormat="0" applyBorder="0" applyAlignment="0" applyProtection="0"/>
    <xf numFmtId="0" fontId="1" fillId="73" borderId="0" applyNumberFormat="0" applyBorder="0" applyAlignment="0" applyProtection="0"/>
    <xf numFmtId="0" fontId="1" fillId="76" borderId="0" applyNumberFormat="0" applyBorder="0" applyAlignment="0" applyProtection="0"/>
    <xf numFmtId="0" fontId="1" fillId="77" borderId="0" applyNumberFormat="0" applyBorder="0" applyAlignment="0" applyProtection="0"/>
    <xf numFmtId="0" fontId="1" fillId="80" borderId="0" applyNumberFormat="0" applyBorder="0" applyAlignment="0" applyProtection="0"/>
    <xf numFmtId="0" fontId="1" fillId="81" borderId="0" applyNumberFormat="0" applyBorder="0" applyAlignment="0" applyProtection="0"/>
    <xf numFmtId="0" fontId="1" fillId="60" borderId="0" applyNumberFormat="0" applyBorder="0" applyAlignment="0" applyProtection="0"/>
    <xf numFmtId="0" fontId="1" fillId="61" borderId="0" applyNumberFormat="0" applyBorder="0" applyAlignment="0" applyProtection="0"/>
    <xf numFmtId="0" fontId="1" fillId="64" borderId="0" applyNumberFormat="0" applyBorder="0" applyAlignment="0" applyProtection="0"/>
    <xf numFmtId="0" fontId="1" fillId="65" borderId="0" applyNumberFormat="0" applyBorder="0" applyAlignment="0" applyProtection="0"/>
    <xf numFmtId="0" fontId="1" fillId="68" borderId="0" applyNumberFormat="0" applyBorder="0" applyAlignment="0" applyProtection="0"/>
    <xf numFmtId="0" fontId="1" fillId="69" borderId="0" applyNumberFormat="0" applyBorder="0" applyAlignment="0" applyProtection="0"/>
    <xf numFmtId="0" fontId="1" fillId="72" borderId="0" applyNumberFormat="0" applyBorder="0" applyAlignment="0" applyProtection="0"/>
    <xf numFmtId="0" fontId="1" fillId="73" borderId="0" applyNumberFormat="0" applyBorder="0" applyAlignment="0" applyProtection="0"/>
    <xf numFmtId="0" fontId="1" fillId="76" borderId="0" applyNumberFormat="0" applyBorder="0" applyAlignment="0" applyProtection="0"/>
    <xf numFmtId="0" fontId="1" fillId="77" borderId="0" applyNumberFormat="0" applyBorder="0" applyAlignment="0" applyProtection="0"/>
    <xf numFmtId="0" fontId="1" fillId="80" borderId="0" applyNumberFormat="0" applyBorder="0" applyAlignment="0" applyProtection="0"/>
    <xf numFmtId="0" fontId="1" fillId="81" borderId="0" applyNumberFormat="0" applyBorder="0" applyAlignment="0" applyProtection="0"/>
    <xf numFmtId="0" fontId="1" fillId="58" borderId="104" applyNumberFormat="0" applyFont="0" applyAlignment="0" applyProtection="0"/>
    <xf numFmtId="0" fontId="1" fillId="60" borderId="0" applyNumberFormat="0" applyBorder="0" applyAlignment="0" applyProtection="0"/>
    <xf numFmtId="0" fontId="1" fillId="61" borderId="0" applyNumberFormat="0" applyBorder="0" applyAlignment="0" applyProtection="0"/>
    <xf numFmtId="0" fontId="1" fillId="64" borderId="0" applyNumberFormat="0" applyBorder="0" applyAlignment="0" applyProtection="0"/>
    <xf numFmtId="0" fontId="1" fillId="65" borderId="0" applyNumberFormat="0" applyBorder="0" applyAlignment="0" applyProtection="0"/>
    <xf numFmtId="0" fontId="1" fillId="68" borderId="0" applyNumberFormat="0" applyBorder="0" applyAlignment="0" applyProtection="0"/>
    <xf numFmtId="0" fontId="1" fillId="69" borderId="0" applyNumberFormat="0" applyBorder="0" applyAlignment="0" applyProtection="0"/>
    <xf numFmtId="0" fontId="1" fillId="72" borderId="0" applyNumberFormat="0" applyBorder="0" applyAlignment="0" applyProtection="0"/>
    <xf numFmtId="0" fontId="1" fillId="73" borderId="0" applyNumberFormat="0" applyBorder="0" applyAlignment="0" applyProtection="0"/>
    <xf numFmtId="0" fontId="1" fillId="76" borderId="0" applyNumberFormat="0" applyBorder="0" applyAlignment="0" applyProtection="0"/>
    <xf numFmtId="0" fontId="1" fillId="77" borderId="0" applyNumberFormat="0" applyBorder="0" applyAlignment="0" applyProtection="0"/>
    <xf numFmtId="0" fontId="1" fillId="80" borderId="0" applyNumberFormat="0" applyBorder="0" applyAlignment="0" applyProtection="0"/>
    <xf numFmtId="0" fontId="1" fillId="81" borderId="0" applyNumberFormat="0" applyBorder="0" applyAlignment="0" applyProtection="0"/>
    <xf numFmtId="0" fontId="1" fillId="58" borderId="104" applyNumberFormat="0" applyFont="0" applyAlignment="0" applyProtection="0"/>
    <xf numFmtId="0" fontId="1" fillId="58" borderId="104" applyNumberFormat="0" applyFont="0" applyAlignment="0" applyProtection="0"/>
    <xf numFmtId="0" fontId="1" fillId="60" borderId="0" applyNumberFormat="0" applyBorder="0" applyAlignment="0" applyProtection="0"/>
    <xf numFmtId="0" fontId="1" fillId="61" borderId="0" applyNumberFormat="0" applyBorder="0" applyAlignment="0" applyProtection="0"/>
    <xf numFmtId="0" fontId="1" fillId="64" borderId="0" applyNumberFormat="0" applyBorder="0" applyAlignment="0" applyProtection="0"/>
    <xf numFmtId="0" fontId="1" fillId="65" borderId="0" applyNumberFormat="0" applyBorder="0" applyAlignment="0" applyProtection="0"/>
    <xf numFmtId="0" fontId="1" fillId="68" borderId="0" applyNumberFormat="0" applyBorder="0" applyAlignment="0" applyProtection="0"/>
    <xf numFmtId="0" fontId="1" fillId="69" borderId="0" applyNumberFormat="0" applyBorder="0" applyAlignment="0" applyProtection="0"/>
    <xf numFmtId="0" fontId="1" fillId="72" borderId="0" applyNumberFormat="0" applyBorder="0" applyAlignment="0" applyProtection="0"/>
    <xf numFmtId="0" fontId="1" fillId="73" borderId="0" applyNumberFormat="0" applyBorder="0" applyAlignment="0" applyProtection="0"/>
    <xf numFmtId="0" fontId="1" fillId="76" borderId="0" applyNumberFormat="0" applyBorder="0" applyAlignment="0" applyProtection="0"/>
    <xf numFmtId="0" fontId="1" fillId="77" borderId="0" applyNumberFormat="0" applyBorder="0" applyAlignment="0" applyProtection="0"/>
    <xf numFmtId="0" fontId="1" fillId="80" borderId="0" applyNumberFormat="0" applyBorder="0" applyAlignment="0" applyProtection="0"/>
    <xf numFmtId="0" fontId="1" fillId="81" borderId="0" applyNumberFormat="0" applyBorder="0" applyAlignment="0" applyProtection="0"/>
    <xf numFmtId="0" fontId="1" fillId="60" borderId="0" applyNumberFormat="0" applyBorder="0" applyAlignment="0" applyProtection="0"/>
    <xf numFmtId="0" fontId="1" fillId="61" borderId="0" applyNumberFormat="0" applyBorder="0" applyAlignment="0" applyProtection="0"/>
    <xf numFmtId="0" fontId="1" fillId="64" borderId="0" applyNumberFormat="0" applyBorder="0" applyAlignment="0" applyProtection="0"/>
    <xf numFmtId="0" fontId="1" fillId="65" borderId="0" applyNumberFormat="0" applyBorder="0" applyAlignment="0" applyProtection="0"/>
    <xf numFmtId="0" fontId="1" fillId="68" borderId="0" applyNumberFormat="0" applyBorder="0" applyAlignment="0" applyProtection="0"/>
    <xf numFmtId="0" fontId="1" fillId="69" borderId="0" applyNumberFormat="0" applyBorder="0" applyAlignment="0" applyProtection="0"/>
    <xf numFmtId="0" fontId="1" fillId="72" borderId="0" applyNumberFormat="0" applyBorder="0" applyAlignment="0" applyProtection="0"/>
    <xf numFmtId="0" fontId="1" fillId="73" borderId="0" applyNumberFormat="0" applyBorder="0" applyAlignment="0" applyProtection="0"/>
    <xf numFmtId="0" fontId="1" fillId="76" borderId="0" applyNumberFormat="0" applyBorder="0" applyAlignment="0" applyProtection="0"/>
    <xf numFmtId="0" fontId="1" fillId="77" borderId="0" applyNumberFormat="0" applyBorder="0" applyAlignment="0" applyProtection="0"/>
    <xf numFmtId="0" fontId="1" fillId="80" borderId="0" applyNumberFormat="0" applyBorder="0" applyAlignment="0" applyProtection="0"/>
    <xf numFmtId="0" fontId="1" fillId="81" borderId="0" applyNumberFormat="0" applyBorder="0" applyAlignment="0" applyProtection="0"/>
    <xf numFmtId="0" fontId="1" fillId="58" borderId="104" applyNumberFormat="0" applyFont="0" applyAlignment="0" applyProtection="0"/>
    <xf numFmtId="0" fontId="1" fillId="60" borderId="0" applyNumberFormat="0" applyBorder="0" applyAlignment="0" applyProtection="0"/>
    <xf numFmtId="0" fontId="1" fillId="61" borderId="0" applyNumberFormat="0" applyBorder="0" applyAlignment="0" applyProtection="0"/>
    <xf numFmtId="0" fontId="1" fillId="64" borderId="0" applyNumberFormat="0" applyBorder="0" applyAlignment="0" applyProtection="0"/>
    <xf numFmtId="0" fontId="1" fillId="65" borderId="0" applyNumberFormat="0" applyBorder="0" applyAlignment="0" applyProtection="0"/>
    <xf numFmtId="0" fontId="1" fillId="68" borderId="0" applyNumberFormat="0" applyBorder="0" applyAlignment="0" applyProtection="0"/>
    <xf numFmtId="0" fontId="1" fillId="69" borderId="0" applyNumberFormat="0" applyBorder="0" applyAlignment="0" applyProtection="0"/>
    <xf numFmtId="0" fontId="1" fillId="72" borderId="0" applyNumberFormat="0" applyBorder="0" applyAlignment="0" applyProtection="0"/>
    <xf numFmtId="0" fontId="1" fillId="73" borderId="0" applyNumberFormat="0" applyBorder="0" applyAlignment="0" applyProtection="0"/>
    <xf numFmtId="0" fontId="1" fillId="76" borderId="0" applyNumberFormat="0" applyBorder="0" applyAlignment="0" applyProtection="0"/>
    <xf numFmtId="0" fontId="1" fillId="77" borderId="0" applyNumberFormat="0" applyBorder="0" applyAlignment="0" applyProtection="0"/>
    <xf numFmtId="0" fontId="1" fillId="80" borderId="0" applyNumberFormat="0" applyBorder="0" applyAlignment="0" applyProtection="0"/>
    <xf numFmtId="0" fontId="1" fillId="81" borderId="0" applyNumberFormat="0" applyBorder="0" applyAlignment="0" applyProtection="0"/>
    <xf numFmtId="0" fontId="1" fillId="58" borderId="104" applyNumberFormat="0" applyFont="0" applyAlignment="0" applyProtection="0"/>
    <xf numFmtId="0" fontId="1" fillId="58" borderId="104" applyNumberFormat="0" applyFont="0" applyAlignment="0" applyProtection="0"/>
    <xf numFmtId="0" fontId="1" fillId="60" borderId="0" applyNumberFormat="0" applyBorder="0" applyAlignment="0" applyProtection="0"/>
    <xf numFmtId="0" fontId="1" fillId="61" borderId="0" applyNumberFormat="0" applyBorder="0" applyAlignment="0" applyProtection="0"/>
    <xf numFmtId="0" fontId="1" fillId="64" borderId="0" applyNumberFormat="0" applyBorder="0" applyAlignment="0" applyProtection="0"/>
    <xf numFmtId="0" fontId="1" fillId="65" borderId="0" applyNumberFormat="0" applyBorder="0" applyAlignment="0" applyProtection="0"/>
    <xf numFmtId="0" fontId="1" fillId="68" borderId="0" applyNumberFormat="0" applyBorder="0" applyAlignment="0" applyProtection="0"/>
    <xf numFmtId="0" fontId="1" fillId="69" borderId="0" applyNumberFormat="0" applyBorder="0" applyAlignment="0" applyProtection="0"/>
    <xf numFmtId="0" fontId="1" fillId="72" borderId="0" applyNumberFormat="0" applyBorder="0" applyAlignment="0" applyProtection="0"/>
    <xf numFmtId="0" fontId="1" fillId="73" borderId="0" applyNumberFormat="0" applyBorder="0" applyAlignment="0" applyProtection="0"/>
    <xf numFmtId="0" fontId="1" fillId="76" borderId="0" applyNumberFormat="0" applyBorder="0" applyAlignment="0" applyProtection="0"/>
    <xf numFmtId="0" fontId="1" fillId="77" borderId="0" applyNumberFormat="0" applyBorder="0" applyAlignment="0" applyProtection="0"/>
    <xf numFmtId="0" fontId="1" fillId="80" borderId="0" applyNumberFormat="0" applyBorder="0" applyAlignment="0" applyProtection="0"/>
    <xf numFmtId="0" fontId="1" fillId="81" borderId="0" applyNumberFormat="0" applyBorder="0" applyAlignment="0" applyProtection="0"/>
    <xf numFmtId="0" fontId="1" fillId="60" borderId="0" applyNumberFormat="0" applyBorder="0" applyAlignment="0" applyProtection="0"/>
    <xf numFmtId="0" fontId="1" fillId="61" borderId="0" applyNumberFormat="0" applyBorder="0" applyAlignment="0" applyProtection="0"/>
    <xf numFmtId="0" fontId="1" fillId="64" borderId="0" applyNumberFormat="0" applyBorder="0" applyAlignment="0" applyProtection="0"/>
    <xf numFmtId="0" fontId="1" fillId="65" borderId="0" applyNumberFormat="0" applyBorder="0" applyAlignment="0" applyProtection="0"/>
    <xf numFmtId="0" fontId="1" fillId="68" borderId="0" applyNumberFormat="0" applyBorder="0" applyAlignment="0" applyProtection="0"/>
    <xf numFmtId="0" fontId="1" fillId="69" borderId="0" applyNumberFormat="0" applyBorder="0" applyAlignment="0" applyProtection="0"/>
    <xf numFmtId="0" fontId="1" fillId="72" borderId="0" applyNumberFormat="0" applyBorder="0" applyAlignment="0" applyProtection="0"/>
    <xf numFmtId="0" fontId="1" fillId="73" borderId="0" applyNumberFormat="0" applyBorder="0" applyAlignment="0" applyProtection="0"/>
    <xf numFmtId="0" fontId="1" fillId="76" borderId="0" applyNumberFormat="0" applyBorder="0" applyAlignment="0" applyProtection="0"/>
    <xf numFmtId="0" fontId="1" fillId="77" borderId="0" applyNumberFormat="0" applyBorder="0" applyAlignment="0" applyProtection="0"/>
    <xf numFmtId="0" fontId="1" fillId="80" borderId="0" applyNumberFormat="0" applyBorder="0" applyAlignment="0" applyProtection="0"/>
    <xf numFmtId="0" fontId="1" fillId="81" borderId="0" applyNumberFormat="0" applyBorder="0" applyAlignment="0" applyProtection="0"/>
    <xf numFmtId="0" fontId="1" fillId="58" borderId="104" applyNumberFormat="0" applyFont="0" applyAlignment="0" applyProtection="0"/>
    <xf numFmtId="0" fontId="1" fillId="60" borderId="0" applyNumberFormat="0" applyBorder="0" applyAlignment="0" applyProtection="0"/>
    <xf numFmtId="0" fontId="1" fillId="61" borderId="0" applyNumberFormat="0" applyBorder="0" applyAlignment="0" applyProtection="0"/>
    <xf numFmtId="0" fontId="1" fillId="64" borderId="0" applyNumberFormat="0" applyBorder="0" applyAlignment="0" applyProtection="0"/>
    <xf numFmtId="0" fontId="1" fillId="65" borderId="0" applyNumberFormat="0" applyBorder="0" applyAlignment="0" applyProtection="0"/>
    <xf numFmtId="0" fontId="1" fillId="68" borderId="0" applyNumberFormat="0" applyBorder="0" applyAlignment="0" applyProtection="0"/>
    <xf numFmtId="0" fontId="1" fillId="69" borderId="0" applyNumberFormat="0" applyBorder="0" applyAlignment="0" applyProtection="0"/>
    <xf numFmtId="0" fontId="1" fillId="72" borderId="0" applyNumberFormat="0" applyBorder="0" applyAlignment="0" applyProtection="0"/>
    <xf numFmtId="0" fontId="1" fillId="73" borderId="0" applyNumberFormat="0" applyBorder="0" applyAlignment="0" applyProtection="0"/>
    <xf numFmtId="0" fontId="1" fillId="76" borderId="0" applyNumberFormat="0" applyBorder="0" applyAlignment="0" applyProtection="0"/>
    <xf numFmtId="0" fontId="1" fillId="77" borderId="0" applyNumberFormat="0" applyBorder="0" applyAlignment="0" applyProtection="0"/>
    <xf numFmtId="0" fontId="1" fillId="80" borderId="0" applyNumberFormat="0" applyBorder="0" applyAlignment="0" applyProtection="0"/>
    <xf numFmtId="0" fontId="1" fillId="81" borderId="0" applyNumberFormat="0" applyBorder="0" applyAlignment="0" applyProtection="0"/>
    <xf numFmtId="0" fontId="1" fillId="58" borderId="104" applyNumberFormat="0" applyFont="0" applyAlignment="0" applyProtection="0"/>
    <xf numFmtId="0" fontId="1" fillId="58" borderId="104" applyNumberFormat="0" applyFont="0" applyAlignment="0" applyProtection="0"/>
    <xf numFmtId="0" fontId="1" fillId="60" borderId="0" applyNumberFormat="0" applyBorder="0" applyAlignment="0" applyProtection="0"/>
    <xf numFmtId="0" fontId="1" fillId="61" borderId="0" applyNumberFormat="0" applyBorder="0" applyAlignment="0" applyProtection="0"/>
    <xf numFmtId="0" fontId="1" fillId="64" borderId="0" applyNumberFormat="0" applyBorder="0" applyAlignment="0" applyProtection="0"/>
    <xf numFmtId="0" fontId="1" fillId="65" borderId="0" applyNumberFormat="0" applyBorder="0" applyAlignment="0" applyProtection="0"/>
    <xf numFmtId="0" fontId="1" fillId="68" borderId="0" applyNumberFormat="0" applyBorder="0" applyAlignment="0" applyProtection="0"/>
    <xf numFmtId="0" fontId="1" fillId="69" borderId="0" applyNumberFormat="0" applyBorder="0" applyAlignment="0" applyProtection="0"/>
    <xf numFmtId="0" fontId="1" fillId="72" borderId="0" applyNumberFormat="0" applyBorder="0" applyAlignment="0" applyProtection="0"/>
    <xf numFmtId="0" fontId="1" fillId="73" borderId="0" applyNumberFormat="0" applyBorder="0" applyAlignment="0" applyProtection="0"/>
    <xf numFmtId="0" fontId="1" fillId="76" borderId="0" applyNumberFormat="0" applyBorder="0" applyAlignment="0" applyProtection="0"/>
    <xf numFmtId="0" fontId="1" fillId="77" borderId="0" applyNumberFormat="0" applyBorder="0" applyAlignment="0" applyProtection="0"/>
    <xf numFmtId="0" fontId="1" fillId="80" borderId="0" applyNumberFormat="0" applyBorder="0" applyAlignment="0" applyProtection="0"/>
    <xf numFmtId="0" fontId="1" fillId="81" borderId="0" applyNumberFormat="0" applyBorder="0" applyAlignment="0" applyProtection="0"/>
    <xf numFmtId="0" fontId="1" fillId="60" borderId="0" applyNumberFormat="0" applyBorder="0" applyAlignment="0" applyProtection="0"/>
    <xf numFmtId="0" fontId="1" fillId="61" borderId="0" applyNumberFormat="0" applyBorder="0" applyAlignment="0" applyProtection="0"/>
    <xf numFmtId="0" fontId="1" fillId="64" borderId="0" applyNumberFormat="0" applyBorder="0" applyAlignment="0" applyProtection="0"/>
    <xf numFmtId="0" fontId="1" fillId="65" borderId="0" applyNumberFormat="0" applyBorder="0" applyAlignment="0" applyProtection="0"/>
    <xf numFmtId="0" fontId="1" fillId="68" borderId="0" applyNumberFormat="0" applyBorder="0" applyAlignment="0" applyProtection="0"/>
    <xf numFmtId="0" fontId="1" fillId="69" borderId="0" applyNumberFormat="0" applyBorder="0" applyAlignment="0" applyProtection="0"/>
    <xf numFmtId="0" fontId="1" fillId="72" borderId="0" applyNumberFormat="0" applyBorder="0" applyAlignment="0" applyProtection="0"/>
    <xf numFmtId="0" fontId="1" fillId="73" borderId="0" applyNumberFormat="0" applyBorder="0" applyAlignment="0" applyProtection="0"/>
    <xf numFmtId="0" fontId="1" fillId="76" borderId="0" applyNumberFormat="0" applyBorder="0" applyAlignment="0" applyProtection="0"/>
    <xf numFmtId="0" fontId="1" fillId="77" borderId="0" applyNumberFormat="0" applyBorder="0" applyAlignment="0" applyProtection="0"/>
    <xf numFmtId="0" fontId="1" fillId="80" borderId="0" applyNumberFormat="0" applyBorder="0" applyAlignment="0" applyProtection="0"/>
    <xf numFmtId="0" fontId="1" fillId="81" borderId="0" applyNumberFormat="0" applyBorder="0" applyAlignment="0" applyProtection="0"/>
    <xf numFmtId="0" fontId="1" fillId="58" borderId="104" applyNumberFormat="0" applyFont="0" applyAlignment="0" applyProtection="0"/>
    <xf numFmtId="0" fontId="1" fillId="60" borderId="0" applyNumberFormat="0" applyBorder="0" applyAlignment="0" applyProtection="0"/>
    <xf numFmtId="0" fontId="1" fillId="60" borderId="0" applyNumberFormat="0" applyBorder="0" applyAlignment="0" applyProtection="0"/>
    <xf numFmtId="0" fontId="1" fillId="60" borderId="0" applyNumberFormat="0" applyBorder="0" applyAlignment="0" applyProtection="0"/>
    <xf numFmtId="0" fontId="1" fillId="60" borderId="0" applyNumberFormat="0" applyBorder="0" applyAlignment="0" applyProtection="0"/>
    <xf numFmtId="0" fontId="1" fillId="60" borderId="0" applyNumberFormat="0" applyBorder="0" applyAlignment="0" applyProtection="0"/>
    <xf numFmtId="0" fontId="1" fillId="60" borderId="0" applyNumberFormat="0" applyBorder="0" applyAlignment="0" applyProtection="0"/>
    <xf numFmtId="0" fontId="1" fillId="60" borderId="0" applyNumberFormat="0" applyBorder="0" applyAlignment="0" applyProtection="0"/>
    <xf numFmtId="0" fontId="1" fillId="60" borderId="0" applyNumberFormat="0" applyBorder="0" applyAlignment="0" applyProtection="0"/>
    <xf numFmtId="0" fontId="1" fillId="60" borderId="0" applyNumberFormat="0" applyBorder="0" applyAlignment="0" applyProtection="0"/>
    <xf numFmtId="0" fontId="1" fillId="64" borderId="0" applyNumberFormat="0" applyBorder="0" applyAlignment="0" applyProtection="0"/>
    <xf numFmtId="0" fontId="1" fillId="64" borderId="0" applyNumberFormat="0" applyBorder="0" applyAlignment="0" applyProtection="0"/>
    <xf numFmtId="0" fontId="1" fillId="64" borderId="0" applyNumberFormat="0" applyBorder="0" applyAlignment="0" applyProtection="0"/>
    <xf numFmtId="0" fontId="1" fillId="64" borderId="0" applyNumberFormat="0" applyBorder="0" applyAlignment="0" applyProtection="0"/>
    <xf numFmtId="0" fontId="1" fillId="64" borderId="0" applyNumberFormat="0" applyBorder="0" applyAlignment="0" applyProtection="0"/>
    <xf numFmtId="0" fontId="1" fillId="64" borderId="0" applyNumberFormat="0" applyBorder="0" applyAlignment="0" applyProtection="0"/>
    <xf numFmtId="0" fontId="1" fillId="64" borderId="0" applyNumberFormat="0" applyBorder="0" applyAlignment="0" applyProtection="0"/>
    <xf numFmtId="0" fontId="1" fillId="64" borderId="0" applyNumberFormat="0" applyBorder="0" applyAlignment="0" applyProtection="0"/>
    <xf numFmtId="0" fontId="1" fillId="64" borderId="0" applyNumberFormat="0" applyBorder="0" applyAlignment="0" applyProtection="0"/>
    <xf numFmtId="0" fontId="1" fillId="68" borderId="0" applyNumberFormat="0" applyBorder="0" applyAlignment="0" applyProtection="0"/>
    <xf numFmtId="0" fontId="1" fillId="68" borderId="0" applyNumberFormat="0" applyBorder="0" applyAlignment="0" applyProtection="0"/>
    <xf numFmtId="0" fontId="1" fillId="68" borderId="0" applyNumberFormat="0" applyBorder="0" applyAlignment="0" applyProtection="0"/>
    <xf numFmtId="0" fontId="1" fillId="68" borderId="0" applyNumberFormat="0" applyBorder="0" applyAlignment="0" applyProtection="0"/>
    <xf numFmtId="0" fontId="1" fillId="68" borderId="0" applyNumberFormat="0" applyBorder="0" applyAlignment="0" applyProtection="0"/>
    <xf numFmtId="0" fontId="1" fillId="68" borderId="0" applyNumberFormat="0" applyBorder="0" applyAlignment="0" applyProtection="0"/>
    <xf numFmtId="0" fontId="1" fillId="68" borderId="0" applyNumberFormat="0" applyBorder="0" applyAlignment="0" applyProtection="0"/>
    <xf numFmtId="0" fontId="1" fillId="68" borderId="0" applyNumberFormat="0" applyBorder="0" applyAlignment="0" applyProtection="0"/>
    <xf numFmtId="0" fontId="1" fillId="68" borderId="0" applyNumberFormat="0" applyBorder="0" applyAlignment="0" applyProtection="0"/>
    <xf numFmtId="0" fontId="1" fillId="72" borderId="0" applyNumberFormat="0" applyBorder="0" applyAlignment="0" applyProtection="0"/>
    <xf numFmtId="0" fontId="1" fillId="72" borderId="0" applyNumberFormat="0" applyBorder="0" applyAlignment="0" applyProtection="0"/>
    <xf numFmtId="0" fontId="1" fillId="72" borderId="0" applyNumberFormat="0" applyBorder="0" applyAlignment="0" applyProtection="0"/>
    <xf numFmtId="0" fontId="1" fillId="72" borderId="0" applyNumberFormat="0" applyBorder="0" applyAlignment="0" applyProtection="0"/>
    <xf numFmtId="0" fontId="1" fillId="72" borderId="0" applyNumberFormat="0" applyBorder="0" applyAlignment="0" applyProtection="0"/>
    <xf numFmtId="0" fontId="1" fillId="72" borderId="0" applyNumberFormat="0" applyBorder="0" applyAlignment="0" applyProtection="0"/>
    <xf numFmtId="0" fontId="1" fillId="72" borderId="0" applyNumberFormat="0" applyBorder="0" applyAlignment="0" applyProtection="0"/>
    <xf numFmtId="0" fontId="1" fillId="72" borderId="0" applyNumberFormat="0" applyBorder="0" applyAlignment="0" applyProtection="0"/>
    <xf numFmtId="0" fontId="1" fillId="72" borderId="0" applyNumberFormat="0" applyBorder="0" applyAlignment="0" applyProtection="0"/>
    <xf numFmtId="0" fontId="1" fillId="76" borderId="0" applyNumberFormat="0" applyBorder="0" applyAlignment="0" applyProtection="0"/>
    <xf numFmtId="0" fontId="1" fillId="76" borderId="0" applyNumberFormat="0" applyBorder="0" applyAlignment="0" applyProtection="0"/>
    <xf numFmtId="0" fontId="1" fillId="76" borderId="0" applyNumberFormat="0" applyBorder="0" applyAlignment="0" applyProtection="0"/>
    <xf numFmtId="0" fontId="1" fillId="76" borderId="0" applyNumberFormat="0" applyBorder="0" applyAlignment="0" applyProtection="0"/>
    <xf numFmtId="0" fontId="1" fillId="76" borderId="0" applyNumberFormat="0" applyBorder="0" applyAlignment="0" applyProtection="0"/>
    <xf numFmtId="0" fontId="1" fillId="76" borderId="0" applyNumberFormat="0" applyBorder="0" applyAlignment="0" applyProtection="0"/>
    <xf numFmtId="0" fontId="1" fillId="76" borderId="0" applyNumberFormat="0" applyBorder="0" applyAlignment="0" applyProtection="0"/>
    <xf numFmtId="0" fontId="1" fillId="76" borderId="0" applyNumberFormat="0" applyBorder="0" applyAlignment="0" applyProtection="0"/>
    <xf numFmtId="0" fontId="1" fillId="76" borderId="0" applyNumberFormat="0" applyBorder="0" applyAlignment="0" applyProtection="0"/>
    <xf numFmtId="0" fontId="1" fillId="80" borderId="0" applyNumberFormat="0" applyBorder="0" applyAlignment="0" applyProtection="0"/>
    <xf numFmtId="0" fontId="1" fillId="80" borderId="0" applyNumberFormat="0" applyBorder="0" applyAlignment="0" applyProtection="0"/>
    <xf numFmtId="0" fontId="1" fillId="80" borderId="0" applyNumberFormat="0" applyBorder="0" applyAlignment="0" applyProtection="0"/>
    <xf numFmtId="0" fontId="1" fillId="80" borderId="0" applyNumberFormat="0" applyBorder="0" applyAlignment="0" applyProtection="0"/>
    <xf numFmtId="0" fontId="1" fillId="80" borderId="0" applyNumberFormat="0" applyBorder="0" applyAlignment="0" applyProtection="0"/>
    <xf numFmtId="0" fontId="1" fillId="80" borderId="0" applyNumberFormat="0" applyBorder="0" applyAlignment="0" applyProtection="0"/>
    <xf numFmtId="0" fontId="1" fillId="80" borderId="0" applyNumberFormat="0" applyBorder="0" applyAlignment="0" applyProtection="0"/>
    <xf numFmtId="0" fontId="1" fillId="80" borderId="0" applyNumberFormat="0" applyBorder="0" applyAlignment="0" applyProtection="0"/>
    <xf numFmtId="0" fontId="1" fillId="80" borderId="0" applyNumberFormat="0" applyBorder="0" applyAlignment="0" applyProtection="0"/>
    <xf numFmtId="0" fontId="1" fillId="61" borderId="0" applyNumberFormat="0" applyBorder="0" applyAlignment="0" applyProtection="0"/>
    <xf numFmtId="0" fontId="1" fillId="61" borderId="0" applyNumberFormat="0" applyBorder="0" applyAlignment="0" applyProtection="0"/>
    <xf numFmtId="0" fontId="1" fillId="61" borderId="0" applyNumberFormat="0" applyBorder="0" applyAlignment="0" applyProtection="0"/>
    <xf numFmtId="0" fontId="1" fillId="61" borderId="0" applyNumberFormat="0" applyBorder="0" applyAlignment="0" applyProtection="0"/>
    <xf numFmtId="0" fontId="1" fillId="61" borderId="0" applyNumberFormat="0" applyBorder="0" applyAlignment="0" applyProtection="0"/>
    <xf numFmtId="0" fontId="1" fillId="61" borderId="0" applyNumberFormat="0" applyBorder="0" applyAlignment="0" applyProtection="0"/>
    <xf numFmtId="0" fontId="1" fillId="61" borderId="0" applyNumberFormat="0" applyBorder="0" applyAlignment="0" applyProtection="0"/>
    <xf numFmtId="0" fontId="1" fillId="61" borderId="0" applyNumberFormat="0" applyBorder="0" applyAlignment="0" applyProtection="0"/>
    <xf numFmtId="0" fontId="1" fillId="61" borderId="0" applyNumberFormat="0" applyBorder="0" applyAlignment="0" applyProtection="0"/>
    <xf numFmtId="0" fontId="1" fillId="65" borderId="0" applyNumberFormat="0" applyBorder="0" applyAlignment="0" applyProtection="0"/>
    <xf numFmtId="0" fontId="1" fillId="65" borderId="0" applyNumberFormat="0" applyBorder="0" applyAlignment="0" applyProtection="0"/>
    <xf numFmtId="0" fontId="1" fillId="65" borderId="0" applyNumberFormat="0" applyBorder="0" applyAlignment="0" applyProtection="0"/>
    <xf numFmtId="0" fontId="1" fillId="65" borderId="0" applyNumberFormat="0" applyBorder="0" applyAlignment="0" applyProtection="0"/>
    <xf numFmtId="0" fontId="1" fillId="65" borderId="0" applyNumberFormat="0" applyBorder="0" applyAlignment="0" applyProtection="0"/>
    <xf numFmtId="0" fontId="1" fillId="65" borderId="0" applyNumberFormat="0" applyBorder="0" applyAlignment="0" applyProtection="0"/>
    <xf numFmtId="0" fontId="1" fillId="65" borderId="0" applyNumberFormat="0" applyBorder="0" applyAlignment="0" applyProtection="0"/>
    <xf numFmtId="0" fontId="1" fillId="65" borderId="0" applyNumberFormat="0" applyBorder="0" applyAlignment="0" applyProtection="0"/>
    <xf numFmtId="0" fontId="1" fillId="65" borderId="0" applyNumberFormat="0" applyBorder="0" applyAlignment="0" applyProtection="0"/>
    <xf numFmtId="0" fontId="1" fillId="69" borderId="0" applyNumberFormat="0" applyBorder="0" applyAlignment="0" applyProtection="0"/>
    <xf numFmtId="0" fontId="1" fillId="69" borderId="0" applyNumberFormat="0" applyBorder="0" applyAlignment="0" applyProtection="0"/>
    <xf numFmtId="0" fontId="1" fillId="69" borderId="0" applyNumberFormat="0" applyBorder="0" applyAlignment="0" applyProtection="0"/>
    <xf numFmtId="0" fontId="1" fillId="69" borderId="0" applyNumberFormat="0" applyBorder="0" applyAlignment="0" applyProtection="0"/>
    <xf numFmtId="0" fontId="1" fillId="69" borderId="0" applyNumberFormat="0" applyBorder="0" applyAlignment="0" applyProtection="0"/>
    <xf numFmtId="0" fontId="1" fillId="69" borderId="0" applyNumberFormat="0" applyBorder="0" applyAlignment="0" applyProtection="0"/>
    <xf numFmtId="0" fontId="1" fillId="69" borderId="0" applyNumberFormat="0" applyBorder="0" applyAlignment="0" applyProtection="0"/>
    <xf numFmtId="0" fontId="1" fillId="69" borderId="0" applyNumberFormat="0" applyBorder="0" applyAlignment="0" applyProtection="0"/>
    <xf numFmtId="0" fontId="1" fillId="69" borderId="0" applyNumberFormat="0" applyBorder="0" applyAlignment="0" applyProtection="0"/>
    <xf numFmtId="0" fontId="1" fillId="73" borderId="0" applyNumberFormat="0" applyBorder="0" applyAlignment="0" applyProtection="0"/>
    <xf numFmtId="0" fontId="1" fillId="73" borderId="0" applyNumberFormat="0" applyBorder="0" applyAlignment="0" applyProtection="0"/>
    <xf numFmtId="0" fontId="1" fillId="73" borderId="0" applyNumberFormat="0" applyBorder="0" applyAlignment="0" applyProtection="0"/>
    <xf numFmtId="0" fontId="1" fillId="73" borderId="0" applyNumberFormat="0" applyBorder="0" applyAlignment="0" applyProtection="0"/>
    <xf numFmtId="0" fontId="1" fillId="73" borderId="0" applyNumberFormat="0" applyBorder="0" applyAlignment="0" applyProtection="0"/>
    <xf numFmtId="0" fontId="1" fillId="73" borderId="0" applyNumberFormat="0" applyBorder="0" applyAlignment="0" applyProtection="0"/>
    <xf numFmtId="0" fontId="1" fillId="73" borderId="0" applyNumberFormat="0" applyBorder="0" applyAlignment="0" applyProtection="0"/>
    <xf numFmtId="0" fontId="1" fillId="73" borderId="0" applyNumberFormat="0" applyBorder="0" applyAlignment="0" applyProtection="0"/>
    <xf numFmtId="0" fontId="1" fillId="73" borderId="0" applyNumberFormat="0" applyBorder="0" applyAlignment="0" applyProtection="0"/>
    <xf numFmtId="0" fontId="1" fillId="77" borderId="0" applyNumberFormat="0" applyBorder="0" applyAlignment="0" applyProtection="0"/>
    <xf numFmtId="0" fontId="1" fillId="77" borderId="0" applyNumberFormat="0" applyBorder="0" applyAlignment="0" applyProtection="0"/>
    <xf numFmtId="0" fontId="1" fillId="77" borderId="0" applyNumberFormat="0" applyBorder="0" applyAlignment="0" applyProtection="0"/>
    <xf numFmtId="0" fontId="1" fillId="77" borderId="0" applyNumberFormat="0" applyBorder="0" applyAlignment="0" applyProtection="0"/>
    <xf numFmtId="0" fontId="1" fillId="77" borderId="0" applyNumberFormat="0" applyBorder="0" applyAlignment="0" applyProtection="0"/>
    <xf numFmtId="0" fontId="1" fillId="77" borderId="0" applyNumberFormat="0" applyBorder="0" applyAlignment="0" applyProtection="0"/>
    <xf numFmtId="0" fontId="1" fillId="77" borderId="0" applyNumberFormat="0" applyBorder="0" applyAlignment="0" applyProtection="0"/>
    <xf numFmtId="0" fontId="1" fillId="77" borderId="0" applyNumberFormat="0" applyBorder="0" applyAlignment="0" applyProtection="0"/>
    <xf numFmtId="0" fontId="1" fillId="77" borderId="0" applyNumberFormat="0" applyBorder="0" applyAlignment="0" applyProtection="0"/>
    <xf numFmtId="0" fontId="1" fillId="81" borderId="0" applyNumberFormat="0" applyBorder="0" applyAlignment="0" applyProtection="0"/>
    <xf numFmtId="0" fontId="1" fillId="81" borderId="0" applyNumberFormat="0" applyBorder="0" applyAlignment="0" applyProtection="0"/>
    <xf numFmtId="0" fontId="1" fillId="81" borderId="0" applyNumberFormat="0" applyBorder="0" applyAlignment="0" applyProtection="0"/>
    <xf numFmtId="0" fontId="1" fillId="81" borderId="0" applyNumberFormat="0" applyBorder="0" applyAlignment="0" applyProtection="0"/>
    <xf numFmtId="0" fontId="1" fillId="81" borderId="0" applyNumberFormat="0" applyBorder="0" applyAlignment="0" applyProtection="0"/>
    <xf numFmtId="0" fontId="1" fillId="81" borderId="0" applyNumberFormat="0" applyBorder="0" applyAlignment="0" applyProtection="0"/>
    <xf numFmtId="0" fontId="1" fillId="81" borderId="0" applyNumberFormat="0" applyBorder="0" applyAlignment="0" applyProtection="0"/>
    <xf numFmtId="0" fontId="1" fillId="81" borderId="0" applyNumberFormat="0" applyBorder="0" applyAlignment="0" applyProtection="0"/>
    <xf numFmtId="0" fontId="1" fillId="81" borderId="0" applyNumberFormat="0" applyBorder="0" applyAlignment="0" applyProtection="0"/>
    <xf numFmtId="0" fontId="1" fillId="58" borderId="104" applyNumberFormat="0" applyFont="0" applyAlignment="0" applyProtection="0"/>
    <xf numFmtId="0" fontId="1" fillId="58" borderId="104" applyNumberFormat="0" applyFont="0" applyAlignment="0" applyProtection="0"/>
    <xf numFmtId="0" fontId="1" fillId="58" borderId="104" applyNumberFormat="0" applyFont="0" applyAlignment="0" applyProtection="0"/>
    <xf numFmtId="0" fontId="1" fillId="58" borderId="104" applyNumberFormat="0" applyFont="0" applyAlignment="0" applyProtection="0"/>
    <xf numFmtId="0" fontId="1" fillId="58" borderId="104" applyNumberFormat="0" applyFont="0" applyAlignment="0" applyProtection="0"/>
    <xf numFmtId="0" fontId="1" fillId="58" borderId="104" applyNumberFormat="0" applyFont="0" applyAlignment="0" applyProtection="0"/>
    <xf numFmtId="0" fontId="1" fillId="58" borderId="104" applyNumberFormat="0" applyFont="0" applyAlignment="0" applyProtection="0"/>
    <xf numFmtId="0" fontId="1" fillId="58" borderId="104" applyNumberFormat="0" applyFont="0" applyAlignment="0" applyProtection="0"/>
    <xf numFmtId="0" fontId="1" fillId="58" borderId="104" applyNumberFormat="0" applyFont="0" applyAlignment="0" applyProtection="0"/>
    <xf numFmtId="0" fontId="1" fillId="0" borderId="0"/>
    <xf numFmtId="165" fontId="1" fillId="0" borderId="0" applyFont="0" applyFill="0" applyBorder="0" applyAlignment="0" applyProtection="0"/>
    <xf numFmtId="0" fontId="1" fillId="0" borderId="0"/>
    <xf numFmtId="0" fontId="1" fillId="0" borderId="0"/>
    <xf numFmtId="0" fontId="240" fillId="0" borderId="0"/>
    <xf numFmtId="0" fontId="241" fillId="0" borderId="0" applyNumberFormat="0" applyFill="0" applyBorder="0" applyAlignment="0" applyProtection="0"/>
    <xf numFmtId="0" fontId="242" fillId="0" borderId="0" applyNumberFormat="0" applyFill="0" applyBorder="0" applyAlignment="0" applyProtection="0"/>
    <xf numFmtId="0" fontId="1" fillId="26" borderId="0" applyNumberFormat="0" applyBorder="0" applyAlignment="0" applyProtection="0"/>
    <xf numFmtId="0" fontId="1" fillId="3" borderId="0" applyNumberFormat="0" applyBorder="0" applyAlignment="0" applyProtection="0"/>
    <xf numFmtId="0" fontId="107" fillId="74" borderId="0" applyNumberFormat="0" applyBorder="0" applyAlignment="0" applyProtection="0"/>
    <xf numFmtId="0" fontId="1" fillId="26"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26" borderId="0" applyNumberFormat="0" applyBorder="0" applyAlignment="0" applyProtection="0"/>
    <xf numFmtId="0" fontId="1" fillId="3" borderId="0" applyNumberFormat="0" applyBorder="0" applyAlignment="0" applyProtection="0"/>
    <xf numFmtId="0" fontId="1" fillId="26" borderId="0" applyNumberFormat="0" applyBorder="0" applyAlignment="0" applyProtection="0"/>
    <xf numFmtId="0" fontId="1" fillId="58" borderId="104" applyNumberFormat="0" applyFont="0" applyAlignment="0" applyProtection="0"/>
    <xf numFmtId="0" fontId="1" fillId="6" borderId="0" applyNumberFormat="0" applyBorder="0" applyAlignment="0" applyProtection="0"/>
    <xf numFmtId="0" fontId="1" fillId="23" borderId="0" applyNumberFormat="0" applyBorder="0" applyAlignment="0" applyProtection="0"/>
    <xf numFmtId="0" fontId="1" fillId="6"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6" borderId="0" applyNumberFormat="0" applyBorder="0" applyAlignment="0" applyProtection="0"/>
    <xf numFmtId="0" fontId="1" fillId="23" borderId="0" applyNumberFormat="0" applyBorder="0" applyAlignment="0" applyProtection="0"/>
    <xf numFmtId="0" fontId="1" fillId="61" borderId="0" applyNumberFormat="0" applyBorder="0" applyAlignment="0" applyProtection="0"/>
    <xf numFmtId="0" fontId="1" fillId="26"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26" borderId="0" applyNumberFormat="0" applyBorder="0" applyAlignment="0" applyProtection="0"/>
    <xf numFmtId="0" fontId="1" fillId="3" borderId="0" applyNumberFormat="0" applyBorder="0" applyAlignment="0" applyProtection="0"/>
    <xf numFmtId="0" fontId="1" fillId="26" borderId="0" applyNumberFormat="0" applyBorder="0" applyAlignment="0" applyProtection="0"/>
    <xf numFmtId="0" fontId="1" fillId="0" borderId="0"/>
    <xf numFmtId="0" fontId="1" fillId="58" borderId="104" applyNumberFormat="0" applyFont="0" applyAlignment="0" applyProtection="0"/>
    <xf numFmtId="0" fontId="1" fillId="6" borderId="0" applyNumberFormat="0" applyBorder="0" applyAlignment="0" applyProtection="0"/>
    <xf numFmtId="0" fontId="1" fillId="23" borderId="0" applyNumberFormat="0" applyBorder="0" applyAlignment="0" applyProtection="0"/>
    <xf numFmtId="0" fontId="1" fillId="6" borderId="0" applyNumberFormat="0" applyBorder="0" applyAlignment="0" applyProtection="0"/>
    <xf numFmtId="0" fontId="1" fillId="58" borderId="104" applyNumberFormat="0" applyFont="0" applyAlignment="0" applyProtection="0"/>
    <xf numFmtId="0" fontId="1" fillId="26" borderId="0" applyNumberFormat="0" applyBorder="0" applyAlignment="0" applyProtection="0"/>
    <xf numFmtId="0" fontId="1" fillId="3"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7" borderId="0" applyNumberFormat="0" applyBorder="0" applyAlignment="0" applyProtection="0"/>
    <xf numFmtId="0" fontId="1" fillId="0" borderId="0"/>
    <xf numFmtId="0" fontId="1" fillId="26" borderId="0" applyNumberFormat="0" applyBorder="0" applyAlignment="0" applyProtection="0"/>
    <xf numFmtId="0" fontId="1" fillId="3" borderId="0" applyNumberFormat="0" applyBorder="0" applyAlignment="0" applyProtection="0"/>
    <xf numFmtId="0" fontId="1" fillId="23" borderId="0" applyNumberFormat="0" applyBorder="0" applyAlignment="0" applyProtection="0"/>
    <xf numFmtId="0" fontId="1" fillId="6" borderId="0" applyNumberFormat="0" applyBorder="0" applyAlignment="0" applyProtection="0"/>
    <xf numFmtId="0" fontId="1" fillId="58" borderId="104" applyNumberFormat="0" applyFont="0" applyAlignment="0" applyProtection="0"/>
    <xf numFmtId="0" fontId="1" fillId="6" borderId="0" applyNumberFormat="0" applyBorder="0" applyAlignment="0" applyProtection="0"/>
    <xf numFmtId="0" fontId="1" fillId="23" borderId="0" applyNumberFormat="0" applyBorder="0" applyAlignment="0" applyProtection="0"/>
    <xf numFmtId="0" fontId="98" fillId="0" borderId="98" applyNumberFormat="0" applyFill="0" applyAlignment="0" applyProtection="0"/>
    <xf numFmtId="0" fontId="1" fillId="6" borderId="0" applyNumberFormat="0" applyBorder="0" applyAlignment="0" applyProtection="0"/>
    <xf numFmtId="0" fontId="1" fillId="26" borderId="0" applyNumberFormat="0" applyBorder="0" applyAlignment="0" applyProtection="0"/>
    <xf numFmtId="0" fontId="1" fillId="3" borderId="0" applyNumberFormat="0" applyBorder="0" applyAlignment="0" applyProtection="0"/>
    <xf numFmtId="0" fontId="1" fillId="73" borderId="0" applyNumberFormat="0" applyBorder="0" applyAlignment="0" applyProtection="0"/>
    <xf numFmtId="0" fontId="1" fillId="26"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26" borderId="0" applyNumberFormat="0" applyBorder="0" applyAlignment="0" applyProtection="0"/>
    <xf numFmtId="0" fontId="1" fillId="3" borderId="0" applyNumberFormat="0" applyBorder="0" applyAlignment="0" applyProtection="0"/>
    <xf numFmtId="0" fontId="1" fillId="26" borderId="0" applyNumberFormat="0" applyBorder="0" applyAlignment="0" applyProtection="0"/>
    <xf numFmtId="0" fontId="1" fillId="0" borderId="0"/>
    <xf numFmtId="0" fontId="1" fillId="6" borderId="0" applyNumberFormat="0" applyBorder="0" applyAlignment="0" applyProtection="0"/>
    <xf numFmtId="0" fontId="1" fillId="23" borderId="0" applyNumberFormat="0" applyBorder="0" applyAlignment="0" applyProtection="0"/>
    <xf numFmtId="0" fontId="1" fillId="6" borderId="0" applyNumberFormat="0" applyBorder="0" applyAlignment="0" applyProtection="0"/>
    <xf numFmtId="0" fontId="1" fillId="26" borderId="0" applyNumberFormat="0" applyBorder="0" applyAlignment="0" applyProtection="0"/>
    <xf numFmtId="0" fontId="1" fillId="58" borderId="104" applyNumberFormat="0" applyFont="0" applyAlignment="0" applyProtection="0"/>
    <xf numFmtId="0" fontId="1" fillId="58" borderId="104" applyNumberFormat="0" applyFont="0" applyAlignment="0" applyProtection="0"/>
    <xf numFmtId="0" fontId="1" fillId="58" borderId="104" applyNumberFormat="0" applyFont="0" applyAlignment="0" applyProtection="0"/>
    <xf numFmtId="0" fontId="107" fillId="59" borderId="0" applyNumberFormat="0" applyBorder="0" applyAlignment="0" applyProtection="0"/>
    <xf numFmtId="0" fontId="1" fillId="26" borderId="0" applyNumberFormat="0" applyBorder="0" applyAlignment="0" applyProtection="0"/>
    <xf numFmtId="0" fontId="107" fillId="71" borderId="0" applyNumberFormat="0" applyBorder="0" applyAlignment="0" applyProtection="0"/>
    <xf numFmtId="0" fontId="1" fillId="0" borderId="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6" borderId="0" applyNumberFormat="0" applyBorder="0" applyAlignment="0" applyProtection="0"/>
    <xf numFmtId="0" fontId="1" fillId="23"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3" borderId="0" applyNumberFormat="0" applyBorder="0" applyAlignment="0" applyProtection="0"/>
    <xf numFmtId="0" fontId="1" fillId="3" borderId="0" applyNumberFormat="0" applyBorder="0" applyAlignment="0" applyProtection="0"/>
    <xf numFmtId="0" fontId="1" fillId="3" borderId="0" applyNumberFormat="0" applyBorder="0" applyAlignment="0" applyProtection="0"/>
    <xf numFmtId="0" fontId="1" fillId="3" borderId="0" applyNumberFormat="0" applyBorder="0" applyAlignment="0" applyProtection="0"/>
    <xf numFmtId="0" fontId="1" fillId="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26" borderId="0" applyNumberFormat="0" applyBorder="0" applyAlignment="0" applyProtection="0"/>
    <xf numFmtId="0" fontId="1" fillId="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58" borderId="104" applyNumberFormat="0" applyFont="0" applyAlignment="0" applyProtection="0"/>
    <xf numFmtId="0" fontId="1" fillId="6" borderId="0" applyNumberFormat="0" applyBorder="0" applyAlignment="0" applyProtection="0"/>
    <xf numFmtId="0" fontId="1" fillId="23" borderId="0" applyNumberFormat="0" applyBorder="0" applyAlignment="0" applyProtection="0"/>
    <xf numFmtId="0" fontId="104" fillId="0" borderId="102" applyNumberFormat="0" applyFill="0" applyAlignment="0" applyProtection="0"/>
    <xf numFmtId="0" fontId="1" fillId="6" borderId="0" applyNumberFormat="0" applyBorder="0" applyAlignment="0" applyProtection="0"/>
    <xf numFmtId="0" fontId="1" fillId="26"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58" borderId="104" applyNumberFormat="0" applyFont="0" applyAlignment="0" applyProtection="0"/>
    <xf numFmtId="0" fontId="1" fillId="26" borderId="0" applyNumberFormat="0" applyBorder="0" applyAlignment="0" applyProtection="0"/>
    <xf numFmtId="0" fontId="1" fillId="3" borderId="0" applyNumberFormat="0" applyBorder="0" applyAlignment="0" applyProtection="0"/>
    <xf numFmtId="0" fontId="1" fillId="26" borderId="0" applyNumberFormat="0" applyBorder="0" applyAlignment="0" applyProtection="0"/>
    <xf numFmtId="0" fontId="1" fillId="0" borderId="0"/>
    <xf numFmtId="0" fontId="1" fillId="6" borderId="0" applyNumberFormat="0" applyBorder="0" applyAlignment="0" applyProtection="0"/>
    <xf numFmtId="0" fontId="1" fillId="23" borderId="0" applyNumberFormat="0" applyBorder="0" applyAlignment="0" applyProtection="0"/>
    <xf numFmtId="0" fontId="1" fillId="6" borderId="0" applyNumberFormat="0" applyBorder="0" applyAlignment="0" applyProtection="0"/>
    <xf numFmtId="0" fontId="1" fillId="58" borderId="104" applyNumberFormat="0" applyFont="0" applyAlignment="0" applyProtection="0"/>
    <xf numFmtId="0" fontId="1" fillId="26" borderId="0" applyNumberFormat="0" applyBorder="0" applyAlignment="0" applyProtection="0"/>
    <xf numFmtId="0" fontId="1" fillId="58" borderId="104" applyNumberFormat="0" applyFont="0" applyAlignment="0" applyProtection="0"/>
    <xf numFmtId="0" fontId="1" fillId="3" borderId="0" applyNumberFormat="0" applyBorder="0" applyAlignment="0" applyProtection="0"/>
    <xf numFmtId="0" fontId="1" fillId="8" borderId="0" applyNumberFormat="0" applyBorder="0" applyAlignment="0" applyProtection="0"/>
    <xf numFmtId="0" fontId="1" fillId="26" borderId="0" applyNumberFormat="0" applyBorder="0" applyAlignment="0" applyProtection="0"/>
    <xf numFmtId="0" fontId="1" fillId="7" borderId="0" applyNumberFormat="0" applyBorder="0" applyAlignment="0" applyProtection="0"/>
    <xf numFmtId="0" fontId="1" fillId="26" borderId="0" applyNumberFormat="0" applyBorder="0" applyAlignment="0" applyProtection="0"/>
    <xf numFmtId="0" fontId="1" fillId="3" borderId="0" applyNumberFormat="0" applyBorder="0" applyAlignment="0" applyProtection="0"/>
    <xf numFmtId="0" fontId="1" fillId="23"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23" borderId="0" applyNumberFormat="0" applyBorder="0" applyAlignment="0" applyProtection="0"/>
    <xf numFmtId="0" fontId="1" fillId="6" borderId="0" applyNumberFormat="0" applyBorder="0" applyAlignment="0" applyProtection="0"/>
    <xf numFmtId="0" fontId="1" fillId="26" borderId="0" applyNumberFormat="0" applyBorder="0" applyAlignment="0" applyProtection="0"/>
    <xf numFmtId="0" fontId="1" fillId="58" borderId="104" applyNumberFormat="0" applyFont="0" applyAlignment="0" applyProtection="0"/>
    <xf numFmtId="0" fontId="1" fillId="3" borderId="0" applyNumberFormat="0" applyBorder="0" applyAlignment="0" applyProtection="0"/>
    <xf numFmtId="0" fontId="1" fillId="69" borderId="0" applyNumberFormat="0" applyBorder="0" applyAlignment="0" applyProtection="0"/>
    <xf numFmtId="0" fontId="1" fillId="26"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26" borderId="0" applyNumberFormat="0" applyBorder="0" applyAlignment="0" applyProtection="0"/>
    <xf numFmtId="0" fontId="1" fillId="3" borderId="0" applyNumberFormat="0" applyBorder="0" applyAlignment="0" applyProtection="0"/>
    <xf numFmtId="0" fontId="1" fillId="26" borderId="0" applyNumberFormat="0" applyBorder="0" applyAlignment="0" applyProtection="0"/>
    <xf numFmtId="0" fontId="1" fillId="6" borderId="0" applyNumberFormat="0" applyBorder="0" applyAlignment="0" applyProtection="0"/>
    <xf numFmtId="0" fontId="1" fillId="23"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23" borderId="0" applyNumberFormat="0" applyBorder="0" applyAlignment="0" applyProtection="0"/>
    <xf numFmtId="0" fontId="111" fillId="56" borderId="108" applyNumberFormat="0" applyAlignment="0" applyProtection="0"/>
    <xf numFmtId="0" fontId="1" fillId="6" borderId="0" applyNumberFormat="0" applyBorder="0" applyAlignment="0" applyProtection="0"/>
    <xf numFmtId="0" fontId="1" fillId="26"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58" borderId="104" applyNumberFormat="0" applyFont="0" applyAlignment="0" applyProtection="0"/>
    <xf numFmtId="0" fontId="1" fillId="26" borderId="0" applyNumberFormat="0" applyBorder="0" applyAlignment="0" applyProtection="0"/>
    <xf numFmtId="0" fontId="1" fillId="3" borderId="0" applyNumberFormat="0" applyBorder="0" applyAlignment="0" applyProtection="0"/>
    <xf numFmtId="0" fontId="1" fillId="26" borderId="0" applyNumberFormat="0" applyBorder="0" applyAlignment="0" applyProtection="0"/>
    <xf numFmtId="0" fontId="1" fillId="6" borderId="0" applyNumberFormat="0" applyBorder="0" applyAlignment="0" applyProtection="0"/>
    <xf numFmtId="0" fontId="1" fillId="23" borderId="0" applyNumberFormat="0" applyBorder="0" applyAlignment="0" applyProtection="0"/>
    <xf numFmtId="0" fontId="1" fillId="6" borderId="0" applyNumberFormat="0" applyBorder="0" applyAlignment="0" applyProtection="0"/>
    <xf numFmtId="0" fontId="1" fillId="58" borderId="104" applyNumberFormat="0" applyFont="0" applyAlignment="0" applyProtection="0"/>
    <xf numFmtId="0" fontId="1" fillId="58" borderId="104" applyNumberFormat="0" applyFont="0" applyAlignment="0" applyProtection="0"/>
    <xf numFmtId="0" fontId="1" fillId="26" borderId="0" applyNumberFormat="0" applyBorder="0" applyAlignment="0" applyProtection="0"/>
    <xf numFmtId="0" fontId="1" fillId="3" borderId="0" applyNumberFormat="0" applyBorder="0" applyAlignment="0" applyProtection="0"/>
    <xf numFmtId="0" fontId="1" fillId="81" borderId="0" applyNumberFormat="0" applyBorder="0" applyAlignment="0" applyProtection="0"/>
    <xf numFmtId="0" fontId="1" fillId="26" borderId="0" applyNumberFormat="0" applyBorder="0" applyAlignment="0" applyProtection="0"/>
    <xf numFmtId="0" fontId="1" fillId="7" borderId="0" applyNumberFormat="0" applyBorder="0" applyAlignment="0" applyProtection="0"/>
    <xf numFmtId="0" fontId="1" fillId="26" borderId="0" applyNumberFormat="0" applyBorder="0" applyAlignment="0" applyProtection="0"/>
    <xf numFmtId="0" fontId="1" fillId="58" borderId="104" applyNumberFormat="0" applyFont="0" applyAlignment="0" applyProtection="0"/>
    <xf numFmtId="0" fontId="1" fillId="3"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23"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3" borderId="0" applyNumberFormat="0" applyBorder="0" applyAlignment="0" applyProtection="0"/>
    <xf numFmtId="0" fontId="107" fillId="67" borderId="0" applyNumberFormat="0" applyBorder="0" applyAlignment="0" applyProtection="0"/>
    <xf numFmtId="0" fontId="1" fillId="26"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26" borderId="0" applyNumberFormat="0" applyBorder="0" applyAlignment="0" applyProtection="0"/>
    <xf numFmtId="0" fontId="1" fillId="58" borderId="104" applyNumberFormat="0" applyFont="0" applyAlignment="0" applyProtection="0"/>
    <xf numFmtId="0" fontId="1" fillId="3" borderId="0" applyNumberFormat="0" applyBorder="0" applyAlignment="0" applyProtection="0"/>
    <xf numFmtId="0" fontId="1" fillId="26" borderId="0" applyNumberFormat="0" applyBorder="0" applyAlignment="0" applyProtection="0"/>
    <xf numFmtId="0" fontId="1" fillId="6" borderId="0" applyNumberFormat="0" applyBorder="0" applyAlignment="0" applyProtection="0"/>
    <xf numFmtId="0" fontId="1" fillId="23" borderId="0" applyNumberFormat="0" applyBorder="0" applyAlignment="0" applyProtection="0"/>
    <xf numFmtId="0" fontId="1" fillId="6" borderId="0" applyNumberFormat="0" applyBorder="0" applyAlignment="0" applyProtection="0"/>
    <xf numFmtId="0" fontId="1" fillId="26" borderId="0" applyNumberFormat="0" applyBorder="0" applyAlignment="0" applyProtection="0"/>
    <xf numFmtId="0" fontId="1" fillId="58" borderId="104" applyNumberFormat="0" applyFont="0" applyAlignment="0" applyProtection="0"/>
    <xf numFmtId="0" fontId="1" fillId="58" borderId="104" applyNumberFormat="0" applyFont="0" applyAlignment="0" applyProtection="0"/>
    <xf numFmtId="0" fontId="1" fillId="58" borderId="104" applyNumberFormat="0" applyFont="0" applyAlignment="0" applyProtection="0"/>
    <xf numFmtId="0" fontId="1" fillId="6" borderId="0" applyNumberFormat="0" applyBorder="0" applyAlignment="0" applyProtection="0"/>
    <xf numFmtId="0" fontId="107" fillId="79" borderId="0" applyNumberFormat="0" applyBorder="0" applyAlignment="0" applyProtection="0"/>
    <xf numFmtId="0" fontId="1" fillId="64" borderId="0" applyNumberFormat="0" applyBorder="0" applyAlignment="0" applyProtection="0"/>
    <xf numFmtId="0" fontId="77" fillId="36" borderId="0" applyNumberFormat="0" applyBorder="0" applyAlignment="0" applyProtection="0"/>
    <xf numFmtId="0" fontId="1" fillId="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3" borderId="0" applyNumberFormat="0" applyBorder="0" applyAlignment="0" applyProtection="0"/>
    <xf numFmtId="0" fontId="1" fillId="3" borderId="0" applyNumberFormat="0" applyBorder="0" applyAlignment="0" applyProtection="0"/>
    <xf numFmtId="0" fontId="1" fillId="3" borderId="0" applyNumberFormat="0" applyBorder="0" applyAlignment="0" applyProtection="0"/>
    <xf numFmtId="0" fontId="1" fillId="3" borderId="0" applyNumberFormat="0" applyBorder="0" applyAlignment="0" applyProtection="0"/>
    <xf numFmtId="0" fontId="1" fillId="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26" borderId="0" applyNumberFormat="0" applyBorder="0" applyAlignment="0" applyProtection="0"/>
    <xf numFmtId="0" fontId="1" fillId="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26"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26"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9"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9" borderId="0" applyNumberFormat="0" applyBorder="0" applyAlignment="0" applyProtection="0"/>
    <xf numFmtId="0" fontId="1" fillId="6" borderId="0" applyNumberFormat="0" applyBorder="0" applyAlignment="0" applyProtection="0"/>
    <xf numFmtId="0" fontId="1" fillId="23" borderId="0" applyNumberFormat="0" applyBorder="0" applyAlignment="0" applyProtection="0"/>
    <xf numFmtId="0" fontId="100" fillId="0" borderId="0" applyNumberFormat="0" applyFill="0" applyBorder="0" applyAlignment="0" applyProtection="0"/>
    <xf numFmtId="0" fontId="1" fillId="6" borderId="0" applyNumberFormat="0" applyBorder="0" applyAlignment="0" applyProtection="0"/>
    <xf numFmtId="0" fontId="1" fillId="9" borderId="0" applyNumberFormat="0" applyBorder="0" applyAlignment="0" applyProtection="0"/>
    <xf numFmtId="0" fontId="1" fillId="8"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58" borderId="104" applyNumberFormat="0" applyFont="0" applyAlignment="0" applyProtection="0"/>
    <xf numFmtId="0" fontId="1" fillId="26" borderId="0" applyNumberFormat="0" applyBorder="0" applyAlignment="0" applyProtection="0"/>
    <xf numFmtId="0" fontId="1" fillId="3" borderId="0" applyNumberFormat="0" applyBorder="0" applyAlignment="0" applyProtection="0"/>
    <xf numFmtId="0" fontId="1" fillId="23" borderId="0" applyNumberFormat="0" applyBorder="0" applyAlignment="0" applyProtection="0"/>
    <xf numFmtId="0" fontId="1" fillId="26" borderId="0" applyNumberFormat="0" applyBorder="0" applyAlignment="0" applyProtection="0"/>
    <xf numFmtId="0" fontId="1" fillId="58" borderId="104" applyNumberFormat="0" applyFont="0" applyAlignment="0" applyProtection="0"/>
    <xf numFmtId="0" fontId="1" fillId="26" borderId="0" applyNumberFormat="0" applyBorder="0" applyAlignment="0" applyProtection="0"/>
    <xf numFmtId="0" fontId="1" fillId="6" borderId="0" applyNumberFormat="0" applyBorder="0" applyAlignment="0" applyProtection="0"/>
    <xf numFmtId="0" fontId="1" fillId="23" borderId="0" applyNumberFormat="0" applyBorder="0" applyAlignment="0" applyProtection="0"/>
    <xf numFmtId="0" fontId="1" fillId="6" borderId="0" applyNumberFormat="0" applyBorder="0" applyAlignment="0" applyProtection="0"/>
    <xf numFmtId="0" fontId="1" fillId="26" borderId="0" applyNumberFormat="0" applyBorder="0" applyAlignment="0" applyProtection="0"/>
    <xf numFmtId="0" fontId="1" fillId="3" borderId="0" applyNumberFormat="0" applyBorder="0" applyAlignment="0" applyProtection="0"/>
    <xf numFmtId="0" fontId="1" fillId="77" borderId="0" applyNumberFormat="0" applyBorder="0" applyAlignment="0" applyProtection="0"/>
    <xf numFmtId="0" fontId="1" fillId="26"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26" borderId="0" applyNumberFormat="0" applyBorder="0" applyAlignment="0" applyProtection="0"/>
    <xf numFmtId="0" fontId="1" fillId="3" borderId="0" applyNumberFormat="0" applyBorder="0" applyAlignment="0" applyProtection="0"/>
    <xf numFmtId="0" fontId="1" fillId="58" borderId="104" applyNumberFormat="0" applyFont="0" applyAlignment="0" applyProtection="0"/>
    <xf numFmtId="0" fontId="1" fillId="6" borderId="0" applyNumberFormat="0" applyBorder="0" applyAlignment="0" applyProtection="0"/>
    <xf numFmtId="0" fontId="1" fillId="58" borderId="104" applyNumberFormat="0" applyFont="0" applyAlignment="0" applyProtection="0"/>
    <xf numFmtId="0" fontId="1" fillId="23"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23" borderId="0" applyNumberFormat="0" applyBorder="0" applyAlignment="0" applyProtection="0"/>
    <xf numFmtId="0" fontId="107" fillId="62" borderId="0" applyNumberFormat="0" applyBorder="0" applyAlignment="0" applyProtection="0"/>
    <xf numFmtId="0" fontId="1" fillId="26"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26" borderId="0" applyNumberFormat="0" applyBorder="0" applyAlignment="0" applyProtection="0"/>
    <xf numFmtId="0" fontId="1" fillId="3" borderId="0" applyNumberFormat="0" applyBorder="0" applyAlignment="0" applyProtection="0"/>
    <xf numFmtId="0" fontId="1" fillId="26" borderId="0" applyNumberFormat="0" applyBorder="0" applyAlignment="0" applyProtection="0"/>
    <xf numFmtId="0" fontId="1" fillId="6" borderId="0" applyNumberFormat="0" applyBorder="0" applyAlignment="0" applyProtection="0"/>
    <xf numFmtId="0" fontId="1" fillId="23" borderId="0" applyNumberFormat="0" applyBorder="0" applyAlignment="0" applyProtection="0"/>
    <xf numFmtId="0" fontId="1" fillId="6"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6" borderId="0" applyNumberFormat="0" applyBorder="0" applyAlignment="0" applyProtection="0"/>
    <xf numFmtId="0" fontId="1" fillId="23" borderId="0" applyNumberFormat="0" applyBorder="0" applyAlignment="0" applyProtection="0"/>
    <xf numFmtId="0" fontId="1" fillId="60" borderId="0" applyNumberFormat="0" applyBorder="0" applyAlignment="0" applyProtection="0"/>
    <xf numFmtId="0" fontId="1" fillId="26"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26" borderId="0" applyNumberFormat="0" applyBorder="0" applyAlignment="0" applyProtection="0"/>
    <xf numFmtId="0" fontId="1" fillId="3" borderId="0" applyNumberFormat="0" applyBorder="0" applyAlignment="0" applyProtection="0"/>
    <xf numFmtId="0" fontId="1" fillId="26" borderId="0" applyNumberFormat="0" applyBorder="0" applyAlignment="0" applyProtection="0"/>
    <xf numFmtId="0" fontId="1" fillId="58" borderId="104" applyNumberFormat="0" applyFont="0" applyAlignment="0" applyProtection="0"/>
    <xf numFmtId="0" fontId="1" fillId="6" borderId="0" applyNumberFormat="0" applyBorder="0" applyAlignment="0" applyProtection="0"/>
    <xf numFmtId="0" fontId="1" fillId="23" borderId="0" applyNumberFormat="0" applyBorder="0" applyAlignment="0" applyProtection="0"/>
    <xf numFmtId="0" fontId="1" fillId="6" borderId="0" applyNumberFormat="0" applyBorder="0" applyAlignment="0" applyProtection="0"/>
    <xf numFmtId="0" fontId="1" fillId="58" borderId="104" applyNumberFormat="0" applyFont="0" applyAlignment="0" applyProtection="0"/>
    <xf numFmtId="0" fontId="1" fillId="26" borderId="0" applyNumberFormat="0" applyBorder="0" applyAlignment="0" applyProtection="0"/>
    <xf numFmtId="0" fontId="1" fillId="3" borderId="0" applyNumberFormat="0" applyBorder="0" applyAlignment="0" applyProtection="0"/>
    <xf numFmtId="0" fontId="1" fillId="7" borderId="0" applyNumberFormat="0" applyBorder="0" applyAlignment="0" applyProtection="0"/>
    <xf numFmtId="0" fontId="1" fillId="26" borderId="0" applyNumberFormat="0" applyBorder="0" applyAlignment="0" applyProtection="0"/>
    <xf numFmtId="0" fontId="1" fillId="7" borderId="0" applyNumberFormat="0" applyBorder="0" applyAlignment="0" applyProtection="0"/>
    <xf numFmtId="0" fontId="1" fillId="26" borderId="0" applyNumberFormat="0" applyBorder="0" applyAlignment="0" applyProtection="0"/>
    <xf numFmtId="0" fontId="1" fillId="3" borderId="0" applyNumberFormat="0" applyBorder="0" applyAlignment="0" applyProtection="0"/>
    <xf numFmtId="0" fontId="1" fillId="23"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23" borderId="0" applyNumberFormat="0" applyBorder="0" applyAlignment="0" applyProtection="0"/>
    <xf numFmtId="0" fontId="97" fillId="0" borderId="0" applyNumberFormat="0" applyFill="0" applyBorder="0" applyAlignment="0" applyProtection="0"/>
    <xf numFmtId="0" fontId="1" fillId="6" borderId="0" applyNumberFormat="0" applyBorder="0" applyAlignment="0" applyProtection="0"/>
    <xf numFmtId="0" fontId="1" fillId="58" borderId="104" applyNumberFormat="0" applyFont="0" applyAlignment="0" applyProtection="0"/>
    <xf numFmtId="0" fontId="1" fillId="26" borderId="0" applyNumberFormat="0" applyBorder="0" applyAlignment="0" applyProtection="0"/>
    <xf numFmtId="0" fontId="1" fillId="3" borderId="0" applyNumberFormat="0" applyBorder="0" applyAlignment="0" applyProtection="0"/>
    <xf numFmtId="0" fontId="1" fillId="72" borderId="0" applyNumberFormat="0" applyBorder="0" applyAlignment="0" applyProtection="0"/>
    <xf numFmtId="0" fontId="1" fillId="26"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26" borderId="0" applyNumberFormat="0" applyBorder="0" applyAlignment="0" applyProtection="0"/>
    <xf numFmtId="0" fontId="1" fillId="3" borderId="0" applyNumberFormat="0" applyBorder="0" applyAlignment="0" applyProtection="0"/>
    <xf numFmtId="0" fontId="1" fillId="0" borderId="0"/>
    <xf numFmtId="0" fontId="1" fillId="26" borderId="0" applyNumberFormat="0" applyBorder="0" applyAlignment="0" applyProtection="0"/>
    <xf numFmtId="0" fontId="1" fillId="6" borderId="0" applyNumberFormat="0" applyBorder="0" applyAlignment="0" applyProtection="0"/>
    <xf numFmtId="0" fontId="1" fillId="23" borderId="0" applyNumberFormat="0" applyBorder="0" applyAlignment="0" applyProtection="0"/>
    <xf numFmtId="0" fontId="1" fillId="6" borderId="0" applyNumberFormat="0" applyBorder="0" applyAlignment="0" applyProtection="0"/>
    <xf numFmtId="0" fontId="1" fillId="26" borderId="0" applyNumberFormat="0" applyBorder="0" applyAlignment="0" applyProtection="0"/>
    <xf numFmtId="0" fontId="1" fillId="58" borderId="104" applyNumberFormat="0" applyFont="0" applyAlignment="0" applyProtection="0"/>
    <xf numFmtId="0" fontId="1" fillId="58" borderId="104" applyNumberFormat="0" applyFont="0" applyAlignment="0" applyProtection="0"/>
    <xf numFmtId="0" fontId="82" fillId="0" borderId="105" applyNumberFormat="0" applyFill="0" applyAlignment="0" applyProtection="0"/>
    <xf numFmtId="0" fontId="1" fillId="9" borderId="0" applyNumberFormat="0" applyBorder="0" applyAlignment="0" applyProtection="0"/>
    <xf numFmtId="0" fontId="107" fillId="70" borderId="0" applyNumberFormat="0" applyBorder="0" applyAlignment="0" applyProtection="0"/>
    <xf numFmtId="0" fontId="10" fillId="0" borderId="0"/>
    <xf numFmtId="0" fontId="1" fillId="0" borderId="0"/>
    <xf numFmtId="0" fontId="1" fillId="0" borderId="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6" borderId="0" applyNumberFormat="0" applyBorder="0" applyAlignment="0" applyProtection="0"/>
    <xf numFmtId="0" fontId="1" fillId="23"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3" borderId="0" applyNumberFormat="0" applyBorder="0" applyAlignment="0" applyProtection="0"/>
    <xf numFmtId="0" fontId="1" fillId="3" borderId="0" applyNumberFormat="0" applyBorder="0" applyAlignment="0" applyProtection="0"/>
    <xf numFmtId="0" fontId="1" fillId="3" borderId="0" applyNumberFormat="0" applyBorder="0" applyAlignment="0" applyProtection="0"/>
    <xf numFmtId="0" fontId="1" fillId="3" borderId="0" applyNumberFormat="0" applyBorder="0" applyAlignment="0" applyProtection="0"/>
    <xf numFmtId="0" fontId="1" fillId="3" borderId="0" applyNumberFormat="0" applyBorder="0" applyAlignment="0" applyProtection="0"/>
    <xf numFmtId="0" fontId="1" fillId="6"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26" borderId="0" applyNumberFormat="0" applyBorder="0" applyAlignment="0" applyProtection="0"/>
    <xf numFmtId="0" fontId="1" fillId="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26"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8" borderId="0" applyNumberFormat="0" applyBorder="0" applyAlignment="0" applyProtection="0"/>
    <xf numFmtId="0" fontId="1" fillId="58" borderId="104" applyNumberFormat="0" applyFont="0" applyAlignment="0" applyProtection="0"/>
    <xf numFmtId="0" fontId="1" fillId="6" borderId="0" applyNumberFormat="0" applyBorder="0" applyAlignment="0" applyProtection="0"/>
    <xf numFmtId="0" fontId="1" fillId="23" borderId="0" applyNumberFormat="0" applyBorder="0" applyAlignment="0" applyProtection="0"/>
    <xf numFmtId="0" fontId="103" fillId="56" borderId="101" applyNumberFormat="0" applyAlignment="0" applyProtection="0"/>
    <xf numFmtId="0" fontId="1" fillId="6" borderId="0" applyNumberFormat="0" applyBorder="0" applyAlignment="0" applyProtection="0"/>
    <xf numFmtId="0" fontId="1" fillId="26"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26" borderId="0" applyNumberFormat="0" applyBorder="0" applyAlignment="0" applyProtection="0"/>
    <xf numFmtId="0" fontId="1" fillId="3" borderId="0" applyNumberFormat="0" applyBorder="0" applyAlignment="0" applyProtection="0"/>
    <xf numFmtId="0" fontId="1" fillId="26" borderId="0" applyNumberFormat="0" applyBorder="0" applyAlignment="0" applyProtection="0"/>
    <xf numFmtId="0" fontId="1" fillId="6" borderId="0" applyNumberFormat="0" applyBorder="0" applyAlignment="0" applyProtection="0"/>
    <xf numFmtId="0" fontId="1" fillId="23" borderId="0" applyNumberFormat="0" applyBorder="0" applyAlignment="0" applyProtection="0"/>
    <xf numFmtId="0" fontId="1" fillId="6" borderId="0" applyNumberFormat="0" applyBorder="0" applyAlignment="0" applyProtection="0"/>
    <xf numFmtId="0" fontId="1" fillId="58" borderId="104" applyNumberFormat="0" applyFont="0" applyAlignment="0" applyProtection="0"/>
    <xf numFmtId="0" fontId="1" fillId="26" borderId="0" applyNumberFormat="0" applyBorder="0" applyAlignment="0" applyProtection="0"/>
    <xf numFmtId="0" fontId="1" fillId="58" borderId="104" applyNumberFormat="0" applyFont="0" applyAlignment="0" applyProtection="0"/>
    <xf numFmtId="0" fontId="1" fillId="3" borderId="0" applyNumberFormat="0" applyBorder="0" applyAlignment="0" applyProtection="0"/>
    <xf numFmtId="0" fontId="107" fillId="82" borderId="0" applyNumberFormat="0" applyBorder="0" applyAlignment="0" applyProtection="0"/>
    <xf numFmtId="0" fontId="1" fillId="26" borderId="0" applyNumberFormat="0" applyBorder="0" applyAlignment="0" applyProtection="0"/>
    <xf numFmtId="0" fontId="1" fillId="7" borderId="0" applyNumberFormat="0" applyBorder="0" applyAlignment="0" applyProtection="0"/>
    <xf numFmtId="0" fontId="1" fillId="26" borderId="0" applyNumberFormat="0" applyBorder="0" applyAlignment="0" applyProtection="0"/>
    <xf numFmtId="0" fontId="1" fillId="3" borderId="0" applyNumberFormat="0" applyBorder="0" applyAlignment="0" applyProtection="0"/>
    <xf numFmtId="0" fontId="1" fillId="23"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23" borderId="0" applyNumberFormat="0" applyBorder="0" applyAlignment="0" applyProtection="0"/>
    <xf numFmtId="0" fontId="1" fillId="6" borderId="0" applyNumberFormat="0" applyBorder="0" applyAlignment="0" applyProtection="0"/>
    <xf numFmtId="0" fontId="1" fillId="26" borderId="0" applyNumberFormat="0" applyBorder="0" applyAlignment="0" applyProtection="0"/>
    <xf numFmtId="0" fontId="1" fillId="3" borderId="0" applyNumberFormat="0" applyBorder="0" applyAlignment="0" applyProtection="0"/>
    <xf numFmtId="0" fontId="1" fillId="68" borderId="0" applyNumberFormat="0" applyBorder="0" applyAlignment="0" applyProtection="0"/>
    <xf numFmtId="0" fontId="1" fillId="26"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26" borderId="0" applyNumberFormat="0" applyBorder="0" applyAlignment="0" applyProtection="0"/>
    <xf numFmtId="0" fontId="1" fillId="3" borderId="0" applyNumberFormat="0" applyBorder="0" applyAlignment="0" applyProtection="0"/>
    <xf numFmtId="0" fontId="1" fillId="26" borderId="0" applyNumberFormat="0" applyBorder="0" applyAlignment="0" applyProtection="0"/>
    <xf numFmtId="0" fontId="1" fillId="6" borderId="0" applyNumberFormat="0" applyBorder="0" applyAlignment="0" applyProtection="0"/>
    <xf numFmtId="0" fontId="1" fillId="23"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23" borderId="0" applyNumberFormat="0" applyBorder="0" applyAlignment="0" applyProtection="0"/>
    <xf numFmtId="0" fontId="110" fillId="84" borderId="101" applyNumberFormat="0" applyAlignment="0" applyProtection="0"/>
    <xf numFmtId="0" fontId="1" fillId="6" borderId="0" applyNumberFormat="0" applyBorder="0" applyAlignment="0" applyProtection="0"/>
    <xf numFmtId="0" fontId="1" fillId="26" borderId="0" applyNumberFormat="0" applyBorder="0" applyAlignment="0" applyProtection="0"/>
    <xf numFmtId="0" fontId="1" fillId="7" borderId="0" applyNumberFormat="0" applyBorder="0" applyAlignment="0" applyProtection="0"/>
    <xf numFmtId="0" fontId="1" fillId="26" borderId="0" applyNumberFormat="0" applyBorder="0" applyAlignment="0" applyProtection="0"/>
    <xf numFmtId="0" fontId="1" fillId="58" borderId="104" applyNumberFormat="0" applyFont="0" applyAlignment="0" applyProtection="0"/>
    <xf numFmtId="0" fontId="1" fillId="26" borderId="0" applyNumberFormat="0" applyBorder="0" applyAlignment="0" applyProtection="0"/>
    <xf numFmtId="0" fontId="1" fillId="3"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0" borderId="0"/>
    <xf numFmtId="0" fontId="1" fillId="6" borderId="0" applyNumberFormat="0" applyBorder="0" applyAlignment="0" applyProtection="0"/>
    <xf numFmtId="0" fontId="1" fillId="23" borderId="0" applyNumberFormat="0" applyBorder="0" applyAlignment="0" applyProtection="0"/>
    <xf numFmtId="0" fontId="1" fillId="6" borderId="0" applyNumberFormat="0" applyBorder="0" applyAlignment="0" applyProtection="0"/>
    <xf numFmtId="0" fontId="1" fillId="26" borderId="0" applyNumberFormat="0" applyBorder="0" applyAlignment="0" applyProtection="0"/>
    <xf numFmtId="0" fontId="1" fillId="3" borderId="0" applyNumberFormat="0" applyBorder="0" applyAlignment="0" applyProtection="0"/>
    <xf numFmtId="0" fontId="1" fillId="80" borderId="0" applyNumberFormat="0" applyBorder="0" applyAlignment="0" applyProtection="0"/>
    <xf numFmtId="0" fontId="1" fillId="26" borderId="0" applyNumberFormat="0" applyBorder="0" applyAlignment="0" applyProtection="0"/>
    <xf numFmtId="0" fontId="1" fillId="7" borderId="0" applyNumberFormat="0" applyBorder="0" applyAlignment="0" applyProtection="0"/>
    <xf numFmtId="0" fontId="1" fillId="26" borderId="0" applyNumberFormat="0" applyBorder="0" applyAlignment="0" applyProtection="0"/>
    <xf numFmtId="0" fontId="1" fillId="58" borderId="104" applyNumberFormat="0" applyFont="0" applyAlignment="0" applyProtection="0"/>
    <xf numFmtId="0" fontId="1" fillId="3" borderId="0" applyNumberFormat="0" applyBorder="0" applyAlignment="0" applyProtection="0"/>
    <xf numFmtId="0" fontId="1" fillId="6" borderId="0" applyNumberFormat="0" applyBorder="0" applyAlignment="0" applyProtection="0"/>
    <xf numFmtId="0" fontId="1" fillId="0" borderId="0"/>
    <xf numFmtId="0" fontId="1" fillId="6" borderId="0" applyNumberFormat="0" applyBorder="0" applyAlignment="0" applyProtection="0"/>
    <xf numFmtId="0" fontId="1" fillId="23"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3" borderId="0" applyNumberFormat="0" applyBorder="0" applyAlignment="0" applyProtection="0"/>
    <xf numFmtId="0" fontId="107" fillId="66" borderId="0" applyNumberFormat="0" applyBorder="0" applyAlignment="0" applyProtection="0"/>
    <xf numFmtId="0" fontId="1" fillId="26"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0" borderId="0"/>
    <xf numFmtId="0" fontId="1" fillId="26" borderId="0" applyNumberFormat="0" applyBorder="0" applyAlignment="0" applyProtection="0"/>
    <xf numFmtId="0" fontId="1" fillId="3" borderId="0" applyNumberFormat="0" applyBorder="0" applyAlignment="0" applyProtection="0"/>
    <xf numFmtId="0" fontId="1" fillId="26" borderId="0" applyNumberFormat="0" applyBorder="0" applyAlignment="0" applyProtection="0"/>
    <xf numFmtId="0" fontId="1" fillId="6" borderId="0" applyNumberFormat="0" applyBorder="0" applyAlignment="0" applyProtection="0"/>
    <xf numFmtId="0" fontId="1" fillId="23" borderId="0" applyNumberFormat="0" applyBorder="0" applyAlignment="0" applyProtection="0"/>
    <xf numFmtId="0" fontId="1" fillId="6" borderId="0" applyNumberFormat="0" applyBorder="0" applyAlignment="0" applyProtection="0"/>
    <xf numFmtId="0" fontId="1" fillId="26" borderId="0" applyNumberFormat="0" applyBorder="0" applyAlignment="0" applyProtection="0"/>
    <xf numFmtId="0" fontId="1" fillId="58" borderId="104" applyNumberFormat="0" applyFont="0" applyAlignment="0" applyProtection="0"/>
    <xf numFmtId="9" fontId="1" fillId="0" borderId="0" applyFont="0" applyFill="0" applyBorder="0" applyAlignment="0" applyProtection="0"/>
    <xf numFmtId="0" fontId="1" fillId="58" borderId="104" applyNumberFormat="0" applyFont="0" applyAlignment="0" applyProtection="0"/>
    <xf numFmtId="0" fontId="1" fillId="58" borderId="104" applyNumberFormat="0" applyFont="0" applyAlignment="0" applyProtection="0"/>
    <xf numFmtId="0" fontId="1" fillId="58" borderId="104" applyNumberFormat="0" applyFont="0" applyAlignment="0" applyProtection="0"/>
    <xf numFmtId="0" fontId="1" fillId="58" borderId="104" applyNumberFormat="0" applyFont="0" applyAlignment="0" applyProtection="0"/>
    <xf numFmtId="0" fontId="1" fillId="3" borderId="0" applyNumberFormat="0" applyBorder="0" applyAlignment="0" applyProtection="0"/>
    <xf numFmtId="0" fontId="107" fillId="78" borderId="0" applyNumberFormat="0" applyBorder="0" applyAlignment="0" applyProtection="0"/>
    <xf numFmtId="0" fontId="107" fillId="63" borderId="0" applyNumberFormat="0" applyBorder="0" applyAlignment="0" applyProtection="0"/>
    <xf numFmtId="0" fontId="101" fillId="54" borderId="0" applyNumberFormat="0" applyBorder="0" applyAlignment="0" applyProtection="0"/>
    <xf numFmtId="0" fontId="1" fillId="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3" borderId="0" applyNumberFormat="0" applyBorder="0" applyAlignment="0" applyProtection="0"/>
    <xf numFmtId="0" fontId="1" fillId="3" borderId="0" applyNumberFormat="0" applyBorder="0" applyAlignment="0" applyProtection="0"/>
    <xf numFmtId="0" fontId="1" fillId="3" borderId="0" applyNumberFormat="0" applyBorder="0" applyAlignment="0" applyProtection="0"/>
    <xf numFmtId="0" fontId="1" fillId="3" borderId="0" applyNumberFormat="0" applyBorder="0" applyAlignment="0" applyProtection="0"/>
    <xf numFmtId="0" fontId="1" fillId="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26" borderId="0" applyNumberFormat="0" applyBorder="0" applyAlignment="0" applyProtection="0"/>
    <xf numFmtId="0" fontId="1" fillId="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26"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26"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58" borderId="104" applyNumberFormat="0" applyFont="0" applyAlignment="0" applyProtection="0"/>
    <xf numFmtId="0" fontId="1" fillId="58" borderId="104" applyNumberFormat="0" applyFont="0" applyAlignment="0" applyProtection="0"/>
    <xf numFmtId="0" fontId="1" fillId="58" borderId="104" applyNumberFormat="0" applyFont="0" applyAlignment="0" applyProtection="0"/>
    <xf numFmtId="0" fontId="1" fillId="58" borderId="104" applyNumberFormat="0" applyFont="0" applyAlignment="0" applyProtection="0"/>
    <xf numFmtId="0" fontId="1" fillId="58" borderId="104" applyNumberFormat="0" applyFont="0" applyAlignment="0" applyProtection="0"/>
    <xf numFmtId="0" fontId="1" fillId="58" borderId="104" applyNumberFormat="0" applyFont="0" applyAlignment="0" applyProtection="0"/>
    <xf numFmtId="0" fontId="1" fillId="58" borderId="104" applyNumberFormat="0" applyFont="0" applyAlignment="0" applyProtection="0"/>
    <xf numFmtId="0" fontId="1" fillId="58" borderId="104" applyNumberFormat="0" applyFont="0" applyAlignment="0" applyProtection="0"/>
    <xf numFmtId="0" fontId="1" fillId="58" borderId="104" applyNumberFormat="0" applyFont="0" applyAlignment="0" applyProtection="0"/>
    <xf numFmtId="0" fontId="1" fillId="58" borderId="104" applyNumberFormat="0" applyFont="0" applyAlignment="0" applyProtection="0"/>
    <xf numFmtId="165" fontId="1" fillId="0" borderId="0" applyFont="0" applyFill="0" applyBorder="0" applyAlignment="0" applyProtection="0"/>
    <xf numFmtId="0" fontId="240" fillId="0" borderId="0" applyFont="0" applyFill="0" applyBorder="0" applyAlignment="0" applyProtection="0"/>
    <xf numFmtId="3" fontId="240" fillId="0" borderId="0" applyFont="0" applyFill="0" applyBorder="0" applyAlignment="0" applyProtection="0"/>
    <xf numFmtId="0" fontId="240" fillId="0" borderId="0" applyFont="0" applyFill="0" applyBorder="0" applyAlignment="0" applyProtection="0"/>
    <xf numFmtId="0" fontId="240" fillId="0" borderId="0" applyFont="0" applyFill="0" applyBorder="0" applyAlignment="0" applyProtection="0"/>
    <xf numFmtId="3" fontId="240" fillId="0" borderId="0" applyFont="0" applyFill="0" applyBorder="0" applyAlignment="0" applyProtection="0"/>
    <xf numFmtId="3" fontId="240" fillId="0" borderId="0" applyFont="0" applyFill="0" applyBorder="0" applyAlignment="0" applyProtection="0"/>
    <xf numFmtId="0" fontId="240" fillId="0" borderId="0" applyFont="0" applyFill="0" applyBorder="0" applyAlignment="0" applyProtection="0"/>
    <xf numFmtId="0" fontId="240" fillId="0" borderId="0" applyFont="0" applyFill="0" applyBorder="0" applyAlignment="0" applyProtection="0"/>
    <xf numFmtId="0" fontId="240" fillId="0" borderId="0" applyFont="0" applyFill="0" applyBorder="0" applyAlignment="0" applyProtection="0"/>
    <xf numFmtId="3" fontId="240" fillId="0" borderId="0" applyFont="0" applyFill="0" applyBorder="0" applyAlignment="0" applyProtection="0"/>
    <xf numFmtId="3" fontId="240" fillId="0" borderId="0" applyFont="0" applyFill="0" applyBorder="0" applyAlignment="0" applyProtection="0"/>
    <xf numFmtId="3" fontId="240" fillId="0" borderId="0" applyFont="0" applyFill="0" applyBorder="0" applyAlignment="0" applyProtection="0"/>
    <xf numFmtId="0" fontId="240" fillId="0" borderId="0" applyFont="0" applyFill="0" applyBorder="0" applyAlignment="0" applyProtection="0"/>
    <xf numFmtId="3" fontId="240" fillId="0" borderId="0" applyFont="0" applyFill="0" applyBorder="0" applyAlignment="0" applyProtection="0"/>
    <xf numFmtId="3" fontId="240" fillId="0" borderId="0" applyFont="0" applyFill="0" applyBorder="0" applyAlignment="0" applyProtection="0"/>
    <xf numFmtId="3" fontId="240" fillId="0" borderId="0" applyFont="0" applyFill="0" applyBorder="0" applyAlignment="0" applyProtection="0"/>
    <xf numFmtId="0" fontId="240" fillId="0" borderId="0" applyFont="0" applyFill="0" applyBorder="0" applyAlignment="0" applyProtection="0"/>
    <xf numFmtId="3" fontId="240" fillId="0" borderId="0" applyFont="0" applyFill="0" applyBorder="0" applyAlignment="0" applyProtection="0"/>
    <xf numFmtId="0" fontId="240" fillId="0" borderId="0" applyFont="0" applyFill="0" applyBorder="0" applyAlignment="0" applyProtection="0"/>
    <xf numFmtId="0" fontId="240" fillId="0" borderId="0" applyFont="0" applyFill="0" applyBorder="0" applyAlignment="0" applyProtection="0"/>
    <xf numFmtId="3" fontId="240" fillId="0" borderId="0" applyFont="0" applyFill="0" applyBorder="0" applyAlignment="0" applyProtection="0"/>
    <xf numFmtId="3" fontId="240" fillId="0" borderId="0" applyFont="0" applyFill="0" applyBorder="0" applyAlignment="0" applyProtection="0"/>
    <xf numFmtId="0" fontId="240" fillId="0" borderId="0" applyFont="0" applyFill="0" applyBorder="0" applyAlignment="0" applyProtection="0"/>
    <xf numFmtId="0" fontId="240" fillId="0" borderId="0" applyFont="0" applyFill="0" applyBorder="0" applyAlignment="0" applyProtection="0"/>
    <xf numFmtId="0" fontId="240" fillId="0" borderId="0" applyFont="0" applyFill="0" applyBorder="0" applyAlignment="0" applyProtection="0"/>
    <xf numFmtId="3" fontId="240" fillId="0" borderId="0" applyFont="0" applyFill="0" applyBorder="0" applyAlignment="0" applyProtection="0"/>
    <xf numFmtId="0" fontId="240" fillId="0" borderId="0" applyFont="0" applyFill="0" applyBorder="0" applyAlignment="0" applyProtection="0"/>
    <xf numFmtId="0" fontId="1" fillId="0" borderId="0"/>
    <xf numFmtId="9" fontId="1" fillId="0" borderId="0" applyFont="0" applyFill="0" applyBorder="0" applyAlignment="0" applyProtection="0"/>
    <xf numFmtId="0" fontId="1" fillId="0" borderId="0"/>
    <xf numFmtId="0" fontId="1" fillId="0" borderId="0"/>
    <xf numFmtId="9" fontId="1" fillId="0" borderId="0" applyFont="0" applyFill="0" applyBorder="0" applyAlignment="0" applyProtection="0"/>
    <xf numFmtId="165" fontId="1" fillId="0" borderId="0" applyFont="0" applyFill="0" applyBorder="0" applyAlignment="0" applyProtection="0"/>
    <xf numFmtId="0" fontId="10" fillId="0" borderId="0"/>
    <xf numFmtId="43" fontId="10" fillId="0" borderId="0" applyFont="0" applyFill="0" applyBorder="0" applyAlignment="0" applyProtection="0"/>
    <xf numFmtId="9" fontId="10" fillId="0" borderId="0" applyFont="0" applyFill="0" applyBorder="0" applyAlignment="0" applyProtection="0"/>
    <xf numFmtId="0" fontId="10" fillId="0" borderId="0"/>
    <xf numFmtId="219" fontId="10" fillId="0" borderId="0"/>
    <xf numFmtId="219" fontId="10" fillId="0" borderId="0"/>
    <xf numFmtId="219" fontId="10" fillId="0" borderId="0"/>
    <xf numFmtId="219" fontId="10" fillId="0" borderId="0"/>
    <xf numFmtId="219" fontId="10" fillId="0" borderId="0"/>
    <xf numFmtId="189" fontId="10" fillId="0" borderId="0" applyFont="0" applyFill="0" applyBorder="0" applyAlignment="0" applyProtection="0"/>
    <xf numFmtId="216" fontId="10" fillId="0" borderId="0" applyFont="0" applyFill="0" applyBorder="0" applyAlignment="0" applyProtection="0"/>
    <xf numFmtId="164"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216" fontId="10" fillId="0" borderId="0" applyFont="0" applyFill="0" applyBorder="0" applyAlignment="0" applyProtection="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43" fontId="10" fillId="0" borderId="0" applyFont="0" applyFill="0" applyBorder="0" applyAlignment="0" applyProtection="0"/>
    <xf numFmtId="9" fontId="10" fillId="0" borderId="0" applyFont="0" applyFill="0" applyBorder="0" applyAlignment="0" applyProtection="0"/>
    <xf numFmtId="0" fontId="10" fillId="0" borderId="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9" fontId="1" fillId="0" borderId="0" applyFont="0" applyFill="0" applyBorder="0" applyAlignment="0" applyProtection="0"/>
    <xf numFmtId="0" fontId="1" fillId="60" borderId="0" applyNumberFormat="0" applyBorder="0" applyAlignment="0" applyProtection="0"/>
    <xf numFmtId="0" fontId="1" fillId="61" borderId="0" applyNumberFormat="0" applyBorder="0" applyAlignment="0" applyProtection="0"/>
    <xf numFmtId="0" fontId="1" fillId="64" borderId="0" applyNumberFormat="0" applyBorder="0" applyAlignment="0" applyProtection="0"/>
    <xf numFmtId="0" fontId="1" fillId="65" borderId="0" applyNumberFormat="0" applyBorder="0" applyAlignment="0" applyProtection="0"/>
    <xf numFmtId="0" fontId="1" fillId="68" borderId="0" applyNumberFormat="0" applyBorder="0" applyAlignment="0" applyProtection="0"/>
    <xf numFmtId="0" fontId="1" fillId="69" borderId="0" applyNumberFormat="0" applyBorder="0" applyAlignment="0" applyProtection="0"/>
    <xf numFmtId="0" fontId="1" fillId="72" borderId="0" applyNumberFormat="0" applyBorder="0" applyAlignment="0" applyProtection="0"/>
    <xf numFmtId="0" fontId="1" fillId="73" borderId="0" applyNumberFormat="0" applyBorder="0" applyAlignment="0" applyProtection="0"/>
    <xf numFmtId="0" fontId="1" fillId="76" borderId="0" applyNumberFormat="0" applyBorder="0" applyAlignment="0" applyProtection="0"/>
    <xf numFmtId="0" fontId="1" fillId="77" borderId="0" applyNumberFormat="0" applyBorder="0" applyAlignment="0" applyProtection="0"/>
    <xf numFmtId="0" fontId="1" fillId="80" borderId="0" applyNumberFormat="0" applyBorder="0" applyAlignment="0" applyProtection="0"/>
    <xf numFmtId="0" fontId="1" fillId="81" borderId="0" applyNumberFormat="0" applyBorder="0" applyAlignment="0" applyProtection="0"/>
    <xf numFmtId="189" fontId="10" fillId="0" borderId="0" applyFont="0" applyFill="0" applyBorder="0" applyAlignment="0" applyProtection="0"/>
    <xf numFmtId="165" fontId="10" fillId="0" borderId="0" applyFont="0" applyFill="0" applyBorder="0" applyAlignment="0" applyProtection="0"/>
    <xf numFmtId="0" fontId="1" fillId="0" borderId="0"/>
    <xf numFmtId="0" fontId="1" fillId="58" borderId="104" applyNumberFormat="0" applyFont="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65" fontId="1" fillId="0" borderId="0" applyFont="0" applyFill="0" applyBorder="0" applyAlignment="0" applyProtection="0"/>
    <xf numFmtId="9"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9" fontId="1" fillId="0" borderId="0" applyFont="0" applyFill="0" applyBorder="0" applyAlignment="0" applyProtection="0"/>
    <xf numFmtId="0" fontId="10" fillId="58" borderId="104" applyNumberFormat="0" applyFont="0" applyAlignment="0" applyProtection="0"/>
    <xf numFmtId="0" fontId="1" fillId="0" borderId="0"/>
    <xf numFmtId="165" fontId="10" fillId="0" borderId="0" applyFont="0" applyFill="0" applyBorder="0" applyAlignment="0" applyProtection="0"/>
    <xf numFmtId="165" fontId="38" fillId="0" borderId="0" applyFont="0" applyFill="0" applyBorder="0" applyAlignment="0" applyProtection="0"/>
    <xf numFmtId="165" fontId="38" fillId="0" borderId="0" applyFont="0" applyFill="0" applyBorder="0" applyAlignment="0" applyProtection="0"/>
    <xf numFmtId="165" fontId="38" fillId="0" borderId="0" applyFont="0" applyFill="0" applyBorder="0" applyAlignment="0" applyProtection="0"/>
    <xf numFmtId="165" fontId="38" fillId="0" borderId="0" applyFont="0" applyFill="0" applyBorder="0" applyAlignment="0" applyProtection="0"/>
    <xf numFmtId="165" fontId="38" fillId="0" borderId="0" applyFont="0" applyFill="0" applyBorder="0" applyAlignment="0" applyProtection="0"/>
    <xf numFmtId="165" fontId="10" fillId="0" borderId="0" applyFont="0" applyFill="0" applyBorder="0" applyAlignment="0" applyProtection="0"/>
    <xf numFmtId="166" fontId="38" fillId="0" borderId="0" applyFont="0" applyFill="0" applyBorder="0" applyAlignment="0" applyProtection="0"/>
    <xf numFmtId="166" fontId="38" fillId="0" borderId="0" applyFont="0" applyFill="0" applyBorder="0" applyAlignment="0" applyProtection="0"/>
    <xf numFmtId="166" fontId="38" fillId="0" borderId="0" applyFont="0" applyFill="0" applyBorder="0" applyAlignment="0" applyProtection="0"/>
    <xf numFmtId="166" fontId="38" fillId="0" borderId="0" applyFont="0" applyFill="0" applyBorder="0" applyAlignment="0" applyProtection="0"/>
    <xf numFmtId="166" fontId="38" fillId="0" borderId="0" applyFont="0" applyFill="0" applyBorder="0" applyAlignment="0" applyProtection="0"/>
    <xf numFmtId="166" fontId="38" fillId="0" borderId="0" applyFont="0" applyFill="0" applyBorder="0" applyAlignment="0" applyProtection="0"/>
    <xf numFmtId="166" fontId="38" fillId="0" borderId="0" applyFont="0" applyFill="0" applyBorder="0" applyAlignment="0" applyProtection="0"/>
    <xf numFmtId="166" fontId="38" fillId="0" borderId="0" applyFont="0" applyFill="0" applyBorder="0" applyAlignment="0" applyProtection="0"/>
    <xf numFmtId="166" fontId="38" fillId="0" borderId="0" applyFont="0" applyFill="0" applyBorder="0" applyAlignment="0" applyProtection="0"/>
    <xf numFmtId="166" fontId="38" fillId="0" borderId="0" applyFont="0" applyFill="0" applyBorder="0" applyAlignment="0" applyProtection="0"/>
    <xf numFmtId="166" fontId="38" fillId="0" borderId="0" applyFont="0" applyFill="0" applyBorder="0" applyAlignment="0" applyProtection="0"/>
    <xf numFmtId="166" fontId="38" fillId="0" borderId="0" applyFont="0" applyFill="0" applyBorder="0" applyAlignment="0" applyProtection="0"/>
    <xf numFmtId="166" fontId="38" fillId="0" borderId="0" applyFont="0" applyFill="0" applyBorder="0" applyAlignment="0" applyProtection="0"/>
    <xf numFmtId="166" fontId="38" fillId="0" borderId="0" applyFont="0" applyFill="0" applyBorder="0" applyAlignment="0" applyProtection="0"/>
    <xf numFmtId="166" fontId="38" fillId="0" borderId="0" applyFont="0" applyFill="0" applyBorder="0" applyAlignment="0" applyProtection="0"/>
    <xf numFmtId="166" fontId="38" fillId="0" borderId="0" applyFont="0" applyFill="0" applyBorder="0" applyAlignment="0" applyProtection="0"/>
    <xf numFmtId="166" fontId="38" fillId="0" borderId="0" applyFont="0" applyFill="0" applyBorder="0" applyAlignment="0" applyProtection="0"/>
    <xf numFmtId="166" fontId="38" fillId="0" borderId="0" applyFont="0" applyFill="0" applyBorder="0" applyAlignment="0" applyProtection="0"/>
    <xf numFmtId="166" fontId="38" fillId="0" borderId="0" applyFont="0" applyFill="0" applyBorder="0" applyAlignment="0" applyProtection="0"/>
    <xf numFmtId="166" fontId="38" fillId="0" borderId="0" applyFont="0" applyFill="0" applyBorder="0" applyAlignment="0" applyProtection="0"/>
    <xf numFmtId="166" fontId="38" fillId="0" borderId="0" applyFont="0" applyFill="0" applyBorder="0" applyAlignment="0" applyProtection="0"/>
    <xf numFmtId="166" fontId="38" fillId="0" borderId="0" applyFont="0" applyFill="0" applyBorder="0" applyAlignment="0" applyProtection="0"/>
    <xf numFmtId="166" fontId="38" fillId="0" borderId="0" applyFont="0" applyFill="0" applyBorder="0" applyAlignment="0" applyProtection="0"/>
    <xf numFmtId="166" fontId="38" fillId="0" borderId="0" applyFont="0" applyFill="0" applyBorder="0" applyAlignment="0" applyProtection="0"/>
    <xf numFmtId="166" fontId="38" fillId="0" borderId="0" applyFont="0" applyFill="0" applyBorder="0" applyAlignment="0" applyProtection="0"/>
    <xf numFmtId="166" fontId="38" fillId="0" borderId="0" applyFont="0" applyFill="0" applyBorder="0" applyAlignment="0" applyProtection="0"/>
    <xf numFmtId="166" fontId="38" fillId="0" borderId="0" applyFont="0" applyFill="0" applyBorder="0" applyAlignment="0" applyProtection="0"/>
    <xf numFmtId="166" fontId="38" fillId="0" borderId="0" applyFont="0" applyFill="0" applyBorder="0" applyAlignment="0" applyProtection="0"/>
    <xf numFmtId="166" fontId="38" fillId="0" borderId="0" applyFont="0" applyFill="0" applyBorder="0" applyAlignment="0" applyProtection="0"/>
    <xf numFmtId="166" fontId="38" fillId="0" borderId="0" applyFont="0" applyFill="0" applyBorder="0" applyAlignment="0" applyProtection="0"/>
    <xf numFmtId="166" fontId="38" fillId="0" borderId="0" applyFont="0" applyFill="0" applyBorder="0" applyAlignment="0" applyProtection="0"/>
    <xf numFmtId="166" fontId="38" fillId="0" borderId="0" applyFont="0" applyFill="0" applyBorder="0" applyAlignment="0" applyProtection="0"/>
    <xf numFmtId="166" fontId="38" fillId="0" borderId="0" applyFont="0" applyFill="0" applyBorder="0" applyAlignment="0" applyProtection="0"/>
    <xf numFmtId="166" fontId="38" fillId="0" borderId="0" applyFont="0" applyFill="0" applyBorder="0" applyAlignment="0" applyProtection="0"/>
    <xf numFmtId="166" fontId="38" fillId="0" borderId="0" applyFont="0" applyFill="0" applyBorder="0" applyAlignment="0" applyProtection="0"/>
    <xf numFmtId="166" fontId="38" fillId="0" borderId="0" applyFont="0" applyFill="0" applyBorder="0" applyAlignment="0" applyProtection="0"/>
    <xf numFmtId="166" fontId="38" fillId="0" borderId="0" applyFont="0" applyFill="0" applyBorder="0" applyAlignment="0" applyProtection="0"/>
    <xf numFmtId="166" fontId="38" fillId="0" borderId="0" applyFont="0" applyFill="0" applyBorder="0" applyAlignment="0" applyProtection="0"/>
    <xf numFmtId="166" fontId="38" fillId="0" borderId="0" applyFont="0" applyFill="0" applyBorder="0" applyAlignment="0" applyProtection="0"/>
    <xf numFmtId="166" fontId="38" fillId="0" borderId="0" applyFont="0" applyFill="0" applyBorder="0" applyAlignment="0" applyProtection="0"/>
    <xf numFmtId="166" fontId="38" fillId="0" borderId="0" applyFont="0" applyFill="0" applyBorder="0" applyAlignment="0" applyProtection="0"/>
    <xf numFmtId="166" fontId="38" fillId="0" borderId="0" applyFont="0" applyFill="0" applyBorder="0" applyAlignment="0" applyProtection="0"/>
    <xf numFmtId="166" fontId="38" fillId="0" borderId="0" applyFont="0" applyFill="0" applyBorder="0" applyAlignment="0" applyProtection="0"/>
    <xf numFmtId="166" fontId="38" fillId="0" borderId="0" applyFont="0" applyFill="0" applyBorder="0" applyAlignment="0" applyProtection="0"/>
    <xf numFmtId="166" fontId="38" fillId="0" borderId="0" applyFont="0" applyFill="0" applyBorder="0" applyAlignment="0" applyProtection="0"/>
    <xf numFmtId="166" fontId="38" fillId="0" borderId="0" applyFont="0" applyFill="0" applyBorder="0" applyAlignment="0" applyProtection="0"/>
    <xf numFmtId="166" fontId="38" fillId="0" borderId="0" applyFont="0" applyFill="0" applyBorder="0" applyAlignment="0" applyProtection="0"/>
    <xf numFmtId="166" fontId="38" fillId="0" borderId="0" applyFont="0" applyFill="0" applyBorder="0" applyAlignment="0" applyProtection="0"/>
    <xf numFmtId="166" fontId="38" fillId="0" borderId="0" applyFont="0" applyFill="0" applyBorder="0" applyAlignment="0" applyProtection="0"/>
    <xf numFmtId="166" fontId="38" fillId="0" borderId="0" applyFont="0" applyFill="0" applyBorder="0" applyAlignment="0" applyProtection="0"/>
    <xf numFmtId="166" fontId="38" fillId="0" borderId="0" applyFont="0" applyFill="0" applyBorder="0" applyAlignment="0" applyProtection="0"/>
    <xf numFmtId="166" fontId="38" fillId="0" borderId="0" applyFont="0" applyFill="0" applyBorder="0" applyAlignment="0" applyProtection="0"/>
    <xf numFmtId="166" fontId="38" fillId="0" borderId="0" applyFont="0" applyFill="0" applyBorder="0" applyAlignment="0" applyProtection="0"/>
    <xf numFmtId="166" fontId="38" fillId="0" borderId="0" applyFont="0" applyFill="0" applyBorder="0" applyAlignment="0" applyProtection="0"/>
    <xf numFmtId="166" fontId="38" fillId="0" borderId="0" applyFont="0" applyFill="0" applyBorder="0" applyAlignment="0" applyProtection="0"/>
    <xf numFmtId="166" fontId="38" fillId="0" borderId="0" applyFont="0" applyFill="0" applyBorder="0" applyAlignment="0" applyProtection="0"/>
    <xf numFmtId="166" fontId="38" fillId="0" borderId="0" applyFont="0" applyFill="0" applyBorder="0" applyAlignment="0" applyProtection="0"/>
    <xf numFmtId="166" fontId="38" fillId="0" borderId="0" applyFont="0" applyFill="0" applyBorder="0" applyAlignment="0" applyProtection="0"/>
    <xf numFmtId="166" fontId="38" fillId="0" borderId="0" applyFont="0" applyFill="0" applyBorder="0" applyAlignment="0" applyProtection="0"/>
    <xf numFmtId="166" fontId="38" fillId="0" borderId="0" applyFont="0" applyFill="0" applyBorder="0" applyAlignment="0" applyProtection="0"/>
    <xf numFmtId="166" fontId="38" fillId="0" borderId="0" applyFont="0" applyFill="0" applyBorder="0" applyAlignment="0" applyProtection="0"/>
    <xf numFmtId="166" fontId="38" fillId="0" borderId="0" applyFont="0" applyFill="0" applyBorder="0" applyAlignment="0" applyProtection="0"/>
    <xf numFmtId="166" fontId="38" fillId="0" borderId="0" applyFont="0" applyFill="0" applyBorder="0" applyAlignment="0" applyProtection="0"/>
    <xf numFmtId="166" fontId="38" fillId="0" borderId="0" applyFont="0" applyFill="0" applyBorder="0" applyAlignment="0" applyProtection="0"/>
    <xf numFmtId="166" fontId="38" fillId="0" borderId="0" applyFont="0" applyFill="0" applyBorder="0" applyAlignment="0" applyProtection="0"/>
    <xf numFmtId="166" fontId="38" fillId="0" borderId="0" applyFont="0" applyFill="0" applyBorder="0" applyAlignment="0" applyProtection="0"/>
    <xf numFmtId="166" fontId="38" fillId="0" borderId="0" applyFont="0" applyFill="0" applyBorder="0" applyAlignment="0" applyProtection="0"/>
    <xf numFmtId="166" fontId="38" fillId="0" borderId="0" applyFont="0" applyFill="0" applyBorder="0" applyAlignment="0" applyProtection="0"/>
    <xf numFmtId="166" fontId="38" fillId="0" borderId="0" applyFont="0" applyFill="0" applyBorder="0" applyAlignment="0" applyProtection="0"/>
    <xf numFmtId="166" fontId="38" fillId="0" borderId="0" applyFont="0" applyFill="0" applyBorder="0" applyAlignment="0" applyProtection="0"/>
    <xf numFmtId="166" fontId="38" fillId="0" borderId="0" applyFont="0" applyFill="0" applyBorder="0" applyAlignment="0" applyProtection="0"/>
    <xf numFmtId="166" fontId="38" fillId="0" borderId="0" applyFont="0" applyFill="0" applyBorder="0" applyAlignment="0" applyProtection="0"/>
    <xf numFmtId="166" fontId="38" fillId="0" borderId="0" applyFont="0" applyFill="0" applyBorder="0" applyAlignment="0" applyProtection="0"/>
    <xf numFmtId="166" fontId="38" fillId="0" borderId="0" applyFont="0" applyFill="0" applyBorder="0" applyAlignment="0" applyProtection="0"/>
    <xf numFmtId="166" fontId="38" fillId="0" borderId="0" applyFont="0" applyFill="0" applyBorder="0" applyAlignment="0" applyProtection="0"/>
    <xf numFmtId="166" fontId="38" fillId="0" borderId="0" applyFont="0" applyFill="0" applyBorder="0" applyAlignment="0" applyProtection="0"/>
    <xf numFmtId="170" fontId="38" fillId="0" borderId="0" applyFont="0" applyFill="0" applyBorder="0" applyAlignment="0" applyProtection="0"/>
    <xf numFmtId="166" fontId="38" fillId="0" borderId="0" applyFont="0" applyFill="0" applyBorder="0" applyAlignment="0" applyProtection="0"/>
    <xf numFmtId="166" fontId="38" fillId="0" borderId="0" applyFont="0" applyFill="0" applyBorder="0" applyAlignment="0" applyProtection="0"/>
    <xf numFmtId="170" fontId="38" fillId="0" borderId="0" applyFont="0" applyFill="0" applyBorder="0" applyAlignment="0" applyProtection="0"/>
    <xf numFmtId="166" fontId="38" fillId="0" borderId="0" applyFont="0" applyFill="0" applyBorder="0" applyAlignment="0" applyProtection="0"/>
    <xf numFmtId="166" fontId="38" fillId="0" borderId="0" applyFont="0" applyFill="0" applyBorder="0" applyAlignment="0" applyProtection="0"/>
    <xf numFmtId="166" fontId="38" fillId="0" borderId="0" applyFont="0" applyFill="0" applyBorder="0" applyAlignment="0" applyProtection="0"/>
    <xf numFmtId="166" fontId="38" fillId="0" borderId="0" applyFont="0" applyFill="0" applyBorder="0" applyAlignment="0" applyProtection="0"/>
    <xf numFmtId="166" fontId="38" fillId="0" borderId="0" applyFont="0" applyFill="0" applyBorder="0" applyAlignment="0" applyProtection="0"/>
    <xf numFmtId="166" fontId="38" fillId="0" borderId="0" applyFont="0" applyFill="0" applyBorder="0" applyAlignment="0" applyProtection="0"/>
    <xf numFmtId="166" fontId="38" fillId="0" borderId="0" applyFont="0" applyFill="0" applyBorder="0" applyAlignment="0" applyProtection="0"/>
    <xf numFmtId="166" fontId="38" fillId="0" borderId="0" applyFont="0" applyFill="0" applyBorder="0" applyAlignment="0" applyProtection="0"/>
    <xf numFmtId="221" fontId="19" fillId="0" borderId="0" applyFont="0" applyFill="0" applyBorder="0" applyAlignment="0" applyProtection="0"/>
    <xf numFmtId="221" fontId="19" fillId="0" borderId="0" applyFont="0" applyFill="0" applyBorder="0" applyAlignment="0" applyProtection="0"/>
    <xf numFmtId="221" fontId="19" fillId="0" borderId="0" applyFont="0" applyFill="0" applyBorder="0" applyAlignment="0" applyProtection="0"/>
    <xf numFmtId="221" fontId="19" fillId="0" borderId="0" applyFont="0" applyFill="0" applyBorder="0" applyAlignment="0" applyProtection="0"/>
    <xf numFmtId="221" fontId="19" fillId="0" borderId="0" applyFont="0" applyFill="0" applyBorder="0" applyAlignment="0" applyProtection="0"/>
    <xf numFmtId="221" fontId="19" fillId="0" borderId="0" applyFont="0" applyFill="0" applyBorder="0" applyAlignment="0" applyProtection="0"/>
    <xf numFmtId="221" fontId="19" fillId="0" borderId="0" applyFont="0" applyFill="0" applyBorder="0" applyAlignment="0" applyProtection="0"/>
    <xf numFmtId="221" fontId="19" fillId="0" borderId="0" applyFont="0" applyFill="0" applyBorder="0" applyAlignment="0" applyProtection="0"/>
    <xf numFmtId="221" fontId="19" fillId="0" borderId="0" applyFont="0" applyFill="0" applyBorder="0" applyAlignment="0" applyProtection="0"/>
    <xf numFmtId="221" fontId="19" fillId="0" borderId="0" applyFont="0" applyFill="0" applyBorder="0" applyAlignment="0" applyProtection="0"/>
    <xf numFmtId="221" fontId="19" fillId="0" borderId="0" applyFont="0" applyFill="0" applyBorder="0" applyAlignment="0" applyProtection="0"/>
    <xf numFmtId="221" fontId="19" fillId="0" borderId="0" applyFont="0" applyFill="0" applyBorder="0" applyAlignment="0" applyProtection="0"/>
    <xf numFmtId="221" fontId="19" fillId="0" borderId="0" applyFont="0" applyFill="0" applyBorder="0" applyAlignment="0" applyProtection="0"/>
    <xf numFmtId="221" fontId="19" fillId="0" borderId="0" applyFont="0" applyFill="0" applyBorder="0" applyAlignment="0" applyProtection="0"/>
    <xf numFmtId="221" fontId="19" fillId="0" borderId="0" applyFont="0" applyFill="0" applyBorder="0" applyAlignment="0" applyProtection="0"/>
    <xf numFmtId="221" fontId="19" fillId="0" borderId="0" applyFont="0" applyFill="0" applyBorder="0" applyAlignment="0" applyProtection="0"/>
    <xf numFmtId="221" fontId="19" fillId="0" borderId="0" applyFont="0" applyFill="0" applyBorder="0" applyAlignment="0" applyProtection="0"/>
    <xf numFmtId="221" fontId="19" fillId="0" borderId="0" applyFont="0" applyFill="0" applyBorder="0" applyAlignment="0" applyProtection="0"/>
    <xf numFmtId="221" fontId="19" fillId="0" borderId="0" applyFont="0" applyFill="0" applyBorder="0" applyAlignment="0" applyProtection="0"/>
    <xf numFmtId="221" fontId="19" fillId="0" borderId="0" applyFont="0" applyFill="0" applyBorder="0" applyAlignment="0" applyProtection="0"/>
    <xf numFmtId="221" fontId="19" fillId="0" borderId="0" applyFont="0" applyFill="0" applyBorder="0" applyAlignment="0" applyProtection="0"/>
    <xf numFmtId="221" fontId="19" fillId="0" borderId="0" applyFont="0" applyFill="0" applyBorder="0" applyAlignment="0" applyProtection="0"/>
    <xf numFmtId="221" fontId="19" fillId="0" borderId="0" applyFont="0" applyFill="0" applyBorder="0" applyAlignment="0" applyProtection="0"/>
    <xf numFmtId="221" fontId="19" fillId="0" borderId="0" applyFont="0" applyFill="0" applyBorder="0" applyAlignment="0" applyProtection="0"/>
    <xf numFmtId="221" fontId="19" fillId="0" borderId="0" applyFont="0" applyFill="0" applyBorder="0" applyAlignment="0" applyProtection="0"/>
    <xf numFmtId="221" fontId="19" fillId="0" borderId="0" applyFont="0" applyFill="0" applyBorder="0" applyAlignment="0" applyProtection="0"/>
    <xf numFmtId="221" fontId="19" fillId="0" borderId="0" applyFont="0" applyFill="0" applyBorder="0" applyAlignment="0" applyProtection="0"/>
    <xf numFmtId="221" fontId="19" fillId="0" borderId="0" applyFont="0" applyFill="0" applyBorder="0" applyAlignment="0" applyProtection="0"/>
    <xf numFmtId="221" fontId="19" fillId="0" borderId="0" applyFont="0" applyFill="0" applyBorder="0" applyAlignment="0" applyProtection="0"/>
    <xf numFmtId="221" fontId="19" fillId="0" borderId="0" applyFont="0" applyFill="0" applyBorder="0" applyAlignment="0" applyProtection="0"/>
    <xf numFmtId="221" fontId="19" fillId="0" borderId="0" applyFont="0" applyFill="0" applyBorder="0" applyAlignment="0" applyProtection="0"/>
    <xf numFmtId="221" fontId="19" fillId="0" borderId="0" applyFont="0" applyFill="0" applyBorder="0" applyAlignment="0" applyProtection="0"/>
    <xf numFmtId="221" fontId="19" fillId="0" borderId="0" applyFont="0" applyFill="0" applyBorder="0" applyAlignment="0" applyProtection="0"/>
    <xf numFmtId="221" fontId="19" fillId="0" borderId="0" applyFont="0" applyFill="0" applyBorder="0" applyAlignment="0" applyProtection="0"/>
    <xf numFmtId="221" fontId="19" fillId="0" borderId="0" applyFont="0" applyFill="0" applyBorder="0" applyAlignment="0" applyProtection="0"/>
    <xf numFmtId="221" fontId="19" fillId="0" borderId="0" applyFont="0" applyFill="0" applyBorder="0" applyAlignment="0" applyProtection="0"/>
    <xf numFmtId="221" fontId="19" fillId="0" borderId="0" applyFont="0" applyFill="0" applyBorder="0" applyAlignment="0" applyProtection="0"/>
    <xf numFmtId="221" fontId="19" fillId="0" borderId="0" applyFont="0" applyFill="0" applyBorder="0" applyAlignment="0" applyProtection="0"/>
    <xf numFmtId="221" fontId="19" fillId="0" borderId="0" applyFont="0" applyFill="0" applyBorder="0" applyAlignment="0" applyProtection="0"/>
    <xf numFmtId="221" fontId="19" fillId="0" borderId="0" applyFont="0" applyFill="0" applyBorder="0" applyAlignment="0" applyProtection="0"/>
    <xf numFmtId="221" fontId="19" fillId="0" borderId="0" applyFont="0" applyFill="0" applyBorder="0" applyAlignment="0" applyProtection="0"/>
    <xf numFmtId="221" fontId="19" fillId="0" borderId="0" applyFont="0" applyFill="0" applyBorder="0" applyAlignment="0" applyProtection="0"/>
    <xf numFmtId="221" fontId="19" fillId="0" borderId="0" applyFont="0" applyFill="0" applyBorder="0" applyAlignment="0" applyProtection="0"/>
    <xf numFmtId="221" fontId="19" fillId="0" borderId="0" applyFont="0" applyFill="0" applyBorder="0" applyAlignment="0" applyProtection="0"/>
    <xf numFmtId="221" fontId="19" fillId="0" borderId="0" applyFont="0" applyFill="0" applyBorder="0" applyAlignment="0" applyProtection="0"/>
    <xf numFmtId="221" fontId="19" fillId="0" borderId="0" applyFont="0" applyFill="0" applyBorder="0" applyAlignment="0" applyProtection="0"/>
    <xf numFmtId="221" fontId="19" fillId="0" borderId="0" applyFont="0" applyFill="0" applyBorder="0" applyAlignment="0" applyProtection="0"/>
    <xf numFmtId="221" fontId="19" fillId="0" borderId="0" applyFont="0" applyFill="0" applyBorder="0" applyAlignment="0" applyProtection="0"/>
    <xf numFmtId="221" fontId="19" fillId="0" borderId="0" applyFont="0" applyFill="0" applyBorder="0" applyAlignment="0" applyProtection="0"/>
    <xf numFmtId="221" fontId="19" fillId="0" borderId="0" applyFont="0" applyFill="0" applyBorder="0" applyAlignment="0" applyProtection="0"/>
    <xf numFmtId="221" fontId="19" fillId="0" borderId="0" applyFont="0" applyFill="0" applyBorder="0" applyAlignment="0" applyProtection="0"/>
    <xf numFmtId="221" fontId="19" fillId="0" borderId="0" applyFont="0" applyFill="0" applyBorder="0" applyAlignment="0" applyProtection="0"/>
    <xf numFmtId="221" fontId="19" fillId="0" borderId="0" applyFont="0" applyFill="0" applyBorder="0" applyAlignment="0" applyProtection="0"/>
    <xf numFmtId="221" fontId="19" fillId="0" borderId="0" applyFont="0" applyFill="0" applyBorder="0" applyAlignment="0" applyProtection="0"/>
    <xf numFmtId="221" fontId="19" fillId="0" borderId="0" applyFont="0" applyFill="0" applyBorder="0" applyAlignment="0" applyProtection="0"/>
    <xf numFmtId="221" fontId="19" fillId="0" borderId="0" applyFont="0" applyFill="0" applyBorder="0" applyAlignment="0" applyProtection="0"/>
    <xf numFmtId="221" fontId="19" fillId="0" borderId="0" applyFont="0" applyFill="0" applyBorder="0" applyAlignment="0" applyProtection="0"/>
    <xf numFmtId="221" fontId="19"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38" fillId="0" borderId="0" applyFont="0" applyFill="0" applyBorder="0" applyAlignment="0" applyProtection="0"/>
    <xf numFmtId="165" fontId="38" fillId="0" borderId="0" applyFont="0" applyFill="0" applyBorder="0" applyAlignment="0" applyProtection="0"/>
    <xf numFmtId="165" fontId="38" fillId="0" borderId="0" applyFont="0" applyFill="0" applyBorder="0" applyAlignment="0" applyProtection="0"/>
    <xf numFmtId="165" fontId="38"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38" fillId="0" borderId="0" applyFont="0" applyFill="0" applyBorder="0" applyAlignment="0" applyProtection="0"/>
    <xf numFmtId="165" fontId="38" fillId="0" borderId="0" applyFont="0" applyFill="0" applyBorder="0" applyAlignment="0" applyProtection="0"/>
    <xf numFmtId="165" fontId="38" fillId="0" borderId="0" applyFont="0" applyFill="0" applyBorder="0" applyAlignment="0" applyProtection="0"/>
    <xf numFmtId="165" fontId="38"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38" fillId="0" borderId="0" applyFont="0" applyFill="0" applyBorder="0" applyAlignment="0" applyProtection="0"/>
    <xf numFmtId="165" fontId="38" fillId="0" borderId="0" applyFont="0" applyFill="0" applyBorder="0" applyAlignment="0" applyProtection="0"/>
    <xf numFmtId="165" fontId="38" fillId="0" borderId="0" applyFont="0" applyFill="0" applyBorder="0" applyAlignment="0" applyProtection="0"/>
    <xf numFmtId="165" fontId="38"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38" fillId="0" borderId="0" applyFont="0" applyFill="0" applyBorder="0" applyAlignment="0" applyProtection="0"/>
    <xf numFmtId="165" fontId="38" fillId="0" borderId="0" applyFont="0" applyFill="0" applyBorder="0" applyAlignment="0" applyProtection="0"/>
    <xf numFmtId="165" fontId="38" fillId="0" borderId="0" applyFont="0" applyFill="0" applyBorder="0" applyAlignment="0" applyProtection="0"/>
    <xf numFmtId="165" fontId="38"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38" fillId="0" borderId="0" applyFont="0" applyFill="0" applyBorder="0" applyAlignment="0" applyProtection="0"/>
    <xf numFmtId="165" fontId="38" fillId="0" borderId="0" applyFont="0" applyFill="0" applyBorder="0" applyAlignment="0" applyProtection="0"/>
    <xf numFmtId="165" fontId="38" fillId="0" borderId="0" applyFont="0" applyFill="0" applyBorder="0" applyAlignment="0" applyProtection="0"/>
    <xf numFmtId="165" fontId="38"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38" fillId="0" borderId="0" applyFont="0" applyFill="0" applyBorder="0" applyAlignment="0" applyProtection="0"/>
    <xf numFmtId="165" fontId="38" fillId="0" borderId="0" applyFont="0" applyFill="0" applyBorder="0" applyAlignment="0" applyProtection="0"/>
    <xf numFmtId="165" fontId="38" fillId="0" borderId="0" applyFont="0" applyFill="0" applyBorder="0" applyAlignment="0" applyProtection="0"/>
    <xf numFmtId="165" fontId="38"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38" fillId="0" borderId="0" applyFont="0" applyFill="0" applyBorder="0" applyAlignment="0" applyProtection="0"/>
    <xf numFmtId="165" fontId="38" fillId="0" borderId="0" applyFont="0" applyFill="0" applyBorder="0" applyAlignment="0" applyProtection="0"/>
    <xf numFmtId="165" fontId="38" fillId="0" borderId="0" applyFont="0" applyFill="0" applyBorder="0" applyAlignment="0" applyProtection="0"/>
    <xf numFmtId="165" fontId="38"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38" fillId="0" borderId="0" applyFont="0" applyFill="0" applyBorder="0" applyAlignment="0" applyProtection="0"/>
    <xf numFmtId="165" fontId="38" fillId="0" borderId="0" applyFont="0" applyFill="0" applyBorder="0" applyAlignment="0" applyProtection="0"/>
    <xf numFmtId="165" fontId="38" fillId="0" borderId="0" applyFont="0" applyFill="0" applyBorder="0" applyAlignment="0" applyProtection="0"/>
    <xf numFmtId="165" fontId="38"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38" fillId="0" borderId="0" applyFont="0" applyFill="0" applyBorder="0" applyAlignment="0" applyProtection="0"/>
    <xf numFmtId="165" fontId="38" fillId="0" borderId="0" applyFont="0" applyFill="0" applyBorder="0" applyAlignment="0" applyProtection="0"/>
    <xf numFmtId="165" fontId="38" fillId="0" borderId="0" applyFont="0" applyFill="0" applyBorder="0" applyAlignment="0" applyProtection="0"/>
    <xf numFmtId="165" fontId="38"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38" fillId="0" borderId="0" applyFont="0" applyFill="0" applyBorder="0" applyAlignment="0" applyProtection="0"/>
    <xf numFmtId="165" fontId="38" fillId="0" borderId="0" applyFont="0" applyFill="0" applyBorder="0" applyAlignment="0" applyProtection="0"/>
    <xf numFmtId="165" fontId="38" fillId="0" borderId="0" applyFont="0" applyFill="0" applyBorder="0" applyAlignment="0" applyProtection="0"/>
    <xf numFmtId="165" fontId="38"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38" fillId="0" borderId="0" applyFont="0" applyFill="0" applyBorder="0" applyAlignment="0" applyProtection="0"/>
    <xf numFmtId="165" fontId="38" fillId="0" borderId="0" applyFont="0" applyFill="0" applyBorder="0" applyAlignment="0" applyProtection="0"/>
    <xf numFmtId="165" fontId="38" fillId="0" borderId="0" applyFont="0" applyFill="0" applyBorder="0" applyAlignment="0" applyProtection="0"/>
    <xf numFmtId="165" fontId="38"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38" fillId="0" borderId="0" applyFont="0" applyFill="0" applyBorder="0" applyAlignment="0" applyProtection="0"/>
    <xf numFmtId="165" fontId="38" fillId="0" borderId="0" applyFont="0" applyFill="0" applyBorder="0" applyAlignment="0" applyProtection="0"/>
    <xf numFmtId="165" fontId="38" fillId="0" borderId="0" applyFont="0" applyFill="0" applyBorder="0" applyAlignment="0" applyProtection="0"/>
    <xf numFmtId="165" fontId="38"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38" fillId="0" borderId="0" applyFont="0" applyFill="0" applyBorder="0" applyAlignment="0" applyProtection="0"/>
    <xf numFmtId="165" fontId="38" fillId="0" borderId="0" applyFont="0" applyFill="0" applyBorder="0" applyAlignment="0" applyProtection="0"/>
    <xf numFmtId="165" fontId="38" fillId="0" borderId="0" applyFont="0" applyFill="0" applyBorder="0" applyAlignment="0" applyProtection="0"/>
    <xf numFmtId="165" fontId="38"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38" fillId="0" borderId="0" applyFont="0" applyFill="0" applyBorder="0" applyAlignment="0" applyProtection="0"/>
    <xf numFmtId="165" fontId="38" fillId="0" borderId="0" applyFont="0" applyFill="0" applyBorder="0" applyAlignment="0" applyProtection="0"/>
    <xf numFmtId="165" fontId="38" fillId="0" borderId="0" applyFont="0" applyFill="0" applyBorder="0" applyAlignment="0" applyProtection="0"/>
    <xf numFmtId="165" fontId="38"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38" fillId="0" borderId="0" applyFont="0" applyFill="0" applyBorder="0" applyAlignment="0" applyProtection="0"/>
    <xf numFmtId="165" fontId="38" fillId="0" borderId="0" applyFont="0" applyFill="0" applyBorder="0" applyAlignment="0" applyProtection="0"/>
    <xf numFmtId="165" fontId="38" fillId="0" borderId="0" applyFont="0" applyFill="0" applyBorder="0" applyAlignment="0" applyProtection="0"/>
    <xf numFmtId="165" fontId="38"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38" fillId="0" borderId="0" applyFont="0" applyFill="0" applyBorder="0" applyAlignment="0" applyProtection="0"/>
    <xf numFmtId="165" fontId="38" fillId="0" borderId="0" applyFont="0" applyFill="0" applyBorder="0" applyAlignment="0" applyProtection="0"/>
    <xf numFmtId="165" fontId="38" fillId="0" borderId="0" applyFont="0" applyFill="0" applyBorder="0" applyAlignment="0" applyProtection="0"/>
    <xf numFmtId="165" fontId="38"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38" fillId="0" borderId="0" applyFont="0" applyFill="0" applyBorder="0" applyAlignment="0" applyProtection="0"/>
    <xf numFmtId="165" fontId="38" fillId="0" borderId="0" applyFont="0" applyFill="0" applyBorder="0" applyAlignment="0" applyProtection="0"/>
    <xf numFmtId="165" fontId="38" fillId="0" borderId="0" applyFont="0" applyFill="0" applyBorder="0" applyAlignment="0" applyProtection="0"/>
    <xf numFmtId="165" fontId="38"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38" fillId="0" borderId="0" applyFont="0" applyFill="0" applyBorder="0" applyAlignment="0" applyProtection="0"/>
    <xf numFmtId="165" fontId="38" fillId="0" borderId="0" applyFont="0" applyFill="0" applyBorder="0" applyAlignment="0" applyProtection="0"/>
    <xf numFmtId="165" fontId="38" fillId="0" borderId="0" applyFont="0" applyFill="0" applyBorder="0" applyAlignment="0" applyProtection="0"/>
    <xf numFmtId="165" fontId="38"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38" fillId="0" borderId="0" applyFont="0" applyFill="0" applyBorder="0" applyAlignment="0" applyProtection="0"/>
    <xf numFmtId="165" fontId="38" fillId="0" borderId="0" applyFont="0" applyFill="0" applyBorder="0" applyAlignment="0" applyProtection="0"/>
    <xf numFmtId="165" fontId="38" fillId="0" borderId="0" applyFont="0" applyFill="0" applyBorder="0" applyAlignment="0" applyProtection="0"/>
    <xf numFmtId="165" fontId="38"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38" fillId="0" borderId="0" applyFont="0" applyFill="0" applyBorder="0" applyAlignment="0" applyProtection="0"/>
    <xf numFmtId="165" fontId="38" fillId="0" borderId="0" applyFont="0" applyFill="0" applyBorder="0" applyAlignment="0" applyProtection="0"/>
    <xf numFmtId="165" fontId="38" fillId="0" borderId="0" applyFont="0" applyFill="0" applyBorder="0" applyAlignment="0" applyProtection="0"/>
    <xf numFmtId="165" fontId="38"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38" fillId="0" borderId="0" applyFont="0" applyFill="0" applyBorder="0" applyAlignment="0" applyProtection="0"/>
    <xf numFmtId="165" fontId="38" fillId="0" borderId="0" applyFont="0" applyFill="0" applyBorder="0" applyAlignment="0" applyProtection="0"/>
    <xf numFmtId="165" fontId="38" fillId="0" borderId="0" applyFont="0" applyFill="0" applyBorder="0" applyAlignment="0" applyProtection="0"/>
    <xf numFmtId="165" fontId="38"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38" fillId="0" borderId="0" applyFont="0" applyFill="0" applyBorder="0" applyAlignment="0" applyProtection="0"/>
    <xf numFmtId="165" fontId="38" fillId="0" borderId="0" applyFont="0" applyFill="0" applyBorder="0" applyAlignment="0" applyProtection="0"/>
    <xf numFmtId="165" fontId="38" fillId="0" borderId="0" applyFont="0" applyFill="0" applyBorder="0" applyAlignment="0" applyProtection="0"/>
    <xf numFmtId="165" fontId="38"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38" fillId="0" borderId="0" applyFont="0" applyFill="0" applyBorder="0" applyAlignment="0" applyProtection="0"/>
    <xf numFmtId="165" fontId="38" fillId="0" borderId="0" applyFont="0" applyFill="0" applyBorder="0" applyAlignment="0" applyProtection="0"/>
    <xf numFmtId="165" fontId="38" fillId="0" borderId="0" applyFont="0" applyFill="0" applyBorder="0" applyAlignment="0" applyProtection="0"/>
    <xf numFmtId="165" fontId="38"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38" fillId="0" borderId="0" applyFont="0" applyFill="0" applyBorder="0" applyAlignment="0" applyProtection="0"/>
    <xf numFmtId="165" fontId="38" fillId="0" borderId="0" applyFont="0" applyFill="0" applyBorder="0" applyAlignment="0" applyProtection="0"/>
    <xf numFmtId="165" fontId="38" fillId="0" borderId="0" applyFont="0" applyFill="0" applyBorder="0" applyAlignment="0" applyProtection="0"/>
    <xf numFmtId="165" fontId="38"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38" fillId="0" borderId="0" applyFont="0" applyFill="0" applyBorder="0" applyAlignment="0" applyProtection="0"/>
    <xf numFmtId="165" fontId="38" fillId="0" borderId="0" applyFont="0" applyFill="0" applyBorder="0" applyAlignment="0" applyProtection="0"/>
    <xf numFmtId="165" fontId="38" fillId="0" borderId="0" applyFont="0" applyFill="0" applyBorder="0" applyAlignment="0" applyProtection="0"/>
    <xf numFmtId="165" fontId="38"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38" fillId="0" borderId="0" applyFont="0" applyFill="0" applyBorder="0" applyAlignment="0" applyProtection="0"/>
    <xf numFmtId="165" fontId="38" fillId="0" borderId="0" applyFont="0" applyFill="0" applyBorder="0" applyAlignment="0" applyProtection="0"/>
    <xf numFmtId="165" fontId="38" fillId="0" borderId="0" applyFont="0" applyFill="0" applyBorder="0" applyAlignment="0" applyProtection="0"/>
    <xf numFmtId="165" fontId="38"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38" fillId="0" borderId="0" applyFont="0" applyFill="0" applyBorder="0" applyAlignment="0" applyProtection="0"/>
    <xf numFmtId="165" fontId="38" fillId="0" borderId="0" applyFont="0" applyFill="0" applyBorder="0" applyAlignment="0" applyProtection="0"/>
    <xf numFmtId="165" fontId="38" fillId="0" borderId="0" applyFont="0" applyFill="0" applyBorder="0" applyAlignment="0" applyProtection="0"/>
    <xf numFmtId="165" fontId="38"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38" fillId="0" borderId="0" applyFont="0" applyFill="0" applyBorder="0" applyAlignment="0" applyProtection="0"/>
    <xf numFmtId="165" fontId="38" fillId="0" borderId="0" applyFont="0" applyFill="0" applyBorder="0" applyAlignment="0" applyProtection="0"/>
    <xf numFmtId="165" fontId="38" fillId="0" borderId="0" applyFont="0" applyFill="0" applyBorder="0" applyAlignment="0" applyProtection="0"/>
    <xf numFmtId="165" fontId="38"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38" fillId="0" borderId="0" applyFont="0" applyFill="0" applyBorder="0" applyAlignment="0" applyProtection="0"/>
    <xf numFmtId="165" fontId="38" fillId="0" borderId="0" applyFont="0" applyFill="0" applyBorder="0" applyAlignment="0" applyProtection="0"/>
    <xf numFmtId="165" fontId="38" fillId="0" borderId="0" applyFont="0" applyFill="0" applyBorder="0" applyAlignment="0" applyProtection="0"/>
    <xf numFmtId="165" fontId="38"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38" fillId="0" borderId="0" applyFont="0" applyFill="0" applyBorder="0" applyAlignment="0" applyProtection="0"/>
    <xf numFmtId="165" fontId="38" fillId="0" borderId="0" applyFont="0" applyFill="0" applyBorder="0" applyAlignment="0" applyProtection="0"/>
    <xf numFmtId="165" fontId="38" fillId="0" borderId="0" applyFont="0" applyFill="0" applyBorder="0" applyAlignment="0" applyProtection="0"/>
    <xf numFmtId="165" fontId="38"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38" fillId="0" borderId="0" applyFont="0" applyFill="0" applyBorder="0" applyAlignment="0" applyProtection="0"/>
    <xf numFmtId="165" fontId="38" fillId="0" borderId="0" applyFont="0" applyFill="0" applyBorder="0" applyAlignment="0" applyProtection="0"/>
    <xf numFmtId="165" fontId="38" fillId="0" borderId="0" applyFont="0" applyFill="0" applyBorder="0" applyAlignment="0" applyProtection="0"/>
    <xf numFmtId="165" fontId="38"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38" fillId="0" borderId="0" applyFont="0" applyFill="0" applyBorder="0" applyAlignment="0" applyProtection="0"/>
    <xf numFmtId="165" fontId="38" fillId="0" borderId="0" applyFont="0" applyFill="0" applyBorder="0" applyAlignment="0" applyProtection="0"/>
    <xf numFmtId="165" fontId="38" fillId="0" borderId="0" applyFont="0" applyFill="0" applyBorder="0" applyAlignment="0" applyProtection="0"/>
    <xf numFmtId="165" fontId="38"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38" fillId="0" borderId="0" applyFont="0" applyFill="0" applyBorder="0" applyAlignment="0" applyProtection="0"/>
    <xf numFmtId="165" fontId="38" fillId="0" borderId="0" applyFont="0" applyFill="0" applyBorder="0" applyAlignment="0" applyProtection="0"/>
    <xf numFmtId="165" fontId="38" fillId="0" borderId="0" applyFont="0" applyFill="0" applyBorder="0" applyAlignment="0" applyProtection="0"/>
    <xf numFmtId="165" fontId="38"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38" fillId="0" borderId="0" applyFont="0" applyFill="0" applyBorder="0" applyAlignment="0" applyProtection="0"/>
    <xf numFmtId="165" fontId="38" fillId="0" borderId="0" applyFont="0" applyFill="0" applyBorder="0" applyAlignment="0" applyProtection="0"/>
    <xf numFmtId="165" fontId="38" fillId="0" borderId="0" applyFont="0" applyFill="0" applyBorder="0" applyAlignment="0" applyProtection="0"/>
    <xf numFmtId="165" fontId="38"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38" fillId="0" borderId="0" applyFont="0" applyFill="0" applyBorder="0" applyAlignment="0" applyProtection="0"/>
    <xf numFmtId="165" fontId="38" fillId="0" borderId="0" applyFont="0" applyFill="0" applyBorder="0" applyAlignment="0" applyProtection="0"/>
    <xf numFmtId="165" fontId="38" fillId="0" borderId="0" applyFont="0" applyFill="0" applyBorder="0" applyAlignment="0" applyProtection="0"/>
    <xf numFmtId="165" fontId="38"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38" fillId="0" borderId="0" applyFont="0" applyFill="0" applyBorder="0" applyAlignment="0" applyProtection="0"/>
    <xf numFmtId="165" fontId="38" fillId="0" borderId="0" applyFont="0" applyFill="0" applyBorder="0" applyAlignment="0" applyProtection="0"/>
    <xf numFmtId="165" fontId="38" fillId="0" borderId="0" applyFont="0" applyFill="0" applyBorder="0" applyAlignment="0" applyProtection="0"/>
    <xf numFmtId="165" fontId="38"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38" fillId="0" borderId="0" applyFont="0" applyFill="0" applyBorder="0" applyAlignment="0" applyProtection="0"/>
    <xf numFmtId="165" fontId="38" fillId="0" borderId="0" applyFont="0" applyFill="0" applyBorder="0" applyAlignment="0" applyProtection="0"/>
    <xf numFmtId="165" fontId="38" fillId="0" borderId="0" applyFont="0" applyFill="0" applyBorder="0" applyAlignment="0" applyProtection="0"/>
    <xf numFmtId="165" fontId="38"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38" fillId="0" borderId="0" applyFont="0" applyFill="0" applyBorder="0" applyAlignment="0" applyProtection="0"/>
    <xf numFmtId="165" fontId="38" fillId="0" borderId="0" applyFont="0" applyFill="0" applyBorder="0" applyAlignment="0" applyProtection="0"/>
    <xf numFmtId="165" fontId="38" fillId="0" borderId="0" applyFont="0" applyFill="0" applyBorder="0" applyAlignment="0" applyProtection="0"/>
    <xf numFmtId="165" fontId="38"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38" fillId="0" borderId="0" applyFont="0" applyFill="0" applyBorder="0" applyAlignment="0" applyProtection="0"/>
    <xf numFmtId="165" fontId="38" fillId="0" borderId="0" applyFont="0" applyFill="0" applyBorder="0" applyAlignment="0" applyProtection="0"/>
    <xf numFmtId="165" fontId="38" fillId="0" borderId="0" applyFont="0" applyFill="0" applyBorder="0" applyAlignment="0" applyProtection="0"/>
    <xf numFmtId="165" fontId="38"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38" fillId="0" borderId="0" applyFont="0" applyFill="0" applyBorder="0" applyAlignment="0" applyProtection="0"/>
    <xf numFmtId="165" fontId="38" fillId="0" borderId="0" applyFont="0" applyFill="0" applyBorder="0" applyAlignment="0" applyProtection="0"/>
    <xf numFmtId="165" fontId="38" fillId="0" borderId="0" applyFont="0" applyFill="0" applyBorder="0" applyAlignment="0" applyProtection="0"/>
    <xf numFmtId="165" fontId="38"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38" fillId="0" borderId="0" applyFont="0" applyFill="0" applyBorder="0" applyAlignment="0" applyProtection="0"/>
    <xf numFmtId="165" fontId="38" fillId="0" borderId="0" applyFont="0" applyFill="0" applyBorder="0" applyAlignment="0" applyProtection="0"/>
    <xf numFmtId="165" fontId="38" fillId="0" borderId="0" applyFont="0" applyFill="0" applyBorder="0" applyAlignment="0" applyProtection="0"/>
    <xf numFmtId="165" fontId="38"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38" fillId="0" borderId="0" applyFont="0" applyFill="0" applyBorder="0" applyAlignment="0" applyProtection="0"/>
    <xf numFmtId="165" fontId="38" fillId="0" borderId="0" applyFont="0" applyFill="0" applyBorder="0" applyAlignment="0" applyProtection="0"/>
    <xf numFmtId="165" fontId="38" fillId="0" borderId="0" applyFont="0" applyFill="0" applyBorder="0" applyAlignment="0" applyProtection="0"/>
    <xf numFmtId="165" fontId="38"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38" fillId="0" borderId="0" applyFont="0" applyFill="0" applyBorder="0" applyAlignment="0" applyProtection="0"/>
    <xf numFmtId="165" fontId="38" fillId="0" borderId="0" applyFont="0" applyFill="0" applyBorder="0" applyAlignment="0" applyProtection="0"/>
    <xf numFmtId="165" fontId="38" fillId="0" borderId="0" applyFont="0" applyFill="0" applyBorder="0" applyAlignment="0" applyProtection="0"/>
    <xf numFmtId="165" fontId="38"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38" fillId="0" borderId="0" applyFont="0" applyFill="0" applyBorder="0" applyAlignment="0" applyProtection="0"/>
    <xf numFmtId="165" fontId="38" fillId="0" borderId="0" applyFont="0" applyFill="0" applyBorder="0" applyAlignment="0" applyProtection="0"/>
    <xf numFmtId="165" fontId="38" fillId="0" borderId="0" applyFont="0" applyFill="0" applyBorder="0" applyAlignment="0" applyProtection="0"/>
    <xf numFmtId="165" fontId="38"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38" fillId="0" borderId="0" applyFont="0" applyFill="0" applyBorder="0" applyAlignment="0" applyProtection="0"/>
    <xf numFmtId="165" fontId="38" fillId="0" borderId="0" applyFont="0" applyFill="0" applyBorder="0" applyAlignment="0" applyProtection="0"/>
    <xf numFmtId="165" fontId="38" fillId="0" borderId="0" applyFont="0" applyFill="0" applyBorder="0" applyAlignment="0" applyProtection="0"/>
    <xf numFmtId="165" fontId="38"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38" fillId="0" borderId="0" applyFont="0" applyFill="0" applyBorder="0" applyAlignment="0" applyProtection="0"/>
    <xf numFmtId="165" fontId="38" fillId="0" borderId="0" applyFont="0" applyFill="0" applyBorder="0" applyAlignment="0" applyProtection="0"/>
    <xf numFmtId="165" fontId="38" fillId="0" borderId="0" applyFont="0" applyFill="0" applyBorder="0" applyAlignment="0" applyProtection="0"/>
    <xf numFmtId="165" fontId="38"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38" fillId="0" borderId="0" applyFont="0" applyFill="0" applyBorder="0" applyAlignment="0" applyProtection="0"/>
    <xf numFmtId="165" fontId="38" fillId="0" borderId="0" applyFont="0" applyFill="0" applyBorder="0" applyAlignment="0" applyProtection="0"/>
    <xf numFmtId="165" fontId="38" fillId="0" borderId="0" applyFont="0" applyFill="0" applyBorder="0" applyAlignment="0" applyProtection="0"/>
    <xf numFmtId="165" fontId="38"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38" fillId="0" borderId="0" applyFont="0" applyFill="0" applyBorder="0" applyAlignment="0" applyProtection="0"/>
    <xf numFmtId="165" fontId="38" fillId="0" borderId="0" applyFont="0" applyFill="0" applyBorder="0" applyAlignment="0" applyProtection="0"/>
    <xf numFmtId="165" fontId="38" fillId="0" borderId="0" applyFont="0" applyFill="0" applyBorder="0" applyAlignment="0" applyProtection="0"/>
    <xf numFmtId="165" fontId="38"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38" fillId="0" borderId="0" applyFont="0" applyFill="0" applyBorder="0" applyAlignment="0" applyProtection="0"/>
    <xf numFmtId="165" fontId="38" fillId="0" borderId="0" applyFont="0" applyFill="0" applyBorder="0" applyAlignment="0" applyProtection="0"/>
    <xf numFmtId="165" fontId="38" fillId="0" borderId="0" applyFont="0" applyFill="0" applyBorder="0" applyAlignment="0" applyProtection="0"/>
    <xf numFmtId="165" fontId="38"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38" fillId="0" borderId="0" applyFont="0" applyFill="0" applyBorder="0" applyAlignment="0" applyProtection="0"/>
    <xf numFmtId="165" fontId="38" fillId="0" borderId="0" applyFont="0" applyFill="0" applyBorder="0" applyAlignment="0" applyProtection="0"/>
    <xf numFmtId="165" fontId="38" fillId="0" borderId="0" applyFont="0" applyFill="0" applyBorder="0" applyAlignment="0" applyProtection="0"/>
    <xf numFmtId="165" fontId="38"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38" fillId="0" borderId="0" applyFont="0" applyFill="0" applyBorder="0" applyAlignment="0" applyProtection="0"/>
    <xf numFmtId="165" fontId="38" fillId="0" borderId="0" applyFont="0" applyFill="0" applyBorder="0" applyAlignment="0" applyProtection="0"/>
    <xf numFmtId="165" fontId="38" fillId="0" borderId="0" applyFont="0" applyFill="0" applyBorder="0" applyAlignment="0" applyProtection="0"/>
    <xf numFmtId="165" fontId="38"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38" fillId="0" borderId="0" applyFont="0" applyFill="0" applyBorder="0" applyAlignment="0" applyProtection="0"/>
    <xf numFmtId="165" fontId="38" fillId="0" borderId="0" applyFont="0" applyFill="0" applyBorder="0" applyAlignment="0" applyProtection="0"/>
    <xf numFmtId="165" fontId="38" fillId="0" borderId="0" applyFont="0" applyFill="0" applyBorder="0" applyAlignment="0" applyProtection="0"/>
    <xf numFmtId="165" fontId="38"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38" fillId="0" borderId="0" applyFont="0" applyFill="0" applyBorder="0" applyAlignment="0" applyProtection="0"/>
    <xf numFmtId="165" fontId="38" fillId="0" borderId="0" applyFont="0" applyFill="0" applyBorder="0" applyAlignment="0" applyProtection="0"/>
    <xf numFmtId="165" fontId="38" fillId="0" borderId="0" applyFont="0" applyFill="0" applyBorder="0" applyAlignment="0" applyProtection="0"/>
    <xf numFmtId="165" fontId="38"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38" fillId="0" borderId="0" applyFont="0" applyFill="0" applyBorder="0" applyAlignment="0" applyProtection="0"/>
    <xf numFmtId="165" fontId="38" fillId="0" borderId="0" applyFont="0" applyFill="0" applyBorder="0" applyAlignment="0" applyProtection="0"/>
    <xf numFmtId="165" fontId="38" fillId="0" borderId="0" applyFont="0" applyFill="0" applyBorder="0" applyAlignment="0" applyProtection="0"/>
    <xf numFmtId="165" fontId="38"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38" fillId="0" borderId="0" applyFont="0" applyFill="0" applyBorder="0" applyAlignment="0" applyProtection="0"/>
    <xf numFmtId="165" fontId="38" fillId="0" borderId="0" applyFont="0" applyFill="0" applyBorder="0" applyAlignment="0" applyProtection="0"/>
    <xf numFmtId="165" fontId="38" fillId="0" borderId="0" applyFont="0" applyFill="0" applyBorder="0" applyAlignment="0" applyProtection="0"/>
    <xf numFmtId="165" fontId="38"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38" fillId="0" borderId="0" applyFont="0" applyFill="0" applyBorder="0" applyAlignment="0" applyProtection="0"/>
    <xf numFmtId="165" fontId="38" fillId="0" borderId="0" applyFont="0" applyFill="0" applyBorder="0" applyAlignment="0" applyProtection="0"/>
    <xf numFmtId="165" fontId="38" fillId="0" borderId="0" applyFont="0" applyFill="0" applyBorder="0" applyAlignment="0" applyProtection="0"/>
    <xf numFmtId="165" fontId="38"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38" fillId="0" borderId="0" applyFont="0" applyFill="0" applyBorder="0" applyAlignment="0" applyProtection="0"/>
    <xf numFmtId="165" fontId="38" fillId="0" borderId="0" applyFont="0" applyFill="0" applyBorder="0" applyAlignment="0" applyProtection="0"/>
    <xf numFmtId="165" fontId="38" fillId="0" borderId="0" applyFont="0" applyFill="0" applyBorder="0" applyAlignment="0" applyProtection="0"/>
    <xf numFmtId="165" fontId="38"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38" fillId="0" borderId="0" applyFont="0" applyFill="0" applyBorder="0" applyAlignment="0" applyProtection="0"/>
    <xf numFmtId="165" fontId="38" fillId="0" borderId="0" applyFont="0" applyFill="0" applyBorder="0" applyAlignment="0" applyProtection="0"/>
    <xf numFmtId="165" fontId="38" fillId="0" borderId="0" applyFont="0" applyFill="0" applyBorder="0" applyAlignment="0" applyProtection="0"/>
    <xf numFmtId="165" fontId="38"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38" fillId="0" borderId="0" applyFont="0" applyFill="0" applyBorder="0" applyAlignment="0" applyProtection="0"/>
    <xf numFmtId="165" fontId="38" fillId="0" borderId="0" applyFont="0" applyFill="0" applyBorder="0" applyAlignment="0" applyProtection="0"/>
    <xf numFmtId="165" fontId="38" fillId="0" borderId="0" applyFont="0" applyFill="0" applyBorder="0" applyAlignment="0" applyProtection="0"/>
    <xf numFmtId="165" fontId="38"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38" fillId="0" borderId="0" applyFont="0" applyFill="0" applyBorder="0" applyAlignment="0" applyProtection="0"/>
    <xf numFmtId="165" fontId="38" fillId="0" borderId="0" applyFont="0" applyFill="0" applyBorder="0" applyAlignment="0" applyProtection="0"/>
    <xf numFmtId="165" fontId="38" fillId="0" borderId="0" applyFont="0" applyFill="0" applyBorder="0" applyAlignment="0" applyProtection="0"/>
    <xf numFmtId="165" fontId="38" fillId="0" borderId="0" applyFont="0" applyFill="0" applyBorder="0" applyAlignment="0" applyProtection="0"/>
    <xf numFmtId="0" fontId="10" fillId="0" borderId="0"/>
    <xf numFmtId="0" fontId="1" fillId="0" borderId="0"/>
    <xf numFmtId="0" fontId="1" fillId="0" borderId="0"/>
    <xf numFmtId="0" fontId="1" fillId="0" borderId="0"/>
    <xf numFmtId="0" fontId="38" fillId="0" borderId="0"/>
    <xf numFmtId="0" fontId="38" fillId="26" borderId="11" applyNumberFormat="0" applyFont="0" applyAlignment="0" applyProtection="0"/>
    <xf numFmtId="0" fontId="38" fillId="26" borderId="11" applyNumberFormat="0" applyFont="0" applyAlignment="0" applyProtection="0"/>
    <xf numFmtId="169" fontId="38" fillId="0" borderId="0" applyFont="0" applyFill="0" applyBorder="0" applyAlignment="0" applyProtection="0"/>
    <xf numFmtId="169" fontId="38" fillId="0" borderId="0" applyFont="0" applyFill="0" applyBorder="0" applyAlignment="0" applyProtection="0"/>
    <xf numFmtId="169" fontId="38" fillId="0" borderId="0" applyFont="0" applyFill="0" applyBorder="0" applyAlignment="0" applyProtection="0"/>
    <xf numFmtId="169" fontId="38" fillId="0" borderId="0" applyFont="0" applyFill="0" applyBorder="0" applyAlignment="0" applyProtection="0"/>
    <xf numFmtId="169" fontId="38" fillId="0" borderId="0" applyFont="0" applyFill="0" applyBorder="0" applyAlignment="0" applyProtection="0"/>
    <xf numFmtId="169" fontId="38" fillId="0" borderId="0" applyFont="0" applyFill="0" applyBorder="0" applyAlignment="0" applyProtection="0"/>
    <xf numFmtId="169" fontId="38" fillId="0" borderId="0" applyFont="0" applyFill="0" applyBorder="0" applyAlignment="0" applyProtection="0"/>
    <xf numFmtId="169" fontId="38" fillId="0" borderId="0" applyFont="0" applyFill="0" applyBorder="0" applyAlignment="0" applyProtection="0"/>
    <xf numFmtId="169" fontId="38" fillId="0" borderId="0" applyFont="0" applyFill="0" applyBorder="0" applyAlignment="0" applyProtection="0"/>
    <xf numFmtId="169" fontId="38" fillId="0" borderId="0" applyFont="0" applyFill="0" applyBorder="0" applyAlignment="0" applyProtection="0"/>
    <xf numFmtId="169" fontId="38" fillId="0" borderId="0" applyFont="0" applyFill="0" applyBorder="0" applyAlignment="0" applyProtection="0"/>
    <xf numFmtId="169" fontId="38" fillId="0" borderId="0" applyFont="0" applyFill="0" applyBorder="0" applyAlignment="0" applyProtection="0"/>
    <xf numFmtId="169" fontId="38" fillId="0" borderId="0" applyFont="0" applyFill="0" applyBorder="0" applyAlignment="0" applyProtection="0"/>
    <xf numFmtId="169" fontId="38" fillId="0" borderId="0" applyFont="0" applyFill="0" applyBorder="0" applyAlignment="0" applyProtection="0"/>
    <xf numFmtId="169" fontId="38" fillId="0" borderId="0" applyFont="0" applyFill="0" applyBorder="0" applyAlignment="0" applyProtection="0"/>
    <xf numFmtId="169" fontId="38" fillId="0" borderId="0" applyFont="0" applyFill="0" applyBorder="0" applyAlignment="0" applyProtection="0"/>
    <xf numFmtId="169" fontId="38" fillId="0" borderId="0" applyFont="0" applyFill="0" applyBorder="0" applyAlignment="0" applyProtection="0"/>
    <xf numFmtId="169" fontId="38" fillId="0" borderId="0" applyFont="0" applyFill="0" applyBorder="0" applyAlignment="0" applyProtection="0"/>
    <xf numFmtId="169" fontId="38" fillId="0" borderId="0" applyFont="0" applyFill="0" applyBorder="0" applyAlignment="0" applyProtection="0"/>
    <xf numFmtId="169" fontId="38" fillId="0" borderId="0" applyFont="0" applyFill="0" applyBorder="0" applyAlignment="0" applyProtection="0"/>
    <xf numFmtId="169" fontId="38" fillId="0" borderId="0" applyFont="0" applyFill="0" applyBorder="0" applyAlignment="0" applyProtection="0"/>
    <xf numFmtId="169" fontId="38" fillId="0" borderId="0" applyFont="0" applyFill="0" applyBorder="0" applyAlignment="0" applyProtection="0"/>
    <xf numFmtId="169" fontId="38" fillId="0" borderId="0" applyFont="0" applyFill="0" applyBorder="0" applyAlignment="0" applyProtection="0"/>
    <xf numFmtId="169" fontId="38" fillId="0" borderId="0" applyFont="0" applyFill="0" applyBorder="0" applyAlignment="0" applyProtection="0"/>
    <xf numFmtId="169" fontId="38" fillId="0" borderId="0" applyFont="0" applyFill="0" applyBorder="0" applyAlignment="0" applyProtection="0"/>
    <xf numFmtId="169" fontId="38" fillId="0" borderId="0" applyFont="0" applyFill="0" applyBorder="0" applyAlignment="0" applyProtection="0"/>
    <xf numFmtId="169" fontId="38" fillId="0" borderId="0" applyFont="0" applyFill="0" applyBorder="0" applyAlignment="0" applyProtection="0"/>
    <xf numFmtId="169" fontId="38" fillId="0" borderId="0" applyFont="0" applyFill="0" applyBorder="0" applyAlignment="0" applyProtection="0"/>
    <xf numFmtId="169" fontId="38" fillId="0" borderId="0" applyFont="0" applyFill="0" applyBorder="0" applyAlignment="0" applyProtection="0"/>
    <xf numFmtId="169" fontId="38" fillId="0" borderId="0" applyFont="0" applyFill="0" applyBorder="0" applyAlignment="0" applyProtection="0"/>
    <xf numFmtId="169" fontId="38" fillId="0" borderId="0" applyFont="0" applyFill="0" applyBorder="0" applyAlignment="0" applyProtection="0"/>
    <xf numFmtId="169" fontId="38" fillId="0" borderId="0" applyFont="0" applyFill="0" applyBorder="0" applyAlignment="0" applyProtection="0"/>
    <xf numFmtId="169" fontId="38" fillId="0" borderId="0" applyFont="0" applyFill="0" applyBorder="0" applyAlignment="0" applyProtection="0"/>
    <xf numFmtId="169" fontId="38" fillId="0" borderId="0" applyFont="0" applyFill="0" applyBorder="0" applyAlignment="0" applyProtection="0"/>
    <xf numFmtId="169" fontId="38" fillId="0" borderId="0" applyFont="0" applyFill="0" applyBorder="0" applyAlignment="0" applyProtection="0"/>
    <xf numFmtId="169" fontId="38" fillId="0" borderId="0" applyFont="0" applyFill="0" applyBorder="0" applyAlignment="0" applyProtection="0"/>
    <xf numFmtId="169" fontId="38" fillId="0" borderId="0" applyFont="0" applyFill="0" applyBorder="0" applyAlignment="0" applyProtection="0"/>
    <xf numFmtId="169" fontId="38" fillId="0" borderId="0" applyFont="0" applyFill="0" applyBorder="0" applyAlignment="0" applyProtection="0"/>
    <xf numFmtId="169" fontId="38" fillId="0" borderId="0" applyFont="0" applyFill="0" applyBorder="0" applyAlignment="0" applyProtection="0"/>
    <xf numFmtId="169" fontId="38" fillId="0" borderId="0" applyFont="0" applyFill="0" applyBorder="0" applyAlignment="0" applyProtection="0"/>
    <xf numFmtId="169" fontId="38" fillId="0" borderId="0" applyFont="0" applyFill="0" applyBorder="0" applyAlignment="0" applyProtection="0"/>
    <xf numFmtId="169" fontId="38" fillId="0" borderId="0" applyFont="0" applyFill="0" applyBorder="0" applyAlignment="0" applyProtection="0"/>
    <xf numFmtId="169" fontId="38" fillId="0" borderId="0" applyFont="0" applyFill="0" applyBorder="0" applyAlignment="0" applyProtection="0"/>
    <xf numFmtId="169" fontId="38" fillId="0" borderId="0" applyFont="0" applyFill="0" applyBorder="0" applyAlignment="0" applyProtection="0"/>
    <xf numFmtId="169" fontId="38" fillId="0" borderId="0" applyFont="0" applyFill="0" applyBorder="0" applyAlignment="0" applyProtection="0"/>
    <xf numFmtId="169" fontId="38" fillId="0" borderId="0" applyFont="0" applyFill="0" applyBorder="0" applyAlignment="0" applyProtection="0"/>
    <xf numFmtId="169" fontId="38" fillId="0" borderId="0" applyFont="0" applyFill="0" applyBorder="0" applyAlignment="0" applyProtection="0"/>
    <xf numFmtId="169" fontId="38" fillId="0" borderId="0" applyFont="0" applyFill="0" applyBorder="0" applyAlignment="0" applyProtection="0"/>
    <xf numFmtId="169" fontId="38" fillId="0" borderId="0" applyFont="0" applyFill="0" applyBorder="0" applyAlignment="0" applyProtection="0"/>
    <xf numFmtId="169" fontId="38" fillId="0" borderId="0" applyFont="0" applyFill="0" applyBorder="0" applyAlignment="0" applyProtection="0"/>
    <xf numFmtId="169" fontId="38" fillId="0" borderId="0" applyFont="0" applyFill="0" applyBorder="0" applyAlignment="0" applyProtection="0"/>
    <xf numFmtId="169" fontId="38" fillId="0" borderId="0" applyFont="0" applyFill="0" applyBorder="0" applyAlignment="0" applyProtection="0"/>
    <xf numFmtId="169" fontId="38" fillId="0" borderId="0" applyFont="0" applyFill="0" applyBorder="0" applyAlignment="0" applyProtection="0"/>
    <xf numFmtId="169" fontId="38" fillId="0" borderId="0" applyFont="0" applyFill="0" applyBorder="0" applyAlignment="0" applyProtection="0"/>
    <xf numFmtId="169" fontId="38" fillId="0" borderId="0" applyFont="0" applyFill="0" applyBorder="0" applyAlignment="0" applyProtection="0"/>
    <xf numFmtId="169" fontId="38" fillId="0" borderId="0" applyFont="0" applyFill="0" applyBorder="0" applyAlignment="0" applyProtection="0"/>
    <xf numFmtId="169" fontId="38" fillId="0" borderId="0" applyFont="0" applyFill="0" applyBorder="0" applyAlignment="0" applyProtection="0"/>
    <xf numFmtId="169" fontId="38" fillId="0" borderId="0" applyFont="0" applyFill="0" applyBorder="0" applyAlignment="0" applyProtection="0"/>
    <xf numFmtId="169" fontId="38" fillId="0" borderId="0" applyFont="0" applyFill="0" applyBorder="0" applyAlignment="0" applyProtection="0"/>
    <xf numFmtId="169" fontId="38" fillId="0" borderId="0" applyFont="0" applyFill="0" applyBorder="0" applyAlignment="0" applyProtection="0"/>
    <xf numFmtId="169" fontId="38" fillId="0" borderId="0" applyFont="0" applyFill="0" applyBorder="0" applyAlignment="0" applyProtection="0"/>
    <xf numFmtId="169" fontId="38" fillId="0" borderId="0" applyFont="0" applyFill="0" applyBorder="0" applyAlignment="0" applyProtection="0"/>
    <xf numFmtId="169" fontId="38" fillId="0" borderId="0" applyFont="0" applyFill="0" applyBorder="0" applyAlignment="0" applyProtection="0"/>
    <xf numFmtId="169" fontId="38" fillId="0" borderId="0" applyFont="0" applyFill="0" applyBorder="0" applyAlignment="0" applyProtection="0"/>
    <xf numFmtId="169" fontId="38" fillId="0" borderId="0" applyFont="0" applyFill="0" applyBorder="0" applyAlignment="0" applyProtection="0"/>
    <xf numFmtId="169" fontId="38" fillId="0" borderId="0" applyFont="0" applyFill="0" applyBorder="0" applyAlignment="0" applyProtection="0"/>
    <xf numFmtId="169" fontId="38" fillId="0" borderId="0" applyFont="0" applyFill="0" applyBorder="0" applyAlignment="0" applyProtection="0"/>
    <xf numFmtId="169" fontId="38" fillId="0" borderId="0" applyFont="0" applyFill="0" applyBorder="0" applyAlignment="0" applyProtection="0"/>
    <xf numFmtId="169" fontId="38" fillId="0" borderId="0" applyFont="0" applyFill="0" applyBorder="0" applyAlignment="0" applyProtection="0"/>
    <xf numFmtId="169" fontId="38" fillId="0" borderId="0" applyFont="0" applyFill="0" applyBorder="0" applyAlignment="0" applyProtection="0"/>
    <xf numFmtId="169" fontId="38" fillId="0" borderId="0" applyFont="0" applyFill="0" applyBorder="0" applyAlignment="0" applyProtection="0"/>
    <xf numFmtId="169" fontId="38" fillId="0" borderId="0" applyFont="0" applyFill="0" applyBorder="0" applyAlignment="0" applyProtection="0"/>
    <xf numFmtId="169" fontId="38" fillId="0" borderId="0" applyFont="0" applyFill="0" applyBorder="0" applyAlignment="0" applyProtection="0"/>
    <xf numFmtId="169" fontId="38" fillId="0" borderId="0" applyFont="0" applyFill="0" applyBorder="0" applyAlignment="0" applyProtection="0"/>
    <xf numFmtId="169" fontId="38" fillId="0" borderId="0" applyFont="0" applyFill="0" applyBorder="0" applyAlignment="0" applyProtection="0"/>
    <xf numFmtId="169" fontId="38" fillId="0" borderId="0" applyFont="0" applyFill="0" applyBorder="0" applyAlignment="0" applyProtection="0"/>
    <xf numFmtId="169" fontId="38" fillId="0" borderId="0" applyFont="0" applyFill="0" applyBorder="0" applyAlignment="0" applyProtection="0"/>
    <xf numFmtId="169" fontId="38" fillId="0" borderId="0" applyFont="0" applyFill="0" applyBorder="0" applyAlignment="0" applyProtection="0"/>
    <xf numFmtId="169" fontId="38" fillId="0" borderId="0" applyFont="0" applyFill="0" applyBorder="0" applyAlignment="0" applyProtection="0"/>
    <xf numFmtId="169" fontId="38" fillId="0" borderId="0" applyFont="0" applyFill="0" applyBorder="0" applyAlignment="0" applyProtection="0"/>
    <xf numFmtId="169" fontId="38" fillId="0" borderId="0" applyFont="0" applyFill="0" applyBorder="0" applyAlignment="0" applyProtection="0"/>
    <xf numFmtId="169" fontId="38" fillId="0" borderId="0" applyFont="0" applyFill="0" applyBorder="0" applyAlignment="0" applyProtection="0"/>
    <xf numFmtId="169" fontId="38" fillId="0" borderId="0" applyFont="0" applyFill="0" applyBorder="0" applyAlignment="0" applyProtection="0"/>
    <xf numFmtId="169" fontId="38" fillId="0" borderId="0" applyFont="0" applyFill="0" applyBorder="0" applyAlignment="0" applyProtection="0"/>
    <xf numFmtId="169" fontId="38" fillId="0" borderId="0" applyFont="0" applyFill="0" applyBorder="0" applyAlignment="0" applyProtection="0"/>
    <xf numFmtId="169" fontId="38" fillId="0" borderId="0" applyFont="0" applyFill="0" applyBorder="0" applyAlignment="0" applyProtection="0"/>
    <xf numFmtId="169" fontId="38" fillId="0" borderId="0" applyFont="0" applyFill="0" applyBorder="0" applyAlignment="0" applyProtection="0"/>
    <xf numFmtId="169" fontId="38" fillId="0" borderId="0" applyFont="0" applyFill="0" applyBorder="0" applyAlignment="0" applyProtection="0"/>
    <xf numFmtId="9" fontId="1" fillId="0" borderId="0" applyFont="0" applyFill="0" applyBorder="0" applyAlignment="0" applyProtection="0"/>
    <xf numFmtId="9" fontId="10" fillId="0" borderId="0" applyFont="0" applyFill="0" applyBorder="0" applyAlignment="0" applyProtection="0"/>
    <xf numFmtId="9" fontId="38" fillId="0" borderId="0" applyFont="0" applyFill="0" applyBorder="0" applyAlignment="0" applyProtection="0"/>
    <xf numFmtId="9" fontId="10" fillId="0" borderId="0" applyFont="0" applyFill="0" applyBorder="0" applyAlignment="0" applyProtection="0"/>
    <xf numFmtId="9" fontId="38" fillId="0" borderId="0" applyFont="0" applyFill="0" applyBorder="0" applyAlignment="0" applyProtection="0"/>
    <xf numFmtId="9" fontId="38" fillId="0" borderId="0" applyFont="0" applyFill="0" applyBorder="0" applyAlignment="0" applyProtection="0"/>
    <xf numFmtId="9" fontId="38" fillId="0" borderId="0" applyFont="0" applyFill="0" applyBorder="0" applyAlignment="0" applyProtection="0"/>
    <xf numFmtId="9" fontId="38" fillId="0" borderId="0" applyFont="0" applyFill="0" applyBorder="0" applyAlignment="0" applyProtection="0"/>
    <xf numFmtId="9" fontId="38" fillId="0" borderId="0" applyFont="0" applyFill="0" applyBorder="0" applyAlignment="0" applyProtection="0"/>
    <xf numFmtId="9" fontId="38" fillId="0" borderId="0" applyFont="0" applyFill="0" applyBorder="0" applyAlignment="0" applyProtection="0"/>
    <xf numFmtId="9" fontId="38" fillId="0" borderId="0" applyFont="0" applyFill="0" applyBorder="0" applyAlignment="0" applyProtection="0"/>
    <xf numFmtId="9" fontId="38" fillId="0" borderId="0" applyFont="0" applyFill="0" applyBorder="0" applyAlignment="0" applyProtection="0"/>
    <xf numFmtId="9" fontId="38" fillId="0" borderId="0" applyFont="0" applyFill="0" applyBorder="0" applyAlignment="0" applyProtection="0"/>
    <xf numFmtId="9" fontId="38" fillId="0" borderId="0" applyFont="0" applyFill="0" applyBorder="0" applyAlignment="0" applyProtection="0"/>
    <xf numFmtId="9" fontId="38" fillId="0" borderId="0" applyFont="0" applyFill="0" applyBorder="0" applyAlignment="0" applyProtection="0"/>
    <xf numFmtId="9" fontId="38" fillId="0" borderId="0" applyFont="0" applyFill="0" applyBorder="0" applyAlignment="0" applyProtection="0"/>
    <xf numFmtId="9" fontId="38" fillId="0" borderId="0" applyFont="0" applyFill="0" applyBorder="0" applyAlignment="0" applyProtection="0"/>
    <xf numFmtId="9" fontId="38" fillId="0" borderId="0" applyFont="0" applyFill="0" applyBorder="0" applyAlignment="0" applyProtection="0"/>
    <xf numFmtId="9" fontId="38" fillId="0" borderId="0" applyFont="0" applyFill="0" applyBorder="0" applyAlignment="0" applyProtection="0"/>
    <xf numFmtId="9" fontId="38" fillId="0" borderId="0" applyFont="0" applyFill="0" applyBorder="0" applyAlignment="0" applyProtection="0"/>
    <xf numFmtId="9" fontId="38" fillId="0" borderId="0" applyFont="0" applyFill="0" applyBorder="0" applyAlignment="0" applyProtection="0"/>
    <xf numFmtId="9" fontId="38" fillId="0" borderId="0" applyFont="0" applyFill="0" applyBorder="0" applyAlignment="0" applyProtection="0"/>
    <xf numFmtId="9" fontId="38" fillId="0" borderId="0" applyFont="0" applyFill="0" applyBorder="0" applyAlignment="0" applyProtection="0"/>
    <xf numFmtId="9" fontId="38" fillId="0" borderId="0" applyFont="0" applyFill="0" applyBorder="0" applyAlignment="0" applyProtection="0"/>
    <xf numFmtId="9" fontId="38" fillId="0" borderId="0" applyFont="0" applyFill="0" applyBorder="0" applyAlignment="0" applyProtection="0"/>
    <xf numFmtId="9" fontId="38" fillId="0" borderId="0" applyFont="0" applyFill="0" applyBorder="0" applyAlignment="0" applyProtection="0"/>
    <xf numFmtId="9" fontId="38" fillId="0" borderId="0" applyFont="0" applyFill="0" applyBorder="0" applyAlignment="0" applyProtection="0"/>
    <xf numFmtId="9" fontId="38" fillId="0" borderId="0" applyFont="0" applyFill="0" applyBorder="0" applyAlignment="0" applyProtection="0"/>
    <xf numFmtId="9" fontId="38" fillId="0" borderId="0" applyFont="0" applyFill="0" applyBorder="0" applyAlignment="0" applyProtection="0"/>
    <xf numFmtId="9" fontId="38" fillId="0" borderId="0" applyFont="0" applyFill="0" applyBorder="0" applyAlignment="0" applyProtection="0"/>
    <xf numFmtId="9" fontId="38" fillId="0" borderId="0" applyFont="0" applyFill="0" applyBorder="0" applyAlignment="0" applyProtection="0"/>
    <xf numFmtId="9" fontId="38" fillId="0" borderId="0" applyFont="0" applyFill="0" applyBorder="0" applyAlignment="0" applyProtection="0"/>
    <xf numFmtId="9" fontId="38" fillId="0" borderId="0" applyFont="0" applyFill="0" applyBorder="0" applyAlignment="0" applyProtection="0"/>
    <xf numFmtId="9" fontId="38" fillId="0" borderId="0" applyFont="0" applyFill="0" applyBorder="0" applyAlignment="0" applyProtection="0"/>
    <xf numFmtId="9" fontId="38" fillId="0" borderId="0" applyFont="0" applyFill="0" applyBorder="0" applyAlignment="0" applyProtection="0"/>
    <xf numFmtId="9" fontId="38" fillId="0" borderId="0" applyFont="0" applyFill="0" applyBorder="0" applyAlignment="0" applyProtection="0"/>
    <xf numFmtId="9" fontId="38" fillId="0" borderId="0" applyFont="0" applyFill="0" applyBorder="0" applyAlignment="0" applyProtection="0"/>
    <xf numFmtId="9" fontId="38" fillId="0" borderId="0" applyFont="0" applyFill="0" applyBorder="0" applyAlignment="0" applyProtection="0"/>
    <xf numFmtId="9" fontId="38" fillId="0" borderId="0" applyFont="0" applyFill="0" applyBorder="0" applyAlignment="0" applyProtection="0"/>
    <xf numFmtId="9" fontId="38" fillId="0" borderId="0" applyFont="0" applyFill="0" applyBorder="0" applyAlignment="0" applyProtection="0"/>
    <xf numFmtId="9" fontId="38" fillId="0" borderId="0" applyFont="0" applyFill="0" applyBorder="0" applyAlignment="0" applyProtection="0"/>
    <xf numFmtId="9" fontId="38" fillId="0" borderId="0" applyFont="0" applyFill="0" applyBorder="0" applyAlignment="0" applyProtection="0"/>
    <xf numFmtId="9" fontId="38" fillId="0" borderId="0" applyFont="0" applyFill="0" applyBorder="0" applyAlignment="0" applyProtection="0"/>
    <xf numFmtId="9" fontId="38" fillId="0" borderId="0" applyFont="0" applyFill="0" applyBorder="0" applyAlignment="0" applyProtection="0"/>
    <xf numFmtId="9" fontId="38" fillId="0" borderId="0" applyFont="0" applyFill="0" applyBorder="0" applyAlignment="0" applyProtection="0"/>
    <xf numFmtId="9" fontId="38" fillId="0" borderId="0" applyFont="0" applyFill="0" applyBorder="0" applyAlignment="0" applyProtection="0"/>
    <xf numFmtId="9" fontId="38" fillId="0" borderId="0" applyFont="0" applyFill="0" applyBorder="0" applyAlignment="0" applyProtection="0"/>
    <xf numFmtId="9" fontId="38" fillId="0" borderId="0" applyFont="0" applyFill="0" applyBorder="0" applyAlignment="0" applyProtection="0"/>
    <xf numFmtId="9" fontId="38" fillId="0" borderId="0" applyFont="0" applyFill="0" applyBorder="0" applyAlignment="0" applyProtection="0"/>
    <xf numFmtId="9" fontId="38" fillId="0" borderId="0" applyFont="0" applyFill="0" applyBorder="0" applyAlignment="0" applyProtection="0"/>
    <xf numFmtId="9" fontId="38" fillId="0" borderId="0" applyFont="0" applyFill="0" applyBorder="0" applyAlignment="0" applyProtection="0"/>
    <xf numFmtId="9" fontId="38" fillId="0" borderId="0" applyFont="0" applyFill="0" applyBorder="0" applyAlignment="0" applyProtection="0"/>
    <xf numFmtId="9" fontId="38" fillId="0" borderId="0" applyFont="0" applyFill="0" applyBorder="0" applyAlignment="0" applyProtection="0"/>
    <xf numFmtId="9" fontId="38" fillId="0" borderId="0" applyFont="0" applyFill="0" applyBorder="0" applyAlignment="0" applyProtection="0"/>
    <xf numFmtId="9" fontId="38" fillId="0" borderId="0" applyFont="0" applyFill="0" applyBorder="0" applyAlignment="0" applyProtection="0"/>
    <xf numFmtId="9" fontId="38" fillId="0" borderId="0" applyFont="0" applyFill="0" applyBorder="0" applyAlignment="0" applyProtection="0"/>
    <xf numFmtId="9" fontId="38" fillId="0" borderId="0" applyFont="0" applyFill="0" applyBorder="0" applyAlignment="0" applyProtection="0"/>
    <xf numFmtId="9" fontId="38" fillId="0" borderId="0" applyFont="0" applyFill="0" applyBorder="0" applyAlignment="0" applyProtection="0"/>
    <xf numFmtId="9" fontId="38" fillId="0" borderId="0" applyFont="0" applyFill="0" applyBorder="0" applyAlignment="0" applyProtection="0"/>
    <xf numFmtId="9" fontId="38" fillId="0" borderId="0" applyFont="0" applyFill="0" applyBorder="0" applyAlignment="0" applyProtection="0"/>
    <xf numFmtId="9" fontId="38" fillId="0" borderId="0" applyFont="0" applyFill="0" applyBorder="0" applyAlignment="0" applyProtection="0"/>
    <xf numFmtId="9" fontId="38" fillId="0" borderId="0" applyFont="0" applyFill="0" applyBorder="0" applyAlignment="0" applyProtection="0"/>
    <xf numFmtId="9" fontId="38" fillId="0" borderId="0" applyFont="0" applyFill="0" applyBorder="0" applyAlignment="0" applyProtection="0"/>
    <xf numFmtId="9" fontId="38" fillId="0" borderId="0" applyFont="0" applyFill="0" applyBorder="0" applyAlignment="0" applyProtection="0"/>
    <xf numFmtId="9" fontId="38" fillId="0" borderId="0" applyFont="0" applyFill="0" applyBorder="0" applyAlignment="0" applyProtection="0"/>
    <xf numFmtId="9" fontId="38" fillId="0" borderId="0" applyFont="0" applyFill="0" applyBorder="0" applyAlignment="0" applyProtection="0"/>
    <xf numFmtId="9" fontId="38" fillId="0" borderId="0" applyFont="0" applyFill="0" applyBorder="0" applyAlignment="0" applyProtection="0"/>
    <xf numFmtId="9" fontId="38" fillId="0" borderId="0" applyFont="0" applyFill="0" applyBorder="0" applyAlignment="0" applyProtection="0"/>
    <xf numFmtId="9" fontId="38" fillId="0" borderId="0" applyFont="0" applyFill="0" applyBorder="0" applyAlignment="0" applyProtection="0"/>
    <xf numFmtId="9" fontId="38" fillId="0" borderId="0" applyFont="0" applyFill="0" applyBorder="0" applyAlignment="0" applyProtection="0"/>
    <xf numFmtId="9" fontId="38" fillId="0" borderId="0" applyFont="0" applyFill="0" applyBorder="0" applyAlignment="0" applyProtection="0"/>
    <xf numFmtId="9" fontId="38" fillId="0" borderId="0" applyFont="0" applyFill="0" applyBorder="0" applyAlignment="0" applyProtection="0"/>
    <xf numFmtId="9" fontId="38" fillId="0" borderId="0" applyFont="0" applyFill="0" applyBorder="0" applyAlignment="0" applyProtection="0"/>
    <xf numFmtId="9" fontId="38" fillId="0" borderId="0" applyFont="0" applyFill="0" applyBorder="0" applyAlignment="0" applyProtection="0"/>
    <xf numFmtId="9" fontId="38" fillId="0" borderId="0" applyFont="0" applyFill="0" applyBorder="0" applyAlignment="0" applyProtection="0"/>
    <xf numFmtId="9" fontId="38" fillId="0" borderId="0" applyFont="0" applyFill="0" applyBorder="0" applyAlignment="0" applyProtection="0"/>
    <xf numFmtId="9" fontId="38" fillId="0" borderId="0" applyFont="0" applyFill="0" applyBorder="0" applyAlignment="0" applyProtection="0"/>
    <xf numFmtId="9" fontId="38" fillId="0" borderId="0" applyFont="0" applyFill="0" applyBorder="0" applyAlignment="0" applyProtection="0"/>
    <xf numFmtId="9" fontId="38" fillId="0" borderId="0" applyFont="0" applyFill="0" applyBorder="0" applyAlignment="0" applyProtection="0"/>
    <xf numFmtId="9" fontId="38" fillId="0" borderId="0" applyFont="0" applyFill="0" applyBorder="0" applyAlignment="0" applyProtection="0"/>
    <xf numFmtId="9" fontId="38" fillId="0" borderId="0" applyFont="0" applyFill="0" applyBorder="0" applyAlignment="0" applyProtection="0"/>
    <xf numFmtId="9" fontId="38" fillId="0" borderId="0" applyFont="0" applyFill="0" applyBorder="0" applyAlignment="0" applyProtection="0"/>
    <xf numFmtId="9" fontId="38" fillId="0" borderId="0" applyFont="0" applyFill="0" applyBorder="0" applyAlignment="0" applyProtection="0"/>
    <xf numFmtId="9" fontId="38" fillId="0" borderId="0" applyFont="0" applyFill="0" applyBorder="0" applyAlignment="0" applyProtection="0"/>
    <xf numFmtId="9" fontId="38" fillId="0" borderId="0" applyFont="0" applyFill="0" applyBorder="0" applyAlignment="0" applyProtection="0"/>
    <xf numFmtId="9" fontId="38" fillId="0" borderId="0" applyFont="0" applyFill="0" applyBorder="0" applyAlignment="0" applyProtection="0"/>
    <xf numFmtId="9" fontId="38" fillId="0" borderId="0" applyFont="0" applyFill="0" applyBorder="0" applyAlignment="0" applyProtection="0"/>
    <xf numFmtId="9" fontId="38" fillId="0" borderId="0" applyFont="0" applyFill="0" applyBorder="0" applyAlignment="0" applyProtection="0"/>
    <xf numFmtId="9" fontId="38" fillId="0" borderId="0" applyFont="0" applyFill="0" applyBorder="0" applyAlignment="0" applyProtection="0"/>
    <xf numFmtId="9" fontId="38" fillId="0" borderId="0" applyFont="0" applyFill="0" applyBorder="0" applyAlignment="0" applyProtection="0"/>
    <xf numFmtId="9" fontId="38" fillId="0" borderId="0" applyFont="0" applyFill="0" applyBorder="0" applyAlignment="0" applyProtection="0"/>
    <xf numFmtId="9" fontId="38" fillId="0" borderId="0" applyFont="0" applyFill="0" applyBorder="0" applyAlignment="0" applyProtection="0"/>
    <xf numFmtId="9" fontId="38" fillId="0" borderId="0" applyFont="0" applyFill="0" applyBorder="0" applyAlignment="0" applyProtection="0"/>
    <xf numFmtId="9" fontId="38" fillId="0" borderId="0" applyFont="0" applyFill="0" applyBorder="0" applyAlignment="0" applyProtection="0"/>
    <xf numFmtId="9" fontId="38" fillId="0" borderId="0" applyFont="0" applyFill="0" applyBorder="0" applyAlignment="0" applyProtection="0"/>
    <xf numFmtId="9" fontId="38" fillId="0" borderId="0" applyFont="0" applyFill="0" applyBorder="0" applyAlignment="0" applyProtection="0"/>
    <xf numFmtId="9" fontId="38" fillId="0" borderId="0" applyFont="0" applyFill="0" applyBorder="0" applyAlignment="0" applyProtection="0"/>
    <xf numFmtId="9" fontId="38" fillId="0" borderId="0" applyFont="0" applyFill="0" applyBorder="0" applyAlignment="0" applyProtection="0"/>
    <xf numFmtId="9" fontId="38" fillId="0" borderId="0" applyFont="0" applyFill="0" applyBorder="0" applyAlignment="0" applyProtection="0"/>
    <xf numFmtId="9" fontId="38" fillId="0" borderId="0" applyFont="0" applyFill="0" applyBorder="0" applyAlignment="0" applyProtection="0"/>
    <xf numFmtId="9" fontId="38" fillId="0" borderId="0" applyFont="0" applyFill="0" applyBorder="0" applyAlignment="0" applyProtection="0"/>
    <xf numFmtId="9" fontId="38" fillId="0" borderId="0" applyFont="0" applyFill="0" applyBorder="0" applyAlignment="0" applyProtection="0"/>
    <xf numFmtId="9" fontId="38" fillId="0" borderId="0" applyFont="0" applyFill="0" applyBorder="0" applyAlignment="0" applyProtection="0"/>
    <xf numFmtId="9" fontId="38" fillId="0" borderId="0" applyFont="0" applyFill="0" applyBorder="0" applyAlignment="0" applyProtection="0"/>
    <xf numFmtId="9" fontId="38" fillId="0" borderId="0" applyFont="0" applyFill="0" applyBorder="0" applyAlignment="0" applyProtection="0"/>
    <xf numFmtId="9" fontId="38" fillId="0" borderId="0" applyFont="0" applyFill="0" applyBorder="0" applyAlignment="0" applyProtection="0"/>
    <xf numFmtId="9" fontId="38" fillId="0" borderId="0" applyFont="0" applyFill="0" applyBorder="0" applyAlignment="0" applyProtection="0"/>
    <xf numFmtId="9" fontId="38" fillId="0" borderId="0" applyFont="0" applyFill="0" applyBorder="0" applyAlignment="0" applyProtection="0"/>
    <xf numFmtId="9" fontId="38" fillId="0" borderId="0" applyFont="0" applyFill="0" applyBorder="0" applyAlignment="0" applyProtection="0"/>
    <xf numFmtId="9" fontId="38" fillId="0" borderId="0" applyFont="0" applyFill="0" applyBorder="0" applyAlignment="0" applyProtection="0"/>
    <xf numFmtId="9" fontId="38" fillId="0" borderId="0" applyFont="0" applyFill="0" applyBorder="0" applyAlignment="0" applyProtection="0"/>
    <xf numFmtId="9" fontId="38" fillId="0" borderId="0" applyFont="0" applyFill="0" applyBorder="0" applyAlignment="0" applyProtection="0"/>
    <xf numFmtId="9" fontId="38" fillId="0" borderId="0" applyFont="0" applyFill="0" applyBorder="0" applyAlignment="0" applyProtection="0"/>
    <xf numFmtId="9" fontId="38" fillId="0" borderId="0" applyFont="0" applyFill="0" applyBorder="0" applyAlignment="0" applyProtection="0"/>
    <xf numFmtId="9" fontId="38" fillId="0" borderId="0" applyFont="0" applyFill="0" applyBorder="0" applyAlignment="0" applyProtection="0"/>
    <xf numFmtId="9" fontId="38" fillId="0" borderId="0" applyFont="0" applyFill="0" applyBorder="0" applyAlignment="0" applyProtection="0"/>
    <xf numFmtId="9" fontId="38" fillId="0" borderId="0" applyFont="0" applyFill="0" applyBorder="0" applyAlignment="0" applyProtection="0"/>
    <xf numFmtId="9" fontId="38" fillId="0" borderId="0" applyFont="0" applyFill="0" applyBorder="0" applyAlignment="0" applyProtection="0"/>
    <xf numFmtId="9" fontId="38" fillId="0" borderId="0" applyFont="0" applyFill="0" applyBorder="0" applyAlignment="0" applyProtection="0"/>
    <xf numFmtId="9" fontId="38" fillId="0" borderId="0" applyFont="0" applyFill="0" applyBorder="0" applyAlignment="0" applyProtection="0"/>
    <xf numFmtId="9" fontId="38" fillId="0" borderId="0" applyFont="0" applyFill="0" applyBorder="0" applyAlignment="0" applyProtection="0"/>
    <xf numFmtId="9" fontId="38" fillId="0" borderId="0" applyFont="0" applyFill="0" applyBorder="0" applyAlignment="0" applyProtection="0"/>
    <xf numFmtId="9" fontId="38" fillId="0" borderId="0" applyFont="0" applyFill="0" applyBorder="0" applyAlignment="0" applyProtection="0"/>
    <xf numFmtId="9" fontId="38" fillId="0" borderId="0" applyFont="0" applyFill="0" applyBorder="0" applyAlignment="0" applyProtection="0"/>
    <xf numFmtId="9" fontId="38" fillId="0" borderId="0" applyFont="0" applyFill="0" applyBorder="0" applyAlignment="0" applyProtection="0"/>
    <xf numFmtId="9" fontId="38" fillId="0" borderId="0" applyFont="0" applyFill="0" applyBorder="0" applyAlignment="0" applyProtection="0"/>
    <xf numFmtId="9" fontId="38" fillId="0" borderId="0" applyFont="0" applyFill="0" applyBorder="0" applyAlignment="0" applyProtection="0"/>
    <xf numFmtId="9" fontId="38" fillId="0" borderId="0" applyFont="0" applyFill="0" applyBorder="0" applyAlignment="0" applyProtection="0"/>
    <xf numFmtId="9" fontId="38" fillId="0" borderId="0" applyFont="0" applyFill="0" applyBorder="0" applyAlignment="0" applyProtection="0"/>
    <xf numFmtId="0" fontId="1" fillId="0" borderId="0"/>
    <xf numFmtId="49" fontId="41" fillId="0" borderId="1" applyNumberFormat="0" applyFont="0" applyFill="0" applyBorder="0" applyProtection="0">
      <alignment horizontal="left" vertical="center" indent="5"/>
    </xf>
    <xf numFmtId="0" fontId="1" fillId="0" borderId="0"/>
    <xf numFmtId="0" fontId="1" fillId="0" borderId="0"/>
    <xf numFmtId="0" fontId="1" fillId="0" borderId="0"/>
    <xf numFmtId="0" fontId="21" fillId="21" borderId="12" applyNumberFormat="0" applyAlignment="0" applyProtection="0"/>
    <xf numFmtId="0" fontId="38" fillId="26" borderId="11" applyNumberFormat="0" applyFont="0" applyAlignment="0" applyProtection="0"/>
    <xf numFmtId="0" fontId="38" fillId="26" borderId="11" applyNumberFormat="0" applyFont="0" applyAlignment="0" applyProtection="0"/>
    <xf numFmtId="0" fontId="38" fillId="26" borderId="11" applyNumberFormat="0" applyFont="0" applyAlignment="0" applyProtection="0"/>
    <xf numFmtId="0" fontId="38" fillId="26" borderId="11" applyNumberFormat="0" applyFont="0" applyAlignment="0" applyProtection="0"/>
    <xf numFmtId="0" fontId="10" fillId="26" borderId="11" applyNumberFormat="0" applyFont="0" applyAlignment="0" applyProtection="0"/>
    <xf numFmtId="9" fontId="1" fillId="0" borderId="0" applyFont="0" applyFill="0" applyBorder="0" applyAlignment="0" applyProtection="0"/>
    <xf numFmtId="0" fontId="1" fillId="60" borderId="0" applyNumberFormat="0" applyBorder="0" applyAlignment="0" applyProtection="0"/>
    <xf numFmtId="0" fontId="1" fillId="61" borderId="0" applyNumberFormat="0" applyBorder="0" applyAlignment="0" applyProtection="0"/>
    <xf numFmtId="0" fontId="1" fillId="64" borderId="0" applyNumberFormat="0" applyBorder="0" applyAlignment="0" applyProtection="0"/>
    <xf numFmtId="0" fontId="1" fillId="65" borderId="0" applyNumberFormat="0" applyBorder="0" applyAlignment="0" applyProtection="0"/>
    <xf numFmtId="0" fontId="1" fillId="68" borderId="0" applyNumberFormat="0" applyBorder="0" applyAlignment="0" applyProtection="0"/>
    <xf numFmtId="0" fontId="1" fillId="69" borderId="0" applyNumberFormat="0" applyBorder="0" applyAlignment="0" applyProtection="0"/>
    <xf numFmtId="0" fontId="1" fillId="72" borderId="0" applyNumberFormat="0" applyBorder="0" applyAlignment="0" applyProtection="0"/>
    <xf numFmtId="0" fontId="1" fillId="73" borderId="0" applyNumberFormat="0" applyBorder="0" applyAlignment="0" applyProtection="0"/>
    <xf numFmtId="0" fontId="1" fillId="76" borderId="0" applyNumberFormat="0" applyBorder="0" applyAlignment="0" applyProtection="0"/>
    <xf numFmtId="0" fontId="1" fillId="77" borderId="0" applyNumberFormat="0" applyBorder="0" applyAlignment="0" applyProtection="0"/>
    <xf numFmtId="0" fontId="1" fillId="80" borderId="0" applyNumberFormat="0" applyBorder="0" applyAlignment="0" applyProtection="0"/>
    <xf numFmtId="0" fontId="1" fillId="81" borderId="0" applyNumberFormat="0" applyBorder="0" applyAlignment="0" applyProtection="0"/>
    <xf numFmtId="0" fontId="10" fillId="0" borderId="0"/>
    <xf numFmtId="49" fontId="41" fillId="0" borderId="1" applyNumberFormat="0" applyFont="0" applyFill="0" applyBorder="0" applyProtection="0">
      <alignment horizontal="left" vertical="center" indent="5"/>
    </xf>
    <xf numFmtId="0" fontId="15" fillId="21" borderId="4" applyNumberFormat="0" applyAlignment="0" applyProtection="0"/>
    <xf numFmtId="43" fontId="10" fillId="0" borderId="0" applyFont="0" applyFill="0" applyBorder="0" applyAlignment="0" applyProtection="0"/>
    <xf numFmtId="43" fontId="38" fillId="0" borderId="0" applyFont="0" applyFill="0" applyBorder="0" applyAlignment="0" applyProtection="0"/>
    <xf numFmtId="43" fontId="38" fillId="0" borderId="0" applyFont="0" applyFill="0" applyBorder="0" applyAlignment="0" applyProtection="0"/>
    <xf numFmtId="43" fontId="38" fillId="0" borderId="0" applyFont="0" applyFill="0" applyBorder="0" applyAlignment="0" applyProtection="0"/>
    <xf numFmtId="43" fontId="38" fillId="0" borderId="0" applyFont="0" applyFill="0" applyBorder="0" applyAlignment="0" applyProtection="0"/>
    <xf numFmtId="43" fontId="1" fillId="0" borderId="0" applyFont="0" applyFill="0" applyBorder="0" applyAlignment="0" applyProtection="0"/>
    <xf numFmtId="43" fontId="10" fillId="0" borderId="0" applyFont="0" applyFill="0" applyBorder="0" applyAlignment="0" applyProtection="0"/>
    <xf numFmtId="164" fontId="10" fillId="0" borderId="0" applyFont="0" applyFill="0" applyBorder="0" applyAlignment="0" applyProtection="0"/>
    <xf numFmtId="0" fontId="41" fillId="0" borderId="161">
      <alignment horizontal="left" vertical="center" wrapText="1" indent="2"/>
    </xf>
    <xf numFmtId="0" fontId="18" fillId="7" borderId="4" applyNumberFormat="0" applyAlignment="0" applyProtection="0"/>
    <xf numFmtId="0" fontId="18" fillId="7" borderId="4" applyNumberFormat="0" applyAlignment="0" applyProtection="0"/>
    <xf numFmtId="41" fontId="19" fillId="0" borderId="0" applyFont="0" applyFill="0" applyBorder="0" applyAlignment="0" applyProtection="0"/>
    <xf numFmtId="41" fontId="19" fillId="0" borderId="0" applyFont="0" applyFill="0" applyBorder="0" applyAlignment="0" applyProtection="0"/>
    <xf numFmtId="41" fontId="19" fillId="0" borderId="0" applyFont="0" applyFill="0" applyBorder="0" applyAlignment="0" applyProtection="0"/>
    <xf numFmtId="41" fontId="19" fillId="0" borderId="0" applyFont="0" applyFill="0" applyBorder="0" applyAlignment="0" applyProtection="0"/>
    <xf numFmtId="41" fontId="19" fillId="0" borderId="0" applyFont="0" applyFill="0" applyBorder="0" applyAlignment="0" applyProtection="0"/>
    <xf numFmtId="41" fontId="19" fillId="0" borderId="0" applyFont="0" applyFill="0" applyBorder="0" applyAlignment="0" applyProtection="0"/>
    <xf numFmtId="41" fontId="19" fillId="0" borderId="0" applyFont="0" applyFill="0" applyBorder="0" applyAlignment="0" applyProtection="0"/>
    <xf numFmtId="41" fontId="19" fillId="0" borderId="0" applyFont="0" applyFill="0" applyBorder="0" applyAlignment="0" applyProtection="0"/>
    <xf numFmtId="41" fontId="19" fillId="0" borderId="0" applyFont="0" applyFill="0" applyBorder="0" applyAlignment="0" applyProtection="0"/>
    <xf numFmtId="41" fontId="19" fillId="0" borderId="0" applyFont="0" applyFill="0" applyBorder="0" applyAlignment="0" applyProtection="0"/>
    <xf numFmtId="41" fontId="19" fillId="0" borderId="0" applyFont="0" applyFill="0" applyBorder="0" applyAlignment="0" applyProtection="0"/>
    <xf numFmtId="41" fontId="19" fillId="0" borderId="0" applyFont="0" applyFill="0" applyBorder="0" applyAlignment="0" applyProtection="0"/>
    <xf numFmtId="41" fontId="19" fillId="0" borderId="0" applyFont="0" applyFill="0" applyBorder="0" applyAlignment="0" applyProtection="0"/>
    <xf numFmtId="41" fontId="19" fillId="0" borderId="0" applyFont="0" applyFill="0" applyBorder="0" applyAlignment="0" applyProtection="0"/>
    <xf numFmtId="41" fontId="19" fillId="0" borderId="0" applyFont="0" applyFill="0" applyBorder="0" applyAlignment="0" applyProtection="0"/>
    <xf numFmtId="41" fontId="19" fillId="0" borderId="0" applyFont="0" applyFill="0" applyBorder="0" applyAlignment="0" applyProtection="0"/>
    <xf numFmtId="41" fontId="19" fillId="0" borderId="0" applyFont="0" applyFill="0" applyBorder="0" applyAlignment="0" applyProtection="0"/>
    <xf numFmtId="41" fontId="19" fillId="0" borderId="0" applyFont="0" applyFill="0" applyBorder="0" applyAlignment="0" applyProtection="0"/>
    <xf numFmtId="41" fontId="19" fillId="0" borderId="0" applyFont="0" applyFill="0" applyBorder="0" applyAlignment="0" applyProtection="0"/>
    <xf numFmtId="41" fontId="19" fillId="0" borderId="0" applyFont="0" applyFill="0" applyBorder="0" applyAlignment="0" applyProtection="0"/>
    <xf numFmtId="41" fontId="19" fillId="0" borderId="0" applyFont="0" applyFill="0" applyBorder="0" applyAlignment="0" applyProtection="0"/>
    <xf numFmtId="41" fontId="19" fillId="0" borderId="0" applyFont="0" applyFill="0" applyBorder="0" applyAlignment="0" applyProtection="0"/>
    <xf numFmtId="41" fontId="19" fillId="0" borderId="0" applyFont="0" applyFill="0" applyBorder="0" applyAlignment="0" applyProtection="0"/>
    <xf numFmtId="41" fontId="19" fillId="0" borderId="0" applyFont="0" applyFill="0" applyBorder="0" applyAlignment="0" applyProtection="0"/>
    <xf numFmtId="41" fontId="19" fillId="0" borderId="0" applyFont="0" applyFill="0" applyBorder="0" applyAlignment="0" applyProtection="0"/>
    <xf numFmtId="41" fontId="19" fillId="0" borderId="0" applyFont="0" applyFill="0" applyBorder="0" applyAlignment="0" applyProtection="0"/>
    <xf numFmtId="41" fontId="19" fillId="0" borderId="0" applyFont="0" applyFill="0" applyBorder="0" applyAlignment="0" applyProtection="0"/>
    <xf numFmtId="41" fontId="19" fillId="0" borderId="0" applyFont="0" applyFill="0" applyBorder="0" applyAlignment="0" applyProtection="0"/>
    <xf numFmtId="41" fontId="19" fillId="0" borderId="0" applyFont="0" applyFill="0" applyBorder="0" applyAlignment="0" applyProtection="0"/>
    <xf numFmtId="41" fontId="19" fillId="0" borderId="0" applyFont="0" applyFill="0" applyBorder="0" applyAlignment="0" applyProtection="0"/>
    <xf numFmtId="41" fontId="19" fillId="0" borderId="0" applyFont="0" applyFill="0" applyBorder="0" applyAlignment="0" applyProtection="0"/>
    <xf numFmtId="41" fontId="19" fillId="0" borderId="0" applyFont="0" applyFill="0" applyBorder="0" applyAlignment="0" applyProtection="0"/>
    <xf numFmtId="41" fontId="19" fillId="0" borderId="0" applyFont="0" applyFill="0" applyBorder="0" applyAlignment="0" applyProtection="0"/>
    <xf numFmtId="41" fontId="19" fillId="0" borderId="0" applyFont="0" applyFill="0" applyBorder="0" applyAlignment="0" applyProtection="0"/>
    <xf numFmtId="41" fontId="19" fillId="0" borderId="0" applyFont="0" applyFill="0" applyBorder="0" applyAlignment="0" applyProtection="0"/>
    <xf numFmtId="41" fontId="19" fillId="0" borderId="0" applyFont="0" applyFill="0" applyBorder="0" applyAlignment="0" applyProtection="0"/>
    <xf numFmtId="41" fontId="19" fillId="0" borderId="0" applyFont="0" applyFill="0" applyBorder="0" applyAlignment="0" applyProtection="0"/>
    <xf numFmtId="41" fontId="19" fillId="0" borderId="0" applyFont="0" applyFill="0" applyBorder="0" applyAlignment="0" applyProtection="0"/>
    <xf numFmtId="41" fontId="19" fillId="0" borderId="0" applyFont="0" applyFill="0" applyBorder="0" applyAlignment="0" applyProtection="0"/>
    <xf numFmtId="41" fontId="19" fillId="0" borderId="0" applyFont="0" applyFill="0" applyBorder="0" applyAlignment="0" applyProtection="0"/>
    <xf numFmtId="41" fontId="19" fillId="0" borderId="0" applyFont="0" applyFill="0" applyBorder="0" applyAlignment="0" applyProtection="0"/>
    <xf numFmtId="41" fontId="19" fillId="0" borderId="0" applyFont="0" applyFill="0" applyBorder="0" applyAlignment="0" applyProtection="0"/>
    <xf numFmtId="41" fontId="19" fillId="0" borderId="0" applyFont="0" applyFill="0" applyBorder="0" applyAlignment="0" applyProtection="0"/>
    <xf numFmtId="41" fontId="19" fillId="0" borderId="0" applyFont="0" applyFill="0" applyBorder="0" applyAlignment="0" applyProtection="0"/>
    <xf numFmtId="41" fontId="19" fillId="0" borderId="0" applyFont="0" applyFill="0" applyBorder="0" applyAlignment="0" applyProtection="0"/>
    <xf numFmtId="41" fontId="19" fillId="0" borderId="0" applyFont="0" applyFill="0" applyBorder="0" applyAlignment="0" applyProtection="0"/>
    <xf numFmtId="41" fontId="19" fillId="0" borderId="0" applyFont="0" applyFill="0" applyBorder="0" applyAlignment="0" applyProtection="0"/>
    <xf numFmtId="41" fontId="19" fillId="0" borderId="0" applyFont="0" applyFill="0" applyBorder="0" applyAlignment="0" applyProtection="0"/>
    <xf numFmtId="41" fontId="19" fillId="0" borderId="0" applyFont="0" applyFill="0" applyBorder="0" applyAlignment="0" applyProtection="0"/>
    <xf numFmtId="41" fontId="19" fillId="0" borderId="0" applyFont="0" applyFill="0" applyBorder="0" applyAlignment="0" applyProtection="0"/>
    <xf numFmtId="41" fontId="19" fillId="0" borderId="0" applyFont="0" applyFill="0" applyBorder="0" applyAlignment="0" applyProtection="0"/>
    <xf numFmtId="41" fontId="19" fillId="0" borderId="0" applyFont="0" applyFill="0" applyBorder="0" applyAlignment="0" applyProtection="0"/>
    <xf numFmtId="41" fontId="19" fillId="0" borderId="0" applyFont="0" applyFill="0" applyBorder="0" applyAlignment="0" applyProtection="0"/>
    <xf numFmtId="41" fontId="19" fillId="0" borderId="0" applyFont="0" applyFill="0" applyBorder="0" applyAlignment="0" applyProtection="0"/>
    <xf numFmtId="41" fontId="19" fillId="0" borderId="0" applyFont="0" applyFill="0" applyBorder="0" applyAlignment="0" applyProtection="0"/>
    <xf numFmtId="41" fontId="19" fillId="0" borderId="0" applyFont="0" applyFill="0" applyBorder="0" applyAlignment="0" applyProtection="0"/>
    <xf numFmtId="41" fontId="19" fillId="0" borderId="0" applyFont="0" applyFill="0" applyBorder="0" applyAlignment="0" applyProtection="0"/>
    <xf numFmtId="41" fontId="19"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38" fillId="0" borderId="0" applyFont="0" applyFill="0" applyBorder="0" applyAlignment="0" applyProtection="0"/>
    <xf numFmtId="43" fontId="38"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38" fillId="0" borderId="0" applyFont="0" applyFill="0" applyBorder="0" applyAlignment="0" applyProtection="0"/>
    <xf numFmtId="43" fontId="38"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38" fillId="0" borderId="0" applyFont="0" applyFill="0" applyBorder="0" applyAlignment="0" applyProtection="0"/>
    <xf numFmtId="43" fontId="38"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38" fillId="0" borderId="0" applyFont="0" applyFill="0" applyBorder="0" applyAlignment="0" applyProtection="0"/>
    <xf numFmtId="43" fontId="38"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38" fillId="0" borderId="0" applyFont="0" applyFill="0" applyBorder="0" applyAlignment="0" applyProtection="0"/>
    <xf numFmtId="43" fontId="38"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38" fillId="0" borderId="0" applyFont="0" applyFill="0" applyBorder="0" applyAlignment="0" applyProtection="0"/>
    <xf numFmtId="43" fontId="38"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38" fillId="0" borderId="0" applyFont="0" applyFill="0" applyBorder="0" applyAlignment="0" applyProtection="0"/>
    <xf numFmtId="43" fontId="38"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38" fillId="0" borderId="0" applyFont="0" applyFill="0" applyBorder="0" applyAlignment="0" applyProtection="0"/>
    <xf numFmtId="43" fontId="38"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38" fillId="0" borderId="0" applyFont="0" applyFill="0" applyBorder="0" applyAlignment="0" applyProtection="0"/>
    <xf numFmtId="43" fontId="38"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38" fillId="0" borderId="0" applyFont="0" applyFill="0" applyBorder="0" applyAlignment="0" applyProtection="0"/>
    <xf numFmtId="43" fontId="38"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38" fillId="0" borderId="0" applyFont="0" applyFill="0" applyBorder="0" applyAlignment="0" applyProtection="0"/>
    <xf numFmtId="43" fontId="38"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38" fillId="0" borderId="0" applyFont="0" applyFill="0" applyBorder="0" applyAlignment="0" applyProtection="0"/>
    <xf numFmtId="43" fontId="38"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38" fillId="0" borderId="0" applyFont="0" applyFill="0" applyBorder="0" applyAlignment="0" applyProtection="0"/>
    <xf numFmtId="43" fontId="38"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38" fillId="0" borderId="0" applyFont="0" applyFill="0" applyBorder="0" applyAlignment="0" applyProtection="0"/>
    <xf numFmtId="43" fontId="38"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38" fillId="0" borderId="0" applyFont="0" applyFill="0" applyBorder="0" applyAlignment="0" applyProtection="0"/>
    <xf numFmtId="43" fontId="38"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38" fillId="0" borderId="0" applyFont="0" applyFill="0" applyBorder="0" applyAlignment="0" applyProtection="0"/>
    <xf numFmtId="43" fontId="38"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38" fillId="0" borderId="0" applyFont="0" applyFill="0" applyBorder="0" applyAlignment="0" applyProtection="0"/>
    <xf numFmtId="43" fontId="38"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38" fillId="0" borderId="0" applyFont="0" applyFill="0" applyBorder="0" applyAlignment="0" applyProtection="0"/>
    <xf numFmtId="43" fontId="38"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38" fillId="0" borderId="0" applyFont="0" applyFill="0" applyBorder="0" applyAlignment="0" applyProtection="0"/>
    <xf numFmtId="43" fontId="38"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38" fillId="0" borderId="0" applyFont="0" applyFill="0" applyBorder="0" applyAlignment="0" applyProtection="0"/>
    <xf numFmtId="43" fontId="38"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38" fillId="0" borderId="0" applyFont="0" applyFill="0" applyBorder="0" applyAlignment="0" applyProtection="0"/>
    <xf numFmtId="43" fontId="38"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38" fillId="0" borderId="0" applyFont="0" applyFill="0" applyBorder="0" applyAlignment="0" applyProtection="0"/>
    <xf numFmtId="43" fontId="38"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38" fillId="0" borderId="0" applyFont="0" applyFill="0" applyBorder="0" applyAlignment="0" applyProtection="0"/>
    <xf numFmtId="43" fontId="38"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38" fillId="0" borderId="0" applyFont="0" applyFill="0" applyBorder="0" applyAlignment="0" applyProtection="0"/>
    <xf numFmtId="43" fontId="38"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38" fillId="0" borderId="0" applyFont="0" applyFill="0" applyBorder="0" applyAlignment="0" applyProtection="0"/>
    <xf numFmtId="43" fontId="38"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38" fillId="0" borderId="0" applyFont="0" applyFill="0" applyBorder="0" applyAlignment="0" applyProtection="0"/>
    <xf numFmtId="43" fontId="38"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38" fillId="0" borderId="0" applyFont="0" applyFill="0" applyBorder="0" applyAlignment="0" applyProtection="0"/>
    <xf numFmtId="43" fontId="38"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38" fillId="0" borderId="0" applyFont="0" applyFill="0" applyBorder="0" applyAlignment="0" applyProtection="0"/>
    <xf numFmtId="43" fontId="38"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38" fillId="0" borderId="0" applyFont="0" applyFill="0" applyBorder="0" applyAlignment="0" applyProtection="0"/>
    <xf numFmtId="43" fontId="38"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38" fillId="0" borderId="0" applyFont="0" applyFill="0" applyBorder="0" applyAlignment="0" applyProtection="0"/>
    <xf numFmtId="43" fontId="38"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38" fillId="0" borderId="0" applyFont="0" applyFill="0" applyBorder="0" applyAlignment="0" applyProtection="0"/>
    <xf numFmtId="43" fontId="38"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38" fillId="0" borderId="0" applyFont="0" applyFill="0" applyBorder="0" applyAlignment="0" applyProtection="0"/>
    <xf numFmtId="43" fontId="38"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38" fillId="0" borderId="0" applyFont="0" applyFill="0" applyBorder="0" applyAlignment="0" applyProtection="0"/>
    <xf numFmtId="43" fontId="38"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38" fillId="0" borderId="0" applyFont="0" applyFill="0" applyBorder="0" applyAlignment="0" applyProtection="0"/>
    <xf numFmtId="43" fontId="38"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38" fillId="0" borderId="0" applyFont="0" applyFill="0" applyBorder="0" applyAlignment="0" applyProtection="0"/>
    <xf numFmtId="43" fontId="38"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38" fillId="0" borderId="0" applyFont="0" applyFill="0" applyBorder="0" applyAlignment="0" applyProtection="0"/>
    <xf numFmtId="43" fontId="38"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38" fillId="0" borderId="0" applyFont="0" applyFill="0" applyBorder="0" applyAlignment="0" applyProtection="0"/>
    <xf numFmtId="43" fontId="38"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38" fillId="0" borderId="0" applyFont="0" applyFill="0" applyBorder="0" applyAlignment="0" applyProtection="0"/>
    <xf numFmtId="43" fontId="38"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38" fillId="0" borderId="0" applyFont="0" applyFill="0" applyBorder="0" applyAlignment="0" applyProtection="0"/>
    <xf numFmtId="43" fontId="38"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38" fillId="0" borderId="0" applyFont="0" applyFill="0" applyBorder="0" applyAlignment="0" applyProtection="0"/>
    <xf numFmtId="43" fontId="38"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38" fillId="0" borderId="0" applyFont="0" applyFill="0" applyBorder="0" applyAlignment="0" applyProtection="0"/>
    <xf numFmtId="43" fontId="38"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38" fillId="0" borderId="0" applyFont="0" applyFill="0" applyBorder="0" applyAlignment="0" applyProtection="0"/>
    <xf numFmtId="43" fontId="38"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38" fillId="0" borderId="0" applyFont="0" applyFill="0" applyBorder="0" applyAlignment="0" applyProtection="0"/>
    <xf numFmtId="43" fontId="38"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38" fillId="0" borderId="0" applyFont="0" applyFill="0" applyBorder="0" applyAlignment="0" applyProtection="0"/>
    <xf numFmtId="43" fontId="38"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38" fillId="0" borderId="0" applyFont="0" applyFill="0" applyBorder="0" applyAlignment="0" applyProtection="0"/>
    <xf numFmtId="43" fontId="38"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38" fillId="0" borderId="0" applyFont="0" applyFill="0" applyBorder="0" applyAlignment="0" applyProtection="0"/>
    <xf numFmtId="43" fontId="38"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38" fillId="0" borderId="0" applyFont="0" applyFill="0" applyBorder="0" applyAlignment="0" applyProtection="0"/>
    <xf numFmtId="43" fontId="38"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38" fillId="0" borderId="0" applyFont="0" applyFill="0" applyBorder="0" applyAlignment="0" applyProtection="0"/>
    <xf numFmtId="43" fontId="38"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38" fillId="0" borderId="0" applyFont="0" applyFill="0" applyBorder="0" applyAlignment="0" applyProtection="0"/>
    <xf numFmtId="43" fontId="38"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38" fillId="0" borderId="0" applyFont="0" applyFill="0" applyBorder="0" applyAlignment="0" applyProtection="0"/>
    <xf numFmtId="43" fontId="38"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38" fillId="0" borderId="0" applyFont="0" applyFill="0" applyBorder="0" applyAlignment="0" applyProtection="0"/>
    <xf numFmtId="43" fontId="38"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38" fillId="0" borderId="0" applyFont="0" applyFill="0" applyBorder="0" applyAlignment="0" applyProtection="0"/>
    <xf numFmtId="43" fontId="38"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38" fillId="0" borderId="0" applyFont="0" applyFill="0" applyBorder="0" applyAlignment="0" applyProtection="0"/>
    <xf numFmtId="43" fontId="38"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38" fillId="0" borderId="0" applyFont="0" applyFill="0" applyBorder="0" applyAlignment="0" applyProtection="0"/>
    <xf numFmtId="43" fontId="38"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38" fillId="0" borderId="0" applyFont="0" applyFill="0" applyBorder="0" applyAlignment="0" applyProtection="0"/>
    <xf numFmtId="43" fontId="38"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38" fillId="0" borderId="0" applyFont="0" applyFill="0" applyBorder="0" applyAlignment="0" applyProtection="0"/>
    <xf numFmtId="43" fontId="38"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38" fillId="0" borderId="0" applyFont="0" applyFill="0" applyBorder="0" applyAlignment="0" applyProtection="0"/>
    <xf numFmtId="43" fontId="38"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38" fillId="0" borderId="0" applyFont="0" applyFill="0" applyBorder="0" applyAlignment="0" applyProtection="0"/>
    <xf numFmtId="43" fontId="38"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38" fillId="0" borderId="0" applyFont="0" applyFill="0" applyBorder="0" applyAlignment="0" applyProtection="0"/>
    <xf numFmtId="43" fontId="38"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38" fillId="0" borderId="0" applyFont="0" applyFill="0" applyBorder="0" applyAlignment="0" applyProtection="0"/>
    <xf numFmtId="43" fontId="38" fillId="0" borderId="0" applyFont="0" applyFill="0" applyBorder="0" applyAlignment="0" applyProtection="0"/>
    <xf numFmtId="0" fontId="1" fillId="0" borderId="0"/>
    <xf numFmtId="0" fontId="1" fillId="0" borderId="0"/>
    <xf numFmtId="0" fontId="31" fillId="0" borderId="0"/>
    <xf numFmtId="4" fontId="41" fillId="0" borderId="2" applyFill="0" applyBorder="0" applyProtection="0">
      <alignment horizontal="right" vertical="center"/>
    </xf>
    <xf numFmtId="0" fontId="41" fillId="0" borderId="2" applyNumberFormat="0" applyFill="0" applyAlignment="0" applyProtection="0"/>
    <xf numFmtId="0" fontId="10" fillId="26" borderId="11" applyNumberFormat="0" applyFont="0" applyAlignment="0" applyProtection="0"/>
    <xf numFmtId="0" fontId="10" fillId="26" borderId="11" applyNumberFormat="0" applyFont="0" applyAlignment="0" applyProtection="0"/>
    <xf numFmtId="0" fontId="38" fillId="26" borderId="11" applyNumberFormat="0" applyFont="0" applyAlignment="0" applyProtection="0"/>
    <xf numFmtId="0" fontId="38" fillId="26" borderId="11" applyNumberFormat="0" applyFont="0" applyAlignment="0" applyProtection="0"/>
    <xf numFmtId="0" fontId="21" fillId="21" borderId="12" applyNumberFormat="0" applyAlignment="0" applyProtection="0"/>
    <xf numFmtId="0" fontId="21" fillId="21" borderId="12" applyNumberFormat="0" applyAlignment="0" applyProtection="0"/>
    <xf numFmtId="181" fontId="41" fillId="27" borderId="2" applyNumberFormat="0" applyFont="0" applyBorder="0" applyAlignment="0" applyProtection="0">
      <alignment horizontal="right" vertical="center"/>
    </xf>
    <xf numFmtId="9" fontId="1" fillId="0" borderId="0" applyFont="0" applyFill="0" applyBorder="0" applyAlignment="0" applyProtection="0"/>
    <xf numFmtId="9" fontId="31" fillId="0" borderId="0" applyFont="0" applyFill="0" applyBorder="0" applyAlignment="0" applyProtection="0"/>
    <xf numFmtId="0" fontId="28" fillId="0" borderId="13" applyNumberFormat="0" applyFill="0" applyAlignment="0" applyProtection="0"/>
    <xf numFmtId="189" fontId="10" fillId="0" borderId="0" applyFont="0" applyFill="0" applyBorder="0" applyAlignment="0" applyProtection="0"/>
    <xf numFmtId="189" fontId="10" fillId="0" borderId="0" applyFont="0" applyFill="0" applyBorder="0" applyAlignment="0" applyProtection="0"/>
    <xf numFmtId="0" fontId="1" fillId="0" borderId="0"/>
    <xf numFmtId="0" fontId="1" fillId="58" borderId="104" applyNumberFormat="0" applyFont="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08" fillId="21" borderId="4" applyNumberFormat="0" applyFill="0" applyBorder="0" applyAlignment="0" applyProtection="0"/>
    <xf numFmtId="165" fontId="1" fillId="0" borderId="0" applyFont="0" applyFill="0" applyBorder="0" applyAlignment="0" applyProtection="0"/>
    <xf numFmtId="9" fontId="1" fillId="0" borderId="0" applyFont="0" applyFill="0" applyBorder="0" applyAlignment="0" applyProtection="0"/>
    <xf numFmtId="43" fontId="1"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0" fillId="26" borderId="11" applyNumberFormat="0" applyFont="0" applyAlignment="0" applyProtection="0"/>
    <xf numFmtId="0" fontId="10" fillId="26" borderId="11" applyNumberFormat="0" applyFont="0" applyAlignment="0" applyProtection="0"/>
    <xf numFmtId="9" fontId="1" fillId="0" borderId="0" applyFont="0" applyFill="0" applyBorder="0" applyAlignment="0" applyProtection="0"/>
    <xf numFmtId="0" fontId="10" fillId="58" borderId="104" applyNumberFormat="0" applyFont="0" applyAlignment="0" applyProtection="0"/>
    <xf numFmtId="0" fontId="1" fillId="0" borderId="0"/>
    <xf numFmtId="0" fontId="1" fillId="65" borderId="0" applyNumberFormat="0" applyBorder="0" applyAlignment="0" applyProtection="0"/>
    <xf numFmtId="0" fontId="1" fillId="76" borderId="0" applyNumberFormat="0" applyBorder="0" applyAlignment="0" applyProtection="0"/>
    <xf numFmtId="43" fontId="10" fillId="0" borderId="0" applyFont="0" applyFill="0" applyBorder="0" applyAlignment="0" applyProtection="0"/>
    <xf numFmtId="0" fontId="1" fillId="0" borderId="0"/>
    <xf numFmtId="9"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8"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6" borderId="0" applyNumberFormat="0" applyBorder="0" applyAlignment="0" applyProtection="0"/>
    <xf numFmtId="0" fontId="1" fillId="76" borderId="0" applyNumberFormat="0" applyBorder="0" applyAlignment="0" applyProtection="0"/>
    <xf numFmtId="0" fontId="1" fillId="76" borderId="0" applyNumberFormat="0" applyBorder="0" applyAlignment="0" applyProtection="0"/>
    <xf numFmtId="0" fontId="1" fillId="76" borderId="0" applyNumberFormat="0" applyBorder="0" applyAlignment="0" applyProtection="0"/>
    <xf numFmtId="0" fontId="1" fillId="76" borderId="0" applyNumberFormat="0" applyBorder="0" applyAlignment="0" applyProtection="0"/>
    <xf numFmtId="0" fontId="1" fillId="76" borderId="0" applyNumberFormat="0" applyBorder="0" applyAlignment="0" applyProtection="0"/>
    <xf numFmtId="0" fontId="1" fillId="76" borderId="0" applyNumberFormat="0" applyBorder="0" applyAlignment="0" applyProtection="0"/>
    <xf numFmtId="0" fontId="1" fillId="76" borderId="0" applyNumberFormat="0" applyBorder="0" applyAlignment="0" applyProtection="0"/>
    <xf numFmtId="0" fontId="1" fillId="76" borderId="0" applyNumberFormat="0" applyBorder="0" applyAlignment="0" applyProtection="0"/>
    <xf numFmtId="0" fontId="1" fillId="76" borderId="0" applyNumberFormat="0" applyBorder="0" applyAlignment="0" applyProtection="0"/>
    <xf numFmtId="0" fontId="1" fillId="76" borderId="0" applyNumberFormat="0" applyBorder="0" applyAlignment="0" applyProtection="0"/>
    <xf numFmtId="0" fontId="1" fillId="76" borderId="0" applyNumberFormat="0" applyBorder="0" applyAlignment="0" applyProtection="0"/>
    <xf numFmtId="0" fontId="1" fillId="76" borderId="0" applyNumberFormat="0" applyBorder="0" applyAlignment="0" applyProtection="0"/>
    <xf numFmtId="0" fontId="1" fillId="76" borderId="0" applyNumberFormat="0" applyBorder="0" applyAlignment="0" applyProtection="0"/>
    <xf numFmtId="0" fontId="1" fillId="76" borderId="0" applyNumberFormat="0" applyBorder="0" applyAlignment="0" applyProtection="0"/>
    <xf numFmtId="0" fontId="1" fillId="76" borderId="0" applyNumberFormat="0" applyBorder="0" applyAlignment="0" applyProtection="0"/>
    <xf numFmtId="0" fontId="1" fillId="76" borderId="0" applyNumberFormat="0" applyBorder="0" applyAlignment="0" applyProtection="0"/>
    <xf numFmtId="0" fontId="1" fillId="76" borderId="0" applyNumberFormat="0" applyBorder="0" applyAlignment="0" applyProtection="0"/>
    <xf numFmtId="0" fontId="1" fillId="76" borderId="0" applyNumberFormat="0" applyBorder="0" applyAlignment="0" applyProtection="0"/>
    <xf numFmtId="0" fontId="1" fillId="76" borderId="0" applyNumberFormat="0" applyBorder="0" applyAlignment="0" applyProtection="0"/>
    <xf numFmtId="0" fontId="1" fillId="76" borderId="0" applyNumberFormat="0" applyBorder="0" applyAlignment="0" applyProtection="0"/>
    <xf numFmtId="0" fontId="1" fillId="76" borderId="0" applyNumberFormat="0" applyBorder="0" applyAlignment="0" applyProtection="0"/>
    <xf numFmtId="0" fontId="1" fillId="76" borderId="0" applyNumberFormat="0" applyBorder="0" applyAlignment="0" applyProtection="0"/>
    <xf numFmtId="0" fontId="1" fillId="76" borderId="0" applyNumberFormat="0" applyBorder="0" applyAlignment="0" applyProtection="0"/>
    <xf numFmtId="0" fontId="1" fillId="76" borderId="0" applyNumberFormat="0" applyBorder="0" applyAlignment="0" applyProtection="0"/>
    <xf numFmtId="0" fontId="1" fillId="76" borderId="0" applyNumberFormat="0" applyBorder="0" applyAlignment="0" applyProtection="0"/>
    <xf numFmtId="0" fontId="1" fillId="76" borderId="0" applyNumberFormat="0" applyBorder="0" applyAlignment="0" applyProtection="0"/>
    <xf numFmtId="0" fontId="1" fillId="76" borderId="0" applyNumberFormat="0" applyBorder="0" applyAlignment="0" applyProtection="0"/>
    <xf numFmtId="0" fontId="1" fillId="76" borderId="0" applyNumberFormat="0" applyBorder="0" applyAlignment="0" applyProtection="0"/>
    <xf numFmtId="0" fontId="1" fillId="76" borderId="0" applyNumberFormat="0" applyBorder="0" applyAlignment="0" applyProtection="0"/>
    <xf numFmtId="0" fontId="1" fillId="76" borderId="0" applyNumberFormat="0" applyBorder="0" applyAlignment="0" applyProtection="0"/>
    <xf numFmtId="0" fontId="1" fillId="76" borderId="0" applyNumberFormat="0" applyBorder="0" applyAlignment="0" applyProtection="0"/>
    <xf numFmtId="0" fontId="1" fillId="76" borderId="0" applyNumberFormat="0" applyBorder="0" applyAlignment="0" applyProtection="0"/>
    <xf numFmtId="0" fontId="1" fillId="76" borderId="0" applyNumberFormat="0" applyBorder="0" applyAlignment="0" applyProtection="0"/>
    <xf numFmtId="0" fontId="1" fillId="76" borderId="0" applyNumberFormat="0" applyBorder="0" applyAlignment="0" applyProtection="0"/>
    <xf numFmtId="0" fontId="1" fillId="76" borderId="0" applyNumberFormat="0" applyBorder="0" applyAlignment="0" applyProtection="0"/>
    <xf numFmtId="0" fontId="1" fillId="76" borderId="0" applyNumberFormat="0" applyBorder="0" applyAlignment="0" applyProtection="0"/>
    <xf numFmtId="0" fontId="1" fillId="76" borderId="0" applyNumberFormat="0" applyBorder="0" applyAlignment="0" applyProtection="0"/>
    <xf numFmtId="0" fontId="1" fillId="76" borderId="0" applyNumberFormat="0" applyBorder="0" applyAlignment="0" applyProtection="0"/>
    <xf numFmtId="0" fontId="1" fillId="76" borderId="0" applyNumberFormat="0" applyBorder="0" applyAlignment="0" applyProtection="0"/>
    <xf numFmtId="0" fontId="1" fillId="76" borderId="0" applyNumberFormat="0" applyBorder="0" applyAlignment="0" applyProtection="0"/>
    <xf numFmtId="0" fontId="1" fillId="76" borderId="0" applyNumberFormat="0" applyBorder="0" applyAlignment="0" applyProtection="0"/>
    <xf numFmtId="0" fontId="1" fillId="76" borderId="0" applyNumberFormat="0" applyBorder="0" applyAlignment="0" applyProtection="0"/>
    <xf numFmtId="0" fontId="1" fillId="76" borderId="0" applyNumberFormat="0" applyBorder="0" applyAlignment="0" applyProtection="0"/>
    <xf numFmtId="0" fontId="1" fillId="76" borderId="0" applyNumberFormat="0" applyBorder="0" applyAlignment="0" applyProtection="0"/>
    <xf numFmtId="0" fontId="1" fillId="76" borderId="0" applyNumberFormat="0" applyBorder="0" applyAlignment="0" applyProtection="0"/>
    <xf numFmtId="0" fontId="1" fillId="76" borderId="0" applyNumberFormat="0" applyBorder="0" applyAlignment="0" applyProtection="0"/>
    <xf numFmtId="0" fontId="1" fillId="76" borderId="0" applyNumberFormat="0" applyBorder="0" applyAlignment="0" applyProtection="0"/>
    <xf numFmtId="0" fontId="1" fillId="76" borderId="0" applyNumberFormat="0" applyBorder="0" applyAlignment="0" applyProtection="0"/>
    <xf numFmtId="0" fontId="1" fillId="76" borderId="0" applyNumberFormat="0" applyBorder="0" applyAlignment="0" applyProtection="0"/>
    <xf numFmtId="0" fontId="1" fillId="76" borderId="0" applyNumberFormat="0" applyBorder="0" applyAlignment="0" applyProtection="0"/>
    <xf numFmtId="0" fontId="1" fillId="76" borderId="0" applyNumberFormat="0" applyBorder="0" applyAlignment="0" applyProtection="0"/>
    <xf numFmtId="0" fontId="1" fillId="76" borderId="0" applyNumberFormat="0" applyBorder="0" applyAlignment="0" applyProtection="0"/>
    <xf numFmtId="0" fontId="1" fillId="76" borderId="0" applyNumberFormat="0" applyBorder="0" applyAlignment="0" applyProtection="0"/>
    <xf numFmtId="0" fontId="1" fillId="76" borderId="0" applyNumberFormat="0" applyBorder="0" applyAlignment="0" applyProtection="0"/>
    <xf numFmtId="0" fontId="1" fillId="76" borderId="0" applyNumberFormat="0" applyBorder="0" applyAlignment="0" applyProtection="0"/>
    <xf numFmtId="0" fontId="1" fillId="76" borderId="0" applyNumberFormat="0" applyBorder="0" applyAlignment="0" applyProtection="0"/>
    <xf numFmtId="0" fontId="1" fillId="76" borderId="0" applyNumberFormat="0" applyBorder="0" applyAlignment="0" applyProtection="0"/>
    <xf numFmtId="0" fontId="1" fillId="76" borderId="0" applyNumberFormat="0" applyBorder="0" applyAlignment="0" applyProtection="0"/>
    <xf numFmtId="0" fontId="1" fillId="76" borderId="0" applyNumberFormat="0" applyBorder="0" applyAlignment="0" applyProtection="0"/>
    <xf numFmtId="0" fontId="1" fillId="76" borderId="0" applyNumberFormat="0" applyBorder="0" applyAlignment="0" applyProtection="0"/>
    <xf numFmtId="0" fontId="1" fillId="76" borderId="0" applyNumberFormat="0" applyBorder="0" applyAlignment="0" applyProtection="0"/>
    <xf numFmtId="0" fontId="1" fillId="76" borderId="0" applyNumberFormat="0" applyBorder="0" applyAlignment="0" applyProtection="0"/>
    <xf numFmtId="0" fontId="1" fillId="76" borderId="0" applyNumberFormat="0" applyBorder="0" applyAlignment="0" applyProtection="0"/>
    <xf numFmtId="0" fontId="1" fillId="76" borderId="0" applyNumberFormat="0" applyBorder="0" applyAlignment="0" applyProtection="0"/>
    <xf numFmtId="0" fontId="1" fillId="76" borderId="0" applyNumberFormat="0" applyBorder="0" applyAlignment="0" applyProtection="0"/>
    <xf numFmtId="0" fontId="1" fillId="76" borderId="0" applyNumberFormat="0" applyBorder="0" applyAlignment="0" applyProtection="0"/>
    <xf numFmtId="0" fontId="1" fillId="76" borderId="0" applyNumberFormat="0" applyBorder="0" applyAlignment="0" applyProtection="0"/>
    <xf numFmtId="0" fontId="1" fillId="76" borderId="0" applyNumberFormat="0" applyBorder="0" applyAlignment="0" applyProtection="0"/>
    <xf numFmtId="0" fontId="1" fillId="76" borderId="0" applyNumberFormat="0" applyBorder="0" applyAlignment="0" applyProtection="0"/>
    <xf numFmtId="0" fontId="1" fillId="76" borderId="0" applyNumberFormat="0" applyBorder="0" applyAlignment="0" applyProtection="0"/>
    <xf numFmtId="0" fontId="1" fillId="76" borderId="0" applyNumberFormat="0" applyBorder="0" applyAlignment="0" applyProtection="0"/>
    <xf numFmtId="0" fontId="1" fillId="76" borderId="0" applyNumberFormat="0" applyBorder="0" applyAlignment="0" applyProtection="0"/>
    <xf numFmtId="0" fontId="1" fillId="76" borderId="0" applyNumberFormat="0" applyBorder="0" applyAlignment="0" applyProtection="0"/>
    <xf numFmtId="0" fontId="1" fillId="76" borderId="0" applyNumberFormat="0" applyBorder="0" applyAlignment="0" applyProtection="0"/>
    <xf numFmtId="0" fontId="1" fillId="76" borderId="0" applyNumberFormat="0" applyBorder="0" applyAlignment="0" applyProtection="0"/>
    <xf numFmtId="0" fontId="1" fillId="76" borderId="0" applyNumberFormat="0" applyBorder="0" applyAlignment="0" applyProtection="0"/>
    <xf numFmtId="0" fontId="1" fillId="76" borderId="0" applyNumberFormat="0" applyBorder="0" applyAlignment="0" applyProtection="0"/>
    <xf numFmtId="0" fontId="1" fillId="76" borderId="0" applyNumberFormat="0" applyBorder="0" applyAlignment="0" applyProtection="0"/>
    <xf numFmtId="0" fontId="1" fillId="76" borderId="0" applyNumberFormat="0" applyBorder="0" applyAlignment="0" applyProtection="0"/>
    <xf numFmtId="0" fontId="1" fillId="76" borderId="0" applyNumberFormat="0" applyBorder="0" applyAlignment="0" applyProtection="0"/>
    <xf numFmtId="0" fontId="1" fillId="76" borderId="0" applyNumberFormat="0" applyBorder="0" applyAlignment="0" applyProtection="0"/>
    <xf numFmtId="0" fontId="1" fillId="76" borderId="0" applyNumberFormat="0" applyBorder="0" applyAlignment="0" applyProtection="0"/>
    <xf numFmtId="0" fontId="1" fillId="76" borderId="0" applyNumberFormat="0" applyBorder="0" applyAlignment="0" applyProtection="0"/>
    <xf numFmtId="0" fontId="1" fillId="76" borderId="0" applyNumberFormat="0" applyBorder="0" applyAlignment="0" applyProtection="0"/>
    <xf numFmtId="0" fontId="1" fillId="76" borderId="0" applyNumberFormat="0" applyBorder="0" applyAlignment="0" applyProtection="0"/>
    <xf numFmtId="0" fontId="1" fillId="76" borderId="0" applyNumberFormat="0" applyBorder="0" applyAlignment="0" applyProtection="0"/>
    <xf numFmtId="0" fontId="1" fillId="76" borderId="0" applyNumberFormat="0" applyBorder="0" applyAlignment="0" applyProtection="0"/>
    <xf numFmtId="0" fontId="1" fillId="76" borderId="0" applyNumberFormat="0" applyBorder="0" applyAlignment="0" applyProtection="0"/>
    <xf numFmtId="0" fontId="1" fillId="76" borderId="0" applyNumberFormat="0" applyBorder="0" applyAlignment="0" applyProtection="0"/>
    <xf numFmtId="0" fontId="1" fillId="76" borderId="0" applyNumberFormat="0" applyBorder="0" applyAlignment="0" applyProtection="0"/>
    <xf numFmtId="0" fontId="1" fillId="76" borderId="0" applyNumberFormat="0" applyBorder="0" applyAlignment="0" applyProtection="0"/>
    <xf numFmtId="0" fontId="1" fillId="76" borderId="0" applyNumberFormat="0" applyBorder="0" applyAlignment="0" applyProtection="0"/>
    <xf numFmtId="0" fontId="1" fillId="76" borderId="0" applyNumberFormat="0" applyBorder="0" applyAlignment="0" applyProtection="0"/>
    <xf numFmtId="0" fontId="1" fillId="76" borderId="0" applyNumberFormat="0" applyBorder="0" applyAlignment="0" applyProtection="0"/>
    <xf numFmtId="0" fontId="1" fillId="76" borderId="0" applyNumberFormat="0" applyBorder="0" applyAlignment="0" applyProtection="0"/>
    <xf numFmtId="0" fontId="1" fillId="76" borderId="0" applyNumberFormat="0" applyBorder="0" applyAlignment="0" applyProtection="0"/>
    <xf numFmtId="0" fontId="1" fillId="76" borderId="0" applyNumberFormat="0" applyBorder="0" applyAlignment="0" applyProtection="0"/>
    <xf numFmtId="0" fontId="1" fillId="76" borderId="0" applyNumberFormat="0" applyBorder="0" applyAlignment="0" applyProtection="0"/>
    <xf numFmtId="0" fontId="1" fillId="76" borderId="0" applyNumberFormat="0" applyBorder="0" applyAlignment="0" applyProtection="0"/>
    <xf numFmtId="0" fontId="1" fillId="76" borderId="0" applyNumberFormat="0" applyBorder="0" applyAlignment="0" applyProtection="0"/>
    <xf numFmtId="0" fontId="1" fillId="76" borderId="0" applyNumberFormat="0" applyBorder="0" applyAlignment="0" applyProtection="0"/>
    <xf numFmtId="0" fontId="1" fillId="76" borderId="0" applyNumberFormat="0" applyBorder="0" applyAlignment="0" applyProtection="0"/>
    <xf numFmtId="0" fontId="1" fillId="76" borderId="0" applyNumberFormat="0" applyBorder="0" applyAlignment="0" applyProtection="0"/>
    <xf numFmtId="0" fontId="1" fillId="76" borderId="0" applyNumberFormat="0" applyBorder="0" applyAlignment="0" applyProtection="0"/>
    <xf numFmtId="0" fontId="1" fillId="76" borderId="0" applyNumberFormat="0" applyBorder="0" applyAlignment="0" applyProtection="0"/>
    <xf numFmtId="0" fontId="1" fillId="76" borderId="0" applyNumberFormat="0" applyBorder="0" applyAlignment="0" applyProtection="0"/>
    <xf numFmtId="0" fontId="1" fillId="76" borderId="0" applyNumberFormat="0" applyBorder="0" applyAlignment="0" applyProtection="0"/>
    <xf numFmtId="0" fontId="1" fillId="76" borderId="0" applyNumberFormat="0" applyBorder="0" applyAlignment="0" applyProtection="0"/>
    <xf numFmtId="0" fontId="1" fillId="76" borderId="0" applyNumberFormat="0" applyBorder="0" applyAlignment="0" applyProtection="0"/>
    <xf numFmtId="0" fontId="1" fillId="76" borderId="0" applyNumberFormat="0" applyBorder="0" applyAlignment="0" applyProtection="0"/>
    <xf numFmtId="0" fontId="1" fillId="76" borderId="0" applyNumberFormat="0" applyBorder="0" applyAlignment="0" applyProtection="0"/>
    <xf numFmtId="0" fontId="1" fillId="76" borderId="0" applyNumberFormat="0" applyBorder="0" applyAlignment="0" applyProtection="0"/>
    <xf numFmtId="0" fontId="1" fillId="76" borderId="0" applyNumberFormat="0" applyBorder="0" applyAlignment="0" applyProtection="0"/>
    <xf numFmtId="0" fontId="1" fillId="76" borderId="0" applyNumberFormat="0" applyBorder="0" applyAlignment="0" applyProtection="0"/>
    <xf numFmtId="0" fontId="1" fillId="76" borderId="0" applyNumberFormat="0" applyBorder="0" applyAlignment="0" applyProtection="0"/>
    <xf numFmtId="0" fontId="1" fillId="76" borderId="0" applyNumberFormat="0" applyBorder="0" applyAlignment="0" applyProtection="0"/>
    <xf numFmtId="0" fontId="1" fillId="76" borderId="0" applyNumberFormat="0" applyBorder="0" applyAlignment="0" applyProtection="0"/>
    <xf numFmtId="0" fontId="1" fillId="76" borderId="0" applyNumberFormat="0" applyBorder="0" applyAlignment="0" applyProtection="0"/>
    <xf numFmtId="0" fontId="1" fillId="76" borderId="0" applyNumberFormat="0" applyBorder="0" applyAlignment="0" applyProtection="0"/>
    <xf numFmtId="0" fontId="1" fillId="76" borderId="0" applyNumberFormat="0" applyBorder="0" applyAlignment="0" applyProtection="0"/>
    <xf numFmtId="0" fontId="1" fillId="76" borderId="0" applyNumberFormat="0" applyBorder="0" applyAlignment="0" applyProtection="0"/>
    <xf numFmtId="0" fontId="1" fillId="76" borderId="0" applyNumberFormat="0" applyBorder="0" applyAlignment="0" applyProtection="0"/>
    <xf numFmtId="0" fontId="1" fillId="76" borderId="0" applyNumberFormat="0" applyBorder="0" applyAlignment="0" applyProtection="0"/>
    <xf numFmtId="0" fontId="1" fillId="76" borderId="0" applyNumberFormat="0" applyBorder="0" applyAlignment="0" applyProtection="0"/>
    <xf numFmtId="0" fontId="1" fillId="76" borderId="0" applyNumberFormat="0" applyBorder="0" applyAlignment="0" applyProtection="0"/>
    <xf numFmtId="0" fontId="1" fillId="76" borderId="0" applyNumberFormat="0" applyBorder="0" applyAlignment="0" applyProtection="0"/>
    <xf numFmtId="0" fontId="1" fillId="76" borderId="0" applyNumberFormat="0" applyBorder="0" applyAlignment="0" applyProtection="0"/>
    <xf numFmtId="0" fontId="1" fillId="76" borderId="0" applyNumberFormat="0" applyBorder="0" applyAlignment="0" applyProtection="0"/>
    <xf numFmtId="0" fontId="1" fillId="76" borderId="0" applyNumberFormat="0" applyBorder="0" applyAlignment="0" applyProtection="0"/>
    <xf numFmtId="0" fontId="1" fillId="76" borderId="0" applyNumberFormat="0" applyBorder="0" applyAlignment="0" applyProtection="0"/>
    <xf numFmtId="0" fontId="1" fillId="76" borderId="0" applyNumberFormat="0" applyBorder="0" applyAlignment="0" applyProtection="0"/>
    <xf numFmtId="0" fontId="1" fillId="76" borderId="0" applyNumberFormat="0" applyBorder="0" applyAlignment="0" applyProtection="0"/>
    <xf numFmtId="0" fontId="1" fillId="76" borderId="0" applyNumberFormat="0" applyBorder="0" applyAlignment="0" applyProtection="0"/>
    <xf numFmtId="0" fontId="1" fillId="76" borderId="0" applyNumberFormat="0" applyBorder="0" applyAlignment="0" applyProtection="0"/>
    <xf numFmtId="0" fontId="1" fillId="76" borderId="0" applyNumberFormat="0" applyBorder="0" applyAlignment="0" applyProtection="0"/>
    <xf numFmtId="0" fontId="1" fillId="76" borderId="0" applyNumberFormat="0" applyBorder="0" applyAlignment="0" applyProtection="0"/>
    <xf numFmtId="0" fontId="1" fillId="76" borderId="0" applyNumberFormat="0" applyBorder="0" applyAlignment="0" applyProtection="0"/>
    <xf numFmtId="0" fontId="1" fillId="76" borderId="0" applyNumberFormat="0" applyBorder="0" applyAlignment="0" applyProtection="0"/>
    <xf numFmtId="0" fontId="1" fillId="76" borderId="0" applyNumberFormat="0" applyBorder="0" applyAlignment="0" applyProtection="0"/>
    <xf numFmtId="0" fontId="1" fillId="76" borderId="0" applyNumberFormat="0" applyBorder="0" applyAlignment="0" applyProtection="0"/>
    <xf numFmtId="0" fontId="1" fillId="76" borderId="0" applyNumberFormat="0" applyBorder="0" applyAlignment="0" applyProtection="0"/>
    <xf numFmtId="0" fontId="1" fillId="76" borderId="0" applyNumberFormat="0" applyBorder="0" applyAlignment="0" applyProtection="0"/>
    <xf numFmtId="0" fontId="1" fillId="76" borderId="0" applyNumberFormat="0" applyBorder="0" applyAlignment="0" applyProtection="0"/>
    <xf numFmtId="0" fontId="1" fillId="76" borderId="0" applyNumberFormat="0" applyBorder="0" applyAlignment="0" applyProtection="0"/>
    <xf numFmtId="0" fontId="1" fillId="76" borderId="0" applyNumberFormat="0" applyBorder="0" applyAlignment="0" applyProtection="0"/>
    <xf numFmtId="0" fontId="1" fillId="76" borderId="0" applyNumberFormat="0" applyBorder="0" applyAlignment="0" applyProtection="0"/>
    <xf numFmtId="0" fontId="1" fillId="76" borderId="0" applyNumberFormat="0" applyBorder="0" applyAlignment="0" applyProtection="0"/>
    <xf numFmtId="0" fontId="1" fillId="76" borderId="0" applyNumberFormat="0" applyBorder="0" applyAlignment="0" applyProtection="0"/>
    <xf numFmtId="0" fontId="1" fillId="76" borderId="0" applyNumberFormat="0" applyBorder="0" applyAlignment="0" applyProtection="0"/>
    <xf numFmtId="0" fontId="1" fillId="76" borderId="0" applyNumberFormat="0" applyBorder="0" applyAlignment="0" applyProtection="0"/>
    <xf numFmtId="0" fontId="1" fillId="76" borderId="0" applyNumberFormat="0" applyBorder="0" applyAlignment="0" applyProtection="0"/>
    <xf numFmtId="0" fontId="1" fillId="76" borderId="0" applyNumberFormat="0" applyBorder="0" applyAlignment="0" applyProtection="0"/>
    <xf numFmtId="0" fontId="1" fillId="76" borderId="0" applyNumberFormat="0" applyBorder="0" applyAlignment="0" applyProtection="0"/>
    <xf numFmtId="0" fontId="1" fillId="76" borderId="0" applyNumberFormat="0" applyBorder="0" applyAlignment="0" applyProtection="0"/>
    <xf numFmtId="0" fontId="1" fillId="76" borderId="0" applyNumberFormat="0" applyBorder="0" applyAlignment="0" applyProtection="0"/>
    <xf numFmtId="0" fontId="1" fillId="76" borderId="0" applyNumberFormat="0" applyBorder="0" applyAlignment="0" applyProtection="0"/>
    <xf numFmtId="0" fontId="1" fillId="76" borderId="0" applyNumberFormat="0" applyBorder="0" applyAlignment="0" applyProtection="0"/>
    <xf numFmtId="0" fontId="1" fillId="76" borderId="0" applyNumberFormat="0" applyBorder="0" applyAlignment="0" applyProtection="0"/>
    <xf numFmtId="0" fontId="1" fillId="76" borderId="0" applyNumberFormat="0" applyBorder="0" applyAlignment="0" applyProtection="0"/>
    <xf numFmtId="0" fontId="1" fillId="76" borderId="0" applyNumberFormat="0" applyBorder="0" applyAlignment="0" applyProtection="0"/>
    <xf numFmtId="0" fontId="1" fillId="7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49" fontId="41" fillId="0" borderId="2" applyNumberFormat="0" applyFont="0" applyFill="0" applyBorder="0" applyProtection="0">
      <alignment horizontal="left" vertical="center" indent="2"/>
    </xf>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5" borderId="0" applyNumberFormat="0" applyBorder="0" applyAlignment="0" applyProtection="0"/>
    <xf numFmtId="0" fontId="1" fillId="65" borderId="0" applyNumberFormat="0" applyBorder="0" applyAlignment="0" applyProtection="0"/>
    <xf numFmtId="0" fontId="1" fillId="65" borderId="0" applyNumberFormat="0" applyBorder="0" applyAlignment="0" applyProtection="0"/>
    <xf numFmtId="0" fontId="1" fillId="65" borderId="0" applyNumberFormat="0" applyBorder="0" applyAlignment="0" applyProtection="0"/>
    <xf numFmtId="0" fontId="1" fillId="65" borderId="0" applyNumberFormat="0" applyBorder="0" applyAlignment="0" applyProtection="0"/>
    <xf numFmtId="0" fontId="1" fillId="65" borderId="0" applyNumberFormat="0" applyBorder="0" applyAlignment="0" applyProtection="0"/>
    <xf numFmtId="0" fontId="1" fillId="65" borderId="0" applyNumberFormat="0" applyBorder="0" applyAlignment="0" applyProtection="0"/>
    <xf numFmtId="0" fontId="1" fillId="65" borderId="0" applyNumberFormat="0" applyBorder="0" applyAlignment="0" applyProtection="0"/>
    <xf numFmtId="0" fontId="1" fillId="65" borderId="0" applyNumberFormat="0" applyBorder="0" applyAlignment="0" applyProtection="0"/>
    <xf numFmtId="0" fontId="1" fillId="65" borderId="0" applyNumberFormat="0" applyBorder="0" applyAlignment="0" applyProtection="0"/>
    <xf numFmtId="0" fontId="1" fillId="65" borderId="0" applyNumberFormat="0" applyBorder="0" applyAlignment="0" applyProtection="0"/>
    <xf numFmtId="0" fontId="1" fillId="65" borderId="0" applyNumberFormat="0" applyBorder="0" applyAlignment="0" applyProtection="0"/>
    <xf numFmtId="0" fontId="1" fillId="65" borderId="0" applyNumberFormat="0" applyBorder="0" applyAlignment="0" applyProtection="0"/>
    <xf numFmtId="0" fontId="1" fillId="65" borderId="0" applyNumberFormat="0" applyBorder="0" applyAlignment="0" applyProtection="0"/>
    <xf numFmtId="0" fontId="1" fillId="65" borderId="0" applyNumberFormat="0" applyBorder="0" applyAlignment="0" applyProtection="0"/>
    <xf numFmtId="0" fontId="1" fillId="65" borderId="0" applyNumberFormat="0" applyBorder="0" applyAlignment="0" applyProtection="0"/>
    <xf numFmtId="0" fontId="1" fillId="65" borderId="0" applyNumberFormat="0" applyBorder="0" applyAlignment="0" applyProtection="0"/>
    <xf numFmtId="0" fontId="1" fillId="65" borderId="0" applyNumberFormat="0" applyBorder="0" applyAlignment="0" applyProtection="0"/>
    <xf numFmtId="0" fontId="1" fillId="65" borderId="0" applyNumberFormat="0" applyBorder="0" applyAlignment="0" applyProtection="0"/>
    <xf numFmtId="0" fontId="1" fillId="65" borderId="0" applyNumberFormat="0" applyBorder="0" applyAlignment="0" applyProtection="0"/>
    <xf numFmtId="0" fontId="1" fillId="65" borderId="0" applyNumberFormat="0" applyBorder="0" applyAlignment="0" applyProtection="0"/>
    <xf numFmtId="0" fontId="1" fillId="65" borderId="0" applyNumberFormat="0" applyBorder="0" applyAlignment="0" applyProtection="0"/>
    <xf numFmtId="0" fontId="1" fillId="65" borderId="0" applyNumberFormat="0" applyBorder="0" applyAlignment="0" applyProtection="0"/>
    <xf numFmtId="0" fontId="1" fillId="65" borderId="0" applyNumberFormat="0" applyBorder="0" applyAlignment="0" applyProtection="0"/>
    <xf numFmtId="0" fontId="1" fillId="65" borderId="0" applyNumberFormat="0" applyBorder="0" applyAlignment="0" applyProtection="0"/>
    <xf numFmtId="0" fontId="1" fillId="65" borderId="0" applyNumberFormat="0" applyBorder="0" applyAlignment="0" applyProtection="0"/>
    <xf numFmtId="0" fontId="1" fillId="65" borderId="0" applyNumberFormat="0" applyBorder="0" applyAlignment="0" applyProtection="0"/>
    <xf numFmtId="0" fontId="1" fillId="65" borderId="0" applyNumberFormat="0" applyBorder="0" applyAlignment="0" applyProtection="0"/>
    <xf numFmtId="0" fontId="1" fillId="65" borderId="0" applyNumberFormat="0" applyBorder="0" applyAlignment="0" applyProtection="0"/>
    <xf numFmtId="0" fontId="1" fillId="65" borderId="0" applyNumberFormat="0" applyBorder="0" applyAlignment="0" applyProtection="0"/>
    <xf numFmtId="0" fontId="1" fillId="65" borderId="0" applyNumberFormat="0" applyBorder="0" applyAlignment="0" applyProtection="0"/>
    <xf numFmtId="0" fontId="1" fillId="65" borderId="0" applyNumberFormat="0" applyBorder="0" applyAlignment="0" applyProtection="0"/>
    <xf numFmtId="0" fontId="1" fillId="65" borderId="0" applyNumberFormat="0" applyBorder="0" applyAlignment="0" applyProtection="0"/>
    <xf numFmtId="0" fontId="1" fillId="65" borderId="0" applyNumberFormat="0" applyBorder="0" applyAlignment="0" applyProtection="0"/>
    <xf numFmtId="0" fontId="1" fillId="65" borderId="0" applyNumberFormat="0" applyBorder="0" applyAlignment="0" applyProtection="0"/>
    <xf numFmtId="0" fontId="1" fillId="65" borderId="0" applyNumberFormat="0" applyBorder="0" applyAlignment="0" applyProtection="0"/>
    <xf numFmtId="0" fontId="1" fillId="65" borderId="0" applyNumberFormat="0" applyBorder="0" applyAlignment="0" applyProtection="0"/>
    <xf numFmtId="0" fontId="1" fillId="65" borderId="0" applyNumberFormat="0" applyBorder="0" applyAlignment="0" applyProtection="0"/>
    <xf numFmtId="0" fontId="1" fillId="65" borderId="0" applyNumberFormat="0" applyBorder="0" applyAlignment="0" applyProtection="0"/>
    <xf numFmtId="0" fontId="1" fillId="65" borderId="0" applyNumberFormat="0" applyBorder="0" applyAlignment="0" applyProtection="0"/>
    <xf numFmtId="0" fontId="1" fillId="65" borderId="0" applyNumberFormat="0" applyBorder="0" applyAlignment="0" applyProtection="0"/>
    <xf numFmtId="0" fontId="1" fillId="65" borderId="0" applyNumberFormat="0" applyBorder="0" applyAlignment="0" applyProtection="0"/>
    <xf numFmtId="0" fontId="1" fillId="65" borderId="0" applyNumberFormat="0" applyBorder="0" applyAlignment="0" applyProtection="0"/>
    <xf numFmtId="0" fontId="1" fillId="65" borderId="0" applyNumberFormat="0" applyBorder="0" applyAlignment="0" applyProtection="0"/>
    <xf numFmtId="0" fontId="1" fillId="65" borderId="0" applyNumberFormat="0" applyBorder="0" applyAlignment="0" applyProtection="0"/>
    <xf numFmtId="0" fontId="1" fillId="65" borderId="0" applyNumberFormat="0" applyBorder="0" applyAlignment="0" applyProtection="0"/>
    <xf numFmtId="0" fontId="1" fillId="65" borderId="0" applyNumberFormat="0" applyBorder="0" applyAlignment="0" applyProtection="0"/>
    <xf numFmtId="0" fontId="1" fillId="65" borderId="0" applyNumberFormat="0" applyBorder="0" applyAlignment="0" applyProtection="0"/>
    <xf numFmtId="0" fontId="1" fillId="65" borderId="0" applyNumberFormat="0" applyBorder="0" applyAlignment="0" applyProtection="0"/>
    <xf numFmtId="0" fontId="1" fillId="65" borderId="0" applyNumberFormat="0" applyBorder="0" applyAlignment="0" applyProtection="0"/>
    <xf numFmtId="0" fontId="1" fillId="65" borderId="0" applyNumberFormat="0" applyBorder="0" applyAlignment="0" applyProtection="0"/>
    <xf numFmtId="0" fontId="1" fillId="65" borderId="0" applyNumberFormat="0" applyBorder="0" applyAlignment="0" applyProtection="0"/>
    <xf numFmtId="0" fontId="1" fillId="65" borderId="0" applyNumberFormat="0" applyBorder="0" applyAlignment="0" applyProtection="0"/>
    <xf numFmtId="0" fontId="1" fillId="65" borderId="0" applyNumberFormat="0" applyBorder="0" applyAlignment="0" applyProtection="0"/>
    <xf numFmtId="0" fontId="1" fillId="65" borderId="0" applyNumberFormat="0" applyBorder="0" applyAlignment="0" applyProtection="0"/>
    <xf numFmtId="0" fontId="1" fillId="65" borderId="0" applyNumberFormat="0" applyBorder="0" applyAlignment="0" applyProtection="0"/>
    <xf numFmtId="0" fontId="1" fillId="65" borderId="0" applyNumberFormat="0" applyBorder="0" applyAlignment="0" applyProtection="0"/>
    <xf numFmtId="0" fontId="1" fillId="65" borderId="0" applyNumberFormat="0" applyBorder="0" applyAlignment="0" applyProtection="0"/>
    <xf numFmtId="0" fontId="1" fillId="65" borderId="0" applyNumberFormat="0" applyBorder="0" applyAlignment="0" applyProtection="0"/>
    <xf numFmtId="0" fontId="1" fillId="65" borderId="0" applyNumberFormat="0" applyBorder="0" applyAlignment="0" applyProtection="0"/>
    <xf numFmtId="0" fontId="1" fillId="65" borderId="0" applyNumberFormat="0" applyBorder="0" applyAlignment="0" applyProtection="0"/>
    <xf numFmtId="0" fontId="1" fillId="65" borderId="0" applyNumberFormat="0" applyBorder="0" applyAlignment="0" applyProtection="0"/>
    <xf numFmtId="0" fontId="1" fillId="65" borderId="0" applyNumberFormat="0" applyBorder="0" applyAlignment="0" applyProtection="0"/>
    <xf numFmtId="0" fontId="1" fillId="65" borderId="0" applyNumberFormat="0" applyBorder="0" applyAlignment="0" applyProtection="0"/>
    <xf numFmtId="0" fontId="1" fillId="65" borderId="0" applyNumberFormat="0" applyBorder="0" applyAlignment="0" applyProtection="0"/>
    <xf numFmtId="0" fontId="1" fillId="65" borderId="0" applyNumberFormat="0" applyBorder="0" applyAlignment="0" applyProtection="0"/>
    <xf numFmtId="0" fontId="1" fillId="65" borderId="0" applyNumberFormat="0" applyBorder="0" applyAlignment="0" applyProtection="0"/>
    <xf numFmtId="0" fontId="1" fillId="65" borderId="0" applyNumberFormat="0" applyBorder="0" applyAlignment="0" applyProtection="0"/>
    <xf numFmtId="0" fontId="1" fillId="65" borderId="0" applyNumberFormat="0" applyBorder="0" applyAlignment="0" applyProtection="0"/>
    <xf numFmtId="0" fontId="1" fillId="65" borderId="0" applyNumberFormat="0" applyBorder="0" applyAlignment="0" applyProtection="0"/>
    <xf numFmtId="0" fontId="1" fillId="65" borderId="0" applyNumberFormat="0" applyBorder="0" applyAlignment="0" applyProtection="0"/>
    <xf numFmtId="0" fontId="1" fillId="65" borderId="0" applyNumberFormat="0" applyBorder="0" applyAlignment="0" applyProtection="0"/>
    <xf numFmtId="0" fontId="1" fillId="65" borderId="0" applyNumberFormat="0" applyBorder="0" applyAlignment="0" applyProtection="0"/>
    <xf numFmtId="0" fontId="1" fillId="65" borderId="0" applyNumberFormat="0" applyBorder="0" applyAlignment="0" applyProtection="0"/>
    <xf numFmtId="0" fontId="1" fillId="65" borderId="0" applyNumberFormat="0" applyBorder="0" applyAlignment="0" applyProtection="0"/>
    <xf numFmtId="0" fontId="1" fillId="65" borderId="0" applyNumberFormat="0" applyBorder="0" applyAlignment="0" applyProtection="0"/>
    <xf numFmtId="0" fontId="1" fillId="65" borderId="0" applyNumberFormat="0" applyBorder="0" applyAlignment="0" applyProtection="0"/>
    <xf numFmtId="0" fontId="1" fillId="65" borderId="0" applyNumberFormat="0" applyBorder="0" applyAlignment="0" applyProtection="0"/>
    <xf numFmtId="0" fontId="1" fillId="65" borderId="0" applyNumberFormat="0" applyBorder="0" applyAlignment="0" applyProtection="0"/>
    <xf numFmtId="0" fontId="1" fillId="65" borderId="0" applyNumberFormat="0" applyBorder="0" applyAlignment="0" applyProtection="0"/>
    <xf numFmtId="0" fontId="1" fillId="65" borderId="0" applyNumberFormat="0" applyBorder="0" applyAlignment="0" applyProtection="0"/>
    <xf numFmtId="0" fontId="1" fillId="65" borderId="0" applyNumberFormat="0" applyBorder="0" applyAlignment="0" applyProtection="0"/>
    <xf numFmtId="0" fontId="1" fillId="65" borderId="0" applyNumberFormat="0" applyBorder="0" applyAlignment="0" applyProtection="0"/>
    <xf numFmtId="0" fontId="1" fillId="65" borderId="0" applyNumberFormat="0" applyBorder="0" applyAlignment="0" applyProtection="0"/>
    <xf numFmtId="0" fontId="1" fillId="65" borderId="0" applyNumberFormat="0" applyBorder="0" applyAlignment="0" applyProtection="0"/>
    <xf numFmtId="0" fontId="1" fillId="65" borderId="0" applyNumberFormat="0" applyBorder="0" applyAlignment="0" applyProtection="0"/>
    <xf numFmtId="0" fontId="1" fillId="65" borderId="0" applyNumberFormat="0" applyBorder="0" applyAlignment="0" applyProtection="0"/>
    <xf numFmtId="0" fontId="1" fillId="65" borderId="0" applyNumberFormat="0" applyBorder="0" applyAlignment="0" applyProtection="0"/>
    <xf numFmtId="0" fontId="1" fillId="65" borderId="0" applyNumberFormat="0" applyBorder="0" applyAlignment="0" applyProtection="0"/>
    <xf numFmtId="0" fontId="1" fillId="65" borderId="0" applyNumberFormat="0" applyBorder="0" applyAlignment="0" applyProtection="0"/>
    <xf numFmtId="0" fontId="1" fillId="65" borderId="0" applyNumberFormat="0" applyBorder="0" applyAlignment="0" applyProtection="0"/>
    <xf numFmtId="0" fontId="1" fillId="65" borderId="0" applyNumberFormat="0" applyBorder="0" applyAlignment="0" applyProtection="0"/>
    <xf numFmtId="0" fontId="1" fillId="65" borderId="0" applyNumberFormat="0" applyBorder="0" applyAlignment="0" applyProtection="0"/>
    <xf numFmtId="0" fontId="1" fillId="65" borderId="0" applyNumberFormat="0" applyBorder="0" applyAlignment="0" applyProtection="0"/>
    <xf numFmtId="0" fontId="1" fillId="65" borderId="0" applyNumberFormat="0" applyBorder="0" applyAlignment="0" applyProtection="0"/>
    <xf numFmtId="0" fontId="1" fillId="65" borderId="0" applyNumberFormat="0" applyBorder="0" applyAlignment="0" applyProtection="0"/>
    <xf numFmtId="0" fontId="1" fillId="65" borderId="0" applyNumberFormat="0" applyBorder="0" applyAlignment="0" applyProtection="0"/>
    <xf numFmtId="0" fontId="1" fillId="65" borderId="0" applyNumberFormat="0" applyBorder="0" applyAlignment="0" applyProtection="0"/>
    <xf numFmtId="0" fontId="1" fillId="65" borderId="0" applyNumberFormat="0" applyBorder="0" applyAlignment="0" applyProtection="0"/>
    <xf numFmtId="0" fontId="1" fillId="65" borderId="0" applyNumberFormat="0" applyBorder="0" applyAlignment="0" applyProtection="0"/>
    <xf numFmtId="0" fontId="1" fillId="65" borderId="0" applyNumberFormat="0" applyBorder="0" applyAlignment="0" applyProtection="0"/>
    <xf numFmtId="0" fontId="1" fillId="65" borderId="0" applyNumberFormat="0" applyBorder="0" applyAlignment="0" applyProtection="0"/>
    <xf numFmtId="0" fontId="1" fillId="65" borderId="0" applyNumberFormat="0" applyBorder="0" applyAlignment="0" applyProtection="0"/>
    <xf numFmtId="0" fontId="1" fillId="65" borderId="0" applyNumberFormat="0" applyBorder="0" applyAlignment="0" applyProtection="0"/>
    <xf numFmtId="0" fontId="1" fillId="65" borderId="0" applyNumberFormat="0" applyBorder="0" applyAlignment="0" applyProtection="0"/>
    <xf numFmtId="0" fontId="1" fillId="65" borderId="0" applyNumberFormat="0" applyBorder="0" applyAlignment="0" applyProtection="0"/>
    <xf numFmtId="0" fontId="1" fillId="65" borderId="0" applyNumberFormat="0" applyBorder="0" applyAlignment="0" applyProtection="0"/>
    <xf numFmtId="0" fontId="1" fillId="65" borderId="0" applyNumberFormat="0" applyBorder="0" applyAlignment="0" applyProtection="0"/>
    <xf numFmtId="0" fontId="1" fillId="65" borderId="0" applyNumberFormat="0" applyBorder="0" applyAlignment="0" applyProtection="0"/>
    <xf numFmtId="0" fontId="1" fillId="65" borderId="0" applyNumberFormat="0" applyBorder="0" applyAlignment="0" applyProtection="0"/>
    <xf numFmtId="0" fontId="1" fillId="65" borderId="0" applyNumberFormat="0" applyBorder="0" applyAlignment="0" applyProtection="0"/>
    <xf numFmtId="0" fontId="1" fillId="65" borderId="0" applyNumberFormat="0" applyBorder="0" applyAlignment="0" applyProtection="0"/>
    <xf numFmtId="0" fontId="1" fillId="65" borderId="0" applyNumberFormat="0" applyBorder="0" applyAlignment="0" applyProtection="0"/>
    <xf numFmtId="0" fontId="1" fillId="65" borderId="0" applyNumberFormat="0" applyBorder="0" applyAlignment="0" applyProtection="0"/>
    <xf numFmtId="0" fontId="1" fillId="65" borderId="0" applyNumberFormat="0" applyBorder="0" applyAlignment="0" applyProtection="0"/>
    <xf numFmtId="0" fontId="1" fillId="65" borderId="0" applyNumberFormat="0" applyBorder="0" applyAlignment="0" applyProtection="0"/>
    <xf numFmtId="0" fontId="1" fillId="65" borderId="0" applyNumberFormat="0" applyBorder="0" applyAlignment="0" applyProtection="0"/>
    <xf numFmtId="0" fontId="1" fillId="65" borderId="0" applyNumberFormat="0" applyBorder="0" applyAlignment="0" applyProtection="0"/>
    <xf numFmtId="0" fontId="1" fillId="65" borderId="0" applyNumberFormat="0" applyBorder="0" applyAlignment="0" applyProtection="0"/>
    <xf numFmtId="0" fontId="1" fillId="65" borderId="0" applyNumberFormat="0" applyBorder="0" applyAlignment="0" applyProtection="0"/>
    <xf numFmtId="0" fontId="1" fillId="65" borderId="0" applyNumberFormat="0" applyBorder="0" applyAlignment="0" applyProtection="0"/>
    <xf numFmtId="0" fontId="1" fillId="65" borderId="0" applyNumberFormat="0" applyBorder="0" applyAlignment="0" applyProtection="0"/>
    <xf numFmtId="0" fontId="1" fillId="65" borderId="0" applyNumberFormat="0" applyBorder="0" applyAlignment="0" applyProtection="0"/>
    <xf numFmtId="0" fontId="1" fillId="65" borderId="0" applyNumberFormat="0" applyBorder="0" applyAlignment="0" applyProtection="0"/>
    <xf numFmtId="0" fontId="1" fillId="65" borderId="0" applyNumberFormat="0" applyBorder="0" applyAlignment="0" applyProtection="0"/>
    <xf numFmtId="0" fontId="1" fillId="65" borderId="0" applyNumberFormat="0" applyBorder="0" applyAlignment="0" applyProtection="0"/>
    <xf numFmtId="0" fontId="1" fillId="65" borderId="0" applyNumberFormat="0" applyBorder="0" applyAlignment="0" applyProtection="0"/>
    <xf numFmtId="0" fontId="1" fillId="65" borderId="0" applyNumberFormat="0" applyBorder="0" applyAlignment="0" applyProtection="0"/>
    <xf numFmtId="0" fontId="1" fillId="65" borderId="0" applyNumberFormat="0" applyBorder="0" applyAlignment="0" applyProtection="0"/>
    <xf numFmtId="0" fontId="1" fillId="65" borderId="0" applyNumberFormat="0" applyBorder="0" applyAlignment="0" applyProtection="0"/>
    <xf numFmtId="0" fontId="1" fillId="65" borderId="0" applyNumberFormat="0" applyBorder="0" applyAlignment="0" applyProtection="0"/>
    <xf numFmtId="0" fontId="1" fillId="65" borderId="0" applyNumberFormat="0" applyBorder="0" applyAlignment="0" applyProtection="0"/>
    <xf numFmtId="0" fontId="1" fillId="65" borderId="0" applyNumberFormat="0" applyBorder="0" applyAlignment="0" applyProtection="0"/>
    <xf numFmtId="0" fontId="1" fillId="65" borderId="0" applyNumberFormat="0" applyBorder="0" applyAlignment="0" applyProtection="0"/>
    <xf numFmtId="0" fontId="1" fillId="65" borderId="0" applyNumberFormat="0" applyBorder="0" applyAlignment="0" applyProtection="0"/>
    <xf numFmtId="0" fontId="1" fillId="65" borderId="0" applyNumberFormat="0" applyBorder="0" applyAlignment="0" applyProtection="0"/>
    <xf numFmtId="0" fontId="1" fillId="65" borderId="0" applyNumberFormat="0" applyBorder="0" applyAlignment="0" applyProtection="0"/>
    <xf numFmtId="0" fontId="1" fillId="65" borderId="0" applyNumberFormat="0" applyBorder="0" applyAlignment="0" applyProtection="0"/>
    <xf numFmtId="0" fontId="1" fillId="65" borderId="0" applyNumberFormat="0" applyBorder="0" applyAlignment="0" applyProtection="0"/>
    <xf numFmtId="0" fontId="1" fillId="65" borderId="0" applyNumberFormat="0" applyBorder="0" applyAlignment="0" applyProtection="0"/>
    <xf numFmtId="0" fontId="1" fillId="65" borderId="0" applyNumberFormat="0" applyBorder="0" applyAlignment="0" applyProtection="0"/>
    <xf numFmtId="0" fontId="1" fillId="65" borderId="0" applyNumberFormat="0" applyBorder="0" applyAlignment="0" applyProtection="0"/>
    <xf numFmtId="0" fontId="1" fillId="65" borderId="0" applyNumberFormat="0" applyBorder="0" applyAlignment="0" applyProtection="0"/>
    <xf numFmtId="0" fontId="1" fillId="65" borderId="0" applyNumberFormat="0" applyBorder="0" applyAlignment="0" applyProtection="0"/>
    <xf numFmtId="0" fontId="1" fillId="65" borderId="0" applyNumberFormat="0" applyBorder="0" applyAlignment="0" applyProtection="0"/>
    <xf numFmtId="0" fontId="1" fillId="65" borderId="0" applyNumberFormat="0" applyBorder="0" applyAlignment="0" applyProtection="0"/>
    <xf numFmtId="0" fontId="1" fillId="65" borderId="0" applyNumberFormat="0" applyBorder="0" applyAlignment="0" applyProtection="0"/>
    <xf numFmtId="0" fontId="1" fillId="65" borderId="0" applyNumberFormat="0" applyBorder="0" applyAlignment="0" applyProtection="0"/>
    <xf numFmtId="0" fontId="1" fillId="65" borderId="0" applyNumberFormat="0" applyBorder="0" applyAlignment="0" applyProtection="0"/>
    <xf numFmtId="0" fontId="1" fillId="65" borderId="0" applyNumberFormat="0" applyBorder="0" applyAlignment="0" applyProtection="0"/>
    <xf numFmtId="0" fontId="1" fillId="65" borderId="0" applyNumberFormat="0" applyBorder="0" applyAlignment="0" applyProtection="0"/>
    <xf numFmtId="0" fontId="1" fillId="65" borderId="0" applyNumberFormat="0" applyBorder="0" applyAlignment="0" applyProtection="0"/>
    <xf numFmtId="0" fontId="1" fillId="65" borderId="0" applyNumberFormat="0" applyBorder="0" applyAlignment="0" applyProtection="0"/>
    <xf numFmtId="0" fontId="1" fillId="65" borderId="0" applyNumberFormat="0" applyBorder="0" applyAlignment="0" applyProtection="0"/>
    <xf numFmtId="0" fontId="1" fillId="65" borderId="0" applyNumberFormat="0" applyBorder="0" applyAlignment="0" applyProtection="0"/>
    <xf numFmtId="0" fontId="1" fillId="65" borderId="0" applyNumberFormat="0" applyBorder="0" applyAlignment="0" applyProtection="0"/>
    <xf numFmtId="0" fontId="1" fillId="65" borderId="0" applyNumberFormat="0" applyBorder="0" applyAlignment="0" applyProtection="0"/>
    <xf numFmtId="0" fontId="1" fillId="65" borderId="0" applyNumberFormat="0" applyBorder="0" applyAlignment="0" applyProtection="0"/>
    <xf numFmtId="0" fontId="1" fillId="65" borderId="0" applyNumberFormat="0" applyBorder="0" applyAlignment="0" applyProtection="0"/>
    <xf numFmtId="0" fontId="1" fillId="65" borderId="0" applyNumberFormat="0" applyBorder="0" applyAlignment="0" applyProtection="0"/>
    <xf numFmtId="0" fontId="1" fillId="65" borderId="0" applyNumberFormat="0" applyBorder="0" applyAlignment="0" applyProtection="0"/>
    <xf numFmtId="0" fontId="1" fillId="65"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3" borderId="0" applyNumberFormat="0" applyBorder="0" applyAlignment="0" applyProtection="0"/>
    <xf numFmtId="0" fontId="1" fillId="3" borderId="0" applyNumberFormat="0" applyBorder="0" applyAlignment="0" applyProtection="0"/>
    <xf numFmtId="0" fontId="1" fillId="3" borderId="0" applyNumberFormat="0" applyBorder="0" applyAlignment="0" applyProtection="0"/>
    <xf numFmtId="0" fontId="1" fillId="3" borderId="0" applyNumberFormat="0" applyBorder="0" applyAlignment="0" applyProtection="0"/>
    <xf numFmtId="0" fontId="1" fillId="3" borderId="0" applyNumberFormat="0" applyBorder="0" applyAlignment="0" applyProtection="0"/>
    <xf numFmtId="0" fontId="1" fillId="3" borderId="0" applyNumberFormat="0" applyBorder="0" applyAlignment="0" applyProtection="0"/>
    <xf numFmtId="0" fontId="1" fillId="3" borderId="0" applyNumberFormat="0" applyBorder="0" applyAlignment="0" applyProtection="0"/>
    <xf numFmtId="0" fontId="1" fillId="3" borderId="0" applyNumberFormat="0" applyBorder="0" applyAlignment="0" applyProtection="0"/>
    <xf numFmtId="0" fontId="1" fillId="3" borderId="0" applyNumberFormat="0" applyBorder="0" applyAlignment="0" applyProtection="0"/>
    <xf numFmtId="0" fontId="1" fillId="3" borderId="0" applyNumberFormat="0" applyBorder="0" applyAlignment="0" applyProtection="0"/>
    <xf numFmtId="0" fontId="1" fillId="3" borderId="0" applyNumberFormat="0" applyBorder="0" applyAlignment="0" applyProtection="0"/>
    <xf numFmtId="0" fontId="1" fillId="3" borderId="0" applyNumberFormat="0" applyBorder="0" applyAlignment="0" applyProtection="0"/>
    <xf numFmtId="0" fontId="1" fillId="3" borderId="0" applyNumberFormat="0" applyBorder="0" applyAlignment="0" applyProtection="0"/>
    <xf numFmtId="0" fontId="1" fillId="3" borderId="0" applyNumberFormat="0" applyBorder="0" applyAlignment="0" applyProtection="0"/>
    <xf numFmtId="0" fontId="1" fillId="3" borderId="0" applyNumberFormat="0" applyBorder="0" applyAlignment="0" applyProtection="0"/>
    <xf numFmtId="0" fontId="1" fillId="3" borderId="0" applyNumberFormat="0" applyBorder="0" applyAlignment="0" applyProtection="0"/>
    <xf numFmtId="0" fontId="1" fillId="3" borderId="0" applyNumberFormat="0" applyBorder="0" applyAlignment="0" applyProtection="0"/>
    <xf numFmtId="0" fontId="1" fillId="3" borderId="0" applyNumberFormat="0" applyBorder="0" applyAlignment="0" applyProtection="0"/>
    <xf numFmtId="0" fontId="1" fillId="3" borderId="0" applyNumberFormat="0" applyBorder="0" applyAlignment="0" applyProtection="0"/>
    <xf numFmtId="0" fontId="1" fillId="3" borderId="0" applyNumberFormat="0" applyBorder="0" applyAlignment="0" applyProtection="0"/>
    <xf numFmtId="0" fontId="1" fillId="3" borderId="0" applyNumberFormat="0" applyBorder="0" applyAlignment="0" applyProtection="0"/>
    <xf numFmtId="0" fontId="1" fillId="3" borderId="0" applyNumberFormat="0" applyBorder="0" applyAlignment="0" applyProtection="0"/>
    <xf numFmtId="0" fontId="1" fillId="3" borderId="0" applyNumberFormat="0" applyBorder="0" applyAlignment="0" applyProtection="0"/>
    <xf numFmtId="0" fontId="1" fillId="3" borderId="0" applyNumberFormat="0" applyBorder="0" applyAlignment="0" applyProtection="0"/>
    <xf numFmtId="0" fontId="1" fillId="3" borderId="0" applyNumberFormat="0" applyBorder="0" applyAlignment="0" applyProtection="0"/>
    <xf numFmtId="0" fontId="1" fillId="3" borderId="0" applyNumberFormat="0" applyBorder="0" applyAlignment="0" applyProtection="0"/>
    <xf numFmtId="0" fontId="1" fillId="3" borderId="0" applyNumberFormat="0" applyBorder="0" applyAlignment="0" applyProtection="0"/>
    <xf numFmtId="0" fontId="1" fillId="3" borderId="0" applyNumberFormat="0" applyBorder="0" applyAlignment="0" applyProtection="0"/>
    <xf numFmtId="0" fontId="1" fillId="3" borderId="0" applyNumberFormat="0" applyBorder="0" applyAlignment="0" applyProtection="0"/>
    <xf numFmtId="0" fontId="1" fillId="3" borderId="0" applyNumberFormat="0" applyBorder="0" applyAlignment="0" applyProtection="0"/>
    <xf numFmtId="0" fontId="1" fillId="3" borderId="0" applyNumberFormat="0" applyBorder="0" applyAlignment="0" applyProtection="0"/>
    <xf numFmtId="0" fontId="1" fillId="3" borderId="0" applyNumberFormat="0" applyBorder="0" applyAlignment="0" applyProtection="0"/>
    <xf numFmtId="0" fontId="1" fillId="3" borderId="0" applyNumberFormat="0" applyBorder="0" applyAlignment="0" applyProtection="0"/>
    <xf numFmtId="0" fontId="1" fillId="3" borderId="0" applyNumberFormat="0" applyBorder="0" applyAlignment="0" applyProtection="0"/>
    <xf numFmtId="0" fontId="1" fillId="3" borderId="0" applyNumberFormat="0" applyBorder="0" applyAlignment="0" applyProtection="0"/>
    <xf numFmtId="0" fontId="1" fillId="3" borderId="0" applyNumberFormat="0" applyBorder="0" applyAlignment="0" applyProtection="0"/>
    <xf numFmtId="0" fontId="1" fillId="3" borderId="0" applyNumberFormat="0" applyBorder="0" applyAlignment="0" applyProtection="0"/>
    <xf numFmtId="0" fontId="1" fillId="3" borderId="0" applyNumberFormat="0" applyBorder="0" applyAlignment="0" applyProtection="0"/>
    <xf numFmtId="0" fontId="1" fillId="3" borderId="0" applyNumberFormat="0" applyBorder="0" applyAlignment="0" applyProtection="0"/>
    <xf numFmtId="0" fontId="1" fillId="3" borderId="0" applyNumberFormat="0" applyBorder="0" applyAlignment="0" applyProtection="0"/>
    <xf numFmtId="0" fontId="1" fillId="3" borderId="0" applyNumberFormat="0" applyBorder="0" applyAlignment="0" applyProtection="0"/>
    <xf numFmtId="0" fontId="1" fillId="3" borderId="0" applyNumberFormat="0" applyBorder="0" applyAlignment="0" applyProtection="0"/>
    <xf numFmtId="0" fontId="1" fillId="3" borderId="0" applyNumberFormat="0" applyBorder="0" applyAlignment="0" applyProtection="0"/>
    <xf numFmtId="0" fontId="1" fillId="3" borderId="0" applyNumberFormat="0" applyBorder="0" applyAlignment="0" applyProtection="0"/>
    <xf numFmtId="0" fontId="1" fillId="3" borderId="0" applyNumberFormat="0" applyBorder="0" applyAlignment="0" applyProtection="0"/>
    <xf numFmtId="0" fontId="1" fillId="3" borderId="0" applyNumberFormat="0" applyBorder="0" applyAlignment="0" applyProtection="0"/>
    <xf numFmtId="0" fontId="1" fillId="3" borderId="0" applyNumberFormat="0" applyBorder="0" applyAlignment="0" applyProtection="0"/>
    <xf numFmtId="0" fontId="1" fillId="3" borderId="0" applyNumberFormat="0" applyBorder="0" applyAlignment="0" applyProtection="0"/>
    <xf numFmtId="0" fontId="1" fillId="3" borderId="0" applyNumberFormat="0" applyBorder="0" applyAlignment="0" applyProtection="0"/>
    <xf numFmtId="0" fontId="1" fillId="3" borderId="0" applyNumberFormat="0" applyBorder="0" applyAlignment="0" applyProtection="0"/>
    <xf numFmtId="0" fontId="1" fillId="3" borderId="0" applyNumberFormat="0" applyBorder="0" applyAlignment="0" applyProtection="0"/>
    <xf numFmtId="0" fontId="1" fillId="3" borderId="0" applyNumberFormat="0" applyBorder="0" applyAlignment="0" applyProtection="0"/>
    <xf numFmtId="0" fontId="1" fillId="3" borderId="0" applyNumberFormat="0" applyBorder="0" applyAlignment="0" applyProtection="0"/>
    <xf numFmtId="0" fontId="1" fillId="3" borderId="0" applyNumberFormat="0" applyBorder="0" applyAlignment="0" applyProtection="0"/>
    <xf numFmtId="0" fontId="1" fillId="3" borderId="0" applyNumberFormat="0" applyBorder="0" applyAlignment="0" applyProtection="0"/>
    <xf numFmtId="0" fontId="1" fillId="3" borderId="0" applyNumberFormat="0" applyBorder="0" applyAlignment="0" applyProtection="0"/>
    <xf numFmtId="0" fontId="1" fillId="3" borderId="0" applyNumberFormat="0" applyBorder="0" applyAlignment="0" applyProtection="0"/>
    <xf numFmtId="0" fontId="1" fillId="3" borderId="0" applyNumberFormat="0" applyBorder="0" applyAlignment="0" applyProtection="0"/>
    <xf numFmtId="0" fontId="1" fillId="3" borderId="0" applyNumberFormat="0" applyBorder="0" applyAlignment="0" applyProtection="0"/>
    <xf numFmtId="0" fontId="1" fillId="3" borderId="0" applyNumberFormat="0" applyBorder="0" applyAlignment="0" applyProtection="0"/>
    <xf numFmtId="0" fontId="1" fillId="3" borderId="0" applyNumberFormat="0" applyBorder="0" applyAlignment="0" applyProtection="0"/>
    <xf numFmtId="0" fontId="1" fillId="3" borderId="0" applyNumberFormat="0" applyBorder="0" applyAlignment="0" applyProtection="0"/>
    <xf numFmtId="0" fontId="1" fillId="3" borderId="0" applyNumberFormat="0" applyBorder="0" applyAlignment="0" applyProtection="0"/>
    <xf numFmtId="0" fontId="1" fillId="3" borderId="0" applyNumberFormat="0" applyBorder="0" applyAlignment="0" applyProtection="0"/>
    <xf numFmtId="0" fontId="1" fillId="3" borderId="0" applyNumberFormat="0" applyBorder="0" applyAlignment="0" applyProtection="0"/>
    <xf numFmtId="0" fontId="1" fillId="3" borderId="0" applyNumberFormat="0" applyBorder="0" applyAlignment="0" applyProtection="0"/>
    <xf numFmtId="0" fontId="1" fillId="3" borderId="0" applyNumberFormat="0" applyBorder="0" applyAlignment="0" applyProtection="0"/>
    <xf numFmtId="0" fontId="1" fillId="3" borderId="0" applyNumberFormat="0" applyBorder="0" applyAlignment="0" applyProtection="0"/>
    <xf numFmtId="0" fontId="1" fillId="3" borderId="0" applyNumberFormat="0" applyBorder="0" applyAlignment="0" applyProtection="0"/>
    <xf numFmtId="0" fontId="1" fillId="3" borderId="0" applyNumberFormat="0" applyBorder="0" applyAlignment="0" applyProtection="0"/>
    <xf numFmtId="0" fontId="1" fillId="3" borderId="0" applyNumberFormat="0" applyBorder="0" applyAlignment="0" applyProtection="0"/>
    <xf numFmtId="0" fontId="1" fillId="3" borderId="0" applyNumberFormat="0" applyBorder="0" applyAlignment="0" applyProtection="0"/>
    <xf numFmtId="0" fontId="1" fillId="3" borderId="0" applyNumberFormat="0" applyBorder="0" applyAlignment="0" applyProtection="0"/>
    <xf numFmtId="0" fontId="1" fillId="3" borderId="0" applyNumberFormat="0" applyBorder="0" applyAlignment="0" applyProtection="0"/>
    <xf numFmtId="0" fontId="1" fillId="3" borderId="0" applyNumberFormat="0" applyBorder="0" applyAlignment="0" applyProtection="0"/>
    <xf numFmtId="0" fontId="1" fillId="3" borderId="0" applyNumberFormat="0" applyBorder="0" applyAlignment="0" applyProtection="0"/>
    <xf numFmtId="0" fontId="1" fillId="3" borderId="0" applyNumberFormat="0" applyBorder="0" applyAlignment="0" applyProtection="0"/>
    <xf numFmtId="0" fontId="1" fillId="3" borderId="0" applyNumberFormat="0" applyBorder="0" applyAlignment="0" applyProtection="0"/>
    <xf numFmtId="0" fontId="1" fillId="3" borderId="0" applyNumberFormat="0" applyBorder="0" applyAlignment="0" applyProtection="0"/>
    <xf numFmtId="0" fontId="1" fillId="3" borderId="0" applyNumberFormat="0" applyBorder="0" applyAlignment="0" applyProtection="0"/>
    <xf numFmtId="0" fontId="1" fillId="3" borderId="0" applyNumberFormat="0" applyBorder="0" applyAlignment="0" applyProtection="0"/>
    <xf numFmtId="0" fontId="1" fillId="3" borderId="0" applyNumberFormat="0" applyBorder="0" applyAlignment="0" applyProtection="0"/>
    <xf numFmtId="0" fontId="1" fillId="3" borderId="0" applyNumberFormat="0" applyBorder="0" applyAlignment="0" applyProtection="0"/>
    <xf numFmtId="0" fontId="1" fillId="3" borderId="0" applyNumberFormat="0" applyBorder="0" applyAlignment="0" applyProtection="0"/>
    <xf numFmtId="0" fontId="1" fillId="3" borderId="0" applyNumberFormat="0" applyBorder="0" applyAlignment="0" applyProtection="0"/>
    <xf numFmtId="0" fontId="1" fillId="3" borderId="0" applyNumberFormat="0" applyBorder="0" applyAlignment="0" applyProtection="0"/>
    <xf numFmtId="0" fontId="1" fillId="3" borderId="0" applyNumberFormat="0" applyBorder="0" applyAlignment="0" applyProtection="0"/>
    <xf numFmtId="0" fontId="1" fillId="3" borderId="0" applyNumberFormat="0" applyBorder="0" applyAlignment="0" applyProtection="0"/>
    <xf numFmtId="0" fontId="1" fillId="3" borderId="0" applyNumberFormat="0" applyBorder="0" applyAlignment="0" applyProtection="0"/>
    <xf numFmtId="0" fontId="1" fillId="3" borderId="0" applyNumberFormat="0" applyBorder="0" applyAlignment="0" applyProtection="0"/>
    <xf numFmtId="0" fontId="1" fillId="3" borderId="0" applyNumberFormat="0" applyBorder="0" applyAlignment="0" applyProtection="0"/>
    <xf numFmtId="0" fontId="1" fillId="3" borderId="0" applyNumberFormat="0" applyBorder="0" applyAlignment="0" applyProtection="0"/>
    <xf numFmtId="0" fontId="1" fillId="3" borderId="0" applyNumberFormat="0" applyBorder="0" applyAlignment="0" applyProtection="0"/>
    <xf numFmtId="0" fontId="1" fillId="3" borderId="0" applyNumberFormat="0" applyBorder="0" applyAlignment="0" applyProtection="0"/>
    <xf numFmtId="0" fontId="1" fillId="3" borderId="0" applyNumberFormat="0" applyBorder="0" applyAlignment="0" applyProtection="0"/>
    <xf numFmtId="0" fontId="1" fillId="3" borderId="0" applyNumberFormat="0" applyBorder="0" applyAlignment="0" applyProtection="0"/>
    <xf numFmtId="0" fontId="1" fillId="3" borderId="0" applyNumberFormat="0" applyBorder="0" applyAlignment="0" applyProtection="0"/>
    <xf numFmtId="0" fontId="1" fillId="3" borderId="0" applyNumberFormat="0" applyBorder="0" applyAlignment="0" applyProtection="0"/>
    <xf numFmtId="0" fontId="1" fillId="3" borderId="0" applyNumberFormat="0" applyBorder="0" applyAlignment="0" applyProtection="0"/>
    <xf numFmtId="0" fontId="1" fillId="3" borderId="0" applyNumberFormat="0" applyBorder="0" applyAlignment="0" applyProtection="0"/>
    <xf numFmtId="0" fontId="1" fillId="3" borderId="0" applyNumberFormat="0" applyBorder="0" applyAlignment="0" applyProtection="0"/>
    <xf numFmtId="0" fontId="1" fillId="3" borderId="0" applyNumberFormat="0" applyBorder="0" applyAlignment="0" applyProtection="0"/>
    <xf numFmtId="0" fontId="1" fillId="3" borderId="0" applyNumberFormat="0" applyBorder="0" applyAlignment="0" applyProtection="0"/>
    <xf numFmtId="0" fontId="1" fillId="3" borderId="0" applyNumberFormat="0" applyBorder="0" applyAlignment="0" applyProtection="0"/>
    <xf numFmtId="0" fontId="1" fillId="3" borderId="0" applyNumberFormat="0" applyBorder="0" applyAlignment="0" applyProtection="0"/>
    <xf numFmtId="0" fontId="1" fillId="3" borderId="0" applyNumberFormat="0" applyBorder="0" applyAlignment="0" applyProtection="0"/>
    <xf numFmtId="0" fontId="1" fillId="3" borderId="0" applyNumberFormat="0" applyBorder="0" applyAlignment="0" applyProtection="0"/>
    <xf numFmtId="0" fontId="1" fillId="3" borderId="0" applyNumberFormat="0" applyBorder="0" applyAlignment="0" applyProtection="0"/>
    <xf numFmtId="0" fontId="1" fillId="3" borderId="0" applyNumberFormat="0" applyBorder="0" applyAlignment="0" applyProtection="0"/>
    <xf numFmtId="0" fontId="1" fillId="3" borderId="0" applyNumberFormat="0" applyBorder="0" applyAlignment="0" applyProtection="0"/>
    <xf numFmtId="0" fontId="1" fillId="3" borderId="0" applyNumberFormat="0" applyBorder="0" applyAlignment="0" applyProtection="0"/>
    <xf numFmtId="0" fontId="1" fillId="3" borderId="0" applyNumberFormat="0" applyBorder="0" applyAlignment="0" applyProtection="0"/>
    <xf numFmtId="0" fontId="1" fillId="3" borderId="0" applyNumberFormat="0" applyBorder="0" applyAlignment="0" applyProtection="0"/>
    <xf numFmtId="0" fontId="1" fillId="3" borderId="0" applyNumberFormat="0" applyBorder="0" applyAlignment="0" applyProtection="0"/>
    <xf numFmtId="0" fontId="1" fillId="3" borderId="0" applyNumberFormat="0" applyBorder="0" applyAlignment="0" applyProtection="0"/>
    <xf numFmtId="0" fontId="1" fillId="3" borderId="0" applyNumberFormat="0" applyBorder="0" applyAlignment="0" applyProtection="0"/>
    <xf numFmtId="0" fontId="1" fillId="3" borderId="0" applyNumberFormat="0" applyBorder="0" applyAlignment="0" applyProtection="0"/>
    <xf numFmtId="0" fontId="1" fillId="3" borderId="0" applyNumberFormat="0" applyBorder="0" applyAlignment="0" applyProtection="0"/>
    <xf numFmtId="0" fontId="1" fillId="3" borderId="0" applyNumberFormat="0" applyBorder="0" applyAlignment="0" applyProtection="0"/>
    <xf numFmtId="0" fontId="1" fillId="3" borderId="0" applyNumberFormat="0" applyBorder="0" applyAlignment="0" applyProtection="0"/>
    <xf numFmtId="0" fontId="1" fillId="3" borderId="0" applyNumberFormat="0" applyBorder="0" applyAlignment="0" applyProtection="0"/>
    <xf numFmtId="0" fontId="1" fillId="3" borderId="0" applyNumberFormat="0" applyBorder="0" applyAlignment="0" applyProtection="0"/>
    <xf numFmtId="0" fontId="1" fillId="3" borderId="0" applyNumberFormat="0" applyBorder="0" applyAlignment="0" applyProtection="0"/>
    <xf numFmtId="0" fontId="1" fillId="3" borderId="0" applyNumberFormat="0" applyBorder="0" applyAlignment="0" applyProtection="0"/>
    <xf numFmtId="0" fontId="1" fillId="3" borderId="0" applyNumberFormat="0" applyBorder="0" applyAlignment="0" applyProtection="0"/>
    <xf numFmtId="0" fontId="1" fillId="3" borderId="0" applyNumberFormat="0" applyBorder="0" applyAlignment="0" applyProtection="0"/>
    <xf numFmtId="0" fontId="1" fillId="3" borderId="0" applyNumberFormat="0" applyBorder="0" applyAlignment="0" applyProtection="0"/>
    <xf numFmtId="0" fontId="1" fillId="3" borderId="0" applyNumberFormat="0" applyBorder="0" applyAlignment="0" applyProtection="0"/>
    <xf numFmtId="0" fontId="1" fillId="3" borderId="0" applyNumberFormat="0" applyBorder="0" applyAlignment="0" applyProtection="0"/>
    <xf numFmtId="0" fontId="1" fillId="3" borderId="0" applyNumberFormat="0" applyBorder="0" applyAlignment="0" applyProtection="0"/>
    <xf numFmtId="0" fontId="1" fillId="3" borderId="0" applyNumberFormat="0" applyBorder="0" applyAlignment="0" applyProtection="0"/>
    <xf numFmtId="0" fontId="1" fillId="3" borderId="0" applyNumberFormat="0" applyBorder="0" applyAlignment="0" applyProtection="0"/>
    <xf numFmtId="0" fontId="1" fillId="3" borderId="0" applyNumberFormat="0" applyBorder="0" applyAlignment="0" applyProtection="0"/>
    <xf numFmtId="0" fontId="1" fillId="3" borderId="0" applyNumberFormat="0" applyBorder="0" applyAlignment="0" applyProtection="0"/>
    <xf numFmtId="0" fontId="1" fillId="3" borderId="0" applyNumberFormat="0" applyBorder="0" applyAlignment="0" applyProtection="0"/>
    <xf numFmtId="0" fontId="1" fillId="3" borderId="0" applyNumberFormat="0" applyBorder="0" applyAlignment="0" applyProtection="0"/>
    <xf numFmtId="0" fontId="1" fillId="3" borderId="0" applyNumberFormat="0" applyBorder="0" applyAlignment="0" applyProtection="0"/>
    <xf numFmtId="0" fontId="1" fillId="3" borderId="0" applyNumberFormat="0" applyBorder="0" applyAlignment="0" applyProtection="0"/>
    <xf numFmtId="0" fontId="1" fillId="3" borderId="0" applyNumberFormat="0" applyBorder="0" applyAlignment="0" applyProtection="0"/>
    <xf numFmtId="0" fontId="1" fillId="3" borderId="0" applyNumberFormat="0" applyBorder="0" applyAlignment="0" applyProtection="0"/>
    <xf numFmtId="0" fontId="1" fillId="3" borderId="0" applyNumberFormat="0" applyBorder="0" applyAlignment="0" applyProtection="0"/>
    <xf numFmtId="0" fontId="1" fillId="3" borderId="0" applyNumberFormat="0" applyBorder="0" applyAlignment="0" applyProtection="0"/>
    <xf numFmtId="0" fontId="1" fillId="3" borderId="0" applyNumberFormat="0" applyBorder="0" applyAlignment="0" applyProtection="0"/>
    <xf numFmtId="0" fontId="1" fillId="3" borderId="0" applyNumberFormat="0" applyBorder="0" applyAlignment="0" applyProtection="0"/>
    <xf numFmtId="0" fontId="1" fillId="3" borderId="0" applyNumberFormat="0" applyBorder="0" applyAlignment="0" applyProtection="0"/>
    <xf numFmtId="0" fontId="1" fillId="3" borderId="0" applyNumberFormat="0" applyBorder="0" applyAlignment="0" applyProtection="0"/>
    <xf numFmtId="0" fontId="1" fillId="3" borderId="0" applyNumberFormat="0" applyBorder="0" applyAlignment="0" applyProtection="0"/>
    <xf numFmtId="0" fontId="1" fillId="3" borderId="0" applyNumberFormat="0" applyBorder="0" applyAlignment="0" applyProtection="0"/>
    <xf numFmtId="0" fontId="1" fillId="3" borderId="0" applyNumberFormat="0" applyBorder="0" applyAlignment="0" applyProtection="0"/>
    <xf numFmtId="0" fontId="1" fillId="3" borderId="0" applyNumberFormat="0" applyBorder="0" applyAlignment="0" applyProtection="0"/>
    <xf numFmtId="0" fontId="1" fillId="3" borderId="0" applyNumberFormat="0" applyBorder="0" applyAlignment="0" applyProtection="0"/>
    <xf numFmtId="0" fontId="1" fillId="3" borderId="0" applyNumberFormat="0" applyBorder="0" applyAlignment="0" applyProtection="0"/>
    <xf numFmtId="0" fontId="1" fillId="3" borderId="0" applyNumberFormat="0" applyBorder="0" applyAlignment="0" applyProtection="0"/>
    <xf numFmtId="0" fontId="1" fillId="3" borderId="0" applyNumberFormat="0" applyBorder="0" applyAlignment="0" applyProtection="0"/>
    <xf numFmtId="0" fontId="1" fillId="3" borderId="0" applyNumberFormat="0" applyBorder="0" applyAlignment="0" applyProtection="0"/>
    <xf numFmtId="0" fontId="1" fillId="3" borderId="0" applyNumberFormat="0" applyBorder="0" applyAlignment="0" applyProtection="0"/>
    <xf numFmtId="0" fontId="1" fillId="3" borderId="0" applyNumberFormat="0" applyBorder="0" applyAlignment="0" applyProtection="0"/>
    <xf numFmtId="0" fontId="1" fillId="3" borderId="0" applyNumberFormat="0" applyBorder="0" applyAlignment="0" applyProtection="0"/>
    <xf numFmtId="0" fontId="1" fillId="3" borderId="0" applyNumberFormat="0" applyBorder="0" applyAlignment="0" applyProtection="0"/>
    <xf numFmtId="0" fontId="1" fillId="3" borderId="0" applyNumberFormat="0" applyBorder="0" applyAlignment="0" applyProtection="0"/>
    <xf numFmtId="0" fontId="1" fillId="3" borderId="0" applyNumberFormat="0" applyBorder="0" applyAlignment="0" applyProtection="0"/>
    <xf numFmtId="0" fontId="1" fillId="3" borderId="0" applyNumberFormat="0" applyBorder="0" applyAlignment="0" applyProtection="0"/>
    <xf numFmtId="0" fontId="1" fillId="3" borderId="0" applyNumberFormat="0" applyBorder="0" applyAlignment="0" applyProtection="0"/>
    <xf numFmtId="0" fontId="1" fillId="3" borderId="0" applyNumberFormat="0" applyBorder="0" applyAlignment="0" applyProtection="0"/>
    <xf numFmtId="0" fontId="1" fillId="3" borderId="0" applyNumberFormat="0" applyBorder="0" applyAlignment="0" applyProtection="0"/>
    <xf numFmtId="0" fontId="1" fillId="3" borderId="0" applyNumberFormat="0" applyBorder="0" applyAlignment="0" applyProtection="0"/>
    <xf numFmtId="0" fontId="1" fillId="3" borderId="0" applyNumberFormat="0" applyBorder="0" applyAlignment="0" applyProtection="0"/>
    <xf numFmtId="0" fontId="1" fillId="3" borderId="0" applyNumberFormat="0" applyBorder="0" applyAlignment="0" applyProtection="0"/>
    <xf numFmtId="0" fontId="1" fillId="3" borderId="0" applyNumberFormat="0" applyBorder="0" applyAlignment="0" applyProtection="0"/>
    <xf numFmtId="0" fontId="1" fillId="3" borderId="0" applyNumberFormat="0" applyBorder="0" applyAlignment="0" applyProtection="0"/>
    <xf numFmtId="0" fontId="1" fillId="3" borderId="0" applyNumberFormat="0" applyBorder="0" applyAlignment="0" applyProtection="0"/>
    <xf numFmtId="0" fontId="1" fillId="3" borderId="0" applyNumberFormat="0" applyBorder="0" applyAlignment="0" applyProtection="0"/>
    <xf numFmtId="0" fontId="1" fillId="3" borderId="0" applyNumberFormat="0" applyBorder="0" applyAlignment="0" applyProtection="0"/>
    <xf numFmtId="0" fontId="1" fillId="3" borderId="0" applyNumberFormat="0" applyBorder="0" applyAlignment="0" applyProtection="0"/>
    <xf numFmtId="0" fontId="1" fillId="3" borderId="0" applyNumberFormat="0" applyBorder="0" applyAlignment="0" applyProtection="0"/>
    <xf numFmtId="0" fontId="1" fillId="3" borderId="0" applyNumberFormat="0" applyBorder="0" applyAlignment="0" applyProtection="0"/>
    <xf numFmtId="0" fontId="1" fillId="3" borderId="0" applyNumberFormat="0" applyBorder="0" applyAlignment="0" applyProtection="0"/>
    <xf numFmtId="0" fontId="1" fillId="3" borderId="0" applyNumberFormat="0" applyBorder="0" applyAlignment="0" applyProtection="0"/>
    <xf numFmtId="0" fontId="1" fillId="3" borderId="0" applyNumberFormat="0" applyBorder="0" applyAlignment="0" applyProtection="0"/>
    <xf numFmtId="0" fontId="1" fillId="3" borderId="0" applyNumberFormat="0" applyBorder="0" applyAlignment="0" applyProtection="0"/>
    <xf numFmtId="0" fontId="1" fillId="3" borderId="0" applyNumberFormat="0" applyBorder="0" applyAlignment="0" applyProtection="0"/>
    <xf numFmtId="0" fontId="1" fillId="3" borderId="0" applyNumberFormat="0" applyBorder="0" applyAlignment="0" applyProtection="0"/>
    <xf numFmtId="0" fontId="1" fillId="3" borderId="0" applyNumberFormat="0" applyBorder="0" applyAlignment="0" applyProtection="0"/>
    <xf numFmtId="0" fontId="1" fillId="3" borderId="0" applyNumberFormat="0" applyBorder="0" applyAlignment="0" applyProtection="0"/>
    <xf numFmtId="0" fontId="1" fillId="3" borderId="0" applyNumberFormat="0" applyBorder="0" applyAlignment="0" applyProtection="0"/>
    <xf numFmtId="0" fontId="1" fillId="3" borderId="0" applyNumberFormat="0" applyBorder="0" applyAlignment="0" applyProtection="0"/>
    <xf numFmtId="0" fontId="1" fillId="3" borderId="0" applyNumberFormat="0" applyBorder="0" applyAlignment="0" applyProtection="0"/>
    <xf numFmtId="0" fontId="1" fillId="3" borderId="0" applyNumberFormat="0" applyBorder="0" applyAlignment="0" applyProtection="0"/>
    <xf numFmtId="0" fontId="1" fillId="3" borderId="0" applyNumberFormat="0" applyBorder="0" applyAlignment="0" applyProtection="0"/>
    <xf numFmtId="0" fontId="1" fillId="3" borderId="0" applyNumberFormat="0" applyBorder="0" applyAlignment="0" applyProtection="0"/>
    <xf numFmtId="0" fontId="1" fillId="3" borderId="0" applyNumberFormat="0" applyBorder="0" applyAlignment="0" applyProtection="0"/>
    <xf numFmtId="0" fontId="1" fillId="3" borderId="0" applyNumberFormat="0" applyBorder="0" applyAlignment="0" applyProtection="0"/>
    <xf numFmtId="0" fontId="1" fillId="3" borderId="0" applyNumberFormat="0" applyBorder="0" applyAlignment="0" applyProtection="0"/>
    <xf numFmtId="0" fontId="1" fillId="3" borderId="0" applyNumberFormat="0" applyBorder="0" applyAlignment="0" applyProtection="0"/>
    <xf numFmtId="0" fontId="1" fillId="3" borderId="0" applyNumberFormat="0" applyBorder="0" applyAlignment="0" applyProtection="0"/>
    <xf numFmtId="0" fontId="1" fillId="3" borderId="0" applyNumberFormat="0" applyBorder="0" applyAlignment="0" applyProtection="0"/>
    <xf numFmtId="0" fontId="1" fillId="3" borderId="0" applyNumberFormat="0" applyBorder="0" applyAlignment="0" applyProtection="0"/>
    <xf numFmtId="0" fontId="1" fillId="3" borderId="0" applyNumberFormat="0" applyBorder="0" applyAlignment="0" applyProtection="0"/>
    <xf numFmtId="0" fontId="1" fillId="3" borderId="0" applyNumberFormat="0" applyBorder="0" applyAlignment="0" applyProtection="0"/>
    <xf numFmtId="0" fontId="1" fillId="3" borderId="0" applyNumberFormat="0" applyBorder="0" applyAlignment="0" applyProtection="0"/>
    <xf numFmtId="0" fontId="1" fillId="3" borderId="0" applyNumberFormat="0" applyBorder="0" applyAlignment="0" applyProtection="0"/>
    <xf numFmtId="0" fontId="1" fillId="3" borderId="0" applyNumberFormat="0" applyBorder="0" applyAlignment="0" applyProtection="0"/>
    <xf numFmtId="0" fontId="1" fillId="3" borderId="0" applyNumberFormat="0" applyBorder="0" applyAlignment="0" applyProtection="0"/>
    <xf numFmtId="0" fontId="1" fillId="3" borderId="0" applyNumberFormat="0" applyBorder="0" applyAlignment="0" applyProtection="0"/>
    <xf numFmtId="0" fontId="1" fillId="3" borderId="0" applyNumberFormat="0" applyBorder="0" applyAlignment="0" applyProtection="0"/>
    <xf numFmtId="0" fontId="1" fillId="3" borderId="0" applyNumberFormat="0" applyBorder="0" applyAlignment="0" applyProtection="0"/>
    <xf numFmtId="0" fontId="1" fillId="3" borderId="0" applyNumberFormat="0" applyBorder="0" applyAlignment="0" applyProtection="0"/>
    <xf numFmtId="0" fontId="1" fillId="3" borderId="0" applyNumberFormat="0" applyBorder="0" applyAlignment="0" applyProtection="0"/>
    <xf numFmtId="0" fontId="1" fillId="3" borderId="0" applyNumberFormat="0" applyBorder="0" applyAlignment="0" applyProtection="0"/>
    <xf numFmtId="0" fontId="1" fillId="3" borderId="0" applyNumberFormat="0" applyBorder="0" applyAlignment="0" applyProtection="0"/>
    <xf numFmtId="0" fontId="1" fillId="3" borderId="0" applyNumberFormat="0" applyBorder="0" applyAlignment="0" applyProtection="0"/>
    <xf numFmtId="0" fontId="1" fillId="3" borderId="0" applyNumberFormat="0" applyBorder="0" applyAlignment="0" applyProtection="0"/>
    <xf numFmtId="0" fontId="1" fillId="3" borderId="0" applyNumberFormat="0" applyBorder="0" applyAlignment="0" applyProtection="0"/>
    <xf numFmtId="0" fontId="1" fillId="3" borderId="0" applyNumberFormat="0" applyBorder="0" applyAlignment="0" applyProtection="0"/>
    <xf numFmtId="0" fontId="1" fillId="3" borderId="0" applyNumberFormat="0" applyBorder="0" applyAlignment="0" applyProtection="0"/>
    <xf numFmtId="0" fontId="1" fillId="3" borderId="0" applyNumberFormat="0" applyBorder="0" applyAlignment="0" applyProtection="0"/>
    <xf numFmtId="0" fontId="1" fillId="3" borderId="0" applyNumberFormat="0" applyBorder="0" applyAlignment="0" applyProtection="0"/>
    <xf numFmtId="0" fontId="1" fillId="3" borderId="0" applyNumberFormat="0" applyBorder="0" applyAlignment="0" applyProtection="0"/>
    <xf numFmtId="0" fontId="1" fillId="3" borderId="0" applyNumberFormat="0" applyBorder="0" applyAlignment="0" applyProtection="0"/>
    <xf numFmtId="0" fontId="1" fillId="3" borderId="0" applyNumberFormat="0" applyBorder="0" applyAlignment="0" applyProtection="0"/>
    <xf numFmtId="0" fontId="1" fillId="3" borderId="0" applyNumberFormat="0" applyBorder="0" applyAlignment="0" applyProtection="0"/>
    <xf numFmtId="0" fontId="1" fillId="3" borderId="0" applyNumberFormat="0" applyBorder="0" applyAlignment="0" applyProtection="0"/>
    <xf numFmtId="0" fontId="1" fillId="3" borderId="0" applyNumberFormat="0" applyBorder="0" applyAlignment="0" applyProtection="0"/>
    <xf numFmtId="0" fontId="1" fillId="3" borderId="0" applyNumberFormat="0" applyBorder="0" applyAlignment="0" applyProtection="0"/>
    <xf numFmtId="0" fontId="1" fillId="3" borderId="0" applyNumberFormat="0" applyBorder="0" applyAlignment="0" applyProtection="0"/>
    <xf numFmtId="0" fontId="1" fillId="3" borderId="0" applyNumberFormat="0" applyBorder="0" applyAlignment="0" applyProtection="0"/>
    <xf numFmtId="0" fontId="1" fillId="3" borderId="0" applyNumberFormat="0" applyBorder="0" applyAlignment="0" applyProtection="0"/>
    <xf numFmtId="0" fontId="1" fillId="3" borderId="0" applyNumberFormat="0" applyBorder="0" applyAlignment="0" applyProtection="0"/>
    <xf numFmtId="0" fontId="1" fillId="3" borderId="0" applyNumberFormat="0" applyBorder="0" applyAlignment="0" applyProtection="0"/>
    <xf numFmtId="0" fontId="1" fillId="3" borderId="0" applyNumberFormat="0" applyBorder="0" applyAlignment="0" applyProtection="0"/>
    <xf numFmtId="0" fontId="1" fillId="3" borderId="0" applyNumberFormat="0" applyBorder="0" applyAlignment="0" applyProtection="0"/>
    <xf numFmtId="0" fontId="1" fillId="3" borderId="0" applyNumberFormat="0" applyBorder="0" applyAlignment="0" applyProtection="0"/>
    <xf numFmtId="0" fontId="1" fillId="3" borderId="0" applyNumberFormat="0" applyBorder="0" applyAlignment="0" applyProtection="0"/>
    <xf numFmtId="0" fontId="1" fillId="3" borderId="0" applyNumberFormat="0" applyBorder="0" applyAlignment="0" applyProtection="0"/>
    <xf numFmtId="0" fontId="1" fillId="3" borderId="0" applyNumberFormat="0" applyBorder="0" applyAlignment="0" applyProtection="0"/>
    <xf numFmtId="0" fontId="1" fillId="3" borderId="0" applyNumberFormat="0" applyBorder="0" applyAlignment="0" applyProtection="0"/>
    <xf numFmtId="0" fontId="1" fillId="3" borderId="0" applyNumberFormat="0" applyBorder="0" applyAlignment="0" applyProtection="0"/>
    <xf numFmtId="0" fontId="1" fillId="3" borderId="0" applyNumberFormat="0" applyBorder="0" applyAlignment="0" applyProtection="0"/>
    <xf numFmtId="0" fontId="1" fillId="3" borderId="0" applyNumberFormat="0" applyBorder="0" applyAlignment="0" applyProtection="0"/>
    <xf numFmtId="0" fontId="1" fillId="3" borderId="0" applyNumberFormat="0" applyBorder="0" applyAlignment="0" applyProtection="0"/>
    <xf numFmtId="0" fontId="1" fillId="3" borderId="0" applyNumberFormat="0" applyBorder="0" applyAlignment="0" applyProtection="0"/>
    <xf numFmtId="0" fontId="1" fillId="3" borderId="0" applyNumberFormat="0" applyBorder="0" applyAlignment="0" applyProtection="0"/>
    <xf numFmtId="0" fontId="1" fillId="3" borderId="0" applyNumberFormat="0" applyBorder="0" applyAlignment="0" applyProtection="0"/>
    <xf numFmtId="0" fontId="1" fillId="3" borderId="0" applyNumberFormat="0" applyBorder="0" applyAlignment="0" applyProtection="0"/>
    <xf numFmtId="0" fontId="1" fillId="3" borderId="0" applyNumberFormat="0" applyBorder="0" applyAlignment="0" applyProtection="0"/>
    <xf numFmtId="0" fontId="1" fillId="3" borderId="0" applyNumberFormat="0" applyBorder="0" applyAlignment="0" applyProtection="0"/>
    <xf numFmtId="0" fontId="1" fillId="3" borderId="0" applyNumberFormat="0" applyBorder="0" applyAlignment="0" applyProtection="0"/>
    <xf numFmtId="0" fontId="1" fillId="3" borderId="0" applyNumberFormat="0" applyBorder="0" applyAlignment="0" applyProtection="0"/>
    <xf numFmtId="0" fontId="1" fillId="3" borderId="0" applyNumberFormat="0" applyBorder="0" applyAlignment="0" applyProtection="0"/>
    <xf numFmtId="0" fontId="1" fillId="3" borderId="0" applyNumberFormat="0" applyBorder="0" applyAlignment="0" applyProtection="0"/>
    <xf numFmtId="0" fontId="1" fillId="3" borderId="0" applyNumberFormat="0" applyBorder="0" applyAlignment="0" applyProtection="0"/>
    <xf numFmtId="0" fontId="1" fillId="3" borderId="0" applyNumberFormat="0" applyBorder="0" applyAlignment="0" applyProtection="0"/>
    <xf numFmtId="0" fontId="1" fillId="3" borderId="0" applyNumberFormat="0" applyBorder="0" applyAlignment="0" applyProtection="0"/>
    <xf numFmtId="0" fontId="1" fillId="3" borderId="0" applyNumberFormat="0" applyBorder="0" applyAlignment="0" applyProtection="0"/>
    <xf numFmtId="0" fontId="1" fillId="3" borderId="0" applyNumberFormat="0" applyBorder="0" applyAlignment="0" applyProtection="0"/>
    <xf numFmtId="0" fontId="1" fillId="3" borderId="0" applyNumberFormat="0" applyBorder="0" applyAlignment="0" applyProtection="0"/>
    <xf numFmtId="0" fontId="1" fillId="3" borderId="0" applyNumberFormat="0" applyBorder="0" applyAlignment="0" applyProtection="0"/>
    <xf numFmtId="0" fontId="1" fillId="3" borderId="0" applyNumberFormat="0" applyBorder="0" applyAlignment="0" applyProtection="0"/>
    <xf numFmtId="0" fontId="1" fillId="3" borderId="0" applyNumberFormat="0" applyBorder="0" applyAlignment="0" applyProtection="0"/>
    <xf numFmtId="0" fontId="1" fillId="3" borderId="0" applyNumberFormat="0" applyBorder="0" applyAlignment="0" applyProtection="0"/>
    <xf numFmtId="0" fontId="1" fillId="3" borderId="0" applyNumberFormat="0" applyBorder="0" applyAlignment="0" applyProtection="0"/>
    <xf numFmtId="0" fontId="1" fillId="3" borderId="0" applyNumberFormat="0" applyBorder="0" applyAlignment="0" applyProtection="0"/>
    <xf numFmtId="0" fontId="1" fillId="3" borderId="0" applyNumberFormat="0" applyBorder="0" applyAlignment="0" applyProtection="0"/>
    <xf numFmtId="0" fontId="1" fillId="3" borderId="0" applyNumberFormat="0" applyBorder="0" applyAlignment="0" applyProtection="0"/>
    <xf numFmtId="0" fontId="1" fillId="3" borderId="0" applyNumberFormat="0" applyBorder="0" applyAlignment="0" applyProtection="0"/>
    <xf numFmtId="0" fontId="1" fillId="3" borderId="0" applyNumberFormat="0" applyBorder="0" applyAlignment="0" applyProtection="0"/>
    <xf numFmtId="0" fontId="1" fillId="3" borderId="0" applyNumberFormat="0" applyBorder="0" applyAlignment="0" applyProtection="0"/>
    <xf numFmtId="0" fontId="1" fillId="3" borderId="0" applyNumberFormat="0" applyBorder="0" applyAlignment="0" applyProtection="0"/>
    <xf numFmtId="0" fontId="1" fillId="3" borderId="0" applyNumberFormat="0" applyBorder="0" applyAlignment="0" applyProtection="0"/>
    <xf numFmtId="0" fontId="1" fillId="3" borderId="0" applyNumberFormat="0" applyBorder="0" applyAlignment="0" applyProtection="0"/>
    <xf numFmtId="0" fontId="1" fillId="3" borderId="0" applyNumberFormat="0" applyBorder="0" applyAlignment="0" applyProtection="0"/>
    <xf numFmtId="0" fontId="1" fillId="3" borderId="0" applyNumberFormat="0" applyBorder="0" applyAlignment="0" applyProtection="0"/>
    <xf numFmtId="0" fontId="1" fillId="3" borderId="0" applyNumberFormat="0" applyBorder="0" applyAlignment="0" applyProtection="0"/>
    <xf numFmtId="0" fontId="1" fillId="3" borderId="0" applyNumberFormat="0" applyBorder="0" applyAlignment="0" applyProtection="0"/>
    <xf numFmtId="0" fontId="1" fillId="3" borderId="0" applyNumberFormat="0" applyBorder="0" applyAlignment="0" applyProtection="0"/>
    <xf numFmtId="0" fontId="1" fillId="3" borderId="0" applyNumberFormat="0" applyBorder="0" applyAlignment="0" applyProtection="0"/>
    <xf numFmtId="0" fontId="1" fillId="3" borderId="0" applyNumberFormat="0" applyBorder="0" applyAlignment="0" applyProtection="0"/>
    <xf numFmtId="0" fontId="1" fillId="3"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49" fontId="42" fillId="0" borderId="2" applyNumberFormat="0" applyFill="0" applyBorder="0" applyProtection="0">
      <alignment horizontal="left" vertical="center"/>
    </xf>
    <xf numFmtId="0" fontId="82" fillId="0" borderId="159" applyNumberFormat="0" applyFill="0" applyAlignment="0" applyProtection="0"/>
    <xf numFmtId="0" fontId="82" fillId="0" borderId="159" applyNumberFormat="0" applyFill="0" applyAlignment="0" applyProtection="0"/>
    <xf numFmtId="0" fontId="82" fillId="0" borderId="159" applyNumberFormat="0" applyFill="0" applyAlignment="0" applyProtection="0"/>
    <xf numFmtId="0" fontId="82" fillId="0" borderId="159" applyNumberFormat="0" applyFill="0" applyAlignment="0" applyProtection="0"/>
    <xf numFmtId="0" fontId="82" fillId="0" borderId="159" applyNumberFormat="0" applyFill="0" applyAlignment="0" applyProtection="0"/>
    <xf numFmtId="0" fontId="1" fillId="60" borderId="0" applyNumberFormat="0" applyBorder="0" applyAlignment="0" applyProtection="0"/>
    <xf numFmtId="0" fontId="1" fillId="61" borderId="0" applyNumberFormat="0" applyBorder="0" applyAlignment="0" applyProtection="0"/>
    <xf numFmtId="0" fontId="1" fillId="64" borderId="0" applyNumberFormat="0" applyBorder="0" applyAlignment="0" applyProtection="0"/>
    <xf numFmtId="0" fontId="1" fillId="65" borderId="0" applyNumberFormat="0" applyBorder="0" applyAlignment="0" applyProtection="0"/>
    <xf numFmtId="0" fontId="1" fillId="68" borderId="0" applyNumberFormat="0" applyBorder="0" applyAlignment="0" applyProtection="0"/>
    <xf numFmtId="0" fontId="1" fillId="69" borderId="0" applyNumberFormat="0" applyBorder="0" applyAlignment="0" applyProtection="0"/>
    <xf numFmtId="0" fontId="1" fillId="72" borderId="0" applyNumberFormat="0" applyBorder="0" applyAlignment="0" applyProtection="0"/>
    <xf numFmtId="0" fontId="1" fillId="73" borderId="0" applyNumberFormat="0" applyBorder="0" applyAlignment="0" applyProtection="0"/>
    <xf numFmtId="0" fontId="1" fillId="76" borderId="0" applyNumberFormat="0" applyBorder="0" applyAlignment="0" applyProtection="0"/>
    <xf numFmtId="0" fontId="1" fillId="77" borderId="0" applyNumberFormat="0" applyBorder="0" applyAlignment="0" applyProtection="0"/>
    <xf numFmtId="0" fontId="1" fillId="80" borderId="0" applyNumberFormat="0" applyBorder="0" applyAlignment="0" applyProtection="0"/>
    <xf numFmtId="0" fontId="1" fillId="81"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6" borderId="0" applyNumberFormat="0" applyBorder="0" applyAlignment="0" applyProtection="0"/>
    <xf numFmtId="0" fontId="1" fillId="76" borderId="0" applyNumberFormat="0" applyBorder="0" applyAlignment="0" applyProtection="0"/>
    <xf numFmtId="0" fontId="1" fillId="76" borderId="0" applyNumberFormat="0" applyBorder="0" applyAlignment="0" applyProtection="0"/>
    <xf numFmtId="0" fontId="1" fillId="76" borderId="0" applyNumberFormat="0" applyBorder="0" applyAlignment="0" applyProtection="0"/>
    <xf numFmtId="0" fontId="1" fillId="76" borderId="0" applyNumberFormat="0" applyBorder="0" applyAlignment="0" applyProtection="0"/>
    <xf numFmtId="0" fontId="1" fillId="76" borderId="0" applyNumberFormat="0" applyBorder="0" applyAlignment="0" applyProtection="0"/>
    <xf numFmtId="0" fontId="1" fillId="76" borderId="0" applyNumberFormat="0" applyBorder="0" applyAlignment="0" applyProtection="0"/>
    <xf numFmtId="0" fontId="1" fillId="76" borderId="0" applyNumberFormat="0" applyBorder="0" applyAlignment="0" applyProtection="0"/>
    <xf numFmtId="0" fontId="1" fillId="76" borderId="0" applyNumberFormat="0" applyBorder="0" applyAlignment="0" applyProtection="0"/>
    <xf numFmtId="0" fontId="1" fillId="76" borderId="0" applyNumberFormat="0" applyBorder="0" applyAlignment="0" applyProtection="0"/>
    <xf numFmtId="0" fontId="1" fillId="76" borderId="0" applyNumberFormat="0" applyBorder="0" applyAlignment="0" applyProtection="0"/>
    <xf numFmtId="0" fontId="1" fillId="76" borderId="0" applyNumberFormat="0" applyBorder="0" applyAlignment="0" applyProtection="0"/>
    <xf numFmtId="0" fontId="1" fillId="76" borderId="0" applyNumberFormat="0" applyBorder="0" applyAlignment="0" applyProtection="0"/>
    <xf numFmtId="0" fontId="1" fillId="76" borderId="0" applyNumberFormat="0" applyBorder="0" applyAlignment="0" applyProtection="0"/>
    <xf numFmtId="0" fontId="1" fillId="76" borderId="0" applyNumberFormat="0" applyBorder="0" applyAlignment="0" applyProtection="0"/>
    <xf numFmtId="0" fontId="1" fillId="76" borderId="0" applyNumberFormat="0" applyBorder="0" applyAlignment="0" applyProtection="0"/>
    <xf numFmtId="0" fontId="1" fillId="76" borderId="0" applyNumberFormat="0" applyBorder="0" applyAlignment="0" applyProtection="0"/>
    <xf numFmtId="0" fontId="1" fillId="76" borderId="0" applyNumberFormat="0" applyBorder="0" applyAlignment="0" applyProtection="0"/>
    <xf numFmtId="0" fontId="1" fillId="76" borderId="0" applyNumberFormat="0" applyBorder="0" applyAlignment="0" applyProtection="0"/>
    <xf numFmtId="0" fontId="1" fillId="76" borderId="0" applyNumberFormat="0" applyBorder="0" applyAlignment="0" applyProtection="0"/>
    <xf numFmtId="0" fontId="1" fillId="76" borderId="0" applyNumberFormat="0" applyBorder="0" applyAlignment="0" applyProtection="0"/>
    <xf numFmtId="0" fontId="1" fillId="76" borderId="0" applyNumberFormat="0" applyBorder="0" applyAlignment="0" applyProtection="0"/>
    <xf numFmtId="0" fontId="1" fillId="76" borderId="0" applyNumberFormat="0" applyBorder="0" applyAlignment="0" applyProtection="0"/>
    <xf numFmtId="0" fontId="1" fillId="76" borderId="0" applyNumberFormat="0" applyBorder="0" applyAlignment="0" applyProtection="0"/>
    <xf numFmtId="0" fontId="1" fillId="76" borderId="0" applyNumberFormat="0" applyBorder="0" applyAlignment="0" applyProtection="0"/>
    <xf numFmtId="0" fontId="1" fillId="76" borderId="0" applyNumberFormat="0" applyBorder="0" applyAlignment="0" applyProtection="0"/>
    <xf numFmtId="0" fontId="1" fillId="76" borderId="0" applyNumberFormat="0" applyBorder="0" applyAlignment="0" applyProtection="0"/>
    <xf numFmtId="0" fontId="1" fillId="76" borderId="0" applyNumberFormat="0" applyBorder="0" applyAlignment="0" applyProtection="0"/>
    <xf numFmtId="0" fontId="1" fillId="76" borderId="0" applyNumberFormat="0" applyBorder="0" applyAlignment="0" applyProtection="0"/>
    <xf numFmtId="0" fontId="1" fillId="76" borderId="0" applyNumberFormat="0" applyBorder="0" applyAlignment="0" applyProtection="0"/>
    <xf numFmtId="0" fontId="1" fillId="76" borderId="0" applyNumberFormat="0" applyBorder="0" applyAlignment="0" applyProtection="0"/>
    <xf numFmtId="0" fontId="1" fillId="76" borderId="0" applyNumberFormat="0" applyBorder="0" applyAlignment="0" applyProtection="0"/>
    <xf numFmtId="0" fontId="1" fillId="76" borderId="0" applyNumberFormat="0" applyBorder="0" applyAlignment="0" applyProtection="0"/>
    <xf numFmtId="0" fontId="1" fillId="76" borderId="0" applyNumberFormat="0" applyBorder="0" applyAlignment="0" applyProtection="0"/>
    <xf numFmtId="0" fontId="1" fillId="76" borderId="0" applyNumberFormat="0" applyBorder="0" applyAlignment="0" applyProtection="0"/>
    <xf numFmtId="0" fontId="1" fillId="76" borderId="0" applyNumberFormat="0" applyBorder="0" applyAlignment="0" applyProtection="0"/>
    <xf numFmtId="0" fontId="1" fillId="76" borderId="0" applyNumberFormat="0" applyBorder="0" applyAlignment="0" applyProtection="0"/>
    <xf numFmtId="0" fontId="1" fillId="76" borderId="0" applyNumberFormat="0" applyBorder="0" applyAlignment="0" applyProtection="0"/>
    <xf numFmtId="0" fontId="1" fillId="76" borderId="0" applyNumberFormat="0" applyBorder="0" applyAlignment="0" applyProtection="0"/>
    <xf numFmtId="0" fontId="1" fillId="76" borderId="0" applyNumberFormat="0" applyBorder="0" applyAlignment="0" applyProtection="0"/>
    <xf numFmtId="0" fontId="1" fillId="76" borderId="0" applyNumberFormat="0" applyBorder="0" applyAlignment="0" applyProtection="0"/>
    <xf numFmtId="0" fontId="1" fillId="76" borderId="0" applyNumberFormat="0" applyBorder="0" applyAlignment="0" applyProtection="0"/>
    <xf numFmtId="0" fontId="1" fillId="76" borderId="0" applyNumberFormat="0" applyBorder="0" applyAlignment="0" applyProtection="0"/>
    <xf numFmtId="0" fontId="1" fillId="76" borderId="0" applyNumberFormat="0" applyBorder="0" applyAlignment="0" applyProtection="0"/>
    <xf numFmtId="0" fontId="1" fillId="76" borderId="0" applyNumberFormat="0" applyBorder="0" applyAlignment="0" applyProtection="0"/>
    <xf numFmtId="0" fontId="1" fillId="76" borderId="0" applyNumberFormat="0" applyBorder="0" applyAlignment="0" applyProtection="0"/>
    <xf numFmtId="0" fontId="1" fillId="76" borderId="0" applyNumberFormat="0" applyBorder="0" applyAlignment="0" applyProtection="0"/>
    <xf numFmtId="0" fontId="1" fillId="76" borderId="0" applyNumberFormat="0" applyBorder="0" applyAlignment="0" applyProtection="0"/>
    <xf numFmtId="0" fontId="1" fillId="76" borderId="0" applyNumberFormat="0" applyBorder="0" applyAlignment="0" applyProtection="0"/>
    <xf numFmtId="0" fontId="1" fillId="76" borderId="0" applyNumberFormat="0" applyBorder="0" applyAlignment="0" applyProtection="0"/>
    <xf numFmtId="0" fontId="1" fillId="76" borderId="0" applyNumberFormat="0" applyBorder="0" applyAlignment="0" applyProtection="0"/>
    <xf numFmtId="0" fontId="1" fillId="76" borderId="0" applyNumberFormat="0" applyBorder="0" applyAlignment="0" applyProtection="0"/>
    <xf numFmtId="0" fontId="1" fillId="76" borderId="0" applyNumberFormat="0" applyBorder="0" applyAlignment="0" applyProtection="0"/>
    <xf numFmtId="0" fontId="1" fillId="7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5" borderId="0" applyNumberFormat="0" applyBorder="0" applyAlignment="0" applyProtection="0"/>
    <xf numFmtId="0" fontId="1" fillId="65" borderId="0" applyNumberFormat="0" applyBorder="0" applyAlignment="0" applyProtection="0"/>
    <xf numFmtId="0" fontId="1" fillId="65" borderId="0" applyNumberFormat="0" applyBorder="0" applyAlignment="0" applyProtection="0"/>
    <xf numFmtId="0" fontId="1" fillId="65" borderId="0" applyNumberFormat="0" applyBorder="0" applyAlignment="0" applyProtection="0"/>
    <xf numFmtId="0" fontId="1" fillId="65" borderId="0" applyNumberFormat="0" applyBorder="0" applyAlignment="0" applyProtection="0"/>
    <xf numFmtId="0" fontId="1" fillId="65" borderId="0" applyNumberFormat="0" applyBorder="0" applyAlignment="0" applyProtection="0"/>
    <xf numFmtId="0" fontId="1" fillId="65" borderId="0" applyNumberFormat="0" applyBorder="0" applyAlignment="0" applyProtection="0"/>
    <xf numFmtId="0" fontId="1" fillId="65" borderId="0" applyNumberFormat="0" applyBorder="0" applyAlignment="0" applyProtection="0"/>
    <xf numFmtId="0" fontId="1" fillId="65" borderId="0" applyNumberFormat="0" applyBorder="0" applyAlignment="0" applyProtection="0"/>
    <xf numFmtId="0" fontId="1" fillId="65" borderId="0" applyNumberFormat="0" applyBorder="0" applyAlignment="0" applyProtection="0"/>
    <xf numFmtId="0" fontId="1" fillId="65" borderId="0" applyNumberFormat="0" applyBorder="0" applyAlignment="0" applyProtection="0"/>
    <xf numFmtId="0" fontId="1" fillId="65" borderId="0" applyNumberFormat="0" applyBorder="0" applyAlignment="0" applyProtection="0"/>
    <xf numFmtId="0" fontId="1" fillId="65" borderId="0" applyNumberFormat="0" applyBorder="0" applyAlignment="0" applyProtection="0"/>
    <xf numFmtId="0" fontId="1" fillId="65" borderId="0" applyNumberFormat="0" applyBorder="0" applyAlignment="0" applyProtection="0"/>
    <xf numFmtId="0" fontId="1" fillId="65" borderId="0" applyNumberFormat="0" applyBorder="0" applyAlignment="0" applyProtection="0"/>
    <xf numFmtId="0" fontId="1" fillId="65" borderId="0" applyNumberFormat="0" applyBorder="0" applyAlignment="0" applyProtection="0"/>
    <xf numFmtId="0" fontId="1" fillId="65" borderId="0" applyNumberFormat="0" applyBorder="0" applyAlignment="0" applyProtection="0"/>
    <xf numFmtId="0" fontId="1" fillId="65" borderId="0" applyNumberFormat="0" applyBorder="0" applyAlignment="0" applyProtection="0"/>
    <xf numFmtId="0" fontId="1" fillId="65" borderId="0" applyNumberFormat="0" applyBorder="0" applyAlignment="0" applyProtection="0"/>
    <xf numFmtId="0" fontId="1" fillId="65" borderId="0" applyNumberFormat="0" applyBorder="0" applyAlignment="0" applyProtection="0"/>
    <xf numFmtId="0" fontId="1" fillId="65" borderId="0" applyNumberFormat="0" applyBorder="0" applyAlignment="0" applyProtection="0"/>
    <xf numFmtId="0" fontId="1" fillId="65" borderId="0" applyNumberFormat="0" applyBorder="0" applyAlignment="0" applyProtection="0"/>
    <xf numFmtId="0" fontId="1" fillId="65" borderId="0" applyNumberFormat="0" applyBorder="0" applyAlignment="0" applyProtection="0"/>
    <xf numFmtId="0" fontId="1" fillId="65" borderId="0" applyNumberFormat="0" applyBorder="0" applyAlignment="0" applyProtection="0"/>
    <xf numFmtId="0" fontId="1" fillId="65" borderId="0" applyNumberFormat="0" applyBorder="0" applyAlignment="0" applyProtection="0"/>
    <xf numFmtId="0" fontId="1" fillId="65" borderId="0" applyNumberFormat="0" applyBorder="0" applyAlignment="0" applyProtection="0"/>
    <xf numFmtId="0" fontId="1" fillId="65" borderId="0" applyNumberFormat="0" applyBorder="0" applyAlignment="0" applyProtection="0"/>
    <xf numFmtId="0" fontId="1" fillId="65" borderId="0" applyNumberFormat="0" applyBorder="0" applyAlignment="0" applyProtection="0"/>
    <xf numFmtId="0" fontId="1" fillId="65" borderId="0" applyNumberFormat="0" applyBorder="0" applyAlignment="0" applyProtection="0"/>
    <xf numFmtId="0" fontId="1" fillId="65" borderId="0" applyNumberFormat="0" applyBorder="0" applyAlignment="0" applyProtection="0"/>
    <xf numFmtId="0" fontId="1" fillId="65" borderId="0" applyNumberFormat="0" applyBorder="0" applyAlignment="0" applyProtection="0"/>
    <xf numFmtId="0" fontId="1" fillId="65" borderId="0" applyNumberFormat="0" applyBorder="0" applyAlignment="0" applyProtection="0"/>
    <xf numFmtId="0" fontId="1" fillId="65" borderId="0" applyNumberFormat="0" applyBorder="0" applyAlignment="0" applyProtection="0"/>
    <xf numFmtId="0" fontId="1" fillId="65" borderId="0" applyNumberFormat="0" applyBorder="0" applyAlignment="0" applyProtection="0"/>
    <xf numFmtId="0" fontId="1" fillId="65" borderId="0" applyNumberFormat="0" applyBorder="0" applyAlignment="0" applyProtection="0"/>
    <xf numFmtId="0" fontId="1" fillId="65" borderId="0" applyNumberFormat="0" applyBorder="0" applyAlignment="0" applyProtection="0"/>
    <xf numFmtId="0" fontId="1" fillId="65" borderId="0" applyNumberFormat="0" applyBorder="0" applyAlignment="0" applyProtection="0"/>
    <xf numFmtId="0" fontId="1" fillId="65" borderId="0" applyNumberFormat="0" applyBorder="0" applyAlignment="0" applyProtection="0"/>
    <xf numFmtId="0" fontId="1" fillId="65" borderId="0" applyNumberFormat="0" applyBorder="0" applyAlignment="0" applyProtection="0"/>
    <xf numFmtId="0" fontId="1" fillId="65" borderId="0" applyNumberFormat="0" applyBorder="0" applyAlignment="0" applyProtection="0"/>
    <xf numFmtId="0" fontId="1" fillId="65" borderId="0" applyNumberFormat="0" applyBorder="0" applyAlignment="0" applyProtection="0"/>
    <xf numFmtId="0" fontId="1" fillId="65" borderId="0" applyNumberFormat="0" applyBorder="0" applyAlignment="0" applyProtection="0"/>
    <xf numFmtId="0" fontId="1" fillId="65" borderId="0" applyNumberFormat="0" applyBorder="0" applyAlignment="0" applyProtection="0"/>
    <xf numFmtId="0" fontId="1" fillId="65" borderId="0" applyNumberFormat="0" applyBorder="0" applyAlignment="0" applyProtection="0"/>
    <xf numFmtId="0" fontId="1" fillId="65" borderId="0" applyNumberFormat="0" applyBorder="0" applyAlignment="0" applyProtection="0"/>
    <xf numFmtId="0" fontId="1" fillId="65" borderId="0" applyNumberFormat="0" applyBorder="0" applyAlignment="0" applyProtection="0"/>
    <xf numFmtId="0" fontId="1" fillId="65" borderId="0" applyNumberFormat="0" applyBorder="0" applyAlignment="0" applyProtection="0"/>
    <xf numFmtId="0" fontId="1" fillId="65" borderId="0" applyNumberFormat="0" applyBorder="0" applyAlignment="0" applyProtection="0"/>
    <xf numFmtId="0" fontId="1" fillId="65" borderId="0" applyNumberFormat="0" applyBorder="0" applyAlignment="0" applyProtection="0"/>
    <xf numFmtId="0" fontId="1" fillId="65" borderId="0" applyNumberFormat="0" applyBorder="0" applyAlignment="0" applyProtection="0"/>
    <xf numFmtId="0" fontId="1" fillId="65" borderId="0" applyNumberFormat="0" applyBorder="0" applyAlignment="0" applyProtection="0"/>
    <xf numFmtId="0" fontId="1" fillId="65" borderId="0" applyNumberFormat="0" applyBorder="0" applyAlignment="0" applyProtection="0"/>
    <xf numFmtId="0" fontId="1" fillId="65" borderId="0" applyNumberFormat="0" applyBorder="0" applyAlignment="0" applyProtection="0"/>
    <xf numFmtId="0" fontId="1" fillId="65"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3" borderId="0" applyNumberFormat="0" applyBorder="0" applyAlignment="0" applyProtection="0"/>
    <xf numFmtId="0" fontId="1" fillId="3" borderId="0" applyNumberFormat="0" applyBorder="0" applyAlignment="0" applyProtection="0"/>
    <xf numFmtId="0" fontId="1" fillId="3" borderId="0" applyNumberFormat="0" applyBorder="0" applyAlignment="0" applyProtection="0"/>
    <xf numFmtId="0" fontId="1" fillId="3" borderId="0" applyNumberFormat="0" applyBorder="0" applyAlignment="0" applyProtection="0"/>
    <xf numFmtId="0" fontId="1" fillId="3" borderId="0" applyNumberFormat="0" applyBorder="0" applyAlignment="0" applyProtection="0"/>
    <xf numFmtId="0" fontId="1" fillId="3" borderId="0" applyNumberFormat="0" applyBorder="0" applyAlignment="0" applyProtection="0"/>
    <xf numFmtId="0" fontId="1" fillId="3" borderId="0" applyNumberFormat="0" applyBorder="0" applyAlignment="0" applyProtection="0"/>
    <xf numFmtId="0" fontId="1" fillId="3" borderId="0" applyNumberFormat="0" applyBorder="0" applyAlignment="0" applyProtection="0"/>
    <xf numFmtId="0" fontId="1" fillId="3" borderId="0" applyNumberFormat="0" applyBorder="0" applyAlignment="0" applyProtection="0"/>
    <xf numFmtId="0" fontId="1" fillId="3" borderId="0" applyNumberFormat="0" applyBorder="0" applyAlignment="0" applyProtection="0"/>
    <xf numFmtId="0" fontId="1" fillId="3" borderId="0" applyNumberFormat="0" applyBorder="0" applyAlignment="0" applyProtection="0"/>
    <xf numFmtId="0" fontId="1" fillId="3" borderId="0" applyNumberFormat="0" applyBorder="0" applyAlignment="0" applyProtection="0"/>
    <xf numFmtId="0" fontId="1" fillId="3" borderId="0" applyNumberFormat="0" applyBorder="0" applyAlignment="0" applyProtection="0"/>
    <xf numFmtId="0" fontId="1" fillId="3" borderId="0" applyNumberFormat="0" applyBorder="0" applyAlignment="0" applyProtection="0"/>
    <xf numFmtId="0" fontId="1" fillId="3" borderId="0" applyNumberFormat="0" applyBorder="0" applyAlignment="0" applyProtection="0"/>
    <xf numFmtId="0" fontId="1" fillId="3" borderId="0" applyNumberFormat="0" applyBorder="0" applyAlignment="0" applyProtection="0"/>
    <xf numFmtId="0" fontId="1" fillId="3" borderId="0" applyNumberFormat="0" applyBorder="0" applyAlignment="0" applyProtection="0"/>
    <xf numFmtId="0" fontId="1" fillId="3" borderId="0" applyNumberFormat="0" applyBorder="0" applyAlignment="0" applyProtection="0"/>
    <xf numFmtId="0" fontId="1" fillId="3" borderId="0" applyNumberFormat="0" applyBorder="0" applyAlignment="0" applyProtection="0"/>
    <xf numFmtId="0" fontId="1" fillId="3" borderId="0" applyNumberFormat="0" applyBorder="0" applyAlignment="0" applyProtection="0"/>
    <xf numFmtId="0" fontId="1" fillId="3" borderId="0" applyNumberFormat="0" applyBorder="0" applyAlignment="0" applyProtection="0"/>
    <xf numFmtId="0" fontId="1" fillId="3" borderId="0" applyNumberFormat="0" applyBorder="0" applyAlignment="0" applyProtection="0"/>
    <xf numFmtId="0" fontId="1" fillId="3" borderId="0" applyNumberFormat="0" applyBorder="0" applyAlignment="0" applyProtection="0"/>
    <xf numFmtId="0" fontId="1" fillId="3" borderId="0" applyNumberFormat="0" applyBorder="0" applyAlignment="0" applyProtection="0"/>
    <xf numFmtId="0" fontId="1" fillId="3" borderId="0" applyNumberFormat="0" applyBorder="0" applyAlignment="0" applyProtection="0"/>
    <xf numFmtId="0" fontId="1" fillId="3" borderId="0" applyNumberFormat="0" applyBorder="0" applyAlignment="0" applyProtection="0"/>
    <xf numFmtId="0" fontId="1" fillId="3" borderId="0" applyNumberFormat="0" applyBorder="0" applyAlignment="0" applyProtection="0"/>
    <xf numFmtId="0" fontId="1" fillId="3" borderId="0" applyNumberFormat="0" applyBorder="0" applyAlignment="0" applyProtection="0"/>
    <xf numFmtId="0" fontId="1" fillId="3" borderId="0" applyNumberFormat="0" applyBorder="0" applyAlignment="0" applyProtection="0"/>
    <xf numFmtId="0" fontId="1" fillId="3" borderId="0" applyNumberFormat="0" applyBorder="0" applyAlignment="0" applyProtection="0"/>
    <xf numFmtId="0" fontId="1" fillId="3" borderId="0" applyNumberFormat="0" applyBorder="0" applyAlignment="0" applyProtection="0"/>
    <xf numFmtId="0" fontId="1" fillId="3" borderId="0" applyNumberFormat="0" applyBorder="0" applyAlignment="0" applyProtection="0"/>
    <xf numFmtId="0" fontId="1" fillId="3" borderId="0" applyNumberFormat="0" applyBorder="0" applyAlignment="0" applyProtection="0"/>
    <xf numFmtId="0" fontId="1" fillId="3" borderId="0" applyNumberFormat="0" applyBorder="0" applyAlignment="0" applyProtection="0"/>
    <xf numFmtId="0" fontId="1" fillId="3" borderId="0" applyNumberFormat="0" applyBorder="0" applyAlignment="0" applyProtection="0"/>
    <xf numFmtId="0" fontId="1" fillId="3" borderId="0" applyNumberFormat="0" applyBorder="0" applyAlignment="0" applyProtection="0"/>
    <xf numFmtId="0" fontId="1" fillId="3" borderId="0" applyNumberFormat="0" applyBorder="0" applyAlignment="0" applyProtection="0"/>
    <xf numFmtId="0" fontId="1" fillId="3" borderId="0" applyNumberFormat="0" applyBorder="0" applyAlignment="0" applyProtection="0"/>
    <xf numFmtId="0" fontId="1" fillId="3" borderId="0" applyNumberFormat="0" applyBorder="0" applyAlignment="0" applyProtection="0"/>
    <xf numFmtId="0" fontId="1" fillId="3" borderId="0" applyNumberFormat="0" applyBorder="0" applyAlignment="0" applyProtection="0"/>
    <xf numFmtId="0" fontId="1" fillId="3" borderId="0" applyNumberFormat="0" applyBorder="0" applyAlignment="0" applyProtection="0"/>
    <xf numFmtId="0" fontId="1" fillId="3" borderId="0" applyNumberFormat="0" applyBorder="0" applyAlignment="0" applyProtection="0"/>
    <xf numFmtId="0" fontId="1" fillId="3" borderId="0" applyNumberFormat="0" applyBorder="0" applyAlignment="0" applyProtection="0"/>
    <xf numFmtId="0" fontId="1" fillId="3" borderId="0" applyNumberFormat="0" applyBorder="0" applyAlignment="0" applyProtection="0"/>
    <xf numFmtId="0" fontId="1" fillId="3" borderId="0" applyNumberFormat="0" applyBorder="0" applyAlignment="0" applyProtection="0"/>
    <xf numFmtId="0" fontId="1" fillId="3" borderId="0" applyNumberFormat="0" applyBorder="0" applyAlignment="0" applyProtection="0"/>
    <xf numFmtId="0" fontId="1" fillId="3" borderId="0" applyNumberFormat="0" applyBorder="0" applyAlignment="0" applyProtection="0"/>
    <xf numFmtId="0" fontId="1" fillId="3" borderId="0" applyNumberFormat="0" applyBorder="0" applyAlignment="0" applyProtection="0"/>
    <xf numFmtId="0" fontId="1" fillId="3" borderId="0" applyNumberFormat="0" applyBorder="0" applyAlignment="0" applyProtection="0"/>
    <xf numFmtId="0" fontId="1" fillId="3" borderId="0" applyNumberFormat="0" applyBorder="0" applyAlignment="0" applyProtection="0"/>
    <xf numFmtId="0" fontId="1" fillId="3" borderId="0" applyNumberFormat="0" applyBorder="0" applyAlignment="0" applyProtection="0"/>
    <xf numFmtId="0" fontId="1" fillId="3" borderId="0" applyNumberFormat="0" applyBorder="0" applyAlignment="0" applyProtection="0"/>
    <xf numFmtId="0" fontId="1" fillId="3" borderId="0" applyNumberFormat="0" applyBorder="0" applyAlignment="0" applyProtection="0"/>
    <xf numFmtId="0" fontId="1" fillId="3" borderId="0" applyNumberFormat="0" applyBorder="0" applyAlignment="0" applyProtection="0"/>
    <xf numFmtId="0" fontId="1" fillId="3" borderId="0" applyNumberFormat="0" applyBorder="0" applyAlignment="0" applyProtection="0"/>
    <xf numFmtId="0" fontId="1" fillId="3" borderId="0" applyNumberFormat="0" applyBorder="0" applyAlignment="0" applyProtection="0"/>
    <xf numFmtId="0" fontId="1" fillId="3"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58" borderId="104" applyNumberFormat="0" applyFont="0" applyAlignment="0" applyProtection="0"/>
    <xf numFmtId="0" fontId="1" fillId="58" borderId="104" applyNumberFormat="0" applyFont="0" applyAlignment="0" applyProtection="0"/>
    <xf numFmtId="0" fontId="1" fillId="60" borderId="0" applyNumberFormat="0" applyBorder="0" applyAlignment="0" applyProtection="0"/>
    <xf numFmtId="0" fontId="1" fillId="61" borderId="0" applyNumberFormat="0" applyBorder="0" applyAlignment="0" applyProtection="0"/>
    <xf numFmtId="0" fontId="1" fillId="64" borderId="0" applyNumberFormat="0" applyBorder="0" applyAlignment="0" applyProtection="0"/>
    <xf numFmtId="0" fontId="1" fillId="68" borderId="0" applyNumberFormat="0" applyBorder="0" applyAlignment="0" applyProtection="0"/>
    <xf numFmtId="0" fontId="1" fillId="69" borderId="0" applyNumberFormat="0" applyBorder="0" applyAlignment="0" applyProtection="0"/>
    <xf numFmtId="0" fontId="1" fillId="72" borderId="0" applyNumberFormat="0" applyBorder="0" applyAlignment="0" applyProtection="0"/>
    <xf numFmtId="0" fontId="1" fillId="73" borderId="0" applyNumberFormat="0" applyBorder="0" applyAlignment="0" applyProtection="0"/>
    <xf numFmtId="0" fontId="1" fillId="77" borderId="0" applyNumberFormat="0" applyBorder="0" applyAlignment="0" applyProtection="0"/>
    <xf numFmtId="0" fontId="1" fillId="80" borderId="0" applyNumberFormat="0" applyBorder="0" applyAlignment="0" applyProtection="0"/>
    <xf numFmtId="0" fontId="1" fillId="81" borderId="0" applyNumberFormat="0" applyBorder="0" applyAlignment="0" applyProtection="0"/>
    <xf numFmtId="0" fontId="1" fillId="60" borderId="0" applyNumberFormat="0" applyBorder="0" applyAlignment="0" applyProtection="0"/>
    <xf numFmtId="0" fontId="1" fillId="61" borderId="0" applyNumberFormat="0" applyBorder="0" applyAlignment="0" applyProtection="0"/>
    <xf numFmtId="0" fontId="1" fillId="64" borderId="0" applyNumberFormat="0" applyBorder="0" applyAlignment="0" applyProtection="0"/>
    <xf numFmtId="0" fontId="1" fillId="68" borderId="0" applyNumberFormat="0" applyBorder="0" applyAlignment="0" applyProtection="0"/>
    <xf numFmtId="0" fontId="1" fillId="69" borderId="0" applyNumberFormat="0" applyBorder="0" applyAlignment="0" applyProtection="0"/>
    <xf numFmtId="0" fontId="1" fillId="72" borderId="0" applyNumberFormat="0" applyBorder="0" applyAlignment="0" applyProtection="0"/>
    <xf numFmtId="0" fontId="1" fillId="73" borderId="0" applyNumberFormat="0" applyBorder="0" applyAlignment="0" applyProtection="0"/>
    <xf numFmtId="0" fontId="1" fillId="77" borderId="0" applyNumberFormat="0" applyBorder="0" applyAlignment="0" applyProtection="0"/>
    <xf numFmtId="0" fontId="1" fillId="80" borderId="0" applyNumberFormat="0" applyBorder="0" applyAlignment="0" applyProtection="0"/>
    <xf numFmtId="0" fontId="1" fillId="81" borderId="0" applyNumberFormat="0" applyBorder="0" applyAlignment="0" applyProtection="0"/>
    <xf numFmtId="0" fontId="1" fillId="58" borderId="104" applyNumberFormat="0" applyFont="0" applyAlignment="0" applyProtection="0"/>
    <xf numFmtId="0" fontId="1" fillId="60" borderId="0" applyNumberFormat="0" applyBorder="0" applyAlignment="0" applyProtection="0"/>
    <xf numFmtId="0" fontId="1" fillId="61" borderId="0" applyNumberFormat="0" applyBorder="0" applyAlignment="0" applyProtection="0"/>
    <xf numFmtId="0" fontId="1" fillId="64" borderId="0" applyNumberFormat="0" applyBorder="0" applyAlignment="0" applyProtection="0"/>
    <xf numFmtId="0" fontId="1" fillId="68" borderId="0" applyNumberFormat="0" applyBorder="0" applyAlignment="0" applyProtection="0"/>
    <xf numFmtId="0" fontId="1" fillId="69" borderId="0" applyNumberFormat="0" applyBorder="0" applyAlignment="0" applyProtection="0"/>
    <xf numFmtId="0" fontId="1" fillId="72" borderId="0" applyNumberFormat="0" applyBorder="0" applyAlignment="0" applyProtection="0"/>
    <xf numFmtId="0" fontId="1" fillId="73" borderId="0" applyNumberFormat="0" applyBorder="0" applyAlignment="0" applyProtection="0"/>
    <xf numFmtId="0" fontId="1" fillId="77" borderId="0" applyNumberFormat="0" applyBorder="0" applyAlignment="0" applyProtection="0"/>
    <xf numFmtId="0" fontId="1" fillId="80" borderId="0" applyNumberFormat="0" applyBorder="0" applyAlignment="0" applyProtection="0"/>
    <xf numFmtId="0" fontId="1" fillId="81" borderId="0" applyNumberFormat="0" applyBorder="0" applyAlignment="0" applyProtection="0"/>
    <xf numFmtId="0" fontId="1" fillId="58" borderId="104" applyNumberFormat="0" applyFont="0" applyAlignment="0" applyProtection="0"/>
    <xf numFmtId="0" fontId="1" fillId="58" borderId="104" applyNumberFormat="0" applyFont="0" applyAlignment="0" applyProtection="0"/>
    <xf numFmtId="0" fontId="1" fillId="60" borderId="0" applyNumberFormat="0" applyBorder="0" applyAlignment="0" applyProtection="0"/>
    <xf numFmtId="0" fontId="1" fillId="61" borderId="0" applyNumberFormat="0" applyBorder="0" applyAlignment="0" applyProtection="0"/>
    <xf numFmtId="0" fontId="1" fillId="64" borderId="0" applyNumberFormat="0" applyBorder="0" applyAlignment="0" applyProtection="0"/>
    <xf numFmtId="0" fontId="1" fillId="68" borderId="0" applyNumberFormat="0" applyBorder="0" applyAlignment="0" applyProtection="0"/>
    <xf numFmtId="0" fontId="1" fillId="69" borderId="0" applyNumberFormat="0" applyBorder="0" applyAlignment="0" applyProtection="0"/>
    <xf numFmtId="0" fontId="1" fillId="72" borderId="0" applyNumberFormat="0" applyBorder="0" applyAlignment="0" applyProtection="0"/>
    <xf numFmtId="0" fontId="1" fillId="73" borderId="0" applyNumberFormat="0" applyBorder="0" applyAlignment="0" applyProtection="0"/>
    <xf numFmtId="0" fontId="1" fillId="77" borderId="0" applyNumberFormat="0" applyBorder="0" applyAlignment="0" applyProtection="0"/>
    <xf numFmtId="0" fontId="1" fillId="80" borderId="0" applyNumberFormat="0" applyBorder="0" applyAlignment="0" applyProtection="0"/>
    <xf numFmtId="0" fontId="1" fillId="81" borderId="0" applyNumberFormat="0" applyBorder="0" applyAlignment="0" applyProtection="0"/>
    <xf numFmtId="0" fontId="1" fillId="60" borderId="0" applyNumberFormat="0" applyBorder="0" applyAlignment="0" applyProtection="0"/>
    <xf numFmtId="0" fontId="1" fillId="61" borderId="0" applyNumberFormat="0" applyBorder="0" applyAlignment="0" applyProtection="0"/>
    <xf numFmtId="0" fontId="1" fillId="64" borderId="0" applyNumberFormat="0" applyBorder="0" applyAlignment="0" applyProtection="0"/>
    <xf numFmtId="0" fontId="1" fillId="68" borderId="0" applyNumberFormat="0" applyBorder="0" applyAlignment="0" applyProtection="0"/>
    <xf numFmtId="0" fontId="1" fillId="69" borderId="0" applyNumberFormat="0" applyBorder="0" applyAlignment="0" applyProtection="0"/>
    <xf numFmtId="0" fontId="1" fillId="72" borderId="0" applyNumberFormat="0" applyBorder="0" applyAlignment="0" applyProtection="0"/>
    <xf numFmtId="0" fontId="1" fillId="73" borderId="0" applyNumberFormat="0" applyBorder="0" applyAlignment="0" applyProtection="0"/>
    <xf numFmtId="0" fontId="1" fillId="77" borderId="0" applyNumberFormat="0" applyBorder="0" applyAlignment="0" applyProtection="0"/>
    <xf numFmtId="0" fontId="1" fillId="80" borderId="0" applyNumberFormat="0" applyBorder="0" applyAlignment="0" applyProtection="0"/>
    <xf numFmtId="0" fontId="1" fillId="81" borderId="0" applyNumberFormat="0" applyBorder="0" applyAlignment="0" applyProtection="0"/>
    <xf numFmtId="0" fontId="1" fillId="58" borderId="104" applyNumberFormat="0" applyFont="0" applyAlignment="0" applyProtection="0"/>
    <xf numFmtId="0" fontId="1" fillId="60" borderId="0" applyNumberFormat="0" applyBorder="0" applyAlignment="0" applyProtection="0"/>
    <xf numFmtId="0" fontId="1" fillId="61" borderId="0" applyNumberFormat="0" applyBorder="0" applyAlignment="0" applyProtection="0"/>
    <xf numFmtId="0" fontId="1" fillId="64" borderId="0" applyNumberFormat="0" applyBorder="0" applyAlignment="0" applyProtection="0"/>
    <xf numFmtId="0" fontId="1" fillId="68" borderId="0" applyNumberFormat="0" applyBorder="0" applyAlignment="0" applyProtection="0"/>
    <xf numFmtId="0" fontId="1" fillId="69" borderId="0" applyNumberFormat="0" applyBorder="0" applyAlignment="0" applyProtection="0"/>
    <xf numFmtId="0" fontId="1" fillId="72" borderId="0" applyNumberFormat="0" applyBorder="0" applyAlignment="0" applyProtection="0"/>
    <xf numFmtId="0" fontId="1" fillId="73" borderId="0" applyNumberFormat="0" applyBorder="0" applyAlignment="0" applyProtection="0"/>
    <xf numFmtId="0" fontId="1" fillId="77" borderId="0" applyNumberFormat="0" applyBorder="0" applyAlignment="0" applyProtection="0"/>
    <xf numFmtId="0" fontId="1" fillId="80" borderId="0" applyNumberFormat="0" applyBorder="0" applyAlignment="0" applyProtection="0"/>
    <xf numFmtId="0" fontId="1" fillId="81" borderId="0" applyNumberFormat="0" applyBorder="0" applyAlignment="0" applyProtection="0"/>
    <xf numFmtId="0" fontId="1" fillId="58" borderId="104" applyNumberFormat="0" applyFont="0" applyAlignment="0" applyProtection="0"/>
    <xf numFmtId="0" fontId="1" fillId="58" borderId="104" applyNumberFormat="0" applyFont="0" applyAlignment="0" applyProtection="0"/>
    <xf numFmtId="0" fontId="1" fillId="60" borderId="0" applyNumberFormat="0" applyBorder="0" applyAlignment="0" applyProtection="0"/>
    <xf numFmtId="0" fontId="1" fillId="61" borderId="0" applyNumberFormat="0" applyBorder="0" applyAlignment="0" applyProtection="0"/>
    <xf numFmtId="0" fontId="1" fillId="64" borderId="0" applyNumberFormat="0" applyBorder="0" applyAlignment="0" applyProtection="0"/>
    <xf numFmtId="0" fontId="1" fillId="68" borderId="0" applyNumberFormat="0" applyBorder="0" applyAlignment="0" applyProtection="0"/>
    <xf numFmtId="0" fontId="1" fillId="69" borderId="0" applyNumberFormat="0" applyBorder="0" applyAlignment="0" applyProtection="0"/>
    <xf numFmtId="0" fontId="1" fillId="72" borderId="0" applyNumberFormat="0" applyBorder="0" applyAlignment="0" applyProtection="0"/>
    <xf numFmtId="0" fontId="1" fillId="73" borderId="0" applyNumberFormat="0" applyBorder="0" applyAlignment="0" applyProtection="0"/>
    <xf numFmtId="0" fontId="1" fillId="77" borderId="0" applyNumberFormat="0" applyBorder="0" applyAlignment="0" applyProtection="0"/>
    <xf numFmtId="0" fontId="1" fillId="80" borderId="0" applyNumberFormat="0" applyBorder="0" applyAlignment="0" applyProtection="0"/>
    <xf numFmtId="0" fontId="1" fillId="81" borderId="0" applyNumberFormat="0" applyBorder="0" applyAlignment="0" applyProtection="0"/>
    <xf numFmtId="0" fontId="1" fillId="60" borderId="0" applyNumberFormat="0" applyBorder="0" applyAlignment="0" applyProtection="0"/>
    <xf numFmtId="0" fontId="1" fillId="61" borderId="0" applyNumberFormat="0" applyBorder="0" applyAlignment="0" applyProtection="0"/>
    <xf numFmtId="0" fontId="1" fillId="64" borderId="0" applyNumberFormat="0" applyBorder="0" applyAlignment="0" applyProtection="0"/>
    <xf numFmtId="0" fontId="1" fillId="68" borderId="0" applyNumberFormat="0" applyBorder="0" applyAlignment="0" applyProtection="0"/>
    <xf numFmtId="0" fontId="1" fillId="69" borderId="0" applyNumberFormat="0" applyBorder="0" applyAlignment="0" applyProtection="0"/>
    <xf numFmtId="0" fontId="1" fillId="72" borderId="0" applyNumberFormat="0" applyBorder="0" applyAlignment="0" applyProtection="0"/>
    <xf numFmtId="0" fontId="1" fillId="73" borderId="0" applyNumberFormat="0" applyBorder="0" applyAlignment="0" applyProtection="0"/>
    <xf numFmtId="0" fontId="1" fillId="77" borderId="0" applyNumberFormat="0" applyBorder="0" applyAlignment="0" applyProtection="0"/>
    <xf numFmtId="0" fontId="1" fillId="80" borderId="0" applyNumberFormat="0" applyBorder="0" applyAlignment="0" applyProtection="0"/>
    <xf numFmtId="0" fontId="1" fillId="81" borderId="0" applyNumberFormat="0" applyBorder="0" applyAlignment="0" applyProtection="0"/>
    <xf numFmtId="0" fontId="1" fillId="58" borderId="104" applyNumberFormat="0" applyFont="0" applyAlignment="0" applyProtection="0"/>
    <xf numFmtId="0" fontId="1" fillId="60" borderId="0" applyNumberFormat="0" applyBorder="0" applyAlignment="0" applyProtection="0"/>
    <xf numFmtId="0" fontId="1" fillId="61" borderId="0" applyNumberFormat="0" applyBorder="0" applyAlignment="0" applyProtection="0"/>
    <xf numFmtId="0" fontId="1" fillId="64" borderId="0" applyNumberFormat="0" applyBorder="0" applyAlignment="0" applyProtection="0"/>
    <xf numFmtId="0" fontId="1" fillId="68" borderId="0" applyNumberFormat="0" applyBorder="0" applyAlignment="0" applyProtection="0"/>
    <xf numFmtId="0" fontId="1" fillId="69" borderId="0" applyNumberFormat="0" applyBorder="0" applyAlignment="0" applyProtection="0"/>
    <xf numFmtId="0" fontId="1" fillId="72" borderId="0" applyNumberFormat="0" applyBorder="0" applyAlignment="0" applyProtection="0"/>
    <xf numFmtId="0" fontId="1" fillId="73" borderId="0" applyNumberFormat="0" applyBorder="0" applyAlignment="0" applyProtection="0"/>
    <xf numFmtId="0" fontId="1" fillId="77" borderId="0" applyNumberFormat="0" applyBorder="0" applyAlignment="0" applyProtection="0"/>
    <xf numFmtId="0" fontId="1" fillId="80" borderId="0" applyNumberFormat="0" applyBorder="0" applyAlignment="0" applyProtection="0"/>
    <xf numFmtId="0" fontId="1" fillId="81" borderId="0" applyNumberFormat="0" applyBorder="0" applyAlignment="0" applyProtection="0"/>
    <xf numFmtId="0" fontId="1" fillId="58" borderId="104" applyNumberFormat="0" applyFont="0" applyAlignment="0" applyProtection="0"/>
    <xf numFmtId="0" fontId="1" fillId="58" borderId="104" applyNumberFormat="0" applyFont="0" applyAlignment="0" applyProtection="0"/>
    <xf numFmtId="0" fontId="1" fillId="60" borderId="0" applyNumberFormat="0" applyBorder="0" applyAlignment="0" applyProtection="0"/>
    <xf numFmtId="0" fontId="1" fillId="61" borderId="0" applyNumberFormat="0" applyBorder="0" applyAlignment="0" applyProtection="0"/>
    <xf numFmtId="0" fontId="1" fillId="64" borderId="0" applyNumberFormat="0" applyBorder="0" applyAlignment="0" applyProtection="0"/>
    <xf numFmtId="0" fontId="1" fillId="68" borderId="0" applyNumberFormat="0" applyBorder="0" applyAlignment="0" applyProtection="0"/>
    <xf numFmtId="0" fontId="1" fillId="69" borderId="0" applyNumberFormat="0" applyBorder="0" applyAlignment="0" applyProtection="0"/>
    <xf numFmtId="0" fontId="1" fillId="72" borderId="0" applyNumberFormat="0" applyBorder="0" applyAlignment="0" applyProtection="0"/>
    <xf numFmtId="0" fontId="1" fillId="73" borderId="0" applyNumberFormat="0" applyBorder="0" applyAlignment="0" applyProtection="0"/>
    <xf numFmtId="0" fontId="1" fillId="77" borderId="0" applyNumberFormat="0" applyBorder="0" applyAlignment="0" applyProtection="0"/>
    <xf numFmtId="0" fontId="1" fillId="80" borderId="0" applyNumberFormat="0" applyBorder="0" applyAlignment="0" applyProtection="0"/>
    <xf numFmtId="0" fontId="1" fillId="81" borderId="0" applyNumberFormat="0" applyBorder="0" applyAlignment="0" applyProtection="0"/>
    <xf numFmtId="0" fontId="1" fillId="60" borderId="0" applyNumberFormat="0" applyBorder="0" applyAlignment="0" applyProtection="0"/>
    <xf numFmtId="0" fontId="1" fillId="61" borderId="0" applyNumberFormat="0" applyBorder="0" applyAlignment="0" applyProtection="0"/>
    <xf numFmtId="0" fontId="1" fillId="64" borderId="0" applyNumberFormat="0" applyBorder="0" applyAlignment="0" applyProtection="0"/>
    <xf numFmtId="0" fontId="1" fillId="68" borderId="0" applyNumberFormat="0" applyBorder="0" applyAlignment="0" applyProtection="0"/>
    <xf numFmtId="0" fontId="1" fillId="69" borderId="0" applyNumberFormat="0" applyBorder="0" applyAlignment="0" applyProtection="0"/>
    <xf numFmtId="0" fontId="1" fillId="72" borderId="0" applyNumberFormat="0" applyBorder="0" applyAlignment="0" applyProtection="0"/>
    <xf numFmtId="0" fontId="1" fillId="73" borderId="0" applyNumberFormat="0" applyBorder="0" applyAlignment="0" applyProtection="0"/>
    <xf numFmtId="0" fontId="1" fillId="77" borderId="0" applyNumberFormat="0" applyBorder="0" applyAlignment="0" applyProtection="0"/>
    <xf numFmtId="0" fontId="1" fillId="80" borderId="0" applyNumberFormat="0" applyBorder="0" applyAlignment="0" applyProtection="0"/>
    <xf numFmtId="0" fontId="1" fillId="81" borderId="0" applyNumberFormat="0" applyBorder="0" applyAlignment="0" applyProtection="0"/>
    <xf numFmtId="0" fontId="1" fillId="58" borderId="104" applyNumberFormat="0" applyFont="0" applyAlignment="0" applyProtection="0"/>
    <xf numFmtId="0" fontId="1" fillId="60" borderId="0" applyNumberFormat="0" applyBorder="0" applyAlignment="0" applyProtection="0"/>
    <xf numFmtId="0" fontId="1" fillId="61" borderId="0" applyNumberFormat="0" applyBorder="0" applyAlignment="0" applyProtection="0"/>
    <xf numFmtId="0" fontId="1" fillId="64" borderId="0" applyNumberFormat="0" applyBorder="0" applyAlignment="0" applyProtection="0"/>
    <xf numFmtId="0" fontId="1" fillId="68" borderId="0" applyNumberFormat="0" applyBorder="0" applyAlignment="0" applyProtection="0"/>
    <xf numFmtId="0" fontId="1" fillId="69" borderId="0" applyNumberFormat="0" applyBorder="0" applyAlignment="0" applyProtection="0"/>
    <xf numFmtId="0" fontId="1" fillId="72" borderId="0" applyNumberFormat="0" applyBorder="0" applyAlignment="0" applyProtection="0"/>
    <xf numFmtId="0" fontId="1" fillId="73" borderId="0" applyNumberFormat="0" applyBorder="0" applyAlignment="0" applyProtection="0"/>
    <xf numFmtId="0" fontId="1" fillId="77" borderId="0" applyNumberFormat="0" applyBorder="0" applyAlignment="0" applyProtection="0"/>
    <xf numFmtId="0" fontId="1" fillId="80" borderId="0" applyNumberFormat="0" applyBorder="0" applyAlignment="0" applyProtection="0"/>
    <xf numFmtId="0" fontId="1" fillId="81" borderId="0" applyNumberFormat="0" applyBorder="0" applyAlignment="0" applyProtection="0"/>
    <xf numFmtId="0" fontId="1" fillId="58" borderId="104" applyNumberFormat="0" applyFont="0" applyAlignment="0" applyProtection="0"/>
    <xf numFmtId="0" fontId="1" fillId="58" borderId="104" applyNumberFormat="0" applyFont="0" applyAlignment="0" applyProtection="0"/>
    <xf numFmtId="0" fontId="1" fillId="60" borderId="0" applyNumberFormat="0" applyBorder="0" applyAlignment="0" applyProtection="0"/>
    <xf numFmtId="0" fontId="1" fillId="61" borderId="0" applyNumberFormat="0" applyBorder="0" applyAlignment="0" applyProtection="0"/>
    <xf numFmtId="0" fontId="1" fillId="64" borderId="0" applyNumberFormat="0" applyBorder="0" applyAlignment="0" applyProtection="0"/>
    <xf numFmtId="0" fontId="1" fillId="68" borderId="0" applyNumberFormat="0" applyBorder="0" applyAlignment="0" applyProtection="0"/>
    <xf numFmtId="0" fontId="1" fillId="69" borderId="0" applyNumberFormat="0" applyBorder="0" applyAlignment="0" applyProtection="0"/>
    <xf numFmtId="0" fontId="1" fillId="72" borderId="0" applyNumberFormat="0" applyBorder="0" applyAlignment="0" applyProtection="0"/>
    <xf numFmtId="0" fontId="1" fillId="73" borderId="0" applyNumberFormat="0" applyBorder="0" applyAlignment="0" applyProtection="0"/>
    <xf numFmtId="0" fontId="1" fillId="77" borderId="0" applyNumberFormat="0" applyBorder="0" applyAlignment="0" applyProtection="0"/>
    <xf numFmtId="0" fontId="1" fillId="80" borderId="0" applyNumberFormat="0" applyBorder="0" applyAlignment="0" applyProtection="0"/>
    <xf numFmtId="0" fontId="1" fillId="81" borderId="0" applyNumberFormat="0" applyBorder="0" applyAlignment="0" applyProtection="0"/>
    <xf numFmtId="0" fontId="1" fillId="60" borderId="0" applyNumberFormat="0" applyBorder="0" applyAlignment="0" applyProtection="0"/>
    <xf numFmtId="0" fontId="1" fillId="61" borderId="0" applyNumberFormat="0" applyBorder="0" applyAlignment="0" applyProtection="0"/>
    <xf numFmtId="0" fontId="1" fillId="64" borderId="0" applyNumberFormat="0" applyBorder="0" applyAlignment="0" applyProtection="0"/>
    <xf numFmtId="0" fontId="1" fillId="68" borderId="0" applyNumberFormat="0" applyBorder="0" applyAlignment="0" applyProtection="0"/>
    <xf numFmtId="0" fontId="1" fillId="69" borderId="0" applyNumberFormat="0" applyBorder="0" applyAlignment="0" applyProtection="0"/>
    <xf numFmtId="0" fontId="1" fillId="72" borderId="0" applyNumberFormat="0" applyBorder="0" applyAlignment="0" applyProtection="0"/>
    <xf numFmtId="0" fontId="1" fillId="73" borderId="0" applyNumberFormat="0" applyBorder="0" applyAlignment="0" applyProtection="0"/>
    <xf numFmtId="0" fontId="1" fillId="77" borderId="0" applyNumberFormat="0" applyBorder="0" applyAlignment="0" applyProtection="0"/>
    <xf numFmtId="0" fontId="1" fillId="80" borderId="0" applyNumberFormat="0" applyBorder="0" applyAlignment="0" applyProtection="0"/>
    <xf numFmtId="0" fontId="1" fillId="81" borderId="0" applyNumberFormat="0" applyBorder="0" applyAlignment="0" applyProtection="0"/>
    <xf numFmtId="0" fontId="1" fillId="58" borderId="104" applyNumberFormat="0" applyFont="0" applyAlignment="0" applyProtection="0"/>
    <xf numFmtId="0" fontId="1" fillId="60" borderId="0" applyNumberFormat="0" applyBorder="0" applyAlignment="0" applyProtection="0"/>
    <xf numFmtId="0" fontId="1" fillId="61" borderId="0" applyNumberFormat="0" applyBorder="0" applyAlignment="0" applyProtection="0"/>
    <xf numFmtId="0" fontId="1" fillId="64" borderId="0" applyNumberFormat="0" applyBorder="0" applyAlignment="0" applyProtection="0"/>
    <xf numFmtId="0" fontId="1" fillId="68" borderId="0" applyNumberFormat="0" applyBorder="0" applyAlignment="0" applyProtection="0"/>
    <xf numFmtId="0" fontId="1" fillId="69" borderId="0" applyNumberFormat="0" applyBorder="0" applyAlignment="0" applyProtection="0"/>
    <xf numFmtId="0" fontId="1" fillId="72" borderId="0" applyNumberFormat="0" applyBorder="0" applyAlignment="0" applyProtection="0"/>
    <xf numFmtId="0" fontId="1" fillId="73" borderId="0" applyNumberFormat="0" applyBorder="0" applyAlignment="0" applyProtection="0"/>
    <xf numFmtId="0" fontId="1" fillId="77" borderId="0" applyNumberFormat="0" applyBorder="0" applyAlignment="0" applyProtection="0"/>
    <xf numFmtId="0" fontId="1" fillId="80" borderId="0" applyNumberFormat="0" applyBorder="0" applyAlignment="0" applyProtection="0"/>
    <xf numFmtId="0" fontId="1" fillId="81" borderId="0" applyNumberFormat="0" applyBorder="0" applyAlignment="0" applyProtection="0"/>
    <xf numFmtId="0" fontId="1" fillId="58" borderId="104" applyNumberFormat="0" applyFont="0" applyAlignment="0" applyProtection="0"/>
    <xf numFmtId="0" fontId="1" fillId="58" borderId="104" applyNumberFormat="0" applyFont="0" applyAlignment="0" applyProtection="0"/>
    <xf numFmtId="0" fontId="1" fillId="60" borderId="0" applyNumberFormat="0" applyBorder="0" applyAlignment="0" applyProtection="0"/>
    <xf numFmtId="0" fontId="1" fillId="61" borderId="0" applyNumberFormat="0" applyBorder="0" applyAlignment="0" applyProtection="0"/>
    <xf numFmtId="0" fontId="1" fillId="64" borderId="0" applyNumberFormat="0" applyBorder="0" applyAlignment="0" applyProtection="0"/>
    <xf numFmtId="0" fontId="1" fillId="68" borderId="0" applyNumberFormat="0" applyBorder="0" applyAlignment="0" applyProtection="0"/>
    <xf numFmtId="0" fontId="1" fillId="69" borderId="0" applyNumberFormat="0" applyBorder="0" applyAlignment="0" applyProtection="0"/>
    <xf numFmtId="0" fontId="1" fillId="72" borderId="0" applyNumberFormat="0" applyBorder="0" applyAlignment="0" applyProtection="0"/>
    <xf numFmtId="0" fontId="1" fillId="73" borderId="0" applyNumberFormat="0" applyBorder="0" applyAlignment="0" applyProtection="0"/>
    <xf numFmtId="0" fontId="1" fillId="77" borderId="0" applyNumberFormat="0" applyBorder="0" applyAlignment="0" applyProtection="0"/>
    <xf numFmtId="0" fontId="1" fillId="80" borderId="0" applyNumberFormat="0" applyBorder="0" applyAlignment="0" applyProtection="0"/>
    <xf numFmtId="0" fontId="1" fillId="81" borderId="0" applyNumberFormat="0" applyBorder="0" applyAlignment="0" applyProtection="0"/>
    <xf numFmtId="0" fontId="1" fillId="60" borderId="0" applyNumberFormat="0" applyBorder="0" applyAlignment="0" applyProtection="0"/>
    <xf numFmtId="0" fontId="1" fillId="61" borderId="0" applyNumberFormat="0" applyBorder="0" applyAlignment="0" applyProtection="0"/>
    <xf numFmtId="0" fontId="1" fillId="64" borderId="0" applyNumberFormat="0" applyBorder="0" applyAlignment="0" applyProtection="0"/>
    <xf numFmtId="0" fontId="1" fillId="68" borderId="0" applyNumberFormat="0" applyBorder="0" applyAlignment="0" applyProtection="0"/>
    <xf numFmtId="0" fontId="1" fillId="69" borderId="0" applyNumberFormat="0" applyBorder="0" applyAlignment="0" applyProtection="0"/>
    <xf numFmtId="0" fontId="1" fillId="72" borderId="0" applyNumberFormat="0" applyBorder="0" applyAlignment="0" applyProtection="0"/>
    <xf numFmtId="0" fontId="1" fillId="73" borderId="0" applyNumberFormat="0" applyBorder="0" applyAlignment="0" applyProtection="0"/>
    <xf numFmtId="0" fontId="1" fillId="77" borderId="0" applyNumberFormat="0" applyBorder="0" applyAlignment="0" applyProtection="0"/>
    <xf numFmtId="0" fontId="1" fillId="80" borderId="0" applyNumberFormat="0" applyBorder="0" applyAlignment="0" applyProtection="0"/>
    <xf numFmtId="0" fontId="1" fillId="81" borderId="0" applyNumberFormat="0" applyBorder="0" applyAlignment="0" applyProtection="0"/>
    <xf numFmtId="0" fontId="1" fillId="58" borderId="104" applyNumberFormat="0" applyFont="0" applyAlignment="0" applyProtection="0"/>
    <xf numFmtId="0" fontId="1" fillId="60" borderId="0" applyNumberFormat="0" applyBorder="0" applyAlignment="0" applyProtection="0"/>
    <xf numFmtId="0" fontId="1" fillId="60" borderId="0" applyNumberFormat="0" applyBorder="0" applyAlignment="0" applyProtection="0"/>
    <xf numFmtId="0" fontId="1" fillId="60" borderId="0" applyNumberFormat="0" applyBorder="0" applyAlignment="0" applyProtection="0"/>
    <xf numFmtId="0" fontId="1" fillId="60" borderId="0" applyNumberFormat="0" applyBorder="0" applyAlignment="0" applyProtection="0"/>
    <xf numFmtId="0" fontId="1" fillId="60" borderId="0" applyNumberFormat="0" applyBorder="0" applyAlignment="0" applyProtection="0"/>
    <xf numFmtId="0" fontId="1" fillId="60" borderId="0" applyNumberFormat="0" applyBorder="0" applyAlignment="0" applyProtection="0"/>
    <xf numFmtId="0" fontId="1" fillId="60" borderId="0" applyNumberFormat="0" applyBorder="0" applyAlignment="0" applyProtection="0"/>
    <xf numFmtId="0" fontId="1" fillId="60" borderId="0" applyNumberFormat="0" applyBorder="0" applyAlignment="0" applyProtection="0"/>
    <xf numFmtId="0" fontId="1" fillId="60" borderId="0" applyNumberFormat="0" applyBorder="0" applyAlignment="0" applyProtection="0"/>
    <xf numFmtId="0" fontId="1" fillId="64" borderId="0" applyNumberFormat="0" applyBorder="0" applyAlignment="0" applyProtection="0"/>
    <xf numFmtId="0" fontId="1" fillId="64" borderId="0" applyNumberFormat="0" applyBorder="0" applyAlignment="0" applyProtection="0"/>
    <xf numFmtId="0" fontId="1" fillId="64" borderId="0" applyNumberFormat="0" applyBorder="0" applyAlignment="0" applyProtection="0"/>
    <xf numFmtId="0" fontId="1" fillId="64" borderId="0" applyNumberFormat="0" applyBorder="0" applyAlignment="0" applyProtection="0"/>
    <xf numFmtId="0" fontId="1" fillId="64" borderId="0" applyNumberFormat="0" applyBorder="0" applyAlignment="0" applyProtection="0"/>
    <xf numFmtId="0" fontId="1" fillId="64" borderId="0" applyNumberFormat="0" applyBorder="0" applyAlignment="0" applyProtection="0"/>
    <xf numFmtId="0" fontId="1" fillId="64" borderId="0" applyNumberFormat="0" applyBorder="0" applyAlignment="0" applyProtection="0"/>
    <xf numFmtId="0" fontId="1" fillId="64" borderId="0" applyNumberFormat="0" applyBorder="0" applyAlignment="0" applyProtection="0"/>
    <xf numFmtId="0" fontId="1" fillId="64" borderId="0" applyNumberFormat="0" applyBorder="0" applyAlignment="0" applyProtection="0"/>
    <xf numFmtId="0" fontId="1" fillId="68" borderId="0" applyNumberFormat="0" applyBorder="0" applyAlignment="0" applyProtection="0"/>
    <xf numFmtId="0" fontId="1" fillId="68" borderId="0" applyNumberFormat="0" applyBorder="0" applyAlignment="0" applyProtection="0"/>
    <xf numFmtId="0" fontId="1" fillId="68" borderId="0" applyNumberFormat="0" applyBorder="0" applyAlignment="0" applyProtection="0"/>
    <xf numFmtId="0" fontId="1" fillId="68" borderId="0" applyNumberFormat="0" applyBorder="0" applyAlignment="0" applyProtection="0"/>
    <xf numFmtId="0" fontId="1" fillId="68" borderId="0" applyNumberFormat="0" applyBorder="0" applyAlignment="0" applyProtection="0"/>
    <xf numFmtId="0" fontId="1" fillId="68" borderId="0" applyNumberFormat="0" applyBorder="0" applyAlignment="0" applyProtection="0"/>
    <xf numFmtId="0" fontId="1" fillId="68" borderId="0" applyNumberFormat="0" applyBorder="0" applyAlignment="0" applyProtection="0"/>
    <xf numFmtId="0" fontId="1" fillId="68" borderId="0" applyNumberFormat="0" applyBorder="0" applyAlignment="0" applyProtection="0"/>
    <xf numFmtId="0" fontId="1" fillId="68" borderId="0" applyNumberFormat="0" applyBorder="0" applyAlignment="0" applyProtection="0"/>
    <xf numFmtId="0" fontId="1" fillId="72" borderId="0" applyNumberFormat="0" applyBorder="0" applyAlignment="0" applyProtection="0"/>
    <xf numFmtId="0" fontId="1" fillId="72" borderId="0" applyNumberFormat="0" applyBorder="0" applyAlignment="0" applyProtection="0"/>
    <xf numFmtId="0" fontId="1" fillId="72" borderId="0" applyNumberFormat="0" applyBorder="0" applyAlignment="0" applyProtection="0"/>
    <xf numFmtId="0" fontId="1" fillId="72" borderId="0" applyNumberFormat="0" applyBorder="0" applyAlignment="0" applyProtection="0"/>
    <xf numFmtId="0" fontId="1" fillId="72" borderId="0" applyNumberFormat="0" applyBorder="0" applyAlignment="0" applyProtection="0"/>
    <xf numFmtId="0" fontId="1" fillId="72" borderId="0" applyNumberFormat="0" applyBorder="0" applyAlignment="0" applyProtection="0"/>
    <xf numFmtId="0" fontId="1" fillId="72" borderId="0" applyNumberFormat="0" applyBorder="0" applyAlignment="0" applyProtection="0"/>
    <xf numFmtId="0" fontId="1" fillId="72" borderId="0" applyNumberFormat="0" applyBorder="0" applyAlignment="0" applyProtection="0"/>
    <xf numFmtId="0" fontId="1" fillId="72" borderId="0" applyNumberFormat="0" applyBorder="0" applyAlignment="0" applyProtection="0"/>
    <xf numFmtId="0" fontId="1" fillId="80" borderId="0" applyNumberFormat="0" applyBorder="0" applyAlignment="0" applyProtection="0"/>
    <xf numFmtId="0" fontId="1" fillId="80" borderId="0" applyNumberFormat="0" applyBorder="0" applyAlignment="0" applyProtection="0"/>
    <xf numFmtId="0" fontId="1" fillId="80" borderId="0" applyNumberFormat="0" applyBorder="0" applyAlignment="0" applyProtection="0"/>
    <xf numFmtId="0" fontId="1" fillId="80" borderId="0" applyNumberFormat="0" applyBorder="0" applyAlignment="0" applyProtection="0"/>
    <xf numFmtId="0" fontId="1" fillId="80" borderId="0" applyNumberFormat="0" applyBorder="0" applyAlignment="0" applyProtection="0"/>
    <xf numFmtId="0" fontId="1" fillId="80" borderId="0" applyNumberFormat="0" applyBorder="0" applyAlignment="0" applyProtection="0"/>
    <xf numFmtId="0" fontId="1" fillId="80" borderId="0" applyNumberFormat="0" applyBorder="0" applyAlignment="0" applyProtection="0"/>
    <xf numFmtId="0" fontId="1" fillId="80" borderId="0" applyNumberFormat="0" applyBorder="0" applyAlignment="0" applyProtection="0"/>
    <xf numFmtId="0" fontId="1" fillId="80" borderId="0" applyNumberFormat="0" applyBorder="0" applyAlignment="0" applyProtection="0"/>
    <xf numFmtId="0" fontId="1" fillId="61" borderId="0" applyNumberFormat="0" applyBorder="0" applyAlignment="0" applyProtection="0"/>
    <xf numFmtId="0" fontId="1" fillId="61" borderId="0" applyNumberFormat="0" applyBorder="0" applyAlignment="0" applyProtection="0"/>
    <xf numFmtId="0" fontId="1" fillId="61" borderId="0" applyNumberFormat="0" applyBorder="0" applyAlignment="0" applyProtection="0"/>
    <xf numFmtId="0" fontId="1" fillId="61" borderId="0" applyNumberFormat="0" applyBorder="0" applyAlignment="0" applyProtection="0"/>
    <xf numFmtId="0" fontId="1" fillId="61" borderId="0" applyNumberFormat="0" applyBorder="0" applyAlignment="0" applyProtection="0"/>
    <xf numFmtId="0" fontId="1" fillId="61" borderId="0" applyNumberFormat="0" applyBorder="0" applyAlignment="0" applyProtection="0"/>
    <xf numFmtId="0" fontId="1" fillId="61" borderId="0" applyNumberFormat="0" applyBorder="0" applyAlignment="0" applyProtection="0"/>
    <xf numFmtId="0" fontId="1" fillId="61" borderId="0" applyNumberFormat="0" applyBorder="0" applyAlignment="0" applyProtection="0"/>
    <xf numFmtId="0" fontId="1" fillId="61" borderId="0" applyNumberFormat="0" applyBorder="0" applyAlignment="0" applyProtection="0"/>
    <xf numFmtId="0" fontId="1" fillId="69" borderId="0" applyNumberFormat="0" applyBorder="0" applyAlignment="0" applyProtection="0"/>
    <xf numFmtId="0" fontId="1" fillId="69" borderId="0" applyNumberFormat="0" applyBorder="0" applyAlignment="0" applyProtection="0"/>
    <xf numFmtId="0" fontId="1" fillId="69" borderId="0" applyNumberFormat="0" applyBorder="0" applyAlignment="0" applyProtection="0"/>
    <xf numFmtId="0" fontId="1" fillId="69" borderId="0" applyNumberFormat="0" applyBorder="0" applyAlignment="0" applyProtection="0"/>
    <xf numFmtId="0" fontId="1" fillId="69" borderId="0" applyNumberFormat="0" applyBorder="0" applyAlignment="0" applyProtection="0"/>
    <xf numFmtId="0" fontId="1" fillId="69" borderId="0" applyNumberFormat="0" applyBorder="0" applyAlignment="0" applyProtection="0"/>
    <xf numFmtId="0" fontId="1" fillId="69" borderId="0" applyNumberFormat="0" applyBorder="0" applyAlignment="0" applyProtection="0"/>
    <xf numFmtId="0" fontId="1" fillId="69" borderId="0" applyNumberFormat="0" applyBorder="0" applyAlignment="0" applyProtection="0"/>
    <xf numFmtId="0" fontId="1" fillId="69" borderId="0" applyNumberFormat="0" applyBorder="0" applyAlignment="0" applyProtection="0"/>
    <xf numFmtId="0" fontId="1" fillId="73" borderId="0" applyNumberFormat="0" applyBorder="0" applyAlignment="0" applyProtection="0"/>
    <xf numFmtId="0" fontId="1" fillId="73" borderId="0" applyNumberFormat="0" applyBorder="0" applyAlignment="0" applyProtection="0"/>
    <xf numFmtId="0" fontId="1" fillId="73" borderId="0" applyNumberFormat="0" applyBorder="0" applyAlignment="0" applyProtection="0"/>
    <xf numFmtId="0" fontId="1" fillId="73" borderId="0" applyNumberFormat="0" applyBorder="0" applyAlignment="0" applyProtection="0"/>
    <xf numFmtId="0" fontId="1" fillId="73" borderId="0" applyNumberFormat="0" applyBorder="0" applyAlignment="0" applyProtection="0"/>
    <xf numFmtId="0" fontId="1" fillId="73" borderId="0" applyNumberFormat="0" applyBorder="0" applyAlignment="0" applyProtection="0"/>
    <xf numFmtId="0" fontId="1" fillId="73" borderId="0" applyNumberFormat="0" applyBorder="0" applyAlignment="0" applyProtection="0"/>
    <xf numFmtId="0" fontId="1" fillId="73" borderId="0" applyNumberFormat="0" applyBorder="0" applyAlignment="0" applyProtection="0"/>
    <xf numFmtId="0" fontId="1" fillId="73" borderId="0" applyNumberFormat="0" applyBorder="0" applyAlignment="0" applyProtection="0"/>
    <xf numFmtId="0" fontId="1" fillId="77" borderId="0" applyNumberFormat="0" applyBorder="0" applyAlignment="0" applyProtection="0"/>
    <xf numFmtId="0" fontId="1" fillId="77" borderId="0" applyNumberFormat="0" applyBorder="0" applyAlignment="0" applyProtection="0"/>
    <xf numFmtId="0" fontId="1" fillId="77" borderId="0" applyNumberFormat="0" applyBorder="0" applyAlignment="0" applyProtection="0"/>
    <xf numFmtId="0" fontId="1" fillId="77" borderId="0" applyNumberFormat="0" applyBorder="0" applyAlignment="0" applyProtection="0"/>
    <xf numFmtId="0" fontId="1" fillId="77" borderId="0" applyNumberFormat="0" applyBorder="0" applyAlignment="0" applyProtection="0"/>
    <xf numFmtId="0" fontId="1" fillId="77" borderId="0" applyNumberFormat="0" applyBorder="0" applyAlignment="0" applyProtection="0"/>
    <xf numFmtId="0" fontId="1" fillId="77" borderId="0" applyNumberFormat="0" applyBorder="0" applyAlignment="0" applyProtection="0"/>
    <xf numFmtId="0" fontId="1" fillId="77" borderId="0" applyNumberFormat="0" applyBorder="0" applyAlignment="0" applyProtection="0"/>
    <xf numFmtId="0" fontId="1" fillId="77" borderId="0" applyNumberFormat="0" applyBorder="0" applyAlignment="0" applyProtection="0"/>
    <xf numFmtId="0" fontId="1" fillId="81" borderId="0" applyNumberFormat="0" applyBorder="0" applyAlignment="0" applyProtection="0"/>
    <xf numFmtId="0" fontId="1" fillId="81" borderId="0" applyNumberFormat="0" applyBorder="0" applyAlignment="0" applyProtection="0"/>
    <xf numFmtId="0" fontId="1" fillId="81" borderId="0" applyNumberFormat="0" applyBorder="0" applyAlignment="0" applyProtection="0"/>
    <xf numFmtId="0" fontId="1" fillId="81" borderId="0" applyNumberFormat="0" applyBorder="0" applyAlignment="0" applyProtection="0"/>
    <xf numFmtId="0" fontId="1" fillId="81" borderId="0" applyNumberFormat="0" applyBorder="0" applyAlignment="0" applyProtection="0"/>
    <xf numFmtId="0" fontId="1" fillId="81" borderId="0" applyNumberFormat="0" applyBorder="0" applyAlignment="0" applyProtection="0"/>
    <xf numFmtId="0" fontId="1" fillId="81" borderId="0" applyNumberFormat="0" applyBorder="0" applyAlignment="0" applyProtection="0"/>
    <xf numFmtId="0" fontId="1" fillId="81" borderId="0" applyNumberFormat="0" applyBorder="0" applyAlignment="0" applyProtection="0"/>
    <xf numFmtId="0" fontId="1" fillId="81" borderId="0" applyNumberFormat="0" applyBorder="0" applyAlignment="0" applyProtection="0"/>
    <xf numFmtId="0" fontId="1" fillId="58" borderId="104" applyNumberFormat="0" applyFont="0" applyAlignment="0" applyProtection="0"/>
    <xf numFmtId="0" fontId="1" fillId="58" borderId="104" applyNumberFormat="0" applyFont="0" applyAlignment="0" applyProtection="0"/>
    <xf numFmtId="0" fontId="1" fillId="58" borderId="104" applyNumberFormat="0" applyFont="0" applyAlignment="0" applyProtection="0"/>
    <xf numFmtId="0" fontId="1" fillId="58" borderId="104" applyNumberFormat="0" applyFont="0" applyAlignment="0" applyProtection="0"/>
    <xf numFmtId="0" fontId="1" fillId="58" borderId="104" applyNumberFormat="0" applyFont="0" applyAlignment="0" applyProtection="0"/>
    <xf numFmtId="0" fontId="1" fillId="58" borderId="104" applyNumberFormat="0" applyFont="0" applyAlignment="0" applyProtection="0"/>
    <xf numFmtId="0" fontId="1" fillId="58" borderId="104" applyNumberFormat="0" applyFont="0" applyAlignment="0" applyProtection="0"/>
    <xf numFmtId="0" fontId="1" fillId="58" borderId="104" applyNumberFormat="0" applyFont="0" applyAlignment="0" applyProtection="0"/>
    <xf numFmtId="0" fontId="1" fillId="58" borderId="104" applyNumberFormat="0" applyFont="0" applyAlignment="0" applyProtection="0"/>
    <xf numFmtId="9" fontId="1" fillId="0" borderId="0" applyFont="0" applyFill="0" applyBorder="0" applyAlignment="0" applyProtection="0"/>
    <xf numFmtId="0" fontId="1" fillId="60" borderId="0" applyNumberFormat="0" applyBorder="0" applyAlignment="0" applyProtection="0"/>
    <xf numFmtId="0" fontId="1" fillId="61" borderId="0" applyNumberFormat="0" applyBorder="0" applyAlignment="0" applyProtection="0"/>
    <xf numFmtId="0" fontId="1" fillId="64" borderId="0" applyNumberFormat="0" applyBorder="0" applyAlignment="0" applyProtection="0"/>
    <xf numFmtId="0" fontId="1" fillId="68" borderId="0" applyNumberFormat="0" applyBorder="0" applyAlignment="0" applyProtection="0"/>
    <xf numFmtId="0" fontId="1" fillId="69" borderId="0" applyNumberFormat="0" applyBorder="0" applyAlignment="0" applyProtection="0"/>
    <xf numFmtId="0" fontId="1" fillId="72" borderId="0" applyNumberFormat="0" applyBorder="0" applyAlignment="0" applyProtection="0"/>
    <xf numFmtId="0" fontId="1" fillId="73" borderId="0" applyNumberFormat="0" applyBorder="0" applyAlignment="0" applyProtection="0"/>
    <xf numFmtId="0" fontId="1" fillId="77" borderId="0" applyNumberFormat="0" applyBorder="0" applyAlignment="0" applyProtection="0"/>
    <xf numFmtId="0" fontId="1" fillId="80" borderId="0" applyNumberFormat="0" applyBorder="0" applyAlignment="0" applyProtection="0"/>
    <xf numFmtId="0" fontId="1" fillId="81" borderId="0" applyNumberFormat="0" applyBorder="0" applyAlignment="0" applyProtection="0"/>
    <xf numFmtId="0" fontId="1" fillId="58" borderId="104" applyNumberFormat="0" applyFont="0" applyAlignment="0" applyProtection="0"/>
    <xf numFmtId="0" fontId="1" fillId="58" borderId="104" applyNumberFormat="0" applyFont="0" applyAlignment="0" applyProtection="0"/>
    <xf numFmtId="0" fontId="1" fillId="60" borderId="0" applyNumberFormat="0" applyBorder="0" applyAlignment="0" applyProtection="0"/>
    <xf numFmtId="0" fontId="1" fillId="61" borderId="0" applyNumberFormat="0" applyBorder="0" applyAlignment="0" applyProtection="0"/>
    <xf numFmtId="0" fontId="1" fillId="64" borderId="0" applyNumberFormat="0" applyBorder="0" applyAlignment="0" applyProtection="0"/>
    <xf numFmtId="0" fontId="1" fillId="68" borderId="0" applyNumberFormat="0" applyBorder="0" applyAlignment="0" applyProtection="0"/>
    <xf numFmtId="0" fontId="1" fillId="69" borderId="0" applyNumberFormat="0" applyBorder="0" applyAlignment="0" applyProtection="0"/>
    <xf numFmtId="0" fontId="1" fillId="72" borderId="0" applyNumberFormat="0" applyBorder="0" applyAlignment="0" applyProtection="0"/>
    <xf numFmtId="0" fontId="1" fillId="73" borderId="0" applyNumberFormat="0" applyBorder="0" applyAlignment="0" applyProtection="0"/>
    <xf numFmtId="0" fontId="1" fillId="77" borderId="0" applyNumberFormat="0" applyBorder="0" applyAlignment="0" applyProtection="0"/>
    <xf numFmtId="0" fontId="1" fillId="80" borderId="0" applyNumberFormat="0" applyBorder="0" applyAlignment="0" applyProtection="0"/>
    <xf numFmtId="0" fontId="1" fillId="81" borderId="0" applyNumberFormat="0" applyBorder="0" applyAlignment="0" applyProtection="0"/>
    <xf numFmtId="0" fontId="1" fillId="60" borderId="0" applyNumberFormat="0" applyBorder="0" applyAlignment="0" applyProtection="0"/>
    <xf numFmtId="0" fontId="1" fillId="61" borderId="0" applyNumberFormat="0" applyBorder="0" applyAlignment="0" applyProtection="0"/>
    <xf numFmtId="0" fontId="1" fillId="64" borderId="0" applyNumberFormat="0" applyBorder="0" applyAlignment="0" applyProtection="0"/>
    <xf numFmtId="0" fontId="1" fillId="68" borderId="0" applyNumberFormat="0" applyBorder="0" applyAlignment="0" applyProtection="0"/>
    <xf numFmtId="0" fontId="1" fillId="69" borderId="0" applyNumberFormat="0" applyBorder="0" applyAlignment="0" applyProtection="0"/>
    <xf numFmtId="0" fontId="1" fillId="72" borderId="0" applyNumberFormat="0" applyBorder="0" applyAlignment="0" applyProtection="0"/>
    <xf numFmtId="0" fontId="1" fillId="73" borderId="0" applyNumberFormat="0" applyBorder="0" applyAlignment="0" applyProtection="0"/>
    <xf numFmtId="0" fontId="1" fillId="77" borderId="0" applyNumberFormat="0" applyBorder="0" applyAlignment="0" applyProtection="0"/>
    <xf numFmtId="0" fontId="1" fillId="80" borderId="0" applyNumberFormat="0" applyBorder="0" applyAlignment="0" applyProtection="0"/>
    <xf numFmtId="0" fontId="1" fillId="81" borderId="0" applyNumberFormat="0" applyBorder="0" applyAlignment="0" applyProtection="0"/>
    <xf numFmtId="0" fontId="1" fillId="58" borderId="104" applyNumberFormat="0" applyFont="0" applyAlignment="0" applyProtection="0"/>
    <xf numFmtId="0" fontId="1" fillId="60" borderId="0" applyNumberFormat="0" applyBorder="0" applyAlignment="0" applyProtection="0"/>
    <xf numFmtId="0" fontId="1" fillId="61" borderId="0" applyNumberFormat="0" applyBorder="0" applyAlignment="0" applyProtection="0"/>
    <xf numFmtId="0" fontId="1" fillId="64" borderId="0" applyNumberFormat="0" applyBorder="0" applyAlignment="0" applyProtection="0"/>
    <xf numFmtId="0" fontId="1" fillId="68" borderId="0" applyNumberFormat="0" applyBorder="0" applyAlignment="0" applyProtection="0"/>
    <xf numFmtId="0" fontId="1" fillId="69" borderId="0" applyNumberFormat="0" applyBorder="0" applyAlignment="0" applyProtection="0"/>
    <xf numFmtId="0" fontId="1" fillId="72" borderId="0" applyNumberFormat="0" applyBorder="0" applyAlignment="0" applyProtection="0"/>
    <xf numFmtId="0" fontId="1" fillId="73" borderId="0" applyNumberFormat="0" applyBorder="0" applyAlignment="0" applyProtection="0"/>
    <xf numFmtId="0" fontId="1" fillId="77" borderId="0" applyNumberFormat="0" applyBorder="0" applyAlignment="0" applyProtection="0"/>
    <xf numFmtId="0" fontId="1" fillId="80" borderId="0" applyNumberFormat="0" applyBorder="0" applyAlignment="0" applyProtection="0"/>
    <xf numFmtId="0" fontId="1" fillId="81" borderId="0" applyNumberFormat="0" applyBorder="0" applyAlignment="0" applyProtection="0"/>
    <xf numFmtId="0" fontId="1" fillId="58" borderId="104" applyNumberFormat="0" applyFont="0" applyAlignment="0" applyProtection="0"/>
    <xf numFmtId="0" fontId="1" fillId="58" borderId="104" applyNumberFormat="0" applyFont="0" applyAlignment="0" applyProtection="0"/>
    <xf numFmtId="0" fontId="1" fillId="60" borderId="0" applyNumberFormat="0" applyBorder="0" applyAlignment="0" applyProtection="0"/>
    <xf numFmtId="0" fontId="1" fillId="61" borderId="0" applyNumberFormat="0" applyBorder="0" applyAlignment="0" applyProtection="0"/>
    <xf numFmtId="0" fontId="1" fillId="64" borderId="0" applyNumberFormat="0" applyBorder="0" applyAlignment="0" applyProtection="0"/>
    <xf numFmtId="0" fontId="1" fillId="68" borderId="0" applyNumberFormat="0" applyBorder="0" applyAlignment="0" applyProtection="0"/>
    <xf numFmtId="0" fontId="1" fillId="69" borderId="0" applyNumberFormat="0" applyBorder="0" applyAlignment="0" applyProtection="0"/>
    <xf numFmtId="0" fontId="1" fillId="72" borderId="0" applyNumberFormat="0" applyBorder="0" applyAlignment="0" applyProtection="0"/>
    <xf numFmtId="0" fontId="1" fillId="73" borderId="0" applyNumberFormat="0" applyBorder="0" applyAlignment="0" applyProtection="0"/>
    <xf numFmtId="0" fontId="1" fillId="77" borderId="0" applyNumberFormat="0" applyBorder="0" applyAlignment="0" applyProtection="0"/>
    <xf numFmtId="0" fontId="1" fillId="80" borderId="0" applyNumberFormat="0" applyBorder="0" applyAlignment="0" applyProtection="0"/>
    <xf numFmtId="0" fontId="1" fillId="81" borderId="0" applyNumberFormat="0" applyBorder="0" applyAlignment="0" applyProtection="0"/>
    <xf numFmtId="0" fontId="1" fillId="60" borderId="0" applyNumberFormat="0" applyBorder="0" applyAlignment="0" applyProtection="0"/>
    <xf numFmtId="0" fontId="1" fillId="61" borderId="0" applyNumberFormat="0" applyBorder="0" applyAlignment="0" applyProtection="0"/>
    <xf numFmtId="0" fontId="1" fillId="64" borderId="0" applyNumberFormat="0" applyBorder="0" applyAlignment="0" applyProtection="0"/>
    <xf numFmtId="0" fontId="1" fillId="68" borderId="0" applyNumberFormat="0" applyBorder="0" applyAlignment="0" applyProtection="0"/>
    <xf numFmtId="0" fontId="1" fillId="69" borderId="0" applyNumberFormat="0" applyBorder="0" applyAlignment="0" applyProtection="0"/>
    <xf numFmtId="0" fontId="1" fillId="72" borderId="0" applyNumberFormat="0" applyBorder="0" applyAlignment="0" applyProtection="0"/>
    <xf numFmtId="0" fontId="1" fillId="73" borderId="0" applyNumberFormat="0" applyBorder="0" applyAlignment="0" applyProtection="0"/>
    <xf numFmtId="0" fontId="1" fillId="77" borderId="0" applyNumberFormat="0" applyBorder="0" applyAlignment="0" applyProtection="0"/>
    <xf numFmtId="0" fontId="1" fillId="80" borderId="0" applyNumberFormat="0" applyBorder="0" applyAlignment="0" applyProtection="0"/>
    <xf numFmtId="0" fontId="1" fillId="81" borderId="0" applyNumberFormat="0" applyBorder="0" applyAlignment="0" applyProtection="0"/>
    <xf numFmtId="0" fontId="1" fillId="58" borderId="104" applyNumberFormat="0" applyFont="0" applyAlignment="0" applyProtection="0"/>
    <xf numFmtId="0" fontId="1" fillId="60" borderId="0" applyNumberFormat="0" applyBorder="0" applyAlignment="0" applyProtection="0"/>
    <xf numFmtId="0" fontId="1" fillId="61" borderId="0" applyNumberFormat="0" applyBorder="0" applyAlignment="0" applyProtection="0"/>
    <xf numFmtId="0" fontId="1" fillId="64" borderId="0" applyNumberFormat="0" applyBorder="0" applyAlignment="0" applyProtection="0"/>
    <xf numFmtId="0" fontId="1" fillId="68" borderId="0" applyNumberFormat="0" applyBorder="0" applyAlignment="0" applyProtection="0"/>
    <xf numFmtId="0" fontId="1" fillId="69" borderId="0" applyNumberFormat="0" applyBorder="0" applyAlignment="0" applyProtection="0"/>
    <xf numFmtId="0" fontId="1" fillId="72" borderId="0" applyNumberFormat="0" applyBorder="0" applyAlignment="0" applyProtection="0"/>
    <xf numFmtId="0" fontId="1" fillId="73" borderId="0" applyNumberFormat="0" applyBorder="0" applyAlignment="0" applyProtection="0"/>
    <xf numFmtId="0" fontId="1" fillId="77" borderId="0" applyNumberFormat="0" applyBorder="0" applyAlignment="0" applyProtection="0"/>
    <xf numFmtId="0" fontId="1" fillId="80" borderId="0" applyNumberFormat="0" applyBorder="0" applyAlignment="0" applyProtection="0"/>
    <xf numFmtId="0" fontId="1" fillId="81" borderId="0" applyNumberFormat="0" applyBorder="0" applyAlignment="0" applyProtection="0"/>
    <xf numFmtId="0" fontId="1" fillId="58" borderId="104" applyNumberFormat="0" applyFont="0" applyAlignment="0" applyProtection="0"/>
    <xf numFmtId="0" fontId="1" fillId="58" borderId="104" applyNumberFormat="0" applyFont="0" applyAlignment="0" applyProtection="0"/>
    <xf numFmtId="0" fontId="1" fillId="60" borderId="0" applyNumberFormat="0" applyBorder="0" applyAlignment="0" applyProtection="0"/>
    <xf numFmtId="0" fontId="1" fillId="61" borderId="0" applyNumberFormat="0" applyBorder="0" applyAlignment="0" applyProtection="0"/>
    <xf numFmtId="0" fontId="1" fillId="64" borderId="0" applyNumberFormat="0" applyBorder="0" applyAlignment="0" applyProtection="0"/>
    <xf numFmtId="0" fontId="1" fillId="68" borderId="0" applyNumberFormat="0" applyBorder="0" applyAlignment="0" applyProtection="0"/>
    <xf numFmtId="0" fontId="1" fillId="69" borderId="0" applyNumberFormat="0" applyBorder="0" applyAlignment="0" applyProtection="0"/>
    <xf numFmtId="0" fontId="1" fillId="72" borderId="0" applyNumberFormat="0" applyBorder="0" applyAlignment="0" applyProtection="0"/>
    <xf numFmtId="0" fontId="1" fillId="73" borderId="0" applyNumberFormat="0" applyBorder="0" applyAlignment="0" applyProtection="0"/>
    <xf numFmtId="0" fontId="1" fillId="77" borderId="0" applyNumberFormat="0" applyBorder="0" applyAlignment="0" applyProtection="0"/>
    <xf numFmtId="0" fontId="1" fillId="80" borderId="0" applyNumberFormat="0" applyBorder="0" applyAlignment="0" applyProtection="0"/>
    <xf numFmtId="0" fontId="1" fillId="81" borderId="0" applyNumberFormat="0" applyBorder="0" applyAlignment="0" applyProtection="0"/>
    <xf numFmtId="0" fontId="1" fillId="60" borderId="0" applyNumberFormat="0" applyBorder="0" applyAlignment="0" applyProtection="0"/>
    <xf numFmtId="0" fontId="1" fillId="61" borderId="0" applyNumberFormat="0" applyBorder="0" applyAlignment="0" applyProtection="0"/>
    <xf numFmtId="0" fontId="1" fillId="64" borderId="0" applyNumberFormat="0" applyBorder="0" applyAlignment="0" applyProtection="0"/>
    <xf numFmtId="0" fontId="1" fillId="68" borderId="0" applyNumberFormat="0" applyBorder="0" applyAlignment="0" applyProtection="0"/>
    <xf numFmtId="0" fontId="1" fillId="69" borderId="0" applyNumberFormat="0" applyBorder="0" applyAlignment="0" applyProtection="0"/>
    <xf numFmtId="0" fontId="1" fillId="72" borderId="0" applyNumberFormat="0" applyBorder="0" applyAlignment="0" applyProtection="0"/>
    <xf numFmtId="0" fontId="1" fillId="73" borderId="0" applyNumberFormat="0" applyBorder="0" applyAlignment="0" applyProtection="0"/>
    <xf numFmtId="0" fontId="1" fillId="77" borderId="0" applyNumberFormat="0" applyBorder="0" applyAlignment="0" applyProtection="0"/>
    <xf numFmtId="0" fontId="1" fillId="80" borderId="0" applyNumberFormat="0" applyBorder="0" applyAlignment="0" applyProtection="0"/>
    <xf numFmtId="0" fontId="1" fillId="81" borderId="0" applyNumberFormat="0" applyBorder="0" applyAlignment="0" applyProtection="0"/>
    <xf numFmtId="0" fontId="1" fillId="58" borderId="104" applyNumberFormat="0" applyFont="0" applyAlignment="0" applyProtection="0"/>
    <xf numFmtId="0" fontId="1" fillId="60" borderId="0" applyNumberFormat="0" applyBorder="0" applyAlignment="0" applyProtection="0"/>
    <xf numFmtId="0" fontId="1" fillId="61" borderId="0" applyNumberFormat="0" applyBorder="0" applyAlignment="0" applyProtection="0"/>
    <xf numFmtId="0" fontId="1" fillId="64" borderId="0" applyNumberFormat="0" applyBorder="0" applyAlignment="0" applyProtection="0"/>
    <xf numFmtId="0" fontId="1" fillId="68" borderId="0" applyNumberFormat="0" applyBorder="0" applyAlignment="0" applyProtection="0"/>
    <xf numFmtId="0" fontId="1" fillId="69" borderId="0" applyNumberFormat="0" applyBorder="0" applyAlignment="0" applyProtection="0"/>
    <xf numFmtId="0" fontId="1" fillId="72" borderId="0" applyNumberFormat="0" applyBorder="0" applyAlignment="0" applyProtection="0"/>
    <xf numFmtId="0" fontId="1" fillId="73" borderId="0" applyNumberFormat="0" applyBorder="0" applyAlignment="0" applyProtection="0"/>
    <xf numFmtId="0" fontId="1" fillId="77" borderId="0" applyNumberFormat="0" applyBorder="0" applyAlignment="0" applyProtection="0"/>
    <xf numFmtId="0" fontId="1" fillId="80" borderId="0" applyNumberFormat="0" applyBorder="0" applyAlignment="0" applyProtection="0"/>
    <xf numFmtId="0" fontId="1" fillId="81" borderId="0" applyNumberFormat="0" applyBorder="0" applyAlignment="0" applyProtection="0"/>
    <xf numFmtId="0" fontId="1" fillId="58" borderId="104" applyNumberFormat="0" applyFont="0" applyAlignment="0" applyProtection="0"/>
    <xf numFmtId="0" fontId="1" fillId="58" borderId="104" applyNumberFormat="0" applyFont="0" applyAlignment="0" applyProtection="0"/>
    <xf numFmtId="0" fontId="1" fillId="60" borderId="0" applyNumberFormat="0" applyBorder="0" applyAlignment="0" applyProtection="0"/>
    <xf numFmtId="0" fontId="1" fillId="61" borderId="0" applyNumberFormat="0" applyBorder="0" applyAlignment="0" applyProtection="0"/>
    <xf numFmtId="0" fontId="1" fillId="64" borderId="0" applyNumberFormat="0" applyBorder="0" applyAlignment="0" applyProtection="0"/>
    <xf numFmtId="0" fontId="1" fillId="68" borderId="0" applyNumberFormat="0" applyBorder="0" applyAlignment="0" applyProtection="0"/>
    <xf numFmtId="0" fontId="1" fillId="69" borderId="0" applyNumberFormat="0" applyBorder="0" applyAlignment="0" applyProtection="0"/>
    <xf numFmtId="0" fontId="1" fillId="72" borderId="0" applyNumberFormat="0" applyBorder="0" applyAlignment="0" applyProtection="0"/>
    <xf numFmtId="0" fontId="1" fillId="73" borderId="0" applyNumberFormat="0" applyBorder="0" applyAlignment="0" applyProtection="0"/>
    <xf numFmtId="0" fontId="1" fillId="77" borderId="0" applyNumberFormat="0" applyBorder="0" applyAlignment="0" applyProtection="0"/>
    <xf numFmtId="0" fontId="1" fillId="80" borderId="0" applyNumberFormat="0" applyBorder="0" applyAlignment="0" applyProtection="0"/>
    <xf numFmtId="0" fontId="1" fillId="81" borderId="0" applyNumberFormat="0" applyBorder="0" applyAlignment="0" applyProtection="0"/>
    <xf numFmtId="0" fontId="1" fillId="60" borderId="0" applyNumberFormat="0" applyBorder="0" applyAlignment="0" applyProtection="0"/>
    <xf numFmtId="0" fontId="1" fillId="61" borderId="0" applyNumberFormat="0" applyBorder="0" applyAlignment="0" applyProtection="0"/>
    <xf numFmtId="0" fontId="1" fillId="64" borderId="0" applyNumberFormat="0" applyBorder="0" applyAlignment="0" applyProtection="0"/>
    <xf numFmtId="0" fontId="1" fillId="68" borderId="0" applyNumberFormat="0" applyBorder="0" applyAlignment="0" applyProtection="0"/>
    <xf numFmtId="0" fontId="1" fillId="69" borderId="0" applyNumberFormat="0" applyBorder="0" applyAlignment="0" applyProtection="0"/>
    <xf numFmtId="0" fontId="1" fillId="72" borderId="0" applyNumberFormat="0" applyBorder="0" applyAlignment="0" applyProtection="0"/>
    <xf numFmtId="0" fontId="1" fillId="73" borderId="0" applyNumberFormat="0" applyBorder="0" applyAlignment="0" applyProtection="0"/>
    <xf numFmtId="0" fontId="1" fillId="77" borderId="0" applyNumberFormat="0" applyBorder="0" applyAlignment="0" applyProtection="0"/>
    <xf numFmtId="0" fontId="1" fillId="80" borderId="0" applyNumberFormat="0" applyBorder="0" applyAlignment="0" applyProtection="0"/>
    <xf numFmtId="0" fontId="1" fillId="81" borderId="0" applyNumberFormat="0" applyBorder="0" applyAlignment="0" applyProtection="0"/>
    <xf numFmtId="0" fontId="1" fillId="58" borderId="104" applyNumberFormat="0" applyFont="0" applyAlignment="0" applyProtection="0"/>
    <xf numFmtId="0" fontId="1" fillId="60" borderId="0" applyNumberFormat="0" applyBorder="0" applyAlignment="0" applyProtection="0"/>
    <xf numFmtId="0" fontId="1" fillId="61" borderId="0" applyNumberFormat="0" applyBorder="0" applyAlignment="0" applyProtection="0"/>
    <xf numFmtId="0" fontId="1" fillId="64" borderId="0" applyNumberFormat="0" applyBorder="0" applyAlignment="0" applyProtection="0"/>
    <xf numFmtId="0" fontId="1" fillId="68" borderId="0" applyNumberFormat="0" applyBorder="0" applyAlignment="0" applyProtection="0"/>
    <xf numFmtId="0" fontId="1" fillId="69" borderId="0" applyNumberFormat="0" applyBorder="0" applyAlignment="0" applyProtection="0"/>
    <xf numFmtId="0" fontId="1" fillId="72" borderId="0" applyNumberFormat="0" applyBorder="0" applyAlignment="0" applyProtection="0"/>
    <xf numFmtId="0" fontId="1" fillId="73" borderId="0" applyNumberFormat="0" applyBorder="0" applyAlignment="0" applyProtection="0"/>
    <xf numFmtId="0" fontId="1" fillId="77" borderId="0" applyNumberFormat="0" applyBorder="0" applyAlignment="0" applyProtection="0"/>
    <xf numFmtId="0" fontId="1" fillId="80" borderId="0" applyNumberFormat="0" applyBorder="0" applyAlignment="0" applyProtection="0"/>
    <xf numFmtId="0" fontId="1" fillId="81" borderId="0" applyNumberFormat="0" applyBorder="0" applyAlignment="0" applyProtection="0"/>
    <xf numFmtId="0" fontId="1" fillId="58" borderId="104" applyNumberFormat="0" applyFont="0" applyAlignment="0" applyProtection="0"/>
    <xf numFmtId="0" fontId="1" fillId="58" borderId="104" applyNumberFormat="0" applyFont="0" applyAlignment="0" applyProtection="0"/>
    <xf numFmtId="0" fontId="1" fillId="60" borderId="0" applyNumberFormat="0" applyBorder="0" applyAlignment="0" applyProtection="0"/>
    <xf numFmtId="0" fontId="1" fillId="61" borderId="0" applyNumberFormat="0" applyBorder="0" applyAlignment="0" applyProtection="0"/>
    <xf numFmtId="0" fontId="1" fillId="64" borderId="0" applyNumberFormat="0" applyBorder="0" applyAlignment="0" applyProtection="0"/>
    <xf numFmtId="0" fontId="1" fillId="68" borderId="0" applyNumberFormat="0" applyBorder="0" applyAlignment="0" applyProtection="0"/>
    <xf numFmtId="0" fontId="1" fillId="69" borderId="0" applyNumberFormat="0" applyBorder="0" applyAlignment="0" applyProtection="0"/>
    <xf numFmtId="0" fontId="1" fillId="72" borderId="0" applyNumberFormat="0" applyBorder="0" applyAlignment="0" applyProtection="0"/>
    <xf numFmtId="0" fontId="1" fillId="73" borderId="0" applyNumberFormat="0" applyBorder="0" applyAlignment="0" applyProtection="0"/>
    <xf numFmtId="0" fontId="1" fillId="77" borderId="0" applyNumberFormat="0" applyBorder="0" applyAlignment="0" applyProtection="0"/>
    <xf numFmtId="0" fontId="1" fillId="80" borderId="0" applyNumberFormat="0" applyBorder="0" applyAlignment="0" applyProtection="0"/>
    <xf numFmtId="0" fontId="1" fillId="81" borderId="0" applyNumberFormat="0" applyBorder="0" applyAlignment="0" applyProtection="0"/>
    <xf numFmtId="0" fontId="1" fillId="60" borderId="0" applyNumberFormat="0" applyBorder="0" applyAlignment="0" applyProtection="0"/>
    <xf numFmtId="0" fontId="1" fillId="61" borderId="0" applyNumberFormat="0" applyBorder="0" applyAlignment="0" applyProtection="0"/>
    <xf numFmtId="0" fontId="1" fillId="64" borderId="0" applyNumberFormat="0" applyBorder="0" applyAlignment="0" applyProtection="0"/>
    <xf numFmtId="0" fontId="1" fillId="68" borderId="0" applyNumberFormat="0" applyBorder="0" applyAlignment="0" applyProtection="0"/>
    <xf numFmtId="0" fontId="1" fillId="69" borderId="0" applyNumberFormat="0" applyBorder="0" applyAlignment="0" applyProtection="0"/>
    <xf numFmtId="0" fontId="1" fillId="72" borderId="0" applyNumberFormat="0" applyBorder="0" applyAlignment="0" applyProtection="0"/>
    <xf numFmtId="0" fontId="1" fillId="73" borderId="0" applyNumberFormat="0" applyBorder="0" applyAlignment="0" applyProtection="0"/>
    <xf numFmtId="0" fontId="1" fillId="77" borderId="0" applyNumberFormat="0" applyBorder="0" applyAlignment="0" applyProtection="0"/>
    <xf numFmtId="0" fontId="1" fillId="80" borderId="0" applyNumberFormat="0" applyBorder="0" applyAlignment="0" applyProtection="0"/>
    <xf numFmtId="0" fontId="1" fillId="81" borderId="0" applyNumberFormat="0" applyBorder="0" applyAlignment="0" applyProtection="0"/>
    <xf numFmtId="0" fontId="1" fillId="58" borderId="104" applyNumberFormat="0" applyFont="0" applyAlignment="0" applyProtection="0"/>
    <xf numFmtId="0" fontId="1" fillId="60" borderId="0" applyNumberFormat="0" applyBorder="0" applyAlignment="0" applyProtection="0"/>
    <xf numFmtId="0" fontId="1" fillId="61" borderId="0" applyNumberFormat="0" applyBorder="0" applyAlignment="0" applyProtection="0"/>
    <xf numFmtId="0" fontId="1" fillId="64" borderId="0" applyNumberFormat="0" applyBorder="0" applyAlignment="0" applyProtection="0"/>
    <xf numFmtId="0" fontId="1" fillId="68" borderId="0" applyNumberFormat="0" applyBorder="0" applyAlignment="0" applyProtection="0"/>
    <xf numFmtId="0" fontId="1" fillId="69" borderId="0" applyNumberFormat="0" applyBorder="0" applyAlignment="0" applyProtection="0"/>
    <xf numFmtId="0" fontId="1" fillId="72" borderId="0" applyNumberFormat="0" applyBorder="0" applyAlignment="0" applyProtection="0"/>
    <xf numFmtId="0" fontId="1" fillId="73" borderId="0" applyNumberFormat="0" applyBorder="0" applyAlignment="0" applyProtection="0"/>
    <xf numFmtId="0" fontId="1" fillId="77" borderId="0" applyNumberFormat="0" applyBorder="0" applyAlignment="0" applyProtection="0"/>
    <xf numFmtId="0" fontId="1" fillId="80" borderId="0" applyNumberFormat="0" applyBorder="0" applyAlignment="0" applyProtection="0"/>
    <xf numFmtId="0" fontId="1" fillId="81" borderId="0" applyNumberFormat="0" applyBorder="0" applyAlignment="0" applyProtection="0"/>
    <xf numFmtId="0" fontId="1" fillId="58" borderId="104" applyNumberFormat="0" applyFont="0" applyAlignment="0" applyProtection="0"/>
    <xf numFmtId="0" fontId="1" fillId="58" borderId="104" applyNumberFormat="0" applyFont="0" applyAlignment="0" applyProtection="0"/>
    <xf numFmtId="0" fontId="1" fillId="60" borderId="0" applyNumberFormat="0" applyBorder="0" applyAlignment="0" applyProtection="0"/>
    <xf numFmtId="0" fontId="1" fillId="61" borderId="0" applyNumberFormat="0" applyBorder="0" applyAlignment="0" applyProtection="0"/>
    <xf numFmtId="0" fontId="1" fillId="64" borderId="0" applyNumberFormat="0" applyBorder="0" applyAlignment="0" applyProtection="0"/>
    <xf numFmtId="0" fontId="1" fillId="68" borderId="0" applyNumberFormat="0" applyBorder="0" applyAlignment="0" applyProtection="0"/>
    <xf numFmtId="0" fontId="1" fillId="69" borderId="0" applyNumberFormat="0" applyBorder="0" applyAlignment="0" applyProtection="0"/>
    <xf numFmtId="0" fontId="1" fillId="72" borderId="0" applyNumberFormat="0" applyBorder="0" applyAlignment="0" applyProtection="0"/>
    <xf numFmtId="0" fontId="1" fillId="73" borderId="0" applyNumberFormat="0" applyBorder="0" applyAlignment="0" applyProtection="0"/>
    <xf numFmtId="0" fontId="1" fillId="77" borderId="0" applyNumberFormat="0" applyBorder="0" applyAlignment="0" applyProtection="0"/>
    <xf numFmtId="0" fontId="1" fillId="80" borderId="0" applyNumberFormat="0" applyBorder="0" applyAlignment="0" applyProtection="0"/>
    <xf numFmtId="0" fontId="1" fillId="81" borderId="0" applyNumberFormat="0" applyBorder="0" applyAlignment="0" applyProtection="0"/>
    <xf numFmtId="0" fontId="1" fillId="60" borderId="0" applyNumberFormat="0" applyBorder="0" applyAlignment="0" applyProtection="0"/>
    <xf numFmtId="0" fontId="1" fillId="61" borderId="0" applyNumberFormat="0" applyBorder="0" applyAlignment="0" applyProtection="0"/>
    <xf numFmtId="0" fontId="1" fillId="64" borderId="0" applyNumberFormat="0" applyBorder="0" applyAlignment="0" applyProtection="0"/>
    <xf numFmtId="0" fontId="1" fillId="68" borderId="0" applyNumberFormat="0" applyBorder="0" applyAlignment="0" applyProtection="0"/>
    <xf numFmtId="0" fontId="1" fillId="69" borderId="0" applyNumberFormat="0" applyBorder="0" applyAlignment="0" applyProtection="0"/>
    <xf numFmtId="0" fontId="1" fillId="72" borderId="0" applyNumberFormat="0" applyBorder="0" applyAlignment="0" applyProtection="0"/>
    <xf numFmtId="0" fontId="1" fillId="73" borderId="0" applyNumberFormat="0" applyBorder="0" applyAlignment="0" applyProtection="0"/>
    <xf numFmtId="0" fontId="1" fillId="77" borderId="0" applyNumberFormat="0" applyBorder="0" applyAlignment="0" applyProtection="0"/>
    <xf numFmtId="0" fontId="1" fillId="80" borderId="0" applyNumberFormat="0" applyBorder="0" applyAlignment="0" applyProtection="0"/>
    <xf numFmtId="0" fontId="1" fillId="81" borderId="0" applyNumberFormat="0" applyBorder="0" applyAlignment="0" applyProtection="0"/>
    <xf numFmtId="0" fontId="1" fillId="58" borderId="104" applyNumberFormat="0" applyFont="0" applyAlignment="0" applyProtection="0"/>
    <xf numFmtId="0" fontId="1" fillId="60" borderId="0" applyNumberFormat="0" applyBorder="0" applyAlignment="0" applyProtection="0"/>
    <xf numFmtId="0" fontId="1" fillId="60" borderId="0" applyNumberFormat="0" applyBorder="0" applyAlignment="0" applyProtection="0"/>
    <xf numFmtId="0" fontId="1" fillId="60" borderId="0" applyNumberFormat="0" applyBorder="0" applyAlignment="0" applyProtection="0"/>
    <xf numFmtId="0" fontId="1" fillId="60" borderId="0" applyNumberFormat="0" applyBorder="0" applyAlignment="0" applyProtection="0"/>
    <xf numFmtId="0" fontId="1" fillId="60" borderId="0" applyNumberFormat="0" applyBorder="0" applyAlignment="0" applyProtection="0"/>
    <xf numFmtId="0" fontId="1" fillId="60" borderId="0" applyNumberFormat="0" applyBorder="0" applyAlignment="0" applyProtection="0"/>
    <xf numFmtId="0" fontId="1" fillId="60" borderId="0" applyNumberFormat="0" applyBorder="0" applyAlignment="0" applyProtection="0"/>
    <xf numFmtId="0" fontId="1" fillId="60" borderId="0" applyNumberFormat="0" applyBorder="0" applyAlignment="0" applyProtection="0"/>
    <xf numFmtId="0" fontId="1" fillId="60" borderId="0" applyNumberFormat="0" applyBorder="0" applyAlignment="0" applyProtection="0"/>
    <xf numFmtId="0" fontId="1" fillId="64" borderId="0" applyNumberFormat="0" applyBorder="0" applyAlignment="0" applyProtection="0"/>
    <xf numFmtId="0" fontId="1" fillId="64" borderId="0" applyNumberFormat="0" applyBorder="0" applyAlignment="0" applyProtection="0"/>
    <xf numFmtId="0" fontId="1" fillId="64" borderId="0" applyNumberFormat="0" applyBorder="0" applyAlignment="0" applyProtection="0"/>
    <xf numFmtId="0" fontId="1" fillId="64" borderId="0" applyNumberFormat="0" applyBorder="0" applyAlignment="0" applyProtection="0"/>
    <xf numFmtId="0" fontId="1" fillId="64" borderId="0" applyNumberFormat="0" applyBorder="0" applyAlignment="0" applyProtection="0"/>
    <xf numFmtId="0" fontId="1" fillId="64" borderId="0" applyNumberFormat="0" applyBorder="0" applyAlignment="0" applyProtection="0"/>
    <xf numFmtId="0" fontId="1" fillId="64" borderId="0" applyNumberFormat="0" applyBorder="0" applyAlignment="0" applyProtection="0"/>
    <xf numFmtId="0" fontId="1" fillId="64" borderId="0" applyNumberFormat="0" applyBorder="0" applyAlignment="0" applyProtection="0"/>
    <xf numFmtId="0" fontId="1" fillId="64" borderId="0" applyNumberFormat="0" applyBorder="0" applyAlignment="0" applyProtection="0"/>
    <xf numFmtId="0" fontId="1" fillId="68" borderId="0" applyNumberFormat="0" applyBorder="0" applyAlignment="0" applyProtection="0"/>
    <xf numFmtId="0" fontId="1" fillId="68" borderId="0" applyNumberFormat="0" applyBorder="0" applyAlignment="0" applyProtection="0"/>
    <xf numFmtId="0" fontId="1" fillId="68" borderId="0" applyNumberFormat="0" applyBorder="0" applyAlignment="0" applyProtection="0"/>
    <xf numFmtId="0" fontId="1" fillId="68" borderId="0" applyNumberFormat="0" applyBorder="0" applyAlignment="0" applyProtection="0"/>
    <xf numFmtId="0" fontId="1" fillId="68" borderId="0" applyNumberFormat="0" applyBorder="0" applyAlignment="0" applyProtection="0"/>
    <xf numFmtId="0" fontId="1" fillId="68" borderId="0" applyNumberFormat="0" applyBorder="0" applyAlignment="0" applyProtection="0"/>
    <xf numFmtId="0" fontId="1" fillId="68" borderId="0" applyNumberFormat="0" applyBorder="0" applyAlignment="0" applyProtection="0"/>
    <xf numFmtId="0" fontId="1" fillId="68" borderId="0" applyNumberFormat="0" applyBorder="0" applyAlignment="0" applyProtection="0"/>
    <xf numFmtId="0" fontId="1" fillId="68" borderId="0" applyNumberFormat="0" applyBorder="0" applyAlignment="0" applyProtection="0"/>
    <xf numFmtId="0" fontId="1" fillId="72" borderId="0" applyNumberFormat="0" applyBorder="0" applyAlignment="0" applyProtection="0"/>
    <xf numFmtId="0" fontId="1" fillId="72" borderId="0" applyNumberFormat="0" applyBorder="0" applyAlignment="0" applyProtection="0"/>
    <xf numFmtId="0" fontId="1" fillId="72" borderId="0" applyNumberFormat="0" applyBorder="0" applyAlignment="0" applyProtection="0"/>
    <xf numFmtId="0" fontId="1" fillId="72" borderId="0" applyNumberFormat="0" applyBorder="0" applyAlignment="0" applyProtection="0"/>
    <xf numFmtId="0" fontId="1" fillId="72" borderId="0" applyNumberFormat="0" applyBorder="0" applyAlignment="0" applyProtection="0"/>
    <xf numFmtId="0" fontId="1" fillId="72" borderId="0" applyNumberFormat="0" applyBorder="0" applyAlignment="0" applyProtection="0"/>
    <xf numFmtId="0" fontId="1" fillId="72" borderId="0" applyNumberFormat="0" applyBorder="0" applyAlignment="0" applyProtection="0"/>
    <xf numFmtId="0" fontId="1" fillId="72" borderId="0" applyNumberFormat="0" applyBorder="0" applyAlignment="0" applyProtection="0"/>
    <xf numFmtId="0" fontId="1" fillId="72" borderId="0" applyNumberFormat="0" applyBorder="0" applyAlignment="0" applyProtection="0"/>
    <xf numFmtId="0" fontId="1" fillId="80" borderId="0" applyNumberFormat="0" applyBorder="0" applyAlignment="0" applyProtection="0"/>
    <xf numFmtId="0" fontId="1" fillId="80" borderId="0" applyNumberFormat="0" applyBorder="0" applyAlignment="0" applyProtection="0"/>
    <xf numFmtId="0" fontId="1" fillId="80" borderId="0" applyNumberFormat="0" applyBorder="0" applyAlignment="0" applyProtection="0"/>
    <xf numFmtId="0" fontId="1" fillId="80" borderId="0" applyNumberFormat="0" applyBorder="0" applyAlignment="0" applyProtection="0"/>
    <xf numFmtId="0" fontId="1" fillId="80" borderId="0" applyNumberFormat="0" applyBorder="0" applyAlignment="0" applyProtection="0"/>
    <xf numFmtId="0" fontId="1" fillId="80" borderId="0" applyNumberFormat="0" applyBorder="0" applyAlignment="0" applyProtection="0"/>
    <xf numFmtId="0" fontId="1" fillId="80" borderId="0" applyNumberFormat="0" applyBorder="0" applyAlignment="0" applyProtection="0"/>
    <xf numFmtId="0" fontId="1" fillId="80" borderId="0" applyNumberFormat="0" applyBorder="0" applyAlignment="0" applyProtection="0"/>
    <xf numFmtId="0" fontId="1" fillId="80" borderId="0" applyNumberFormat="0" applyBorder="0" applyAlignment="0" applyProtection="0"/>
    <xf numFmtId="0" fontId="1" fillId="61" borderId="0" applyNumberFormat="0" applyBorder="0" applyAlignment="0" applyProtection="0"/>
    <xf numFmtId="0" fontId="1" fillId="61" borderId="0" applyNumberFormat="0" applyBorder="0" applyAlignment="0" applyProtection="0"/>
    <xf numFmtId="0" fontId="1" fillId="61" borderId="0" applyNumberFormat="0" applyBorder="0" applyAlignment="0" applyProtection="0"/>
    <xf numFmtId="0" fontId="1" fillId="61" borderId="0" applyNumberFormat="0" applyBorder="0" applyAlignment="0" applyProtection="0"/>
    <xf numFmtId="0" fontId="1" fillId="61" borderId="0" applyNumberFormat="0" applyBorder="0" applyAlignment="0" applyProtection="0"/>
    <xf numFmtId="0" fontId="1" fillId="61" borderId="0" applyNumberFormat="0" applyBorder="0" applyAlignment="0" applyProtection="0"/>
    <xf numFmtId="0" fontId="1" fillId="61" borderId="0" applyNumberFormat="0" applyBorder="0" applyAlignment="0" applyProtection="0"/>
    <xf numFmtId="0" fontId="1" fillId="61" borderId="0" applyNumberFormat="0" applyBorder="0" applyAlignment="0" applyProtection="0"/>
    <xf numFmtId="0" fontId="1" fillId="61" borderId="0" applyNumberFormat="0" applyBorder="0" applyAlignment="0" applyProtection="0"/>
    <xf numFmtId="0" fontId="1" fillId="69" borderId="0" applyNumberFormat="0" applyBorder="0" applyAlignment="0" applyProtection="0"/>
    <xf numFmtId="0" fontId="1" fillId="69" borderId="0" applyNumberFormat="0" applyBorder="0" applyAlignment="0" applyProtection="0"/>
    <xf numFmtId="0" fontId="1" fillId="69" borderId="0" applyNumberFormat="0" applyBorder="0" applyAlignment="0" applyProtection="0"/>
    <xf numFmtId="0" fontId="1" fillId="69" borderId="0" applyNumberFormat="0" applyBorder="0" applyAlignment="0" applyProtection="0"/>
    <xf numFmtId="0" fontId="1" fillId="69" borderId="0" applyNumberFormat="0" applyBorder="0" applyAlignment="0" applyProtection="0"/>
    <xf numFmtId="0" fontId="1" fillId="69" borderId="0" applyNumberFormat="0" applyBorder="0" applyAlignment="0" applyProtection="0"/>
    <xf numFmtId="0" fontId="1" fillId="69" borderId="0" applyNumberFormat="0" applyBorder="0" applyAlignment="0" applyProtection="0"/>
    <xf numFmtId="0" fontId="1" fillId="69" borderId="0" applyNumberFormat="0" applyBorder="0" applyAlignment="0" applyProtection="0"/>
    <xf numFmtId="0" fontId="1" fillId="69" borderId="0" applyNumberFormat="0" applyBorder="0" applyAlignment="0" applyProtection="0"/>
    <xf numFmtId="0" fontId="1" fillId="73" borderId="0" applyNumberFormat="0" applyBorder="0" applyAlignment="0" applyProtection="0"/>
    <xf numFmtId="0" fontId="1" fillId="73" borderId="0" applyNumberFormat="0" applyBorder="0" applyAlignment="0" applyProtection="0"/>
    <xf numFmtId="0" fontId="1" fillId="73" borderId="0" applyNumberFormat="0" applyBorder="0" applyAlignment="0" applyProtection="0"/>
    <xf numFmtId="0" fontId="1" fillId="73" borderId="0" applyNumberFormat="0" applyBorder="0" applyAlignment="0" applyProtection="0"/>
    <xf numFmtId="0" fontId="1" fillId="73" borderId="0" applyNumberFormat="0" applyBorder="0" applyAlignment="0" applyProtection="0"/>
    <xf numFmtId="0" fontId="1" fillId="73" borderId="0" applyNumberFormat="0" applyBorder="0" applyAlignment="0" applyProtection="0"/>
    <xf numFmtId="0" fontId="1" fillId="73" borderId="0" applyNumberFormat="0" applyBorder="0" applyAlignment="0" applyProtection="0"/>
    <xf numFmtId="0" fontId="1" fillId="73" borderId="0" applyNumberFormat="0" applyBorder="0" applyAlignment="0" applyProtection="0"/>
    <xf numFmtId="0" fontId="1" fillId="73" borderId="0" applyNumberFormat="0" applyBorder="0" applyAlignment="0" applyProtection="0"/>
    <xf numFmtId="0" fontId="1" fillId="77" borderId="0" applyNumberFormat="0" applyBorder="0" applyAlignment="0" applyProtection="0"/>
    <xf numFmtId="0" fontId="1" fillId="77" borderId="0" applyNumberFormat="0" applyBorder="0" applyAlignment="0" applyProtection="0"/>
    <xf numFmtId="0" fontId="1" fillId="77" borderId="0" applyNumberFormat="0" applyBorder="0" applyAlignment="0" applyProtection="0"/>
    <xf numFmtId="0" fontId="1" fillId="77" borderId="0" applyNumberFormat="0" applyBorder="0" applyAlignment="0" applyProtection="0"/>
    <xf numFmtId="0" fontId="1" fillId="77" borderId="0" applyNumberFormat="0" applyBorder="0" applyAlignment="0" applyProtection="0"/>
    <xf numFmtId="0" fontId="1" fillId="77" borderId="0" applyNumberFormat="0" applyBorder="0" applyAlignment="0" applyProtection="0"/>
    <xf numFmtId="0" fontId="1" fillId="77" borderId="0" applyNumberFormat="0" applyBorder="0" applyAlignment="0" applyProtection="0"/>
    <xf numFmtId="0" fontId="1" fillId="77" borderId="0" applyNumberFormat="0" applyBorder="0" applyAlignment="0" applyProtection="0"/>
    <xf numFmtId="0" fontId="1" fillId="77" borderId="0" applyNumberFormat="0" applyBorder="0" applyAlignment="0" applyProtection="0"/>
    <xf numFmtId="0" fontId="1" fillId="81" borderId="0" applyNumberFormat="0" applyBorder="0" applyAlignment="0" applyProtection="0"/>
    <xf numFmtId="0" fontId="1" fillId="81" borderId="0" applyNumberFormat="0" applyBorder="0" applyAlignment="0" applyProtection="0"/>
    <xf numFmtId="0" fontId="1" fillId="81" borderId="0" applyNumberFormat="0" applyBorder="0" applyAlignment="0" applyProtection="0"/>
    <xf numFmtId="0" fontId="1" fillId="81" borderId="0" applyNumberFormat="0" applyBorder="0" applyAlignment="0" applyProtection="0"/>
    <xf numFmtId="0" fontId="1" fillId="81" borderId="0" applyNumberFormat="0" applyBorder="0" applyAlignment="0" applyProtection="0"/>
    <xf numFmtId="0" fontId="1" fillId="81" borderId="0" applyNumberFormat="0" applyBorder="0" applyAlignment="0" applyProtection="0"/>
    <xf numFmtId="0" fontId="1" fillId="81" borderId="0" applyNumberFormat="0" applyBorder="0" applyAlignment="0" applyProtection="0"/>
    <xf numFmtId="0" fontId="1" fillId="81" borderId="0" applyNumberFormat="0" applyBorder="0" applyAlignment="0" applyProtection="0"/>
    <xf numFmtId="0" fontId="1" fillId="81" borderId="0" applyNumberFormat="0" applyBorder="0" applyAlignment="0" applyProtection="0"/>
    <xf numFmtId="0" fontId="1" fillId="58" borderId="104" applyNumberFormat="0" applyFont="0" applyAlignment="0" applyProtection="0"/>
    <xf numFmtId="0" fontId="1" fillId="58" borderId="104" applyNumberFormat="0" applyFont="0" applyAlignment="0" applyProtection="0"/>
    <xf numFmtId="0" fontId="1" fillId="58" borderId="104" applyNumberFormat="0" applyFont="0" applyAlignment="0" applyProtection="0"/>
    <xf numFmtId="0" fontId="1" fillId="58" borderId="104" applyNumberFormat="0" applyFont="0" applyAlignment="0" applyProtection="0"/>
    <xf numFmtId="0" fontId="1" fillId="58" borderId="104" applyNumberFormat="0" applyFont="0" applyAlignment="0" applyProtection="0"/>
    <xf numFmtId="0" fontId="1" fillId="58" borderId="104" applyNumberFormat="0" applyFont="0" applyAlignment="0" applyProtection="0"/>
    <xf numFmtId="0" fontId="1" fillId="58" borderId="104" applyNumberFormat="0" applyFont="0" applyAlignment="0" applyProtection="0"/>
    <xf numFmtId="0" fontId="1" fillId="58" borderId="104" applyNumberFormat="0" applyFont="0" applyAlignment="0" applyProtection="0"/>
    <xf numFmtId="0" fontId="1" fillId="58" borderId="104" applyNumberFormat="0" applyFont="0" applyAlignment="0" applyProtection="0"/>
    <xf numFmtId="165" fontId="1" fillId="0" borderId="0" applyFont="0" applyFill="0" applyBorder="0" applyAlignment="0" applyProtection="0"/>
    <xf numFmtId="0" fontId="1" fillId="0" borderId="0"/>
    <xf numFmtId="0" fontId="1" fillId="6" borderId="0" applyNumberFormat="0" applyBorder="0" applyAlignment="0" applyProtection="0"/>
    <xf numFmtId="0" fontId="1" fillId="9" borderId="0" applyNumberFormat="0" applyBorder="0" applyAlignment="0" applyProtection="0"/>
    <xf numFmtId="0" fontId="1" fillId="26" borderId="0" applyNumberFormat="0" applyBorder="0" applyAlignment="0" applyProtection="0"/>
    <xf numFmtId="0" fontId="1" fillId="9" borderId="0" applyNumberFormat="0" applyBorder="0" applyAlignment="0" applyProtection="0"/>
    <xf numFmtId="0" fontId="1" fillId="6" borderId="0" applyNumberFormat="0" applyBorder="0" applyAlignment="0" applyProtection="0"/>
    <xf numFmtId="0" fontId="1" fillId="26" borderId="0" applyNumberFormat="0" applyBorder="0" applyAlignment="0" applyProtection="0"/>
    <xf numFmtId="0" fontId="1" fillId="9" borderId="0" applyNumberFormat="0" applyBorder="0" applyAlignment="0" applyProtection="0"/>
    <xf numFmtId="0" fontId="1" fillId="58" borderId="104" applyNumberFormat="0" applyFont="0" applyAlignment="0" applyProtection="0"/>
    <xf numFmtId="0" fontId="1" fillId="23" borderId="0" applyNumberFormat="0" applyBorder="0" applyAlignment="0" applyProtection="0"/>
    <xf numFmtId="0" fontId="1" fillId="23"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58" borderId="104" applyNumberFormat="0" applyFont="0" applyAlignment="0" applyProtection="0"/>
    <xf numFmtId="0" fontId="1" fillId="6" borderId="0" applyNumberFormat="0" applyBorder="0" applyAlignment="0" applyProtection="0"/>
    <xf numFmtId="0" fontId="1" fillId="9" borderId="0" applyNumberFormat="0" applyBorder="0" applyAlignment="0" applyProtection="0"/>
    <xf numFmtId="0" fontId="1" fillId="6" borderId="0" applyNumberFormat="0" applyBorder="0" applyAlignment="0" applyProtection="0"/>
    <xf numFmtId="0" fontId="1" fillId="60" borderId="0" applyNumberFormat="0" applyBorder="0" applyAlignment="0" applyProtection="0"/>
    <xf numFmtId="0" fontId="1" fillId="61" borderId="0" applyNumberFormat="0" applyBorder="0" applyAlignment="0" applyProtection="0"/>
    <xf numFmtId="0" fontId="1" fillId="3" borderId="0" applyNumberFormat="0" applyBorder="0" applyAlignment="0" applyProtection="0"/>
    <xf numFmtId="0" fontId="1" fillId="64" borderId="0" applyNumberFormat="0" applyBorder="0" applyAlignment="0" applyProtection="0"/>
    <xf numFmtId="0" fontId="1" fillId="65" borderId="0" applyNumberFormat="0" applyBorder="0" applyAlignment="0" applyProtection="0"/>
    <xf numFmtId="0" fontId="1" fillId="68" borderId="0" applyNumberFormat="0" applyBorder="0" applyAlignment="0" applyProtection="0"/>
    <xf numFmtId="0" fontId="1" fillId="69" borderId="0" applyNumberFormat="0" applyBorder="0" applyAlignment="0" applyProtection="0"/>
    <xf numFmtId="0" fontId="1" fillId="26" borderId="0" applyNumberFormat="0" applyBorder="0" applyAlignment="0" applyProtection="0"/>
    <xf numFmtId="0" fontId="1" fillId="72" borderId="0" applyNumberFormat="0" applyBorder="0" applyAlignment="0" applyProtection="0"/>
    <xf numFmtId="0" fontId="1" fillId="73" borderId="0" applyNumberFormat="0" applyBorder="0" applyAlignment="0" applyProtection="0"/>
    <xf numFmtId="0" fontId="1" fillId="9" borderId="0" applyNumberFormat="0" applyBorder="0" applyAlignment="0" applyProtection="0"/>
    <xf numFmtId="0" fontId="1" fillId="76" borderId="0" applyNumberFormat="0" applyBorder="0" applyAlignment="0" applyProtection="0"/>
    <xf numFmtId="0" fontId="1" fillId="77" borderId="0" applyNumberFormat="0" applyBorder="0" applyAlignment="0" applyProtection="0"/>
    <xf numFmtId="0" fontId="1" fillId="6" borderId="0" applyNumberFormat="0" applyBorder="0" applyAlignment="0" applyProtection="0"/>
    <xf numFmtId="0" fontId="1" fillId="80" borderId="0" applyNumberFormat="0" applyBorder="0" applyAlignment="0" applyProtection="0"/>
    <xf numFmtId="0" fontId="1" fillId="81" borderId="0" applyNumberFormat="0" applyBorder="0" applyAlignment="0" applyProtection="0"/>
    <xf numFmtId="0" fontId="1" fillId="58" borderId="104" applyNumberFormat="0" applyFont="0" applyAlignment="0" applyProtection="0"/>
    <xf numFmtId="0" fontId="1" fillId="58" borderId="104" applyNumberFormat="0" applyFont="0" applyAlignment="0" applyProtection="0"/>
    <xf numFmtId="0" fontId="1" fillId="60" borderId="0" applyNumberFormat="0" applyBorder="0" applyAlignment="0" applyProtection="0"/>
    <xf numFmtId="0" fontId="1" fillId="61" borderId="0" applyNumberFormat="0" applyBorder="0" applyAlignment="0" applyProtection="0"/>
    <xf numFmtId="0" fontId="1" fillId="64" borderId="0" applyNumberFormat="0" applyBorder="0" applyAlignment="0" applyProtection="0"/>
    <xf numFmtId="0" fontId="1" fillId="65" borderId="0" applyNumberFormat="0" applyBorder="0" applyAlignment="0" applyProtection="0"/>
    <xf numFmtId="0" fontId="1" fillId="68" borderId="0" applyNumberFormat="0" applyBorder="0" applyAlignment="0" applyProtection="0"/>
    <xf numFmtId="0" fontId="1" fillId="69" borderId="0" applyNumberFormat="0" applyBorder="0" applyAlignment="0" applyProtection="0"/>
    <xf numFmtId="0" fontId="1" fillId="72" borderId="0" applyNumberFormat="0" applyBorder="0" applyAlignment="0" applyProtection="0"/>
    <xf numFmtId="0" fontId="1" fillId="73" borderId="0" applyNumberFormat="0" applyBorder="0" applyAlignment="0" applyProtection="0"/>
    <xf numFmtId="0" fontId="1" fillId="76" borderId="0" applyNumberFormat="0" applyBorder="0" applyAlignment="0" applyProtection="0"/>
    <xf numFmtId="0" fontId="1" fillId="77" borderId="0" applyNumberFormat="0" applyBorder="0" applyAlignment="0" applyProtection="0"/>
    <xf numFmtId="0" fontId="1" fillId="80" borderId="0" applyNumberFormat="0" applyBorder="0" applyAlignment="0" applyProtection="0"/>
    <xf numFmtId="0" fontId="1" fillId="81" borderId="0" applyNumberFormat="0" applyBorder="0" applyAlignment="0" applyProtection="0"/>
    <xf numFmtId="0" fontId="1" fillId="6" borderId="0" applyNumberFormat="0" applyBorder="0" applyAlignment="0" applyProtection="0"/>
    <xf numFmtId="0" fontId="1" fillId="60" borderId="0" applyNumberFormat="0" applyBorder="0" applyAlignment="0" applyProtection="0"/>
    <xf numFmtId="0" fontId="1" fillId="61" borderId="0" applyNumberFormat="0" applyBorder="0" applyAlignment="0" applyProtection="0"/>
    <xf numFmtId="0" fontId="1" fillId="64" borderId="0" applyNumberFormat="0" applyBorder="0" applyAlignment="0" applyProtection="0"/>
    <xf numFmtId="0" fontId="1" fillId="65" borderId="0" applyNumberFormat="0" applyBorder="0" applyAlignment="0" applyProtection="0"/>
    <xf numFmtId="0" fontId="1" fillId="68" borderId="0" applyNumberFormat="0" applyBorder="0" applyAlignment="0" applyProtection="0"/>
    <xf numFmtId="0" fontId="1" fillId="69" borderId="0" applyNumberFormat="0" applyBorder="0" applyAlignment="0" applyProtection="0"/>
    <xf numFmtId="0" fontId="1" fillId="72" borderId="0" applyNumberFormat="0" applyBorder="0" applyAlignment="0" applyProtection="0"/>
    <xf numFmtId="0" fontId="1" fillId="73" borderId="0" applyNumberFormat="0" applyBorder="0" applyAlignment="0" applyProtection="0"/>
    <xf numFmtId="0" fontId="1" fillId="76" borderId="0" applyNumberFormat="0" applyBorder="0" applyAlignment="0" applyProtection="0"/>
    <xf numFmtId="0" fontId="1" fillId="77" borderId="0" applyNumberFormat="0" applyBorder="0" applyAlignment="0" applyProtection="0"/>
    <xf numFmtId="0" fontId="1" fillId="80" borderId="0" applyNumberFormat="0" applyBorder="0" applyAlignment="0" applyProtection="0"/>
    <xf numFmtId="0" fontId="1" fillId="81" borderId="0" applyNumberFormat="0" applyBorder="0" applyAlignment="0" applyProtection="0"/>
    <xf numFmtId="0" fontId="1" fillId="58" borderId="104" applyNumberFormat="0" applyFont="0" applyAlignment="0" applyProtection="0"/>
    <xf numFmtId="0" fontId="1" fillId="26" borderId="0" applyNumberFormat="0" applyBorder="0" applyAlignment="0" applyProtection="0"/>
    <xf numFmtId="0" fontId="1" fillId="60" borderId="0" applyNumberFormat="0" applyBorder="0" applyAlignment="0" applyProtection="0"/>
    <xf numFmtId="0" fontId="1" fillId="61" borderId="0" applyNumberFormat="0" applyBorder="0" applyAlignment="0" applyProtection="0"/>
    <xf numFmtId="0" fontId="1" fillId="64" borderId="0" applyNumberFormat="0" applyBorder="0" applyAlignment="0" applyProtection="0"/>
    <xf numFmtId="0" fontId="1" fillId="65" borderId="0" applyNumberFormat="0" applyBorder="0" applyAlignment="0" applyProtection="0"/>
    <xf numFmtId="0" fontId="1" fillId="68" borderId="0" applyNumberFormat="0" applyBorder="0" applyAlignment="0" applyProtection="0"/>
    <xf numFmtId="0" fontId="1" fillId="69" borderId="0" applyNumberFormat="0" applyBorder="0" applyAlignment="0" applyProtection="0"/>
    <xf numFmtId="0" fontId="1" fillId="72" borderId="0" applyNumberFormat="0" applyBorder="0" applyAlignment="0" applyProtection="0"/>
    <xf numFmtId="0" fontId="1" fillId="73" borderId="0" applyNumberFormat="0" applyBorder="0" applyAlignment="0" applyProtection="0"/>
    <xf numFmtId="0" fontId="1" fillId="76" borderId="0" applyNumberFormat="0" applyBorder="0" applyAlignment="0" applyProtection="0"/>
    <xf numFmtId="0" fontId="1" fillId="77" borderId="0" applyNumberFormat="0" applyBorder="0" applyAlignment="0" applyProtection="0"/>
    <xf numFmtId="0" fontId="1" fillId="80" borderId="0" applyNumberFormat="0" applyBorder="0" applyAlignment="0" applyProtection="0"/>
    <xf numFmtId="0" fontId="1" fillId="81" borderId="0" applyNumberFormat="0" applyBorder="0" applyAlignment="0" applyProtection="0"/>
    <xf numFmtId="0" fontId="1" fillId="58" borderId="104" applyNumberFormat="0" applyFont="0" applyAlignment="0" applyProtection="0"/>
    <xf numFmtId="0" fontId="1" fillId="58" borderId="104" applyNumberFormat="0" applyFont="0" applyAlignment="0" applyProtection="0"/>
    <xf numFmtId="0" fontId="1" fillId="60" borderId="0" applyNumberFormat="0" applyBorder="0" applyAlignment="0" applyProtection="0"/>
    <xf numFmtId="0" fontId="1" fillId="61" borderId="0" applyNumberFormat="0" applyBorder="0" applyAlignment="0" applyProtection="0"/>
    <xf numFmtId="0" fontId="1" fillId="64" borderId="0" applyNumberFormat="0" applyBorder="0" applyAlignment="0" applyProtection="0"/>
    <xf numFmtId="0" fontId="1" fillId="65" borderId="0" applyNumberFormat="0" applyBorder="0" applyAlignment="0" applyProtection="0"/>
    <xf numFmtId="0" fontId="1" fillId="68" borderId="0" applyNumberFormat="0" applyBorder="0" applyAlignment="0" applyProtection="0"/>
    <xf numFmtId="0" fontId="1" fillId="69" borderId="0" applyNumberFormat="0" applyBorder="0" applyAlignment="0" applyProtection="0"/>
    <xf numFmtId="0" fontId="1" fillId="72" borderId="0" applyNumberFormat="0" applyBorder="0" applyAlignment="0" applyProtection="0"/>
    <xf numFmtId="0" fontId="1" fillId="73" borderId="0" applyNumberFormat="0" applyBorder="0" applyAlignment="0" applyProtection="0"/>
    <xf numFmtId="0" fontId="1" fillId="76" borderId="0" applyNumberFormat="0" applyBorder="0" applyAlignment="0" applyProtection="0"/>
    <xf numFmtId="0" fontId="1" fillId="77" borderId="0" applyNumberFormat="0" applyBorder="0" applyAlignment="0" applyProtection="0"/>
    <xf numFmtId="0" fontId="1" fillId="80" borderId="0" applyNumberFormat="0" applyBorder="0" applyAlignment="0" applyProtection="0"/>
    <xf numFmtId="0" fontId="1" fillId="81" borderId="0" applyNumberFormat="0" applyBorder="0" applyAlignment="0" applyProtection="0"/>
    <xf numFmtId="0" fontId="1" fillId="60" borderId="0" applyNumberFormat="0" applyBorder="0" applyAlignment="0" applyProtection="0"/>
    <xf numFmtId="0" fontId="1" fillId="61" borderId="0" applyNumberFormat="0" applyBorder="0" applyAlignment="0" applyProtection="0"/>
    <xf numFmtId="0" fontId="1" fillId="64" borderId="0" applyNumberFormat="0" applyBorder="0" applyAlignment="0" applyProtection="0"/>
    <xf numFmtId="0" fontId="1" fillId="65" borderId="0" applyNumberFormat="0" applyBorder="0" applyAlignment="0" applyProtection="0"/>
    <xf numFmtId="0" fontId="1" fillId="68" borderId="0" applyNumberFormat="0" applyBorder="0" applyAlignment="0" applyProtection="0"/>
    <xf numFmtId="0" fontId="1" fillId="69" borderId="0" applyNumberFormat="0" applyBorder="0" applyAlignment="0" applyProtection="0"/>
    <xf numFmtId="0" fontId="1" fillId="72" borderId="0" applyNumberFormat="0" applyBorder="0" applyAlignment="0" applyProtection="0"/>
    <xf numFmtId="0" fontId="1" fillId="73" borderId="0" applyNumberFormat="0" applyBorder="0" applyAlignment="0" applyProtection="0"/>
    <xf numFmtId="0" fontId="1" fillId="76" borderId="0" applyNumberFormat="0" applyBorder="0" applyAlignment="0" applyProtection="0"/>
    <xf numFmtId="0" fontId="1" fillId="77" borderId="0" applyNumberFormat="0" applyBorder="0" applyAlignment="0" applyProtection="0"/>
    <xf numFmtId="0" fontId="1" fillId="80" borderId="0" applyNumberFormat="0" applyBorder="0" applyAlignment="0" applyProtection="0"/>
    <xf numFmtId="0" fontId="1" fillId="81" borderId="0" applyNumberFormat="0" applyBorder="0" applyAlignment="0" applyProtection="0"/>
    <xf numFmtId="0" fontId="1" fillId="58" borderId="104" applyNumberFormat="0" applyFont="0" applyAlignment="0" applyProtection="0"/>
    <xf numFmtId="0" fontId="1" fillId="60" borderId="0" applyNumberFormat="0" applyBorder="0" applyAlignment="0" applyProtection="0"/>
    <xf numFmtId="0" fontId="1" fillId="61" borderId="0" applyNumberFormat="0" applyBorder="0" applyAlignment="0" applyProtection="0"/>
    <xf numFmtId="0" fontId="1" fillId="64" borderId="0" applyNumberFormat="0" applyBorder="0" applyAlignment="0" applyProtection="0"/>
    <xf numFmtId="0" fontId="1" fillId="65" borderId="0" applyNumberFormat="0" applyBorder="0" applyAlignment="0" applyProtection="0"/>
    <xf numFmtId="0" fontId="1" fillId="68" borderId="0" applyNumberFormat="0" applyBorder="0" applyAlignment="0" applyProtection="0"/>
    <xf numFmtId="0" fontId="1" fillId="69" borderId="0" applyNumberFormat="0" applyBorder="0" applyAlignment="0" applyProtection="0"/>
    <xf numFmtId="0" fontId="1" fillId="72" borderId="0" applyNumberFormat="0" applyBorder="0" applyAlignment="0" applyProtection="0"/>
    <xf numFmtId="0" fontId="1" fillId="73" borderId="0" applyNumberFormat="0" applyBorder="0" applyAlignment="0" applyProtection="0"/>
    <xf numFmtId="0" fontId="1" fillId="76" borderId="0" applyNumberFormat="0" applyBorder="0" applyAlignment="0" applyProtection="0"/>
    <xf numFmtId="0" fontId="1" fillId="77" borderId="0" applyNumberFormat="0" applyBorder="0" applyAlignment="0" applyProtection="0"/>
    <xf numFmtId="0" fontId="1" fillId="80" borderId="0" applyNumberFormat="0" applyBorder="0" applyAlignment="0" applyProtection="0"/>
    <xf numFmtId="0" fontId="1" fillId="81" borderId="0" applyNumberFormat="0" applyBorder="0" applyAlignment="0" applyProtection="0"/>
    <xf numFmtId="0" fontId="1" fillId="58" borderId="104" applyNumberFormat="0" applyFont="0" applyAlignment="0" applyProtection="0"/>
    <xf numFmtId="0" fontId="1" fillId="58" borderId="104" applyNumberFormat="0" applyFont="0" applyAlignment="0" applyProtection="0"/>
    <xf numFmtId="0" fontId="1" fillId="60" borderId="0" applyNumberFormat="0" applyBorder="0" applyAlignment="0" applyProtection="0"/>
    <xf numFmtId="0" fontId="1" fillId="61" borderId="0" applyNumberFormat="0" applyBorder="0" applyAlignment="0" applyProtection="0"/>
    <xf numFmtId="0" fontId="1" fillId="64" borderId="0" applyNumberFormat="0" applyBorder="0" applyAlignment="0" applyProtection="0"/>
    <xf numFmtId="0" fontId="1" fillId="65" borderId="0" applyNumberFormat="0" applyBorder="0" applyAlignment="0" applyProtection="0"/>
    <xf numFmtId="0" fontId="1" fillId="68" borderId="0" applyNumberFormat="0" applyBorder="0" applyAlignment="0" applyProtection="0"/>
    <xf numFmtId="0" fontId="1" fillId="69" borderId="0" applyNumberFormat="0" applyBorder="0" applyAlignment="0" applyProtection="0"/>
    <xf numFmtId="0" fontId="1" fillId="72" borderId="0" applyNumberFormat="0" applyBorder="0" applyAlignment="0" applyProtection="0"/>
    <xf numFmtId="0" fontId="1" fillId="73" borderId="0" applyNumberFormat="0" applyBorder="0" applyAlignment="0" applyProtection="0"/>
    <xf numFmtId="0" fontId="1" fillId="76" borderId="0" applyNumberFormat="0" applyBorder="0" applyAlignment="0" applyProtection="0"/>
    <xf numFmtId="0" fontId="1" fillId="77" borderId="0" applyNumberFormat="0" applyBorder="0" applyAlignment="0" applyProtection="0"/>
    <xf numFmtId="0" fontId="1" fillId="80" borderId="0" applyNumberFormat="0" applyBorder="0" applyAlignment="0" applyProtection="0"/>
    <xf numFmtId="0" fontId="1" fillId="81" borderId="0" applyNumberFormat="0" applyBorder="0" applyAlignment="0" applyProtection="0"/>
    <xf numFmtId="0" fontId="1" fillId="60" borderId="0" applyNumberFormat="0" applyBorder="0" applyAlignment="0" applyProtection="0"/>
    <xf numFmtId="0" fontId="1" fillId="61" borderId="0" applyNumberFormat="0" applyBorder="0" applyAlignment="0" applyProtection="0"/>
    <xf numFmtId="0" fontId="1" fillId="64" borderId="0" applyNumberFormat="0" applyBorder="0" applyAlignment="0" applyProtection="0"/>
    <xf numFmtId="0" fontId="1" fillId="65" borderId="0" applyNumberFormat="0" applyBorder="0" applyAlignment="0" applyProtection="0"/>
    <xf numFmtId="0" fontId="1" fillId="68" borderId="0" applyNumberFormat="0" applyBorder="0" applyAlignment="0" applyProtection="0"/>
    <xf numFmtId="0" fontId="1" fillId="69" borderId="0" applyNumberFormat="0" applyBorder="0" applyAlignment="0" applyProtection="0"/>
    <xf numFmtId="0" fontId="1" fillId="72" borderId="0" applyNumberFormat="0" applyBorder="0" applyAlignment="0" applyProtection="0"/>
    <xf numFmtId="0" fontId="1" fillId="73" borderId="0" applyNumberFormat="0" applyBorder="0" applyAlignment="0" applyProtection="0"/>
    <xf numFmtId="0" fontId="1" fillId="76" borderId="0" applyNumberFormat="0" applyBorder="0" applyAlignment="0" applyProtection="0"/>
    <xf numFmtId="0" fontId="1" fillId="77" borderId="0" applyNumberFormat="0" applyBorder="0" applyAlignment="0" applyProtection="0"/>
    <xf numFmtId="0" fontId="1" fillId="80" borderId="0" applyNumberFormat="0" applyBorder="0" applyAlignment="0" applyProtection="0"/>
    <xf numFmtId="0" fontId="1" fillId="81" borderId="0" applyNumberFormat="0" applyBorder="0" applyAlignment="0" applyProtection="0"/>
    <xf numFmtId="0" fontId="1" fillId="58" borderId="104" applyNumberFormat="0" applyFont="0" applyAlignment="0" applyProtection="0"/>
    <xf numFmtId="0" fontId="1" fillId="0" borderId="0"/>
    <xf numFmtId="0" fontId="1" fillId="26" borderId="0" applyNumberFormat="0" applyBorder="0" applyAlignment="0" applyProtection="0"/>
    <xf numFmtId="0" fontId="1" fillId="9" borderId="0" applyNumberFormat="0" applyBorder="0" applyAlignment="0" applyProtection="0"/>
    <xf numFmtId="0" fontId="1" fillId="0" borderId="0"/>
    <xf numFmtId="0" fontId="1" fillId="60" borderId="0" applyNumberFormat="0" applyBorder="0" applyAlignment="0" applyProtection="0"/>
    <xf numFmtId="0" fontId="1" fillId="61" borderId="0" applyNumberFormat="0" applyBorder="0" applyAlignment="0" applyProtection="0"/>
    <xf numFmtId="0" fontId="1" fillId="64" borderId="0" applyNumberFormat="0" applyBorder="0" applyAlignment="0" applyProtection="0"/>
    <xf numFmtId="0" fontId="1" fillId="65" borderId="0" applyNumberFormat="0" applyBorder="0" applyAlignment="0" applyProtection="0"/>
    <xf numFmtId="0" fontId="1" fillId="68" borderId="0" applyNumberFormat="0" applyBorder="0" applyAlignment="0" applyProtection="0"/>
    <xf numFmtId="0" fontId="1" fillId="69" borderId="0" applyNumberFormat="0" applyBorder="0" applyAlignment="0" applyProtection="0"/>
    <xf numFmtId="0" fontId="1" fillId="72" borderId="0" applyNumberFormat="0" applyBorder="0" applyAlignment="0" applyProtection="0"/>
    <xf numFmtId="0" fontId="1" fillId="73" borderId="0" applyNumberFormat="0" applyBorder="0" applyAlignment="0" applyProtection="0"/>
    <xf numFmtId="0" fontId="1" fillId="76" borderId="0" applyNumberFormat="0" applyBorder="0" applyAlignment="0" applyProtection="0"/>
    <xf numFmtId="0" fontId="1" fillId="77" borderId="0" applyNumberFormat="0" applyBorder="0" applyAlignment="0" applyProtection="0"/>
    <xf numFmtId="0" fontId="1" fillId="80" borderId="0" applyNumberFormat="0" applyBorder="0" applyAlignment="0" applyProtection="0"/>
    <xf numFmtId="0" fontId="1" fillId="81" borderId="0" applyNumberFormat="0" applyBorder="0" applyAlignment="0" applyProtection="0"/>
    <xf numFmtId="0" fontId="1" fillId="58" borderId="104" applyNumberFormat="0" applyFont="0" applyAlignment="0" applyProtection="0"/>
    <xf numFmtId="0" fontId="1" fillId="58" borderId="104" applyNumberFormat="0" applyFont="0" applyAlignment="0" applyProtection="0"/>
    <xf numFmtId="0" fontId="1" fillId="60" borderId="0" applyNumberFormat="0" applyBorder="0" applyAlignment="0" applyProtection="0"/>
    <xf numFmtId="0" fontId="1" fillId="61" borderId="0" applyNumberFormat="0" applyBorder="0" applyAlignment="0" applyProtection="0"/>
    <xf numFmtId="0" fontId="1" fillId="64" borderId="0" applyNumberFormat="0" applyBorder="0" applyAlignment="0" applyProtection="0"/>
    <xf numFmtId="0" fontId="1" fillId="65" borderId="0" applyNumberFormat="0" applyBorder="0" applyAlignment="0" applyProtection="0"/>
    <xf numFmtId="0" fontId="1" fillId="68" borderId="0" applyNumberFormat="0" applyBorder="0" applyAlignment="0" applyProtection="0"/>
    <xf numFmtId="0" fontId="1" fillId="69" borderId="0" applyNumberFormat="0" applyBorder="0" applyAlignment="0" applyProtection="0"/>
    <xf numFmtId="0" fontId="1" fillId="72" borderId="0" applyNumberFormat="0" applyBorder="0" applyAlignment="0" applyProtection="0"/>
    <xf numFmtId="0" fontId="1" fillId="73" borderId="0" applyNumberFormat="0" applyBorder="0" applyAlignment="0" applyProtection="0"/>
    <xf numFmtId="0" fontId="1" fillId="76" borderId="0" applyNumberFormat="0" applyBorder="0" applyAlignment="0" applyProtection="0"/>
    <xf numFmtId="0" fontId="1" fillId="77" borderId="0" applyNumberFormat="0" applyBorder="0" applyAlignment="0" applyProtection="0"/>
    <xf numFmtId="0" fontId="1" fillId="80" borderId="0" applyNumberFormat="0" applyBorder="0" applyAlignment="0" applyProtection="0"/>
    <xf numFmtId="0" fontId="1" fillId="81" borderId="0" applyNumberFormat="0" applyBorder="0" applyAlignment="0" applyProtection="0"/>
    <xf numFmtId="0" fontId="1" fillId="60" borderId="0" applyNumberFormat="0" applyBorder="0" applyAlignment="0" applyProtection="0"/>
    <xf numFmtId="0" fontId="1" fillId="61" borderId="0" applyNumberFormat="0" applyBorder="0" applyAlignment="0" applyProtection="0"/>
    <xf numFmtId="0" fontId="1" fillId="64" borderId="0" applyNumberFormat="0" applyBorder="0" applyAlignment="0" applyProtection="0"/>
    <xf numFmtId="0" fontId="1" fillId="65" borderId="0" applyNumberFormat="0" applyBorder="0" applyAlignment="0" applyProtection="0"/>
    <xf numFmtId="0" fontId="1" fillId="68" borderId="0" applyNumberFormat="0" applyBorder="0" applyAlignment="0" applyProtection="0"/>
    <xf numFmtId="0" fontId="1" fillId="69" borderId="0" applyNumberFormat="0" applyBorder="0" applyAlignment="0" applyProtection="0"/>
    <xf numFmtId="0" fontId="1" fillId="72" borderId="0" applyNumberFormat="0" applyBorder="0" applyAlignment="0" applyProtection="0"/>
    <xf numFmtId="0" fontId="1" fillId="73" borderId="0" applyNumberFormat="0" applyBorder="0" applyAlignment="0" applyProtection="0"/>
    <xf numFmtId="0" fontId="1" fillId="76" borderId="0" applyNumberFormat="0" applyBorder="0" applyAlignment="0" applyProtection="0"/>
    <xf numFmtId="0" fontId="1" fillId="77" borderId="0" applyNumberFormat="0" applyBorder="0" applyAlignment="0" applyProtection="0"/>
    <xf numFmtId="0" fontId="1" fillId="80" borderId="0" applyNumberFormat="0" applyBorder="0" applyAlignment="0" applyProtection="0"/>
    <xf numFmtId="0" fontId="1" fillId="81" borderId="0" applyNumberFormat="0" applyBorder="0" applyAlignment="0" applyProtection="0"/>
    <xf numFmtId="0" fontId="1" fillId="58" borderId="104" applyNumberFormat="0" applyFont="0" applyAlignment="0" applyProtection="0"/>
    <xf numFmtId="0" fontId="1" fillId="60" borderId="0" applyNumberFormat="0" applyBorder="0" applyAlignment="0" applyProtection="0"/>
    <xf numFmtId="0" fontId="1" fillId="61" borderId="0" applyNumberFormat="0" applyBorder="0" applyAlignment="0" applyProtection="0"/>
    <xf numFmtId="0" fontId="1" fillId="64" borderId="0" applyNumberFormat="0" applyBorder="0" applyAlignment="0" applyProtection="0"/>
    <xf numFmtId="0" fontId="1" fillId="65" borderId="0" applyNumberFormat="0" applyBorder="0" applyAlignment="0" applyProtection="0"/>
    <xf numFmtId="0" fontId="1" fillId="68" borderId="0" applyNumberFormat="0" applyBorder="0" applyAlignment="0" applyProtection="0"/>
    <xf numFmtId="0" fontId="1" fillId="69" borderId="0" applyNumberFormat="0" applyBorder="0" applyAlignment="0" applyProtection="0"/>
    <xf numFmtId="0" fontId="1" fillId="72" borderId="0" applyNumberFormat="0" applyBorder="0" applyAlignment="0" applyProtection="0"/>
    <xf numFmtId="0" fontId="1" fillId="73" borderId="0" applyNumberFormat="0" applyBorder="0" applyAlignment="0" applyProtection="0"/>
    <xf numFmtId="0" fontId="1" fillId="76" borderId="0" applyNumberFormat="0" applyBorder="0" applyAlignment="0" applyProtection="0"/>
    <xf numFmtId="0" fontId="1" fillId="77" borderId="0" applyNumberFormat="0" applyBorder="0" applyAlignment="0" applyProtection="0"/>
    <xf numFmtId="0" fontId="1" fillId="80" borderId="0" applyNumberFormat="0" applyBorder="0" applyAlignment="0" applyProtection="0"/>
    <xf numFmtId="0" fontId="1" fillId="81" borderId="0" applyNumberFormat="0" applyBorder="0" applyAlignment="0" applyProtection="0"/>
    <xf numFmtId="0" fontId="1" fillId="58" borderId="104" applyNumberFormat="0" applyFont="0" applyAlignment="0" applyProtection="0"/>
    <xf numFmtId="0" fontId="1" fillId="58" borderId="104" applyNumberFormat="0" applyFont="0" applyAlignment="0" applyProtection="0"/>
    <xf numFmtId="0" fontId="1" fillId="60" borderId="0" applyNumberFormat="0" applyBorder="0" applyAlignment="0" applyProtection="0"/>
    <xf numFmtId="0" fontId="1" fillId="61" borderId="0" applyNumberFormat="0" applyBorder="0" applyAlignment="0" applyProtection="0"/>
    <xf numFmtId="0" fontId="1" fillId="64" borderId="0" applyNumberFormat="0" applyBorder="0" applyAlignment="0" applyProtection="0"/>
    <xf numFmtId="0" fontId="1" fillId="65" borderId="0" applyNumberFormat="0" applyBorder="0" applyAlignment="0" applyProtection="0"/>
    <xf numFmtId="0" fontId="1" fillId="68" borderId="0" applyNumberFormat="0" applyBorder="0" applyAlignment="0" applyProtection="0"/>
    <xf numFmtId="0" fontId="1" fillId="69" borderId="0" applyNumberFormat="0" applyBorder="0" applyAlignment="0" applyProtection="0"/>
    <xf numFmtId="0" fontId="1" fillId="72" borderId="0" applyNumberFormat="0" applyBorder="0" applyAlignment="0" applyProtection="0"/>
    <xf numFmtId="0" fontId="1" fillId="73" borderId="0" applyNumberFormat="0" applyBorder="0" applyAlignment="0" applyProtection="0"/>
    <xf numFmtId="0" fontId="1" fillId="76" borderId="0" applyNumberFormat="0" applyBorder="0" applyAlignment="0" applyProtection="0"/>
    <xf numFmtId="0" fontId="1" fillId="77" borderId="0" applyNumberFormat="0" applyBorder="0" applyAlignment="0" applyProtection="0"/>
    <xf numFmtId="0" fontId="1" fillId="80" borderId="0" applyNumberFormat="0" applyBorder="0" applyAlignment="0" applyProtection="0"/>
    <xf numFmtId="0" fontId="1" fillId="81" borderId="0" applyNumberFormat="0" applyBorder="0" applyAlignment="0" applyProtection="0"/>
    <xf numFmtId="0" fontId="1" fillId="60" borderId="0" applyNumberFormat="0" applyBorder="0" applyAlignment="0" applyProtection="0"/>
    <xf numFmtId="0" fontId="1" fillId="61" borderId="0" applyNumberFormat="0" applyBorder="0" applyAlignment="0" applyProtection="0"/>
    <xf numFmtId="0" fontId="1" fillId="64" borderId="0" applyNumberFormat="0" applyBorder="0" applyAlignment="0" applyProtection="0"/>
    <xf numFmtId="0" fontId="1" fillId="65" borderId="0" applyNumberFormat="0" applyBorder="0" applyAlignment="0" applyProtection="0"/>
    <xf numFmtId="0" fontId="1" fillId="68" borderId="0" applyNumberFormat="0" applyBorder="0" applyAlignment="0" applyProtection="0"/>
    <xf numFmtId="0" fontId="1" fillId="69" borderId="0" applyNumberFormat="0" applyBorder="0" applyAlignment="0" applyProtection="0"/>
    <xf numFmtId="0" fontId="1" fillId="72" borderId="0" applyNumberFormat="0" applyBorder="0" applyAlignment="0" applyProtection="0"/>
    <xf numFmtId="0" fontId="1" fillId="73" borderId="0" applyNumberFormat="0" applyBorder="0" applyAlignment="0" applyProtection="0"/>
    <xf numFmtId="0" fontId="1" fillId="76" borderId="0" applyNumberFormat="0" applyBorder="0" applyAlignment="0" applyProtection="0"/>
    <xf numFmtId="0" fontId="1" fillId="77" borderId="0" applyNumberFormat="0" applyBorder="0" applyAlignment="0" applyProtection="0"/>
    <xf numFmtId="0" fontId="1" fillId="80" borderId="0" applyNumberFormat="0" applyBorder="0" applyAlignment="0" applyProtection="0"/>
    <xf numFmtId="0" fontId="1" fillId="81" borderId="0" applyNumberFormat="0" applyBorder="0" applyAlignment="0" applyProtection="0"/>
    <xf numFmtId="0" fontId="1" fillId="58" borderId="104" applyNumberFormat="0" applyFont="0" applyAlignment="0" applyProtection="0"/>
    <xf numFmtId="0" fontId="1" fillId="60" borderId="0" applyNumberFormat="0" applyBorder="0" applyAlignment="0" applyProtection="0"/>
    <xf numFmtId="0" fontId="1" fillId="61" borderId="0" applyNumberFormat="0" applyBorder="0" applyAlignment="0" applyProtection="0"/>
    <xf numFmtId="0" fontId="1" fillId="64" borderId="0" applyNumberFormat="0" applyBorder="0" applyAlignment="0" applyProtection="0"/>
    <xf numFmtId="0" fontId="1" fillId="65" borderId="0" applyNumberFormat="0" applyBorder="0" applyAlignment="0" applyProtection="0"/>
    <xf numFmtId="0" fontId="1" fillId="68" borderId="0" applyNumberFormat="0" applyBorder="0" applyAlignment="0" applyProtection="0"/>
    <xf numFmtId="0" fontId="1" fillId="69" borderId="0" applyNumberFormat="0" applyBorder="0" applyAlignment="0" applyProtection="0"/>
    <xf numFmtId="0" fontId="1" fillId="72" borderId="0" applyNumberFormat="0" applyBorder="0" applyAlignment="0" applyProtection="0"/>
    <xf numFmtId="0" fontId="1" fillId="73" borderId="0" applyNumberFormat="0" applyBorder="0" applyAlignment="0" applyProtection="0"/>
    <xf numFmtId="0" fontId="1" fillId="76" borderId="0" applyNumberFormat="0" applyBorder="0" applyAlignment="0" applyProtection="0"/>
    <xf numFmtId="0" fontId="1" fillId="77" borderId="0" applyNumberFormat="0" applyBorder="0" applyAlignment="0" applyProtection="0"/>
    <xf numFmtId="0" fontId="1" fillId="80" borderId="0" applyNumberFormat="0" applyBorder="0" applyAlignment="0" applyProtection="0"/>
    <xf numFmtId="0" fontId="1" fillId="81" borderId="0" applyNumberFormat="0" applyBorder="0" applyAlignment="0" applyProtection="0"/>
    <xf numFmtId="0" fontId="1" fillId="58" borderId="104" applyNumberFormat="0" applyFont="0" applyAlignment="0" applyProtection="0"/>
    <xf numFmtId="0" fontId="1" fillId="58" borderId="104" applyNumberFormat="0" applyFont="0" applyAlignment="0" applyProtection="0"/>
    <xf numFmtId="0" fontId="1" fillId="60" borderId="0" applyNumberFormat="0" applyBorder="0" applyAlignment="0" applyProtection="0"/>
    <xf numFmtId="0" fontId="1" fillId="61" borderId="0" applyNumberFormat="0" applyBorder="0" applyAlignment="0" applyProtection="0"/>
    <xf numFmtId="0" fontId="1" fillId="64" borderId="0" applyNumberFormat="0" applyBorder="0" applyAlignment="0" applyProtection="0"/>
    <xf numFmtId="0" fontId="1" fillId="65" borderId="0" applyNumberFormat="0" applyBorder="0" applyAlignment="0" applyProtection="0"/>
    <xf numFmtId="0" fontId="1" fillId="68" borderId="0" applyNumberFormat="0" applyBorder="0" applyAlignment="0" applyProtection="0"/>
    <xf numFmtId="0" fontId="1" fillId="69" borderId="0" applyNumberFormat="0" applyBorder="0" applyAlignment="0" applyProtection="0"/>
    <xf numFmtId="0" fontId="1" fillId="72" borderId="0" applyNumberFormat="0" applyBorder="0" applyAlignment="0" applyProtection="0"/>
    <xf numFmtId="0" fontId="1" fillId="73" borderId="0" applyNumberFormat="0" applyBorder="0" applyAlignment="0" applyProtection="0"/>
    <xf numFmtId="0" fontId="1" fillId="76" borderId="0" applyNumberFormat="0" applyBorder="0" applyAlignment="0" applyProtection="0"/>
    <xf numFmtId="0" fontId="1" fillId="77" borderId="0" applyNumberFormat="0" applyBorder="0" applyAlignment="0" applyProtection="0"/>
    <xf numFmtId="0" fontId="1" fillId="80" borderId="0" applyNumberFormat="0" applyBorder="0" applyAlignment="0" applyProtection="0"/>
    <xf numFmtId="0" fontId="1" fillId="81" borderId="0" applyNumberFormat="0" applyBorder="0" applyAlignment="0" applyProtection="0"/>
    <xf numFmtId="0" fontId="1" fillId="60" borderId="0" applyNumberFormat="0" applyBorder="0" applyAlignment="0" applyProtection="0"/>
    <xf numFmtId="0" fontId="1" fillId="61" borderId="0" applyNumberFormat="0" applyBorder="0" applyAlignment="0" applyProtection="0"/>
    <xf numFmtId="0" fontId="1" fillId="64" borderId="0" applyNumberFormat="0" applyBorder="0" applyAlignment="0" applyProtection="0"/>
    <xf numFmtId="0" fontId="1" fillId="65" borderId="0" applyNumberFormat="0" applyBorder="0" applyAlignment="0" applyProtection="0"/>
    <xf numFmtId="0" fontId="1" fillId="68" borderId="0" applyNumberFormat="0" applyBorder="0" applyAlignment="0" applyProtection="0"/>
    <xf numFmtId="0" fontId="1" fillId="69" borderId="0" applyNumberFormat="0" applyBorder="0" applyAlignment="0" applyProtection="0"/>
    <xf numFmtId="0" fontId="1" fillId="72" borderId="0" applyNumberFormat="0" applyBorder="0" applyAlignment="0" applyProtection="0"/>
    <xf numFmtId="0" fontId="1" fillId="73" borderId="0" applyNumberFormat="0" applyBorder="0" applyAlignment="0" applyProtection="0"/>
    <xf numFmtId="0" fontId="1" fillId="76" borderId="0" applyNumberFormat="0" applyBorder="0" applyAlignment="0" applyProtection="0"/>
    <xf numFmtId="0" fontId="1" fillId="77" borderId="0" applyNumberFormat="0" applyBorder="0" applyAlignment="0" applyProtection="0"/>
    <xf numFmtId="0" fontId="1" fillId="80" borderId="0" applyNumberFormat="0" applyBorder="0" applyAlignment="0" applyProtection="0"/>
    <xf numFmtId="0" fontId="1" fillId="81" borderId="0" applyNumberFormat="0" applyBorder="0" applyAlignment="0" applyProtection="0"/>
    <xf numFmtId="0" fontId="1" fillId="58" borderId="104" applyNumberFormat="0" applyFont="0" applyAlignment="0" applyProtection="0"/>
    <xf numFmtId="0" fontId="1" fillId="26" borderId="0" applyNumberFormat="0" applyBorder="0" applyAlignment="0" applyProtection="0"/>
    <xf numFmtId="0" fontId="1" fillId="60" borderId="0" applyNumberFormat="0" applyBorder="0" applyAlignment="0" applyProtection="0"/>
    <xf numFmtId="0" fontId="1" fillId="60" borderId="0" applyNumberFormat="0" applyBorder="0" applyAlignment="0" applyProtection="0"/>
    <xf numFmtId="0" fontId="1" fillId="60" borderId="0" applyNumberFormat="0" applyBorder="0" applyAlignment="0" applyProtection="0"/>
    <xf numFmtId="0" fontId="1" fillId="60" borderId="0" applyNumberFormat="0" applyBorder="0" applyAlignment="0" applyProtection="0"/>
    <xf numFmtId="0" fontId="1" fillId="60" borderId="0" applyNumberFormat="0" applyBorder="0" applyAlignment="0" applyProtection="0"/>
    <xf numFmtId="0" fontId="1" fillId="60" borderId="0" applyNumberFormat="0" applyBorder="0" applyAlignment="0" applyProtection="0"/>
    <xf numFmtId="0" fontId="1" fillId="60" borderId="0" applyNumberFormat="0" applyBorder="0" applyAlignment="0" applyProtection="0"/>
    <xf numFmtId="0" fontId="1" fillId="60" borderId="0" applyNumberFormat="0" applyBorder="0" applyAlignment="0" applyProtection="0"/>
    <xf numFmtId="0" fontId="1" fillId="60" borderId="0" applyNumberFormat="0" applyBorder="0" applyAlignment="0" applyProtection="0"/>
    <xf numFmtId="0" fontId="1" fillId="64" borderId="0" applyNumberFormat="0" applyBorder="0" applyAlignment="0" applyProtection="0"/>
    <xf numFmtId="0" fontId="1" fillId="64" borderId="0" applyNumberFormat="0" applyBorder="0" applyAlignment="0" applyProtection="0"/>
    <xf numFmtId="0" fontId="1" fillId="64" borderId="0" applyNumberFormat="0" applyBorder="0" applyAlignment="0" applyProtection="0"/>
    <xf numFmtId="0" fontId="1" fillId="64" borderId="0" applyNumberFormat="0" applyBorder="0" applyAlignment="0" applyProtection="0"/>
    <xf numFmtId="0" fontId="1" fillId="64" borderId="0" applyNumberFormat="0" applyBorder="0" applyAlignment="0" applyProtection="0"/>
    <xf numFmtId="0" fontId="1" fillId="64" borderId="0" applyNumberFormat="0" applyBorder="0" applyAlignment="0" applyProtection="0"/>
    <xf numFmtId="0" fontId="1" fillId="64" borderId="0" applyNumberFormat="0" applyBorder="0" applyAlignment="0" applyProtection="0"/>
    <xf numFmtId="0" fontId="1" fillId="64" borderId="0" applyNumberFormat="0" applyBorder="0" applyAlignment="0" applyProtection="0"/>
    <xf numFmtId="0" fontId="1" fillId="64" borderId="0" applyNumberFormat="0" applyBorder="0" applyAlignment="0" applyProtection="0"/>
    <xf numFmtId="0" fontId="1" fillId="68" borderId="0" applyNumberFormat="0" applyBorder="0" applyAlignment="0" applyProtection="0"/>
    <xf numFmtId="0" fontId="1" fillId="68" borderId="0" applyNumberFormat="0" applyBorder="0" applyAlignment="0" applyProtection="0"/>
    <xf numFmtId="0" fontId="1" fillId="68" borderId="0" applyNumberFormat="0" applyBorder="0" applyAlignment="0" applyProtection="0"/>
    <xf numFmtId="0" fontId="1" fillId="68" borderId="0" applyNumberFormat="0" applyBorder="0" applyAlignment="0" applyProtection="0"/>
    <xf numFmtId="0" fontId="1" fillId="68" borderId="0" applyNumberFormat="0" applyBorder="0" applyAlignment="0" applyProtection="0"/>
    <xf numFmtId="0" fontId="1" fillId="68" borderId="0" applyNumberFormat="0" applyBorder="0" applyAlignment="0" applyProtection="0"/>
    <xf numFmtId="0" fontId="1" fillId="68" borderId="0" applyNumberFormat="0" applyBorder="0" applyAlignment="0" applyProtection="0"/>
    <xf numFmtId="0" fontId="1" fillId="68" borderId="0" applyNumberFormat="0" applyBorder="0" applyAlignment="0" applyProtection="0"/>
    <xf numFmtId="0" fontId="1" fillId="68" borderId="0" applyNumberFormat="0" applyBorder="0" applyAlignment="0" applyProtection="0"/>
    <xf numFmtId="0" fontId="1" fillId="72" borderId="0" applyNumberFormat="0" applyBorder="0" applyAlignment="0" applyProtection="0"/>
    <xf numFmtId="0" fontId="1" fillId="72" borderId="0" applyNumberFormat="0" applyBorder="0" applyAlignment="0" applyProtection="0"/>
    <xf numFmtId="0" fontId="1" fillId="72" borderId="0" applyNumberFormat="0" applyBorder="0" applyAlignment="0" applyProtection="0"/>
    <xf numFmtId="0" fontId="1" fillId="72" borderId="0" applyNumberFormat="0" applyBorder="0" applyAlignment="0" applyProtection="0"/>
    <xf numFmtId="0" fontId="1" fillId="72" borderId="0" applyNumberFormat="0" applyBorder="0" applyAlignment="0" applyProtection="0"/>
    <xf numFmtId="0" fontId="1" fillId="72" borderId="0" applyNumberFormat="0" applyBorder="0" applyAlignment="0" applyProtection="0"/>
    <xf numFmtId="0" fontId="1" fillId="72" borderId="0" applyNumberFormat="0" applyBorder="0" applyAlignment="0" applyProtection="0"/>
    <xf numFmtId="0" fontId="1" fillId="72" borderId="0" applyNumberFormat="0" applyBorder="0" applyAlignment="0" applyProtection="0"/>
    <xf numFmtId="0" fontId="1" fillId="72" borderId="0" applyNumberFormat="0" applyBorder="0" applyAlignment="0" applyProtection="0"/>
    <xf numFmtId="0" fontId="1" fillId="76" borderId="0" applyNumberFormat="0" applyBorder="0" applyAlignment="0" applyProtection="0"/>
    <xf numFmtId="0" fontId="1" fillId="76" borderId="0" applyNumberFormat="0" applyBorder="0" applyAlignment="0" applyProtection="0"/>
    <xf numFmtId="0" fontId="1" fillId="76" borderId="0" applyNumberFormat="0" applyBorder="0" applyAlignment="0" applyProtection="0"/>
    <xf numFmtId="0" fontId="1" fillId="76" borderId="0" applyNumberFormat="0" applyBorder="0" applyAlignment="0" applyProtection="0"/>
    <xf numFmtId="0" fontId="1" fillId="76" borderId="0" applyNumberFormat="0" applyBorder="0" applyAlignment="0" applyProtection="0"/>
    <xf numFmtId="0" fontId="1" fillId="76" borderId="0" applyNumberFormat="0" applyBorder="0" applyAlignment="0" applyProtection="0"/>
    <xf numFmtId="0" fontId="1" fillId="76" borderId="0" applyNumberFormat="0" applyBorder="0" applyAlignment="0" applyProtection="0"/>
    <xf numFmtId="0" fontId="1" fillId="76" borderId="0" applyNumberFormat="0" applyBorder="0" applyAlignment="0" applyProtection="0"/>
    <xf numFmtId="0" fontId="1" fillId="76" borderId="0" applyNumberFormat="0" applyBorder="0" applyAlignment="0" applyProtection="0"/>
    <xf numFmtId="0" fontId="1" fillId="80" borderId="0" applyNumberFormat="0" applyBorder="0" applyAlignment="0" applyProtection="0"/>
    <xf numFmtId="0" fontId="1" fillId="80" borderId="0" applyNumberFormat="0" applyBorder="0" applyAlignment="0" applyProtection="0"/>
    <xf numFmtId="0" fontId="1" fillId="80" borderId="0" applyNumberFormat="0" applyBorder="0" applyAlignment="0" applyProtection="0"/>
    <xf numFmtId="0" fontId="1" fillId="80" borderId="0" applyNumberFormat="0" applyBorder="0" applyAlignment="0" applyProtection="0"/>
    <xf numFmtId="0" fontId="1" fillId="80" borderId="0" applyNumberFormat="0" applyBorder="0" applyAlignment="0" applyProtection="0"/>
    <xf numFmtId="0" fontId="1" fillId="80" borderId="0" applyNumberFormat="0" applyBorder="0" applyAlignment="0" applyProtection="0"/>
    <xf numFmtId="0" fontId="1" fillId="80" borderId="0" applyNumberFormat="0" applyBorder="0" applyAlignment="0" applyProtection="0"/>
    <xf numFmtId="0" fontId="1" fillId="80" borderId="0" applyNumberFormat="0" applyBorder="0" applyAlignment="0" applyProtection="0"/>
    <xf numFmtId="0" fontId="1" fillId="80" borderId="0" applyNumberFormat="0" applyBorder="0" applyAlignment="0" applyProtection="0"/>
    <xf numFmtId="0" fontId="1" fillId="61" borderId="0" applyNumberFormat="0" applyBorder="0" applyAlignment="0" applyProtection="0"/>
    <xf numFmtId="0" fontId="1" fillId="61" borderId="0" applyNumberFormat="0" applyBorder="0" applyAlignment="0" applyProtection="0"/>
    <xf numFmtId="0" fontId="1" fillId="61" borderId="0" applyNumberFormat="0" applyBorder="0" applyAlignment="0" applyProtection="0"/>
    <xf numFmtId="0" fontId="1" fillId="61" borderId="0" applyNumberFormat="0" applyBorder="0" applyAlignment="0" applyProtection="0"/>
    <xf numFmtId="0" fontId="1" fillId="61" borderId="0" applyNumberFormat="0" applyBorder="0" applyAlignment="0" applyProtection="0"/>
    <xf numFmtId="0" fontId="1" fillId="61" borderId="0" applyNumberFormat="0" applyBorder="0" applyAlignment="0" applyProtection="0"/>
    <xf numFmtId="0" fontId="1" fillId="61" borderId="0" applyNumberFormat="0" applyBorder="0" applyAlignment="0" applyProtection="0"/>
    <xf numFmtId="0" fontId="1" fillId="61" borderId="0" applyNumberFormat="0" applyBorder="0" applyAlignment="0" applyProtection="0"/>
    <xf numFmtId="0" fontId="1" fillId="61" borderId="0" applyNumberFormat="0" applyBorder="0" applyAlignment="0" applyProtection="0"/>
    <xf numFmtId="0" fontId="1" fillId="65" borderId="0" applyNumberFormat="0" applyBorder="0" applyAlignment="0" applyProtection="0"/>
    <xf numFmtId="0" fontId="1" fillId="65" borderId="0" applyNumberFormat="0" applyBorder="0" applyAlignment="0" applyProtection="0"/>
    <xf numFmtId="0" fontId="1" fillId="65" borderId="0" applyNumberFormat="0" applyBorder="0" applyAlignment="0" applyProtection="0"/>
    <xf numFmtId="0" fontId="1" fillId="65" borderId="0" applyNumberFormat="0" applyBorder="0" applyAlignment="0" applyProtection="0"/>
    <xf numFmtId="0" fontId="1" fillId="65" borderId="0" applyNumberFormat="0" applyBorder="0" applyAlignment="0" applyProtection="0"/>
    <xf numFmtId="0" fontId="1" fillId="65" borderId="0" applyNumberFormat="0" applyBorder="0" applyAlignment="0" applyProtection="0"/>
    <xf numFmtId="0" fontId="1" fillId="65" borderId="0" applyNumberFormat="0" applyBorder="0" applyAlignment="0" applyProtection="0"/>
    <xf numFmtId="0" fontId="1" fillId="65" borderId="0" applyNumberFormat="0" applyBorder="0" applyAlignment="0" applyProtection="0"/>
    <xf numFmtId="0" fontId="1" fillId="65" borderId="0" applyNumberFormat="0" applyBorder="0" applyAlignment="0" applyProtection="0"/>
    <xf numFmtId="0" fontId="1" fillId="69" borderId="0" applyNumberFormat="0" applyBorder="0" applyAlignment="0" applyProtection="0"/>
    <xf numFmtId="0" fontId="1" fillId="69" borderId="0" applyNumberFormat="0" applyBorder="0" applyAlignment="0" applyProtection="0"/>
    <xf numFmtId="0" fontId="1" fillId="69" borderId="0" applyNumberFormat="0" applyBorder="0" applyAlignment="0" applyProtection="0"/>
    <xf numFmtId="0" fontId="1" fillId="69" borderId="0" applyNumberFormat="0" applyBorder="0" applyAlignment="0" applyProtection="0"/>
    <xf numFmtId="0" fontId="1" fillId="69" borderId="0" applyNumberFormat="0" applyBorder="0" applyAlignment="0" applyProtection="0"/>
    <xf numFmtId="0" fontId="1" fillId="69" borderId="0" applyNumberFormat="0" applyBorder="0" applyAlignment="0" applyProtection="0"/>
    <xf numFmtId="0" fontId="1" fillId="69" borderId="0" applyNumberFormat="0" applyBorder="0" applyAlignment="0" applyProtection="0"/>
    <xf numFmtId="0" fontId="1" fillId="69" borderId="0" applyNumberFormat="0" applyBorder="0" applyAlignment="0" applyProtection="0"/>
    <xf numFmtId="0" fontId="1" fillId="69" borderId="0" applyNumberFormat="0" applyBorder="0" applyAlignment="0" applyProtection="0"/>
    <xf numFmtId="0" fontId="1" fillId="73" borderId="0" applyNumberFormat="0" applyBorder="0" applyAlignment="0" applyProtection="0"/>
    <xf numFmtId="0" fontId="1" fillId="73" borderId="0" applyNumberFormat="0" applyBorder="0" applyAlignment="0" applyProtection="0"/>
    <xf numFmtId="0" fontId="1" fillId="73" borderId="0" applyNumberFormat="0" applyBorder="0" applyAlignment="0" applyProtection="0"/>
    <xf numFmtId="0" fontId="1" fillId="73" borderId="0" applyNumberFormat="0" applyBorder="0" applyAlignment="0" applyProtection="0"/>
    <xf numFmtId="0" fontId="1" fillId="73" borderId="0" applyNumberFormat="0" applyBorder="0" applyAlignment="0" applyProtection="0"/>
    <xf numFmtId="0" fontId="1" fillId="73" borderId="0" applyNumberFormat="0" applyBorder="0" applyAlignment="0" applyProtection="0"/>
    <xf numFmtId="0" fontId="1" fillId="73" borderId="0" applyNumberFormat="0" applyBorder="0" applyAlignment="0" applyProtection="0"/>
    <xf numFmtId="0" fontId="1" fillId="73" borderId="0" applyNumberFormat="0" applyBorder="0" applyAlignment="0" applyProtection="0"/>
    <xf numFmtId="0" fontId="1" fillId="73" borderId="0" applyNumberFormat="0" applyBorder="0" applyAlignment="0" applyProtection="0"/>
    <xf numFmtId="0" fontId="1" fillId="77" borderId="0" applyNumberFormat="0" applyBorder="0" applyAlignment="0" applyProtection="0"/>
    <xf numFmtId="0" fontId="1" fillId="77" borderId="0" applyNumberFormat="0" applyBorder="0" applyAlignment="0" applyProtection="0"/>
    <xf numFmtId="0" fontId="1" fillId="77" borderId="0" applyNumberFormat="0" applyBorder="0" applyAlignment="0" applyProtection="0"/>
    <xf numFmtId="0" fontId="1" fillId="77" borderId="0" applyNumberFormat="0" applyBorder="0" applyAlignment="0" applyProtection="0"/>
    <xf numFmtId="0" fontId="1" fillId="77" borderId="0" applyNumberFormat="0" applyBorder="0" applyAlignment="0" applyProtection="0"/>
    <xf numFmtId="0" fontId="1" fillId="77" borderId="0" applyNumberFormat="0" applyBorder="0" applyAlignment="0" applyProtection="0"/>
    <xf numFmtId="0" fontId="1" fillId="77" borderId="0" applyNumberFormat="0" applyBorder="0" applyAlignment="0" applyProtection="0"/>
    <xf numFmtId="0" fontId="1" fillId="77" borderId="0" applyNumberFormat="0" applyBorder="0" applyAlignment="0" applyProtection="0"/>
    <xf numFmtId="0" fontId="1" fillId="77" borderId="0" applyNumberFormat="0" applyBorder="0" applyAlignment="0" applyProtection="0"/>
    <xf numFmtId="0" fontId="1" fillId="81" borderId="0" applyNumberFormat="0" applyBorder="0" applyAlignment="0" applyProtection="0"/>
    <xf numFmtId="0" fontId="1" fillId="81" borderId="0" applyNumberFormat="0" applyBorder="0" applyAlignment="0" applyProtection="0"/>
    <xf numFmtId="0" fontId="1" fillId="81" borderId="0" applyNumberFormat="0" applyBorder="0" applyAlignment="0" applyProtection="0"/>
    <xf numFmtId="0" fontId="1" fillId="81" borderId="0" applyNumberFormat="0" applyBorder="0" applyAlignment="0" applyProtection="0"/>
    <xf numFmtId="0" fontId="1" fillId="81" borderId="0" applyNumberFormat="0" applyBorder="0" applyAlignment="0" applyProtection="0"/>
    <xf numFmtId="0" fontId="1" fillId="81" borderId="0" applyNumberFormat="0" applyBorder="0" applyAlignment="0" applyProtection="0"/>
    <xf numFmtId="0" fontId="1" fillId="81" borderId="0" applyNumberFormat="0" applyBorder="0" applyAlignment="0" applyProtection="0"/>
    <xf numFmtId="0" fontId="1" fillId="81" borderId="0" applyNumberFormat="0" applyBorder="0" applyAlignment="0" applyProtection="0"/>
    <xf numFmtId="0" fontId="1" fillId="81" borderId="0" applyNumberFormat="0" applyBorder="0" applyAlignment="0" applyProtection="0"/>
    <xf numFmtId="0" fontId="1" fillId="23" borderId="0" applyNumberFormat="0" applyBorder="0" applyAlignment="0" applyProtection="0"/>
    <xf numFmtId="0" fontId="1" fillId="58" borderId="104" applyNumberFormat="0" applyFont="0" applyAlignment="0" applyProtection="0"/>
    <xf numFmtId="0" fontId="1" fillId="58" borderId="104" applyNumberFormat="0" applyFont="0" applyAlignment="0" applyProtection="0"/>
    <xf numFmtId="0" fontId="1" fillId="58" borderId="104" applyNumberFormat="0" applyFont="0" applyAlignment="0" applyProtection="0"/>
    <xf numFmtId="0" fontId="1" fillId="58" borderId="104" applyNumberFormat="0" applyFont="0" applyAlignment="0" applyProtection="0"/>
    <xf numFmtId="0" fontId="1" fillId="58" borderId="104" applyNumberFormat="0" applyFont="0" applyAlignment="0" applyProtection="0"/>
    <xf numFmtId="0" fontId="1" fillId="58" borderId="104" applyNumberFormat="0" applyFont="0" applyAlignment="0" applyProtection="0"/>
    <xf numFmtId="0" fontId="1" fillId="58" borderId="104" applyNumberFormat="0" applyFont="0" applyAlignment="0" applyProtection="0"/>
    <xf numFmtId="0" fontId="1" fillId="58" borderId="104" applyNumberFormat="0" applyFont="0" applyAlignment="0" applyProtection="0"/>
    <xf numFmtId="0" fontId="1" fillId="58" borderId="104" applyNumberFormat="0" applyFont="0" applyAlignment="0" applyProtection="0"/>
    <xf numFmtId="0" fontId="1" fillId="58" borderId="104" applyNumberFormat="0" applyFont="0" applyAlignment="0" applyProtection="0"/>
    <xf numFmtId="0" fontId="1" fillId="26" borderId="0" applyNumberFormat="0" applyBorder="0" applyAlignment="0" applyProtection="0"/>
    <xf numFmtId="0" fontId="1" fillId="58" borderId="104" applyNumberFormat="0" applyFont="0" applyAlignment="0" applyProtection="0"/>
    <xf numFmtId="0" fontId="1" fillId="23" borderId="0" applyNumberFormat="0" applyBorder="0" applyAlignment="0" applyProtection="0"/>
    <xf numFmtId="0" fontId="1" fillId="58" borderId="104" applyNumberFormat="0" applyFont="0" applyAlignment="0" applyProtection="0"/>
    <xf numFmtId="0" fontId="1" fillId="6" borderId="0" applyNumberFormat="0" applyBorder="0" applyAlignment="0" applyProtection="0"/>
    <xf numFmtId="0" fontId="1" fillId="0" borderId="0"/>
    <xf numFmtId="0" fontId="1" fillId="0" borderId="0"/>
    <xf numFmtId="0" fontId="1" fillId="9" borderId="0" applyNumberFormat="0" applyBorder="0" applyAlignment="0" applyProtection="0"/>
    <xf numFmtId="0" fontId="1" fillId="6"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7" borderId="0" applyNumberFormat="0" applyBorder="0" applyAlignment="0" applyProtection="0"/>
    <xf numFmtId="9" fontId="1" fillId="0" borderId="0" applyFont="0" applyFill="0" applyBorder="0" applyAlignment="0" applyProtection="0"/>
    <xf numFmtId="0" fontId="1" fillId="26" borderId="0" applyNumberFormat="0" applyBorder="0" applyAlignment="0" applyProtection="0"/>
    <xf numFmtId="0" fontId="1" fillId="23" borderId="0" applyNumberFormat="0" applyBorder="0" applyAlignment="0" applyProtection="0"/>
    <xf numFmtId="0" fontId="1" fillId="26" borderId="0" applyNumberFormat="0" applyBorder="0" applyAlignment="0" applyProtection="0"/>
    <xf numFmtId="0" fontId="1" fillId="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8"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8" borderId="0" applyNumberFormat="0" applyBorder="0" applyAlignment="0" applyProtection="0"/>
    <xf numFmtId="0" fontId="1" fillId="26" borderId="0" applyNumberFormat="0" applyBorder="0" applyAlignment="0" applyProtection="0"/>
    <xf numFmtId="0" fontId="1" fillId="9"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8" borderId="0" applyNumberFormat="0" applyBorder="0" applyAlignment="0" applyProtection="0"/>
    <xf numFmtId="0" fontId="1" fillId="26"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8" borderId="0" applyNumberFormat="0" applyBorder="0" applyAlignment="0" applyProtection="0"/>
    <xf numFmtId="0" fontId="1" fillId="26" borderId="0" applyNumberFormat="0" applyBorder="0" applyAlignment="0" applyProtection="0"/>
    <xf numFmtId="0" fontId="1" fillId="8"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60" borderId="0" applyNumberFormat="0" applyBorder="0" applyAlignment="0" applyProtection="0"/>
    <xf numFmtId="0" fontId="1" fillId="61" borderId="0" applyNumberFormat="0" applyBorder="0" applyAlignment="0" applyProtection="0"/>
    <xf numFmtId="0" fontId="1" fillId="64" borderId="0" applyNumberFormat="0" applyBorder="0" applyAlignment="0" applyProtection="0"/>
    <xf numFmtId="0" fontId="1" fillId="65" borderId="0" applyNumberFormat="0" applyBorder="0" applyAlignment="0" applyProtection="0"/>
    <xf numFmtId="0" fontId="1" fillId="68" borderId="0" applyNumberFormat="0" applyBorder="0" applyAlignment="0" applyProtection="0"/>
    <xf numFmtId="0" fontId="1" fillId="69" borderId="0" applyNumberFormat="0" applyBorder="0" applyAlignment="0" applyProtection="0"/>
    <xf numFmtId="0" fontId="1" fillId="72" borderId="0" applyNumberFormat="0" applyBorder="0" applyAlignment="0" applyProtection="0"/>
    <xf numFmtId="0" fontId="1" fillId="73" borderId="0" applyNumberFormat="0" applyBorder="0" applyAlignment="0" applyProtection="0"/>
    <xf numFmtId="0" fontId="1" fillId="76" borderId="0" applyNumberFormat="0" applyBorder="0" applyAlignment="0" applyProtection="0"/>
    <xf numFmtId="0" fontId="1" fillId="77" borderId="0" applyNumberFormat="0" applyBorder="0" applyAlignment="0" applyProtection="0"/>
    <xf numFmtId="0" fontId="1" fillId="80" borderId="0" applyNumberFormat="0" applyBorder="0" applyAlignment="0" applyProtection="0"/>
    <xf numFmtId="0" fontId="1" fillId="81" borderId="0" applyNumberFormat="0" applyBorder="0" applyAlignment="0" applyProtection="0"/>
    <xf numFmtId="0" fontId="1" fillId="58" borderId="104" applyNumberFormat="0" applyFont="0" applyAlignment="0" applyProtection="0"/>
    <xf numFmtId="0" fontId="1" fillId="58" borderId="104" applyNumberFormat="0" applyFont="0" applyAlignment="0" applyProtection="0"/>
    <xf numFmtId="0" fontId="1" fillId="60" borderId="0" applyNumberFormat="0" applyBorder="0" applyAlignment="0" applyProtection="0"/>
    <xf numFmtId="0" fontId="1" fillId="61" borderId="0" applyNumberFormat="0" applyBorder="0" applyAlignment="0" applyProtection="0"/>
    <xf numFmtId="0" fontId="1" fillId="64" borderId="0" applyNumberFormat="0" applyBorder="0" applyAlignment="0" applyProtection="0"/>
    <xf numFmtId="0" fontId="1" fillId="65" borderId="0" applyNumberFormat="0" applyBorder="0" applyAlignment="0" applyProtection="0"/>
    <xf numFmtId="0" fontId="1" fillId="68" borderId="0" applyNumberFormat="0" applyBorder="0" applyAlignment="0" applyProtection="0"/>
    <xf numFmtId="0" fontId="1" fillId="69" borderId="0" applyNumberFormat="0" applyBorder="0" applyAlignment="0" applyProtection="0"/>
    <xf numFmtId="0" fontId="1" fillId="72" borderId="0" applyNumberFormat="0" applyBorder="0" applyAlignment="0" applyProtection="0"/>
    <xf numFmtId="0" fontId="1" fillId="73" borderId="0" applyNumberFormat="0" applyBorder="0" applyAlignment="0" applyProtection="0"/>
    <xf numFmtId="0" fontId="1" fillId="76" borderId="0" applyNumberFormat="0" applyBorder="0" applyAlignment="0" applyProtection="0"/>
    <xf numFmtId="0" fontId="1" fillId="77" borderId="0" applyNumberFormat="0" applyBorder="0" applyAlignment="0" applyProtection="0"/>
    <xf numFmtId="0" fontId="1" fillId="80" borderId="0" applyNumberFormat="0" applyBorder="0" applyAlignment="0" applyProtection="0"/>
    <xf numFmtId="0" fontId="1" fillId="81" borderId="0" applyNumberFormat="0" applyBorder="0" applyAlignment="0" applyProtection="0"/>
    <xf numFmtId="0" fontId="1" fillId="60" borderId="0" applyNumberFormat="0" applyBorder="0" applyAlignment="0" applyProtection="0"/>
    <xf numFmtId="0" fontId="1" fillId="61" borderId="0" applyNumberFormat="0" applyBorder="0" applyAlignment="0" applyProtection="0"/>
    <xf numFmtId="0" fontId="1" fillId="64" borderId="0" applyNumberFormat="0" applyBorder="0" applyAlignment="0" applyProtection="0"/>
    <xf numFmtId="0" fontId="1" fillId="65" borderId="0" applyNumberFormat="0" applyBorder="0" applyAlignment="0" applyProtection="0"/>
    <xf numFmtId="0" fontId="1" fillId="68" borderId="0" applyNumberFormat="0" applyBorder="0" applyAlignment="0" applyProtection="0"/>
    <xf numFmtId="0" fontId="1" fillId="69" borderId="0" applyNumberFormat="0" applyBorder="0" applyAlignment="0" applyProtection="0"/>
    <xf numFmtId="0" fontId="1" fillId="72" borderId="0" applyNumberFormat="0" applyBorder="0" applyAlignment="0" applyProtection="0"/>
    <xf numFmtId="0" fontId="1" fillId="73" borderId="0" applyNumberFormat="0" applyBorder="0" applyAlignment="0" applyProtection="0"/>
    <xf numFmtId="0" fontId="1" fillId="76" borderId="0" applyNumberFormat="0" applyBorder="0" applyAlignment="0" applyProtection="0"/>
    <xf numFmtId="0" fontId="1" fillId="77" borderId="0" applyNumberFormat="0" applyBorder="0" applyAlignment="0" applyProtection="0"/>
    <xf numFmtId="0" fontId="1" fillId="80" borderId="0" applyNumberFormat="0" applyBorder="0" applyAlignment="0" applyProtection="0"/>
    <xf numFmtId="0" fontId="1" fillId="81" borderId="0" applyNumberFormat="0" applyBorder="0" applyAlignment="0" applyProtection="0"/>
    <xf numFmtId="0" fontId="1" fillId="58" borderId="104" applyNumberFormat="0" applyFont="0" applyAlignment="0" applyProtection="0"/>
    <xf numFmtId="0" fontId="1" fillId="60" borderId="0" applyNumberFormat="0" applyBorder="0" applyAlignment="0" applyProtection="0"/>
    <xf numFmtId="0" fontId="1" fillId="61" borderId="0" applyNumberFormat="0" applyBorder="0" applyAlignment="0" applyProtection="0"/>
    <xf numFmtId="0" fontId="1" fillId="64" borderId="0" applyNumberFormat="0" applyBorder="0" applyAlignment="0" applyProtection="0"/>
    <xf numFmtId="0" fontId="1" fillId="65" borderId="0" applyNumberFormat="0" applyBorder="0" applyAlignment="0" applyProtection="0"/>
    <xf numFmtId="0" fontId="1" fillId="68" borderId="0" applyNumberFormat="0" applyBorder="0" applyAlignment="0" applyProtection="0"/>
    <xf numFmtId="0" fontId="1" fillId="69" borderId="0" applyNumberFormat="0" applyBorder="0" applyAlignment="0" applyProtection="0"/>
    <xf numFmtId="0" fontId="1" fillId="72" borderId="0" applyNumberFormat="0" applyBorder="0" applyAlignment="0" applyProtection="0"/>
    <xf numFmtId="0" fontId="1" fillId="73" borderId="0" applyNumberFormat="0" applyBorder="0" applyAlignment="0" applyProtection="0"/>
    <xf numFmtId="0" fontId="1" fillId="76" borderId="0" applyNumberFormat="0" applyBorder="0" applyAlignment="0" applyProtection="0"/>
    <xf numFmtId="0" fontId="1" fillId="77" borderId="0" applyNumberFormat="0" applyBorder="0" applyAlignment="0" applyProtection="0"/>
    <xf numFmtId="0" fontId="1" fillId="80" borderId="0" applyNumberFormat="0" applyBorder="0" applyAlignment="0" applyProtection="0"/>
    <xf numFmtId="0" fontId="1" fillId="81" borderId="0" applyNumberFormat="0" applyBorder="0" applyAlignment="0" applyProtection="0"/>
    <xf numFmtId="0" fontId="1" fillId="58" borderId="104" applyNumberFormat="0" applyFont="0" applyAlignment="0" applyProtection="0"/>
    <xf numFmtId="0" fontId="1" fillId="58" borderId="104" applyNumberFormat="0" applyFont="0" applyAlignment="0" applyProtection="0"/>
    <xf numFmtId="0" fontId="1" fillId="60" borderId="0" applyNumberFormat="0" applyBorder="0" applyAlignment="0" applyProtection="0"/>
    <xf numFmtId="0" fontId="1" fillId="61" borderId="0" applyNumberFormat="0" applyBorder="0" applyAlignment="0" applyProtection="0"/>
    <xf numFmtId="0" fontId="1" fillId="64" borderId="0" applyNumberFormat="0" applyBorder="0" applyAlignment="0" applyProtection="0"/>
    <xf numFmtId="0" fontId="1" fillId="65" borderId="0" applyNumberFormat="0" applyBorder="0" applyAlignment="0" applyProtection="0"/>
    <xf numFmtId="0" fontId="1" fillId="68" borderId="0" applyNumberFormat="0" applyBorder="0" applyAlignment="0" applyProtection="0"/>
    <xf numFmtId="0" fontId="1" fillId="69" borderId="0" applyNumberFormat="0" applyBorder="0" applyAlignment="0" applyProtection="0"/>
    <xf numFmtId="0" fontId="1" fillId="72" borderId="0" applyNumberFormat="0" applyBorder="0" applyAlignment="0" applyProtection="0"/>
    <xf numFmtId="0" fontId="1" fillId="73" borderId="0" applyNumberFormat="0" applyBorder="0" applyAlignment="0" applyProtection="0"/>
    <xf numFmtId="0" fontId="1" fillId="76" borderId="0" applyNumberFormat="0" applyBorder="0" applyAlignment="0" applyProtection="0"/>
    <xf numFmtId="0" fontId="1" fillId="77" borderId="0" applyNumberFormat="0" applyBorder="0" applyAlignment="0" applyProtection="0"/>
    <xf numFmtId="0" fontId="1" fillId="80" borderId="0" applyNumberFormat="0" applyBorder="0" applyAlignment="0" applyProtection="0"/>
    <xf numFmtId="0" fontId="1" fillId="81" borderId="0" applyNumberFormat="0" applyBorder="0" applyAlignment="0" applyProtection="0"/>
    <xf numFmtId="0" fontId="1" fillId="60" borderId="0" applyNumberFormat="0" applyBorder="0" applyAlignment="0" applyProtection="0"/>
    <xf numFmtId="0" fontId="1" fillId="61" borderId="0" applyNumberFormat="0" applyBorder="0" applyAlignment="0" applyProtection="0"/>
    <xf numFmtId="0" fontId="1" fillId="64" borderId="0" applyNumberFormat="0" applyBorder="0" applyAlignment="0" applyProtection="0"/>
    <xf numFmtId="0" fontId="1" fillId="65" borderId="0" applyNumberFormat="0" applyBorder="0" applyAlignment="0" applyProtection="0"/>
    <xf numFmtId="0" fontId="1" fillId="68" borderId="0" applyNumberFormat="0" applyBorder="0" applyAlignment="0" applyProtection="0"/>
    <xf numFmtId="0" fontId="1" fillId="69" borderId="0" applyNumberFormat="0" applyBorder="0" applyAlignment="0" applyProtection="0"/>
    <xf numFmtId="0" fontId="1" fillId="72" borderId="0" applyNumberFormat="0" applyBorder="0" applyAlignment="0" applyProtection="0"/>
    <xf numFmtId="0" fontId="1" fillId="73" borderId="0" applyNumberFormat="0" applyBorder="0" applyAlignment="0" applyProtection="0"/>
    <xf numFmtId="0" fontId="1" fillId="76" borderId="0" applyNumberFormat="0" applyBorder="0" applyAlignment="0" applyProtection="0"/>
    <xf numFmtId="0" fontId="1" fillId="77" borderId="0" applyNumberFormat="0" applyBorder="0" applyAlignment="0" applyProtection="0"/>
    <xf numFmtId="0" fontId="1" fillId="80" borderId="0" applyNumberFormat="0" applyBorder="0" applyAlignment="0" applyProtection="0"/>
    <xf numFmtId="0" fontId="1" fillId="81" borderId="0" applyNumberFormat="0" applyBorder="0" applyAlignment="0" applyProtection="0"/>
    <xf numFmtId="0" fontId="1" fillId="58" borderId="104" applyNumberFormat="0" applyFont="0" applyAlignment="0" applyProtection="0"/>
    <xf numFmtId="0" fontId="1" fillId="60" borderId="0" applyNumberFormat="0" applyBorder="0" applyAlignment="0" applyProtection="0"/>
    <xf numFmtId="0" fontId="1" fillId="61" borderId="0" applyNumberFormat="0" applyBorder="0" applyAlignment="0" applyProtection="0"/>
    <xf numFmtId="0" fontId="1" fillId="64" borderId="0" applyNumberFormat="0" applyBorder="0" applyAlignment="0" applyProtection="0"/>
    <xf numFmtId="0" fontId="1" fillId="65" borderId="0" applyNumberFormat="0" applyBorder="0" applyAlignment="0" applyProtection="0"/>
    <xf numFmtId="0" fontId="1" fillId="68" borderId="0" applyNumberFormat="0" applyBorder="0" applyAlignment="0" applyProtection="0"/>
    <xf numFmtId="0" fontId="1" fillId="69" borderId="0" applyNumberFormat="0" applyBorder="0" applyAlignment="0" applyProtection="0"/>
    <xf numFmtId="0" fontId="1" fillId="72" borderId="0" applyNumberFormat="0" applyBorder="0" applyAlignment="0" applyProtection="0"/>
    <xf numFmtId="0" fontId="1" fillId="73" borderId="0" applyNumberFormat="0" applyBorder="0" applyAlignment="0" applyProtection="0"/>
    <xf numFmtId="0" fontId="1" fillId="76" borderId="0" applyNumberFormat="0" applyBorder="0" applyAlignment="0" applyProtection="0"/>
    <xf numFmtId="0" fontId="1" fillId="77" borderId="0" applyNumberFormat="0" applyBorder="0" applyAlignment="0" applyProtection="0"/>
    <xf numFmtId="0" fontId="1" fillId="80" borderId="0" applyNumberFormat="0" applyBorder="0" applyAlignment="0" applyProtection="0"/>
    <xf numFmtId="0" fontId="1" fillId="81" borderId="0" applyNumberFormat="0" applyBorder="0" applyAlignment="0" applyProtection="0"/>
    <xf numFmtId="0" fontId="1" fillId="58" borderId="104" applyNumberFormat="0" applyFont="0" applyAlignment="0" applyProtection="0"/>
    <xf numFmtId="0" fontId="1" fillId="58" borderId="104" applyNumberFormat="0" applyFont="0" applyAlignment="0" applyProtection="0"/>
    <xf numFmtId="0" fontId="1" fillId="60" borderId="0" applyNumberFormat="0" applyBorder="0" applyAlignment="0" applyProtection="0"/>
    <xf numFmtId="0" fontId="1" fillId="61" borderId="0" applyNumberFormat="0" applyBorder="0" applyAlignment="0" applyProtection="0"/>
    <xf numFmtId="0" fontId="1" fillId="64" borderId="0" applyNumberFormat="0" applyBorder="0" applyAlignment="0" applyProtection="0"/>
    <xf numFmtId="0" fontId="1" fillId="65" borderId="0" applyNumberFormat="0" applyBorder="0" applyAlignment="0" applyProtection="0"/>
    <xf numFmtId="0" fontId="1" fillId="68" borderId="0" applyNumberFormat="0" applyBorder="0" applyAlignment="0" applyProtection="0"/>
    <xf numFmtId="0" fontId="1" fillId="69" borderId="0" applyNumberFormat="0" applyBorder="0" applyAlignment="0" applyProtection="0"/>
    <xf numFmtId="0" fontId="1" fillId="72" borderId="0" applyNumberFormat="0" applyBorder="0" applyAlignment="0" applyProtection="0"/>
    <xf numFmtId="0" fontId="1" fillId="73" borderId="0" applyNumberFormat="0" applyBorder="0" applyAlignment="0" applyProtection="0"/>
    <xf numFmtId="0" fontId="1" fillId="76" borderId="0" applyNumberFormat="0" applyBorder="0" applyAlignment="0" applyProtection="0"/>
    <xf numFmtId="0" fontId="1" fillId="77" borderId="0" applyNumberFormat="0" applyBorder="0" applyAlignment="0" applyProtection="0"/>
    <xf numFmtId="0" fontId="1" fillId="80" borderId="0" applyNumberFormat="0" applyBorder="0" applyAlignment="0" applyProtection="0"/>
    <xf numFmtId="0" fontId="1" fillId="81" borderId="0" applyNumberFormat="0" applyBorder="0" applyAlignment="0" applyProtection="0"/>
    <xf numFmtId="0" fontId="1" fillId="60" borderId="0" applyNumberFormat="0" applyBorder="0" applyAlignment="0" applyProtection="0"/>
    <xf numFmtId="0" fontId="1" fillId="61" borderId="0" applyNumberFormat="0" applyBorder="0" applyAlignment="0" applyProtection="0"/>
    <xf numFmtId="0" fontId="1" fillId="64" borderId="0" applyNumberFormat="0" applyBorder="0" applyAlignment="0" applyProtection="0"/>
    <xf numFmtId="0" fontId="1" fillId="65" borderId="0" applyNumberFormat="0" applyBorder="0" applyAlignment="0" applyProtection="0"/>
    <xf numFmtId="0" fontId="1" fillId="68" borderId="0" applyNumberFormat="0" applyBorder="0" applyAlignment="0" applyProtection="0"/>
    <xf numFmtId="0" fontId="1" fillId="69" borderId="0" applyNumberFormat="0" applyBorder="0" applyAlignment="0" applyProtection="0"/>
    <xf numFmtId="0" fontId="1" fillId="72" borderId="0" applyNumberFormat="0" applyBorder="0" applyAlignment="0" applyProtection="0"/>
    <xf numFmtId="0" fontId="1" fillId="73" borderId="0" applyNumberFormat="0" applyBorder="0" applyAlignment="0" applyProtection="0"/>
    <xf numFmtId="0" fontId="1" fillId="76" borderId="0" applyNumberFormat="0" applyBorder="0" applyAlignment="0" applyProtection="0"/>
    <xf numFmtId="0" fontId="1" fillId="77" borderId="0" applyNumberFormat="0" applyBorder="0" applyAlignment="0" applyProtection="0"/>
    <xf numFmtId="0" fontId="1" fillId="80" borderId="0" applyNumberFormat="0" applyBorder="0" applyAlignment="0" applyProtection="0"/>
    <xf numFmtId="0" fontId="1" fillId="81" borderId="0" applyNumberFormat="0" applyBorder="0" applyAlignment="0" applyProtection="0"/>
    <xf numFmtId="0" fontId="1" fillId="58" borderId="104" applyNumberFormat="0" applyFont="0" applyAlignment="0" applyProtection="0"/>
    <xf numFmtId="0" fontId="1" fillId="60" borderId="0" applyNumberFormat="0" applyBorder="0" applyAlignment="0" applyProtection="0"/>
    <xf numFmtId="0" fontId="1" fillId="61" borderId="0" applyNumberFormat="0" applyBorder="0" applyAlignment="0" applyProtection="0"/>
    <xf numFmtId="0" fontId="1" fillId="64" borderId="0" applyNumberFormat="0" applyBorder="0" applyAlignment="0" applyProtection="0"/>
    <xf numFmtId="0" fontId="1" fillId="65" borderId="0" applyNumberFormat="0" applyBorder="0" applyAlignment="0" applyProtection="0"/>
    <xf numFmtId="0" fontId="1" fillId="68" borderId="0" applyNumberFormat="0" applyBorder="0" applyAlignment="0" applyProtection="0"/>
    <xf numFmtId="0" fontId="1" fillId="69" borderId="0" applyNumberFormat="0" applyBorder="0" applyAlignment="0" applyProtection="0"/>
    <xf numFmtId="0" fontId="1" fillId="72" borderId="0" applyNumberFormat="0" applyBorder="0" applyAlignment="0" applyProtection="0"/>
    <xf numFmtId="0" fontId="1" fillId="73" borderId="0" applyNumberFormat="0" applyBorder="0" applyAlignment="0" applyProtection="0"/>
    <xf numFmtId="0" fontId="1" fillId="76" borderId="0" applyNumberFormat="0" applyBorder="0" applyAlignment="0" applyProtection="0"/>
    <xf numFmtId="0" fontId="1" fillId="77" borderId="0" applyNumberFormat="0" applyBorder="0" applyAlignment="0" applyProtection="0"/>
    <xf numFmtId="0" fontId="1" fillId="80" borderId="0" applyNumberFormat="0" applyBorder="0" applyAlignment="0" applyProtection="0"/>
    <xf numFmtId="0" fontId="1" fillId="81" borderId="0" applyNumberFormat="0" applyBorder="0" applyAlignment="0" applyProtection="0"/>
    <xf numFmtId="0" fontId="1" fillId="58" borderId="104" applyNumberFormat="0" applyFont="0" applyAlignment="0" applyProtection="0"/>
    <xf numFmtId="0" fontId="1" fillId="58" borderId="104" applyNumberFormat="0" applyFont="0" applyAlignment="0" applyProtection="0"/>
    <xf numFmtId="0" fontId="1" fillId="60" borderId="0" applyNumberFormat="0" applyBorder="0" applyAlignment="0" applyProtection="0"/>
    <xf numFmtId="0" fontId="1" fillId="61" borderId="0" applyNumberFormat="0" applyBorder="0" applyAlignment="0" applyProtection="0"/>
    <xf numFmtId="0" fontId="1" fillId="64" borderId="0" applyNumberFormat="0" applyBorder="0" applyAlignment="0" applyProtection="0"/>
    <xf numFmtId="0" fontId="1" fillId="65" borderId="0" applyNumberFormat="0" applyBorder="0" applyAlignment="0" applyProtection="0"/>
    <xf numFmtId="0" fontId="1" fillId="68" borderId="0" applyNumberFormat="0" applyBorder="0" applyAlignment="0" applyProtection="0"/>
    <xf numFmtId="0" fontId="1" fillId="69" borderId="0" applyNumberFormat="0" applyBorder="0" applyAlignment="0" applyProtection="0"/>
    <xf numFmtId="0" fontId="1" fillId="72" borderId="0" applyNumberFormat="0" applyBorder="0" applyAlignment="0" applyProtection="0"/>
    <xf numFmtId="0" fontId="1" fillId="73" borderId="0" applyNumberFormat="0" applyBorder="0" applyAlignment="0" applyProtection="0"/>
    <xf numFmtId="0" fontId="1" fillId="76" borderId="0" applyNumberFormat="0" applyBorder="0" applyAlignment="0" applyProtection="0"/>
    <xf numFmtId="0" fontId="1" fillId="77" borderId="0" applyNumberFormat="0" applyBorder="0" applyAlignment="0" applyProtection="0"/>
    <xf numFmtId="0" fontId="1" fillId="80" borderId="0" applyNumberFormat="0" applyBorder="0" applyAlignment="0" applyProtection="0"/>
    <xf numFmtId="0" fontId="1" fillId="81" borderId="0" applyNumberFormat="0" applyBorder="0" applyAlignment="0" applyProtection="0"/>
    <xf numFmtId="0" fontId="1" fillId="60" borderId="0" applyNumberFormat="0" applyBorder="0" applyAlignment="0" applyProtection="0"/>
    <xf numFmtId="0" fontId="1" fillId="61" borderId="0" applyNumberFormat="0" applyBorder="0" applyAlignment="0" applyProtection="0"/>
    <xf numFmtId="0" fontId="1" fillId="64" borderId="0" applyNumberFormat="0" applyBorder="0" applyAlignment="0" applyProtection="0"/>
    <xf numFmtId="0" fontId="1" fillId="65" borderId="0" applyNumberFormat="0" applyBorder="0" applyAlignment="0" applyProtection="0"/>
    <xf numFmtId="0" fontId="1" fillId="68" borderId="0" applyNumberFormat="0" applyBorder="0" applyAlignment="0" applyProtection="0"/>
    <xf numFmtId="0" fontId="1" fillId="69" borderId="0" applyNumberFormat="0" applyBorder="0" applyAlignment="0" applyProtection="0"/>
    <xf numFmtId="0" fontId="1" fillId="72" borderId="0" applyNumberFormat="0" applyBorder="0" applyAlignment="0" applyProtection="0"/>
    <xf numFmtId="0" fontId="1" fillId="73" borderId="0" applyNumberFormat="0" applyBorder="0" applyAlignment="0" applyProtection="0"/>
    <xf numFmtId="0" fontId="1" fillId="76" borderId="0" applyNumberFormat="0" applyBorder="0" applyAlignment="0" applyProtection="0"/>
    <xf numFmtId="0" fontId="1" fillId="77" borderId="0" applyNumberFormat="0" applyBorder="0" applyAlignment="0" applyProtection="0"/>
    <xf numFmtId="0" fontId="1" fillId="80" borderId="0" applyNumberFormat="0" applyBorder="0" applyAlignment="0" applyProtection="0"/>
    <xf numFmtId="0" fontId="1" fillId="81" borderId="0" applyNumberFormat="0" applyBorder="0" applyAlignment="0" applyProtection="0"/>
    <xf numFmtId="0" fontId="1" fillId="58" borderId="104" applyNumberFormat="0" applyFont="0" applyAlignment="0" applyProtection="0"/>
    <xf numFmtId="0" fontId="1" fillId="60" borderId="0" applyNumberFormat="0" applyBorder="0" applyAlignment="0" applyProtection="0"/>
    <xf numFmtId="0" fontId="1" fillId="61" borderId="0" applyNumberFormat="0" applyBorder="0" applyAlignment="0" applyProtection="0"/>
    <xf numFmtId="0" fontId="1" fillId="64" borderId="0" applyNumberFormat="0" applyBorder="0" applyAlignment="0" applyProtection="0"/>
    <xf numFmtId="0" fontId="1" fillId="65" borderId="0" applyNumberFormat="0" applyBorder="0" applyAlignment="0" applyProtection="0"/>
    <xf numFmtId="0" fontId="1" fillId="68" borderId="0" applyNumberFormat="0" applyBorder="0" applyAlignment="0" applyProtection="0"/>
    <xf numFmtId="0" fontId="1" fillId="69" borderId="0" applyNumberFormat="0" applyBorder="0" applyAlignment="0" applyProtection="0"/>
    <xf numFmtId="0" fontId="1" fillId="72" borderId="0" applyNumberFormat="0" applyBorder="0" applyAlignment="0" applyProtection="0"/>
    <xf numFmtId="0" fontId="1" fillId="73" borderId="0" applyNumberFormat="0" applyBorder="0" applyAlignment="0" applyProtection="0"/>
    <xf numFmtId="0" fontId="1" fillId="76" borderId="0" applyNumberFormat="0" applyBorder="0" applyAlignment="0" applyProtection="0"/>
    <xf numFmtId="0" fontId="1" fillId="77" borderId="0" applyNumberFormat="0" applyBorder="0" applyAlignment="0" applyProtection="0"/>
    <xf numFmtId="0" fontId="1" fillId="80" borderId="0" applyNumberFormat="0" applyBorder="0" applyAlignment="0" applyProtection="0"/>
    <xf numFmtId="0" fontId="1" fillId="81" borderId="0" applyNumberFormat="0" applyBorder="0" applyAlignment="0" applyProtection="0"/>
    <xf numFmtId="0" fontId="1" fillId="58" borderId="104" applyNumberFormat="0" applyFont="0" applyAlignment="0" applyProtection="0"/>
    <xf numFmtId="0" fontId="1" fillId="58" borderId="104" applyNumberFormat="0" applyFont="0" applyAlignment="0" applyProtection="0"/>
    <xf numFmtId="0" fontId="1" fillId="60" borderId="0" applyNumberFormat="0" applyBorder="0" applyAlignment="0" applyProtection="0"/>
    <xf numFmtId="0" fontId="1" fillId="61" borderId="0" applyNumberFormat="0" applyBorder="0" applyAlignment="0" applyProtection="0"/>
    <xf numFmtId="0" fontId="1" fillId="64" borderId="0" applyNumberFormat="0" applyBorder="0" applyAlignment="0" applyProtection="0"/>
    <xf numFmtId="0" fontId="1" fillId="65" borderId="0" applyNumberFormat="0" applyBorder="0" applyAlignment="0" applyProtection="0"/>
    <xf numFmtId="0" fontId="1" fillId="68" borderId="0" applyNumberFormat="0" applyBorder="0" applyAlignment="0" applyProtection="0"/>
    <xf numFmtId="0" fontId="1" fillId="69" borderId="0" applyNumberFormat="0" applyBorder="0" applyAlignment="0" applyProtection="0"/>
    <xf numFmtId="0" fontId="1" fillId="72" borderId="0" applyNumberFormat="0" applyBorder="0" applyAlignment="0" applyProtection="0"/>
    <xf numFmtId="0" fontId="1" fillId="73" borderId="0" applyNumberFormat="0" applyBorder="0" applyAlignment="0" applyProtection="0"/>
    <xf numFmtId="0" fontId="1" fillId="76" borderId="0" applyNumberFormat="0" applyBorder="0" applyAlignment="0" applyProtection="0"/>
    <xf numFmtId="0" fontId="1" fillId="77" borderId="0" applyNumberFormat="0" applyBorder="0" applyAlignment="0" applyProtection="0"/>
    <xf numFmtId="0" fontId="1" fillId="80" borderId="0" applyNumberFormat="0" applyBorder="0" applyAlignment="0" applyProtection="0"/>
    <xf numFmtId="0" fontId="1" fillId="81" borderId="0" applyNumberFormat="0" applyBorder="0" applyAlignment="0" applyProtection="0"/>
    <xf numFmtId="0" fontId="1" fillId="60" borderId="0" applyNumberFormat="0" applyBorder="0" applyAlignment="0" applyProtection="0"/>
    <xf numFmtId="0" fontId="1" fillId="61" borderId="0" applyNumberFormat="0" applyBorder="0" applyAlignment="0" applyProtection="0"/>
    <xf numFmtId="0" fontId="1" fillId="64" borderId="0" applyNumberFormat="0" applyBorder="0" applyAlignment="0" applyProtection="0"/>
    <xf numFmtId="0" fontId="1" fillId="65" borderId="0" applyNumberFormat="0" applyBorder="0" applyAlignment="0" applyProtection="0"/>
    <xf numFmtId="0" fontId="1" fillId="68" borderId="0" applyNumberFormat="0" applyBorder="0" applyAlignment="0" applyProtection="0"/>
    <xf numFmtId="0" fontId="1" fillId="69" borderId="0" applyNumberFormat="0" applyBorder="0" applyAlignment="0" applyProtection="0"/>
    <xf numFmtId="0" fontId="1" fillId="72" borderId="0" applyNumberFormat="0" applyBorder="0" applyAlignment="0" applyProtection="0"/>
    <xf numFmtId="0" fontId="1" fillId="73" borderId="0" applyNumberFormat="0" applyBorder="0" applyAlignment="0" applyProtection="0"/>
    <xf numFmtId="0" fontId="1" fillId="76" borderId="0" applyNumberFormat="0" applyBorder="0" applyAlignment="0" applyProtection="0"/>
    <xf numFmtId="0" fontId="1" fillId="77" borderId="0" applyNumberFormat="0" applyBorder="0" applyAlignment="0" applyProtection="0"/>
    <xf numFmtId="0" fontId="1" fillId="80" borderId="0" applyNumberFormat="0" applyBorder="0" applyAlignment="0" applyProtection="0"/>
    <xf numFmtId="0" fontId="1" fillId="81" borderId="0" applyNumberFormat="0" applyBorder="0" applyAlignment="0" applyProtection="0"/>
    <xf numFmtId="0" fontId="1" fillId="58" borderId="104" applyNumberFormat="0" applyFont="0" applyAlignment="0" applyProtection="0"/>
    <xf numFmtId="0" fontId="1" fillId="60" borderId="0" applyNumberFormat="0" applyBorder="0" applyAlignment="0" applyProtection="0"/>
    <xf numFmtId="0" fontId="1" fillId="61" borderId="0" applyNumberFormat="0" applyBorder="0" applyAlignment="0" applyProtection="0"/>
    <xf numFmtId="0" fontId="1" fillId="64" borderId="0" applyNumberFormat="0" applyBorder="0" applyAlignment="0" applyProtection="0"/>
    <xf numFmtId="0" fontId="1" fillId="65" borderId="0" applyNumberFormat="0" applyBorder="0" applyAlignment="0" applyProtection="0"/>
    <xf numFmtId="0" fontId="1" fillId="68" borderId="0" applyNumberFormat="0" applyBorder="0" applyAlignment="0" applyProtection="0"/>
    <xf numFmtId="0" fontId="1" fillId="69" borderId="0" applyNumberFormat="0" applyBorder="0" applyAlignment="0" applyProtection="0"/>
    <xf numFmtId="0" fontId="1" fillId="72" borderId="0" applyNumberFormat="0" applyBorder="0" applyAlignment="0" applyProtection="0"/>
    <xf numFmtId="0" fontId="1" fillId="73" borderId="0" applyNumberFormat="0" applyBorder="0" applyAlignment="0" applyProtection="0"/>
    <xf numFmtId="0" fontId="1" fillId="76" borderId="0" applyNumberFormat="0" applyBorder="0" applyAlignment="0" applyProtection="0"/>
    <xf numFmtId="0" fontId="1" fillId="77" borderId="0" applyNumberFormat="0" applyBorder="0" applyAlignment="0" applyProtection="0"/>
    <xf numFmtId="0" fontId="1" fillId="80" borderId="0" applyNumberFormat="0" applyBorder="0" applyAlignment="0" applyProtection="0"/>
    <xf numFmtId="0" fontId="1" fillId="81" borderId="0" applyNumberFormat="0" applyBorder="0" applyAlignment="0" applyProtection="0"/>
    <xf numFmtId="0" fontId="1" fillId="58" borderId="104" applyNumberFormat="0" applyFont="0" applyAlignment="0" applyProtection="0"/>
    <xf numFmtId="0" fontId="1" fillId="58" borderId="104" applyNumberFormat="0" applyFont="0" applyAlignment="0" applyProtection="0"/>
    <xf numFmtId="0" fontId="1" fillId="60" borderId="0" applyNumberFormat="0" applyBorder="0" applyAlignment="0" applyProtection="0"/>
    <xf numFmtId="0" fontId="1" fillId="61" borderId="0" applyNumberFormat="0" applyBorder="0" applyAlignment="0" applyProtection="0"/>
    <xf numFmtId="0" fontId="1" fillId="64" borderId="0" applyNumberFormat="0" applyBorder="0" applyAlignment="0" applyProtection="0"/>
    <xf numFmtId="0" fontId="1" fillId="65" borderId="0" applyNumberFormat="0" applyBorder="0" applyAlignment="0" applyProtection="0"/>
    <xf numFmtId="0" fontId="1" fillId="68" borderId="0" applyNumberFormat="0" applyBorder="0" applyAlignment="0" applyProtection="0"/>
    <xf numFmtId="0" fontId="1" fillId="69" borderId="0" applyNumberFormat="0" applyBorder="0" applyAlignment="0" applyProtection="0"/>
    <xf numFmtId="0" fontId="1" fillId="72" borderId="0" applyNumberFormat="0" applyBorder="0" applyAlignment="0" applyProtection="0"/>
    <xf numFmtId="0" fontId="1" fillId="73" borderId="0" applyNumberFormat="0" applyBorder="0" applyAlignment="0" applyProtection="0"/>
    <xf numFmtId="0" fontId="1" fillId="76" borderId="0" applyNumberFormat="0" applyBorder="0" applyAlignment="0" applyProtection="0"/>
    <xf numFmtId="0" fontId="1" fillId="77" borderId="0" applyNumberFormat="0" applyBorder="0" applyAlignment="0" applyProtection="0"/>
    <xf numFmtId="0" fontId="1" fillId="80" borderId="0" applyNumberFormat="0" applyBorder="0" applyAlignment="0" applyProtection="0"/>
    <xf numFmtId="0" fontId="1" fillId="81" borderId="0" applyNumberFormat="0" applyBorder="0" applyAlignment="0" applyProtection="0"/>
    <xf numFmtId="0" fontId="1" fillId="60" borderId="0" applyNumberFormat="0" applyBorder="0" applyAlignment="0" applyProtection="0"/>
    <xf numFmtId="0" fontId="1" fillId="61" borderId="0" applyNumberFormat="0" applyBorder="0" applyAlignment="0" applyProtection="0"/>
    <xf numFmtId="0" fontId="1" fillId="64" borderId="0" applyNumberFormat="0" applyBorder="0" applyAlignment="0" applyProtection="0"/>
    <xf numFmtId="0" fontId="1" fillId="65" borderId="0" applyNumberFormat="0" applyBorder="0" applyAlignment="0" applyProtection="0"/>
    <xf numFmtId="0" fontId="1" fillId="68" borderId="0" applyNumberFormat="0" applyBorder="0" applyAlignment="0" applyProtection="0"/>
    <xf numFmtId="0" fontId="1" fillId="69" borderId="0" applyNumberFormat="0" applyBorder="0" applyAlignment="0" applyProtection="0"/>
    <xf numFmtId="0" fontId="1" fillId="72" borderId="0" applyNumberFormat="0" applyBorder="0" applyAlignment="0" applyProtection="0"/>
    <xf numFmtId="0" fontId="1" fillId="73" borderId="0" applyNumberFormat="0" applyBorder="0" applyAlignment="0" applyProtection="0"/>
    <xf numFmtId="0" fontId="1" fillId="76" borderId="0" applyNumberFormat="0" applyBorder="0" applyAlignment="0" applyProtection="0"/>
    <xf numFmtId="0" fontId="1" fillId="77" borderId="0" applyNumberFormat="0" applyBorder="0" applyAlignment="0" applyProtection="0"/>
    <xf numFmtId="0" fontId="1" fillId="80" borderId="0" applyNumberFormat="0" applyBorder="0" applyAlignment="0" applyProtection="0"/>
    <xf numFmtId="0" fontId="1" fillId="81" borderId="0" applyNumberFormat="0" applyBorder="0" applyAlignment="0" applyProtection="0"/>
    <xf numFmtId="0" fontId="1" fillId="58" borderId="104" applyNumberFormat="0" applyFont="0" applyAlignment="0" applyProtection="0"/>
    <xf numFmtId="0" fontId="1" fillId="26" borderId="0" applyNumberFormat="0" applyBorder="0" applyAlignment="0" applyProtection="0"/>
    <xf numFmtId="0" fontId="1" fillId="60" borderId="0" applyNumberFormat="0" applyBorder="0" applyAlignment="0" applyProtection="0"/>
    <xf numFmtId="0" fontId="1" fillId="60" borderId="0" applyNumberFormat="0" applyBorder="0" applyAlignment="0" applyProtection="0"/>
    <xf numFmtId="0" fontId="1" fillId="60" borderId="0" applyNumberFormat="0" applyBorder="0" applyAlignment="0" applyProtection="0"/>
    <xf numFmtId="0" fontId="1" fillId="60" borderId="0" applyNumberFormat="0" applyBorder="0" applyAlignment="0" applyProtection="0"/>
    <xf numFmtId="0" fontId="1" fillId="60" borderId="0" applyNumberFormat="0" applyBorder="0" applyAlignment="0" applyProtection="0"/>
    <xf numFmtId="0" fontId="1" fillId="60" borderId="0" applyNumberFormat="0" applyBorder="0" applyAlignment="0" applyProtection="0"/>
    <xf numFmtId="0" fontId="1" fillId="60" borderId="0" applyNumberFormat="0" applyBorder="0" applyAlignment="0" applyProtection="0"/>
    <xf numFmtId="0" fontId="1" fillId="60" borderId="0" applyNumberFormat="0" applyBorder="0" applyAlignment="0" applyProtection="0"/>
    <xf numFmtId="0" fontId="1" fillId="60" borderId="0" applyNumberFormat="0" applyBorder="0" applyAlignment="0" applyProtection="0"/>
    <xf numFmtId="0" fontId="1" fillId="64" borderId="0" applyNumberFormat="0" applyBorder="0" applyAlignment="0" applyProtection="0"/>
    <xf numFmtId="0" fontId="1" fillId="64" borderId="0" applyNumberFormat="0" applyBorder="0" applyAlignment="0" applyProtection="0"/>
    <xf numFmtId="0" fontId="1" fillId="64" borderId="0" applyNumberFormat="0" applyBorder="0" applyAlignment="0" applyProtection="0"/>
    <xf numFmtId="0" fontId="1" fillId="64" borderId="0" applyNumberFormat="0" applyBorder="0" applyAlignment="0" applyProtection="0"/>
    <xf numFmtId="0" fontId="1" fillId="64" borderId="0" applyNumberFormat="0" applyBorder="0" applyAlignment="0" applyProtection="0"/>
    <xf numFmtId="0" fontId="1" fillId="64" borderId="0" applyNumberFormat="0" applyBorder="0" applyAlignment="0" applyProtection="0"/>
    <xf numFmtId="0" fontId="1" fillId="64" borderId="0" applyNumberFormat="0" applyBorder="0" applyAlignment="0" applyProtection="0"/>
    <xf numFmtId="0" fontId="1" fillId="64" borderId="0" applyNumberFormat="0" applyBorder="0" applyAlignment="0" applyProtection="0"/>
    <xf numFmtId="0" fontId="1" fillId="64" borderId="0" applyNumberFormat="0" applyBorder="0" applyAlignment="0" applyProtection="0"/>
    <xf numFmtId="0" fontId="1" fillId="68" borderId="0" applyNumberFormat="0" applyBorder="0" applyAlignment="0" applyProtection="0"/>
    <xf numFmtId="0" fontId="1" fillId="68" borderId="0" applyNumberFormat="0" applyBorder="0" applyAlignment="0" applyProtection="0"/>
    <xf numFmtId="0" fontId="1" fillId="68" borderId="0" applyNumberFormat="0" applyBorder="0" applyAlignment="0" applyProtection="0"/>
    <xf numFmtId="0" fontId="1" fillId="68" borderId="0" applyNumberFormat="0" applyBorder="0" applyAlignment="0" applyProtection="0"/>
    <xf numFmtId="0" fontId="1" fillId="68" borderId="0" applyNumberFormat="0" applyBorder="0" applyAlignment="0" applyProtection="0"/>
    <xf numFmtId="0" fontId="1" fillId="68" borderId="0" applyNumberFormat="0" applyBorder="0" applyAlignment="0" applyProtection="0"/>
    <xf numFmtId="0" fontId="1" fillId="68" borderId="0" applyNumberFormat="0" applyBorder="0" applyAlignment="0" applyProtection="0"/>
    <xf numFmtId="0" fontId="1" fillId="68" borderId="0" applyNumberFormat="0" applyBorder="0" applyAlignment="0" applyProtection="0"/>
    <xf numFmtId="0" fontId="1" fillId="68" borderId="0" applyNumberFormat="0" applyBorder="0" applyAlignment="0" applyProtection="0"/>
    <xf numFmtId="0" fontId="1" fillId="72" borderId="0" applyNumberFormat="0" applyBorder="0" applyAlignment="0" applyProtection="0"/>
    <xf numFmtId="0" fontId="1" fillId="72" borderId="0" applyNumberFormat="0" applyBorder="0" applyAlignment="0" applyProtection="0"/>
    <xf numFmtId="0" fontId="1" fillId="72" borderId="0" applyNumberFormat="0" applyBorder="0" applyAlignment="0" applyProtection="0"/>
    <xf numFmtId="0" fontId="1" fillId="72" borderId="0" applyNumberFormat="0" applyBorder="0" applyAlignment="0" applyProtection="0"/>
    <xf numFmtId="0" fontId="1" fillId="72" borderId="0" applyNumberFormat="0" applyBorder="0" applyAlignment="0" applyProtection="0"/>
    <xf numFmtId="0" fontId="1" fillId="72" borderId="0" applyNumberFormat="0" applyBorder="0" applyAlignment="0" applyProtection="0"/>
    <xf numFmtId="0" fontId="1" fillId="72" borderId="0" applyNumberFormat="0" applyBorder="0" applyAlignment="0" applyProtection="0"/>
    <xf numFmtId="0" fontId="1" fillId="72" borderId="0" applyNumberFormat="0" applyBorder="0" applyAlignment="0" applyProtection="0"/>
    <xf numFmtId="0" fontId="1" fillId="72" borderId="0" applyNumberFormat="0" applyBorder="0" applyAlignment="0" applyProtection="0"/>
    <xf numFmtId="0" fontId="1" fillId="76" borderId="0" applyNumberFormat="0" applyBorder="0" applyAlignment="0" applyProtection="0"/>
    <xf numFmtId="0" fontId="1" fillId="76" borderId="0" applyNumberFormat="0" applyBorder="0" applyAlignment="0" applyProtection="0"/>
    <xf numFmtId="0" fontId="1" fillId="76" borderId="0" applyNumberFormat="0" applyBorder="0" applyAlignment="0" applyProtection="0"/>
    <xf numFmtId="0" fontId="1" fillId="76" borderId="0" applyNumberFormat="0" applyBorder="0" applyAlignment="0" applyProtection="0"/>
    <xf numFmtId="0" fontId="1" fillId="76" borderId="0" applyNumberFormat="0" applyBorder="0" applyAlignment="0" applyProtection="0"/>
    <xf numFmtId="0" fontId="1" fillId="76" borderId="0" applyNumberFormat="0" applyBorder="0" applyAlignment="0" applyProtection="0"/>
    <xf numFmtId="0" fontId="1" fillId="76" borderId="0" applyNumberFormat="0" applyBorder="0" applyAlignment="0" applyProtection="0"/>
    <xf numFmtId="0" fontId="1" fillId="76" borderId="0" applyNumberFormat="0" applyBorder="0" applyAlignment="0" applyProtection="0"/>
    <xf numFmtId="0" fontId="1" fillId="76" borderId="0" applyNumberFormat="0" applyBorder="0" applyAlignment="0" applyProtection="0"/>
    <xf numFmtId="0" fontId="1" fillId="80" borderId="0" applyNumberFormat="0" applyBorder="0" applyAlignment="0" applyProtection="0"/>
    <xf numFmtId="0" fontId="1" fillId="80" borderId="0" applyNumberFormat="0" applyBorder="0" applyAlignment="0" applyProtection="0"/>
    <xf numFmtId="0" fontId="1" fillId="80" borderId="0" applyNumberFormat="0" applyBorder="0" applyAlignment="0" applyProtection="0"/>
    <xf numFmtId="0" fontId="1" fillId="80" borderId="0" applyNumberFormat="0" applyBorder="0" applyAlignment="0" applyProtection="0"/>
    <xf numFmtId="0" fontId="1" fillId="80" borderId="0" applyNumberFormat="0" applyBorder="0" applyAlignment="0" applyProtection="0"/>
    <xf numFmtId="0" fontId="1" fillId="80" borderId="0" applyNumberFormat="0" applyBorder="0" applyAlignment="0" applyProtection="0"/>
    <xf numFmtId="0" fontId="1" fillId="80" borderId="0" applyNumberFormat="0" applyBorder="0" applyAlignment="0" applyProtection="0"/>
    <xf numFmtId="0" fontId="1" fillId="80" borderId="0" applyNumberFormat="0" applyBorder="0" applyAlignment="0" applyProtection="0"/>
    <xf numFmtId="0" fontId="1" fillId="80" borderId="0" applyNumberFormat="0" applyBorder="0" applyAlignment="0" applyProtection="0"/>
    <xf numFmtId="0" fontId="1" fillId="61" borderId="0" applyNumberFormat="0" applyBorder="0" applyAlignment="0" applyProtection="0"/>
    <xf numFmtId="0" fontId="1" fillId="61" borderId="0" applyNumberFormat="0" applyBorder="0" applyAlignment="0" applyProtection="0"/>
    <xf numFmtId="0" fontId="1" fillId="61" borderId="0" applyNumberFormat="0" applyBorder="0" applyAlignment="0" applyProtection="0"/>
    <xf numFmtId="0" fontId="1" fillId="61" borderId="0" applyNumberFormat="0" applyBorder="0" applyAlignment="0" applyProtection="0"/>
    <xf numFmtId="0" fontId="1" fillId="61" borderId="0" applyNumberFormat="0" applyBorder="0" applyAlignment="0" applyProtection="0"/>
    <xf numFmtId="0" fontId="1" fillId="61" borderId="0" applyNumberFormat="0" applyBorder="0" applyAlignment="0" applyProtection="0"/>
    <xf numFmtId="0" fontId="1" fillId="61" borderId="0" applyNumberFormat="0" applyBorder="0" applyAlignment="0" applyProtection="0"/>
    <xf numFmtId="0" fontId="1" fillId="61" borderId="0" applyNumberFormat="0" applyBorder="0" applyAlignment="0" applyProtection="0"/>
    <xf numFmtId="0" fontId="1" fillId="61" borderId="0" applyNumberFormat="0" applyBorder="0" applyAlignment="0" applyProtection="0"/>
    <xf numFmtId="0" fontId="1" fillId="65" borderId="0" applyNumberFormat="0" applyBorder="0" applyAlignment="0" applyProtection="0"/>
    <xf numFmtId="0" fontId="1" fillId="65" borderId="0" applyNumberFormat="0" applyBorder="0" applyAlignment="0" applyProtection="0"/>
    <xf numFmtId="0" fontId="1" fillId="65" borderId="0" applyNumberFormat="0" applyBorder="0" applyAlignment="0" applyProtection="0"/>
    <xf numFmtId="0" fontId="1" fillId="65" borderId="0" applyNumberFormat="0" applyBorder="0" applyAlignment="0" applyProtection="0"/>
    <xf numFmtId="0" fontId="1" fillId="65" borderId="0" applyNumberFormat="0" applyBorder="0" applyAlignment="0" applyProtection="0"/>
    <xf numFmtId="0" fontId="1" fillId="65" borderId="0" applyNumberFormat="0" applyBorder="0" applyAlignment="0" applyProtection="0"/>
    <xf numFmtId="0" fontId="1" fillId="65" borderId="0" applyNumberFormat="0" applyBorder="0" applyAlignment="0" applyProtection="0"/>
    <xf numFmtId="0" fontId="1" fillId="65" borderId="0" applyNumberFormat="0" applyBorder="0" applyAlignment="0" applyProtection="0"/>
    <xf numFmtId="0" fontId="1" fillId="65" borderId="0" applyNumberFormat="0" applyBorder="0" applyAlignment="0" applyProtection="0"/>
    <xf numFmtId="0" fontId="1" fillId="69" borderId="0" applyNumberFormat="0" applyBorder="0" applyAlignment="0" applyProtection="0"/>
    <xf numFmtId="0" fontId="1" fillId="69" borderId="0" applyNumberFormat="0" applyBorder="0" applyAlignment="0" applyProtection="0"/>
    <xf numFmtId="0" fontId="1" fillId="69" borderId="0" applyNumberFormat="0" applyBorder="0" applyAlignment="0" applyProtection="0"/>
    <xf numFmtId="0" fontId="1" fillId="69" borderId="0" applyNumberFormat="0" applyBorder="0" applyAlignment="0" applyProtection="0"/>
    <xf numFmtId="0" fontId="1" fillId="69" borderId="0" applyNumberFormat="0" applyBorder="0" applyAlignment="0" applyProtection="0"/>
    <xf numFmtId="0" fontId="1" fillId="69" borderId="0" applyNumberFormat="0" applyBorder="0" applyAlignment="0" applyProtection="0"/>
    <xf numFmtId="0" fontId="1" fillId="69" borderId="0" applyNumberFormat="0" applyBorder="0" applyAlignment="0" applyProtection="0"/>
    <xf numFmtId="0" fontId="1" fillId="69" borderId="0" applyNumberFormat="0" applyBorder="0" applyAlignment="0" applyProtection="0"/>
    <xf numFmtId="0" fontId="1" fillId="69" borderId="0" applyNumberFormat="0" applyBorder="0" applyAlignment="0" applyProtection="0"/>
    <xf numFmtId="0" fontId="1" fillId="73" borderId="0" applyNumberFormat="0" applyBorder="0" applyAlignment="0" applyProtection="0"/>
    <xf numFmtId="0" fontId="1" fillId="73" borderId="0" applyNumberFormat="0" applyBorder="0" applyAlignment="0" applyProtection="0"/>
    <xf numFmtId="0" fontId="1" fillId="73" borderId="0" applyNumberFormat="0" applyBorder="0" applyAlignment="0" applyProtection="0"/>
    <xf numFmtId="0" fontId="1" fillId="73" borderId="0" applyNumberFormat="0" applyBorder="0" applyAlignment="0" applyProtection="0"/>
    <xf numFmtId="0" fontId="1" fillId="73" borderId="0" applyNumberFormat="0" applyBorder="0" applyAlignment="0" applyProtection="0"/>
    <xf numFmtId="0" fontId="1" fillId="73" borderId="0" applyNumberFormat="0" applyBorder="0" applyAlignment="0" applyProtection="0"/>
    <xf numFmtId="0" fontId="1" fillId="73" borderId="0" applyNumberFormat="0" applyBorder="0" applyAlignment="0" applyProtection="0"/>
    <xf numFmtId="0" fontId="1" fillId="73" borderId="0" applyNumberFormat="0" applyBorder="0" applyAlignment="0" applyProtection="0"/>
    <xf numFmtId="0" fontId="1" fillId="73" borderId="0" applyNumberFormat="0" applyBorder="0" applyAlignment="0" applyProtection="0"/>
    <xf numFmtId="0" fontId="1" fillId="77" borderId="0" applyNumberFormat="0" applyBorder="0" applyAlignment="0" applyProtection="0"/>
    <xf numFmtId="0" fontId="1" fillId="77" borderId="0" applyNumberFormat="0" applyBorder="0" applyAlignment="0" applyProtection="0"/>
    <xf numFmtId="0" fontId="1" fillId="77" borderId="0" applyNumberFormat="0" applyBorder="0" applyAlignment="0" applyProtection="0"/>
    <xf numFmtId="0" fontId="1" fillId="77" borderId="0" applyNumberFormat="0" applyBorder="0" applyAlignment="0" applyProtection="0"/>
    <xf numFmtId="0" fontId="1" fillId="77" borderId="0" applyNumberFormat="0" applyBorder="0" applyAlignment="0" applyProtection="0"/>
    <xf numFmtId="0" fontId="1" fillId="77" borderId="0" applyNumberFormat="0" applyBorder="0" applyAlignment="0" applyProtection="0"/>
    <xf numFmtId="0" fontId="1" fillId="77" borderId="0" applyNumberFormat="0" applyBorder="0" applyAlignment="0" applyProtection="0"/>
    <xf numFmtId="0" fontId="1" fillId="77" borderId="0" applyNumberFormat="0" applyBorder="0" applyAlignment="0" applyProtection="0"/>
    <xf numFmtId="0" fontId="1" fillId="77" borderId="0" applyNumberFormat="0" applyBorder="0" applyAlignment="0" applyProtection="0"/>
    <xf numFmtId="0" fontId="1" fillId="81" borderId="0" applyNumberFormat="0" applyBorder="0" applyAlignment="0" applyProtection="0"/>
    <xf numFmtId="0" fontId="1" fillId="81" borderId="0" applyNumberFormat="0" applyBorder="0" applyAlignment="0" applyProtection="0"/>
    <xf numFmtId="0" fontId="1" fillId="81" borderId="0" applyNumberFormat="0" applyBorder="0" applyAlignment="0" applyProtection="0"/>
    <xf numFmtId="0" fontId="1" fillId="81" borderId="0" applyNumberFormat="0" applyBorder="0" applyAlignment="0" applyProtection="0"/>
    <xf numFmtId="0" fontId="1" fillId="81" borderId="0" applyNumberFormat="0" applyBorder="0" applyAlignment="0" applyProtection="0"/>
    <xf numFmtId="0" fontId="1" fillId="81" borderId="0" applyNumberFormat="0" applyBorder="0" applyAlignment="0" applyProtection="0"/>
    <xf numFmtId="0" fontId="1" fillId="81" borderId="0" applyNumberFormat="0" applyBorder="0" applyAlignment="0" applyProtection="0"/>
    <xf numFmtId="0" fontId="1" fillId="81" borderId="0" applyNumberFormat="0" applyBorder="0" applyAlignment="0" applyProtection="0"/>
    <xf numFmtId="0" fontId="1" fillId="81" borderId="0" applyNumberFormat="0" applyBorder="0" applyAlignment="0" applyProtection="0"/>
    <xf numFmtId="0" fontId="1" fillId="58" borderId="104" applyNumberFormat="0" applyFont="0" applyAlignment="0" applyProtection="0"/>
    <xf numFmtId="0" fontId="1" fillId="58" borderId="104" applyNumberFormat="0" applyFont="0" applyAlignment="0" applyProtection="0"/>
    <xf numFmtId="0" fontId="1" fillId="58" borderId="104" applyNumberFormat="0" applyFont="0" applyAlignment="0" applyProtection="0"/>
    <xf numFmtId="0" fontId="1" fillId="58" borderId="104" applyNumberFormat="0" applyFont="0" applyAlignment="0" applyProtection="0"/>
    <xf numFmtId="0" fontId="1" fillId="58" borderId="104" applyNumberFormat="0" applyFont="0" applyAlignment="0" applyProtection="0"/>
    <xf numFmtId="0" fontId="1" fillId="58" borderId="104" applyNumberFormat="0" applyFont="0" applyAlignment="0" applyProtection="0"/>
    <xf numFmtId="0" fontId="1" fillId="58" borderId="104" applyNumberFormat="0" applyFont="0" applyAlignment="0" applyProtection="0"/>
    <xf numFmtId="0" fontId="1" fillId="58" borderId="104" applyNumberFormat="0" applyFont="0" applyAlignment="0" applyProtection="0"/>
    <xf numFmtId="0" fontId="1" fillId="58" borderId="104" applyNumberFormat="0" applyFont="0" applyAlignment="0" applyProtection="0"/>
    <xf numFmtId="0" fontId="1" fillId="0" borderId="0"/>
    <xf numFmtId="165" fontId="1" fillId="0" borderId="0" applyFont="0" applyFill="0" applyBorder="0" applyAlignment="0" applyProtection="0"/>
    <xf numFmtId="0" fontId="1" fillId="0" borderId="0"/>
    <xf numFmtId="0" fontId="1" fillId="0" borderId="0"/>
    <xf numFmtId="0" fontId="1" fillId="0" borderId="0"/>
    <xf numFmtId="0" fontId="1" fillId="60" borderId="0" applyNumberFormat="0" applyBorder="0" applyAlignment="0" applyProtection="0"/>
    <xf numFmtId="0" fontId="1" fillId="61" borderId="0" applyNumberFormat="0" applyBorder="0" applyAlignment="0" applyProtection="0"/>
    <xf numFmtId="0" fontId="1" fillId="64" borderId="0" applyNumberFormat="0" applyBorder="0" applyAlignment="0" applyProtection="0"/>
    <xf numFmtId="0" fontId="1" fillId="65" borderId="0" applyNumberFormat="0" applyBorder="0" applyAlignment="0" applyProtection="0"/>
    <xf numFmtId="0" fontId="1" fillId="68" borderId="0" applyNumberFormat="0" applyBorder="0" applyAlignment="0" applyProtection="0"/>
    <xf numFmtId="0" fontId="1" fillId="69" borderId="0" applyNumberFormat="0" applyBorder="0" applyAlignment="0" applyProtection="0"/>
    <xf numFmtId="0" fontId="1" fillId="72" borderId="0" applyNumberFormat="0" applyBorder="0" applyAlignment="0" applyProtection="0"/>
    <xf numFmtId="0" fontId="1" fillId="73" borderId="0" applyNumberFormat="0" applyBorder="0" applyAlignment="0" applyProtection="0"/>
    <xf numFmtId="0" fontId="1" fillId="76" borderId="0" applyNumberFormat="0" applyBorder="0" applyAlignment="0" applyProtection="0"/>
    <xf numFmtId="0" fontId="1" fillId="77" borderId="0" applyNumberFormat="0" applyBorder="0" applyAlignment="0" applyProtection="0"/>
    <xf numFmtId="0" fontId="1" fillId="80" borderId="0" applyNumberFormat="0" applyBorder="0" applyAlignment="0" applyProtection="0"/>
    <xf numFmtId="0" fontId="1" fillId="81" borderId="0" applyNumberFormat="0" applyBorder="0" applyAlignment="0" applyProtection="0"/>
    <xf numFmtId="0" fontId="1" fillId="7" borderId="0" applyNumberFormat="0" applyBorder="0" applyAlignment="0" applyProtection="0"/>
    <xf numFmtId="0" fontId="1" fillId="58" borderId="104" applyNumberFormat="0" applyFont="0" applyAlignment="0" applyProtection="0"/>
    <xf numFmtId="0" fontId="1" fillId="58" borderId="104" applyNumberFormat="0" applyFont="0" applyAlignment="0" applyProtection="0"/>
    <xf numFmtId="0" fontId="1" fillId="60" borderId="0" applyNumberFormat="0" applyBorder="0" applyAlignment="0" applyProtection="0"/>
    <xf numFmtId="0" fontId="1" fillId="61" borderId="0" applyNumberFormat="0" applyBorder="0" applyAlignment="0" applyProtection="0"/>
    <xf numFmtId="0" fontId="1" fillId="64" borderId="0" applyNumberFormat="0" applyBorder="0" applyAlignment="0" applyProtection="0"/>
    <xf numFmtId="0" fontId="1" fillId="65" borderId="0" applyNumberFormat="0" applyBorder="0" applyAlignment="0" applyProtection="0"/>
    <xf numFmtId="0" fontId="1" fillId="68" borderId="0" applyNumberFormat="0" applyBorder="0" applyAlignment="0" applyProtection="0"/>
    <xf numFmtId="0" fontId="1" fillId="69" borderId="0" applyNumberFormat="0" applyBorder="0" applyAlignment="0" applyProtection="0"/>
    <xf numFmtId="0" fontId="1" fillId="72" borderId="0" applyNumberFormat="0" applyBorder="0" applyAlignment="0" applyProtection="0"/>
    <xf numFmtId="0" fontId="1" fillId="73" borderId="0" applyNumberFormat="0" applyBorder="0" applyAlignment="0" applyProtection="0"/>
    <xf numFmtId="0" fontId="1" fillId="76" borderId="0" applyNumberFormat="0" applyBorder="0" applyAlignment="0" applyProtection="0"/>
    <xf numFmtId="0" fontId="1" fillId="77" borderId="0" applyNumberFormat="0" applyBorder="0" applyAlignment="0" applyProtection="0"/>
    <xf numFmtId="0" fontId="1" fillId="80" borderId="0" applyNumberFormat="0" applyBorder="0" applyAlignment="0" applyProtection="0"/>
    <xf numFmtId="0" fontId="1" fillId="81" borderId="0" applyNumberFormat="0" applyBorder="0" applyAlignment="0" applyProtection="0"/>
    <xf numFmtId="0" fontId="1" fillId="60" borderId="0" applyNumberFormat="0" applyBorder="0" applyAlignment="0" applyProtection="0"/>
    <xf numFmtId="0" fontId="1" fillId="61" borderId="0" applyNumberFormat="0" applyBorder="0" applyAlignment="0" applyProtection="0"/>
    <xf numFmtId="0" fontId="1" fillId="64" borderId="0" applyNumberFormat="0" applyBorder="0" applyAlignment="0" applyProtection="0"/>
    <xf numFmtId="0" fontId="1" fillId="65" borderId="0" applyNumberFormat="0" applyBorder="0" applyAlignment="0" applyProtection="0"/>
    <xf numFmtId="0" fontId="1" fillId="68" borderId="0" applyNumberFormat="0" applyBorder="0" applyAlignment="0" applyProtection="0"/>
    <xf numFmtId="0" fontId="1" fillId="69" borderId="0" applyNumberFormat="0" applyBorder="0" applyAlignment="0" applyProtection="0"/>
    <xf numFmtId="0" fontId="1" fillId="72" borderId="0" applyNumberFormat="0" applyBorder="0" applyAlignment="0" applyProtection="0"/>
    <xf numFmtId="0" fontId="1" fillId="73" borderId="0" applyNumberFormat="0" applyBorder="0" applyAlignment="0" applyProtection="0"/>
    <xf numFmtId="0" fontId="1" fillId="76" borderId="0" applyNumberFormat="0" applyBorder="0" applyAlignment="0" applyProtection="0"/>
    <xf numFmtId="0" fontId="1" fillId="77" borderId="0" applyNumberFormat="0" applyBorder="0" applyAlignment="0" applyProtection="0"/>
    <xf numFmtId="0" fontId="1" fillId="80" borderId="0" applyNumberFormat="0" applyBorder="0" applyAlignment="0" applyProtection="0"/>
    <xf numFmtId="0" fontId="1" fillId="81" borderId="0" applyNumberFormat="0" applyBorder="0" applyAlignment="0" applyProtection="0"/>
    <xf numFmtId="0" fontId="1" fillId="58" borderId="104" applyNumberFormat="0" applyFont="0" applyAlignment="0" applyProtection="0"/>
    <xf numFmtId="0" fontId="1" fillId="60" borderId="0" applyNumberFormat="0" applyBorder="0" applyAlignment="0" applyProtection="0"/>
    <xf numFmtId="0" fontId="1" fillId="61" borderId="0" applyNumberFormat="0" applyBorder="0" applyAlignment="0" applyProtection="0"/>
    <xf numFmtId="0" fontId="1" fillId="64" borderId="0" applyNumberFormat="0" applyBorder="0" applyAlignment="0" applyProtection="0"/>
    <xf numFmtId="0" fontId="1" fillId="65" borderId="0" applyNumberFormat="0" applyBorder="0" applyAlignment="0" applyProtection="0"/>
    <xf numFmtId="0" fontId="1" fillId="68" borderId="0" applyNumberFormat="0" applyBorder="0" applyAlignment="0" applyProtection="0"/>
    <xf numFmtId="0" fontId="1" fillId="69" borderId="0" applyNumberFormat="0" applyBorder="0" applyAlignment="0" applyProtection="0"/>
    <xf numFmtId="0" fontId="1" fillId="72" borderId="0" applyNumberFormat="0" applyBorder="0" applyAlignment="0" applyProtection="0"/>
    <xf numFmtId="0" fontId="1" fillId="73" borderId="0" applyNumberFormat="0" applyBorder="0" applyAlignment="0" applyProtection="0"/>
    <xf numFmtId="0" fontId="1" fillId="76" borderId="0" applyNumberFormat="0" applyBorder="0" applyAlignment="0" applyProtection="0"/>
    <xf numFmtId="0" fontId="1" fillId="77" borderId="0" applyNumberFormat="0" applyBorder="0" applyAlignment="0" applyProtection="0"/>
    <xf numFmtId="0" fontId="1" fillId="80" borderId="0" applyNumberFormat="0" applyBorder="0" applyAlignment="0" applyProtection="0"/>
    <xf numFmtId="0" fontId="1" fillId="81" borderId="0" applyNumberFormat="0" applyBorder="0" applyAlignment="0" applyProtection="0"/>
    <xf numFmtId="0" fontId="1" fillId="58" borderId="104" applyNumberFormat="0" applyFont="0" applyAlignment="0" applyProtection="0"/>
    <xf numFmtId="0" fontId="1" fillId="58" borderId="104" applyNumberFormat="0" applyFont="0" applyAlignment="0" applyProtection="0"/>
    <xf numFmtId="0" fontId="1" fillId="60" borderId="0" applyNumberFormat="0" applyBorder="0" applyAlignment="0" applyProtection="0"/>
    <xf numFmtId="0" fontId="1" fillId="61" borderId="0" applyNumberFormat="0" applyBorder="0" applyAlignment="0" applyProtection="0"/>
    <xf numFmtId="0" fontId="1" fillId="64" borderId="0" applyNumberFormat="0" applyBorder="0" applyAlignment="0" applyProtection="0"/>
    <xf numFmtId="0" fontId="1" fillId="65" borderId="0" applyNumberFormat="0" applyBorder="0" applyAlignment="0" applyProtection="0"/>
    <xf numFmtId="0" fontId="1" fillId="68" borderId="0" applyNumberFormat="0" applyBorder="0" applyAlignment="0" applyProtection="0"/>
    <xf numFmtId="0" fontId="1" fillId="69" borderId="0" applyNumberFormat="0" applyBorder="0" applyAlignment="0" applyProtection="0"/>
    <xf numFmtId="0" fontId="1" fillId="72" borderId="0" applyNumberFormat="0" applyBorder="0" applyAlignment="0" applyProtection="0"/>
    <xf numFmtId="0" fontId="1" fillId="73" borderId="0" applyNumberFormat="0" applyBorder="0" applyAlignment="0" applyProtection="0"/>
    <xf numFmtId="0" fontId="1" fillId="76" borderId="0" applyNumberFormat="0" applyBorder="0" applyAlignment="0" applyProtection="0"/>
    <xf numFmtId="0" fontId="1" fillId="77" borderId="0" applyNumberFormat="0" applyBorder="0" applyAlignment="0" applyProtection="0"/>
    <xf numFmtId="0" fontId="1" fillId="80" borderId="0" applyNumberFormat="0" applyBorder="0" applyAlignment="0" applyProtection="0"/>
    <xf numFmtId="0" fontId="1" fillId="81" borderId="0" applyNumberFormat="0" applyBorder="0" applyAlignment="0" applyProtection="0"/>
    <xf numFmtId="0" fontId="1" fillId="60" borderId="0" applyNumberFormat="0" applyBorder="0" applyAlignment="0" applyProtection="0"/>
    <xf numFmtId="0" fontId="1" fillId="61" borderId="0" applyNumberFormat="0" applyBorder="0" applyAlignment="0" applyProtection="0"/>
    <xf numFmtId="0" fontId="1" fillId="64" borderId="0" applyNumberFormat="0" applyBorder="0" applyAlignment="0" applyProtection="0"/>
    <xf numFmtId="0" fontId="1" fillId="65" borderId="0" applyNumberFormat="0" applyBorder="0" applyAlignment="0" applyProtection="0"/>
    <xf numFmtId="0" fontId="1" fillId="68" borderId="0" applyNumberFormat="0" applyBorder="0" applyAlignment="0" applyProtection="0"/>
    <xf numFmtId="0" fontId="1" fillId="69" borderId="0" applyNumberFormat="0" applyBorder="0" applyAlignment="0" applyProtection="0"/>
    <xf numFmtId="0" fontId="1" fillId="72" borderId="0" applyNumberFormat="0" applyBorder="0" applyAlignment="0" applyProtection="0"/>
    <xf numFmtId="0" fontId="1" fillId="73" borderId="0" applyNumberFormat="0" applyBorder="0" applyAlignment="0" applyProtection="0"/>
    <xf numFmtId="0" fontId="1" fillId="76" borderId="0" applyNumberFormat="0" applyBorder="0" applyAlignment="0" applyProtection="0"/>
    <xf numFmtId="0" fontId="1" fillId="77" borderId="0" applyNumberFormat="0" applyBorder="0" applyAlignment="0" applyProtection="0"/>
    <xf numFmtId="0" fontId="1" fillId="80" borderId="0" applyNumberFormat="0" applyBorder="0" applyAlignment="0" applyProtection="0"/>
    <xf numFmtId="0" fontId="1" fillId="81" borderId="0" applyNumberFormat="0" applyBorder="0" applyAlignment="0" applyProtection="0"/>
    <xf numFmtId="0" fontId="1" fillId="58" borderId="104" applyNumberFormat="0" applyFont="0" applyAlignment="0" applyProtection="0"/>
    <xf numFmtId="0" fontId="1" fillId="60" borderId="0" applyNumberFormat="0" applyBorder="0" applyAlignment="0" applyProtection="0"/>
    <xf numFmtId="0" fontId="1" fillId="61" borderId="0" applyNumberFormat="0" applyBorder="0" applyAlignment="0" applyProtection="0"/>
    <xf numFmtId="0" fontId="1" fillId="64" borderId="0" applyNumberFormat="0" applyBorder="0" applyAlignment="0" applyProtection="0"/>
    <xf numFmtId="0" fontId="1" fillId="65" borderId="0" applyNumberFormat="0" applyBorder="0" applyAlignment="0" applyProtection="0"/>
    <xf numFmtId="0" fontId="1" fillId="68" borderId="0" applyNumberFormat="0" applyBorder="0" applyAlignment="0" applyProtection="0"/>
    <xf numFmtId="0" fontId="1" fillId="69" borderId="0" applyNumberFormat="0" applyBorder="0" applyAlignment="0" applyProtection="0"/>
    <xf numFmtId="0" fontId="1" fillId="72" borderId="0" applyNumberFormat="0" applyBorder="0" applyAlignment="0" applyProtection="0"/>
    <xf numFmtId="0" fontId="1" fillId="73" borderId="0" applyNumberFormat="0" applyBorder="0" applyAlignment="0" applyProtection="0"/>
    <xf numFmtId="0" fontId="1" fillId="76" borderId="0" applyNumberFormat="0" applyBorder="0" applyAlignment="0" applyProtection="0"/>
    <xf numFmtId="0" fontId="1" fillId="77" borderId="0" applyNumberFormat="0" applyBorder="0" applyAlignment="0" applyProtection="0"/>
    <xf numFmtId="0" fontId="1" fillId="80" borderId="0" applyNumberFormat="0" applyBorder="0" applyAlignment="0" applyProtection="0"/>
    <xf numFmtId="0" fontId="1" fillId="81" borderId="0" applyNumberFormat="0" applyBorder="0" applyAlignment="0" applyProtection="0"/>
    <xf numFmtId="0" fontId="1" fillId="58" borderId="104" applyNumberFormat="0" applyFont="0" applyAlignment="0" applyProtection="0"/>
    <xf numFmtId="0" fontId="1" fillId="58" borderId="104" applyNumberFormat="0" applyFont="0" applyAlignment="0" applyProtection="0"/>
    <xf numFmtId="0" fontId="1" fillId="60" borderId="0" applyNumberFormat="0" applyBorder="0" applyAlignment="0" applyProtection="0"/>
    <xf numFmtId="0" fontId="1" fillId="61" borderId="0" applyNumberFormat="0" applyBorder="0" applyAlignment="0" applyProtection="0"/>
    <xf numFmtId="0" fontId="1" fillId="64" borderId="0" applyNumberFormat="0" applyBorder="0" applyAlignment="0" applyProtection="0"/>
    <xf numFmtId="0" fontId="1" fillId="65" borderId="0" applyNumberFormat="0" applyBorder="0" applyAlignment="0" applyProtection="0"/>
    <xf numFmtId="0" fontId="1" fillId="68" borderId="0" applyNumberFormat="0" applyBorder="0" applyAlignment="0" applyProtection="0"/>
    <xf numFmtId="0" fontId="1" fillId="69" borderId="0" applyNumberFormat="0" applyBorder="0" applyAlignment="0" applyProtection="0"/>
    <xf numFmtId="0" fontId="1" fillId="72" borderId="0" applyNumberFormat="0" applyBorder="0" applyAlignment="0" applyProtection="0"/>
    <xf numFmtId="0" fontId="1" fillId="73" borderId="0" applyNumberFormat="0" applyBorder="0" applyAlignment="0" applyProtection="0"/>
    <xf numFmtId="0" fontId="1" fillId="76" borderId="0" applyNumberFormat="0" applyBorder="0" applyAlignment="0" applyProtection="0"/>
    <xf numFmtId="0" fontId="1" fillId="77" borderId="0" applyNumberFormat="0" applyBorder="0" applyAlignment="0" applyProtection="0"/>
    <xf numFmtId="0" fontId="1" fillId="80" borderId="0" applyNumberFormat="0" applyBorder="0" applyAlignment="0" applyProtection="0"/>
    <xf numFmtId="0" fontId="1" fillId="81" borderId="0" applyNumberFormat="0" applyBorder="0" applyAlignment="0" applyProtection="0"/>
    <xf numFmtId="0" fontId="1" fillId="60" borderId="0" applyNumberFormat="0" applyBorder="0" applyAlignment="0" applyProtection="0"/>
    <xf numFmtId="0" fontId="1" fillId="61" borderId="0" applyNumberFormat="0" applyBorder="0" applyAlignment="0" applyProtection="0"/>
    <xf numFmtId="0" fontId="1" fillId="64" borderId="0" applyNumberFormat="0" applyBorder="0" applyAlignment="0" applyProtection="0"/>
    <xf numFmtId="0" fontId="1" fillId="65" borderId="0" applyNumberFormat="0" applyBorder="0" applyAlignment="0" applyProtection="0"/>
    <xf numFmtId="0" fontId="1" fillId="68" borderId="0" applyNumberFormat="0" applyBorder="0" applyAlignment="0" applyProtection="0"/>
    <xf numFmtId="0" fontId="1" fillId="69" borderId="0" applyNumberFormat="0" applyBorder="0" applyAlignment="0" applyProtection="0"/>
    <xf numFmtId="0" fontId="1" fillId="72" borderId="0" applyNumberFormat="0" applyBorder="0" applyAlignment="0" applyProtection="0"/>
    <xf numFmtId="0" fontId="1" fillId="73" borderId="0" applyNumberFormat="0" applyBorder="0" applyAlignment="0" applyProtection="0"/>
    <xf numFmtId="0" fontId="1" fillId="76" borderId="0" applyNumberFormat="0" applyBorder="0" applyAlignment="0" applyProtection="0"/>
    <xf numFmtId="0" fontId="1" fillId="77" borderId="0" applyNumberFormat="0" applyBorder="0" applyAlignment="0" applyProtection="0"/>
    <xf numFmtId="0" fontId="1" fillId="80" borderId="0" applyNumberFormat="0" applyBorder="0" applyAlignment="0" applyProtection="0"/>
    <xf numFmtId="0" fontId="1" fillId="81" borderId="0" applyNumberFormat="0" applyBorder="0" applyAlignment="0" applyProtection="0"/>
    <xf numFmtId="0" fontId="1" fillId="58" borderId="104" applyNumberFormat="0" applyFont="0" applyAlignment="0" applyProtection="0"/>
    <xf numFmtId="0" fontId="1" fillId="0" borderId="0"/>
    <xf numFmtId="0" fontId="1" fillId="0" borderId="0"/>
    <xf numFmtId="0" fontId="1" fillId="60" borderId="0" applyNumberFormat="0" applyBorder="0" applyAlignment="0" applyProtection="0"/>
    <xf numFmtId="0" fontId="1" fillId="61" borderId="0" applyNumberFormat="0" applyBorder="0" applyAlignment="0" applyProtection="0"/>
    <xf numFmtId="0" fontId="1" fillId="64" borderId="0" applyNumberFormat="0" applyBorder="0" applyAlignment="0" applyProtection="0"/>
    <xf numFmtId="0" fontId="1" fillId="65" borderId="0" applyNumberFormat="0" applyBorder="0" applyAlignment="0" applyProtection="0"/>
    <xf numFmtId="0" fontId="1" fillId="68" borderId="0" applyNumberFormat="0" applyBorder="0" applyAlignment="0" applyProtection="0"/>
    <xf numFmtId="0" fontId="1" fillId="69" borderId="0" applyNumberFormat="0" applyBorder="0" applyAlignment="0" applyProtection="0"/>
    <xf numFmtId="0" fontId="1" fillId="72" borderId="0" applyNumberFormat="0" applyBorder="0" applyAlignment="0" applyProtection="0"/>
    <xf numFmtId="0" fontId="1" fillId="73" borderId="0" applyNumberFormat="0" applyBorder="0" applyAlignment="0" applyProtection="0"/>
    <xf numFmtId="0" fontId="1" fillId="76" borderId="0" applyNumberFormat="0" applyBorder="0" applyAlignment="0" applyProtection="0"/>
    <xf numFmtId="0" fontId="1" fillId="77" borderId="0" applyNumberFormat="0" applyBorder="0" applyAlignment="0" applyProtection="0"/>
    <xf numFmtId="0" fontId="1" fillId="80" borderId="0" applyNumberFormat="0" applyBorder="0" applyAlignment="0" applyProtection="0"/>
    <xf numFmtId="0" fontId="1" fillId="81" borderId="0" applyNumberFormat="0" applyBorder="0" applyAlignment="0" applyProtection="0"/>
    <xf numFmtId="0" fontId="1" fillId="58" borderId="104" applyNumberFormat="0" applyFont="0" applyAlignment="0" applyProtection="0"/>
    <xf numFmtId="0" fontId="1" fillId="58" borderId="104" applyNumberFormat="0" applyFont="0" applyAlignment="0" applyProtection="0"/>
    <xf numFmtId="0" fontId="1" fillId="60" borderId="0" applyNumberFormat="0" applyBorder="0" applyAlignment="0" applyProtection="0"/>
    <xf numFmtId="0" fontId="1" fillId="61" borderId="0" applyNumberFormat="0" applyBorder="0" applyAlignment="0" applyProtection="0"/>
    <xf numFmtId="0" fontId="1" fillId="64" borderId="0" applyNumberFormat="0" applyBorder="0" applyAlignment="0" applyProtection="0"/>
    <xf numFmtId="0" fontId="1" fillId="65" borderId="0" applyNumberFormat="0" applyBorder="0" applyAlignment="0" applyProtection="0"/>
    <xf numFmtId="0" fontId="1" fillId="68" borderId="0" applyNumberFormat="0" applyBorder="0" applyAlignment="0" applyProtection="0"/>
    <xf numFmtId="0" fontId="1" fillId="69" borderId="0" applyNumberFormat="0" applyBorder="0" applyAlignment="0" applyProtection="0"/>
    <xf numFmtId="0" fontId="1" fillId="72" borderId="0" applyNumberFormat="0" applyBorder="0" applyAlignment="0" applyProtection="0"/>
    <xf numFmtId="0" fontId="1" fillId="73" borderId="0" applyNumberFormat="0" applyBorder="0" applyAlignment="0" applyProtection="0"/>
    <xf numFmtId="0" fontId="1" fillId="76" borderId="0" applyNumberFormat="0" applyBorder="0" applyAlignment="0" applyProtection="0"/>
    <xf numFmtId="0" fontId="1" fillId="77" borderId="0" applyNumberFormat="0" applyBorder="0" applyAlignment="0" applyProtection="0"/>
    <xf numFmtId="0" fontId="1" fillId="80" borderId="0" applyNumberFormat="0" applyBorder="0" applyAlignment="0" applyProtection="0"/>
    <xf numFmtId="0" fontId="1" fillId="81" borderId="0" applyNumberFormat="0" applyBorder="0" applyAlignment="0" applyProtection="0"/>
    <xf numFmtId="0" fontId="1" fillId="60" borderId="0" applyNumberFormat="0" applyBorder="0" applyAlignment="0" applyProtection="0"/>
    <xf numFmtId="0" fontId="1" fillId="61" borderId="0" applyNumberFormat="0" applyBorder="0" applyAlignment="0" applyProtection="0"/>
    <xf numFmtId="0" fontId="1" fillId="64" borderId="0" applyNumberFormat="0" applyBorder="0" applyAlignment="0" applyProtection="0"/>
    <xf numFmtId="0" fontId="1" fillId="65" borderId="0" applyNumberFormat="0" applyBorder="0" applyAlignment="0" applyProtection="0"/>
    <xf numFmtId="0" fontId="1" fillId="68" borderId="0" applyNumberFormat="0" applyBorder="0" applyAlignment="0" applyProtection="0"/>
    <xf numFmtId="0" fontId="1" fillId="69" borderId="0" applyNumberFormat="0" applyBorder="0" applyAlignment="0" applyProtection="0"/>
    <xf numFmtId="0" fontId="1" fillId="72" borderId="0" applyNumberFormat="0" applyBorder="0" applyAlignment="0" applyProtection="0"/>
    <xf numFmtId="0" fontId="1" fillId="73" borderId="0" applyNumberFormat="0" applyBorder="0" applyAlignment="0" applyProtection="0"/>
    <xf numFmtId="0" fontId="1" fillId="76" borderId="0" applyNumberFormat="0" applyBorder="0" applyAlignment="0" applyProtection="0"/>
    <xf numFmtId="0" fontId="1" fillId="77" borderId="0" applyNumberFormat="0" applyBorder="0" applyAlignment="0" applyProtection="0"/>
    <xf numFmtId="0" fontId="1" fillId="80" borderId="0" applyNumberFormat="0" applyBorder="0" applyAlignment="0" applyProtection="0"/>
    <xf numFmtId="0" fontId="1" fillId="81" borderId="0" applyNumberFormat="0" applyBorder="0" applyAlignment="0" applyProtection="0"/>
    <xf numFmtId="0" fontId="1" fillId="58" borderId="104" applyNumberFormat="0" applyFont="0" applyAlignment="0" applyProtection="0"/>
    <xf numFmtId="0" fontId="1" fillId="60" borderId="0" applyNumberFormat="0" applyBorder="0" applyAlignment="0" applyProtection="0"/>
    <xf numFmtId="0" fontId="1" fillId="61" borderId="0" applyNumberFormat="0" applyBorder="0" applyAlignment="0" applyProtection="0"/>
    <xf numFmtId="0" fontId="1" fillId="64" borderId="0" applyNumberFormat="0" applyBorder="0" applyAlignment="0" applyProtection="0"/>
    <xf numFmtId="0" fontId="1" fillId="65" borderId="0" applyNumberFormat="0" applyBorder="0" applyAlignment="0" applyProtection="0"/>
    <xf numFmtId="0" fontId="1" fillId="68" borderId="0" applyNumberFormat="0" applyBorder="0" applyAlignment="0" applyProtection="0"/>
    <xf numFmtId="0" fontId="1" fillId="69" borderId="0" applyNumberFormat="0" applyBorder="0" applyAlignment="0" applyProtection="0"/>
    <xf numFmtId="0" fontId="1" fillId="72" borderId="0" applyNumberFormat="0" applyBorder="0" applyAlignment="0" applyProtection="0"/>
    <xf numFmtId="0" fontId="1" fillId="73" borderId="0" applyNumberFormat="0" applyBorder="0" applyAlignment="0" applyProtection="0"/>
    <xf numFmtId="0" fontId="1" fillId="76" borderId="0" applyNumberFormat="0" applyBorder="0" applyAlignment="0" applyProtection="0"/>
    <xf numFmtId="0" fontId="1" fillId="77" borderId="0" applyNumberFormat="0" applyBorder="0" applyAlignment="0" applyProtection="0"/>
    <xf numFmtId="0" fontId="1" fillId="80" borderId="0" applyNumberFormat="0" applyBorder="0" applyAlignment="0" applyProtection="0"/>
    <xf numFmtId="0" fontId="1" fillId="81" borderId="0" applyNumberFormat="0" applyBorder="0" applyAlignment="0" applyProtection="0"/>
    <xf numFmtId="0" fontId="1" fillId="58" borderId="104" applyNumberFormat="0" applyFont="0" applyAlignment="0" applyProtection="0"/>
    <xf numFmtId="0" fontId="1" fillId="58" borderId="104" applyNumberFormat="0" applyFont="0" applyAlignment="0" applyProtection="0"/>
    <xf numFmtId="0" fontId="1" fillId="60" borderId="0" applyNumberFormat="0" applyBorder="0" applyAlignment="0" applyProtection="0"/>
    <xf numFmtId="0" fontId="1" fillId="61" borderId="0" applyNumberFormat="0" applyBorder="0" applyAlignment="0" applyProtection="0"/>
    <xf numFmtId="0" fontId="1" fillId="64" borderId="0" applyNumberFormat="0" applyBorder="0" applyAlignment="0" applyProtection="0"/>
    <xf numFmtId="0" fontId="1" fillId="65" borderId="0" applyNumberFormat="0" applyBorder="0" applyAlignment="0" applyProtection="0"/>
    <xf numFmtId="0" fontId="1" fillId="68" borderId="0" applyNumberFormat="0" applyBorder="0" applyAlignment="0" applyProtection="0"/>
    <xf numFmtId="0" fontId="1" fillId="69" borderId="0" applyNumberFormat="0" applyBorder="0" applyAlignment="0" applyProtection="0"/>
    <xf numFmtId="0" fontId="1" fillId="72" borderId="0" applyNumberFormat="0" applyBorder="0" applyAlignment="0" applyProtection="0"/>
    <xf numFmtId="0" fontId="1" fillId="73" borderId="0" applyNumberFormat="0" applyBorder="0" applyAlignment="0" applyProtection="0"/>
    <xf numFmtId="0" fontId="1" fillId="76" borderId="0" applyNumberFormat="0" applyBorder="0" applyAlignment="0" applyProtection="0"/>
    <xf numFmtId="0" fontId="1" fillId="77" borderId="0" applyNumberFormat="0" applyBorder="0" applyAlignment="0" applyProtection="0"/>
    <xf numFmtId="0" fontId="1" fillId="80" borderId="0" applyNumberFormat="0" applyBorder="0" applyAlignment="0" applyProtection="0"/>
    <xf numFmtId="0" fontId="1" fillId="81" borderId="0" applyNumberFormat="0" applyBorder="0" applyAlignment="0" applyProtection="0"/>
    <xf numFmtId="0" fontId="1" fillId="60" borderId="0" applyNumberFormat="0" applyBorder="0" applyAlignment="0" applyProtection="0"/>
    <xf numFmtId="0" fontId="1" fillId="61" borderId="0" applyNumberFormat="0" applyBorder="0" applyAlignment="0" applyProtection="0"/>
    <xf numFmtId="0" fontId="1" fillId="64" borderId="0" applyNumberFormat="0" applyBorder="0" applyAlignment="0" applyProtection="0"/>
    <xf numFmtId="0" fontId="1" fillId="65" borderId="0" applyNumberFormat="0" applyBorder="0" applyAlignment="0" applyProtection="0"/>
    <xf numFmtId="0" fontId="1" fillId="68" borderId="0" applyNumberFormat="0" applyBorder="0" applyAlignment="0" applyProtection="0"/>
    <xf numFmtId="0" fontId="1" fillId="69" borderId="0" applyNumberFormat="0" applyBorder="0" applyAlignment="0" applyProtection="0"/>
    <xf numFmtId="0" fontId="1" fillId="72" borderId="0" applyNumberFormat="0" applyBorder="0" applyAlignment="0" applyProtection="0"/>
    <xf numFmtId="0" fontId="1" fillId="73" borderId="0" applyNumberFormat="0" applyBorder="0" applyAlignment="0" applyProtection="0"/>
    <xf numFmtId="0" fontId="1" fillId="76" borderId="0" applyNumberFormat="0" applyBorder="0" applyAlignment="0" applyProtection="0"/>
    <xf numFmtId="0" fontId="1" fillId="77" borderId="0" applyNumberFormat="0" applyBorder="0" applyAlignment="0" applyProtection="0"/>
    <xf numFmtId="0" fontId="1" fillId="80" borderId="0" applyNumberFormat="0" applyBorder="0" applyAlignment="0" applyProtection="0"/>
    <xf numFmtId="0" fontId="1" fillId="81" borderId="0" applyNumberFormat="0" applyBorder="0" applyAlignment="0" applyProtection="0"/>
    <xf numFmtId="0" fontId="1" fillId="58" borderId="104" applyNumberFormat="0" applyFont="0" applyAlignment="0" applyProtection="0"/>
    <xf numFmtId="0" fontId="1" fillId="60" borderId="0" applyNumberFormat="0" applyBorder="0" applyAlignment="0" applyProtection="0"/>
    <xf numFmtId="0" fontId="1" fillId="61" borderId="0" applyNumberFormat="0" applyBorder="0" applyAlignment="0" applyProtection="0"/>
    <xf numFmtId="0" fontId="1" fillId="64" borderId="0" applyNumberFormat="0" applyBorder="0" applyAlignment="0" applyProtection="0"/>
    <xf numFmtId="0" fontId="1" fillId="65" borderId="0" applyNumberFormat="0" applyBorder="0" applyAlignment="0" applyProtection="0"/>
    <xf numFmtId="0" fontId="1" fillId="68" borderId="0" applyNumberFormat="0" applyBorder="0" applyAlignment="0" applyProtection="0"/>
    <xf numFmtId="0" fontId="1" fillId="69" borderId="0" applyNumberFormat="0" applyBorder="0" applyAlignment="0" applyProtection="0"/>
    <xf numFmtId="0" fontId="1" fillId="72" borderId="0" applyNumberFormat="0" applyBorder="0" applyAlignment="0" applyProtection="0"/>
    <xf numFmtId="0" fontId="1" fillId="73" borderId="0" applyNumberFormat="0" applyBorder="0" applyAlignment="0" applyProtection="0"/>
    <xf numFmtId="0" fontId="1" fillId="76" borderId="0" applyNumberFormat="0" applyBorder="0" applyAlignment="0" applyProtection="0"/>
    <xf numFmtId="0" fontId="1" fillId="77" borderId="0" applyNumberFormat="0" applyBorder="0" applyAlignment="0" applyProtection="0"/>
    <xf numFmtId="0" fontId="1" fillId="80" borderId="0" applyNumberFormat="0" applyBorder="0" applyAlignment="0" applyProtection="0"/>
    <xf numFmtId="0" fontId="1" fillId="81" borderId="0" applyNumberFormat="0" applyBorder="0" applyAlignment="0" applyProtection="0"/>
    <xf numFmtId="0" fontId="1" fillId="58" borderId="104" applyNumberFormat="0" applyFont="0" applyAlignment="0" applyProtection="0"/>
    <xf numFmtId="0" fontId="1" fillId="58" borderId="104" applyNumberFormat="0" applyFont="0" applyAlignment="0" applyProtection="0"/>
    <xf numFmtId="0" fontId="1" fillId="60" borderId="0" applyNumberFormat="0" applyBorder="0" applyAlignment="0" applyProtection="0"/>
    <xf numFmtId="0" fontId="1" fillId="61" borderId="0" applyNumberFormat="0" applyBorder="0" applyAlignment="0" applyProtection="0"/>
    <xf numFmtId="0" fontId="1" fillId="64" borderId="0" applyNumberFormat="0" applyBorder="0" applyAlignment="0" applyProtection="0"/>
    <xf numFmtId="0" fontId="1" fillId="65" borderId="0" applyNumberFormat="0" applyBorder="0" applyAlignment="0" applyProtection="0"/>
    <xf numFmtId="0" fontId="1" fillId="68" borderId="0" applyNumberFormat="0" applyBorder="0" applyAlignment="0" applyProtection="0"/>
    <xf numFmtId="0" fontId="1" fillId="69" borderId="0" applyNumberFormat="0" applyBorder="0" applyAlignment="0" applyProtection="0"/>
    <xf numFmtId="0" fontId="1" fillId="72" borderId="0" applyNumberFormat="0" applyBorder="0" applyAlignment="0" applyProtection="0"/>
    <xf numFmtId="0" fontId="1" fillId="73" borderId="0" applyNumberFormat="0" applyBorder="0" applyAlignment="0" applyProtection="0"/>
    <xf numFmtId="0" fontId="1" fillId="76" borderId="0" applyNumberFormat="0" applyBorder="0" applyAlignment="0" applyProtection="0"/>
    <xf numFmtId="0" fontId="1" fillId="77" borderId="0" applyNumberFormat="0" applyBorder="0" applyAlignment="0" applyProtection="0"/>
    <xf numFmtId="0" fontId="1" fillId="80" borderId="0" applyNumberFormat="0" applyBorder="0" applyAlignment="0" applyProtection="0"/>
    <xf numFmtId="0" fontId="1" fillId="81" borderId="0" applyNumberFormat="0" applyBorder="0" applyAlignment="0" applyProtection="0"/>
    <xf numFmtId="0" fontId="1" fillId="60" borderId="0" applyNumberFormat="0" applyBorder="0" applyAlignment="0" applyProtection="0"/>
    <xf numFmtId="0" fontId="1" fillId="61" borderId="0" applyNumberFormat="0" applyBorder="0" applyAlignment="0" applyProtection="0"/>
    <xf numFmtId="0" fontId="1" fillId="64" borderId="0" applyNumberFormat="0" applyBorder="0" applyAlignment="0" applyProtection="0"/>
    <xf numFmtId="0" fontId="1" fillId="65" borderId="0" applyNumberFormat="0" applyBorder="0" applyAlignment="0" applyProtection="0"/>
    <xf numFmtId="0" fontId="1" fillId="68" borderId="0" applyNumberFormat="0" applyBorder="0" applyAlignment="0" applyProtection="0"/>
    <xf numFmtId="0" fontId="1" fillId="69" borderId="0" applyNumberFormat="0" applyBorder="0" applyAlignment="0" applyProtection="0"/>
    <xf numFmtId="0" fontId="1" fillId="72" borderId="0" applyNumberFormat="0" applyBorder="0" applyAlignment="0" applyProtection="0"/>
    <xf numFmtId="0" fontId="1" fillId="73" borderId="0" applyNumberFormat="0" applyBorder="0" applyAlignment="0" applyProtection="0"/>
    <xf numFmtId="0" fontId="1" fillId="76" borderId="0" applyNumberFormat="0" applyBorder="0" applyAlignment="0" applyProtection="0"/>
    <xf numFmtId="0" fontId="1" fillId="77" borderId="0" applyNumberFormat="0" applyBorder="0" applyAlignment="0" applyProtection="0"/>
    <xf numFmtId="0" fontId="1" fillId="80" borderId="0" applyNumberFormat="0" applyBorder="0" applyAlignment="0" applyProtection="0"/>
    <xf numFmtId="0" fontId="1" fillId="81" borderId="0" applyNumberFormat="0" applyBorder="0" applyAlignment="0" applyProtection="0"/>
    <xf numFmtId="0" fontId="1" fillId="58" borderId="104" applyNumberFormat="0" applyFont="0" applyAlignment="0" applyProtection="0"/>
    <xf numFmtId="0" fontId="1" fillId="9" borderId="0" applyNumberFormat="0" applyBorder="0" applyAlignment="0" applyProtection="0"/>
    <xf numFmtId="0" fontId="1" fillId="60" borderId="0" applyNumberFormat="0" applyBorder="0" applyAlignment="0" applyProtection="0"/>
    <xf numFmtId="0" fontId="1" fillId="60" borderId="0" applyNumberFormat="0" applyBorder="0" applyAlignment="0" applyProtection="0"/>
    <xf numFmtId="0" fontId="1" fillId="60" borderId="0" applyNumberFormat="0" applyBorder="0" applyAlignment="0" applyProtection="0"/>
    <xf numFmtId="0" fontId="1" fillId="60" borderId="0" applyNumberFormat="0" applyBorder="0" applyAlignment="0" applyProtection="0"/>
    <xf numFmtId="0" fontId="1" fillId="60" borderId="0" applyNumberFormat="0" applyBorder="0" applyAlignment="0" applyProtection="0"/>
    <xf numFmtId="0" fontId="1" fillId="60" borderId="0" applyNumberFormat="0" applyBorder="0" applyAlignment="0" applyProtection="0"/>
    <xf numFmtId="0" fontId="1" fillId="60" borderId="0" applyNumberFormat="0" applyBorder="0" applyAlignment="0" applyProtection="0"/>
    <xf numFmtId="0" fontId="1" fillId="60" borderId="0" applyNumberFormat="0" applyBorder="0" applyAlignment="0" applyProtection="0"/>
    <xf numFmtId="0" fontId="1" fillId="60" borderId="0" applyNumberFormat="0" applyBorder="0" applyAlignment="0" applyProtection="0"/>
    <xf numFmtId="0" fontId="1" fillId="64" borderId="0" applyNumberFormat="0" applyBorder="0" applyAlignment="0" applyProtection="0"/>
    <xf numFmtId="0" fontId="1" fillId="64" borderId="0" applyNumberFormat="0" applyBorder="0" applyAlignment="0" applyProtection="0"/>
    <xf numFmtId="0" fontId="1" fillId="64" borderId="0" applyNumberFormat="0" applyBorder="0" applyAlignment="0" applyProtection="0"/>
    <xf numFmtId="0" fontId="1" fillId="64" borderId="0" applyNumberFormat="0" applyBorder="0" applyAlignment="0" applyProtection="0"/>
    <xf numFmtId="0" fontId="1" fillId="64" borderId="0" applyNumberFormat="0" applyBorder="0" applyAlignment="0" applyProtection="0"/>
    <xf numFmtId="0" fontId="1" fillId="64" borderId="0" applyNumberFormat="0" applyBorder="0" applyAlignment="0" applyProtection="0"/>
    <xf numFmtId="0" fontId="1" fillId="64" borderId="0" applyNumberFormat="0" applyBorder="0" applyAlignment="0" applyProtection="0"/>
    <xf numFmtId="0" fontId="1" fillId="64" borderId="0" applyNumberFormat="0" applyBorder="0" applyAlignment="0" applyProtection="0"/>
    <xf numFmtId="0" fontId="1" fillId="64" borderId="0" applyNumberFormat="0" applyBorder="0" applyAlignment="0" applyProtection="0"/>
    <xf numFmtId="0" fontId="1" fillId="68" borderId="0" applyNumberFormat="0" applyBorder="0" applyAlignment="0" applyProtection="0"/>
    <xf numFmtId="0" fontId="1" fillId="68" borderId="0" applyNumberFormat="0" applyBorder="0" applyAlignment="0" applyProtection="0"/>
    <xf numFmtId="0" fontId="1" fillId="68" borderId="0" applyNumberFormat="0" applyBorder="0" applyAlignment="0" applyProtection="0"/>
    <xf numFmtId="0" fontId="1" fillId="68" borderId="0" applyNumberFormat="0" applyBorder="0" applyAlignment="0" applyProtection="0"/>
    <xf numFmtId="0" fontId="1" fillId="68" borderId="0" applyNumberFormat="0" applyBorder="0" applyAlignment="0" applyProtection="0"/>
    <xf numFmtId="0" fontId="1" fillId="68" borderId="0" applyNumberFormat="0" applyBorder="0" applyAlignment="0" applyProtection="0"/>
    <xf numFmtId="0" fontId="1" fillId="68" borderId="0" applyNumberFormat="0" applyBorder="0" applyAlignment="0" applyProtection="0"/>
    <xf numFmtId="0" fontId="1" fillId="68" borderId="0" applyNumberFormat="0" applyBorder="0" applyAlignment="0" applyProtection="0"/>
    <xf numFmtId="0" fontId="1" fillId="68" borderId="0" applyNumberFormat="0" applyBorder="0" applyAlignment="0" applyProtection="0"/>
    <xf numFmtId="0" fontId="1" fillId="72" borderId="0" applyNumberFormat="0" applyBorder="0" applyAlignment="0" applyProtection="0"/>
    <xf numFmtId="0" fontId="1" fillId="72" borderId="0" applyNumberFormat="0" applyBorder="0" applyAlignment="0" applyProtection="0"/>
    <xf numFmtId="0" fontId="1" fillId="72" borderId="0" applyNumberFormat="0" applyBorder="0" applyAlignment="0" applyProtection="0"/>
    <xf numFmtId="0" fontId="1" fillId="72" borderId="0" applyNumberFormat="0" applyBorder="0" applyAlignment="0" applyProtection="0"/>
    <xf numFmtId="0" fontId="1" fillId="72" borderId="0" applyNumberFormat="0" applyBorder="0" applyAlignment="0" applyProtection="0"/>
    <xf numFmtId="0" fontId="1" fillId="72" borderId="0" applyNumberFormat="0" applyBorder="0" applyAlignment="0" applyProtection="0"/>
    <xf numFmtId="0" fontId="1" fillId="72" borderId="0" applyNumberFormat="0" applyBorder="0" applyAlignment="0" applyProtection="0"/>
    <xf numFmtId="0" fontId="1" fillId="72" borderId="0" applyNumberFormat="0" applyBorder="0" applyAlignment="0" applyProtection="0"/>
    <xf numFmtId="0" fontId="1" fillId="72" borderId="0" applyNumberFormat="0" applyBorder="0" applyAlignment="0" applyProtection="0"/>
    <xf numFmtId="0" fontId="1" fillId="76" borderId="0" applyNumberFormat="0" applyBorder="0" applyAlignment="0" applyProtection="0"/>
    <xf numFmtId="0" fontId="1" fillId="76" borderId="0" applyNumberFormat="0" applyBorder="0" applyAlignment="0" applyProtection="0"/>
    <xf numFmtId="0" fontId="1" fillId="76" borderId="0" applyNumberFormat="0" applyBorder="0" applyAlignment="0" applyProtection="0"/>
    <xf numFmtId="0" fontId="1" fillId="76" borderId="0" applyNumberFormat="0" applyBorder="0" applyAlignment="0" applyProtection="0"/>
    <xf numFmtId="0" fontId="1" fillId="76" borderId="0" applyNumberFormat="0" applyBorder="0" applyAlignment="0" applyProtection="0"/>
    <xf numFmtId="0" fontId="1" fillId="76" borderId="0" applyNumberFormat="0" applyBorder="0" applyAlignment="0" applyProtection="0"/>
    <xf numFmtId="0" fontId="1" fillId="76" borderId="0" applyNumberFormat="0" applyBorder="0" applyAlignment="0" applyProtection="0"/>
    <xf numFmtId="0" fontId="1" fillId="76" borderId="0" applyNumberFormat="0" applyBorder="0" applyAlignment="0" applyProtection="0"/>
    <xf numFmtId="0" fontId="1" fillId="76" borderId="0" applyNumberFormat="0" applyBorder="0" applyAlignment="0" applyProtection="0"/>
    <xf numFmtId="0" fontId="1" fillId="80" borderId="0" applyNumberFormat="0" applyBorder="0" applyAlignment="0" applyProtection="0"/>
    <xf numFmtId="0" fontId="1" fillId="80" borderId="0" applyNumberFormat="0" applyBorder="0" applyAlignment="0" applyProtection="0"/>
    <xf numFmtId="0" fontId="1" fillId="80" borderId="0" applyNumberFormat="0" applyBorder="0" applyAlignment="0" applyProtection="0"/>
    <xf numFmtId="0" fontId="1" fillId="80" borderId="0" applyNumberFormat="0" applyBorder="0" applyAlignment="0" applyProtection="0"/>
    <xf numFmtId="0" fontId="1" fillId="80" borderId="0" applyNumberFormat="0" applyBorder="0" applyAlignment="0" applyProtection="0"/>
    <xf numFmtId="0" fontId="1" fillId="80" borderId="0" applyNumberFormat="0" applyBorder="0" applyAlignment="0" applyProtection="0"/>
    <xf numFmtId="0" fontId="1" fillId="80" borderId="0" applyNumberFormat="0" applyBorder="0" applyAlignment="0" applyProtection="0"/>
    <xf numFmtId="0" fontId="1" fillId="80" borderId="0" applyNumberFormat="0" applyBorder="0" applyAlignment="0" applyProtection="0"/>
    <xf numFmtId="0" fontId="1" fillId="80" borderId="0" applyNumberFormat="0" applyBorder="0" applyAlignment="0" applyProtection="0"/>
    <xf numFmtId="0" fontId="1" fillId="61" borderId="0" applyNumberFormat="0" applyBorder="0" applyAlignment="0" applyProtection="0"/>
    <xf numFmtId="0" fontId="1" fillId="61" borderId="0" applyNumberFormat="0" applyBorder="0" applyAlignment="0" applyProtection="0"/>
    <xf numFmtId="0" fontId="1" fillId="61" borderId="0" applyNumberFormat="0" applyBorder="0" applyAlignment="0" applyProtection="0"/>
    <xf numFmtId="0" fontId="1" fillId="61" borderId="0" applyNumberFormat="0" applyBorder="0" applyAlignment="0" applyProtection="0"/>
    <xf numFmtId="0" fontId="1" fillId="61" borderId="0" applyNumberFormat="0" applyBorder="0" applyAlignment="0" applyProtection="0"/>
    <xf numFmtId="0" fontId="1" fillId="61" borderId="0" applyNumberFormat="0" applyBorder="0" applyAlignment="0" applyProtection="0"/>
    <xf numFmtId="0" fontId="1" fillId="61" borderId="0" applyNumberFormat="0" applyBorder="0" applyAlignment="0" applyProtection="0"/>
    <xf numFmtId="0" fontId="1" fillId="61" borderId="0" applyNumberFormat="0" applyBorder="0" applyAlignment="0" applyProtection="0"/>
    <xf numFmtId="0" fontId="1" fillId="61" borderId="0" applyNumberFormat="0" applyBorder="0" applyAlignment="0" applyProtection="0"/>
    <xf numFmtId="0" fontId="1" fillId="65" borderId="0" applyNumberFormat="0" applyBorder="0" applyAlignment="0" applyProtection="0"/>
    <xf numFmtId="0" fontId="1" fillId="65" borderId="0" applyNumberFormat="0" applyBorder="0" applyAlignment="0" applyProtection="0"/>
    <xf numFmtId="0" fontId="1" fillId="65" borderId="0" applyNumberFormat="0" applyBorder="0" applyAlignment="0" applyProtection="0"/>
    <xf numFmtId="0" fontId="1" fillId="65" borderId="0" applyNumberFormat="0" applyBorder="0" applyAlignment="0" applyProtection="0"/>
    <xf numFmtId="0" fontId="1" fillId="65" borderId="0" applyNumberFormat="0" applyBorder="0" applyAlignment="0" applyProtection="0"/>
    <xf numFmtId="0" fontId="1" fillId="65" borderId="0" applyNumberFormat="0" applyBorder="0" applyAlignment="0" applyProtection="0"/>
    <xf numFmtId="0" fontId="1" fillId="65" borderId="0" applyNumberFormat="0" applyBorder="0" applyAlignment="0" applyProtection="0"/>
    <xf numFmtId="0" fontId="1" fillId="65" borderId="0" applyNumberFormat="0" applyBorder="0" applyAlignment="0" applyProtection="0"/>
    <xf numFmtId="0" fontId="1" fillId="65" borderId="0" applyNumberFormat="0" applyBorder="0" applyAlignment="0" applyProtection="0"/>
    <xf numFmtId="0" fontId="1" fillId="69" borderId="0" applyNumberFormat="0" applyBorder="0" applyAlignment="0" applyProtection="0"/>
    <xf numFmtId="0" fontId="1" fillId="69" borderId="0" applyNumberFormat="0" applyBorder="0" applyAlignment="0" applyProtection="0"/>
    <xf numFmtId="0" fontId="1" fillId="69" borderId="0" applyNumberFormat="0" applyBorder="0" applyAlignment="0" applyProtection="0"/>
    <xf numFmtId="0" fontId="1" fillId="69" borderId="0" applyNumberFormat="0" applyBorder="0" applyAlignment="0" applyProtection="0"/>
    <xf numFmtId="0" fontId="1" fillId="69" borderId="0" applyNumberFormat="0" applyBorder="0" applyAlignment="0" applyProtection="0"/>
    <xf numFmtId="0" fontId="1" fillId="69" borderId="0" applyNumberFormat="0" applyBorder="0" applyAlignment="0" applyProtection="0"/>
    <xf numFmtId="0" fontId="1" fillId="69" borderId="0" applyNumberFormat="0" applyBorder="0" applyAlignment="0" applyProtection="0"/>
    <xf numFmtId="0" fontId="1" fillId="69" borderId="0" applyNumberFormat="0" applyBorder="0" applyAlignment="0" applyProtection="0"/>
    <xf numFmtId="0" fontId="1" fillId="69" borderId="0" applyNumberFormat="0" applyBorder="0" applyAlignment="0" applyProtection="0"/>
    <xf numFmtId="0" fontId="1" fillId="73" borderId="0" applyNumberFormat="0" applyBorder="0" applyAlignment="0" applyProtection="0"/>
    <xf numFmtId="0" fontId="1" fillId="73" borderId="0" applyNumberFormat="0" applyBorder="0" applyAlignment="0" applyProtection="0"/>
    <xf numFmtId="0" fontId="1" fillId="73" borderId="0" applyNumberFormat="0" applyBorder="0" applyAlignment="0" applyProtection="0"/>
    <xf numFmtId="0" fontId="1" fillId="73" borderId="0" applyNumberFormat="0" applyBorder="0" applyAlignment="0" applyProtection="0"/>
    <xf numFmtId="0" fontId="1" fillId="73" borderId="0" applyNumberFormat="0" applyBorder="0" applyAlignment="0" applyProtection="0"/>
    <xf numFmtId="0" fontId="1" fillId="73" borderId="0" applyNumberFormat="0" applyBorder="0" applyAlignment="0" applyProtection="0"/>
    <xf numFmtId="0" fontId="1" fillId="73" borderId="0" applyNumberFormat="0" applyBorder="0" applyAlignment="0" applyProtection="0"/>
    <xf numFmtId="0" fontId="1" fillId="73" borderId="0" applyNumberFormat="0" applyBorder="0" applyAlignment="0" applyProtection="0"/>
    <xf numFmtId="0" fontId="1" fillId="73" borderId="0" applyNumberFormat="0" applyBorder="0" applyAlignment="0" applyProtection="0"/>
    <xf numFmtId="0" fontId="1" fillId="77" borderId="0" applyNumberFormat="0" applyBorder="0" applyAlignment="0" applyProtection="0"/>
    <xf numFmtId="0" fontId="1" fillId="77" borderId="0" applyNumberFormat="0" applyBorder="0" applyAlignment="0" applyProtection="0"/>
    <xf numFmtId="0" fontId="1" fillId="77" borderId="0" applyNumberFormat="0" applyBorder="0" applyAlignment="0" applyProtection="0"/>
    <xf numFmtId="0" fontId="1" fillId="77" borderId="0" applyNumberFormat="0" applyBorder="0" applyAlignment="0" applyProtection="0"/>
    <xf numFmtId="0" fontId="1" fillId="77" borderId="0" applyNumberFormat="0" applyBorder="0" applyAlignment="0" applyProtection="0"/>
    <xf numFmtId="0" fontId="1" fillId="77" borderId="0" applyNumberFormat="0" applyBorder="0" applyAlignment="0" applyProtection="0"/>
    <xf numFmtId="0" fontId="1" fillId="77" borderId="0" applyNumberFormat="0" applyBorder="0" applyAlignment="0" applyProtection="0"/>
    <xf numFmtId="0" fontId="1" fillId="77" borderId="0" applyNumberFormat="0" applyBorder="0" applyAlignment="0" applyProtection="0"/>
    <xf numFmtId="0" fontId="1" fillId="77" borderId="0" applyNumberFormat="0" applyBorder="0" applyAlignment="0" applyProtection="0"/>
    <xf numFmtId="0" fontId="1" fillId="81" borderId="0" applyNumberFormat="0" applyBorder="0" applyAlignment="0" applyProtection="0"/>
    <xf numFmtId="0" fontId="1" fillId="81" borderId="0" applyNumberFormat="0" applyBorder="0" applyAlignment="0" applyProtection="0"/>
    <xf numFmtId="0" fontId="1" fillId="81" borderId="0" applyNumberFormat="0" applyBorder="0" applyAlignment="0" applyProtection="0"/>
    <xf numFmtId="0" fontId="1" fillId="81" borderId="0" applyNumberFormat="0" applyBorder="0" applyAlignment="0" applyProtection="0"/>
    <xf numFmtId="0" fontId="1" fillId="81" borderId="0" applyNumberFormat="0" applyBorder="0" applyAlignment="0" applyProtection="0"/>
    <xf numFmtId="0" fontId="1" fillId="81" borderId="0" applyNumberFormat="0" applyBorder="0" applyAlignment="0" applyProtection="0"/>
    <xf numFmtId="0" fontId="1" fillId="81" borderId="0" applyNumberFormat="0" applyBorder="0" applyAlignment="0" applyProtection="0"/>
    <xf numFmtId="0" fontId="1" fillId="81" borderId="0" applyNumberFormat="0" applyBorder="0" applyAlignment="0" applyProtection="0"/>
    <xf numFmtId="0" fontId="1" fillId="81" borderId="0" applyNumberFormat="0" applyBorder="0" applyAlignment="0" applyProtection="0"/>
    <xf numFmtId="0" fontId="1" fillId="58" borderId="104" applyNumberFormat="0" applyFont="0" applyAlignment="0" applyProtection="0"/>
    <xf numFmtId="0" fontId="1" fillId="58" borderId="104" applyNumberFormat="0" applyFont="0" applyAlignment="0" applyProtection="0"/>
    <xf numFmtId="0" fontId="1" fillId="58" borderId="104" applyNumberFormat="0" applyFont="0" applyAlignment="0" applyProtection="0"/>
    <xf numFmtId="0" fontId="1" fillId="58" borderId="104" applyNumberFormat="0" applyFont="0" applyAlignment="0" applyProtection="0"/>
    <xf numFmtId="0" fontId="1" fillId="58" borderId="104" applyNumberFormat="0" applyFont="0" applyAlignment="0" applyProtection="0"/>
    <xf numFmtId="0" fontId="1" fillId="58" borderId="104" applyNumberFormat="0" applyFont="0" applyAlignment="0" applyProtection="0"/>
    <xf numFmtId="0" fontId="1" fillId="58" borderId="104" applyNumberFormat="0" applyFont="0" applyAlignment="0" applyProtection="0"/>
    <xf numFmtId="0" fontId="1" fillId="58" borderId="104" applyNumberFormat="0" applyFont="0" applyAlignment="0" applyProtection="0"/>
    <xf numFmtId="0" fontId="1" fillId="58" borderId="104" applyNumberFormat="0" applyFont="0" applyAlignment="0" applyProtection="0"/>
    <xf numFmtId="0" fontId="1" fillId="0" borderId="0"/>
    <xf numFmtId="0" fontId="1" fillId="0" borderId="0"/>
    <xf numFmtId="9" fontId="1" fillId="0" borderId="0" applyFont="0" applyFill="0" applyBorder="0" applyAlignment="0" applyProtection="0"/>
    <xf numFmtId="0" fontId="1" fillId="60" borderId="0" applyNumberFormat="0" applyBorder="0" applyAlignment="0" applyProtection="0"/>
    <xf numFmtId="0" fontId="1" fillId="61" borderId="0" applyNumberFormat="0" applyBorder="0" applyAlignment="0" applyProtection="0"/>
    <xf numFmtId="0" fontId="1" fillId="64" borderId="0" applyNumberFormat="0" applyBorder="0" applyAlignment="0" applyProtection="0"/>
    <xf numFmtId="0" fontId="1" fillId="65" borderId="0" applyNumberFormat="0" applyBorder="0" applyAlignment="0" applyProtection="0"/>
    <xf numFmtId="0" fontId="1" fillId="68" borderId="0" applyNumberFormat="0" applyBorder="0" applyAlignment="0" applyProtection="0"/>
    <xf numFmtId="0" fontId="1" fillId="69" borderId="0" applyNumberFormat="0" applyBorder="0" applyAlignment="0" applyProtection="0"/>
    <xf numFmtId="0" fontId="1" fillId="72" borderId="0" applyNumberFormat="0" applyBorder="0" applyAlignment="0" applyProtection="0"/>
    <xf numFmtId="0" fontId="1" fillId="73" borderId="0" applyNumberFormat="0" applyBorder="0" applyAlignment="0" applyProtection="0"/>
    <xf numFmtId="0" fontId="1" fillId="76" borderId="0" applyNumberFormat="0" applyBorder="0" applyAlignment="0" applyProtection="0"/>
    <xf numFmtId="0" fontId="1" fillId="77" borderId="0" applyNumberFormat="0" applyBorder="0" applyAlignment="0" applyProtection="0"/>
    <xf numFmtId="0" fontId="1" fillId="80" borderId="0" applyNumberFormat="0" applyBorder="0" applyAlignment="0" applyProtection="0"/>
    <xf numFmtId="0" fontId="1" fillId="81" borderId="0" applyNumberFormat="0" applyBorder="0" applyAlignment="0" applyProtection="0"/>
    <xf numFmtId="0" fontId="1" fillId="58" borderId="104" applyNumberFormat="0" applyFont="0" applyAlignment="0" applyProtection="0"/>
    <xf numFmtId="0" fontId="1" fillId="58" borderId="104" applyNumberFormat="0" applyFont="0" applyAlignment="0" applyProtection="0"/>
    <xf numFmtId="0" fontId="1" fillId="60" borderId="0" applyNumberFormat="0" applyBorder="0" applyAlignment="0" applyProtection="0"/>
    <xf numFmtId="0" fontId="1" fillId="61" borderId="0" applyNumberFormat="0" applyBorder="0" applyAlignment="0" applyProtection="0"/>
    <xf numFmtId="0" fontId="1" fillId="64" borderId="0" applyNumberFormat="0" applyBorder="0" applyAlignment="0" applyProtection="0"/>
    <xf numFmtId="0" fontId="1" fillId="65" borderId="0" applyNumberFormat="0" applyBorder="0" applyAlignment="0" applyProtection="0"/>
    <xf numFmtId="0" fontId="1" fillId="68" borderId="0" applyNumberFormat="0" applyBorder="0" applyAlignment="0" applyProtection="0"/>
    <xf numFmtId="0" fontId="1" fillId="69" borderId="0" applyNumberFormat="0" applyBorder="0" applyAlignment="0" applyProtection="0"/>
    <xf numFmtId="0" fontId="1" fillId="72" borderId="0" applyNumberFormat="0" applyBorder="0" applyAlignment="0" applyProtection="0"/>
    <xf numFmtId="0" fontId="1" fillId="73" borderId="0" applyNumberFormat="0" applyBorder="0" applyAlignment="0" applyProtection="0"/>
    <xf numFmtId="0" fontId="1" fillId="76" borderId="0" applyNumberFormat="0" applyBorder="0" applyAlignment="0" applyProtection="0"/>
    <xf numFmtId="0" fontId="1" fillId="77" borderId="0" applyNumberFormat="0" applyBorder="0" applyAlignment="0" applyProtection="0"/>
    <xf numFmtId="0" fontId="1" fillId="80" borderId="0" applyNumberFormat="0" applyBorder="0" applyAlignment="0" applyProtection="0"/>
    <xf numFmtId="0" fontId="1" fillId="81" borderId="0" applyNumberFormat="0" applyBorder="0" applyAlignment="0" applyProtection="0"/>
    <xf numFmtId="0" fontId="1" fillId="60" borderId="0" applyNumberFormat="0" applyBorder="0" applyAlignment="0" applyProtection="0"/>
    <xf numFmtId="0" fontId="1" fillId="61" borderId="0" applyNumberFormat="0" applyBorder="0" applyAlignment="0" applyProtection="0"/>
    <xf numFmtId="0" fontId="1" fillId="64" borderId="0" applyNumberFormat="0" applyBorder="0" applyAlignment="0" applyProtection="0"/>
    <xf numFmtId="0" fontId="1" fillId="65" borderId="0" applyNumberFormat="0" applyBorder="0" applyAlignment="0" applyProtection="0"/>
    <xf numFmtId="0" fontId="1" fillId="68" borderId="0" applyNumberFormat="0" applyBorder="0" applyAlignment="0" applyProtection="0"/>
    <xf numFmtId="0" fontId="1" fillId="69" borderId="0" applyNumberFormat="0" applyBorder="0" applyAlignment="0" applyProtection="0"/>
    <xf numFmtId="0" fontId="1" fillId="72" borderId="0" applyNumberFormat="0" applyBorder="0" applyAlignment="0" applyProtection="0"/>
    <xf numFmtId="0" fontId="1" fillId="73" borderId="0" applyNumberFormat="0" applyBorder="0" applyAlignment="0" applyProtection="0"/>
    <xf numFmtId="0" fontId="1" fillId="76" borderId="0" applyNumberFormat="0" applyBorder="0" applyAlignment="0" applyProtection="0"/>
    <xf numFmtId="0" fontId="1" fillId="77" borderId="0" applyNumberFormat="0" applyBorder="0" applyAlignment="0" applyProtection="0"/>
    <xf numFmtId="0" fontId="1" fillId="80" borderId="0" applyNumberFormat="0" applyBorder="0" applyAlignment="0" applyProtection="0"/>
    <xf numFmtId="0" fontId="1" fillId="81" borderId="0" applyNumberFormat="0" applyBorder="0" applyAlignment="0" applyProtection="0"/>
    <xf numFmtId="0" fontId="1" fillId="58" borderId="104" applyNumberFormat="0" applyFont="0" applyAlignment="0" applyProtection="0"/>
    <xf numFmtId="0" fontId="1" fillId="60" borderId="0" applyNumberFormat="0" applyBorder="0" applyAlignment="0" applyProtection="0"/>
    <xf numFmtId="0" fontId="1" fillId="61" borderId="0" applyNumberFormat="0" applyBorder="0" applyAlignment="0" applyProtection="0"/>
    <xf numFmtId="0" fontId="1" fillId="64" borderId="0" applyNumberFormat="0" applyBorder="0" applyAlignment="0" applyProtection="0"/>
    <xf numFmtId="0" fontId="1" fillId="65" borderId="0" applyNumberFormat="0" applyBorder="0" applyAlignment="0" applyProtection="0"/>
    <xf numFmtId="0" fontId="1" fillId="68" borderId="0" applyNumberFormat="0" applyBorder="0" applyAlignment="0" applyProtection="0"/>
    <xf numFmtId="0" fontId="1" fillId="69" borderId="0" applyNumberFormat="0" applyBorder="0" applyAlignment="0" applyProtection="0"/>
    <xf numFmtId="0" fontId="1" fillId="72" borderId="0" applyNumberFormat="0" applyBorder="0" applyAlignment="0" applyProtection="0"/>
    <xf numFmtId="0" fontId="1" fillId="73" borderId="0" applyNumberFormat="0" applyBorder="0" applyAlignment="0" applyProtection="0"/>
    <xf numFmtId="0" fontId="1" fillId="76" borderId="0" applyNumberFormat="0" applyBorder="0" applyAlignment="0" applyProtection="0"/>
    <xf numFmtId="0" fontId="1" fillId="77" borderId="0" applyNumberFormat="0" applyBorder="0" applyAlignment="0" applyProtection="0"/>
    <xf numFmtId="0" fontId="1" fillId="80" borderId="0" applyNumberFormat="0" applyBorder="0" applyAlignment="0" applyProtection="0"/>
    <xf numFmtId="0" fontId="1" fillId="81" borderId="0" applyNumberFormat="0" applyBorder="0" applyAlignment="0" applyProtection="0"/>
    <xf numFmtId="0" fontId="1" fillId="58" borderId="104" applyNumberFormat="0" applyFont="0" applyAlignment="0" applyProtection="0"/>
    <xf numFmtId="0" fontId="1" fillId="58" borderId="104" applyNumberFormat="0" applyFont="0" applyAlignment="0" applyProtection="0"/>
    <xf numFmtId="0" fontId="1" fillId="60" borderId="0" applyNumberFormat="0" applyBorder="0" applyAlignment="0" applyProtection="0"/>
    <xf numFmtId="0" fontId="1" fillId="61" borderId="0" applyNumberFormat="0" applyBorder="0" applyAlignment="0" applyProtection="0"/>
    <xf numFmtId="0" fontId="1" fillId="64" borderId="0" applyNumberFormat="0" applyBorder="0" applyAlignment="0" applyProtection="0"/>
    <xf numFmtId="0" fontId="1" fillId="65" borderId="0" applyNumberFormat="0" applyBorder="0" applyAlignment="0" applyProtection="0"/>
    <xf numFmtId="0" fontId="1" fillId="68" borderId="0" applyNumberFormat="0" applyBorder="0" applyAlignment="0" applyProtection="0"/>
    <xf numFmtId="0" fontId="1" fillId="69" borderId="0" applyNumberFormat="0" applyBorder="0" applyAlignment="0" applyProtection="0"/>
    <xf numFmtId="0" fontId="1" fillId="72" borderId="0" applyNumberFormat="0" applyBorder="0" applyAlignment="0" applyProtection="0"/>
    <xf numFmtId="0" fontId="1" fillId="73" borderId="0" applyNumberFormat="0" applyBorder="0" applyAlignment="0" applyProtection="0"/>
    <xf numFmtId="0" fontId="1" fillId="76" borderId="0" applyNumberFormat="0" applyBorder="0" applyAlignment="0" applyProtection="0"/>
    <xf numFmtId="0" fontId="1" fillId="77" borderId="0" applyNumberFormat="0" applyBorder="0" applyAlignment="0" applyProtection="0"/>
    <xf numFmtId="0" fontId="1" fillId="80" borderId="0" applyNumberFormat="0" applyBorder="0" applyAlignment="0" applyProtection="0"/>
    <xf numFmtId="0" fontId="1" fillId="81" borderId="0" applyNumberFormat="0" applyBorder="0" applyAlignment="0" applyProtection="0"/>
    <xf numFmtId="0" fontId="1" fillId="60" borderId="0" applyNumberFormat="0" applyBorder="0" applyAlignment="0" applyProtection="0"/>
    <xf numFmtId="0" fontId="1" fillId="61" borderId="0" applyNumberFormat="0" applyBorder="0" applyAlignment="0" applyProtection="0"/>
    <xf numFmtId="0" fontId="1" fillId="64" borderId="0" applyNumberFormat="0" applyBorder="0" applyAlignment="0" applyProtection="0"/>
    <xf numFmtId="0" fontId="1" fillId="65" borderId="0" applyNumberFormat="0" applyBorder="0" applyAlignment="0" applyProtection="0"/>
    <xf numFmtId="0" fontId="1" fillId="68" borderId="0" applyNumberFormat="0" applyBorder="0" applyAlignment="0" applyProtection="0"/>
    <xf numFmtId="0" fontId="1" fillId="69" borderId="0" applyNumberFormat="0" applyBorder="0" applyAlignment="0" applyProtection="0"/>
    <xf numFmtId="0" fontId="1" fillId="72" borderId="0" applyNumberFormat="0" applyBorder="0" applyAlignment="0" applyProtection="0"/>
    <xf numFmtId="0" fontId="1" fillId="73" borderId="0" applyNumberFormat="0" applyBorder="0" applyAlignment="0" applyProtection="0"/>
    <xf numFmtId="0" fontId="1" fillId="76" borderId="0" applyNumberFormat="0" applyBorder="0" applyAlignment="0" applyProtection="0"/>
    <xf numFmtId="0" fontId="1" fillId="77" borderId="0" applyNumberFormat="0" applyBorder="0" applyAlignment="0" applyProtection="0"/>
    <xf numFmtId="0" fontId="1" fillId="80" borderId="0" applyNumberFormat="0" applyBorder="0" applyAlignment="0" applyProtection="0"/>
    <xf numFmtId="0" fontId="1" fillId="81" borderId="0" applyNumberFormat="0" applyBorder="0" applyAlignment="0" applyProtection="0"/>
    <xf numFmtId="0" fontId="1" fillId="58" borderId="104" applyNumberFormat="0" applyFont="0" applyAlignment="0" applyProtection="0"/>
    <xf numFmtId="0" fontId="1" fillId="60" borderId="0" applyNumberFormat="0" applyBorder="0" applyAlignment="0" applyProtection="0"/>
    <xf numFmtId="0" fontId="1" fillId="61" borderId="0" applyNumberFormat="0" applyBorder="0" applyAlignment="0" applyProtection="0"/>
    <xf numFmtId="0" fontId="1" fillId="64" borderId="0" applyNumberFormat="0" applyBorder="0" applyAlignment="0" applyProtection="0"/>
    <xf numFmtId="0" fontId="1" fillId="65" borderId="0" applyNumberFormat="0" applyBorder="0" applyAlignment="0" applyProtection="0"/>
    <xf numFmtId="0" fontId="1" fillId="68" borderId="0" applyNumberFormat="0" applyBorder="0" applyAlignment="0" applyProtection="0"/>
    <xf numFmtId="0" fontId="1" fillId="69" borderId="0" applyNumberFormat="0" applyBorder="0" applyAlignment="0" applyProtection="0"/>
    <xf numFmtId="0" fontId="1" fillId="72" borderId="0" applyNumberFormat="0" applyBorder="0" applyAlignment="0" applyProtection="0"/>
    <xf numFmtId="0" fontId="1" fillId="73" borderId="0" applyNumberFormat="0" applyBorder="0" applyAlignment="0" applyProtection="0"/>
    <xf numFmtId="0" fontId="1" fillId="76" borderId="0" applyNumberFormat="0" applyBorder="0" applyAlignment="0" applyProtection="0"/>
    <xf numFmtId="0" fontId="1" fillId="77" borderId="0" applyNumberFormat="0" applyBorder="0" applyAlignment="0" applyProtection="0"/>
    <xf numFmtId="0" fontId="1" fillId="80" borderId="0" applyNumberFormat="0" applyBorder="0" applyAlignment="0" applyProtection="0"/>
    <xf numFmtId="0" fontId="1" fillId="81" borderId="0" applyNumberFormat="0" applyBorder="0" applyAlignment="0" applyProtection="0"/>
    <xf numFmtId="0" fontId="1" fillId="58" borderId="104" applyNumberFormat="0" applyFont="0" applyAlignment="0" applyProtection="0"/>
    <xf numFmtId="0" fontId="1" fillId="58" borderId="104" applyNumberFormat="0" applyFont="0" applyAlignment="0" applyProtection="0"/>
    <xf numFmtId="0" fontId="1" fillId="60" borderId="0" applyNumberFormat="0" applyBorder="0" applyAlignment="0" applyProtection="0"/>
    <xf numFmtId="0" fontId="1" fillId="61" borderId="0" applyNumberFormat="0" applyBorder="0" applyAlignment="0" applyProtection="0"/>
    <xf numFmtId="0" fontId="1" fillId="64" borderId="0" applyNumberFormat="0" applyBorder="0" applyAlignment="0" applyProtection="0"/>
    <xf numFmtId="0" fontId="1" fillId="65" borderId="0" applyNumberFormat="0" applyBorder="0" applyAlignment="0" applyProtection="0"/>
    <xf numFmtId="0" fontId="1" fillId="68" borderId="0" applyNumberFormat="0" applyBorder="0" applyAlignment="0" applyProtection="0"/>
    <xf numFmtId="0" fontId="1" fillId="69" borderId="0" applyNumberFormat="0" applyBorder="0" applyAlignment="0" applyProtection="0"/>
    <xf numFmtId="0" fontId="1" fillId="72" borderId="0" applyNumberFormat="0" applyBorder="0" applyAlignment="0" applyProtection="0"/>
    <xf numFmtId="0" fontId="1" fillId="73" borderId="0" applyNumberFormat="0" applyBorder="0" applyAlignment="0" applyProtection="0"/>
    <xf numFmtId="0" fontId="1" fillId="76" borderId="0" applyNumberFormat="0" applyBorder="0" applyAlignment="0" applyProtection="0"/>
    <xf numFmtId="0" fontId="1" fillId="77" borderId="0" applyNumberFormat="0" applyBorder="0" applyAlignment="0" applyProtection="0"/>
    <xf numFmtId="0" fontId="1" fillId="80" borderId="0" applyNumberFormat="0" applyBorder="0" applyAlignment="0" applyProtection="0"/>
    <xf numFmtId="0" fontId="1" fillId="81" borderId="0" applyNumberFormat="0" applyBorder="0" applyAlignment="0" applyProtection="0"/>
    <xf numFmtId="0" fontId="1" fillId="60" borderId="0" applyNumberFormat="0" applyBorder="0" applyAlignment="0" applyProtection="0"/>
    <xf numFmtId="0" fontId="1" fillId="61" borderId="0" applyNumberFormat="0" applyBorder="0" applyAlignment="0" applyProtection="0"/>
    <xf numFmtId="0" fontId="1" fillId="64" borderId="0" applyNumberFormat="0" applyBorder="0" applyAlignment="0" applyProtection="0"/>
    <xf numFmtId="0" fontId="1" fillId="65" borderId="0" applyNumberFormat="0" applyBorder="0" applyAlignment="0" applyProtection="0"/>
    <xf numFmtId="0" fontId="1" fillId="68" borderId="0" applyNumberFormat="0" applyBorder="0" applyAlignment="0" applyProtection="0"/>
    <xf numFmtId="0" fontId="1" fillId="69" borderId="0" applyNumberFormat="0" applyBorder="0" applyAlignment="0" applyProtection="0"/>
    <xf numFmtId="0" fontId="1" fillId="72" borderId="0" applyNumberFormat="0" applyBorder="0" applyAlignment="0" applyProtection="0"/>
    <xf numFmtId="0" fontId="1" fillId="73" borderId="0" applyNumberFormat="0" applyBorder="0" applyAlignment="0" applyProtection="0"/>
    <xf numFmtId="0" fontId="1" fillId="76" borderId="0" applyNumberFormat="0" applyBorder="0" applyAlignment="0" applyProtection="0"/>
    <xf numFmtId="0" fontId="1" fillId="77" borderId="0" applyNumberFormat="0" applyBorder="0" applyAlignment="0" applyProtection="0"/>
    <xf numFmtId="0" fontId="1" fillId="80" borderId="0" applyNumberFormat="0" applyBorder="0" applyAlignment="0" applyProtection="0"/>
    <xf numFmtId="0" fontId="1" fillId="81" borderId="0" applyNumberFormat="0" applyBorder="0" applyAlignment="0" applyProtection="0"/>
    <xf numFmtId="0" fontId="1" fillId="58" borderId="104" applyNumberFormat="0" applyFont="0" applyAlignment="0" applyProtection="0"/>
    <xf numFmtId="0" fontId="1" fillId="60" borderId="0" applyNumberFormat="0" applyBorder="0" applyAlignment="0" applyProtection="0"/>
    <xf numFmtId="0" fontId="1" fillId="61" borderId="0" applyNumberFormat="0" applyBorder="0" applyAlignment="0" applyProtection="0"/>
    <xf numFmtId="0" fontId="1" fillId="64" borderId="0" applyNumberFormat="0" applyBorder="0" applyAlignment="0" applyProtection="0"/>
    <xf numFmtId="0" fontId="1" fillId="65" borderId="0" applyNumberFormat="0" applyBorder="0" applyAlignment="0" applyProtection="0"/>
    <xf numFmtId="0" fontId="1" fillId="68" borderId="0" applyNumberFormat="0" applyBorder="0" applyAlignment="0" applyProtection="0"/>
    <xf numFmtId="0" fontId="1" fillId="69" borderId="0" applyNumberFormat="0" applyBorder="0" applyAlignment="0" applyProtection="0"/>
    <xf numFmtId="0" fontId="1" fillId="72" borderId="0" applyNumberFormat="0" applyBorder="0" applyAlignment="0" applyProtection="0"/>
    <xf numFmtId="0" fontId="1" fillId="73" borderId="0" applyNumberFormat="0" applyBorder="0" applyAlignment="0" applyProtection="0"/>
    <xf numFmtId="0" fontId="1" fillId="76" borderId="0" applyNumberFormat="0" applyBorder="0" applyAlignment="0" applyProtection="0"/>
    <xf numFmtId="0" fontId="1" fillId="77" borderId="0" applyNumberFormat="0" applyBorder="0" applyAlignment="0" applyProtection="0"/>
    <xf numFmtId="0" fontId="1" fillId="80" borderId="0" applyNumberFormat="0" applyBorder="0" applyAlignment="0" applyProtection="0"/>
    <xf numFmtId="0" fontId="1" fillId="81" borderId="0" applyNumberFormat="0" applyBorder="0" applyAlignment="0" applyProtection="0"/>
    <xf numFmtId="0" fontId="1" fillId="58" borderId="104" applyNumberFormat="0" applyFont="0" applyAlignment="0" applyProtection="0"/>
    <xf numFmtId="0" fontId="1" fillId="58" borderId="104" applyNumberFormat="0" applyFont="0" applyAlignment="0" applyProtection="0"/>
    <xf numFmtId="0" fontId="1" fillId="60" borderId="0" applyNumberFormat="0" applyBorder="0" applyAlignment="0" applyProtection="0"/>
    <xf numFmtId="0" fontId="1" fillId="61" borderId="0" applyNumberFormat="0" applyBorder="0" applyAlignment="0" applyProtection="0"/>
    <xf numFmtId="0" fontId="1" fillId="64" borderId="0" applyNumberFormat="0" applyBorder="0" applyAlignment="0" applyProtection="0"/>
    <xf numFmtId="0" fontId="1" fillId="65" borderId="0" applyNumberFormat="0" applyBorder="0" applyAlignment="0" applyProtection="0"/>
    <xf numFmtId="0" fontId="1" fillId="68" borderId="0" applyNumberFormat="0" applyBorder="0" applyAlignment="0" applyProtection="0"/>
    <xf numFmtId="0" fontId="1" fillId="69" borderId="0" applyNumberFormat="0" applyBorder="0" applyAlignment="0" applyProtection="0"/>
    <xf numFmtId="0" fontId="1" fillId="72" borderId="0" applyNumberFormat="0" applyBorder="0" applyAlignment="0" applyProtection="0"/>
    <xf numFmtId="0" fontId="1" fillId="73" borderId="0" applyNumberFormat="0" applyBorder="0" applyAlignment="0" applyProtection="0"/>
    <xf numFmtId="0" fontId="1" fillId="76" borderId="0" applyNumberFormat="0" applyBorder="0" applyAlignment="0" applyProtection="0"/>
    <xf numFmtId="0" fontId="1" fillId="77" borderId="0" applyNumberFormat="0" applyBorder="0" applyAlignment="0" applyProtection="0"/>
    <xf numFmtId="0" fontId="1" fillId="80" borderId="0" applyNumberFormat="0" applyBorder="0" applyAlignment="0" applyProtection="0"/>
    <xf numFmtId="0" fontId="1" fillId="81" borderId="0" applyNumberFormat="0" applyBorder="0" applyAlignment="0" applyProtection="0"/>
    <xf numFmtId="0" fontId="1" fillId="60" borderId="0" applyNumberFormat="0" applyBorder="0" applyAlignment="0" applyProtection="0"/>
    <xf numFmtId="0" fontId="1" fillId="61" borderId="0" applyNumberFormat="0" applyBorder="0" applyAlignment="0" applyProtection="0"/>
    <xf numFmtId="0" fontId="1" fillId="64" borderId="0" applyNumberFormat="0" applyBorder="0" applyAlignment="0" applyProtection="0"/>
    <xf numFmtId="0" fontId="1" fillId="65" borderId="0" applyNumberFormat="0" applyBorder="0" applyAlignment="0" applyProtection="0"/>
    <xf numFmtId="0" fontId="1" fillId="68" borderId="0" applyNumberFormat="0" applyBorder="0" applyAlignment="0" applyProtection="0"/>
    <xf numFmtId="0" fontId="1" fillId="69" borderId="0" applyNumberFormat="0" applyBorder="0" applyAlignment="0" applyProtection="0"/>
    <xf numFmtId="0" fontId="1" fillId="72" borderId="0" applyNumberFormat="0" applyBorder="0" applyAlignment="0" applyProtection="0"/>
    <xf numFmtId="0" fontId="1" fillId="73" borderId="0" applyNumberFormat="0" applyBorder="0" applyAlignment="0" applyProtection="0"/>
    <xf numFmtId="0" fontId="1" fillId="76" borderId="0" applyNumberFormat="0" applyBorder="0" applyAlignment="0" applyProtection="0"/>
    <xf numFmtId="0" fontId="1" fillId="77" borderId="0" applyNumberFormat="0" applyBorder="0" applyAlignment="0" applyProtection="0"/>
    <xf numFmtId="0" fontId="1" fillId="80" borderId="0" applyNumberFormat="0" applyBorder="0" applyAlignment="0" applyProtection="0"/>
    <xf numFmtId="0" fontId="1" fillId="81" borderId="0" applyNumberFormat="0" applyBorder="0" applyAlignment="0" applyProtection="0"/>
    <xf numFmtId="0" fontId="1" fillId="58" borderId="104" applyNumberFormat="0" applyFont="0" applyAlignment="0" applyProtection="0"/>
    <xf numFmtId="0" fontId="1" fillId="60" borderId="0" applyNumberFormat="0" applyBorder="0" applyAlignment="0" applyProtection="0"/>
    <xf numFmtId="0" fontId="1" fillId="61" borderId="0" applyNumberFormat="0" applyBorder="0" applyAlignment="0" applyProtection="0"/>
    <xf numFmtId="0" fontId="1" fillId="64" borderId="0" applyNumberFormat="0" applyBorder="0" applyAlignment="0" applyProtection="0"/>
    <xf numFmtId="0" fontId="1" fillId="65" borderId="0" applyNumberFormat="0" applyBorder="0" applyAlignment="0" applyProtection="0"/>
    <xf numFmtId="0" fontId="1" fillId="68" borderId="0" applyNumberFormat="0" applyBorder="0" applyAlignment="0" applyProtection="0"/>
    <xf numFmtId="0" fontId="1" fillId="69" borderId="0" applyNumberFormat="0" applyBorder="0" applyAlignment="0" applyProtection="0"/>
    <xf numFmtId="0" fontId="1" fillId="72" borderId="0" applyNumberFormat="0" applyBorder="0" applyAlignment="0" applyProtection="0"/>
    <xf numFmtId="0" fontId="1" fillId="73" borderId="0" applyNumberFormat="0" applyBorder="0" applyAlignment="0" applyProtection="0"/>
    <xf numFmtId="0" fontId="1" fillId="76" borderId="0" applyNumberFormat="0" applyBorder="0" applyAlignment="0" applyProtection="0"/>
    <xf numFmtId="0" fontId="1" fillId="77" borderId="0" applyNumberFormat="0" applyBorder="0" applyAlignment="0" applyProtection="0"/>
    <xf numFmtId="0" fontId="1" fillId="80" borderId="0" applyNumberFormat="0" applyBorder="0" applyAlignment="0" applyProtection="0"/>
    <xf numFmtId="0" fontId="1" fillId="81" borderId="0" applyNumberFormat="0" applyBorder="0" applyAlignment="0" applyProtection="0"/>
    <xf numFmtId="0" fontId="1" fillId="58" borderId="104" applyNumberFormat="0" applyFont="0" applyAlignment="0" applyProtection="0"/>
    <xf numFmtId="0" fontId="1" fillId="58" borderId="104" applyNumberFormat="0" applyFont="0" applyAlignment="0" applyProtection="0"/>
    <xf numFmtId="0" fontId="1" fillId="60" borderId="0" applyNumberFormat="0" applyBorder="0" applyAlignment="0" applyProtection="0"/>
    <xf numFmtId="0" fontId="1" fillId="61" borderId="0" applyNumberFormat="0" applyBorder="0" applyAlignment="0" applyProtection="0"/>
    <xf numFmtId="0" fontId="1" fillId="64" borderId="0" applyNumberFormat="0" applyBorder="0" applyAlignment="0" applyProtection="0"/>
    <xf numFmtId="0" fontId="1" fillId="65" borderId="0" applyNumberFormat="0" applyBorder="0" applyAlignment="0" applyProtection="0"/>
    <xf numFmtId="0" fontId="1" fillId="68" borderId="0" applyNumberFormat="0" applyBorder="0" applyAlignment="0" applyProtection="0"/>
    <xf numFmtId="0" fontId="1" fillId="69" borderId="0" applyNumberFormat="0" applyBorder="0" applyAlignment="0" applyProtection="0"/>
    <xf numFmtId="0" fontId="1" fillId="72" borderId="0" applyNumberFormat="0" applyBorder="0" applyAlignment="0" applyProtection="0"/>
    <xf numFmtId="0" fontId="1" fillId="73" borderId="0" applyNumberFormat="0" applyBorder="0" applyAlignment="0" applyProtection="0"/>
    <xf numFmtId="0" fontId="1" fillId="76" borderId="0" applyNumberFormat="0" applyBorder="0" applyAlignment="0" applyProtection="0"/>
    <xf numFmtId="0" fontId="1" fillId="77" borderId="0" applyNumberFormat="0" applyBorder="0" applyAlignment="0" applyProtection="0"/>
    <xf numFmtId="0" fontId="1" fillId="80" borderId="0" applyNumberFormat="0" applyBorder="0" applyAlignment="0" applyProtection="0"/>
    <xf numFmtId="0" fontId="1" fillId="81" borderId="0" applyNumberFormat="0" applyBorder="0" applyAlignment="0" applyProtection="0"/>
    <xf numFmtId="0" fontId="1" fillId="60" borderId="0" applyNumberFormat="0" applyBorder="0" applyAlignment="0" applyProtection="0"/>
    <xf numFmtId="0" fontId="1" fillId="61" borderId="0" applyNumberFormat="0" applyBorder="0" applyAlignment="0" applyProtection="0"/>
    <xf numFmtId="0" fontId="1" fillId="64" borderId="0" applyNumberFormat="0" applyBorder="0" applyAlignment="0" applyProtection="0"/>
    <xf numFmtId="0" fontId="1" fillId="65" borderId="0" applyNumberFormat="0" applyBorder="0" applyAlignment="0" applyProtection="0"/>
    <xf numFmtId="0" fontId="1" fillId="68" borderId="0" applyNumberFormat="0" applyBorder="0" applyAlignment="0" applyProtection="0"/>
    <xf numFmtId="0" fontId="1" fillId="69" borderId="0" applyNumberFormat="0" applyBorder="0" applyAlignment="0" applyProtection="0"/>
    <xf numFmtId="0" fontId="1" fillId="72" borderId="0" applyNumberFormat="0" applyBorder="0" applyAlignment="0" applyProtection="0"/>
    <xf numFmtId="0" fontId="1" fillId="73" borderId="0" applyNumberFormat="0" applyBorder="0" applyAlignment="0" applyProtection="0"/>
    <xf numFmtId="0" fontId="1" fillId="76" borderId="0" applyNumberFormat="0" applyBorder="0" applyAlignment="0" applyProtection="0"/>
    <xf numFmtId="0" fontId="1" fillId="77" borderId="0" applyNumberFormat="0" applyBorder="0" applyAlignment="0" applyProtection="0"/>
    <xf numFmtId="0" fontId="1" fillId="80" borderId="0" applyNumberFormat="0" applyBorder="0" applyAlignment="0" applyProtection="0"/>
    <xf numFmtId="0" fontId="1" fillId="81" borderId="0" applyNumberFormat="0" applyBorder="0" applyAlignment="0" applyProtection="0"/>
    <xf numFmtId="0" fontId="1" fillId="58" borderId="104" applyNumberFormat="0" applyFont="0" applyAlignment="0" applyProtection="0"/>
    <xf numFmtId="0" fontId="1" fillId="60" borderId="0" applyNumberFormat="0" applyBorder="0" applyAlignment="0" applyProtection="0"/>
    <xf numFmtId="0" fontId="1" fillId="61" borderId="0" applyNumberFormat="0" applyBorder="0" applyAlignment="0" applyProtection="0"/>
    <xf numFmtId="0" fontId="1" fillId="64" borderId="0" applyNumberFormat="0" applyBorder="0" applyAlignment="0" applyProtection="0"/>
    <xf numFmtId="0" fontId="1" fillId="65" borderId="0" applyNumberFormat="0" applyBorder="0" applyAlignment="0" applyProtection="0"/>
    <xf numFmtId="0" fontId="1" fillId="68" borderId="0" applyNumberFormat="0" applyBorder="0" applyAlignment="0" applyProtection="0"/>
    <xf numFmtId="0" fontId="1" fillId="69" borderId="0" applyNumberFormat="0" applyBorder="0" applyAlignment="0" applyProtection="0"/>
    <xf numFmtId="0" fontId="1" fillId="72" borderId="0" applyNumberFormat="0" applyBorder="0" applyAlignment="0" applyProtection="0"/>
    <xf numFmtId="0" fontId="1" fillId="73" borderId="0" applyNumberFormat="0" applyBorder="0" applyAlignment="0" applyProtection="0"/>
    <xf numFmtId="0" fontId="1" fillId="76" borderId="0" applyNumberFormat="0" applyBorder="0" applyAlignment="0" applyProtection="0"/>
    <xf numFmtId="0" fontId="1" fillId="77" borderId="0" applyNumberFormat="0" applyBorder="0" applyAlignment="0" applyProtection="0"/>
    <xf numFmtId="0" fontId="1" fillId="80" borderId="0" applyNumberFormat="0" applyBorder="0" applyAlignment="0" applyProtection="0"/>
    <xf numFmtId="0" fontId="1" fillId="81" borderId="0" applyNumberFormat="0" applyBorder="0" applyAlignment="0" applyProtection="0"/>
    <xf numFmtId="0" fontId="1" fillId="58" borderId="104" applyNumberFormat="0" applyFont="0" applyAlignment="0" applyProtection="0"/>
    <xf numFmtId="0" fontId="1" fillId="58" borderId="104" applyNumberFormat="0" applyFont="0" applyAlignment="0" applyProtection="0"/>
    <xf numFmtId="0" fontId="1" fillId="60" borderId="0" applyNumberFormat="0" applyBorder="0" applyAlignment="0" applyProtection="0"/>
    <xf numFmtId="0" fontId="1" fillId="61" borderId="0" applyNumberFormat="0" applyBorder="0" applyAlignment="0" applyProtection="0"/>
    <xf numFmtId="0" fontId="1" fillId="64" borderId="0" applyNumberFormat="0" applyBorder="0" applyAlignment="0" applyProtection="0"/>
    <xf numFmtId="0" fontId="1" fillId="65" borderId="0" applyNumberFormat="0" applyBorder="0" applyAlignment="0" applyProtection="0"/>
    <xf numFmtId="0" fontId="1" fillId="68" borderId="0" applyNumberFormat="0" applyBorder="0" applyAlignment="0" applyProtection="0"/>
    <xf numFmtId="0" fontId="1" fillId="69" borderId="0" applyNumberFormat="0" applyBorder="0" applyAlignment="0" applyProtection="0"/>
    <xf numFmtId="0" fontId="1" fillId="72" borderId="0" applyNumberFormat="0" applyBorder="0" applyAlignment="0" applyProtection="0"/>
    <xf numFmtId="0" fontId="1" fillId="73" borderId="0" applyNumberFormat="0" applyBorder="0" applyAlignment="0" applyProtection="0"/>
    <xf numFmtId="0" fontId="1" fillId="76" borderId="0" applyNumberFormat="0" applyBorder="0" applyAlignment="0" applyProtection="0"/>
    <xf numFmtId="0" fontId="1" fillId="77" borderId="0" applyNumberFormat="0" applyBorder="0" applyAlignment="0" applyProtection="0"/>
    <xf numFmtId="0" fontId="1" fillId="80" borderId="0" applyNumberFormat="0" applyBorder="0" applyAlignment="0" applyProtection="0"/>
    <xf numFmtId="0" fontId="1" fillId="81" borderId="0" applyNumberFormat="0" applyBorder="0" applyAlignment="0" applyProtection="0"/>
    <xf numFmtId="0" fontId="1" fillId="60" borderId="0" applyNumberFormat="0" applyBorder="0" applyAlignment="0" applyProtection="0"/>
    <xf numFmtId="0" fontId="1" fillId="61" borderId="0" applyNumberFormat="0" applyBorder="0" applyAlignment="0" applyProtection="0"/>
    <xf numFmtId="0" fontId="1" fillId="64" borderId="0" applyNumberFormat="0" applyBorder="0" applyAlignment="0" applyProtection="0"/>
    <xf numFmtId="0" fontId="1" fillId="65" borderId="0" applyNumberFormat="0" applyBorder="0" applyAlignment="0" applyProtection="0"/>
    <xf numFmtId="0" fontId="1" fillId="68" borderId="0" applyNumberFormat="0" applyBorder="0" applyAlignment="0" applyProtection="0"/>
    <xf numFmtId="0" fontId="1" fillId="69" borderId="0" applyNumberFormat="0" applyBorder="0" applyAlignment="0" applyProtection="0"/>
    <xf numFmtId="0" fontId="1" fillId="72" borderId="0" applyNumberFormat="0" applyBorder="0" applyAlignment="0" applyProtection="0"/>
    <xf numFmtId="0" fontId="1" fillId="73" borderId="0" applyNumberFormat="0" applyBorder="0" applyAlignment="0" applyProtection="0"/>
    <xf numFmtId="0" fontId="1" fillId="76" borderId="0" applyNumberFormat="0" applyBorder="0" applyAlignment="0" applyProtection="0"/>
    <xf numFmtId="0" fontId="1" fillId="77" borderId="0" applyNumberFormat="0" applyBorder="0" applyAlignment="0" applyProtection="0"/>
    <xf numFmtId="0" fontId="1" fillId="80" borderId="0" applyNumberFormat="0" applyBorder="0" applyAlignment="0" applyProtection="0"/>
    <xf numFmtId="0" fontId="1" fillId="81" borderId="0" applyNumberFormat="0" applyBorder="0" applyAlignment="0" applyProtection="0"/>
    <xf numFmtId="0" fontId="1" fillId="58" borderId="104" applyNumberFormat="0" applyFont="0" applyAlignment="0" applyProtection="0"/>
    <xf numFmtId="0" fontId="1" fillId="60" borderId="0" applyNumberFormat="0" applyBorder="0" applyAlignment="0" applyProtection="0"/>
    <xf numFmtId="0" fontId="1" fillId="60" borderId="0" applyNumberFormat="0" applyBorder="0" applyAlignment="0" applyProtection="0"/>
    <xf numFmtId="0" fontId="1" fillId="60" borderId="0" applyNumberFormat="0" applyBorder="0" applyAlignment="0" applyProtection="0"/>
    <xf numFmtId="0" fontId="1" fillId="60" borderId="0" applyNumberFormat="0" applyBorder="0" applyAlignment="0" applyProtection="0"/>
    <xf numFmtId="0" fontId="1" fillId="60" borderId="0" applyNumberFormat="0" applyBorder="0" applyAlignment="0" applyProtection="0"/>
    <xf numFmtId="0" fontId="1" fillId="60" borderId="0" applyNumberFormat="0" applyBorder="0" applyAlignment="0" applyProtection="0"/>
    <xf numFmtId="0" fontId="1" fillId="60" borderId="0" applyNumberFormat="0" applyBorder="0" applyAlignment="0" applyProtection="0"/>
    <xf numFmtId="0" fontId="1" fillId="60" borderId="0" applyNumberFormat="0" applyBorder="0" applyAlignment="0" applyProtection="0"/>
    <xf numFmtId="0" fontId="1" fillId="60" borderId="0" applyNumberFormat="0" applyBorder="0" applyAlignment="0" applyProtection="0"/>
    <xf numFmtId="0" fontId="1" fillId="64" borderId="0" applyNumberFormat="0" applyBorder="0" applyAlignment="0" applyProtection="0"/>
    <xf numFmtId="0" fontId="1" fillId="64" borderId="0" applyNumberFormat="0" applyBorder="0" applyAlignment="0" applyProtection="0"/>
    <xf numFmtId="0" fontId="1" fillId="64" borderId="0" applyNumberFormat="0" applyBorder="0" applyAlignment="0" applyProtection="0"/>
    <xf numFmtId="0" fontId="1" fillId="64" borderId="0" applyNumberFormat="0" applyBorder="0" applyAlignment="0" applyProtection="0"/>
    <xf numFmtId="0" fontId="1" fillId="64" borderId="0" applyNumberFormat="0" applyBorder="0" applyAlignment="0" applyProtection="0"/>
    <xf numFmtId="0" fontId="1" fillId="64" borderId="0" applyNumberFormat="0" applyBorder="0" applyAlignment="0" applyProtection="0"/>
    <xf numFmtId="0" fontId="1" fillId="64" borderId="0" applyNumberFormat="0" applyBorder="0" applyAlignment="0" applyProtection="0"/>
    <xf numFmtId="0" fontId="1" fillId="64" borderId="0" applyNumberFormat="0" applyBorder="0" applyAlignment="0" applyProtection="0"/>
    <xf numFmtId="0" fontId="1" fillId="64" borderId="0" applyNumberFormat="0" applyBorder="0" applyAlignment="0" applyProtection="0"/>
    <xf numFmtId="0" fontId="1" fillId="68" borderId="0" applyNumberFormat="0" applyBorder="0" applyAlignment="0" applyProtection="0"/>
    <xf numFmtId="0" fontId="1" fillId="68" borderId="0" applyNumberFormat="0" applyBorder="0" applyAlignment="0" applyProtection="0"/>
    <xf numFmtId="0" fontId="1" fillId="68" borderId="0" applyNumberFormat="0" applyBorder="0" applyAlignment="0" applyProtection="0"/>
    <xf numFmtId="0" fontId="1" fillId="68" borderId="0" applyNumberFormat="0" applyBorder="0" applyAlignment="0" applyProtection="0"/>
    <xf numFmtId="0" fontId="1" fillId="68" borderId="0" applyNumberFormat="0" applyBorder="0" applyAlignment="0" applyProtection="0"/>
    <xf numFmtId="0" fontId="1" fillId="68" borderId="0" applyNumberFormat="0" applyBorder="0" applyAlignment="0" applyProtection="0"/>
    <xf numFmtId="0" fontId="1" fillId="68" borderId="0" applyNumberFormat="0" applyBorder="0" applyAlignment="0" applyProtection="0"/>
    <xf numFmtId="0" fontId="1" fillId="68" borderId="0" applyNumberFormat="0" applyBorder="0" applyAlignment="0" applyProtection="0"/>
    <xf numFmtId="0" fontId="1" fillId="68" borderId="0" applyNumberFormat="0" applyBorder="0" applyAlignment="0" applyProtection="0"/>
    <xf numFmtId="0" fontId="1" fillId="72" borderId="0" applyNumberFormat="0" applyBorder="0" applyAlignment="0" applyProtection="0"/>
    <xf numFmtId="0" fontId="1" fillId="72" borderId="0" applyNumberFormat="0" applyBorder="0" applyAlignment="0" applyProtection="0"/>
    <xf numFmtId="0" fontId="1" fillId="72" borderId="0" applyNumberFormat="0" applyBorder="0" applyAlignment="0" applyProtection="0"/>
    <xf numFmtId="0" fontId="1" fillId="72" borderId="0" applyNumberFormat="0" applyBorder="0" applyAlignment="0" applyProtection="0"/>
    <xf numFmtId="0" fontId="1" fillId="72" borderId="0" applyNumberFormat="0" applyBorder="0" applyAlignment="0" applyProtection="0"/>
    <xf numFmtId="0" fontId="1" fillId="72" borderId="0" applyNumberFormat="0" applyBorder="0" applyAlignment="0" applyProtection="0"/>
    <xf numFmtId="0" fontId="1" fillId="72" borderId="0" applyNumberFormat="0" applyBorder="0" applyAlignment="0" applyProtection="0"/>
    <xf numFmtId="0" fontId="1" fillId="72" borderId="0" applyNumberFormat="0" applyBorder="0" applyAlignment="0" applyProtection="0"/>
    <xf numFmtId="0" fontId="1" fillId="72" borderId="0" applyNumberFormat="0" applyBorder="0" applyAlignment="0" applyProtection="0"/>
    <xf numFmtId="0" fontId="1" fillId="76" borderId="0" applyNumberFormat="0" applyBorder="0" applyAlignment="0" applyProtection="0"/>
    <xf numFmtId="0" fontId="1" fillId="76" borderId="0" applyNumberFormat="0" applyBorder="0" applyAlignment="0" applyProtection="0"/>
    <xf numFmtId="0" fontId="1" fillId="76" borderId="0" applyNumberFormat="0" applyBorder="0" applyAlignment="0" applyProtection="0"/>
    <xf numFmtId="0" fontId="1" fillId="76" borderId="0" applyNumberFormat="0" applyBorder="0" applyAlignment="0" applyProtection="0"/>
    <xf numFmtId="0" fontId="1" fillId="76" borderId="0" applyNumberFormat="0" applyBorder="0" applyAlignment="0" applyProtection="0"/>
    <xf numFmtId="0" fontId="1" fillId="76" borderId="0" applyNumberFormat="0" applyBorder="0" applyAlignment="0" applyProtection="0"/>
    <xf numFmtId="0" fontId="1" fillId="76" borderId="0" applyNumberFormat="0" applyBorder="0" applyAlignment="0" applyProtection="0"/>
    <xf numFmtId="0" fontId="1" fillId="76" borderId="0" applyNumberFormat="0" applyBorder="0" applyAlignment="0" applyProtection="0"/>
    <xf numFmtId="0" fontId="1" fillId="76" borderId="0" applyNumberFormat="0" applyBorder="0" applyAlignment="0" applyProtection="0"/>
    <xf numFmtId="0" fontId="1" fillId="80" borderId="0" applyNumberFormat="0" applyBorder="0" applyAlignment="0" applyProtection="0"/>
    <xf numFmtId="0" fontId="1" fillId="80" borderId="0" applyNumberFormat="0" applyBorder="0" applyAlignment="0" applyProtection="0"/>
    <xf numFmtId="0" fontId="1" fillId="80" borderId="0" applyNumberFormat="0" applyBorder="0" applyAlignment="0" applyProtection="0"/>
    <xf numFmtId="0" fontId="1" fillId="80" borderId="0" applyNumberFormat="0" applyBorder="0" applyAlignment="0" applyProtection="0"/>
    <xf numFmtId="0" fontId="1" fillId="80" borderId="0" applyNumberFormat="0" applyBorder="0" applyAlignment="0" applyProtection="0"/>
    <xf numFmtId="0" fontId="1" fillId="80" borderId="0" applyNumberFormat="0" applyBorder="0" applyAlignment="0" applyProtection="0"/>
    <xf numFmtId="0" fontId="1" fillId="80" borderId="0" applyNumberFormat="0" applyBorder="0" applyAlignment="0" applyProtection="0"/>
    <xf numFmtId="0" fontId="1" fillId="80" borderId="0" applyNumberFormat="0" applyBorder="0" applyAlignment="0" applyProtection="0"/>
    <xf numFmtId="0" fontId="1" fillId="80" borderId="0" applyNumberFormat="0" applyBorder="0" applyAlignment="0" applyProtection="0"/>
    <xf numFmtId="0" fontId="1" fillId="61" borderId="0" applyNumberFormat="0" applyBorder="0" applyAlignment="0" applyProtection="0"/>
    <xf numFmtId="0" fontId="1" fillId="61" borderId="0" applyNumberFormat="0" applyBorder="0" applyAlignment="0" applyProtection="0"/>
    <xf numFmtId="0" fontId="1" fillId="61" borderId="0" applyNumberFormat="0" applyBorder="0" applyAlignment="0" applyProtection="0"/>
    <xf numFmtId="0" fontId="1" fillId="61" borderId="0" applyNumberFormat="0" applyBorder="0" applyAlignment="0" applyProtection="0"/>
    <xf numFmtId="0" fontId="1" fillId="61" borderId="0" applyNumberFormat="0" applyBorder="0" applyAlignment="0" applyProtection="0"/>
    <xf numFmtId="0" fontId="1" fillId="61" borderId="0" applyNumberFormat="0" applyBorder="0" applyAlignment="0" applyProtection="0"/>
    <xf numFmtId="0" fontId="1" fillId="61" borderId="0" applyNumberFormat="0" applyBorder="0" applyAlignment="0" applyProtection="0"/>
    <xf numFmtId="0" fontId="1" fillId="61" borderId="0" applyNumberFormat="0" applyBorder="0" applyAlignment="0" applyProtection="0"/>
    <xf numFmtId="0" fontId="1" fillId="61" borderId="0" applyNumberFormat="0" applyBorder="0" applyAlignment="0" applyProtection="0"/>
    <xf numFmtId="0" fontId="1" fillId="65" borderId="0" applyNumberFormat="0" applyBorder="0" applyAlignment="0" applyProtection="0"/>
    <xf numFmtId="0" fontId="1" fillId="65" borderId="0" applyNumberFormat="0" applyBorder="0" applyAlignment="0" applyProtection="0"/>
    <xf numFmtId="0" fontId="1" fillId="65" borderId="0" applyNumberFormat="0" applyBorder="0" applyAlignment="0" applyProtection="0"/>
    <xf numFmtId="0" fontId="1" fillId="65" borderId="0" applyNumberFormat="0" applyBorder="0" applyAlignment="0" applyProtection="0"/>
    <xf numFmtId="0" fontId="1" fillId="65" borderId="0" applyNumberFormat="0" applyBorder="0" applyAlignment="0" applyProtection="0"/>
    <xf numFmtId="0" fontId="1" fillId="65" borderId="0" applyNumberFormat="0" applyBorder="0" applyAlignment="0" applyProtection="0"/>
    <xf numFmtId="0" fontId="1" fillId="65" borderId="0" applyNumberFormat="0" applyBorder="0" applyAlignment="0" applyProtection="0"/>
    <xf numFmtId="0" fontId="1" fillId="65" borderId="0" applyNumberFormat="0" applyBorder="0" applyAlignment="0" applyProtection="0"/>
    <xf numFmtId="0" fontId="1" fillId="65" borderId="0" applyNumberFormat="0" applyBorder="0" applyAlignment="0" applyProtection="0"/>
    <xf numFmtId="0" fontId="1" fillId="69" borderId="0" applyNumberFormat="0" applyBorder="0" applyAlignment="0" applyProtection="0"/>
    <xf numFmtId="0" fontId="1" fillId="69" borderId="0" applyNumberFormat="0" applyBorder="0" applyAlignment="0" applyProtection="0"/>
    <xf numFmtId="0" fontId="1" fillId="69" borderId="0" applyNumberFormat="0" applyBorder="0" applyAlignment="0" applyProtection="0"/>
    <xf numFmtId="0" fontId="1" fillId="69" borderId="0" applyNumberFormat="0" applyBorder="0" applyAlignment="0" applyProtection="0"/>
    <xf numFmtId="0" fontId="1" fillId="69" borderId="0" applyNumberFormat="0" applyBorder="0" applyAlignment="0" applyProtection="0"/>
    <xf numFmtId="0" fontId="1" fillId="69" borderId="0" applyNumberFormat="0" applyBorder="0" applyAlignment="0" applyProtection="0"/>
    <xf numFmtId="0" fontId="1" fillId="69" borderId="0" applyNumberFormat="0" applyBorder="0" applyAlignment="0" applyProtection="0"/>
    <xf numFmtId="0" fontId="1" fillId="69" borderId="0" applyNumberFormat="0" applyBorder="0" applyAlignment="0" applyProtection="0"/>
    <xf numFmtId="0" fontId="1" fillId="69" borderId="0" applyNumberFormat="0" applyBorder="0" applyAlignment="0" applyProtection="0"/>
    <xf numFmtId="0" fontId="1" fillId="73" borderId="0" applyNumberFormat="0" applyBorder="0" applyAlignment="0" applyProtection="0"/>
    <xf numFmtId="0" fontId="1" fillId="73" borderId="0" applyNumberFormat="0" applyBorder="0" applyAlignment="0" applyProtection="0"/>
    <xf numFmtId="0" fontId="1" fillId="73" borderId="0" applyNumberFormat="0" applyBorder="0" applyAlignment="0" applyProtection="0"/>
    <xf numFmtId="0" fontId="1" fillId="73" borderId="0" applyNumberFormat="0" applyBorder="0" applyAlignment="0" applyProtection="0"/>
    <xf numFmtId="0" fontId="1" fillId="73" borderId="0" applyNumberFormat="0" applyBorder="0" applyAlignment="0" applyProtection="0"/>
    <xf numFmtId="0" fontId="1" fillId="73" borderId="0" applyNumberFormat="0" applyBorder="0" applyAlignment="0" applyProtection="0"/>
    <xf numFmtId="0" fontId="1" fillId="73" borderId="0" applyNumberFormat="0" applyBorder="0" applyAlignment="0" applyProtection="0"/>
    <xf numFmtId="0" fontId="1" fillId="73" borderId="0" applyNumberFormat="0" applyBorder="0" applyAlignment="0" applyProtection="0"/>
    <xf numFmtId="0" fontId="1" fillId="73" borderId="0" applyNumberFormat="0" applyBorder="0" applyAlignment="0" applyProtection="0"/>
    <xf numFmtId="0" fontId="1" fillId="77" borderId="0" applyNumberFormat="0" applyBorder="0" applyAlignment="0" applyProtection="0"/>
    <xf numFmtId="0" fontId="1" fillId="77" borderId="0" applyNumberFormat="0" applyBorder="0" applyAlignment="0" applyProtection="0"/>
    <xf numFmtId="0" fontId="1" fillId="77" borderId="0" applyNumberFormat="0" applyBorder="0" applyAlignment="0" applyProtection="0"/>
    <xf numFmtId="0" fontId="1" fillId="77" borderId="0" applyNumberFormat="0" applyBorder="0" applyAlignment="0" applyProtection="0"/>
    <xf numFmtId="0" fontId="1" fillId="77" borderId="0" applyNumberFormat="0" applyBorder="0" applyAlignment="0" applyProtection="0"/>
    <xf numFmtId="0" fontId="1" fillId="77" borderId="0" applyNumberFormat="0" applyBorder="0" applyAlignment="0" applyProtection="0"/>
    <xf numFmtId="0" fontId="1" fillId="77" borderId="0" applyNumberFormat="0" applyBorder="0" applyAlignment="0" applyProtection="0"/>
    <xf numFmtId="0" fontId="1" fillId="77" borderId="0" applyNumberFormat="0" applyBorder="0" applyAlignment="0" applyProtection="0"/>
    <xf numFmtId="0" fontId="1" fillId="77" borderId="0" applyNumberFormat="0" applyBorder="0" applyAlignment="0" applyProtection="0"/>
    <xf numFmtId="0" fontId="1" fillId="81" borderId="0" applyNumberFormat="0" applyBorder="0" applyAlignment="0" applyProtection="0"/>
    <xf numFmtId="0" fontId="1" fillId="81" borderId="0" applyNumberFormat="0" applyBorder="0" applyAlignment="0" applyProtection="0"/>
    <xf numFmtId="0" fontId="1" fillId="81" borderId="0" applyNumberFormat="0" applyBorder="0" applyAlignment="0" applyProtection="0"/>
    <xf numFmtId="0" fontId="1" fillId="81" borderId="0" applyNumberFormat="0" applyBorder="0" applyAlignment="0" applyProtection="0"/>
    <xf numFmtId="0" fontId="1" fillId="81" borderId="0" applyNumberFormat="0" applyBorder="0" applyAlignment="0" applyProtection="0"/>
    <xf numFmtId="0" fontId="1" fillId="81" borderId="0" applyNumberFormat="0" applyBorder="0" applyAlignment="0" applyProtection="0"/>
    <xf numFmtId="0" fontId="1" fillId="81" borderId="0" applyNumberFormat="0" applyBorder="0" applyAlignment="0" applyProtection="0"/>
    <xf numFmtId="0" fontId="1" fillId="81" borderId="0" applyNumberFormat="0" applyBorder="0" applyAlignment="0" applyProtection="0"/>
    <xf numFmtId="0" fontId="1" fillId="81" borderId="0" applyNumberFormat="0" applyBorder="0" applyAlignment="0" applyProtection="0"/>
    <xf numFmtId="0" fontId="1" fillId="58" borderId="104" applyNumberFormat="0" applyFont="0" applyAlignment="0" applyProtection="0"/>
    <xf numFmtId="0" fontId="1" fillId="58" borderId="104" applyNumberFormat="0" applyFont="0" applyAlignment="0" applyProtection="0"/>
    <xf numFmtId="0" fontId="1" fillId="58" borderId="104" applyNumberFormat="0" applyFont="0" applyAlignment="0" applyProtection="0"/>
    <xf numFmtId="0" fontId="1" fillId="58" borderId="104" applyNumberFormat="0" applyFont="0" applyAlignment="0" applyProtection="0"/>
    <xf numFmtId="0" fontId="1" fillId="58" borderId="104" applyNumberFormat="0" applyFont="0" applyAlignment="0" applyProtection="0"/>
    <xf numFmtId="0" fontId="1" fillId="58" borderId="104" applyNumberFormat="0" applyFont="0" applyAlignment="0" applyProtection="0"/>
    <xf numFmtId="0" fontId="1" fillId="58" borderId="104" applyNumberFormat="0" applyFont="0" applyAlignment="0" applyProtection="0"/>
    <xf numFmtId="0" fontId="1" fillId="58" borderId="104" applyNumberFormat="0" applyFont="0" applyAlignment="0" applyProtection="0"/>
    <xf numFmtId="0" fontId="1" fillId="58" borderId="104" applyNumberFormat="0" applyFont="0" applyAlignment="0" applyProtection="0"/>
    <xf numFmtId="0" fontId="1" fillId="0" borderId="0"/>
    <xf numFmtId="165" fontId="1" fillId="0" borderId="0" applyFont="0" applyFill="0" applyBorder="0" applyAlignment="0" applyProtection="0"/>
    <xf numFmtId="0" fontId="1" fillId="0" borderId="0"/>
    <xf numFmtId="0" fontId="1" fillId="0" borderId="0"/>
    <xf numFmtId="0" fontId="1" fillId="26" borderId="0" applyNumberFormat="0" applyBorder="0" applyAlignment="0" applyProtection="0"/>
    <xf numFmtId="0" fontId="1" fillId="3" borderId="0" applyNumberFormat="0" applyBorder="0" applyAlignment="0" applyProtection="0"/>
    <xf numFmtId="0" fontId="1" fillId="26"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26" borderId="0" applyNumberFormat="0" applyBorder="0" applyAlignment="0" applyProtection="0"/>
    <xf numFmtId="0" fontId="1" fillId="3" borderId="0" applyNumberFormat="0" applyBorder="0" applyAlignment="0" applyProtection="0"/>
    <xf numFmtId="0" fontId="1" fillId="26" borderId="0" applyNumberFormat="0" applyBorder="0" applyAlignment="0" applyProtection="0"/>
    <xf numFmtId="0" fontId="1" fillId="58" borderId="104" applyNumberFormat="0" applyFont="0" applyAlignment="0" applyProtection="0"/>
    <xf numFmtId="0" fontId="1" fillId="6" borderId="0" applyNumberFormat="0" applyBorder="0" applyAlignment="0" applyProtection="0"/>
    <xf numFmtId="0" fontId="1" fillId="23" borderId="0" applyNumberFormat="0" applyBorder="0" applyAlignment="0" applyProtection="0"/>
    <xf numFmtId="0" fontId="1" fillId="6"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6" borderId="0" applyNumberFormat="0" applyBorder="0" applyAlignment="0" applyProtection="0"/>
    <xf numFmtId="0" fontId="1" fillId="23" borderId="0" applyNumberFormat="0" applyBorder="0" applyAlignment="0" applyProtection="0"/>
    <xf numFmtId="0" fontId="1" fillId="61" borderId="0" applyNumberFormat="0" applyBorder="0" applyAlignment="0" applyProtection="0"/>
    <xf numFmtId="0" fontId="1" fillId="26"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26" borderId="0" applyNumberFormat="0" applyBorder="0" applyAlignment="0" applyProtection="0"/>
    <xf numFmtId="0" fontId="1" fillId="3" borderId="0" applyNumberFormat="0" applyBorder="0" applyAlignment="0" applyProtection="0"/>
    <xf numFmtId="0" fontId="1" fillId="26" borderId="0" applyNumberFormat="0" applyBorder="0" applyAlignment="0" applyProtection="0"/>
    <xf numFmtId="0" fontId="1" fillId="0" borderId="0"/>
    <xf numFmtId="0" fontId="1" fillId="58" borderId="104" applyNumberFormat="0" applyFont="0" applyAlignment="0" applyProtection="0"/>
    <xf numFmtId="0" fontId="1" fillId="6" borderId="0" applyNumberFormat="0" applyBorder="0" applyAlignment="0" applyProtection="0"/>
    <xf numFmtId="0" fontId="1" fillId="23" borderId="0" applyNumberFormat="0" applyBorder="0" applyAlignment="0" applyProtection="0"/>
    <xf numFmtId="0" fontId="1" fillId="6" borderId="0" applyNumberFormat="0" applyBorder="0" applyAlignment="0" applyProtection="0"/>
    <xf numFmtId="0" fontId="1" fillId="58" borderId="104" applyNumberFormat="0" applyFont="0" applyAlignment="0" applyProtection="0"/>
    <xf numFmtId="0" fontId="1" fillId="26" borderId="0" applyNumberFormat="0" applyBorder="0" applyAlignment="0" applyProtection="0"/>
    <xf numFmtId="0" fontId="1" fillId="3"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7" borderId="0" applyNumberFormat="0" applyBorder="0" applyAlignment="0" applyProtection="0"/>
    <xf numFmtId="0" fontId="1" fillId="0" borderId="0"/>
    <xf numFmtId="0" fontId="1" fillId="26" borderId="0" applyNumberFormat="0" applyBorder="0" applyAlignment="0" applyProtection="0"/>
    <xf numFmtId="0" fontId="1" fillId="3" borderId="0" applyNumberFormat="0" applyBorder="0" applyAlignment="0" applyProtection="0"/>
    <xf numFmtId="0" fontId="1" fillId="23" borderId="0" applyNumberFormat="0" applyBorder="0" applyAlignment="0" applyProtection="0"/>
    <xf numFmtId="0" fontId="1" fillId="6" borderId="0" applyNumberFormat="0" applyBorder="0" applyAlignment="0" applyProtection="0"/>
    <xf numFmtId="0" fontId="1" fillId="58" borderId="104" applyNumberFormat="0" applyFont="0" applyAlignment="0" applyProtection="0"/>
    <xf numFmtId="0" fontId="1" fillId="6" borderId="0" applyNumberFormat="0" applyBorder="0" applyAlignment="0" applyProtection="0"/>
    <xf numFmtId="0" fontId="1" fillId="23" borderId="0" applyNumberFormat="0" applyBorder="0" applyAlignment="0" applyProtection="0"/>
    <xf numFmtId="0" fontId="1" fillId="6" borderId="0" applyNumberFormat="0" applyBorder="0" applyAlignment="0" applyProtection="0"/>
    <xf numFmtId="0" fontId="1" fillId="26" borderId="0" applyNumberFormat="0" applyBorder="0" applyAlignment="0" applyProtection="0"/>
    <xf numFmtId="0" fontId="1" fillId="3" borderId="0" applyNumberFormat="0" applyBorder="0" applyAlignment="0" applyProtection="0"/>
    <xf numFmtId="0" fontId="1" fillId="73" borderId="0" applyNumberFormat="0" applyBorder="0" applyAlignment="0" applyProtection="0"/>
    <xf numFmtId="0" fontId="1" fillId="26"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26" borderId="0" applyNumberFormat="0" applyBorder="0" applyAlignment="0" applyProtection="0"/>
    <xf numFmtId="0" fontId="1" fillId="3" borderId="0" applyNumberFormat="0" applyBorder="0" applyAlignment="0" applyProtection="0"/>
    <xf numFmtId="0" fontId="1" fillId="26" borderId="0" applyNumberFormat="0" applyBorder="0" applyAlignment="0" applyProtection="0"/>
    <xf numFmtId="0" fontId="1" fillId="0" borderId="0"/>
    <xf numFmtId="0" fontId="1" fillId="6" borderId="0" applyNumberFormat="0" applyBorder="0" applyAlignment="0" applyProtection="0"/>
    <xf numFmtId="0" fontId="1" fillId="23" borderId="0" applyNumberFormat="0" applyBorder="0" applyAlignment="0" applyProtection="0"/>
    <xf numFmtId="0" fontId="1" fillId="6" borderId="0" applyNumberFormat="0" applyBorder="0" applyAlignment="0" applyProtection="0"/>
    <xf numFmtId="0" fontId="1" fillId="26" borderId="0" applyNumberFormat="0" applyBorder="0" applyAlignment="0" applyProtection="0"/>
    <xf numFmtId="0" fontId="1" fillId="58" borderId="104" applyNumberFormat="0" applyFont="0" applyAlignment="0" applyProtection="0"/>
    <xf numFmtId="0" fontId="1" fillId="58" borderId="104" applyNumberFormat="0" applyFont="0" applyAlignment="0" applyProtection="0"/>
    <xf numFmtId="0" fontId="1" fillId="58" borderId="104" applyNumberFormat="0" applyFont="0" applyAlignment="0" applyProtection="0"/>
    <xf numFmtId="0" fontId="1" fillId="26" borderId="0" applyNumberFormat="0" applyBorder="0" applyAlignment="0" applyProtection="0"/>
    <xf numFmtId="0" fontId="1" fillId="0" borderId="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6" borderId="0" applyNumberFormat="0" applyBorder="0" applyAlignment="0" applyProtection="0"/>
    <xf numFmtId="0" fontId="1" fillId="23"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3" borderId="0" applyNumberFormat="0" applyBorder="0" applyAlignment="0" applyProtection="0"/>
    <xf numFmtId="0" fontId="1" fillId="3" borderId="0" applyNumberFormat="0" applyBorder="0" applyAlignment="0" applyProtection="0"/>
    <xf numFmtId="0" fontId="1" fillId="3" borderId="0" applyNumberFormat="0" applyBorder="0" applyAlignment="0" applyProtection="0"/>
    <xf numFmtId="0" fontId="1" fillId="3" borderId="0" applyNumberFormat="0" applyBorder="0" applyAlignment="0" applyProtection="0"/>
    <xf numFmtId="0" fontId="1" fillId="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26" borderId="0" applyNumberFormat="0" applyBorder="0" applyAlignment="0" applyProtection="0"/>
    <xf numFmtId="0" fontId="1" fillId="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58" borderId="104" applyNumberFormat="0" applyFont="0" applyAlignment="0" applyProtection="0"/>
    <xf numFmtId="0" fontId="1" fillId="6" borderId="0" applyNumberFormat="0" applyBorder="0" applyAlignment="0" applyProtection="0"/>
    <xf numFmtId="0" fontId="1" fillId="23" borderId="0" applyNumberFormat="0" applyBorder="0" applyAlignment="0" applyProtection="0"/>
    <xf numFmtId="0" fontId="1" fillId="6" borderId="0" applyNumberFormat="0" applyBorder="0" applyAlignment="0" applyProtection="0"/>
    <xf numFmtId="0" fontId="1" fillId="26"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58" borderId="104" applyNumberFormat="0" applyFont="0" applyAlignment="0" applyProtection="0"/>
    <xf numFmtId="0" fontId="1" fillId="26" borderId="0" applyNumberFormat="0" applyBorder="0" applyAlignment="0" applyProtection="0"/>
    <xf numFmtId="0" fontId="1" fillId="3" borderId="0" applyNumberFormat="0" applyBorder="0" applyAlignment="0" applyProtection="0"/>
    <xf numFmtId="0" fontId="1" fillId="26" borderId="0" applyNumberFormat="0" applyBorder="0" applyAlignment="0" applyProtection="0"/>
    <xf numFmtId="0" fontId="1" fillId="0" borderId="0"/>
    <xf numFmtId="0" fontId="1" fillId="6" borderId="0" applyNumberFormat="0" applyBorder="0" applyAlignment="0" applyProtection="0"/>
    <xf numFmtId="0" fontId="1" fillId="23" borderId="0" applyNumberFormat="0" applyBorder="0" applyAlignment="0" applyProtection="0"/>
    <xf numFmtId="0" fontId="1" fillId="6" borderId="0" applyNumberFormat="0" applyBorder="0" applyAlignment="0" applyProtection="0"/>
    <xf numFmtId="0" fontId="1" fillId="58" borderId="104" applyNumberFormat="0" applyFont="0" applyAlignment="0" applyProtection="0"/>
    <xf numFmtId="0" fontId="1" fillId="26" borderId="0" applyNumberFormat="0" applyBorder="0" applyAlignment="0" applyProtection="0"/>
    <xf numFmtId="0" fontId="1" fillId="58" borderId="104" applyNumberFormat="0" applyFont="0" applyAlignment="0" applyProtection="0"/>
    <xf numFmtId="0" fontId="1" fillId="3" borderId="0" applyNumberFormat="0" applyBorder="0" applyAlignment="0" applyProtection="0"/>
    <xf numFmtId="0" fontId="1" fillId="8" borderId="0" applyNumberFormat="0" applyBorder="0" applyAlignment="0" applyProtection="0"/>
    <xf numFmtId="0" fontId="1" fillId="26" borderId="0" applyNumberFormat="0" applyBorder="0" applyAlignment="0" applyProtection="0"/>
    <xf numFmtId="0" fontId="1" fillId="7" borderId="0" applyNumberFormat="0" applyBorder="0" applyAlignment="0" applyProtection="0"/>
    <xf numFmtId="0" fontId="1" fillId="26" borderId="0" applyNumberFormat="0" applyBorder="0" applyAlignment="0" applyProtection="0"/>
    <xf numFmtId="0" fontId="1" fillId="3" borderId="0" applyNumberFormat="0" applyBorder="0" applyAlignment="0" applyProtection="0"/>
    <xf numFmtId="0" fontId="1" fillId="23"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23" borderId="0" applyNumberFormat="0" applyBorder="0" applyAlignment="0" applyProtection="0"/>
    <xf numFmtId="0" fontId="1" fillId="6" borderId="0" applyNumberFormat="0" applyBorder="0" applyAlignment="0" applyProtection="0"/>
    <xf numFmtId="0" fontId="1" fillId="26" borderId="0" applyNumberFormat="0" applyBorder="0" applyAlignment="0" applyProtection="0"/>
    <xf numFmtId="0" fontId="1" fillId="58" borderId="104" applyNumberFormat="0" applyFont="0" applyAlignment="0" applyProtection="0"/>
    <xf numFmtId="0" fontId="1" fillId="3" borderId="0" applyNumberFormat="0" applyBorder="0" applyAlignment="0" applyProtection="0"/>
    <xf numFmtId="0" fontId="1" fillId="69" borderId="0" applyNumberFormat="0" applyBorder="0" applyAlignment="0" applyProtection="0"/>
    <xf numFmtId="0" fontId="1" fillId="26"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26" borderId="0" applyNumberFormat="0" applyBorder="0" applyAlignment="0" applyProtection="0"/>
    <xf numFmtId="0" fontId="1" fillId="3" borderId="0" applyNumberFormat="0" applyBorder="0" applyAlignment="0" applyProtection="0"/>
    <xf numFmtId="0" fontId="1" fillId="26" borderId="0" applyNumberFormat="0" applyBorder="0" applyAlignment="0" applyProtection="0"/>
    <xf numFmtId="0" fontId="1" fillId="6" borderId="0" applyNumberFormat="0" applyBorder="0" applyAlignment="0" applyProtection="0"/>
    <xf numFmtId="0" fontId="1" fillId="23"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23" borderId="0" applyNumberFormat="0" applyBorder="0" applyAlignment="0" applyProtection="0"/>
    <xf numFmtId="0" fontId="1" fillId="6" borderId="0" applyNumberFormat="0" applyBorder="0" applyAlignment="0" applyProtection="0"/>
    <xf numFmtId="0" fontId="1" fillId="26"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58" borderId="104" applyNumberFormat="0" applyFont="0" applyAlignment="0" applyProtection="0"/>
    <xf numFmtId="0" fontId="1" fillId="26" borderId="0" applyNumberFormat="0" applyBorder="0" applyAlignment="0" applyProtection="0"/>
    <xf numFmtId="0" fontId="1" fillId="3" borderId="0" applyNumberFormat="0" applyBorder="0" applyAlignment="0" applyProtection="0"/>
    <xf numFmtId="0" fontId="1" fillId="26" borderId="0" applyNumberFormat="0" applyBorder="0" applyAlignment="0" applyProtection="0"/>
    <xf numFmtId="0" fontId="1" fillId="6" borderId="0" applyNumberFormat="0" applyBorder="0" applyAlignment="0" applyProtection="0"/>
    <xf numFmtId="0" fontId="1" fillId="23" borderId="0" applyNumberFormat="0" applyBorder="0" applyAlignment="0" applyProtection="0"/>
    <xf numFmtId="0" fontId="1" fillId="6" borderId="0" applyNumberFormat="0" applyBorder="0" applyAlignment="0" applyProtection="0"/>
    <xf numFmtId="0" fontId="1" fillId="58" borderId="104" applyNumberFormat="0" applyFont="0" applyAlignment="0" applyProtection="0"/>
    <xf numFmtId="0" fontId="1" fillId="58" borderId="104" applyNumberFormat="0" applyFont="0" applyAlignment="0" applyProtection="0"/>
    <xf numFmtId="0" fontId="1" fillId="26" borderId="0" applyNumberFormat="0" applyBorder="0" applyAlignment="0" applyProtection="0"/>
    <xf numFmtId="0" fontId="1" fillId="3" borderId="0" applyNumberFormat="0" applyBorder="0" applyAlignment="0" applyProtection="0"/>
    <xf numFmtId="0" fontId="1" fillId="81" borderId="0" applyNumberFormat="0" applyBorder="0" applyAlignment="0" applyProtection="0"/>
    <xf numFmtId="0" fontId="1" fillId="26" borderId="0" applyNumberFormat="0" applyBorder="0" applyAlignment="0" applyProtection="0"/>
    <xf numFmtId="0" fontId="1" fillId="7" borderId="0" applyNumberFormat="0" applyBorder="0" applyAlignment="0" applyProtection="0"/>
    <xf numFmtId="0" fontId="1" fillId="26" borderId="0" applyNumberFormat="0" applyBorder="0" applyAlignment="0" applyProtection="0"/>
    <xf numFmtId="0" fontId="1" fillId="58" borderId="104" applyNumberFormat="0" applyFont="0" applyAlignment="0" applyProtection="0"/>
    <xf numFmtId="0" fontId="1" fillId="3"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23"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3" borderId="0" applyNumberFormat="0" applyBorder="0" applyAlignment="0" applyProtection="0"/>
    <xf numFmtId="0" fontId="1" fillId="26"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26" borderId="0" applyNumberFormat="0" applyBorder="0" applyAlignment="0" applyProtection="0"/>
    <xf numFmtId="0" fontId="1" fillId="58" borderId="104" applyNumberFormat="0" applyFont="0" applyAlignment="0" applyProtection="0"/>
    <xf numFmtId="0" fontId="1" fillId="3" borderId="0" applyNumberFormat="0" applyBorder="0" applyAlignment="0" applyProtection="0"/>
    <xf numFmtId="0" fontId="1" fillId="26" borderId="0" applyNumberFormat="0" applyBorder="0" applyAlignment="0" applyProtection="0"/>
    <xf numFmtId="0" fontId="1" fillId="6" borderId="0" applyNumberFormat="0" applyBorder="0" applyAlignment="0" applyProtection="0"/>
    <xf numFmtId="0" fontId="1" fillId="23" borderId="0" applyNumberFormat="0" applyBorder="0" applyAlignment="0" applyProtection="0"/>
    <xf numFmtId="0" fontId="1" fillId="6" borderId="0" applyNumberFormat="0" applyBorder="0" applyAlignment="0" applyProtection="0"/>
    <xf numFmtId="0" fontId="1" fillId="26" borderId="0" applyNumberFormat="0" applyBorder="0" applyAlignment="0" applyProtection="0"/>
    <xf numFmtId="0" fontId="1" fillId="58" borderId="104" applyNumberFormat="0" applyFont="0" applyAlignment="0" applyProtection="0"/>
    <xf numFmtId="0" fontId="1" fillId="58" borderId="104" applyNumberFormat="0" applyFont="0" applyAlignment="0" applyProtection="0"/>
    <xf numFmtId="0" fontId="1" fillId="58" borderId="104" applyNumberFormat="0" applyFont="0" applyAlignment="0" applyProtection="0"/>
    <xf numFmtId="0" fontId="1" fillId="6" borderId="0" applyNumberFormat="0" applyBorder="0" applyAlignment="0" applyProtection="0"/>
    <xf numFmtId="0" fontId="1" fillId="64" borderId="0" applyNumberFormat="0" applyBorder="0" applyAlignment="0" applyProtection="0"/>
    <xf numFmtId="0" fontId="1" fillId="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3" borderId="0" applyNumberFormat="0" applyBorder="0" applyAlignment="0" applyProtection="0"/>
    <xf numFmtId="0" fontId="1" fillId="3" borderId="0" applyNumberFormat="0" applyBorder="0" applyAlignment="0" applyProtection="0"/>
    <xf numFmtId="0" fontId="1" fillId="3" borderId="0" applyNumberFormat="0" applyBorder="0" applyAlignment="0" applyProtection="0"/>
    <xf numFmtId="0" fontId="1" fillId="3" borderId="0" applyNumberFormat="0" applyBorder="0" applyAlignment="0" applyProtection="0"/>
    <xf numFmtId="0" fontId="1" fillId="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26" borderId="0" applyNumberFormat="0" applyBorder="0" applyAlignment="0" applyProtection="0"/>
    <xf numFmtId="0" fontId="1" fillId="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26"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26"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9"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9" borderId="0" applyNumberFormat="0" applyBorder="0" applyAlignment="0" applyProtection="0"/>
    <xf numFmtId="0" fontId="1" fillId="6" borderId="0" applyNumberFormat="0" applyBorder="0" applyAlignment="0" applyProtection="0"/>
    <xf numFmtId="0" fontId="1" fillId="23" borderId="0" applyNumberFormat="0" applyBorder="0" applyAlignment="0" applyProtection="0"/>
    <xf numFmtId="0" fontId="1" fillId="6" borderId="0" applyNumberFormat="0" applyBorder="0" applyAlignment="0" applyProtection="0"/>
    <xf numFmtId="0" fontId="1" fillId="9" borderId="0" applyNumberFormat="0" applyBorder="0" applyAlignment="0" applyProtection="0"/>
    <xf numFmtId="0" fontId="1" fillId="8"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58" borderId="104" applyNumberFormat="0" applyFont="0" applyAlignment="0" applyProtection="0"/>
    <xf numFmtId="0" fontId="1" fillId="26" borderId="0" applyNumberFormat="0" applyBorder="0" applyAlignment="0" applyProtection="0"/>
    <xf numFmtId="0" fontId="1" fillId="3" borderId="0" applyNumberFormat="0" applyBorder="0" applyAlignment="0" applyProtection="0"/>
    <xf numFmtId="0" fontId="1" fillId="23" borderId="0" applyNumberFormat="0" applyBorder="0" applyAlignment="0" applyProtection="0"/>
    <xf numFmtId="0" fontId="1" fillId="26" borderId="0" applyNumberFormat="0" applyBorder="0" applyAlignment="0" applyProtection="0"/>
    <xf numFmtId="0" fontId="1" fillId="58" borderId="104" applyNumberFormat="0" applyFont="0" applyAlignment="0" applyProtection="0"/>
    <xf numFmtId="0" fontId="1" fillId="26" borderId="0" applyNumberFormat="0" applyBorder="0" applyAlignment="0" applyProtection="0"/>
    <xf numFmtId="0" fontId="1" fillId="6" borderId="0" applyNumberFormat="0" applyBorder="0" applyAlignment="0" applyProtection="0"/>
    <xf numFmtId="0" fontId="1" fillId="23" borderId="0" applyNumberFormat="0" applyBorder="0" applyAlignment="0" applyProtection="0"/>
    <xf numFmtId="0" fontId="1" fillId="6" borderId="0" applyNumberFormat="0" applyBorder="0" applyAlignment="0" applyProtection="0"/>
    <xf numFmtId="0" fontId="1" fillId="26" borderId="0" applyNumberFormat="0" applyBorder="0" applyAlignment="0" applyProtection="0"/>
    <xf numFmtId="0" fontId="1" fillId="3" borderId="0" applyNumberFormat="0" applyBorder="0" applyAlignment="0" applyProtection="0"/>
    <xf numFmtId="0" fontId="1" fillId="77" borderId="0" applyNumberFormat="0" applyBorder="0" applyAlignment="0" applyProtection="0"/>
    <xf numFmtId="0" fontId="1" fillId="26"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26" borderId="0" applyNumberFormat="0" applyBorder="0" applyAlignment="0" applyProtection="0"/>
    <xf numFmtId="0" fontId="1" fillId="3" borderId="0" applyNumberFormat="0" applyBorder="0" applyAlignment="0" applyProtection="0"/>
    <xf numFmtId="0" fontId="1" fillId="58" borderId="104" applyNumberFormat="0" applyFont="0" applyAlignment="0" applyProtection="0"/>
    <xf numFmtId="0" fontId="1" fillId="6" borderId="0" applyNumberFormat="0" applyBorder="0" applyAlignment="0" applyProtection="0"/>
    <xf numFmtId="0" fontId="1" fillId="58" borderId="104" applyNumberFormat="0" applyFont="0" applyAlignment="0" applyProtection="0"/>
    <xf numFmtId="0" fontId="1" fillId="23"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23" borderId="0" applyNumberFormat="0" applyBorder="0" applyAlignment="0" applyProtection="0"/>
    <xf numFmtId="0" fontId="1" fillId="26"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26" borderId="0" applyNumberFormat="0" applyBorder="0" applyAlignment="0" applyProtection="0"/>
    <xf numFmtId="0" fontId="1" fillId="3" borderId="0" applyNumberFormat="0" applyBorder="0" applyAlignment="0" applyProtection="0"/>
    <xf numFmtId="0" fontId="1" fillId="26" borderId="0" applyNumberFormat="0" applyBorder="0" applyAlignment="0" applyProtection="0"/>
    <xf numFmtId="0" fontId="1" fillId="6" borderId="0" applyNumberFormat="0" applyBorder="0" applyAlignment="0" applyProtection="0"/>
    <xf numFmtId="0" fontId="1" fillId="23" borderId="0" applyNumberFormat="0" applyBorder="0" applyAlignment="0" applyProtection="0"/>
    <xf numFmtId="0" fontId="1" fillId="6"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6" borderId="0" applyNumberFormat="0" applyBorder="0" applyAlignment="0" applyProtection="0"/>
    <xf numFmtId="0" fontId="1" fillId="23" borderId="0" applyNumberFormat="0" applyBorder="0" applyAlignment="0" applyProtection="0"/>
    <xf numFmtId="0" fontId="1" fillId="60" borderId="0" applyNumberFormat="0" applyBorder="0" applyAlignment="0" applyProtection="0"/>
    <xf numFmtId="0" fontId="1" fillId="26"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26" borderId="0" applyNumberFormat="0" applyBorder="0" applyAlignment="0" applyProtection="0"/>
    <xf numFmtId="0" fontId="1" fillId="3" borderId="0" applyNumberFormat="0" applyBorder="0" applyAlignment="0" applyProtection="0"/>
    <xf numFmtId="0" fontId="1" fillId="26" borderId="0" applyNumberFormat="0" applyBorder="0" applyAlignment="0" applyProtection="0"/>
    <xf numFmtId="0" fontId="1" fillId="58" borderId="104" applyNumberFormat="0" applyFont="0" applyAlignment="0" applyProtection="0"/>
    <xf numFmtId="0" fontId="1" fillId="6" borderId="0" applyNumberFormat="0" applyBorder="0" applyAlignment="0" applyProtection="0"/>
    <xf numFmtId="0" fontId="1" fillId="23" borderId="0" applyNumberFormat="0" applyBorder="0" applyAlignment="0" applyProtection="0"/>
    <xf numFmtId="0" fontId="1" fillId="6" borderId="0" applyNumberFormat="0" applyBorder="0" applyAlignment="0" applyProtection="0"/>
    <xf numFmtId="0" fontId="1" fillId="58" borderId="104" applyNumberFormat="0" applyFont="0" applyAlignment="0" applyProtection="0"/>
    <xf numFmtId="0" fontId="1" fillId="26" borderId="0" applyNumberFormat="0" applyBorder="0" applyAlignment="0" applyProtection="0"/>
    <xf numFmtId="0" fontId="1" fillId="3" borderId="0" applyNumberFormat="0" applyBorder="0" applyAlignment="0" applyProtection="0"/>
    <xf numFmtId="0" fontId="1" fillId="7" borderId="0" applyNumberFormat="0" applyBorder="0" applyAlignment="0" applyProtection="0"/>
    <xf numFmtId="0" fontId="1" fillId="26" borderId="0" applyNumberFormat="0" applyBorder="0" applyAlignment="0" applyProtection="0"/>
    <xf numFmtId="0" fontId="1" fillId="7" borderId="0" applyNumberFormat="0" applyBorder="0" applyAlignment="0" applyProtection="0"/>
    <xf numFmtId="0" fontId="1" fillId="26" borderId="0" applyNumberFormat="0" applyBorder="0" applyAlignment="0" applyProtection="0"/>
    <xf numFmtId="0" fontId="1" fillId="3" borderId="0" applyNumberFormat="0" applyBorder="0" applyAlignment="0" applyProtection="0"/>
    <xf numFmtId="0" fontId="1" fillId="23"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23" borderId="0" applyNumberFormat="0" applyBorder="0" applyAlignment="0" applyProtection="0"/>
    <xf numFmtId="0" fontId="1" fillId="6" borderId="0" applyNumberFormat="0" applyBorder="0" applyAlignment="0" applyProtection="0"/>
    <xf numFmtId="0" fontId="1" fillId="58" borderId="104" applyNumberFormat="0" applyFont="0" applyAlignment="0" applyProtection="0"/>
    <xf numFmtId="0" fontId="1" fillId="26" borderId="0" applyNumberFormat="0" applyBorder="0" applyAlignment="0" applyProtection="0"/>
    <xf numFmtId="0" fontId="1" fillId="3" borderId="0" applyNumberFormat="0" applyBorder="0" applyAlignment="0" applyProtection="0"/>
    <xf numFmtId="0" fontId="1" fillId="72" borderId="0" applyNumberFormat="0" applyBorder="0" applyAlignment="0" applyProtection="0"/>
    <xf numFmtId="0" fontId="1" fillId="26"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26" borderId="0" applyNumberFormat="0" applyBorder="0" applyAlignment="0" applyProtection="0"/>
    <xf numFmtId="0" fontId="1" fillId="3" borderId="0" applyNumberFormat="0" applyBorder="0" applyAlignment="0" applyProtection="0"/>
    <xf numFmtId="0" fontId="1" fillId="0" borderId="0"/>
    <xf numFmtId="0" fontId="1" fillId="26" borderId="0" applyNumberFormat="0" applyBorder="0" applyAlignment="0" applyProtection="0"/>
    <xf numFmtId="0" fontId="1" fillId="6" borderId="0" applyNumberFormat="0" applyBorder="0" applyAlignment="0" applyProtection="0"/>
    <xf numFmtId="0" fontId="1" fillId="23" borderId="0" applyNumberFormat="0" applyBorder="0" applyAlignment="0" applyProtection="0"/>
    <xf numFmtId="0" fontId="1" fillId="6" borderId="0" applyNumberFormat="0" applyBorder="0" applyAlignment="0" applyProtection="0"/>
    <xf numFmtId="0" fontId="1" fillId="26" borderId="0" applyNumberFormat="0" applyBorder="0" applyAlignment="0" applyProtection="0"/>
    <xf numFmtId="0" fontId="1" fillId="58" borderId="104" applyNumberFormat="0" applyFont="0" applyAlignment="0" applyProtection="0"/>
    <xf numFmtId="0" fontId="1" fillId="58" borderId="104" applyNumberFormat="0" applyFont="0" applyAlignment="0" applyProtection="0"/>
    <xf numFmtId="0" fontId="1" fillId="9" borderId="0" applyNumberFormat="0" applyBorder="0" applyAlignment="0" applyProtection="0"/>
    <xf numFmtId="0" fontId="1" fillId="0" borderId="0"/>
    <xf numFmtId="0" fontId="1" fillId="0" borderId="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6" borderId="0" applyNumberFormat="0" applyBorder="0" applyAlignment="0" applyProtection="0"/>
    <xf numFmtId="0" fontId="1" fillId="23"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3" borderId="0" applyNumberFormat="0" applyBorder="0" applyAlignment="0" applyProtection="0"/>
    <xf numFmtId="0" fontId="1" fillId="3" borderId="0" applyNumberFormat="0" applyBorder="0" applyAlignment="0" applyProtection="0"/>
    <xf numFmtId="0" fontId="1" fillId="3" borderId="0" applyNumberFormat="0" applyBorder="0" applyAlignment="0" applyProtection="0"/>
    <xf numFmtId="0" fontId="1" fillId="3" borderId="0" applyNumberFormat="0" applyBorder="0" applyAlignment="0" applyProtection="0"/>
    <xf numFmtId="0" fontId="1" fillId="3" borderId="0" applyNumberFormat="0" applyBorder="0" applyAlignment="0" applyProtection="0"/>
    <xf numFmtId="0" fontId="1" fillId="6"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26" borderId="0" applyNumberFormat="0" applyBorder="0" applyAlignment="0" applyProtection="0"/>
    <xf numFmtId="0" fontId="1" fillId="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26"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8" borderId="0" applyNumberFormat="0" applyBorder="0" applyAlignment="0" applyProtection="0"/>
    <xf numFmtId="0" fontId="1" fillId="58" borderId="104" applyNumberFormat="0" applyFont="0" applyAlignment="0" applyProtection="0"/>
    <xf numFmtId="0" fontId="1" fillId="6" borderId="0" applyNumberFormat="0" applyBorder="0" applyAlignment="0" applyProtection="0"/>
    <xf numFmtId="0" fontId="1" fillId="23" borderId="0" applyNumberFormat="0" applyBorder="0" applyAlignment="0" applyProtection="0"/>
    <xf numFmtId="0" fontId="1" fillId="6" borderId="0" applyNumberFormat="0" applyBorder="0" applyAlignment="0" applyProtection="0"/>
    <xf numFmtId="0" fontId="1" fillId="26"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26" borderId="0" applyNumberFormat="0" applyBorder="0" applyAlignment="0" applyProtection="0"/>
    <xf numFmtId="0" fontId="1" fillId="3" borderId="0" applyNumberFormat="0" applyBorder="0" applyAlignment="0" applyProtection="0"/>
    <xf numFmtId="0" fontId="1" fillId="26" borderId="0" applyNumberFormat="0" applyBorder="0" applyAlignment="0" applyProtection="0"/>
    <xf numFmtId="0" fontId="1" fillId="6" borderId="0" applyNumberFormat="0" applyBorder="0" applyAlignment="0" applyProtection="0"/>
    <xf numFmtId="0" fontId="1" fillId="23" borderId="0" applyNumberFormat="0" applyBorder="0" applyAlignment="0" applyProtection="0"/>
    <xf numFmtId="0" fontId="1" fillId="6" borderId="0" applyNumberFormat="0" applyBorder="0" applyAlignment="0" applyProtection="0"/>
    <xf numFmtId="0" fontId="1" fillId="58" borderId="104" applyNumberFormat="0" applyFont="0" applyAlignment="0" applyProtection="0"/>
    <xf numFmtId="0" fontId="1" fillId="26" borderId="0" applyNumberFormat="0" applyBorder="0" applyAlignment="0" applyProtection="0"/>
    <xf numFmtId="0" fontId="1" fillId="58" borderId="104" applyNumberFormat="0" applyFont="0" applyAlignment="0" applyProtection="0"/>
    <xf numFmtId="0" fontId="1" fillId="3" borderId="0" applyNumberFormat="0" applyBorder="0" applyAlignment="0" applyProtection="0"/>
    <xf numFmtId="0" fontId="1" fillId="26" borderId="0" applyNumberFormat="0" applyBorder="0" applyAlignment="0" applyProtection="0"/>
    <xf numFmtId="0" fontId="1" fillId="7" borderId="0" applyNumberFormat="0" applyBorder="0" applyAlignment="0" applyProtection="0"/>
    <xf numFmtId="0" fontId="1" fillId="26" borderId="0" applyNumberFormat="0" applyBorder="0" applyAlignment="0" applyProtection="0"/>
    <xf numFmtId="0" fontId="1" fillId="3" borderId="0" applyNumberFormat="0" applyBorder="0" applyAlignment="0" applyProtection="0"/>
    <xf numFmtId="0" fontId="1" fillId="23"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23" borderId="0" applyNumberFormat="0" applyBorder="0" applyAlignment="0" applyProtection="0"/>
    <xf numFmtId="0" fontId="1" fillId="6" borderId="0" applyNumberFormat="0" applyBorder="0" applyAlignment="0" applyProtection="0"/>
    <xf numFmtId="0" fontId="1" fillId="26" borderId="0" applyNumberFormat="0" applyBorder="0" applyAlignment="0" applyProtection="0"/>
    <xf numFmtId="0" fontId="1" fillId="3" borderId="0" applyNumberFormat="0" applyBorder="0" applyAlignment="0" applyProtection="0"/>
    <xf numFmtId="0" fontId="1" fillId="68" borderId="0" applyNumberFormat="0" applyBorder="0" applyAlignment="0" applyProtection="0"/>
    <xf numFmtId="0" fontId="1" fillId="26"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26" borderId="0" applyNumberFormat="0" applyBorder="0" applyAlignment="0" applyProtection="0"/>
    <xf numFmtId="0" fontId="1" fillId="3" borderId="0" applyNumberFormat="0" applyBorder="0" applyAlignment="0" applyProtection="0"/>
    <xf numFmtId="0" fontId="1" fillId="26" borderId="0" applyNumberFormat="0" applyBorder="0" applyAlignment="0" applyProtection="0"/>
    <xf numFmtId="0" fontId="1" fillId="6" borderId="0" applyNumberFormat="0" applyBorder="0" applyAlignment="0" applyProtection="0"/>
    <xf numFmtId="0" fontId="1" fillId="23"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23" borderId="0" applyNumberFormat="0" applyBorder="0" applyAlignment="0" applyProtection="0"/>
    <xf numFmtId="0" fontId="1" fillId="6" borderId="0" applyNumberFormat="0" applyBorder="0" applyAlignment="0" applyProtection="0"/>
    <xf numFmtId="0" fontId="1" fillId="26" borderId="0" applyNumberFormat="0" applyBorder="0" applyAlignment="0" applyProtection="0"/>
    <xf numFmtId="0" fontId="1" fillId="7" borderId="0" applyNumberFormat="0" applyBorder="0" applyAlignment="0" applyProtection="0"/>
    <xf numFmtId="0" fontId="1" fillId="26" borderId="0" applyNumberFormat="0" applyBorder="0" applyAlignment="0" applyProtection="0"/>
    <xf numFmtId="0" fontId="1" fillId="58" borderId="104" applyNumberFormat="0" applyFont="0" applyAlignment="0" applyProtection="0"/>
    <xf numFmtId="0" fontId="1" fillId="26" borderId="0" applyNumberFormat="0" applyBorder="0" applyAlignment="0" applyProtection="0"/>
    <xf numFmtId="0" fontId="1" fillId="3"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0" borderId="0"/>
    <xf numFmtId="0" fontId="1" fillId="6" borderId="0" applyNumberFormat="0" applyBorder="0" applyAlignment="0" applyProtection="0"/>
    <xf numFmtId="0" fontId="1" fillId="23" borderId="0" applyNumberFormat="0" applyBorder="0" applyAlignment="0" applyProtection="0"/>
    <xf numFmtId="0" fontId="1" fillId="6" borderId="0" applyNumberFormat="0" applyBorder="0" applyAlignment="0" applyProtection="0"/>
    <xf numFmtId="0" fontId="1" fillId="26" borderId="0" applyNumberFormat="0" applyBorder="0" applyAlignment="0" applyProtection="0"/>
    <xf numFmtId="0" fontId="1" fillId="3" borderId="0" applyNumberFormat="0" applyBorder="0" applyAlignment="0" applyProtection="0"/>
    <xf numFmtId="0" fontId="1" fillId="80" borderId="0" applyNumberFormat="0" applyBorder="0" applyAlignment="0" applyProtection="0"/>
    <xf numFmtId="0" fontId="1" fillId="26" borderId="0" applyNumberFormat="0" applyBorder="0" applyAlignment="0" applyProtection="0"/>
    <xf numFmtId="0" fontId="1" fillId="7" borderId="0" applyNumberFormat="0" applyBorder="0" applyAlignment="0" applyProtection="0"/>
    <xf numFmtId="0" fontId="1" fillId="26" borderId="0" applyNumberFormat="0" applyBorder="0" applyAlignment="0" applyProtection="0"/>
    <xf numFmtId="0" fontId="1" fillId="58" borderId="104" applyNumberFormat="0" applyFont="0" applyAlignment="0" applyProtection="0"/>
    <xf numFmtId="0" fontId="1" fillId="3" borderId="0" applyNumberFormat="0" applyBorder="0" applyAlignment="0" applyProtection="0"/>
    <xf numFmtId="0" fontId="1" fillId="6" borderId="0" applyNumberFormat="0" applyBorder="0" applyAlignment="0" applyProtection="0"/>
    <xf numFmtId="0" fontId="1" fillId="0" borderId="0"/>
    <xf numFmtId="0" fontId="1" fillId="6" borderId="0" applyNumberFormat="0" applyBorder="0" applyAlignment="0" applyProtection="0"/>
    <xf numFmtId="0" fontId="1" fillId="23"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3" borderId="0" applyNumberFormat="0" applyBorder="0" applyAlignment="0" applyProtection="0"/>
    <xf numFmtId="0" fontId="1" fillId="26"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0" borderId="0"/>
    <xf numFmtId="0" fontId="1" fillId="26" borderId="0" applyNumberFormat="0" applyBorder="0" applyAlignment="0" applyProtection="0"/>
    <xf numFmtId="0" fontId="1" fillId="3" borderId="0" applyNumberFormat="0" applyBorder="0" applyAlignment="0" applyProtection="0"/>
    <xf numFmtId="0" fontId="1" fillId="26" borderId="0" applyNumberFormat="0" applyBorder="0" applyAlignment="0" applyProtection="0"/>
    <xf numFmtId="0" fontId="1" fillId="6" borderId="0" applyNumberFormat="0" applyBorder="0" applyAlignment="0" applyProtection="0"/>
    <xf numFmtId="0" fontId="1" fillId="23" borderId="0" applyNumberFormat="0" applyBorder="0" applyAlignment="0" applyProtection="0"/>
    <xf numFmtId="0" fontId="1" fillId="6" borderId="0" applyNumberFormat="0" applyBorder="0" applyAlignment="0" applyProtection="0"/>
    <xf numFmtId="0" fontId="1" fillId="26" borderId="0" applyNumberFormat="0" applyBorder="0" applyAlignment="0" applyProtection="0"/>
    <xf numFmtId="0" fontId="1" fillId="58" borderId="104" applyNumberFormat="0" applyFont="0" applyAlignment="0" applyProtection="0"/>
    <xf numFmtId="9" fontId="1" fillId="0" borderId="0" applyFont="0" applyFill="0" applyBorder="0" applyAlignment="0" applyProtection="0"/>
    <xf numFmtId="0" fontId="1" fillId="58" borderId="104" applyNumberFormat="0" applyFont="0" applyAlignment="0" applyProtection="0"/>
    <xf numFmtId="0" fontId="1" fillId="58" borderId="104" applyNumberFormat="0" applyFont="0" applyAlignment="0" applyProtection="0"/>
    <xf numFmtId="0" fontId="1" fillId="58" borderId="104" applyNumberFormat="0" applyFont="0" applyAlignment="0" applyProtection="0"/>
    <xf numFmtId="0" fontId="1" fillId="58" borderId="104" applyNumberFormat="0" applyFont="0" applyAlignment="0" applyProtection="0"/>
    <xf numFmtId="0" fontId="1" fillId="3" borderId="0" applyNumberFormat="0" applyBorder="0" applyAlignment="0" applyProtection="0"/>
    <xf numFmtId="0" fontId="1" fillId="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3" borderId="0" applyNumberFormat="0" applyBorder="0" applyAlignment="0" applyProtection="0"/>
    <xf numFmtId="0" fontId="1" fillId="3" borderId="0" applyNumberFormat="0" applyBorder="0" applyAlignment="0" applyProtection="0"/>
    <xf numFmtId="0" fontId="1" fillId="3" borderId="0" applyNumberFormat="0" applyBorder="0" applyAlignment="0" applyProtection="0"/>
    <xf numFmtId="0" fontId="1" fillId="3" borderId="0" applyNumberFormat="0" applyBorder="0" applyAlignment="0" applyProtection="0"/>
    <xf numFmtId="0" fontId="1" fillId="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26" borderId="0" applyNumberFormat="0" applyBorder="0" applyAlignment="0" applyProtection="0"/>
    <xf numFmtId="0" fontId="1" fillId="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26"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26"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58" borderId="104" applyNumberFormat="0" applyFont="0" applyAlignment="0" applyProtection="0"/>
    <xf numFmtId="0" fontId="1" fillId="58" borderId="104" applyNumberFormat="0" applyFont="0" applyAlignment="0" applyProtection="0"/>
    <xf numFmtId="0" fontId="1" fillId="58" borderId="104" applyNumberFormat="0" applyFont="0" applyAlignment="0" applyProtection="0"/>
    <xf numFmtId="0" fontId="1" fillId="58" borderId="104" applyNumberFormat="0" applyFont="0" applyAlignment="0" applyProtection="0"/>
    <xf numFmtId="0" fontId="1" fillId="58" borderId="104" applyNumberFormat="0" applyFont="0" applyAlignment="0" applyProtection="0"/>
    <xf numFmtId="0" fontId="1" fillId="58" borderId="104" applyNumberFormat="0" applyFont="0" applyAlignment="0" applyProtection="0"/>
    <xf numFmtId="0" fontId="1" fillId="58" borderId="104" applyNumberFormat="0" applyFont="0" applyAlignment="0" applyProtection="0"/>
    <xf numFmtId="0" fontId="1" fillId="58" borderId="104" applyNumberFormat="0" applyFont="0" applyAlignment="0" applyProtection="0"/>
    <xf numFmtId="0" fontId="1" fillId="58" borderId="104" applyNumberFormat="0" applyFont="0" applyAlignment="0" applyProtection="0"/>
    <xf numFmtId="0" fontId="1" fillId="58" borderId="104" applyNumberFormat="0" applyFont="0" applyAlignment="0" applyProtection="0"/>
    <xf numFmtId="165" fontId="1" fillId="0" borderId="0" applyFont="0" applyFill="0" applyBorder="0" applyAlignment="0" applyProtection="0"/>
    <xf numFmtId="0" fontId="1" fillId="0" borderId="0"/>
    <xf numFmtId="9" fontId="1" fillId="0" borderId="0" applyFont="0" applyFill="0" applyBorder="0" applyAlignment="0" applyProtection="0"/>
    <xf numFmtId="0" fontId="1" fillId="0" borderId="0"/>
    <xf numFmtId="0" fontId="1" fillId="0" borderId="0"/>
    <xf numFmtId="9" fontId="1" fillId="0" borderId="0" applyFont="0" applyFill="0" applyBorder="0" applyAlignment="0" applyProtection="0"/>
    <xf numFmtId="165" fontId="1" fillId="0" borderId="0" applyFont="0" applyFill="0" applyBorder="0" applyAlignment="0" applyProtection="0"/>
    <xf numFmtId="43" fontId="10" fillId="0" borderId="0" applyFont="0" applyFill="0" applyBorder="0" applyAlignment="0" applyProtection="0"/>
    <xf numFmtId="189"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9" fontId="1" fillId="0" borderId="0" applyFont="0" applyFill="0" applyBorder="0" applyAlignment="0" applyProtection="0"/>
    <xf numFmtId="0" fontId="1" fillId="60" borderId="0" applyNumberFormat="0" applyBorder="0" applyAlignment="0" applyProtection="0"/>
    <xf numFmtId="0" fontId="1" fillId="61" borderId="0" applyNumberFormat="0" applyBorder="0" applyAlignment="0" applyProtection="0"/>
    <xf numFmtId="0" fontId="1" fillId="64" borderId="0" applyNumberFormat="0" applyBorder="0" applyAlignment="0" applyProtection="0"/>
    <xf numFmtId="0" fontId="1" fillId="65" borderId="0" applyNumberFormat="0" applyBorder="0" applyAlignment="0" applyProtection="0"/>
    <xf numFmtId="0" fontId="1" fillId="68" borderId="0" applyNumberFormat="0" applyBorder="0" applyAlignment="0" applyProtection="0"/>
    <xf numFmtId="0" fontId="1" fillId="69" borderId="0" applyNumberFormat="0" applyBorder="0" applyAlignment="0" applyProtection="0"/>
    <xf numFmtId="0" fontId="1" fillId="72" borderId="0" applyNumberFormat="0" applyBorder="0" applyAlignment="0" applyProtection="0"/>
    <xf numFmtId="0" fontId="1" fillId="73" borderId="0" applyNumberFormat="0" applyBorder="0" applyAlignment="0" applyProtection="0"/>
    <xf numFmtId="0" fontId="1" fillId="76" borderId="0" applyNumberFormat="0" applyBorder="0" applyAlignment="0" applyProtection="0"/>
    <xf numFmtId="0" fontId="1" fillId="77" borderId="0" applyNumberFormat="0" applyBorder="0" applyAlignment="0" applyProtection="0"/>
    <xf numFmtId="0" fontId="1" fillId="80" borderId="0" applyNumberFormat="0" applyBorder="0" applyAlignment="0" applyProtection="0"/>
    <xf numFmtId="0" fontId="1" fillId="81" borderId="0" applyNumberFormat="0" applyBorder="0" applyAlignment="0" applyProtection="0"/>
    <xf numFmtId="0" fontId="1" fillId="0" borderId="0"/>
    <xf numFmtId="0" fontId="1" fillId="58" borderId="104" applyNumberFormat="0" applyFont="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65" fontId="1" fillId="0" borderId="0" applyFont="0" applyFill="0" applyBorder="0" applyAlignment="0" applyProtection="0"/>
    <xf numFmtId="9"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9" fontId="1" fillId="0" borderId="0" applyFont="0" applyFill="0" applyBorder="0" applyAlignment="0" applyProtection="0"/>
    <xf numFmtId="0" fontId="1" fillId="0" borderId="0"/>
    <xf numFmtId="0" fontId="28" fillId="0" borderId="13" applyNumberFormat="0" applyFill="0" applyAlignment="0" applyProtection="0"/>
    <xf numFmtId="0" fontId="1" fillId="0" borderId="0"/>
    <xf numFmtId="0" fontId="1" fillId="0" borderId="0"/>
    <xf numFmtId="0" fontId="1" fillId="0" borderId="0"/>
    <xf numFmtId="0" fontId="38" fillId="26" borderId="11" applyNumberFormat="0" applyFont="0" applyAlignment="0" applyProtection="0"/>
    <xf numFmtId="0" fontId="38" fillId="26" borderId="11" applyNumberFormat="0" applyFont="0" applyAlignment="0" applyProtection="0"/>
    <xf numFmtId="9" fontId="1" fillId="0" borderId="0" applyFont="0" applyFill="0" applyBorder="0" applyAlignment="0" applyProtection="0"/>
    <xf numFmtId="189" fontId="10" fillId="0" borderId="0"/>
    <xf numFmtId="3" fontId="10" fillId="47" borderId="101" applyFont="0" applyFill="0" applyBorder="0" applyAlignment="0" applyProtection="0"/>
    <xf numFmtId="3" fontId="250" fillId="107" borderId="101" applyNumberFormat="0" applyBorder="0" applyAlignment="0" applyProtection="0"/>
    <xf numFmtId="0" fontId="32" fillId="47" borderId="101" applyNumberFormat="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246"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165" fontId="13" fillId="0" borderId="0" applyFont="0" applyFill="0" applyBorder="0" applyAlignment="0" applyProtection="0"/>
    <xf numFmtId="165" fontId="13" fillId="0" borderId="0" applyFont="0" applyFill="0" applyBorder="0" applyAlignment="0" applyProtection="0"/>
    <xf numFmtId="165" fontId="1" fillId="0" borderId="0" applyFont="0" applyFill="0" applyBorder="0" applyAlignment="0" applyProtection="0"/>
    <xf numFmtId="165" fontId="10" fillId="0" borderId="0" applyFont="0" applyFill="0" applyBorder="0" applyAlignment="0" applyProtection="0"/>
    <xf numFmtId="165" fontId="13" fillId="0" borderId="0" applyFont="0" applyFill="0" applyBorder="0" applyAlignment="0" applyProtection="0"/>
    <xf numFmtId="165" fontId="13" fillId="0" borderId="0" applyFont="0" applyFill="0" applyBorder="0" applyAlignment="0" applyProtection="0"/>
    <xf numFmtId="165" fontId="1"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6" fontId="10" fillId="0" borderId="0" applyFont="0" applyFill="0" applyBorder="0" applyAlignment="0" applyProtection="0"/>
    <xf numFmtId="166" fontId="10" fillId="0" borderId="0" applyFont="0" applyFill="0" applyBorder="0" applyAlignment="0" applyProtection="0"/>
    <xf numFmtId="166" fontId="10" fillId="0" borderId="0" applyFont="0" applyFill="0" applyBorder="0" applyAlignment="0" applyProtection="0"/>
    <xf numFmtId="166" fontId="10" fillId="0" borderId="0" applyFont="0" applyFill="0" applyBorder="0" applyAlignment="0" applyProtection="0"/>
    <xf numFmtId="166" fontId="10" fillId="0" borderId="0" applyFont="0" applyFill="0" applyBorder="0" applyAlignment="0" applyProtection="0"/>
    <xf numFmtId="166" fontId="10" fillId="0" borderId="0" applyFont="0" applyFill="0" applyBorder="0" applyAlignment="0" applyProtection="0"/>
    <xf numFmtId="166" fontId="10" fillId="0" borderId="0" applyFont="0" applyFill="0" applyBorder="0" applyAlignment="0" applyProtection="0"/>
    <xf numFmtId="166" fontId="10" fillId="0" borderId="0" applyFont="0" applyFill="0" applyBorder="0" applyAlignment="0" applyProtection="0"/>
    <xf numFmtId="166" fontId="10" fillId="0" borderId="0" applyFont="0" applyFill="0" applyBorder="0" applyAlignment="0" applyProtection="0"/>
    <xf numFmtId="166" fontId="10" fillId="0" borderId="0" applyFont="0" applyFill="0" applyBorder="0" applyAlignment="0" applyProtection="0"/>
    <xf numFmtId="166" fontId="10" fillId="0" borderId="0" applyFont="0" applyFill="0" applyBorder="0" applyAlignment="0" applyProtection="0"/>
    <xf numFmtId="166" fontId="10" fillId="0" borderId="0" applyFont="0" applyFill="0" applyBorder="0" applyAlignment="0" applyProtection="0"/>
    <xf numFmtId="166" fontId="10" fillId="0" borderId="0" applyFont="0" applyFill="0" applyBorder="0" applyAlignment="0" applyProtection="0"/>
    <xf numFmtId="166" fontId="10" fillId="0" borderId="0" applyFont="0" applyFill="0" applyBorder="0" applyAlignment="0" applyProtection="0"/>
    <xf numFmtId="166" fontId="10" fillId="0" borderId="0" applyFont="0" applyFill="0" applyBorder="0" applyAlignment="0" applyProtection="0"/>
    <xf numFmtId="166" fontId="10" fillId="0" borderId="0" applyFont="0" applyFill="0" applyBorder="0" applyAlignment="0" applyProtection="0"/>
    <xf numFmtId="4" fontId="41" fillId="0" borderId="2" applyFill="0" applyBorder="0" applyProtection="0">
      <alignment horizontal="right" vertical="center"/>
    </xf>
    <xf numFmtId="166" fontId="10" fillId="0" borderId="0" applyFont="0" applyFill="0" applyBorder="0" applyAlignment="0" applyProtection="0"/>
    <xf numFmtId="166" fontId="10" fillId="0" borderId="0" applyFont="0" applyFill="0" applyBorder="0" applyAlignment="0" applyProtection="0"/>
    <xf numFmtId="166" fontId="10" fillId="0" borderId="0" applyFont="0" applyFill="0" applyBorder="0" applyAlignment="0" applyProtection="0"/>
    <xf numFmtId="166" fontId="10" fillId="0" borderId="0" applyFont="0" applyFill="0" applyBorder="0" applyAlignment="0" applyProtection="0"/>
    <xf numFmtId="166" fontId="10" fillId="0" borderId="0" applyFont="0" applyFill="0" applyBorder="0" applyAlignment="0" applyProtection="0"/>
    <xf numFmtId="166" fontId="10" fillId="0" borderId="0" applyFont="0" applyFill="0" applyBorder="0" applyAlignment="0" applyProtection="0"/>
    <xf numFmtId="166" fontId="10" fillId="0" borderId="0" applyFont="0" applyFill="0" applyBorder="0" applyAlignment="0" applyProtection="0"/>
    <xf numFmtId="166" fontId="10" fillId="0" borderId="0" applyFont="0" applyFill="0" applyBorder="0" applyAlignment="0" applyProtection="0"/>
    <xf numFmtId="166" fontId="10" fillId="0" borderId="0" applyFont="0" applyFill="0" applyBorder="0" applyAlignment="0" applyProtection="0"/>
    <xf numFmtId="166" fontId="10" fillId="0" borderId="0" applyFont="0" applyFill="0" applyBorder="0" applyAlignment="0" applyProtection="0"/>
    <xf numFmtId="166" fontId="10" fillId="0" borderId="0" applyFont="0" applyFill="0" applyBorder="0" applyAlignment="0" applyProtection="0"/>
    <xf numFmtId="166" fontId="10" fillId="0" borderId="0" applyFont="0" applyFill="0" applyBorder="0" applyAlignment="0" applyProtection="0"/>
    <xf numFmtId="166" fontId="10" fillId="0" borderId="0" applyFont="0" applyFill="0" applyBorder="0" applyAlignment="0" applyProtection="0"/>
    <xf numFmtId="166" fontId="10" fillId="0" borderId="0" applyFont="0" applyFill="0" applyBorder="0" applyAlignment="0" applyProtection="0"/>
    <xf numFmtId="166" fontId="10" fillId="0" borderId="0" applyFont="0" applyFill="0" applyBorder="0" applyAlignment="0" applyProtection="0"/>
    <xf numFmtId="166" fontId="10" fillId="0" borderId="0" applyFont="0" applyFill="0" applyBorder="0" applyAlignment="0" applyProtection="0"/>
    <xf numFmtId="166" fontId="10" fillId="0" borderId="0" applyFont="0" applyFill="0" applyBorder="0" applyAlignment="0" applyProtection="0"/>
    <xf numFmtId="166" fontId="10" fillId="0" borderId="0" applyFont="0" applyFill="0" applyBorder="0" applyAlignment="0" applyProtection="0"/>
    <xf numFmtId="166" fontId="10" fillId="0" borderId="0" applyFont="0" applyFill="0" applyBorder="0" applyAlignment="0" applyProtection="0"/>
    <xf numFmtId="166" fontId="10" fillId="0" borderId="0" applyFont="0" applyFill="0" applyBorder="0" applyAlignment="0" applyProtection="0"/>
    <xf numFmtId="166" fontId="10" fillId="0" borderId="0" applyFont="0" applyFill="0" applyBorder="0" applyAlignment="0" applyProtection="0"/>
    <xf numFmtId="166" fontId="10" fillId="0" borderId="0" applyFont="0" applyFill="0" applyBorder="0" applyAlignment="0" applyProtection="0"/>
    <xf numFmtId="166" fontId="10" fillId="0" borderId="0" applyFont="0" applyFill="0" applyBorder="0" applyAlignment="0" applyProtection="0"/>
    <xf numFmtId="166" fontId="10" fillId="0" borderId="0" applyFont="0" applyFill="0" applyBorder="0" applyAlignment="0" applyProtection="0"/>
    <xf numFmtId="166" fontId="10" fillId="0" borderId="0" applyFont="0" applyFill="0" applyBorder="0" applyAlignment="0" applyProtection="0"/>
    <xf numFmtId="166" fontId="10" fillId="0" borderId="0" applyFont="0" applyFill="0" applyBorder="0" applyAlignment="0" applyProtection="0"/>
    <xf numFmtId="166" fontId="10" fillId="0" borderId="0" applyFont="0" applyFill="0" applyBorder="0" applyAlignment="0" applyProtection="0"/>
    <xf numFmtId="166" fontId="10" fillId="0" borderId="0" applyFont="0" applyFill="0" applyBorder="0" applyAlignment="0" applyProtection="0"/>
    <xf numFmtId="166" fontId="10" fillId="0" borderId="0" applyFont="0" applyFill="0" applyBorder="0" applyAlignment="0" applyProtection="0"/>
    <xf numFmtId="166" fontId="10" fillId="0" borderId="0" applyFont="0" applyFill="0" applyBorder="0" applyAlignment="0" applyProtection="0"/>
    <xf numFmtId="166" fontId="10" fillId="0" borderId="0" applyFont="0" applyFill="0" applyBorder="0" applyAlignment="0" applyProtection="0"/>
    <xf numFmtId="166" fontId="10" fillId="0" borderId="0" applyFont="0" applyFill="0" applyBorder="0" applyAlignment="0" applyProtection="0"/>
    <xf numFmtId="166" fontId="10" fillId="0" borderId="0" applyFont="0" applyFill="0" applyBorder="0" applyAlignment="0" applyProtection="0"/>
    <xf numFmtId="166" fontId="10" fillId="0" borderId="0" applyFont="0" applyFill="0" applyBorder="0" applyAlignment="0" applyProtection="0"/>
    <xf numFmtId="166" fontId="10" fillId="0" borderId="0" applyFont="0" applyFill="0" applyBorder="0" applyAlignment="0" applyProtection="0"/>
    <xf numFmtId="166" fontId="10" fillId="0" borderId="0" applyFont="0" applyFill="0" applyBorder="0" applyAlignment="0" applyProtection="0"/>
    <xf numFmtId="166" fontId="10" fillId="0" borderId="0" applyFont="0" applyFill="0" applyBorder="0" applyAlignment="0" applyProtection="0"/>
    <xf numFmtId="166" fontId="10" fillId="0" borderId="0" applyFont="0" applyFill="0" applyBorder="0" applyAlignment="0" applyProtection="0"/>
    <xf numFmtId="166" fontId="10" fillId="0" borderId="0" applyFont="0" applyFill="0" applyBorder="0" applyAlignment="0" applyProtection="0"/>
    <xf numFmtId="166" fontId="10" fillId="0" borderId="0" applyFont="0" applyFill="0" applyBorder="0" applyAlignment="0" applyProtection="0"/>
    <xf numFmtId="166" fontId="10" fillId="0" borderId="0" applyFont="0" applyFill="0" applyBorder="0" applyAlignment="0" applyProtection="0"/>
    <xf numFmtId="166" fontId="10" fillId="0" borderId="0" applyFont="0" applyFill="0" applyBorder="0" applyAlignment="0" applyProtection="0"/>
    <xf numFmtId="166" fontId="10" fillId="0" borderId="0" applyFont="0" applyFill="0" applyBorder="0" applyAlignment="0" applyProtection="0"/>
    <xf numFmtId="166" fontId="10" fillId="0" borderId="0" applyFont="0" applyFill="0" applyBorder="0" applyAlignment="0" applyProtection="0"/>
    <xf numFmtId="166" fontId="10" fillId="0" borderId="0" applyFont="0" applyFill="0" applyBorder="0" applyAlignment="0" applyProtection="0"/>
    <xf numFmtId="166" fontId="10" fillId="0" borderId="0" applyFont="0" applyFill="0" applyBorder="0" applyAlignment="0" applyProtection="0"/>
    <xf numFmtId="166" fontId="10" fillId="0" borderId="0" applyFont="0" applyFill="0" applyBorder="0" applyAlignment="0" applyProtection="0"/>
    <xf numFmtId="166" fontId="10" fillId="0" borderId="0" applyFont="0" applyFill="0" applyBorder="0" applyAlignment="0" applyProtection="0"/>
    <xf numFmtId="166" fontId="10" fillId="0" borderId="0" applyFont="0" applyFill="0" applyBorder="0" applyAlignment="0" applyProtection="0"/>
    <xf numFmtId="166" fontId="10" fillId="0" borderId="0" applyFont="0" applyFill="0" applyBorder="0" applyAlignment="0" applyProtection="0"/>
    <xf numFmtId="166" fontId="10" fillId="0" borderId="0" applyFont="0" applyFill="0" applyBorder="0" applyAlignment="0" applyProtection="0"/>
    <xf numFmtId="166" fontId="10" fillId="0" borderId="0" applyFont="0" applyFill="0" applyBorder="0" applyAlignment="0" applyProtection="0"/>
    <xf numFmtId="166" fontId="10" fillId="0" borderId="0" applyFont="0" applyFill="0" applyBorder="0" applyAlignment="0" applyProtection="0"/>
    <xf numFmtId="166" fontId="10" fillId="0" borderId="0" applyFont="0" applyFill="0" applyBorder="0" applyAlignment="0" applyProtection="0"/>
    <xf numFmtId="166" fontId="10" fillId="0" borderId="0" applyFont="0" applyFill="0" applyBorder="0" applyAlignment="0" applyProtection="0"/>
    <xf numFmtId="166" fontId="10" fillId="0" borderId="0" applyFont="0" applyFill="0" applyBorder="0" applyAlignment="0" applyProtection="0"/>
    <xf numFmtId="166" fontId="10" fillId="0" borderId="0" applyFont="0" applyFill="0" applyBorder="0" applyAlignment="0" applyProtection="0"/>
    <xf numFmtId="166" fontId="10" fillId="0" borderId="0" applyFont="0" applyFill="0" applyBorder="0" applyAlignment="0" applyProtection="0"/>
    <xf numFmtId="166" fontId="10" fillId="0" borderId="0" applyFont="0" applyFill="0" applyBorder="0" applyAlignment="0" applyProtection="0"/>
    <xf numFmtId="166" fontId="10" fillId="0" borderId="0" applyFont="0" applyFill="0" applyBorder="0" applyAlignment="0" applyProtection="0"/>
    <xf numFmtId="166" fontId="10" fillId="0" borderId="0" applyFont="0" applyFill="0" applyBorder="0" applyAlignment="0" applyProtection="0"/>
    <xf numFmtId="166" fontId="10" fillId="0" borderId="0" applyFont="0" applyFill="0" applyBorder="0" applyAlignment="0" applyProtection="0"/>
    <xf numFmtId="166" fontId="10" fillId="0" borderId="0" applyFont="0" applyFill="0" applyBorder="0" applyAlignment="0" applyProtection="0"/>
    <xf numFmtId="166" fontId="10" fillId="0" borderId="0" applyFont="0" applyFill="0" applyBorder="0" applyAlignment="0" applyProtection="0"/>
    <xf numFmtId="166" fontId="10" fillId="0" borderId="0" applyFont="0" applyFill="0" applyBorder="0" applyAlignment="0" applyProtection="0"/>
    <xf numFmtId="166" fontId="10" fillId="0" borderId="0" applyFont="0" applyFill="0" applyBorder="0" applyAlignment="0" applyProtection="0"/>
    <xf numFmtId="166" fontId="10" fillId="0" borderId="0" applyFont="0" applyFill="0" applyBorder="0" applyAlignment="0" applyProtection="0"/>
    <xf numFmtId="166" fontId="10" fillId="0" borderId="0" applyFont="0" applyFill="0" applyBorder="0" applyAlignment="0" applyProtection="0"/>
    <xf numFmtId="166" fontId="10" fillId="0" borderId="0" applyFont="0" applyFill="0" applyBorder="0" applyAlignment="0" applyProtection="0"/>
    <xf numFmtId="166" fontId="10" fillId="0" borderId="0" applyFont="0" applyFill="0" applyBorder="0" applyAlignment="0" applyProtection="0"/>
    <xf numFmtId="166" fontId="10" fillId="0" borderId="0" applyFont="0" applyFill="0" applyBorder="0" applyAlignment="0" applyProtection="0"/>
    <xf numFmtId="166" fontId="10" fillId="0" borderId="0" applyFont="0" applyFill="0" applyBorder="0" applyAlignment="0" applyProtection="0"/>
    <xf numFmtId="166" fontId="10" fillId="0" borderId="0" applyFont="0" applyFill="0" applyBorder="0" applyAlignment="0" applyProtection="0"/>
    <xf numFmtId="166" fontId="10" fillId="0" borderId="0" applyFont="0" applyFill="0" applyBorder="0" applyAlignment="0" applyProtection="0"/>
    <xf numFmtId="166" fontId="10" fillId="0" borderId="0" applyFont="0" applyFill="0" applyBorder="0" applyAlignment="0" applyProtection="0"/>
    <xf numFmtId="166" fontId="10" fillId="0" borderId="0" applyFont="0" applyFill="0" applyBorder="0" applyAlignment="0" applyProtection="0"/>
    <xf numFmtId="166" fontId="10" fillId="0" borderId="0" applyFont="0" applyFill="0" applyBorder="0" applyAlignment="0" applyProtection="0"/>
    <xf numFmtId="166" fontId="10" fillId="0" borderId="0" applyFont="0" applyFill="0" applyBorder="0" applyAlignment="0" applyProtection="0"/>
    <xf numFmtId="166" fontId="10" fillId="0" borderId="0" applyFont="0" applyFill="0" applyBorder="0" applyAlignment="0" applyProtection="0"/>
    <xf numFmtId="166" fontId="10" fillId="0" borderId="0" applyFont="0" applyFill="0" applyBorder="0" applyAlignment="0" applyProtection="0"/>
    <xf numFmtId="166" fontId="10" fillId="0" borderId="0" applyFont="0" applyFill="0" applyBorder="0" applyAlignment="0" applyProtection="0"/>
    <xf numFmtId="166" fontId="10" fillId="0" borderId="0" applyFont="0" applyFill="0" applyBorder="0" applyAlignment="0" applyProtection="0"/>
    <xf numFmtId="166" fontId="10" fillId="0" borderId="0" applyFont="0" applyFill="0" applyBorder="0" applyAlignment="0" applyProtection="0"/>
    <xf numFmtId="166" fontId="10" fillId="0" borderId="0" applyFont="0" applyFill="0" applyBorder="0" applyAlignment="0" applyProtection="0"/>
    <xf numFmtId="166" fontId="10" fillId="0" borderId="0" applyFont="0" applyFill="0" applyBorder="0" applyAlignment="0" applyProtection="0"/>
    <xf numFmtId="166" fontId="10" fillId="0" borderId="0" applyFont="0" applyFill="0" applyBorder="0" applyAlignment="0" applyProtection="0"/>
    <xf numFmtId="166" fontId="10" fillId="0" borderId="0" applyFont="0" applyFill="0" applyBorder="0" applyAlignment="0" applyProtection="0"/>
    <xf numFmtId="166" fontId="10" fillId="0" borderId="0" applyFont="0" applyFill="0" applyBorder="0" applyAlignment="0" applyProtection="0"/>
    <xf numFmtId="166" fontId="10" fillId="0" borderId="0" applyFont="0" applyFill="0" applyBorder="0" applyAlignment="0" applyProtection="0"/>
    <xf numFmtId="166" fontId="10" fillId="0" borderId="0" applyFont="0" applyFill="0" applyBorder="0" applyAlignment="0" applyProtection="0"/>
    <xf numFmtId="166" fontId="10" fillId="0" borderId="0" applyFont="0" applyFill="0" applyBorder="0" applyAlignment="0" applyProtection="0"/>
    <xf numFmtId="166" fontId="10" fillId="0" borderId="0" applyFont="0" applyFill="0" applyBorder="0" applyAlignment="0" applyProtection="0"/>
    <xf numFmtId="166" fontId="10" fillId="0" borderId="0" applyFont="0" applyFill="0" applyBorder="0" applyAlignment="0" applyProtection="0"/>
    <xf numFmtId="166" fontId="10" fillId="0" borderId="0" applyFont="0" applyFill="0" applyBorder="0" applyAlignment="0" applyProtection="0"/>
    <xf numFmtId="166" fontId="10" fillId="0" borderId="0" applyFont="0" applyFill="0" applyBorder="0" applyAlignment="0" applyProtection="0"/>
    <xf numFmtId="166" fontId="10" fillId="0" borderId="0" applyFont="0" applyFill="0" applyBorder="0" applyAlignment="0" applyProtection="0"/>
    <xf numFmtId="166" fontId="10" fillId="0" borderId="0" applyFont="0" applyFill="0" applyBorder="0" applyAlignment="0" applyProtection="0"/>
    <xf numFmtId="166" fontId="10" fillId="0" borderId="0" applyFont="0" applyFill="0" applyBorder="0" applyAlignment="0" applyProtection="0"/>
    <xf numFmtId="166" fontId="10" fillId="0" borderId="0" applyFont="0" applyFill="0" applyBorder="0" applyAlignment="0" applyProtection="0"/>
    <xf numFmtId="166" fontId="10" fillId="0" borderId="0" applyFont="0" applyFill="0" applyBorder="0" applyAlignment="0" applyProtection="0"/>
    <xf numFmtId="166" fontId="10" fillId="0" borderId="0" applyFont="0" applyFill="0" applyBorder="0" applyAlignment="0" applyProtection="0"/>
    <xf numFmtId="166" fontId="10" fillId="0" borderId="0" applyFont="0" applyFill="0" applyBorder="0" applyAlignment="0" applyProtection="0"/>
    <xf numFmtId="166" fontId="10" fillId="0" borderId="0" applyFont="0" applyFill="0" applyBorder="0" applyAlignment="0" applyProtection="0"/>
    <xf numFmtId="166" fontId="10" fillId="0" borderId="0" applyFont="0" applyFill="0" applyBorder="0" applyAlignment="0" applyProtection="0"/>
    <xf numFmtId="166" fontId="10" fillId="0" borderId="0" applyFont="0" applyFill="0" applyBorder="0" applyAlignment="0" applyProtection="0"/>
    <xf numFmtId="166" fontId="10" fillId="0" borderId="0" applyFont="0" applyFill="0" applyBorder="0" applyAlignment="0" applyProtection="0"/>
    <xf numFmtId="166" fontId="10" fillId="0" borderId="0" applyFont="0" applyFill="0" applyBorder="0" applyAlignment="0" applyProtection="0"/>
    <xf numFmtId="166" fontId="10" fillId="0" borderId="0" applyFont="0" applyFill="0" applyBorder="0" applyAlignment="0" applyProtection="0"/>
    <xf numFmtId="166" fontId="10" fillId="0" borderId="0" applyFont="0" applyFill="0" applyBorder="0" applyAlignment="0" applyProtection="0"/>
    <xf numFmtId="166" fontId="10" fillId="0" borderId="0" applyFont="0" applyFill="0" applyBorder="0" applyAlignment="0" applyProtection="0"/>
    <xf numFmtId="166" fontId="10" fillId="0" borderId="0" applyFont="0" applyFill="0" applyBorder="0" applyAlignment="0" applyProtection="0"/>
    <xf numFmtId="166" fontId="10" fillId="0" borderId="0" applyFont="0" applyFill="0" applyBorder="0" applyAlignment="0" applyProtection="0"/>
    <xf numFmtId="166" fontId="10" fillId="0" borderId="0" applyFont="0" applyFill="0" applyBorder="0" applyAlignment="0" applyProtection="0"/>
    <xf numFmtId="166" fontId="10" fillId="0" borderId="0" applyFont="0" applyFill="0" applyBorder="0" applyAlignment="0" applyProtection="0"/>
    <xf numFmtId="166" fontId="10" fillId="0" borderId="0" applyFont="0" applyFill="0" applyBorder="0" applyAlignment="0" applyProtection="0"/>
    <xf numFmtId="166" fontId="10" fillId="0" borderId="0" applyFont="0" applyFill="0" applyBorder="0" applyAlignment="0" applyProtection="0"/>
    <xf numFmtId="166" fontId="10" fillId="0" borderId="0" applyFont="0" applyFill="0" applyBorder="0" applyAlignment="0" applyProtection="0"/>
    <xf numFmtId="166" fontId="10" fillId="0" borderId="0" applyFont="0" applyFill="0" applyBorder="0" applyAlignment="0" applyProtection="0"/>
    <xf numFmtId="166" fontId="10" fillId="0" borderId="0" applyFont="0" applyFill="0" applyBorder="0" applyAlignment="0" applyProtection="0"/>
    <xf numFmtId="166" fontId="10" fillId="0" borderId="0" applyFont="0" applyFill="0" applyBorder="0" applyAlignment="0" applyProtection="0"/>
    <xf numFmtId="166" fontId="10" fillId="0" borderId="0" applyFont="0" applyFill="0" applyBorder="0" applyAlignment="0" applyProtection="0"/>
    <xf numFmtId="166" fontId="10" fillId="0" borderId="0" applyFont="0" applyFill="0" applyBorder="0" applyAlignment="0" applyProtection="0"/>
    <xf numFmtId="166" fontId="10" fillId="0" borderId="0" applyFont="0" applyFill="0" applyBorder="0" applyAlignment="0" applyProtection="0"/>
    <xf numFmtId="166" fontId="10" fillId="0" borderId="0" applyFont="0" applyFill="0" applyBorder="0" applyAlignment="0" applyProtection="0"/>
    <xf numFmtId="166" fontId="10" fillId="0" borderId="0" applyFont="0" applyFill="0" applyBorder="0" applyAlignment="0" applyProtection="0"/>
    <xf numFmtId="166" fontId="10" fillId="0" borderId="0" applyFont="0" applyFill="0" applyBorder="0" applyAlignment="0" applyProtection="0"/>
    <xf numFmtId="166" fontId="10" fillId="0" borderId="0" applyFont="0" applyFill="0" applyBorder="0" applyAlignment="0" applyProtection="0"/>
    <xf numFmtId="166" fontId="10" fillId="0" borderId="0" applyFont="0" applyFill="0" applyBorder="0" applyAlignment="0" applyProtection="0"/>
    <xf numFmtId="166" fontId="10" fillId="0" borderId="0" applyFont="0" applyFill="0" applyBorder="0" applyAlignment="0" applyProtection="0"/>
    <xf numFmtId="166" fontId="10" fillId="0" borderId="0" applyFont="0" applyFill="0" applyBorder="0" applyAlignment="0" applyProtection="0"/>
    <xf numFmtId="166" fontId="10" fillId="0" borderId="0" applyFont="0" applyFill="0" applyBorder="0" applyAlignment="0" applyProtection="0"/>
    <xf numFmtId="166" fontId="10" fillId="0" borderId="0" applyFont="0" applyFill="0" applyBorder="0" applyAlignment="0" applyProtection="0"/>
    <xf numFmtId="166" fontId="10" fillId="0" borderId="0" applyFont="0" applyFill="0" applyBorder="0" applyAlignment="0" applyProtection="0"/>
    <xf numFmtId="166" fontId="10" fillId="0" borderId="0" applyFont="0" applyFill="0" applyBorder="0" applyAlignment="0" applyProtection="0"/>
    <xf numFmtId="166" fontId="10" fillId="0" borderId="0" applyFont="0" applyFill="0" applyBorder="0" applyAlignment="0" applyProtection="0"/>
    <xf numFmtId="166" fontId="10" fillId="0" borderId="0" applyFont="0" applyFill="0" applyBorder="0" applyAlignment="0" applyProtection="0"/>
    <xf numFmtId="170" fontId="10" fillId="0" borderId="0" applyFont="0" applyFill="0" applyBorder="0" applyAlignment="0" applyProtection="0"/>
    <xf numFmtId="170" fontId="10" fillId="0" borderId="0" applyFont="0" applyFill="0" applyBorder="0" applyAlignment="0" applyProtection="0"/>
    <xf numFmtId="170" fontId="10" fillId="0" borderId="0" applyFont="0" applyFill="0" applyBorder="0" applyAlignment="0" applyProtection="0"/>
    <xf numFmtId="170" fontId="10" fillId="0" borderId="0" applyFont="0" applyFill="0" applyBorder="0" applyAlignment="0" applyProtection="0"/>
    <xf numFmtId="170" fontId="10" fillId="0" borderId="0" applyFont="0" applyFill="0" applyBorder="0" applyAlignment="0" applyProtection="0"/>
    <xf numFmtId="166" fontId="10" fillId="0" borderId="0" applyFont="0" applyFill="0" applyBorder="0" applyAlignment="0" applyProtection="0"/>
    <xf numFmtId="166" fontId="10" fillId="0" borderId="0" applyFont="0" applyFill="0" applyBorder="0" applyAlignment="0" applyProtection="0"/>
    <xf numFmtId="166" fontId="10" fillId="0" borderId="0" applyFont="0" applyFill="0" applyBorder="0" applyAlignment="0" applyProtection="0"/>
    <xf numFmtId="166" fontId="10" fillId="0" borderId="0" applyFont="0" applyFill="0" applyBorder="0" applyAlignment="0" applyProtection="0"/>
    <xf numFmtId="189" fontId="10" fillId="0" borderId="0" applyFont="0" applyFill="0" applyBorder="0" applyAlignment="0" applyProtection="0"/>
    <xf numFmtId="166" fontId="10" fillId="0" borderId="0" applyFont="0" applyFill="0" applyBorder="0" applyAlignment="0" applyProtection="0"/>
    <xf numFmtId="166" fontId="10" fillId="0" borderId="0" applyFont="0" applyFill="0" applyBorder="0" applyAlignment="0" applyProtection="0"/>
    <xf numFmtId="166" fontId="10" fillId="0" borderId="0" applyFont="0" applyFill="0" applyBorder="0" applyAlignment="0" applyProtection="0"/>
    <xf numFmtId="166" fontId="10" fillId="0" borderId="0" applyFont="0" applyFill="0" applyBorder="0" applyAlignment="0" applyProtection="0"/>
    <xf numFmtId="166" fontId="10" fillId="0" borderId="0" applyFont="0" applyFill="0" applyBorder="0" applyAlignment="0" applyProtection="0"/>
    <xf numFmtId="166" fontId="10" fillId="0" borderId="0" applyFont="0" applyFill="0" applyBorder="0" applyAlignment="0" applyProtection="0"/>
    <xf numFmtId="166" fontId="10" fillId="0" borderId="0" applyFont="0" applyFill="0" applyBorder="0" applyAlignment="0" applyProtection="0"/>
    <xf numFmtId="166" fontId="10" fillId="0" borderId="0" applyFont="0" applyFill="0" applyBorder="0" applyAlignment="0" applyProtection="0"/>
    <xf numFmtId="166" fontId="10" fillId="0" borderId="0" applyFont="0" applyFill="0" applyBorder="0" applyAlignment="0" applyProtection="0"/>
    <xf numFmtId="166" fontId="10" fillId="0" borderId="0" applyFont="0" applyFill="0" applyBorder="0" applyAlignment="0" applyProtection="0"/>
    <xf numFmtId="166" fontId="10" fillId="0" borderId="0" applyFont="0" applyFill="0" applyBorder="0" applyAlignment="0" applyProtection="0"/>
    <xf numFmtId="166" fontId="10" fillId="0" borderId="0" applyFont="0" applyFill="0" applyBorder="0" applyAlignment="0" applyProtection="0"/>
    <xf numFmtId="166" fontId="10" fillId="0" borderId="0" applyFont="0" applyFill="0" applyBorder="0" applyAlignment="0" applyProtection="0"/>
    <xf numFmtId="166" fontId="10" fillId="0" borderId="0" applyFont="0" applyFill="0" applyBorder="0" applyAlignment="0" applyProtection="0"/>
    <xf numFmtId="166" fontId="10" fillId="0" borderId="0" applyFont="0" applyFill="0" applyBorder="0" applyAlignment="0" applyProtection="0"/>
    <xf numFmtId="166" fontId="10" fillId="0" borderId="0" applyFont="0" applyFill="0" applyBorder="0" applyAlignment="0" applyProtection="0"/>
    <xf numFmtId="189" fontId="249" fillId="0" borderId="0" applyNumberFormat="0" applyFill="0" applyBorder="0" applyAlignment="0" applyProtection="0">
      <alignment vertical="top"/>
      <protection locked="0"/>
    </xf>
    <xf numFmtId="165"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165" fontId="1" fillId="0" borderId="0" applyFont="0" applyFill="0" applyBorder="0" applyAlignment="0" applyProtection="0"/>
    <xf numFmtId="0" fontId="251" fillId="0" borderId="0" applyNumberFormat="0" applyFill="0" applyBorder="0" applyAlignment="0" applyProtection="0"/>
    <xf numFmtId="208" fontId="252" fillId="108" borderId="0" applyNumberFormat="0" applyBorder="0" applyAlignment="0" applyProtection="0">
      <alignment horizontal="center" vertical="top" wrapText="1"/>
    </xf>
    <xf numFmtId="41" fontId="19" fillId="0" borderId="0" applyFont="0" applyFill="0" applyBorder="0" applyAlignment="0" applyProtection="0"/>
    <xf numFmtId="41" fontId="19" fillId="0" borderId="0" applyFont="0" applyFill="0" applyBorder="0" applyAlignment="0" applyProtection="0"/>
    <xf numFmtId="41" fontId="19" fillId="0" borderId="0" applyFont="0" applyFill="0" applyBorder="0" applyAlignment="0" applyProtection="0"/>
    <xf numFmtId="41" fontId="19" fillId="0" borderId="0" applyFont="0" applyFill="0" applyBorder="0" applyAlignment="0" applyProtection="0"/>
    <xf numFmtId="41" fontId="19" fillId="0" borderId="0" applyFont="0" applyFill="0" applyBorder="0" applyAlignment="0" applyProtection="0"/>
    <xf numFmtId="41" fontId="19" fillId="0" borderId="0" applyFont="0" applyFill="0" applyBorder="0" applyAlignment="0" applyProtection="0"/>
    <xf numFmtId="41" fontId="19" fillId="0" borderId="0" applyFont="0" applyFill="0" applyBorder="0" applyAlignment="0" applyProtection="0"/>
    <xf numFmtId="41" fontId="19" fillId="0" borderId="0" applyFont="0" applyFill="0" applyBorder="0" applyAlignment="0" applyProtection="0"/>
    <xf numFmtId="41" fontId="19" fillId="0" borderId="0" applyFont="0" applyFill="0" applyBorder="0" applyAlignment="0" applyProtection="0"/>
    <xf numFmtId="41" fontId="19" fillId="0" borderId="0" applyFont="0" applyFill="0" applyBorder="0" applyAlignment="0" applyProtection="0"/>
    <xf numFmtId="41" fontId="19" fillId="0" borderId="0" applyFont="0" applyFill="0" applyBorder="0" applyAlignment="0" applyProtection="0"/>
    <xf numFmtId="41" fontId="19" fillId="0" borderId="0" applyFont="0" applyFill="0" applyBorder="0" applyAlignment="0" applyProtection="0"/>
    <xf numFmtId="41" fontId="19" fillId="0" borderId="0" applyFont="0" applyFill="0" applyBorder="0" applyAlignment="0" applyProtection="0"/>
    <xf numFmtId="41" fontId="19" fillId="0" borderId="0" applyFont="0" applyFill="0" applyBorder="0" applyAlignment="0" applyProtection="0"/>
    <xf numFmtId="41" fontId="19" fillId="0" borderId="0" applyFont="0" applyFill="0" applyBorder="0" applyAlignment="0" applyProtection="0"/>
    <xf numFmtId="41" fontId="19" fillId="0" borderId="0" applyFont="0" applyFill="0" applyBorder="0" applyAlignment="0" applyProtection="0"/>
    <xf numFmtId="41" fontId="19" fillId="0" borderId="0" applyFont="0" applyFill="0" applyBorder="0" applyAlignment="0" applyProtection="0"/>
    <xf numFmtId="41" fontId="19" fillId="0" borderId="0" applyFont="0" applyFill="0" applyBorder="0" applyAlignment="0" applyProtection="0"/>
    <xf numFmtId="41" fontId="19" fillId="0" borderId="0" applyFont="0" applyFill="0" applyBorder="0" applyAlignment="0" applyProtection="0"/>
    <xf numFmtId="41" fontId="19" fillId="0" borderId="0" applyFont="0" applyFill="0" applyBorder="0" applyAlignment="0" applyProtection="0"/>
    <xf numFmtId="41" fontId="19" fillId="0" borderId="0" applyFont="0" applyFill="0" applyBorder="0" applyAlignment="0" applyProtection="0"/>
    <xf numFmtId="41" fontId="19" fillId="0" borderId="0" applyFont="0" applyFill="0" applyBorder="0" applyAlignment="0" applyProtection="0"/>
    <xf numFmtId="41" fontId="19" fillId="0" borderId="0" applyFont="0" applyFill="0" applyBorder="0" applyAlignment="0" applyProtection="0"/>
    <xf numFmtId="41" fontId="19" fillId="0" borderId="0" applyFont="0" applyFill="0" applyBorder="0" applyAlignment="0" applyProtection="0"/>
    <xf numFmtId="41" fontId="19" fillId="0" borderId="0" applyFont="0" applyFill="0" applyBorder="0" applyAlignment="0" applyProtection="0"/>
    <xf numFmtId="41" fontId="19" fillId="0" borderId="0" applyFont="0" applyFill="0" applyBorder="0" applyAlignment="0" applyProtection="0"/>
    <xf numFmtId="41" fontId="19" fillId="0" borderId="0" applyFont="0" applyFill="0" applyBorder="0" applyAlignment="0" applyProtection="0"/>
    <xf numFmtId="41" fontId="19" fillId="0" borderId="0" applyFont="0" applyFill="0" applyBorder="0" applyAlignment="0" applyProtection="0"/>
    <xf numFmtId="41" fontId="19" fillId="0" borderId="0" applyFont="0" applyFill="0" applyBorder="0" applyAlignment="0" applyProtection="0"/>
    <xf numFmtId="41" fontId="19" fillId="0" borderId="0" applyFont="0" applyFill="0" applyBorder="0" applyAlignment="0" applyProtection="0"/>
    <xf numFmtId="41" fontId="19" fillId="0" borderId="0" applyFont="0" applyFill="0" applyBorder="0" applyAlignment="0" applyProtection="0"/>
    <xf numFmtId="41" fontId="19" fillId="0" borderId="0" applyFont="0" applyFill="0" applyBorder="0" applyAlignment="0" applyProtection="0"/>
    <xf numFmtId="41" fontId="19" fillId="0" borderId="0" applyFont="0" applyFill="0" applyBorder="0" applyAlignment="0" applyProtection="0"/>
    <xf numFmtId="41" fontId="19" fillId="0" borderId="0" applyFont="0" applyFill="0" applyBorder="0" applyAlignment="0" applyProtection="0"/>
    <xf numFmtId="41" fontId="19" fillId="0" borderId="0" applyFont="0" applyFill="0" applyBorder="0" applyAlignment="0" applyProtection="0"/>
    <xf numFmtId="41" fontId="19" fillId="0" borderId="0" applyFont="0" applyFill="0" applyBorder="0" applyAlignment="0" applyProtection="0"/>
    <xf numFmtId="41" fontId="19" fillId="0" borderId="0" applyFont="0" applyFill="0" applyBorder="0" applyAlignment="0" applyProtection="0"/>
    <xf numFmtId="41" fontId="19" fillId="0" borderId="0" applyFont="0" applyFill="0" applyBorder="0" applyAlignment="0" applyProtection="0"/>
    <xf numFmtId="41" fontId="19" fillId="0" borderId="0" applyFont="0" applyFill="0" applyBorder="0" applyAlignment="0" applyProtection="0"/>
    <xf numFmtId="41" fontId="19" fillId="0" borderId="0" applyFont="0" applyFill="0" applyBorder="0" applyAlignment="0" applyProtection="0"/>
    <xf numFmtId="41" fontId="19" fillId="0" borderId="0" applyFont="0" applyFill="0" applyBorder="0" applyAlignment="0" applyProtection="0"/>
    <xf numFmtId="41" fontId="19" fillId="0" borderId="0" applyFont="0" applyFill="0" applyBorder="0" applyAlignment="0" applyProtection="0"/>
    <xf numFmtId="41" fontId="19" fillId="0" borderId="0" applyFont="0" applyFill="0" applyBorder="0" applyAlignment="0" applyProtection="0"/>
    <xf numFmtId="41" fontId="19" fillId="0" borderId="0" applyFont="0" applyFill="0" applyBorder="0" applyAlignment="0" applyProtection="0"/>
    <xf numFmtId="41" fontId="19" fillId="0" borderId="0" applyFont="0" applyFill="0" applyBorder="0" applyAlignment="0" applyProtection="0"/>
    <xf numFmtId="41" fontId="19" fillId="0" borderId="0" applyFont="0" applyFill="0" applyBorder="0" applyAlignment="0" applyProtection="0"/>
    <xf numFmtId="41" fontId="19" fillId="0" borderId="0" applyFont="0" applyFill="0" applyBorder="0" applyAlignment="0" applyProtection="0"/>
    <xf numFmtId="41" fontId="19" fillId="0" borderId="0" applyFont="0" applyFill="0" applyBorder="0" applyAlignment="0" applyProtection="0"/>
    <xf numFmtId="41" fontId="19" fillId="0" borderId="0" applyFont="0" applyFill="0" applyBorder="0" applyAlignment="0" applyProtection="0"/>
    <xf numFmtId="41" fontId="19" fillId="0" borderId="0" applyFont="0" applyFill="0" applyBorder="0" applyAlignment="0" applyProtection="0"/>
    <xf numFmtId="41" fontId="19" fillId="0" borderId="0" applyFont="0" applyFill="0" applyBorder="0" applyAlignment="0" applyProtection="0"/>
    <xf numFmtId="41" fontId="19" fillId="0" borderId="0" applyFont="0" applyFill="0" applyBorder="0" applyAlignment="0" applyProtection="0"/>
    <xf numFmtId="41" fontId="19" fillId="0" borderId="0" applyFont="0" applyFill="0" applyBorder="0" applyAlignment="0" applyProtection="0"/>
    <xf numFmtId="41" fontId="19" fillId="0" borderId="0" applyFont="0" applyFill="0" applyBorder="0" applyAlignment="0" applyProtection="0"/>
    <xf numFmtId="41" fontId="19" fillId="0" borderId="0" applyFont="0" applyFill="0" applyBorder="0" applyAlignment="0" applyProtection="0"/>
    <xf numFmtId="41" fontId="19" fillId="0" borderId="0" applyFont="0" applyFill="0" applyBorder="0" applyAlignment="0" applyProtection="0"/>
    <xf numFmtId="41" fontId="19" fillId="0" borderId="0" applyFont="0" applyFill="0" applyBorder="0" applyAlignment="0" applyProtection="0"/>
    <xf numFmtId="41" fontId="19"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38"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38"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38"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38"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38"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38"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38"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38"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38"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38"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38"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38"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38"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38"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38"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38"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38"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38"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38"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38"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38"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38"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38"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38"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38"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38"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38"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38"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38"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38"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38"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38"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38"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38"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38"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38"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38"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38"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38"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38"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38"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38"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38"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38"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38"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38"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38"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38"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38"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38"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38"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38"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38"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38"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38"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38"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38"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38"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38"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38"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38"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38"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38"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38"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38"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38"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38"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38"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38"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38"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38"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38"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38"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38"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38"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38"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38"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38"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38"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38"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38"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38"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38"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38"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38"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38"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38"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38"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38"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38"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38"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38"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38"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38"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38"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38"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38"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38"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38"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38"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38"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38"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38"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38"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38"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38"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38"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38"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38"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38"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38"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38"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38"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38"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38"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38"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38"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38"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38"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38" fillId="0" borderId="0" applyFont="0" applyFill="0" applyBorder="0" applyAlignment="0" applyProtection="0"/>
    <xf numFmtId="0" fontId="45" fillId="0" borderId="0"/>
    <xf numFmtId="0" fontId="31" fillId="0" borderId="0" applyFill="0" applyBorder="0"/>
    <xf numFmtId="0" fontId="45" fillId="0" borderId="0"/>
    <xf numFmtId="0" fontId="1" fillId="0" borderId="0"/>
    <xf numFmtId="0" fontId="1" fillId="0" borderId="0"/>
    <xf numFmtId="0" fontId="10" fillId="0" borderId="0"/>
    <xf numFmtId="0" fontId="1" fillId="0" borderId="0"/>
    <xf numFmtId="0" fontId="10" fillId="0" borderId="0"/>
    <xf numFmtId="0" fontId="38" fillId="0" borderId="0"/>
    <xf numFmtId="0" fontId="1" fillId="0" borderId="0"/>
    <xf numFmtId="0" fontId="10" fillId="26" borderId="11" applyNumberFormat="0" applyFont="0" applyAlignment="0" applyProtection="0"/>
    <xf numFmtId="0" fontId="10" fillId="26" borderId="11" applyNumberFormat="0" applyFont="0" applyAlignment="0" applyProtection="0"/>
    <xf numFmtId="0" fontId="10" fillId="26" borderId="11" applyNumberFormat="0" applyFont="0" applyAlignment="0" applyProtection="0"/>
    <xf numFmtId="0" fontId="38" fillId="26" borderId="11" applyNumberFormat="0" applyFont="0" applyAlignment="0" applyProtection="0"/>
    <xf numFmtId="0" fontId="10" fillId="26" borderId="11" applyNumberFormat="0" applyFont="0" applyAlignment="0" applyProtection="0"/>
    <xf numFmtId="0" fontId="10" fillId="26" borderId="11" applyNumberFormat="0" applyFont="0" applyAlignment="0" applyProtection="0"/>
    <xf numFmtId="0" fontId="10" fillId="26" borderId="11" applyNumberFormat="0" applyFont="0" applyAlignment="0" applyProtection="0"/>
    <xf numFmtId="0" fontId="38" fillId="26" borderId="11" applyNumberFormat="0" applyFont="0" applyAlignment="0" applyProtection="0"/>
    <xf numFmtId="169" fontId="10" fillId="0" borderId="0" applyFont="0" applyFill="0" applyBorder="0" applyAlignment="0" applyProtection="0"/>
    <xf numFmtId="169" fontId="10" fillId="0" borderId="0" applyFont="0" applyFill="0" applyBorder="0" applyAlignment="0" applyProtection="0"/>
    <xf numFmtId="169" fontId="10" fillId="0" borderId="0" applyFont="0" applyFill="0" applyBorder="0" applyAlignment="0" applyProtection="0"/>
    <xf numFmtId="169" fontId="10" fillId="0" borderId="0" applyFont="0" applyFill="0" applyBorder="0" applyAlignment="0" applyProtection="0"/>
    <xf numFmtId="169" fontId="10" fillId="0" borderId="0" applyFont="0" applyFill="0" applyBorder="0" applyAlignment="0" applyProtection="0"/>
    <xf numFmtId="169" fontId="10" fillId="0" borderId="0" applyFont="0" applyFill="0" applyBorder="0" applyAlignment="0" applyProtection="0"/>
    <xf numFmtId="169" fontId="10" fillId="0" borderId="0" applyFont="0" applyFill="0" applyBorder="0" applyAlignment="0" applyProtection="0"/>
    <xf numFmtId="169" fontId="10" fillId="0" borderId="0" applyFont="0" applyFill="0" applyBorder="0" applyAlignment="0" applyProtection="0"/>
    <xf numFmtId="169" fontId="10" fillId="0" borderId="0" applyFont="0" applyFill="0" applyBorder="0" applyAlignment="0" applyProtection="0"/>
    <xf numFmtId="169" fontId="10" fillId="0" borderId="0" applyFont="0" applyFill="0" applyBorder="0" applyAlignment="0" applyProtection="0"/>
    <xf numFmtId="169" fontId="10" fillId="0" borderId="0" applyFont="0" applyFill="0" applyBorder="0" applyAlignment="0" applyProtection="0"/>
    <xf numFmtId="169" fontId="10" fillId="0" borderId="0" applyFont="0" applyFill="0" applyBorder="0" applyAlignment="0" applyProtection="0"/>
    <xf numFmtId="169" fontId="10" fillId="0" borderId="0" applyFont="0" applyFill="0" applyBorder="0" applyAlignment="0" applyProtection="0"/>
    <xf numFmtId="169" fontId="10" fillId="0" borderId="0" applyFont="0" applyFill="0" applyBorder="0" applyAlignment="0" applyProtection="0"/>
    <xf numFmtId="169" fontId="10" fillId="0" borderId="0" applyFont="0" applyFill="0" applyBorder="0" applyAlignment="0" applyProtection="0"/>
    <xf numFmtId="169" fontId="10" fillId="0" borderId="0" applyFont="0" applyFill="0" applyBorder="0" applyAlignment="0" applyProtection="0"/>
    <xf numFmtId="169" fontId="10" fillId="0" borderId="0" applyFont="0" applyFill="0" applyBorder="0" applyAlignment="0" applyProtection="0"/>
    <xf numFmtId="169" fontId="10" fillId="0" borderId="0" applyFont="0" applyFill="0" applyBorder="0" applyAlignment="0" applyProtection="0"/>
    <xf numFmtId="169" fontId="10" fillId="0" borderId="0" applyFont="0" applyFill="0" applyBorder="0" applyAlignment="0" applyProtection="0"/>
    <xf numFmtId="169" fontId="10" fillId="0" borderId="0" applyFont="0" applyFill="0" applyBorder="0" applyAlignment="0" applyProtection="0"/>
    <xf numFmtId="169" fontId="10" fillId="0" borderId="0" applyFont="0" applyFill="0" applyBorder="0" applyAlignment="0" applyProtection="0"/>
    <xf numFmtId="169" fontId="10" fillId="0" borderId="0" applyFont="0" applyFill="0" applyBorder="0" applyAlignment="0" applyProtection="0"/>
    <xf numFmtId="169" fontId="10" fillId="0" borderId="0" applyFont="0" applyFill="0" applyBorder="0" applyAlignment="0" applyProtection="0"/>
    <xf numFmtId="169" fontId="10" fillId="0" borderId="0" applyFont="0" applyFill="0" applyBorder="0" applyAlignment="0" applyProtection="0"/>
    <xf numFmtId="169" fontId="10" fillId="0" borderId="0" applyFont="0" applyFill="0" applyBorder="0" applyAlignment="0" applyProtection="0"/>
    <xf numFmtId="169" fontId="10" fillId="0" borderId="0" applyFont="0" applyFill="0" applyBorder="0" applyAlignment="0" applyProtection="0"/>
    <xf numFmtId="169" fontId="10" fillId="0" borderId="0" applyFont="0" applyFill="0" applyBorder="0" applyAlignment="0" applyProtection="0"/>
    <xf numFmtId="169" fontId="10" fillId="0" borderId="0" applyFont="0" applyFill="0" applyBorder="0" applyAlignment="0" applyProtection="0"/>
    <xf numFmtId="169" fontId="10" fillId="0" borderId="0" applyFont="0" applyFill="0" applyBorder="0" applyAlignment="0" applyProtection="0"/>
    <xf numFmtId="169" fontId="10" fillId="0" borderId="0" applyFont="0" applyFill="0" applyBorder="0" applyAlignment="0" applyProtection="0"/>
    <xf numFmtId="169" fontId="10" fillId="0" borderId="0" applyFont="0" applyFill="0" applyBorder="0" applyAlignment="0" applyProtection="0"/>
    <xf numFmtId="169" fontId="10" fillId="0" borderId="0" applyFont="0" applyFill="0" applyBorder="0" applyAlignment="0" applyProtection="0"/>
    <xf numFmtId="169" fontId="10" fillId="0" borderId="0" applyFont="0" applyFill="0" applyBorder="0" applyAlignment="0" applyProtection="0"/>
    <xf numFmtId="169" fontId="10" fillId="0" borderId="0" applyFont="0" applyFill="0" applyBorder="0" applyAlignment="0" applyProtection="0"/>
    <xf numFmtId="169" fontId="10" fillId="0" borderId="0" applyFont="0" applyFill="0" applyBorder="0" applyAlignment="0" applyProtection="0"/>
    <xf numFmtId="169" fontId="10" fillId="0" borderId="0" applyFont="0" applyFill="0" applyBorder="0" applyAlignment="0" applyProtection="0"/>
    <xf numFmtId="169" fontId="10" fillId="0" borderId="0" applyFont="0" applyFill="0" applyBorder="0" applyAlignment="0" applyProtection="0"/>
    <xf numFmtId="169" fontId="10" fillId="0" borderId="0" applyFont="0" applyFill="0" applyBorder="0" applyAlignment="0" applyProtection="0"/>
    <xf numFmtId="169" fontId="10" fillId="0" borderId="0" applyFont="0" applyFill="0" applyBorder="0" applyAlignment="0" applyProtection="0"/>
    <xf numFmtId="169" fontId="10" fillId="0" borderId="0" applyFont="0" applyFill="0" applyBorder="0" applyAlignment="0" applyProtection="0"/>
    <xf numFmtId="169" fontId="10" fillId="0" borderId="0" applyFont="0" applyFill="0" applyBorder="0" applyAlignment="0" applyProtection="0"/>
    <xf numFmtId="169" fontId="10" fillId="0" borderId="0" applyFont="0" applyFill="0" applyBorder="0" applyAlignment="0" applyProtection="0"/>
    <xf numFmtId="169" fontId="10" fillId="0" borderId="0" applyFont="0" applyFill="0" applyBorder="0" applyAlignment="0" applyProtection="0"/>
    <xf numFmtId="169" fontId="10" fillId="0" borderId="0" applyFont="0" applyFill="0" applyBorder="0" applyAlignment="0" applyProtection="0"/>
    <xf numFmtId="169" fontId="10" fillId="0" borderId="0" applyFont="0" applyFill="0" applyBorder="0" applyAlignment="0" applyProtection="0"/>
    <xf numFmtId="169" fontId="10" fillId="0" borderId="0" applyFont="0" applyFill="0" applyBorder="0" applyAlignment="0" applyProtection="0"/>
    <xf numFmtId="169" fontId="10" fillId="0" borderId="0" applyFont="0" applyFill="0" applyBorder="0" applyAlignment="0" applyProtection="0"/>
    <xf numFmtId="169" fontId="10" fillId="0" borderId="0" applyFont="0" applyFill="0" applyBorder="0" applyAlignment="0" applyProtection="0"/>
    <xf numFmtId="169" fontId="10" fillId="0" borderId="0" applyFont="0" applyFill="0" applyBorder="0" applyAlignment="0" applyProtection="0"/>
    <xf numFmtId="169" fontId="10" fillId="0" borderId="0" applyFont="0" applyFill="0" applyBorder="0" applyAlignment="0" applyProtection="0"/>
    <xf numFmtId="169" fontId="10" fillId="0" borderId="0" applyFont="0" applyFill="0" applyBorder="0" applyAlignment="0" applyProtection="0"/>
    <xf numFmtId="169" fontId="10" fillId="0" borderId="0" applyFont="0" applyFill="0" applyBorder="0" applyAlignment="0" applyProtection="0"/>
    <xf numFmtId="169" fontId="10" fillId="0" borderId="0" applyFont="0" applyFill="0" applyBorder="0" applyAlignment="0" applyProtection="0"/>
    <xf numFmtId="169" fontId="10" fillId="0" borderId="0" applyFont="0" applyFill="0" applyBorder="0" applyAlignment="0" applyProtection="0"/>
    <xf numFmtId="169" fontId="10" fillId="0" borderId="0" applyFont="0" applyFill="0" applyBorder="0" applyAlignment="0" applyProtection="0"/>
    <xf numFmtId="169" fontId="10" fillId="0" borderId="0" applyFont="0" applyFill="0" applyBorder="0" applyAlignment="0" applyProtection="0"/>
    <xf numFmtId="169" fontId="10" fillId="0" borderId="0" applyFont="0" applyFill="0" applyBorder="0" applyAlignment="0" applyProtection="0"/>
    <xf numFmtId="169" fontId="10" fillId="0" borderId="0" applyFont="0" applyFill="0" applyBorder="0" applyAlignment="0" applyProtection="0"/>
    <xf numFmtId="169" fontId="10" fillId="0" borderId="0" applyFont="0" applyFill="0" applyBorder="0" applyAlignment="0" applyProtection="0"/>
    <xf numFmtId="169" fontId="10" fillId="0" borderId="0" applyFont="0" applyFill="0" applyBorder="0" applyAlignment="0" applyProtection="0"/>
    <xf numFmtId="169" fontId="10" fillId="0" borderId="0" applyFont="0" applyFill="0" applyBorder="0" applyAlignment="0" applyProtection="0"/>
    <xf numFmtId="169" fontId="10" fillId="0" borderId="0" applyFont="0" applyFill="0" applyBorder="0" applyAlignment="0" applyProtection="0"/>
    <xf numFmtId="169" fontId="10" fillId="0" borderId="0" applyFont="0" applyFill="0" applyBorder="0" applyAlignment="0" applyProtection="0"/>
    <xf numFmtId="169" fontId="10" fillId="0" borderId="0" applyFont="0" applyFill="0" applyBorder="0" applyAlignment="0" applyProtection="0"/>
    <xf numFmtId="169" fontId="10" fillId="0" borderId="0" applyFont="0" applyFill="0" applyBorder="0" applyAlignment="0" applyProtection="0"/>
    <xf numFmtId="169" fontId="10" fillId="0" borderId="0" applyFont="0" applyFill="0" applyBorder="0" applyAlignment="0" applyProtection="0"/>
    <xf numFmtId="169" fontId="10" fillId="0" borderId="0" applyFont="0" applyFill="0" applyBorder="0" applyAlignment="0" applyProtection="0"/>
    <xf numFmtId="169" fontId="10" fillId="0" borderId="0" applyFont="0" applyFill="0" applyBorder="0" applyAlignment="0" applyProtection="0"/>
    <xf numFmtId="169" fontId="10" fillId="0" borderId="0" applyFont="0" applyFill="0" applyBorder="0" applyAlignment="0" applyProtection="0"/>
    <xf numFmtId="169" fontId="10" fillId="0" borderId="0" applyFont="0" applyFill="0" applyBorder="0" applyAlignment="0" applyProtection="0"/>
    <xf numFmtId="169" fontId="10" fillId="0" borderId="0" applyFont="0" applyFill="0" applyBorder="0" applyAlignment="0" applyProtection="0"/>
    <xf numFmtId="169" fontId="10" fillId="0" borderId="0" applyFont="0" applyFill="0" applyBorder="0" applyAlignment="0" applyProtection="0"/>
    <xf numFmtId="169" fontId="10" fillId="0" borderId="0" applyFont="0" applyFill="0" applyBorder="0" applyAlignment="0" applyProtection="0"/>
    <xf numFmtId="169" fontId="10" fillId="0" borderId="0" applyFont="0" applyFill="0" applyBorder="0" applyAlignment="0" applyProtection="0"/>
    <xf numFmtId="169" fontId="10" fillId="0" borderId="0" applyFont="0" applyFill="0" applyBorder="0" applyAlignment="0" applyProtection="0"/>
    <xf numFmtId="169" fontId="10" fillId="0" borderId="0" applyFont="0" applyFill="0" applyBorder="0" applyAlignment="0" applyProtection="0"/>
    <xf numFmtId="169" fontId="10" fillId="0" borderId="0" applyFont="0" applyFill="0" applyBorder="0" applyAlignment="0" applyProtection="0"/>
    <xf numFmtId="169" fontId="10" fillId="0" borderId="0" applyFont="0" applyFill="0" applyBorder="0" applyAlignment="0" applyProtection="0"/>
    <xf numFmtId="169" fontId="10" fillId="0" borderId="0" applyFont="0" applyFill="0" applyBorder="0" applyAlignment="0" applyProtection="0"/>
    <xf numFmtId="169" fontId="10" fillId="0" borderId="0" applyFont="0" applyFill="0" applyBorder="0" applyAlignment="0" applyProtection="0"/>
    <xf numFmtId="169" fontId="10" fillId="0" borderId="0" applyFont="0" applyFill="0" applyBorder="0" applyAlignment="0" applyProtection="0"/>
    <xf numFmtId="169" fontId="10" fillId="0" borderId="0" applyFont="0" applyFill="0" applyBorder="0" applyAlignment="0" applyProtection="0"/>
    <xf numFmtId="169" fontId="10" fillId="0" borderId="0" applyFont="0" applyFill="0" applyBorder="0" applyAlignment="0" applyProtection="0"/>
    <xf numFmtId="169" fontId="10" fillId="0" borderId="0" applyFont="0" applyFill="0" applyBorder="0" applyAlignment="0" applyProtection="0"/>
    <xf numFmtId="169" fontId="10" fillId="0" borderId="0" applyFont="0" applyFill="0" applyBorder="0" applyAlignment="0" applyProtection="0"/>
    <xf numFmtId="169" fontId="10" fillId="0" borderId="0" applyFont="0" applyFill="0" applyBorder="0" applyAlignment="0" applyProtection="0"/>
    <xf numFmtId="169" fontId="10" fillId="0" borderId="0" applyFont="0" applyFill="0" applyBorder="0" applyAlignment="0" applyProtection="0"/>
    <xf numFmtId="169" fontId="10" fillId="0" borderId="0" applyFont="0" applyFill="0" applyBorder="0" applyAlignment="0" applyProtection="0"/>
    <xf numFmtId="169" fontId="10" fillId="0" borderId="0" applyFont="0" applyFill="0" applyBorder="0" applyAlignment="0" applyProtection="0"/>
    <xf numFmtId="169" fontId="10" fillId="0" borderId="0" applyFont="0" applyFill="0" applyBorder="0" applyAlignment="0" applyProtection="0"/>
    <xf numFmtId="169" fontId="10" fillId="0" borderId="0" applyFont="0" applyFill="0" applyBorder="0" applyAlignment="0" applyProtection="0"/>
    <xf numFmtId="169" fontId="10" fillId="0" borderId="0" applyFont="0" applyFill="0" applyBorder="0" applyAlignment="0" applyProtection="0"/>
    <xf numFmtId="169" fontId="10" fillId="0" borderId="0" applyFont="0" applyFill="0" applyBorder="0" applyAlignment="0" applyProtection="0"/>
    <xf numFmtId="169" fontId="10" fillId="0" borderId="0" applyFont="0" applyFill="0" applyBorder="0" applyAlignment="0" applyProtection="0"/>
    <xf numFmtId="169" fontId="10" fillId="0" borderId="0" applyFont="0" applyFill="0" applyBorder="0" applyAlignment="0" applyProtection="0"/>
    <xf numFmtId="169" fontId="10" fillId="0" borderId="0" applyFont="0" applyFill="0" applyBorder="0" applyAlignment="0" applyProtection="0"/>
    <xf numFmtId="169" fontId="10" fillId="0" borderId="0" applyFont="0" applyFill="0" applyBorder="0" applyAlignment="0" applyProtection="0"/>
    <xf numFmtId="169" fontId="10" fillId="0" borderId="0" applyFont="0" applyFill="0" applyBorder="0" applyAlignment="0" applyProtection="0"/>
    <xf numFmtId="169" fontId="10" fillId="0" borderId="0" applyFont="0" applyFill="0" applyBorder="0" applyAlignment="0" applyProtection="0"/>
    <xf numFmtId="169" fontId="10" fillId="0" borderId="0" applyFont="0" applyFill="0" applyBorder="0" applyAlignment="0" applyProtection="0"/>
    <xf numFmtId="169" fontId="10" fillId="0" borderId="0" applyFont="0" applyFill="0" applyBorder="0" applyAlignment="0" applyProtection="0"/>
    <xf numFmtId="169" fontId="10" fillId="0" borderId="0" applyFont="0" applyFill="0" applyBorder="0" applyAlignment="0" applyProtection="0"/>
    <xf numFmtId="169" fontId="10" fillId="0" borderId="0" applyFont="0" applyFill="0" applyBorder="0" applyAlignment="0" applyProtection="0"/>
    <xf numFmtId="169" fontId="10" fillId="0" borderId="0" applyFont="0" applyFill="0" applyBorder="0" applyAlignment="0" applyProtection="0"/>
    <xf numFmtId="169" fontId="10" fillId="0" borderId="0" applyFont="0" applyFill="0" applyBorder="0" applyAlignment="0" applyProtection="0"/>
    <xf numFmtId="169" fontId="10" fillId="0" borderId="0" applyFont="0" applyFill="0" applyBorder="0" applyAlignment="0" applyProtection="0"/>
    <xf numFmtId="169" fontId="10" fillId="0" borderId="0" applyFont="0" applyFill="0" applyBorder="0" applyAlignment="0" applyProtection="0"/>
    <xf numFmtId="169" fontId="10" fillId="0" borderId="0" applyFont="0" applyFill="0" applyBorder="0" applyAlignment="0" applyProtection="0"/>
    <xf numFmtId="169" fontId="10" fillId="0" borderId="0" applyFont="0" applyFill="0" applyBorder="0" applyAlignment="0" applyProtection="0"/>
    <xf numFmtId="169" fontId="10" fillId="0" borderId="0" applyFont="0" applyFill="0" applyBorder="0" applyAlignment="0" applyProtection="0"/>
    <xf numFmtId="169" fontId="10" fillId="0" borderId="0" applyFont="0" applyFill="0" applyBorder="0" applyAlignment="0" applyProtection="0"/>
    <xf numFmtId="169" fontId="10" fillId="0" borderId="0" applyFont="0" applyFill="0" applyBorder="0" applyAlignment="0" applyProtection="0"/>
    <xf numFmtId="169" fontId="10" fillId="0" borderId="0" applyFont="0" applyFill="0" applyBorder="0" applyAlignment="0" applyProtection="0"/>
    <xf numFmtId="169" fontId="10" fillId="0" borderId="0" applyFont="0" applyFill="0" applyBorder="0" applyAlignment="0" applyProtection="0"/>
    <xf numFmtId="169" fontId="10" fillId="0" borderId="0" applyFont="0" applyFill="0" applyBorder="0" applyAlignment="0" applyProtection="0"/>
    <xf numFmtId="169" fontId="10" fillId="0" borderId="0" applyFont="0" applyFill="0" applyBorder="0" applyAlignment="0" applyProtection="0"/>
    <xf numFmtId="169" fontId="10" fillId="0" borderId="0" applyFont="0" applyFill="0" applyBorder="0" applyAlignment="0" applyProtection="0"/>
    <xf numFmtId="169" fontId="10" fillId="0" borderId="0" applyFont="0" applyFill="0" applyBorder="0" applyAlignment="0" applyProtection="0"/>
    <xf numFmtId="169" fontId="10" fillId="0" borderId="0" applyFont="0" applyFill="0" applyBorder="0" applyAlignment="0" applyProtection="0"/>
    <xf numFmtId="169" fontId="10" fillId="0" borderId="0" applyFont="0" applyFill="0" applyBorder="0" applyAlignment="0" applyProtection="0"/>
    <xf numFmtId="169" fontId="10" fillId="0" borderId="0" applyFont="0" applyFill="0" applyBorder="0" applyAlignment="0" applyProtection="0"/>
    <xf numFmtId="169" fontId="10" fillId="0" borderId="0" applyFont="0" applyFill="0" applyBorder="0" applyAlignment="0" applyProtection="0"/>
    <xf numFmtId="169" fontId="10" fillId="0" borderId="0" applyFont="0" applyFill="0" applyBorder="0" applyAlignment="0" applyProtection="0"/>
    <xf numFmtId="169" fontId="10" fillId="0" borderId="0" applyFont="0" applyFill="0" applyBorder="0" applyAlignment="0" applyProtection="0"/>
    <xf numFmtId="169" fontId="10" fillId="0" borderId="0" applyFont="0" applyFill="0" applyBorder="0" applyAlignment="0" applyProtection="0"/>
    <xf numFmtId="169" fontId="10" fillId="0" borderId="0" applyFont="0" applyFill="0" applyBorder="0" applyAlignment="0" applyProtection="0"/>
    <xf numFmtId="169" fontId="10" fillId="0" borderId="0" applyFont="0" applyFill="0" applyBorder="0" applyAlignment="0" applyProtection="0"/>
    <xf numFmtId="169" fontId="10" fillId="0" borderId="0" applyFont="0" applyFill="0" applyBorder="0" applyAlignment="0" applyProtection="0"/>
    <xf numFmtId="169" fontId="10" fillId="0" borderId="0" applyFont="0" applyFill="0" applyBorder="0" applyAlignment="0" applyProtection="0"/>
    <xf numFmtId="169" fontId="10" fillId="0" borderId="0" applyFont="0" applyFill="0" applyBorder="0" applyAlignment="0" applyProtection="0"/>
    <xf numFmtId="169" fontId="10" fillId="0" borderId="0" applyFont="0" applyFill="0" applyBorder="0" applyAlignment="0" applyProtection="0"/>
    <xf numFmtId="169" fontId="10" fillId="0" borderId="0" applyFont="0" applyFill="0" applyBorder="0" applyAlignment="0" applyProtection="0"/>
    <xf numFmtId="169" fontId="10" fillId="0" borderId="0" applyFont="0" applyFill="0" applyBorder="0" applyAlignment="0" applyProtection="0"/>
    <xf numFmtId="169" fontId="10" fillId="0" borderId="0" applyFont="0" applyFill="0" applyBorder="0" applyAlignment="0" applyProtection="0"/>
    <xf numFmtId="169" fontId="10" fillId="0" borderId="0" applyFont="0" applyFill="0" applyBorder="0" applyAlignment="0" applyProtection="0"/>
    <xf numFmtId="169" fontId="10" fillId="0" borderId="0" applyFont="0" applyFill="0" applyBorder="0" applyAlignment="0" applyProtection="0"/>
    <xf numFmtId="169" fontId="10" fillId="0" borderId="0" applyFont="0" applyFill="0" applyBorder="0" applyAlignment="0" applyProtection="0"/>
    <xf numFmtId="169" fontId="10" fillId="0" borderId="0" applyFont="0" applyFill="0" applyBorder="0" applyAlignment="0" applyProtection="0"/>
    <xf numFmtId="169" fontId="10" fillId="0" borderId="0" applyFont="0" applyFill="0" applyBorder="0" applyAlignment="0" applyProtection="0"/>
    <xf numFmtId="169" fontId="10" fillId="0" borderId="0" applyFont="0" applyFill="0" applyBorder="0" applyAlignment="0" applyProtection="0"/>
    <xf numFmtId="169" fontId="10" fillId="0" borderId="0" applyFont="0" applyFill="0" applyBorder="0" applyAlignment="0" applyProtection="0"/>
    <xf numFmtId="169" fontId="10" fillId="0" borderId="0" applyFont="0" applyFill="0" applyBorder="0" applyAlignment="0" applyProtection="0"/>
    <xf numFmtId="169" fontId="10" fillId="0" borderId="0" applyFont="0" applyFill="0" applyBorder="0" applyAlignment="0" applyProtection="0"/>
    <xf numFmtId="169" fontId="10" fillId="0" borderId="0" applyFont="0" applyFill="0" applyBorder="0" applyAlignment="0" applyProtection="0"/>
    <xf numFmtId="169" fontId="10" fillId="0" borderId="0" applyFont="0" applyFill="0" applyBorder="0" applyAlignment="0" applyProtection="0"/>
    <xf numFmtId="169" fontId="10" fillId="0" borderId="0" applyFont="0" applyFill="0" applyBorder="0" applyAlignment="0" applyProtection="0"/>
    <xf numFmtId="169" fontId="10" fillId="0" borderId="0" applyFont="0" applyFill="0" applyBorder="0" applyAlignment="0" applyProtection="0"/>
    <xf numFmtId="169" fontId="10" fillId="0" borderId="0" applyFont="0" applyFill="0" applyBorder="0" applyAlignment="0" applyProtection="0"/>
    <xf numFmtId="169" fontId="10" fillId="0" borderId="0" applyFont="0" applyFill="0" applyBorder="0" applyAlignment="0" applyProtection="0"/>
    <xf numFmtId="169" fontId="10" fillId="0" borderId="0" applyFont="0" applyFill="0" applyBorder="0" applyAlignment="0" applyProtection="0"/>
    <xf numFmtId="169" fontId="10" fillId="0" borderId="0" applyFont="0" applyFill="0" applyBorder="0" applyAlignment="0" applyProtection="0"/>
    <xf numFmtId="169" fontId="10" fillId="0" borderId="0" applyFont="0" applyFill="0" applyBorder="0" applyAlignment="0" applyProtection="0"/>
    <xf numFmtId="169" fontId="10" fillId="0" borderId="0" applyFont="0" applyFill="0" applyBorder="0" applyAlignment="0" applyProtection="0"/>
    <xf numFmtId="169" fontId="10" fillId="0" borderId="0" applyFont="0" applyFill="0" applyBorder="0" applyAlignment="0" applyProtection="0"/>
    <xf numFmtId="169" fontId="10" fillId="0" borderId="0" applyFont="0" applyFill="0" applyBorder="0" applyAlignment="0" applyProtection="0"/>
    <xf numFmtId="169" fontId="10" fillId="0" borderId="0" applyFont="0" applyFill="0" applyBorder="0" applyAlignment="0" applyProtection="0"/>
    <xf numFmtId="169" fontId="10" fillId="0" borderId="0" applyFont="0" applyFill="0" applyBorder="0" applyAlignment="0" applyProtection="0"/>
    <xf numFmtId="169" fontId="10" fillId="0" borderId="0" applyFont="0" applyFill="0" applyBorder="0" applyAlignment="0" applyProtection="0"/>
    <xf numFmtId="169" fontId="10" fillId="0" borderId="0" applyFont="0" applyFill="0" applyBorder="0" applyAlignment="0" applyProtection="0"/>
    <xf numFmtId="169" fontId="10" fillId="0" borderId="0" applyFont="0" applyFill="0" applyBorder="0" applyAlignment="0" applyProtection="0"/>
    <xf numFmtId="169" fontId="10" fillId="0" borderId="0" applyFont="0" applyFill="0" applyBorder="0" applyAlignment="0" applyProtection="0"/>
    <xf numFmtId="169" fontId="10" fillId="0" borderId="0" applyFont="0" applyFill="0" applyBorder="0" applyAlignment="0" applyProtection="0"/>
    <xf numFmtId="169" fontId="10" fillId="0" borderId="0" applyFont="0" applyFill="0" applyBorder="0" applyAlignment="0" applyProtection="0"/>
    <xf numFmtId="169" fontId="10" fillId="0" borderId="0" applyFont="0" applyFill="0" applyBorder="0" applyAlignment="0" applyProtection="0"/>
    <xf numFmtId="169" fontId="10" fillId="0" borderId="0" applyFont="0" applyFill="0" applyBorder="0" applyAlignment="0" applyProtection="0"/>
    <xf numFmtId="169" fontId="10" fillId="0" borderId="0" applyFont="0" applyFill="0" applyBorder="0" applyAlignment="0" applyProtection="0"/>
    <xf numFmtId="169" fontId="10" fillId="0" borderId="0" applyFont="0" applyFill="0" applyBorder="0" applyAlignment="0" applyProtection="0"/>
    <xf numFmtId="169" fontId="10" fillId="0" borderId="0" applyFont="0" applyFill="0" applyBorder="0" applyAlignment="0" applyProtection="0"/>
    <xf numFmtId="169" fontId="10" fillId="0" borderId="0" applyFont="0" applyFill="0" applyBorder="0" applyAlignment="0" applyProtection="0"/>
    <xf numFmtId="169" fontId="10" fillId="0" borderId="0" applyFont="0" applyFill="0" applyBorder="0" applyAlignment="0" applyProtection="0"/>
    <xf numFmtId="169" fontId="10" fillId="0" borderId="0" applyFont="0" applyFill="0" applyBorder="0" applyAlignment="0" applyProtection="0"/>
    <xf numFmtId="169" fontId="10" fillId="0" borderId="0" applyFont="0" applyFill="0" applyBorder="0" applyAlignment="0" applyProtection="0"/>
    <xf numFmtId="169" fontId="10" fillId="0" borderId="0" applyFont="0" applyFill="0" applyBorder="0" applyAlignment="0" applyProtection="0"/>
    <xf numFmtId="169" fontId="10" fillId="0" borderId="0" applyFont="0" applyFill="0" applyBorder="0" applyAlignment="0" applyProtection="0"/>
    <xf numFmtId="169" fontId="10" fillId="0" borderId="0" applyFont="0" applyFill="0" applyBorder="0" applyAlignment="0" applyProtection="0"/>
    <xf numFmtId="169" fontId="10" fillId="0" borderId="0" applyFont="0" applyFill="0" applyBorder="0" applyAlignment="0" applyProtection="0"/>
    <xf numFmtId="0" fontId="21" fillId="21" borderId="12" applyNumberFormat="0" applyAlignment="0" applyProtection="0"/>
    <xf numFmtId="0" fontId="21" fillId="21" borderId="12" applyNumberFormat="0" applyAlignment="0" applyProtection="0"/>
    <xf numFmtId="0" fontId="253" fillId="40" borderId="0" applyNumberFormat="0" applyAlignment="0" applyProtection="0"/>
    <xf numFmtId="0" fontId="254" fillId="109" borderId="0" applyNumberFormat="0" applyAlignment="0" applyProtection="0"/>
    <xf numFmtId="0" fontId="255" fillId="110" borderId="0" applyNumberFormat="0" applyAlignment="0" applyProtection="0"/>
    <xf numFmtId="208" fontId="248" fillId="33" borderId="0" applyNumberFormat="0" applyFill="0" applyBorder="0" applyAlignment="0">
      <alignment horizontal="center"/>
    </xf>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0" fontId="41" fillId="0" borderId="7">
      <alignment horizontal="left" vertical="center" wrapText="1" indent="2"/>
    </xf>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3" fillId="0" borderId="0" applyFont="0" applyFill="0" applyBorder="0" applyAlignment="0" applyProtection="0"/>
    <xf numFmtId="9" fontId="13" fillId="0" borderId="0" applyFont="0" applyFill="0" applyBorder="0" applyAlignment="0" applyProtection="0"/>
    <xf numFmtId="9" fontId="1" fillId="0" borderId="0" applyFont="0" applyFill="0" applyBorder="0" applyAlignment="0" applyProtection="0"/>
    <xf numFmtId="0" fontId="28" fillId="0" borderId="13" applyNumberFormat="0" applyFill="0" applyAlignment="0" applyProtection="0"/>
    <xf numFmtId="0" fontId="256" fillId="56" borderId="101" applyNumberFormat="0" applyFill="0" applyBorder="0" applyAlignment="0" applyProtection="0"/>
    <xf numFmtId="0" fontId="247" fillId="56" borderId="101" applyFill="0" applyBorder="0" applyAlignment="0" applyProtection="0"/>
    <xf numFmtId="0" fontId="1" fillId="0" borderId="0"/>
    <xf numFmtId="165" fontId="1" fillId="0" borderId="0" applyFont="0" applyFill="0" applyBorder="0" applyAlignment="0" applyProtection="0"/>
    <xf numFmtId="0" fontId="78" fillId="36" borderId="0" applyNumberFormat="0" applyBorder="0" applyAlignment="0" applyProtection="0"/>
    <xf numFmtId="0" fontId="103" fillId="56" borderId="101" applyNumberFormat="0" applyAlignment="0" applyProtection="0"/>
    <xf numFmtId="41" fontId="19" fillId="0" borderId="0" applyFont="0" applyFill="0" applyBorder="0" applyAlignment="0" applyProtection="0"/>
    <xf numFmtId="41" fontId="19" fillId="0" borderId="0" applyFont="0" applyFill="0" applyBorder="0" applyAlignment="0" applyProtection="0"/>
    <xf numFmtId="41" fontId="19" fillId="0" borderId="0" applyFont="0" applyFill="0" applyBorder="0" applyAlignment="0" applyProtection="0"/>
    <xf numFmtId="41" fontId="19" fillId="0" borderId="0" applyFont="0" applyFill="0" applyBorder="0" applyAlignment="0" applyProtection="0"/>
    <xf numFmtId="41" fontId="19" fillId="0" borderId="0" applyFont="0" applyFill="0" applyBorder="0" applyAlignment="0" applyProtection="0"/>
    <xf numFmtId="41" fontId="19" fillId="0" borderId="0" applyFont="0" applyFill="0" applyBorder="0" applyAlignment="0" applyProtection="0"/>
    <xf numFmtId="41" fontId="19" fillId="0" borderId="0" applyFont="0" applyFill="0" applyBorder="0" applyAlignment="0" applyProtection="0"/>
    <xf numFmtId="41" fontId="19" fillId="0" borderId="0" applyFont="0" applyFill="0" applyBorder="0" applyAlignment="0" applyProtection="0"/>
    <xf numFmtId="41" fontId="19" fillId="0" borderId="0" applyFont="0" applyFill="0" applyBorder="0" applyAlignment="0" applyProtection="0"/>
    <xf numFmtId="41" fontId="19" fillId="0" borderId="0" applyFont="0" applyFill="0" applyBorder="0" applyAlignment="0" applyProtection="0"/>
    <xf numFmtId="41" fontId="19" fillId="0" borderId="0" applyFont="0" applyFill="0" applyBorder="0" applyAlignment="0" applyProtection="0"/>
    <xf numFmtId="41" fontId="19" fillId="0" borderId="0" applyFont="0" applyFill="0" applyBorder="0" applyAlignment="0" applyProtection="0"/>
    <xf numFmtId="41" fontId="19" fillId="0" borderId="0" applyFont="0" applyFill="0" applyBorder="0" applyAlignment="0" applyProtection="0"/>
    <xf numFmtId="41" fontId="19" fillId="0" borderId="0" applyFont="0" applyFill="0" applyBorder="0" applyAlignment="0" applyProtection="0"/>
    <xf numFmtId="41" fontId="19" fillId="0" borderId="0" applyFont="0" applyFill="0" applyBorder="0" applyAlignment="0" applyProtection="0"/>
    <xf numFmtId="41" fontId="19" fillId="0" borderId="0" applyFont="0" applyFill="0" applyBorder="0" applyAlignment="0" applyProtection="0"/>
    <xf numFmtId="41" fontId="19" fillId="0" borderId="0" applyFont="0" applyFill="0" applyBorder="0" applyAlignment="0" applyProtection="0"/>
    <xf numFmtId="41" fontId="19" fillId="0" borderId="0" applyFont="0" applyFill="0" applyBorder="0" applyAlignment="0" applyProtection="0"/>
    <xf numFmtId="41" fontId="19" fillId="0" borderId="0" applyFont="0" applyFill="0" applyBorder="0" applyAlignment="0" applyProtection="0"/>
    <xf numFmtId="41" fontId="19" fillId="0" borderId="0" applyFont="0" applyFill="0" applyBorder="0" applyAlignment="0" applyProtection="0"/>
    <xf numFmtId="41" fontId="19" fillId="0" borderId="0" applyFont="0" applyFill="0" applyBorder="0" applyAlignment="0" applyProtection="0"/>
    <xf numFmtId="41" fontId="19" fillId="0" borderId="0" applyFont="0" applyFill="0" applyBorder="0" applyAlignment="0" applyProtection="0"/>
    <xf numFmtId="41" fontId="19" fillId="0" borderId="0" applyFont="0" applyFill="0" applyBorder="0" applyAlignment="0" applyProtection="0"/>
    <xf numFmtId="41" fontId="19" fillId="0" borderId="0" applyFont="0" applyFill="0" applyBorder="0" applyAlignment="0" applyProtection="0"/>
    <xf numFmtId="41" fontId="19" fillId="0" borderId="0" applyFont="0" applyFill="0" applyBorder="0" applyAlignment="0" applyProtection="0"/>
    <xf numFmtId="41" fontId="19" fillId="0" borderId="0" applyFont="0" applyFill="0" applyBorder="0" applyAlignment="0" applyProtection="0"/>
    <xf numFmtId="41" fontId="19" fillId="0" borderId="0" applyFont="0" applyFill="0" applyBorder="0" applyAlignment="0" applyProtection="0"/>
    <xf numFmtId="41" fontId="19" fillId="0" borderId="0" applyFont="0" applyFill="0" applyBorder="0" applyAlignment="0" applyProtection="0"/>
    <xf numFmtId="41" fontId="19" fillId="0" borderId="0" applyFont="0" applyFill="0" applyBorder="0" applyAlignment="0" applyProtection="0"/>
    <xf numFmtId="41" fontId="19" fillId="0" borderId="0" applyFont="0" applyFill="0" applyBorder="0" applyAlignment="0" applyProtection="0"/>
    <xf numFmtId="41" fontId="19" fillId="0" borderId="0" applyFont="0" applyFill="0" applyBorder="0" applyAlignment="0" applyProtection="0"/>
    <xf numFmtId="41" fontId="19" fillId="0" borderId="0" applyFont="0" applyFill="0" applyBorder="0" applyAlignment="0" applyProtection="0"/>
    <xf numFmtId="41" fontId="19" fillId="0" borderId="0" applyFont="0" applyFill="0" applyBorder="0" applyAlignment="0" applyProtection="0"/>
    <xf numFmtId="41" fontId="19" fillId="0" borderId="0" applyFont="0" applyFill="0" applyBorder="0" applyAlignment="0" applyProtection="0"/>
    <xf numFmtId="41" fontId="19" fillId="0" borderId="0" applyFont="0" applyFill="0" applyBorder="0" applyAlignment="0" applyProtection="0"/>
    <xf numFmtId="41" fontId="19" fillId="0" borderId="0" applyFont="0" applyFill="0" applyBorder="0" applyAlignment="0" applyProtection="0"/>
    <xf numFmtId="41" fontId="19" fillId="0" borderId="0" applyFont="0" applyFill="0" applyBorder="0" applyAlignment="0" applyProtection="0"/>
    <xf numFmtId="41" fontId="19" fillId="0" borderId="0" applyFont="0" applyFill="0" applyBorder="0" applyAlignment="0" applyProtection="0"/>
    <xf numFmtId="41" fontId="19" fillId="0" borderId="0" applyFont="0" applyFill="0" applyBorder="0" applyAlignment="0" applyProtection="0"/>
    <xf numFmtId="41" fontId="19" fillId="0" borderId="0" applyFont="0" applyFill="0" applyBorder="0" applyAlignment="0" applyProtection="0"/>
    <xf numFmtId="41" fontId="19" fillId="0" borderId="0" applyFont="0" applyFill="0" applyBorder="0" applyAlignment="0" applyProtection="0"/>
    <xf numFmtId="41" fontId="19" fillId="0" borderId="0" applyFont="0" applyFill="0" applyBorder="0" applyAlignment="0" applyProtection="0"/>
    <xf numFmtId="41" fontId="19" fillId="0" borderId="0" applyFont="0" applyFill="0" applyBorder="0" applyAlignment="0" applyProtection="0"/>
    <xf numFmtId="41" fontId="19" fillId="0" borderId="0" applyFont="0" applyFill="0" applyBorder="0" applyAlignment="0" applyProtection="0"/>
    <xf numFmtId="41" fontId="19" fillId="0" borderId="0" applyFont="0" applyFill="0" applyBorder="0" applyAlignment="0" applyProtection="0"/>
    <xf numFmtId="41" fontId="19" fillId="0" borderId="0" applyFont="0" applyFill="0" applyBorder="0" applyAlignment="0" applyProtection="0"/>
    <xf numFmtId="41" fontId="19" fillId="0" borderId="0" applyFont="0" applyFill="0" applyBorder="0" applyAlignment="0" applyProtection="0"/>
    <xf numFmtId="41" fontId="19" fillId="0" borderId="0" applyFont="0" applyFill="0" applyBorder="0" applyAlignment="0" applyProtection="0"/>
    <xf numFmtId="41" fontId="19" fillId="0" borderId="0" applyFont="0" applyFill="0" applyBorder="0" applyAlignment="0" applyProtection="0"/>
    <xf numFmtId="41" fontId="19" fillId="0" borderId="0" applyFont="0" applyFill="0" applyBorder="0" applyAlignment="0" applyProtection="0"/>
    <xf numFmtId="41" fontId="19" fillId="0" borderId="0" applyFont="0" applyFill="0" applyBorder="0" applyAlignment="0" applyProtection="0"/>
    <xf numFmtId="41" fontId="19" fillId="0" borderId="0" applyFont="0" applyFill="0" applyBorder="0" applyAlignment="0" applyProtection="0"/>
    <xf numFmtId="41" fontId="19" fillId="0" borderId="0" applyFont="0" applyFill="0" applyBorder="0" applyAlignment="0" applyProtection="0"/>
    <xf numFmtId="41" fontId="19" fillId="0" borderId="0" applyFont="0" applyFill="0" applyBorder="0" applyAlignment="0" applyProtection="0"/>
    <xf numFmtId="41" fontId="19" fillId="0" borderId="0" applyFont="0" applyFill="0" applyBorder="0" applyAlignment="0" applyProtection="0"/>
    <xf numFmtId="41" fontId="19" fillId="0" borderId="0" applyFont="0" applyFill="0" applyBorder="0" applyAlignment="0" applyProtection="0"/>
    <xf numFmtId="41" fontId="19" fillId="0" borderId="0" applyFont="0" applyFill="0" applyBorder="0" applyAlignment="0" applyProtection="0"/>
    <xf numFmtId="41" fontId="19"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0" fontId="81" fillId="0" borderId="0"/>
    <xf numFmtId="0" fontId="81" fillId="0" borderId="0"/>
    <xf numFmtId="0" fontId="81" fillId="0" borderId="0"/>
    <xf numFmtId="189" fontId="10" fillId="0" borderId="0"/>
    <xf numFmtId="3" fontId="10" fillId="47" borderId="101" applyFont="0" applyFill="0" applyBorder="0" applyAlignment="0" applyProtection="0"/>
    <xf numFmtId="0" fontId="10" fillId="0" borderId="0" applyNumberFormat="0" applyFont="0" applyFill="0" applyBorder="0" applyProtection="0">
      <alignment horizontal="left" vertical="center" indent="5"/>
    </xf>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 fillId="0" borderId="0" applyFont="0" applyFill="0" applyBorder="0" applyAlignment="0" applyProtection="0"/>
    <xf numFmtId="165" fontId="10" fillId="0" borderId="0" applyFont="0" applyFill="0" applyBorder="0" applyAlignment="0" applyProtection="0"/>
    <xf numFmtId="165" fontId="1"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6" fontId="10" fillId="0" borderId="0" applyFont="0" applyFill="0" applyBorder="0" applyAlignment="0" applyProtection="0"/>
    <xf numFmtId="166" fontId="10" fillId="0" borderId="0" applyFont="0" applyFill="0" applyBorder="0" applyAlignment="0" applyProtection="0"/>
    <xf numFmtId="166" fontId="10" fillId="0" borderId="0" applyFont="0" applyFill="0" applyBorder="0" applyAlignment="0" applyProtection="0"/>
    <xf numFmtId="166" fontId="10" fillId="0" borderId="0" applyFont="0" applyFill="0" applyBorder="0" applyAlignment="0" applyProtection="0"/>
    <xf numFmtId="166" fontId="10" fillId="0" borderId="0" applyFont="0" applyFill="0" applyBorder="0" applyAlignment="0" applyProtection="0"/>
    <xf numFmtId="166" fontId="10" fillId="0" borderId="0" applyFont="0" applyFill="0" applyBorder="0" applyAlignment="0" applyProtection="0"/>
    <xf numFmtId="166" fontId="10" fillId="0" borderId="0" applyFont="0" applyFill="0" applyBorder="0" applyAlignment="0" applyProtection="0"/>
    <xf numFmtId="166" fontId="10" fillId="0" borderId="0" applyFont="0" applyFill="0" applyBorder="0" applyAlignment="0" applyProtection="0"/>
    <xf numFmtId="166" fontId="10" fillId="0" borderId="0" applyFont="0" applyFill="0" applyBorder="0" applyAlignment="0" applyProtection="0"/>
    <xf numFmtId="166" fontId="10" fillId="0" borderId="0" applyFont="0" applyFill="0" applyBorder="0" applyAlignment="0" applyProtection="0"/>
    <xf numFmtId="166" fontId="10" fillId="0" borderId="0" applyFont="0" applyFill="0" applyBorder="0" applyAlignment="0" applyProtection="0"/>
    <xf numFmtId="166" fontId="10" fillId="0" borderId="0" applyFont="0" applyFill="0" applyBorder="0" applyAlignment="0" applyProtection="0"/>
    <xf numFmtId="166" fontId="10" fillId="0" borderId="0" applyFont="0" applyFill="0" applyBorder="0" applyAlignment="0" applyProtection="0"/>
    <xf numFmtId="166" fontId="10" fillId="0" borderId="0" applyFont="0" applyFill="0" applyBorder="0" applyAlignment="0" applyProtection="0"/>
    <xf numFmtId="166" fontId="10" fillId="0" borderId="0" applyFont="0" applyFill="0" applyBorder="0" applyAlignment="0" applyProtection="0"/>
    <xf numFmtId="166" fontId="10" fillId="0" borderId="0" applyFont="0" applyFill="0" applyBorder="0" applyAlignment="0" applyProtection="0"/>
    <xf numFmtId="166" fontId="10" fillId="0" borderId="0" applyFont="0" applyFill="0" applyBorder="0" applyAlignment="0" applyProtection="0"/>
    <xf numFmtId="166" fontId="10" fillId="0" borderId="0" applyFont="0" applyFill="0" applyBorder="0" applyAlignment="0" applyProtection="0"/>
    <xf numFmtId="166" fontId="10" fillId="0" borderId="0" applyFont="0" applyFill="0" applyBorder="0" applyAlignment="0" applyProtection="0"/>
    <xf numFmtId="166" fontId="10" fillId="0" borderId="0" applyFont="0" applyFill="0" applyBorder="0" applyAlignment="0" applyProtection="0"/>
    <xf numFmtId="166" fontId="10" fillId="0" borderId="0" applyFont="0" applyFill="0" applyBorder="0" applyAlignment="0" applyProtection="0"/>
    <xf numFmtId="166" fontId="10" fillId="0" borderId="0" applyFont="0" applyFill="0" applyBorder="0" applyAlignment="0" applyProtection="0"/>
    <xf numFmtId="166" fontId="10" fillId="0" borderId="0" applyFont="0" applyFill="0" applyBorder="0" applyAlignment="0" applyProtection="0"/>
    <xf numFmtId="166" fontId="10" fillId="0" borderId="0" applyFont="0" applyFill="0" applyBorder="0" applyAlignment="0" applyProtection="0"/>
    <xf numFmtId="166" fontId="10" fillId="0" borderId="0" applyFont="0" applyFill="0" applyBorder="0" applyAlignment="0" applyProtection="0"/>
    <xf numFmtId="166" fontId="10" fillId="0" borderId="0" applyFont="0" applyFill="0" applyBorder="0" applyAlignment="0" applyProtection="0"/>
    <xf numFmtId="166" fontId="10" fillId="0" borderId="0" applyFont="0" applyFill="0" applyBorder="0" applyAlignment="0" applyProtection="0"/>
    <xf numFmtId="166" fontId="10" fillId="0" borderId="0" applyFont="0" applyFill="0" applyBorder="0" applyAlignment="0" applyProtection="0"/>
    <xf numFmtId="166" fontId="10" fillId="0" borderId="0" applyFont="0" applyFill="0" applyBorder="0" applyAlignment="0" applyProtection="0"/>
    <xf numFmtId="166" fontId="10" fillId="0" borderId="0" applyFont="0" applyFill="0" applyBorder="0" applyAlignment="0" applyProtection="0"/>
    <xf numFmtId="166" fontId="10" fillId="0" borderId="0" applyFont="0" applyFill="0" applyBorder="0" applyAlignment="0" applyProtection="0"/>
    <xf numFmtId="166" fontId="10" fillId="0" borderId="0" applyFont="0" applyFill="0" applyBorder="0" applyAlignment="0" applyProtection="0"/>
    <xf numFmtId="166" fontId="10" fillId="0" borderId="0" applyFont="0" applyFill="0" applyBorder="0" applyAlignment="0" applyProtection="0"/>
    <xf numFmtId="166" fontId="10" fillId="0" borderId="0" applyFont="0" applyFill="0" applyBorder="0" applyAlignment="0" applyProtection="0"/>
    <xf numFmtId="166" fontId="10" fillId="0" borderId="0" applyFont="0" applyFill="0" applyBorder="0" applyAlignment="0" applyProtection="0"/>
    <xf numFmtId="166" fontId="10" fillId="0" borderId="0" applyFont="0" applyFill="0" applyBorder="0" applyAlignment="0" applyProtection="0"/>
    <xf numFmtId="166" fontId="10" fillId="0" borderId="0" applyFont="0" applyFill="0" applyBorder="0" applyAlignment="0" applyProtection="0"/>
    <xf numFmtId="166" fontId="10" fillId="0" borderId="0" applyFont="0" applyFill="0" applyBorder="0" applyAlignment="0" applyProtection="0"/>
    <xf numFmtId="166" fontId="10" fillId="0" borderId="0" applyFont="0" applyFill="0" applyBorder="0" applyAlignment="0" applyProtection="0"/>
    <xf numFmtId="166" fontId="10" fillId="0" borderId="0" applyFont="0" applyFill="0" applyBorder="0" applyAlignment="0" applyProtection="0"/>
    <xf numFmtId="166" fontId="10" fillId="0" borderId="0" applyFont="0" applyFill="0" applyBorder="0" applyAlignment="0" applyProtection="0"/>
    <xf numFmtId="166" fontId="10" fillId="0" borderId="0" applyFont="0" applyFill="0" applyBorder="0" applyAlignment="0" applyProtection="0"/>
    <xf numFmtId="166" fontId="10" fillId="0" borderId="0" applyFont="0" applyFill="0" applyBorder="0" applyAlignment="0" applyProtection="0"/>
    <xf numFmtId="166" fontId="10" fillId="0" borderId="0" applyFont="0" applyFill="0" applyBorder="0" applyAlignment="0" applyProtection="0"/>
    <xf numFmtId="166" fontId="10" fillId="0" borderId="0" applyFont="0" applyFill="0" applyBorder="0" applyAlignment="0" applyProtection="0"/>
    <xf numFmtId="166" fontId="10" fillId="0" borderId="0" applyFont="0" applyFill="0" applyBorder="0" applyAlignment="0" applyProtection="0"/>
    <xf numFmtId="166" fontId="10" fillId="0" borderId="0" applyFont="0" applyFill="0" applyBorder="0" applyAlignment="0" applyProtection="0"/>
    <xf numFmtId="166" fontId="10" fillId="0" borderId="0" applyFont="0" applyFill="0" applyBorder="0" applyAlignment="0" applyProtection="0"/>
    <xf numFmtId="166" fontId="10" fillId="0" borderId="0" applyFont="0" applyFill="0" applyBorder="0" applyAlignment="0" applyProtection="0"/>
    <xf numFmtId="166" fontId="10" fillId="0" borderId="0" applyFont="0" applyFill="0" applyBorder="0" applyAlignment="0" applyProtection="0"/>
    <xf numFmtId="166" fontId="10" fillId="0" borderId="0" applyFont="0" applyFill="0" applyBorder="0" applyAlignment="0" applyProtection="0"/>
    <xf numFmtId="166" fontId="10" fillId="0" borderId="0" applyFont="0" applyFill="0" applyBorder="0" applyAlignment="0" applyProtection="0"/>
    <xf numFmtId="166" fontId="10" fillId="0" borderId="0" applyFont="0" applyFill="0" applyBorder="0" applyAlignment="0" applyProtection="0"/>
    <xf numFmtId="166" fontId="10" fillId="0" borderId="0" applyFont="0" applyFill="0" applyBorder="0" applyAlignment="0" applyProtection="0"/>
    <xf numFmtId="166" fontId="10" fillId="0" borderId="0" applyFont="0" applyFill="0" applyBorder="0" applyAlignment="0" applyProtection="0"/>
    <xf numFmtId="166" fontId="10" fillId="0" borderId="0" applyFont="0" applyFill="0" applyBorder="0" applyAlignment="0" applyProtection="0"/>
    <xf numFmtId="166" fontId="10" fillId="0" borderId="0" applyFont="0" applyFill="0" applyBorder="0" applyAlignment="0" applyProtection="0"/>
    <xf numFmtId="166" fontId="10" fillId="0" borderId="0" applyFont="0" applyFill="0" applyBorder="0" applyAlignment="0" applyProtection="0"/>
    <xf numFmtId="166" fontId="10" fillId="0" borderId="0" applyFont="0" applyFill="0" applyBorder="0" applyAlignment="0" applyProtection="0"/>
    <xf numFmtId="166" fontId="10" fillId="0" borderId="0" applyFont="0" applyFill="0" applyBorder="0" applyAlignment="0" applyProtection="0"/>
    <xf numFmtId="166" fontId="10" fillId="0" borderId="0" applyFont="0" applyFill="0" applyBorder="0" applyAlignment="0" applyProtection="0"/>
    <xf numFmtId="166" fontId="10" fillId="0" borderId="0" applyFont="0" applyFill="0" applyBorder="0" applyAlignment="0" applyProtection="0"/>
    <xf numFmtId="166" fontId="10" fillId="0" borderId="0" applyFont="0" applyFill="0" applyBorder="0" applyAlignment="0" applyProtection="0"/>
    <xf numFmtId="166" fontId="10" fillId="0" borderId="0" applyFont="0" applyFill="0" applyBorder="0" applyAlignment="0" applyProtection="0"/>
    <xf numFmtId="166" fontId="10" fillId="0" borderId="0" applyFont="0" applyFill="0" applyBorder="0" applyAlignment="0" applyProtection="0"/>
    <xf numFmtId="166" fontId="10" fillId="0" borderId="0" applyFont="0" applyFill="0" applyBorder="0" applyAlignment="0" applyProtection="0"/>
    <xf numFmtId="166" fontId="10" fillId="0" borderId="0" applyFont="0" applyFill="0" applyBorder="0" applyAlignment="0" applyProtection="0"/>
    <xf numFmtId="166" fontId="10" fillId="0" borderId="0" applyFont="0" applyFill="0" applyBorder="0" applyAlignment="0" applyProtection="0"/>
    <xf numFmtId="166" fontId="10" fillId="0" borderId="0" applyFont="0" applyFill="0" applyBorder="0" applyAlignment="0" applyProtection="0"/>
    <xf numFmtId="166" fontId="10" fillId="0" borderId="0" applyFont="0" applyFill="0" applyBorder="0" applyAlignment="0" applyProtection="0"/>
    <xf numFmtId="166" fontId="10" fillId="0" borderId="0" applyFont="0" applyFill="0" applyBorder="0" applyAlignment="0" applyProtection="0"/>
    <xf numFmtId="166" fontId="10" fillId="0" borderId="0" applyFont="0" applyFill="0" applyBorder="0" applyAlignment="0" applyProtection="0"/>
    <xf numFmtId="166" fontId="10" fillId="0" borderId="0" applyFont="0" applyFill="0" applyBorder="0" applyAlignment="0" applyProtection="0"/>
    <xf numFmtId="166" fontId="10" fillId="0" borderId="0" applyFont="0" applyFill="0" applyBorder="0" applyAlignment="0" applyProtection="0"/>
    <xf numFmtId="166" fontId="10" fillId="0" borderId="0" applyFont="0" applyFill="0" applyBorder="0" applyAlignment="0" applyProtection="0"/>
    <xf numFmtId="166" fontId="10" fillId="0" borderId="0" applyFont="0" applyFill="0" applyBorder="0" applyAlignment="0" applyProtection="0"/>
    <xf numFmtId="166" fontId="10" fillId="0" borderId="0" applyFont="0" applyFill="0" applyBorder="0" applyAlignment="0" applyProtection="0"/>
    <xf numFmtId="166" fontId="10" fillId="0" borderId="0" applyFont="0" applyFill="0" applyBorder="0" applyAlignment="0" applyProtection="0"/>
    <xf numFmtId="166" fontId="10" fillId="0" borderId="0" applyFont="0" applyFill="0" applyBorder="0" applyAlignment="0" applyProtection="0"/>
    <xf numFmtId="166" fontId="10" fillId="0" borderId="0" applyFont="0" applyFill="0" applyBorder="0" applyAlignment="0" applyProtection="0"/>
    <xf numFmtId="166" fontId="10" fillId="0" borderId="0" applyFont="0" applyFill="0" applyBorder="0" applyAlignment="0" applyProtection="0"/>
    <xf numFmtId="166" fontId="10" fillId="0" borderId="0" applyFont="0" applyFill="0" applyBorder="0" applyAlignment="0" applyProtection="0"/>
    <xf numFmtId="166" fontId="10" fillId="0" borderId="0" applyFont="0" applyFill="0" applyBorder="0" applyAlignment="0" applyProtection="0"/>
    <xf numFmtId="166" fontId="10" fillId="0" borderId="0" applyFont="0" applyFill="0" applyBorder="0" applyAlignment="0" applyProtection="0"/>
    <xf numFmtId="166" fontId="10" fillId="0" borderId="0" applyFont="0" applyFill="0" applyBorder="0" applyAlignment="0" applyProtection="0"/>
    <xf numFmtId="166" fontId="10" fillId="0" borderId="0" applyFont="0" applyFill="0" applyBorder="0" applyAlignment="0" applyProtection="0"/>
    <xf numFmtId="166" fontId="10" fillId="0" borderId="0" applyFont="0" applyFill="0" applyBorder="0" applyAlignment="0" applyProtection="0"/>
    <xf numFmtId="166" fontId="10" fillId="0" borderId="0" applyFont="0" applyFill="0" applyBorder="0" applyAlignment="0" applyProtection="0"/>
    <xf numFmtId="166" fontId="10" fillId="0" borderId="0" applyFont="0" applyFill="0" applyBorder="0" applyAlignment="0" applyProtection="0"/>
    <xf numFmtId="166" fontId="10" fillId="0" borderId="0" applyFont="0" applyFill="0" applyBorder="0" applyAlignment="0" applyProtection="0"/>
    <xf numFmtId="166" fontId="10" fillId="0" borderId="0" applyFont="0" applyFill="0" applyBorder="0" applyAlignment="0" applyProtection="0"/>
    <xf numFmtId="166" fontId="10" fillId="0" borderId="0" applyFont="0" applyFill="0" applyBorder="0" applyAlignment="0" applyProtection="0"/>
    <xf numFmtId="166" fontId="10" fillId="0" borderId="0" applyFont="0" applyFill="0" applyBorder="0" applyAlignment="0" applyProtection="0"/>
    <xf numFmtId="166" fontId="10" fillId="0" borderId="0" applyFont="0" applyFill="0" applyBorder="0" applyAlignment="0" applyProtection="0"/>
    <xf numFmtId="166" fontId="10" fillId="0" borderId="0" applyFont="0" applyFill="0" applyBorder="0" applyAlignment="0" applyProtection="0"/>
    <xf numFmtId="166" fontId="10" fillId="0" borderId="0" applyFont="0" applyFill="0" applyBorder="0" applyAlignment="0" applyProtection="0"/>
    <xf numFmtId="166" fontId="10" fillId="0" borderId="0" applyFont="0" applyFill="0" applyBorder="0" applyAlignment="0" applyProtection="0"/>
    <xf numFmtId="166" fontId="10" fillId="0" borderId="0" applyFont="0" applyFill="0" applyBorder="0" applyAlignment="0" applyProtection="0"/>
    <xf numFmtId="166" fontId="10" fillId="0" borderId="0" applyFont="0" applyFill="0" applyBorder="0" applyAlignment="0" applyProtection="0"/>
    <xf numFmtId="166" fontId="10" fillId="0" borderId="0" applyFont="0" applyFill="0" applyBorder="0" applyAlignment="0" applyProtection="0"/>
    <xf numFmtId="166" fontId="10" fillId="0" borderId="0" applyFont="0" applyFill="0" applyBorder="0" applyAlignment="0" applyProtection="0"/>
    <xf numFmtId="166" fontId="10" fillId="0" borderId="0" applyFont="0" applyFill="0" applyBorder="0" applyAlignment="0" applyProtection="0"/>
    <xf numFmtId="166" fontId="10" fillId="0" borderId="0" applyFont="0" applyFill="0" applyBorder="0" applyAlignment="0" applyProtection="0"/>
    <xf numFmtId="166" fontId="10" fillId="0" borderId="0" applyFont="0" applyFill="0" applyBorder="0" applyAlignment="0" applyProtection="0"/>
    <xf numFmtId="166" fontId="10" fillId="0" borderId="0" applyFont="0" applyFill="0" applyBorder="0" applyAlignment="0" applyProtection="0"/>
    <xf numFmtId="166" fontId="10" fillId="0" borderId="0" applyFont="0" applyFill="0" applyBorder="0" applyAlignment="0" applyProtection="0"/>
    <xf numFmtId="166" fontId="10" fillId="0" borderId="0" applyFont="0" applyFill="0" applyBorder="0" applyAlignment="0" applyProtection="0"/>
    <xf numFmtId="166" fontId="10" fillId="0" borderId="0" applyFont="0" applyFill="0" applyBorder="0" applyAlignment="0" applyProtection="0"/>
    <xf numFmtId="166" fontId="10" fillId="0" borderId="0" applyFont="0" applyFill="0" applyBorder="0" applyAlignment="0" applyProtection="0"/>
    <xf numFmtId="166" fontId="10" fillId="0" borderId="0" applyFont="0" applyFill="0" applyBorder="0" applyAlignment="0" applyProtection="0"/>
    <xf numFmtId="166" fontId="10" fillId="0" borderId="0" applyFont="0" applyFill="0" applyBorder="0" applyAlignment="0" applyProtection="0"/>
    <xf numFmtId="166" fontId="10" fillId="0" borderId="0" applyFont="0" applyFill="0" applyBorder="0" applyAlignment="0" applyProtection="0"/>
    <xf numFmtId="166" fontId="10" fillId="0" borderId="0" applyFont="0" applyFill="0" applyBorder="0" applyAlignment="0" applyProtection="0"/>
    <xf numFmtId="166" fontId="10" fillId="0" borderId="0" applyFont="0" applyFill="0" applyBorder="0" applyAlignment="0" applyProtection="0"/>
    <xf numFmtId="166" fontId="10" fillId="0" borderId="0" applyFont="0" applyFill="0" applyBorder="0" applyAlignment="0" applyProtection="0"/>
    <xf numFmtId="166" fontId="10" fillId="0" borderId="0" applyFont="0" applyFill="0" applyBorder="0" applyAlignment="0" applyProtection="0"/>
    <xf numFmtId="166" fontId="10" fillId="0" borderId="0" applyFont="0" applyFill="0" applyBorder="0" applyAlignment="0" applyProtection="0"/>
    <xf numFmtId="166" fontId="10" fillId="0" borderId="0" applyFont="0" applyFill="0" applyBorder="0" applyAlignment="0" applyProtection="0"/>
    <xf numFmtId="166" fontId="10" fillId="0" borderId="0" applyFont="0" applyFill="0" applyBorder="0" applyAlignment="0" applyProtection="0"/>
    <xf numFmtId="166" fontId="10" fillId="0" borderId="0" applyFont="0" applyFill="0" applyBorder="0" applyAlignment="0" applyProtection="0"/>
    <xf numFmtId="166" fontId="10" fillId="0" borderId="0" applyFont="0" applyFill="0" applyBorder="0" applyAlignment="0" applyProtection="0"/>
    <xf numFmtId="166" fontId="10" fillId="0" borderId="0" applyFont="0" applyFill="0" applyBorder="0" applyAlignment="0" applyProtection="0"/>
    <xf numFmtId="166" fontId="10" fillId="0" borderId="0" applyFont="0" applyFill="0" applyBorder="0" applyAlignment="0" applyProtection="0"/>
    <xf numFmtId="166" fontId="10" fillId="0" borderId="0" applyFont="0" applyFill="0" applyBorder="0" applyAlignment="0" applyProtection="0"/>
    <xf numFmtId="166" fontId="10" fillId="0" borderId="0" applyFont="0" applyFill="0" applyBorder="0" applyAlignment="0" applyProtection="0"/>
    <xf numFmtId="166" fontId="10" fillId="0" borderId="0" applyFont="0" applyFill="0" applyBorder="0" applyAlignment="0" applyProtection="0"/>
    <xf numFmtId="166" fontId="10" fillId="0" borderId="0" applyFont="0" applyFill="0" applyBorder="0" applyAlignment="0" applyProtection="0"/>
    <xf numFmtId="166" fontId="10" fillId="0" borderId="0" applyFont="0" applyFill="0" applyBorder="0" applyAlignment="0" applyProtection="0"/>
    <xf numFmtId="166" fontId="10" fillId="0" borderId="0" applyFont="0" applyFill="0" applyBorder="0" applyAlignment="0" applyProtection="0"/>
    <xf numFmtId="166" fontId="10" fillId="0" borderId="0" applyFont="0" applyFill="0" applyBorder="0" applyAlignment="0" applyProtection="0"/>
    <xf numFmtId="166" fontId="10" fillId="0" borderId="0" applyFont="0" applyFill="0" applyBorder="0" applyAlignment="0" applyProtection="0"/>
    <xf numFmtId="166" fontId="10" fillId="0" borderId="0" applyFont="0" applyFill="0" applyBorder="0" applyAlignment="0" applyProtection="0"/>
    <xf numFmtId="166" fontId="10" fillId="0" borderId="0" applyFont="0" applyFill="0" applyBorder="0" applyAlignment="0" applyProtection="0"/>
    <xf numFmtId="166" fontId="10" fillId="0" borderId="0" applyFont="0" applyFill="0" applyBorder="0" applyAlignment="0" applyProtection="0"/>
    <xf numFmtId="166" fontId="10" fillId="0" borderId="0" applyFont="0" applyFill="0" applyBorder="0" applyAlignment="0" applyProtection="0"/>
    <xf numFmtId="166" fontId="10" fillId="0" borderId="0" applyFont="0" applyFill="0" applyBorder="0" applyAlignment="0" applyProtection="0"/>
    <xf numFmtId="166" fontId="10" fillId="0" borderId="0" applyFont="0" applyFill="0" applyBorder="0" applyAlignment="0" applyProtection="0"/>
    <xf numFmtId="166" fontId="10" fillId="0" borderId="0" applyFont="0" applyFill="0" applyBorder="0" applyAlignment="0" applyProtection="0"/>
    <xf numFmtId="166" fontId="10" fillId="0" borderId="0" applyFont="0" applyFill="0" applyBorder="0" applyAlignment="0" applyProtection="0"/>
    <xf numFmtId="166" fontId="10" fillId="0" borderId="0" applyFont="0" applyFill="0" applyBorder="0" applyAlignment="0" applyProtection="0"/>
    <xf numFmtId="166" fontId="10" fillId="0" borderId="0" applyFont="0" applyFill="0" applyBorder="0" applyAlignment="0" applyProtection="0"/>
    <xf numFmtId="166" fontId="10" fillId="0" borderId="0" applyFont="0" applyFill="0" applyBorder="0" applyAlignment="0" applyProtection="0"/>
    <xf numFmtId="166" fontId="10" fillId="0" borderId="0" applyFont="0" applyFill="0" applyBorder="0" applyAlignment="0" applyProtection="0"/>
    <xf numFmtId="166" fontId="10" fillId="0" borderId="0" applyFont="0" applyFill="0" applyBorder="0" applyAlignment="0" applyProtection="0"/>
    <xf numFmtId="166" fontId="10" fillId="0" borderId="0" applyFont="0" applyFill="0" applyBorder="0" applyAlignment="0" applyProtection="0"/>
    <xf numFmtId="166" fontId="10" fillId="0" borderId="0" applyFont="0" applyFill="0" applyBorder="0" applyAlignment="0" applyProtection="0"/>
    <xf numFmtId="166" fontId="10" fillId="0" borderId="0" applyFont="0" applyFill="0" applyBorder="0" applyAlignment="0" applyProtection="0"/>
    <xf numFmtId="166" fontId="10" fillId="0" borderId="0" applyFont="0" applyFill="0" applyBorder="0" applyAlignment="0" applyProtection="0"/>
    <xf numFmtId="166" fontId="10" fillId="0" borderId="0" applyFont="0" applyFill="0" applyBorder="0" applyAlignment="0" applyProtection="0"/>
    <xf numFmtId="166" fontId="10" fillId="0" borderId="0" applyFont="0" applyFill="0" applyBorder="0" applyAlignment="0" applyProtection="0"/>
    <xf numFmtId="166" fontId="10" fillId="0" borderId="0" applyFont="0" applyFill="0" applyBorder="0" applyAlignment="0" applyProtection="0"/>
    <xf numFmtId="166" fontId="10" fillId="0" borderId="0" applyFont="0" applyFill="0" applyBorder="0" applyAlignment="0" applyProtection="0"/>
    <xf numFmtId="173" fontId="10" fillId="0" borderId="0" applyFont="0" applyFill="0" applyBorder="0" applyAlignment="0" applyProtection="0"/>
    <xf numFmtId="170" fontId="10" fillId="0" borderId="0" applyFont="0" applyFill="0" applyBorder="0" applyAlignment="0" applyProtection="0"/>
    <xf numFmtId="170" fontId="10" fillId="0" borderId="0" applyFont="0" applyFill="0" applyBorder="0" applyAlignment="0" applyProtection="0"/>
    <xf numFmtId="170" fontId="10" fillId="0" borderId="0" applyFont="0" applyFill="0" applyBorder="0" applyAlignment="0" applyProtection="0"/>
    <xf numFmtId="170" fontId="10" fillId="0" borderId="0" applyFont="0" applyFill="0" applyBorder="0" applyAlignment="0" applyProtection="0"/>
    <xf numFmtId="170" fontId="10" fillId="0" borderId="0" applyFont="0" applyFill="0" applyBorder="0" applyAlignment="0" applyProtection="0"/>
    <xf numFmtId="166" fontId="10" fillId="0" borderId="0" applyFont="0" applyFill="0" applyBorder="0" applyAlignment="0" applyProtection="0"/>
    <xf numFmtId="166" fontId="10" fillId="0" borderId="0" applyFont="0" applyFill="0" applyBorder="0" applyAlignment="0" applyProtection="0"/>
    <xf numFmtId="166" fontId="10" fillId="0" borderId="0" applyFont="0" applyFill="0" applyBorder="0" applyAlignment="0" applyProtection="0"/>
    <xf numFmtId="166" fontId="10" fillId="0" borderId="0" applyFont="0" applyFill="0" applyBorder="0" applyAlignment="0" applyProtection="0"/>
    <xf numFmtId="189" fontId="10" fillId="0" borderId="0" applyFont="0" applyFill="0" applyBorder="0" applyAlignment="0" applyProtection="0"/>
    <xf numFmtId="166" fontId="10" fillId="0" borderId="0" applyFont="0" applyFill="0" applyBorder="0" applyAlignment="0" applyProtection="0"/>
    <xf numFmtId="166" fontId="10" fillId="0" borderId="0" applyFont="0" applyFill="0" applyBorder="0" applyAlignment="0" applyProtection="0"/>
    <xf numFmtId="166" fontId="10" fillId="0" borderId="0" applyFont="0" applyFill="0" applyBorder="0" applyAlignment="0" applyProtection="0"/>
    <xf numFmtId="166" fontId="10" fillId="0" borderId="0" applyFont="0" applyFill="0" applyBorder="0" applyAlignment="0" applyProtection="0"/>
    <xf numFmtId="166" fontId="10" fillId="0" borderId="0" applyFont="0" applyFill="0" applyBorder="0" applyAlignment="0" applyProtection="0"/>
    <xf numFmtId="166" fontId="10" fillId="0" borderId="0" applyFont="0" applyFill="0" applyBorder="0" applyAlignment="0" applyProtection="0"/>
    <xf numFmtId="166" fontId="10" fillId="0" borderId="0" applyFont="0" applyFill="0" applyBorder="0" applyAlignment="0" applyProtection="0"/>
    <xf numFmtId="166" fontId="10" fillId="0" borderId="0" applyFont="0" applyFill="0" applyBorder="0" applyAlignment="0" applyProtection="0"/>
    <xf numFmtId="166" fontId="10" fillId="0" borderId="0" applyFont="0" applyFill="0" applyBorder="0" applyAlignment="0" applyProtection="0"/>
    <xf numFmtId="166" fontId="10" fillId="0" borderId="0" applyFont="0" applyFill="0" applyBorder="0" applyAlignment="0" applyProtection="0"/>
    <xf numFmtId="166" fontId="10" fillId="0" borderId="0" applyFont="0" applyFill="0" applyBorder="0" applyAlignment="0" applyProtection="0"/>
    <xf numFmtId="166" fontId="10" fillId="0" borderId="0" applyFont="0" applyFill="0" applyBorder="0" applyAlignment="0" applyProtection="0"/>
    <xf numFmtId="166" fontId="10" fillId="0" borderId="0" applyFont="0" applyFill="0" applyBorder="0" applyAlignment="0" applyProtection="0"/>
    <xf numFmtId="166" fontId="10" fillId="0" borderId="0" applyFont="0" applyFill="0" applyBorder="0" applyAlignment="0" applyProtection="0"/>
    <xf numFmtId="166" fontId="10" fillId="0" borderId="0" applyFont="0" applyFill="0" applyBorder="0" applyAlignment="0" applyProtection="0"/>
    <xf numFmtId="166" fontId="10" fillId="0" borderId="0" applyFont="0" applyFill="0" applyBorder="0" applyAlignment="0" applyProtection="0"/>
    <xf numFmtId="165" fontId="1"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0" fontId="10" fillId="0" borderId="0"/>
    <xf numFmtId="0" fontId="1" fillId="0" borderId="0"/>
    <xf numFmtId="0" fontId="1" fillId="0" borderId="0"/>
    <xf numFmtId="0" fontId="10" fillId="0" borderId="0"/>
    <xf numFmtId="0" fontId="1" fillId="0" borderId="0"/>
    <xf numFmtId="0" fontId="10" fillId="0" borderId="0"/>
    <xf numFmtId="0" fontId="1" fillId="0" borderId="0"/>
    <xf numFmtId="0" fontId="10" fillId="24" borderId="0" applyNumberFormat="0" applyFont="0" applyBorder="0" applyAlignment="0" applyProtection="0"/>
    <xf numFmtId="0" fontId="10" fillId="26" borderId="11" applyNumberFormat="0" applyFont="0" applyAlignment="0" applyProtection="0"/>
    <xf numFmtId="0" fontId="10" fillId="26" borderId="11" applyNumberFormat="0" applyFont="0" applyAlignment="0" applyProtection="0"/>
    <xf numFmtId="0" fontId="10" fillId="26" borderId="11" applyNumberFormat="0" applyFont="0" applyAlignment="0" applyProtection="0"/>
    <xf numFmtId="0" fontId="10" fillId="26" borderId="11" applyNumberFormat="0" applyFont="0" applyAlignment="0" applyProtection="0"/>
    <xf numFmtId="0" fontId="10" fillId="26" borderId="11" applyNumberFormat="0" applyFont="0" applyAlignment="0" applyProtection="0"/>
    <xf numFmtId="169" fontId="10" fillId="0" borderId="0" applyFont="0" applyFill="0" applyBorder="0" applyAlignment="0" applyProtection="0"/>
    <xf numFmtId="169" fontId="10" fillId="0" borderId="0" applyFont="0" applyFill="0" applyBorder="0" applyAlignment="0" applyProtection="0"/>
    <xf numFmtId="169" fontId="10" fillId="0" borderId="0" applyFont="0" applyFill="0" applyBorder="0" applyAlignment="0" applyProtection="0"/>
    <xf numFmtId="169" fontId="10" fillId="0" borderId="0" applyFont="0" applyFill="0" applyBorder="0" applyAlignment="0" applyProtection="0"/>
    <xf numFmtId="169" fontId="10" fillId="0" borderId="0" applyFont="0" applyFill="0" applyBorder="0" applyAlignment="0" applyProtection="0"/>
    <xf numFmtId="169" fontId="10" fillId="0" borderId="0" applyFont="0" applyFill="0" applyBorder="0" applyAlignment="0" applyProtection="0"/>
    <xf numFmtId="169" fontId="10" fillId="0" borderId="0" applyFont="0" applyFill="0" applyBorder="0" applyAlignment="0" applyProtection="0"/>
    <xf numFmtId="169" fontId="10" fillId="0" borderId="0" applyFont="0" applyFill="0" applyBorder="0" applyAlignment="0" applyProtection="0"/>
    <xf numFmtId="169" fontId="10" fillId="0" borderId="0" applyFont="0" applyFill="0" applyBorder="0" applyAlignment="0" applyProtection="0"/>
    <xf numFmtId="169" fontId="10" fillId="0" borderId="0" applyFont="0" applyFill="0" applyBorder="0" applyAlignment="0" applyProtection="0"/>
    <xf numFmtId="169" fontId="10" fillId="0" borderId="0" applyFont="0" applyFill="0" applyBorder="0" applyAlignment="0" applyProtection="0"/>
    <xf numFmtId="169" fontId="10" fillId="0" borderId="0" applyFont="0" applyFill="0" applyBorder="0" applyAlignment="0" applyProtection="0"/>
    <xf numFmtId="169" fontId="10" fillId="0" borderId="0" applyFont="0" applyFill="0" applyBorder="0" applyAlignment="0" applyProtection="0"/>
    <xf numFmtId="169" fontId="10" fillId="0" borderId="0" applyFont="0" applyFill="0" applyBorder="0" applyAlignment="0" applyProtection="0"/>
    <xf numFmtId="169" fontId="10" fillId="0" borderId="0" applyFont="0" applyFill="0" applyBorder="0" applyAlignment="0" applyProtection="0"/>
    <xf numFmtId="169" fontId="10" fillId="0" borderId="0" applyFont="0" applyFill="0" applyBorder="0" applyAlignment="0" applyProtection="0"/>
    <xf numFmtId="169" fontId="10" fillId="0" borderId="0" applyFont="0" applyFill="0" applyBorder="0" applyAlignment="0" applyProtection="0"/>
    <xf numFmtId="169" fontId="10" fillId="0" borderId="0" applyFont="0" applyFill="0" applyBorder="0" applyAlignment="0" applyProtection="0"/>
    <xf numFmtId="169" fontId="10" fillId="0" borderId="0" applyFont="0" applyFill="0" applyBorder="0" applyAlignment="0" applyProtection="0"/>
    <xf numFmtId="169" fontId="10" fillId="0" borderId="0" applyFont="0" applyFill="0" applyBorder="0" applyAlignment="0" applyProtection="0"/>
    <xf numFmtId="169" fontId="10" fillId="0" borderId="0" applyFont="0" applyFill="0" applyBorder="0" applyAlignment="0" applyProtection="0"/>
    <xf numFmtId="169" fontId="10" fillId="0" borderId="0" applyFont="0" applyFill="0" applyBorder="0" applyAlignment="0" applyProtection="0"/>
    <xf numFmtId="169" fontId="10" fillId="0" borderId="0" applyFont="0" applyFill="0" applyBorder="0" applyAlignment="0" applyProtection="0"/>
    <xf numFmtId="169" fontId="10" fillId="0" borderId="0" applyFont="0" applyFill="0" applyBorder="0" applyAlignment="0" applyProtection="0"/>
    <xf numFmtId="169" fontId="10" fillId="0" borderId="0" applyFont="0" applyFill="0" applyBorder="0" applyAlignment="0" applyProtection="0"/>
    <xf numFmtId="169" fontId="10" fillId="0" borderId="0" applyFont="0" applyFill="0" applyBorder="0" applyAlignment="0" applyProtection="0"/>
    <xf numFmtId="169" fontId="10" fillId="0" borderId="0" applyFont="0" applyFill="0" applyBorder="0" applyAlignment="0" applyProtection="0"/>
    <xf numFmtId="169" fontId="10" fillId="0" borderId="0" applyFont="0" applyFill="0" applyBorder="0" applyAlignment="0" applyProtection="0"/>
    <xf numFmtId="169" fontId="10" fillId="0" borderId="0" applyFont="0" applyFill="0" applyBorder="0" applyAlignment="0" applyProtection="0"/>
    <xf numFmtId="169" fontId="10" fillId="0" borderId="0" applyFont="0" applyFill="0" applyBorder="0" applyAlignment="0" applyProtection="0"/>
    <xf numFmtId="169" fontId="10" fillId="0" borderId="0" applyFont="0" applyFill="0" applyBorder="0" applyAlignment="0" applyProtection="0"/>
    <xf numFmtId="169" fontId="10" fillId="0" borderId="0" applyFont="0" applyFill="0" applyBorder="0" applyAlignment="0" applyProtection="0"/>
    <xf numFmtId="169" fontId="10" fillId="0" borderId="0" applyFont="0" applyFill="0" applyBorder="0" applyAlignment="0" applyProtection="0"/>
    <xf numFmtId="169" fontId="10" fillId="0" borderId="0" applyFont="0" applyFill="0" applyBorder="0" applyAlignment="0" applyProtection="0"/>
    <xf numFmtId="169" fontId="10" fillId="0" borderId="0" applyFont="0" applyFill="0" applyBorder="0" applyAlignment="0" applyProtection="0"/>
    <xf numFmtId="169" fontId="10" fillId="0" borderId="0" applyFont="0" applyFill="0" applyBorder="0" applyAlignment="0" applyProtection="0"/>
    <xf numFmtId="169" fontId="10" fillId="0" borderId="0" applyFont="0" applyFill="0" applyBorder="0" applyAlignment="0" applyProtection="0"/>
    <xf numFmtId="169" fontId="10" fillId="0" borderId="0" applyFont="0" applyFill="0" applyBorder="0" applyAlignment="0" applyProtection="0"/>
    <xf numFmtId="169" fontId="10" fillId="0" borderId="0" applyFont="0" applyFill="0" applyBorder="0" applyAlignment="0" applyProtection="0"/>
    <xf numFmtId="169" fontId="10" fillId="0" borderId="0" applyFont="0" applyFill="0" applyBorder="0" applyAlignment="0" applyProtection="0"/>
    <xf numFmtId="169" fontId="10" fillId="0" borderId="0" applyFont="0" applyFill="0" applyBorder="0" applyAlignment="0" applyProtection="0"/>
    <xf numFmtId="169" fontId="10" fillId="0" borderId="0" applyFont="0" applyFill="0" applyBorder="0" applyAlignment="0" applyProtection="0"/>
    <xf numFmtId="169" fontId="10" fillId="0" borderId="0" applyFont="0" applyFill="0" applyBorder="0" applyAlignment="0" applyProtection="0"/>
    <xf numFmtId="169" fontId="10" fillId="0" borderId="0" applyFont="0" applyFill="0" applyBorder="0" applyAlignment="0" applyProtection="0"/>
    <xf numFmtId="169" fontId="10" fillId="0" borderId="0" applyFont="0" applyFill="0" applyBorder="0" applyAlignment="0" applyProtection="0"/>
    <xf numFmtId="169" fontId="10" fillId="0" borderId="0" applyFont="0" applyFill="0" applyBorder="0" applyAlignment="0" applyProtection="0"/>
    <xf numFmtId="169" fontId="10" fillId="0" borderId="0" applyFont="0" applyFill="0" applyBorder="0" applyAlignment="0" applyProtection="0"/>
    <xf numFmtId="169" fontId="10" fillId="0" borderId="0" applyFont="0" applyFill="0" applyBorder="0" applyAlignment="0" applyProtection="0"/>
    <xf numFmtId="169" fontId="10" fillId="0" borderId="0" applyFont="0" applyFill="0" applyBorder="0" applyAlignment="0" applyProtection="0"/>
    <xf numFmtId="169" fontId="10" fillId="0" borderId="0" applyFont="0" applyFill="0" applyBorder="0" applyAlignment="0" applyProtection="0"/>
    <xf numFmtId="169" fontId="10" fillId="0" borderId="0" applyFont="0" applyFill="0" applyBorder="0" applyAlignment="0" applyProtection="0"/>
    <xf numFmtId="169" fontId="10" fillId="0" borderId="0" applyFont="0" applyFill="0" applyBorder="0" applyAlignment="0" applyProtection="0"/>
    <xf numFmtId="169" fontId="10" fillId="0" borderId="0" applyFont="0" applyFill="0" applyBorder="0" applyAlignment="0" applyProtection="0"/>
    <xf numFmtId="169" fontId="10" fillId="0" borderId="0" applyFont="0" applyFill="0" applyBorder="0" applyAlignment="0" applyProtection="0"/>
    <xf numFmtId="169" fontId="10" fillId="0" borderId="0" applyFont="0" applyFill="0" applyBorder="0" applyAlignment="0" applyProtection="0"/>
    <xf numFmtId="169" fontId="10" fillId="0" borderId="0" applyFont="0" applyFill="0" applyBorder="0" applyAlignment="0" applyProtection="0"/>
    <xf numFmtId="169" fontId="10" fillId="0" borderId="0" applyFont="0" applyFill="0" applyBorder="0" applyAlignment="0" applyProtection="0"/>
    <xf numFmtId="169" fontId="10" fillId="0" borderId="0" applyFont="0" applyFill="0" applyBorder="0" applyAlignment="0" applyProtection="0"/>
    <xf numFmtId="169" fontId="10" fillId="0" borderId="0" applyFont="0" applyFill="0" applyBorder="0" applyAlignment="0" applyProtection="0"/>
    <xf numFmtId="169" fontId="10" fillId="0" borderId="0" applyFont="0" applyFill="0" applyBorder="0" applyAlignment="0" applyProtection="0"/>
    <xf numFmtId="169" fontId="10" fillId="0" borderId="0" applyFont="0" applyFill="0" applyBorder="0" applyAlignment="0" applyProtection="0"/>
    <xf numFmtId="169" fontId="10" fillId="0" borderId="0" applyFont="0" applyFill="0" applyBorder="0" applyAlignment="0" applyProtection="0"/>
    <xf numFmtId="169" fontId="10" fillId="0" borderId="0" applyFont="0" applyFill="0" applyBorder="0" applyAlignment="0" applyProtection="0"/>
    <xf numFmtId="169" fontId="10" fillId="0" borderId="0" applyFont="0" applyFill="0" applyBorder="0" applyAlignment="0" applyProtection="0"/>
    <xf numFmtId="169" fontId="10" fillId="0" borderId="0" applyFont="0" applyFill="0" applyBorder="0" applyAlignment="0" applyProtection="0"/>
    <xf numFmtId="169" fontId="10" fillId="0" borderId="0" applyFont="0" applyFill="0" applyBorder="0" applyAlignment="0" applyProtection="0"/>
    <xf numFmtId="169" fontId="10" fillId="0" borderId="0" applyFont="0" applyFill="0" applyBorder="0" applyAlignment="0" applyProtection="0"/>
    <xf numFmtId="169" fontId="10" fillId="0" borderId="0" applyFont="0" applyFill="0" applyBorder="0" applyAlignment="0" applyProtection="0"/>
    <xf numFmtId="169" fontId="10" fillId="0" borderId="0" applyFont="0" applyFill="0" applyBorder="0" applyAlignment="0" applyProtection="0"/>
    <xf numFmtId="169" fontId="10" fillId="0" borderId="0" applyFont="0" applyFill="0" applyBorder="0" applyAlignment="0" applyProtection="0"/>
    <xf numFmtId="169" fontId="10" fillId="0" borderId="0" applyFont="0" applyFill="0" applyBorder="0" applyAlignment="0" applyProtection="0"/>
    <xf numFmtId="169" fontId="10" fillId="0" borderId="0" applyFont="0" applyFill="0" applyBorder="0" applyAlignment="0" applyProtection="0"/>
    <xf numFmtId="169" fontId="10" fillId="0" borderId="0" applyFont="0" applyFill="0" applyBorder="0" applyAlignment="0" applyProtection="0"/>
    <xf numFmtId="169" fontId="10" fillId="0" borderId="0" applyFont="0" applyFill="0" applyBorder="0" applyAlignment="0" applyProtection="0"/>
    <xf numFmtId="169" fontId="10" fillId="0" borderId="0" applyFont="0" applyFill="0" applyBorder="0" applyAlignment="0" applyProtection="0"/>
    <xf numFmtId="169" fontId="10" fillId="0" borderId="0" applyFont="0" applyFill="0" applyBorder="0" applyAlignment="0" applyProtection="0"/>
    <xf numFmtId="169" fontId="10" fillId="0" borderId="0" applyFont="0" applyFill="0" applyBorder="0" applyAlignment="0" applyProtection="0"/>
    <xf numFmtId="169" fontId="10" fillId="0" borderId="0" applyFont="0" applyFill="0" applyBorder="0" applyAlignment="0" applyProtection="0"/>
    <xf numFmtId="169" fontId="10" fillId="0" borderId="0" applyFont="0" applyFill="0" applyBorder="0" applyAlignment="0" applyProtection="0"/>
    <xf numFmtId="169" fontId="10" fillId="0" borderId="0" applyFont="0" applyFill="0" applyBorder="0" applyAlignment="0" applyProtection="0"/>
    <xf numFmtId="169" fontId="10" fillId="0" borderId="0" applyFont="0" applyFill="0" applyBorder="0" applyAlignment="0" applyProtection="0"/>
    <xf numFmtId="169" fontId="10" fillId="0" borderId="0" applyFont="0" applyFill="0" applyBorder="0" applyAlignment="0" applyProtection="0"/>
    <xf numFmtId="169" fontId="10" fillId="0" borderId="0" applyFont="0" applyFill="0" applyBorder="0" applyAlignment="0" applyProtection="0"/>
    <xf numFmtId="169" fontId="10" fillId="0" borderId="0" applyFont="0" applyFill="0" applyBorder="0" applyAlignment="0" applyProtection="0"/>
    <xf numFmtId="169" fontId="10" fillId="0" borderId="0" applyFont="0" applyFill="0" applyBorder="0" applyAlignment="0" applyProtection="0"/>
    <xf numFmtId="169" fontId="10" fillId="0" borderId="0" applyFont="0" applyFill="0" applyBorder="0" applyAlignment="0" applyProtection="0"/>
    <xf numFmtId="169" fontId="10" fillId="0" borderId="0" applyFont="0" applyFill="0" applyBorder="0" applyAlignment="0" applyProtection="0"/>
    <xf numFmtId="169" fontId="10" fillId="0" borderId="0" applyFont="0" applyFill="0" applyBorder="0" applyAlignment="0" applyProtection="0"/>
    <xf numFmtId="169" fontId="10" fillId="0" borderId="0" applyFont="0" applyFill="0" applyBorder="0" applyAlignment="0" applyProtection="0"/>
    <xf numFmtId="169" fontId="10" fillId="0" borderId="0" applyFont="0" applyFill="0" applyBorder="0" applyAlignment="0" applyProtection="0"/>
    <xf numFmtId="169" fontId="10" fillId="0" borderId="0" applyFont="0" applyFill="0" applyBorder="0" applyAlignment="0" applyProtection="0"/>
    <xf numFmtId="169" fontId="10" fillId="0" borderId="0" applyFont="0" applyFill="0" applyBorder="0" applyAlignment="0" applyProtection="0"/>
    <xf numFmtId="169" fontId="10" fillId="0" borderId="0" applyFont="0" applyFill="0" applyBorder="0" applyAlignment="0" applyProtection="0"/>
    <xf numFmtId="169" fontId="10" fillId="0" borderId="0" applyFont="0" applyFill="0" applyBorder="0" applyAlignment="0" applyProtection="0"/>
    <xf numFmtId="169" fontId="10" fillId="0" borderId="0" applyFont="0" applyFill="0" applyBorder="0" applyAlignment="0" applyProtection="0"/>
    <xf numFmtId="169" fontId="10" fillId="0" borderId="0" applyFont="0" applyFill="0" applyBorder="0" applyAlignment="0" applyProtection="0"/>
    <xf numFmtId="169" fontId="10" fillId="0" borderId="0" applyFont="0" applyFill="0" applyBorder="0" applyAlignment="0" applyProtection="0"/>
    <xf numFmtId="169" fontId="10" fillId="0" borderId="0" applyFont="0" applyFill="0" applyBorder="0" applyAlignment="0" applyProtection="0"/>
    <xf numFmtId="169" fontId="10" fillId="0" borderId="0" applyFont="0" applyFill="0" applyBorder="0" applyAlignment="0" applyProtection="0"/>
    <xf numFmtId="169" fontId="10" fillId="0" borderId="0" applyFont="0" applyFill="0" applyBorder="0" applyAlignment="0" applyProtection="0"/>
    <xf numFmtId="169" fontId="10" fillId="0" borderId="0" applyFont="0" applyFill="0" applyBorder="0" applyAlignment="0" applyProtection="0"/>
    <xf numFmtId="169" fontId="10" fillId="0" borderId="0" applyFont="0" applyFill="0" applyBorder="0" applyAlignment="0" applyProtection="0"/>
    <xf numFmtId="169" fontId="10" fillId="0" borderId="0" applyFont="0" applyFill="0" applyBorder="0" applyAlignment="0" applyProtection="0"/>
    <xf numFmtId="169" fontId="10" fillId="0" borderId="0" applyFont="0" applyFill="0" applyBorder="0" applyAlignment="0" applyProtection="0"/>
    <xf numFmtId="169" fontId="10" fillId="0" borderId="0" applyFont="0" applyFill="0" applyBorder="0" applyAlignment="0" applyProtection="0"/>
    <xf numFmtId="169" fontId="10" fillId="0" borderId="0" applyFont="0" applyFill="0" applyBorder="0" applyAlignment="0" applyProtection="0"/>
    <xf numFmtId="169" fontId="10" fillId="0" borderId="0" applyFont="0" applyFill="0" applyBorder="0" applyAlignment="0" applyProtection="0"/>
    <xf numFmtId="169" fontId="10" fillId="0" borderId="0" applyFont="0" applyFill="0" applyBorder="0" applyAlignment="0" applyProtection="0"/>
    <xf numFmtId="169" fontId="10" fillId="0" borderId="0" applyFont="0" applyFill="0" applyBorder="0" applyAlignment="0" applyProtection="0"/>
    <xf numFmtId="169" fontId="10" fillId="0" borderId="0" applyFont="0" applyFill="0" applyBorder="0" applyAlignment="0" applyProtection="0"/>
    <xf numFmtId="169" fontId="10" fillId="0" borderId="0" applyFont="0" applyFill="0" applyBorder="0" applyAlignment="0" applyProtection="0"/>
    <xf numFmtId="169" fontId="10" fillId="0" borderId="0" applyFont="0" applyFill="0" applyBorder="0" applyAlignment="0" applyProtection="0"/>
    <xf numFmtId="169" fontId="10" fillId="0" borderId="0" applyFont="0" applyFill="0" applyBorder="0" applyAlignment="0" applyProtection="0"/>
    <xf numFmtId="169" fontId="10" fillId="0" borderId="0" applyFont="0" applyFill="0" applyBorder="0" applyAlignment="0" applyProtection="0"/>
    <xf numFmtId="169" fontId="10" fillId="0" borderId="0" applyFont="0" applyFill="0" applyBorder="0" applyAlignment="0" applyProtection="0"/>
    <xf numFmtId="169" fontId="10" fillId="0" borderId="0" applyFont="0" applyFill="0" applyBorder="0" applyAlignment="0" applyProtection="0"/>
    <xf numFmtId="169" fontId="10" fillId="0" borderId="0" applyFont="0" applyFill="0" applyBorder="0" applyAlignment="0" applyProtection="0"/>
    <xf numFmtId="169" fontId="10" fillId="0" borderId="0" applyFont="0" applyFill="0" applyBorder="0" applyAlignment="0" applyProtection="0"/>
    <xf numFmtId="169" fontId="10" fillId="0" borderId="0" applyFont="0" applyFill="0" applyBorder="0" applyAlignment="0" applyProtection="0"/>
    <xf numFmtId="169" fontId="10" fillId="0" borderId="0" applyFont="0" applyFill="0" applyBorder="0" applyAlignment="0" applyProtection="0"/>
    <xf numFmtId="169" fontId="10" fillId="0" borderId="0" applyFont="0" applyFill="0" applyBorder="0" applyAlignment="0" applyProtection="0"/>
    <xf numFmtId="169" fontId="10" fillId="0" borderId="0" applyFont="0" applyFill="0" applyBorder="0" applyAlignment="0" applyProtection="0"/>
    <xf numFmtId="169" fontId="10" fillId="0" borderId="0" applyFont="0" applyFill="0" applyBorder="0" applyAlignment="0" applyProtection="0"/>
    <xf numFmtId="169" fontId="10" fillId="0" borderId="0" applyFont="0" applyFill="0" applyBorder="0" applyAlignment="0" applyProtection="0"/>
    <xf numFmtId="169" fontId="10" fillId="0" borderId="0" applyFont="0" applyFill="0" applyBorder="0" applyAlignment="0" applyProtection="0"/>
    <xf numFmtId="169" fontId="10" fillId="0" borderId="0" applyFont="0" applyFill="0" applyBorder="0" applyAlignment="0" applyProtection="0"/>
    <xf numFmtId="169" fontId="10" fillId="0" borderId="0" applyFont="0" applyFill="0" applyBorder="0" applyAlignment="0" applyProtection="0"/>
    <xf numFmtId="169" fontId="10" fillId="0" borderId="0" applyFont="0" applyFill="0" applyBorder="0" applyAlignment="0" applyProtection="0"/>
    <xf numFmtId="169" fontId="10" fillId="0" borderId="0" applyFont="0" applyFill="0" applyBorder="0" applyAlignment="0" applyProtection="0"/>
    <xf numFmtId="169" fontId="10" fillId="0" borderId="0" applyFont="0" applyFill="0" applyBorder="0" applyAlignment="0" applyProtection="0"/>
    <xf numFmtId="169" fontId="10" fillId="0" borderId="0" applyFont="0" applyFill="0" applyBorder="0" applyAlignment="0" applyProtection="0"/>
    <xf numFmtId="169" fontId="10" fillId="0" borderId="0" applyFont="0" applyFill="0" applyBorder="0" applyAlignment="0" applyProtection="0"/>
    <xf numFmtId="169" fontId="10" fillId="0" borderId="0" applyFont="0" applyFill="0" applyBorder="0" applyAlignment="0" applyProtection="0"/>
    <xf numFmtId="169" fontId="10" fillId="0" borderId="0" applyFont="0" applyFill="0" applyBorder="0" applyAlignment="0" applyProtection="0"/>
    <xf numFmtId="169" fontId="10" fillId="0" borderId="0" applyFont="0" applyFill="0" applyBorder="0" applyAlignment="0" applyProtection="0"/>
    <xf numFmtId="169" fontId="10" fillId="0" borderId="0" applyFont="0" applyFill="0" applyBorder="0" applyAlignment="0" applyProtection="0"/>
    <xf numFmtId="169" fontId="10" fillId="0" borderId="0" applyFont="0" applyFill="0" applyBorder="0" applyAlignment="0" applyProtection="0"/>
    <xf numFmtId="169" fontId="10" fillId="0" borderId="0" applyFont="0" applyFill="0" applyBorder="0" applyAlignment="0" applyProtection="0"/>
    <xf numFmtId="169" fontId="10" fillId="0" borderId="0" applyFont="0" applyFill="0" applyBorder="0" applyAlignment="0" applyProtection="0"/>
    <xf numFmtId="169" fontId="10" fillId="0" borderId="0" applyFont="0" applyFill="0" applyBorder="0" applyAlignment="0" applyProtection="0"/>
    <xf numFmtId="169" fontId="10" fillId="0" borderId="0" applyFont="0" applyFill="0" applyBorder="0" applyAlignment="0" applyProtection="0"/>
    <xf numFmtId="169" fontId="10" fillId="0" borderId="0" applyFont="0" applyFill="0" applyBorder="0" applyAlignment="0" applyProtection="0"/>
    <xf numFmtId="169" fontId="10" fillId="0" borderId="0" applyFont="0" applyFill="0" applyBorder="0" applyAlignment="0" applyProtection="0"/>
    <xf numFmtId="169" fontId="10" fillId="0" borderId="0" applyFont="0" applyFill="0" applyBorder="0" applyAlignment="0" applyProtection="0"/>
    <xf numFmtId="169" fontId="10" fillId="0" borderId="0" applyFont="0" applyFill="0" applyBorder="0" applyAlignment="0" applyProtection="0"/>
    <xf numFmtId="169" fontId="10" fillId="0" borderId="0" applyFont="0" applyFill="0" applyBorder="0" applyAlignment="0" applyProtection="0"/>
    <xf numFmtId="169" fontId="10" fillId="0" borderId="0" applyFont="0" applyFill="0" applyBorder="0" applyAlignment="0" applyProtection="0"/>
    <xf numFmtId="169" fontId="10" fillId="0" borderId="0" applyFont="0" applyFill="0" applyBorder="0" applyAlignment="0" applyProtection="0"/>
    <xf numFmtId="169" fontId="10" fillId="0" borderId="0" applyFont="0" applyFill="0" applyBorder="0" applyAlignment="0" applyProtection="0"/>
    <xf numFmtId="169" fontId="10" fillId="0" borderId="0" applyFont="0" applyFill="0" applyBorder="0" applyAlignment="0" applyProtection="0"/>
    <xf numFmtId="169" fontId="10" fillId="0" borderId="0" applyFont="0" applyFill="0" applyBorder="0" applyAlignment="0" applyProtection="0"/>
    <xf numFmtId="169" fontId="10" fillId="0" borderId="0" applyFont="0" applyFill="0" applyBorder="0" applyAlignment="0" applyProtection="0"/>
    <xf numFmtId="169" fontId="10" fillId="0" borderId="0" applyFont="0" applyFill="0" applyBorder="0" applyAlignment="0" applyProtection="0"/>
    <xf numFmtId="169" fontId="10" fillId="0" borderId="0" applyFont="0" applyFill="0" applyBorder="0" applyAlignment="0" applyProtection="0"/>
    <xf numFmtId="169" fontId="10" fillId="0" borderId="0" applyFont="0" applyFill="0" applyBorder="0" applyAlignment="0" applyProtection="0"/>
    <xf numFmtId="169" fontId="10" fillId="0" borderId="0" applyFont="0" applyFill="0" applyBorder="0" applyAlignment="0" applyProtection="0"/>
    <xf numFmtId="169" fontId="10" fillId="0" borderId="0" applyFont="0" applyFill="0" applyBorder="0" applyAlignment="0" applyProtection="0"/>
    <xf numFmtId="169" fontId="10" fillId="0" borderId="0" applyFont="0" applyFill="0" applyBorder="0" applyAlignment="0" applyProtection="0"/>
    <xf numFmtId="169" fontId="10" fillId="0" borderId="0" applyFont="0" applyFill="0" applyBorder="0" applyAlignment="0" applyProtection="0"/>
    <xf numFmtId="169" fontId="10" fillId="0" borderId="0" applyFont="0" applyFill="0" applyBorder="0" applyAlignment="0" applyProtection="0"/>
    <xf numFmtId="169" fontId="10" fillId="0" borderId="0" applyFont="0" applyFill="0" applyBorder="0" applyAlignment="0" applyProtection="0"/>
    <xf numFmtId="169" fontId="10" fillId="0" borderId="0" applyFont="0" applyFill="0" applyBorder="0" applyAlignment="0" applyProtection="0"/>
    <xf numFmtId="169" fontId="10" fillId="0" borderId="0" applyFont="0" applyFill="0" applyBorder="0" applyAlignment="0" applyProtection="0"/>
    <xf numFmtId="169" fontId="10" fillId="0" borderId="0" applyFont="0" applyFill="0" applyBorder="0" applyAlignment="0" applyProtection="0"/>
    <xf numFmtId="169" fontId="10" fillId="0" borderId="0" applyFont="0" applyFill="0" applyBorder="0" applyAlignment="0" applyProtection="0"/>
    <xf numFmtId="169" fontId="10" fillId="0" borderId="0" applyFont="0" applyFill="0" applyBorder="0" applyAlignment="0" applyProtection="0"/>
    <xf numFmtId="169" fontId="10" fillId="0" borderId="0" applyFont="0" applyFill="0" applyBorder="0" applyAlignment="0" applyProtection="0"/>
    <xf numFmtId="169" fontId="10" fillId="0" borderId="0" applyFont="0" applyFill="0" applyBorder="0" applyAlignment="0" applyProtection="0"/>
    <xf numFmtId="169" fontId="10" fillId="0" borderId="0" applyFont="0" applyFill="0" applyBorder="0" applyAlignment="0" applyProtection="0"/>
    <xf numFmtId="169" fontId="10" fillId="0" borderId="0" applyFont="0" applyFill="0" applyBorder="0" applyAlignment="0" applyProtection="0"/>
    <xf numFmtId="169" fontId="10" fillId="0" borderId="0" applyFont="0" applyFill="0" applyBorder="0" applyAlignment="0" applyProtection="0"/>
    <xf numFmtId="169" fontId="10" fillId="0" borderId="0" applyFont="0" applyFill="0" applyBorder="0" applyAlignment="0" applyProtection="0"/>
    <xf numFmtId="169" fontId="10" fillId="0" borderId="0" applyFont="0" applyFill="0" applyBorder="0" applyAlignment="0" applyProtection="0"/>
    <xf numFmtId="169" fontId="10" fillId="0" borderId="0" applyFont="0" applyFill="0" applyBorder="0" applyAlignment="0" applyProtection="0"/>
    <xf numFmtId="169" fontId="10" fillId="0" borderId="0" applyFont="0" applyFill="0" applyBorder="0" applyAlignment="0" applyProtection="0"/>
    <xf numFmtId="16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 fillId="0" borderId="0" applyFont="0" applyFill="0" applyBorder="0" applyAlignment="0" applyProtection="0"/>
    <xf numFmtId="0" fontId="1" fillId="0" borderId="0"/>
    <xf numFmtId="165" fontId="1" fillId="0" borderId="0" applyFont="0" applyFill="0" applyBorder="0" applyAlignment="0" applyProtection="0"/>
    <xf numFmtId="165" fontId="38" fillId="0" borderId="0" applyFont="0" applyFill="0" applyBorder="0" applyAlignment="0" applyProtection="0"/>
    <xf numFmtId="165" fontId="38"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38" fillId="0" borderId="0" applyFont="0" applyFill="0" applyBorder="0" applyAlignment="0" applyProtection="0"/>
    <xf numFmtId="165" fontId="197" fillId="0" borderId="0" applyFont="0" applyFill="0" applyBorder="0" applyAlignment="0" applyProtection="0"/>
    <xf numFmtId="165" fontId="10" fillId="0" borderId="0" applyFont="0" applyFill="0" applyBorder="0" applyAlignment="0" applyProtection="0"/>
    <xf numFmtId="165" fontId="13" fillId="0" borderId="0" applyFont="0" applyFill="0" applyBorder="0" applyAlignment="0" applyProtection="0"/>
    <xf numFmtId="165" fontId="13" fillId="0" borderId="0" applyFont="0" applyFill="0" applyBorder="0" applyAlignment="0" applyProtection="0"/>
    <xf numFmtId="165" fontId="1" fillId="0" borderId="0" applyFont="0" applyFill="0" applyBorder="0" applyAlignment="0" applyProtection="0"/>
    <xf numFmtId="165" fontId="10" fillId="0" borderId="0" applyFont="0" applyFill="0" applyBorder="0" applyAlignment="0" applyProtection="0"/>
    <xf numFmtId="165" fontId="13" fillId="0" borderId="0" applyFont="0" applyFill="0" applyBorder="0" applyAlignment="0" applyProtection="0"/>
    <xf numFmtId="165" fontId="13" fillId="0" borderId="0" applyFont="0" applyFill="0" applyBorder="0" applyAlignment="0" applyProtection="0"/>
    <xf numFmtId="165" fontId="1"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3" fillId="0" borderId="0" applyFont="0" applyFill="0" applyBorder="0" applyAlignment="0" applyProtection="0"/>
    <xf numFmtId="165" fontId="13" fillId="0" borderId="0" applyFont="0" applyFill="0" applyBorder="0" applyAlignment="0" applyProtection="0"/>
    <xf numFmtId="165" fontId="1" fillId="0" borderId="0" applyFont="0" applyFill="0" applyBorder="0" applyAlignment="0" applyProtection="0"/>
    <xf numFmtId="0" fontId="1" fillId="0" borderId="0"/>
    <xf numFmtId="0" fontId="1" fillId="0" borderId="0"/>
    <xf numFmtId="0" fontId="1" fillId="0" borderId="0"/>
    <xf numFmtId="0" fontId="1" fillId="0" borderId="0"/>
    <xf numFmtId="9" fontId="1" fillId="0" borderId="0" applyFont="0" applyFill="0" applyBorder="0" applyAlignment="0" applyProtection="0"/>
    <xf numFmtId="0" fontId="1" fillId="0" borderId="0"/>
    <xf numFmtId="165" fontId="1"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 fillId="0" borderId="0" applyFont="0" applyFill="0" applyBorder="0" applyAlignment="0" applyProtection="0"/>
    <xf numFmtId="165" fontId="10" fillId="0" borderId="0" applyFont="0" applyFill="0" applyBorder="0" applyAlignment="0" applyProtection="0"/>
    <xf numFmtId="165" fontId="1"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 fillId="0" borderId="0" applyFont="0" applyFill="0" applyBorder="0" applyAlignment="0" applyProtection="0"/>
    <xf numFmtId="165" fontId="10" fillId="0" borderId="0" applyFont="0" applyFill="0" applyBorder="0" applyAlignment="0" applyProtection="0"/>
    <xf numFmtId="0" fontId="1" fillId="0" borderId="0"/>
    <xf numFmtId="0" fontId="1" fillId="0" borderId="0"/>
    <xf numFmtId="0" fontId="1" fillId="0" borderId="0"/>
    <xf numFmtId="0" fontId="1" fillId="0" borderId="0"/>
    <xf numFmtId="9" fontId="1" fillId="0" borderId="0" applyFont="0" applyFill="0" applyBorder="0" applyAlignment="0" applyProtection="0"/>
    <xf numFmtId="0" fontId="1" fillId="0" borderId="0"/>
    <xf numFmtId="165" fontId="1" fillId="0" borderId="0" applyFont="0" applyFill="0" applyBorder="0" applyAlignment="0" applyProtection="0"/>
    <xf numFmtId="0" fontId="1" fillId="0" borderId="0"/>
    <xf numFmtId="9"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165" fontId="1" fillId="0" borderId="0" applyFont="0" applyFill="0" applyBorder="0" applyAlignment="0" applyProtection="0"/>
    <xf numFmtId="0" fontId="81" fillId="0" borderId="0"/>
    <xf numFmtId="0" fontId="78" fillId="36" borderId="0" applyNumberFormat="0" applyBorder="0" applyAlignment="0" applyProtection="0"/>
    <xf numFmtId="0" fontId="1" fillId="0" borderId="0"/>
    <xf numFmtId="0" fontId="1" fillId="0" borderId="0"/>
    <xf numFmtId="0" fontId="1" fillId="0" borderId="0"/>
    <xf numFmtId="0" fontId="1" fillId="0" borderId="0"/>
    <xf numFmtId="0" fontId="81" fillId="0" borderId="0"/>
    <xf numFmtId="0" fontId="81" fillId="0" borderId="0"/>
    <xf numFmtId="0" fontId="1" fillId="0" borderId="0"/>
    <xf numFmtId="0" fontId="1" fillId="0" borderId="0"/>
    <xf numFmtId="0" fontId="1" fillId="0" borderId="0"/>
    <xf numFmtId="0" fontId="1" fillId="0" borderId="0"/>
    <xf numFmtId="0" fontId="10" fillId="26" borderId="11" applyNumberFormat="0" applyFont="0" applyAlignment="0" applyProtection="0"/>
    <xf numFmtId="0" fontId="10" fillId="26" borderId="11" applyNumberFormat="0" applyFont="0" applyAlignment="0" applyProtection="0"/>
    <xf numFmtId="0" fontId="10" fillId="26" borderId="11" applyNumberFormat="0" applyFont="0" applyAlignment="0" applyProtection="0"/>
    <xf numFmtId="0" fontId="10" fillId="26" borderId="11" applyNumberFormat="0" applyFont="0" applyAlignment="0" applyProtection="0"/>
    <xf numFmtId="0" fontId="10" fillId="26" borderId="11" applyNumberFormat="0" applyFont="0" applyAlignment="0" applyProtection="0"/>
    <xf numFmtId="0" fontId="10" fillId="26" borderId="11" applyNumberFormat="0" applyFont="0" applyAlignment="0" applyProtection="0"/>
    <xf numFmtId="0" fontId="10" fillId="26" borderId="11" applyNumberFormat="0" applyFont="0" applyAlignment="0" applyProtection="0"/>
    <xf numFmtId="0" fontId="10" fillId="26" borderId="11" applyNumberFormat="0" applyFont="0" applyAlignment="0" applyProtection="0"/>
    <xf numFmtId="0" fontId="10" fillId="26" borderId="11" applyNumberFormat="0" applyFont="0" applyAlignment="0" applyProtection="0"/>
    <xf numFmtId="0" fontId="1" fillId="0" borderId="0"/>
    <xf numFmtId="0" fontId="1" fillId="60" borderId="0" applyNumberFormat="0" applyBorder="0" applyAlignment="0" applyProtection="0"/>
    <xf numFmtId="0" fontId="1" fillId="61" borderId="0" applyNumberFormat="0" applyBorder="0" applyAlignment="0" applyProtection="0"/>
    <xf numFmtId="0" fontId="1" fillId="64" borderId="0" applyNumberFormat="0" applyBorder="0" applyAlignment="0" applyProtection="0"/>
    <xf numFmtId="0" fontId="1" fillId="65" borderId="0" applyNumberFormat="0" applyBorder="0" applyAlignment="0" applyProtection="0"/>
    <xf numFmtId="0" fontId="1" fillId="68" borderId="0" applyNumberFormat="0" applyBorder="0" applyAlignment="0" applyProtection="0"/>
    <xf numFmtId="0" fontId="1" fillId="69" borderId="0" applyNumberFormat="0" applyBorder="0" applyAlignment="0" applyProtection="0"/>
    <xf numFmtId="0" fontId="1" fillId="72" borderId="0" applyNumberFormat="0" applyBorder="0" applyAlignment="0" applyProtection="0"/>
    <xf numFmtId="0" fontId="1" fillId="73" borderId="0" applyNumberFormat="0" applyBorder="0" applyAlignment="0" applyProtection="0"/>
    <xf numFmtId="0" fontId="1" fillId="76" borderId="0" applyNumberFormat="0" applyBorder="0" applyAlignment="0" applyProtection="0"/>
    <xf numFmtId="0" fontId="1" fillId="77" borderId="0" applyNumberFormat="0" applyBorder="0" applyAlignment="0" applyProtection="0"/>
    <xf numFmtId="0" fontId="1" fillId="80" borderId="0" applyNumberFormat="0" applyBorder="0" applyAlignment="0" applyProtection="0"/>
    <xf numFmtId="0" fontId="1" fillId="81" borderId="0" applyNumberFormat="0" applyBorder="0" applyAlignment="0" applyProtection="0"/>
    <xf numFmtId="0" fontId="10" fillId="0" borderId="0"/>
    <xf numFmtId="43" fontId="10" fillId="0" borderId="0" applyFont="0" applyFill="0" applyBorder="0" applyAlignment="0" applyProtection="0"/>
    <xf numFmtId="43" fontId="38" fillId="0" borderId="0" applyFont="0" applyFill="0" applyBorder="0" applyAlignment="0" applyProtection="0"/>
    <xf numFmtId="43" fontId="38" fillId="0" borderId="0" applyFont="0" applyFill="0" applyBorder="0" applyAlignment="0" applyProtection="0"/>
    <xf numFmtId="43" fontId="38" fillId="0" borderId="0" applyFont="0" applyFill="0" applyBorder="0" applyAlignment="0" applyProtection="0"/>
    <xf numFmtId="43" fontId="38" fillId="0" borderId="0" applyFont="0" applyFill="0" applyBorder="0" applyAlignment="0" applyProtection="0"/>
    <xf numFmtId="43" fontId="1" fillId="0" borderId="0" applyFont="0" applyFill="0" applyBorder="0" applyAlignment="0" applyProtection="0"/>
    <xf numFmtId="43" fontId="10" fillId="0" borderId="0" applyFont="0" applyFill="0" applyBorder="0" applyAlignment="0" applyProtection="0"/>
    <xf numFmtId="0" fontId="18" fillId="7" borderId="4" applyNumberFormat="0" applyAlignment="0" applyProtection="0"/>
    <xf numFmtId="41" fontId="19" fillId="0" borderId="0" applyFont="0" applyFill="0" applyBorder="0" applyAlignment="0" applyProtection="0"/>
    <xf numFmtId="41" fontId="19" fillId="0" borderId="0" applyFont="0" applyFill="0" applyBorder="0" applyAlignment="0" applyProtection="0"/>
    <xf numFmtId="41" fontId="19" fillId="0" borderId="0" applyFont="0" applyFill="0" applyBorder="0" applyAlignment="0" applyProtection="0"/>
    <xf numFmtId="41" fontId="19" fillId="0" borderId="0" applyFont="0" applyFill="0" applyBorder="0" applyAlignment="0" applyProtection="0"/>
    <xf numFmtId="41" fontId="19" fillId="0" borderId="0" applyFont="0" applyFill="0" applyBorder="0" applyAlignment="0" applyProtection="0"/>
    <xf numFmtId="41" fontId="19" fillId="0" borderId="0" applyFont="0" applyFill="0" applyBorder="0" applyAlignment="0" applyProtection="0"/>
    <xf numFmtId="41" fontId="19" fillId="0" borderId="0" applyFont="0" applyFill="0" applyBorder="0" applyAlignment="0" applyProtection="0"/>
    <xf numFmtId="41" fontId="19" fillId="0" borderId="0" applyFont="0" applyFill="0" applyBorder="0" applyAlignment="0" applyProtection="0"/>
    <xf numFmtId="41" fontId="19" fillId="0" borderId="0" applyFont="0" applyFill="0" applyBorder="0" applyAlignment="0" applyProtection="0"/>
    <xf numFmtId="41" fontId="19" fillId="0" borderId="0" applyFont="0" applyFill="0" applyBorder="0" applyAlignment="0" applyProtection="0"/>
    <xf numFmtId="41" fontId="19" fillId="0" borderId="0" applyFont="0" applyFill="0" applyBorder="0" applyAlignment="0" applyProtection="0"/>
    <xf numFmtId="41" fontId="19" fillId="0" borderId="0" applyFont="0" applyFill="0" applyBorder="0" applyAlignment="0" applyProtection="0"/>
    <xf numFmtId="41" fontId="19" fillId="0" borderId="0" applyFont="0" applyFill="0" applyBorder="0" applyAlignment="0" applyProtection="0"/>
    <xf numFmtId="41" fontId="19" fillId="0" borderId="0" applyFont="0" applyFill="0" applyBorder="0" applyAlignment="0" applyProtection="0"/>
    <xf numFmtId="41" fontId="19" fillId="0" borderId="0" applyFont="0" applyFill="0" applyBorder="0" applyAlignment="0" applyProtection="0"/>
    <xf numFmtId="41" fontId="19" fillId="0" borderId="0" applyFont="0" applyFill="0" applyBorder="0" applyAlignment="0" applyProtection="0"/>
    <xf numFmtId="41" fontId="19" fillId="0" borderId="0" applyFont="0" applyFill="0" applyBorder="0" applyAlignment="0" applyProtection="0"/>
    <xf numFmtId="41" fontId="19" fillId="0" borderId="0" applyFont="0" applyFill="0" applyBorder="0" applyAlignment="0" applyProtection="0"/>
    <xf numFmtId="41" fontId="19" fillId="0" borderId="0" applyFont="0" applyFill="0" applyBorder="0" applyAlignment="0" applyProtection="0"/>
    <xf numFmtId="41" fontId="19" fillId="0" borderId="0" applyFont="0" applyFill="0" applyBorder="0" applyAlignment="0" applyProtection="0"/>
    <xf numFmtId="41" fontId="19" fillId="0" borderId="0" applyFont="0" applyFill="0" applyBorder="0" applyAlignment="0" applyProtection="0"/>
    <xf numFmtId="41" fontId="19" fillId="0" borderId="0" applyFont="0" applyFill="0" applyBorder="0" applyAlignment="0" applyProtection="0"/>
    <xf numFmtId="41" fontId="19" fillId="0" borderId="0" applyFont="0" applyFill="0" applyBorder="0" applyAlignment="0" applyProtection="0"/>
    <xf numFmtId="41" fontId="19" fillId="0" borderId="0" applyFont="0" applyFill="0" applyBorder="0" applyAlignment="0" applyProtection="0"/>
    <xf numFmtId="41" fontId="19" fillId="0" borderId="0" applyFont="0" applyFill="0" applyBorder="0" applyAlignment="0" applyProtection="0"/>
    <xf numFmtId="41" fontId="19" fillId="0" borderId="0" applyFont="0" applyFill="0" applyBorder="0" applyAlignment="0" applyProtection="0"/>
    <xf numFmtId="41" fontId="19" fillId="0" borderId="0" applyFont="0" applyFill="0" applyBorder="0" applyAlignment="0" applyProtection="0"/>
    <xf numFmtId="41" fontId="19" fillId="0" borderId="0" applyFont="0" applyFill="0" applyBorder="0" applyAlignment="0" applyProtection="0"/>
    <xf numFmtId="41" fontId="19" fillId="0" borderId="0" applyFont="0" applyFill="0" applyBorder="0" applyAlignment="0" applyProtection="0"/>
    <xf numFmtId="41" fontId="19" fillId="0" borderId="0" applyFont="0" applyFill="0" applyBorder="0" applyAlignment="0" applyProtection="0"/>
    <xf numFmtId="41" fontId="19" fillId="0" borderId="0" applyFont="0" applyFill="0" applyBorder="0" applyAlignment="0" applyProtection="0"/>
    <xf numFmtId="41" fontId="19" fillId="0" borderId="0" applyFont="0" applyFill="0" applyBorder="0" applyAlignment="0" applyProtection="0"/>
    <xf numFmtId="41" fontId="19" fillId="0" borderId="0" applyFont="0" applyFill="0" applyBorder="0" applyAlignment="0" applyProtection="0"/>
    <xf numFmtId="41" fontId="19" fillId="0" borderId="0" applyFont="0" applyFill="0" applyBorder="0" applyAlignment="0" applyProtection="0"/>
    <xf numFmtId="41" fontId="19" fillId="0" borderId="0" applyFont="0" applyFill="0" applyBorder="0" applyAlignment="0" applyProtection="0"/>
    <xf numFmtId="41" fontId="19" fillId="0" borderId="0" applyFont="0" applyFill="0" applyBorder="0" applyAlignment="0" applyProtection="0"/>
    <xf numFmtId="41" fontId="19" fillId="0" borderId="0" applyFont="0" applyFill="0" applyBorder="0" applyAlignment="0" applyProtection="0"/>
    <xf numFmtId="41" fontId="19" fillId="0" borderId="0" applyFont="0" applyFill="0" applyBorder="0" applyAlignment="0" applyProtection="0"/>
    <xf numFmtId="41" fontId="19" fillId="0" borderId="0" applyFont="0" applyFill="0" applyBorder="0" applyAlignment="0" applyProtection="0"/>
    <xf numFmtId="41" fontId="19" fillId="0" borderId="0" applyFont="0" applyFill="0" applyBorder="0" applyAlignment="0" applyProtection="0"/>
    <xf numFmtId="41" fontId="19" fillId="0" borderId="0" applyFont="0" applyFill="0" applyBorder="0" applyAlignment="0" applyProtection="0"/>
    <xf numFmtId="41" fontId="19" fillId="0" borderId="0" applyFont="0" applyFill="0" applyBorder="0" applyAlignment="0" applyProtection="0"/>
    <xf numFmtId="41" fontId="19" fillId="0" borderId="0" applyFont="0" applyFill="0" applyBorder="0" applyAlignment="0" applyProtection="0"/>
    <xf numFmtId="41" fontId="19" fillId="0" borderId="0" applyFont="0" applyFill="0" applyBorder="0" applyAlignment="0" applyProtection="0"/>
    <xf numFmtId="41" fontId="19" fillId="0" borderId="0" applyFont="0" applyFill="0" applyBorder="0" applyAlignment="0" applyProtection="0"/>
    <xf numFmtId="41" fontId="19" fillId="0" borderId="0" applyFont="0" applyFill="0" applyBorder="0" applyAlignment="0" applyProtection="0"/>
    <xf numFmtId="41" fontId="19" fillId="0" borderId="0" applyFont="0" applyFill="0" applyBorder="0" applyAlignment="0" applyProtection="0"/>
    <xf numFmtId="41" fontId="19" fillId="0" borderId="0" applyFont="0" applyFill="0" applyBorder="0" applyAlignment="0" applyProtection="0"/>
    <xf numFmtId="41" fontId="19" fillId="0" borderId="0" applyFont="0" applyFill="0" applyBorder="0" applyAlignment="0" applyProtection="0"/>
    <xf numFmtId="41" fontId="19" fillId="0" borderId="0" applyFont="0" applyFill="0" applyBorder="0" applyAlignment="0" applyProtection="0"/>
    <xf numFmtId="41" fontId="19" fillId="0" borderId="0" applyFont="0" applyFill="0" applyBorder="0" applyAlignment="0" applyProtection="0"/>
    <xf numFmtId="41" fontId="19" fillId="0" borderId="0" applyFont="0" applyFill="0" applyBorder="0" applyAlignment="0" applyProtection="0"/>
    <xf numFmtId="41" fontId="19" fillId="0" borderId="0" applyFont="0" applyFill="0" applyBorder="0" applyAlignment="0" applyProtection="0"/>
    <xf numFmtId="41" fontId="19" fillId="0" borderId="0" applyFont="0" applyFill="0" applyBorder="0" applyAlignment="0" applyProtection="0"/>
    <xf numFmtId="41" fontId="19" fillId="0" borderId="0" applyFont="0" applyFill="0" applyBorder="0" applyAlignment="0" applyProtection="0"/>
    <xf numFmtId="41" fontId="19" fillId="0" borderId="0" applyFont="0" applyFill="0" applyBorder="0" applyAlignment="0" applyProtection="0"/>
    <xf numFmtId="41" fontId="19" fillId="0" borderId="0" applyFont="0" applyFill="0" applyBorder="0" applyAlignment="0" applyProtection="0"/>
    <xf numFmtId="41" fontId="19"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38" fillId="0" borderId="0" applyFont="0" applyFill="0" applyBorder="0" applyAlignment="0" applyProtection="0"/>
    <xf numFmtId="43" fontId="38"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38" fillId="0" borderId="0" applyFont="0" applyFill="0" applyBorder="0" applyAlignment="0" applyProtection="0"/>
    <xf numFmtId="43" fontId="38"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38" fillId="0" borderId="0" applyFont="0" applyFill="0" applyBorder="0" applyAlignment="0" applyProtection="0"/>
    <xf numFmtId="43" fontId="38"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38" fillId="0" borderId="0" applyFont="0" applyFill="0" applyBorder="0" applyAlignment="0" applyProtection="0"/>
    <xf numFmtId="43" fontId="38"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38" fillId="0" borderId="0" applyFont="0" applyFill="0" applyBorder="0" applyAlignment="0" applyProtection="0"/>
    <xf numFmtId="43" fontId="38"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38" fillId="0" borderId="0" applyFont="0" applyFill="0" applyBorder="0" applyAlignment="0" applyProtection="0"/>
    <xf numFmtId="43" fontId="38"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38" fillId="0" borderId="0" applyFont="0" applyFill="0" applyBorder="0" applyAlignment="0" applyProtection="0"/>
    <xf numFmtId="43" fontId="38"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38" fillId="0" borderId="0" applyFont="0" applyFill="0" applyBorder="0" applyAlignment="0" applyProtection="0"/>
    <xf numFmtId="43" fontId="38"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38" fillId="0" borderId="0" applyFont="0" applyFill="0" applyBorder="0" applyAlignment="0" applyProtection="0"/>
    <xf numFmtId="43" fontId="38"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38" fillId="0" borderId="0" applyFont="0" applyFill="0" applyBorder="0" applyAlignment="0" applyProtection="0"/>
    <xf numFmtId="43" fontId="38"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38" fillId="0" borderId="0" applyFont="0" applyFill="0" applyBorder="0" applyAlignment="0" applyProtection="0"/>
    <xf numFmtId="43" fontId="38"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38" fillId="0" borderId="0" applyFont="0" applyFill="0" applyBorder="0" applyAlignment="0" applyProtection="0"/>
    <xf numFmtId="43" fontId="38"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38" fillId="0" borderId="0" applyFont="0" applyFill="0" applyBorder="0" applyAlignment="0" applyProtection="0"/>
    <xf numFmtId="43" fontId="38"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38" fillId="0" borderId="0" applyFont="0" applyFill="0" applyBorder="0" applyAlignment="0" applyProtection="0"/>
    <xf numFmtId="43" fontId="38"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38" fillId="0" borderId="0" applyFont="0" applyFill="0" applyBorder="0" applyAlignment="0" applyProtection="0"/>
    <xf numFmtId="43" fontId="38"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38" fillId="0" borderId="0" applyFont="0" applyFill="0" applyBorder="0" applyAlignment="0" applyProtection="0"/>
    <xf numFmtId="43" fontId="38"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38" fillId="0" borderId="0" applyFont="0" applyFill="0" applyBorder="0" applyAlignment="0" applyProtection="0"/>
    <xf numFmtId="43" fontId="38"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38" fillId="0" borderId="0" applyFont="0" applyFill="0" applyBorder="0" applyAlignment="0" applyProtection="0"/>
    <xf numFmtId="43" fontId="38"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38" fillId="0" borderId="0" applyFont="0" applyFill="0" applyBorder="0" applyAlignment="0" applyProtection="0"/>
    <xf numFmtId="43" fontId="38"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38" fillId="0" borderId="0" applyFont="0" applyFill="0" applyBorder="0" applyAlignment="0" applyProtection="0"/>
    <xf numFmtId="43" fontId="38"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38" fillId="0" borderId="0" applyFont="0" applyFill="0" applyBorder="0" applyAlignment="0" applyProtection="0"/>
    <xf numFmtId="43" fontId="38"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38" fillId="0" borderId="0" applyFont="0" applyFill="0" applyBorder="0" applyAlignment="0" applyProtection="0"/>
    <xf numFmtId="43" fontId="38"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38" fillId="0" borderId="0" applyFont="0" applyFill="0" applyBorder="0" applyAlignment="0" applyProtection="0"/>
    <xf numFmtId="43" fontId="38"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38" fillId="0" borderId="0" applyFont="0" applyFill="0" applyBorder="0" applyAlignment="0" applyProtection="0"/>
    <xf numFmtId="43" fontId="38"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38" fillId="0" borderId="0" applyFont="0" applyFill="0" applyBorder="0" applyAlignment="0" applyProtection="0"/>
    <xf numFmtId="43" fontId="38"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38" fillId="0" borderId="0" applyFont="0" applyFill="0" applyBorder="0" applyAlignment="0" applyProtection="0"/>
    <xf numFmtId="43" fontId="38"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38" fillId="0" borderId="0" applyFont="0" applyFill="0" applyBorder="0" applyAlignment="0" applyProtection="0"/>
    <xf numFmtId="43" fontId="38"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38" fillId="0" borderId="0" applyFont="0" applyFill="0" applyBorder="0" applyAlignment="0" applyProtection="0"/>
    <xf numFmtId="43" fontId="38"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38" fillId="0" borderId="0" applyFont="0" applyFill="0" applyBorder="0" applyAlignment="0" applyProtection="0"/>
    <xf numFmtId="43" fontId="38"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38" fillId="0" borderId="0" applyFont="0" applyFill="0" applyBorder="0" applyAlignment="0" applyProtection="0"/>
    <xf numFmtId="43" fontId="38"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38" fillId="0" borderId="0" applyFont="0" applyFill="0" applyBorder="0" applyAlignment="0" applyProtection="0"/>
    <xf numFmtId="43" fontId="38"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38" fillId="0" borderId="0" applyFont="0" applyFill="0" applyBorder="0" applyAlignment="0" applyProtection="0"/>
    <xf numFmtId="43" fontId="38"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38" fillId="0" borderId="0" applyFont="0" applyFill="0" applyBorder="0" applyAlignment="0" applyProtection="0"/>
    <xf numFmtId="43" fontId="38"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38" fillId="0" borderId="0" applyFont="0" applyFill="0" applyBorder="0" applyAlignment="0" applyProtection="0"/>
    <xf numFmtId="43" fontId="38"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38" fillId="0" borderId="0" applyFont="0" applyFill="0" applyBorder="0" applyAlignment="0" applyProtection="0"/>
    <xf numFmtId="43" fontId="38"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38" fillId="0" borderId="0" applyFont="0" applyFill="0" applyBorder="0" applyAlignment="0" applyProtection="0"/>
    <xf numFmtId="43" fontId="38"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38" fillId="0" borderId="0" applyFont="0" applyFill="0" applyBorder="0" applyAlignment="0" applyProtection="0"/>
    <xf numFmtId="43" fontId="38"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38" fillId="0" borderId="0" applyFont="0" applyFill="0" applyBorder="0" applyAlignment="0" applyProtection="0"/>
    <xf numFmtId="43" fontId="38"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38" fillId="0" borderId="0" applyFont="0" applyFill="0" applyBorder="0" applyAlignment="0" applyProtection="0"/>
    <xf numFmtId="43" fontId="38"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38" fillId="0" borderId="0" applyFont="0" applyFill="0" applyBorder="0" applyAlignment="0" applyProtection="0"/>
    <xf numFmtId="43" fontId="38"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38" fillId="0" borderId="0" applyFont="0" applyFill="0" applyBorder="0" applyAlignment="0" applyProtection="0"/>
    <xf numFmtId="43" fontId="38"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38" fillId="0" borderId="0" applyFont="0" applyFill="0" applyBorder="0" applyAlignment="0" applyProtection="0"/>
    <xf numFmtId="43" fontId="38"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38" fillId="0" borderId="0" applyFont="0" applyFill="0" applyBorder="0" applyAlignment="0" applyProtection="0"/>
    <xf numFmtId="43" fontId="38"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38" fillId="0" borderId="0" applyFont="0" applyFill="0" applyBorder="0" applyAlignment="0" applyProtection="0"/>
    <xf numFmtId="43" fontId="38"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38" fillId="0" borderId="0" applyFont="0" applyFill="0" applyBorder="0" applyAlignment="0" applyProtection="0"/>
    <xf numFmtId="43" fontId="38"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38" fillId="0" borderId="0" applyFont="0" applyFill="0" applyBorder="0" applyAlignment="0" applyProtection="0"/>
    <xf numFmtId="43" fontId="38"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38" fillId="0" borderId="0" applyFont="0" applyFill="0" applyBorder="0" applyAlignment="0" applyProtection="0"/>
    <xf numFmtId="43" fontId="38"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38" fillId="0" borderId="0" applyFont="0" applyFill="0" applyBorder="0" applyAlignment="0" applyProtection="0"/>
    <xf numFmtId="43" fontId="38"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38" fillId="0" borderId="0" applyFont="0" applyFill="0" applyBorder="0" applyAlignment="0" applyProtection="0"/>
    <xf numFmtId="43" fontId="38"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38" fillId="0" borderId="0" applyFont="0" applyFill="0" applyBorder="0" applyAlignment="0" applyProtection="0"/>
    <xf numFmtId="43" fontId="38"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38" fillId="0" borderId="0" applyFont="0" applyFill="0" applyBorder="0" applyAlignment="0" applyProtection="0"/>
    <xf numFmtId="43" fontId="38"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38" fillId="0" borderId="0" applyFont="0" applyFill="0" applyBorder="0" applyAlignment="0" applyProtection="0"/>
    <xf numFmtId="43" fontId="38"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38" fillId="0" borderId="0" applyFont="0" applyFill="0" applyBorder="0" applyAlignment="0" applyProtection="0"/>
    <xf numFmtId="43" fontId="38"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38" fillId="0" borderId="0" applyFont="0" applyFill="0" applyBorder="0" applyAlignment="0" applyProtection="0"/>
    <xf numFmtId="43" fontId="38"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38" fillId="0" borderId="0" applyFont="0" applyFill="0" applyBorder="0" applyAlignment="0" applyProtection="0"/>
    <xf numFmtId="43" fontId="38"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38" fillId="0" borderId="0" applyFont="0" applyFill="0" applyBorder="0" applyAlignment="0" applyProtection="0"/>
    <xf numFmtId="43" fontId="38"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38" fillId="0" borderId="0" applyFont="0" applyFill="0" applyBorder="0" applyAlignment="0" applyProtection="0"/>
    <xf numFmtId="43" fontId="38"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38" fillId="0" borderId="0" applyFont="0" applyFill="0" applyBorder="0" applyAlignment="0" applyProtection="0"/>
    <xf numFmtId="43" fontId="38"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38" fillId="0" borderId="0" applyFont="0" applyFill="0" applyBorder="0" applyAlignment="0" applyProtection="0"/>
    <xf numFmtId="43" fontId="38"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38" fillId="0" borderId="0" applyFont="0" applyFill="0" applyBorder="0" applyAlignment="0" applyProtection="0"/>
    <xf numFmtId="43" fontId="38"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41" fillId="0" borderId="2" applyNumberFormat="0" applyFill="0" applyAlignment="0" applyProtection="0"/>
    <xf numFmtId="0" fontId="21" fillId="21" borderId="12" applyNumberFormat="0" applyAlignment="0" applyProtection="0"/>
    <xf numFmtId="181" fontId="41" fillId="27" borderId="2" applyNumberFormat="0" applyFont="0" applyBorder="0" applyAlignment="0" applyProtection="0">
      <alignment horizontal="right" vertical="center"/>
    </xf>
    <xf numFmtId="9" fontId="10" fillId="0" borderId="0" applyFont="0" applyFill="0" applyBorder="0" applyAlignment="0" applyProtection="0"/>
    <xf numFmtId="9" fontId="1" fillId="0" borderId="0" applyFont="0" applyFill="0" applyBorder="0" applyAlignment="0" applyProtection="0"/>
    <xf numFmtId="0" fontId="97" fillId="0" borderId="0" applyNumberFormat="0" applyFill="0" applyBorder="0" applyAlignment="0" applyProtection="0"/>
    <xf numFmtId="0" fontId="1" fillId="0" borderId="0"/>
    <xf numFmtId="0" fontId="1" fillId="58" borderId="104" applyNumberFormat="0" applyFont="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65" fontId="1" fillId="0" borderId="0" applyFont="0" applyFill="0" applyBorder="0" applyAlignment="0" applyProtection="0"/>
    <xf numFmtId="9" fontId="1" fillId="0" borderId="0" applyFont="0" applyFill="0" applyBorder="0" applyAlignment="0" applyProtection="0"/>
    <xf numFmtId="43" fontId="1"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9" fontId="1" fillId="0" borderId="0" applyFont="0" applyFill="0" applyBorder="0" applyAlignment="0" applyProtection="0"/>
    <xf numFmtId="0" fontId="10" fillId="58" borderId="104" applyNumberFormat="0" applyFont="0" applyAlignment="0" applyProtection="0"/>
    <xf numFmtId="0" fontId="1" fillId="0" borderId="0"/>
    <xf numFmtId="0" fontId="1" fillId="65" borderId="0" applyNumberFormat="0" applyBorder="0" applyAlignment="0" applyProtection="0"/>
    <xf numFmtId="0" fontId="1" fillId="76" borderId="0" applyNumberFormat="0" applyBorder="0" applyAlignment="0" applyProtection="0"/>
    <xf numFmtId="43" fontId="10" fillId="0" borderId="0" applyFont="0" applyFill="0" applyBorder="0" applyAlignment="0" applyProtection="0"/>
    <xf numFmtId="0" fontId="1" fillId="0" borderId="0"/>
    <xf numFmtId="9"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8"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6" borderId="0" applyNumberFormat="0" applyBorder="0" applyAlignment="0" applyProtection="0"/>
    <xf numFmtId="0" fontId="1" fillId="76" borderId="0" applyNumberFormat="0" applyBorder="0" applyAlignment="0" applyProtection="0"/>
    <xf numFmtId="0" fontId="1" fillId="76" borderId="0" applyNumberFormat="0" applyBorder="0" applyAlignment="0" applyProtection="0"/>
    <xf numFmtId="0" fontId="1" fillId="76" borderId="0" applyNumberFormat="0" applyBorder="0" applyAlignment="0" applyProtection="0"/>
    <xf numFmtId="0" fontId="1" fillId="76" borderId="0" applyNumberFormat="0" applyBorder="0" applyAlignment="0" applyProtection="0"/>
    <xf numFmtId="0" fontId="1" fillId="76" borderId="0" applyNumberFormat="0" applyBorder="0" applyAlignment="0" applyProtection="0"/>
    <xf numFmtId="0" fontId="1" fillId="76" borderId="0" applyNumberFormat="0" applyBorder="0" applyAlignment="0" applyProtection="0"/>
    <xf numFmtId="0" fontId="1" fillId="76" borderId="0" applyNumberFormat="0" applyBorder="0" applyAlignment="0" applyProtection="0"/>
    <xf numFmtId="0" fontId="1" fillId="76" borderId="0" applyNumberFormat="0" applyBorder="0" applyAlignment="0" applyProtection="0"/>
    <xf numFmtId="0" fontId="1" fillId="76" borderId="0" applyNumberFormat="0" applyBorder="0" applyAlignment="0" applyProtection="0"/>
    <xf numFmtId="0" fontId="1" fillId="76" borderId="0" applyNumberFormat="0" applyBorder="0" applyAlignment="0" applyProtection="0"/>
    <xf numFmtId="0" fontId="1" fillId="76" borderId="0" applyNumberFormat="0" applyBorder="0" applyAlignment="0" applyProtection="0"/>
    <xf numFmtId="0" fontId="1" fillId="76" borderId="0" applyNumberFormat="0" applyBorder="0" applyAlignment="0" applyProtection="0"/>
    <xf numFmtId="0" fontId="1" fillId="76" borderId="0" applyNumberFormat="0" applyBorder="0" applyAlignment="0" applyProtection="0"/>
    <xf numFmtId="0" fontId="1" fillId="76" borderId="0" applyNumberFormat="0" applyBorder="0" applyAlignment="0" applyProtection="0"/>
    <xf numFmtId="0" fontId="1" fillId="76" borderId="0" applyNumberFormat="0" applyBorder="0" applyAlignment="0" applyProtection="0"/>
    <xf numFmtId="0" fontId="1" fillId="76" borderId="0" applyNumberFormat="0" applyBorder="0" applyAlignment="0" applyProtection="0"/>
    <xf numFmtId="0" fontId="1" fillId="76" borderId="0" applyNumberFormat="0" applyBorder="0" applyAlignment="0" applyProtection="0"/>
    <xf numFmtId="0" fontId="1" fillId="76" borderId="0" applyNumberFormat="0" applyBorder="0" applyAlignment="0" applyProtection="0"/>
    <xf numFmtId="0" fontId="1" fillId="76" borderId="0" applyNumberFormat="0" applyBorder="0" applyAlignment="0" applyProtection="0"/>
    <xf numFmtId="0" fontId="1" fillId="76" borderId="0" applyNumberFormat="0" applyBorder="0" applyAlignment="0" applyProtection="0"/>
    <xf numFmtId="0" fontId="1" fillId="76" borderId="0" applyNumberFormat="0" applyBorder="0" applyAlignment="0" applyProtection="0"/>
    <xf numFmtId="0" fontId="1" fillId="76" borderId="0" applyNumberFormat="0" applyBorder="0" applyAlignment="0" applyProtection="0"/>
    <xf numFmtId="0" fontId="1" fillId="76" borderId="0" applyNumberFormat="0" applyBorder="0" applyAlignment="0" applyProtection="0"/>
    <xf numFmtId="0" fontId="1" fillId="76" borderId="0" applyNumberFormat="0" applyBorder="0" applyAlignment="0" applyProtection="0"/>
    <xf numFmtId="0" fontId="1" fillId="76" borderId="0" applyNumberFormat="0" applyBorder="0" applyAlignment="0" applyProtection="0"/>
    <xf numFmtId="0" fontId="1" fillId="76" borderId="0" applyNumberFormat="0" applyBorder="0" applyAlignment="0" applyProtection="0"/>
    <xf numFmtId="0" fontId="1" fillId="76" borderId="0" applyNumberFormat="0" applyBorder="0" applyAlignment="0" applyProtection="0"/>
    <xf numFmtId="0" fontId="1" fillId="76" borderId="0" applyNumberFormat="0" applyBorder="0" applyAlignment="0" applyProtection="0"/>
    <xf numFmtId="0" fontId="1" fillId="76" borderId="0" applyNumberFormat="0" applyBorder="0" applyAlignment="0" applyProtection="0"/>
    <xf numFmtId="0" fontId="1" fillId="76" borderId="0" applyNumberFormat="0" applyBorder="0" applyAlignment="0" applyProtection="0"/>
    <xf numFmtId="0" fontId="1" fillId="76" borderId="0" applyNumberFormat="0" applyBorder="0" applyAlignment="0" applyProtection="0"/>
    <xf numFmtId="0" fontId="1" fillId="76" borderId="0" applyNumberFormat="0" applyBorder="0" applyAlignment="0" applyProtection="0"/>
    <xf numFmtId="0" fontId="1" fillId="76" borderId="0" applyNumberFormat="0" applyBorder="0" applyAlignment="0" applyProtection="0"/>
    <xf numFmtId="0" fontId="1" fillId="76" borderId="0" applyNumberFormat="0" applyBorder="0" applyAlignment="0" applyProtection="0"/>
    <xf numFmtId="0" fontId="1" fillId="76" borderId="0" applyNumberFormat="0" applyBorder="0" applyAlignment="0" applyProtection="0"/>
    <xf numFmtId="0" fontId="1" fillId="76" borderId="0" applyNumberFormat="0" applyBorder="0" applyAlignment="0" applyProtection="0"/>
    <xf numFmtId="0" fontId="1" fillId="76" borderId="0" applyNumberFormat="0" applyBorder="0" applyAlignment="0" applyProtection="0"/>
    <xf numFmtId="0" fontId="1" fillId="76" borderId="0" applyNumberFormat="0" applyBorder="0" applyAlignment="0" applyProtection="0"/>
    <xf numFmtId="0" fontId="1" fillId="76" borderId="0" applyNumberFormat="0" applyBorder="0" applyAlignment="0" applyProtection="0"/>
    <xf numFmtId="0" fontId="1" fillId="76" borderId="0" applyNumberFormat="0" applyBorder="0" applyAlignment="0" applyProtection="0"/>
    <xf numFmtId="0" fontId="1" fillId="76" borderId="0" applyNumberFormat="0" applyBorder="0" applyAlignment="0" applyProtection="0"/>
    <xf numFmtId="0" fontId="1" fillId="76" borderId="0" applyNumberFormat="0" applyBorder="0" applyAlignment="0" applyProtection="0"/>
    <xf numFmtId="0" fontId="1" fillId="76" borderId="0" applyNumberFormat="0" applyBorder="0" applyAlignment="0" applyProtection="0"/>
    <xf numFmtId="0" fontId="1" fillId="76" borderId="0" applyNumberFormat="0" applyBorder="0" applyAlignment="0" applyProtection="0"/>
    <xf numFmtId="0" fontId="1" fillId="76" borderId="0" applyNumberFormat="0" applyBorder="0" applyAlignment="0" applyProtection="0"/>
    <xf numFmtId="0" fontId="1" fillId="76" borderId="0" applyNumberFormat="0" applyBorder="0" applyAlignment="0" applyProtection="0"/>
    <xf numFmtId="0" fontId="1" fillId="76" borderId="0" applyNumberFormat="0" applyBorder="0" applyAlignment="0" applyProtection="0"/>
    <xf numFmtId="0" fontId="1" fillId="76" borderId="0" applyNumberFormat="0" applyBorder="0" applyAlignment="0" applyProtection="0"/>
    <xf numFmtId="0" fontId="1" fillId="76" borderId="0" applyNumberFormat="0" applyBorder="0" applyAlignment="0" applyProtection="0"/>
    <xf numFmtId="0" fontId="1" fillId="76" borderId="0" applyNumberFormat="0" applyBorder="0" applyAlignment="0" applyProtection="0"/>
    <xf numFmtId="0" fontId="1" fillId="76" borderId="0" applyNumberFormat="0" applyBorder="0" applyAlignment="0" applyProtection="0"/>
    <xf numFmtId="0" fontId="1" fillId="76" borderId="0" applyNumberFormat="0" applyBorder="0" applyAlignment="0" applyProtection="0"/>
    <xf numFmtId="0" fontId="1" fillId="76" borderId="0" applyNumberFormat="0" applyBorder="0" applyAlignment="0" applyProtection="0"/>
    <xf numFmtId="0" fontId="1" fillId="76" borderId="0" applyNumberFormat="0" applyBorder="0" applyAlignment="0" applyProtection="0"/>
    <xf numFmtId="0" fontId="1" fillId="76" borderId="0" applyNumberFormat="0" applyBorder="0" applyAlignment="0" applyProtection="0"/>
    <xf numFmtId="0" fontId="1" fillId="76" borderId="0" applyNumberFormat="0" applyBorder="0" applyAlignment="0" applyProtection="0"/>
    <xf numFmtId="0" fontId="1" fillId="76" borderId="0" applyNumberFormat="0" applyBorder="0" applyAlignment="0" applyProtection="0"/>
    <xf numFmtId="0" fontId="1" fillId="76" borderId="0" applyNumberFormat="0" applyBorder="0" applyAlignment="0" applyProtection="0"/>
    <xf numFmtId="0" fontId="1" fillId="76" borderId="0" applyNumberFormat="0" applyBorder="0" applyAlignment="0" applyProtection="0"/>
    <xf numFmtId="0" fontId="1" fillId="76" borderId="0" applyNumberFormat="0" applyBorder="0" applyAlignment="0" applyProtection="0"/>
    <xf numFmtId="0" fontId="1" fillId="76" borderId="0" applyNumberFormat="0" applyBorder="0" applyAlignment="0" applyProtection="0"/>
    <xf numFmtId="0" fontId="1" fillId="76" borderId="0" applyNumberFormat="0" applyBorder="0" applyAlignment="0" applyProtection="0"/>
    <xf numFmtId="0" fontId="1" fillId="76" borderId="0" applyNumberFormat="0" applyBorder="0" applyAlignment="0" applyProtection="0"/>
    <xf numFmtId="0" fontId="1" fillId="76" borderId="0" applyNumberFormat="0" applyBorder="0" applyAlignment="0" applyProtection="0"/>
    <xf numFmtId="0" fontId="1" fillId="76" borderId="0" applyNumberFormat="0" applyBorder="0" applyAlignment="0" applyProtection="0"/>
    <xf numFmtId="0" fontId="1" fillId="76" borderId="0" applyNumberFormat="0" applyBorder="0" applyAlignment="0" applyProtection="0"/>
    <xf numFmtId="0" fontId="1" fillId="76" borderId="0" applyNumberFormat="0" applyBorder="0" applyAlignment="0" applyProtection="0"/>
    <xf numFmtId="0" fontId="1" fillId="76" borderId="0" applyNumberFormat="0" applyBorder="0" applyAlignment="0" applyProtection="0"/>
    <xf numFmtId="0" fontId="1" fillId="76" borderId="0" applyNumberFormat="0" applyBorder="0" applyAlignment="0" applyProtection="0"/>
    <xf numFmtId="0" fontId="1" fillId="76" borderId="0" applyNumberFormat="0" applyBorder="0" applyAlignment="0" applyProtection="0"/>
    <xf numFmtId="0" fontId="1" fillId="76" borderId="0" applyNumberFormat="0" applyBorder="0" applyAlignment="0" applyProtection="0"/>
    <xf numFmtId="0" fontId="1" fillId="76" borderId="0" applyNumberFormat="0" applyBorder="0" applyAlignment="0" applyProtection="0"/>
    <xf numFmtId="0" fontId="1" fillId="76" borderId="0" applyNumberFormat="0" applyBorder="0" applyAlignment="0" applyProtection="0"/>
    <xf numFmtId="0" fontId="1" fillId="76" borderId="0" applyNumberFormat="0" applyBorder="0" applyAlignment="0" applyProtection="0"/>
    <xf numFmtId="0" fontId="1" fillId="76" borderId="0" applyNumberFormat="0" applyBorder="0" applyAlignment="0" applyProtection="0"/>
    <xf numFmtId="0" fontId="1" fillId="76" borderId="0" applyNumberFormat="0" applyBorder="0" applyAlignment="0" applyProtection="0"/>
    <xf numFmtId="0" fontId="1" fillId="76" borderId="0" applyNumberFormat="0" applyBorder="0" applyAlignment="0" applyProtection="0"/>
    <xf numFmtId="0" fontId="1" fillId="76" borderId="0" applyNumberFormat="0" applyBorder="0" applyAlignment="0" applyProtection="0"/>
    <xf numFmtId="0" fontId="1" fillId="76" borderId="0" applyNumberFormat="0" applyBorder="0" applyAlignment="0" applyProtection="0"/>
    <xf numFmtId="0" fontId="1" fillId="76" borderId="0" applyNumberFormat="0" applyBorder="0" applyAlignment="0" applyProtection="0"/>
    <xf numFmtId="0" fontId="1" fillId="76" borderId="0" applyNumberFormat="0" applyBorder="0" applyAlignment="0" applyProtection="0"/>
    <xf numFmtId="0" fontId="1" fillId="76" borderId="0" applyNumberFormat="0" applyBorder="0" applyAlignment="0" applyProtection="0"/>
    <xf numFmtId="0" fontId="1" fillId="76" borderId="0" applyNumberFormat="0" applyBorder="0" applyAlignment="0" applyProtection="0"/>
    <xf numFmtId="0" fontId="1" fillId="76" borderId="0" applyNumberFormat="0" applyBorder="0" applyAlignment="0" applyProtection="0"/>
    <xf numFmtId="0" fontId="1" fillId="76" borderId="0" applyNumberFormat="0" applyBorder="0" applyAlignment="0" applyProtection="0"/>
    <xf numFmtId="0" fontId="1" fillId="76" borderId="0" applyNumberFormat="0" applyBorder="0" applyAlignment="0" applyProtection="0"/>
    <xf numFmtId="0" fontId="1" fillId="76" borderId="0" applyNumberFormat="0" applyBorder="0" applyAlignment="0" applyProtection="0"/>
    <xf numFmtId="0" fontId="1" fillId="76" borderId="0" applyNumberFormat="0" applyBorder="0" applyAlignment="0" applyProtection="0"/>
    <xf numFmtId="0" fontId="1" fillId="76" borderId="0" applyNumberFormat="0" applyBorder="0" applyAlignment="0" applyProtection="0"/>
    <xf numFmtId="0" fontId="1" fillId="76" borderId="0" applyNumberFormat="0" applyBorder="0" applyAlignment="0" applyProtection="0"/>
    <xf numFmtId="0" fontId="1" fillId="76" borderId="0" applyNumberFormat="0" applyBorder="0" applyAlignment="0" applyProtection="0"/>
    <xf numFmtId="0" fontId="1" fillId="76" borderId="0" applyNumberFormat="0" applyBorder="0" applyAlignment="0" applyProtection="0"/>
    <xf numFmtId="0" fontId="1" fillId="76" borderId="0" applyNumberFormat="0" applyBorder="0" applyAlignment="0" applyProtection="0"/>
    <xf numFmtId="0" fontId="1" fillId="76" borderId="0" applyNumberFormat="0" applyBorder="0" applyAlignment="0" applyProtection="0"/>
    <xf numFmtId="0" fontId="1" fillId="76" borderId="0" applyNumberFormat="0" applyBorder="0" applyAlignment="0" applyProtection="0"/>
    <xf numFmtId="0" fontId="1" fillId="76" borderId="0" applyNumberFormat="0" applyBorder="0" applyAlignment="0" applyProtection="0"/>
    <xf numFmtId="0" fontId="1" fillId="76" borderId="0" applyNumberFormat="0" applyBorder="0" applyAlignment="0" applyProtection="0"/>
    <xf numFmtId="0" fontId="1" fillId="76" borderId="0" applyNumberFormat="0" applyBorder="0" applyAlignment="0" applyProtection="0"/>
    <xf numFmtId="0" fontId="1" fillId="76" borderId="0" applyNumberFormat="0" applyBorder="0" applyAlignment="0" applyProtection="0"/>
    <xf numFmtId="0" fontId="1" fillId="76" borderId="0" applyNumberFormat="0" applyBorder="0" applyAlignment="0" applyProtection="0"/>
    <xf numFmtId="0" fontId="1" fillId="76" borderId="0" applyNumberFormat="0" applyBorder="0" applyAlignment="0" applyProtection="0"/>
    <xf numFmtId="0" fontId="1" fillId="76" borderId="0" applyNumberFormat="0" applyBorder="0" applyAlignment="0" applyProtection="0"/>
    <xf numFmtId="0" fontId="1" fillId="76" borderId="0" applyNumberFormat="0" applyBorder="0" applyAlignment="0" applyProtection="0"/>
    <xf numFmtId="0" fontId="1" fillId="76" borderId="0" applyNumberFormat="0" applyBorder="0" applyAlignment="0" applyProtection="0"/>
    <xf numFmtId="0" fontId="1" fillId="76" borderId="0" applyNumberFormat="0" applyBorder="0" applyAlignment="0" applyProtection="0"/>
    <xf numFmtId="0" fontId="1" fillId="76" borderId="0" applyNumberFormat="0" applyBorder="0" applyAlignment="0" applyProtection="0"/>
    <xf numFmtId="0" fontId="1" fillId="76" borderId="0" applyNumberFormat="0" applyBorder="0" applyAlignment="0" applyProtection="0"/>
    <xf numFmtId="0" fontId="1" fillId="76" borderId="0" applyNumberFormat="0" applyBorder="0" applyAlignment="0" applyProtection="0"/>
    <xf numFmtId="0" fontId="1" fillId="76" borderId="0" applyNumberFormat="0" applyBorder="0" applyAlignment="0" applyProtection="0"/>
    <xf numFmtId="0" fontId="1" fillId="76" borderId="0" applyNumberFormat="0" applyBorder="0" applyAlignment="0" applyProtection="0"/>
    <xf numFmtId="0" fontId="1" fillId="76" borderId="0" applyNumberFormat="0" applyBorder="0" applyAlignment="0" applyProtection="0"/>
    <xf numFmtId="0" fontId="1" fillId="76" borderId="0" applyNumberFormat="0" applyBorder="0" applyAlignment="0" applyProtection="0"/>
    <xf numFmtId="0" fontId="1" fillId="76" borderId="0" applyNumberFormat="0" applyBorder="0" applyAlignment="0" applyProtection="0"/>
    <xf numFmtId="0" fontId="1" fillId="76" borderId="0" applyNumberFormat="0" applyBorder="0" applyAlignment="0" applyProtection="0"/>
    <xf numFmtId="0" fontId="1" fillId="76" borderId="0" applyNumberFormat="0" applyBorder="0" applyAlignment="0" applyProtection="0"/>
    <xf numFmtId="0" fontId="1" fillId="76" borderId="0" applyNumberFormat="0" applyBorder="0" applyAlignment="0" applyProtection="0"/>
    <xf numFmtId="0" fontId="1" fillId="76" borderId="0" applyNumberFormat="0" applyBorder="0" applyAlignment="0" applyProtection="0"/>
    <xf numFmtId="0" fontId="1" fillId="76" borderId="0" applyNumberFormat="0" applyBorder="0" applyAlignment="0" applyProtection="0"/>
    <xf numFmtId="0" fontId="1" fillId="76" borderId="0" applyNumberFormat="0" applyBorder="0" applyAlignment="0" applyProtection="0"/>
    <xf numFmtId="0" fontId="1" fillId="76" borderId="0" applyNumberFormat="0" applyBorder="0" applyAlignment="0" applyProtection="0"/>
    <xf numFmtId="0" fontId="1" fillId="76" borderId="0" applyNumberFormat="0" applyBorder="0" applyAlignment="0" applyProtection="0"/>
    <xf numFmtId="0" fontId="1" fillId="76" borderId="0" applyNumberFormat="0" applyBorder="0" applyAlignment="0" applyProtection="0"/>
    <xf numFmtId="0" fontId="1" fillId="76" borderId="0" applyNumberFormat="0" applyBorder="0" applyAlignment="0" applyProtection="0"/>
    <xf numFmtId="0" fontId="1" fillId="76" borderId="0" applyNumberFormat="0" applyBorder="0" applyAlignment="0" applyProtection="0"/>
    <xf numFmtId="0" fontId="1" fillId="76" borderId="0" applyNumberFormat="0" applyBorder="0" applyAlignment="0" applyProtection="0"/>
    <xf numFmtId="0" fontId="1" fillId="76" borderId="0" applyNumberFormat="0" applyBorder="0" applyAlignment="0" applyProtection="0"/>
    <xf numFmtId="0" fontId="1" fillId="76" borderId="0" applyNumberFormat="0" applyBorder="0" applyAlignment="0" applyProtection="0"/>
    <xf numFmtId="0" fontId="1" fillId="76" borderId="0" applyNumberFormat="0" applyBorder="0" applyAlignment="0" applyProtection="0"/>
    <xf numFmtId="0" fontId="1" fillId="76" borderId="0" applyNumberFormat="0" applyBorder="0" applyAlignment="0" applyProtection="0"/>
    <xf numFmtId="0" fontId="1" fillId="76" borderId="0" applyNumberFormat="0" applyBorder="0" applyAlignment="0" applyProtection="0"/>
    <xf numFmtId="0" fontId="1" fillId="76" borderId="0" applyNumberFormat="0" applyBorder="0" applyAlignment="0" applyProtection="0"/>
    <xf numFmtId="0" fontId="1" fillId="76" borderId="0" applyNumberFormat="0" applyBorder="0" applyAlignment="0" applyProtection="0"/>
    <xf numFmtId="0" fontId="1" fillId="76" borderId="0" applyNumberFormat="0" applyBorder="0" applyAlignment="0" applyProtection="0"/>
    <xf numFmtId="0" fontId="1" fillId="76" borderId="0" applyNumberFormat="0" applyBorder="0" applyAlignment="0" applyProtection="0"/>
    <xf numFmtId="0" fontId="1" fillId="76" borderId="0" applyNumberFormat="0" applyBorder="0" applyAlignment="0" applyProtection="0"/>
    <xf numFmtId="0" fontId="1" fillId="76" borderId="0" applyNumberFormat="0" applyBorder="0" applyAlignment="0" applyProtection="0"/>
    <xf numFmtId="0" fontId="1" fillId="76" borderId="0" applyNumberFormat="0" applyBorder="0" applyAlignment="0" applyProtection="0"/>
    <xf numFmtId="0" fontId="1" fillId="76" borderId="0" applyNumberFormat="0" applyBorder="0" applyAlignment="0" applyProtection="0"/>
    <xf numFmtId="0" fontId="1" fillId="76" borderId="0" applyNumberFormat="0" applyBorder="0" applyAlignment="0" applyProtection="0"/>
    <xf numFmtId="0" fontId="1" fillId="76" borderId="0" applyNumberFormat="0" applyBorder="0" applyAlignment="0" applyProtection="0"/>
    <xf numFmtId="0" fontId="1" fillId="76" borderId="0" applyNumberFormat="0" applyBorder="0" applyAlignment="0" applyProtection="0"/>
    <xf numFmtId="0" fontId="1" fillId="76" borderId="0" applyNumberFormat="0" applyBorder="0" applyAlignment="0" applyProtection="0"/>
    <xf numFmtId="0" fontId="1" fillId="76" borderId="0" applyNumberFormat="0" applyBorder="0" applyAlignment="0" applyProtection="0"/>
    <xf numFmtId="0" fontId="1" fillId="76" borderId="0" applyNumberFormat="0" applyBorder="0" applyAlignment="0" applyProtection="0"/>
    <xf numFmtId="0" fontId="1" fillId="76" borderId="0" applyNumberFormat="0" applyBorder="0" applyAlignment="0" applyProtection="0"/>
    <xf numFmtId="0" fontId="1" fillId="76" borderId="0" applyNumberFormat="0" applyBorder="0" applyAlignment="0" applyProtection="0"/>
    <xf numFmtId="0" fontId="1" fillId="76" borderId="0" applyNumberFormat="0" applyBorder="0" applyAlignment="0" applyProtection="0"/>
    <xf numFmtId="0" fontId="1" fillId="76" borderId="0" applyNumberFormat="0" applyBorder="0" applyAlignment="0" applyProtection="0"/>
    <xf numFmtId="0" fontId="1" fillId="76" borderId="0" applyNumberFormat="0" applyBorder="0" applyAlignment="0" applyProtection="0"/>
    <xf numFmtId="0" fontId="1" fillId="76" borderId="0" applyNumberFormat="0" applyBorder="0" applyAlignment="0" applyProtection="0"/>
    <xf numFmtId="0" fontId="1" fillId="76" borderId="0" applyNumberFormat="0" applyBorder="0" applyAlignment="0" applyProtection="0"/>
    <xf numFmtId="0" fontId="1" fillId="76" borderId="0" applyNumberFormat="0" applyBorder="0" applyAlignment="0" applyProtection="0"/>
    <xf numFmtId="0" fontId="1" fillId="76" borderId="0" applyNumberFormat="0" applyBorder="0" applyAlignment="0" applyProtection="0"/>
    <xf numFmtId="0" fontId="1" fillId="76" borderId="0" applyNumberFormat="0" applyBorder="0" applyAlignment="0" applyProtection="0"/>
    <xf numFmtId="0" fontId="1" fillId="76" borderId="0" applyNumberFormat="0" applyBorder="0" applyAlignment="0" applyProtection="0"/>
    <xf numFmtId="0" fontId="1" fillId="76" borderId="0" applyNumberFormat="0" applyBorder="0" applyAlignment="0" applyProtection="0"/>
    <xf numFmtId="0" fontId="1" fillId="76" borderId="0" applyNumberFormat="0" applyBorder="0" applyAlignment="0" applyProtection="0"/>
    <xf numFmtId="0" fontId="1" fillId="76" borderId="0" applyNumberFormat="0" applyBorder="0" applyAlignment="0" applyProtection="0"/>
    <xf numFmtId="0" fontId="1" fillId="76" borderId="0" applyNumberFormat="0" applyBorder="0" applyAlignment="0" applyProtection="0"/>
    <xf numFmtId="0" fontId="1" fillId="76" borderId="0" applyNumberFormat="0" applyBorder="0" applyAlignment="0" applyProtection="0"/>
    <xf numFmtId="0" fontId="1" fillId="7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49" fontId="41" fillId="0" borderId="2" applyNumberFormat="0" applyFont="0" applyFill="0" applyBorder="0" applyProtection="0">
      <alignment horizontal="left" vertical="center" indent="2"/>
    </xf>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5" borderId="0" applyNumberFormat="0" applyBorder="0" applyAlignment="0" applyProtection="0"/>
    <xf numFmtId="0" fontId="1" fillId="65" borderId="0" applyNumberFormat="0" applyBorder="0" applyAlignment="0" applyProtection="0"/>
    <xf numFmtId="0" fontId="1" fillId="65" borderId="0" applyNumberFormat="0" applyBorder="0" applyAlignment="0" applyProtection="0"/>
    <xf numFmtId="0" fontId="1" fillId="65" borderId="0" applyNumberFormat="0" applyBorder="0" applyAlignment="0" applyProtection="0"/>
    <xf numFmtId="0" fontId="1" fillId="65" borderId="0" applyNumberFormat="0" applyBorder="0" applyAlignment="0" applyProtection="0"/>
    <xf numFmtId="0" fontId="1" fillId="65" borderId="0" applyNumberFormat="0" applyBorder="0" applyAlignment="0" applyProtection="0"/>
    <xf numFmtId="0" fontId="1" fillId="65" borderId="0" applyNumberFormat="0" applyBorder="0" applyAlignment="0" applyProtection="0"/>
    <xf numFmtId="0" fontId="1" fillId="65" borderId="0" applyNumberFormat="0" applyBorder="0" applyAlignment="0" applyProtection="0"/>
    <xf numFmtId="0" fontId="1" fillId="65" borderId="0" applyNumberFormat="0" applyBorder="0" applyAlignment="0" applyProtection="0"/>
    <xf numFmtId="0" fontId="1" fillId="65" borderId="0" applyNumberFormat="0" applyBorder="0" applyAlignment="0" applyProtection="0"/>
    <xf numFmtId="0" fontId="1" fillId="65" borderId="0" applyNumberFormat="0" applyBorder="0" applyAlignment="0" applyProtection="0"/>
    <xf numFmtId="0" fontId="1" fillId="65" borderId="0" applyNumberFormat="0" applyBorder="0" applyAlignment="0" applyProtection="0"/>
    <xf numFmtId="0" fontId="1" fillId="65" borderId="0" applyNumberFormat="0" applyBorder="0" applyAlignment="0" applyProtection="0"/>
    <xf numFmtId="0" fontId="1" fillId="65" borderId="0" applyNumberFormat="0" applyBorder="0" applyAlignment="0" applyProtection="0"/>
    <xf numFmtId="0" fontId="1" fillId="65" borderId="0" applyNumberFormat="0" applyBorder="0" applyAlignment="0" applyProtection="0"/>
    <xf numFmtId="0" fontId="1" fillId="65" borderId="0" applyNumberFormat="0" applyBorder="0" applyAlignment="0" applyProtection="0"/>
    <xf numFmtId="0" fontId="1" fillId="65" borderId="0" applyNumberFormat="0" applyBorder="0" applyAlignment="0" applyProtection="0"/>
    <xf numFmtId="0" fontId="1" fillId="65" borderId="0" applyNumberFormat="0" applyBorder="0" applyAlignment="0" applyProtection="0"/>
    <xf numFmtId="0" fontId="1" fillId="65" borderId="0" applyNumberFormat="0" applyBorder="0" applyAlignment="0" applyProtection="0"/>
    <xf numFmtId="0" fontId="1" fillId="65" borderId="0" applyNumberFormat="0" applyBorder="0" applyAlignment="0" applyProtection="0"/>
    <xf numFmtId="0" fontId="1" fillId="65" borderId="0" applyNumberFormat="0" applyBorder="0" applyAlignment="0" applyProtection="0"/>
    <xf numFmtId="0" fontId="1" fillId="65" borderId="0" applyNumberFormat="0" applyBorder="0" applyAlignment="0" applyProtection="0"/>
    <xf numFmtId="0" fontId="1" fillId="65" borderId="0" applyNumberFormat="0" applyBorder="0" applyAlignment="0" applyProtection="0"/>
    <xf numFmtId="0" fontId="1" fillId="65" borderId="0" applyNumberFormat="0" applyBorder="0" applyAlignment="0" applyProtection="0"/>
    <xf numFmtId="0" fontId="1" fillId="65" borderId="0" applyNumberFormat="0" applyBorder="0" applyAlignment="0" applyProtection="0"/>
    <xf numFmtId="0" fontId="1" fillId="65" borderId="0" applyNumberFormat="0" applyBorder="0" applyAlignment="0" applyProtection="0"/>
    <xf numFmtId="0" fontId="1" fillId="65" borderId="0" applyNumberFormat="0" applyBorder="0" applyAlignment="0" applyProtection="0"/>
    <xf numFmtId="0" fontId="1" fillId="65" borderId="0" applyNumberFormat="0" applyBorder="0" applyAlignment="0" applyProtection="0"/>
    <xf numFmtId="0" fontId="1" fillId="65" borderId="0" applyNumberFormat="0" applyBorder="0" applyAlignment="0" applyProtection="0"/>
    <xf numFmtId="0" fontId="1" fillId="65" borderId="0" applyNumberFormat="0" applyBorder="0" applyAlignment="0" applyProtection="0"/>
    <xf numFmtId="0" fontId="1" fillId="65" borderId="0" applyNumberFormat="0" applyBorder="0" applyAlignment="0" applyProtection="0"/>
    <xf numFmtId="0" fontId="1" fillId="65" borderId="0" applyNumberFormat="0" applyBorder="0" applyAlignment="0" applyProtection="0"/>
    <xf numFmtId="0" fontId="1" fillId="65" borderId="0" applyNumberFormat="0" applyBorder="0" applyAlignment="0" applyProtection="0"/>
    <xf numFmtId="0" fontId="1" fillId="65" borderId="0" applyNumberFormat="0" applyBorder="0" applyAlignment="0" applyProtection="0"/>
    <xf numFmtId="0" fontId="1" fillId="65" borderId="0" applyNumberFormat="0" applyBorder="0" applyAlignment="0" applyProtection="0"/>
    <xf numFmtId="0" fontId="1" fillId="65" borderId="0" applyNumberFormat="0" applyBorder="0" applyAlignment="0" applyProtection="0"/>
    <xf numFmtId="0" fontId="1" fillId="65" borderId="0" applyNumberFormat="0" applyBorder="0" applyAlignment="0" applyProtection="0"/>
    <xf numFmtId="0" fontId="1" fillId="65" borderId="0" applyNumberFormat="0" applyBorder="0" applyAlignment="0" applyProtection="0"/>
    <xf numFmtId="0" fontId="1" fillId="65" borderId="0" applyNumberFormat="0" applyBorder="0" applyAlignment="0" applyProtection="0"/>
    <xf numFmtId="0" fontId="1" fillId="65" borderId="0" applyNumberFormat="0" applyBorder="0" applyAlignment="0" applyProtection="0"/>
    <xf numFmtId="0" fontId="1" fillId="65" borderId="0" applyNumberFormat="0" applyBorder="0" applyAlignment="0" applyProtection="0"/>
    <xf numFmtId="0" fontId="1" fillId="65" borderId="0" applyNumberFormat="0" applyBorder="0" applyAlignment="0" applyProtection="0"/>
    <xf numFmtId="0" fontId="1" fillId="65" borderId="0" applyNumberFormat="0" applyBorder="0" applyAlignment="0" applyProtection="0"/>
    <xf numFmtId="0" fontId="1" fillId="65" borderId="0" applyNumberFormat="0" applyBorder="0" applyAlignment="0" applyProtection="0"/>
    <xf numFmtId="0" fontId="1" fillId="65" borderId="0" applyNumberFormat="0" applyBorder="0" applyAlignment="0" applyProtection="0"/>
    <xf numFmtId="0" fontId="1" fillId="65" borderId="0" applyNumberFormat="0" applyBorder="0" applyAlignment="0" applyProtection="0"/>
    <xf numFmtId="0" fontId="1" fillId="65" borderId="0" applyNumberFormat="0" applyBorder="0" applyAlignment="0" applyProtection="0"/>
    <xf numFmtId="0" fontId="1" fillId="65" borderId="0" applyNumberFormat="0" applyBorder="0" applyAlignment="0" applyProtection="0"/>
    <xf numFmtId="0" fontId="1" fillId="65" borderId="0" applyNumberFormat="0" applyBorder="0" applyAlignment="0" applyProtection="0"/>
    <xf numFmtId="0" fontId="1" fillId="65" borderId="0" applyNumberFormat="0" applyBorder="0" applyAlignment="0" applyProtection="0"/>
    <xf numFmtId="0" fontId="1" fillId="65" borderId="0" applyNumberFormat="0" applyBorder="0" applyAlignment="0" applyProtection="0"/>
    <xf numFmtId="0" fontId="1" fillId="65" borderId="0" applyNumberFormat="0" applyBorder="0" applyAlignment="0" applyProtection="0"/>
    <xf numFmtId="0" fontId="1" fillId="65" borderId="0" applyNumberFormat="0" applyBorder="0" applyAlignment="0" applyProtection="0"/>
    <xf numFmtId="0" fontId="1" fillId="65" borderId="0" applyNumberFormat="0" applyBorder="0" applyAlignment="0" applyProtection="0"/>
    <xf numFmtId="0" fontId="1" fillId="65" borderId="0" applyNumberFormat="0" applyBorder="0" applyAlignment="0" applyProtection="0"/>
    <xf numFmtId="0" fontId="1" fillId="65" borderId="0" applyNumberFormat="0" applyBorder="0" applyAlignment="0" applyProtection="0"/>
    <xf numFmtId="0" fontId="1" fillId="65" borderId="0" applyNumberFormat="0" applyBorder="0" applyAlignment="0" applyProtection="0"/>
    <xf numFmtId="0" fontId="1" fillId="65" borderId="0" applyNumberFormat="0" applyBorder="0" applyAlignment="0" applyProtection="0"/>
    <xf numFmtId="0" fontId="1" fillId="65" borderId="0" applyNumberFormat="0" applyBorder="0" applyAlignment="0" applyProtection="0"/>
    <xf numFmtId="0" fontId="1" fillId="65" borderId="0" applyNumberFormat="0" applyBorder="0" applyAlignment="0" applyProtection="0"/>
    <xf numFmtId="0" fontId="1" fillId="65" borderId="0" applyNumberFormat="0" applyBorder="0" applyAlignment="0" applyProtection="0"/>
    <xf numFmtId="0" fontId="1" fillId="65" borderId="0" applyNumberFormat="0" applyBorder="0" applyAlignment="0" applyProtection="0"/>
    <xf numFmtId="0" fontId="1" fillId="65" borderId="0" applyNumberFormat="0" applyBorder="0" applyAlignment="0" applyProtection="0"/>
    <xf numFmtId="0" fontId="1" fillId="65" borderId="0" applyNumberFormat="0" applyBorder="0" applyAlignment="0" applyProtection="0"/>
    <xf numFmtId="0" fontId="1" fillId="65" borderId="0" applyNumberFormat="0" applyBorder="0" applyAlignment="0" applyProtection="0"/>
    <xf numFmtId="0" fontId="1" fillId="65" borderId="0" applyNumberFormat="0" applyBorder="0" applyAlignment="0" applyProtection="0"/>
    <xf numFmtId="0" fontId="1" fillId="65" borderId="0" applyNumberFormat="0" applyBorder="0" applyAlignment="0" applyProtection="0"/>
    <xf numFmtId="0" fontId="1" fillId="65" borderId="0" applyNumberFormat="0" applyBorder="0" applyAlignment="0" applyProtection="0"/>
    <xf numFmtId="0" fontId="1" fillId="65" borderId="0" applyNumberFormat="0" applyBorder="0" applyAlignment="0" applyProtection="0"/>
    <xf numFmtId="0" fontId="1" fillId="65" borderId="0" applyNumberFormat="0" applyBorder="0" applyAlignment="0" applyProtection="0"/>
    <xf numFmtId="0" fontId="1" fillId="65" borderId="0" applyNumberFormat="0" applyBorder="0" applyAlignment="0" applyProtection="0"/>
    <xf numFmtId="0" fontId="1" fillId="65" borderId="0" applyNumberFormat="0" applyBorder="0" applyAlignment="0" applyProtection="0"/>
    <xf numFmtId="0" fontId="1" fillId="65" borderId="0" applyNumberFormat="0" applyBorder="0" applyAlignment="0" applyProtection="0"/>
    <xf numFmtId="0" fontId="1" fillId="65" borderId="0" applyNumberFormat="0" applyBorder="0" applyAlignment="0" applyProtection="0"/>
    <xf numFmtId="0" fontId="1" fillId="65" borderId="0" applyNumberFormat="0" applyBorder="0" applyAlignment="0" applyProtection="0"/>
    <xf numFmtId="0" fontId="1" fillId="65" borderId="0" applyNumberFormat="0" applyBorder="0" applyAlignment="0" applyProtection="0"/>
    <xf numFmtId="0" fontId="1" fillId="65" borderId="0" applyNumberFormat="0" applyBorder="0" applyAlignment="0" applyProtection="0"/>
    <xf numFmtId="0" fontId="1" fillId="65" borderId="0" applyNumberFormat="0" applyBorder="0" applyAlignment="0" applyProtection="0"/>
    <xf numFmtId="0" fontId="1" fillId="65" borderId="0" applyNumberFormat="0" applyBorder="0" applyAlignment="0" applyProtection="0"/>
    <xf numFmtId="0" fontId="1" fillId="65" borderId="0" applyNumberFormat="0" applyBorder="0" applyAlignment="0" applyProtection="0"/>
    <xf numFmtId="0" fontId="1" fillId="65" borderId="0" applyNumberFormat="0" applyBorder="0" applyAlignment="0" applyProtection="0"/>
    <xf numFmtId="0" fontId="1" fillId="65" borderId="0" applyNumberFormat="0" applyBorder="0" applyAlignment="0" applyProtection="0"/>
    <xf numFmtId="0" fontId="1" fillId="65" borderId="0" applyNumberFormat="0" applyBorder="0" applyAlignment="0" applyProtection="0"/>
    <xf numFmtId="0" fontId="1" fillId="65" borderId="0" applyNumberFormat="0" applyBorder="0" applyAlignment="0" applyProtection="0"/>
    <xf numFmtId="0" fontId="1" fillId="65" borderId="0" applyNumberFormat="0" applyBorder="0" applyAlignment="0" applyProtection="0"/>
    <xf numFmtId="0" fontId="1" fillId="65" borderId="0" applyNumberFormat="0" applyBorder="0" applyAlignment="0" applyProtection="0"/>
    <xf numFmtId="0" fontId="1" fillId="65" borderId="0" applyNumberFormat="0" applyBorder="0" applyAlignment="0" applyProtection="0"/>
    <xf numFmtId="0" fontId="1" fillId="65" borderId="0" applyNumberFormat="0" applyBorder="0" applyAlignment="0" applyProtection="0"/>
    <xf numFmtId="0" fontId="1" fillId="65" borderId="0" applyNumberFormat="0" applyBorder="0" applyAlignment="0" applyProtection="0"/>
    <xf numFmtId="0" fontId="1" fillId="65" borderId="0" applyNumberFormat="0" applyBorder="0" applyAlignment="0" applyProtection="0"/>
    <xf numFmtId="0" fontId="1" fillId="65" borderId="0" applyNumberFormat="0" applyBorder="0" applyAlignment="0" applyProtection="0"/>
    <xf numFmtId="0" fontId="1" fillId="65" borderId="0" applyNumberFormat="0" applyBorder="0" applyAlignment="0" applyProtection="0"/>
    <xf numFmtId="0" fontId="1" fillId="65" borderId="0" applyNumberFormat="0" applyBorder="0" applyAlignment="0" applyProtection="0"/>
    <xf numFmtId="0" fontId="1" fillId="65" borderId="0" applyNumberFormat="0" applyBorder="0" applyAlignment="0" applyProtection="0"/>
    <xf numFmtId="0" fontId="1" fillId="65" borderId="0" applyNumberFormat="0" applyBorder="0" applyAlignment="0" applyProtection="0"/>
    <xf numFmtId="0" fontId="1" fillId="65" borderId="0" applyNumberFormat="0" applyBorder="0" applyAlignment="0" applyProtection="0"/>
    <xf numFmtId="0" fontId="1" fillId="65" borderId="0" applyNumberFormat="0" applyBorder="0" applyAlignment="0" applyProtection="0"/>
    <xf numFmtId="0" fontId="1" fillId="65" borderId="0" applyNumberFormat="0" applyBorder="0" applyAlignment="0" applyProtection="0"/>
    <xf numFmtId="0" fontId="1" fillId="65" borderId="0" applyNumberFormat="0" applyBorder="0" applyAlignment="0" applyProtection="0"/>
    <xf numFmtId="0" fontId="1" fillId="65" borderId="0" applyNumberFormat="0" applyBorder="0" applyAlignment="0" applyProtection="0"/>
    <xf numFmtId="0" fontId="1" fillId="65" borderId="0" applyNumberFormat="0" applyBorder="0" applyAlignment="0" applyProtection="0"/>
    <xf numFmtId="0" fontId="1" fillId="65" borderId="0" applyNumberFormat="0" applyBorder="0" applyAlignment="0" applyProtection="0"/>
    <xf numFmtId="0" fontId="1" fillId="65" borderId="0" applyNumberFormat="0" applyBorder="0" applyAlignment="0" applyProtection="0"/>
    <xf numFmtId="0" fontId="1" fillId="65" borderId="0" applyNumberFormat="0" applyBorder="0" applyAlignment="0" applyProtection="0"/>
    <xf numFmtId="0" fontId="1" fillId="65" borderId="0" applyNumberFormat="0" applyBorder="0" applyAlignment="0" applyProtection="0"/>
    <xf numFmtId="0" fontId="1" fillId="65" borderId="0" applyNumberFormat="0" applyBorder="0" applyAlignment="0" applyProtection="0"/>
    <xf numFmtId="0" fontId="1" fillId="65" borderId="0" applyNumberFormat="0" applyBorder="0" applyAlignment="0" applyProtection="0"/>
    <xf numFmtId="0" fontId="1" fillId="65" borderId="0" applyNumberFormat="0" applyBorder="0" applyAlignment="0" applyProtection="0"/>
    <xf numFmtId="0" fontId="1" fillId="65" borderId="0" applyNumberFormat="0" applyBorder="0" applyAlignment="0" applyProtection="0"/>
    <xf numFmtId="0" fontId="1" fillId="65" borderId="0" applyNumberFormat="0" applyBorder="0" applyAlignment="0" applyProtection="0"/>
    <xf numFmtId="0" fontId="1" fillId="65" borderId="0" applyNumberFormat="0" applyBorder="0" applyAlignment="0" applyProtection="0"/>
    <xf numFmtId="0" fontId="1" fillId="65" borderId="0" applyNumberFormat="0" applyBorder="0" applyAlignment="0" applyProtection="0"/>
    <xf numFmtId="0" fontId="1" fillId="65" borderId="0" applyNumberFormat="0" applyBorder="0" applyAlignment="0" applyProtection="0"/>
    <xf numFmtId="0" fontId="1" fillId="65" borderId="0" applyNumberFormat="0" applyBorder="0" applyAlignment="0" applyProtection="0"/>
    <xf numFmtId="0" fontId="1" fillId="65" borderId="0" applyNumberFormat="0" applyBorder="0" applyAlignment="0" applyProtection="0"/>
    <xf numFmtId="0" fontId="1" fillId="65" borderId="0" applyNumberFormat="0" applyBorder="0" applyAlignment="0" applyProtection="0"/>
    <xf numFmtId="0" fontId="1" fillId="65" borderId="0" applyNumberFormat="0" applyBorder="0" applyAlignment="0" applyProtection="0"/>
    <xf numFmtId="0" fontId="1" fillId="65" borderId="0" applyNumberFormat="0" applyBorder="0" applyAlignment="0" applyProtection="0"/>
    <xf numFmtId="0" fontId="1" fillId="65" borderId="0" applyNumberFormat="0" applyBorder="0" applyAlignment="0" applyProtection="0"/>
    <xf numFmtId="0" fontId="1" fillId="65" borderId="0" applyNumberFormat="0" applyBorder="0" applyAlignment="0" applyProtection="0"/>
    <xf numFmtId="0" fontId="1" fillId="65" borderId="0" applyNumberFormat="0" applyBorder="0" applyAlignment="0" applyProtection="0"/>
    <xf numFmtId="0" fontId="1" fillId="65" borderId="0" applyNumberFormat="0" applyBorder="0" applyAlignment="0" applyProtection="0"/>
    <xf numFmtId="0" fontId="1" fillId="65" borderId="0" applyNumberFormat="0" applyBorder="0" applyAlignment="0" applyProtection="0"/>
    <xf numFmtId="0" fontId="1" fillId="65" borderId="0" applyNumberFormat="0" applyBorder="0" applyAlignment="0" applyProtection="0"/>
    <xf numFmtId="0" fontId="1" fillId="65" borderId="0" applyNumberFormat="0" applyBorder="0" applyAlignment="0" applyProtection="0"/>
    <xf numFmtId="0" fontId="1" fillId="65" borderId="0" applyNumberFormat="0" applyBorder="0" applyAlignment="0" applyProtection="0"/>
    <xf numFmtId="0" fontId="1" fillId="65" borderId="0" applyNumberFormat="0" applyBorder="0" applyAlignment="0" applyProtection="0"/>
    <xf numFmtId="0" fontId="1" fillId="65" borderId="0" applyNumberFormat="0" applyBorder="0" applyAlignment="0" applyProtection="0"/>
    <xf numFmtId="0" fontId="1" fillId="65" borderId="0" applyNumberFormat="0" applyBorder="0" applyAlignment="0" applyProtection="0"/>
    <xf numFmtId="0" fontId="1" fillId="65" borderId="0" applyNumberFormat="0" applyBorder="0" applyAlignment="0" applyProtection="0"/>
    <xf numFmtId="0" fontId="1" fillId="65" borderId="0" applyNumberFormat="0" applyBorder="0" applyAlignment="0" applyProtection="0"/>
    <xf numFmtId="0" fontId="1" fillId="65" borderId="0" applyNumberFormat="0" applyBorder="0" applyAlignment="0" applyProtection="0"/>
    <xf numFmtId="0" fontId="1" fillId="65" borderId="0" applyNumberFormat="0" applyBorder="0" applyAlignment="0" applyProtection="0"/>
    <xf numFmtId="0" fontId="1" fillId="65" borderId="0" applyNumberFormat="0" applyBorder="0" applyAlignment="0" applyProtection="0"/>
    <xf numFmtId="0" fontId="1" fillId="65" borderId="0" applyNumberFormat="0" applyBorder="0" applyAlignment="0" applyProtection="0"/>
    <xf numFmtId="0" fontId="1" fillId="65" borderId="0" applyNumberFormat="0" applyBorder="0" applyAlignment="0" applyProtection="0"/>
    <xf numFmtId="0" fontId="1" fillId="65" borderId="0" applyNumberFormat="0" applyBorder="0" applyAlignment="0" applyProtection="0"/>
    <xf numFmtId="0" fontId="1" fillId="65" borderId="0" applyNumberFormat="0" applyBorder="0" applyAlignment="0" applyProtection="0"/>
    <xf numFmtId="0" fontId="1" fillId="65" borderId="0" applyNumberFormat="0" applyBorder="0" applyAlignment="0" applyProtection="0"/>
    <xf numFmtId="0" fontId="1" fillId="65" borderId="0" applyNumberFormat="0" applyBorder="0" applyAlignment="0" applyProtection="0"/>
    <xf numFmtId="0" fontId="1" fillId="65" borderId="0" applyNumberFormat="0" applyBorder="0" applyAlignment="0" applyProtection="0"/>
    <xf numFmtId="0" fontId="1" fillId="65" borderId="0" applyNumberFormat="0" applyBorder="0" applyAlignment="0" applyProtection="0"/>
    <xf numFmtId="0" fontId="1" fillId="65" borderId="0" applyNumberFormat="0" applyBorder="0" applyAlignment="0" applyProtection="0"/>
    <xf numFmtId="0" fontId="1" fillId="65" borderId="0" applyNumberFormat="0" applyBorder="0" applyAlignment="0" applyProtection="0"/>
    <xf numFmtId="0" fontId="1" fillId="65" borderId="0" applyNumberFormat="0" applyBorder="0" applyAlignment="0" applyProtection="0"/>
    <xf numFmtId="0" fontId="1" fillId="65" borderId="0" applyNumberFormat="0" applyBorder="0" applyAlignment="0" applyProtection="0"/>
    <xf numFmtId="0" fontId="1" fillId="65" borderId="0" applyNumberFormat="0" applyBorder="0" applyAlignment="0" applyProtection="0"/>
    <xf numFmtId="0" fontId="1" fillId="65" borderId="0" applyNumberFormat="0" applyBorder="0" applyAlignment="0" applyProtection="0"/>
    <xf numFmtId="0" fontId="1" fillId="65" borderId="0" applyNumberFormat="0" applyBorder="0" applyAlignment="0" applyProtection="0"/>
    <xf numFmtId="0" fontId="1" fillId="65" borderId="0" applyNumberFormat="0" applyBorder="0" applyAlignment="0" applyProtection="0"/>
    <xf numFmtId="0" fontId="1" fillId="65" borderId="0" applyNumberFormat="0" applyBorder="0" applyAlignment="0" applyProtection="0"/>
    <xf numFmtId="0" fontId="1" fillId="65" borderId="0" applyNumberFormat="0" applyBorder="0" applyAlignment="0" applyProtection="0"/>
    <xf numFmtId="0" fontId="1" fillId="65" borderId="0" applyNumberFormat="0" applyBorder="0" applyAlignment="0" applyProtection="0"/>
    <xf numFmtId="0" fontId="1" fillId="65" borderId="0" applyNumberFormat="0" applyBorder="0" applyAlignment="0" applyProtection="0"/>
    <xf numFmtId="0" fontId="1" fillId="65" borderId="0" applyNumberFormat="0" applyBorder="0" applyAlignment="0" applyProtection="0"/>
    <xf numFmtId="0" fontId="1" fillId="65" borderId="0" applyNumberFormat="0" applyBorder="0" applyAlignment="0" applyProtection="0"/>
    <xf numFmtId="0" fontId="1" fillId="65" borderId="0" applyNumberFormat="0" applyBorder="0" applyAlignment="0" applyProtection="0"/>
    <xf numFmtId="0" fontId="1" fillId="65" borderId="0" applyNumberFormat="0" applyBorder="0" applyAlignment="0" applyProtection="0"/>
    <xf numFmtId="0" fontId="1" fillId="65" borderId="0" applyNumberFormat="0" applyBorder="0" applyAlignment="0" applyProtection="0"/>
    <xf numFmtId="0" fontId="1" fillId="65" borderId="0" applyNumberFormat="0" applyBorder="0" applyAlignment="0" applyProtection="0"/>
    <xf numFmtId="0" fontId="1" fillId="65" borderId="0" applyNumberFormat="0" applyBorder="0" applyAlignment="0" applyProtection="0"/>
    <xf numFmtId="0" fontId="1" fillId="65"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3" borderId="0" applyNumberFormat="0" applyBorder="0" applyAlignment="0" applyProtection="0"/>
    <xf numFmtId="0" fontId="1" fillId="3" borderId="0" applyNumberFormat="0" applyBorder="0" applyAlignment="0" applyProtection="0"/>
    <xf numFmtId="0" fontId="1" fillId="3" borderId="0" applyNumberFormat="0" applyBorder="0" applyAlignment="0" applyProtection="0"/>
    <xf numFmtId="0" fontId="1" fillId="3" borderId="0" applyNumberFormat="0" applyBorder="0" applyAlignment="0" applyProtection="0"/>
    <xf numFmtId="0" fontId="1" fillId="3" borderId="0" applyNumberFormat="0" applyBorder="0" applyAlignment="0" applyProtection="0"/>
    <xf numFmtId="0" fontId="1" fillId="3" borderId="0" applyNumberFormat="0" applyBorder="0" applyAlignment="0" applyProtection="0"/>
    <xf numFmtId="0" fontId="1" fillId="3" borderId="0" applyNumberFormat="0" applyBorder="0" applyAlignment="0" applyProtection="0"/>
    <xf numFmtId="0" fontId="1" fillId="3" borderId="0" applyNumberFormat="0" applyBorder="0" applyAlignment="0" applyProtection="0"/>
    <xf numFmtId="0" fontId="1" fillId="3" borderId="0" applyNumberFormat="0" applyBorder="0" applyAlignment="0" applyProtection="0"/>
    <xf numFmtId="0" fontId="1" fillId="3" borderId="0" applyNumberFormat="0" applyBorder="0" applyAlignment="0" applyProtection="0"/>
    <xf numFmtId="0" fontId="1" fillId="3" borderId="0" applyNumberFormat="0" applyBorder="0" applyAlignment="0" applyProtection="0"/>
    <xf numFmtId="0" fontId="1" fillId="3" borderId="0" applyNumberFormat="0" applyBorder="0" applyAlignment="0" applyProtection="0"/>
    <xf numFmtId="0" fontId="1" fillId="3" borderId="0" applyNumberFormat="0" applyBorder="0" applyAlignment="0" applyProtection="0"/>
    <xf numFmtId="0" fontId="1" fillId="3" borderId="0" applyNumberFormat="0" applyBorder="0" applyAlignment="0" applyProtection="0"/>
    <xf numFmtId="0" fontId="1" fillId="3" borderId="0" applyNumberFormat="0" applyBorder="0" applyAlignment="0" applyProtection="0"/>
    <xf numFmtId="0" fontId="1" fillId="3" borderId="0" applyNumberFormat="0" applyBorder="0" applyAlignment="0" applyProtection="0"/>
    <xf numFmtId="0" fontId="1" fillId="3" borderId="0" applyNumberFormat="0" applyBorder="0" applyAlignment="0" applyProtection="0"/>
    <xf numFmtId="0" fontId="1" fillId="3" borderId="0" applyNumberFormat="0" applyBorder="0" applyAlignment="0" applyProtection="0"/>
    <xf numFmtId="0" fontId="1" fillId="3" borderId="0" applyNumberFormat="0" applyBorder="0" applyAlignment="0" applyProtection="0"/>
    <xf numFmtId="0" fontId="1" fillId="3" borderId="0" applyNumberFormat="0" applyBorder="0" applyAlignment="0" applyProtection="0"/>
    <xf numFmtId="0" fontId="1" fillId="3" borderId="0" applyNumberFormat="0" applyBorder="0" applyAlignment="0" applyProtection="0"/>
    <xf numFmtId="0" fontId="1" fillId="3" borderId="0" applyNumberFormat="0" applyBorder="0" applyAlignment="0" applyProtection="0"/>
    <xf numFmtId="0" fontId="1" fillId="3" borderId="0" applyNumberFormat="0" applyBorder="0" applyAlignment="0" applyProtection="0"/>
    <xf numFmtId="0" fontId="1" fillId="3" borderId="0" applyNumberFormat="0" applyBorder="0" applyAlignment="0" applyProtection="0"/>
    <xf numFmtId="0" fontId="1" fillId="3" borderId="0" applyNumberFormat="0" applyBorder="0" applyAlignment="0" applyProtection="0"/>
    <xf numFmtId="0" fontId="1" fillId="3" borderId="0" applyNumberFormat="0" applyBorder="0" applyAlignment="0" applyProtection="0"/>
    <xf numFmtId="0" fontId="1" fillId="3" borderId="0" applyNumberFormat="0" applyBorder="0" applyAlignment="0" applyProtection="0"/>
    <xf numFmtId="0" fontId="1" fillId="3" borderId="0" applyNumberFormat="0" applyBorder="0" applyAlignment="0" applyProtection="0"/>
    <xf numFmtId="0" fontId="1" fillId="3" borderId="0" applyNumberFormat="0" applyBorder="0" applyAlignment="0" applyProtection="0"/>
    <xf numFmtId="0" fontId="1" fillId="3" borderId="0" applyNumberFormat="0" applyBorder="0" applyAlignment="0" applyProtection="0"/>
    <xf numFmtId="0" fontId="1" fillId="3" borderId="0" applyNumberFormat="0" applyBorder="0" applyAlignment="0" applyProtection="0"/>
    <xf numFmtId="0" fontId="1" fillId="3" borderId="0" applyNumberFormat="0" applyBorder="0" applyAlignment="0" applyProtection="0"/>
    <xf numFmtId="0" fontId="1" fillId="3" borderId="0" applyNumberFormat="0" applyBorder="0" applyAlignment="0" applyProtection="0"/>
    <xf numFmtId="0" fontId="1" fillId="3" borderId="0" applyNumberFormat="0" applyBorder="0" applyAlignment="0" applyProtection="0"/>
    <xf numFmtId="0" fontId="1" fillId="3" borderId="0" applyNumberFormat="0" applyBorder="0" applyAlignment="0" applyProtection="0"/>
    <xf numFmtId="0" fontId="1" fillId="3" borderId="0" applyNumberFormat="0" applyBorder="0" applyAlignment="0" applyProtection="0"/>
    <xf numFmtId="0" fontId="1" fillId="3" borderId="0" applyNumberFormat="0" applyBorder="0" applyAlignment="0" applyProtection="0"/>
    <xf numFmtId="0" fontId="1" fillId="3" borderId="0" applyNumberFormat="0" applyBorder="0" applyAlignment="0" applyProtection="0"/>
    <xf numFmtId="0" fontId="1" fillId="3" borderId="0" applyNumberFormat="0" applyBorder="0" applyAlignment="0" applyProtection="0"/>
    <xf numFmtId="0" fontId="1" fillId="3" borderId="0" applyNumberFormat="0" applyBorder="0" applyAlignment="0" applyProtection="0"/>
    <xf numFmtId="0" fontId="1" fillId="3" borderId="0" applyNumberFormat="0" applyBorder="0" applyAlignment="0" applyProtection="0"/>
    <xf numFmtId="0" fontId="1" fillId="3" borderId="0" applyNumberFormat="0" applyBorder="0" applyAlignment="0" applyProtection="0"/>
    <xf numFmtId="0" fontId="1" fillId="3" borderId="0" applyNumberFormat="0" applyBorder="0" applyAlignment="0" applyProtection="0"/>
    <xf numFmtId="0" fontId="1" fillId="3" borderId="0" applyNumberFormat="0" applyBorder="0" applyAlignment="0" applyProtection="0"/>
    <xf numFmtId="0" fontId="1" fillId="3" borderId="0" applyNumberFormat="0" applyBorder="0" applyAlignment="0" applyProtection="0"/>
    <xf numFmtId="0" fontId="1" fillId="3" borderId="0" applyNumberFormat="0" applyBorder="0" applyAlignment="0" applyProtection="0"/>
    <xf numFmtId="0" fontId="1" fillId="3" borderId="0" applyNumberFormat="0" applyBorder="0" applyAlignment="0" applyProtection="0"/>
    <xf numFmtId="0" fontId="1" fillId="3" borderId="0" applyNumberFormat="0" applyBorder="0" applyAlignment="0" applyProtection="0"/>
    <xf numFmtId="0" fontId="1" fillId="3" borderId="0" applyNumberFormat="0" applyBorder="0" applyAlignment="0" applyProtection="0"/>
    <xf numFmtId="0" fontId="1" fillId="3" borderId="0" applyNumberFormat="0" applyBorder="0" applyAlignment="0" applyProtection="0"/>
    <xf numFmtId="0" fontId="1" fillId="3" borderId="0" applyNumberFormat="0" applyBorder="0" applyAlignment="0" applyProtection="0"/>
    <xf numFmtId="0" fontId="1" fillId="3" borderId="0" applyNumberFormat="0" applyBorder="0" applyAlignment="0" applyProtection="0"/>
    <xf numFmtId="0" fontId="1" fillId="3" borderId="0" applyNumberFormat="0" applyBorder="0" applyAlignment="0" applyProtection="0"/>
    <xf numFmtId="0" fontId="1" fillId="3" borderId="0" applyNumberFormat="0" applyBorder="0" applyAlignment="0" applyProtection="0"/>
    <xf numFmtId="0" fontId="1" fillId="3" borderId="0" applyNumberFormat="0" applyBorder="0" applyAlignment="0" applyProtection="0"/>
    <xf numFmtId="0" fontId="1" fillId="3" borderId="0" applyNumberFormat="0" applyBorder="0" applyAlignment="0" applyProtection="0"/>
    <xf numFmtId="0" fontId="1" fillId="3" borderId="0" applyNumberFormat="0" applyBorder="0" applyAlignment="0" applyProtection="0"/>
    <xf numFmtId="0" fontId="1" fillId="3" borderId="0" applyNumberFormat="0" applyBorder="0" applyAlignment="0" applyProtection="0"/>
    <xf numFmtId="0" fontId="1" fillId="3" borderId="0" applyNumberFormat="0" applyBorder="0" applyAlignment="0" applyProtection="0"/>
    <xf numFmtId="0" fontId="1" fillId="3" borderId="0" applyNumberFormat="0" applyBorder="0" applyAlignment="0" applyProtection="0"/>
    <xf numFmtId="0" fontId="1" fillId="3" borderId="0" applyNumberFormat="0" applyBorder="0" applyAlignment="0" applyProtection="0"/>
    <xf numFmtId="0" fontId="1" fillId="3" borderId="0" applyNumberFormat="0" applyBorder="0" applyAlignment="0" applyProtection="0"/>
    <xf numFmtId="0" fontId="1" fillId="3" borderId="0" applyNumberFormat="0" applyBorder="0" applyAlignment="0" applyProtection="0"/>
    <xf numFmtId="0" fontId="1" fillId="3" borderId="0" applyNumberFormat="0" applyBorder="0" applyAlignment="0" applyProtection="0"/>
    <xf numFmtId="0" fontId="1" fillId="3" borderId="0" applyNumberFormat="0" applyBorder="0" applyAlignment="0" applyProtection="0"/>
    <xf numFmtId="0" fontId="1" fillId="3" borderId="0" applyNumberFormat="0" applyBorder="0" applyAlignment="0" applyProtection="0"/>
    <xf numFmtId="0" fontId="1" fillId="3" borderId="0" applyNumberFormat="0" applyBorder="0" applyAlignment="0" applyProtection="0"/>
    <xf numFmtId="0" fontId="1" fillId="3" borderId="0" applyNumberFormat="0" applyBorder="0" applyAlignment="0" applyProtection="0"/>
    <xf numFmtId="0" fontId="1" fillId="3" borderId="0" applyNumberFormat="0" applyBorder="0" applyAlignment="0" applyProtection="0"/>
    <xf numFmtId="0" fontId="1" fillId="3" borderId="0" applyNumberFormat="0" applyBorder="0" applyAlignment="0" applyProtection="0"/>
    <xf numFmtId="0" fontId="1" fillId="3" borderId="0" applyNumberFormat="0" applyBorder="0" applyAlignment="0" applyProtection="0"/>
    <xf numFmtId="0" fontId="1" fillId="3" borderId="0" applyNumberFormat="0" applyBorder="0" applyAlignment="0" applyProtection="0"/>
    <xf numFmtId="0" fontId="1" fillId="3" borderId="0" applyNumberFormat="0" applyBorder="0" applyAlignment="0" applyProtection="0"/>
    <xf numFmtId="0" fontId="1" fillId="3" borderId="0" applyNumberFormat="0" applyBorder="0" applyAlignment="0" applyProtection="0"/>
    <xf numFmtId="0" fontId="1" fillId="3" borderId="0" applyNumberFormat="0" applyBorder="0" applyAlignment="0" applyProtection="0"/>
    <xf numFmtId="0" fontId="1" fillId="3" borderId="0" applyNumberFormat="0" applyBorder="0" applyAlignment="0" applyProtection="0"/>
    <xf numFmtId="0" fontId="1" fillId="3" borderId="0" applyNumberFormat="0" applyBorder="0" applyAlignment="0" applyProtection="0"/>
    <xf numFmtId="0" fontId="1" fillId="3" borderId="0" applyNumberFormat="0" applyBorder="0" applyAlignment="0" applyProtection="0"/>
    <xf numFmtId="0" fontId="1" fillId="3" borderId="0" applyNumberFormat="0" applyBorder="0" applyAlignment="0" applyProtection="0"/>
    <xf numFmtId="0" fontId="1" fillId="3" borderId="0" applyNumberFormat="0" applyBorder="0" applyAlignment="0" applyProtection="0"/>
    <xf numFmtId="0" fontId="1" fillId="3" borderId="0" applyNumberFormat="0" applyBorder="0" applyAlignment="0" applyProtection="0"/>
    <xf numFmtId="0" fontId="1" fillId="3" borderId="0" applyNumberFormat="0" applyBorder="0" applyAlignment="0" applyProtection="0"/>
    <xf numFmtId="0" fontId="1" fillId="3" borderId="0" applyNumberFormat="0" applyBorder="0" applyAlignment="0" applyProtection="0"/>
    <xf numFmtId="0" fontId="1" fillId="3" borderId="0" applyNumberFormat="0" applyBorder="0" applyAlignment="0" applyProtection="0"/>
    <xf numFmtId="0" fontId="1" fillId="3" borderId="0" applyNumberFormat="0" applyBorder="0" applyAlignment="0" applyProtection="0"/>
    <xf numFmtId="0" fontId="1" fillId="3" borderId="0" applyNumberFormat="0" applyBorder="0" applyAlignment="0" applyProtection="0"/>
    <xf numFmtId="0" fontId="1" fillId="3" borderId="0" applyNumberFormat="0" applyBorder="0" applyAlignment="0" applyProtection="0"/>
    <xf numFmtId="0" fontId="1" fillId="3" borderId="0" applyNumberFormat="0" applyBorder="0" applyAlignment="0" applyProtection="0"/>
    <xf numFmtId="0" fontId="1" fillId="3" borderId="0" applyNumberFormat="0" applyBorder="0" applyAlignment="0" applyProtection="0"/>
    <xf numFmtId="0" fontId="1" fillId="3" borderId="0" applyNumberFormat="0" applyBorder="0" applyAlignment="0" applyProtection="0"/>
    <xf numFmtId="0" fontId="1" fillId="3" borderId="0" applyNumberFormat="0" applyBorder="0" applyAlignment="0" applyProtection="0"/>
    <xf numFmtId="0" fontId="1" fillId="3" borderId="0" applyNumberFormat="0" applyBorder="0" applyAlignment="0" applyProtection="0"/>
    <xf numFmtId="0" fontId="1" fillId="3" borderId="0" applyNumberFormat="0" applyBorder="0" applyAlignment="0" applyProtection="0"/>
    <xf numFmtId="0" fontId="1" fillId="3" borderId="0" applyNumberFormat="0" applyBorder="0" applyAlignment="0" applyProtection="0"/>
    <xf numFmtId="0" fontId="1" fillId="3" borderId="0" applyNumberFormat="0" applyBorder="0" applyAlignment="0" applyProtection="0"/>
    <xf numFmtId="0" fontId="1" fillId="3" borderId="0" applyNumberFormat="0" applyBorder="0" applyAlignment="0" applyProtection="0"/>
    <xf numFmtId="0" fontId="1" fillId="3" borderId="0" applyNumberFormat="0" applyBorder="0" applyAlignment="0" applyProtection="0"/>
    <xf numFmtId="0" fontId="1" fillId="3" borderId="0" applyNumberFormat="0" applyBorder="0" applyAlignment="0" applyProtection="0"/>
    <xf numFmtId="0" fontId="1" fillId="3" borderId="0" applyNumberFormat="0" applyBorder="0" applyAlignment="0" applyProtection="0"/>
    <xf numFmtId="0" fontId="1" fillId="3" borderId="0" applyNumberFormat="0" applyBorder="0" applyAlignment="0" applyProtection="0"/>
    <xf numFmtId="0" fontId="1" fillId="3" borderId="0" applyNumberFormat="0" applyBorder="0" applyAlignment="0" applyProtection="0"/>
    <xf numFmtId="0" fontId="1" fillId="3" borderId="0" applyNumberFormat="0" applyBorder="0" applyAlignment="0" applyProtection="0"/>
    <xf numFmtId="0" fontId="1" fillId="3" borderId="0" applyNumberFormat="0" applyBorder="0" applyAlignment="0" applyProtection="0"/>
    <xf numFmtId="0" fontId="1" fillId="3" borderId="0" applyNumberFormat="0" applyBorder="0" applyAlignment="0" applyProtection="0"/>
    <xf numFmtId="0" fontId="1" fillId="3" borderId="0" applyNumberFormat="0" applyBorder="0" applyAlignment="0" applyProtection="0"/>
    <xf numFmtId="0" fontId="1" fillId="3" borderId="0" applyNumberFormat="0" applyBorder="0" applyAlignment="0" applyProtection="0"/>
    <xf numFmtId="0" fontId="1" fillId="3" borderId="0" applyNumberFormat="0" applyBorder="0" applyAlignment="0" applyProtection="0"/>
    <xf numFmtId="0" fontId="1" fillId="3" borderId="0" applyNumberFormat="0" applyBorder="0" applyAlignment="0" applyProtection="0"/>
    <xf numFmtId="0" fontId="1" fillId="3" borderId="0" applyNumberFormat="0" applyBorder="0" applyAlignment="0" applyProtection="0"/>
    <xf numFmtId="0" fontId="1" fillId="3" borderId="0" applyNumberFormat="0" applyBorder="0" applyAlignment="0" applyProtection="0"/>
    <xf numFmtId="0" fontId="1" fillId="3" borderId="0" applyNumberFormat="0" applyBorder="0" applyAlignment="0" applyProtection="0"/>
    <xf numFmtId="0" fontId="1" fillId="3" borderId="0" applyNumberFormat="0" applyBorder="0" applyAlignment="0" applyProtection="0"/>
    <xf numFmtId="0" fontId="1" fillId="3" borderId="0" applyNumberFormat="0" applyBorder="0" applyAlignment="0" applyProtection="0"/>
    <xf numFmtId="0" fontId="1" fillId="3" borderId="0" applyNumberFormat="0" applyBorder="0" applyAlignment="0" applyProtection="0"/>
    <xf numFmtId="0" fontId="1" fillId="3" borderId="0" applyNumberFormat="0" applyBorder="0" applyAlignment="0" applyProtection="0"/>
    <xf numFmtId="0" fontId="1" fillId="3" borderId="0" applyNumberFormat="0" applyBorder="0" applyAlignment="0" applyProtection="0"/>
    <xf numFmtId="0" fontId="1" fillId="3" borderId="0" applyNumberFormat="0" applyBorder="0" applyAlignment="0" applyProtection="0"/>
    <xf numFmtId="0" fontId="1" fillId="3" borderId="0" applyNumberFormat="0" applyBorder="0" applyAlignment="0" applyProtection="0"/>
    <xf numFmtId="0" fontId="1" fillId="3" borderId="0" applyNumberFormat="0" applyBorder="0" applyAlignment="0" applyProtection="0"/>
    <xf numFmtId="0" fontId="1" fillId="3" borderId="0" applyNumberFormat="0" applyBorder="0" applyAlignment="0" applyProtection="0"/>
    <xf numFmtId="0" fontId="1" fillId="3" borderId="0" applyNumberFormat="0" applyBorder="0" applyAlignment="0" applyProtection="0"/>
    <xf numFmtId="0" fontId="1" fillId="3" borderId="0" applyNumberFormat="0" applyBorder="0" applyAlignment="0" applyProtection="0"/>
    <xf numFmtId="0" fontId="1" fillId="3" borderId="0" applyNumberFormat="0" applyBorder="0" applyAlignment="0" applyProtection="0"/>
    <xf numFmtId="0" fontId="1" fillId="3" borderId="0" applyNumberFormat="0" applyBorder="0" applyAlignment="0" applyProtection="0"/>
    <xf numFmtId="0" fontId="1" fillId="3" borderId="0" applyNumberFormat="0" applyBorder="0" applyAlignment="0" applyProtection="0"/>
    <xf numFmtId="0" fontId="1" fillId="3" borderId="0" applyNumberFormat="0" applyBorder="0" applyAlignment="0" applyProtection="0"/>
    <xf numFmtId="0" fontId="1" fillId="3" borderId="0" applyNumberFormat="0" applyBorder="0" applyAlignment="0" applyProtection="0"/>
    <xf numFmtId="0" fontId="1" fillId="3" borderId="0" applyNumberFormat="0" applyBorder="0" applyAlignment="0" applyProtection="0"/>
    <xf numFmtId="0" fontId="1" fillId="3" borderId="0" applyNumberFormat="0" applyBorder="0" applyAlignment="0" applyProtection="0"/>
    <xf numFmtId="0" fontId="1" fillId="3" borderId="0" applyNumberFormat="0" applyBorder="0" applyAlignment="0" applyProtection="0"/>
    <xf numFmtId="0" fontId="1" fillId="3" borderId="0" applyNumberFormat="0" applyBorder="0" applyAlignment="0" applyProtection="0"/>
    <xf numFmtId="0" fontId="1" fillId="3" borderId="0" applyNumberFormat="0" applyBorder="0" applyAlignment="0" applyProtection="0"/>
    <xf numFmtId="0" fontId="1" fillId="3" borderId="0" applyNumberFormat="0" applyBorder="0" applyAlignment="0" applyProtection="0"/>
    <xf numFmtId="0" fontId="1" fillId="3" borderId="0" applyNumberFormat="0" applyBorder="0" applyAlignment="0" applyProtection="0"/>
    <xf numFmtId="0" fontId="1" fillId="3" borderId="0" applyNumberFormat="0" applyBorder="0" applyAlignment="0" applyProtection="0"/>
    <xf numFmtId="0" fontId="1" fillId="3" borderId="0" applyNumberFormat="0" applyBorder="0" applyAlignment="0" applyProtection="0"/>
    <xf numFmtId="0" fontId="1" fillId="3" borderId="0" applyNumberFormat="0" applyBorder="0" applyAlignment="0" applyProtection="0"/>
    <xf numFmtId="0" fontId="1" fillId="3" borderId="0" applyNumberFormat="0" applyBorder="0" applyAlignment="0" applyProtection="0"/>
    <xf numFmtId="0" fontId="1" fillId="3" borderId="0" applyNumberFormat="0" applyBorder="0" applyAlignment="0" applyProtection="0"/>
    <xf numFmtId="0" fontId="1" fillId="3" borderId="0" applyNumberFormat="0" applyBorder="0" applyAlignment="0" applyProtection="0"/>
    <xf numFmtId="0" fontId="1" fillId="3" borderId="0" applyNumberFormat="0" applyBorder="0" applyAlignment="0" applyProtection="0"/>
    <xf numFmtId="0" fontId="1" fillId="3" borderId="0" applyNumberFormat="0" applyBorder="0" applyAlignment="0" applyProtection="0"/>
    <xf numFmtId="0" fontId="1" fillId="3" borderId="0" applyNumberFormat="0" applyBorder="0" applyAlignment="0" applyProtection="0"/>
    <xf numFmtId="0" fontId="1" fillId="3" borderId="0" applyNumberFormat="0" applyBorder="0" applyAlignment="0" applyProtection="0"/>
    <xf numFmtId="0" fontId="1" fillId="3" borderId="0" applyNumberFormat="0" applyBorder="0" applyAlignment="0" applyProtection="0"/>
    <xf numFmtId="0" fontId="1" fillId="3" borderId="0" applyNumberFormat="0" applyBorder="0" applyAlignment="0" applyProtection="0"/>
    <xf numFmtId="0" fontId="1" fillId="3" borderId="0" applyNumberFormat="0" applyBorder="0" applyAlignment="0" applyProtection="0"/>
    <xf numFmtId="0" fontId="1" fillId="3" borderId="0" applyNumberFormat="0" applyBorder="0" applyAlignment="0" applyProtection="0"/>
    <xf numFmtId="0" fontId="1" fillId="3" borderId="0" applyNumberFormat="0" applyBorder="0" applyAlignment="0" applyProtection="0"/>
    <xf numFmtId="0" fontId="1" fillId="3" borderId="0" applyNumberFormat="0" applyBorder="0" applyAlignment="0" applyProtection="0"/>
    <xf numFmtId="0" fontId="1" fillId="3" borderId="0" applyNumberFormat="0" applyBorder="0" applyAlignment="0" applyProtection="0"/>
    <xf numFmtId="0" fontId="1" fillId="3" borderId="0" applyNumberFormat="0" applyBorder="0" applyAlignment="0" applyProtection="0"/>
    <xf numFmtId="0" fontId="1" fillId="3" borderId="0" applyNumberFormat="0" applyBorder="0" applyAlignment="0" applyProtection="0"/>
    <xf numFmtId="0" fontId="1" fillId="3" borderId="0" applyNumberFormat="0" applyBorder="0" applyAlignment="0" applyProtection="0"/>
    <xf numFmtId="0" fontId="1" fillId="3" borderId="0" applyNumberFormat="0" applyBorder="0" applyAlignment="0" applyProtection="0"/>
    <xf numFmtId="0" fontId="1" fillId="3" borderId="0" applyNumberFormat="0" applyBorder="0" applyAlignment="0" applyProtection="0"/>
    <xf numFmtId="0" fontId="1" fillId="3" borderId="0" applyNumberFormat="0" applyBorder="0" applyAlignment="0" applyProtection="0"/>
    <xf numFmtId="0" fontId="1" fillId="3" borderId="0" applyNumberFormat="0" applyBorder="0" applyAlignment="0" applyProtection="0"/>
    <xf numFmtId="0" fontId="1" fillId="3" borderId="0" applyNumberFormat="0" applyBorder="0" applyAlignment="0" applyProtection="0"/>
    <xf numFmtId="0" fontId="1" fillId="3" borderId="0" applyNumberFormat="0" applyBorder="0" applyAlignment="0" applyProtection="0"/>
    <xf numFmtId="0" fontId="1" fillId="3" borderId="0" applyNumberFormat="0" applyBorder="0" applyAlignment="0" applyProtection="0"/>
    <xf numFmtId="0" fontId="1" fillId="3" borderId="0" applyNumberFormat="0" applyBorder="0" applyAlignment="0" applyProtection="0"/>
    <xf numFmtId="0" fontId="1" fillId="3" borderId="0" applyNumberFormat="0" applyBorder="0" applyAlignment="0" applyProtection="0"/>
    <xf numFmtId="0" fontId="1" fillId="3" borderId="0" applyNumberFormat="0" applyBorder="0" applyAlignment="0" applyProtection="0"/>
    <xf numFmtId="0" fontId="1" fillId="3" borderId="0" applyNumberFormat="0" applyBorder="0" applyAlignment="0" applyProtection="0"/>
    <xf numFmtId="0" fontId="1" fillId="3" borderId="0" applyNumberFormat="0" applyBorder="0" applyAlignment="0" applyProtection="0"/>
    <xf numFmtId="0" fontId="1" fillId="3" borderId="0" applyNumberFormat="0" applyBorder="0" applyAlignment="0" applyProtection="0"/>
    <xf numFmtId="0" fontId="1" fillId="3" borderId="0" applyNumberFormat="0" applyBorder="0" applyAlignment="0" applyProtection="0"/>
    <xf numFmtId="0" fontId="1" fillId="3" borderId="0" applyNumberFormat="0" applyBorder="0" applyAlignment="0" applyProtection="0"/>
    <xf numFmtId="0" fontId="1" fillId="3" borderId="0" applyNumberFormat="0" applyBorder="0" applyAlignment="0" applyProtection="0"/>
    <xf numFmtId="0" fontId="1" fillId="3" borderId="0" applyNumberFormat="0" applyBorder="0" applyAlignment="0" applyProtection="0"/>
    <xf numFmtId="0" fontId="1" fillId="3" borderId="0" applyNumberFormat="0" applyBorder="0" applyAlignment="0" applyProtection="0"/>
    <xf numFmtId="0" fontId="1" fillId="3" borderId="0" applyNumberFormat="0" applyBorder="0" applyAlignment="0" applyProtection="0"/>
    <xf numFmtId="0" fontId="1" fillId="3" borderId="0" applyNumberFormat="0" applyBorder="0" applyAlignment="0" applyProtection="0"/>
    <xf numFmtId="0" fontId="1" fillId="3" borderId="0" applyNumberFormat="0" applyBorder="0" applyAlignment="0" applyProtection="0"/>
    <xf numFmtId="0" fontId="1" fillId="3" borderId="0" applyNumberFormat="0" applyBorder="0" applyAlignment="0" applyProtection="0"/>
    <xf numFmtId="0" fontId="1" fillId="3" borderId="0" applyNumberFormat="0" applyBorder="0" applyAlignment="0" applyProtection="0"/>
    <xf numFmtId="0" fontId="1" fillId="3" borderId="0" applyNumberFormat="0" applyBorder="0" applyAlignment="0" applyProtection="0"/>
    <xf numFmtId="0" fontId="1" fillId="3" borderId="0" applyNumberFormat="0" applyBorder="0" applyAlignment="0" applyProtection="0"/>
    <xf numFmtId="0" fontId="1" fillId="3" borderId="0" applyNumberFormat="0" applyBorder="0" applyAlignment="0" applyProtection="0"/>
    <xf numFmtId="0" fontId="1" fillId="3" borderId="0" applyNumberFormat="0" applyBorder="0" applyAlignment="0" applyProtection="0"/>
    <xf numFmtId="0" fontId="1" fillId="3" borderId="0" applyNumberFormat="0" applyBorder="0" applyAlignment="0" applyProtection="0"/>
    <xf numFmtId="0" fontId="1" fillId="3" borderId="0" applyNumberFormat="0" applyBorder="0" applyAlignment="0" applyProtection="0"/>
    <xf numFmtId="0" fontId="1" fillId="3" borderId="0" applyNumberFormat="0" applyBorder="0" applyAlignment="0" applyProtection="0"/>
    <xf numFmtId="0" fontId="1" fillId="3" borderId="0" applyNumberFormat="0" applyBorder="0" applyAlignment="0" applyProtection="0"/>
    <xf numFmtId="0" fontId="1" fillId="3" borderId="0" applyNumberFormat="0" applyBorder="0" applyAlignment="0" applyProtection="0"/>
    <xf numFmtId="0" fontId="1" fillId="3" borderId="0" applyNumberFormat="0" applyBorder="0" applyAlignment="0" applyProtection="0"/>
    <xf numFmtId="0" fontId="1" fillId="3" borderId="0" applyNumberFormat="0" applyBorder="0" applyAlignment="0" applyProtection="0"/>
    <xf numFmtId="0" fontId="1" fillId="3" borderId="0" applyNumberFormat="0" applyBorder="0" applyAlignment="0" applyProtection="0"/>
    <xf numFmtId="0" fontId="1" fillId="3" borderId="0" applyNumberFormat="0" applyBorder="0" applyAlignment="0" applyProtection="0"/>
    <xf numFmtId="0" fontId="1" fillId="3" borderId="0" applyNumberFormat="0" applyBorder="0" applyAlignment="0" applyProtection="0"/>
    <xf numFmtId="0" fontId="1" fillId="3" borderId="0" applyNumberFormat="0" applyBorder="0" applyAlignment="0" applyProtection="0"/>
    <xf numFmtId="0" fontId="1" fillId="3" borderId="0" applyNumberFormat="0" applyBorder="0" applyAlignment="0" applyProtection="0"/>
    <xf numFmtId="0" fontId="1" fillId="3" borderId="0" applyNumberFormat="0" applyBorder="0" applyAlignment="0" applyProtection="0"/>
    <xf numFmtId="0" fontId="1" fillId="3" borderId="0" applyNumberFormat="0" applyBorder="0" applyAlignment="0" applyProtection="0"/>
    <xf numFmtId="0" fontId="1" fillId="3" borderId="0" applyNumberFormat="0" applyBorder="0" applyAlignment="0" applyProtection="0"/>
    <xf numFmtId="0" fontId="1" fillId="3" borderId="0" applyNumberFormat="0" applyBorder="0" applyAlignment="0" applyProtection="0"/>
    <xf numFmtId="0" fontId="1" fillId="3" borderId="0" applyNumberFormat="0" applyBorder="0" applyAlignment="0" applyProtection="0"/>
    <xf numFmtId="0" fontId="1" fillId="3" borderId="0" applyNumberFormat="0" applyBorder="0" applyAlignment="0" applyProtection="0"/>
    <xf numFmtId="0" fontId="1" fillId="3" borderId="0" applyNumberFormat="0" applyBorder="0" applyAlignment="0" applyProtection="0"/>
    <xf numFmtId="0" fontId="1" fillId="3" borderId="0" applyNumberFormat="0" applyBorder="0" applyAlignment="0" applyProtection="0"/>
    <xf numFmtId="0" fontId="1" fillId="3" borderId="0" applyNumberFormat="0" applyBorder="0" applyAlignment="0" applyProtection="0"/>
    <xf numFmtId="0" fontId="1" fillId="3" borderId="0" applyNumberFormat="0" applyBorder="0" applyAlignment="0" applyProtection="0"/>
    <xf numFmtId="0" fontId="1" fillId="3" borderId="0" applyNumberFormat="0" applyBorder="0" applyAlignment="0" applyProtection="0"/>
    <xf numFmtId="0" fontId="1" fillId="3" borderId="0" applyNumberFormat="0" applyBorder="0" applyAlignment="0" applyProtection="0"/>
    <xf numFmtId="0" fontId="1" fillId="3" borderId="0" applyNumberFormat="0" applyBorder="0" applyAlignment="0" applyProtection="0"/>
    <xf numFmtId="0" fontId="1" fillId="3" borderId="0" applyNumberFormat="0" applyBorder="0" applyAlignment="0" applyProtection="0"/>
    <xf numFmtId="0" fontId="1" fillId="3" borderId="0" applyNumberFormat="0" applyBorder="0" applyAlignment="0" applyProtection="0"/>
    <xf numFmtId="0" fontId="1" fillId="3" borderId="0" applyNumberFormat="0" applyBorder="0" applyAlignment="0" applyProtection="0"/>
    <xf numFmtId="0" fontId="1" fillId="3" borderId="0" applyNumberFormat="0" applyBorder="0" applyAlignment="0" applyProtection="0"/>
    <xf numFmtId="0" fontId="1" fillId="3" borderId="0" applyNumberFormat="0" applyBorder="0" applyAlignment="0" applyProtection="0"/>
    <xf numFmtId="0" fontId="1" fillId="3" borderId="0" applyNumberFormat="0" applyBorder="0" applyAlignment="0" applyProtection="0"/>
    <xf numFmtId="0" fontId="1" fillId="3" borderId="0" applyNumberFormat="0" applyBorder="0" applyAlignment="0" applyProtection="0"/>
    <xf numFmtId="0" fontId="1" fillId="3" borderId="0" applyNumberFormat="0" applyBorder="0" applyAlignment="0" applyProtection="0"/>
    <xf numFmtId="0" fontId="1" fillId="3" borderId="0" applyNumberFormat="0" applyBorder="0" applyAlignment="0" applyProtection="0"/>
    <xf numFmtId="0" fontId="1" fillId="3" borderId="0" applyNumberFormat="0" applyBorder="0" applyAlignment="0" applyProtection="0"/>
    <xf numFmtId="0" fontId="1" fillId="3" borderId="0" applyNumberFormat="0" applyBorder="0" applyAlignment="0" applyProtection="0"/>
    <xf numFmtId="0" fontId="1" fillId="3" borderId="0" applyNumberFormat="0" applyBorder="0" applyAlignment="0" applyProtection="0"/>
    <xf numFmtId="0" fontId="1" fillId="3" borderId="0" applyNumberFormat="0" applyBorder="0" applyAlignment="0" applyProtection="0"/>
    <xf numFmtId="0" fontId="1" fillId="3" borderId="0" applyNumberFormat="0" applyBorder="0" applyAlignment="0" applyProtection="0"/>
    <xf numFmtId="0" fontId="1" fillId="3" borderId="0" applyNumberFormat="0" applyBorder="0" applyAlignment="0" applyProtection="0"/>
    <xf numFmtId="0" fontId="1" fillId="3" borderId="0" applyNumberFormat="0" applyBorder="0" applyAlignment="0" applyProtection="0"/>
    <xf numFmtId="0" fontId="1" fillId="3" borderId="0" applyNumberFormat="0" applyBorder="0" applyAlignment="0" applyProtection="0"/>
    <xf numFmtId="0" fontId="1" fillId="3" borderId="0" applyNumberFormat="0" applyBorder="0" applyAlignment="0" applyProtection="0"/>
    <xf numFmtId="0" fontId="1" fillId="3" borderId="0" applyNumberFormat="0" applyBorder="0" applyAlignment="0" applyProtection="0"/>
    <xf numFmtId="0" fontId="1" fillId="3" borderId="0" applyNumberFormat="0" applyBorder="0" applyAlignment="0" applyProtection="0"/>
    <xf numFmtId="0" fontId="1" fillId="3" borderId="0" applyNumberFormat="0" applyBorder="0" applyAlignment="0" applyProtection="0"/>
    <xf numFmtId="0" fontId="1" fillId="3" borderId="0" applyNumberFormat="0" applyBorder="0" applyAlignment="0" applyProtection="0"/>
    <xf numFmtId="0" fontId="1" fillId="3" borderId="0" applyNumberFormat="0" applyBorder="0" applyAlignment="0" applyProtection="0"/>
    <xf numFmtId="0" fontId="1" fillId="3" borderId="0" applyNumberFormat="0" applyBorder="0" applyAlignment="0" applyProtection="0"/>
    <xf numFmtId="0" fontId="1" fillId="3" borderId="0" applyNumberFormat="0" applyBorder="0" applyAlignment="0" applyProtection="0"/>
    <xf numFmtId="0" fontId="1" fillId="3" borderId="0" applyNumberFormat="0" applyBorder="0" applyAlignment="0" applyProtection="0"/>
    <xf numFmtId="0" fontId="1" fillId="3" borderId="0" applyNumberFormat="0" applyBorder="0" applyAlignment="0" applyProtection="0"/>
    <xf numFmtId="0" fontId="1" fillId="3" borderId="0" applyNumberFormat="0" applyBorder="0" applyAlignment="0" applyProtection="0"/>
    <xf numFmtId="0" fontId="1" fillId="3" borderId="0" applyNumberFormat="0" applyBorder="0" applyAlignment="0" applyProtection="0"/>
    <xf numFmtId="0" fontId="1" fillId="3" borderId="0" applyNumberFormat="0" applyBorder="0" applyAlignment="0" applyProtection="0"/>
    <xf numFmtId="0" fontId="1" fillId="3" borderId="0" applyNumberFormat="0" applyBorder="0" applyAlignment="0" applyProtection="0"/>
    <xf numFmtId="0" fontId="1" fillId="3" borderId="0" applyNumberFormat="0" applyBorder="0" applyAlignment="0" applyProtection="0"/>
    <xf numFmtId="0" fontId="1" fillId="3" borderId="0" applyNumberFormat="0" applyBorder="0" applyAlignment="0" applyProtection="0"/>
    <xf numFmtId="0" fontId="1" fillId="3" borderId="0" applyNumberFormat="0" applyBorder="0" applyAlignment="0" applyProtection="0"/>
    <xf numFmtId="0" fontId="1" fillId="3" borderId="0" applyNumberFormat="0" applyBorder="0" applyAlignment="0" applyProtection="0"/>
    <xf numFmtId="0" fontId="1" fillId="3" borderId="0" applyNumberFormat="0" applyBorder="0" applyAlignment="0" applyProtection="0"/>
    <xf numFmtId="0" fontId="1" fillId="3" borderId="0" applyNumberFormat="0" applyBorder="0" applyAlignment="0" applyProtection="0"/>
    <xf numFmtId="0" fontId="1" fillId="3" borderId="0" applyNumberFormat="0" applyBorder="0" applyAlignment="0" applyProtection="0"/>
    <xf numFmtId="0" fontId="1" fillId="3" borderId="0" applyNumberFormat="0" applyBorder="0" applyAlignment="0" applyProtection="0"/>
    <xf numFmtId="0" fontId="1" fillId="3" borderId="0" applyNumberFormat="0" applyBorder="0" applyAlignment="0" applyProtection="0"/>
    <xf numFmtId="0" fontId="1" fillId="3" borderId="0" applyNumberFormat="0" applyBorder="0" applyAlignment="0" applyProtection="0"/>
    <xf numFmtId="0" fontId="1" fillId="3" borderId="0" applyNumberFormat="0" applyBorder="0" applyAlignment="0" applyProtection="0"/>
    <xf numFmtId="0" fontId="1" fillId="3" borderId="0" applyNumberFormat="0" applyBorder="0" applyAlignment="0" applyProtection="0"/>
    <xf numFmtId="0" fontId="1" fillId="3" borderId="0" applyNumberFormat="0" applyBorder="0" applyAlignment="0" applyProtection="0"/>
    <xf numFmtId="0" fontId="1" fillId="3" borderId="0" applyNumberFormat="0" applyBorder="0" applyAlignment="0" applyProtection="0"/>
    <xf numFmtId="0" fontId="1" fillId="3" borderId="0" applyNumberFormat="0" applyBorder="0" applyAlignment="0" applyProtection="0"/>
    <xf numFmtId="0" fontId="1" fillId="3" borderId="0" applyNumberFormat="0" applyBorder="0" applyAlignment="0" applyProtection="0"/>
    <xf numFmtId="0" fontId="1" fillId="3" borderId="0" applyNumberFormat="0" applyBorder="0" applyAlignment="0" applyProtection="0"/>
    <xf numFmtId="0" fontId="1" fillId="3" borderId="0" applyNumberFormat="0" applyBorder="0" applyAlignment="0" applyProtection="0"/>
    <xf numFmtId="0" fontId="1" fillId="3" borderId="0" applyNumberFormat="0" applyBorder="0" applyAlignment="0" applyProtection="0"/>
    <xf numFmtId="0" fontId="1" fillId="3" borderId="0" applyNumberFormat="0" applyBorder="0" applyAlignment="0" applyProtection="0"/>
    <xf numFmtId="0" fontId="1" fillId="3" borderId="0" applyNumberFormat="0" applyBorder="0" applyAlignment="0" applyProtection="0"/>
    <xf numFmtId="0" fontId="1" fillId="3" borderId="0" applyNumberFormat="0" applyBorder="0" applyAlignment="0" applyProtection="0"/>
    <xf numFmtId="0" fontId="1" fillId="3" borderId="0" applyNumberFormat="0" applyBorder="0" applyAlignment="0" applyProtection="0"/>
    <xf numFmtId="0" fontId="1" fillId="3" borderId="0" applyNumberFormat="0" applyBorder="0" applyAlignment="0" applyProtection="0"/>
    <xf numFmtId="0" fontId="1" fillId="3" borderId="0" applyNumberFormat="0" applyBorder="0" applyAlignment="0" applyProtection="0"/>
    <xf numFmtId="0" fontId="1" fillId="3" borderId="0" applyNumberFormat="0" applyBorder="0" applyAlignment="0" applyProtection="0"/>
    <xf numFmtId="0" fontId="1" fillId="3" borderId="0" applyNumberFormat="0" applyBorder="0" applyAlignment="0" applyProtection="0"/>
    <xf numFmtId="0" fontId="1" fillId="3" borderId="0" applyNumberFormat="0" applyBorder="0" applyAlignment="0" applyProtection="0"/>
    <xf numFmtId="0" fontId="1" fillId="3" borderId="0" applyNumberFormat="0" applyBorder="0" applyAlignment="0" applyProtection="0"/>
    <xf numFmtId="0" fontId="1" fillId="3" borderId="0" applyNumberFormat="0" applyBorder="0" applyAlignment="0" applyProtection="0"/>
    <xf numFmtId="0" fontId="1" fillId="3" borderId="0" applyNumberFormat="0" applyBorder="0" applyAlignment="0" applyProtection="0"/>
    <xf numFmtId="0" fontId="1" fillId="3" borderId="0" applyNumberFormat="0" applyBorder="0" applyAlignment="0" applyProtection="0"/>
    <xf numFmtId="0" fontId="1" fillId="3" borderId="0" applyNumberFormat="0" applyBorder="0" applyAlignment="0" applyProtection="0"/>
    <xf numFmtId="0" fontId="1" fillId="3" borderId="0" applyNumberFormat="0" applyBorder="0" applyAlignment="0" applyProtection="0"/>
    <xf numFmtId="0" fontId="1" fillId="3" borderId="0" applyNumberFormat="0" applyBorder="0" applyAlignment="0" applyProtection="0"/>
    <xf numFmtId="0" fontId="1" fillId="3" borderId="0" applyNumberFormat="0" applyBorder="0" applyAlignment="0" applyProtection="0"/>
    <xf numFmtId="0" fontId="1" fillId="3" borderId="0" applyNumberFormat="0" applyBorder="0" applyAlignment="0" applyProtection="0"/>
    <xf numFmtId="0" fontId="1" fillId="3" borderId="0" applyNumberFormat="0" applyBorder="0" applyAlignment="0" applyProtection="0"/>
    <xf numFmtId="0" fontId="1" fillId="3" borderId="0" applyNumberFormat="0" applyBorder="0" applyAlignment="0" applyProtection="0"/>
    <xf numFmtId="0" fontId="1" fillId="3" borderId="0" applyNumberFormat="0" applyBorder="0" applyAlignment="0" applyProtection="0"/>
    <xf numFmtId="0" fontId="1" fillId="3"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49" fontId="42" fillId="0" borderId="2" applyNumberFormat="0" applyFill="0" applyBorder="0" applyProtection="0">
      <alignment horizontal="left" vertical="center"/>
    </xf>
    <xf numFmtId="0" fontId="1" fillId="60" borderId="0" applyNumberFormat="0" applyBorder="0" applyAlignment="0" applyProtection="0"/>
    <xf numFmtId="0" fontId="1" fillId="61" borderId="0" applyNumberFormat="0" applyBorder="0" applyAlignment="0" applyProtection="0"/>
    <xf numFmtId="0" fontId="1" fillId="64" borderId="0" applyNumberFormat="0" applyBorder="0" applyAlignment="0" applyProtection="0"/>
    <xf numFmtId="0" fontId="1" fillId="65" borderId="0" applyNumberFormat="0" applyBorder="0" applyAlignment="0" applyProtection="0"/>
    <xf numFmtId="0" fontId="1" fillId="68" borderId="0" applyNumberFormat="0" applyBorder="0" applyAlignment="0" applyProtection="0"/>
    <xf numFmtId="0" fontId="1" fillId="69" borderId="0" applyNumberFormat="0" applyBorder="0" applyAlignment="0" applyProtection="0"/>
    <xf numFmtId="0" fontId="1" fillId="72" borderId="0" applyNumberFormat="0" applyBorder="0" applyAlignment="0" applyProtection="0"/>
    <xf numFmtId="0" fontId="1" fillId="73" borderId="0" applyNumberFormat="0" applyBorder="0" applyAlignment="0" applyProtection="0"/>
    <xf numFmtId="0" fontId="1" fillId="76" borderId="0" applyNumberFormat="0" applyBorder="0" applyAlignment="0" applyProtection="0"/>
    <xf numFmtId="0" fontId="1" fillId="77" borderId="0" applyNumberFormat="0" applyBorder="0" applyAlignment="0" applyProtection="0"/>
    <xf numFmtId="0" fontId="1" fillId="80" borderId="0" applyNumberFormat="0" applyBorder="0" applyAlignment="0" applyProtection="0"/>
    <xf numFmtId="0" fontId="1" fillId="81"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6" borderId="0" applyNumberFormat="0" applyBorder="0" applyAlignment="0" applyProtection="0"/>
    <xf numFmtId="0" fontId="1" fillId="76" borderId="0" applyNumberFormat="0" applyBorder="0" applyAlignment="0" applyProtection="0"/>
    <xf numFmtId="0" fontId="1" fillId="76" borderId="0" applyNumberFormat="0" applyBorder="0" applyAlignment="0" applyProtection="0"/>
    <xf numFmtId="0" fontId="1" fillId="76" borderId="0" applyNumberFormat="0" applyBorder="0" applyAlignment="0" applyProtection="0"/>
    <xf numFmtId="0" fontId="1" fillId="76" borderId="0" applyNumberFormat="0" applyBorder="0" applyAlignment="0" applyProtection="0"/>
    <xf numFmtId="0" fontId="1" fillId="76" borderId="0" applyNumberFormat="0" applyBorder="0" applyAlignment="0" applyProtection="0"/>
    <xf numFmtId="0" fontId="1" fillId="76" borderId="0" applyNumberFormat="0" applyBorder="0" applyAlignment="0" applyProtection="0"/>
    <xf numFmtId="0" fontId="1" fillId="76" borderId="0" applyNumberFormat="0" applyBorder="0" applyAlignment="0" applyProtection="0"/>
    <xf numFmtId="0" fontId="1" fillId="76" borderId="0" applyNumberFormat="0" applyBorder="0" applyAlignment="0" applyProtection="0"/>
    <xf numFmtId="0" fontId="1" fillId="76" borderId="0" applyNumberFormat="0" applyBorder="0" applyAlignment="0" applyProtection="0"/>
    <xf numFmtId="0" fontId="1" fillId="76" borderId="0" applyNumberFormat="0" applyBorder="0" applyAlignment="0" applyProtection="0"/>
    <xf numFmtId="0" fontId="1" fillId="76" borderId="0" applyNumberFormat="0" applyBorder="0" applyAlignment="0" applyProtection="0"/>
    <xf numFmtId="0" fontId="1" fillId="76" borderId="0" applyNumberFormat="0" applyBorder="0" applyAlignment="0" applyProtection="0"/>
    <xf numFmtId="0" fontId="1" fillId="76" borderId="0" applyNumberFormat="0" applyBorder="0" applyAlignment="0" applyProtection="0"/>
    <xf numFmtId="0" fontId="1" fillId="76" borderId="0" applyNumberFormat="0" applyBorder="0" applyAlignment="0" applyProtection="0"/>
    <xf numFmtId="0" fontId="1" fillId="76" borderId="0" applyNumberFormat="0" applyBorder="0" applyAlignment="0" applyProtection="0"/>
    <xf numFmtId="0" fontId="1" fillId="76" borderId="0" applyNumberFormat="0" applyBorder="0" applyAlignment="0" applyProtection="0"/>
    <xf numFmtId="0" fontId="1" fillId="76" borderId="0" applyNumberFormat="0" applyBorder="0" applyAlignment="0" applyProtection="0"/>
    <xf numFmtId="0" fontId="1" fillId="76" borderId="0" applyNumberFormat="0" applyBorder="0" applyAlignment="0" applyProtection="0"/>
    <xf numFmtId="0" fontId="1" fillId="76" borderId="0" applyNumberFormat="0" applyBorder="0" applyAlignment="0" applyProtection="0"/>
    <xf numFmtId="0" fontId="1" fillId="76" borderId="0" applyNumberFormat="0" applyBorder="0" applyAlignment="0" applyProtection="0"/>
    <xf numFmtId="0" fontId="1" fillId="76" borderId="0" applyNumberFormat="0" applyBorder="0" applyAlignment="0" applyProtection="0"/>
    <xf numFmtId="0" fontId="1" fillId="76" borderId="0" applyNumberFormat="0" applyBorder="0" applyAlignment="0" applyProtection="0"/>
    <xf numFmtId="0" fontId="1" fillId="76" borderId="0" applyNumberFormat="0" applyBorder="0" applyAlignment="0" applyProtection="0"/>
    <xf numFmtId="0" fontId="1" fillId="76" borderId="0" applyNumberFormat="0" applyBorder="0" applyAlignment="0" applyProtection="0"/>
    <xf numFmtId="0" fontId="1" fillId="76" borderId="0" applyNumberFormat="0" applyBorder="0" applyAlignment="0" applyProtection="0"/>
    <xf numFmtId="0" fontId="1" fillId="76" borderId="0" applyNumberFormat="0" applyBorder="0" applyAlignment="0" applyProtection="0"/>
    <xf numFmtId="0" fontId="1" fillId="76" borderId="0" applyNumberFormat="0" applyBorder="0" applyAlignment="0" applyProtection="0"/>
    <xf numFmtId="0" fontId="1" fillId="76" borderId="0" applyNumberFormat="0" applyBorder="0" applyAlignment="0" applyProtection="0"/>
    <xf numFmtId="0" fontId="1" fillId="76" borderId="0" applyNumberFormat="0" applyBorder="0" applyAlignment="0" applyProtection="0"/>
    <xf numFmtId="0" fontId="1" fillId="76" borderId="0" applyNumberFormat="0" applyBorder="0" applyAlignment="0" applyProtection="0"/>
    <xf numFmtId="0" fontId="1" fillId="76" borderId="0" applyNumberFormat="0" applyBorder="0" applyAlignment="0" applyProtection="0"/>
    <xf numFmtId="0" fontId="1" fillId="76" borderId="0" applyNumberFormat="0" applyBorder="0" applyAlignment="0" applyProtection="0"/>
    <xf numFmtId="0" fontId="1" fillId="76" borderId="0" applyNumberFormat="0" applyBorder="0" applyAlignment="0" applyProtection="0"/>
    <xf numFmtId="0" fontId="1" fillId="76" borderId="0" applyNumberFormat="0" applyBorder="0" applyAlignment="0" applyProtection="0"/>
    <xf numFmtId="0" fontId="1" fillId="76" borderId="0" applyNumberFormat="0" applyBorder="0" applyAlignment="0" applyProtection="0"/>
    <xf numFmtId="0" fontId="1" fillId="76" borderId="0" applyNumberFormat="0" applyBorder="0" applyAlignment="0" applyProtection="0"/>
    <xf numFmtId="0" fontId="1" fillId="76" borderId="0" applyNumberFormat="0" applyBorder="0" applyAlignment="0" applyProtection="0"/>
    <xf numFmtId="0" fontId="1" fillId="76" borderId="0" applyNumberFormat="0" applyBorder="0" applyAlignment="0" applyProtection="0"/>
    <xf numFmtId="0" fontId="1" fillId="76" borderId="0" applyNumberFormat="0" applyBorder="0" applyAlignment="0" applyProtection="0"/>
    <xf numFmtId="0" fontId="1" fillId="76" borderId="0" applyNumberFormat="0" applyBorder="0" applyAlignment="0" applyProtection="0"/>
    <xf numFmtId="0" fontId="1" fillId="76" borderId="0" applyNumberFormat="0" applyBorder="0" applyAlignment="0" applyProtection="0"/>
    <xf numFmtId="0" fontId="1" fillId="76" borderId="0" applyNumberFormat="0" applyBorder="0" applyAlignment="0" applyProtection="0"/>
    <xf numFmtId="0" fontId="1" fillId="76" borderId="0" applyNumberFormat="0" applyBorder="0" applyAlignment="0" applyProtection="0"/>
    <xf numFmtId="0" fontId="1" fillId="76" borderId="0" applyNumberFormat="0" applyBorder="0" applyAlignment="0" applyProtection="0"/>
    <xf numFmtId="0" fontId="1" fillId="76" borderId="0" applyNumberFormat="0" applyBorder="0" applyAlignment="0" applyProtection="0"/>
    <xf numFmtId="0" fontId="1" fillId="76" borderId="0" applyNumberFormat="0" applyBorder="0" applyAlignment="0" applyProtection="0"/>
    <xf numFmtId="0" fontId="1" fillId="76" borderId="0" applyNumberFormat="0" applyBorder="0" applyAlignment="0" applyProtection="0"/>
    <xf numFmtId="0" fontId="1" fillId="76" borderId="0" applyNumberFormat="0" applyBorder="0" applyAlignment="0" applyProtection="0"/>
    <xf numFmtId="0" fontId="1" fillId="76" borderId="0" applyNumberFormat="0" applyBorder="0" applyAlignment="0" applyProtection="0"/>
    <xf numFmtId="0" fontId="1" fillId="76" borderId="0" applyNumberFormat="0" applyBorder="0" applyAlignment="0" applyProtection="0"/>
    <xf numFmtId="0" fontId="1" fillId="76" borderId="0" applyNumberFormat="0" applyBorder="0" applyAlignment="0" applyProtection="0"/>
    <xf numFmtId="0" fontId="1" fillId="76" borderId="0" applyNumberFormat="0" applyBorder="0" applyAlignment="0" applyProtection="0"/>
    <xf numFmtId="0" fontId="1" fillId="7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5" borderId="0" applyNumberFormat="0" applyBorder="0" applyAlignment="0" applyProtection="0"/>
    <xf numFmtId="0" fontId="1" fillId="65" borderId="0" applyNumberFormat="0" applyBorder="0" applyAlignment="0" applyProtection="0"/>
    <xf numFmtId="0" fontId="1" fillId="65" borderId="0" applyNumberFormat="0" applyBorder="0" applyAlignment="0" applyProtection="0"/>
    <xf numFmtId="0" fontId="1" fillId="65" borderId="0" applyNumberFormat="0" applyBorder="0" applyAlignment="0" applyProtection="0"/>
    <xf numFmtId="0" fontId="1" fillId="65" borderId="0" applyNumberFormat="0" applyBorder="0" applyAlignment="0" applyProtection="0"/>
    <xf numFmtId="0" fontId="1" fillId="65" borderId="0" applyNumberFormat="0" applyBorder="0" applyAlignment="0" applyProtection="0"/>
    <xf numFmtId="0" fontId="1" fillId="65" borderId="0" applyNumberFormat="0" applyBorder="0" applyAlignment="0" applyProtection="0"/>
    <xf numFmtId="0" fontId="1" fillId="65" borderId="0" applyNumberFormat="0" applyBorder="0" applyAlignment="0" applyProtection="0"/>
    <xf numFmtId="0" fontId="1" fillId="65" borderId="0" applyNumberFormat="0" applyBorder="0" applyAlignment="0" applyProtection="0"/>
    <xf numFmtId="0" fontId="1" fillId="65" borderId="0" applyNumberFormat="0" applyBorder="0" applyAlignment="0" applyProtection="0"/>
    <xf numFmtId="0" fontId="1" fillId="65" borderId="0" applyNumberFormat="0" applyBorder="0" applyAlignment="0" applyProtection="0"/>
    <xf numFmtId="0" fontId="1" fillId="65" borderId="0" applyNumberFormat="0" applyBorder="0" applyAlignment="0" applyProtection="0"/>
    <xf numFmtId="0" fontId="1" fillId="65" borderId="0" applyNumberFormat="0" applyBorder="0" applyAlignment="0" applyProtection="0"/>
    <xf numFmtId="0" fontId="1" fillId="65" borderId="0" applyNumberFormat="0" applyBorder="0" applyAlignment="0" applyProtection="0"/>
    <xf numFmtId="0" fontId="1" fillId="65" borderId="0" applyNumberFormat="0" applyBorder="0" applyAlignment="0" applyProtection="0"/>
    <xf numFmtId="0" fontId="1" fillId="65" borderId="0" applyNumberFormat="0" applyBorder="0" applyAlignment="0" applyProtection="0"/>
    <xf numFmtId="0" fontId="1" fillId="65" borderId="0" applyNumberFormat="0" applyBorder="0" applyAlignment="0" applyProtection="0"/>
    <xf numFmtId="0" fontId="1" fillId="65" borderId="0" applyNumberFormat="0" applyBorder="0" applyAlignment="0" applyProtection="0"/>
    <xf numFmtId="0" fontId="1" fillId="65" borderId="0" applyNumberFormat="0" applyBorder="0" applyAlignment="0" applyProtection="0"/>
    <xf numFmtId="0" fontId="1" fillId="65" borderId="0" applyNumberFormat="0" applyBorder="0" applyAlignment="0" applyProtection="0"/>
    <xf numFmtId="0" fontId="1" fillId="65" borderId="0" applyNumberFormat="0" applyBorder="0" applyAlignment="0" applyProtection="0"/>
    <xf numFmtId="0" fontId="1" fillId="65" borderId="0" applyNumberFormat="0" applyBorder="0" applyAlignment="0" applyProtection="0"/>
    <xf numFmtId="0" fontId="1" fillId="65" borderId="0" applyNumberFormat="0" applyBorder="0" applyAlignment="0" applyProtection="0"/>
    <xf numFmtId="0" fontId="1" fillId="65" borderId="0" applyNumberFormat="0" applyBorder="0" applyAlignment="0" applyProtection="0"/>
    <xf numFmtId="0" fontId="1" fillId="65" borderId="0" applyNumberFormat="0" applyBorder="0" applyAlignment="0" applyProtection="0"/>
    <xf numFmtId="0" fontId="1" fillId="65" borderId="0" applyNumberFormat="0" applyBorder="0" applyAlignment="0" applyProtection="0"/>
    <xf numFmtId="0" fontId="1" fillId="65" borderId="0" applyNumberFormat="0" applyBorder="0" applyAlignment="0" applyProtection="0"/>
    <xf numFmtId="0" fontId="1" fillId="65" borderId="0" applyNumberFormat="0" applyBorder="0" applyAlignment="0" applyProtection="0"/>
    <xf numFmtId="0" fontId="1" fillId="65" borderId="0" applyNumberFormat="0" applyBorder="0" applyAlignment="0" applyProtection="0"/>
    <xf numFmtId="0" fontId="1" fillId="65" borderId="0" applyNumberFormat="0" applyBorder="0" applyAlignment="0" applyProtection="0"/>
    <xf numFmtId="0" fontId="1" fillId="65" borderId="0" applyNumberFormat="0" applyBorder="0" applyAlignment="0" applyProtection="0"/>
    <xf numFmtId="0" fontId="1" fillId="65" borderId="0" applyNumberFormat="0" applyBorder="0" applyAlignment="0" applyProtection="0"/>
    <xf numFmtId="0" fontId="1" fillId="65" borderId="0" applyNumberFormat="0" applyBorder="0" applyAlignment="0" applyProtection="0"/>
    <xf numFmtId="0" fontId="1" fillId="65" borderId="0" applyNumberFormat="0" applyBorder="0" applyAlignment="0" applyProtection="0"/>
    <xf numFmtId="0" fontId="1" fillId="65" borderId="0" applyNumberFormat="0" applyBorder="0" applyAlignment="0" applyProtection="0"/>
    <xf numFmtId="0" fontId="1" fillId="65" borderId="0" applyNumberFormat="0" applyBorder="0" applyAlignment="0" applyProtection="0"/>
    <xf numFmtId="0" fontId="1" fillId="65" borderId="0" applyNumberFormat="0" applyBorder="0" applyAlignment="0" applyProtection="0"/>
    <xf numFmtId="0" fontId="1" fillId="65" borderId="0" applyNumberFormat="0" applyBorder="0" applyAlignment="0" applyProtection="0"/>
    <xf numFmtId="0" fontId="1" fillId="65" borderId="0" applyNumberFormat="0" applyBorder="0" applyAlignment="0" applyProtection="0"/>
    <xf numFmtId="0" fontId="1" fillId="65" borderId="0" applyNumberFormat="0" applyBorder="0" applyAlignment="0" applyProtection="0"/>
    <xf numFmtId="0" fontId="1" fillId="65" borderId="0" applyNumberFormat="0" applyBorder="0" applyAlignment="0" applyProtection="0"/>
    <xf numFmtId="0" fontId="1" fillId="65" borderId="0" applyNumberFormat="0" applyBorder="0" applyAlignment="0" applyProtection="0"/>
    <xf numFmtId="0" fontId="1" fillId="65" borderId="0" applyNumberFormat="0" applyBorder="0" applyAlignment="0" applyProtection="0"/>
    <xf numFmtId="0" fontId="1" fillId="65" borderId="0" applyNumberFormat="0" applyBorder="0" applyAlignment="0" applyProtection="0"/>
    <xf numFmtId="0" fontId="1" fillId="65" borderId="0" applyNumberFormat="0" applyBorder="0" applyAlignment="0" applyProtection="0"/>
    <xf numFmtId="0" fontId="1" fillId="65" borderId="0" applyNumberFormat="0" applyBorder="0" applyAlignment="0" applyProtection="0"/>
    <xf numFmtId="0" fontId="1" fillId="65" borderId="0" applyNumberFormat="0" applyBorder="0" applyAlignment="0" applyProtection="0"/>
    <xf numFmtId="0" fontId="1" fillId="65" borderId="0" applyNumberFormat="0" applyBorder="0" applyAlignment="0" applyProtection="0"/>
    <xf numFmtId="0" fontId="1" fillId="65" borderId="0" applyNumberFormat="0" applyBorder="0" applyAlignment="0" applyProtection="0"/>
    <xf numFmtId="0" fontId="1" fillId="65" borderId="0" applyNumberFormat="0" applyBorder="0" applyAlignment="0" applyProtection="0"/>
    <xf numFmtId="0" fontId="1" fillId="65" borderId="0" applyNumberFormat="0" applyBorder="0" applyAlignment="0" applyProtection="0"/>
    <xf numFmtId="0" fontId="1" fillId="65" borderId="0" applyNumberFormat="0" applyBorder="0" applyAlignment="0" applyProtection="0"/>
    <xf numFmtId="0" fontId="1" fillId="65" borderId="0" applyNumberFormat="0" applyBorder="0" applyAlignment="0" applyProtection="0"/>
    <xf numFmtId="0" fontId="1" fillId="65"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3" borderId="0" applyNumberFormat="0" applyBorder="0" applyAlignment="0" applyProtection="0"/>
    <xf numFmtId="0" fontId="1" fillId="3" borderId="0" applyNumberFormat="0" applyBorder="0" applyAlignment="0" applyProtection="0"/>
    <xf numFmtId="0" fontId="1" fillId="3" borderId="0" applyNumberFormat="0" applyBorder="0" applyAlignment="0" applyProtection="0"/>
    <xf numFmtId="0" fontId="1" fillId="3" borderId="0" applyNumberFormat="0" applyBorder="0" applyAlignment="0" applyProtection="0"/>
    <xf numFmtId="0" fontId="1" fillId="3" borderId="0" applyNumberFormat="0" applyBorder="0" applyAlignment="0" applyProtection="0"/>
    <xf numFmtId="0" fontId="1" fillId="3" borderId="0" applyNumberFormat="0" applyBorder="0" applyAlignment="0" applyProtection="0"/>
    <xf numFmtId="0" fontId="1" fillId="3" borderId="0" applyNumberFormat="0" applyBorder="0" applyAlignment="0" applyProtection="0"/>
    <xf numFmtId="0" fontId="1" fillId="3" borderId="0" applyNumberFormat="0" applyBorder="0" applyAlignment="0" applyProtection="0"/>
    <xf numFmtId="0" fontId="1" fillId="3" borderId="0" applyNumberFormat="0" applyBorder="0" applyAlignment="0" applyProtection="0"/>
    <xf numFmtId="0" fontId="1" fillId="3" borderId="0" applyNumberFormat="0" applyBorder="0" applyAlignment="0" applyProtection="0"/>
    <xf numFmtId="0" fontId="1" fillId="3" borderId="0" applyNumberFormat="0" applyBorder="0" applyAlignment="0" applyProtection="0"/>
    <xf numFmtId="0" fontId="1" fillId="3" borderId="0" applyNumberFormat="0" applyBorder="0" applyAlignment="0" applyProtection="0"/>
    <xf numFmtId="0" fontId="1" fillId="3" borderId="0" applyNumberFormat="0" applyBorder="0" applyAlignment="0" applyProtection="0"/>
    <xf numFmtId="0" fontId="1" fillId="3" borderId="0" applyNumberFormat="0" applyBorder="0" applyAlignment="0" applyProtection="0"/>
    <xf numFmtId="0" fontId="1" fillId="3" borderId="0" applyNumberFormat="0" applyBorder="0" applyAlignment="0" applyProtection="0"/>
    <xf numFmtId="0" fontId="1" fillId="3" borderId="0" applyNumberFormat="0" applyBorder="0" applyAlignment="0" applyProtection="0"/>
    <xf numFmtId="0" fontId="1" fillId="3" borderId="0" applyNumberFormat="0" applyBorder="0" applyAlignment="0" applyProtection="0"/>
    <xf numFmtId="0" fontId="1" fillId="3" borderId="0" applyNumberFormat="0" applyBorder="0" applyAlignment="0" applyProtection="0"/>
    <xf numFmtId="0" fontId="1" fillId="3" borderId="0" applyNumberFormat="0" applyBorder="0" applyAlignment="0" applyProtection="0"/>
    <xf numFmtId="0" fontId="1" fillId="3" borderId="0" applyNumberFormat="0" applyBorder="0" applyAlignment="0" applyProtection="0"/>
    <xf numFmtId="0" fontId="1" fillId="3" borderId="0" applyNumberFormat="0" applyBorder="0" applyAlignment="0" applyProtection="0"/>
    <xf numFmtId="0" fontId="1" fillId="3" borderId="0" applyNumberFormat="0" applyBorder="0" applyAlignment="0" applyProtection="0"/>
    <xf numFmtId="0" fontId="1" fillId="3" borderId="0" applyNumberFormat="0" applyBorder="0" applyAlignment="0" applyProtection="0"/>
    <xf numFmtId="0" fontId="1" fillId="3" borderId="0" applyNumberFormat="0" applyBorder="0" applyAlignment="0" applyProtection="0"/>
    <xf numFmtId="0" fontId="1" fillId="3" borderId="0" applyNumberFormat="0" applyBorder="0" applyAlignment="0" applyProtection="0"/>
    <xf numFmtId="0" fontId="1" fillId="3" borderId="0" applyNumberFormat="0" applyBorder="0" applyAlignment="0" applyProtection="0"/>
    <xf numFmtId="0" fontId="1" fillId="3" borderId="0" applyNumberFormat="0" applyBorder="0" applyAlignment="0" applyProtection="0"/>
    <xf numFmtId="0" fontId="1" fillId="3" borderId="0" applyNumberFormat="0" applyBorder="0" applyAlignment="0" applyProtection="0"/>
    <xf numFmtId="0" fontId="1" fillId="3" borderId="0" applyNumberFormat="0" applyBorder="0" applyAlignment="0" applyProtection="0"/>
    <xf numFmtId="0" fontId="1" fillId="3" borderId="0" applyNumberFormat="0" applyBorder="0" applyAlignment="0" applyProtection="0"/>
    <xf numFmtId="0" fontId="1" fillId="3" borderId="0" applyNumberFormat="0" applyBorder="0" applyAlignment="0" applyProtection="0"/>
    <xf numFmtId="0" fontId="1" fillId="3" borderId="0" applyNumberFormat="0" applyBorder="0" applyAlignment="0" applyProtection="0"/>
    <xf numFmtId="0" fontId="1" fillId="3" borderId="0" applyNumberFormat="0" applyBorder="0" applyAlignment="0" applyProtection="0"/>
    <xf numFmtId="0" fontId="1" fillId="3" borderId="0" applyNumberFormat="0" applyBorder="0" applyAlignment="0" applyProtection="0"/>
    <xf numFmtId="0" fontId="1" fillId="3" borderId="0" applyNumberFormat="0" applyBorder="0" applyAlignment="0" applyProtection="0"/>
    <xf numFmtId="0" fontId="1" fillId="3" borderId="0" applyNumberFormat="0" applyBorder="0" applyAlignment="0" applyProtection="0"/>
    <xf numFmtId="0" fontId="1" fillId="3" borderId="0" applyNumberFormat="0" applyBorder="0" applyAlignment="0" applyProtection="0"/>
    <xf numFmtId="0" fontId="1" fillId="3" borderId="0" applyNumberFormat="0" applyBorder="0" applyAlignment="0" applyProtection="0"/>
    <xf numFmtId="0" fontId="1" fillId="3" borderId="0" applyNumberFormat="0" applyBorder="0" applyAlignment="0" applyProtection="0"/>
    <xf numFmtId="0" fontId="1" fillId="3" borderId="0" applyNumberFormat="0" applyBorder="0" applyAlignment="0" applyProtection="0"/>
    <xf numFmtId="0" fontId="1" fillId="3" borderId="0" applyNumberFormat="0" applyBorder="0" applyAlignment="0" applyProtection="0"/>
    <xf numFmtId="0" fontId="1" fillId="3" borderId="0" applyNumberFormat="0" applyBorder="0" applyAlignment="0" applyProtection="0"/>
    <xf numFmtId="0" fontId="1" fillId="3" borderId="0" applyNumberFormat="0" applyBorder="0" applyAlignment="0" applyProtection="0"/>
    <xf numFmtId="0" fontId="1" fillId="3" borderId="0" applyNumberFormat="0" applyBorder="0" applyAlignment="0" applyProtection="0"/>
    <xf numFmtId="0" fontId="1" fillId="3" borderId="0" applyNumberFormat="0" applyBorder="0" applyAlignment="0" applyProtection="0"/>
    <xf numFmtId="0" fontId="1" fillId="3" borderId="0" applyNumberFormat="0" applyBorder="0" applyAlignment="0" applyProtection="0"/>
    <xf numFmtId="0" fontId="1" fillId="3" borderId="0" applyNumberFormat="0" applyBorder="0" applyAlignment="0" applyProtection="0"/>
    <xf numFmtId="0" fontId="1" fillId="3" borderId="0" applyNumberFormat="0" applyBorder="0" applyAlignment="0" applyProtection="0"/>
    <xf numFmtId="0" fontId="1" fillId="3" borderId="0" applyNumberFormat="0" applyBorder="0" applyAlignment="0" applyProtection="0"/>
    <xf numFmtId="0" fontId="1" fillId="3" borderId="0" applyNumberFormat="0" applyBorder="0" applyAlignment="0" applyProtection="0"/>
    <xf numFmtId="0" fontId="1" fillId="3" borderId="0" applyNumberFormat="0" applyBorder="0" applyAlignment="0" applyProtection="0"/>
    <xf numFmtId="0" fontId="1" fillId="3" borderId="0" applyNumberFormat="0" applyBorder="0" applyAlignment="0" applyProtection="0"/>
    <xf numFmtId="0" fontId="1" fillId="3" borderId="0" applyNumberFormat="0" applyBorder="0" applyAlignment="0" applyProtection="0"/>
    <xf numFmtId="0" fontId="1" fillId="3" borderId="0" applyNumberFormat="0" applyBorder="0" applyAlignment="0" applyProtection="0"/>
    <xf numFmtId="0" fontId="1" fillId="3" borderId="0" applyNumberFormat="0" applyBorder="0" applyAlignment="0" applyProtection="0"/>
    <xf numFmtId="0" fontId="1" fillId="3" borderId="0" applyNumberFormat="0" applyBorder="0" applyAlignment="0" applyProtection="0"/>
    <xf numFmtId="0" fontId="1" fillId="3"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58" borderId="104" applyNumberFormat="0" applyFont="0" applyAlignment="0" applyProtection="0"/>
    <xf numFmtId="0" fontId="1" fillId="58" borderId="104" applyNumberFormat="0" applyFont="0" applyAlignment="0" applyProtection="0"/>
    <xf numFmtId="0" fontId="1" fillId="60" borderId="0" applyNumberFormat="0" applyBorder="0" applyAlignment="0" applyProtection="0"/>
    <xf numFmtId="0" fontId="1" fillId="61" borderId="0" applyNumberFormat="0" applyBorder="0" applyAlignment="0" applyProtection="0"/>
    <xf numFmtId="0" fontId="1" fillId="64" borderId="0" applyNumberFormat="0" applyBorder="0" applyAlignment="0" applyProtection="0"/>
    <xf numFmtId="0" fontId="1" fillId="68" borderId="0" applyNumberFormat="0" applyBorder="0" applyAlignment="0" applyProtection="0"/>
    <xf numFmtId="0" fontId="1" fillId="69" borderId="0" applyNumberFormat="0" applyBorder="0" applyAlignment="0" applyProtection="0"/>
    <xf numFmtId="0" fontId="1" fillId="72" borderId="0" applyNumberFormat="0" applyBorder="0" applyAlignment="0" applyProtection="0"/>
    <xf numFmtId="0" fontId="1" fillId="73" borderId="0" applyNumberFormat="0" applyBorder="0" applyAlignment="0" applyProtection="0"/>
    <xf numFmtId="0" fontId="1" fillId="77" borderId="0" applyNumberFormat="0" applyBorder="0" applyAlignment="0" applyProtection="0"/>
    <xf numFmtId="0" fontId="1" fillId="80" borderId="0" applyNumberFormat="0" applyBorder="0" applyAlignment="0" applyProtection="0"/>
    <xf numFmtId="0" fontId="1" fillId="81" borderId="0" applyNumberFormat="0" applyBorder="0" applyAlignment="0" applyProtection="0"/>
    <xf numFmtId="0" fontId="1" fillId="60" borderId="0" applyNumberFormat="0" applyBorder="0" applyAlignment="0" applyProtection="0"/>
    <xf numFmtId="0" fontId="1" fillId="61" borderId="0" applyNumberFormat="0" applyBorder="0" applyAlignment="0" applyProtection="0"/>
    <xf numFmtId="0" fontId="1" fillId="64" borderId="0" applyNumberFormat="0" applyBorder="0" applyAlignment="0" applyProtection="0"/>
    <xf numFmtId="0" fontId="1" fillId="68" borderId="0" applyNumberFormat="0" applyBorder="0" applyAlignment="0" applyProtection="0"/>
    <xf numFmtId="0" fontId="1" fillId="69" borderId="0" applyNumberFormat="0" applyBorder="0" applyAlignment="0" applyProtection="0"/>
    <xf numFmtId="0" fontId="1" fillId="72" borderId="0" applyNumberFormat="0" applyBorder="0" applyAlignment="0" applyProtection="0"/>
    <xf numFmtId="0" fontId="1" fillId="73" borderId="0" applyNumberFormat="0" applyBorder="0" applyAlignment="0" applyProtection="0"/>
    <xf numFmtId="0" fontId="1" fillId="77" borderId="0" applyNumberFormat="0" applyBorder="0" applyAlignment="0" applyProtection="0"/>
    <xf numFmtId="0" fontId="1" fillId="80" borderId="0" applyNumberFormat="0" applyBorder="0" applyAlignment="0" applyProtection="0"/>
    <xf numFmtId="0" fontId="1" fillId="81" borderId="0" applyNumberFormat="0" applyBorder="0" applyAlignment="0" applyProtection="0"/>
    <xf numFmtId="0" fontId="1" fillId="58" borderId="104" applyNumberFormat="0" applyFont="0" applyAlignment="0" applyProtection="0"/>
    <xf numFmtId="0" fontId="1" fillId="60" borderId="0" applyNumberFormat="0" applyBorder="0" applyAlignment="0" applyProtection="0"/>
    <xf numFmtId="0" fontId="1" fillId="61" borderId="0" applyNumberFormat="0" applyBorder="0" applyAlignment="0" applyProtection="0"/>
    <xf numFmtId="0" fontId="1" fillId="64" borderId="0" applyNumberFormat="0" applyBorder="0" applyAlignment="0" applyProtection="0"/>
    <xf numFmtId="0" fontId="1" fillId="68" borderId="0" applyNumberFormat="0" applyBorder="0" applyAlignment="0" applyProtection="0"/>
    <xf numFmtId="0" fontId="1" fillId="69" borderId="0" applyNumberFormat="0" applyBorder="0" applyAlignment="0" applyProtection="0"/>
    <xf numFmtId="0" fontId="1" fillId="72" borderId="0" applyNumberFormat="0" applyBorder="0" applyAlignment="0" applyProtection="0"/>
    <xf numFmtId="0" fontId="1" fillId="73" borderId="0" applyNumberFormat="0" applyBorder="0" applyAlignment="0" applyProtection="0"/>
    <xf numFmtId="0" fontId="1" fillId="77" borderId="0" applyNumberFormat="0" applyBorder="0" applyAlignment="0" applyProtection="0"/>
    <xf numFmtId="0" fontId="1" fillId="80" borderId="0" applyNumberFormat="0" applyBorder="0" applyAlignment="0" applyProtection="0"/>
    <xf numFmtId="0" fontId="1" fillId="81" borderId="0" applyNumberFormat="0" applyBorder="0" applyAlignment="0" applyProtection="0"/>
    <xf numFmtId="0" fontId="1" fillId="58" borderId="104" applyNumberFormat="0" applyFont="0" applyAlignment="0" applyProtection="0"/>
    <xf numFmtId="0" fontId="1" fillId="58" borderId="104" applyNumberFormat="0" applyFont="0" applyAlignment="0" applyProtection="0"/>
    <xf numFmtId="0" fontId="1" fillId="60" borderId="0" applyNumberFormat="0" applyBorder="0" applyAlignment="0" applyProtection="0"/>
    <xf numFmtId="0" fontId="1" fillId="61" borderId="0" applyNumberFormat="0" applyBorder="0" applyAlignment="0" applyProtection="0"/>
    <xf numFmtId="0" fontId="1" fillId="64" borderId="0" applyNumberFormat="0" applyBorder="0" applyAlignment="0" applyProtection="0"/>
    <xf numFmtId="0" fontId="1" fillId="68" borderId="0" applyNumberFormat="0" applyBorder="0" applyAlignment="0" applyProtection="0"/>
    <xf numFmtId="0" fontId="1" fillId="69" borderId="0" applyNumberFormat="0" applyBorder="0" applyAlignment="0" applyProtection="0"/>
    <xf numFmtId="0" fontId="1" fillId="72" borderId="0" applyNumberFormat="0" applyBorder="0" applyAlignment="0" applyProtection="0"/>
    <xf numFmtId="0" fontId="1" fillId="73" borderId="0" applyNumberFormat="0" applyBorder="0" applyAlignment="0" applyProtection="0"/>
    <xf numFmtId="0" fontId="1" fillId="77" borderId="0" applyNumberFormat="0" applyBorder="0" applyAlignment="0" applyProtection="0"/>
    <xf numFmtId="0" fontId="1" fillId="80" borderId="0" applyNumberFormat="0" applyBorder="0" applyAlignment="0" applyProtection="0"/>
    <xf numFmtId="0" fontId="1" fillId="81" borderId="0" applyNumberFormat="0" applyBorder="0" applyAlignment="0" applyProtection="0"/>
    <xf numFmtId="0" fontId="1" fillId="60" borderId="0" applyNumberFormat="0" applyBorder="0" applyAlignment="0" applyProtection="0"/>
    <xf numFmtId="0" fontId="1" fillId="61" borderId="0" applyNumberFormat="0" applyBorder="0" applyAlignment="0" applyProtection="0"/>
    <xf numFmtId="0" fontId="1" fillId="64" borderId="0" applyNumberFormat="0" applyBorder="0" applyAlignment="0" applyProtection="0"/>
    <xf numFmtId="0" fontId="1" fillId="68" borderId="0" applyNumberFormat="0" applyBorder="0" applyAlignment="0" applyProtection="0"/>
    <xf numFmtId="0" fontId="1" fillId="69" borderId="0" applyNumberFormat="0" applyBorder="0" applyAlignment="0" applyProtection="0"/>
    <xf numFmtId="0" fontId="1" fillId="72" borderId="0" applyNumberFormat="0" applyBorder="0" applyAlignment="0" applyProtection="0"/>
    <xf numFmtId="0" fontId="1" fillId="73" borderId="0" applyNumberFormat="0" applyBorder="0" applyAlignment="0" applyProtection="0"/>
    <xf numFmtId="0" fontId="1" fillId="77" borderId="0" applyNumberFormat="0" applyBorder="0" applyAlignment="0" applyProtection="0"/>
    <xf numFmtId="0" fontId="1" fillId="80" borderId="0" applyNumberFormat="0" applyBorder="0" applyAlignment="0" applyProtection="0"/>
    <xf numFmtId="0" fontId="1" fillId="81" borderId="0" applyNumberFormat="0" applyBorder="0" applyAlignment="0" applyProtection="0"/>
    <xf numFmtId="0" fontId="1" fillId="58" borderId="104" applyNumberFormat="0" applyFont="0" applyAlignment="0" applyProtection="0"/>
    <xf numFmtId="0" fontId="1" fillId="60" borderId="0" applyNumberFormat="0" applyBorder="0" applyAlignment="0" applyProtection="0"/>
    <xf numFmtId="0" fontId="1" fillId="61" borderId="0" applyNumberFormat="0" applyBorder="0" applyAlignment="0" applyProtection="0"/>
    <xf numFmtId="0" fontId="1" fillId="64" borderId="0" applyNumberFormat="0" applyBorder="0" applyAlignment="0" applyProtection="0"/>
    <xf numFmtId="0" fontId="1" fillId="68" borderId="0" applyNumberFormat="0" applyBorder="0" applyAlignment="0" applyProtection="0"/>
    <xf numFmtId="0" fontId="1" fillId="69" borderId="0" applyNumberFormat="0" applyBorder="0" applyAlignment="0" applyProtection="0"/>
    <xf numFmtId="0" fontId="1" fillId="72" borderId="0" applyNumberFormat="0" applyBorder="0" applyAlignment="0" applyProtection="0"/>
    <xf numFmtId="0" fontId="1" fillId="73" borderId="0" applyNumberFormat="0" applyBorder="0" applyAlignment="0" applyProtection="0"/>
    <xf numFmtId="0" fontId="1" fillId="77" borderId="0" applyNumberFormat="0" applyBorder="0" applyAlignment="0" applyProtection="0"/>
    <xf numFmtId="0" fontId="1" fillId="80" borderId="0" applyNumberFormat="0" applyBorder="0" applyAlignment="0" applyProtection="0"/>
    <xf numFmtId="0" fontId="1" fillId="81" borderId="0" applyNumberFormat="0" applyBorder="0" applyAlignment="0" applyProtection="0"/>
    <xf numFmtId="0" fontId="1" fillId="58" borderId="104" applyNumberFormat="0" applyFont="0" applyAlignment="0" applyProtection="0"/>
    <xf numFmtId="0" fontId="1" fillId="58" borderId="104" applyNumberFormat="0" applyFont="0" applyAlignment="0" applyProtection="0"/>
    <xf numFmtId="0" fontId="1" fillId="60" borderId="0" applyNumberFormat="0" applyBorder="0" applyAlignment="0" applyProtection="0"/>
    <xf numFmtId="0" fontId="1" fillId="61" borderId="0" applyNumberFormat="0" applyBorder="0" applyAlignment="0" applyProtection="0"/>
    <xf numFmtId="0" fontId="1" fillId="64" borderId="0" applyNumberFormat="0" applyBorder="0" applyAlignment="0" applyProtection="0"/>
    <xf numFmtId="0" fontId="1" fillId="68" borderId="0" applyNumberFormat="0" applyBorder="0" applyAlignment="0" applyProtection="0"/>
    <xf numFmtId="0" fontId="1" fillId="69" borderId="0" applyNumberFormat="0" applyBorder="0" applyAlignment="0" applyProtection="0"/>
    <xf numFmtId="0" fontId="1" fillId="72" borderId="0" applyNumberFormat="0" applyBorder="0" applyAlignment="0" applyProtection="0"/>
    <xf numFmtId="0" fontId="1" fillId="73" borderId="0" applyNumberFormat="0" applyBorder="0" applyAlignment="0" applyProtection="0"/>
    <xf numFmtId="0" fontId="1" fillId="77" borderId="0" applyNumberFormat="0" applyBorder="0" applyAlignment="0" applyProtection="0"/>
    <xf numFmtId="0" fontId="1" fillId="80" borderId="0" applyNumberFormat="0" applyBorder="0" applyAlignment="0" applyProtection="0"/>
    <xf numFmtId="0" fontId="1" fillId="81" borderId="0" applyNumberFormat="0" applyBorder="0" applyAlignment="0" applyProtection="0"/>
    <xf numFmtId="0" fontId="1" fillId="60" borderId="0" applyNumberFormat="0" applyBorder="0" applyAlignment="0" applyProtection="0"/>
    <xf numFmtId="0" fontId="1" fillId="61" borderId="0" applyNumberFormat="0" applyBorder="0" applyAlignment="0" applyProtection="0"/>
    <xf numFmtId="0" fontId="1" fillId="64" borderId="0" applyNumberFormat="0" applyBorder="0" applyAlignment="0" applyProtection="0"/>
    <xf numFmtId="0" fontId="1" fillId="68" borderId="0" applyNumberFormat="0" applyBorder="0" applyAlignment="0" applyProtection="0"/>
    <xf numFmtId="0" fontId="1" fillId="69" borderId="0" applyNumberFormat="0" applyBorder="0" applyAlignment="0" applyProtection="0"/>
    <xf numFmtId="0" fontId="1" fillId="72" borderId="0" applyNumberFormat="0" applyBorder="0" applyAlignment="0" applyProtection="0"/>
    <xf numFmtId="0" fontId="1" fillId="73" borderId="0" applyNumberFormat="0" applyBorder="0" applyAlignment="0" applyProtection="0"/>
    <xf numFmtId="0" fontId="1" fillId="77" borderId="0" applyNumberFormat="0" applyBorder="0" applyAlignment="0" applyProtection="0"/>
    <xf numFmtId="0" fontId="1" fillId="80" borderId="0" applyNumberFormat="0" applyBorder="0" applyAlignment="0" applyProtection="0"/>
    <xf numFmtId="0" fontId="1" fillId="81" borderId="0" applyNumberFormat="0" applyBorder="0" applyAlignment="0" applyProtection="0"/>
    <xf numFmtId="0" fontId="1" fillId="58" borderId="104" applyNumberFormat="0" applyFont="0" applyAlignment="0" applyProtection="0"/>
    <xf numFmtId="0" fontId="1" fillId="60" borderId="0" applyNumberFormat="0" applyBorder="0" applyAlignment="0" applyProtection="0"/>
    <xf numFmtId="0" fontId="1" fillId="61" borderId="0" applyNumberFormat="0" applyBorder="0" applyAlignment="0" applyProtection="0"/>
    <xf numFmtId="0" fontId="1" fillId="64" borderId="0" applyNumberFormat="0" applyBorder="0" applyAlignment="0" applyProtection="0"/>
    <xf numFmtId="0" fontId="1" fillId="68" borderId="0" applyNumberFormat="0" applyBorder="0" applyAlignment="0" applyProtection="0"/>
    <xf numFmtId="0" fontId="1" fillId="69" borderId="0" applyNumberFormat="0" applyBorder="0" applyAlignment="0" applyProtection="0"/>
    <xf numFmtId="0" fontId="1" fillId="72" borderId="0" applyNumberFormat="0" applyBorder="0" applyAlignment="0" applyProtection="0"/>
    <xf numFmtId="0" fontId="1" fillId="73" borderId="0" applyNumberFormat="0" applyBorder="0" applyAlignment="0" applyProtection="0"/>
    <xf numFmtId="0" fontId="1" fillId="77" borderId="0" applyNumberFormat="0" applyBorder="0" applyAlignment="0" applyProtection="0"/>
    <xf numFmtId="0" fontId="1" fillId="80" borderId="0" applyNumberFormat="0" applyBorder="0" applyAlignment="0" applyProtection="0"/>
    <xf numFmtId="0" fontId="1" fillId="81" borderId="0" applyNumberFormat="0" applyBorder="0" applyAlignment="0" applyProtection="0"/>
    <xf numFmtId="0" fontId="1" fillId="58" borderId="104" applyNumberFormat="0" applyFont="0" applyAlignment="0" applyProtection="0"/>
    <xf numFmtId="0" fontId="1" fillId="58" borderId="104" applyNumberFormat="0" applyFont="0" applyAlignment="0" applyProtection="0"/>
    <xf numFmtId="0" fontId="1" fillId="60" borderId="0" applyNumberFormat="0" applyBorder="0" applyAlignment="0" applyProtection="0"/>
    <xf numFmtId="0" fontId="1" fillId="61" borderId="0" applyNumberFormat="0" applyBorder="0" applyAlignment="0" applyProtection="0"/>
    <xf numFmtId="0" fontId="1" fillId="64" borderId="0" applyNumberFormat="0" applyBorder="0" applyAlignment="0" applyProtection="0"/>
    <xf numFmtId="0" fontId="1" fillId="68" borderId="0" applyNumberFormat="0" applyBorder="0" applyAlignment="0" applyProtection="0"/>
    <xf numFmtId="0" fontId="1" fillId="69" borderId="0" applyNumberFormat="0" applyBorder="0" applyAlignment="0" applyProtection="0"/>
    <xf numFmtId="0" fontId="1" fillId="72" borderId="0" applyNumberFormat="0" applyBorder="0" applyAlignment="0" applyProtection="0"/>
    <xf numFmtId="0" fontId="1" fillId="73" borderId="0" applyNumberFormat="0" applyBorder="0" applyAlignment="0" applyProtection="0"/>
    <xf numFmtId="0" fontId="1" fillId="77" borderId="0" applyNumberFormat="0" applyBorder="0" applyAlignment="0" applyProtection="0"/>
    <xf numFmtId="0" fontId="1" fillId="80" borderId="0" applyNumberFormat="0" applyBorder="0" applyAlignment="0" applyProtection="0"/>
    <xf numFmtId="0" fontId="1" fillId="81" borderId="0" applyNumberFormat="0" applyBorder="0" applyAlignment="0" applyProtection="0"/>
    <xf numFmtId="0" fontId="1" fillId="60" borderId="0" applyNumberFormat="0" applyBorder="0" applyAlignment="0" applyProtection="0"/>
    <xf numFmtId="0" fontId="1" fillId="61" borderId="0" applyNumberFormat="0" applyBorder="0" applyAlignment="0" applyProtection="0"/>
    <xf numFmtId="0" fontId="1" fillId="64" borderId="0" applyNumberFormat="0" applyBorder="0" applyAlignment="0" applyProtection="0"/>
    <xf numFmtId="0" fontId="1" fillId="68" borderId="0" applyNumberFormat="0" applyBorder="0" applyAlignment="0" applyProtection="0"/>
    <xf numFmtId="0" fontId="1" fillId="69" borderId="0" applyNumberFormat="0" applyBorder="0" applyAlignment="0" applyProtection="0"/>
    <xf numFmtId="0" fontId="1" fillId="72" borderId="0" applyNumberFormat="0" applyBorder="0" applyAlignment="0" applyProtection="0"/>
    <xf numFmtId="0" fontId="1" fillId="73" borderId="0" applyNumberFormat="0" applyBorder="0" applyAlignment="0" applyProtection="0"/>
    <xf numFmtId="0" fontId="1" fillId="77" borderId="0" applyNumberFormat="0" applyBorder="0" applyAlignment="0" applyProtection="0"/>
    <xf numFmtId="0" fontId="1" fillId="80" borderId="0" applyNumberFormat="0" applyBorder="0" applyAlignment="0" applyProtection="0"/>
    <xf numFmtId="0" fontId="1" fillId="81" borderId="0" applyNumberFormat="0" applyBorder="0" applyAlignment="0" applyProtection="0"/>
    <xf numFmtId="0" fontId="1" fillId="58" borderId="104" applyNumberFormat="0" applyFont="0" applyAlignment="0" applyProtection="0"/>
    <xf numFmtId="0" fontId="1" fillId="60" borderId="0" applyNumberFormat="0" applyBorder="0" applyAlignment="0" applyProtection="0"/>
    <xf numFmtId="0" fontId="1" fillId="61" borderId="0" applyNumberFormat="0" applyBorder="0" applyAlignment="0" applyProtection="0"/>
    <xf numFmtId="0" fontId="1" fillId="64" borderId="0" applyNumberFormat="0" applyBorder="0" applyAlignment="0" applyProtection="0"/>
    <xf numFmtId="0" fontId="1" fillId="68" borderId="0" applyNumberFormat="0" applyBorder="0" applyAlignment="0" applyProtection="0"/>
    <xf numFmtId="0" fontId="1" fillId="69" borderId="0" applyNumberFormat="0" applyBorder="0" applyAlignment="0" applyProtection="0"/>
    <xf numFmtId="0" fontId="1" fillId="72" borderId="0" applyNumberFormat="0" applyBorder="0" applyAlignment="0" applyProtection="0"/>
    <xf numFmtId="0" fontId="1" fillId="73" borderId="0" applyNumberFormat="0" applyBorder="0" applyAlignment="0" applyProtection="0"/>
    <xf numFmtId="0" fontId="1" fillId="77" borderId="0" applyNumberFormat="0" applyBorder="0" applyAlignment="0" applyProtection="0"/>
    <xf numFmtId="0" fontId="1" fillId="80" borderId="0" applyNumberFormat="0" applyBorder="0" applyAlignment="0" applyProtection="0"/>
    <xf numFmtId="0" fontId="1" fillId="81" borderId="0" applyNumberFormat="0" applyBorder="0" applyAlignment="0" applyProtection="0"/>
    <xf numFmtId="0" fontId="1" fillId="58" borderId="104" applyNumberFormat="0" applyFont="0" applyAlignment="0" applyProtection="0"/>
    <xf numFmtId="0" fontId="1" fillId="58" borderId="104" applyNumberFormat="0" applyFont="0" applyAlignment="0" applyProtection="0"/>
    <xf numFmtId="0" fontId="1" fillId="60" borderId="0" applyNumberFormat="0" applyBorder="0" applyAlignment="0" applyProtection="0"/>
    <xf numFmtId="0" fontId="1" fillId="61" borderId="0" applyNumberFormat="0" applyBorder="0" applyAlignment="0" applyProtection="0"/>
    <xf numFmtId="0" fontId="1" fillId="64" borderId="0" applyNumberFormat="0" applyBorder="0" applyAlignment="0" applyProtection="0"/>
    <xf numFmtId="0" fontId="1" fillId="68" borderId="0" applyNumberFormat="0" applyBorder="0" applyAlignment="0" applyProtection="0"/>
    <xf numFmtId="0" fontId="1" fillId="69" borderId="0" applyNumberFormat="0" applyBorder="0" applyAlignment="0" applyProtection="0"/>
    <xf numFmtId="0" fontId="1" fillId="72" borderId="0" applyNumberFormat="0" applyBorder="0" applyAlignment="0" applyProtection="0"/>
    <xf numFmtId="0" fontId="1" fillId="73" borderId="0" applyNumberFormat="0" applyBorder="0" applyAlignment="0" applyProtection="0"/>
    <xf numFmtId="0" fontId="1" fillId="77" borderId="0" applyNumberFormat="0" applyBorder="0" applyAlignment="0" applyProtection="0"/>
    <xf numFmtId="0" fontId="1" fillId="80" borderId="0" applyNumberFormat="0" applyBorder="0" applyAlignment="0" applyProtection="0"/>
    <xf numFmtId="0" fontId="1" fillId="81" borderId="0" applyNumberFormat="0" applyBorder="0" applyAlignment="0" applyProtection="0"/>
    <xf numFmtId="0" fontId="1" fillId="60" borderId="0" applyNumberFormat="0" applyBorder="0" applyAlignment="0" applyProtection="0"/>
    <xf numFmtId="0" fontId="1" fillId="61" borderId="0" applyNumberFormat="0" applyBorder="0" applyAlignment="0" applyProtection="0"/>
    <xf numFmtId="0" fontId="1" fillId="64" borderId="0" applyNumberFormat="0" applyBorder="0" applyAlignment="0" applyProtection="0"/>
    <xf numFmtId="0" fontId="1" fillId="68" borderId="0" applyNumberFormat="0" applyBorder="0" applyAlignment="0" applyProtection="0"/>
    <xf numFmtId="0" fontId="1" fillId="69" borderId="0" applyNumberFormat="0" applyBorder="0" applyAlignment="0" applyProtection="0"/>
    <xf numFmtId="0" fontId="1" fillId="72" borderId="0" applyNumberFormat="0" applyBorder="0" applyAlignment="0" applyProtection="0"/>
    <xf numFmtId="0" fontId="1" fillId="73" borderId="0" applyNumberFormat="0" applyBorder="0" applyAlignment="0" applyProtection="0"/>
    <xf numFmtId="0" fontId="1" fillId="77" borderId="0" applyNumberFormat="0" applyBorder="0" applyAlignment="0" applyProtection="0"/>
    <xf numFmtId="0" fontId="1" fillId="80" borderId="0" applyNumberFormat="0" applyBorder="0" applyAlignment="0" applyProtection="0"/>
    <xf numFmtId="0" fontId="1" fillId="81" borderId="0" applyNumberFormat="0" applyBorder="0" applyAlignment="0" applyProtection="0"/>
    <xf numFmtId="0" fontId="1" fillId="58" borderId="104" applyNumberFormat="0" applyFont="0" applyAlignment="0" applyProtection="0"/>
    <xf numFmtId="0" fontId="1" fillId="60" borderId="0" applyNumberFormat="0" applyBorder="0" applyAlignment="0" applyProtection="0"/>
    <xf numFmtId="0" fontId="1" fillId="61" borderId="0" applyNumberFormat="0" applyBorder="0" applyAlignment="0" applyProtection="0"/>
    <xf numFmtId="0" fontId="1" fillId="64" borderId="0" applyNumberFormat="0" applyBorder="0" applyAlignment="0" applyProtection="0"/>
    <xf numFmtId="0" fontId="1" fillId="68" borderId="0" applyNumberFormat="0" applyBorder="0" applyAlignment="0" applyProtection="0"/>
    <xf numFmtId="0" fontId="1" fillId="69" borderId="0" applyNumberFormat="0" applyBorder="0" applyAlignment="0" applyProtection="0"/>
    <xf numFmtId="0" fontId="1" fillId="72" borderId="0" applyNumberFormat="0" applyBorder="0" applyAlignment="0" applyProtection="0"/>
    <xf numFmtId="0" fontId="1" fillId="73" borderId="0" applyNumberFormat="0" applyBorder="0" applyAlignment="0" applyProtection="0"/>
    <xf numFmtId="0" fontId="1" fillId="77" borderId="0" applyNumberFormat="0" applyBorder="0" applyAlignment="0" applyProtection="0"/>
    <xf numFmtId="0" fontId="1" fillId="80" borderId="0" applyNumberFormat="0" applyBorder="0" applyAlignment="0" applyProtection="0"/>
    <xf numFmtId="0" fontId="1" fillId="81" borderId="0" applyNumberFormat="0" applyBorder="0" applyAlignment="0" applyProtection="0"/>
    <xf numFmtId="0" fontId="1" fillId="58" borderId="104" applyNumberFormat="0" applyFont="0" applyAlignment="0" applyProtection="0"/>
    <xf numFmtId="0" fontId="1" fillId="58" borderId="104" applyNumberFormat="0" applyFont="0" applyAlignment="0" applyProtection="0"/>
    <xf numFmtId="0" fontId="1" fillId="60" borderId="0" applyNumberFormat="0" applyBorder="0" applyAlignment="0" applyProtection="0"/>
    <xf numFmtId="0" fontId="1" fillId="61" borderId="0" applyNumberFormat="0" applyBorder="0" applyAlignment="0" applyProtection="0"/>
    <xf numFmtId="0" fontId="1" fillId="64" borderId="0" applyNumberFormat="0" applyBorder="0" applyAlignment="0" applyProtection="0"/>
    <xf numFmtId="0" fontId="1" fillId="68" borderId="0" applyNumberFormat="0" applyBorder="0" applyAlignment="0" applyProtection="0"/>
    <xf numFmtId="0" fontId="1" fillId="69" borderId="0" applyNumberFormat="0" applyBorder="0" applyAlignment="0" applyProtection="0"/>
    <xf numFmtId="0" fontId="1" fillId="72" borderId="0" applyNumberFormat="0" applyBorder="0" applyAlignment="0" applyProtection="0"/>
    <xf numFmtId="0" fontId="1" fillId="73" borderId="0" applyNumberFormat="0" applyBorder="0" applyAlignment="0" applyProtection="0"/>
    <xf numFmtId="0" fontId="1" fillId="77" borderId="0" applyNumberFormat="0" applyBorder="0" applyAlignment="0" applyProtection="0"/>
    <xf numFmtId="0" fontId="1" fillId="80" borderId="0" applyNumberFormat="0" applyBorder="0" applyAlignment="0" applyProtection="0"/>
    <xf numFmtId="0" fontId="1" fillId="81" borderId="0" applyNumberFormat="0" applyBorder="0" applyAlignment="0" applyProtection="0"/>
    <xf numFmtId="0" fontId="1" fillId="60" borderId="0" applyNumberFormat="0" applyBorder="0" applyAlignment="0" applyProtection="0"/>
    <xf numFmtId="0" fontId="1" fillId="61" borderId="0" applyNumberFormat="0" applyBorder="0" applyAlignment="0" applyProtection="0"/>
    <xf numFmtId="0" fontId="1" fillId="64" borderId="0" applyNumberFormat="0" applyBorder="0" applyAlignment="0" applyProtection="0"/>
    <xf numFmtId="0" fontId="1" fillId="68" borderId="0" applyNumberFormat="0" applyBorder="0" applyAlignment="0" applyProtection="0"/>
    <xf numFmtId="0" fontId="1" fillId="69" borderId="0" applyNumberFormat="0" applyBorder="0" applyAlignment="0" applyProtection="0"/>
    <xf numFmtId="0" fontId="1" fillId="72" borderId="0" applyNumberFormat="0" applyBorder="0" applyAlignment="0" applyProtection="0"/>
    <xf numFmtId="0" fontId="1" fillId="73" borderId="0" applyNumberFormat="0" applyBorder="0" applyAlignment="0" applyProtection="0"/>
    <xf numFmtId="0" fontId="1" fillId="77" borderId="0" applyNumberFormat="0" applyBorder="0" applyAlignment="0" applyProtection="0"/>
    <xf numFmtId="0" fontId="1" fillId="80" borderId="0" applyNumberFormat="0" applyBorder="0" applyAlignment="0" applyProtection="0"/>
    <xf numFmtId="0" fontId="1" fillId="81" borderId="0" applyNumberFormat="0" applyBorder="0" applyAlignment="0" applyProtection="0"/>
    <xf numFmtId="0" fontId="1" fillId="58" borderId="104" applyNumberFormat="0" applyFont="0" applyAlignment="0" applyProtection="0"/>
    <xf numFmtId="0" fontId="1" fillId="60" borderId="0" applyNumberFormat="0" applyBorder="0" applyAlignment="0" applyProtection="0"/>
    <xf numFmtId="0" fontId="1" fillId="60" borderId="0" applyNumberFormat="0" applyBorder="0" applyAlignment="0" applyProtection="0"/>
    <xf numFmtId="0" fontId="1" fillId="60" borderId="0" applyNumberFormat="0" applyBorder="0" applyAlignment="0" applyProtection="0"/>
    <xf numFmtId="0" fontId="1" fillId="60" borderId="0" applyNumberFormat="0" applyBorder="0" applyAlignment="0" applyProtection="0"/>
    <xf numFmtId="0" fontId="1" fillId="60" borderId="0" applyNumberFormat="0" applyBorder="0" applyAlignment="0" applyProtection="0"/>
    <xf numFmtId="0" fontId="1" fillId="60" borderId="0" applyNumberFormat="0" applyBorder="0" applyAlignment="0" applyProtection="0"/>
    <xf numFmtId="0" fontId="1" fillId="60" borderId="0" applyNumberFormat="0" applyBorder="0" applyAlignment="0" applyProtection="0"/>
    <xf numFmtId="0" fontId="1" fillId="60" borderId="0" applyNumberFormat="0" applyBorder="0" applyAlignment="0" applyProtection="0"/>
    <xf numFmtId="0" fontId="1" fillId="60" borderId="0" applyNumberFormat="0" applyBorder="0" applyAlignment="0" applyProtection="0"/>
    <xf numFmtId="0" fontId="1" fillId="64" borderId="0" applyNumberFormat="0" applyBorder="0" applyAlignment="0" applyProtection="0"/>
    <xf numFmtId="0" fontId="1" fillId="64" borderId="0" applyNumberFormat="0" applyBorder="0" applyAlignment="0" applyProtection="0"/>
    <xf numFmtId="0" fontId="1" fillId="64" borderId="0" applyNumberFormat="0" applyBorder="0" applyAlignment="0" applyProtection="0"/>
    <xf numFmtId="0" fontId="1" fillId="64" borderId="0" applyNumberFormat="0" applyBorder="0" applyAlignment="0" applyProtection="0"/>
    <xf numFmtId="0" fontId="1" fillId="64" borderId="0" applyNumberFormat="0" applyBorder="0" applyAlignment="0" applyProtection="0"/>
    <xf numFmtId="0" fontId="1" fillId="64" borderId="0" applyNumberFormat="0" applyBorder="0" applyAlignment="0" applyProtection="0"/>
    <xf numFmtId="0" fontId="1" fillId="64" borderId="0" applyNumberFormat="0" applyBorder="0" applyAlignment="0" applyProtection="0"/>
    <xf numFmtId="0" fontId="1" fillId="64" borderId="0" applyNumberFormat="0" applyBorder="0" applyAlignment="0" applyProtection="0"/>
    <xf numFmtId="0" fontId="1" fillId="64" borderId="0" applyNumberFormat="0" applyBorder="0" applyAlignment="0" applyProtection="0"/>
    <xf numFmtId="0" fontId="1" fillId="68" borderId="0" applyNumberFormat="0" applyBorder="0" applyAlignment="0" applyProtection="0"/>
    <xf numFmtId="0" fontId="1" fillId="68" borderId="0" applyNumberFormat="0" applyBorder="0" applyAlignment="0" applyProtection="0"/>
    <xf numFmtId="0" fontId="1" fillId="68" borderId="0" applyNumberFormat="0" applyBorder="0" applyAlignment="0" applyProtection="0"/>
    <xf numFmtId="0" fontId="1" fillId="68" borderId="0" applyNumberFormat="0" applyBorder="0" applyAlignment="0" applyProtection="0"/>
    <xf numFmtId="0" fontId="1" fillId="68" borderId="0" applyNumberFormat="0" applyBorder="0" applyAlignment="0" applyProtection="0"/>
    <xf numFmtId="0" fontId="1" fillId="68" borderId="0" applyNumberFormat="0" applyBorder="0" applyAlignment="0" applyProtection="0"/>
    <xf numFmtId="0" fontId="1" fillId="68" borderId="0" applyNumberFormat="0" applyBorder="0" applyAlignment="0" applyProtection="0"/>
    <xf numFmtId="0" fontId="1" fillId="68" borderId="0" applyNumberFormat="0" applyBorder="0" applyAlignment="0" applyProtection="0"/>
    <xf numFmtId="0" fontId="1" fillId="68" borderId="0" applyNumberFormat="0" applyBorder="0" applyAlignment="0" applyProtection="0"/>
    <xf numFmtId="0" fontId="1" fillId="72" borderId="0" applyNumberFormat="0" applyBorder="0" applyAlignment="0" applyProtection="0"/>
    <xf numFmtId="0" fontId="1" fillId="72" borderId="0" applyNumberFormat="0" applyBorder="0" applyAlignment="0" applyProtection="0"/>
    <xf numFmtId="0" fontId="1" fillId="72" borderId="0" applyNumberFormat="0" applyBorder="0" applyAlignment="0" applyProtection="0"/>
    <xf numFmtId="0" fontId="1" fillId="72" borderId="0" applyNumberFormat="0" applyBorder="0" applyAlignment="0" applyProtection="0"/>
    <xf numFmtId="0" fontId="1" fillId="72" borderId="0" applyNumberFormat="0" applyBorder="0" applyAlignment="0" applyProtection="0"/>
    <xf numFmtId="0" fontId="1" fillId="72" borderId="0" applyNumberFormat="0" applyBorder="0" applyAlignment="0" applyProtection="0"/>
    <xf numFmtId="0" fontId="1" fillId="72" borderId="0" applyNumberFormat="0" applyBorder="0" applyAlignment="0" applyProtection="0"/>
    <xf numFmtId="0" fontId="1" fillId="72" borderId="0" applyNumberFormat="0" applyBorder="0" applyAlignment="0" applyProtection="0"/>
    <xf numFmtId="0" fontId="1" fillId="72" borderId="0" applyNumberFormat="0" applyBorder="0" applyAlignment="0" applyProtection="0"/>
    <xf numFmtId="0" fontId="1" fillId="80" borderId="0" applyNumberFormat="0" applyBorder="0" applyAlignment="0" applyProtection="0"/>
    <xf numFmtId="0" fontId="1" fillId="80" borderId="0" applyNumberFormat="0" applyBorder="0" applyAlignment="0" applyProtection="0"/>
    <xf numFmtId="0" fontId="1" fillId="80" borderId="0" applyNumberFormat="0" applyBorder="0" applyAlignment="0" applyProtection="0"/>
    <xf numFmtId="0" fontId="1" fillId="80" borderId="0" applyNumberFormat="0" applyBorder="0" applyAlignment="0" applyProtection="0"/>
    <xf numFmtId="0" fontId="1" fillId="80" borderId="0" applyNumberFormat="0" applyBorder="0" applyAlignment="0" applyProtection="0"/>
    <xf numFmtId="0" fontId="1" fillId="80" borderId="0" applyNumberFormat="0" applyBorder="0" applyAlignment="0" applyProtection="0"/>
    <xf numFmtId="0" fontId="1" fillId="80" borderId="0" applyNumberFormat="0" applyBorder="0" applyAlignment="0" applyProtection="0"/>
    <xf numFmtId="0" fontId="1" fillId="80" borderId="0" applyNumberFormat="0" applyBorder="0" applyAlignment="0" applyProtection="0"/>
    <xf numFmtId="0" fontId="1" fillId="80" borderId="0" applyNumberFormat="0" applyBorder="0" applyAlignment="0" applyProtection="0"/>
    <xf numFmtId="0" fontId="1" fillId="61" borderId="0" applyNumberFormat="0" applyBorder="0" applyAlignment="0" applyProtection="0"/>
    <xf numFmtId="0" fontId="1" fillId="61" borderId="0" applyNumberFormat="0" applyBorder="0" applyAlignment="0" applyProtection="0"/>
    <xf numFmtId="0" fontId="1" fillId="61" borderId="0" applyNumberFormat="0" applyBorder="0" applyAlignment="0" applyProtection="0"/>
    <xf numFmtId="0" fontId="1" fillId="61" borderId="0" applyNumberFormat="0" applyBorder="0" applyAlignment="0" applyProtection="0"/>
    <xf numFmtId="0" fontId="1" fillId="61" borderId="0" applyNumberFormat="0" applyBorder="0" applyAlignment="0" applyProtection="0"/>
    <xf numFmtId="0" fontId="1" fillId="61" borderId="0" applyNumberFormat="0" applyBorder="0" applyAlignment="0" applyProtection="0"/>
    <xf numFmtId="0" fontId="1" fillId="61" borderId="0" applyNumberFormat="0" applyBorder="0" applyAlignment="0" applyProtection="0"/>
    <xf numFmtId="0" fontId="1" fillId="61" borderId="0" applyNumberFormat="0" applyBorder="0" applyAlignment="0" applyProtection="0"/>
    <xf numFmtId="0" fontId="1" fillId="61" borderId="0" applyNumberFormat="0" applyBorder="0" applyAlignment="0" applyProtection="0"/>
    <xf numFmtId="0" fontId="1" fillId="69" borderId="0" applyNumberFormat="0" applyBorder="0" applyAlignment="0" applyProtection="0"/>
    <xf numFmtId="0" fontId="1" fillId="69" borderId="0" applyNumberFormat="0" applyBorder="0" applyAlignment="0" applyProtection="0"/>
    <xf numFmtId="0" fontId="1" fillId="69" borderId="0" applyNumberFormat="0" applyBorder="0" applyAlignment="0" applyProtection="0"/>
    <xf numFmtId="0" fontId="1" fillId="69" borderId="0" applyNumberFormat="0" applyBorder="0" applyAlignment="0" applyProtection="0"/>
    <xf numFmtId="0" fontId="1" fillId="69" borderId="0" applyNumberFormat="0" applyBorder="0" applyAlignment="0" applyProtection="0"/>
    <xf numFmtId="0" fontId="1" fillId="69" borderId="0" applyNumberFormat="0" applyBorder="0" applyAlignment="0" applyProtection="0"/>
    <xf numFmtId="0" fontId="1" fillId="69" borderId="0" applyNumberFormat="0" applyBorder="0" applyAlignment="0" applyProtection="0"/>
    <xf numFmtId="0" fontId="1" fillId="69" borderId="0" applyNumberFormat="0" applyBorder="0" applyAlignment="0" applyProtection="0"/>
    <xf numFmtId="0" fontId="1" fillId="69" borderId="0" applyNumberFormat="0" applyBorder="0" applyAlignment="0" applyProtection="0"/>
    <xf numFmtId="0" fontId="1" fillId="73" borderId="0" applyNumberFormat="0" applyBorder="0" applyAlignment="0" applyProtection="0"/>
    <xf numFmtId="0" fontId="1" fillId="73" borderId="0" applyNumberFormat="0" applyBorder="0" applyAlignment="0" applyProtection="0"/>
    <xf numFmtId="0" fontId="1" fillId="73" borderId="0" applyNumberFormat="0" applyBorder="0" applyAlignment="0" applyProtection="0"/>
    <xf numFmtId="0" fontId="1" fillId="73" borderId="0" applyNumberFormat="0" applyBorder="0" applyAlignment="0" applyProtection="0"/>
    <xf numFmtId="0" fontId="1" fillId="73" borderId="0" applyNumberFormat="0" applyBorder="0" applyAlignment="0" applyProtection="0"/>
    <xf numFmtId="0" fontId="1" fillId="73" borderId="0" applyNumberFormat="0" applyBorder="0" applyAlignment="0" applyProtection="0"/>
    <xf numFmtId="0" fontId="1" fillId="73" borderId="0" applyNumberFormat="0" applyBorder="0" applyAlignment="0" applyProtection="0"/>
    <xf numFmtId="0" fontId="1" fillId="73" borderId="0" applyNumberFormat="0" applyBorder="0" applyAlignment="0" applyProtection="0"/>
    <xf numFmtId="0" fontId="1" fillId="73" borderId="0" applyNumberFormat="0" applyBorder="0" applyAlignment="0" applyProtection="0"/>
    <xf numFmtId="0" fontId="1" fillId="77" borderId="0" applyNumberFormat="0" applyBorder="0" applyAlignment="0" applyProtection="0"/>
    <xf numFmtId="0" fontId="1" fillId="77" borderId="0" applyNumberFormat="0" applyBorder="0" applyAlignment="0" applyProtection="0"/>
    <xf numFmtId="0" fontId="1" fillId="77" borderId="0" applyNumberFormat="0" applyBorder="0" applyAlignment="0" applyProtection="0"/>
    <xf numFmtId="0" fontId="1" fillId="77" borderId="0" applyNumberFormat="0" applyBorder="0" applyAlignment="0" applyProtection="0"/>
    <xf numFmtId="0" fontId="1" fillId="77" borderId="0" applyNumberFormat="0" applyBorder="0" applyAlignment="0" applyProtection="0"/>
    <xf numFmtId="0" fontId="1" fillId="77" borderId="0" applyNumberFormat="0" applyBorder="0" applyAlignment="0" applyProtection="0"/>
    <xf numFmtId="0" fontId="1" fillId="77" borderId="0" applyNumberFormat="0" applyBorder="0" applyAlignment="0" applyProtection="0"/>
    <xf numFmtId="0" fontId="1" fillId="77" borderId="0" applyNumberFormat="0" applyBorder="0" applyAlignment="0" applyProtection="0"/>
    <xf numFmtId="0" fontId="1" fillId="77" borderId="0" applyNumberFormat="0" applyBorder="0" applyAlignment="0" applyProtection="0"/>
    <xf numFmtId="0" fontId="1" fillId="81" borderId="0" applyNumberFormat="0" applyBorder="0" applyAlignment="0" applyProtection="0"/>
    <xf numFmtId="0" fontId="1" fillId="81" borderId="0" applyNumberFormat="0" applyBorder="0" applyAlignment="0" applyProtection="0"/>
    <xf numFmtId="0" fontId="1" fillId="81" borderId="0" applyNumberFormat="0" applyBorder="0" applyAlignment="0" applyProtection="0"/>
    <xf numFmtId="0" fontId="1" fillId="81" borderId="0" applyNumberFormat="0" applyBorder="0" applyAlignment="0" applyProtection="0"/>
    <xf numFmtId="0" fontId="1" fillId="81" borderId="0" applyNumberFormat="0" applyBorder="0" applyAlignment="0" applyProtection="0"/>
    <xf numFmtId="0" fontId="1" fillId="81" borderId="0" applyNumberFormat="0" applyBorder="0" applyAlignment="0" applyProtection="0"/>
    <xf numFmtId="0" fontId="1" fillId="81" borderId="0" applyNumberFormat="0" applyBorder="0" applyAlignment="0" applyProtection="0"/>
    <xf numFmtId="0" fontId="1" fillId="81" borderId="0" applyNumberFormat="0" applyBorder="0" applyAlignment="0" applyProtection="0"/>
    <xf numFmtId="0" fontId="1" fillId="81" borderId="0" applyNumberFormat="0" applyBorder="0" applyAlignment="0" applyProtection="0"/>
    <xf numFmtId="0" fontId="1" fillId="58" borderId="104" applyNumberFormat="0" applyFont="0" applyAlignment="0" applyProtection="0"/>
    <xf numFmtId="0" fontId="1" fillId="58" borderId="104" applyNumberFormat="0" applyFont="0" applyAlignment="0" applyProtection="0"/>
    <xf numFmtId="0" fontId="1" fillId="58" borderId="104" applyNumberFormat="0" applyFont="0" applyAlignment="0" applyProtection="0"/>
    <xf numFmtId="0" fontId="1" fillId="58" borderId="104" applyNumberFormat="0" applyFont="0" applyAlignment="0" applyProtection="0"/>
    <xf numFmtId="0" fontId="1" fillId="58" borderId="104" applyNumberFormat="0" applyFont="0" applyAlignment="0" applyProtection="0"/>
    <xf numFmtId="0" fontId="1" fillId="58" borderId="104" applyNumberFormat="0" applyFont="0" applyAlignment="0" applyProtection="0"/>
    <xf numFmtId="0" fontId="1" fillId="58" borderId="104" applyNumberFormat="0" applyFont="0" applyAlignment="0" applyProtection="0"/>
    <xf numFmtId="0" fontId="1" fillId="58" borderId="104" applyNumberFormat="0" applyFont="0" applyAlignment="0" applyProtection="0"/>
    <xf numFmtId="0" fontId="1" fillId="58" borderId="104" applyNumberFormat="0" applyFont="0" applyAlignment="0" applyProtection="0"/>
    <xf numFmtId="9" fontId="1" fillId="0" borderId="0" applyFont="0" applyFill="0" applyBorder="0" applyAlignment="0" applyProtection="0"/>
    <xf numFmtId="0" fontId="1" fillId="60" borderId="0" applyNumberFormat="0" applyBorder="0" applyAlignment="0" applyProtection="0"/>
    <xf numFmtId="0" fontId="1" fillId="61" borderId="0" applyNumberFormat="0" applyBorder="0" applyAlignment="0" applyProtection="0"/>
    <xf numFmtId="0" fontId="1" fillId="64" borderId="0" applyNumberFormat="0" applyBorder="0" applyAlignment="0" applyProtection="0"/>
    <xf numFmtId="0" fontId="1" fillId="68" borderId="0" applyNumberFormat="0" applyBorder="0" applyAlignment="0" applyProtection="0"/>
    <xf numFmtId="0" fontId="1" fillId="69" borderId="0" applyNumberFormat="0" applyBorder="0" applyAlignment="0" applyProtection="0"/>
    <xf numFmtId="0" fontId="1" fillId="72" borderId="0" applyNumberFormat="0" applyBorder="0" applyAlignment="0" applyProtection="0"/>
    <xf numFmtId="0" fontId="1" fillId="73" borderId="0" applyNumberFormat="0" applyBorder="0" applyAlignment="0" applyProtection="0"/>
    <xf numFmtId="0" fontId="1" fillId="77" borderId="0" applyNumberFormat="0" applyBorder="0" applyAlignment="0" applyProtection="0"/>
    <xf numFmtId="0" fontId="1" fillId="80" borderId="0" applyNumberFormat="0" applyBorder="0" applyAlignment="0" applyProtection="0"/>
    <xf numFmtId="0" fontId="1" fillId="81" borderId="0" applyNumberFormat="0" applyBorder="0" applyAlignment="0" applyProtection="0"/>
    <xf numFmtId="0" fontId="1" fillId="58" borderId="104" applyNumberFormat="0" applyFont="0" applyAlignment="0" applyProtection="0"/>
    <xf numFmtId="0" fontId="1" fillId="58" borderId="104" applyNumberFormat="0" applyFont="0" applyAlignment="0" applyProtection="0"/>
    <xf numFmtId="0" fontId="1" fillId="60" borderId="0" applyNumberFormat="0" applyBorder="0" applyAlignment="0" applyProtection="0"/>
    <xf numFmtId="0" fontId="1" fillId="61" borderId="0" applyNumberFormat="0" applyBorder="0" applyAlignment="0" applyProtection="0"/>
    <xf numFmtId="0" fontId="1" fillId="64" borderId="0" applyNumberFormat="0" applyBorder="0" applyAlignment="0" applyProtection="0"/>
    <xf numFmtId="0" fontId="1" fillId="68" borderId="0" applyNumberFormat="0" applyBorder="0" applyAlignment="0" applyProtection="0"/>
    <xf numFmtId="0" fontId="1" fillId="69" borderId="0" applyNumberFormat="0" applyBorder="0" applyAlignment="0" applyProtection="0"/>
    <xf numFmtId="0" fontId="1" fillId="72" borderId="0" applyNumberFormat="0" applyBorder="0" applyAlignment="0" applyProtection="0"/>
    <xf numFmtId="0" fontId="1" fillId="73" borderId="0" applyNumberFormat="0" applyBorder="0" applyAlignment="0" applyProtection="0"/>
    <xf numFmtId="0" fontId="1" fillId="77" borderId="0" applyNumberFormat="0" applyBorder="0" applyAlignment="0" applyProtection="0"/>
    <xf numFmtId="0" fontId="1" fillId="80" borderId="0" applyNumberFormat="0" applyBorder="0" applyAlignment="0" applyProtection="0"/>
    <xf numFmtId="0" fontId="1" fillId="81" borderId="0" applyNumberFormat="0" applyBorder="0" applyAlignment="0" applyProtection="0"/>
    <xf numFmtId="0" fontId="1" fillId="60" borderId="0" applyNumberFormat="0" applyBorder="0" applyAlignment="0" applyProtection="0"/>
    <xf numFmtId="0" fontId="1" fillId="61" borderId="0" applyNumberFormat="0" applyBorder="0" applyAlignment="0" applyProtection="0"/>
    <xf numFmtId="0" fontId="1" fillId="64" borderId="0" applyNumberFormat="0" applyBorder="0" applyAlignment="0" applyProtection="0"/>
    <xf numFmtId="0" fontId="1" fillId="68" borderId="0" applyNumberFormat="0" applyBorder="0" applyAlignment="0" applyProtection="0"/>
    <xf numFmtId="0" fontId="1" fillId="69" borderId="0" applyNumberFormat="0" applyBorder="0" applyAlignment="0" applyProtection="0"/>
    <xf numFmtId="0" fontId="1" fillId="72" borderId="0" applyNumberFormat="0" applyBorder="0" applyAlignment="0" applyProtection="0"/>
    <xf numFmtId="0" fontId="1" fillId="73" borderId="0" applyNumberFormat="0" applyBorder="0" applyAlignment="0" applyProtection="0"/>
    <xf numFmtId="0" fontId="1" fillId="77" borderId="0" applyNumberFormat="0" applyBorder="0" applyAlignment="0" applyProtection="0"/>
    <xf numFmtId="0" fontId="1" fillId="80" borderId="0" applyNumberFormat="0" applyBorder="0" applyAlignment="0" applyProtection="0"/>
    <xf numFmtId="0" fontId="1" fillId="81" borderId="0" applyNumberFormat="0" applyBorder="0" applyAlignment="0" applyProtection="0"/>
    <xf numFmtId="0" fontId="1" fillId="58" borderId="104" applyNumberFormat="0" applyFont="0" applyAlignment="0" applyProtection="0"/>
    <xf numFmtId="0" fontId="1" fillId="60" borderId="0" applyNumberFormat="0" applyBorder="0" applyAlignment="0" applyProtection="0"/>
    <xf numFmtId="0" fontId="1" fillId="61" borderId="0" applyNumberFormat="0" applyBorder="0" applyAlignment="0" applyProtection="0"/>
    <xf numFmtId="0" fontId="1" fillId="64" borderId="0" applyNumberFormat="0" applyBorder="0" applyAlignment="0" applyProtection="0"/>
    <xf numFmtId="0" fontId="1" fillId="68" borderId="0" applyNumberFormat="0" applyBorder="0" applyAlignment="0" applyProtection="0"/>
    <xf numFmtId="0" fontId="1" fillId="69" borderId="0" applyNumberFormat="0" applyBorder="0" applyAlignment="0" applyProtection="0"/>
    <xf numFmtId="0" fontId="1" fillId="72" borderId="0" applyNumberFormat="0" applyBorder="0" applyAlignment="0" applyProtection="0"/>
    <xf numFmtId="0" fontId="1" fillId="73" borderId="0" applyNumberFormat="0" applyBorder="0" applyAlignment="0" applyProtection="0"/>
    <xf numFmtId="0" fontId="1" fillId="77" borderId="0" applyNumberFormat="0" applyBorder="0" applyAlignment="0" applyProtection="0"/>
    <xf numFmtId="0" fontId="1" fillId="80" borderId="0" applyNumberFormat="0" applyBorder="0" applyAlignment="0" applyProtection="0"/>
    <xf numFmtId="0" fontId="1" fillId="81" borderId="0" applyNumberFormat="0" applyBorder="0" applyAlignment="0" applyProtection="0"/>
    <xf numFmtId="0" fontId="1" fillId="58" borderId="104" applyNumberFormat="0" applyFont="0" applyAlignment="0" applyProtection="0"/>
    <xf numFmtId="0" fontId="1" fillId="58" borderId="104" applyNumberFormat="0" applyFont="0" applyAlignment="0" applyProtection="0"/>
    <xf numFmtId="0" fontId="1" fillId="60" borderId="0" applyNumberFormat="0" applyBorder="0" applyAlignment="0" applyProtection="0"/>
    <xf numFmtId="0" fontId="1" fillId="61" borderId="0" applyNumberFormat="0" applyBorder="0" applyAlignment="0" applyProtection="0"/>
    <xf numFmtId="0" fontId="1" fillId="64" borderId="0" applyNumberFormat="0" applyBorder="0" applyAlignment="0" applyProtection="0"/>
    <xf numFmtId="0" fontId="1" fillId="68" borderId="0" applyNumberFormat="0" applyBorder="0" applyAlignment="0" applyProtection="0"/>
    <xf numFmtId="0" fontId="1" fillId="69" borderId="0" applyNumberFormat="0" applyBorder="0" applyAlignment="0" applyProtection="0"/>
    <xf numFmtId="0" fontId="1" fillId="72" borderId="0" applyNumberFormat="0" applyBorder="0" applyAlignment="0" applyProtection="0"/>
    <xf numFmtId="0" fontId="1" fillId="73" borderId="0" applyNumberFormat="0" applyBorder="0" applyAlignment="0" applyProtection="0"/>
    <xf numFmtId="0" fontId="1" fillId="77" borderId="0" applyNumberFormat="0" applyBorder="0" applyAlignment="0" applyProtection="0"/>
    <xf numFmtId="0" fontId="1" fillId="80" borderId="0" applyNumberFormat="0" applyBorder="0" applyAlignment="0" applyProtection="0"/>
    <xf numFmtId="0" fontId="1" fillId="81" borderId="0" applyNumberFormat="0" applyBorder="0" applyAlignment="0" applyProtection="0"/>
    <xf numFmtId="0" fontId="1" fillId="60" borderId="0" applyNumberFormat="0" applyBorder="0" applyAlignment="0" applyProtection="0"/>
    <xf numFmtId="0" fontId="1" fillId="61" borderId="0" applyNumberFormat="0" applyBorder="0" applyAlignment="0" applyProtection="0"/>
    <xf numFmtId="0" fontId="1" fillId="64" borderId="0" applyNumberFormat="0" applyBorder="0" applyAlignment="0" applyProtection="0"/>
    <xf numFmtId="0" fontId="1" fillId="68" borderId="0" applyNumberFormat="0" applyBorder="0" applyAlignment="0" applyProtection="0"/>
    <xf numFmtId="0" fontId="1" fillId="69" borderId="0" applyNumberFormat="0" applyBorder="0" applyAlignment="0" applyProtection="0"/>
    <xf numFmtId="0" fontId="1" fillId="72" borderId="0" applyNumberFormat="0" applyBorder="0" applyAlignment="0" applyProtection="0"/>
    <xf numFmtId="0" fontId="1" fillId="73" borderId="0" applyNumberFormat="0" applyBorder="0" applyAlignment="0" applyProtection="0"/>
    <xf numFmtId="0" fontId="1" fillId="77" borderId="0" applyNumberFormat="0" applyBorder="0" applyAlignment="0" applyProtection="0"/>
    <xf numFmtId="0" fontId="1" fillId="80" borderId="0" applyNumberFormat="0" applyBorder="0" applyAlignment="0" applyProtection="0"/>
    <xf numFmtId="0" fontId="1" fillId="81" borderId="0" applyNumberFormat="0" applyBorder="0" applyAlignment="0" applyProtection="0"/>
    <xf numFmtId="0" fontId="1" fillId="58" borderId="104" applyNumberFormat="0" applyFont="0" applyAlignment="0" applyProtection="0"/>
    <xf numFmtId="0" fontId="1" fillId="60" borderId="0" applyNumberFormat="0" applyBorder="0" applyAlignment="0" applyProtection="0"/>
    <xf numFmtId="0" fontId="1" fillId="61" borderId="0" applyNumberFormat="0" applyBorder="0" applyAlignment="0" applyProtection="0"/>
    <xf numFmtId="0" fontId="1" fillId="64" borderId="0" applyNumberFormat="0" applyBorder="0" applyAlignment="0" applyProtection="0"/>
    <xf numFmtId="0" fontId="1" fillId="68" borderId="0" applyNumberFormat="0" applyBorder="0" applyAlignment="0" applyProtection="0"/>
    <xf numFmtId="0" fontId="1" fillId="69" borderId="0" applyNumberFormat="0" applyBorder="0" applyAlignment="0" applyProtection="0"/>
    <xf numFmtId="0" fontId="1" fillId="72" borderId="0" applyNumberFormat="0" applyBorder="0" applyAlignment="0" applyProtection="0"/>
    <xf numFmtId="0" fontId="1" fillId="73" borderId="0" applyNumberFormat="0" applyBorder="0" applyAlignment="0" applyProtection="0"/>
    <xf numFmtId="0" fontId="1" fillId="77" borderId="0" applyNumberFormat="0" applyBorder="0" applyAlignment="0" applyProtection="0"/>
    <xf numFmtId="0" fontId="1" fillId="80" borderId="0" applyNumberFormat="0" applyBorder="0" applyAlignment="0" applyProtection="0"/>
    <xf numFmtId="0" fontId="1" fillId="81" borderId="0" applyNumberFormat="0" applyBorder="0" applyAlignment="0" applyProtection="0"/>
    <xf numFmtId="0" fontId="1" fillId="58" borderId="104" applyNumberFormat="0" applyFont="0" applyAlignment="0" applyProtection="0"/>
    <xf numFmtId="0" fontId="1" fillId="58" borderId="104" applyNumberFormat="0" applyFont="0" applyAlignment="0" applyProtection="0"/>
    <xf numFmtId="0" fontId="1" fillId="60" borderId="0" applyNumberFormat="0" applyBorder="0" applyAlignment="0" applyProtection="0"/>
    <xf numFmtId="0" fontId="1" fillId="61" borderId="0" applyNumberFormat="0" applyBorder="0" applyAlignment="0" applyProtection="0"/>
    <xf numFmtId="0" fontId="1" fillId="64" borderId="0" applyNumberFormat="0" applyBorder="0" applyAlignment="0" applyProtection="0"/>
    <xf numFmtId="0" fontId="1" fillId="68" borderId="0" applyNumberFormat="0" applyBorder="0" applyAlignment="0" applyProtection="0"/>
    <xf numFmtId="0" fontId="1" fillId="69" borderId="0" applyNumberFormat="0" applyBorder="0" applyAlignment="0" applyProtection="0"/>
    <xf numFmtId="0" fontId="1" fillId="72" borderId="0" applyNumberFormat="0" applyBorder="0" applyAlignment="0" applyProtection="0"/>
    <xf numFmtId="0" fontId="1" fillId="73" borderId="0" applyNumberFormat="0" applyBorder="0" applyAlignment="0" applyProtection="0"/>
    <xf numFmtId="0" fontId="1" fillId="77" borderId="0" applyNumberFormat="0" applyBorder="0" applyAlignment="0" applyProtection="0"/>
    <xf numFmtId="0" fontId="1" fillId="80" borderId="0" applyNumberFormat="0" applyBorder="0" applyAlignment="0" applyProtection="0"/>
    <xf numFmtId="0" fontId="1" fillId="81" borderId="0" applyNumberFormat="0" applyBorder="0" applyAlignment="0" applyProtection="0"/>
    <xf numFmtId="0" fontId="1" fillId="60" borderId="0" applyNumberFormat="0" applyBorder="0" applyAlignment="0" applyProtection="0"/>
    <xf numFmtId="0" fontId="1" fillId="61" borderId="0" applyNumberFormat="0" applyBorder="0" applyAlignment="0" applyProtection="0"/>
    <xf numFmtId="0" fontId="1" fillId="64" borderId="0" applyNumberFormat="0" applyBorder="0" applyAlignment="0" applyProtection="0"/>
    <xf numFmtId="0" fontId="1" fillId="68" borderId="0" applyNumberFormat="0" applyBorder="0" applyAlignment="0" applyProtection="0"/>
    <xf numFmtId="0" fontId="1" fillId="69" borderId="0" applyNumberFormat="0" applyBorder="0" applyAlignment="0" applyProtection="0"/>
    <xf numFmtId="0" fontId="1" fillId="72" borderId="0" applyNumberFormat="0" applyBorder="0" applyAlignment="0" applyProtection="0"/>
    <xf numFmtId="0" fontId="1" fillId="73" borderId="0" applyNumberFormat="0" applyBorder="0" applyAlignment="0" applyProtection="0"/>
    <xf numFmtId="0" fontId="1" fillId="77" borderId="0" applyNumberFormat="0" applyBorder="0" applyAlignment="0" applyProtection="0"/>
    <xf numFmtId="0" fontId="1" fillId="80" borderId="0" applyNumberFormat="0" applyBorder="0" applyAlignment="0" applyProtection="0"/>
    <xf numFmtId="0" fontId="1" fillId="81" borderId="0" applyNumberFormat="0" applyBorder="0" applyAlignment="0" applyProtection="0"/>
    <xf numFmtId="0" fontId="1" fillId="58" borderId="104" applyNumberFormat="0" applyFont="0" applyAlignment="0" applyProtection="0"/>
    <xf numFmtId="0" fontId="1" fillId="60" borderId="0" applyNumberFormat="0" applyBorder="0" applyAlignment="0" applyProtection="0"/>
    <xf numFmtId="0" fontId="1" fillId="61" borderId="0" applyNumberFormat="0" applyBorder="0" applyAlignment="0" applyProtection="0"/>
    <xf numFmtId="0" fontId="1" fillId="64" borderId="0" applyNumberFormat="0" applyBorder="0" applyAlignment="0" applyProtection="0"/>
    <xf numFmtId="0" fontId="1" fillId="68" borderId="0" applyNumberFormat="0" applyBorder="0" applyAlignment="0" applyProtection="0"/>
    <xf numFmtId="0" fontId="1" fillId="69" borderId="0" applyNumberFormat="0" applyBorder="0" applyAlignment="0" applyProtection="0"/>
    <xf numFmtId="0" fontId="1" fillId="72" borderId="0" applyNumberFormat="0" applyBorder="0" applyAlignment="0" applyProtection="0"/>
    <xf numFmtId="0" fontId="1" fillId="73" borderId="0" applyNumberFormat="0" applyBorder="0" applyAlignment="0" applyProtection="0"/>
    <xf numFmtId="0" fontId="1" fillId="77" borderId="0" applyNumberFormat="0" applyBorder="0" applyAlignment="0" applyProtection="0"/>
    <xf numFmtId="0" fontId="1" fillId="80" borderId="0" applyNumberFormat="0" applyBorder="0" applyAlignment="0" applyProtection="0"/>
    <xf numFmtId="0" fontId="1" fillId="81" borderId="0" applyNumberFormat="0" applyBorder="0" applyAlignment="0" applyProtection="0"/>
    <xf numFmtId="0" fontId="1" fillId="58" borderId="104" applyNumberFormat="0" applyFont="0" applyAlignment="0" applyProtection="0"/>
    <xf numFmtId="0" fontId="1" fillId="58" borderId="104" applyNumberFormat="0" applyFont="0" applyAlignment="0" applyProtection="0"/>
    <xf numFmtId="0" fontId="1" fillId="60" borderId="0" applyNumberFormat="0" applyBorder="0" applyAlignment="0" applyProtection="0"/>
    <xf numFmtId="0" fontId="1" fillId="61" borderId="0" applyNumberFormat="0" applyBorder="0" applyAlignment="0" applyProtection="0"/>
    <xf numFmtId="0" fontId="1" fillId="64" borderId="0" applyNumberFormat="0" applyBorder="0" applyAlignment="0" applyProtection="0"/>
    <xf numFmtId="0" fontId="1" fillId="68" borderId="0" applyNumberFormat="0" applyBorder="0" applyAlignment="0" applyProtection="0"/>
    <xf numFmtId="0" fontId="1" fillId="69" borderId="0" applyNumberFormat="0" applyBorder="0" applyAlignment="0" applyProtection="0"/>
    <xf numFmtId="0" fontId="1" fillId="72" borderId="0" applyNumberFormat="0" applyBorder="0" applyAlignment="0" applyProtection="0"/>
    <xf numFmtId="0" fontId="1" fillId="73" borderId="0" applyNumberFormat="0" applyBorder="0" applyAlignment="0" applyProtection="0"/>
    <xf numFmtId="0" fontId="1" fillId="77" borderId="0" applyNumberFormat="0" applyBorder="0" applyAlignment="0" applyProtection="0"/>
    <xf numFmtId="0" fontId="1" fillId="80" borderId="0" applyNumberFormat="0" applyBorder="0" applyAlignment="0" applyProtection="0"/>
    <xf numFmtId="0" fontId="1" fillId="81" borderId="0" applyNumberFormat="0" applyBorder="0" applyAlignment="0" applyProtection="0"/>
    <xf numFmtId="0" fontId="1" fillId="60" borderId="0" applyNumberFormat="0" applyBorder="0" applyAlignment="0" applyProtection="0"/>
    <xf numFmtId="0" fontId="1" fillId="61" borderId="0" applyNumberFormat="0" applyBorder="0" applyAlignment="0" applyProtection="0"/>
    <xf numFmtId="0" fontId="1" fillId="64" borderId="0" applyNumberFormat="0" applyBorder="0" applyAlignment="0" applyProtection="0"/>
    <xf numFmtId="0" fontId="1" fillId="68" borderId="0" applyNumberFormat="0" applyBorder="0" applyAlignment="0" applyProtection="0"/>
    <xf numFmtId="0" fontId="1" fillId="69" borderId="0" applyNumberFormat="0" applyBorder="0" applyAlignment="0" applyProtection="0"/>
    <xf numFmtId="0" fontId="1" fillId="72" borderId="0" applyNumberFormat="0" applyBorder="0" applyAlignment="0" applyProtection="0"/>
    <xf numFmtId="0" fontId="1" fillId="73" borderId="0" applyNumberFormat="0" applyBorder="0" applyAlignment="0" applyProtection="0"/>
    <xf numFmtId="0" fontId="1" fillId="77" borderId="0" applyNumberFormat="0" applyBorder="0" applyAlignment="0" applyProtection="0"/>
    <xf numFmtId="0" fontId="1" fillId="80" borderId="0" applyNumberFormat="0" applyBorder="0" applyAlignment="0" applyProtection="0"/>
    <xf numFmtId="0" fontId="1" fillId="81" borderId="0" applyNumberFormat="0" applyBorder="0" applyAlignment="0" applyProtection="0"/>
    <xf numFmtId="0" fontId="1" fillId="58" borderId="104" applyNumberFormat="0" applyFont="0" applyAlignment="0" applyProtection="0"/>
    <xf numFmtId="0" fontId="1" fillId="60" borderId="0" applyNumberFormat="0" applyBorder="0" applyAlignment="0" applyProtection="0"/>
    <xf numFmtId="0" fontId="1" fillId="61" borderId="0" applyNumberFormat="0" applyBorder="0" applyAlignment="0" applyProtection="0"/>
    <xf numFmtId="0" fontId="1" fillId="64" borderId="0" applyNumberFormat="0" applyBorder="0" applyAlignment="0" applyProtection="0"/>
    <xf numFmtId="0" fontId="1" fillId="68" borderId="0" applyNumberFormat="0" applyBorder="0" applyAlignment="0" applyProtection="0"/>
    <xf numFmtId="0" fontId="1" fillId="69" borderId="0" applyNumberFormat="0" applyBorder="0" applyAlignment="0" applyProtection="0"/>
    <xf numFmtId="0" fontId="1" fillId="72" borderId="0" applyNumberFormat="0" applyBorder="0" applyAlignment="0" applyProtection="0"/>
    <xf numFmtId="0" fontId="1" fillId="73" borderId="0" applyNumberFormat="0" applyBorder="0" applyAlignment="0" applyProtection="0"/>
    <xf numFmtId="0" fontId="1" fillId="77" borderId="0" applyNumberFormat="0" applyBorder="0" applyAlignment="0" applyProtection="0"/>
    <xf numFmtId="0" fontId="1" fillId="80" borderId="0" applyNumberFormat="0" applyBorder="0" applyAlignment="0" applyProtection="0"/>
    <xf numFmtId="0" fontId="1" fillId="81" borderId="0" applyNumberFormat="0" applyBorder="0" applyAlignment="0" applyProtection="0"/>
    <xf numFmtId="0" fontId="1" fillId="58" borderId="104" applyNumberFormat="0" applyFont="0" applyAlignment="0" applyProtection="0"/>
    <xf numFmtId="0" fontId="1" fillId="58" borderId="104" applyNumberFormat="0" applyFont="0" applyAlignment="0" applyProtection="0"/>
    <xf numFmtId="0" fontId="1" fillId="60" borderId="0" applyNumberFormat="0" applyBorder="0" applyAlignment="0" applyProtection="0"/>
    <xf numFmtId="0" fontId="1" fillId="61" borderId="0" applyNumberFormat="0" applyBorder="0" applyAlignment="0" applyProtection="0"/>
    <xf numFmtId="0" fontId="1" fillId="64" borderId="0" applyNumberFormat="0" applyBorder="0" applyAlignment="0" applyProtection="0"/>
    <xf numFmtId="0" fontId="1" fillId="68" borderId="0" applyNumberFormat="0" applyBorder="0" applyAlignment="0" applyProtection="0"/>
    <xf numFmtId="0" fontId="1" fillId="69" borderId="0" applyNumberFormat="0" applyBorder="0" applyAlignment="0" applyProtection="0"/>
    <xf numFmtId="0" fontId="1" fillId="72" borderId="0" applyNumberFormat="0" applyBorder="0" applyAlignment="0" applyProtection="0"/>
    <xf numFmtId="0" fontId="1" fillId="73" borderId="0" applyNumberFormat="0" applyBorder="0" applyAlignment="0" applyProtection="0"/>
    <xf numFmtId="0" fontId="1" fillId="77" borderId="0" applyNumberFormat="0" applyBorder="0" applyAlignment="0" applyProtection="0"/>
    <xf numFmtId="0" fontId="1" fillId="80" borderId="0" applyNumberFormat="0" applyBorder="0" applyAlignment="0" applyProtection="0"/>
    <xf numFmtId="0" fontId="1" fillId="81" borderId="0" applyNumberFormat="0" applyBorder="0" applyAlignment="0" applyProtection="0"/>
    <xf numFmtId="0" fontId="1" fillId="60" borderId="0" applyNumberFormat="0" applyBorder="0" applyAlignment="0" applyProtection="0"/>
    <xf numFmtId="0" fontId="1" fillId="61" borderId="0" applyNumberFormat="0" applyBorder="0" applyAlignment="0" applyProtection="0"/>
    <xf numFmtId="0" fontId="1" fillId="64" borderId="0" applyNumberFormat="0" applyBorder="0" applyAlignment="0" applyProtection="0"/>
    <xf numFmtId="0" fontId="1" fillId="68" borderId="0" applyNumberFormat="0" applyBorder="0" applyAlignment="0" applyProtection="0"/>
    <xf numFmtId="0" fontId="1" fillId="69" borderId="0" applyNumberFormat="0" applyBorder="0" applyAlignment="0" applyProtection="0"/>
    <xf numFmtId="0" fontId="1" fillId="72" borderId="0" applyNumberFormat="0" applyBorder="0" applyAlignment="0" applyProtection="0"/>
    <xf numFmtId="0" fontId="1" fillId="73" borderId="0" applyNumberFormat="0" applyBorder="0" applyAlignment="0" applyProtection="0"/>
    <xf numFmtId="0" fontId="1" fillId="77" borderId="0" applyNumberFormat="0" applyBorder="0" applyAlignment="0" applyProtection="0"/>
    <xf numFmtId="0" fontId="1" fillId="80" borderId="0" applyNumberFormat="0" applyBorder="0" applyAlignment="0" applyProtection="0"/>
    <xf numFmtId="0" fontId="1" fillId="81" borderId="0" applyNumberFormat="0" applyBorder="0" applyAlignment="0" applyProtection="0"/>
    <xf numFmtId="0" fontId="1" fillId="58" borderId="104" applyNumberFormat="0" applyFont="0" applyAlignment="0" applyProtection="0"/>
    <xf numFmtId="0" fontId="1" fillId="60" borderId="0" applyNumberFormat="0" applyBorder="0" applyAlignment="0" applyProtection="0"/>
    <xf numFmtId="0" fontId="1" fillId="61" borderId="0" applyNumberFormat="0" applyBorder="0" applyAlignment="0" applyProtection="0"/>
    <xf numFmtId="0" fontId="1" fillId="64" borderId="0" applyNumberFormat="0" applyBorder="0" applyAlignment="0" applyProtection="0"/>
    <xf numFmtId="0" fontId="1" fillId="68" borderId="0" applyNumberFormat="0" applyBorder="0" applyAlignment="0" applyProtection="0"/>
    <xf numFmtId="0" fontId="1" fillId="69" borderId="0" applyNumberFormat="0" applyBorder="0" applyAlignment="0" applyProtection="0"/>
    <xf numFmtId="0" fontId="1" fillId="72" borderId="0" applyNumberFormat="0" applyBorder="0" applyAlignment="0" applyProtection="0"/>
    <xf numFmtId="0" fontId="1" fillId="73" borderId="0" applyNumberFormat="0" applyBorder="0" applyAlignment="0" applyProtection="0"/>
    <xf numFmtId="0" fontId="1" fillId="77" borderId="0" applyNumberFormat="0" applyBorder="0" applyAlignment="0" applyProtection="0"/>
    <xf numFmtId="0" fontId="1" fillId="80" borderId="0" applyNumberFormat="0" applyBorder="0" applyAlignment="0" applyProtection="0"/>
    <xf numFmtId="0" fontId="1" fillId="81" borderId="0" applyNumberFormat="0" applyBorder="0" applyAlignment="0" applyProtection="0"/>
    <xf numFmtId="0" fontId="1" fillId="58" borderId="104" applyNumberFormat="0" applyFont="0" applyAlignment="0" applyProtection="0"/>
    <xf numFmtId="0" fontId="1" fillId="58" borderId="104" applyNumberFormat="0" applyFont="0" applyAlignment="0" applyProtection="0"/>
    <xf numFmtId="0" fontId="1" fillId="60" borderId="0" applyNumberFormat="0" applyBorder="0" applyAlignment="0" applyProtection="0"/>
    <xf numFmtId="0" fontId="1" fillId="61" borderId="0" applyNumberFormat="0" applyBorder="0" applyAlignment="0" applyProtection="0"/>
    <xf numFmtId="0" fontId="1" fillId="64" borderId="0" applyNumberFormat="0" applyBorder="0" applyAlignment="0" applyProtection="0"/>
    <xf numFmtId="0" fontId="1" fillId="68" borderId="0" applyNumberFormat="0" applyBorder="0" applyAlignment="0" applyProtection="0"/>
    <xf numFmtId="0" fontId="1" fillId="69" borderId="0" applyNumberFormat="0" applyBorder="0" applyAlignment="0" applyProtection="0"/>
    <xf numFmtId="0" fontId="1" fillId="72" borderId="0" applyNumberFormat="0" applyBorder="0" applyAlignment="0" applyProtection="0"/>
    <xf numFmtId="0" fontId="1" fillId="73" borderId="0" applyNumberFormat="0" applyBorder="0" applyAlignment="0" applyProtection="0"/>
    <xf numFmtId="0" fontId="1" fillId="77" borderId="0" applyNumberFormat="0" applyBorder="0" applyAlignment="0" applyProtection="0"/>
    <xf numFmtId="0" fontId="1" fillId="80" borderId="0" applyNumberFormat="0" applyBorder="0" applyAlignment="0" applyProtection="0"/>
    <xf numFmtId="0" fontId="1" fillId="81" borderId="0" applyNumberFormat="0" applyBorder="0" applyAlignment="0" applyProtection="0"/>
    <xf numFmtId="0" fontId="1" fillId="60" borderId="0" applyNumberFormat="0" applyBorder="0" applyAlignment="0" applyProtection="0"/>
    <xf numFmtId="0" fontId="1" fillId="61" borderId="0" applyNumberFormat="0" applyBorder="0" applyAlignment="0" applyProtection="0"/>
    <xf numFmtId="0" fontId="1" fillId="64" borderId="0" applyNumberFormat="0" applyBorder="0" applyAlignment="0" applyProtection="0"/>
    <xf numFmtId="0" fontId="1" fillId="68" borderId="0" applyNumberFormat="0" applyBorder="0" applyAlignment="0" applyProtection="0"/>
    <xf numFmtId="0" fontId="1" fillId="69" borderId="0" applyNumberFormat="0" applyBorder="0" applyAlignment="0" applyProtection="0"/>
    <xf numFmtId="0" fontId="1" fillId="72" borderId="0" applyNumberFormat="0" applyBorder="0" applyAlignment="0" applyProtection="0"/>
    <xf numFmtId="0" fontId="1" fillId="73" borderId="0" applyNumberFormat="0" applyBorder="0" applyAlignment="0" applyProtection="0"/>
    <xf numFmtId="0" fontId="1" fillId="77" borderId="0" applyNumberFormat="0" applyBorder="0" applyAlignment="0" applyProtection="0"/>
    <xf numFmtId="0" fontId="1" fillId="80" borderId="0" applyNumberFormat="0" applyBorder="0" applyAlignment="0" applyProtection="0"/>
    <xf numFmtId="0" fontId="1" fillId="81" borderId="0" applyNumberFormat="0" applyBorder="0" applyAlignment="0" applyProtection="0"/>
    <xf numFmtId="0" fontId="1" fillId="58" borderId="104" applyNumberFormat="0" applyFont="0" applyAlignment="0" applyProtection="0"/>
    <xf numFmtId="0" fontId="1" fillId="60" borderId="0" applyNumberFormat="0" applyBorder="0" applyAlignment="0" applyProtection="0"/>
    <xf numFmtId="0" fontId="1" fillId="60" borderId="0" applyNumberFormat="0" applyBorder="0" applyAlignment="0" applyProtection="0"/>
    <xf numFmtId="0" fontId="1" fillId="60" borderId="0" applyNumberFormat="0" applyBorder="0" applyAlignment="0" applyProtection="0"/>
    <xf numFmtId="0" fontId="1" fillId="60" borderId="0" applyNumberFormat="0" applyBorder="0" applyAlignment="0" applyProtection="0"/>
    <xf numFmtId="0" fontId="1" fillId="60" borderId="0" applyNumberFormat="0" applyBorder="0" applyAlignment="0" applyProtection="0"/>
    <xf numFmtId="0" fontId="1" fillId="60" borderId="0" applyNumberFormat="0" applyBorder="0" applyAlignment="0" applyProtection="0"/>
    <xf numFmtId="0" fontId="1" fillId="60" borderId="0" applyNumberFormat="0" applyBorder="0" applyAlignment="0" applyProtection="0"/>
    <xf numFmtId="0" fontId="1" fillId="60" borderId="0" applyNumberFormat="0" applyBorder="0" applyAlignment="0" applyProtection="0"/>
    <xf numFmtId="0" fontId="1" fillId="60" borderId="0" applyNumberFormat="0" applyBorder="0" applyAlignment="0" applyProtection="0"/>
    <xf numFmtId="0" fontId="1" fillId="64" borderId="0" applyNumberFormat="0" applyBorder="0" applyAlignment="0" applyProtection="0"/>
    <xf numFmtId="0" fontId="1" fillId="64" borderId="0" applyNumberFormat="0" applyBorder="0" applyAlignment="0" applyProtection="0"/>
    <xf numFmtId="0" fontId="1" fillId="64" borderId="0" applyNumberFormat="0" applyBorder="0" applyAlignment="0" applyProtection="0"/>
    <xf numFmtId="0" fontId="1" fillId="64" borderId="0" applyNumberFormat="0" applyBorder="0" applyAlignment="0" applyProtection="0"/>
    <xf numFmtId="0" fontId="1" fillId="64" borderId="0" applyNumberFormat="0" applyBorder="0" applyAlignment="0" applyProtection="0"/>
    <xf numFmtId="0" fontId="1" fillId="64" borderId="0" applyNumberFormat="0" applyBorder="0" applyAlignment="0" applyProtection="0"/>
    <xf numFmtId="0" fontId="1" fillId="64" borderId="0" applyNumberFormat="0" applyBorder="0" applyAlignment="0" applyProtection="0"/>
    <xf numFmtId="0" fontId="1" fillId="64" borderId="0" applyNumberFormat="0" applyBorder="0" applyAlignment="0" applyProtection="0"/>
    <xf numFmtId="0" fontId="1" fillId="64" borderId="0" applyNumberFormat="0" applyBorder="0" applyAlignment="0" applyProtection="0"/>
    <xf numFmtId="0" fontId="1" fillId="68" borderId="0" applyNumberFormat="0" applyBorder="0" applyAlignment="0" applyProtection="0"/>
    <xf numFmtId="0" fontId="1" fillId="68" borderId="0" applyNumberFormat="0" applyBorder="0" applyAlignment="0" applyProtection="0"/>
    <xf numFmtId="0" fontId="1" fillId="68" borderId="0" applyNumberFormat="0" applyBorder="0" applyAlignment="0" applyProtection="0"/>
    <xf numFmtId="0" fontId="1" fillId="68" borderId="0" applyNumberFormat="0" applyBorder="0" applyAlignment="0" applyProtection="0"/>
    <xf numFmtId="0" fontId="1" fillId="68" borderId="0" applyNumberFormat="0" applyBorder="0" applyAlignment="0" applyProtection="0"/>
    <xf numFmtId="0" fontId="1" fillId="68" borderId="0" applyNumberFormat="0" applyBorder="0" applyAlignment="0" applyProtection="0"/>
    <xf numFmtId="0" fontId="1" fillId="68" borderId="0" applyNumberFormat="0" applyBorder="0" applyAlignment="0" applyProtection="0"/>
    <xf numFmtId="0" fontId="1" fillId="68" borderId="0" applyNumberFormat="0" applyBorder="0" applyAlignment="0" applyProtection="0"/>
    <xf numFmtId="0" fontId="1" fillId="68" borderId="0" applyNumberFormat="0" applyBorder="0" applyAlignment="0" applyProtection="0"/>
    <xf numFmtId="0" fontId="1" fillId="72" borderId="0" applyNumberFormat="0" applyBorder="0" applyAlignment="0" applyProtection="0"/>
    <xf numFmtId="0" fontId="1" fillId="72" borderId="0" applyNumberFormat="0" applyBorder="0" applyAlignment="0" applyProtection="0"/>
    <xf numFmtId="0" fontId="1" fillId="72" borderId="0" applyNumberFormat="0" applyBorder="0" applyAlignment="0" applyProtection="0"/>
    <xf numFmtId="0" fontId="1" fillId="72" borderId="0" applyNumberFormat="0" applyBorder="0" applyAlignment="0" applyProtection="0"/>
    <xf numFmtId="0" fontId="1" fillId="72" borderId="0" applyNumberFormat="0" applyBorder="0" applyAlignment="0" applyProtection="0"/>
    <xf numFmtId="0" fontId="1" fillId="72" borderId="0" applyNumberFormat="0" applyBorder="0" applyAlignment="0" applyProtection="0"/>
    <xf numFmtId="0" fontId="1" fillId="72" borderId="0" applyNumberFormat="0" applyBorder="0" applyAlignment="0" applyProtection="0"/>
    <xf numFmtId="0" fontId="1" fillId="72" borderId="0" applyNumberFormat="0" applyBorder="0" applyAlignment="0" applyProtection="0"/>
    <xf numFmtId="0" fontId="1" fillId="72" borderId="0" applyNumberFormat="0" applyBorder="0" applyAlignment="0" applyProtection="0"/>
    <xf numFmtId="0" fontId="1" fillId="80" borderId="0" applyNumberFormat="0" applyBorder="0" applyAlignment="0" applyProtection="0"/>
    <xf numFmtId="0" fontId="1" fillId="80" borderId="0" applyNumberFormat="0" applyBorder="0" applyAlignment="0" applyProtection="0"/>
    <xf numFmtId="0" fontId="1" fillId="80" borderId="0" applyNumberFormat="0" applyBorder="0" applyAlignment="0" applyProtection="0"/>
    <xf numFmtId="0" fontId="1" fillId="80" borderId="0" applyNumberFormat="0" applyBorder="0" applyAlignment="0" applyProtection="0"/>
    <xf numFmtId="0" fontId="1" fillId="80" borderId="0" applyNumberFormat="0" applyBorder="0" applyAlignment="0" applyProtection="0"/>
    <xf numFmtId="0" fontId="1" fillId="80" borderId="0" applyNumberFormat="0" applyBorder="0" applyAlignment="0" applyProtection="0"/>
    <xf numFmtId="0" fontId="1" fillId="80" borderId="0" applyNumberFormat="0" applyBorder="0" applyAlignment="0" applyProtection="0"/>
    <xf numFmtId="0" fontId="1" fillId="80" borderId="0" applyNumberFormat="0" applyBorder="0" applyAlignment="0" applyProtection="0"/>
    <xf numFmtId="0" fontId="1" fillId="80" borderId="0" applyNumberFormat="0" applyBorder="0" applyAlignment="0" applyProtection="0"/>
    <xf numFmtId="0" fontId="1" fillId="61" borderId="0" applyNumberFormat="0" applyBorder="0" applyAlignment="0" applyProtection="0"/>
    <xf numFmtId="0" fontId="1" fillId="61" borderId="0" applyNumberFormat="0" applyBorder="0" applyAlignment="0" applyProtection="0"/>
    <xf numFmtId="0" fontId="1" fillId="61" borderId="0" applyNumberFormat="0" applyBorder="0" applyAlignment="0" applyProtection="0"/>
    <xf numFmtId="0" fontId="1" fillId="61" borderId="0" applyNumberFormat="0" applyBorder="0" applyAlignment="0" applyProtection="0"/>
    <xf numFmtId="0" fontId="1" fillId="61" borderId="0" applyNumberFormat="0" applyBorder="0" applyAlignment="0" applyProtection="0"/>
    <xf numFmtId="0" fontId="1" fillId="61" borderId="0" applyNumberFormat="0" applyBorder="0" applyAlignment="0" applyProtection="0"/>
    <xf numFmtId="0" fontId="1" fillId="61" borderId="0" applyNumberFormat="0" applyBorder="0" applyAlignment="0" applyProtection="0"/>
    <xf numFmtId="0" fontId="1" fillId="61" borderId="0" applyNumberFormat="0" applyBorder="0" applyAlignment="0" applyProtection="0"/>
    <xf numFmtId="0" fontId="1" fillId="61" borderId="0" applyNumberFormat="0" applyBorder="0" applyAlignment="0" applyProtection="0"/>
    <xf numFmtId="0" fontId="1" fillId="69" borderId="0" applyNumberFormat="0" applyBorder="0" applyAlignment="0" applyProtection="0"/>
    <xf numFmtId="0" fontId="1" fillId="69" borderId="0" applyNumberFormat="0" applyBorder="0" applyAlignment="0" applyProtection="0"/>
    <xf numFmtId="0" fontId="1" fillId="69" borderId="0" applyNumberFormat="0" applyBorder="0" applyAlignment="0" applyProtection="0"/>
    <xf numFmtId="0" fontId="1" fillId="69" borderId="0" applyNumberFormat="0" applyBorder="0" applyAlignment="0" applyProtection="0"/>
    <xf numFmtId="0" fontId="1" fillId="69" borderId="0" applyNumberFormat="0" applyBorder="0" applyAlignment="0" applyProtection="0"/>
    <xf numFmtId="0" fontId="1" fillId="69" borderId="0" applyNumberFormat="0" applyBorder="0" applyAlignment="0" applyProtection="0"/>
    <xf numFmtId="0" fontId="1" fillId="69" borderId="0" applyNumberFormat="0" applyBorder="0" applyAlignment="0" applyProtection="0"/>
    <xf numFmtId="0" fontId="1" fillId="69" borderId="0" applyNumberFormat="0" applyBorder="0" applyAlignment="0" applyProtection="0"/>
    <xf numFmtId="0" fontId="1" fillId="69" borderId="0" applyNumberFormat="0" applyBorder="0" applyAlignment="0" applyProtection="0"/>
    <xf numFmtId="0" fontId="1" fillId="73" borderId="0" applyNumberFormat="0" applyBorder="0" applyAlignment="0" applyProtection="0"/>
    <xf numFmtId="0" fontId="1" fillId="73" borderId="0" applyNumberFormat="0" applyBorder="0" applyAlignment="0" applyProtection="0"/>
    <xf numFmtId="0" fontId="1" fillId="73" borderId="0" applyNumberFormat="0" applyBorder="0" applyAlignment="0" applyProtection="0"/>
    <xf numFmtId="0" fontId="1" fillId="73" borderId="0" applyNumberFormat="0" applyBorder="0" applyAlignment="0" applyProtection="0"/>
    <xf numFmtId="0" fontId="1" fillId="73" borderId="0" applyNumberFormat="0" applyBorder="0" applyAlignment="0" applyProtection="0"/>
    <xf numFmtId="0" fontId="1" fillId="73" borderId="0" applyNumberFormat="0" applyBorder="0" applyAlignment="0" applyProtection="0"/>
    <xf numFmtId="0" fontId="1" fillId="73" borderId="0" applyNumberFormat="0" applyBorder="0" applyAlignment="0" applyProtection="0"/>
    <xf numFmtId="0" fontId="1" fillId="73" borderId="0" applyNumberFormat="0" applyBorder="0" applyAlignment="0" applyProtection="0"/>
    <xf numFmtId="0" fontId="1" fillId="73" borderId="0" applyNumberFormat="0" applyBorder="0" applyAlignment="0" applyProtection="0"/>
    <xf numFmtId="0" fontId="1" fillId="77" borderId="0" applyNumberFormat="0" applyBorder="0" applyAlignment="0" applyProtection="0"/>
    <xf numFmtId="0" fontId="1" fillId="77" borderId="0" applyNumberFormat="0" applyBorder="0" applyAlignment="0" applyProtection="0"/>
    <xf numFmtId="0" fontId="1" fillId="77" borderId="0" applyNumberFormat="0" applyBorder="0" applyAlignment="0" applyProtection="0"/>
    <xf numFmtId="0" fontId="1" fillId="77" borderId="0" applyNumberFormat="0" applyBorder="0" applyAlignment="0" applyProtection="0"/>
    <xf numFmtId="0" fontId="1" fillId="77" borderId="0" applyNumberFormat="0" applyBorder="0" applyAlignment="0" applyProtection="0"/>
    <xf numFmtId="0" fontId="1" fillId="77" borderId="0" applyNumberFormat="0" applyBorder="0" applyAlignment="0" applyProtection="0"/>
    <xf numFmtId="0" fontId="1" fillId="77" borderId="0" applyNumberFormat="0" applyBorder="0" applyAlignment="0" applyProtection="0"/>
    <xf numFmtId="0" fontId="1" fillId="77" borderId="0" applyNumberFormat="0" applyBorder="0" applyAlignment="0" applyProtection="0"/>
    <xf numFmtId="0" fontId="1" fillId="77" borderId="0" applyNumberFormat="0" applyBorder="0" applyAlignment="0" applyProtection="0"/>
    <xf numFmtId="0" fontId="1" fillId="81" borderId="0" applyNumberFormat="0" applyBorder="0" applyAlignment="0" applyProtection="0"/>
    <xf numFmtId="0" fontId="1" fillId="81" borderId="0" applyNumberFormat="0" applyBorder="0" applyAlignment="0" applyProtection="0"/>
    <xf numFmtId="0" fontId="1" fillId="81" borderId="0" applyNumberFormat="0" applyBorder="0" applyAlignment="0" applyProtection="0"/>
    <xf numFmtId="0" fontId="1" fillId="81" borderId="0" applyNumberFormat="0" applyBorder="0" applyAlignment="0" applyProtection="0"/>
    <xf numFmtId="0" fontId="1" fillId="81" borderId="0" applyNumberFormat="0" applyBorder="0" applyAlignment="0" applyProtection="0"/>
    <xf numFmtId="0" fontId="1" fillId="81" borderId="0" applyNumberFormat="0" applyBorder="0" applyAlignment="0" applyProtection="0"/>
    <xf numFmtId="0" fontId="1" fillId="81" borderId="0" applyNumberFormat="0" applyBorder="0" applyAlignment="0" applyProtection="0"/>
    <xf numFmtId="0" fontId="1" fillId="81" borderId="0" applyNumberFormat="0" applyBorder="0" applyAlignment="0" applyProtection="0"/>
    <xf numFmtId="0" fontId="1" fillId="81" borderId="0" applyNumberFormat="0" applyBorder="0" applyAlignment="0" applyProtection="0"/>
    <xf numFmtId="0" fontId="1" fillId="58" borderId="104" applyNumberFormat="0" applyFont="0" applyAlignment="0" applyProtection="0"/>
    <xf numFmtId="0" fontId="1" fillId="58" borderId="104" applyNumberFormat="0" applyFont="0" applyAlignment="0" applyProtection="0"/>
    <xf numFmtId="0" fontId="1" fillId="58" borderId="104" applyNumberFormat="0" applyFont="0" applyAlignment="0" applyProtection="0"/>
    <xf numFmtId="0" fontId="1" fillId="58" borderId="104" applyNumberFormat="0" applyFont="0" applyAlignment="0" applyProtection="0"/>
    <xf numFmtId="0" fontId="1" fillId="58" borderId="104" applyNumberFormat="0" applyFont="0" applyAlignment="0" applyProtection="0"/>
    <xf numFmtId="0" fontId="1" fillId="58" borderId="104" applyNumberFormat="0" applyFont="0" applyAlignment="0" applyProtection="0"/>
    <xf numFmtId="0" fontId="1" fillId="58" borderId="104" applyNumberFormat="0" applyFont="0" applyAlignment="0" applyProtection="0"/>
    <xf numFmtId="0" fontId="1" fillId="58" borderId="104" applyNumberFormat="0" applyFont="0" applyAlignment="0" applyProtection="0"/>
    <xf numFmtId="0" fontId="1" fillId="58" borderId="104" applyNumberFormat="0" applyFont="0" applyAlignment="0" applyProtection="0"/>
    <xf numFmtId="165" fontId="1" fillId="0" borderId="0" applyFont="0" applyFill="0" applyBorder="0" applyAlignment="0" applyProtection="0"/>
    <xf numFmtId="0" fontId="1" fillId="0" borderId="0"/>
    <xf numFmtId="0" fontId="1" fillId="6" borderId="0" applyNumberFormat="0" applyBorder="0" applyAlignment="0" applyProtection="0"/>
    <xf numFmtId="0" fontId="1" fillId="9" borderId="0" applyNumberFormat="0" applyBorder="0" applyAlignment="0" applyProtection="0"/>
    <xf numFmtId="0" fontId="1" fillId="26" borderId="0" applyNumberFormat="0" applyBorder="0" applyAlignment="0" applyProtection="0"/>
    <xf numFmtId="0" fontId="1" fillId="9" borderId="0" applyNumberFormat="0" applyBorder="0" applyAlignment="0" applyProtection="0"/>
    <xf numFmtId="0" fontId="1" fillId="6" borderId="0" applyNumberFormat="0" applyBorder="0" applyAlignment="0" applyProtection="0"/>
    <xf numFmtId="0" fontId="1" fillId="26" borderId="0" applyNumberFormat="0" applyBorder="0" applyAlignment="0" applyProtection="0"/>
    <xf numFmtId="0" fontId="1" fillId="9" borderId="0" applyNumberFormat="0" applyBorder="0" applyAlignment="0" applyProtection="0"/>
    <xf numFmtId="0" fontId="1" fillId="58" borderId="104" applyNumberFormat="0" applyFont="0" applyAlignment="0" applyProtection="0"/>
    <xf numFmtId="0" fontId="1" fillId="23" borderId="0" applyNumberFormat="0" applyBorder="0" applyAlignment="0" applyProtection="0"/>
    <xf numFmtId="0" fontId="1" fillId="23"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58" borderId="104" applyNumberFormat="0" applyFont="0" applyAlignment="0" applyProtection="0"/>
    <xf numFmtId="0" fontId="1" fillId="6" borderId="0" applyNumberFormat="0" applyBorder="0" applyAlignment="0" applyProtection="0"/>
    <xf numFmtId="0" fontId="1" fillId="9" borderId="0" applyNumberFormat="0" applyBorder="0" applyAlignment="0" applyProtection="0"/>
    <xf numFmtId="0" fontId="1" fillId="6" borderId="0" applyNumberFormat="0" applyBorder="0" applyAlignment="0" applyProtection="0"/>
    <xf numFmtId="0" fontId="1" fillId="60" borderId="0" applyNumberFormat="0" applyBorder="0" applyAlignment="0" applyProtection="0"/>
    <xf numFmtId="0" fontId="1" fillId="61" borderId="0" applyNumberFormat="0" applyBorder="0" applyAlignment="0" applyProtection="0"/>
    <xf numFmtId="0" fontId="1" fillId="3" borderId="0" applyNumberFormat="0" applyBorder="0" applyAlignment="0" applyProtection="0"/>
    <xf numFmtId="0" fontId="1" fillId="64" borderId="0" applyNumberFormat="0" applyBorder="0" applyAlignment="0" applyProtection="0"/>
    <xf numFmtId="0" fontId="1" fillId="65" borderId="0" applyNumberFormat="0" applyBorder="0" applyAlignment="0" applyProtection="0"/>
    <xf numFmtId="0" fontId="1" fillId="68" borderId="0" applyNumberFormat="0" applyBorder="0" applyAlignment="0" applyProtection="0"/>
    <xf numFmtId="0" fontId="1" fillId="69" borderId="0" applyNumberFormat="0" applyBorder="0" applyAlignment="0" applyProtection="0"/>
    <xf numFmtId="0" fontId="1" fillId="26" borderId="0" applyNumberFormat="0" applyBorder="0" applyAlignment="0" applyProtection="0"/>
    <xf numFmtId="0" fontId="1" fillId="72" borderId="0" applyNumberFormat="0" applyBorder="0" applyAlignment="0" applyProtection="0"/>
    <xf numFmtId="0" fontId="1" fillId="73" borderId="0" applyNumberFormat="0" applyBorder="0" applyAlignment="0" applyProtection="0"/>
    <xf numFmtId="0" fontId="1" fillId="9" borderId="0" applyNumberFormat="0" applyBorder="0" applyAlignment="0" applyProtection="0"/>
    <xf numFmtId="0" fontId="1" fillId="76" borderId="0" applyNumberFormat="0" applyBorder="0" applyAlignment="0" applyProtection="0"/>
    <xf numFmtId="0" fontId="1" fillId="77" borderId="0" applyNumberFormat="0" applyBorder="0" applyAlignment="0" applyProtection="0"/>
    <xf numFmtId="0" fontId="1" fillId="6" borderId="0" applyNumberFormat="0" applyBorder="0" applyAlignment="0" applyProtection="0"/>
    <xf numFmtId="0" fontId="1" fillId="80" borderId="0" applyNumberFormat="0" applyBorder="0" applyAlignment="0" applyProtection="0"/>
    <xf numFmtId="0" fontId="1" fillId="81" borderId="0" applyNumberFormat="0" applyBorder="0" applyAlignment="0" applyProtection="0"/>
    <xf numFmtId="0" fontId="1" fillId="58" borderId="104" applyNumberFormat="0" applyFont="0" applyAlignment="0" applyProtection="0"/>
    <xf numFmtId="0" fontId="1" fillId="58" borderId="104" applyNumberFormat="0" applyFont="0" applyAlignment="0" applyProtection="0"/>
    <xf numFmtId="0" fontId="1" fillId="60" borderId="0" applyNumberFormat="0" applyBorder="0" applyAlignment="0" applyProtection="0"/>
    <xf numFmtId="0" fontId="1" fillId="61" borderId="0" applyNumberFormat="0" applyBorder="0" applyAlignment="0" applyProtection="0"/>
    <xf numFmtId="0" fontId="1" fillId="64" borderId="0" applyNumberFormat="0" applyBorder="0" applyAlignment="0" applyProtection="0"/>
    <xf numFmtId="0" fontId="1" fillId="65" borderId="0" applyNumberFormat="0" applyBorder="0" applyAlignment="0" applyProtection="0"/>
    <xf numFmtId="0" fontId="1" fillId="68" borderId="0" applyNumberFormat="0" applyBorder="0" applyAlignment="0" applyProtection="0"/>
    <xf numFmtId="0" fontId="1" fillId="69" borderId="0" applyNumberFormat="0" applyBorder="0" applyAlignment="0" applyProtection="0"/>
    <xf numFmtId="0" fontId="1" fillId="72" borderId="0" applyNumberFormat="0" applyBorder="0" applyAlignment="0" applyProtection="0"/>
    <xf numFmtId="0" fontId="1" fillId="73" borderId="0" applyNumberFormat="0" applyBorder="0" applyAlignment="0" applyProtection="0"/>
    <xf numFmtId="0" fontId="1" fillId="76" borderId="0" applyNumberFormat="0" applyBorder="0" applyAlignment="0" applyProtection="0"/>
    <xf numFmtId="0" fontId="1" fillId="77" borderId="0" applyNumberFormat="0" applyBorder="0" applyAlignment="0" applyProtection="0"/>
    <xf numFmtId="0" fontId="1" fillId="80" borderId="0" applyNumberFormat="0" applyBorder="0" applyAlignment="0" applyProtection="0"/>
    <xf numFmtId="0" fontId="1" fillId="81" borderId="0" applyNumberFormat="0" applyBorder="0" applyAlignment="0" applyProtection="0"/>
    <xf numFmtId="0" fontId="1" fillId="6" borderId="0" applyNumberFormat="0" applyBorder="0" applyAlignment="0" applyProtection="0"/>
    <xf numFmtId="0" fontId="1" fillId="60" borderId="0" applyNumberFormat="0" applyBorder="0" applyAlignment="0" applyProtection="0"/>
    <xf numFmtId="0" fontId="1" fillId="61" borderId="0" applyNumberFormat="0" applyBorder="0" applyAlignment="0" applyProtection="0"/>
    <xf numFmtId="0" fontId="1" fillId="64" borderId="0" applyNumberFormat="0" applyBorder="0" applyAlignment="0" applyProtection="0"/>
    <xf numFmtId="0" fontId="1" fillId="65" borderId="0" applyNumberFormat="0" applyBorder="0" applyAlignment="0" applyProtection="0"/>
    <xf numFmtId="0" fontId="1" fillId="68" borderId="0" applyNumberFormat="0" applyBorder="0" applyAlignment="0" applyProtection="0"/>
    <xf numFmtId="0" fontId="1" fillId="69" borderId="0" applyNumberFormat="0" applyBorder="0" applyAlignment="0" applyProtection="0"/>
    <xf numFmtId="0" fontId="1" fillId="72" borderId="0" applyNumberFormat="0" applyBorder="0" applyAlignment="0" applyProtection="0"/>
    <xf numFmtId="0" fontId="1" fillId="73" borderId="0" applyNumberFormat="0" applyBorder="0" applyAlignment="0" applyProtection="0"/>
    <xf numFmtId="0" fontId="1" fillId="76" borderId="0" applyNumberFormat="0" applyBorder="0" applyAlignment="0" applyProtection="0"/>
    <xf numFmtId="0" fontId="1" fillId="77" borderId="0" applyNumberFormat="0" applyBorder="0" applyAlignment="0" applyProtection="0"/>
    <xf numFmtId="0" fontId="1" fillId="80" borderId="0" applyNumberFormat="0" applyBorder="0" applyAlignment="0" applyProtection="0"/>
    <xf numFmtId="0" fontId="1" fillId="81" borderId="0" applyNumberFormat="0" applyBorder="0" applyAlignment="0" applyProtection="0"/>
    <xf numFmtId="0" fontId="1" fillId="58" borderId="104" applyNumberFormat="0" applyFont="0" applyAlignment="0" applyProtection="0"/>
    <xf numFmtId="0" fontId="1" fillId="26" borderId="0" applyNumberFormat="0" applyBorder="0" applyAlignment="0" applyProtection="0"/>
    <xf numFmtId="0" fontId="1" fillId="60" borderId="0" applyNumberFormat="0" applyBorder="0" applyAlignment="0" applyProtection="0"/>
    <xf numFmtId="0" fontId="1" fillId="61" borderId="0" applyNumberFormat="0" applyBorder="0" applyAlignment="0" applyProtection="0"/>
    <xf numFmtId="0" fontId="1" fillId="64" borderId="0" applyNumberFormat="0" applyBorder="0" applyAlignment="0" applyProtection="0"/>
    <xf numFmtId="0" fontId="1" fillId="65" borderId="0" applyNumberFormat="0" applyBorder="0" applyAlignment="0" applyProtection="0"/>
    <xf numFmtId="0" fontId="1" fillId="68" borderId="0" applyNumberFormat="0" applyBorder="0" applyAlignment="0" applyProtection="0"/>
    <xf numFmtId="0" fontId="1" fillId="69" borderId="0" applyNumberFormat="0" applyBorder="0" applyAlignment="0" applyProtection="0"/>
    <xf numFmtId="0" fontId="1" fillId="72" borderId="0" applyNumberFormat="0" applyBorder="0" applyAlignment="0" applyProtection="0"/>
    <xf numFmtId="0" fontId="1" fillId="73" borderId="0" applyNumberFormat="0" applyBorder="0" applyAlignment="0" applyProtection="0"/>
    <xf numFmtId="0" fontId="1" fillId="76" borderId="0" applyNumberFormat="0" applyBorder="0" applyAlignment="0" applyProtection="0"/>
    <xf numFmtId="0" fontId="1" fillId="77" borderId="0" applyNumberFormat="0" applyBorder="0" applyAlignment="0" applyProtection="0"/>
    <xf numFmtId="0" fontId="1" fillId="80" borderId="0" applyNumberFormat="0" applyBorder="0" applyAlignment="0" applyProtection="0"/>
    <xf numFmtId="0" fontId="1" fillId="81" borderId="0" applyNumberFormat="0" applyBorder="0" applyAlignment="0" applyProtection="0"/>
    <xf numFmtId="0" fontId="1" fillId="58" borderId="104" applyNumberFormat="0" applyFont="0" applyAlignment="0" applyProtection="0"/>
    <xf numFmtId="0" fontId="1" fillId="58" borderId="104" applyNumberFormat="0" applyFont="0" applyAlignment="0" applyProtection="0"/>
    <xf numFmtId="0" fontId="1" fillId="60" borderId="0" applyNumberFormat="0" applyBorder="0" applyAlignment="0" applyProtection="0"/>
    <xf numFmtId="0" fontId="1" fillId="61" borderId="0" applyNumberFormat="0" applyBorder="0" applyAlignment="0" applyProtection="0"/>
    <xf numFmtId="0" fontId="1" fillId="64" borderId="0" applyNumberFormat="0" applyBorder="0" applyAlignment="0" applyProtection="0"/>
    <xf numFmtId="0" fontId="1" fillId="65" borderId="0" applyNumberFormat="0" applyBorder="0" applyAlignment="0" applyProtection="0"/>
    <xf numFmtId="0" fontId="1" fillId="68" borderId="0" applyNumberFormat="0" applyBorder="0" applyAlignment="0" applyProtection="0"/>
    <xf numFmtId="0" fontId="1" fillId="69" borderId="0" applyNumberFormat="0" applyBorder="0" applyAlignment="0" applyProtection="0"/>
    <xf numFmtId="0" fontId="1" fillId="72" borderId="0" applyNumberFormat="0" applyBorder="0" applyAlignment="0" applyProtection="0"/>
    <xf numFmtId="0" fontId="1" fillId="73" borderId="0" applyNumberFormat="0" applyBorder="0" applyAlignment="0" applyProtection="0"/>
    <xf numFmtId="0" fontId="1" fillId="76" borderId="0" applyNumberFormat="0" applyBorder="0" applyAlignment="0" applyProtection="0"/>
    <xf numFmtId="0" fontId="1" fillId="77" borderId="0" applyNumberFormat="0" applyBorder="0" applyAlignment="0" applyProtection="0"/>
    <xf numFmtId="0" fontId="1" fillId="80" borderId="0" applyNumberFormat="0" applyBorder="0" applyAlignment="0" applyProtection="0"/>
    <xf numFmtId="0" fontId="1" fillId="81" borderId="0" applyNumberFormat="0" applyBorder="0" applyAlignment="0" applyProtection="0"/>
    <xf numFmtId="0" fontId="1" fillId="60" borderId="0" applyNumberFormat="0" applyBorder="0" applyAlignment="0" applyProtection="0"/>
    <xf numFmtId="0" fontId="1" fillId="61" borderId="0" applyNumberFormat="0" applyBorder="0" applyAlignment="0" applyProtection="0"/>
    <xf numFmtId="0" fontId="1" fillId="64" borderId="0" applyNumberFormat="0" applyBorder="0" applyAlignment="0" applyProtection="0"/>
    <xf numFmtId="0" fontId="1" fillId="65" borderId="0" applyNumberFormat="0" applyBorder="0" applyAlignment="0" applyProtection="0"/>
    <xf numFmtId="0" fontId="1" fillId="68" borderId="0" applyNumberFormat="0" applyBorder="0" applyAlignment="0" applyProtection="0"/>
    <xf numFmtId="0" fontId="1" fillId="69" borderId="0" applyNumberFormat="0" applyBorder="0" applyAlignment="0" applyProtection="0"/>
    <xf numFmtId="0" fontId="1" fillId="72" borderId="0" applyNumberFormat="0" applyBorder="0" applyAlignment="0" applyProtection="0"/>
    <xf numFmtId="0" fontId="1" fillId="73" borderId="0" applyNumberFormat="0" applyBorder="0" applyAlignment="0" applyProtection="0"/>
    <xf numFmtId="0" fontId="1" fillId="76" borderId="0" applyNumberFormat="0" applyBorder="0" applyAlignment="0" applyProtection="0"/>
    <xf numFmtId="0" fontId="1" fillId="77" borderId="0" applyNumberFormat="0" applyBorder="0" applyAlignment="0" applyProtection="0"/>
    <xf numFmtId="0" fontId="1" fillId="80" borderId="0" applyNumberFormat="0" applyBorder="0" applyAlignment="0" applyProtection="0"/>
    <xf numFmtId="0" fontId="1" fillId="81" borderId="0" applyNumberFormat="0" applyBorder="0" applyAlignment="0" applyProtection="0"/>
    <xf numFmtId="0" fontId="1" fillId="58" borderId="104" applyNumberFormat="0" applyFont="0" applyAlignment="0" applyProtection="0"/>
    <xf numFmtId="0" fontId="1" fillId="60" borderId="0" applyNumberFormat="0" applyBorder="0" applyAlignment="0" applyProtection="0"/>
    <xf numFmtId="0" fontId="1" fillId="61" borderId="0" applyNumberFormat="0" applyBorder="0" applyAlignment="0" applyProtection="0"/>
    <xf numFmtId="0" fontId="1" fillId="64" borderId="0" applyNumberFormat="0" applyBorder="0" applyAlignment="0" applyProtection="0"/>
    <xf numFmtId="0" fontId="1" fillId="65" borderId="0" applyNumberFormat="0" applyBorder="0" applyAlignment="0" applyProtection="0"/>
    <xf numFmtId="0" fontId="1" fillId="68" borderId="0" applyNumberFormat="0" applyBorder="0" applyAlignment="0" applyProtection="0"/>
    <xf numFmtId="0" fontId="1" fillId="69" borderId="0" applyNumberFormat="0" applyBorder="0" applyAlignment="0" applyProtection="0"/>
    <xf numFmtId="0" fontId="1" fillId="72" borderId="0" applyNumberFormat="0" applyBorder="0" applyAlignment="0" applyProtection="0"/>
    <xf numFmtId="0" fontId="1" fillId="73" borderId="0" applyNumberFormat="0" applyBorder="0" applyAlignment="0" applyProtection="0"/>
    <xf numFmtId="0" fontId="1" fillId="76" borderId="0" applyNumberFormat="0" applyBorder="0" applyAlignment="0" applyProtection="0"/>
    <xf numFmtId="0" fontId="1" fillId="77" borderId="0" applyNumberFormat="0" applyBorder="0" applyAlignment="0" applyProtection="0"/>
    <xf numFmtId="0" fontId="1" fillId="80" borderId="0" applyNumberFormat="0" applyBorder="0" applyAlignment="0" applyProtection="0"/>
    <xf numFmtId="0" fontId="1" fillId="81" borderId="0" applyNumberFormat="0" applyBorder="0" applyAlignment="0" applyProtection="0"/>
    <xf numFmtId="0" fontId="1" fillId="58" borderId="104" applyNumberFormat="0" applyFont="0" applyAlignment="0" applyProtection="0"/>
    <xf numFmtId="0" fontId="1" fillId="58" borderId="104" applyNumberFormat="0" applyFont="0" applyAlignment="0" applyProtection="0"/>
    <xf numFmtId="0" fontId="1" fillId="60" borderId="0" applyNumberFormat="0" applyBorder="0" applyAlignment="0" applyProtection="0"/>
    <xf numFmtId="0" fontId="1" fillId="61" borderId="0" applyNumberFormat="0" applyBorder="0" applyAlignment="0" applyProtection="0"/>
    <xf numFmtId="0" fontId="1" fillId="64" borderId="0" applyNumberFormat="0" applyBorder="0" applyAlignment="0" applyProtection="0"/>
    <xf numFmtId="0" fontId="1" fillId="65" borderId="0" applyNumberFormat="0" applyBorder="0" applyAlignment="0" applyProtection="0"/>
    <xf numFmtId="0" fontId="1" fillId="68" borderId="0" applyNumberFormat="0" applyBorder="0" applyAlignment="0" applyProtection="0"/>
    <xf numFmtId="0" fontId="1" fillId="69" borderId="0" applyNumberFormat="0" applyBorder="0" applyAlignment="0" applyProtection="0"/>
    <xf numFmtId="0" fontId="1" fillId="72" borderId="0" applyNumberFormat="0" applyBorder="0" applyAlignment="0" applyProtection="0"/>
    <xf numFmtId="0" fontId="1" fillId="73" borderId="0" applyNumberFormat="0" applyBorder="0" applyAlignment="0" applyProtection="0"/>
    <xf numFmtId="0" fontId="1" fillId="76" borderId="0" applyNumberFormat="0" applyBorder="0" applyAlignment="0" applyProtection="0"/>
    <xf numFmtId="0" fontId="1" fillId="77" borderId="0" applyNumberFormat="0" applyBorder="0" applyAlignment="0" applyProtection="0"/>
    <xf numFmtId="0" fontId="1" fillId="80" borderId="0" applyNumberFormat="0" applyBorder="0" applyAlignment="0" applyProtection="0"/>
    <xf numFmtId="0" fontId="1" fillId="81" borderId="0" applyNumberFormat="0" applyBorder="0" applyAlignment="0" applyProtection="0"/>
    <xf numFmtId="0" fontId="1" fillId="60" borderId="0" applyNumberFormat="0" applyBorder="0" applyAlignment="0" applyProtection="0"/>
    <xf numFmtId="0" fontId="1" fillId="61" borderId="0" applyNumberFormat="0" applyBorder="0" applyAlignment="0" applyProtection="0"/>
    <xf numFmtId="0" fontId="1" fillId="64" borderId="0" applyNumberFormat="0" applyBorder="0" applyAlignment="0" applyProtection="0"/>
    <xf numFmtId="0" fontId="1" fillId="65" borderId="0" applyNumberFormat="0" applyBorder="0" applyAlignment="0" applyProtection="0"/>
    <xf numFmtId="0" fontId="1" fillId="68" borderId="0" applyNumberFormat="0" applyBorder="0" applyAlignment="0" applyProtection="0"/>
    <xf numFmtId="0" fontId="1" fillId="69" borderId="0" applyNumberFormat="0" applyBorder="0" applyAlignment="0" applyProtection="0"/>
    <xf numFmtId="0" fontId="1" fillId="72" borderId="0" applyNumberFormat="0" applyBorder="0" applyAlignment="0" applyProtection="0"/>
    <xf numFmtId="0" fontId="1" fillId="73" borderId="0" applyNumberFormat="0" applyBorder="0" applyAlignment="0" applyProtection="0"/>
    <xf numFmtId="0" fontId="1" fillId="76" borderId="0" applyNumberFormat="0" applyBorder="0" applyAlignment="0" applyProtection="0"/>
    <xf numFmtId="0" fontId="1" fillId="77" borderId="0" applyNumberFormat="0" applyBorder="0" applyAlignment="0" applyProtection="0"/>
    <xf numFmtId="0" fontId="1" fillId="80" borderId="0" applyNumberFormat="0" applyBorder="0" applyAlignment="0" applyProtection="0"/>
    <xf numFmtId="0" fontId="1" fillId="81" borderId="0" applyNumberFormat="0" applyBorder="0" applyAlignment="0" applyProtection="0"/>
    <xf numFmtId="0" fontId="1" fillId="58" borderId="104" applyNumberFormat="0" applyFont="0" applyAlignment="0" applyProtection="0"/>
    <xf numFmtId="0" fontId="1" fillId="0" borderId="0"/>
    <xf numFmtId="0" fontId="1" fillId="26" borderId="0" applyNumberFormat="0" applyBorder="0" applyAlignment="0" applyProtection="0"/>
    <xf numFmtId="0" fontId="1" fillId="9" borderId="0" applyNumberFormat="0" applyBorder="0" applyAlignment="0" applyProtection="0"/>
    <xf numFmtId="0" fontId="1" fillId="0" borderId="0"/>
    <xf numFmtId="0" fontId="1" fillId="60" borderId="0" applyNumberFormat="0" applyBorder="0" applyAlignment="0" applyProtection="0"/>
    <xf numFmtId="0" fontId="1" fillId="61" borderId="0" applyNumberFormat="0" applyBorder="0" applyAlignment="0" applyProtection="0"/>
    <xf numFmtId="0" fontId="1" fillId="64" borderId="0" applyNumberFormat="0" applyBorder="0" applyAlignment="0" applyProtection="0"/>
    <xf numFmtId="0" fontId="1" fillId="65" borderId="0" applyNumberFormat="0" applyBorder="0" applyAlignment="0" applyProtection="0"/>
    <xf numFmtId="0" fontId="1" fillId="68" borderId="0" applyNumberFormat="0" applyBorder="0" applyAlignment="0" applyProtection="0"/>
    <xf numFmtId="0" fontId="1" fillId="69" borderId="0" applyNumberFormat="0" applyBorder="0" applyAlignment="0" applyProtection="0"/>
    <xf numFmtId="0" fontId="1" fillId="72" borderId="0" applyNumberFormat="0" applyBorder="0" applyAlignment="0" applyProtection="0"/>
    <xf numFmtId="0" fontId="1" fillId="73" borderId="0" applyNumberFormat="0" applyBorder="0" applyAlignment="0" applyProtection="0"/>
    <xf numFmtId="0" fontId="1" fillId="76" borderId="0" applyNumberFormat="0" applyBorder="0" applyAlignment="0" applyProtection="0"/>
    <xf numFmtId="0" fontId="1" fillId="77" borderId="0" applyNumberFormat="0" applyBorder="0" applyAlignment="0" applyProtection="0"/>
    <xf numFmtId="0" fontId="1" fillId="80" borderId="0" applyNumberFormat="0" applyBorder="0" applyAlignment="0" applyProtection="0"/>
    <xf numFmtId="0" fontId="1" fillId="81" borderId="0" applyNumberFormat="0" applyBorder="0" applyAlignment="0" applyProtection="0"/>
    <xf numFmtId="0" fontId="1" fillId="58" borderId="104" applyNumberFormat="0" applyFont="0" applyAlignment="0" applyProtection="0"/>
    <xf numFmtId="0" fontId="1" fillId="58" borderId="104" applyNumberFormat="0" applyFont="0" applyAlignment="0" applyProtection="0"/>
    <xf numFmtId="0" fontId="1" fillId="60" borderId="0" applyNumberFormat="0" applyBorder="0" applyAlignment="0" applyProtection="0"/>
    <xf numFmtId="0" fontId="1" fillId="61" borderId="0" applyNumberFormat="0" applyBorder="0" applyAlignment="0" applyProtection="0"/>
    <xf numFmtId="0" fontId="1" fillId="64" borderId="0" applyNumberFormat="0" applyBorder="0" applyAlignment="0" applyProtection="0"/>
    <xf numFmtId="0" fontId="1" fillId="65" borderId="0" applyNumberFormat="0" applyBorder="0" applyAlignment="0" applyProtection="0"/>
    <xf numFmtId="0" fontId="1" fillId="68" borderId="0" applyNumberFormat="0" applyBorder="0" applyAlignment="0" applyProtection="0"/>
    <xf numFmtId="0" fontId="1" fillId="69" borderId="0" applyNumberFormat="0" applyBorder="0" applyAlignment="0" applyProtection="0"/>
    <xf numFmtId="0" fontId="1" fillId="72" borderId="0" applyNumberFormat="0" applyBorder="0" applyAlignment="0" applyProtection="0"/>
    <xf numFmtId="0" fontId="1" fillId="73" borderId="0" applyNumberFormat="0" applyBorder="0" applyAlignment="0" applyProtection="0"/>
    <xf numFmtId="0" fontId="1" fillId="76" borderId="0" applyNumberFormat="0" applyBorder="0" applyAlignment="0" applyProtection="0"/>
    <xf numFmtId="0" fontId="1" fillId="77" borderId="0" applyNumberFormat="0" applyBorder="0" applyAlignment="0" applyProtection="0"/>
    <xf numFmtId="0" fontId="1" fillId="80" borderId="0" applyNumberFormat="0" applyBorder="0" applyAlignment="0" applyProtection="0"/>
    <xf numFmtId="0" fontId="1" fillId="81" borderId="0" applyNumberFormat="0" applyBorder="0" applyAlignment="0" applyProtection="0"/>
    <xf numFmtId="0" fontId="1" fillId="60" borderId="0" applyNumberFormat="0" applyBorder="0" applyAlignment="0" applyProtection="0"/>
    <xf numFmtId="0" fontId="1" fillId="61" borderId="0" applyNumberFormat="0" applyBorder="0" applyAlignment="0" applyProtection="0"/>
    <xf numFmtId="0" fontId="1" fillId="64" borderId="0" applyNumberFormat="0" applyBorder="0" applyAlignment="0" applyProtection="0"/>
    <xf numFmtId="0" fontId="1" fillId="65" borderId="0" applyNumberFormat="0" applyBorder="0" applyAlignment="0" applyProtection="0"/>
    <xf numFmtId="0" fontId="1" fillId="68" borderId="0" applyNumberFormat="0" applyBorder="0" applyAlignment="0" applyProtection="0"/>
    <xf numFmtId="0" fontId="1" fillId="69" borderId="0" applyNumberFormat="0" applyBorder="0" applyAlignment="0" applyProtection="0"/>
    <xf numFmtId="0" fontId="1" fillId="72" borderId="0" applyNumberFormat="0" applyBorder="0" applyAlignment="0" applyProtection="0"/>
    <xf numFmtId="0" fontId="1" fillId="73" borderId="0" applyNumberFormat="0" applyBorder="0" applyAlignment="0" applyProtection="0"/>
    <xf numFmtId="0" fontId="1" fillId="76" borderId="0" applyNumberFormat="0" applyBorder="0" applyAlignment="0" applyProtection="0"/>
    <xf numFmtId="0" fontId="1" fillId="77" borderId="0" applyNumberFormat="0" applyBorder="0" applyAlignment="0" applyProtection="0"/>
    <xf numFmtId="0" fontId="1" fillId="80" borderId="0" applyNumberFormat="0" applyBorder="0" applyAlignment="0" applyProtection="0"/>
    <xf numFmtId="0" fontId="1" fillId="81" borderId="0" applyNumberFormat="0" applyBorder="0" applyAlignment="0" applyProtection="0"/>
    <xf numFmtId="0" fontId="1" fillId="58" borderId="104" applyNumberFormat="0" applyFont="0" applyAlignment="0" applyProtection="0"/>
    <xf numFmtId="0" fontId="1" fillId="60" borderId="0" applyNumberFormat="0" applyBorder="0" applyAlignment="0" applyProtection="0"/>
    <xf numFmtId="0" fontId="1" fillId="61" borderId="0" applyNumberFormat="0" applyBorder="0" applyAlignment="0" applyProtection="0"/>
    <xf numFmtId="0" fontId="1" fillId="64" borderId="0" applyNumberFormat="0" applyBorder="0" applyAlignment="0" applyProtection="0"/>
    <xf numFmtId="0" fontId="1" fillId="65" borderId="0" applyNumberFormat="0" applyBorder="0" applyAlignment="0" applyProtection="0"/>
    <xf numFmtId="0" fontId="1" fillId="68" borderId="0" applyNumberFormat="0" applyBorder="0" applyAlignment="0" applyProtection="0"/>
    <xf numFmtId="0" fontId="1" fillId="69" borderId="0" applyNumberFormat="0" applyBorder="0" applyAlignment="0" applyProtection="0"/>
    <xf numFmtId="0" fontId="1" fillId="72" borderId="0" applyNumberFormat="0" applyBorder="0" applyAlignment="0" applyProtection="0"/>
    <xf numFmtId="0" fontId="1" fillId="73" borderId="0" applyNumberFormat="0" applyBorder="0" applyAlignment="0" applyProtection="0"/>
    <xf numFmtId="0" fontId="1" fillId="76" borderId="0" applyNumberFormat="0" applyBorder="0" applyAlignment="0" applyProtection="0"/>
    <xf numFmtId="0" fontId="1" fillId="77" borderId="0" applyNumberFormat="0" applyBorder="0" applyAlignment="0" applyProtection="0"/>
    <xf numFmtId="0" fontId="1" fillId="80" borderId="0" applyNumberFormat="0" applyBorder="0" applyAlignment="0" applyProtection="0"/>
    <xf numFmtId="0" fontId="1" fillId="81" borderId="0" applyNumberFormat="0" applyBorder="0" applyAlignment="0" applyProtection="0"/>
    <xf numFmtId="0" fontId="1" fillId="58" borderId="104" applyNumberFormat="0" applyFont="0" applyAlignment="0" applyProtection="0"/>
    <xf numFmtId="0" fontId="1" fillId="58" borderId="104" applyNumberFormat="0" applyFont="0" applyAlignment="0" applyProtection="0"/>
    <xf numFmtId="0" fontId="1" fillId="60" borderId="0" applyNumberFormat="0" applyBorder="0" applyAlignment="0" applyProtection="0"/>
    <xf numFmtId="0" fontId="1" fillId="61" borderId="0" applyNumberFormat="0" applyBorder="0" applyAlignment="0" applyProtection="0"/>
    <xf numFmtId="0" fontId="1" fillId="64" borderId="0" applyNumberFormat="0" applyBorder="0" applyAlignment="0" applyProtection="0"/>
    <xf numFmtId="0" fontId="1" fillId="65" borderId="0" applyNumberFormat="0" applyBorder="0" applyAlignment="0" applyProtection="0"/>
    <xf numFmtId="0" fontId="1" fillId="68" borderId="0" applyNumberFormat="0" applyBorder="0" applyAlignment="0" applyProtection="0"/>
    <xf numFmtId="0" fontId="1" fillId="69" borderId="0" applyNumberFormat="0" applyBorder="0" applyAlignment="0" applyProtection="0"/>
    <xf numFmtId="0" fontId="1" fillId="72" borderId="0" applyNumberFormat="0" applyBorder="0" applyAlignment="0" applyProtection="0"/>
    <xf numFmtId="0" fontId="1" fillId="73" borderId="0" applyNumberFormat="0" applyBorder="0" applyAlignment="0" applyProtection="0"/>
    <xf numFmtId="0" fontId="1" fillId="76" borderId="0" applyNumberFormat="0" applyBorder="0" applyAlignment="0" applyProtection="0"/>
    <xf numFmtId="0" fontId="1" fillId="77" borderId="0" applyNumberFormat="0" applyBorder="0" applyAlignment="0" applyProtection="0"/>
    <xf numFmtId="0" fontId="1" fillId="80" borderId="0" applyNumberFormat="0" applyBorder="0" applyAlignment="0" applyProtection="0"/>
    <xf numFmtId="0" fontId="1" fillId="81" borderId="0" applyNumberFormat="0" applyBorder="0" applyAlignment="0" applyProtection="0"/>
    <xf numFmtId="0" fontId="1" fillId="60" borderId="0" applyNumberFormat="0" applyBorder="0" applyAlignment="0" applyProtection="0"/>
    <xf numFmtId="0" fontId="1" fillId="61" borderId="0" applyNumberFormat="0" applyBorder="0" applyAlignment="0" applyProtection="0"/>
    <xf numFmtId="0" fontId="1" fillId="64" borderId="0" applyNumberFormat="0" applyBorder="0" applyAlignment="0" applyProtection="0"/>
    <xf numFmtId="0" fontId="1" fillId="65" borderId="0" applyNumberFormat="0" applyBorder="0" applyAlignment="0" applyProtection="0"/>
    <xf numFmtId="0" fontId="1" fillId="68" borderId="0" applyNumberFormat="0" applyBorder="0" applyAlignment="0" applyProtection="0"/>
    <xf numFmtId="0" fontId="1" fillId="69" borderId="0" applyNumberFormat="0" applyBorder="0" applyAlignment="0" applyProtection="0"/>
    <xf numFmtId="0" fontId="1" fillId="72" borderId="0" applyNumberFormat="0" applyBorder="0" applyAlignment="0" applyProtection="0"/>
    <xf numFmtId="0" fontId="1" fillId="73" borderId="0" applyNumberFormat="0" applyBorder="0" applyAlignment="0" applyProtection="0"/>
    <xf numFmtId="0" fontId="1" fillId="76" borderId="0" applyNumberFormat="0" applyBorder="0" applyAlignment="0" applyProtection="0"/>
    <xf numFmtId="0" fontId="1" fillId="77" borderId="0" applyNumberFormat="0" applyBorder="0" applyAlignment="0" applyProtection="0"/>
    <xf numFmtId="0" fontId="1" fillId="80" borderId="0" applyNumberFormat="0" applyBorder="0" applyAlignment="0" applyProtection="0"/>
    <xf numFmtId="0" fontId="1" fillId="81" borderId="0" applyNumberFormat="0" applyBorder="0" applyAlignment="0" applyProtection="0"/>
    <xf numFmtId="0" fontId="1" fillId="58" borderId="104" applyNumberFormat="0" applyFont="0" applyAlignment="0" applyProtection="0"/>
    <xf numFmtId="0" fontId="1" fillId="60" borderId="0" applyNumberFormat="0" applyBorder="0" applyAlignment="0" applyProtection="0"/>
    <xf numFmtId="0" fontId="1" fillId="61" borderId="0" applyNumberFormat="0" applyBorder="0" applyAlignment="0" applyProtection="0"/>
    <xf numFmtId="0" fontId="1" fillId="64" borderId="0" applyNumberFormat="0" applyBorder="0" applyAlignment="0" applyProtection="0"/>
    <xf numFmtId="0" fontId="1" fillId="65" borderId="0" applyNumberFormat="0" applyBorder="0" applyAlignment="0" applyProtection="0"/>
    <xf numFmtId="0" fontId="1" fillId="68" borderId="0" applyNumberFormat="0" applyBorder="0" applyAlignment="0" applyProtection="0"/>
    <xf numFmtId="0" fontId="1" fillId="69" borderId="0" applyNumberFormat="0" applyBorder="0" applyAlignment="0" applyProtection="0"/>
    <xf numFmtId="0" fontId="1" fillId="72" borderId="0" applyNumberFormat="0" applyBorder="0" applyAlignment="0" applyProtection="0"/>
    <xf numFmtId="0" fontId="1" fillId="73" borderId="0" applyNumberFormat="0" applyBorder="0" applyAlignment="0" applyProtection="0"/>
    <xf numFmtId="0" fontId="1" fillId="76" borderId="0" applyNumberFormat="0" applyBorder="0" applyAlignment="0" applyProtection="0"/>
    <xf numFmtId="0" fontId="1" fillId="77" borderId="0" applyNumberFormat="0" applyBorder="0" applyAlignment="0" applyProtection="0"/>
    <xf numFmtId="0" fontId="1" fillId="80" borderId="0" applyNumberFormat="0" applyBorder="0" applyAlignment="0" applyProtection="0"/>
    <xf numFmtId="0" fontId="1" fillId="81" borderId="0" applyNumberFormat="0" applyBorder="0" applyAlignment="0" applyProtection="0"/>
    <xf numFmtId="0" fontId="1" fillId="58" borderId="104" applyNumberFormat="0" applyFont="0" applyAlignment="0" applyProtection="0"/>
    <xf numFmtId="0" fontId="1" fillId="58" borderId="104" applyNumberFormat="0" applyFont="0" applyAlignment="0" applyProtection="0"/>
    <xf numFmtId="0" fontId="1" fillId="60" borderId="0" applyNumberFormat="0" applyBorder="0" applyAlignment="0" applyProtection="0"/>
    <xf numFmtId="0" fontId="1" fillId="61" borderId="0" applyNumberFormat="0" applyBorder="0" applyAlignment="0" applyProtection="0"/>
    <xf numFmtId="0" fontId="1" fillId="64" borderId="0" applyNumberFormat="0" applyBorder="0" applyAlignment="0" applyProtection="0"/>
    <xf numFmtId="0" fontId="1" fillId="65" borderId="0" applyNumberFormat="0" applyBorder="0" applyAlignment="0" applyProtection="0"/>
    <xf numFmtId="0" fontId="1" fillId="68" borderId="0" applyNumberFormat="0" applyBorder="0" applyAlignment="0" applyProtection="0"/>
    <xf numFmtId="0" fontId="1" fillId="69" borderId="0" applyNumberFormat="0" applyBorder="0" applyAlignment="0" applyProtection="0"/>
    <xf numFmtId="0" fontId="1" fillId="72" borderId="0" applyNumberFormat="0" applyBorder="0" applyAlignment="0" applyProtection="0"/>
    <xf numFmtId="0" fontId="1" fillId="73" borderId="0" applyNumberFormat="0" applyBorder="0" applyAlignment="0" applyProtection="0"/>
    <xf numFmtId="0" fontId="1" fillId="76" borderId="0" applyNumberFormat="0" applyBorder="0" applyAlignment="0" applyProtection="0"/>
    <xf numFmtId="0" fontId="1" fillId="77" borderId="0" applyNumberFormat="0" applyBorder="0" applyAlignment="0" applyProtection="0"/>
    <xf numFmtId="0" fontId="1" fillId="80" borderId="0" applyNumberFormat="0" applyBorder="0" applyAlignment="0" applyProtection="0"/>
    <xf numFmtId="0" fontId="1" fillId="81" borderId="0" applyNumberFormat="0" applyBorder="0" applyAlignment="0" applyProtection="0"/>
    <xf numFmtId="0" fontId="1" fillId="60" borderId="0" applyNumberFormat="0" applyBorder="0" applyAlignment="0" applyProtection="0"/>
    <xf numFmtId="0" fontId="1" fillId="61" borderId="0" applyNumberFormat="0" applyBorder="0" applyAlignment="0" applyProtection="0"/>
    <xf numFmtId="0" fontId="1" fillId="64" borderId="0" applyNumberFormat="0" applyBorder="0" applyAlignment="0" applyProtection="0"/>
    <xf numFmtId="0" fontId="1" fillId="65" borderId="0" applyNumberFormat="0" applyBorder="0" applyAlignment="0" applyProtection="0"/>
    <xf numFmtId="0" fontId="1" fillId="68" borderId="0" applyNumberFormat="0" applyBorder="0" applyAlignment="0" applyProtection="0"/>
    <xf numFmtId="0" fontId="1" fillId="69" borderId="0" applyNumberFormat="0" applyBorder="0" applyAlignment="0" applyProtection="0"/>
    <xf numFmtId="0" fontId="1" fillId="72" borderId="0" applyNumberFormat="0" applyBorder="0" applyAlignment="0" applyProtection="0"/>
    <xf numFmtId="0" fontId="1" fillId="73" borderId="0" applyNumberFormat="0" applyBorder="0" applyAlignment="0" applyProtection="0"/>
    <xf numFmtId="0" fontId="1" fillId="76" borderId="0" applyNumberFormat="0" applyBorder="0" applyAlignment="0" applyProtection="0"/>
    <xf numFmtId="0" fontId="1" fillId="77" borderId="0" applyNumberFormat="0" applyBorder="0" applyAlignment="0" applyProtection="0"/>
    <xf numFmtId="0" fontId="1" fillId="80" borderId="0" applyNumberFormat="0" applyBorder="0" applyAlignment="0" applyProtection="0"/>
    <xf numFmtId="0" fontId="1" fillId="81" borderId="0" applyNumberFormat="0" applyBorder="0" applyAlignment="0" applyProtection="0"/>
    <xf numFmtId="0" fontId="1" fillId="58" borderId="104" applyNumberFormat="0" applyFont="0" applyAlignment="0" applyProtection="0"/>
    <xf numFmtId="0" fontId="1" fillId="26" borderId="0" applyNumberFormat="0" applyBorder="0" applyAlignment="0" applyProtection="0"/>
    <xf numFmtId="0" fontId="1" fillId="60" borderId="0" applyNumberFormat="0" applyBorder="0" applyAlignment="0" applyProtection="0"/>
    <xf numFmtId="0" fontId="1" fillId="60" borderId="0" applyNumberFormat="0" applyBorder="0" applyAlignment="0" applyProtection="0"/>
    <xf numFmtId="0" fontId="1" fillId="60" borderId="0" applyNumberFormat="0" applyBorder="0" applyAlignment="0" applyProtection="0"/>
    <xf numFmtId="0" fontId="1" fillId="60" borderId="0" applyNumberFormat="0" applyBorder="0" applyAlignment="0" applyProtection="0"/>
    <xf numFmtId="0" fontId="1" fillId="60" borderId="0" applyNumberFormat="0" applyBorder="0" applyAlignment="0" applyProtection="0"/>
    <xf numFmtId="0" fontId="1" fillId="60" borderId="0" applyNumberFormat="0" applyBorder="0" applyAlignment="0" applyProtection="0"/>
    <xf numFmtId="0" fontId="1" fillId="60" borderId="0" applyNumberFormat="0" applyBorder="0" applyAlignment="0" applyProtection="0"/>
    <xf numFmtId="0" fontId="1" fillId="60" borderId="0" applyNumberFormat="0" applyBorder="0" applyAlignment="0" applyProtection="0"/>
    <xf numFmtId="0" fontId="1" fillId="60" borderId="0" applyNumberFormat="0" applyBorder="0" applyAlignment="0" applyProtection="0"/>
    <xf numFmtId="0" fontId="1" fillId="64" borderId="0" applyNumberFormat="0" applyBorder="0" applyAlignment="0" applyProtection="0"/>
    <xf numFmtId="0" fontId="1" fillId="64" borderId="0" applyNumberFormat="0" applyBorder="0" applyAlignment="0" applyProtection="0"/>
    <xf numFmtId="0" fontId="1" fillId="64" borderId="0" applyNumberFormat="0" applyBorder="0" applyAlignment="0" applyProtection="0"/>
    <xf numFmtId="0" fontId="1" fillId="64" borderId="0" applyNumberFormat="0" applyBorder="0" applyAlignment="0" applyProtection="0"/>
    <xf numFmtId="0" fontId="1" fillId="64" borderId="0" applyNumberFormat="0" applyBorder="0" applyAlignment="0" applyProtection="0"/>
    <xf numFmtId="0" fontId="1" fillId="64" borderId="0" applyNumberFormat="0" applyBorder="0" applyAlignment="0" applyProtection="0"/>
    <xf numFmtId="0" fontId="1" fillId="64" borderId="0" applyNumberFormat="0" applyBorder="0" applyAlignment="0" applyProtection="0"/>
    <xf numFmtId="0" fontId="1" fillId="64" borderId="0" applyNumberFormat="0" applyBorder="0" applyAlignment="0" applyProtection="0"/>
    <xf numFmtId="0" fontId="1" fillId="64" borderId="0" applyNumberFormat="0" applyBorder="0" applyAlignment="0" applyProtection="0"/>
    <xf numFmtId="0" fontId="1" fillId="68" borderId="0" applyNumberFormat="0" applyBorder="0" applyAlignment="0" applyProtection="0"/>
    <xf numFmtId="0" fontId="1" fillId="68" borderId="0" applyNumberFormat="0" applyBorder="0" applyAlignment="0" applyProtection="0"/>
    <xf numFmtId="0" fontId="1" fillId="68" borderId="0" applyNumberFormat="0" applyBorder="0" applyAlignment="0" applyProtection="0"/>
    <xf numFmtId="0" fontId="1" fillId="68" borderId="0" applyNumberFormat="0" applyBorder="0" applyAlignment="0" applyProtection="0"/>
    <xf numFmtId="0" fontId="1" fillId="68" borderId="0" applyNumberFormat="0" applyBorder="0" applyAlignment="0" applyProtection="0"/>
    <xf numFmtId="0" fontId="1" fillId="68" borderId="0" applyNumberFormat="0" applyBorder="0" applyAlignment="0" applyProtection="0"/>
    <xf numFmtId="0" fontId="1" fillId="68" borderId="0" applyNumberFormat="0" applyBorder="0" applyAlignment="0" applyProtection="0"/>
    <xf numFmtId="0" fontId="1" fillId="68" borderId="0" applyNumberFormat="0" applyBorder="0" applyAlignment="0" applyProtection="0"/>
    <xf numFmtId="0" fontId="1" fillId="68" borderId="0" applyNumberFormat="0" applyBorder="0" applyAlignment="0" applyProtection="0"/>
    <xf numFmtId="0" fontId="1" fillId="72" borderId="0" applyNumberFormat="0" applyBorder="0" applyAlignment="0" applyProtection="0"/>
    <xf numFmtId="0" fontId="1" fillId="72" borderId="0" applyNumberFormat="0" applyBorder="0" applyAlignment="0" applyProtection="0"/>
    <xf numFmtId="0" fontId="1" fillId="72" borderId="0" applyNumberFormat="0" applyBorder="0" applyAlignment="0" applyProtection="0"/>
    <xf numFmtId="0" fontId="1" fillId="72" borderId="0" applyNumberFormat="0" applyBorder="0" applyAlignment="0" applyProtection="0"/>
    <xf numFmtId="0" fontId="1" fillId="72" borderId="0" applyNumberFormat="0" applyBorder="0" applyAlignment="0" applyProtection="0"/>
    <xf numFmtId="0" fontId="1" fillId="72" borderId="0" applyNumberFormat="0" applyBorder="0" applyAlignment="0" applyProtection="0"/>
    <xf numFmtId="0" fontId="1" fillId="72" borderId="0" applyNumberFormat="0" applyBorder="0" applyAlignment="0" applyProtection="0"/>
    <xf numFmtId="0" fontId="1" fillId="72" borderId="0" applyNumberFormat="0" applyBorder="0" applyAlignment="0" applyProtection="0"/>
    <xf numFmtId="0" fontId="1" fillId="72" borderId="0" applyNumberFormat="0" applyBorder="0" applyAlignment="0" applyProtection="0"/>
    <xf numFmtId="0" fontId="1" fillId="76" borderId="0" applyNumberFormat="0" applyBorder="0" applyAlignment="0" applyProtection="0"/>
    <xf numFmtId="0" fontId="1" fillId="76" borderId="0" applyNumberFormat="0" applyBorder="0" applyAlignment="0" applyProtection="0"/>
    <xf numFmtId="0" fontId="1" fillId="76" borderId="0" applyNumberFormat="0" applyBorder="0" applyAlignment="0" applyProtection="0"/>
    <xf numFmtId="0" fontId="1" fillId="76" borderId="0" applyNumberFormat="0" applyBorder="0" applyAlignment="0" applyProtection="0"/>
    <xf numFmtId="0" fontId="1" fillId="76" borderId="0" applyNumberFormat="0" applyBorder="0" applyAlignment="0" applyProtection="0"/>
    <xf numFmtId="0" fontId="1" fillId="76" borderId="0" applyNumberFormat="0" applyBorder="0" applyAlignment="0" applyProtection="0"/>
    <xf numFmtId="0" fontId="1" fillId="76" borderId="0" applyNumberFormat="0" applyBorder="0" applyAlignment="0" applyProtection="0"/>
    <xf numFmtId="0" fontId="1" fillId="76" borderId="0" applyNumberFormat="0" applyBorder="0" applyAlignment="0" applyProtection="0"/>
    <xf numFmtId="0" fontId="1" fillId="76" borderId="0" applyNumberFormat="0" applyBorder="0" applyAlignment="0" applyProtection="0"/>
    <xf numFmtId="0" fontId="1" fillId="80" borderId="0" applyNumberFormat="0" applyBorder="0" applyAlignment="0" applyProtection="0"/>
    <xf numFmtId="0" fontId="1" fillId="80" borderId="0" applyNumberFormat="0" applyBorder="0" applyAlignment="0" applyProtection="0"/>
    <xf numFmtId="0" fontId="1" fillId="80" borderId="0" applyNumberFormat="0" applyBorder="0" applyAlignment="0" applyProtection="0"/>
    <xf numFmtId="0" fontId="1" fillId="80" borderId="0" applyNumberFormat="0" applyBorder="0" applyAlignment="0" applyProtection="0"/>
    <xf numFmtId="0" fontId="1" fillId="80" borderId="0" applyNumberFormat="0" applyBorder="0" applyAlignment="0" applyProtection="0"/>
    <xf numFmtId="0" fontId="1" fillId="80" borderId="0" applyNumberFormat="0" applyBorder="0" applyAlignment="0" applyProtection="0"/>
    <xf numFmtId="0" fontId="1" fillId="80" borderId="0" applyNumberFormat="0" applyBorder="0" applyAlignment="0" applyProtection="0"/>
    <xf numFmtId="0" fontId="1" fillId="80" borderId="0" applyNumberFormat="0" applyBorder="0" applyAlignment="0" applyProtection="0"/>
    <xf numFmtId="0" fontId="1" fillId="80" borderId="0" applyNumberFormat="0" applyBorder="0" applyAlignment="0" applyProtection="0"/>
    <xf numFmtId="0" fontId="1" fillId="61" borderId="0" applyNumberFormat="0" applyBorder="0" applyAlignment="0" applyProtection="0"/>
    <xf numFmtId="0" fontId="1" fillId="61" borderId="0" applyNumberFormat="0" applyBorder="0" applyAlignment="0" applyProtection="0"/>
    <xf numFmtId="0" fontId="1" fillId="61" borderId="0" applyNumberFormat="0" applyBorder="0" applyAlignment="0" applyProtection="0"/>
    <xf numFmtId="0" fontId="1" fillId="61" borderId="0" applyNumberFormat="0" applyBorder="0" applyAlignment="0" applyProtection="0"/>
    <xf numFmtId="0" fontId="1" fillId="61" borderId="0" applyNumberFormat="0" applyBorder="0" applyAlignment="0" applyProtection="0"/>
    <xf numFmtId="0" fontId="1" fillId="61" borderId="0" applyNumberFormat="0" applyBorder="0" applyAlignment="0" applyProtection="0"/>
    <xf numFmtId="0" fontId="1" fillId="61" borderId="0" applyNumberFormat="0" applyBorder="0" applyAlignment="0" applyProtection="0"/>
    <xf numFmtId="0" fontId="1" fillId="61" borderId="0" applyNumberFormat="0" applyBorder="0" applyAlignment="0" applyProtection="0"/>
    <xf numFmtId="0" fontId="1" fillId="61" borderId="0" applyNumberFormat="0" applyBorder="0" applyAlignment="0" applyProtection="0"/>
    <xf numFmtId="0" fontId="1" fillId="65" borderId="0" applyNumberFormat="0" applyBorder="0" applyAlignment="0" applyProtection="0"/>
    <xf numFmtId="0" fontId="1" fillId="65" borderId="0" applyNumberFormat="0" applyBorder="0" applyAlignment="0" applyProtection="0"/>
    <xf numFmtId="0" fontId="1" fillId="65" borderId="0" applyNumberFormat="0" applyBorder="0" applyAlignment="0" applyProtection="0"/>
    <xf numFmtId="0" fontId="1" fillId="65" borderId="0" applyNumberFormat="0" applyBorder="0" applyAlignment="0" applyProtection="0"/>
    <xf numFmtId="0" fontId="1" fillId="65" borderId="0" applyNumberFormat="0" applyBorder="0" applyAlignment="0" applyProtection="0"/>
    <xf numFmtId="0" fontId="1" fillId="65" borderId="0" applyNumberFormat="0" applyBorder="0" applyAlignment="0" applyProtection="0"/>
    <xf numFmtId="0" fontId="1" fillId="65" borderId="0" applyNumberFormat="0" applyBorder="0" applyAlignment="0" applyProtection="0"/>
    <xf numFmtId="0" fontId="1" fillId="65" borderId="0" applyNumberFormat="0" applyBorder="0" applyAlignment="0" applyProtection="0"/>
    <xf numFmtId="0" fontId="1" fillId="65" borderId="0" applyNumberFormat="0" applyBorder="0" applyAlignment="0" applyProtection="0"/>
    <xf numFmtId="0" fontId="1" fillId="69" borderId="0" applyNumberFormat="0" applyBorder="0" applyAlignment="0" applyProtection="0"/>
    <xf numFmtId="0" fontId="1" fillId="69" borderId="0" applyNumberFormat="0" applyBorder="0" applyAlignment="0" applyProtection="0"/>
    <xf numFmtId="0" fontId="1" fillId="69" borderId="0" applyNumberFormat="0" applyBorder="0" applyAlignment="0" applyProtection="0"/>
    <xf numFmtId="0" fontId="1" fillId="69" borderId="0" applyNumberFormat="0" applyBorder="0" applyAlignment="0" applyProtection="0"/>
    <xf numFmtId="0" fontId="1" fillId="69" borderId="0" applyNumberFormat="0" applyBorder="0" applyAlignment="0" applyProtection="0"/>
    <xf numFmtId="0" fontId="1" fillId="69" borderId="0" applyNumberFormat="0" applyBorder="0" applyAlignment="0" applyProtection="0"/>
    <xf numFmtId="0" fontId="1" fillId="69" borderId="0" applyNumberFormat="0" applyBorder="0" applyAlignment="0" applyProtection="0"/>
    <xf numFmtId="0" fontId="1" fillId="69" borderId="0" applyNumberFormat="0" applyBorder="0" applyAlignment="0" applyProtection="0"/>
    <xf numFmtId="0" fontId="1" fillId="69" borderId="0" applyNumberFormat="0" applyBorder="0" applyAlignment="0" applyProtection="0"/>
    <xf numFmtId="0" fontId="1" fillId="73" borderId="0" applyNumberFormat="0" applyBorder="0" applyAlignment="0" applyProtection="0"/>
    <xf numFmtId="0" fontId="1" fillId="73" borderId="0" applyNumberFormat="0" applyBorder="0" applyAlignment="0" applyProtection="0"/>
    <xf numFmtId="0" fontId="1" fillId="73" borderId="0" applyNumberFormat="0" applyBorder="0" applyAlignment="0" applyProtection="0"/>
    <xf numFmtId="0" fontId="1" fillId="73" borderId="0" applyNumberFormat="0" applyBorder="0" applyAlignment="0" applyProtection="0"/>
    <xf numFmtId="0" fontId="1" fillId="73" borderId="0" applyNumberFormat="0" applyBorder="0" applyAlignment="0" applyProtection="0"/>
    <xf numFmtId="0" fontId="1" fillId="73" borderId="0" applyNumberFormat="0" applyBorder="0" applyAlignment="0" applyProtection="0"/>
    <xf numFmtId="0" fontId="1" fillId="73" borderId="0" applyNumberFormat="0" applyBorder="0" applyAlignment="0" applyProtection="0"/>
    <xf numFmtId="0" fontId="1" fillId="73" borderId="0" applyNumberFormat="0" applyBorder="0" applyAlignment="0" applyProtection="0"/>
    <xf numFmtId="0" fontId="1" fillId="73" borderId="0" applyNumberFormat="0" applyBorder="0" applyAlignment="0" applyProtection="0"/>
    <xf numFmtId="0" fontId="1" fillId="77" borderId="0" applyNumberFormat="0" applyBorder="0" applyAlignment="0" applyProtection="0"/>
    <xf numFmtId="0" fontId="1" fillId="77" borderId="0" applyNumberFormat="0" applyBorder="0" applyAlignment="0" applyProtection="0"/>
    <xf numFmtId="0" fontId="1" fillId="77" borderId="0" applyNumberFormat="0" applyBorder="0" applyAlignment="0" applyProtection="0"/>
    <xf numFmtId="0" fontId="1" fillId="77" borderId="0" applyNumberFormat="0" applyBorder="0" applyAlignment="0" applyProtection="0"/>
    <xf numFmtId="0" fontId="1" fillId="77" borderId="0" applyNumberFormat="0" applyBorder="0" applyAlignment="0" applyProtection="0"/>
    <xf numFmtId="0" fontId="1" fillId="77" borderId="0" applyNumberFormat="0" applyBorder="0" applyAlignment="0" applyProtection="0"/>
    <xf numFmtId="0" fontId="1" fillId="77" borderId="0" applyNumberFormat="0" applyBorder="0" applyAlignment="0" applyProtection="0"/>
    <xf numFmtId="0" fontId="1" fillId="77" borderId="0" applyNumberFormat="0" applyBorder="0" applyAlignment="0" applyProtection="0"/>
    <xf numFmtId="0" fontId="1" fillId="77" borderId="0" applyNumberFormat="0" applyBorder="0" applyAlignment="0" applyProtection="0"/>
    <xf numFmtId="0" fontId="1" fillId="81" borderId="0" applyNumberFormat="0" applyBorder="0" applyAlignment="0" applyProtection="0"/>
    <xf numFmtId="0" fontId="1" fillId="81" borderId="0" applyNumberFormat="0" applyBorder="0" applyAlignment="0" applyProtection="0"/>
    <xf numFmtId="0" fontId="1" fillId="81" borderId="0" applyNumberFormat="0" applyBorder="0" applyAlignment="0" applyProtection="0"/>
    <xf numFmtId="0" fontId="1" fillId="81" borderId="0" applyNumberFormat="0" applyBorder="0" applyAlignment="0" applyProtection="0"/>
    <xf numFmtId="0" fontId="1" fillId="81" borderId="0" applyNumberFormat="0" applyBorder="0" applyAlignment="0" applyProtection="0"/>
    <xf numFmtId="0" fontId="1" fillId="81" borderId="0" applyNumberFormat="0" applyBorder="0" applyAlignment="0" applyProtection="0"/>
    <xf numFmtId="0" fontId="1" fillId="81" borderId="0" applyNumberFormat="0" applyBorder="0" applyAlignment="0" applyProtection="0"/>
    <xf numFmtId="0" fontId="1" fillId="81" borderId="0" applyNumberFormat="0" applyBorder="0" applyAlignment="0" applyProtection="0"/>
    <xf numFmtId="0" fontId="1" fillId="81" borderId="0" applyNumberFormat="0" applyBorder="0" applyAlignment="0" applyProtection="0"/>
    <xf numFmtId="0" fontId="1" fillId="23" borderId="0" applyNumberFormat="0" applyBorder="0" applyAlignment="0" applyProtection="0"/>
    <xf numFmtId="0" fontId="1" fillId="58" borderId="104" applyNumberFormat="0" applyFont="0" applyAlignment="0" applyProtection="0"/>
    <xf numFmtId="0" fontId="1" fillId="58" borderId="104" applyNumberFormat="0" applyFont="0" applyAlignment="0" applyProtection="0"/>
    <xf numFmtId="0" fontId="1" fillId="58" borderId="104" applyNumberFormat="0" applyFont="0" applyAlignment="0" applyProtection="0"/>
    <xf numFmtId="0" fontId="1" fillId="58" borderId="104" applyNumberFormat="0" applyFont="0" applyAlignment="0" applyProtection="0"/>
    <xf numFmtId="0" fontId="1" fillId="58" borderId="104" applyNumberFormat="0" applyFont="0" applyAlignment="0" applyProtection="0"/>
    <xf numFmtId="0" fontId="1" fillId="58" borderId="104" applyNumberFormat="0" applyFont="0" applyAlignment="0" applyProtection="0"/>
    <xf numFmtId="0" fontId="1" fillId="58" borderId="104" applyNumberFormat="0" applyFont="0" applyAlignment="0" applyProtection="0"/>
    <xf numFmtId="0" fontId="1" fillId="58" borderId="104" applyNumberFormat="0" applyFont="0" applyAlignment="0" applyProtection="0"/>
    <xf numFmtId="0" fontId="1" fillId="58" borderId="104" applyNumberFormat="0" applyFont="0" applyAlignment="0" applyProtection="0"/>
    <xf numFmtId="0" fontId="1" fillId="58" borderId="104" applyNumberFormat="0" applyFont="0" applyAlignment="0" applyProtection="0"/>
    <xf numFmtId="0" fontId="1" fillId="26" borderId="0" applyNumberFormat="0" applyBorder="0" applyAlignment="0" applyProtection="0"/>
    <xf numFmtId="0" fontId="1" fillId="58" borderId="104" applyNumberFormat="0" applyFont="0" applyAlignment="0" applyProtection="0"/>
    <xf numFmtId="0" fontId="1" fillId="23" borderId="0" applyNumberFormat="0" applyBorder="0" applyAlignment="0" applyProtection="0"/>
    <xf numFmtId="0" fontId="1" fillId="58" borderId="104" applyNumberFormat="0" applyFont="0" applyAlignment="0" applyProtection="0"/>
    <xf numFmtId="0" fontId="1" fillId="6" borderId="0" applyNumberFormat="0" applyBorder="0" applyAlignment="0" applyProtection="0"/>
    <xf numFmtId="0" fontId="1" fillId="0" borderId="0"/>
    <xf numFmtId="0" fontId="1" fillId="0" borderId="0"/>
    <xf numFmtId="0" fontId="1" fillId="9" borderId="0" applyNumberFormat="0" applyBorder="0" applyAlignment="0" applyProtection="0"/>
    <xf numFmtId="0" fontId="1" fillId="6"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7" borderId="0" applyNumberFormat="0" applyBorder="0" applyAlignment="0" applyProtection="0"/>
    <xf numFmtId="9" fontId="1" fillId="0" borderId="0" applyFont="0" applyFill="0" applyBorder="0" applyAlignment="0" applyProtection="0"/>
    <xf numFmtId="0" fontId="1" fillId="26" borderId="0" applyNumberFormat="0" applyBorder="0" applyAlignment="0" applyProtection="0"/>
    <xf numFmtId="0" fontId="1" fillId="23" borderId="0" applyNumberFormat="0" applyBorder="0" applyAlignment="0" applyProtection="0"/>
    <xf numFmtId="0" fontId="1" fillId="26" borderId="0" applyNumberFormat="0" applyBorder="0" applyAlignment="0" applyProtection="0"/>
    <xf numFmtId="0" fontId="1" fillId="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8"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8" borderId="0" applyNumberFormat="0" applyBorder="0" applyAlignment="0" applyProtection="0"/>
    <xf numFmtId="0" fontId="1" fillId="26" borderId="0" applyNumberFormat="0" applyBorder="0" applyAlignment="0" applyProtection="0"/>
    <xf numFmtId="0" fontId="1" fillId="9"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8" borderId="0" applyNumberFormat="0" applyBorder="0" applyAlignment="0" applyProtection="0"/>
    <xf numFmtId="0" fontId="1" fillId="26"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8" borderId="0" applyNumberFormat="0" applyBorder="0" applyAlignment="0" applyProtection="0"/>
    <xf numFmtId="0" fontId="1" fillId="26" borderId="0" applyNumberFormat="0" applyBorder="0" applyAlignment="0" applyProtection="0"/>
    <xf numFmtId="0" fontId="1" fillId="8"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60" borderId="0" applyNumberFormat="0" applyBorder="0" applyAlignment="0" applyProtection="0"/>
    <xf numFmtId="0" fontId="1" fillId="61" borderId="0" applyNumberFormat="0" applyBorder="0" applyAlignment="0" applyProtection="0"/>
    <xf numFmtId="0" fontId="1" fillId="64" borderId="0" applyNumberFormat="0" applyBorder="0" applyAlignment="0" applyProtection="0"/>
    <xf numFmtId="0" fontId="1" fillId="65" borderId="0" applyNumberFormat="0" applyBorder="0" applyAlignment="0" applyProtection="0"/>
    <xf numFmtId="0" fontId="1" fillId="68" borderId="0" applyNumberFormat="0" applyBorder="0" applyAlignment="0" applyProtection="0"/>
    <xf numFmtId="0" fontId="1" fillId="69" borderId="0" applyNumberFormat="0" applyBorder="0" applyAlignment="0" applyProtection="0"/>
    <xf numFmtId="0" fontId="1" fillId="72" borderId="0" applyNumberFormat="0" applyBorder="0" applyAlignment="0" applyProtection="0"/>
    <xf numFmtId="0" fontId="1" fillId="73" borderId="0" applyNumberFormat="0" applyBorder="0" applyAlignment="0" applyProtection="0"/>
    <xf numFmtId="0" fontId="1" fillId="76" borderId="0" applyNumberFormat="0" applyBorder="0" applyAlignment="0" applyProtection="0"/>
    <xf numFmtId="0" fontId="1" fillId="77" borderId="0" applyNumberFormat="0" applyBorder="0" applyAlignment="0" applyProtection="0"/>
    <xf numFmtId="0" fontId="1" fillId="80" borderId="0" applyNumberFormat="0" applyBorder="0" applyAlignment="0" applyProtection="0"/>
    <xf numFmtId="0" fontId="1" fillId="81" borderId="0" applyNumberFormat="0" applyBorder="0" applyAlignment="0" applyProtection="0"/>
    <xf numFmtId="0" fontId="1" fillId="58" borderId="104" applyNumberFormat="0" applyFont="0" applyAlignment="0" applyProtection="0"/>
    <xf numFmtId="0" fontId="1" fillId="58" borderId="104" applyNumberFormat="0" applyFont="0" applyAlignment="0" applyProtection="0"/>
    <xf numFmtId="0" fontId="1" fillId="60" borderId="0" applyNumberFormat="0" applyBorder="0" applyAlignment="0" applyProtection="0"/>
    <xf numFmtId="0" fontId="1" fillId="61" borderId="0" applyNumberFormat="0" applyBorder="0" applyAlignment="0" applyProtection="0"/>
    <xf numFmtId="0" fontId="1" fillId="64" borderId="0" applyNumberFormat="0" applyBorder="0" applyAlignment="0" applyProtection="0"/>
    <xf numFmtId="0" fontId="1" fillId="65" borderId="0" applyNumberFormat="0" applyBorder="0" applyAlignment="0" applyProtection="0"/>
    <xf numFmtId="0" fontId="1" fillId="68" borderId="0" applyNumberFormat="0" applyBorder="0" applyAlignment="0" applyProtection="0"/>
    <xf numFmtId="0" fontId="1" fillId="69" borderId="0" applyNumberFormat="0" applyBorder="0" applyAlignment="0" applyProtection="0"/>
    <xf numFmtId="0" fontId="1" fillId="72" borderId="0" applyNumberFormat="0" applyBorder="0" applyAlignment="0" applyProtection="0"/>
    <xf numFmtId="0" fontId="1" fillId="73" borderId="0" applyNumberFormat="0" applyBorder="0" applyAlignment="0" applyProtection="0"/>
    <xf numFmtId="0" fontId="1" fillId="76" borderId="0" applyNumberFormat="0" applyBorder="0" applyAlignment="0" applyProtection="0"/>
    <xf numFmtId="0" fontId="1" fillId="77" borderId="0" applyNumberFormat="0" applyBorder="0" applyAlignment="0" applyProtection="0"/>
    <xf numFmtId="0" fontId="1" fillId="80" borderId="0" applyNumberFormat="0" applyBorder="0" applyAlignment="0" applyProtection="0"/>
    <xf numFmtId="0" fontId="1" fillId="81" borderId="0" applyNumberFormat="0" applyBorder="0" applyAlignment="0" applyProtection="0"/>
    <xf numFmtId="0" fontId="1" fillId="60" borderId="0" applyNumberFormat="0" applyBorder="0" applyAlignment="0" applyProtection="0"/>
    <xf numFmtId="0" fontId="1" fillId="61" borderId="0" applyNumberFormat="0" applyBorder="0" applyAlignment="0" applyProtection="0"/>
    <xf numFmtId="0" fontId="1" fillId="64" borderId="0" applyNumberFormat="0" applyBorder="0" applyAlignment="0" applyProtection="0"/>
    <xf numFmtId="0" fontId="1" fillId="65" borderId="0" applyNumberFormat="0" applyBorder="0" applyAlignment="0" applyProtection="0"/>
    <xf numFmtId="0" fontId="1" fillId="68" borderId="0" applyNumberFormat="0" applyBorder="0" applyAlignment="0" applyProtection="0"/>
    <xf numFmtId="0" fontId="1" fillId="69" borderId="0" applyNumberFormat="0" applyBorder="0" applyAlignment="0" applyProtection="0"/>
    <xf numFmtId="0" fontId="1" fillId="72" borderId="0" applyNumberFormat="0" applyBorder="0" applyAlignment="0" applyProtection="0"/>
    <xf numFmtId="0" fontId="1" fillId="73" borderId="0" applyNumberFormat="0" applyBorder="0" applyAlignment="0" applyProtection="0"/>
    <xf numFmtId="0" fontId="1" fillId="76" borderId="0" applyNumberFormat="0" applyBorder="0" applyAlignment="0" applyProtection="0"/>
    <xf numFmtId="0" fontId="1" fillId="77" borderId="0" applyNumberFormat="0" applyBorder="0" applyAlignment="0" applyProtection="0"/>
    <xf numFmtId="0" fontId="1" fillId="80" borderId="0" applyNumberFormat="0" applyBorder="0" applyAlignment="0" applyProtection="0"/>
    <xf numFmtId="0" fontId="1" fillId="81" borderId="0" applyNumberFormat="0" applyBorder="0" applyAlignment="0" applyProtection="0"/>
    <xf numFmtId="0" fontId="1" fillId="58" borderId="104" applyNumberFormat="0" applyFont="0" applyAlignment="0" applyProtection="0"/>
    <xf numFmtId="0" fontId="1" fillId="60" borderId="0" applyNumberFormat="0" applyBorder="0" applyAlignment="0" applyProtection="0"/>
    <xf numFmtId="0" fontId="1" fillId="61" borderId="0" applyNumberFormat="0" applyBorder="0" applyAlignment="0" applyProtection="0"/>
    <xf numFmtId="0" fontId="1" fillId="64" borderId="0" applyNumberFormat="0" applyBorder="0" applyAlignment="0" applyProtection="0"/>
    <xf numFmtId="0" fontId="1" fillId="65" borderId="0" applyNumberFormat="0" applyBorder="0" applyAlignment="0" applyProtection="0"/>
    <xf numFmtId="0" fontId="1" fillId="68" borderId="0" applyNumberFormat="0" applyBorder="0" applyAlignment="0" applyProtection="0"/>
    <xf numFmtId="0" fontId="1" fillId="69" borderId="0" applyNumberFormat="0" applyBorder="0" applyAlignment="0" applyProtection="0"/>
    <xf numFmtId="0" fontId="1" fillId="72" borderId="0" applyNumberFormat="0" applyBorder="0" applyAlignment="0" applyProtection="0"/>
    <xf numFmtId="0" fontId="1" fillId="73" borderId="0" applyNumberFormat="0" applyBorder="0" applyAlignment="0" applyProtection="0"/>
    <xf numFmtId="0" fontId="1" fillId="76" borderId="0" applyNumberFormat="0" applyBorder="0" applyAlignment="0" applyProtection="0"/>
    <xf numFmtId="0" fontId="1" fillId="77" borderId="0" applyNumberFormat="0" applyBorder="0" applyAlignment="0" applyProtection="0"/>
    <xf numFmtId="0" fontId="1" fillId="80" borderId="0" applyNumberFormat="0" applyBorder="0" applyAlignment="0" applyProtection="0"/>
    <xf numFmtId="0" fontId="1" fillId="81" borderId="0" applyNumberFormat="0" applyBorder="0" applyAlignment="0" applyProtection="0"/>
    <xf numFmtId="0" fontId="1" fillId="58" borderId="104" applyNumberFormat="0" applyFont="0" applyAlignment="0" applyProtection="0"/>
    <xf numFmtId="0" fontId="1" fillId="58" borderId="104" applyNumberFormat="0" applyFont="0" applyAlignment="0" applyProtection="0"/>
    <xf numFmtId="0" fontId="1" fillId="60" borderId="0" applyNumberFormat="0" applyBorder="0" applyAlignment="0" applyProtection="0"/>
    <xf numFmtId="0" fontId="1" fillId="61" borderId="0" applyNumberFormat="0" applyBorder="0" applyAlignment="0" applyProtection="0"/>
    <xf numFmtId="0" fontId="1" fillId="64" borderId="0" applyNumberFormat="0" applyBorder="0" applyAlignment="0" applyProtection="0"/>
    <xf numFmtId="0" fontId="1" fillId="65" borderId="0" applyNumberFormat="0" applyBorder="0" applyAlignment="0" applyProtection="0"/>
    <xf numFmtId="0" fontId="1" fillId="68" borderId="0" applyNumberFormat="0" applyBorder="0" applyAlignment="0" applyProtection="0"/>
    <xf numFmtId="0" fontId="1" fillId="69" borderId="0" applyNumberFormat="0" applyBorder="0" applyAlignment="0" applyProtection="0"/>
    <xf numFmtId="0" fontId="1" fillId="72" borderId="0" applyNumberFormat="0" applyBorder="0" applyAlignment="0" applyProtection="0"/>
    <xf numFmtId="0" fontId="1" fillId="73" borderId="0" applyNumberFormat="0" applyBorder="0" applyAlignment="0" applyProtection="0"/>
    <xf numFmtId="0" fontId="1" fillId="76" borderId="0" applyNumberFormat="0" applyBorder="0" applyAlignment="0" applyProtection="0"/>
    <xf numFmtId="0" fontId="1" fillId="77" borderId="0" applyNumberFormat="0" applyBorder="0" applyAlignment="0" applyProtection="0"/>
    <xf numFmtId="0" fontId="1" fillId="80" borderId="0" applyNumberFormat="0" applyBorder="0" applyAlignment="0" applyProtection="0"/>
    <xf numFmtId="0" fontId="1" fillId="81" borderId="0" applyNumberFormat="0" applyBorder="0" applyAlignment="0" applyProtection="0"/>
    <xf numFmtId="0" fontId="1" fillId="60" borderId="0" applyNumberFormat="0" applyBorder="0" applyAlignment="0" applyProtection="0"/>
    <xf numFmtId="0" fontId="1" fillId="61" borderId="0" applyNumberFormat="0" applyBorder="0" applyAlignment="0" applyProtection="0"/>
    <xf numFmtId="0" fontId="1" fillId="64" borderId="0" applyNumberFormat="0" applyBorder="0" applyAlignment="0" applyProtection="0"/>
    <xf numFmtId="0" fontId="1" fillId="65" borderId="0" applyNumberFormat="0" applyBorder="0" applyAlignment="0" applyProtection="0"/>
    <xf numFmtId="0" fontId="1" fillId="68" borderId="0" applyNumberFormat="0" applyBorder="0" applyAlignment="0" applyProtection="0"/>
    <xf numFmtId="0" fontId="1" fillId="69" borderId="0" applyNumberFormat="0" applyBorder="0" applyAlignment="0" applyProtection="0"/>
    <xf numFmtId="0" fontId="1" fillId="72" borderId="0" applyNumberFormat="0" applyBorder="0" applyAlignment="0" applyProtection="0"/>
    <xf numFmtId="0" fontId="1" fillId="73" borderId="0" applyNumberFormat="0" applyBorder="0" applyAlignment="0" applyProtection="0"/>
    <xf numFmtId="0" fontId="1" fillId="76" borderId="0" applyNumberFormat="0" applyBorder="0" applyAlignment="0" applyProtection="0"/>
    <xf numFmtId="0" fontId="1" fillId="77" borderId="0" applyNumberFormat="0" applyBorder="0" applyAlignment="0" applyProtection="0"/>
    <xf numFmtId="0" fontId="1" fillId="80" borderId="0" applyNumberFormat="0" applyBorder="0" applyAlignment="0" applyProtection="0"/>
    <xf numFmtId="0" fontId="1" fillId="81" borderId="0" applyNumberFormat="0" applyBorder="0" applyAlignment="0" applyProtection="0"/>
    <xf numFmtId="0" fontId="1" fillId="58" borderId="104" applyNumberFormat="0" applyFont="0" applyAlignment="0" applyProtection="0"/>
    <xf numFmtId="0" fontId="1" fillId="60" borderId="0" applyNumberFormat="0" applyBorder="0" applyAlignment="0" applyProtection="0"/>
    <xf numFmtId="0" fontId="1" fillId="61" borderId="0" applyNumberFormat="0" applyBorder="0" applyAlignment="0" applyProtection="0"/>
    <xf numFmtId="0" fontId="1" fillId="64" borderId="0" applyNumberFormat="0" applyBorder="0" applyAlignment="0" applyProtection="0"/>
    <xf numFmtId="0" fontId="1" fillId="65" borderId="0" applyNumberFormat="0" applyBorder="0" applyAlignment="0" applyProtection="0"/>
    <xf numFmtId="0" fontId="1" fillId="68" borderId="0" applyNumberFormat="0" applyBorder="0" applyAlignment="0" applyProtection="0"/>
    <xf numFmtId="0" fontId="1" fillId="69" borderId="0" applyNumberFormat="0" applyBorder="0" applyAlignment="0" applyProtection="0"/>
    <xf numFmtId="0" fontId="1" fillId="72" borderId="0" applyNumberFormat="0" applyBorder="0" applyAlignment="0" applyProtection="0"/>
    <xf numFmtId="0" fontId="1" fillId="73" borderId="0" applyNumberFormat="0" applyBorder="0" applyAlignment="0" applyProtection="0"/>
    <xf numFmtId="0" fontId="1" fillId="76" borderId="0" applyNumberFormat="0" applyBorder="0" applyAlignment="0" applyProtection="0"/>
    <xf numFmtId="0" fontId="1" fillId="77" borderId="0" applyNumberFormat="0" applyBorder="0" applyAlignment="0" applyProtection="0"/>
    <xf numFmtId="0" fontId="1" fillId="80" borderId="0" applyNumberFormat="0" applyBorder="0" applyAlignment="0" applyProtection="0"/>
    <xf numFmtId="0" fontId="1" fillId="81" borderId="0" applyNumberFormat="0" applyBorder="0" applyAlignment="0" applyProtection="0"/>
    <xf numFmtId="0" fontId="1" fillId="58" borderId="104" applyNumberFormat="0" applyFont="0" applyAlignment="0" applyProtection="0"/>
    <xf numFmtId="0" fontId="1" fillId="58" borderId="104" applyNumberFormat="0" applyFont="0" applyAlignment="0" applyProtection="0"/>
    <xf numFmtId="0" fontId="1" fillId="60" borderId="0" applyNumberFormat="0" applyBorder="0" applyAlignment="0" applyProtection="0"/>
    <xf numFmtId="0" fontId="1" fillId="61" borderId="0" applyNumberFormat="0" applyBorder="0" applyAlignment="0" applyProtection="0"/>
    <xf numFmtId="0" fontId="1" fillId="64" borderId="0" applyNumberFormat="0" applyBorder="0" applyAlignment="0" applyProtection="0"/>
    <xf numFmtId="0" fontId="1" fillId="65" borderId="0" applyNumberFormat="0" applyBorder="0" applyAlignment="0" applyProtection="0"/>
    <xf numFmtId="0" fontId="1" fillId="68" borderId="0" applyNumberFormat="0" applyBorder="0" applyAlignment="0" applyProtection="0"/>
    <xf numFmtId="0" fontId="1" fillId="69" borderId="0" applyNumberFormat="0" applyBorder="0" applyAlignment="0" applyProtection="0"/>
    <xf numFmtId="0" fontId="1" fillId="72" borderId="0" applyNumberFormat="0" applyBorder="0" applyAlignment="0" applyProtection="0"/>
    <xf numFmtId="0" fontId="1" fillId="73" borderId="0" applyNumberFormat="0" applyBorder="0" applyAlignment="0" applyProtection="0"/>
    <xf numFmtId="0" fontId="1" fillId="76" borderId="0" applyNumberFormat="0" applyBorder="0" applyAlignment="0" applyProtection="0"/>
    <xf numFmtId="0" fontId="1" fillId="77" borderId="0" applyNumberFormat="0" applyBorder="0" applyAlignment="0" applyProtection="0"/>
    <xf numFmtId="0" fontId="1" fillId="80" borderId="0" applyNumberFormat="0" applyBorder="0" applyAlignment="0" applyProtection="0"/>
    <xf numFmtId="0" fontId="1" fillId="81" borderId="0" applyNumberFormat="0" applyBorder="0" applyAlignment="0" applyProtection="0"/>
    <xf numFmtId="0" fontId="1" fillId="60" borderId="0" applyNumberFormat="0" applyBorder="0" applyAlignment="0" applyProtection="0"/>
    <xf numFmtId="0" fontId="1" fillId="61" borderId="0" applyNumberFormat="0" applyBorder="0" applyAlignment="0" applyProtection="0"/>
    <xf numFmtId="0" fontId="1" fillId="64" borderId="0" applyNumberFormat="0" applyBorder="0" applyAlignment="0" applyProtection="0"/>
    <xf numFmtId="0" fontId="1" fillId="65" borderId="0" applyNumberFormat="0" applyBorder="0" applyAlignment="0" applyProtection="0"/>
    <xf numFmtId="0" fontId="1" fillId="68" borderId="0" applyNumberFormat="0" applyBorder="0" applyAlignment="0" applyProtection="0"/>
    <xf numFmtId="0" fontId="1" fillId="69" borderId="0" applyNumberFormat="0" applyBorder="0" applyAlignment="0" applyProtection="0"/>
    <xf numFmtId="0" fontId="1" fillId="72" borderId="0" applyNumberFormat="0" applyBorder="0" applyAlignment="0" applyProtection="0"/>
    <xf numFmtId="0" fontId="1" fillId="73" borderId="0" applyNumberFormat="0" applyBorder="0" applyAlignment="0" applyProtection="0"/>
    <xf numFmtId="0" fontId="1" fillId="76" borderId="0" applyNumberFormat="0" applyBorder="0" applyAlignment="0" applyProtection="0"/>
    <xf numFmtId="0" fontId="1" fillId="77" borderId="0" applyNumberFormat="0" applyBorder="0" applyAlignment="0" applyProtection="0"/>
    <xf numFmtId="0" fontId="1" fillId="80" borderId="0" applyNumberFormat="0" applyBorder="0" applyAlignment="0" applyProtection="0"/>
    <xf numFmtId="0" fontId="1" fillId="81" borderId="0" applyNumberFormat="0" applyBorder="0" applyAlignment="0" applyProtection="0"/>
    <xf numFmtId="0" fontId="1" fillId="58" borderId="104" applyNumberFormat="0" applyFont="0" applyAlignment="0" applyProtection="0"/>
    <xf numFmtId="0" fontId="1" fillId="60" borderId="0" applyNumberFormat="0" applyBorder="0" applyAlignment="0" applyProtection="0"/>
    <xf numFmtId="0" fontId="1" fillId="61" borderId="0" applyNumberFormat="0" applyBorder="0" applyAlignment="0" applyProtection="0"/>
    <xf numFmtId="0" fontId="1" fillId="64" borderId="0" applyNumberFormat="0" applyBorder="0" applyAlignment="0" applyProtection="0"/>
    <xf numFmtId="0" fontId="1" fillId="65" borderId="0" applyNumberFormat="0" applyBorder="0" applyAlignment="0" applyProtection="0"/>
    <xf numFmtId="0" fontId="1" fillId="68" borderId="0" applyNumberFormat="0" applyBorder="0" applyAlignment="0" applyProtection="0"/>
    <xf numFmtId="0" fontId="1" fillId="69" borderId="0" applyNumberFormat="0" applyBorder="0" applyAlignment="0" applyProtection="0"/>
    <xf numFmtId="0" fontId="1" fillId="72" borderId="0" applyNumberFormat="0" applyBorder="0" applyAlignment="0" applyProtection="0"/>
    <xf numFmtId="0" fontId="1" fillId="73" borderId="0" applyNumberFormat="0" applyBorder="0" applyAlignment="0" applyProtection="0"/>
    <xf numFmtId="0" fontId="1" fillId="76" borderId="0" applyNumberFormat="0" applyBorder="0" applyAlignment="0" applyProtection="0"/>
    <xf numFmtId="0" fontId="1" fillId="77" borderId="0" applyNumberFormat="0" applyBorder="0" applyAlignment="0" applyProtection="0"/>
    <xf numFmtId="0" fontId="1" fillId="80" borderId="0" applyNumberFormat="0" applyBorder="0" applyAlignment="0" applyProtection="0"/>
    <xf numFmtId="0" fontId="1" fillId="81" borderId="0" applyNumberFormat="0" applyBorder="0" applyAlignment="0" applyProtection="0"/>
    <xf numFmtId="0" fontId="1" fillId="58" borderId="104" applyNumberFormat="0" applyFont="0" applyAlignment="0" applyProtection="0"/>
    <xf numFmtId="0" fontId="1" fillId="58" borderId="104" applyNumberFormat="0" applyFont="0" applyAlignment="0" applyProtection="0"/>
    <xf numFmtId="0" fontId="1" fillId="60" borderId="0" applyNumberFormat="0" applyBorder="0" applyAlignment="0" applyProtection="0"/>
    <xf numFmtId="0" fontId="1" fillId="61" borderId="0" applyNumberFormat="0" applyBorder="0" applyAlignment="0" applyProtection="0"/>
    <xf numFmtId="0" fontId="1" fillId="64" borderId="0" applyNumberFormat="0" applyBorder="0" applyAlignment="0" applyProtection="0"/>
    <xf numFmtId="0" fontId="1" fillId="65" borderId="0" applyNumberFormat="0" applyBorder="0" applyAlignment="0" applyProtection="0"/>
    <xf numFmtId="0" fontId="1" fillId="68" borderId="0" applyNumberFormat="0" applyBorder="0" applyAlignment="0" applyProtection="0"/>
    <xf numFmtId="0" fontId="1" fillId="69" borderId="0" applyNumberFormat="0" applyBorder="0" applyAlignment="0" applyProtection="0"/>
    <xf numFmtId="0" fontId="1" fillId="72" borderId="0" applyNumberFormat="0" applyBorder="0" applyAlignment="0" applyProtection="0"/>
    <xf numFmtId="0" fontId="1" fillId="73" borderId="0" applyNumberFormat="0" applyBorder="0" applyAlignment="0" applyProtection="0"/>
    <xf numFmtId="0" fontId="1" fillId="76" borderId="0" applyNumberFormat="0" applyBorder="0" applyAlignment="0" applyProtection="0"/>
    <xf numFmtId="0" fontId="1" fillId="77" borderId="0" applyNumberFormat="0" applyBorder="0" applyAlignment="0" applyProtection="0"/>
    <xf numFmtId="0" fontId="1" fillId="80" borderId="0" applyNumberFormat="0" applyBorder="0" applyAlignment="0" applyProtection="0"/>
    <xf numFmtId="0" fontId="1" fillId="81" borderId="0" applyNumberFormat="0" applyBorder="0" applyAlignment="0" applyProtection="0"/>
    <xf numFmtId="0" fontId="1" fillId="60" borderId="0" applyNumberFormat="0" applyBorder="0" applyAlignment="0" applyProtection="0"/>
    <xf numFmtId="0" fontId="1" fillId="61" borderId="0" applyNumberFormat="0" applyBorder="0" applyAlignment="0" applyProtection="0"/>
    <xf numFmtId="0" fontId="1" fillId="64" borderId="0" applyNumberFormat="0" applyBorder="0" applyAlignment="0" applyProtection="0"/>
    <xf numFmtId="0" fontId="1" fillId="65" borderId="0" applyNumberFormat="0" applyBorder="0" applyAlignment="0" applyProtection="0"/>
    <xf numFmtId="0" fontId="1" fillId="68" borderId="0" applyNumberFormat="0" applyBorder="0" applyAlignment="0" applyProtection="0"/>
    <xf numFmtId="0" fontId="1" fillId="69" borderId="0" applyNumberFormat="0" applyBorder="0" applyAlignment="0" applyProtection="0"/>
    <xf numFmtId="0" fontId="1" fillId="72" borderId="0" applyNumberFormat="0" applyBorder="0" applyAlignment="0" applyProtection="0"/>
    <xf numFmtId="0" fontId="1" fillId="73" borderId="0" applyNumberFormat="0" applyBorder="0" applyAlignment="0" applyProtection="0"/>
    <xf numFmtId="0" fontId="1" fillId="76" borderId="0" applyNumberFormat="0" applyBorder="0" applyAlignment="0" applyProtection="0"/>
    <xf numFmtId="0" fontId="1" fillId="77" borderId="0" applyNumberFormat="0" applyBorder="0" applyAlignment="0" applyProtection="0"/>
    <xf numFmtId="0" fontId="1" fillId="80" borderId="0" applyNumberFormat="0" applyBorder="0" applyAlignment="0" applyProtection="0"/>
    <xf numFmtId="0" fontId="1" fillId="81" borderId="0" applyNumberFormat="0" applyBorder="0" applyAlignment="0" applyProtection="0"/>
    <xf numFmtId="0" fontId="1" fillId="58" borderId="104" applyNumberFormat="0" applyFont="0" applyAlignment="0" applyProtection="0"/>
    <xf numFmtId="0" fontId="1" fillId="60" borderId="0" applyNumberFormat="0" applyBorder="0" applyAlignment="0" applyProtection="0"/>
    <xf numFmtId="0" fontId="1" fillId="61" borderId="0" applyNumberFormat="0" applyBorder="0" applyAlignment="0" applyProtection="0"/>
    <xf numFmtId="0" fontId="1" fillId="64" borderId="0" applyNumberFormat="0" applyBorder="0" applyAlignment="0" applyProtection="0"/>
    <xf numFmtId="0" fontId="1" fillId="65" borderId="0" applyNumberFormat="0" applyBorder="0" applyAlignment="0" applyProtection="0"/>
    <xf numFmtId="0" fontId="1" fillId="68" borderId="0" applyNumberFormat="0" applyBorder="0" applyAlignment="0" applyProtection="0"/>
    <xf numFmtId="0" fontId="1" fillId="69" borderId="0" applyNumberFormat="0" applyBorder="0" applyAlignment="0" applyProtection="0"/>
    <xf numFmtId="0" fontId="1" fillId="72" borderId="0" applyNumberFormat="0" applyBorder="0" applyAlignment="0" applyProtection="0"/>
    <xf numFmtId="0" fontId="1" fillId="73" borderId="0" applyNumberFormat="0" applyBorder="0" applyAlignment="0" applyProtection="0"/>
    <xf numFmtId="0" fontId="1" fillId="76" borderId="0" applyNumberFormat="0" applyBorder="0" applyAlignment="0" applyProtection="0"/>
    <xf numFmtId="0" fontId="1" fillId="77" borderId="0" applyNumberFormat="0" applyBorder="0" applyAlignment="0" applyProtection="0"/>
    <xf numFmtId="0" fontId="1" fillId="80" borderId="0" applyNumberFormat="0" applyBorder="0" applyAlignment="0" applyProtection="0"/>
    <xf numFmtId="0" fontId="1" fillId="81" borderId="0" applyNumberFormat="0" applyBorder="0" applyAlignment="0" applyProtection="0"/>
    <xf numFmtId="0" fontId="1" fillId="58" borderId="104" applyNumberFormat="0" applyFont="0" applyAlignment="0" applyProtection="0"/>
    <xf numFmtId="0" fontId="1" fillId="58" borderId="104" applyNumberFormat="0" applyFont="0" applyAlignment="0" applyProtection="0"/>
    <xf numFmtId="0" fontId="1" fillId="60" borderId="0" applyNumberFormat="0" applyBorder="0" applyAlignment="0" applyProtection="0"/>
    <xf numFmtId="0" fontId="1" fillId="61" borderId="0" applyNumberFormat="0" applyBorder="0" applyAlignment="0" applyProtection="0"/>
    <xf numFmtId="0" fontId="1" fillId="64" borderId="0" applyNumberFormat="0" applyBorder="0" applyAlignment="0" applyProtection="0"/>
    <xf numFmtId="0" fontId="1" fillId="65" borderId="0" applyNumberFormat="0" applyBorder="0" applyAlignment="0" applyProtection="0"/>
    <xf numFmtId="0" fontId="1" fillId="68" borderId="0" applyNumberFormat="0" applyBorder="0" applyAlignment="0" applyProtection="0"/>
    <xf numFmtId="0" fontId="1" fillId="69" borderId="0" applyNumberFormat="0" applyBorder="0" applyAlignment="0" applyProtection="0"/>
    <xf numFmtId="0" fontId="1" fillId="72" borderId="0" applyNumberFormat="0" applyBorder="0" applyAlignment="0" applyProtection="0"/>
    <xf numFmtId="0" fontId="1" fillId="73" borderId="0" applyNumberFormat="0" applyBorder="0" applyAlignment="0" applyProtection="0"/>
    <xf numFmtId="0" fontId="1" fillId="76" borderId="0" applyNumberFormat="0" applyBorder="0" applyAlignment="0" applyProtection="0"/>
    <xf numFmtId="0" fontId="1" fillId="77" borderId="0" applyNumberFormat="0" applyBorder="0" applyAlignment="0" applyProtection="0"/>
    <xf numFmtId="0" fontId="1" fillId="80" borderId="0" applyNumberFormat="0" applyBorder="0" applyAlignment="0" applyProtection="0"/>
    <xf numFmtId="0" fontId="1" fillId="81" borderId="0" applyNumberFormat="0" applyBorder="0" applyAlignment="0" applyProtection="0"/>
    <xf numFmtId="0" fontId="1" fillId="60" borderId="0" applyNumberFormat="0" applyBorder="0" applyAlignment="0" applyProtection="0"/>
    <xf numFmtId="0" fontId="1" fillId="61" borderId="0" applyNumberFormat="0" applyBorder="0" applyAlignment="0" applyProtection="0"/>
    <xf numFmtId="0" fontId="1" fillId="64" borderId="0" applyNumberFormat="0" applyBorder="0" applyAlignment="0" applyProtection="0"/>
    <xf numFmtId="0" fontId="1" fillId="65" borderId="0" applyNumberFormat="0" applyBorder="0" applyAlignment="0" applyProtection="0"/>
    <xf numFmtId="0" fontId="1" fillId="68" borderId="0" applyNumberFormat="0" applyBorder="0" applyAlignment="0" applyProtection="0"/>
    <xf numFmtId="0" fontId="1" fillId="69" borderId="0" applyNumberFormat="0" applyBorder="0" applyAlignment="0" applyProtection="0"/>
    <xf numFmtId="0" fontId="1" fillId="72" borderId="0" applyNumberFormat="0" applyBorder="0" applyAlignment="0" applyProtection="0"/>
    <xf numFmtId="0" fontId="1" fillId="73" borderId="0" applyNumberFormat="0" applyBorder="0" applyAlignment="0" applyProtection="0"/>
    <xf numFmtId="0" fontId="1" fillId="76" borderId="0" applyNumberFormat="0" applyBorder="0" applyAlignment="0" applyProtection="0"/>
    <xf numFmtId="0" fontId="1" fillId="77" borderId="0" applyNumberFormat="0" applyBorder="0" applyAlignment="0" applyProtection="0"/>
    <xf numFmtId="0" fontId="1" fillId="80" borderId="0" applyNumberFormat="0" applyBorder="0" applyAlignment="0" applyProtection="0"/>
    <xf numFmtId="0" fontId="1" fillId="81" borderId="0" applyNumberFormat="0" applyBorder="0" applyAlignment="0" applyProtection="0"/>
    <xf numFmtId="0" fontId="1" fillId="58" borderId="104" applyNumberFormat="0" applyFont="0" applyAlignment="0" applyProtection="0"/>
    <xf numFmtId="0" fontId="1" fillId="60" borderId="0" applyNumberFormat="0" applyBorder="0" applyAlignment="0" applyProtection="0"/>
    <xf numFmtId="0" fontId="1" fillId="61" borderId="0" applyNumberFormat="0" applyBorder="0" applyAlignment="0" applyProtection="0"/>
    <xf numFmtId="0" fontId="1" fillId="64" borderId="0" applyNumberFormat="0" applyBorder="0" applyAlignment="0" applyProtection="0"/>
    <xf numFmtId="0" fontId="1" fillId="65" borderId="0" applyNumberFormat="0" applyBorder="0" applyAlignment="0" applyProtection="0"/>
    <xf numFmtId="0" fontId="1" fillId="68" borderId="0" applyNumberFormat="0" applyBorder="0" applyAlignment="0" applyProtection="0"/>
    <xf numFmtId="0" fontId="1" fillId="69" borderId="0" applyNumberFormat="0" applyBorder="0" applyAlignment="0" applyProtection="0"/>
    <xf numFmtId="0" fontId="1" fillId="72" borderId="0" applyNumberFormat="0" applyBorder="0" applyAlignment="0" applyProtection="0"/>
    <xf numFmtId="0" fontId="1" fillId="73" borderId="0" applyNumberFormat="0" applyBorder="0" applyAlignment="0" applyProtection="0"/>
    <xf numFmtId="0" fontId="1" fillId="76" borderId="0" applyNumberFormat="0" applyBorder="0" applyAlignment="0" applyProtection="0"/>
    <xf numFmtId="0" fontId="1" fillId="77" borderId="0" applyNumberFormat="0" applyBorder="0" applyAlignment="0" applyProtection="0"/>
    <xf numFmtId="0" fontId="1" fillId="80" borderId="0" applyNumberFormat="0" applyBorder="0" applyAlignment="0" applyProtection="0"/>
    <xf numFmtId="0" fontId="1" fillId="81" borderId="0" applyNumberFormat="0" applyBorder="0" applyAlignment="0" applyProtection="0"/>
    <xf numFmtId="0" fontId="1" fillId="58" borderId="104" applyNumberFormat="0" applyFont="0" applyAlignment="0" applyProtection="0"/>
    <xf numFmtId="0" fontId="1" fillId="58" borderId="104" applyNumberFormat="0" applyFont="0" applyAlignment="0" applyProtection="0"/>
    <xf numFmtId="0" fontId="1" fillId="60" borderId="0" applyNumberFormat="0" applyBorder="0" applyAlignment="0" applyProtection="0"/>
    <xf numFmtId="0" fontId="1" fillId="61" borderId="0" applyNumberFormat="0" applyBorder="0" applyAlignment="0" applyProtection="0"/>
    <xf numFmtId="0" fontId="1" fillId="64" borderId="0" applyNumberFormat="0" applyBorder="0" applyAlignment="0" applyProtection="0"/>
    <xf numFmtId="0" fontId="1" fillId="65" borderId="0" applyNumberFormat="0" applyBorder="0" applyAlignment="0" applyProtection="0"/>
    <xf numFmtId="0" fontId="1" fillId="68" borderId="0" applyNumberFormat="0" applyBorder="0" applyAlignment="0" applyProtection="0"/>
    <xf numFmtId="0" fontId="1" fillId="69" borderId="0" applyNumberFormat="0" applyBorder="0" applyAlignment="0" applyProtection="0"/>
    <xf numFmtId="0" fontId="1" fillId="72" borderId="0" applyNumberFormat="0" applyBorder="0" applyAlignment="0" applyProtection="0"/>
    <xf numFmtId="0" fontId="1" fillId="73" borderId="0" applyNumberFormat="0" applyBorder="0" applyAlignment="0" applyProtection="0"/>
    <xf numFmtId="0" fontId="1" fillId="76" borderId="0" applyNumberFormat="0" applyBorder="0" applyAlignment="0" applyProtection="0"/>
    <xf numFmtId="0" fontId="1" fillId="77" borderId="0" applyNumberFormat="0" applyBorder="0" applyAlignment="0" applyProtection="0"/>
    <xf numFmtId="0" fontId="1" fillId="80" borderId="0" applyNumberFormat="0" applyBorder="0" applyAlignment="0" applyProtection="0"/>
    <xf numFmtId="0" fontId="1" fillId="81" borderId="0" applyNumberFormat="0" applyBorder="0" applyAlignment="0" applyProtection="0"/>
    <xf numFmtId="0" fontId="1" fillId="60" borderId="0" applyNumberFormat="0" applyBorder="0" applyAlignment="0" applyProtection="0"/>
    <xf numFmtId="0" fontId="1" fillId="61" borderId="0" applyNumberFormat="0" applyBorder="0" applyAlignment="0" applyProtection="0"/>
    <xf numFmtId="0" fontId="1" fillId="64" borderId="0" applyNumberFormat="0" applyBorder="0" applyAlignment="0" applyProtection="0"/>
    <xf numFmtId="0" fontId="1" fillId="65" borderId="0" applyNumberFormat="0" applyBorder="0" applyAlignment="0" applyProtection="0"/>
    <xf numFmtId="0" fontId="1" fillId="68" borderId="0" applyNumberFormat="0" applyBorder="0" applyAlignment="0" applyProtection="0"/>
    <xf numFmtId="0" fontId="1" fillId="69" borderId="0" applyNumberFormat="0" applyBorder="0" applyAlignment="0" applyProtection="0"/>
    <xf numFmtId="0" fontId="1" fillId="72" borderId="0" applyNumberFormat="0" applyBorder="0" applyAlignment="0" applyProtection="0"/>
    <xf numFmtId="0" fontId="1" fillId="73" borderId="0" applyNumberFormat="0" applyBorder="0" applyAlignment="0" applyProtection="0"/>
    <xf numFmtId="0" fontId="1" fillId="76" borderId="0" applyNumberFormat="0" applyBorder="0" applyAlignment="0" applyProtection="0"/>
    <xf numFmtId="0" fontId="1" fillId="77" borderId="0" applyNumberFormat="0" applyBorder="0" applyAlignment="0" applyProtection="0"/>
    <xf numFmtId="0" fontId="1" fillId="80" borderId="0" applyNumberFormat="0" applyBorder="0" applyAlignment="0" applyProtection="0"/>
    <xf numFmtId="0" fontId="1" fillId="81" borderId="0" applyNumberFormat="0" applyBorder="0" applyAlignment="0" applyProtection="0"/>
    <xf numFmtId="0" fontId="1" fillId="58" borderId="104" applyNumberFormat="0" applyFont="0" applyAlignment="0" applyProtection="0"/>
    <xf numFmtId="0" fontId="1" fillId="26" borderId="0" applyNumberFormat="0" applyBorder="0" applyAlignment="0" applyProtection="0"/>
    <xf numFmtId="0" fontId="1" fillId="60" borderId="0" applyNumberFormat="0" applyBorder="0" applyAlignment="0" applyProtection="0"/>
    <xf numFmtId="0" fontId="1" fillId="60" borderId="0" applyNumberFormat="0" applyBorder="0" applyAlignment="0" applyProtection="0"/>
    <xf numFmtId="0" fontId="1" fillId="60" borderId="0" applyNumberFormat="0" applyBorder="0" applyAlignment="0" applyProtection="0"/>
    <xf numFmtId="0" fontId="1" fillId="60" borderId="0" applyNumberFormat="0" applyBorder="0" applyAlignment="0" applyProtection="0"/>
    <xf numFmtId="0" fontId="1" fillId="60" borderId="0" applyNumberFormat="0" applyBorder="0" applyAlignment="0" applyProtection="0"/>
    <xf numFmtId="0" fontId="1" fillId="60" borderId="0" applyNumberFormat="0" applyBorder="0" applyAlignment="0" applyProtection="0"/>
    <xf numFmtId="0" fontId="1" fillId="60" borderId="0" applyNumberFormat="0" applyBorder="0" applyAlignment="0" applyProtection="0"/>
    <xf numFmtId="0" fontId="1" fillId="60" borderId="0" applyNumberFormat="0" applyBorder="0" applyAlignment="0" applyProtection="0"/>
    <xf numFmtId="0" fontId="1" fillId="60" borderId="0" applyNumberFormat="0" applyBorder="0" applyAlignment="0" applyProtection="0"/>
    <xf numFmtId="0" fontId="1" fillId="64" borderId="0" applyNumberFormat="0" applyBorder="0" applyAlignment="0" applyProtection="0"/>
    <xf numFmtId="0" fontId="1" fillId="64" borderId="0" applyNumberFormat="0" applyBorder="0" applyAlignment="0" applyProtection="0"/>
    <xf numFmtId="0" fontId="1" fillId="64" borderId="0" applyNumberFormat="0" applyBorder="0" applyAlignment="0" applyProtection="0"/>
    <xf numFmtId="0" fontId="1" fillId="64" borderId="0" applyNumberFormat="0" applyBorder="0" applyAlignment="0" applyProtection="0"/>
    <xf numFmtId="0" fontId="1" fillId="64" borderId="0" applyNumberFormat="0" applyBorder="0" applyAlignment="0" applyProtection="0"/>
    <xf numFmtId="0" fontId="1" fillId="64" borderId="0" applyNumberFormat="0" applyBorder="0" applyAlignment="0" applyProtection="0"/>
    <xf numFmtId="0" fontId="1" fillId="64" borderId="0" applyNumberFormat="0" applyBorder="0" applyAlignment="0" applyProtection="0"/>
    <xf numFmtId="0" fontId="1" fillId="64" borderId="0" applyNumberFormat="0" applyBorder="0" applyAlignment="0" applyProtection="0"/>
    <xf numFmtId="0" fontId="1" fillId="64" borderId="0" applyNumberFormat="0" applyBorder="0" applyAlignment="0" applyProtection="0"/>
    <xf numFmtId="0" fontId="1" fillId="68" borderId="0" applyNumberFormat="0" applyBorder="0" applyAlignment="0" applyProtection="0"/>
    <xf numFmtId="0" fontId="1" fillId="68" borderId="0" applyNumberFormat="0" applyBorder="0" applyAlignment="0" applyProtection="0"/>
    <xf numFmtId="0" fontId="1" fillId="68" borderId="0" applyNumberFormat="0" applyBorder="0" applyAlignment="0" applyProtection="0"/>
    <xf numFmtId="0" fontId="1" fillId="68" borderId="0" applyNumberFormat="0" applyBorder="0" applyAlignment="0" applyProtection="0"/>
    <xf numFmtId="0" fontId="1" fillId="68" borderId="0" applyNumberFormat="0" applyBorder="0" applyAlignment="0" applyProtection="0"/>
    <xf numFmtId="0" fontId="1" fillId="68" borderId="0" applyNumberFormat="0" applyBorder="0" applyAlignment="0" applyProtection="0"/>
    <xf numFmtId="0" fontId="1" fillId="68" borderId="0" applyNumberFormat="0" applyBorder="0" applyAlignment="0" applyProtection="0"/>
    <xf numFmtId="0" fontId="1" fillId="68" borderId="0" applyNumberFormat="0" applyBorder="0" applyAlignment="0" applyProtection="0"/>
    <xf numFmtId="0" fontId="1" fillId="68" borderId="0" applyNumberFormat="0" applyBorder="0" applyAlignment="0" applyProtection="0"/>
    <xf numFmtId="0" fontId="1" fillId="72" borderId="0" applyNumberFormat="0" applyBorder="0" applyAlignment="0" applyProtection="0"/>
    <xf numFmtId="0" fontId="1" fillId="72" borderId="0" applyNumberFormat="0" applyBorder="0" applyAlignment="0" applyProtection="0"/>
    <xf numFmtId="0" fontId="1" fillId="72" borderId="0" applyNumberFormat="0" applyBorder="0" applyAlignment="0" applyProtection="0"/>
    <xf numFmtId="0" fontId="1" fillId="72" borderId="0" applyNumberFormat="0" applyBorder="0" applyAlignment="0" applyProtection="0"/>
    <xf numFmtId="0" fontId="1" fillId="72" borderId="0" applyNumberFormat="0" applyBorder="0" applyAlignment="0" applyProtection="0"/>
    <xf numFmtId="0" fontId="1" fillId="72" borderId="0" applyNumberFormat="0" applyBorder="0" applyAlignment="0" applyProtection="0"/>
    <xf numFmtId="0" fontId="1" fillId="72" borderId="0" applyNumberFormat="0" applyBorder="0" applyAlignment="0" applyProtection="0"/>
    <xf numFmtId="0" fontId="1" fillId="72" borderId="0" applyNumberFormat="0" applyBorder="0" applyAlignment="0" applyProtection="0"/>
    <xf numFmtId="0" fontId="1" fillId="72" borderId="0" applyNumberFormat="0" applyBorder="0" applyAlignment="0" applyProtection="0"/>
    <xf numFmtId="0" fontId="1" fillId="76" borderId="0" applyNumberFormat="0" applyBorder="0" applyAlignment="0" applyProtection="0"/>
    <xf numFmtId="0" fontId="1" fillId="76" borderId="0" applyNumberFormat="0" applyBorder="0" applyAlignment="0" applyProtection="0"/>
    <xf numFmtId="0" fontId="1" fillId="76" borderId="0" applyNumberFormat="0" applyBorder="0" applyAlignment="0" applyProtection="0"/>
    <xf numFmtId="0" fontId="1" fillId="76" borderId="0" applyNumberFormat="0" applyBorder="0" applyAlignment="0" applyProtection="0"/>
    <xf numFmtId="0" fontId="1" fillId="76" borderId="0" applyNumberFormat="0" applyBorder="0" applyAlignment="0" applyProtection="0"/>
    <xf numFmtId="0" fontId="1" fillId="76" borderId="0" applyNumberFormat="0" applyBorder="0" applyAlignment="0" applyProtection="0"/>
    <xf numFmtId="0" fontId="1" fillId="76" borderId="0" applyNumberFormat="0" applyBorder="0" applyAlignment="0" applyProtection="0"/>
    <xf numFmtId="0" fontId="1" fillId="76" borderId="0" applyNumberFormat="0" applyBorder="0" applyAlignment="0" applyProtection="0"/>
    <xf numFmtId="0" fontId="1" fillId="76" borderId="0" applyNumberFormat="0" applyBorder="0" applyAlignment="0" applyProtection="0"/>
    <xf numFmtId="0" fontId="1" fillId="80" borderId="0" applyNumberFormat="0" applyBorder="0" applyAlignment="0" applyProtection="0"/>
    <xf numFmtId="0" fontId="1" fillId="80" borderId="0" applyNumberFormat="0" applyBorder="0" applyAlignment="0" applyProtection="0"/>
    <xf numFmtId="0" fontId="1" fillId="80" borderId="0" applyNumberFormat="0" applyBorder="0" applyAlignment="0" applyProtection="0"/>
    <xf numFmtId="0" fontId="1" fillId="80" borderId="0" applyNumberFormat="0" applyBorder="0" applyAlignment="0" applyProtection="0"/>
    <xf numFmtId="0" fontId="1" fillId="80" borderId="0" applyNumberFormat="0" applyBorder="0" applyAlignment="0" applyProtection="0"/>
    <xf numFmtId="0" fontId="1" fillId="80" borderId="0" applyNumberFormat="0" applyBorder="0" applyAlignment="0" applyProtection="0"/>
    <xf numFmtId="0" fontId="1" fillId="80" borderId="0" applyNumberFormat="0" applyBorder="0" applyAlignment="0" applyProtection="0"/>
    <xf numFmtId="0" fontId="1" fillId="80" borderId="0" applyNumberFormat="0" applyBorder="0" applyAlignment="0" applyProtection="0"/>
    <xf numFmtId="0" fontId="1" fillId="80" borderId="0" applyNumberFormat="0" applyBorder="0" applyAlignment="0" applyProtection="0"/>
    <xf numFmtId="0" fontId="1" fillId="61" borderId="0" applyNumberFormat="0" applyBorder="0" applyAlignment="0" applyProtection="0"/>
    <xf numFmtId="0" fontId="1" fillId="61" borderId="0" applyNumberFormat="0" applyBorder="0" applyAlignment="0" applyProtection="0"/>
    <xf numFmtId="0" fontId="1" fillId="61" borderId="0" applyNumberFormat="0" applyBorder="0" applyAlignment="0" applyProtection="0"/>
    <xf numFmtId="0" fontId="1" fillId="61" borderId="0" applyNumberFormat="0" applyBorder="0" applyAlignment="0" applyProtection="0"/>
    <xf numFmtId="0" fontId="1" fillId="61" borderId="0" applyNumberFormat="0" applyBorder="0" applyAlignment="0" applyProtection="0"/>
    <xf numFmtId="0" fontId="1" fillId="61" borderId="0" applyNumberFormat="0" applyBorder="0" applyAlignment="0" applyProtection="0"/>
    <xf numFmtId="0" fontId="1" fillId="61" borderId="0" applyNumberFormat="0" applyBorder="0" applyAlignment="0" applyProtection="0"/>
    <xf numFmtId="0" fontId="1" fillId="61" borderId="0" applyNumberFormat="0" applyBorder="0" applyAlignment="0" applyProtection="0"/>
    <xf numFmtId="0" fontId="1" fillId="61" borderId="0" applyNumberFormat="0" applyBorder="0" applyAlignment="0" applyProtection="0"/>
    <xf numFmtId="0" fontId="1" fillId="65" borderId="0" applyNumberFormat="0" applyBorder="0" applyAlignment="0" applyProtection="0"/>
    <xf numFmtId="0" fontId="1" fillId="65" borderId="0" applyNumberFormat="0" applyBorder="0" applyAlignment="0" applyProtection="0"/>
    <xf numFmtId="0" fontId="1" fillId="65" borderId="0" applyNumberFormat="0" applyBorder="0" applyAlignment="0" applyProtection="0"/>
    <xf numFmtId="0" fontId="1" fillId="65" borderId="0" applyNumberFormat="0" applyBorder="0" applyAlignment="0" applyProtection="0"/>
    <xf numFmtId="0" fontId="1" fillId="65" borderId="0" applyNumberFormat="0" applyBorder="0" applyAlignment="0" applyProtection="0"/>
    <xf numFmtId="0" fontId="1" fillId="65" borderId="0" applyNumberFormat="0" applyBorder="0" applyAlignment="0" applyProtection="0"/>
    <xf numFmtId="0" fontId="1" fillId="65" borderId="0" applyNumberFormat="0" applyBorder="0" applyAlignment="0" applyProtection="0"/>
    <xf numFmtId="0" fontId="1" fillId="65" borderId="0" applyNumberFormat="0" applyBorder="0" applyAlignment="0" applyProtection="0"/>
    <xf numFmtId="0" fontId="1" fillId="65" borderId="0" applyNumberFormat="0" applyBorder="0" applyAlignment="0" applyProtection="0"/>
    <xf numFmtId="0" fontId="1" fillId="69" borderId="0" applyNumberFormat="0" applyBorder="0" applyAlignment="0" applyProtection="0"/>
    <xf numFmtId="0" fontId="1" fillId="69" borderId="0" applyNumberFormat="0" applyBorder="0" applyAlignment="0" applyProtection="0"/>
    <xf numFmtId="0" fontId="1" fillId="69" borderId="0" applyNumberFormat="0" applyBorder="0" applyAlignment="0" applyProtection="0"/>
    <xf numFmtId="0" fontId="1" fillId="69" borderId="0" applyNumberFormat="0" applyBorder="0" applyAlignment="0" applyProtection="0"/>
    <xf numFmtId="0" fontId="1" fillId="69" borderId="0" applyNumberFormat="0" applyBorder="0" applyAlignment="0" applyProtection="0"/>
    <xf numFmtId="0" fontId="1" fillId="69" borderId="0" applyNumberFormat="0" applyBorder="0" applyAlignment="0" applyProtection="0"/>
    <xf numFmtId="0" fontId="1" fillId="69" borderId="0" applyNumberFormat="0" applyBorder="0" applyAlignment="0" applyProtection="0"/>
    <xf numFmtId="0" fontId="1" fillId="69" borderId="0" applyNumberFormat="0" applyBorder="0" applyAlignment="0" applyProtection="0"/>
    <xf numFmtId="0" fontId="1" fillId="69" borderId="0" applyNumberFormat="0" applyBorder="0" applyAlignment="0" applyProtection="0"/>
    <xf numFmtId="0" fontId="1" fillId="73" borderId="0" applyNumberFormat="0" applyBorder="0" applyAlignment="0" applyProtection="0"/>
    <xf numFmtId="0" fontId="1" fillId="73" borderId="0" applyNumberFormat="0" applyBorder="0" applyAlignment="0" applyProtection="0"/>
    <xf numFmtId="0" fontId="1" fillId="73" borderId="0" applyNumberFormat="0" applyBorder="0" applyAlignment="0" applyProtection="0"/>
    <xf numFmtId="0" fontId="1" fillId="73" borderId="0" applyNumberFormat="0" applyBorder="0" applyAlignment="0" applyProtection="0"/>
    <xf numFmtId="0" fontId="1" fillId="73" borderId="0" applyNumberFormat="0" applyBorder="0" applyAlignment="0" applyProtection="0"/>
    <xf numFmtId="0" fontId="1" fillId="73" borderId="0" applyNumberFormat="0" applyBorder="0" applyAlignment="0" applyProtection="0"/>
    <xf numFmtId="0" fontId="1" fillId="73" borderId="0" applyNumberFormat="0" applyBorder="0" applyAlignment="0" applyProtection="0"/>
    <xf numFmtId="0" fontId="1" fillId="73" borderId="0" applyNumberFormat="0" applyBorder="0" applyAlignment="0" applyProtection="0"/>
    <xf numFmtId="0" fontId="1" fillId="73" borderId="0" applyNumberFormat="0" applyBorder="0" applyAlignment="0" applyProtection="0"/>
    <xf numFmtId="0" fontId="1" fillId="77" borderId="0" applyNumberFormat="0" applyBorder="0" applyAlignment="0" applyProtection="0"/>
    <xf numFmtId="0" fontId="1" fillId="77" borderId="0" applyNumberFormat="0" applyBorder="0" applyAlignment="0" applyProtection="0"/>
    <xf numFmtId="0" fontId="1" fillId="77" borderId="0" applyNumberFormat="0" applyBorder="0" applyAlignment="0" applyProtection="0"/>
    <xf numFmtId="0" fontId="1" fillId="77" borderId="0" applyNumberFormat="0" applyBorder="0" applyAlignment="0" applyProtection="0"/>
    <xf numFmtId="0" fontId="1" fillId="77" borderId="0" applyNumberFormat="0" applyBorder="0" applyAlignment="0" applyProtection="0"/>
    <xf numFmtId="0" fontId="1" fillId="77" borderId="0" applyNumberFormat="0" applyBorder="0" applyAlignment="0" applyProtection="0"/>
    <xf numFmtId="0" fontId="1" fillId="77" borderId="0" applyNumberFormat="0" applyBorder="0" applyAlignment="0" applyProtection="0"/>
    <xf numFmtId="0" fontId="1" fillId="77" borderId="0" applyNumberFormat="0" applyBorder="0" applyAlignment="0" applyProtection="0"/>
    <xf numFmtId="0" fontId="1" fillId="77" borderId="0" applyNumberFormat="0" applyBorder="0" applyAlignment="0" applyProtection="0"/>
    <xf numFmtId="0" fontId="1" fillId="81" borderId="0" applyNumberFormat="0" applyBorder="0" applyAlignment="0" applyProtection="0"/>
    <xf numFmtId="0" fontId="1" fillId="81" borderId="0" applyNumberFormat="0" applyBorder="0" applyAlignment="0" applyProtection="0"/>
    <xf numFmtId="0" fontId="1" fillId="81" borderId="0" applyNumberFormat="0" applyBorder="0" applyAlignment="0" applyProtection="0"/>
    <xf numFmtId="0" fontId="1" fillId="81" borderId="0" applyNumberFormat="0" applyBorder="0" applyAlignment="0" applyProtection="0"/>
    <xf numFmtId="0" fontId="1" fillId="81" borderId="0" applyNumberFormat="0" applyBorder="0" applyAlignment="0" applyProtection="0"/>
    <xf numFmtId="0" fontId="1" fillId="81" borderId="0" applyNumberFormat="0" applyBorder="0" applyAlignment="0" applyProtection="0"/>
    <xf numFmtId="0" fontId="1" fillId="81" borderId="0" applyNumberFormat="0" applyBorder="0" applyAlignment="0" applyProtection="0"/>
    <xf numFmtId="0" fontId="1" fillId="81" borderId="0" applyNumberFormat="0" applyBorder="0" applyAlignment="0" applyProtection="0"/>
    <xf numFmtId="0" fontId="1" fillId="81" borderId="0" applyNumberFormat="0" applyBorder="0" applyAlignment="0" applyProtection="0"/>
    <xf numFmtId="0" fontId="1" fillId="58" borderId="104" applyNumberFormat="0" applyFont="0" applyAlignment="0" applyProtection="0"/>
    <xf numFmtId="0" fontId="1" fillId="58" borderId="104" applyNumberFormat="0" applyFont="0" applyAlignment="0" applyProtection="0"/>
    <xf numFmtId="0" fontId="1" fillId="58" borderId="104" applyNumberFormat="0" applyFont="0" applyAlignment="0" applyProtection="0"/>
    <xf numFmtId="0" fontId="1" fillId="58" borderId="104" applyNumberFormat="0" applyFont="0" applyAlignment="0" applyProtection="0"/>
    <xf numFmtId="0" fontId="1" fillId="58" borderId="104" applyNumberFormat="0" applyFont="0" applyAlignment="0" applyProtection="0"/>
    <xf numFmtId="0" fontId="1" fillId="58" borderId="104" applyNumberFormat="0" applyFont="0" applyAlignment="0" applyProtection="0"/>
    <xf numFmtId="0" fontId="1" fillId="58" borderId="104" applyNumberFormat="0" applyFont="0" applyAlignment="0" applyProtection="0"/>
    <xf numFmtId="0" fontId="1" fillId="58" borderId="104" applyNumberFormat="0" applyFont="0" applyAlignment="0" applyProtection="0"/>
    <xf numFmtId="0" fontId="1" fillId="58" borderId="104" applyNumberFormat="0" applyFont="0" applyAlignment="0" applyProtection="0"/>
    <xf numFmtId="0" fontId="1" fillId="0" borderId="0"/>
    <xf numFmtId="165" fontId="1" fillId="0" borderId="0" applyFont="0" applyFill="0" applyBorder="0" applyAlignment="0" applyProtection="0"/>
    <xf numFmtId="0" fontId="1" fillId="0" borderId="0"/>
    <xf numFmtId="0" fontId="1" fillId="0" borderId="0"/>
    <xf numFmtId="0" fontId="1" fillId="0" borderId="0"/>
    <xf numFmtId="0" fontId="1" fillId="60" borderId="0" applyNumberFormat="0" applyBorder="0" applyAlignment="0" applyProtection="0"/>
    <xf numFmtId="0" fontId="1" fillId="61" borderId="0" applyNumberFormat="0" applyBorder="0" applyAlignment="0" applyProtection="0"/>
    <xf numFmtId="0" fontId="1" fillId="64" borderId="0" applyNumberFormat="0" applyBorder="0" applyAlignment="0" applyProtection="0"/>
    <xf numFmtId="0" fontId="1" fillId="65" borderId="0" applyNumberFormat="0" applyBorder="0" applyAlignment="0" applyProtection="0"/>
    <xf numFmtId="0" fontId="1" fillId="68" borderId="0" applyNumberFormat="0" applyBorder="0" applyAlignment="0" applyProtection="0"/>
    <xf numFmtId="0" fontId="1" fillId="69" borderId="0" applyNumberFormat="0" applyBorder="0" applyAlignment="0" applyProtection="0"/>
    <xf numFmtId="0" fontId="1" fillId="72" borderId="0" applyNumberFormat="0" applyBorder="0" applyAlignment="0" applyProtection="0"/>
    <xf numFmtId="0" fontId="1" fillId="73" borderId="0" applyNumberFormat="0" applyBorder="0" applyAlignment="0" applyProtection="0"/>
    <xf numFmtId="0" fontId="1" fillId="76" borderId="0" applyNumberFormat="0" applyBorder="0" applyAlignment="0" applyProtection="0"/>
    <xf numFmtId="0" fontId="1" fillId="77" borderId="0" applyNumberFormat="0" applyBorder="0" applyAlignment="0" applyProtection="0"/>
    <xf numFmtId="0" fontId="1" fillId="80" borderId="0" applyNumberFormat="0" applyBorder="0" applyAlignment="0" applyProtection="0"/>
    <xf numFmtId="0" fontId="1" fillId="81" borderId="0" applyNumberFormat="0" applyBorder="0" applyAlignment="0" applyProtection="0"/>
    <xf numFmtId="0" fontId="1" fillId="7" borderId="0" applyNumberFormat="0" applyBorder="0" applyAlignment="0" applyProtection="0"/>
    <xf numFmtId="0" fontId="1" fillId="58" borderId="104" applyNumberFormat="0" applyFont="0" applyAlignment="0" applyProtection="0"/>
    <xf numFmtId="0" fontId="1" fillId="58" borderId="104" applyNumberFormat="0" applyFont="0" applyAlignment="0" applyProtection="0"/>
    <xf numFmtId="0" fontId="1" fillId="60" borderId="0" applyNumberFormat="0" applyBorder="0" applyAlignment="0" applyProtection="0"/>
    <xf numFmtId="0" fontId="1" fillId="61" borderId="0" applyNumberFormat="0" applyBorder="0" applyAlignment="0" applyProtection="0"/>
    <xf numFmtId="0" fontId="1" fillId="64" borderId="0" applyNumberFormat="0" applyBorder="0" applyAlignment="0" applyProtection="0"/>
    <xf numFmtId="0" fontId="1" fillId="65" borderId="0" applyNumberFormat="0" applyBorder="0" applyAlignment="0" applyProtection="0"/>
    <xf numFmtId="0" fontId="1" fillId="68" borderId="0" applyNumberFormat="0" applyBorder="0" applyAlignment="0" applyProtection="0"/>
    <xf numFmtId="0" fontId="1" fillId="69" borderId="0" applyNumberFormat="0" applyBorder="0" applyAlignment="0" applyProtection="0"/>
    <xf numFmtId="0" fontId="1" fillId="72" borderId="0" applyNumberFormat="0" applyBorder="0" applyAlignment="0" applyProtection="0"/>
    <xf numFmtId="0" fontId="1" fillId="73" borderId="0" applyNumberFormat="0" applyBorder="0" applyAlignment="0" applyProtection="0"/>
    <xf numFmtId="0" fontId="1" fillId="76" borderId="0" applyNumberFormat="0" applyBorder="0" applyAlignment="0" applyProtection="0"/>
    <xf numFmtId="0" fontId="1" fillId="77" borderId="0" applyNumberFormat="0" applyBorder="0" applyAlignment="0" applyProtection="0"/>
    <xf numFmtId="0" fontId="1" fillId="80" borderId="0" applyNumberFormat="0" applyBorder="0" applyAlignment="0" applyProtection="0"/>
    <xf numFmtId="0" fontId="1" fillId="81" borderId="0" applyNumberFormat="0" applyBorder="0" applyAlignment="0" applyProtection="0"/>
    <xf numFmtId="0" fontId="1" fillId="60" borderId="0" applyNumberFormat="0" applyBorder="0" applyAlignment="0" applyProtection="0"/>
    <xf numFmtId="0" fontId="1" fillId="61" borderId="0" applyNumberFormat="0" applyBorder="0" applyAlignment="0" applyProtection="0"/>
    <xf numFmtId="0" fontId="1" fillId="64" borderId="0" applyNumberFormat="0" applyBorder="0" applyAlignment="0" applyProtection="0"/>
    <xf numFmtId="0" fontId="1" fillId="65" borderId="0" applyNumberFormat="0" applyBorder="0" applyAlignment="0" applyProtection="0"/>
    <xf numFmtId="0" fontId="1" fillId="68" borderId="0" applyNumberFormat="0" applyBorder="0" applyAlignment="0" applyProtection="0"/>
    <xf numFmtId="0" fontId="1" fillId="69" borderId="0" applyNumberFormat="0" applyBorder="0" applyAlignment="0" applyProtection="0"/>
    <xf numFmtId="0" fontId="1" fillId="72" borderId="0" applyNumberFormat="0" applyBorder="0" applyAlignment="0" applyProtection="0"/>
    <xf numFmtId="0" fontId="1" fillId="73" borderId="0" applyNumberFormat="0" applyBorder="0" applyAlignment="0" applyProtection="0"/>
    <xf numFmtId="0" fontId="1" fillId="76" borderId="0" applyNumberFormat="0" applyBorder="0" applyAlignment="0" applyProtection="0"/>
    <xf numFmtId="0" fontId="1" fillId="77" borderId="0" applyNumberFormat="0" applyBorder="0" applyAlignment="0" applyProtection="0"/>
    <xf numFmtId="0" fontId="1" fillId="80" borderId="0" applyNumberFormat="0" applyBorder="0" applyAlignment="0" applyProtection="0"/>
    <xf numFmtId="0" fontId="1" fillId="81" borderId="0" applyNumberFormat="0" applyBorder="0" applyAlignment="0" applyProtection="0"/>
    <xf numFmtId="0" fontId="1" fillId="58" borderId="104" applyNumberFormat="0" applyFont="0" applyAlignment="0" applyProtection="0"/>
    <xf numFmtId="0" fontId="1" fillId="60" borderId="0" applyNumberFormat="0" applyBorder="0" applyAlignment="0" applyProtection="0"/>
    <xf numFmtId="0" fontId="1" fillId="61" borderId="0" applyNumberFormat="0" applyBorder="0" applyAlignment="0" applyProtection="0"/>
    <xf numFmtId="0" fontId="1" fillId="64" borderId="0" applyNumberFormat="0" applyBorder="0" applyAlignment="0" applyProtection="0"/>
    <xf numFmtId="0" fontId="1" fillId="65" borderId="0" applyNumberFormat="0" applyBorder="0" applyAlignment="0" applyProtection="0"/>
    <xf numFmtId="0" fontId="1" fillId="68" borderId="0" applyNumberFormat="0" applyBorder="0" applyAlignment="0" applyProtection="0"/>
    <xf numFmtId="0" fontId="1" fillId="69" borderId="0" applyNumberFormat="0" applyBorder="0" applyAlignment="0" applyProtection="0"/>
    <xf numFmtId="0" fontId="1" fillId="72" borderId="0" applyNumberFormat="0" applyBorder="0" applyAlignment="0" applyProtection="0"/>
    <xf numFmtId="0" fontId="1" fillId="73" borderId="0" applyNumberFormat="0" applyBorder="0" applyAlignment="0" applyProtection="0"/>
    <xf numFmtId="0" fontId="1" fillId="76" borderId="0" applyNumberFormat="0" applyBorder="0" applyAlignment="0" applyProtection="0"/>
    <xf numFmtId="0" fontId="1" fillId="77" borderId="0" applyNumberFormat="0" applyBorder="0" applyAlignment="0" applyProtection="0"/>
    <xf numFmtId="0" fontId="1" fillId="80" borderId="0" applyNumberFormat="0" applyBorder="0" applyAlignment="0" applyProtection="0"/>
    <xf numFmtId="0" fontId="1" fillId="81" borderId="0" applyNumberFormat="0" applyBorder="0" applyAlignment="0" applyProtection="0"/>
    <xf numFmtId="0" fontId="1" fillId="58" borderId="104" applyNumberFormat="0" applyFont="0" applyAlignment="0" applyProtection="0"/>
    <xf numFmtId="0" fontId="1" fillId="58" borderId="104" applyNumberFormat="0" applyFont="0" applyAlignment="0" applyProtection="0"/>
    <xf numFmtId="0" fontId="1" fillId="60" borderId="0" applyNumberFormat="0" applyBorder="0" applyAlignment="0" applyProtection="0"/>
    <xf numFmtId="0" fontId="1" fillId="61" borderId="0" applyNumberFormat="0" applyBorder="0" applyAlignment="0" applyProtection="0"/>
    <xf numFmtId="0" fontId="1" fillId="64" borderId="0" applyNumberFormat="0" applyBorder="0" applyAlignment="0" applyProtection="0"/>
    <xf numFmtId="0" fontId="1" fillId="65" borderId="0" applyNumberFormat="0" applyBorder="0" applyAlignment="0" applyProtection="0"/>
    <xf numFmtId="0" fontId="1" fillId="68" borderId="0" applyNumberFormat="0" applyBorder="0" applyAlignment="0" applyProtection="0"/>
    <xf numFmtId="0" fontId="1" fillId="69" borderId="0" applyNumberFormat="0" applyBorder="0" applyAlignment="0" applyProtection="0"/>
    <xf numFmtId="0" fontId="1" fillId="72" borderId="0" applyNumberFormat="0" applyBorder="0" applyAlignment="0" applyProtection="0"/>
    <xf numFmtId="0" fontId="1" fillId="73" borderId="0" applyNumberFormat="0" applyBorder="0" applyAlignment="0" applyProtection="0"/>
    <xf numFmtId="0" fontId="1" fillId="76" borderId="0" applyNumberFormat="0" applyBorder="0" applyAlignment="0" applyProtection="0"/>
    <xf numFmtId="0" fontId="1" fillId="77" borderId="0" applyNumberFormat="0" applyBorder="0" applyAlignment="0" applyProtection="0"/>
    <xf numFmtId="0" fontId="1" fillId="80" borderId="0" applyNumberFormat="0" applyBorder="0" applyAlignment="0" applyProtection="0"/>
    <xf numFmtId="0" fontId="1" fillId="81" borderId="0" applyNumberFormat="0" applyBorder="0" applyAlignment="0" applyProtection="0"/>
    <xf numFmtId="0" fontId="1" fillId="60" borderId="0" applyNumberFormat="0" applyBorder="0" applyAlignment="0" applyProtection="0"/>
    <xf numFmtId="0" fontId="1" fillId="61" borderId="0" applyNumberFormat="0" applyBorder="0" applyAlignment="0" applyProtection="0"/>
    <xf numFmtId="0" fontId="1" fillId="64" borderId="0" applyNumberFormat="0" applyBorder="0" applyAlignment="0" applyProtection="0"/>
    <xf numFmtId="0" fontId="1" fillId="65" borderId="0" applyNumberFormat="0" applyBorder="0" applyAlignment="0" applyProtection="0"/>
    <xf numFmtId="0" fontId="1" fillId="68" borderId="0" applyNumberFormat="0" applyBorder="0" applyAlignment="0" applyProtection="0"/>
    <xf numFmtId="0" fontId="1" fillId="69" borderId="0" applyNumberFormat="0" applyBorder="0" applyAlignment="0" applyProtection="0"/>
    <xf numFmtId="0" fontId="1" fillId="72" borderId="0" applyNumberFormat="0" applyBorder="0" applyAlignment="0" applyProtection="0"/>
    <xf numFmtId="0" fontId="1" fillId="73" borderId="0" applyNumberFormat="0" applyBorder="0" applyAlignment="0" applyProtection="0"/>
    <xf numFmtId="0" fontId="1" fillId="76" borderId="0" applyNumberFormat="0" applyBorder="0" applyAlignment="0" applyProtection="0"/>
    <xf numFmtId="0" fontId="1" fillId="77" borderId="0" applyNumberFormat="0" applyBorder="0" applyAlignment="0" applyProtection="0"/>
    <xf numFmtId="0" fontId="1" fillId="80" borderId="0" applyNumberFormat="0" applyBorder="0" applyAlignment="0" applyProtection="0"/>
    <xf numFmtId="0" fontId="1" fillId="81" borderId="0" applyNumberFormat="0" applyBorder="0" applyAlignment="0" applyProtection="0"/>
    <xf numFmtId="0" fontId="1" fillId="58" borderId="104" applyNumberFormat="0" applyFont="0" applyAlignment="0" applyProtection="0"/>
    <xf numFmtId="0" fontId="1" fillId="60" borderId="0" applyNumberFormat="0" applyBorder="0" applyAlignment="0" applyProtection="0"/>
    <xf numFmtId="0" fontId="1" fillId="61" borderId="0" applyNumberFormat="0" applyBorder="0" applyAlignment="0" applyProtection="0"/>
    <xf numFmtId="0" fontId="1" fillId="64" borderId="0" applyNumberFormat="0" applyBorder="0" applyAlignment="0" applyProtection="0"/>
    <xf numFmtId="0" fontId="1" fillId="65" borderId="0" applyNumberFormat="0" applyBorder="0" applyAlignment="0" applyProtection="0"/>
    <xf numFmtId="0" fontId="1" fillId="68" borderId="0" applyNumberFormat="0" applyBorder="0" applyAlignment="0" applyProtection="0"/>
    <xf numFmtId="0" fontId="1" fillId="69" borderId="0" applyNumberFormat="0" applyBorder="0" applyAlignment="0" applyProtection="0"/>
    <xf numFmtId="0" fontId="1" fillId="72" borderId="0" applyNumberFormat="0" applyBorder="0" applyAlignment="0" applyProtection="0"/>
    <xf numFmtId="0" fontId="1" fillId="73" borderId="0" applyNumberFormat="0" applyBorder="0" applyAlignment="0" applyProtection="0"/>
    <xf numFmtId="0" fontId="1" fillId="76" borderId="0" applyNumberFormat="0" applyBorder="0" applyAlignment="0" applyProtection="0"/>
    <xf numFmtId="0" fontId="1" fillId="77" borderId="0" applyNumberFormat="0" applyBorder="0" applyAlignment="0" applyProtection="0"/>
    <xf numFmtId="0" fontId="1" fillId="80" borderId="0" applyNumberFormat="0" applyBorder="0" applyAlignment="0" applyProtection="0"/>
    <xf numFmtId="0" fontId="1" fillId="81" borderId="0" applyNumberFormat="0" applyBorder="0" applyAlignment="0" applyProtection="0"/>
    <xf numFmtId="0" fontId="1" fillId="58" borderId="104" applyNumberFormat="0" applyFont="0" applyAlignment="0" applyProtection="0"/>
    <xf numFmtId="0" fontId="1" fillId="58" borderId="104" applyNumberFormat="0" applyFont="0" applyAlignment="0" applyProtection="0"/>
    <xf numFmtId="0" fontId="1" fillId="60" borderId="0" applyNumberFormat="0" applyBorder="0" applyAlignment="0" applyProtection="0"/>
    <xf numFmtId="0" fontId="1" fillId="61" borderId="0" applyNumberFormat="0" applyBorder="0" applyAlignment="0" applyProtection="0"/>
    <xf numFmtId="0" fontId="1" fillId="64" borderId="0" applyNumberFormat="0" applyBorder="0" applyAlignment="0" applyProtection="0"/>
    <xf numFmtId="0" fontId="1" fillId="65" borderId="0" applyNumberFormat="0" applyBorder="0" applyAlignment="0" applyProtection="0"/>
    <xf numFmtId="0" fontId="1" fillId="68" borderId="0" applyNumberFormat="0" applyBorder="0" applyAlignment="0" applyProtection="0"/>
    <xf numFmtId="0" fontId="1" fillId="69" borderId="0" applyNumberFormat="0" applyBorder="0" applyAlignment="0" applyProtection="0"/>
    <xf numFmtId="0" fontId="1" fillId="72" borderId="0" applyNumberFormat="0" applyBorder="0" applyAlignment="0" applyProtection="0"/>
    <xf numFmtId="0" fontId="1" fillId="73" borderId="0" applyNumberFormat="0" applyBorder="0" applyAlignment="0" applyProtection="0"/>
    <xf numFmtId="0" fontId="1" fillId="76" borderId="0" applyNumberFormat="0" applyBorder="0" applyAlignment="0" applyProtection="0"/>
    <xf numFmtId="0" fontId="1" fillId="77" borderId="0" applyNumberFormat="0" applyBorder="0" applyAlignment="0" applyProtection="0"/>
    <xf numFmtId="0" fontId="1" fillId="80" borderId="0" applyNumberFormat="0" applyBorder="0" applyAlignment="0" applyProtection="0"/>
    <xf numFmtId="0" fontId="1" fillId="81" borderId="0" applyNumberFormat="0" applyBorder="0" applyAlignment="0" applyProtection="0"/>
    <xf numFmtId="0" fontId="1" fillId="60" borderId="0" applyNumberFormat="0" applyBorder="0" applyAlignment="0" applyProtection="0"/>
    <xf numFmtId="0" fontId="1" fillId="61" borderId="0" applyNumberFormat="0" applyBorder="0" applyAlignment="0" applyProtection="0"/>
    <xf numFmtId="0" fontId="1" fillId="64" borderId="0" applyNumberFormat="0" applyBorder="0" applyAlignment="0" applyProtection="0"/>
    <xf numFmtId="0" fontId="1" fillId="65" borderId="0" applyNumberFormat="0" applyBorder="0" applyAlignment="0" applyProtection="0"/>
    <xf numFmtId="0" fontId="1" fillId="68" borderId="0" applyNumberFormat="0" applyBorder="0" applyAlignment="0" applyProtection="0"/>
    <xf numFmtId="0" fontId="1" fillId="69" borderId="0" applyNumberFormat="0" applyBorder="0" applyAlignment="0" applyProtection="0"/>
    <xf numFmtId="0" fontId="1" fillId="72" borderId="0" applyNumberFormat="0" applyBorder="0" applyAlignment="0" applyProtection="0"/>
    <xf numFmtId="0" fontId="1" fillId="73" borderId="0" applyNumberFormat="0" applyBorder="0" applyAlignment="0" applyProtection="0"/>
    <xf numFmtId="0" fontId="1" fillId="76" borderId="0" applyNumberFormat="0" applyBorder="0" applyAlignment="0" applyProtection="0"/>
    <xf numFmtId="0" fontId="1" fillId="77" borderId="0" applyNumberFormat="0" applyBorder="0" applyAlignment="0" applyProtection="0"/>
    <xf numFmtId="0" fontId="1" fillId="80" borderId="0" applyNumberFormat="0" applyBorder="0" applyAlignment="0" applyProtection="0"/>
    <xf numFmtId="0" fontId="1" fillId="81" borderId="0" applyNumberFormat="0" applyBorder="0" applyAlignment="0" applyProtection="0"/>
    <xf numFmtId="0" fontId="1" fillId="58" borderId="104" applyNumberFormat="0" applyFont="0" applyAlignment="0" applyProtection="0"/>
    <xf numFmtId="0" fontId="1" fillId="0" borderId="0"/>
    <xf numFmtId="0" fontId="1" fillId="0" borderId="0"/>
    <xf numFmtId="0" fontId="1" fillId="60" borderId="0" applyNumberFormat="0" applyBorder="0" applyAlignment="0" applyProtection="0"/>
    <xf numFmtId="0" fontId="1" fillId="61" borderId="0" applyNumberFormat="0" applyBorder="0" applyAlignment="0" applyProtection="0"/>
    <xf numFmtId="0" fontId="1" fillId="64" borderId="0" applyNumberFormat="0" applyBorder="0" applyAlignment="0" applyProtection="0"/>
    <xf numFmtId="0" fontId="1" fillId="65" borderId="0" applyNumberFormat="0" applyBorder="0" applyAlignment="0" applyProtection="0"/>
    <xf numFmtId="0" fontId="1" fillId="68" borderId="0" applyNumberFormat="0" applyBorder="0" applyAlignment="0" applyProtection="0"/>
    <xf numFmtId="0" fontId="1" fillId="69" borderId="0" applyNumberFormat="0" applyBorder="0" applyAlignment="0" applyProtection="0"/>
    <xf numFmtId="0" fontId="1" fillId="72" borderId="0" applyNumberFormat="0" applyBorder="0" applyAlignment="0" applyProtection="0"/>
    <xf numFmtId="0" fontId="1" fillId="73" borderId="0" applyNumberFormat="0" applyBorder="0" applyAlignment="0" applyProtection="0"/>
    <xf numFmtId="0" fontId="1" fillId="76" borderId="0" applyNumberFormat="0" applyBorder="0" applyAlignment="0" applyProtection="0"/>
    <xf numFmtId="0" fontId="1" fillId="77" borderId="0" applyNumberFormat="0" applyBorder="0" applyAlignment="0" applyProtection="0"/>
    <xf numFmtId="0" fontId="1" fillId="80" borderId="0" applyNumberFormat="0" applyBorder="0" applyAlignment="0" applyProtection="0"/>
    <xf numFmtId="0" fontId="1" fillId="81" borderId="0" applyNumberFormat="0" applyBorder="0" applyAlignment="0" applyProtection="0"/>
    <xf numFmtId="0" fontId="1" fillId="58" borderId="104" applyNumberFormat="0" applyFont="0" applyAlignment="0" applyProtection="0"/>
    <xf numFmtId="0" fontId="1" fillId="58" borderId="104" applyNumberFormat="0" applyFont="0" applyAlignment="0" applyProtection="0"/>
    <xf numFmtId="0" fontId="1" fillId="60" borderId="0" applyNumberFormat="0" applyBorder="0" applyAlignment="0" applyProtection="0"/>
    <xf numFmtId="0" fontId="1" fillId="61" borderId="0" applyNumberFormat="0" applyBorder="0" applyAlignment="0" applyProtection="0"/>
    <xf numFmtId="0" fontId="1" fillId="64" borderId="0" applyNumberFormat="0" applyBorder="0" applyAlignment="0" applyProtection="0"/>
    <xf numFmtId="0" fontId="1" fillId="65" borderId="0" applyNumberFormat="0" applyBorder="0" applyAlignment="0" applyProtection="0"/>
    <xf numFmtId="0" fontId="1" fillId="68" borderId="0" applyNumberFormat="0" applyBorder="0" applyAlignment="0" applyProtection="0"/>
    <xf numFmtId="0" fontId="1" fillId="69" borderId="0" applyNumberFormat="0" applyBorder="0" applyAlignment="0" applyProtection="0"/>
    <xf numFmtId="0" fontId="1" fillId="72" borderId="0" applyNumberFormat="0" applyBorder="0" applyAlignment="0" applyProtection="0"/>
    <xf numFmtId="0" fontId="1" fillId="73" borderId="0" applyNumberFormat="0" applyBorder="0" applyAlignment="0" applyProtection="0"/>
    <xf numFmtId="0" fontId="1" fillId="76" borderId="0" applyNumberFormat="0" applyBorder="0" applyAlignment="0" applyProtection="0"/>
    <xf numFmtId="0" fontId="1" fillId="77" borderId="0" applyNumberFormat="0" applyBorder="0" applyAlignment="0" applyProtection="0"/>
    <xf numFmtId="0" fontId="1" fillId="80" borderId="0" applyNumberFormat="0" applyBorder="0" applyAlignment="0" applyProtection="0"/>
    <xf numFmtId="0" fontId="1" fillId="81" borderId="0" applyNumberFormat="0" applyBorder="0" applyAlignment="0" applyProtection="0"/>
    <xf numFmtId="0" fontId="1" fillId="60" borderId="0" applyNumberFormat="0" applyBorder="0" applyAlignment="0" applyProtection="0"/>
    <xf numFmtId="0" fontId="1" fillId="61" borderId="0" applyNumberFormat="0" applyBorder="0" applyAlignment="0" applyProtection="0"/>
    <xf numFmtId="0" fontId="1" fillId="64" borderId="0" applyNumberFormat="0" applyBorder="0" applyAlignment="0" applyProtection="0"/>
    <xf numFmtId="0" fontId="1" fillId="65" borderId="0" applyNumberFormat="0" applyBorder="0" applyAlignment="0" applyProtection="0"/>
    <xf numFmtId="0" fontId="1" fillId="68" borderId="0" applyNumberFormat="0" applyBorder="0" applyAlignment="0" applyProtection="0"/>
    <xf numFmtId="0" fontId="1" fillId="69" borderId="0" applyNumberFormat="0" applyBorder="0" applyAlignment="0" applyProtection="0"/>
    <xf numFmtId="0" fontId="1" fillId="72" borderId="0" applyNumberFormat="0" applyBorder="0" applyAlignment="0" applyProtection="0"/>
    <xf numFmtId="0" fontId="1" fillId="73" borderId="0" applyNumberFormat="0" applyBorder="0" applyAlignment="0" applyProtection="0"/>
    <xf numFmtId="0" fontId="1" fillId="76" borderId="0" applyNumberFormat="0" applyBorder="0" applyAlignment="0" applyProtection="0"/>
    <xf numFmtId="0" fontId="1" fillId="77" borderId="0" applyNumberFormat="0" applyBorder="0" applyAlignment="0" applyProtection="0"/>
    <xf numFmtId="0" fontId="1" fillId="80" borderId="0" applyNumberFormat="0" applyBorder="0" applyAlignment="0" applyProtection="0"/>
    <xf numFmtId="0" fontId="1" fillId="81" borderId="0" applyNumberFormat="0" applyBorder="0" applyAlignment="0" applyProtection="0"/>
    <xf numFmtId="0" fontId="1" fillId="58" borderId="104" applyNumberFormat="0" applyFont="0" applyAlignment="0" applyProtection="0"/>
    <xf numFmtId="0" fontId="1" fillId="60" borderId="0" applyNumberFormat="0" applyBorder="0" applyAlignment="0" applyProtection="0"/>
    <xf numFmtId="0" fontId="1" fillId="61" borderId="0" applyNumberFormat="0" applyBorder="0" applyAlignment="0" applyProtection="0"/>
    <xf numFmtId="0" fontId="1" fillId="64" borderId="0" applyNumberFormat="0" applyBorder="0" applyAlignment="0" applyProtection="0"/>
    <xf numFmtId="0" fontId="1" fillId="65" borderId="0" applyNumberFormat="0" applyBorder="0" applyAlignment="0" applyProtection="0"/>
    <xf numFmtId="0" fontId="1" fillId="68" borderId="0" applyNumberFormat="0" applyBorder="0" applyAlignment="0" applyProtection="0"/>
    <xf numFmtId="0" fontId="1" fillId="69" borderId="0" applyNumberFormat="0" applyBorder="0" applyAlignment="0" applyProtection="0"/>
    <xf numFmtId="0" fontId="1" fillId="72" borderId="0" applyNumberFormat="0" applyBorder="0" applyAlignment="0" applyProtection="0"/>
    <xf numFmtId="0" fontId="1" fillId="73" borderId="0" applyNumberFormat="0" applyBorder="0" applyAlignment="0" applyProtection="0"/>
    <xf numFmtId="0" fontId="1" fillId="76" borderId="0" applyNumberFormat="0" applyBorder="0" applyAlignment="0" applyProtection="0"/>
    <xf numFmtId="0" fontId="1" fillId="77" borderId="0" applyNumberFormat="0" applyBorder="0" applyAlignment="0" applyProtection="0"/>
    <xf numFmtId="0" fontId="1" fillId="80" borderId="0" applyNumberFormat="0" applyBorder="0" applyAlignment="0" applyProtection="0"/>
    <xf numFmtId="0" fontId="1" fillId="81" borderId="0" applyNumberFormat="0" applyBorder="0" applyAlignment="0" applyProtection="0"/>
    <xf numFmtId="0" fontId="1" fillId="58" borderId="104" applyNumberFormat="0" applyFont="0" applyAlignment="0" applyProtection="0"/>
    <xf numFmtId="0" fontId="1" fillId="58" borderId="104" applyNumberFormat="0" applyFont="0" applyAlignment="0" applyProtection="0"/>
    <xf numFmtId="0" fontId="1" fillId="60" borderId="0" applyNumberFormat="0" applyBorder="0" applyAlignment="0" applyProtection="0"/>
    <xf numFmtId="0" fontId="1" fillId="61" borderId="0" applyNumberFormat="0" applyBorder="0" applyAlignment="0" applyProtection="0"/>
    <xf numFmtId="0" fontId="1" fillId="64" borderId="0" applyNumberFormat="0" applyBorder="0" applyAlignment="0" applyProtection="0"/>
    <xf numFmtId="0" fontId="1" fillId="65" borderId="0" applyNumberFormat="0" applyBorder="0" applyAlignment="0" applyProtection="0"/>
    <xf numFmtId="0" fontId="1" fillId="68" borderId="0" applyNumberFormat="0" applyBorder="0" applyAlignment="0" applyProtection="0"/>
    <xf numFmtId="0" fontId="1" fillId="69" borderId="0" applyNumberFormat="0" applyBorder="0" applyAlignment="0" applyProtection="0"/>
    <xf numFmtId="0" fontId="1" fillId="72" borderId="0" applyNumberFormat="0" applyBorder="0" applyAlignment="0" applyProtection="0"/>
    <xf numFmtId="0" fontId="1" fillId="73" borderId="0" applyNumberFormat="0" applyBorder="0" applyAlignment="0" applyProtection="0"/>
    <xf numFmtId="0" fontId="1" fillId="76" borderId="0" applyNumberFormat="0" applyBorder="0" applyAlignment="0" applyProtection="0"/>
    <xf numFmtId="0" fontId="1" fillId="77" borderId="0" applyNumberFormat="0" applyBorder="0" applyAlignment="0" applyProtection="0"/>
    <xf numFmtId="0" fontId="1" fillId="80" borderId="0" applyNumberFormat="0" applyBorder="0" applyAlignment="0" applyProtection="0"/>
    <xf numFmtId="0" fontId="1" fillId="81" borderId="0" applyNumberFormat="0" applyBorder="0" applyAlignment="0" applyProtection="0"/>
    <xf numFmtId="0" fontId="1" fillId="60" borderId="0" applyNumberFormat="0" applyBorder="0" applyAlignment="0" applyProtection="0"/>
    <xf numFmtId="0" fontId="1" fillId="61" borderId="0" applyNumberFormat="0" applyBorder="0" applyAlignment="0" applyProtection="0"/>
    <xf numFmtId="0" fontId="1" fillId="64" borderId="0" applyNumberFormat="0" applyBorder="0" applyAlignment="0" applyProtection="0"/>
    <xf numFmtId="0" fontId="1" fillId="65" borderId="0" applyNumberFormat="0" applyBorder="0" applyAlignment="0" applyProtection="0"/>
    <xf numFmtId="0" fontId="1" fillId="68" borderId="0" applyNumberFormat="0" applyBorder="0" applyAlignment="0" applyProtection="0"/>
    <xf numFmtId="0" fontId="1" fillId="69" borderId="0" applyNumberFormat="0" applyBorder="0" applyAlignment="0" applyProtection="0"/>
    <xf numFmtId="0" fontId="1" fillId="72" borderId="0" applyNumberFormat="0" applyBorder="0" applyAlignment="0" applyProtection="0"/>
    <xf numFmtId="0" fontId="1" fillId="73" borderId="0" applyNumberFormat="0" applyBorder="0" applyAlignment="0" applyProtection="0"/>
    <xf numFmtId="0" fontId="1" fillId="76" borderId="0" applyNumberFormat="0" applyBorder="0" applyAlignment="0" applyProtection="0"/>
    <xf numFmtId="0" fontId="1" fillId="77" borderId="0" applyNumberFormat="0" applyBorder="0" applyAlignment="0" applyProtection="0"/>
    <xf numFmtId="0" fontId="1" fillId="80" borderId="0" applyNumberFormat="0" applyBorder="0" applyAlignment="0" applyProtection="0"/>
    <xf numFmtId="0" fontId="1" fillId="81" borderId="0" applyNumberFormat="0" applyBorder="0" applyAlignment="0" applyProtection="0"/>
    <xf numFmtId="0" fontId="1" fillId="58" borderId="104" applyNumberFormat="0" applyFont="0" applyAlignment="0" applyProtection="0"/>
    <xf numFmtId="0" fontId="1" fillId="60" borderId="0" applyNumberFormat="0" applyBorder="0" applyAlignment="0" applyProtection="0"/>
    <xf numFmtId="0" fontId="1" fillId="61" borderId="0" applyNumberFormat="0" applyBorder="0" applyAlignment="0" applyProtection="0"/>
    <xf numFmtId="0" fontId="1" fillId="64" borderId="0" applyNumberFormat="0" applyBorder="0" applyAlignment="0" applyProtection="0"/>
    <xf numFmtId="0" fontId="1" fillId="65" borderId="0" applyNumberFormat="0" applyBorder="0" applyAlignment="0" applyProtection="0"/>
    <xf numFmtId="0" fontId="1" fillId="68" borderId="0" applyNumberFormat="0" applyBorder="0" applyAlignment="0" applyProtection="0"/>
    <xf numFmtId="0" fontId="1" fillId="69" borderId="0" applyNumberFormat="0" applyBorder="0" applyAlignment="0" applyProtection="0"/>
    <xf numFmtId="0" fontId="1" fillId="72" borderId="0" applyNumberFormat="0" applyBorder="0" applyAlignment="0" applyProtection="0"/>
    <xf numFmtId="0" fontId="1" fillId="73" borderId="0" applyNumberFormat="0" applyBorder="0" applyAlignment="0" applyProtection="0"/>
    <xf numFmtId="0" fontId="1" fillId="76" borderId="0" applyNumberFormat="0" applyBorder="0" applyAlignment="0" applyProtection="0"/>
    <xf numFmtId="0" fontId="1" fillId="77" borderId="0" applyNumberFormat="0" applyBorder="0" applyAlignment="0" applyProtection="0"/>
    <xf numFmtId="0" fontId="1" fillId="80" borderId="0" applyNumberFormat="0" applyBorder="0" applyAlignment="0" applyProtection="0"/>
    <xf numFmtId="0" fontId="1" fillId="81" borderId="0" applyNumberFormat="0" applyBorder="0" applyAlignment="0" applyProtection="0"/>
    <xf numFmtId="0" fontId="1" fillId="58" borderId="104" applyNumberFormat="0" applyFont="0" applyAlignment="0" applyProtection="0"/>
    <xf numFmtId="0" fontId="1" fillId="58" borderId="104" applyNumberFormat="0" applyFont="0" applyAlignment="0" applyProtection="0"/>
    <xf numFmtId="0" fontId="1" fillId="60" borderId="0" applyNumberFormat="0" applyBorder="0" applyAlignment="0" applyProtection="0"/>
    <xf numFmtId="0" fontId="1" fillId="61" borderId="0" applyNumberFormat="0" applyBorder="0" applyAlignment="0" applyProtection="0"/>
    <xf numFmtId="0" fontId="1" fillId="64" borderId="0" applyNumberFormat="0" applyBorder="0" applyAlignment="0" applyProtection="0"/>
    <xf numFmtId="0" fontId="1" fillId="65" borderId="0" applyNumberFormat="0" applyBorder="0" applyAlignment="0" applyProtection="0"/>
    <xf numFmtId="0" fontId="1" fillId="68" borderId="0" applyNumberFormat="0" applyBorder="0" applyAlignment="0" applyProtection="0"/>
    <xf numFmtId="0" fontId="1" fillId="69" borderId="0" applyNumberFormat="0" applyBorder="0" applyAlignment="0" applyProtection="0"/>
    <xf numFmtId="0" fontId="1" fillId="72" borderId="0" applyNumberFormat="0" applyBorder="0" applyAlignment="0" applyProtection="0"/>
    <xf numFmtId="0" fontId="1" fillId="73" borderId="0" applyNumberFormat="0" applyBorder="0" applyAlignment="0" applyProtection="0"/>
    <xf numFmtId="0" fontId="1" fillId="76" borderId="0" applyNumberFormat="0" applyBorder="0" applyAlignment="0" applyProtection="0"/>
    <xf numFmtId="0" fontId="1" fillId="77" borderId="0" applyNumberFormat="0" applyBorder="0" applyAlignment="0" applyProtection="0"/>
    <xf numFmtId="0" fontId="1" fillId="80" borderId="0" applyNumberFormat="0" applyBorder="0" applyAlignment="0" applyProtection="0"/>
    <xf numFmtId="0" fontId="1" fillId="81" borderId="0" applyNumberFormat="0" applyBorder="0" applyAlignment="0" applyProtection="0"/>
    <xf numFmtId="0" fontId="1" fillId="60" borderId="0" applyNumberFormat="0" applyBorder="0" applyAlignment="0" applyProtection="0"/>
    <xf numFmtId="0" fontId="1" fillId="61" borderId="0" applyNumberFormat="0" applyBorder="0" applyAlignment="0" applyProtection="0"/>
    <xf numFmtId="0" fontId="1" fillId="64" borderId="0" applyNumberFormat="0" applyBorder="0" applyAlignment="0" applyProtection="0"/>
    <xf numFmtId="0" fontId="1" fillId="65" borderId="0" applyNumberFormat="0" applyBorder="0" applyAlignment="0" applyProtection="0"/>
    <xf numFmtId="0" fontId="1" fillId="68" borderId="0" applyNumberFormat="0" applyBorder="0" applyAlignment="0" applyProtection="0"/>
    <xf numFmtId="0" fontId="1" fillId="69" borderId="0" applyNumberFormat="0" applyBorder="0" applyAlignment="0" applyProtection="0"/>
    <xf numFmtId="0" fontId="1" fillId="72" borderId="0" applyNumberFormat="0" applyBorder="0" applyAlignment="0" applyProtection="0"/>
    <xf numFmtId="0" fontId="1" fillId="73" borderId="0" applyNumberFormat="0" applyBorder="0" applyAlignment="0" applyProtection="0"/>
    <xf numFmtId="0" fontId="1" fillId="76" borderId="0" applyNumberFormat="0" applyBorder="0" applyAlignment="0" applyProtection="0"/>
    <xf numFmtId="0" fontId="1" fillId="77" borderId="0" applyNumberFormat="0" applyBorder="0" applyAlignment="0" applyProtection="0"/>
    <xf numFmtId="0" fontId="1" fillId="80" borderId="0" applyNumberFormat="0" applyBorder="0" applyAlignment="0" applyProtection="0"/>
    <xf numFmtId="0" fontId="1" fillId="81" borderId="0" applyNumberFormat="0" applyBorder="0" applyAlignment="0" applyProtection="0"/>
    <xf numFmtId="0" fontId="1" fillId="58" borderId="104" applyNumberFormat="0" applyFont="0" applyAlignment="0" applyProtection="0"/>
    <xf numFmtId="0" fontId="1" fillId="9" borderId="0" applyNumberFormat="0" applyBorder="0" applyAlignment="0" applyProtection="0"/>
    <xf numFmtId="0" fontId="1" fillId="60" borderId="0" applyNumberFormat="0" applyBorder="0" applyAlignment="0" applyProtection="0"/>
    <xf numFmtId="0" fontId="1" fillId="60" borderId="0" applyNumberFormat="0" applyBorder="0" applyAlignment="0" applyProtection="0"/>
    <xf numFmtId="0" fontId="1" fillId="60" borderId="0" applyNumberFormat="0" applyBorder="0" applyAlignment="0" applyProtection="0"/>
    <xf numFmtId="0" fontId="1" fillId="60" borderId="0" applyNumberFormat="0" applyBorder="0" applyAlignment="0" applyProtection="0"/>
    <xf numFmtId="0" fontId="1" fillId="60" borderId="0" applyNumberFormat="0" applyBorder="0" applyAlignment="0" applyProtection="0"/>
    <xf numFmtId="0" fontId="1" fillId="60" borderId="0" applyNumberFormat="0" applyBorder="0" applyAlignment="0" applyProtection="0"/>
    <xf numFmtId="0" fontId="1" fillId="60" borderId="0" applyNumberFormat="0" applyBorder="0" applyAlignment="0" applyProtection="0"/>
    <xf numFmtId="0" fontId="1" fillId="60" borderId="0" applyNumberFormat="0" applyBorder="0" applyAlignment="0" applyProtection="0"/>
    <xf numFmtId="0" fontId="1" fillId="60" borderId="0" applyNumberFormat="0" applyBorder="0" applyAlignment="0" applyProtection="0"/>
    <xf numFmtId="0" fontId="1" fillId="64" borderId="0" applyNumberFormat="0" applyBorder="0" applyAlignment="0" applyProtection="0"/>
    <xf numFmtId="0" fontId="1" fillId="64" borderId="0" applyNumberFormat="0" applyBorder="0" applyAlignment="0" applyProtection="0"/>
    <xf numFmtId="0" fontId="1" fillId="64" borderId="0" applyNumberFormat="0" applyBorder="0" applyAlignment="0" applyProtection="0"/>
    <xf numFmtId="0" fontId="1" fillId="64" borderId="0" applyNumberFormat="0" applyBorder="0" applyAlignment="0" applyProtection="0"/>
    <xf numFmtId="0" fontId="1" fillId="64" borderId="0" applyNumberFormat="0" applyBorder="0" applyAlignment="0" applyProtection="0"/>
    <xf numFmtId="0" fontId="1" fillId="64" borderId="0" applyNumberFormat="0" applyBorder="0" applyAlignment="0" applyProtection="0"/>
    <xf numFmtId="0" fontId="1" fillId="64" borderId="0" applyNumberFormat="0" applyBorder="0" applyAlignment="0" applyProtection="0"/>
    <xf numFmtId="0" fontId="1" fillId="64" borderId="0" applyNumberFormat="0" applyBorder="0" applyAlignment="0" applyProtection="0"/>
    <xf numFmtId="0" fontId="1" fillId="64" borderId="0" applyNumberFormat="0" applyBorder="0" applyAlignment="0" applyProtection="0"/>
    <xf numFmtId="0" fontId="1" fillId="68" borderId="0" applyNumberFormat="0" applyBorder="0" applyAlignment="0" applyProtection="0"/>
    <xf numFmtId="0" fontId="1" fillId="68" borderId="0" applyNumberFormat="0" applyBorder="0" applyAlignment="0" applyProtection="0"/>
    <xf numFmtId="0" fontId="1" fillId="68" borderId="0" applyNumberFormat="0" applyBorder="0" applyAlignment="0" applyProtection="0"/>
    <xf numFmtId="0" fontId="1" fillId="68" borderId="0" applyNumberFormat="0" applyBorder="0" applyAlignment="0" applyProtection="0"/>
    <xf numFmtId="0" fontId="1" fillId="68" borderId="0" applyNumberFormat="0" applyBorder="0" applyAlignment="0" applyProtection="0"/>
    <xf numFmtId="0" fontId="1" fillId="68" borderId="0" applyNumberFormat="0" applyBorder="0" applyAlignment="0" applyProtection="0"/>
    <xf numFmtId="0" fontId="1" fillId="68" borderId="0" applyNumberFormat="0" applyBorder="0" applyAlignment="0" applyProtection="0"/>
    <xf numFmtId="0" fontId="1" fillId="68" borderId="0" applyNumberFormat="0" applyBorder="0" applyAlignment="0" applyProtection="0"/>
    <xf numFmtId="0" fontId="1" fillId="68" borderId="0" applyNumberFormat="0" applyBorder="0" applyAlignment="0" applyProtection="0"/>
    <xf numFmtId="0" fontId="1" fillId="72" borderId="0" applyNumberFormat="0" applyBorder="0" applyAlignment="0" applyProtection="0"/>
    <xf numFmtId="0" fontId="1" fillId="72" borderId="0" applyNumberFormat="0" applyBorder="0" applyAlignment="0" applyProtection="0"/>
    <xf numFmtId="0" fontId="1" fillId="72" borderId="0" applyNumberFormat="0" applyBorder="0" applyAlignment="0" applyProtection="0"/>
    <xf numFmtId="0" fontId="1" fillId="72" borderId="0" applyNumberFormat="0" applyBorder="0" applyAlignment="0" applyProtection="0"/>
    <xf numFmtId="0" fontId="1" fillId="72" borderId="0" applyNumberFormat="0" applyBorder="0" applyAlignment="0" applyProtection="0"/>
    <xf numFmtId="0" fontId="1" fillId="72" borderId="0" applyNumberFormat="0" applyBorder="0" applyAlignment="0" applyProtection="0"/>
    <xf numFmtId="0" fontId="1" fillId="72" borderId="0" applyNumberFormat="0" applyBorder="0" applyAlignment="0" applyProtection="0"/>
    <xf numFmtId="0" fontId="1" fillId="72" borderId="0" applyNumberFormat="0" applyBorder="0" applyAlignment="0" applyProtection="0"/>
    <xf numFmtId="0" fontId="1" fillId="72" borderId="0" applyNumberFormat="0" applyBorder="0" applyAlignment="0" applyProtection="0"/>
    <xf numFmtId="0" fontId="1" fillId="76" borderId="0" applyNumberFormat="0" applyBorder="0" applyAlignment="0" applyProtection="0"/>
    <xf numFmtId="0" fontId="1" fillId="76" borderId="0" applyNumberFormat="0" applyBorder="0" applyAlignment="0" applyProtection="0"/>
    <xf numFmtId="0" fontId="1" fillId="76" borderId="0" applyNumberFormat="0" applyBorder="0" applyAlignment="0" applyProtection="0"/>
    <xf numFmtId="0" fontId="1" fillId="76" borderId="0" applyNumberFormat="0" applyBorder="0" applyAlignment="0" applyProtection="0"/>
    <xf numFmtId="0" fontId="1" fillId="76" borderId="0" applyNumberFormat="0" applyBorder="0" applyAlignment="0" applyProtection="0"/>
    <xf numFmtId="0" fontId="1" fillId="76" borderId="0" applyNumberFormat="0" applyBorder="0" applyAlignment="0" applyProtection="0"/>
    <xf numFmtId="0" fontId="1" fillId="76" borderId="0" applyNumberFormat="0" applyBorder="0" applyAlignment="0" applyProtection="0"/>
    <xf numFmtId="0" fontId="1" fillId="76" borderId="0" applyNumberFormat="0" applyBorder="0" applyAlignment="0" applyProtection="0"/>
    <xf numFmtId="0" fontId="1" fillId="76" borderId="0" applyNumberFormat="0" applyBorder="0" applyAlignment="0" applyProtection="0"/>
    <xf numFmtId="0" fontId="1" fillId="80" borderId="0" applyNumberFormat="0" applyBorder="0" applyAlignment="0" applyProtection="0"/>
    <xf numFmtId="0" fontId="1" fillId="80" borderId="0" applyNumberFormat="0" applyBorder="0" applyAlignment="0" applyProtection="0"/>
    <xf numFmtId="0" fontId="1" fillId="80" borderId="0" applyNumberFormat="0" applyBorder="0" applyAlignment="0" applyProtection="0"/>
    <xf numFmtId="0" fontId="1" fillId="80" borderId="0" applyNumberFormat="0" applyBorder="0" applyAlignment="0" applyProtection="0"/>
    <xf numFmtId="0" fontId="1" fillId="80" borderId="0" applyNumberFormat="0" applyBorder="0" applyAlignment="0" applyProtection="0"/>
    <xf numFmtId="0" fontId="1" fillId="80" borderId="0" applyNumberFormat="0" applyBorder="0" applyAlignment="0" applyProtection="0"/>
    <xf numFmtId="0" fontId="1" fillId="80" borderId="0" applyNumberFormat="0" applyBorder="0" applyAlignment="0" applyProtection="0"/>
    <xf numFmtId="0" fontId="1" fillId="80" borderId="0" applyNumberFormat="0" applyBorder="0" applyAlignment="0" applyProtection="0"/>
    <xf numFmtId="0" fontId="1" fillId="80" borderId="0" applyNumberFormat="0" applyBorder="0" applyAlignment="0" applyProtection="0"/>
    <xf numFmtId="0" fontId="1" fillId="61" borderId="0" applyNumberFormat="0" applyBorder="0" applyAlignment="0" applyProtection="0"/>
    <xf numFmtId="0" fontId="1" fillId="61" borderId="0" applyNumberFormat="0" applyBorder="0" applyAlignment="0" applyProtection="0"/>
    <xf numFmtId="0" fontId="1" fillId="61" borderId="0" applyNumberFormat="0" applyBorder="0" applyAlignment="0" applyProtection="0"/>
    <xf numFmtId="0" fontId="1" fillId="61" borderId="0" applyNumberFormat="0" applyBorder="0" applyAlignment="0" applyProtection="0"/>
    <xf numFmtId="0" fontId="1" fillId="61" borderId="0" applyNumberFormat="0" applyBorder="0" applyAlignment="0" applyProtection="0"/>
    <xf numFmtId="0" fontId="1" fillId="61" borderId="0" applyNumberFormat="0" applyBorder="0" applyAlignment="0" applyProtection="0"/>
    <xf numFmtId="0" fontId="1" fillId="61" borderId="0" applyNumberFormat="0" applyBorder="0" applyAlignment="0" applyProtection="0"/>
    <xf numFmtId="0" fontId="1" fillId="61" borderId="0" applyNumberFormat="0" applyBorder="0" applyAlignment="0" applyProtection="0"/>
    <xf numFmtId="0" fontId="1" fillId="61" borderId="0" applyNumberFormat="0" applyBorder="0" applyAlignment="0" applyProtection="0"/>
    <xf numFmtId="0" fontId="1" fillId="65" borderId="0" applyNumberFormat="0" applyBorder="0" applyAlignment="0" applyProtection="0"/>
    <xf numFmtId="0" fontId="1" fillId="65" borderId="0" applyNumberFormat="0" applyBorder="0" applyAlignment="0" applyProtection="0"/>
    <xf numFmtId="0" fontId="1" fillId="65" borderId="0" applyNumberFormat="0" applyBorder="0" applyAlignment="0" applyProtection="0"/>
    <xf numFmtId="0" fontId="1" fillId="65" borderId="0" applyNumberFormat="0" applyBorder="0" applyAlignment="0" applyProtection="0"/>
    <xf numFmtId="0" fontId="1" fillId="65" borderId="0" applyNumberFormat="0" applyBorder="0" applyAlignment="0" applyProtection="0"/>
    <xf numFmtId="0" fontId="1" fillId="65" borderId="0" applyNumberFormat="0" applyBorder="0" applyAlignment="0" applyProtection="0"/>
    <xf numFmtId="0" fontId="1" fillId="65" borderId="0" applyNumberFormat="0" applyBorder="0" applyAlignment="0" applyProtection="0"/>
    <xf numFmtId="0" fontId="1" fillId="65" borderId="0" applyNumberFormat="0" applyBorder="0" applyAlignment="0" applyProtection="0"/>
    <xf numFmtId="0" fontId="1" fillId="65" borderId="0" applyNumberFormat="0" applyBorder="0" applyAlignment="0" applyProtection="0"/>
    <xf numFmtId="0" fontId="1" fillId="69" borderId="0" applyNumberFormat="0" applyBorder="0" applyAlignment="0" applyProtection="0"/>
    <xf numFmtId="0" fontId="1" fillId="69" borderId="0" applyNumberFormat="0" applyBorder="0" applyAlignment="0" applyProtection="0"/>
    <xf numFmtId="0" fontId="1" fillId="69" borderId="0" applyNumberFormat="0" applyBorder="0" applyAlignment="0" applyProtection="0"/>
    <xf numFmtId="0" fontId="1" fillId="69" borderId="0" applyNumberFormat="0" applyBorder="0" applyAlignment="0" applyProtection="0"/>
    <xf numFmtId="0" fontId="1" fillId="69" borderId="0" applyNumberFormat="0" applyBorder="0" applyAlignment="0" applyProtection="0"/>
    <xf numFmtId="0" fontId="1" fillId="69" borderId="0" applyNumberFormat="0" applyBorder="0" applyAlignment="0" applyProtection="0"/>
    <xf numFmtId="0" fontId="1" fillId="69" borderId="0" applyNumberFormat="0" applyBorder="0" applyAlignment="0" applyProtection="0"/>
    <xf numFmtId="0" fontId="1" fillId="69" borderId="0" applyNumberFormat="0" applyBorder="0" applyAlignment="0" applyProtection="0"/>
    <xf numFmtId="0" fontId="1" fillId="69" borderId="0" applyNumberFormat="0" applyBorder="0" applyAlignment="0" applyProtection="0"/>
    <xf numFmtId="0" fontId="1" fillId="73" borderId="0" applyNumberFormat="0" applyBorder="0" applyAlignment="0" applyProtection="0"/>
    <xf numFmtId="0" fontId="1" fillId="73" borderId="0" applyNumberFormat="0" applyBorder="0" applyAlignment="0" applyProtection="0"/>
    <xf numFmtId="0" fontId="1" fillId="73" borderId="0" applyNumberFormat="0" applyBorder="0" applyAlignment="0" applyProtection="0"/>
    <xf numFmtId="0" fontId="1" fillId="73" borderId="0" applyNumberFormat="0" applyBorder="0" applyAlignment="0" applyProtection="0"/>
    <xf numFmtId="0" fontId="1" fillId="73" borderId="0" applyNumberFormat="0" applyBorder="0" applyAlignment="0" applyProtection="0"/>
    <xf numFmtId="0" fontId="1" fillId="73" borderId="0" applyNumberFormat="0" applyBorder="0" applyAlignment="0" applyProtection="0"/>
    <xf numFmtId="0" fontId="1" fillId="73" borderId="0" applyNumberFormat="0" applyBorder="0" applyAlignment="0" applyProtection="0"/>
    <xf numFmtId="0" fontId="1" fillId="73" borderId="0" applyNumberFormat="0" applyBorder="0" applyAlignment="0" applyProtection="0"/>
    <xf numFmtId="0" fontId="1" fillId="73" borderId="0" applyNumberFormat="0" applyBorder="0" applyAlignment="0" applyProtection="0"/>
    <xf numFmtId="0" fontId="1" fillId="77" borderId="0" applyNumberFormat="0" applyBorder="0" applyAlignment="0" applyProtection="0"/>
    <xf numFmtId="0" fontId="1" fillId="77" borderId="0" applyNumberFormat="0" applyBorder="0" applyAlignment="0" applyProtection="0"/>
    <xf numFmtId="0" fontId="1" fillId="77" borderId="0" applyNumberFormat="0" applyBorder="0" applyAlignment="0" applyProtection="0"/>
    <xf numFmtId="0" fontId="1" fillId="77" borderId="0" applyNumberFormat="0" applyBorder="0" applyAlignment="0" applyProtection="0"/>
    <xf numFmtId="0" fontId="1" fillId="77" borderId="0" applyNumberFormat="0" applyBorder="0" applyAlignment="0" applyProtection="0"/>
    <xf numFmtId="0" fontId="1" fillId="77" borderId="0" applyNumberFormat="0" applyBorder="0" applyAlignment="0" applyProtection="0"/>
    <xf numFmtId="0" fontId="1" fillId="77" borderId="0" applyNumberFormat="0" applyBorder="0" applyAlignment="0" applyProtection="0"/>
    <xf numFmtId="0" fontId="1" fillId="77" borderId="0" applyNumberFormat="0" applyBorder="0" applyAlignment="0" applyProtection="0"/>
    <xf numFmtId="0" fontId="1" fillId="77" borderId="0" applyNumberFormat="0" applyBorder="0" applyAlignment="0" applyProtection="0"/>
    <xf numFmtId="0" fontId="1" fillId="81" borderId="0" applyNumberFormat="0" applyBorder="0" applyAlignment="0" applyProtection="0"/>
    <xf numFmtId="0" fontId="1" fillId="81" borderId="0" applyNumberFormat="0" applyBorder="0" applyAlignment="0" applyProtection="0"/>
    <xf numFmtId="0" fontId="1" fillId="81" borderId="0" applyNumberFormat="0" applyBorder="0" applyAlignment="0" applyProtection="0"/>
    <xf numFmtId="0" fontId="1" fillId="81" borderId="0" applyNumberFormat="0" applyBorder="0" applyAlignment="0" applyProtection="0"/>
    <xf numFmtId="0" fontId="1" fillId="81" borderId="0" applyNumberFormat="0" applyBorder="0" applyAlignment="0" applyProtection="0"/>
    <xf numFmtId="0" fontId="1" fillId="81" borderId="0" applyNumberFormat="0" applyBorder="0" applyAlignment="0" applyProtection="0"/>
    <xf numFmtId="0" fontId="1" fillId="81" borderId="0" applyNumberFormat="0" applyBorder="0" applyAlignment="0" applyProtection="0"/>
    <xf numFmtId="0" fontId="1" fillId="81" borderId="0" applyNumberFormat="0" applyBorder="0" applyAlignment="0" applyProtection="0"/>
    <xf numFmtId="0" fontId="1" fillId="81" borderId="0" applyNumberFormat="0" applyBorder="0" applyAlignment="0" applyProtection="0"/>
    <xf numFmtId="0" fontId="1" fillId="58" borderId="104" applyNumberFormat="0" applyFont="0" applyAlignment="0" applyProtection="0"/>
    <xf numFmtId="0" fontId="1" fillId="58" borderId="104" applyNumberFormat="0" applyFont="0" applyAlignment="0" applyProtection="0"/>
    <xf numFmtId="0" fontId="1" fillId="58" borderId="104" applyNumberFormat="0" applyFont="0" applyAlignment="0" applyProtection="0"/>
    <xf numFmtId="0" fontId="1" fillId="58" borderId="104" applyNumberFormat="0" applyFont="0" applyAlignment="0" applyProtection="0"/>
    <xf numFmtId="0" fontId="1" fillId="58" borderId="104" applyNumberFormat="0" applyFont="0" applyAlignment="0" applyProtection="0"/>
    <xf numFmtId="0" fontId="1" fillId="58" borderId="104" applyNumberFormat="0" applyFont="0" applyAlignment="0" applyProtection="0"/>
    <xf numFmtId="0" fontId="1" fillId="58" borderId="104" applyNumberFormat="0" applyFont="0" applyAlignment="0" applyProtection="0"/>
    <xf numFmtId="0" fontId="1" fillId="58" borderId="104" applyNumberFormat="0" applyFont="0" applyAlignment="0" applyProtection="0"/>
    <xf numFmtId="0" fontId="1" fillId="58" borderId="104" applyNumberFormat="0" applyFont="0" applyAlignment="0" applyProtection="0"/>
    <xf numFmtId="0" fontId="1" fillId="0" borderId="0"/>
    <xf numFmtId="0" fontId="1" fillId="0" borderId="0"/>
    <xf numFmtId="9" fontId="1" fillId="0" borderId="0" applyFont="0" applyFill="0" applyBorder="0" applyAlignment="0" applyProtection="0"/>
    <xf numFmtId="0" fontId="1" fillId="60" borderId="0" applyNumberFormat="0" applyBorder="0" applyAlignment="0" applyProtection="0"/>
    <xf numFmtId="0" fontId="1" fillId="61" borderId="0" applyNumberFormat="0" applyBorder="0" applyAlignment="0" applyProtection="0"/>
    <xf numFmtId="0" fontId="1" fillId="64" borderId="0" applyNumberFormat="0" applyBorder="0" applyAlignment="0" applyProtection="0"/>
    <xf numFmtId="0" fontId="1" fillId="65" borderId="0" applyNumberFormat="0" applyBorder="0" applyAlignment="0" applyProtection="0"/>
    <xf numFmtId="0" fontId="1" fillId="68" borderId="0" applyNumberFormat="0" applyBorder="0" applyAlignment="0" applyProtection="0"/>
    <xf numFmtId="0" fontId="1" fillId="69" borderId="0" applyNumberFormat="0" applyBorder="0" applyAlignment="0" applyProtection="0"/>
    <xf numFmtId="0" fontId="1" fillId="72" borderId="0" applyNumberFormat="0" applyBorder="0" applyAlignment="0" applyProtection="0"/>
    <xf numFmtId="0" fontId="1" fillId="73" borderId="0" applyNumberFormat="0" applyBorder="0" applyAlignment="0" applyProtection="0"/>
    <xf numFmtId="0" fontId="1" fillId="76" borderId="0" applyNumberFormat="0" applyBorder="0" applyAlignment="0" applyProtection="0"/>
    <xf numFmtId="0" fontId="1" fillId="77" borderId="0" applyNumberFormat="0" applyBorder="0" applyAlignment="0" applyProtection="0"/>
    <xf numFmtId="0" fontId="1" fillId="80" borderId="0" applyNumberFormat="0" applyBorder="0" applyAlignment="0" applyProtection="0"/>
    <xf numFmtId="0" fontId="1" fillId="81" borderId="0" applyNumberFormat="0" applyBorder="0" applyAlignment="0" applyProtection="0"/>
    <xf numFmtId="0" fontId="1" fillId="58" borderId="104" applyNumberFormat="0" applyFont="0" applyAlignment="0" applyProtection="0"/>
    <xf numFmtId="0" fontId="1" fillId="58" borderId="104" applyNumberFormat="0" applyFont="0" applyAlignment="0" applyProtection="0"/>
    <xf numFmtId="0" fontId="1" fillId="60" borderId="0" applyNumberFormat="0" applyBorder="0" applyAlignment="0" applyProtection="0"/>
    <xf numFmtId="0" fontId="1" fillId="61" borderId="0" applyNumberFormat="0" applyBorder="0" applyAlignment="0" applyProtection="0"/>
    <xf numFmtId="0" fontId="1" fillId="64" borderId="0" applyNumberFormat="0" applyBorder="0" applyAlignment="0" applyProtection="0"/>
    <xf numFmtId="0" fontId="1" fillId="65" borderId="0" applyNumberFormat="0" applyBorder="0" applyAlignment="0" applyProtection="0"/>
    <xf numFmtId="0" fontId="1" fillId="68" borderId="0" applyNumberFormat="0" applyBorder="0" applyAlignment="0" applyProtection="0"/>
    <xf numFmtId="0" fontId="1" fillId="69" borderId="0" applyNumberFormat="0" applyBorder="0" applyAlignment="0" applyProtection="0"/>
    <xf numFmtId="0" fontId="1" fillId="72" borderId="0" applyNumberFormat="0" applyBorder="0" applyAlignment="0" applyProtection="0"/>
    <xf numFmtId="0" fontId="1" fillId="73" borderId="0" applyNumberFormat="0" applyBorder="0" applyAlignment="0" applyProtection="0"/>
    <xf numFmtId="0" fontId="1" fillId="76" borderId="0" applyNumberFormat="0" applyBorder="0" applyAlignment="0" applyProtection="0"/>
    <xf numFmtId="0" fontId="1" fillId="77" borderId="0" applyNumberFormat="0" applyBorder="0" applyAlignment="0" applyProtection="0"/>
    <xf numFmtId="0" fontId="1" fillId="80" borderId="0" applyNumberFormat="0" applyBorder="0" applyAlignment="0" applyProtection="0"/>
    <xf numFmtId="0" fontId="1" fillId="81" borderId="0" applyNumberFormat="0" applyBorder="0" applyAlignment="0" applyProtection="0"/>
    <xf numFmtId="0" fontId="1" fillId="60" borderId="0" applyNumberFormat="0" applyBorder="0" applyAlignment="0" applyProtection="0"/>
    <xf numFmtId="0" fontId="1" fillId="61" borderId="0" applyNumberFormat="0" applyBorder="0" applyAlignment="0" applyProtection="0"/>
    <xf numFmtId="0" fontId="1" fillId="64" borderId="0" applyNumberFormat="0" applyBorder="0" applyAlignment="0" applyProtection="0"/>
    <xf numFmtId="0" fontId="1" fillId="65" borderId="0" applyNumberFormat="0" applyBorder="0" applyAlignment="0" applyProtection="0"/>
    <xf numFmtId="0" fontId="1" fillId="68" borderId="0" applyNumberFormat="0" applyBorder="0" applyAlignment="0" applyProtection="0"/>
    <xf numFmtId="0" fontId="1" fillId="69" borderId="0" applyNumberFormat="0" applyBorder="0" applyAlignment="0" applyProtection="0"/>
    <xf numFmtId="0" fontId="1" fillId="72" borderId="0" applyNumberFormat="0" applyBorder="0" applyAlignment="0" applyProtection="0"/>
    <xf numFmtId="0" fontId="1" fillId="73" borderId="0" applyNumberFormat="0" applyBorder="0" applyAlignment="0" applyProtection="0"/>
    <xf numFmtId="0" fontId="1" fillId="76" borderId="0" applyNumberFormat="0" applyBorder="0" applyAlignment="0" applyProtection="0"/>
    <xf numFmtId="0" fontId="1" fillId="77" borderId="0" applyNumberFormat="0" applyBorder="0" applyAlignment="0" applyProtection="0"/>
    <xf numFmtId="0" fontId="1" fillId="80" borderId="0" applyNumberFormat="0" applyBorder="0" applyAlignment="0" applyProtection="0"/>
    <xf numFmtId="0" fontId="1" fillId="81" borderId="0" applyNumberFormat="0" applyBorder="0" applyAlignment="0" applyProtection="0"/>
    <xf numFmtId="0" fontId="1" fillId="58" borderId="104" applyNumberFormat="0" applyFont="0" applyAlignment="0" applyProtection="0"/>
    <xf numFmtId="0" fontId="1" fillId="60" borderId="0" applyNumberFormat="0" applyBorder="0" applyAlignment="0" applyProtection="0"/>
    <xf numFmtId="0" fontId="1" fillId="61" borderId="0" applyNumberFormat="0" applyBorder="0" applyAlignment="0" applyProtection="0"/>
    <xf numFmtId="0" fontId="1" fillId="64" borderId="0" applyNumberFormat="0" applyBorder="0" applyAlignment="0" applyProtection="0"/>
    <xf numFmtId="0" fontId="1" fillId="65" borderId="0" applyNumberFormat="0" applyBorder="0" applyAlignment="0" applyProtection="0"/>
    <xf numFmtId="0" fontId="1" fillId="68" borderId="0" applyNumberFormat="0" applyBorder="0" applyAlignment="0" applyProtection="0"/>
    <xf numFmtId="0" fontId="1" fillId="69" borderId="0" applyNumberFormat="0" applyBorder="0" applyAlignment="0" applyProtection="0"/>
    <xf numFmtId="0" fontId="1" fillId="72" borderId="0" applyNumberFormat="0" applyBorder="0" applyAlignment="0" applyProtection="0"/>
    <xf numFmtId="0" fontId="1" fillId="73" borderId="0" applyNumberFormat="0" applyBorder="0" applyAlignment="0" applyProtection="0"/>
    <xf numFmtId="0" fontId="1" fillId="76" borderId="0" applyNumberFormat="0" applyBorder="0" applyAlignment="0" applyProtection="0"/>
    <xf numFmtId="0" fontId="1" fillId="77" borderId="0" applyNumberFormat="0" applyBorder="0" applyAlignment="0" applyProtection="0"/>
    <xf numFmtId="0" fontId="1" fillId="80" borderId="0" applyNumberFormat="0" applyBorder="0" applyAlignment="0" applyProtection="0"/>
    <xf numFmtId="0" fontId="1" fillId="81" borderId="0" applyNumberFormat="0" applyBorder="0" applyAlignment="0" applyProtection="0"/>
    <xf numFmtId="0" fontId="1" fillId="58" borderId="104" applyNumberFormat="0" applyFont="0" applyAlignment="0" applyProtection="0"/>
    <xf numFmtId="0" fontId="1" fillId="58" borderId="104" applyNumberFormat="0" applyFont="0" applyAlignment="0" applyProtection="0"/>
    <xf numFmtId="0" fontId="1" fillId="60" borderId="0" applyNumberFormat="0" applyBorder="0" applyAlignment="0" applyProtection="0"/>
    <xf numFmtId="0" fontId="1" fillId="61" borderId="0" applyNumberFormat="0" applyBorder="0" applyAlignment="0" applyProtection="0"/>
    <xf numFmtId="0" fontId="1" fillId="64" borderId="0" applyNumberFormat="0" applyBorder="0" applyAlignment="0" applyProtection="0"/>
    <xf numFmtId="0" fontId="1" fillId="65" borderId="0" applyNumberFormat="0" applyBorder="0" applyAlignment="0" applyProtection="0"/>
    <xf numFmtId="0" fontId="1" fillId="68" borderId="0" applyNumberFormat="0" applyBorder="0" applyAlignment="0" applyProtection="0"/>
    <xf numFmtId="0" fontId="1" fillId="69" borderId="0" applyNumberFormat="0" applyBorder="0" applyAlignment="0" applyProtection="0"/>
    <xf numFmtId="0" fontId="1" fillId="72" borderId="0" applyNumberFormat="0" applyBorder="0" applyAlignment="0" applyProtection="0"/>
    <xf numFmtId="0" fontId="1" fillId="73" borderId="0" applyNumberFormat="0" applyBorder="0" applyAlignment="0" applyProtection="0"/>
    <xf numFmtId="0" fontId="1" fillId="76" borderId="0" applyNumberFormat="0" applyBorder="0" applyAlignment="0" applyProtection="0"/>
    <xf numFmtId="0" fontId="1" fillId="77" borderId="0" applyNumberFormat="0" applyBorder="0" applyAlignment="0" applyProtection="0"/>
    <xf numFmtId="0" fontId="1" fillId="80" borderId="0" applyNumberFormat="0" applyBorder="0" applyAlignment="0" applyProtection="0"/>
    <xf numFmtId="0" fontId="1" fillId="81" borderId="0" applyNumberFormat="0" applyBorder="0" applyAlignment="0" applyProtection="0"/>
    <xf numFmtId="0" fontId="1" fillId="60" borderId="0" applyNumberFormat="0" applyBorder="0" applyAlignment="0" applyProtection="0"/>
    <xf numFmtId="0" fontId="1" fillId="61" borderId="0" applyNumberFormat="0" applyBorder="0" applyAlignment="0" applyProtection="0"/>
    <xf numFmtId="0" fontId="1" fillId="64" borderId="0" applyNumberFormat="0" applyBorder="0" applyAlignment="0" applyProtection="0"/>
    <xf numFmtId="0" fontId="1" fillId="65" borderId="0" applyNumberFormat="0" applyBorder="0" applyAlignment="0" applyProtection="0"/>
    <xf numFmtId="0" fontId="1" fillId="68" borderId="0" applyNumberFormat="0" applyBorder="0" applyAlignment="0" applyProtection="0"/>
    <xf numFmtId="0" fontId="1" fillId="69" borderId="0" applyNumberFormat="0" applyBorder="0" applyAlignment="0" applyProtection="0"/>
    <xf numFmtId="0" fontId="1" fillId="72" borderId="0" applyNumberFormat="0" applyBorder="0" applyAlignment="0" applyProtection="0"/>
    <xf numFmtId="0" fontId="1" fillId="73" borderId="0" applyNumberFormat="0" applyBorder="0" applyAlignment="0" applyProtection="0"/>
    <xf numFmtId="0" fontId="1" fillId="76" borderId="0" applyNumberFormat="0" applyBorder="0" applyAlignment="0" applyProtection="0"/>
    <xf numFmtId="0" fontId="1" fillId="77" borderId="0" applyNumberFormat="0" applyBorder="0" applyAlignment="0" applyProtection="0"/>
    <xf numFmtId="0" fontId="1" fillId="80" borderId="0" applyNumberFormat="0" applyBorder="0" applyAlignment="0" applyProtection="0"/>
    <xf numFmtId="0" fontId="1" fillId="81" borderId="0" applyNumberFormat="0" applyBorder="0" applyAlignment="0" applyProtection="0"/>
    <xf numFmtId="0" fontId="1" fillId="58" borderId="104" applyNumberFormat="0" applyFont="0" applyAlignment="0" applyProtection="0"/>
    <xf numFmtId="0" fontId="1" fillId="60" borderId="0" applyNumberFormat="0" applyBorder="0" applyAlignment="0" applyProtection="0"/>
    <xf numFmtId="0" fontId="1" fillId="61" borderId="0" applyNumberFormat="0" applyBorder="0" applyAlignment="0" applyProtection="0"/>
    <xf numFmtId="0" fontId="1" fillId="64" borderId="0" applyNumberFormat="0" applyBorder="0" applyAlignment="0" applyProtection="0"/>
    <xf numFmtId="0" fontId="1" fillId="65" borderId="0" applyNumberFormat="0" applyBorder="0" applyAlignment="0" applyProtection="0"/>
    <xf numFmtId="0" fontId="1" fillId="68" borderId="0" applyNumberFormat="0" applyBorder="0" applyAlignment="0" applyProtection="0"/>
    <xf numFmtId="0" fontId="1" fillId="69" borderId="0" applyNumberFormat="0" applyBorder="0" applyAlignment="0" applyProtection="0"/>
    <xf numFmtId="0" fontId="1" fillId="72" borderId="0" applyNumberFormat="0" applyBorder="0" applyAlignment="0" applyProtection="0"/>
    <xf numFmtId="0" fontId="1" fillId="73" borderId="0" applyNumberFormat="0" applyBorder="0" applyAlignment="0" applyProtection="0"/>
    <xf numFmtId="0" fontId="1" fillId="76" borderId="0" applyNumberFormat="0" applyBorder="0" applyAlignment="0" applyProtection="0"/>
    <xf numFmtId="0" fontId="1" fillId="77" borderId="0" applyNumberFormat="0" applyBorder="0" applyAlignment="0" applyProtection="0"/>
    <xf numFmtId="0" fontId="1" fillId="80" borderId="0" applyNumberFormat="0" applyBorder="0" applyAlignment="0" applyProtection="0"/>
    <xf numFmtId="0" fontId="1" fillId="81" borderId="0" applyNumberFormat="0" applyBorder="0" applyAlignment="0" applyProtection="0"/>
    <xf numFmtId="0" fontId="1" fillId="58" borderId="104" applyNumberFormat="0" applyFont="0" applyAlignment="0" applyProtection="0"/>
    <xf numFmtId="0" fontId="1" fillId="58" borderId="104" applyNumberFormat="0" applyFont="0" applyAlignment="0" applyProtection="0"/>
    <xf numFmtId="0" fontId="1" fillId="60" borderId="0" applyNumberFormat="0" applyBorder="0" applyAlignment="0" applyProtection="0"/>
    <xf numFmtId="0" fontId="1" fillId="61" borderId="0" applyNumberFormat="0" applyBorder="0" applyAlignment="0" applyProtection="0"/>
    <xf numFmtId="0" fontId="1" fillId="64" borderId="0" applyNumberFormat="0" applyBorder="0" applyAlignment="0" applyProtection="0"/>
    <xf numFmtId="0" fontId="1" fillId="65" borderId="0" applyNumberFormat="0" applyBorder="0" applyAlignment="0" applyProtection="0"/>
    <xf numFmtId="0" fontId="1" fillId="68" borderId="0" applyNumberFormat="0" applyBorder="0" applyAlignment="0" applyProtection="0"/>
    <xf numFmtId="0" fontId="1" fillId="69" borderId="0" applyNumberFormat="0" applyBorder="0" applyAlignment="0" applyProtection="0"/>
    <xf numFmtId="0" fontId="1" fillId="72" borderId="0" applyNumberFormat="0" applyBorder="0" applyAlignment="0" applyProtection="0"/>
    <xf numFmtId="0" fontId="1" fillId="73" borderId="0" applyNumberFormat="0" applyBorder="0" applyAlignment="0" applyProtection="0"/>
    <xf numFmtId="0" fontId="1" fillId="76" borderId="0" applyNumberFormat="0" applyBorder="0" applyAlignment="0" applyProtection="0"/>
    <xf numFmtId="0" fontId="1" fillId="77" borderId="0" applyNumberFormat="0" applyBorder="0" applyAlignment="0" applyProtection="0"/>
    <xf numFmtId="0" fontId="1" fillId="80" borderId="0" applyNumberFormat="0" applyBorder="0" applyAlignment="0" applyProtection="0"/>
    <xf numFmtId="0" fontId="1" fillId="81" borderId="0" applyNumberFormat="0" applyBorder="0" applyAlignment="0" applyProtection="0"/>
    <xf numFmtId="0" fontId="1" fillId="60" borderId="0" applyNumberFormat="0" applyBorder="0" applyAlignment="0" applyProtection="0"/>
    <xf numFmtId="0" fontId="1" fillId="61" borderId="0" applyNumberFormat="0" applyBorder="0" applyAlignment="0" applyProtection="0"/>
    <xf numFmtId="0" fontId="1" fillId="64" borderId="0" applyNumberFormat="0" applyBorder="0" applyAlignment="0" applyProtection="0"/>
    <xf numFmtId="0" fontId="1" fillId="65" borderId="0" applyNumberFormat="0" applyBorder="0" applyAlignment="0" applyProtection="0"/>
    <xf numFmtId="0" fontId="1" fillId="68" borderId="0" applyNumberFormat="0" applyBorder="0" applyAlignment="0" applyProtection="0"/>
    <xf numFmtId="0" fontId="1" fillId="69" borderId="0" applyNumberFormat="0" applyBorder="0" applyAlignment="0" applyProtection="0"/>
    <xf numFmtId="0" fontId="1" fillId="72" borderId="0" applyNumberFormat="0" applyBorder="0" applyAlignment="0" applyProtection="0"/>
    <xf numFmtId="0" fontId="1" fillId="73" borderId="0" applyNumberFormat="0" applyBorder="0" applyAlignment="0" applyProtection="0"/>
    <xf numFmtId="0" fontId="1" fillId="76" borderId="0" applyNumberFormat="0" applyBorder="0" applyAlignment="0" applyProtection="0"/>
    <xf numFmtId="0" fontId="1" fillId="77" borderId="0" applyNumberFormat="0" applyBorder="0" applyAlignment="0" applyProtection="0"/>
    <xf numFmtId="0" fontId="1" fillId="80" borderId="0" applyNumberFormat="0" applyBorder="0" applyAlignment="0" applyProtection="0"/>
    <xf numFmtId="0" fontId="1" fillId="81" borderId="0" applyNumberFormat="0" applyBorder="0" applyAlignment="0" applyProtection="0"/>
    <xf numFmtId="0" fontId="1" fillId="58" borderId="104" applyNumberFormat="0" applyFont="0" applyAlignment="0" applyProtection="0"/>
    <xf numFmtId="0" fontId="1" fillId="60" borderId="0" applyNumberFormat="0" applyBorder="0" applyAlignment="0" applyProtection="0"/>
    <xf numFmtId="0" fontId="1" fillId="61" borderId="0" applyNumberFormat="0" applyBorder="0" applyAlignment="0" applyProtection="0"/>
    <xf numFmtId="0" fontId="1" fillId="64" borderId="0" applyNumberFormat="0" applyBorder="0" applyAlignment="0" applyProtection="0"/>
    <xf numFmtId="0" fontId="1" fillId="65" borderId="0" applyNumberFormat="0" applyBorder="0" applyAlignment="0" applyProtection="0"/>
    <xf numFmtId="0" fontId="1" fillId="68" borderId="0" applyNumberFormat="0" applyBorder="0" applyAlignment="0" applyProtection="0"/>
    <xf numFmtId="0" fontId="1" fillId="69" borderId="0" applyNumberFormat="0" applyBorder="0" applyAlignment="0" applyProtection="0"/>
    <xf numFmtId="0" fontId="1" fillId="72" borderId="0" applyNumberFormat="0" applyBorder="0" applyAlignment="0" applyProtection="0"/>
    <xf numFmtId="0" fontId="1" fillId="73" borderId="0" applyNumberFormat="0" applyBorder="0" applyAlignment="0" applyProtection="0"/>
    <xf numFmtId="0" fontId="1" fillId="76" borderId="0" applyNumberFormat="0" applyBorder="0" applyAlignment="0" applyProtection="0"/>
    <xf numFmtId="0" fontId="1" fillId="77" borderId="0" applyNumberFormat="0" applyBorder="0" applyAlignment="0" applyProtection="0"/>
    <xf numFmtId="0" fontId="1" fillId="80" borderId="0" applyNumberFormat="0" applyBorder="0" applyAlignment="0" applyProtection="0"/>
    <xf numFmtId="0" fontId="1" fillId="81" borderId="0" applyNumberFormat="0" applyBorder="0" applyAlignment="0" applyProtection="0"/>
    <xf numFmtId="0" fontId="1" fillId="58" borderId="104" applyNumberFormat="0" applyFont="0" applyAlignment="0" applyProtection="0"/>
    <xf numFmtId="0" fontId="1" fillId="58" borderId="104" applyNumberFormat="0" applyFont="0" applyAlignment="0" applyProtection="0"/>
    <xf numFmtId="0" fontId="1" fillId="60" borderId="0" applyNumberFormat="0" applyBorder="0" applyAlignment="0" applyProtection="0"/>
    <xf numFmtId="0" fontId="1" fillId="61" borderId="0" applyNumberFormat="0" applyBorder="0" applyAlignment="0" applyProtection="0"/>
    <xf numFmtId="0" fontId="1" fillId="64" borderId="0" applyNumberFormat="0" applyBorder="0" applyAlignment="0" applyProtection="0"/>
    <xf numFmtId="0" fontId="1" fillId="65" borderId="0" applyNumberFormat="0" applyBorder="0" applyAlignment="0" applyProtection="0"/>
    <xf numFmtId="0" fontId="1" fillId="68" borderId="0" applyNumberFormat="0" applyBorder="0" applyAlignment="0" applyProtection="0"/>
    <xf numFmtId="0" fontId="1" fillId="69" borderId="0" applyNumberFormat="0" applyBorder="0" applyAlignment="0" applyProtection="0"/>
    <xf numFmtId="0" fontId="1" fillId="72" borderId="0" applyNumberFormat="0" applyBorder="0" applyAlignment="0" applyProtection="0"/>
    <xf numFmtId="0" fontId="1" fillId="73" borderId="0" applyNumberFormat="0" applyBorder="0" applyAlignment="0" applyProtection="0"/>
    <xf numFmtId="0" fontId="1" fillId="76" borderId="0" applyNumberFormat="0" applyBorder="0" applyAlignment="0" applyProtection="0"/>
    <xf numFmtId="0" fontId="1" fillId="77" borderId="0" applyNumberFormat="0" applyBorder="0" applyAlignment="0" applyProtection="0"/>
    <xf numFmtId="0" fontId="1" fillId="80" borderId="0" applyNumberFormat="0" applyBorder="0" applyAlignment="0" applyProtection="0"/>
    <xf numFmtId="0" fontId="1" fillId="81" borderId="0" applyNumberFormat="0" applyBorder="0" applyAlignment="0" applyProtection="0"/>
    <xf numFmtId="0" fontId="1" fillId="60" borderId="0" applyNumberFormat="0" applyBorder="0" applyAlignment="0" applyProtection="0"/>
    <xf numFmtId="0" fontId="1" fillId="61" borderId="0" applyNumberFormat="0" applyBorder="0" applyAlignment="0" applyProtection="0"/>
    <xf numFmtId="0" fontId="1" fillId="64" borderId="0" applyNumberFormat="0" applyBorder="0" applyAlignment="0" applyProtection="0"/>
    <xf numFmtId="0" fontId="1" fillId="65" borderId="0" applyNumberFormat="0" applyBorder="0" applyAlignment="0" applyProtection="0"/>
    <xf numFmtId="0" fontId="1" fillId="68" borderId="0" applyNumberFormat="0" applyBorder="0" applyAlignment="0" applyProtection="0"/>
    <xf numFmtId="0" fontId="1" fillId="69" borderId="0" applyNumberFormat="0" applyBorder="0" applyAlignment="0" applyProtection="0"/>
    <xf numFmtId="0" fontId="1" fillId="72" borderId="0" applyNumberFormat="0" applyBorder="0" applyAlignment="0" applyProtection="0"/>
    <xf numFmtId="0" fontId="1" fillId="73" borderId="0" applyNumberFormat="0" applyBorder="0" applyAlignment="0" applyProtection="0"/>
    <xf numFmtId="0" fontId="1" fillId="76" borderId="0" applyNumberFormat="0" applyBorder="0" applyAlignment="0" applyProtection="0"/>
    <xf numFmtId="0" fontId="1" fillId="77" borderId="0" applyNumberFormat="0" applyBorder="0" applyAlignment="0" applyProtection="0"/>
    <xf numFmtId="0" fontId="1" fillId="80" borderId="0" applyNumberFormat="0" applyBorder="0" applyAlignment="0" applyProtection="0"/>
    <xf numFmtId="0" fontId="1" fillId="81" borderId="0" applyNumberFormat="0" applyBorder="0" applyAlignment="0" applyProtection="0"/>
    <xf numFmtId="0" fontId="1" fillId="58" borderId="104" applyNumberFormat="0" applyFont="0" applyAlignment="0" applyProtection="0"/>
    <xf numFmtId="0" fontId="1" fillId="60" borderId="0" applyNumberFormat="0" applyBorder="0" applyAlignment="0" applyProtection="0"/>
    <xf numFmtId="0" fontId="1" fillId="61" borderId="0" applyNumberFormat="0" applyBorder="0" applyAlignment="0" applyProtection="0"/>
    <xf numFmtId="0" fontId="1" fillId="64" borderId="0" applyNumberFormat="0" applyBorder="0" applyAlignment="0" applyProtection="0"/>
    <xf numFmtId="0" fontId="1" fillId="65" borderId="0" applyNumberFormat="0" applyBorder="0" applyAlignment="0" applyProtection="0"/>
    <xf numFmtId="0" fontId="1" fillId="68" borderId="0" applyNumberFormat="0" applyBorder="0" applyAlignment="0" applyProtection="0"/>
    <xf numFmtId="0" fontId="1" fillId="69" borderId="0" applyNumberFormat="0" applyBorder="0" applyAlignment="0" applyProtection="0"/>
    <xf numFmtId="0" fontId="1" fillId="72" borderId="0" applyNumberFormat="0" applyBorder="0" applyAlignment="0" applyProtection="0"/>
    <xf numFmtId="0" fontId="1" fillId="73" borderId="0" applyNumberFormat="0" applyBorder="0" applyAlignment="0" applyProtection="0"/>
    <xf numFmtId="0" fontId="1" fillId="76" borderId="0" applyNumberFormat="0" applyBorder="0" applyAlignment="0" applyProtection="0"/>
    <xf numFmtId="0" fontId="1" fillId="77" borderId="0" applyNumberFormat="0" applyBorder="0" applyAlignment="0" applyProtection="0"/>
    <xf numFmtId="0" fontId="1" fillId="80" borderId="0" applyNumberFormat="0" applyBorder="0" applyAlignment="0" applyProtection="0"/>
    <xf numFmtId="0" fontId="1" fillId="81" borderId="0" applyNumberFormat="0" applyBorder="0" applyAlignment="0" applyProtection="0"/>
    <xf numFmtId="0" fontId="1" fillId="58" borderId="104" applyNumberFormat="0" applyFont="0" applyAlignment="0" applyProtection="0"/>
    <xf numFmtId="0" fontId="1" fillId="58" borderId="104" applyNumberFormat="0" applyFont="0" applyAlignment="0" applyProtection="0"/>
    <xf numFmtId="0" fontId="1" fillId="60" borderId="0" applyNumberFormat="0" applyBorder="0" applyAlignment="0" applyProtection="0"/>
    <xf numFmtId="0" fontId="1" fillId="61" borderId="0" applyNumberFormat="0" applyBorder="0" applyAlignment="0" applyProtection="0"/>
    <xf numFmtId="0" fontId="1" fillId="64" borderId="0" applyNumberFormat="0" applyBorder="0" applyAlignment="0" applyProtection="0"/>
    <xf numFmtId="0" fontId="1" fillId="65" borderId="0" applyNumberFormat="0" applyBorder="0" applyAlignment="0" applyProtection="0"/>
    <xf numFmtId="0" fontId="1" fillId="68" borderId="0" applyNumberFormat="0" applyBorder="0" applyAlignment="0" applyProtection="0"/>
    <xf numFmtId="0" fontId="1" fillId="69" borderId="0" applyNumberFormat="0" applyBorder="0" applyAlignment="0" applyProtection="0"/>
    <xf numFmtId="0" fontId="1" fillId="72" borderId="0" applyNumberFormat="0" applyBorder="0" applyAlignment="0" applyProtection="0"/>
    <xf numFmtId="0" fontId="1" fillId="73" borderId="0" applyNumberFormat="0" applyBorder="0" applyAlignment="0" applyProtection="0"/>
    <xf numFmtId="0" fontId="1" fillId="76" borderId="0" applyNumberFormat="0" applyBorder="0" applyAlignment="0" applyProtection="0"/>
    <xf numFmtId="0" fontId="1" fillId="77" borderId="0" applyNumberFormat="0" applyBorder="0" applyAlignment="0" applyProtection="0"/>
    <xf numFmtId="0" fontId="1" fillId="80" borderId="0" applyNumberFormat="0" applyBorder="0" applyAlignment="0" applyProtection="0"/>
    <xf numFmtId="0" fontId="1" fillId="81" borderId="0" applyNumberFormat="0" applyBorder="0" applyAlignment="0" applyProtection="0"/>
    <xf numFmtId="0" fontId="1" fillId="60" borderId="0" applyNumberFormat="0" applyBorder="0" applyAlignment="0" applyProtection="0"/>
    <xf numFmtId="0" fontId="1" fillId="61" borderId="0" applyNumberFormat="0" applyBorder="0" applyAlignment="0" applyProtection="0"/>
    <xf numFmtId="0" fontId="1" fillId="64" borderId="0" applyNumberFormat="0" applyBorder="0" applyAlignment="0" applyProtection="0"/>
    <xf numFmtId="0" fontId="1" fillId="65" borderId="0" applyNumberFormat="0" applyBorder="0" applyAlignment="0" applyProtection="0"/>
    <xf numFmtId="0" fontId="1" fillId="68" borderId="0" applyNumberFormat="0" applyBorder="0" applyAlignment="0" applyProtection="0"/>
    <xf numFmtId="0" fontId="1" fillId="69" borderId="0" applyNumberFormat="0" applyBorder="0" applyAlignment="0" applyProtection="0"/>
    <xf numFmtId="0" fontId="1" fillId="72" borderId="0" applyNumberFormat="0" applyBorder="0" applyAlignment="0" applyProtection="0"/>
    <xf numFmtId="0" fontId="1" fillId="73" borderId="0" applyNumberFormat="0" applyBorder="0" applyAlignment="0" applyProtection="0"/>
    <xf numFmtId="0" fontId="1" fillId="76" borderId="0" applyNumberFormat="0" applyBorder="0" applyAlignment="0" applyProtection="0"/>
    <xf numFmtId="0" fontId="1" fillId="77" borderId="0" applyNumberFormat="0" applyBorder="0" applyAlignment="0" applyProtection="0"/>
    <xf numFmtId="0" fontId="1" fillId="80" borderId="0" applyNumberFormat="0" applyBorder="0" applyAlignment="0" applyProtection="0"/>
    <xf numFmtId="0" fontId="1" fillId="81" borderId="0" applyNumberFormat="0" applyBorder="0" applyAlignment="0" applyProtection="0"/>
    <xf numFmtId="0" fontId="1" fillId="58" borderId="104" applyNumberFormat="0" applyFont="0" applyAlignment="0" applyProtection="0"/>
    <xf numFmtId="0" fontId="1" fillId="60" borderId="0" applyNumberFormat="0" applyBorder="0" applyAlignment="0" applyProtection="0"/>
    <xf numFmtId="0" fontId="1" fillId="61" borderId="0" applyNumberFormat="0" applyBorder="0" applyAlignment="0" applyProtection="0"/>
    <xf numFmtId="0" fontId="1" fillId="64" borderId="0" applyNumberFormat="0" applyBorder="0" applyAlignment="0" applyProtection="0"/>
    <xf numFmtId="0" fontId="1" fillId="65" borderId="0" applyNumberFormat="0" applyBorder="0" applyAlignment="0" applyProtection="0"/>
    <xf numFmtId="0" fontId="1" fillId="68" borderId="0" applyNumberFormat="0" applyBorder="0" applyAlignment="0" applyProtection="0"/>
    <xf numFmtId="0" fontId="1" fillId="69" borderId="0" applyNumberFormat="0" applyBorder="0" applyAlignment="0" applyProtection="0"/>
    <xf numFmtId="0" fontId="1" fillId="72" borderId="0" applyNumberFormat="0" applyBorder="0" applyAlignment="0" applyProtection="0"/>
    <xf numFmtId="0" fontId="1" fillId="73" borderId="0" applyNumberFormat="0" applyBorder="0" applyAlignment="0" applyProtection="0"/>
    <xf numFmtId="0" fontId="1" fillId="76" borderId="0" applyNumberFormat="0" applyBorder="0" applyAlignment="0" applyProtection="0"/>
    <xf numFmtId="0" fontId="1" fillId="77" borderId="0" applyNumberFormat="0" applyBorder="0" applyAlignment="0" applyProtection="0"/>
    <xf numFmtId="0" fontId="1" fillId="80" borderId="0" applyNumberFormat="0" applyBorder="0" applyAlignment="0" applyProtection="0"/>
    <xf numFmtId="0" fontId="1" fillId="81" borderId="0" applyNumberFormat="0" applyBorder="0" applyAlignment="0" applyProtection="0"/>
    <xf numFmtId="0" fontId="1" fillId="58" borderId="104" applyNumberFormat="0" applyFont="0" applyAlignment="0" applyProtection="0"/>
    <xf numFmtId="0" fontId="1" fillId="58" borderId="104" applyNumberFormat="0" applyFont="0" applyAlignment="0" applyProtection="0"/>
    <xf numFmtId="0" fontId="1" fillId="60" borderId="0" applyNumberFormat="0" applyBorder="0" applyAlignment="0" applyProtection="0"/>
    <xf numFmtId="0" fontId="1" fillId="61" borderId="0" applyNumberFormat="0" applyBorder="0" applyAlignment="0" applyProtection="0"/>
    <xf numFmtId="0" fontId="1" fillId="64" borderId="0" applyNumberFormat="0" applyBorder="0" applyAlignment="0" applyProtection="0"/>
    <xf numFmtId="0" fontId="1" fillId="65" borderId="0" applyNumberFormat="0" applyBorder="0" applyAlignment="0" applyProtection="0"/>
    <xf numFmtId="0" fontId="1" fillId="68" borderId="0" applyNumberFormat="0" applyBorder="0" applyAlignment="0" applyProtection="0"/>
    <xf numFmtId="0" fontId="1" fillId="69" borderId="0" applyNumberFormat="0" applyBorder="0" applyAlignment="0" applyProtection="0"/>
    <xf numFmtId="0" fontId="1" fillId="72" borderId="0" applyNumberFormat="0" applyBorder="0" applyAlignment="0" applyProtection="0"/>
    <xf numFmtId="0" fontId="1" fillId="73" borderId="0" applyNumberFormat="0" applyBorder="0" applyAlignment="0" applyProtection="0"/>
    <xf numFmtId="0" fontId="1" fillId="76" borderId="0" applyNumberFormat="0" applyBorder="0" applyAlignment="0" applyProtection="0"/>
    <xf numFmtId="0" fontId="1" fillId="77" borderId="0" applyNumberFormat="0" applyBorder="0" applyAlignment="0" applyProtection="0"/>
    <xf numFmtId="0" fontId="1" fillId="80" borderId="0" applyNumberFormat="0" applyBorder="0" applyAlignment="0" applyProtection="0"/>
    <xf numFmtId="0" fontId="1" fillId="81" borderId="0" applyNumberFormat="0" applyBorder="0" applyAlignment="0" applyProtection="0"/>
    <xf numFmtId="0" fontId="1" fillId="60" borderId="0" applyNumberFormat="0" applyBorder="0" applyAlignment="0" applyProtection="0"/>
    <xf numFmtId="0" fontId="1" fillId="61" borderId="0" applyNumberFormat="0" applyBorder="0" applyAlignment="0" applyProtection="0"/>
    <xf numFmtId="0" fontId="1" fillId="64" borderId="0" applyNumberFormat="0" applyBorder="0" applyAlignment="0" applyProtection="0"/>
    <xf numFmtId="0" fontId="1" fillId="65" borderId="0" applyNumberFormat="0" applyBorder="0" applyAlignment="0" applyProtection="0"/>
    <xf numFmtId="0" fontId="1" fillId="68" borderId="0" applyNumberFormat="0" applyBorder="0" applyAlignment="0" applyProtection="0"/>
    <xf numFmtId="0" fontId="1" fillId="69" borderId="0" applyNumberFormat="0" applyBorder="0" applyAlignment="0" applyProtection="0"/>
    <xf numFmtId="0" fontId="1" fillId="72" borderId="0" applyNumberFormat="0" applyBorder="0" applyAlignment="0" applyProtection="0"/>
    <xf numFmtId="0" fontId="1" fillId="73" borderId="0" applyNumberFormat="0" applyBorder="0" applyAlignment="0" applyProtection="0"/>
    <xf numFmtId="0" fontId="1" fillId="76" borderId="0" applyNumberFormat="0" applyBorder="0" applyAlignment="0" applyProtection="0"/>
    <xf numFmtId="0" fontId="1" fillId="77" borderId="0" applyNumberFormat="0" applyBorder="0" applyAlignment="0" applyProtection="0"/>
    <xf numFmtId="0" fontId="1" fillId="80" borderId="0" applyNumberFormat="0" applyBorder="0" applyAlignment="0" applyProtection="0"/>
    <xf numFmtId="0" fontId="1" fillId="81" borderId="0" applyNumberFormat="0" applyBorder="0" applyAlignment="0" applyProtection="0"/>
    <xf numFmtId="0" fontId="1" fillId="58" borderId="104" applyNumberFormat="0" applyFont="0" applyAlignment="0" applyProtection="0"/>
    <xf numFmtId="0" fontId="1" fillId="60" borderId="0" applyNumberFormat="0" applyBorder="0" applyAlignment="0" applyProtection="0"/>
    <xf numFmtId="0" fontId="1" fillId="60" borderId="0" applyNumberFormat="0" applyBorder="0" applyAlignment="0" applyProtection="0"/>
    <xf numFmtId="0" fontId="1" fillId="60" borderId="0" applyNumberFormat="0" applyBorder="0" applyAlignment="0" applyProtection="0"/>
    <xf numFmtId="0" fontId="1" fillId="60" borderId="0" applyNumberFormat="0" applyBorder="0" applyAlignment="0" applyProtection="0"/>
    <xf numFmtId="0" fontId="1" fillId="60" borderId="0" applyNumberFormat="0" applyBorder="0" applyAlignment="0" applyProtection="0"/>
    <xf numFmtId="0" fontId="1" fillId="60" borderId="0" applyNumberFormat="0" applyBorder="0" applyAlignment="0" applyProtection="0"/>
    <xf numFmtId="0" fontId="1" fillId="60" borderId="0" applyNumberFormat="0" applyBorder="0" applyAlignment="0" applyProtection="0"/>
    <xf numFmtId="0" fontId="1" fillId="60" borderId="0" applyNumberFormat="0" applyBorder="0" applyAlignment="0" applyProtection="0"/>
    <xf numFmtId="0" fontId="1" fillId="60" borderId="0" applyNumberFormat="0" applyBorder="0" applyAlignment="0" applyProtection="0"/>
    <xf numFmtId="0" fontId="1" fillId="64" borderId="0" applyNumberFormat="0" applyBorder="0" applyAlignment="0" applyProtection="0"/>
    <xf numFmtId="0" fontId="1" fillId="64" borderId="0" applyNumberFormat="0" applyBorder="0" applyAlignment="0" applyProtection="0"/>
    <xf numFmtId="0" fontId="1" fillId="64" borderId="0" applyNumberFormat="0" applyBorder="0" applyAlignment="0" applyProtection="0"/>
    <xf numFmtId="0" fontId="1" fillId="64" borderId="0" applyNumberFormat="0" applyBorder="0" applyAlignment="0" applyProtection="0"/>
    <xf numFmtId="0" fontId="1" fillId="64" borderId="0" applyNumberFormat="0" applyBorder="0" applyAlignment="0" applyProtection="0"/>
    <xf numFmtId="0" fontId="1" fillId="64" borderId="0" applyNumberFormat="0" applyBorder="0" applyAlignment="0" applyProtection="0"/>
    <xf numFmtId="0" fontId="1" fillId="64" borderId="0" applyNumberFormat="0" applyBorder="0" applyAlignment="0" applyProtection="0"/>
    <xf numFmtId="0" fontId="1" fillId="64" borderId="0" applyNumberFormat="0" applyBorder="0" applyAlignment="0" applyProtection="0"/>
    <xf numFmtId="0" fontId="1" fillId="64" borderId="0" applyNumberFormat="0" applyBorder="0" applyAlignment="0" applyProtection="0"/>
    <xf numFmtId="0" fontId="1" fillId="68" borderId="0" applyNumberFormat="0" applyBorder="0" applyAlignment="0" applyProtection="0"/>
    <xf numFmtId="0" fontId="1" fillId="68" borderId="0" applyNumberFormat="0" applyBorder="0" applyAlignment="0" applyProtection="0"/>
    <xf numFmtId="0" fontId="1" fillId="68" borderId="0" applyNumberFormat="0" applyBorder="0" applyAlignment="0" applyProtection="0"/>
    <xf numFmtId="0" fontId="1" fillId="68" borderId="0" applyNumberFormat="0" applyBorder="0" applyAlignment="0" applyProtection="0"/>
    <xf numFmtId="0" fontId="1" fillId="68" borderId="0" applyNumberFormat="0" applyBorder="0" applyAlignment="0" applyProtection="0"/>
    <xf numFmtId="0" fontId="1" fillId="68" borderId="0" applyNumberFormat="0" applyBorder="0" applyAlignment="0" applyProtection="0"/>
    <xf numFmtId="0" fontId="1" fillId="68" borderId="0" applyNumberFormat="0" applyBorder="0" applyAlignment="0" applyProtection="0"/>
    <xf numFmtId="0" fontId="1" fillId="68" borderId="0" applyNumberFormat="0" applyBorder="0" applyAlignment="0" applyProtection="0"/>
    <xf numFmtId="0" fontId="1" fillId="68" borderId="0" applyNumberFormat="0" applyBorder="0" applyAlignment="0" applyProtection="0"/>
    <xf numFmtId="0" fontId="1" fillId="72" borderId="0" applyNumberFormat="0" applyBorder="0" applyAlignment="0" applyProtection="0"/>
    <xf numFmtId="0" fontId="1" fillId="72" borderId="0" applyNumberFormat="0" applyBorder="0" applyAlignment="0" applyProtection="0"/>
    <xf numFmtId="0" fontId="1" fillId="72" borderId="0" applyNumberFormat="0" applyBorder="0" applyAlignment="0" applyProtection="0"/>
    <xf numFmtId="0" fontId="1" fillId="72" borderId="0" applyNumberFormat="0" applyBorder="0" applyAlignment="0" applyProtection="0"/>
    <xf numFmtId="0" fontId="1" fillId="72" borderId="0" applyNumberFormat="0" applyBorder="0" applyAlignment="0" applyProtection="0"/>
    <xf numFmtId="0" fontId="1" fillId="72" borderId="0" applyNumberFormat="0" applyBorder="0" applyAlignment="0" applyProtection="0"/>
    <xf numFmtId="0" fontId="1" fillId="72" borderId="0" applyNumberFormat="0" applyBorder="0" applyAlignment="0" applyProtection="0"/>
    <xf numFmtId="0" fontId="1" fillId="72" borderId="0" applyNumberFormat="0" applyBorder="0" applyAlignment="0" applyProtection="0"/>
    <xf numFmtId="0" fontId="1" fillId="72" borderId="0" applyNumberFormat="0" applyBorder="0" applyAlignment="0" applyProtection="0"/>
    <xf numFmtId="0" fontId="1" fillId="76" borderId="0" applyNumberFormat="0" applyBorder="0" applyAlignment="0" applyProtection="0"/>
    <xf numFmtId="0" fontId="1" fillId="76" borderId="0" applyNumberFormat="0" applyBorder="0" applyAlignment="0" applyProtection="0"/>
    <xf numFmtId="0" fontId="1" fillId="76" borderId="0" applyNumberFormat="0" applyBorder="0" applyAlignment="0" applyProtection="0"/>
    <xf numFmtId="0" fontId="1" fillId="76" borderId="0" applyNumberFormat="0" applyBorder="0" applyAlignment="0" applyProtection="0"/>
    <xf numFmtId="0" fontId="1" fillId="76" borderId="0" applyNumberFormat="0" applyBorder="0" applyAlignment="0" applyProtection="0"/>
    <xf numFmtId="0" fontId="1" fillId="76" borderId="0" applyNumberFormat="0" applyBorder="0" applyAlignment="0" applyProtection="0"/>
    <xf numFmtId="0" fontId="1" fillId="76" borderId="0" applyNumberFormat="0" applyBorder="0" applyAlignment="0" applyProtection="0"/>
    <xf numFmtId="0" fontId="1" fillId="76" borderId="0" applyNumberFormat="0" applyBorder="0" applyAlignment="0" applyProtection="0"/>
    <xf numFmtId="0" fontId="1" fillId="76" borderId="0" applyNumberFormat="0" applyBorder="0" applyAlignment="0" applyProtection="0"/>
    <xf numFmtId="0" fontId="1" fillId="80" borderId="0" applyNumberFormat="0" applyBorder="0" applyAlignment="0" applyProtection="0"/>
    <xf numFmtId="0" fontId="1" fillId="80" borderId="0" applyNumberFormat="0" applyBorder="0" applyAlignment="0" applyProtection="0"/>
    <xf numFmtId="0" fontId="1" fillId="80" borderId="0" applyNumberFormat="0" applyBorder="0" applyAlignment="0" applyProtection="0"/>
    <xf numFmtId="0" fontId="1" fillId="80" borderId="0" applyNumberFormat="0" applyBorder="0" applyAlignment="0" applyProtection="0"/>
    <xf numFmtId="0" fontId="1" fillId="80" borderId="0" applyNumberFormat="0" applyBorder="0" applyAlignment="0" applyProtection="0"/>
    <xf numFmtId="0" fontId="1" fillId="80" borderId="0" applyNumberFormat="0" applyBorder="0" applyAlignment="0" applyProtection="0"/>
    <xf numFmtId="0" fontId="1" fillId="80" borderId="0" applyNumberFormat="0" applyBorder="0" applyAlignment="0" applyProtection="0"/>
    <xf numFmtId="0" fontId="1" fillId="80" borderId="0" applyNumberFormat="0" applyBorder="0" applyAlignment="0" applyProtection="0"/>
    <xf numFmtId="0" fontId="1" fillId="80" borderId="0" applyNumberFormat="0" applyBorder="0" applyAlignment="0" applyProtection="0"/>
    <xf numFmtId="0" fontId="1" fillId="61" borderId="0" applyNumberFormat="0" applyBorder="0" applyAlignment="0" applyProtection="0"/>
    <xf numFmtId="0" fontId="1" fillId="61" borderId="0" applyNumberFormat="0" applyBorder="0" applyAlignment="0" applyProtection="0"/>
    <xf numFmtId="0" fontId="1" fillId="61" borderId="0" applyNumberFormat="0" applyBorder="0" applyAlignment="0" applyProtection="0"/>
    <xf numFmtId="0" fontId="1" fillId="61" borderId="0" applyNumberFormat="0" applyBorder="0" applyAlignment="0" applyProtection="0"/>
    <xf numFmtId="0" fontId="1" fillId="61" borderId="0" applyNumberFormat="0" applyBorder="0" applyAlignment="0" applyProtection="0"/>
    <xf numFmtId="0" fontId="1" fillId="61" borderId="0" applyNumberFormat="0" applyBorder="0" applyAlignment="0" applyProtection="0"/>
    <xf numFmtId="0" fontId="1" fillId="61" borderId="0" applyNumberFormat="0" applyBorder="0" applyAlignment="0" applyProtection="0"/>
    <xf numFmtId="0" fontId="1" fillId="61" borderId="0" applyNumberFormat="0" applyBorder="0" applyAlignment="0" applyProtection="0"/>
    <xf numFmtId="0" fontId="1" fillId="61" borderId="0" applyNumberFormat="0" applyBorder="0" applyAlignment="0" applyProtection="0"/>
    <xf numFmtId="0" fontId="1" fillId="65" borderId="0" applyNumberFormat="0" applyBorder="0" applyAlignment="0" applyProtection="0"/>
    <xf numFmtId="0" fontId="1" fillId="65" borderId="0" applyNumberFormat="0" applyBorder="0" applyAlignment="0" applyProtection="0"/>
    <xf numFmtId="0" fontId="1" fillId="65" borderId="0" applyNumberFormat="0" applyBorder="0" applyAlignment="0" applyProtection="0"/>
    <xf numFmtId="0" fontId="1" fillId="65" borderId="0" applyNumberFormat="0" applyBorder="0" applyAlignment="0" applyProtection="0"/>
    <xf numFmtId="0" fontId="1" fillId="65" borderId="0" applyNumberFormat="0" applyBorder="0" applyAlignment="0" applyProtection="0"/>
    <xf numFmtId="0" fontId="1" fillId="65" borderId="0" applyNumberFormat="0" applyBorder="0" applyAlignment="0" applyProtection="0"/>
    <xf numFmtId="0" fontId="1" fillId="65" borderId="0" applyNumberFormat="0" applyBorder="0" applyAlignment="0" applyProtection="0"/>
    <xf numFmtId="0" fontId="1" fillId="65" borderId="0" applyNumberFormat="0" applyBorder="0" applyAlignment="0" applyProtection="0"/>
    <xf numFmtId="0" fontId="1" fillId="65" borderId="0" applyNumberFormat="0" applyBorder="0" applyAlignment="0" applyProtection="0"/>
    <xf numFmtId="0" fontId="1" fillId="69" borderId="0" applyNumberFormat="0" applyBorder="0" applyAlignment="0" applyProtection="0"/>
    <xf numFmtId="0" fontId="1" fillId="69" borderId="0" applyNumberFormat="0" applyBorder="0" applyAlignment="0" applyProtection="0"/>
    <xf numFmtId="0" fontId="1" fillId="69" borderId="0" applyNumberFormat="0" applyBorder="0" applyAlignment="0" applyProtection="0"/>
    <xf numFmtId="0" fontId="1" fillId="69" borderId="0" applyNumberFormat="0" applyBorder="0" applyAlignment="0" applyProtection="0"/>
    <xf numFmtId="0" fontId="1" fillId="69" borderId="0" applyNumberFormat="0" applyBorder="0" applyAlignment="0" applyProtection="0"/>
    <xf numFmtId="0" fontId="1" fillId="69" borderId="0" applyNumberFormat="0" applyBorder="0" applyAlignment="0" applyProtection="0"/>
    <xf numFmtId="0" fontId="1" fillId="69" borderId="0" applyNumberFormat="0" applyBorder="0" applyAlignment="0" applyProtection="0"/>
    <xf numFmtId="0" fontId="1" fillId="69" borderId="0" applyNumberFormat="0" applyBorder="0" applyAlignment="0" applyProtection="0"/>
    <xf numFmtId="0" fontId="1" fillId="69" borderId="0" applyNumberFormat="0" applyBorder="0" applyAlignment="0" applyProtection="0"/>
    <xf numFmtId="0" fontId="1" fillId="73" borderId="0" applyNumberFormat="0" applyBorder="0" applyAlignment="0" applyProtection="0"/>
    <xf numFmtId="0" fontId="1" fillId="73" borderId="0" applyNumberFormat="0" applyBorder="0" applyAlignment="0" applyProtection="0"/>
    <xf numFmtId="0" fontId="1" fillId="73" borderId="0" applyNumberFormat="0" applyBorder="0" applyAlignment="0" applyProtection="0"/>
    <xf numFmtId="0" fontId="1" fillId="73" borderId="0" applyNumberFormat="0" applyBorder="0" applyAlignment="0" applyProtection="0"/>
    <xf numFmtId="0" fontId="1" fillId="73" borderId="0" applyNumberFormat="0" applyBorder="0" applyAlignment="0" applyProtection="0"/>
    <xf numFmtId="0" fontId="1" fillId="73" borderId="0" applyNumberFormat="0" applyBorder="0" applyAlignment="0" applyProtection="0"/>
    <xf numFmtId="0" fontId="1" fillId="73" borderId="0" applyNumberFormat="0" applyBorder="0" applyAlignment="0" applyProtection="0"/>
    <xf numFmtId="0" fontId="1" fillId="73" borderId="0" applyNumberFormat="0" applyBorder="0" applyAlignment="0" applyProtection="0"/>
    <xf numFmtId="0" fontId="1" fillId="73" borderId="0" applyNumberFormat="0" applyBorder="0" applyAlignment="0" applyProtection="0"/>
    <xf numFmtId="0" fontId="1" fillId="77" borderId="0" applyNumberFormat="0" applyBorder="0" applyAlignment="0" applyProtection="0"/>
    <xf numFmtId="0" fontId="1" fillId="77" borderId="0" applyNumberFormat="0" applyBorder="0" applyAlignment="0" applyProtection="0"/>
    <xf numFmtId="0" fontId="1" fillId="77" borderId="0" applyNumberFormat="0" applyBorder="0" applyAlignment="0" applyProtection="0"/>
    <xf numFmtId="0" fontId="1" fillId="77" borderId="0" applyNumberFormat="0" applyBorder="0" applyAlignment="0" applyProtection="0"/>
    <xf numFmtId="0" fontId="1" fillId="77" borderId="0" applyNumberFormat="0" applyBorder="0" applyAlignment="0" applyProtection="0"/>
    <xf numFmtId="0" fontId="1" fillId="77" borderId="0" applyNumberFormat="0" applyBorder="0" applyAlignment="0" applyProtection="0"/>
    <xf numFmtId="0" fontId="1" fillId="77" borderId="0" applyNumberFormat="0" applyBorder="0" applyAlignment="0" applyProtection="0"/>
    <xf numFmtId="0" fontId="1" fillId="77" borderId="0" applyNumberFormat="0" applyBorder="0" applyAlignment="0" applyProtection="0"/>
    <xf numFmtId="0" fontId="1" fillId="77" borderId="0" applyNumberFormat="0" applyBorder="0" applyAlignment="0" applyProtection="0"/>
    <xf numFmtId="0" fontId="1" fillId="81" borderId="0" applyNumberFormat="0" applyBorder="0" applyAlignment="0" applyProtection="0"/>
    <xf numFmtId="0" fontId="1" fillId="81" borderId="0" applyNumberFormat="0" applyBorder="0" applyAlignment="0" applyProtection="0"/>
    <xf numFmtId="0" fontId="1" fillId="81" borderId="0" applyNumberFormat="0" applyBorder="0" applyAlignment="0" applyProtection="0"/>
    <xf numFmtId="0" fontId="1" fillId="81" borderId="0" applyNumberFormat="0" applyBorder="0" applyAlignment="0" applyProtection="0"/>
    <xf numFmtId="0" fontId="1" fillId="81" borderId="0" applyNumberFormat="0" applyBorder="0" applyAlignment="0" applyProtection="0"/>
    <xf numFmtId="0" fontId="1" fillId="81" borderId="0" applyNumberFormat="0" applyBorder="0" applyAlignment="0" applyProtection="0"/>
    <xf numFmtId="0" fontId="1" fillId="81" borderId="0" applyNumberFormat="0" applyBorder="0" applyAlignment="0" applyProtection="0"/>
    <xf numFmtId="0" fontId="1" fillId="81" borderId="0" applyNumberFormat="0" applyBorder="0" applyAlignment="0" applyProtection="0"/>
    <xf numFmtId="0" fontId="1" fillId="81" borderId="0" applyNumberFormat="0" applyBorder="0" applyAlignment="0" applyProtection="0"/>
    <xf numFmtId="0" fontId="1" fillId="58" borderId="104" applyNumberFormat="0" applyFont="0" applyAlignment="0" applyProtection="0"/>
    <xf numFmtId="0" fontId="1" fillId="58" borderId="104" applyNumberFormat="0" applyFont="0" applyAlignment="0" applyProtection="0"/>
    <xf numFmtId="0" fontId="1" fillId="58" borderId="104" applyNumberFormat="0" applyFont="0" applyAlignment="0" applyProtection="0"/>
    <xf numFmtId="0" fontId="1" fillId="58" borderId="104" applyNumberFormat="0" applyFont="0" applyAlignment="0" applyProtection="0"/>
    <xf numFmtId="0" fontId="1" fillId="58" borderId="104" applyNumberFormat="0" applyFont="0" applyAlignment="0" applyProtection="0"/>
    <xf numFmtId="0" fontId="1" fillId="58" borderId="104" applyNumberFormat="0" applyFont="0" applyAlignment="0" applyProtection="0"/>
    <xf numFmtId="0" fontId="1" fillId="58" borderId="104" applyNumberFormat="0" applyFont="0" applyAlignment="0" applyProtection="0"/>
    <xf numFmtId="0" fontId="1" fillId="58" borderId="104" applyNumberFormat="0" applyFont="0" applyAlignment="0" applyProtection="0"/>
    <xf numFmtId="0" fontId="1" fillId="58" borderId="104" applyNumberFormat="0" applyFont="0" applyAlignment="0" applyProtection="0"/>
    <xf numFmtId="0" fontId="1" fillId="0" borderId="0"/>
    <xf numFmtId="165" fontId="1" fillId="0" borderId="0" applyFont="0" applyFill="0" applyBorder="0" applyAlignment="0" applyProtection="0"/>
    <xf numFmtId="0" fontId="1" fillId="0" borderId="0"/>
    <xf numFmtId="0" fontId="1" fillId="0" borderId="0"/>
    <xf numFmtId="0" fontId="1" fillId="26" borderId="0" applyNumberFormat="0" applyBorder="0" applyAlignment="0" applyProtection="0"/>
    <xf numFmtId="0" fontId="1" fillId="3" borderId="0" applyNumberFormat="0" applyBorder="0" applyAlignment="0" applyProtection="0"/>
    <xf numFmtId="0" fontId="1" fillId="26"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26" borderId="0" applyNumberFormat="0" applyBorder="0" applyAlignment="0" applyProtection="0"/>
    <xf numFmtId="0" fontId="1" fillId="3" borderId="0" applyNumberFormat="0" applyBorder="0" applyAlignment="0" applyProtection="0"/>
    <xf numFmtId="0" fontId="1" fillId="26" borderId="0" applyNumberFormat="0" applyBorder="0" applyAlignment="0" applyProtection="0"/>
    <xf numFmtId="0" fontId="1" fillId="58" borderId="104" applyNumberFormat="0" applyFont="0" applyAlignment="0" applyProtection="0"/>
    <xf numFmtId="0" fontId="1" fillId="6" borderId="0" applyNumberFormat="0" applyBorder="0" applyAlignment="0" applyProtection="0"/>
    <xf numFmtId="0" fontId="1" fillId="23" borderId="0" applyNumberFormat="0" applyBorder="0" applyAlignment="0" applyProtection="0"/>
    <xf numFmtId="0" fontId="1" fillId="6"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6" borderId="0" applyNumberFormat="0" applyBorder="0" applyAlignment="0" applyProtection="0"/>
    <xf numFmtId="0" fontId="1" fillId="23" borderId="0" applyNumberFormat="0" applyBorder="0" applyAlignment="0" applyProtection="0"/>
    <xf numFmtId="0" fontId="1" fillId="61" borderId="0" applyNumberFormat="0" applyBorder="0" applyAlignment="0" applyProtection="0"/>
    <xf numFmtId="0" fontId="1" fillId="26"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26" borderId="0" applyNumberFormat="0" applyBorder="0" applyAlignment="0" applyProtection="0"/>
    <xf numFmtId="0" fontId="1" fillId="3" borderId="0" applyNumberFormat="0" applyBorder="0" applyAlignment="0" applyProtection="0"/>
    <xf numFmtId="0" fontId="1" fillId="26" borderId="0" applyNumberFormat="0" applyBorder="0" applyAlignment="0" applyProtection="0"/>
    <xf numFmtId="0" fontId="1" fillId="0" borderId="0"/>
    <xf numFmtId="0" fontId="1" fillId="58" borderId="104" applyNumberFormat="0" applyFont="0" applyAlignment="0" applyProtection="0"/>
    <xf numFmtId="0" fontId="1" fillId="6" borderId="0" applyNumberFormat="0" applyBorder="0" applyAlignment="0" applyProtection="0"/>
    <xf numFmtId="0" fontId="1" fillId="23" borderId="0" applyNumberFormat="0" applyBorder="0" applyAlignment="0" applyProtection="0"/>
    <xf numFmtId="0" fontId="1" fillId="6" borderId="0" applyNumberFormat="0" applyBorder="0" applyAlignment="0" applyProtection="0"/>
    <xf numFmtId="0" fontId="1" fillId="58" borderId="104" applyNumberFormat="0" applyFont="0" applyAlignment="0" applyProtection="0"/>
    <xf numFmtId="0" fontId="1" fillId="26" borderId="0" applyNumberFormat="0" applyBorder="0" applyAlignment="0" applyProtection="0"/>
    <xf numFmtId="0" fontId="1" fillId="3"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7" borderId="0" applyNumberFormat="0" applyBorder="0" applyAlignment="0" applyProtection="0"/>
    <xf numFmtId="0" fontId="1" fillId="0" borderId="0"/>
    <xf numFmtId="0" fontId="1" fillId="26" borderId="0" applyNumberFormat="0" applyBorder="0" applyAlignment="0" applyProtection="0"/>
    <xf numFmtId="0" fontId="1" fillId="3" borderId="0" applyNumberFormat="0" applyBorder="0" applyAlignment="0" applyProtection="0"/>
    <xf numFmtId="0" fontId="1" fillId="23" borderId="0" applyNumberFormat="0" applyBorder="0" applyAlignment="0" applyProtection="0"/>
    <xf numFmtId="0" fontId="1" fillId="6" borderId="0" applyNumberFormat="0" applyBorder="0" applyAlignment="0" applyProtection="0"/>
    <xf numFmtId="0" fontId="1" fillId="58" borderId="104" applyNumberFormat="0" applyFont="0" applyAlignment="0" applyProtection="0"/>
    <xf numFmtId="0" fontId="1" fillId="6" borderId="0" applyNumberFormat="0" applyBorder="0" applyAlignment="0" applyProtection="0"/>
    <xf numFmtId="0" fontId="1" fillId="23" borderId="0" applyNumberFormat="0" applyBorder="0" applyAlignment="0" applyProtection="0"/>
    <xf numFmtId="0" fontId="1" fillId="6" borderId="0" applyNumberFormat="0" applyBorder="0" applyAlignment="0" applyProtection="0"/>
    <xf numFmtId="0" fontId="1" fillId="26" borderId="0" applyNumberFormat="0" applyBorder="0" applyAlignment="0" applyProtection="0"/>
    <xf numFmtId="0" fontId="1" fillId="3" borderId="0" applyNumberFormat="0" applyBorder="0" applyAlignment="0" applyProtection="0"/>
    <xf numFmtId="0" fontId="1" fillId="73" borderId="0" applyNumberFormat="0" applyBorder="0" applyAlignment="0" applyProtection="0"/>
    <xf numFmtId="0" fontId="1" fillId="26"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26" borderId="0" applyNumberFormat="0" applyBorder="0" applyAlignment="0" applyProtection="0"/>
    <xf numFmtId="0" fontId="1" fillId="3" borderId="0" applyNumberFormat="0" applyBorder="0" applyAlignment="0" applyProtection="0"/>
    <xf numFmtId="0" fontId="1" fillId="26" borderId="0" applyNumberFormat="0" applyBorder="0" applyAlignment="0" applyProtection="0"/>
    <xf numFmtId="0" fontId="1" fillId="0" borderId="0"/>
    <xf numFmtId="0" fontId="1" fillId="6" borderId="0" applyNumberFormat="0" applyBorder="0" applyAlignment="0" applyProtection="0"/>
    <xf numFmtId="0" fontId="1" fillId="23" borderId="0" applyNumberFormat="0" applyBorder="0" applyAlignment="0" applyProtection="0"/>
    <xf numFmtId="0" fontId="1" fillId="6" borderId="0" applyNumberFormat="0" applyBorder="0" applyAlignment="0" applyProtection="0"/>
    <xf numFmtId="0" fontId="1" fillId="26" borderId="0" applyNumberFormat="0" applyBorder="0" applyAlignment="0" applyProtection="0"/>
    <xf numFmtId="0" fontId="1" fillId="58" borderId="104" applyNumberFormat="0" applyFont="0" applyAlignment="0" applyProtection="0"/>
    <xf numFmtId="0" fontId="1" fillId="58" borderId="104" applyNumberFormat="0" applyFont="0" applyAlignment="0" applyProtection="0"/>
    <xf numFmtId="0" fontId="1" fillId="58" borderId="104" applyNumberFormat="0" applyFont="0" applyAlignment="0" applyProtection="0"/>
    <xf numFmtId="0" fontId="1" fillId="26" borderId="0" applyNumberFormat="0" applyBorder="0" applyAlignment="0" applyProtection="0"/>
    <xf numFmtId="0" fontId="1" fillId="0" borderId="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6" borderId="0" applyNumberFormat="0" applyBorder="0" applyAlignment="0" applyProtection="0"/>
    <xf numFmtId="0" fontId="1" fillId="23"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3" borderId="0" applyNumberFormat="0" applyBorder="0" applyAlignment="0" applyProtection="0"/>
    <xf numFmtId="0" fontId="1" fillId="3" borderId="0" applyNumberFormat="0" applyBorder="0" applyAlignment="0" applyProtection="0"/>
    <xf numFmtId="0" fontId="1" fillId="3" borderId="0" applyNumberFormat="0" applyBorder="0" applyAlignment="0" applyProtection="0"/>
    <xf numFmtId="0" fontId="1" fillId="3" borderId="0" applyNumberFormat="0" applyBorder="0" applyAlignment="0" applyProtection="0"/>
    <xf numFmtId="0" fontId="1" fillId="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26" borderId="0" applyNumberFormat="0" applyBorder="0" applyAlignment="0" applyProtection="0"/>
    <xf numFmtId="0" fontId="1" fillId="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58" borderId="104" applyNumberFormat="0" applyFont="0" applyAlignment="0" applyProtection="0"/>
    <xf numFmtId="0" fontId="1" fillId="6" borderId="0" applyNumberFormat="0" applyBorder="0" applyAlignment="0" applyProtection="0"/>
    <xf numFmtId="0" fontId="1" fillId="23" borderId="0" applyNumberFormat="0" applyBorder="0" applyAlignment="0" applyProtection="0"/>
    <xf numFmtId="0" fontId="1" fillId="6" borderId="0" applyNumberFormat="0" applyBorder="0" applyAlignment="0" applyProtection="0"/>
    <xf numFmtId="0" fontId="1" fillId="26"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58" borderId="104" applyNumberFormat="0" applyFont="0" applyAlignment="0" applyProtection="0"/>
    <xf numFmtId="0" fontId="1" fillId="26" borderId="0" applyNumberFormat="0" applyBorder="0" applyAlignment="0" applyProtection="0"/>
    <xf numFmtId="0" fontId="1" fillId="3" borderId="0" applyNumberFormat="0" applyBorder="0" applyAlignment="0" applyProtection="0"/>
    <xf numFmtId="0" fontId="1" fillId="26" borderId="0" applyNumberFormat="0" applyBorder="0" applyAlignment="0" applyProtection="0"/>
    <xf numFmtId="0" fontId="1" fillId="0" borderId="0"/>
    <xf numFmtId="0" fontId="1" fillId="6" borderId="0" applyNumberFormat="0" applyBorder="0" applyAlignment="0" applyProtection="0"/>
    <xf numFmtId="0" fontId="1" fillId="23" borderId="0" applyNumberFormat="0" applyBorder="0" applyAlignment="0" applyProtection="0"/>
    <xf numFmtId="0" fontId="1" fillId="6" borderId="0" applyNumberFormat="0" applyBorder="0" applyAlignment="0" applyProtection="0"/>
    <xf numFmtId="0" fontId="1" fillId="58" borderId="104" applyNumberFormat="0" applyFont="0" applyAlignment="0" applyProtection="0"/>
    <xf numFmtId="0" fontId="1" fillId="26" borderId="0" applyNumberFormat="0" applyBorder="0" applyAlignment="0" applyProtection="0"/>
    <xf numFmtId="0" fontId="1" fillId="58" borderId="104" applyNumberFormat="0" applyFont="0" applyAlignment="0" applyProtection="0"/>
    <xf numFmtId="0" fontId="1" fillId="3" borderId="0" applyNumberFormat="0" applyBorder="0" applyAlignment="0" applyProtection="0"/>
    <xf numFmtId="0" fontId="1" fillId="8" borderId="0" applyNumberFormat="0" applyBorder="0" applyAlignment="0" applyProtection="0"/>
    <xf numFmtId="0" fontId="1" fillId="26" borderId="0" applyNumberFormat="0" applyBorder="0" applyAlignment="0" applyProtection="0"/>
    <xf numFmtId="0" fontId="1" fillId="7" borderId="0" applyNumberFormat="0" applyBorder="0" applyAlignment="0" applyProtection="0"/>
    <xf numFmtId="0" fontId="1" fillId="26" borderId="0" applyNumberFormat="0" applyBorder="0" applyAlignment="0" applyProtection="0"/>
    <xf numFmtId="0" fontId="1" fillId="3" borderId="0" applyNumberFormat="0" applyBorder="0" applyAlignment="0" applyProtection="0"/>
    <xf numFmtId="0" fontId="1" fillId="23"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23" borderId="0" applyNumberFormat="0" applyBorder="0" applyAlignment="0" applyProtection="0"/>
    <xf numFmtId="0" fontId="1" fillId="6" borderId="0" applyNumberFormat="0" applyBorder="0" applyAlignment="0" applyProtection="0"/>
    <xf numFmtId="0" fontId="1" fillId="26" borderId="0" applyNumberFormat="0" applyBorder="0" applyAlignment="0" applyProtection="0"/>
    <xf numFmtId="0" fontId="1" fillId="58" borderId="104" applyNumberFormat="0" applyFont="0" applyAlignment="0" applyProtection="0"/>
    <xf numFmtId="0" fontId="1" fillId="3" borderId="0" applyNumberFormat="0" applyBorder="0" applyAlignment="0" applyProtection="0"/>
    <xf numFmtId="0" fontId="1" fillId="69" borderId="0" applyNumberFormat="0" applyBorder="0" applyAlignment="0" applyProtection="0"/>
    <xf numFmtId="0" fontId="1" fillId="26"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26" borderId="0" applyNumberFormat="0" applyBorder="0" applyAlignment="0" applyProtection="0"/>
    <xf numFmtId="0" fontId="1" fillId="3" borderId="0" applyNumberFormat="0" applyBorder="0" applyAlignment="0" applyProtection="0"/>
    <xf numFmtId="0" fontId="1" fillId="26" borderId="0" applyNumberFormat="0" applyBorder="0" applyAlignment="0" applyProtection="0"/>
    <xf numFmtId="0" fontId="1" fillId="6" borderId="0" applyNumberFormat="0" applyBorder="0" applyAlignment="0" applyProtection="0"/>
    <xf numFmtId="0" fontId="1" fillId="23"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23" borderId="0" applyNumberFormat="0" applyBorder="0" applyAlignment="0" applyProtection="0"/>
    <xf numFmtId="0" fontId="1" fillId="6" borderId="0" applyNumberFormat="0" applyBorder="0" applyAlignment="0" applyProtection="0"/>
    <xf numFmtId="0" fontId="1" fillId="26"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58" borderId="104" applyNumberFormat="0" applyFont="0" applyAlignment="0" applyProtection="0"/>
    <xf numFmtId="0" fontId="1" fillId="26" borderId="0" applyNumberFormat="0" applyBorder="0" applyAlignment="0" applyProtection="0"/>
    <xf numFmtId="0" fontId="1" fillId="3" borderId="0" applyNumberFormat="0" applyBorder="0" applyAlignment="0" applyProtection="0"/>
    <xf numFmtId="0" fontId="1" fillId="26" borderId="0" applyNumberFormat="0" applyBorder="0" applyAlignment="0" applyProtection="0"/>
    <xf numFmtId="0" fontId="1" fillId="6" borderId="0" applyNumberFormat="0" applyBorder="0" applyAlignment="0" applyProtection="0"/>
    <xf numFmtId="0" fontId="1" fillId="23" borderId="0" applyNumberFormat="0" applyBorder="0" applyAlignment="0" applyProtection="0"/>
    <xf numFmtId="0" fontId="1" fillId="6" borderId="0" applyNumberFormat="0" applyBorder="0" applyAlignment="0" applyProtection="0"/>
    <xf numFmtId="0" fontId="1" fillId="58" borderId="104" applyNumberFormat="0" applyFont="0" applyAlignment="0" applyProtection="0"/>
    <xf numFmtId="0" fontId="1" fillId="58" borderId="104" applyNumberFormat="0" applyFont="0" applyAlignment="0" applyProtection="0"/>
    <xf numFmtId="0" fontId="1" fillId="26" borderId="0" applyNumberFormat="0" applyBorder="0" applyAlignment="0" applyProtection="0"/>
    <xf numFmtId="0" fontId="1" fillId="3" borderId="0" applyNumberFormat="0" applyBorder="0" applyAlignment="0" applyProtection="0"/>
    <xf numFmtId="0" fontId="1" fillId="81" borderId="0" applyNumberFormat="0" applyBorder="0" applyAlignment="0" applyProtection="0"/>
    <xf numFmtId="0" fontId="1" fillId="26" borderId="0" applyNumberFormat="0" applyBorder="0" applyAlignment="0" applyProtection="0"/>
    <xf numFmtId="0" fontId="1" fillId="7" borderId="0" applyNumberFormat="0" applyBorder="0" applyAlignment="0" applyProtection="0"/>
    <xf numFmtId="0" fontId="1" fillId="26" borderId="0" applyNumberFormat="0" applyBorder="0" applyAlignment="0" applyProtection="0"/>
    <xf numFmtId="0" fontId="1" fillId="58" borderId="104" applyNumberFormat="0" applyFont="0" applyAlignment="0" applyProtection="0"/>
    <xf numFmtId="0" fontId="1" fillId="3"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23"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3" borderId="0" applyNumberFormat="0" applyBorder="0" applyAlignment="0" applyProtection="0"/>
    <xf numFmtId="0" fontId="1" fillId="26"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26" borderId="0" applyNumberFormat="0" applyBorder="0" applyAlignment="0" applyProtection="0"/>
    <xf numFmtId="0" fontId="1" fillId="58" borderId="104" applyNumberFormat="0" applyFont="0" applyAlignment="0" applyProtection="0"/>
    <xf numFmtId="0" fontId="1" fillId="3" borderId="0" applyNumberFormat="0" applyBorder="0" applyAlignment="0" applyProtection="0"/>
    <xf numFmtId="0" fontId="1" fillId="26" borderId="0" applyNumberFormat="0" applyBorder="0" applyAlignment="0" applyProtection="0"/>
    <xf numFmtId="0" fontId="1" fillId="6" borderId="0" applyNumberFormat="0" applyBorder="0" applyAlignment="0" applyProtection="0"/>
    <xf numFmtId="0" fontId="1" fillId="23" borderId="0" applyNumberFormat="0" applyBorder="0" applyAlignment="0" applyProtection="0"/>
    <xf numFmtId="0" fontId="1" fillId="6" borderId="0" applyNumberFormat="0" applyBorder="0" applyAlignment="0" applyProtection="0"/>
    <xf numFmtId="0" fontId="1" fillId="26" borderId="0" applyNumberFormat="0" applyBorder="0" applyAlignment="0" applyProtection="0"/>
    <xf numFmtId="0" fontId="1" fillId="58" borderId="104" applyNumberFormat="0" applyFont="0" applyAlignment="0" applyProtection="0"/>
    <xf numFmtId="0" fontId="1" fillId="58" borderId="104" applyNumberFormat="0" applyFont="0" applyAlignment="0" applyProtection="0"/>
    <xf numFmtId="0" fontId="1" fillId="58" borderId="104" applyNumberFormat="0" applyFont="0" applyAlignment="0" applyProtection="0"/>
    <xf numFmtId="0" fontId="1" fillId="6" borderId="0" applyNumberFormat="0" applyBorder="0" applyAlignment="0" applyProtection="0"/>
    <xf numFmtId="0" fontId="1" fillId="64" borderId="0" applyNumberFormat="0" applyBorder="0" applyAlignment="0" applyProtection="0"/>
    <xf numFmtId="0" fontId="1" fillId="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3" borderId="0" applyNumberFormat="0" applyBorder="0" applyAlignment="0" applyProtection="0"/>
    <xf numFmtId="0" fontId="1" fillId="3" borderId="0" applyNumberFormat="0" applyBorder="0" applyAlignment="0" applyProtection="0"/>
    <xf numFmtId="0" fontId="1" fillId="3" borderId="0" applyNumberFormat="0" applyBorder="0" applyAlignment="0" applyProtection="0"/>
    <xf numFmtId="0" fontId="1" fillId="3" borderId="0" applyNumberFormat="0" applyBorder="0" applyAlignment="0" applyProtection="0"/>
    <xf numFmtId="0" fontId="1" fillId="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26" borderId="0" applyNumberFormat="0" applyBorder="0" applyAlignment="0" applyProtection="0"/>
    <xf numFmtId="0" fontId="1" fillId="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26"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26"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9"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9" borderId="0" applyNumberFormat="0" applyBorder="0" applyAlignment="0" applyProtection="0"/>
    <xf numFmtId="0" fontId="1" fillId="6" borderId="0" applyNumberFormat="0" applyBorder="0" applyAlignment="0" applyProtection="0"/>
    <xf numFmtId="0" fontId="1" fillId="23" borderId="0" applyNumberFormat="0" applyBorder="0" applyAlignment="0" applyProtection="0"/>
    <xf numFmtId="0" fontId="1" fillId="6" borderId="0" applyNumberFormat="0" applyBorder="0" applyAlignment="0" applyProtection="0"/>
    <xf numFmtId="0" fontId="1" fillId="9" borderId="0" applyNumberFormat="0" applyBorder="0" applyAlignment="0" applyProtection="0"/>
    <xf numFmtId="0" fontId="1" fillId="8"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58" borderId="104" applyNumberFormat="0" applyFont="0" applyAlignment="0" applyProtection="0"/>
    <xf numFmtId="0" fontId="1" fillId="26" borderId="0" applyNumberFormat="0" applyBorder="0" applyAlignment="0" applyProtection="0"/>
    <xf numFmtId="0" fontId="1" fillId="3" borderId="0" applyNumberFormat="0" applyBorder="0" applyAlignment="0" applyProtection="0"/>
    <xf numFmtId="0" fontId="1" fillId="23" borderId="0" applyNumberFormat="0" applyBorder="0" applyAlignment="0" applyProtection="0"/>
    <xf numFmtId="0" fontId="1" fillId="26" borderId="0" applyNumberFormat="0" applyBorder="0" applyAlignment="0" applyProtection="0"/>
    <xf numFmtId="0" fontId="1" fillId="58" borderId="104" applyNumberFormat="0" applyFont="0" applyAlignment="0" applyProtection="0"/>
    <xf numFmtId="0" fontId="1" fillId="26" borderId="0" applyNumberFormat="0" applyBorder="0" applyAlignment="0" applyProtection="0"/>
    <xf numFmtId="0" fontId="1" fillId="6" borderId="0" applyNumberFormat="0" applyBorder="0" applyAlignment="0" applyProtection="0"/>
    <xf numFmtId="0" fontId="1" fillId="23" borderId="0" applyNumberFormat="0" applyBorder="0" applyAlignment="0" applyProtection="0"/>
    <xf numFmtId="0" fontId="1" fillId="6" borderId="0" applyNumberFormat="0" applyBorder="0" applyAlignment="0" applyProtection="0"/>
    <xf numFmtId="0" fontId="1" fillId="26" borderId="0" applyNumberFormat="0" applyBorder="0" applyAlignment="0" applyProtection="0"/>
    <xf numFmtId="0" fontId="1" fillId="3" borderId="0" applyNumberFormat="0" applyBorder="0" applyAlignment="0" applyProtection="0"/>
    <xf numFmtId="0" fontId="1" fillId="77" borderId="0" applyNumberFormat="0" applyBorder="0" applyAlignment="0" applyProtection="0"/>
    <xf numFmtId="0" fontId="1" fillId="26"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26" borderId="0" applyNumberFormat="0" applyBorder="0" applyAlignment="0" applyProtection="0"/>
    <xf numFmtId="0" fontId="1" fillId="3" borderId="0" applyNumberFormat="0" applyBorder="0" applyAlignment="0" applyProtection="0"/>
    <xf numFmtId="0" fontId="1" fillId="58" borderId="104" applyNumberFormat="0" applyFont="0" applyAlignment="0" applyProtection="0"/>
    <xf numFmtId="0" fontId="1" fillId="6" borderId="0" applyNumberFormat="0" applyBorder="0" applyAlignment="0" applyProtection="0"/>
    <xf numFmtId="0" fontId="1" fillId="58" borderId="104" applyNumberFormat="0" applyFont="0" applyAlignment="0" applyProtection="0"/>
    <xf numFmtId="0" fontId="1" fillId="23"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23" borderId="0" applyNumberFormat="0" applyBorder="0" applyAlignment="0" applyProtection="0"/>
    <xf numFmtId="0" fontId="1" fillId="26"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26" borderId="0" applyNumberFormat="0" applyBorder="0" applyAlignment="0" applyProtection="0"/>
    <xf numFmtId="0" fontId="1" fillId="3" borderId="0" applyNumberFormat="0" applyBorder="0" applyAlignment="0" applyProtection="0"/>
    <xf numFmtId="0" fontId="1" fillId="26" borderId="0" applyNumberFormat="0" applyBorder="0" applyAlignment="0" applyProtection="0"/>
    <xf numFmtId="0" fontId="1" fillId="6" borderId="0" applyNumberFormat="0" applyBorder="0" applyAlignment="0" applyProtection="0"/>
    <xf numFmtId="0" fontId="1" fillId="23" borderId="0" applyNumberFormat="0" applyBorder="0" applyAlignment="0" applyProtection="0"/>
    <xf numFmtId="0" fontId="1" fillId="6"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6" borderId="0" applyNumberFormat="0" applyBorder="0" applyAlignment="0" applyProtection="0"/>
    <xf numFmtId="0" fontId="1" fillId="23" borderId="0" applyNumberFormat="0" applyBorder="0" applyAlignment="0" applyProtection="0"/>
    <xf numFmtId="0" fontId="1" fillId="60" borderId="0" applyNumberFormat="0" applyBorder="0" applyAlignment="0" applyProtection="0"/>
    <xf numFmtId="0" fontId="1" fillId="26"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26" borderId="0" applyNumberFormat="0" applyBorder="0" applyAlignment="0" applyProtection="0"/>
    <xf numFmtId="0" fontId="1" fillId="3" borderId="0" applyNumberFormat="0" applyBorder="0" applyAlignment="0" applyProtection="0"/>
    <xf numFmtId="0" fontId="1" fillId="26" borderId="0" applyNumberFormat="0" applyBorder="0" applyAlignment="0" applyProtection="0"/>
    <xf numFmtId="0" fontId="1" fillId="58" borderId="104" applyNumberFormat="0" applyFont="0" applyAlignment="0" applyProtection="0"/>
    <xf numFmtId="0" fontId="1" fillId="6" borderId="0" applyNumberFormat="0" applyBorder="0" applyAlignment="0" applyProtection="0"/>
    <xf numFmtId="0" fontId="1" fillId="23" borderId="0" applyNumberFormat="0" applyBorder="0" applyAlignment="0" applyProtection="0"/>
    <xf numFmtId="0" fontId="1" fillId="6" borderId="0" applyNumberFormat="0" applyBorder="0" applyAlignment="0" applyProtection="0"/>
    <xf numFmtId="0" fontId="1" fillId="58" borderId="104" applyNumberFormat="0" applyFont="0" applyAlignment="0" applyProtection="0"/>
    <xf numFmtId="0" fontId="1" fillId="26" borderId="0" applyNumberFormat="0" applyBorder="0" applyAlignment="0" applyProtection="0"/>
    <xf numFmtId="0" fontId="1" fillId="3" borderId="0" applyNumberFormat="0" applyBorder="0" applyAlignment="0" applyProtection="0"/>
    <xf numFmtId="0" fontId="1" fillId="7" borderId="0" applyNumberFormat="0" applyBorder="0" applyAlignment="0" applyProtection="0"/>
    <xf numFmtId="0" fontId="1" fillId="26" borderId="0" applyNumberFormat="0" applyBorder="0" applyAlignment="0" applyProtection="0"/>
    <xf numFmtId="0" fontId="1" fillId="7" borderId="0" applyNumberFormat="0" applyBorder="0" applyAlignment="0" applyProtection="0"/>
    <xf numFmtId="0" fontId="1" fillId="26" borderId="0" applyNumberFormat="0" applyBorder="0" applyAlignment="0" applyProtection="0"/>
    <xf numFmtId="0" fontId="1" fillId="3" borderId="0" applyNumberFormat="0" applyBorder="0" applyAlignment="0" applyProtection="0"/>
    <xf numFmtId="0" fontId="1" fillId="23"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23" borderId="0" applyNumberFormat="0" applyBorder="0" applyAlignment="0" applyProtection="0"/>
    <xf numFmtId="0" fontId="1" fillId="6" borderId="0" applyNumberFormat="0" applyBorder="0" applyAlignment="0" applyProtection="0"/>
    <xf numFmtId="0" fontId="1" fillId="58" borderId="104" applyNumberFormat="0" applyFont="0" applyAlignment="0" applyProtection="0"/>
    <xf numFmtId="0" fontId="1" fillId="26" borderId="0" applyNumberFormat="0" applyBorder="0" applyAlignment="0" applyProtection="0"/>
    <xf numFmtId="0" fontId="1" fillId="3" borderId="0" applyNumberFormat="0" applyBorder="0" applyAlignment="0" applyProtection="0"/>
    <xf numFmtId="0" fontId="1" fillId="72" borderId="0" applyNumberFormat="0" applyBorder="0" applyAlignment="0" applyProtection="0"/>
    <xf numFmtId="0" fontId="1" fillId="26"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26" borderId="0" applyNumberFormat="0" applyBorder="0" applyAlignment="0" applyProtection="0"/>
    <xf numFmtId="0" fontId="1" fillId="3" borderId="0" applyNumberFormat="0" applyBorder="0" applyAlignment="0" applyProtection="0"/>
    <xf numFmtId="0" fontId="1" fillId="0" borderId="0"/>
    <xf numFmtId="0" fontId="1" fillId="26" borderId="0" applyNumberFormat="0" applyBorder="0" applyAlignment="0" applyProtection="0"/>
    <xf numFmtId="0" fontId="1" fillId="6" borderId="0" applyNumberFormat="0" applyBorder="0" applyAlignment="0" applyProtection="0"/>
    <xf numFmtId="0" fontId="1" fillId="23" borderId="0" applyNumberFormat="0" applyBorder="0" applyAlignment="0" applyProtection="0"/>
    <xf numFmtId="0" fontId="1" fillId="6" borderId="0" applyNumberFormat="0" applyBorder="0" applyAlignment="0" applyProtection="0"/>
    <xf numFmtId="0" fontId="1" fillId="26" borderId="0" applyNumberFormat="0" applyBorder="0" applyAlignment="0" applyProtection="0"/>
    <xf numFmtId="0" fontId="1" fillId="58" borderId="104" applyNumberFormat="0" applyFont="0" applyAlignment="0" applyProtection="0"/>
    <xf numFmtId="0" fontId="1" fillId="58" borderId="104" applyNumberFormat="0" applyFont="0" applyAlignment="0" applyProtection="0"/>
    <xf numFmtId="0" fontId="1" fillId="9" borderId="0" applyNumberFormat="0" applyBorder="0" applyAlignment="0" applyProtection="0"/>
    <xf numFmtId="0" fontId="1" fillId="0" borderId="0"/>
    <xf numFmtId="0" fontId="1" fillId="0" borderId="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6" borderId="0" applyNumberFormat="0" applyBorder="0" applyAlignment="0" applyProtection="0"/>
    <xf numFmtId="0" fontId="1" fillId="23"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3" borderId="0" applyNumberFormat="0" applyBorder="0" applyAlignment="0" applyProtection="0"/>
    <xf numFmtId="0" fontId="1" fillId="3" borderId="0" applyNumberFormat="0" applyBorder="0" applyAlignment="0" applyProtection="0"/>
    <xf numFmtId="0" fontId="1" fillId="3" borderId="0" applyNumberFormat="0" applyBorder="0" applyAlignment="0" applyProtection="0"/>
    <xf numFmtId="0" fontId="1" fillId="3" borderId="0" applyNumberFormat="0" applyBorder="0" applyAlignment="0" applyProtection="0"/>
    <xf numFmtId="0" fontId="1" fillId="3" borderId="0" applyNumberFormat="0" applyBorder="0" applyAlignment="0" applyProtection="0"/>
    <xf numFmtId="0" fontId="1" fillId="6"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26" borderId="0" applyNumberFormat="0" applyBorder="0" applyAlignment="0" applyProtection="0"/>
    <xf numFmtId="0" fontId="1" fillId="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26"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8" borderId="0" applyNumberFormat="0" applyBorder="0" applyAlignment="0" applyProtection="0"/>
    <xf numFmtId="0" fontId="1" fillId="58" borderId="104" applyNumberFormat="0" applyFont="0" applyAlignment="0" applyProtection="0"/>
    <xf numFmtId="0" fontId="1" fillId="6" borderId="0" applyNumberFormat="0" applyBorder="0" applyAlignment="0" applyProtection="0"/>
    <xf numFmtId="0" fontId="1" fillId="23" borderId="0" applyNumberFormat="0" applyBorder="0" applyAlignment="0" applyProtection="0"/>
    <xf numFmtId="0" fontId="1" fillId="6" borderId="0" applyNumberFormat="0" applyBorder="0" applyAlignment="0" applyProtection="0"/>
    <xf numFmtId="0" fontId="1" fillId="26"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26" borderId="0" applyNumberFormat="0" applyBorder="0" applyAlignment="0" applyProtection="0"/>
    <xf numFmtId="0" fontId="1" fillId="3" borderId="0" applyNumberFormat="0" applyBorder="0" applyAlignment="0" applyProtection="0"/>
    <xf numFmtId="0" fontId="1" fillId="26" borderId="0" applyNumberFormat="0" applyBorder="0" applyAlignment="0" applyProtection="0"/>
    <xf numFmtId="0" fontId="1" fillId="6" borderId="0" applyNumberFormat="0" applyBorder="0" applyAlignment="0" applyProtection="0"/>
    <xf numFmtId="0" fontId="1" fillId="23" borderId="0" applyNumberFormat="0" applyBorder="0" applyAlignment="0" applyProtection="0"/>
    <xf numFmtId="0" fontId="1" fillId="6" borderId="0" applyNumberFormat="0" applyBorder="0" applyAlignment="0" applyProtection="0"/>
    <xf numFmtId="0" fontId="1" fillId="58" borderId="104" applyNumberFormat="0" applyFont="0" applyAlignment="0" applyProtection="0"/>
    <xf numFmtId="0" fontId="1" fillId="26" borderId="0" applyNumberFormat="0" applyBorder="0" applyAlignment="0" applyProtection="0"/>
    <xf numFmtId="0" fontId="1" fillId="58" borderId="104" applyNumberFormat="0" applyFont="0" applyAlignment="0" applyProtection="0"/>
    <xf numFmtId="0" fontId="1" fillId="3" borderId="0" applyNumberFormat="0" applyBorder="0" applyAlignment="0" applyProtection="0"/>
    <xf numFmtId="0" fontId="1" fillId="26" borderId="0" applyNumberFormat="0" applyBorder="0" applyAlignment="0" applyProtection="0"/>
    <xf numFmtId="0" fontId="1" fillId="7" borderId="0" applyNumberFormat="0" applyBorder="0" applyAlignment="0" applyProtection="0"/>
    <xf numFmtId="0" fontId="1" fillId="26" borderId="0" applyNumberFormat="0" applyBorder="0" applyAlignment="0" applyProtection="0"/>
    <xf numFmtId="0" fontId="1" fillId="3" borderId="0" applyNumberFormat="0" applyBorder="0" applyAlignment="0" applyProtection="0"/>
    <xf numFmtId="0" fontId="1" fillId="23"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23" borderId="0" applyNumberFormat="0" applyBorder="0" applyAlignment="0" applyProtection="0"/>
    <xf numFmtId="0" fontId="1" fillId="6" borderId="0" applyNumberFormat="0" applyBorder="0" applyAlignment="0" applyProtection="0"/>
    <xf numFmtId="0" fontId="1" fillId="26" borderId="0" applyNumberFormat="0" applyBorder="0" applyAlignment="0" applyProtection="0"/>
    <xf numFmtId="0" fontId="1" fillId="3" borderId="0" applyNumberFormat="0" applyBorder="0" applyAlignment="0" applyProtection="0"/>
    <xf numFmtId="0" fontId="1" fillId="68" borderId="0" applyNumberFormat="0" applyBorder="0" applyAlignment="0" applyProtection="0"/>
    <xf numFmtId="0" fontId="1" fillId="26"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26" borderId="0" applyNumberFormat="0" applyBorder="0" applyAlignment="0" applyProtection="0"/>
    <xf numFmtId="0" fontId="1" fillId="3" borderId="0" applyNumberFormat="0" applyBorder="0" applyAlignment="0" applyProtection="0"/>
    <xf numFmtId="0" fontId="1" fillId="26" borderId="0" applyNumberFormat="0" applyBorder="0" applyAlignment="0" applyProtection="0"/>
    <xf numFmtId="0" fontId="1" fillId="6" borderId="0" applyNumberFormat="0" applyBorder="0" applyAlignment="0" applyProtection="0"/>
    <xf numFmtId="0" fontId="1" fillId="23"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23" borderId="0" applyNumberFormat="0" applyBorder="0" applyAlignment="0" applyProtection="0"/>
    <xf numFmtId="0" fontId="1" fillId="6" borderId="0" applyNumberFormat="0" applyBorder="0" applyAlignment="0" applyProtection="0"/>
    <xf numFmtId="0" fontId="1" fillId="26" borderId="0" applyNumberFormat="0" applyBorder="0" applyAlignment="0" applyProtection="0"/>
    <xf numFmtId="0" fontId="1" fillId="7" borderId="0" applyNumberFormat="0" applyBorder="0" applyAlignment="0" applyProtection="0"/>
    <xf numFmtId="0" fontId="1" fillId="26" borderId="0" applyNumberFormat="0" applyBorder="0" applyAlignment="0" applyProtection="0"/>
    <xf numFmtId="0" fontId="1" fillId="58" borderId="104" applyNumberFormat="0" applyFont="0" applyAlignment="0" applyProtection="0"/>
    <xf numFmtId="0" fontId="1" fillId="26" borderId="0" applyNumberFormat="0" applyBorder="0" applyAlignment="0" applyProtection="0"/>
    <xf numFmtId="0" fontId="1" fillId="3"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0" borderId="0"/>
    <xf numFmtId="0" fontId="1" fillId="6" borderId="0" applyNumberFormat="0" applyBorder="0" applyAlignment="0" applyProtection="0"/>
    <xf numFmtId="0" fontId="1" fillId="23" borderId="0" applyNumberFormat="0" applyBorder="0" applyAlignment="0" applyProtection="0"/>
    <xf numFmtId="0" fontId="1" fillId="6" borderId="0" applyNumberFormat="0" applyBorder="0" applyAlignment="0" applyProtection="0"/>
    <xf numFmtId="0" fontId="1" fillId="26" borderId="0" applyNumberFormat="0" applyBorder="0" applyAlignment="0" applyProtection="0"/>
    <xf numFmtId="0" fontId="1" fillId="3" borderId="0" applyNumberFormat="0" applyBorder="0" applyAlignment="0" applyProtection="0"/>
    <xf numFmtId="0" fontId="1" fillId="80" borderId="0" applyNumberFormat="0" applyBorder="0" applyAlignment="0" applyProtection="0"/>
    <xf numFmtId="0" fontId="1" fillId="26" borderId="0" applyNumberFormat="0" applyBorder="0" applyAlignment="0" applyProtection="0"/>
    <xf numFmtId="0" fontId="1" fillId="7" borderId="0" applyNumberFormat="0" applyBorder="0" applyAlignment="0" applyProtection="0"/>
    <xf numFmtId="0" fontId="1" fillId="26" borderId="0" applyNumberFormat="0" applyBorder="0" applyAlignment="0" applyProtection="0"/>
    <xf numFmtId="0" fontId="1" fillId="58" borderId="104" applyNumberFormat="0" applyFont="0" applyAlignment="0" applyProtection="0"/>
    <xf numFmtId="0" fontId="1" fillId="3" borderId="0" applyNumberFormat="0" applyBorder="0" applyAlignment="0" applyProtection="0"/>
    <xf numFmtId="0" fontId="1" fillId="6" borderId="0" applyNumberFormat="0" applyBorder="0" applyAlignment="0" applyProtection="0"/>
    <xf numFmtId="0" fontId="1" fillId="0" borderId="0"/>
    <xf numFmtId="0" fontId="1" fillId="6" borderId="0" applyNumberFormat="0" applyBorder="0" applyAlignment="0" applyProtection="0"/>
    <xf numFmtId="0" fontId="1" fillId="23"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3" borderId="0" applyNumberFormat="0" applyBorder="0" applyAlignment="0" applyProtection="0"/>
    <xf numFmtId="0" fontId="1" fillId="26"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0" borderId="0"/>
    <xf numFmtId="0" fontId="1" fillId="26" borderId="0" applyNumberFormat="0" applyBorder="0" applyAlignment="0" applyProtection="0"/>
    <xf numFmtId="0" fontId="1" fillId="3" borderId="0" applyNumberFormat="0" applyBorder="0" applyAlignment="0" applyProtection="0"/>
    <xf numFmtId="0" fontId="1" fillId="26" borderId="0" applyNumberFormat="0" applyBorder="0" applyAlignment="0" applyProtection="0"/>
    <xf numFmtId="0" fontId="1" fillId="6" borderId="0" applyNumberFormat="0" applyBorder="0" applyAlignment="0" applyProtection="0"/>
    <xf numFmtId="0" fontId="1" fillId="23" borderId="0" applyNumberFormat="0" applyBorder="0" applyAlignment="0" applyProtection="0"/>
    <xf numFmtId="0" fontId="1" fillId="6" borderId="0" applyNumberFormat="0" applyBorder="0" applyAlignment="0" applyProtection="0"/>
    <xf numFmtId="0" fontId="1" fillId="26" borderId="0" applyNumberFormat="0" applyBorder="0" applyAlignment="0" applyProtection="0"/>
    <xf numFmtId="0" fontId="1" fillId="58" borderId="104" applyNumberFormat="0" applyFont="0" applyAlignment="0" applyProtection="0"/>
    <xf numFmtId="9" fontId="1" fillId="0" borderId="0" applyFont="0" applyFill="0" applyBorder="0" applyAlignment="0" applyProtection="0"/>
    <xf numFmtId="0" fontId="1" fillId="58" borderId="104" applyNumberFormat="0" applyFont="0" applyAlignment="0" applyProtection="0"/>
    <xf numFmtId="0" fontId="1" fillId="58" borderId="104" applyNumberFormat="0" applyFont="0" applyAlignment="0" applyProtection="0"/>
    <xf numFmtId="0" fontId="1" fillId="58" borderId="104" applyNumberFormat="0" applyFont="0" applyAlignment="0" applyProtection="0"/>
    <xf numFmtId="0" fontId="1" fillId="58" borderId="104" applyNumberFormat="0" applyFont="0" applyAlignment="0" applyProtection="0"/>
    <xf numFmtId="0" fontId="1" fillId="3" borderId="0" applyNumberFormat="0" applyBorder="0" applyAlignment="0" applyProtection="0"/>
    <xf numFmtId="0" fontId="1" fillId="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3" borderId="0" applyNumberFormat="0" applyBorder="0" applyAlignment="0" applyProtection="0"/>
    <xf numFmtId="0" fontId="1" fillId="3" borderId="0" applyNumberFormat="0" applyBorder="0" applyAlignment="0" applyProtection="0"/>
    <xf numFmtId="0" fontId="1" fillId="3" borderId="0" applyNumberFormat="0" applyBorder="0" applyAlignment="0" applyProtection="0"/>
    <xf numFmtId="0" fontId="1" fillId="3" borderId="0" applyNumberFormat="0" applyBorder="0" applyAlignment="0" applyProtection="0"/>
    <xf numFmtId="0" fontId="1" fillId="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26" borderId="0" applyNumberFormat="0" applyBorder="0" applyAlignment="0" applyProtection="0"/>
    <xf numFmtId="0" fontId="1" fillId="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26"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26"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58" borderId="104" applyNumberFormat="0" applyFont="0" applyAlignment="0" applyProtection="0"/>
    <xf numFmtId="0" fontId="1" fillId="58" borderId="104" applyNumberFormat="0" applyFont="0" applyAlignment="0" applyProtection="0"/>
    <xf numFmtId="0" fontId="1" fillId="58" borderId="104" applyNumberFormat="0" applyFont="0" applyAlignment="0" applyProtection="0"/>
    <xf numFmtId="0" fontId="1" fillId="58" borderId="104" applyNumberFormat="0" applyFont="0" applyAlignment="0" applyProtection="0"/>
    <xf numFmtId="0" fontId="1" fillId="58" borderId="104" applyNumberFormat="0" applyFont="0" applyAlignment="0" applyProtection="0"/>
    <xf numFmtId="0" fontId="1" fillId="58" borderId="104" applyNumberFormat="0" applyFont="0" applyAlignment="0" applyProtection="0"/>
    <xf numFmtId="0" fontId="1" fillId="58" borderId="104" applyNumberFormat="0" applyFont="0" applyAlignment="0" applyProtection="0"/>
    <xf numFmtId="0" fontId="1" fillId="58" borderId="104" applyNumberFormat="0" applyFont="0" applyAlignment="0" applyProtection="0"/>
    <xf numFmtId="0" fontId="1" fillId="58" borderId="104" applyNumberFormat="0" applyFont="0" applyAlignment="0" applyProtection="0"/>
    <xf numFmtId="0" fontId="1" fillId="58" borderId="104" applyNumberFormat="0" applyFont="0" applyAlignment="0" applyProtection="0"/>
    <xf numFmtId="165" fontId="1" fillId="0" borderId="0" applyFont="0" applyFill="0" applyBorder="0" applyAlignment="0" applyProtection="0"/>
    <xf numFmtId="0" fontId="1" fillId="0" borderId="0"/>
    <xf numFmtId="9" fontId="1" fillId="0" borderId="0" applyFont="0" applyFill="0" applyBorder="0" applyAlignment="0" applyProtection="0"/>
    <xf numFmtId="0" fontId="1" fillId="0" borderId="0"/>
    <xf numFmtId="0" fontId="1" fillId="0" borderId="0"/>
    <xf numFmtId="9" fontId="1" fillId="0" borderId="0" applyFont="0" applyFill="0" applyBorder="0" applyAlignment="0" applyProtection="0"/>
    <xf numFmtId="165" fontId="1"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9" fontId="1" fillId="0" borderId="0" applyFont="0" applyFill="0" applyBorder="0" applyAlignment="0" applyProtection="0"/>
    <xf numFmtId="0" fontId="1" fillId="60" borderId="0" applyNumberFormat="0" applyBorder="0" applyAlignment="0" applyProtection="0"/>
    <xf numFmtId="0" fontId="1" fillId="61" borderId="0" applyNumberFormat="0" applyBorder="0" applyAlignment="0" applyProtection="0"/>
    <xf numFmtId="0" fontId="1" fillId="64" borderId="0" applyNumberFormat="0" applyBorder="0" applyAlignment="0" applyProtection="0"/>
    <xf numFmtId="0" fontId="1" fillId="65" borderId="0" applyNumberFormat="0" applyBorder="0" applyAlignment="0" applyProtection="0"/>
    <xf numFmtId="0" fontId="1" fillId="68" borderId="0" applyNumberFormat="0" applyBorder="0" applyAlignment="0" applyProtection="0"/>
    <xf numFmtId="0" fontId="1" fillId="69" borderId="0" applyNumberFormat="0" applyBorder="0" applyAlignment="0" applyProtection="0"/>
    <xf numFmtId="0" fontId="1" fillId="72" borderId="0" applyNumberFormat="0" applyBorder="0" applyAlignment="0" applyProtection="0"/>
    <xf numFmtId="0" fontId="1" fillId="73" borderId="0" applyNumberFormat="0" applyBorder="0" applyAlignment="0" applyProtection="0"/>
    <xf numFmtId="0" fontId="1" fillId="76" borderId="0" applyNumberFormat="0" applyBorder="0" applyAlignment="0" applyProtection="0"/>
    <xf numFmtId="0" fontId="1" fillId="77" borderId="0" applyNumberFormat="0" applyBorder="0" applyAlignment="0" applyProtection="0"/>
    <xf numFmtId="0" fontId="1" fillId="80" borderId="0" applyNumberFormat="0" applyBorder="0" applyAlignment="0" applyProtection="0"/>
    <xf numFmtId="0" fontId="1" fillId="81" borderId="0" applyNumberFormat="0" applyBorder="0" applyAlignment="0" applyProtection="0"/>
    <xf numFmtId="0" fontId="1" fillId="0" borderId="0"/>
    <xf numFmtId="0" fontId="1" fillId="58" borderId="104" applyNumberFormat="0" applyFont="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65" fontId="1" fillId="0" borderId="0" applyFont="0" applyFill="0" applyBorder="0" applyAlignment="0" applyProtection="0"/>
    <xf numFmtId="9"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9" fontId="1" fillId="0" borderId="0" applyFont="0" applyFill="0" applyBorder="0" applyAlignment="0" applyProtection="0"/>
    <xf numFmtId="0" fontId="1" fillId="0" borderId="0"/>
    <xf numFmtId="0" fontId="1" fillId="0" borderId="0"/>
    <xf numFmtId="0" fontId="1" fillId="0" borderId="0"/>
    <xf numFmtId="0" fontId="1" fillId="0" borderId="0"/>
    <xf numFmtId="0" fontId="38" fillId="26" borderId="11" applyNumberFormat="0" applyFont="0" applyAlignment="0" applyProtection="0"/>
    <xf numFmtId="9" fontId="1" fillId="0" borderId="0" applyFont="0" applyFill="0" applyBorder="0" applyAlignment="0" applyProtection="0"/>
    <xf numFmtId="0" fontId="1" fillId="0" borderId="0"/>
    <xf numFmtId="0" fontId="1" fillId="0" borderId="0"/>
    <xf numFmtId="0" fontId="1" fillId="0" borderId="0"/>
    <xf numFmtId="0" fontId="1" fillId="0" borderId="0"/>
    <xf numFmtId="0" fontId="21" fillId="21" borderId="12" applyNumberFormat="0" applyAlignment="0" applyProtection="0"/>
    <xf numFmtId="0" fontId="38" fillId="26" borderId="11" applyNumberFormat="0" applyFont="0" applyAlignment="0" applyProtection="0"/>
    <xf numFmtId="0" fontId="38" fillId="26" borderId="11" applyNumberFormat="0" applyFont="0" applyAlignment="0" applyProtection="0"/>
    <xf numFmtId="0" fontId="38" fillId="26" borderId="11" applyNumberFormat="0" applyFont="0" applyAlignment="0" applyProtection="0"/>
    <xf numFmtId="0" fontId="38" fillId="26" borderId="11" applyNumberFormat="0" applyFont="0" applyAlignment="0" applyProtection="0"/>
    <xf numFmtId="0" fontId="10" fillId="26" borderId="11" applyNumberFormat="0" applyFont="0" applyAlignment="0" applyProtection="0"/>
    <xf numFmtId="9" fontId="1" fillId="0" borderId="0" applyFont="0" applyFill="0" applyBorder="0" applyAlignment="0" applyProtection="0"/>
    <xf numFmtId="0" fontId="1" fillId="60" borderId="0" applyNumberFormat="0" applyBorder="0" applyAlignment="0" applyProtection="0"/>
    <xf numFmtId="0" fontId="1" fillId="61" borderId="0" applyNumberFormat="0" applyBorder="0" applyAlignment="0" applyProtection="0"/>
    <xf numFmtId="0" fontId="1" fillId="64" borderId="0" applyNumberFormat="0" applyBorder="0" applyAlignment="0" applyProtection="0"/>
    <xf numFmtId="0" fontId="1" fillId="65" borderId="0" applyNumberFormat="0" applyBorder="0" applyAlignment="0" applyProtection="0"/>
    <xf numFmtId="0" fontId="1" fillId="68" borderId="0" applyNumberFormat="0" applyBorder="0" applyAlignment="0" applyProtection="0"/>
    <xf numFmtId="0" fontId="1" fillId="69" borderId="0" applyNumberFormat="0" applyBorder="0" applyAlignment="0" applyProtection="0"/>
    <xf numFmtId="0" fontId="1" fillId="72" borderId="0" applyNumberFormat="0" applyBorder="0" applyAlignment="0" applyProtection="0"/>
    <xf numFmtId="0" fontId="1" fillId="73" borderId="0" applyNumberFormat="0" applyBorder="0" applyAlignment="0" applyProtection="0"/>
    <xf numFmtId="0" fontId="1" fillId="76" borderId="0" applyNumberFormat="0" applyBorder="0" applyAlignment="0" applyProtection="0"/>
    <xf numFmtId="0" fontId="1" fillId="77" borderId="0" applyNumberFormat="0" applyBorder="0" applyAlignment="0" applyProtection="0"/>
    <xf numFmtId="0" fontId="1" fillId="80" borderId="0" applyNumberFormat="0" applyBorder="0" applyAlignment="0" applyProtection="0"/>
    <xf numFmtId="0" fontId="1" fillId="81" borderId="0" applyNumberFormat="0" applyBorder="0" applyAlignment="0" applyProtection="0"/>
    <xf numFmtId="49" fontId="41" fillId="0" borderId="1" applyNumberFormat="0" applyFont="0" applyFill="0" applyBorder="0" applyProtection="0">
      <alignment horizontal="left" vertical="center" indent="5"/>
    </xf>
    <xf numFmtId="43" fontId="10" fillId="0" borderId="0" applyFont="0" applyFill="0" applyBorder="0" applyAlignment="0" applyProtection="0"/>
    <xf numFmtId="43" fontId="38" fillId="0" borderId="0" applyFont="0" applyFill="0" applyBorder="0" applyAlignment="0" applyProtection="0"/>
    <xf numFmtId="43" fontId="38" fillId="0" borderId="0" applyFont="0" applyFill="0" applyBorder="0" applyAlignment="0" applyProtection="0"/>
    <xf numFmtId="43" fontId="38" fillId="0" borderId="0" applyFont="0" applyFill="0" applyBorder="0" applyAlignment="0" applyProtection="0"/>
    <xf numFmtId="43" fontId="38" fillId="0" borderId="0" applyFont="0" applyFill="0" applyBorder="0" applyAlignment="0" applyProtection="0"/>
    <xf numFmtId="43" fontId="1" fillId="0" borderId="0" applyFont="0" applyFill="0" applyBorder="0" applyAlignment="0" applyProtection="0"/>
    <xf numFmtId="43" fontId="10" fillId="0" borderId="0" applyFont="0" applyFill="0" applyBorder="0" applyAlignment="0" applyProtection="0"/>
    <xf numFmtId="0" fontId="41" fillId="0" borderId="7">
      <alignment horizontal="left" vertical="center" wrapText="1" indent="2"/>
    </xf>
    <xf numFmtId="41" fontId="19" fillId="0" borderId="0" applyFont="0" applyFill="0" applyBorder="0" applyAlignment="0" applyProtection="0"/>
    <xf numFmtId="41" fontId="19" fillId="0" borderId="0" applyFont="0" applyFill="0" applyBorder="0" applyAlignment="0" applyProtection="0"/>
    <xf numFmtId="41" fontId="19" fillId="0" borderId="0" applyFont="0" applyFill="0" applyBorder="0" applyAlignment="0" applyProtection="0"/>
    <xf numFmtId="41" fontId="19" fillId="0" borderId="0" applyFont="0" applyFill="0" applyBorder="0" applyAlignment="0" applyProtection="0"/>
    <xf numFmtId="41" fontId="19" fillId="0" borderId="0" applyFont="0" applyFill="0" applyBorder="0" applyAlignment="0" applyProtection="0"/>
    <xf numFmtId="41" fontId="19" fillId="0" borderId="0" applyFont="0" applyFill="0" applyBorder="0" applyAlignment="0" applyProtection="0"/>
    <xf numFmtId="41" fontId="19" fillId="0" borderId="0" applyFont="0" applyFill="0" applyBorder="0" applyAlignment="0" applyProtection="0"/>
    <xf numFmtId="41" fontId="19" fillId="0" borderId="0" applyFont="0" applyFill="0" applyBorder="0" applyAlignment="0" applyProtection="0"/>
    <xf numFmtId="41" fontId="19" fillId="0" borderId="0" applyFont="0" applyFill="0" applyBorder="0" applyAlignment="0" applyProtection="0"/>
    <xf numFmtId="41" fontId="19" fillId="0" borderId="0" applyFont="0" applyFill="0" applyBorder="0" applyAlignment="0" applyProtection="0"/>
    <xf numFmtId="41" fontId="19" fillId="0" borderId="0" applyFont="0" applyFill="0" applyBorder="0" applyAlignment="0" applyProtection="0"/>
    <xf numFmtId="41" fontId="19" fillId="0" borderId="0" applyFont="0" applyFill="0" applyBorder="0" applyAlignment="0" applyProtection="0"/>
    <xf numFmtId="41" fontId="19" fillId="0" borderId="0" applyFont="0" applyFill="0" applyBorder="0" applyAlignment="0" applyProtection="0"/>
    <xf numFmtId="41" fontId="19" fillId="0" borderId="0" applyFont="0" applyFill="0" applyBorder="0" applyAlignment="0" applyProtection="0"/>
    <xf numFmtId="41" fontId="19" fillId="0" borderId="0" applyFont="0" applyFill="0" applyBorder="0" applyAlignment="0" applyProtection="0"/>
    <xf numFmtId="41" fontId="19" fillId="0" borderId="0" applyFont="0" applyFill="0" applyBorder="0" applyAlignment="0" applyProtection="0"/>
    <xf numFmtId="41" fontId="19" fillId="0" borderId="0" applyFont="0" applyFill="0" applyBorder="0" applyAlignment="0" applyProtection="0"/>
    <xf numFmtId="41" fontId="19" fillId="0" borderId="0" applyFont="0" applyFill="0" applyBorder="0" applyAlignment="0" applyProtection="0"/>
    <xf numFmtId="41" fontId="19" fillId="0" borderId="0" applyFont="0" applyFill="0" applyBorder="0" applyAlignment="0" applyProtection="0"/>
    <xf numFmtId="41" fontId="19" fillId="0" borderId="0" applyFont="0" applyFill="0" applyBorder="0" applyAlignment="0" applyProtection="0"/>
    <xf numFmtId="41" fontId="19" fillId="0" borderId="0" applyFont="0" applyFill="0" applyBorder="0" applyAlignment="0" applyProtection="0"/>
    <xf numFmtId="41" fontId="19" fillId="0" borderId="0" applyFont="0" applyFill="0" applyBorder="0" applyAlignment="0" applyProtection="0"/>
    <xf numFmtId="41" fontId="19" fillId="0" borderId="0" applyFont="0" applyFill="0" applyBorder="0" applyAlignment="0" applyProtection="0"/>
    <xf numFmtId="41" fontId="19" fillId="0" borderId="0" applyFont="0" applyFill="0" applyBorder="0" applyAlignment="0" applyProtection="0"/>
    <xf numFmtId="41" fontId="19" fillId="0" borderId="0" applyFont="0" applyFill="0" applyBorder="0" applyAlignment="0" applyProtection="0"/>
    <xf numFmtId="41" fontId="19" fillId="0" borderId="0" applyFont="0" applyFill="0" applyBorder="0" applyAlignment="0" applyProtection="0"/>
    <xf numFmtId="41" fontId="19" fillId="0" borderId="0" applyFont="0" applyFill="0" applyBorder="0" applyAlignment="0" applyProtection="0"/>
    <xf numFmtId="41" fontId="19" fillId="0" borderId="0" applyFont="0" applyFill="0" applyBorder="0" applyAlignment="0" applyProtection="0"/>
    <xf numFmtId="41" fontId="19" fillId="0" borderId="0" applyFont="0" applyFill="0" applyBorder="0" applyAlignment="0" applyProtection="0"/>
    <xf numFmtId="41" fontId="19" fillId="0" borderId="0" applyFont="0" applyFill="0" applyBorder="0" applyAlignment="0" applyProtection="0"/>
    <xf numFmtId="41" fontId="19" fillId="0" borderId="0" applyFont="0" applyFill="0" applyBorder="0" applyAlignment="0" applyProtection="0"/>
    <xf numFmtId="41" fontId="19" fillId="0" borderId="0" applyFont="0" applyFill="0" applyBorder="0" applyAlignment="0" applyProtection="0"/>
    <xf numFmtId="41" fontId="19" fillId="0" borderId="0" applyFont="0" applyFill="0" applyBorder="0" applyAlignment="0" applyProtection="0"/>
    <xf numFmtId="41" fontId="19" fillId="0" borderId="0" applyFont="0" applyFill="0" applyBorder="0" applyAlignment="0" applyProtection="0"/>
    <xf numFmtId="41" fontId="19" fillId="0" borderId="0" applyFont="0" applyFill="0" applyBorder="0" applyAlignment="0" applyProtection="0"/>
    <xf numFmtId="41" fontId="19" fillId="0" borderId="0" applyFont="0" applyFill="0" applyBorder="0" applyAlignment="0" applyProtection="0"/>
    <xf numFmtId="41" fontId="19" fillId="0" borderId="0" applyFont="0" applyFill="0" applyBorder="0" applyAlignment="0" applyProtection="0"/>
    <xf numFmtId="41" fontId="19" fillId="0" borderId="0" applyFont="0" applyFill="0" applyBorder="0" applyAlignment="0" applyProtection="0"/>
    <xf numFmtId="41" fontId="19" fillId="0" borderId="0" applyFont="0" applyFill="0" applyBorder="0" applyAlignment="0" applyProtection="0"/>
    <xf numFmtId="41" fontId="19" fillId="0" borderId="0" applyFont="0" applyFill="0" applyBorder="0" applyAlignment="0" applyProtection="0"/>
    <xf numFmtId="41" fontId="19" fillId="0" borderId="0" applyFont="0" applyFill="0" applyBorder="0" applyAlignment="0" applyProtection="0"/>
    <xf numFmtId="41" fontId="19" fillId="0" borderId="0" applyFont="0" applyFill="0" applyBorder="0" applyAlignment="0" applyProtection="0"/>
    <xf numFmtId="41" fontId="19" fillId="0" borderId="0" applyFont="0" applyFill="0" applyBorder="0" applyAlignment="0" applyProtection="0"/>
    <xf numFmtId="41" fontId="19" fillId="0" borderId="0" applyFont="0" applyFill="0" applyBorder="0" applyAlignment="0" applyProtection="0"/>
    <xf numFmtId="41" fontId="19" fillId="0" borderId="0" applyFont="0" applyFill="0" applyBorder="0" applyAlignment="0" applyProtection="0"/>
    <xf numFmtId="41" fontId="19" fillId="0" borderId="0" applyFont="0" applyFill="0" applyBorder="0" applyAlignment="0" applyProtection="0"/>
    <xf numFmtId="41" fontId="19" fillId="0" borderId="0" applyFont="0" applyFill="0" applyBorder="0" applyAlignment="0" applyProtection="0"/>
    <xf numFmtId="41" fontId="19" fillId="0" borderId="0" applyFont="0" applyFill="0" applyBorder="0" applyAlignment="0" applyProtection="0"/>
    <xf numFmtId="41" fontId="19" fillId="0" borderId="0" applyFont="0" applyFill="0" applyBorder="0" applyAlignment="0" applyProtection="0"/>
    <xf numFmtId="41" fontId="19" fillId="0" borderId="0" applyFont="0" applyFill="0" applyBorder="0" applyAlignment="0" applyProtection="0"/>
    <xf numFmtId="41" fontId="19" fillId="0" borderId="0" applyFont="0" applyFill="0" applyBorder="0" applyAlignment="0" applyProtection="0"/>
    <xf numFmtId="41" fontId="19" fillId="0" borderId="0" applyFont="0" applyFill="0" applyBorder="0" applyAlignment="0" applyProtection="0"/>
    <xf numFmtId="41" fontId="19" fillId="0" borderId="0" applyFont="0" applyFill="0" applyBorder="0" applyAlignment="0" applyProtection="0"/>
    <xf numFmtId="41" fontId="19" fillId="0" borderId="0" applyFont="0" applyFill="0" applyBorder="0" applyAlignment="0" applyProtection="0"/>
    <xf numFmtId="41" fontId="19" fillId="0" borderId="0" applyFont="0" applyFill="0" applyBorder="0" applyAlignment="0" applyProtection="0"/>
    <xf numFmtId="41" fontId="19" fillId="0" borderId="0" applyFont="0" applyFill="0" applyBorder="0" applyAlignment="0" applyProtection="0"/>
    <xf numFmtId="41" fontId="19" fillId="0" borderId="0" applyFont="0" applyFill="0" applyBorder="0" applyAlignment="0" applyProtection="0"/>
    <xf numFmtId="41" fontId="19"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38" fillId="0" borderId="0" applyFont="0" applyFill="0" applyBorder="0" applyAlignment="0" applyProtection="0"/>
    <xf numFmtId="43" fontId="38"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38" fillId="0" borderId="0" applyFont="0" applyFill="0" applyBorder="0" applyAlignment="0" applyProtection="0"/>
    <xf numFmtId="43" fontId="38"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38" fillId="0" borderId="0" applyFont="0" applyFill="0" applyBorder="0" applyAlignment="0" applyProtection="0"/>
    <xf numFmtId="43" fontId="38"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38" fillId="0" borderId="0" applyFont="0" applyFill="0" applyBorder="0" applyAlignment="0" applyProtection="0"/>
    <xf numFmtId="43" fontId="38"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38" fillId="0" borderId="0" applyFont="0" applyFill="0" applyBorder="0" applyAlignment="0" applyProtection="0"/>
    <xf numFmtId="43" fontId="38"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38" fillId="0" borderId="0" applyFont="0" applyFill="0" applyBorder="0" applyAlignment="0" applyProtection="0"/>
    <xf numFmtId="43" fontId="38"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38" fillId="0" borderId="0" applyFont="0" applyFill="0" applyBorder="0" applyAlignment="0" applyProtection="0"/>
    <xf numFmtId="43" fontId="38"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38" fillId="0" borderId="0" applyFont="0" applyFill="0" applyBorder="0" applyAlignment="0" applyProtection="0"/>
    <xf numFmtId="43" fontId="38"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38" fillId="0" borderId="0" applyFont="0" applyFill="0" applyBorder="0" applyAlignment="0" applyProtection="0"/>
    <xf numFmtId="43" fontId="38"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38" fillId="0" borderId="0" applyFont="0" applyFill="0" applyBorder="0" applyAlignment="0" applyProtection="0"/>
    <xf numFmtId="43" fontId="38"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38" fillId="0" borderId="0" applyFont="0" applyFill="0" applyBorder="0" applyAlignment="0" applyProtection="0"/>
    <xf numFmtId="43" fontId="38"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38" fillId="0" borderId="0" applyFont="0" applyFill="0" applyBorder="0" applyAlignment="0" applyProtection="0"/>
    <xf numFmtId="43" fontId="38"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38" fillId="0" borderId="0" applyFont="0" applyFill="0" applyBorder="0" applyAlignment="0" applyProtection="0"/>
    <xf numFmtId="43" fontId="38"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38" fillId="0" borderId="0" applyFont="0" applyFill="0" applyBorder="0" applyAlignment="0" applyProtection="0"/>
    <xf numFmtId="43" fontId="38"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38" fillId="0" borderId="0" applyFont="0" applyFill="0" applyBorder="0" applyAlignment="0" applyProtection="0"/>
    <xf numFmtId="43" fontId="38"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38" fillId="0" borderId="0" applyFont="0" applyFill="0" applyBorder="0" applyAlignment="0" applyProtection="0"/>
    <xf numFmtId="43" fontId="38"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38" fillId="0" borderId="0" applyFont="0" applyFill="0" applyBorder="0" applyAlignment="0" applyProtection="0"/>
    <xf numFmtId="43" fontId="38"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38" fillId="0" borderId="0" applyFont="0" applyFill="0" applyBorder="0" applyAlignment="0" applyProtection="0"/>
    <xf numFmtId="43" fontId="38"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38" fillId="0" borderId="0" applyFont="0" applyFill="0" applyBorder="0" applyAlignment="0" applyProtection="0"/>
    <xf numFmtId="43" fontId="38"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38" fillId="0" borderId="0" applyFont="0" applyFill="0" applyBorder="0" applyAlignment="0" applyProtection="0"/>
    <xf numFmtId="43" fontId="38"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38" fillId="0" borderId="0" applyFont="0" applyFill="0" applyBorder="0" applyAlignment="0" applyProtection="0"/>
    <xf numFmtId="43" fontId="38"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38" fillId="0" borderId="0" applyFont="0" applyFill="0" applyBorder="0" applyAlignment="0" applyProtection="0"/>
    <xf numFmtId="43" fontId="38"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38" fillId="0" borderId="0" applyFont="0" applyFill="0" applyBorder="0" applyAlignment="0" applyProtection="0"/>
    <xf numFmtId="43" fontId="38"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38" fillId="0" borderId="0" applyFont="0" applyFill="0" applyBorder="0" applyAlignment="0" applyProtection="0"/>
    <xf numFmtId="43" fontId="38"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38" fillId="0" borderId="0" applyFont="0" applyFill="0" applyBorder="0" applyAlignment="0" applyProtection="0"/>
    <xf numFmtId="43" fontId="38"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38" fillId="0" borderId="0" applyFont="0" applyFill="0" applyBorder="0" applyAlignment="0" applyProtection="0"/>
    <xf numFmtId="43" fontId="38"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38" fillId="0" borderId="0" applyFont="0" applyFill="0" applyBorder="0" applyAlignment="0" applyProtection="0"/>
    <xf numFmtId="43" fontId="38"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38" fillId="0" borderId="0" applyFont="0" applyFill="0" applyBorder="0" applyAlignment="0" applyProtection="0"/>
    <xf numFmtId="43" fontId="38"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38" fillId="0" borderId="0" applyFont="0" applyFill="0" applyBorder="0" applyAlignment="0" applyProtection="0"/>
    <xf numFmtId="43" fontId="38"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38" fillId="0" borderId="0" applyFont="0" applyFill="0" applyBorder="0" applyAlignment="0" applyProtection="0"/>
    <xf numFmtId="43" fontId="38"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38" fillId="0" borderId="0" applyFont="0" applyFill="0" applyBorder="0" applyAlignment="0" applyProtection="0"/>
    <xf numFmtId="43" fontId="38"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38" fillId="0" borderId="0" applyFont="0" applyFill="0" applyBorder="0" applyAlignment="0" applyProtection="0"/>
    <xf numFmtId="43" fontId="38"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38" fillId="0" borderId="0" applyFont="0" applyFill="0" applyBorder="0" applyAlignment="0" applyProtection="0"/>
    <xf numFmtId="43" fontId="38"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38" fillId="0" borderId="0" applyFont="0" applyFill="0" applyBorder="0" applyAlignment="0" applyProtection="0"/>
    <xf numFmtId="43" fontId="38"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38" fillId="0" borderId="0" applyFont="0" applyFill="0" applyBorder="0" applyAlignment="0" applyProtection="0"/>
    <xf numFmtId="43" fontId="38"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38" fillId="0" borderId="0" applyFont="0" applyFill="0" applyBorder="0" applyAlignment="0" applyProtection="0"/>
    <xf numFmtId="43" fontId="38"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38" fillId="0" borderId="0" applyFont="0" applyFill="0" applyBorder="0" applyAlignment="0" applyProtection="0"/>
    <xf numFmtId="43" fontId="38"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38" fillId="0" borderId="0" applyFont="0" applyFill="0" applyBorder="0" applyAlignment="0" applyProtection="0"/>
    <xf numFmtId="43" fontId="38"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38" fillId="0" borderId="0" applyFont="0" applyFill="0" applyBorder="0" applyAlignment="0" applyProtection="0"/>
    <xf numFmtId="43" fontId="38"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38" fillId="0" borderId="0" applyFont="0" applyFill="0" applyBorder="0" applyAlignment="0" applyProtection="0"/>
    <xf numFmtId="43" fontId="38"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38" fillId="0" borderId="0" applyFont="0" applyFill="0" applyBorder="0" applyAlignment="0" applyProtection="0"/>
    <xf numFmtId="43" fontId="38"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38" fillId="0" borderId="0" applyFont="0" applyFill="0" applyBorder="0" applyAlignment="0" applyProtection="0"/>
    <xf numFmtId="43" fontId="38"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38" fillId="0" borderId="0" applyFont="0" applyFill="0" applyBorder="0" applyAlignment="0" applyProtection="0"/>
    <xf numFmtId="43" fontId="38"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38" fillId="0" borderId="0" applyFont="0" applyFill="0" applyBorder="0" applyAlignment="0" applyProtection="0"/>
    <xf numFmtId="43" fontId="38"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38" fillId="0" borderId="0" applyFont="0" applyFill="0" applyBorder="0" applyAlignment="0" applyProtection="0"/>
    <xf numFmtId="43" fontId="38"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38" fillId="0" borderId="0" applyFont="0" applyFill="0" applyBorder="0" applyAlignment="0" applyProtection="0"/>
    <xf numFmtId="43" fontId="38"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38" fillId="0" borderId="0" applyFont="0" applyFill="0" applyBorder="0" applyAlignment="0" applyProtection="0"/>
    <xf numFmtId="43" fontId="38"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38" fillId="0" borderId="0" applyFont="0" applyFill="0" applyBorder="0" applyAlignment="0" applyProtection="0"/>
    <xf numFmtId="43" fontId="38"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38" fillId="0" borderId="0" applyFont="0" applyFill="0" applyBorder="0" applyAlignment="0" applyProtection="0"/>
    <xf numFmtId="43" fontId="38"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38" fillId="0" borderId="0" applyFont="0" applyFill="0" applyBorder="0" applyAlignment="0" applyProtection="0"/>
    <xf numFmtId="43" fontId="38"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38" fillId="0" borderId="0" applyFont="0" applyFill="0" applyBorder="0" applyAlignment="0" applyProtection="0"/>
    <xf numFmtId="43" fontId="38"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38" fillId="0" borderId="0" applyFont="0" applyFill="0" applyBorder="0" applyAlignment="0" applyProtection="0"/>
    <xf numFmtId="43" fontId="38"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38" fillId="0" borderId="0" applyFont="0" applyFill="0" applyBorder="0" applyAlignment="0" applyProtection="0"/>
    <xf numFmtId="43" fontId="38"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38" fillId="0" borderId="0" applyFont="0" applyFill="0" applyBorder="0" applyAlignment="0" applyProtection="0"/>
    <xf numFmtId="43" fontId="38"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38" fillId="0" borderId="0" applyFont="0" applyFill="0" applyBorder="0" applyAlignment="0" applyProtection="0"/>
    <xf numFmtId="43" fontId="38"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38" fillId="0" borderId="0" applyFont="0" applyFill="0" applyBorder="0" applyAlignment="0" applyProtection="0"/>
    <xf numFmtId="43" fontId="38"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38" fillId="0" borderId="0" applyFont="0" applyFill="0" applyBorder="0" applyAlignment="0" applyProtection="0"/>
    <xf numFmtId="43" fontId="38"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38" fillId="0" borderId="0" applyFont="0" applyFill="0" applyBorder="0" applyAlignment="0" applyProtection="0"/>
    <xf numFmtId="43" fontId="38"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38" fillId="0" borderId="0" applyFont="0" applyFill="0" applyBorder="0" applyAlignment="0" applyProtection="0"/>
    <xf numFmtId="43" fontId="38"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38" fillId="0" borderId="0" applyFont="0" applyFill="0" applyBorder="0" applyAlignment="0" applyProtection="0"/>
    <xf numFmtId="43" fontId="38" fillId="0" borderId="0" applyFont="0" applyFill="0" applyBorder="0" applyAlignment="0" applyProtection="0"/>
    <xf numFmtId="0" fontId="1" fillId="0" borderId="0"/>
    <xf numFmtId="0" fontId="1" fillId="0" borderId="0"/>
    <xf numFmtId="4" fontId="41" fillId="0" borderId="2" applyFill="0" applyBorder="0" applyProtection="0">
      <alignment horizontal="right" vertical="center"/>
    </xf>
    <xf numFmtId="0" fontId="41" fillId="0" borderId="2" applyNumberFormat="0" applyFill="0" applyAlignment="0" applyProtection="0"/>
    <xf numFmtId="0" fontId="10" fillId="26" borderId="11" applyNumberFormat="0" applyFont="0" applyAlignment="0" applyProtection="0"/>
    <xf numFmtId="0" fontId="10" fillId="26" borderId="11" applyNumberFormat="0" applyFont="0" applyAlignment="0" applyProtection="0"/>
    <xf numFmtId="0" fontId="38" fillId="26" borderId="11" applyNumberFormat="0" applyFont="0" applyAlignment="0" applyProtection="0"/>
    <xf numFmtId="0" fontId="38" fillId="26" borderId="11" applyNumberFormat="0" applyFont="0" applyAlignment="0" applyProtection="0"/>
    <xf numFmtId="0" fontId="21" fillId="21" borderId="12" applyNumberFormat="0" applyAlignment="0" applyProtection="0"/>
    <xf numFmtId="0" fontId="21" fillId="21" borderId="12" applyNumberFormat="0" applyAlignment="0" applyProtection="0"/>
    <xf numFmtId="181" fontId="41" fillId="27" borderId="2" applyNumberFormat="0" applyFont="0" applyBorder="0" applyAlignment="0" applyProtection="0">
      <alignment horizontal="right" vertical="center"/>
    </xf>
    <xf numFmtId="9" fontId="1" fillId="0" borderId="0" applyFont="0" applyFill="0" applyBorder="0" applyAlignment="0" applyProtection="0"/>
    <xf numFmtId="0" fontId="28" fillId="0" borderId="13" applyNumberFormat="0" applyFill="0" applyAlignment="0" applyProtection="0"/>
    <xf numFmtId="0" fontId="1" fillId="0" borderId="0"/>
    <xf numFmtId="0" fontId="1" fillId="58" borderId="104" applyNumberFormat="0" applyFont="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65" fontId="1" fillId="0" borderId="0" applyFont="0" applyFill="0" applyBorder="0" applyAlignment="0" applyProtection="0"/>
    <xf numFmtId="9" fontId="1" fillId="0" borderId="0" applyFont="0" applyFill="0" applyBorder="0" applyAlignment="0" applyProtection="0"/>
    <xf numFmtId="43" fontId="1"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0" fillId="26" borderId="11" applyNumberFormat="0" applyFont="0" applyAlignment="0" applyProtection="0"/>
    <xf numFmtId="0" fontId="10" fillId="26" borderId="11" applyNumberFormat="0" applyFont="0" applyAlignment="0" applyProtection="0"/>
    <xf numFmtId="9" fontId="1" fillId="0" borderId="0" applyFont="0" applyFill="0" applyBorder="0" applyAlignment="0" applyProtection="0"/>
    <xf numFmtId="0" fontId="1" fillId="0" borderId="0"/>
    <xf numFmtId="0" fontId="1" fillId="65" borderId="0" applyNumberFormat="0" applyBorder="0" applyAlignment="0" applyProtection="0"/>
    <xf numFmtId="0" fontId="1" fillId="76" borderId="0" applyNumberFormat="0" applyBorder="0" applyAlignment="0" applyProtection="0"/>
    <xf numFmtId="43" fontId="10" fillId="0" borderId="0" applyFont="0" applyFill="0" applyBorder="0" applyAlignment="0" applyProtection="0"/>
    <xf numFmtId="0" fontId="1" fillId="0" borderId="0"/>
    <xf numFmtId="9"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8"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6" borderId="0" applyNumberFormat="0" applyBorder="0" applyAlignment="0" applyProtection="0"/>
    <xf numFmtId="0" fontId="1" fillId="76" borderId="0" applyNumberFormat="0" applyBorder="0" applyAlignment="0" applyProtection="0"/>
    <xf numFmtId="0" fontId="1" fillId="76" borderId="0" applyNumberFormat="0" applyBorder="0" applyAlignment="0" applyProtection="0"/>
    <xf numFmtId="0" fontId="1" fillId="76" borderId="0" applyNumberFormat="0" applyBorder="0" applyAlignment="0" applyProtection="0"/>
    <xf numFmtId="0" fontId="1" fillId="76" borderId="0" applyNumberFormat="0" applyBorder="0" applyAlignment="0" applyProtection="0"/>
    <xf numFmtId="0" fontId="1" fillId="76" borderId="0" applyNumberFormat="0" applyBorder="0" applyAlignment="0" applyProtection="0"/>
    <xf numFmtId="0" fontId="1" fillId="76" borderId="0" applyNumberFormat="0" applyBorder="0" applyAlignment="0" applyProtection="0"/>
    <xf numFmtId="0" fontId="1" fillId="76" borderId="0" applyNumberFormat="0" applyBorder="0" applyAlignment="0" applyProtection="0"/>
    <xf numFmtId="0" fontId="1" fillId="76" borderId="0" applyNumberFormat="0" applyBorder="0" applyAlignment="0" applyProtection="0"/>
    <xf numFmtId="0" fontId="1" fillId="76" borderId="0" applyNumberFormat="0" applyBorder="0" applyAlignment="0" applyProtection="0"/>
    <xf numFmtId="0" fontId="1" fillId="76" borderId="0" applyNumberFormat="0" applyBorder="0" applyAlignment="0" applyProtection="0"/>
    <xf numFmtId="0" fontId="1" fillId="76" borderId="0" applyNumberFormat="0" applyBorder="0" applyAlignment="0" applyProtection="0"/>
    <xf numFmtId="0" fontId="1" fillId="76" borderId="0" applyNumberFormat="0" applyBorder="0" applyAlignment="0" applyProtection="0"/>
    <xf numFmtId="0" fontId="1" fillId="76" borderId="0" applyNumberFormat="0" applyBorder="0" applyAlignment="0" applyProtection="0"/>
    <xf numFmtId="0" fontId="1" fillId="76" borderId="0" applyNumberFormat="0" applyBorder="0" applyAlignment="0" applyProtection="0"/>
    <xf numFmtId="0" fontId="1" fillId="76" borderId="0" applyNumberFormat="0" applyBorder="0" applyAlignment="0" applyProtection="0"/>
    <xf numFmtId="0" fontId="1" fillId="76" borderId="0" applyNumberFormat="0" applyBorder="0" applyAlignment="0" applyProtection="0"/>
    <xf numFmtId="0" fontId="1" fillId="76" borderId="0" applyNumberFormat="0" applyBorder="0" applyAlignment="0" applyProtection="0"/>
    <xf numFmtId="0" fontId="1" fillId="76" borderId="0" applyNumberFormat="0" applyBorder="0" applyAlignment="0" applyProtection="0"/>
    <xf numFmtId="0" fontId="1" fillId="76" borderId="0" applyNumberFormat="0" applyBorder="0" applyAlignment="0" applyProtection="0"/>
    <xf numFmtId="0" fontId="1" fillId="76" borderId="0" applyNumberFormat="0" applyBorder="0" applyAlignment="0" applyProtection="0"/>
    <xf numFmtId="0" fontId="1" fillId="76" borderId="0" applyNumberFormat="0" applyBorder="0" applyAlignment="0" applyProtection="0"/>
    <xf numFmtId="0" fontId="1" fillId="76" borderId="0" applyNumberFormat="0" applyBorder="0" applyAlignment="0" applyProtection="0"/>
    <xf numFmtId="0" fontId="1" fillId="76" borderId="0" applyNumberFormat="0" applyBorder="0" applyAlignment="0" applyProtection="0"/>
    <xf numFmtId="0" fontId="1" fillId="76" borderId="0" applyNumberFormat="0" applyBorder="0" applyAlignment="0" applyProtection="0"/>
    <xf numFmtId="0" fontId="1" fillId="76" borderId="0" applyNumberFormat="0" applyBorder="0" applyAlignment="0" applyProtection="0"/>
    <xf numFmtId="0" fontId="1" fillId="76" borderId="0" applyNumberFormat="0" applyBorder="0" applyAlignment="0" applyProtection="0"/>
    <xf numFmtId="0" fontId="1" fillId="76" borderId="0" applyNumberFormat="0" applyBorder="0" applyAlignment="0" applyProtection="0"/>
    <xf numFmtId="0" fontId="1" fillId="76" borderId="0" applyNumberFormat="0" applyBorder="0" applyAlignment="0" applyProtection="0"/>
    <xf numFmtId="0" fontId="1" fillId="76" borderId="0" applyNumberFormat="0" applyBorder="0" applyAlignment="0" applyProtection="0"/>
    <xf numFmtId="0" fontId="1" fillId="76" borderId="0" applyNumberFormat="0" applyBorder="0" applyAlignment="0" applyProtection="0"/>
    <xf numFmtId="0" fontId="1" fillId="76" borderId="0" applyNumberFormat="0" applyBorder="0" applyAlignment="0" applyProtection="0"/>
    <xf numFmtId="0" fontId="1" fillId="76" borderId="0" applyNumberFormat="0" applyBorder="0" applyAlignment="0" applyProtection="0"/>
    <xf numFmtId="0" fontId="1" fillId="76" borderId="0" applyNumberFormat="0" applyBorder="0" applyAlignment="0" applyProtection="0"/>
    <xf numFmtId="0" fontId="1" fillId="76" borderId="0" applyNumberFormat="0" applyBorder="0" applyAlignment="0" applyProtection="0"/>
    <xf numFmtId="0" fontId="1" fillId="76" borderId="0" applyNumberFormat="0" applyBorder="0" applyAlignment="0" applyProtection="0"/>
    <xf numFmtId="0" fontId="1" fillId="76" borderId="0" applyNumberFormat="0" applyBorder="0" applyAlignment="0" applyProtection="0"/>
    <xf numFmtId="0" fontId="1" fillId="76" borderId="0" applyNumberFormat="0" applyBorder="0" applyAlignment="0" applyProtection="0"/>
    <xf numFmtId="0" fontId="1" fillId="76" borderId="0" applyNumberFormat="0" applyBorder="0" applyAlignment="0" applyProtection="0"/>
    <xf numFmtId="0" fontId="1" fillId="76" borderId="0" applyNumberFormat="0" applyBorder="0" applyAlignment="0" applyProtection="0"/>
    <xf numFmtId="0" fontId="1" fillId="76" borderId="0" applyNumberFormat="0" applyBorder="0" applyAlignment="0" applyProtection="0"/>
    <xf numFmtId="0" fontId="1" fillId="76" borderId="0" applyNumberFormat="0" applyBorder="0" applyAlignment="0" applyProtection="0"/>
    <xf numFmtId="0" fontId="1" fillId="76" borderId="0" applyNumberFormat="0" applyBorder="0" applyAlignment="0" applyProtection="0"/>
    <xf numFmtId="0" fontId="1" fillId="76" borderId="0" applyNumberFormat="0" applyBorder="0" applyAlignment="0" applyProtection="0"/>
    <xf numFmtId="0" fontId="1" fillId="76" borderId="0" applyNumberFormat="0" applyBorder="0" applyAlignment="0" applyProtection="0"/>
    <xf numFmtId="0" fontId="1" fillId="76" borderId="0" applyNumberFormat="0" applyBorder="0" applyAlignment="0" applyProtection="0"/>
    <xf numFmtId="0" fontId="1" fillId="76" borderId="0" applyNumberFormat="0" applyBorder="0" applyAlignment="0" applyProtection="0"/>
    <xf numFmtId="0" fontId="1" fillId="76" borderId="0" applyNumberFormat="0" applyBorder="0" applyAlignment="0" applyProtection="0"/>
    <xf numFmtId="0" fontId="1" fillId="76" borderId="0" applyNumberFormat="0" applyBorder="0" applyAlignment="0" applyProtection="0"/>
    <xf numFmtId="0" fontId="1" fillId="76" borderId="0" applyNumberFormat="0" applyBorder="0" applyAlignment="0" applyProtection="0"/>
    <xf numFmtId="0" fontId="1" fillId="76" borderId="0" applyNumberFormat="0" applyBorder="0" applyAlignment="0" applyProtection="0"/>
    <xf numFmtId="0" fontId="1" fillId="76" borderId="0" applyNumberFormat="0" applyBorder="0" applyAlignment="0" applyProtection="0"/>
    <xf numFmtId="0" fontId="1" fillId="76" borderId="0" applyNumberFormat="0" applyBorder="0" applyAlignment="0" applyProtection="0"/>
    <xf numFmtId="0" fontId="1" fillId="76" borderId="0" applyNumberFormat="0" applyBorder="0" applyAlignment="0" applyProtection="0"/>
    <xf numFmtId="0" fontId="1" fillId="76" borderId="0" applyNumberFormat="0" applyBorder="0" applyAlignment="0" applyProtection="0"/>
    <xf numFmtId="0" fontId="1" fillId="76" borderId="0" applyNumberFormat="0" applyBorder="0" applyAlignment="0" applyProtection="0"/>
    <xf numFmtId="0" fontId="1" fillId="76" borderId="0" applyNumberFormat="0" applyBorder="0" applyAlignment="0" applyProtection="0"/>
    <xf numFmtId="0" fontId="1" fillId="76" borderId="0" applyNumberFormat="0" applyBorder="0" applyAlignment="0" applyProtection="0"/>
    <xf numFmtId="0" fontId="1" fillId="76" borderId="0" applyNumberFormat="0" applyBorder="0" applyAlignment="0" applyProtection="0"/>
    <xf numFmtId="0" fontId="1" fillId="76" borderId="0" applyNumberFormat="0" applyBorder="0" applyAlignment="0" applyProtection="0"/>
    <xf numFmtId="0" fontId="1" fillId="76" borderId="0" applyNumberFormat="0" applyBorder="0" applyAlignment="0" applyProtection="0"/>
    <xf numFmtId="0" fontId="1" fillId="76" borderId="0" applyNumberFormat="0" applyBorder="0" applyAlignment="0" applyProtection="0"/>
    <xf numFmtId="0" fontId="1" fillId="76" borderId="0" applyNumberFormat="0" applyBorder="0" applyAlignment="0" applyProtection="0"/>
    <xf numFmtId="0" fontId="1" fillId="76" borderId="0" applyNumberFormat="0" applyBorder="0" applyAlignment="0" applyProtection="0"/>
    <xf numFmtId="0" fontId="1" fillId="76" borderId="0" applyNumberFormat="0" applyBorder="0" applyAlignment="0" applyProtection="0"/>
    <xf numFmtId="0" fontId="1" fillId="76" borderId="0" applyNumberFormat="0" applyBorder="0" applyAlignment="0" applyProtection="0"/>
    <xf numFmtId="0" fontId="1" fillId="76" borderId="0" applyNumberFormat="0" applyBorder="0" applyAlignment="0" applyProtection="0"/>
    <xf numFmtId="0" fontId="1" fillId="76" borderId="0" applyNumberFormat="0" applyBorder="0" applyAlignment="0" applyProtection="0"/>
    <xf numFmtId="0" fontId="1" fillId="76" borderId="0" applyNumberFormat="0" applyBorder="0" applyAlignment="0" applyProtection="0"/>
    <xf numFmtId="0" fontId="1" fillId="76" borderId="0" applyNumberFormat="0" applyBorder="0" applyAlignment="0" applyProtection="0"/>
    <xf numFmtId="0" fontId="1" fillId="76" borderId="0" applyNumberFormat="0" applyBorder="0" applyAlignment="0" applyProtection="0"/>
    <xf numFmtId="0" fontId="1" fillId="76" borderId="0" applyNumberFormat="0" applyBorder="0" applyAlignment="0" applyProtection="0"/>
    <xf numFmtId="0" fontId="1" fillId="76" borderId="0" applyNumberFormat="0" applyBorder="0" applyAlignment="0" applyProtection="0"/>
    <xf numFmtId="0" fontId="1" fillId="76" borderId="0" applyNumberFormat="0" applyBorder="0" applyAlignment="0" applyProtection="0"/>
    <xf numFmtId="0" fontId="1" fillId="76" borderId="0" applyNumberFormat="0" applyBorder="0" applyAlignment="0" applyProtection="0"/>
    <xf numFmtId="0" fontId="1" fillId="76" borderId="0" applyNumberFormat="0" applyBorder="0" applyAlignment="0" applyProtection="0"/>
    <xf numFmtId="0" fontId="1" fillId="76" borderId="0" applyNumberFormat="0" applyBorder="0" applyAlignment="0" applyProtection="0"/>
    <xf numFmtId="0" fontId="1" fillId="76" borderId="0" applyNumberFormat="0" applyBorder="0" applyAlignment="0" applyProtection="0"/>
    <xf numFmtId="0" fontId="1" fillId="76" borderId="0" applyNumberFormat="0" applyBorder="0" applyAlignment="0" applyProtection="0"/>
    <xf numFmtId="0" fontId="1" fillId="76" borderId="0" applyNumberFormat="0" applyBorder="0" applyAlignment="0" applyProtection="0"/>
    <xf numFmtId="0" fontId="1" fillId="76" borderId="0" applyNumberFormat="0" applyBorder="0" applyAlignment="0" applyProtection="0"/>
    <xf numFmtId="0" fontId="1" fillId="76" borderId="0" applyNumberFormat="0" applyBorder="0" applyAlignment="0" applyProtection="0"/>
    <xf numFmtId="0" fontId="1" fillId="76" borderId="0" applyNumberFormat="0" applyBorder="0" applyAlignment="0" applyProtection="0"/>
    <xf numFmtId="0" fontId="1" fillId="76" borderId="0" applyNumberFormat="0" applyBorder="0" applyAlignment="0" applyProtection="0"/>
    <xf numFmtId="0" fontId="1" fillId="76" borderId="0" applyNumberFormat="0" applyBorder="0" applyAlignment="0" applyProtection="0"/>
    <xf numFmtId="0" fontId="1" fillId="76" borderId="0" applyNumberFormat="0" applyBorder="0" applyAlignment="0" applyProtection="0"/>
    <xf numFmtId="0" fontId="1" fillId="76" borderId="0" applyNumberFormat="0" applyBorder="0" applyAlignment="0" applyProtection="0"/>
    <xf numFmtId="0" fontId="1" fillId="76" borderId="0" applyNumberFormat="0" applyBorder="0" applyAlignment="0" applyProtection="0"/>
    <xf numFmtId="0" fontId="1" fillId="76" borderId="0" applyNumberFormat="0" applyBorder="0" applyAlignment="0" applyProtection="0"/>
    <xf numFmtId="0" fontId="1" fillId="76" borderId="0" applyNumberFormat="0" applyBorder="0" applyAlignment="0" applyProtection="0"/>
    <xf numFmtId="0" fontId="1" fillId="76" borderId="0" applyNumberFormat="0" applyBorder="0" applyAlignment="0" applyProtection="0"/>
    <xf numFmtId="0" fontId="1" fillId="76" borderId="0" applyNumberFormat="0" applyBorder="0" applyAlignment="0" applyProtection="0"/>
    <xf numFmtId="0" fontId="1" fillId="76" borderId="0" applyNumberFormat="0" applyBorder="0" applyAlignment="0" applyProtection="0"/>
    <xf numFmtId="0" fontId="1" fillId="76" borderId="0" applyNumberFormat="0" applyBorder="0" applyAlignment="0" applyProtection="0"/>
    <xf numFmtId="0" fontId="1" fillId="76" borderId="0" applyNumberFormat="0" applyBorder="0" applyAlignment="0" applyProtection="0"/>
    <xf numFmtId="0" fontId="1" fillId="76" borderId="0" applyNumberFormat="0" applyBorder="0" applyAlignment="0" applyProtection="0"/>
    <xf numFmtId="0" fontId="1" fillId="76" borderId="0" applyNumberFormat="0" applyBorder="0" applyAlignment="0" applyProtection="0"/>
    <xf numFmtId="0" fontId="1" fillId="76" borderId="0" applyNumberFormat="0" applyBorder="0" applyAlignment="0" applyProtection="0"/>
    <xf numFmtId="0" fontId="1" fillId="76" borderId="0" applyNumberFormat="0" applyBorder="0" applyAlignment="0" applyProtection="0"/>
    <xf numFmtId="0" fontId="1" fillId="76" borderId="0" applyNumberFormat="0" applyBorder="0" applyAlignment="0" applyProtection="0"/>
    <xf numFmtId="0" fontId="1" fillId="76" borderId="0" applyNumberFormat="0" applyBorder="0" applyAlignment="0" applyProtection="0"/>
    <xf numFmtId="0" fontId="1" fillId="76" borderId="0" applyNumberFormat="0" applyBorder="0" applyAlignment="0" applyProtection="0"/>
    <xf numFmtId="0" fontId="1" fillId="76" borderId="0" applyNumberFormat="0" applyBorder="0" applyAlignment="0" applyProtection="0"/>
    <xf numFmtId="0" fontId="1" fillId="76" borderId="0" applyNumberFormat="0" applyBorder="0" applyAlignment="0" applyProtection="0"/>
    <xf numFmtId="0" fontId="1" fillId="76" borderId="0" applyNumberFormat="0" applyBorder="0" applyAlignment="0" applyProtection="0"/>
    <xf numFmtId="0" fontId="1" fillId="76" borderId="0" applyNumberFormat="0" applyBorder="0" applyAlignment="0" applyProtection="0"/>
    <xf numFmtId="0" fontId="1" fillId="76" borderId="0" applyNumberFormat="0" applyBorder="0" applyAlignment="0" applyProtection="0"/>
    <xf numFmtId="0" fontId="1" fillId="76" borderId="0" applyNumberFormat="0" applyBorder="0" applyAlignment="0" applyProtection="0"/>
    <xf numFmtId="0" fontId="1" fillId="76" borderId="0" applyNumberFormat="0" applyBorder="0" applyAlignment="0" applyProtection="0"/>
    <xf numFmtId="0" fontId="1" fillId="76" borderId="0" applyNumberFormat="0" applyBorder="0" applyAlignment="0" applyProtection="0"/>
    <xf numFmtId="0" fontId="1" fillId="76" borderId="0" applyNumberFormat="0" applyBorder="0" applyAlignment="0" applyProtection="0"/>
    <xf numFmtId="0" fontId="1" fillId="76" borderId="0" applyNumberFormat="0" applyBorder="0" applyAlignment="0" applyProtection="0"/>
    <xf numFmtId="0" fontId="1" fillId="76" borderId="0" applyNumberFormat="0" applyBorder="0" applyAlignment="0" applyProtection="0"/>
    <xf numFmtId="0" fontId="1" fillId="76" borderId="0" applyNumberFormat="0" applyBorder="0" applyAlignment="0" applyProtection="0"/>
    <xf numFmtId="0" fontId="1" fillId="76" borderId="0" applyNumberFormat="0" applyBorder="0" applyAlignment="0" applyProtection="0"/>
    <xf numFmtId="0" fontId="1" fillId="76" borderId="0" applyNumberFormat="0" applyBorder="0" applyAlignment="0" applyProtection="0"/>
    <xf numFmtId="0" fontId="1" fillId="76" borderId="0" applyNumberFormat="0" applyBorder="0" applyAlignment="0" applyProtection="0"/>
    <xf numFmtId="0" fontId="1" fillId="76" borderId="0" applyNumberFormat="0" applyBorder="0" applyAlignment="0" applyProtection="0"/>
    <xf numFmtId="0" fontId="1" fillId="76" borderId="0" applyNumberFormat="0" applyBorder="0" applyAlignment="0" applyProtection="0"/>
    <xf numFmtId="0" fontId="1" fillId="76" borderId="0" applyNumberFormat="0" applyBorder="0" applyAlignment="0" applyProtection="0"/>
    <xf numFmtId="0" fontId="1" fillId="76" borderId="0" applyNumberFormat="0" applyBorder="0" applyAlignment="0" applyProtection="0"/>
    <xf numFmtId="0" fontId="1" fillId="76" borderId="0" applyNumberFormat="0" applyBorder="0" applyAlignment="0" applyProtection="0"/>
    <xf numFmtId="0" fontId="1" fillId="76" borderId="0" applyNumberFormat="0" applyBorder="0" applyAlignment="0" applyProtection="0"/>
    <xf numFmtId="0" fontId="1" fillId="76" borderId="0" applyNumberFormat="0" applyBorder="0" applyAlignment="0" applyProtection="0"/>
    <xf numFmtId="0" fontId="1" fillId="76" borderId="0" applyNumberFormat="0" applyBorder="0" applyAlignment="0" applyProtection="0"/>
    <xf numFmtId="0" fontId="1" fillId="76" borderId="0" applyNumberFormat="0" applyBorder="0" applyAlignment="0" applyProtection="0"/>
    <xf numFmtId="0" fontId="1" fillId="76" borderId="0" applyNumberFormat="0" applyBorder="0" applyAlignment="0" applyProtection="0"/>
    <xf numFmtId="0" fontId="1" fillId="76" borderId="0" applyNumberFormat="0" applyBorder="0" applyAlignment="0" applyProtection="0"/>
    <xf numFmtId="0" fontId="1" fillId="76" borderId="0" applyNumberFormat="0" applyBorder="0" applyAlignment="0" applyProtection="0"/>
    <xf numFmtId="0" fontId="1" fillId="76" borderId="0" applyNumberFormat="0" applyBorder="0" applyAlignment="0" applyProtection="0"/>
    <xf numFmtId="0" fontId="1" fillId="76" borderId="0" applyNumberFormat="0" applyBorder="0" applyAlignment="0" applyProtection="0"/>
    <xf numFmtId="0" fontId="1" fillId="76" borderId="0" applyNumberFormat="0" applyBorder="0" applyAlignment="0" applyProtection="0"/>
    <xf numFmtId="0" fontId="1" fillId="76" borderId="0" applyNumberFormat="0" applyBorder="0" applyAlignment="0" applyProtection="0"/>
    <xf numFmtId="0" fontId="1" fillId="76" borderId="0" applyNumberFormat="0" applyBorder="0" applyAlignment="0" applyProtection="0"/>
    <xf numFmtId="0" fontId="1" fillId="76" borderId="0" applyNumberFormat="0" applyBorder="0" applyAlignment="0" applyProtection="0"/>
    <xf numFmtId="0" fontId="1" fillId="76" borderId="0" applyNumberFormat="0" applyBorder="0" applyAlignment="0" applyProtection="0"/>
    <xf numFmtId="0" fontId="1" fillId="76" borderId="0" applyNumberFormat="0" applyBorder="0" applyAlignment="0" applyProtection="0"/>
    <xf numFmtId="0" fontId="1" fillId="76" borderId="0" applyNumberFormat="0" applyBorder="0" applyAlignment="0" applyProtection="0"/>
    <xf numFmtId="0" fontId="1" fillId="76" borderId="0" applyNumberFormat="0" applyBorder="0" applyAlignment="0" applyProtection="0"/>
    <xf numFmtId="0" fontId="1" fillId="76" borderId="0" applyNumberFormat="0" applyBorder="0" applyAlignment="0" applyProtection="0"/>
    <xf numFmtId="0" fontId="1" fillId="76" borderId="0" applyNumberFormat="0" applyBorder="0" applyAlignment="0" applyProtection="0"/>
    <xf numFmtId="0" fontId="1" fillId="76" borderId="0" applyNumberFormat="0" applyBorder="0" applyAlignment="0" applyProtection="0"/>
    <xf numFmtId="0" fontId="1" fillId="76" borderId="0" applyNumberFormat="0" applyBorder="0" applyAlignment="0" applyProtection="0"/>
    <xf numFmtId="0" fontId="1" fillId="76" borderId="0" applyNumberFormat="0" applyBorder="0" applyAlignment="0" applyProtection="0"/>
    <xf numFmtId="0" fontId="1" fillId="76" borderId="0" applyNumberFormat="0" applyBorder="0" applyAlignment="0" applyProtection="0"/>
    <xf numFmtId="0" fontId="1" fillId="76" borderId="0" applyNumberFormat="0" applyBorder="0" applyAlignment="0" applyProtection="0"/>
    <xf numFmtId="0" fontId="1" fillId="76" borderId="0" applyNumberFormat="0" applyBorder="0" applyAlignment="0" applyProtection="0"/>
    <xf numFmtId="0" fontId="1" fillId="76" borderId="0" applyNumberFormat="0" applyBorder="0" applyAlignment="0" applyProtection="0"/>
    <xf numFmtId="0" fontId="1" fillId="76" borderId="0" applyNumberFormat="0" applyBorder="0" applyAlignment="0" applyProtection="0"/>
    <xf numFmtId="0" fontId="1" fillId="76" borderId="0" applyNumberFormat="0" applyBorder="0" applyAlignment="0" applyProtection="0"/>
    <xf numFmtId="0" fontId="1" fillId="76" borderId="0" applyNumberFormat="0" applyBorder="0" applyAlignment="0" applyProtection="0"/>
    <xf numFmtId="0" fontId="1" fillId="76" borderId="0" applyNumberFormat="0" applyBorder="0" applyAlignment="0" applyProtection="0"/>
    <xf numFmtId="0" fontId="1" fillId="76" borderId="0" applyNumberFormat="0" applyBorder="0" applyAlignment="0" applyProtection="0"/>
    <xf numFmtId="0" fontId="1" fillId="76" borderId="0" applyNumberFormat="0" applyBorder="0" applyAlignment="0" applyProtection="0"/>
    <xf numFmtId="0" fontId="1" fillId="76" borderId="0" applyNumberFormat="0" applyBorder="0" applyAlignment="0" applyProtection="0"/>
    <xf numFmtId="0" fontId="1" fillId="76" borderId="0" applyNumberFormat="0" applyBorder="0" applyAlignment="0" applyProtection="0"/>
    <xf numFmtId="0" fontId="1" fillId="76" borderId="0" applyNumberFormat="0" applyBorder="0" applyAlignment="0" applyProtection="0"/>
    <xf numFmtId="0" fontId="1" fillId="76" borderId="0" applyNumberFormat="0" applyBorder="0" applyAlignment="0" applyProtection="0"/>
    <xf numFmtId="0" fontId="1" fillId="76" borderId="0" applyNumberFormat="0" applyBorder="0" applyAlignment="0" applyProtection="0"/>
    <xf numFmtId="0" fontId="1" fillId="76" borderId="0" applyNumberFormat="0" applyBorder="0" applyAlignment="0" applyProtection="0"/>
    <xf numFmtId="0" fontId="1" fillId="76" borderId="0" applyNumberFormat="0" applyBorder="0" applyAlignment="0" applyProtection="0"/>
    <xf numFmtId="0" fontId="1" fillId="7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49" fontId="41" fillId="0" borderId="2" applyNumberFormat="0" applyFont="0" applyFill="0" applyBorder="0" applyProtection="0">
      <alignment horizontal="left" vertical="center" indent="2"/>
    </xf>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5" borderId="0" applyNumberFormat="0" applyBorder="0" applyAlignment="0" applyProtection="0"/>
    <xf numFmtId="0" fontId="1" fillId="65" borderId="0" applyNumberFormat="0" applyBorder="0" applyAlignment="0" applyProtection="0"/>
    <xf numFmtId="0" fontId="1" fillId="65" borderId="0" applyNumberFormat="0" applyBorder="0" applyAlignment="0" applyProtection="0"/>
    <xf numFmtId="0" fontId="1" fillId="65" borderId="0" applyNumberFormat="0" applyBorder="0" applyAlignment="0" applyProtection="0"/>
    <xf numFmtId="0" fontId="1" fillId="65" borderId="0" applyNumberFormat="0" applyBorder="0" applyAlignment="0" applyProtection="0"/>
    <xf numFmtId="0" fontId="1" fillId="65" borderId="0" applyNumberFormat="0" applyBorder="0" applyAlignment="0" applyProtection="0"/>
    <xf numFmtId="0" fontId="1" fillId="65" borderId="0" applyNumberFormat="0" applyBorder="0" applyAlignment="0" applyProtection="0"/>
    <xf numFmtId="0" fontId="1" fillId="65" borderId="0" applyNumberFormat="0" applyBorder="0" applyAlignment="0" applyProtection="0"/>
    <xf numFmtId="0" fontId="1" fillId="65" borderId="0" applyNumberFormat="0" applyBorder="0" applyAlignment="0" applyProtection="0"/>
    <xf numFmtId="0" fontId="1" fillId="65" borderId="0" applyNumberFormat="0" applyBorder="0" applyAlignment="0" applyProtection="0"/>
    <xf numFmtId="0" fontId="1" fillId="65" borderId="0" applyNumberFormat="0" applyBorder="0" applyAlignment="0" applyProtection="0"/>
    <xf numFmtId="0" fontId="1" fillId="65" borderId="0" applyNumberFormat="0" applyBorder="0" applyAlignment="0" applyProtection="0"/>
    <xf numFmtId="0" fontId="1" fillId="65" borderId="0" applyNumberFormat="0" applyBorder="0" applyAlignment="0" applyProtection="0"/>
    <xf numFmtId="0" fontId="1" fillId="65" borderId="0" applyNumberFormat="0" applyBorder="0" applyAlignment="0" applyProtection="0"/>
    <xf numFmtId="0" fontId="1" fillId="65" borderId="0" applyNumberFormat="0" applyBorder="0" applyAlignment="0" applyProtection="0"/>
    <xf numFmtId="0" fontId="1" fillId="65" borderId="0" applyNumberFormat="0" applyBorder="0" applyAlignment="0" applyProtection="0"/>
    <xf numFmtId="0" fontId="1" fillId="65" borderId="0" applyNumberFormat="0" applyBorder="0" applyAlignment="0" applyProtection="0"/>
    <xf numFmtId="0" fontId="1" fillId="65" borderId="0" applyNumberFormat="0" applyBorder="0" applyAlignment="0" applyProtection="0"/>
    <xf numFmtId="0" fontId="1" fillId="65" borderId="0" applyNumberFormat="0" applyBorder="0" applyAlignment="0" applyProtection="0"/>
    <xf numFmtId="0" fontId="1" fillId="65" borderId="0" applyNumberFormat="0" applyBorder="0" applyAlignment="0" applyProtection="0"/>
    <xf numFmtId="0" fontId="1" fillId="65" borderId="0" applyNumberFormat="0" applyBorder="0" applyAlignment="0" applyProtection="0"/>
    <xf numFmtId="0" fontId="1" fillId="65" borderId="0" applyNumberFormat="0" applyBorder="0" applyAlignment="0" applyProtection="0"/>
    <xf numFmtId="0" fontId="1" fillId="65" borderId="0" applyNumberFormat="0" applyBorder="0" applyAlignment="0" applyProtection="0"/>
    <xf numFmtId="0" fontId="1" fillId="65" borderId="0" applyNumberFormat="0" applyBorder="0" applyAlignment="0" applyProtection="0"/>
    <xf numFmtId="0" fontId="1" fillId="65" borderId="0" applyNumberFormat="0" applyBorder="0" applyAlignment="0" applyProtection="0"/>
    <xf numFmtId="0" fontId="1" fillId="65" borderId="0" applyNumberFormat="0" applyBorder="0" applyAlignment="0" applyProtection="0"/>
    <xf numFmtId="0" fontId="1" fillId="65" borderId="0" applyNumberFormat="0" applyBorder="0" applyAlignment="0" applyProtection="0"/>
    <xf numFmtId="0" fontId="1" fillId="65" borderId="0" applyNumberFormat="0" applyBorder="0" applyAlignment="0" applyProtection="0"/>
    <xf numFmtId="0" fontId="1" fillId="65" borderId="0" applyNumberFormat="0" applyBorder="0" applyAlignment="0" applyProtection="0"/>
    <xf numFmtId="0" fontId="1" fillId="65" borderId="0" applyNumberFormat="0" applyBorder="0" applyAlignment="0" applyProtection="0"/>
    <xf numFmtId="0" fontId="1" fillId="65" borderId="0" applyNumberFormat="0" applyBorder="0" applyAlignment="0" applyProtection="0"/>
    <xf numFmtId="0" fontId="1" fillId="65" borderId="0" applyNumberFormat="0" applyBorder="0" applyAlignment="0" applyProtection="0"/>
    <xf numFmtId="0" fontId="1" fillId="65" borderId="0" applyNumberFormat="0" applyBorder="0" applyAlignment="0" applyProtection="0"/>
    <xf numFmtId="0" fontId="1" fillId="65" borderId="0" applyNumberFormat="0" applyBorder="0" applyAlignment="0" applyProtection="0"/>
    <xf numFmtId="0" fontId="1" fillId="65" borderId="0" applyNumberFormat="0" applyBorder="0" applyAlignment="0" applyProtection="0"/>
    <xf numFmtId="0" fontId="1" fillId="65" borderId="0" applyNumberFormat="0" applyBorder="0" applyAlignment="0" applyProtection="0"/>
    <xf numFmtId="0" fontId="1" fillId="65" borderId="0" applyNumberFormat="0" applyBorder="0" applyAlignment="0" applyProtection="0"/>
    <xf numFmtId="0" fontId="1" fillId="65" borderId="0" applyNumberFormat="0" applyBorder="0" applyAlignment="0" applyProtection="0"/>
    <xf numFmtId="0" fontId="1" fillId="65" borderId="0" applyNumberFormat="0" applyBorder="0" applyAlignment="0" applyProtection="0"/>
    <xf numFmtId="0" fontId="1" fillId="65" borderId="0" applyNumberFormat="0" applyBorder="0" applyAlignment="0" applyProtection="0"/>
    <xf numFmtId="0" fontId="1" fillId="65" borderId="0" applyNumberFormat="0" applyBorder="0" applyAlignment="0" applyProtection="0"/>
    <xf numFmtId="0" fontId="1" fillId="65" borderId="0" applyNumberFormat="0" applyBorder="0" applyAlignment="0" applyProtection="0"/>
    <xf numFmtId="0" fontId="1" fillId="65" borderId="0" applyNumberFormat="0" applyBorder="0" applyAlignment="0" applyProtection="0"/>
    <xf numFmtId="0" fontId="1" fillId="65" borderId="0" applyNumberFormat="0" applyBorder="0" applyAlignment="0" applyProtection="0"/>
    <xf numFmtId="0" fontId="1" fillId="65" borderId="0" applyNumberFormat="0" applyBorder="0" applyAlignment="0" applyProtection="0"/>
    <xf numFmtId="0" fontId="1" fillId="65" borderId="0" applyNumberFormat="0" applyBorder="0" applyAlignment="0" applyProtection="0"/>
    <xf numFmtId="0" fontId="1" fillId="65" borderId="0" applyNumberFormat="0" applyBorder="0" applyAlignment="0" applyProtection="0"/>
    <xf numFmtId="0" fontId="1" fillId="65" borderId="0" applyNumberFormat="0" applyBorder="0" applyAlignment="0" applyProtection="0"/>
    <xf numFmtId="0" fontId="1" fillId="65" borderId="0" applyNumberFormat="0" applyBorder="0" applyAlignment="0" applyProtection="0"/>
    <xf numFmtId="0" fontId="1" fillId="65" borderId="0" applyNumberFormat="0" applyBorder="0" applyAlignment="0" applyProtection="0"/>
    <xf numFmtId="0" fontId="1" fillId="65" borderId="0" applyNumberFormat="0" applyBorder="0" applyAlignment="0" applyProtection="0"/>
    <xf numFmtId="0" fontId="1" fillId="65" borderId="0" applyNumberFormat="0" applyBorder="0" applyAlignment="0" applyProtection="0"/>
    <xf numFmtId="0" fontId="1" fillId="65" borderId="0" applyNumberFormat="0" applyBorder="0" applyAlignment="0" applyProtection="0"/>
    <xf numFmtId="0" fontId="1" fillId="65" borderId="0" applyNumberFormat="0" applyBorder="0" applyAlignment="0" applyProtection="0"/>
    <xf numFmtId="0" fontId="1" fillId="65" borderId="0" applyNumberFormat="0" applyBorder="0" applyAlignment="0" applyProtection="0"/>
    <xf numFmtId="0" fontId="1" fillId="65" borderId="0" applyNumberFormat="0" applyBorder="0" applyAlignment="0" applyProtection="0"/>
    <xf numFmtId="0" fontId="1" fillId="65" borderId="0" applyNumberFormat="0" applyBorder="0" applyAlignment="0" applyProtection="0"/>
    <xf numFmtId="0" fontId="1" fillId="65" borderId="0" applyNumberFormat="0" applyBorder="0" applyAlignment="0" applyProtection="0"/>
    <xf numFmtId="0" fontId="1" fillId="65" borderId="0" applyNumberFormat="0" applyBorder="0" applyAlignment="0" applyProtection="0"/>
    <xf numFmtId="0" fontId="1" fillId="65" borderId="0" applyNumberFormat="0" applyBorder="0" applyAlignment="0" applyProtection="0"/>
    <xf numFmtId="0" fontId="1" fillId="65" borderId="0" applyNumberFormat="0" applyBorder="0" applyAlignment="0" applyProtection="0"/>
    <xf numFmtId="0" fontId="1" fillId="65" borderId="0" applyNumberFormat="0" applyBorder="0" applyAlignment="0" applyProtection="0"/>
    <xf numFmtId="0" fontId="1" fillId="65" borderId="0" applyNumberFormat="0" applyBorder="0" applyAlignment="0" applyProtection="0"/>
    <xf numFmtId="0" fontId="1" fillId="65" borderId="0" applyNumberFormat="0" applyBorder="0" applyAlignment="0" applyProtection="0"/>
    <xf numFmtId="0" fontId="1" fillId="65" borderId="0" applyNumberFormat="0" applyBorder="0" applyAlignment="0" applyProtection="0"/>
    <xf numFmtId="0" fontId="1" fillId="65" borderId="0" applyNumberFormat="0" applyBorder="0" applyAlignment="0" applyProtection="0"/>
    <xf numFmtId="0" fontId="1" fillId="65" borderId="0" applyNumberFormat="0" applyBorder="0" applyAlignment="0" applyProtection="0"/>
    <xf numFmtId="0" fontId="1" fillId="65" borderId="0" applyNumberFormat="0" applyBorder="0" applyAlignment="0" applyProtection="0"/>
    <xf numFmtId="0" fontId="1" fillId="65" borderId="0" applyNumberFormat="0" applyBorder="0" applyAlignment="0" applyProtection="0"/>
    <xf numFmtId="0" fontId="1" fillId="65" borderId="0" applyNumberFormat="0" applyBorder="0" applyAlignment="0" applyProtection="0"/>
    <xf numFmtId="0" fontId="1" fillId="65" borderId="0" applyNumberFormat="0" applyBorder="0" applyAlignment="0" applyProtection="0"/>
    <xf numFmtId="0" fontId="1" fillId="65" borderId="0" applyNumberFormat="0" applyBorder="0" applyAlignment="0" applyProtection="0"/>
    <xf numFmtId="0" fontId="1" fillId="65" borderId="0" applyNumberFormat="0" applyBorder="0" applyAlignment="0" applyProtection="0"/>
    <xf numFmtId="0" fontId="1" fillId="65" borderId="0" applyNumberFormat="0" applyBorder="0" applyAlignment="0" applyProtection="0"/>
    <xf numFmtId="0" fontId="1" fillId="65" borderId="0" applyNumberFormat="0" applyBorder="0" applyAlignment="0" applyProtection="0"/>
    <xf numFmtId="0" fontId="1" fillId="65" borderId="0" applyNumberFormat="0" applyBorder="0" applyAlignment="0" applyProtection="0"/>
    <xf numFmtId="0" fontId="1" fillId="65" borderId="0" applyNumberFormat="0" applyBorder="0" applyAlignment="0" applyProtection="0"/>
    <xf numFmtId="0" fontId="1" fillId="65" borderId="0" applyNumberFormat="0" applyBorder="0" applyAlignment="0" applyProtection="0"/>
    <xf numFmtId="0" fontId="1" fillId="65" borderId="0" applyNumberFormat="0" applyBorder="0" applyAlignment="0" applyProtection="0"/>
    <xf numFmtId="0" fontId="1" fillId="65" borderId="0" applyNumberFormat="0" applyBorder="0" applyAlignment="0" applyProtection="0"/>
    <xf numFmtId="0" fontId="1" fillId="65" borderId="0" applyNumberFormat="0" applyBorder="0" applyAlignment="0" applyProtection="0"/>
    <xf numFmtId="0" fontId="1" fillId="65" borderId="0" applyNumberFormat="0" applyBorder="0" applyAlignment="0" applyProtection="0"/>
    <xf numFmtId="0" fontId="1" fillId="65" borderId="0" applyNumberFormat="0" applyBorder="0" applyAlignment="0" applyProtection="0"/>
    <xf numFmtId="0" fontId="1" fillId="65" borderId="0" applyNumberFormat="0" applyBorder="0" applyAlignment="0" applyProtection="0"/>
    <xf numFmtId="0" fontId="1" fillId="65" borderId="0" applyNumberFormat="0" applyBorder="0" applyAlignment="0" applyProtection="0"/>
    <xf numFmtId="0" fontId="1" fillId="65" borderId="0" applyNumberFormat="0" applyBorder="0" applyAlignment="0" applyProtection="0"/>
    <xf numFmtId="0" fontId="1" fillId="65" borderId="0" applyNumberFormat="0" applyBorder="0" applyAlignment="0" applyProtection="0"/>
    <xf numFmtId="0" fontId="1" fillId="65" borderId="0" applyNumberFormat="0" applyBorder="0" applyAlignment="0" applyProtection="0"/>
    <xf numFmtId="0" fontId="1" fillId="65" borderId="0" applyNumberFormat="0" applyBorder="0" applyAlignment="0" applyProtection="0"/>
    <xf numFmtId="0" fontId="1" fillId="65" borderId="0" applyNumberFormat="0" applyBorder="0" applyAlignment="0" applyProtection="0"/>
    <xf numFmtId="0" fontId="1" fillId="65" borderId="0" applyNumberFormat="0" applyBorder="0" applyAlignment="0" applyProtection="0"/>
    <xf numFmtId="0" fontId="1" fillId="65" borderId="0" applyNumberFormat="0" applyBorder="0" applyAlignment="0" applyProtection="0"/>
    <xf numFmtId="0" fontId="1" fillId="65" borderId="0" applyNumberFormat="0" applyBorder="0" applyAlignment="0" applyProtection="0"/>
    <xf numFmtId="0" fontId="1" fillId="65" borderId="0" applyNumberFormat="0" applyBorder="0" applyAlignment="0" applyProtection="0"/>
    <xf numFmtId="0" fontId="1" fillId="65" borderId="0" applyNumberFormat="0" applyBorder="0" applyAlignment="0" applyProtection="0"/>
    <xf numFmtId="0" fontId="1" fillId="65" borderId="0" applyNumberFormat="0" applyBorder="0" applyAlignment="0" applyProtection="0"/>
    <xf numFmtId="0" fontId="1" fillId="65" borderId="0" applyNumberFormat="0" applyBorder="0" applyAlignment="0" applyProtection="0"/>
    <xf numFmtId="0" fontId="1" fillId="65" borderId="0" applyNumberFormat="0" applyBorder="0" applyAlignment="0" applyProtection="0"/>
    <xf numFmtId="0" fontId="1" fillId="65" borderId="0" applyNumberFormat="0" applyBorder="0" applyAlignment="0" applyProtection="0"/>
    <xf numFmtId="0" fontId="1" fillId="65" borderId="0" applyNumberFormat="0" applyBorder="0" applyAlignment="0" applyProtection="0"/>
    <xf numFmtId="0" fontId="1" fillId="65" borderId="0" applyNumberFormat="0" applyBorder="0" applyAlignment="0" applyProtection="0"/>
    <xf numFmtId="0" fontId="1" fillId="65" borderId="0" applyNumberFormat="0" applyBorder="0" applyAlignment="0" applyProtection="0"/>
    <xf numFmtId="0" fontId="1" fillId="65" borderId="0" applyNumberFormat="0" applyBorder="0" applyAlignment="0" applyProtection="0"/>
    <xf numFmtId="0" fontId="1" fillId="65" borderId="0" applyNumberFormat="0" applyBorder="0" applyAlignment="0" applyProtection="0"/>
    <xf numFmtId="0" fontId="1" fillId="65" borderId="0" applyNumberFormat="0" applyBorder="0" applyAlignment="0" applyProtection="0"/>
    <xf numFmtId="0" fontId="1" fillId="65" borderId="0" applyNumberFormat="0" applyBorder="0" applyAlignment="0" applyProtection="0"/>
    <xf numFmtId="0" fontId="1" fillId="65" borderId="0" applyNumberFormat="0" applyBorder="0" applyAlignment="0" applyProtection="0"/>
    <xf numFmtId="0" fontId="1" fillId="65" borderId="0" applyNumberFormat="0" applyBorder="0" applyAlignment="0" applyProtection="0"/>
    <xf numFmtId="0" fontId="1" fillId="65" borderId="0" applyNumberFormat="0" applyBorder="0" applyAlignment="0" applyProtection="0"/>
    <xf numFmtId="0" fontId="1" fillId="65" borderId="0" applyNumberFormat="0" applyBorder="0" applyAlignment="0" applyProtection="0"/>
    <xf numFmtId="0" fontId="1" fillId="65" borderId="0" applyNumberFormat="0" applyBorder="0" applyAlignment="0" applyProtection="0"/>
    <xf numFmtId="0" fontId="1" fillId="65" borderId="0" applyNumberFormat="0" applyBorder="0" applyAlignment="0" applyProtection="0"/>
    <xf numFmtId="0" fontId="1" fillId="65" borderId="0" applyNumberFormat="0" applyBorder="0" applyAlignment="0" applyProtection="0"/>
    <xf numFmtId="0" fontId="1" fillId="65" borderId="0" applyNumberFormat="0" applyBorder="0" applyAlignment="0" applyProtection="0"/>
    <xf numFmtId="0" fontId="1" fillId="65" borderId="0" applyNumberFormat="0" applyBorder="0" applyAlignment="0" applyProtection="0"/>
    <xf numFmtId="0" fontId="1" fillId="65" borderId="0" applyNumberFormat="0" applyBorder="0" applyAlignment="0" applyProtection="0"/>
    <xf numFmtId="0" fontId="1" fillId="65" borderId="0" applyNumberFormat="0" applyBorder="0" applyAlignment="0" applyProtection="0"/>
    <xf numFmtId="0" fontId="1" fillId="65" borderId="0" applyNumberFormat="0" applyBorder="0" applyAlignment="0" applyProtection="0"/>
    <xf numFmtId="0" fontId="1" fillId="65" borderId="0" applyNumberFormat="0" applyBorder="0" applyAlignment="0" applyProtection="0"/>
    <xf numFmtId="0" fontId="1" fillId="65" borderId="0" applyNumberFormat="0" applyBorder="0" applyAlignment="0" applyProtection="0"/>
    <xf numFmtId="0" fontId="1" fillId="65" borderId="0" applyNumberFormat="0" applyBorder="0" applyAlignment="0" applyProtection="0"/>
    <xf numFmtId="0" fontId="1" fillId="65" borderId="0" applyNumberFormat="0" applyBorder="0" applyAlignment="0" applyProtection="0"/>
    <xf numFmtId="0" fontId="1" fillId="65" borderId="0" applyNumberFormat="0" applyBorder="0" applyAlignment="0" applyProtection="0"/>
    <xf numFmtId="0" fontId="1" fillId="65" borderId="0" applyNumberFormat="0" applyBorder="0" applyAlignment="0" applyProtection="0"/>
    <xf numFmtId="0" fontId="1" fillId="65" borderId="0" applyNumberFormat="0" applyBorder="0" applyAlignment="0" applyProtection="0"/>
    <xf numFmtId="0" fontId="1" fillId="65" borderId="0" applyNumberFormat="0" applyBorder="0" applyAlignment="0" applyProtection="0"/>
    <xf numFmtId="0" fontId="1" fillId="65" borderId="0" applyNumberFormat="0" applyBorder="0" applyAlignment="0" applyProtection="0"/>
    <xf numFmtId="0" fontId="1" fillId="65" borderId="0" applyNumberFormat="0" applyBorder="0" applyAlignment="0" applyProtection="0"/>
    <xf numFmtId="0" fontId="1" fillId="65" borderId="0" applyNumberFormat="0" applyBorder="0" applyAlignment="0" applyProtection="0"/>
    <xf numFmtId="0" fontId="1" fillId="65" borderId="0" applyNumberFormat="0" applyBorder="0" applyAlignment="0" applyProtection="0"/>
    <xf numFmtId="0" fontId="1" fillId="65" borderId="0" applyNumberFormat="0" applyBorder="0" applyAlignment="0" applyProtection="0"/>
    <xf numFmtId="0" fontId="1" fillId="65" borderId="0" applyNumberFormat="0" applyBorder="0" applyAlignment="0" applyProtection="0"/>
    <xf numFmtId="0" fontId="1" fillId="65" borderId="0" applyNumberFormat="0" applyBorder="0" applyAlignment="0" applyProtection="0"/>
    <xf numFmtId="0" fontId="1" fillId="65" borderId="0" applyNumberFormat="0" applyBorder="0" applyAlignment="0" applyProtection="0"/>
    <xf numFmtId="0" fontId="1" fillId="65" borderId="0" applyNumberFormat="0" applyBorder="0" applyAlignment="0" applyProtection="0"/>
    <xf numFmtId="0" fontId="1" fillId="65" borderId="0" applyNumberFormat="0" applyBorder="0" applyAlignment="0" applyProtection="0"/>
    <xf numFmtId="0" fontId="1" fillId="65" borderId="0" applyNumberFormat="0" applyBorder="0" applyAlignment="0" applyProtection="0"/>
    <xf numFmtId="0" fontId="1" fillId="65" borderId="0" applyNumberFormat="0" applyBorder="0" applyAlignment="0" applyProtection="0"/>
    <xf numFmtId="0" fontId="1" fillId="65" borderId="0" applyNumberFormat="0" applyBorder="0" applyAlignment="0" applyProtection="0"/>
    <xf numFmtId="0" fontId="1" fillId="65" borderId="0" applyNumberFormat="0" applyBorder="0" applyAlignment="0" applyProtection="0"/>
    <xf numFmtId="0" fontId="1" fillId="65" borderId="0" applyNumberFormat="0" applyBorder="0" applyAlignment="0" applyProtection="0"/>
    <xf numFmtId="0" fontId="1" fillId="65" borderId="0" applyNumberFormat="0" applyBorder="0" applyAlignment="0" applyProtection="0"/>
    <xf numFmtId="0" fontId="1" fillId="65" borderId="0" applyNumberFormat="0" applyBorder="0" applyAlignment="0" applyProtection="0"/>
    <xf numFmtId="0" fontId="1" fillId="65" borderId="0" applyNumberFormat="0" applyBorder="0" applyAlignment="0" applyProtection="0"/>
    <xf numFmtId="0" fontId="1" fillId="65" borderId="0" applyNumberFormat="0" applyBorder="0" applyAlignment="0" applyProtection="0"/>
    <xf numFmtId="0" fontId="1" fillId="65" borderId="0" applyNumberFormat="0" applyBorder="0" applyAlignment="0" applyProtection="0"/>
    <xf numFmtId="0" fontId="1" fillId="65" borderId="0" applyNumberFormat="0" applyBorder="0" applyAlignment="0" applyProtection="0"/>
    <xf numFmtId="0" fontId="1" fillId="65" borderId="0" applyNumberFormat="0" applyBorder="0" applyAlignment="0" applyProtection="0"/>
    <xf numFmtId="0" fontId="1" fillId="65" borderId="0" applyNumberFormat="0" applyBorder="0" applyAlignment="0" applyProtection="0"/>
    <xf numFmtId="0" fontId="1" fillId="65" borderId="0" applyNumberFormat="0" applyBorder="0" applyAlignment="0" applyProtection="0"/>
    <xf numFmtId="0" fontId="1" fillId="65" borderId="0" applyNumberFormat="0" applyBorder="0" applyAlignment="0" applyProtection="0"/>
    <xf numFmtId="0" fontId="1" fillId="65" borderId="0" applyNumberFormat="0" applyBorder="0" applyAlignment="0" applyProtection="0"/>
    <xf numFmtId="0" fontId="1" fillId="65" borderId="0" applyNumberFormat="0" applyBorder="0" applyAlignment="0" applyProtection="0"/>
    <xf numFmtId="0" fontId="1" fillId="65" borderId="0" applyNumberFormat="0" applyBorder="0" applyAlignment="0" applyProtection="0"/>
    <xf numFmtId="0" fontId="1" fillId="65" borderId="0" applyNumberFormat="0" applyBorder="0" applyAlignment="0" applyProtection="0"/>
    <xf numFmtId="0" fontId="1" fillId="65" borderId="0" applyNumberFormat="0" applyBorder="0" applyAlignment="0" applyProtection="0"/>
    <xf numFmtId="0" fontId="1" fillId="65" borderId="0" applyNumberFormat="0" applyBorder="0" applyAlignment="0" applyProtection="0"/>
    <xf numFmtId="0" fontId="1" fillId="65" borderId="0" applyNumberFormat="0" applyBorder="0" applyAlignment="0" applyProtection="0"/>
    <xf numFmtId="0" fontId="1" fillId="65" borderId="0" applyNumberFormat="0" applyBorder="0" applyAlignment="0" applyProtection="0"/>
    <xf numFmtId="0" fontId="1" fillId="65" borderId="0" applyNumberFormat="0" applyBorder="0" applyAlignment="0" applyProtection="0"/>
    <xf numFmtId="0" fontId="1" fillId="65" borderId="0" applyNumberFormat="0" applyBorder="0" applyAlignment="0" applyProtection="0"/>
    <xf numFmtId="0" fontId="1" fillId="65"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3" borderId="0" applyNumberFormat="0" applyBorder="0" applyAlignment="0" applyProtection="0"/>
    <xf numFmtId="0" fontId="1" fillId="3" borderId="0" applyNumberFormat="0" applyBorder="0" applyAlignment="0" applyProtection="0"/>
    <xf numFmtId="0" fontId="1" fillId="3" borderId="0" applyNumberFormat="0" applyBorder="0" applyAlignment="0" applyProtection="0"/>
    <xf numFmtId="0" fontId="1" fillId="3" borderId="0" applyNumberFormat="0" applyBorder="0" applyAlignment="0" applyProtection="0"/>
    <xf numFmtId="0" fontId="1" fillId="3" borderId="0" applyNumberFormat="0" applyBorder="0" applyAlignment="0" applyProtection="0"/>
    <xf numFmtId="0" fontId="1" fillId="3" borderId="0" applyNumberFormat="0" applyBorder="0" applyAlignment="0" applyProtection="0"/>
    <xf numFmtId="0" fontId="1" fillId="3" borderId="0" applyNumberFormat="0" applyBorder="0" applyAlignment="0" applyProtection="0"/>
    <xf numFmtId="0" fontId="1" fillId="3" borderId="0" applyNumberFormat="0" applyBorder="0" applyAlignment="0" applyProtection="0"/>
    <xf numFmtId="0" fontId="1" fillId="3" borderId="0" applyNumberFormat="0" applyBorder="0" applyAlignment="0" applyProtection="0"/>
    <xf numFmtId="0" fontId="1" fillId="3" borderId="0" applyNumberFormat="0" applyBorder="0" applyAlignment="0" applyProtection="0"/>
    <xf numFmtId="0" fontId="1" fillId="3" borderId="0" applyNumberFormat="0" applyBorder="0" applyAlignment="0" applyProtection="0"/>
    <xf numFmtId="0" fontId="1" fillId="3" borderId="0" applyNumberFormat="0" applyBorder="0" applyAlignment="0" applyProtection="0"/>
    <xf numFmtId="0" fontId="1" fillId="3" borderId="0" applyNumberFormat="0" applyBorder="0" applyAlignment="0" applyProtection="0"/>
    <xf numFmtId="0" fontId="1" fillId="3" borderId="0" applyNumberFormat="0" applyBorder="0" applyAlignment="0" applyProtection="0"/>
    <xf numFmtId="0" fontId="1" fillId="3" borderId="0" applyNumberFormat="0" applyBorder="0" applyAlignment="0" applyProtection="0"/>
    <xf numFmtId="0" fontId="1" fillId="3" borderId="0" applyNumberFormat="0" applyBorder="0" applyAlignment="0" applyProtection="0"/>
    <xf numFmtId="0" fontId="1" fillId="3" borderId="0" applyNumberFormat="0" applyBorder="0" applyAlignment="0" applyProtection="0"/>
    <xf numFmtId="0" fontId="1" fillId="3" borderId="0" applyNumberFormat="0" applyBorder="0" applyAlignment="0" applyProtection="0"/>
    <xf numFmtId="0" fontId="1" fillId="3" borderId="0" applyNumberFormat="0" applyBorder="0" applyAlignment="0" applyProtection="0"/>
    <xf numFmtId="0" fontId="1" fillId="3" borderId="0" applyNumberFormat="0" applyBorder="0" applyAlignment="0" applyProtection="0"/>
    <xf numFmtId="0" fontId="1" fillId="3" borderId="0" applyNumberFormat="0" applyBorder="0" applyAlignment="0" applyProtection="0"/>
    <xf numFmtId="0" fontId="1" fillId="3" borderId="0" applyNumberFormat="0" applyBorder="0" applyAlignment="0" applyProtection="0"/>
    <xf numFmtId="0" fontId="1" fillId="3" borderId="0" applyNumberFormat="0" applyBorder="0" applyAlignment="0" applyProtection="0"/>
    <xf numFmtId="0" fontId="1" fillId="3" borderId="0" applyNumberFormat="0" applyBorder="0" applyAlignment="0" applyProtection="0"/>
    <xf numFmtId="0" fontId="1" fillId="3" borderId="0" applyNumberFormat="0" applyBorder="0" applyAlignment="0" applyProtection="0"/>
    <xf numFmtId="0" fontId="1" fillId="3" borderId="0" applyNumberFormat="0" applyBorder="0" applyAlignment="0" applyProtection="0"/>
    <xf numFmtId="0" fontId="1" fillId="3" borderId="0" applyNumberFormat="0" applyBorder="0" applyAlignment="0" applyProtection="0"/>
    <xf numFmtId="0" fontId="1" fillId="3" borderId="0" applyNumberFormat="0" applyBorder="0" applyAlignment="0" applyProtection="0"/>
    <xf numFmtId="0" fontId="1" fillId="3" borderId="0" applyNumberFormat="0" applyBorder="0" applyAlignment="0" applyProtection="0"/>
    <xf numFmtId="0" fontId="1" fillId="3" borderId="0" applyNumberFormat="0" applyBorder="0" applyAlignment="0" applyProtection="0"/>
    <xf numFmtId="0" fontId="1" fillId="3" borderId="0" applyNumberFormat="0" applyBorder="0" applyAlignment="0" applyProtection="0"/>
    <xf numFmtId="0" fontId="1" fillId="3" borderId="0" applyNumberFormat="0" applyBorder="0" applyAlignment="0" applyProtection="0"/>
    <xf numFmtId="0" fontId="1" fillId="3" borderId="0" applyNumberFormat="0" applyBorder="0" applyAlignment="0" applyProtection="0"/>
    <xf numFmtId="0" fontId="1" fillId="3" borderId="0" applyNumberFormat="0" applyBorder="0" applyAlignment="0" applyProtection="0"/>
    <xf numFmtId="0" fontId="1" fillId="3" borderId="0" applyNumberFormat="0" applyBorder="0" applyAlignment="0" applyProtection="0"/>
    <xf numFmtId="0" fontId="1" fillId="3" borderId="0" applyNumberFormat="0" applyBorder="0" applyAlignment="0" applyProtection="0"/>
    <xf numFmtId="0" fontId="1" fillId="3" borderId="0" applyNumberFormat="0" applyBorder="0" applyAlignment="0" applyProtection="0"/>
    <xf numFmtId="0" fontId="1" fillId="3" borderId="0" applyNumberFormat="0" applyBorder="0" applyAlignment="0" applyProtection="0"/>
    <xf numFmtId="0" fontId="1" fillId="3" borderId="0" applyNumberFormat="0" applyBorder="0" applyAlignment="0" applyProtection="0"/>
    <xf numFmtId="0" fontId="1" fillId="3" borderId="0" applyNumberFormat="0" applyBorder="0" applyAlignment="0" applyProtection="0"/>
    <xf numFmtId="0" fontId="1" fillId="3" borderId="0" applyNumberFormat="0" applyBorder="0" applyAlignment="0" applyProtection="0"/>
    <xf numFmtId="0" fontId="1" fillId="3" borderId="0" applyNumberFormat="0" applyBorder="0" applyAlignment="0" applyProtection="0"/>
    <xf numFmtId="0" fontId="1" fillId="3" borderId="0" applyNumberFormat="0" applyBorder="0" applyAlignment="0" applyProtection="0"/>
    <xf numFmtId="0" fontId="1" fillId="3" borderId="0" applyNumberFormat="0" applyBorder="0" applyAlignment="0" applyProtection="0"/>
    <xf numFmtId="0" fontId="1" fillId="3" borderId="0" applyNumberFormat="0" applyBorder="0" applyAlignment="0" applyProtection="0"/>
    <xf numFmtId="0" fontId="1" fillId="3" borderId="0" applyNumberFormat="0" applyBorder="0" applyAlignment="0" applyProtection="0"/>
    <xf numFmtId="0" fontId="1" fillId="3" borderId="0" applyNumberFormat="0" applyBorder="0" applyAlignment="0" applyProtection="0"/>
    <xf numFmtId="0" fontId="1" fillId="3" borderId="0" applyNumberFormat="0" applyBorder="0" applyAlignment="0" applyProtection="0"/>
    <xf numFmtId="0" fontId="1" fillId="3" borderId="0" applyNumberFormat="0" applyBorder="0" applyAlignment="0" applyProtection="0"/>
    <xf numFmtId="0" fontId="1" fillId="3" borderId="0" applyNumberFormat="0" applyBorder="0" applyAlignment="0" applyProtection="0"/>
    <xf numFmtId="0" fontId="1" fillId="3" borderId="0" applyNumberFormat="0" applyBorder="0" applyAlignment="0" applyProtection="0"/>
    <xf numFmtId="0" fontId="1" fillId="3" borderId="0" applyNumberFormat="0" applyBorder="0" applyAlignment="0" applyProtection="0"/>
    <xf numFmtId="0" fontId="1" fillId="3" borderId="0" applyNumberFormat="0" applyBorder="0" applyAlignment="0" applyProtection="0"/>
    <xf numFmtId="0" fontId="1" fillId="3" borderId="0" applyNumberFormat="0" applyBorder="0" applyAlignment="0" applyProtection="0"/>
    <xf numFmtId="0" fontId="1" fillId="3" borderId="0" applyNumberFormat="0" applyBorder="0" applyAlignment="0" applyProtection="0"/>
    <xf numFmtId="0" fontId="1" fillId="3" borderId="0" applyNumberFormat="0" applyBorder="0" applyAlignment="0" applyProtection="0"/>
    <xf numFmtId="0" fontId="1" fillId="3" borderId="0" applyNumberFormat="0" applyBorder="0" applyAlignment="0" applyProtection="0"/>
    <xf numFmtId="0" fontId="1" fillId="3" borderId="0" applyNumberFormat="0" applyBorder="0" applyAlignment="0" applyProtection="0"/>
    <xf numFmtId="0" fontId="1" fillId="3" borderId="0" applyNumberFormat="0" applyBorder="0" applyAlignment="0" applyProtection="0"/>
    <xf numFmtId="0" fontId="1" fillId="3" borderId="0" applyNumberFormat="0" applyBorder="0" applyAlignment="0" applyProtection="0"/>
    <xf numFmtId="0" fontId="1" fillId="3" borderId="0" applyNumberFormat="0" applyBorder="0" applyAlignment="0" applyProtection="0"/>
    <xf numFmtId="0" fontId="1" fillId="3" borderId="0" applyNumberFormat="0" applyBorder="0" applyAlignment="0" applyProtection="0"/>
    <xf numFmtId="0" fontId="1" fillId="3" borderId="0" applyNumberFormat="0" applyBorder="0" applyAlignment="0" applyProtection="0"/>
    <xf numFmtId="0" fontId="1" fillId="3" borderId="0" applyNumberFormat="0" applyBorder="0" applyAlignment="0" applyProtection="0"/>
    <xf numFmtId="0" fontId="1" fillId="3" borderId="0" applyNumberFormat="0" applyBorder="0" applyAlignment="0" applyProtection="0"/>
    <xf numFmtId="0" fontId="1" fillId="3" borderId="0" applyNumberFormat="0" applyBorder="0" applyAlignment="0" applyProtection="0"/>
    <xf numFmtId="0" fontId="1" fillId="3" borderId="0" applyNumberFormat="0" applyBorder="0" applyAlignment="0" applyProtection="0"/>
    <xf numFmtId="0" fontId="1" fillId="3" borderId="0" applyNumberFormat="0" applyBorder="0" applyAlignment="0" applyProtection="0"/>
    <xf numFmtId="0" fontId="1" fillId="3" borderId="0" applyNumberFormat="0" applyBorder="0" applyAlignment="0" applyProtection="0"/>
    <xf numFmtId="0" fontId="1" fillId="3" borderId="0" applyNumberFormat="0" applyBorder="0" applyAlignment="0" applyProtection="0"/>
    <xf numFmtId="0" fontId="1" fillId="3" borderId="0" applyNumberFormat="0" applyBorder="0" applyAlignment="0" applyProtection="0"/>
    <xf numFmtId="0" fontId="1" fillId="3" borderId="0" applyNumberFormat="0" applyBorder="0" applyAlignment="0" applyProtection="0"/>
    <xf numFmtId="0" fontId="1" fillId="3" borderId="0" applyNumberFormat="0" applyBorder="0" applyAlignment="0" applyProtection="0"/>
    <xf numFmtId="0" fontId="1" fillId="3" borderId="0" applyNumberFormat="0" applyBorder="0" applyAlignment="0" applyProtection="0"/>
    <xf numFmtId="0" fontId="1" fillId="3" borderId="0" applyNumberFormat="0" applyBorder="0" applyAlignment="0" applyProtection="0"/>
    <xf numFmtId="0" fontId="1" fillId="3" borderId="0" applyNumberFormat="0" applyBorder="0" applyAlignment="0" applyProtection="0"/>
    <xf numFmtId="0" fontId="1" fillId="3" borderId="0" applyNumberFormat="0" applyBorder="0" applyAlignment="0" applyProtection="0"/>
    <xf numFmtId="0" fontId="1" fillId="3" borderId="0" applyNumberFormat="0" applyBorder="0" applyAlignment="0" applyProtection="0"/>
    <xf numFmtId="0" fontId="1" fillId="3" borderId="0" applyNumberFormat="0" applyBorder="0" applyAlignment="0" applyProtection="0"/>
    <xf numFmtId="0" fontId="1" fillId="3" borderId="0" applyNumberFormat="0" applyBorder="0" applyAlignment="0" applyProtection="0"/>
    <xf numFmtId="0" fontId="1" fillId="3" borderId="0" applyNumberFormat="0" applyBorder="0" applyAlignment="0" applyProtection="0"/>
    <xf numFmtId="0" fontId="1" fillId="3" borderId="0" applyNumberFormat="0" applyBorder="0" applyAlignment="0" applyProtection="0"/>
    <xf numFmtId="0" fontId="1" fillId="3" borderId="0" applyNumberFormat="0" applyBorder="0" applyAlignment="0" applyProtection="0"/>
    <xf numFmtId="0" fontId="1" fillId="3" borderId="0" applyNumberFormat="0" applyBorder="0" applyAlignment="0" applyProtection="0"/>
    <xf numFmtId="0" fontId="1" fillId="3" borderId="0" applyNumberFormat="0" applyBorder="0" applyAlignment="0" applyProtection="0"/>
    <xf numFmtId="0" fontId="1" fillId="3" borderId="0" applyNumberFormat="0" applyBorder="0" applyAlignment="0" applyProtection="0"/>
    <xf numFmtId="0" fontId="1" fillId="3" borderId="0" applyNumberFormat="0" applyBorder="0" applyAlignment="0" applyProtection="0"/>
    <xf numFmtId="0" fontId="1" fillId="3" borderId="0" applyNumberFormat="0" applyBorder="0" applyAlignment="0" applyProtection="0"/>
    <xf numFmtId="0" fontId="1" fillId="3" borderId="0" applyNumberFormat="0" applyBorder="0" applyAlignment="0" applyProtection="0"/>
    <xf numFmtId="0" fontId="1" fillId="3" borderId="0" applyNumberFormat="0" applyBorder="0" applyAlignment="0" applyProtection="0"/>
    <xf numFmtId="0" fontId="1" fillId="3" borderId="0" applyNumberFormat="0" applyBorder="0" applyAlignment="0" applyProtection="0"/>
    <xf numFmtId="0" fontId="1" fillId="3" borderId="0" applyNumberFormat="0" applyBorder="0" applyAlignment="0" applyProtection="0"/>
    <xf numFmtId="0" fontId="1" fillId="3" borderId="0" applyNumberFormat="0" applyBorder="0" applyAlignment="0" applyProtection="0"/>
    <xf numFmtId="0" fontId="1" fillId="3" borderId="0" applyNumberFormat="0" applyBorder="0" applyAlignment="0" applyProtection="0"/>
    <xf numFmtId="0" fontId="1" fillId="3" borderId="0" applyNumberFormat="0" applyBorder="0" applyAlignment="0" applyProtection="0"/>
    <xf numFmtId="0" fontId="1" fillId="3" borderId="0" applyNumberFormat="0" applyBorder="0" applyAlignment="0" applyProtection="0"/>
    <xf numFmtId="0" fontId="1" fillId="3" borderId="0" applyNumberFormat="0" applyBorder="0" applyAlignment="0" applyProtection="0"/>
    <xf numFmtId="0" fontId="1" fillId="3" borderId="0" applyNumberFormat="0" applyBorder="0" applyAlignment="0" applyProtection="0"/>
    <xf numFmtId="0" fontId="1" fillId="3" borderId="0" applyNumberFormat="0" applyBorder="0" applyAlignment="0" applyProtection="0"/>
    <xf numFmtId="0" fontId="1" fillId="3" borderId="0" applyNumberFormat="0" applyBorder="0" applyAlignment="0" applyProtection="0"/>
    <xf numFmtId="0" fontId="1" fillId="3" borderId="0" applyNumberFormat="0" applyBorder="0" applyAlignment="0" applyProtection="0"/>
    <xf numFmtId="0" fontId="1" fillId="3" borderId="0" applyNumberFormat="0" applyBorder="0" applyAlignment="0" applyProtection="0"/>
    <xf numFmtId="0" fontId="1" fillId="3" borderId="0" applyNumberFormat="0" applyBorder="0" applyAlignment="0" applyProtection="0"/>
    <xf numFmtId="0" fontId="1" fillId="3" borderId="0" applyNumberFormat="0" applyBorder="0" applyAlignment="0" applyProtection="0"/>
    <xf numFmtId="0" fontId="1" fillId="3" borderId="0" applyNumberFormat="0" applyBorder="0" applyAlignment="0" applyProtection="0"/>
    <xf numFmtId="0" fontId="1" fillId="3" borderId="0" applyNumberFormat="0" applyBorder="0" applyAlignment="0" applyProtection="0"/>
    <xf numFmtId="0" fontId="1" fillId="3" borderId="0" applyNumberFormat="0" applyBorder="0" applyAlignment="0" applyProtection="0"/>
    <xf numFmtId="0" fontId="1" fillId="3" borderId="0" applyNumberFormat="0" applyBorder="0" applyAlignment="0" applyProtection="0"/>
    <xf numFmtId="0" fontId="1" fillId="3" borderId="0" applyNumberFormat="0" applyBorder="0" applyAlignment="0" applyProtection="0"/>
    <xf numFmtId="0" fontId="1" fillId="3" borderId="0" applyNumberFormat="0" applyBorder="0" applyAlignment="0" applyProtection="0"/>
    <xf numFmtId="0" fontId="1" fillId="3" borderId="0" applyNumberFormat="0" applyBorder="0" applyAlignment="0" applyProtection="0"/>
    <xf numFmtId="0" fontId="1" fillId="3" borderId="0" applyNumberFormat="0" applyBorder="0" applyAlignment="0" applyProtection="0"/>
    <xf numFmtId="0" fontId="1" fillId="3" borderId="0" applyNumberFormat="0" applyBorder="0" applyAlignment="0" applyProtection="0"/>
    <xf numFmtId="0" fontId="1" fillId="3" borderId="0" applyNumberFormat="0" applyBorder="0" applyAlignment="0" applyProtection="0"/>
    <xf numFmtId="0" fontId="1" fillId="3" borderId="0" applyNumberFormat="0" applyBorder="0" applyAlignment="0" applyProtection="0"/>
    <xf numFmtId="0" fontId="1" fillId="3" borderId="0" applyNumberFormat="0" applyBorder="0" applyAlignment="0" applyProtection="0"/>
    <xf numFmtId="0" fontId="1" fillId="3" borderId="0" applyNumberFormat="0" applyBorder="0" applyAlignment="0" applyProtection="0"/>
    <xf numFmtId="0" fontId="1" fillId="3" borderId="0" applyNumberFormat="0" applyBorder="0" applyAlignment="0" applyProtection="0"/>
    <xf numFmtId="0" fontId="1" fillId="3" borderId="0" applyNumberFormat="0" applyBorder="0" applyAlignment="0" applyProtection="0"/>
    <xf numFmtId="0" fontId="1" fillId="3" borderId="0" applyNumberFormat="0" applyBorder="0" applyAlignment="0" applyProtection="0"/>
    <xf numFmtId="0" fontId="1" fillId="3" borderId="0" applyNumberFormat="0" applyBorder="0" applyAlignment="0" applyProtection="0"/>
    <xf numFmtId="0" fontId="1" fillId="3" borderId="0" applyNumberFormat="0" applyBorder="0" applyAlignment="0" applyProtection="0"/>
    <xf numFmtId="0" fontId="1" fillId="3" borderId="0" applyNumberFormat="0" applyBorder="0" applyAlignment="0" applyProtection="0"/>
    <xf numFmtId="0" fontId="1" fillId="3" borderId="0" applyNumberFormat="0" applyBorder="0" applyAlignment="0" applyProtection="0"/>
    <xf numFmtId="0" fontId="1" fillId="3" borderId="0" applyNumberFormat="0" applyBorder="0" applyAlignment="0" applyProtection="0"/>
    <xf numFmtId="0" fontId="1" fillId="3" borderId="0" applyNumberFormat="0" applyBorder="0" applyAlignment="0" applyProtection="0"/>
    <xf numFmtId="0" fontId="1" fillId="3" borderId="0" applyNumberFormat="0" applyBorder="0" applyAlignment="0" applyProtection="0"/>
    <xf numFmtId="0" fontId="1" fillId="3" borderId="0" applyNumberFormat="0" applyBorder="0" applyAlignment="0" applyProtection="0"/>
    <xf numFmtId="0" fontId="1" fillId="3" borderId="0" applyNumberFormat="0" applyBorder="0" applyAlignment="0" applyProtection="0"/>
    <xf numFmtId="0" fontId="1" fillId="3" borderId="0" applyNumberFormat="0" applyBorder="0" applyAlignment="0" applyProtection="0"/>
    <xf numFmtId="0" fontId="1" fillId="3" borderId="0" applyNumberFormat="0" applyBorder="0" applyAlignment="0" applyProtection="0"/>
    <xf numFmtId="0" fontId="1" fillId="3" borderId="0" applyNumberFormat="0" applyBorder="0" applyAlignment="0" applyProtection="0"/>
    <xf numFmtId="0" fontId="1" fillId="3" borderId="0" applyNumberFormat="0" applyBorder="0" applyAlignment="0" applyProtection="0"/>
    <xf numFmtId="0" fontId="1" fillId="3" borderId="0" applyNumberFormat="0" applyBorder="0" applyAlignment="0" applyProtection="0"/>
    <xf numFmtId="0" fontId="1" fillId="3" borderId="0" applyNumberFormat="0" applyBorder="0" applyAlignment="0" applyProtection="0"/>
    <xf numFmtId="0" fontId="1" fillId="3" borderId="0" applyNumberFormat="0" applyBorder="0" applyAlignment="0" applyProtection="0"/>
    <xf numFmtId="0" fontId="1" fillId="3" borderId="0" applyNumberFormat="0" applyBorder="0" applyAlignment="0" applyProtection="0"/>
    <xf numFmtId="0" fontId="1" fillId="3" borderId="0" applyNumberFormat="0" applyBorder="0" applyAlignment="0" applyProtection="0"/>
    <xf numFmtId="0" fontId="1" fillId="3" borderId="0" applyNumberFormat="0" applyBorder="0" applyAlignment="0" applyProtection="0"/>
    <xf numFmtId="0" fontId="1" fillId="3" borderId="0" applyNumberFormat="0" applyBorder="0" applyAlignment="0" applyProtection="0"/>
    <xf numFmtId="0" fontId="1" fillId="3" borderId="0" applyNumberFormat="0" applyBorder="0" applyAlignment="0" applyProtection="0"/>
    <xf numFmtId="0" fontId="1" fillId="3" borderId="0" applyNumberFormat="0" applyBorder="0" applyAlignment="0" applyProtection="0"/>
    <xf numFmtId="0" fontId="1" fillId="3" borderId="0" applyNumberFormat="0" applyBorder="0" applyAlignment="0" applyProtection="0"/>
    <xf numFmtId="0" fontId="1" fillId="3" borderId="0" applyNumberFormat="0" applyBorder="0" applyAlignment="0" applyProtection="0"/>
    <xf numFmtId="0" fontId="1" fillId="3" borderId="0" applyNumberFormat="0" applyBorder="0" applyAlignment="0" applyProtection="0"/>
    <xf numFmtId="0" fontId="1" fillId="3" borderId="0" applyNumberFormat="0" applyBorder="0" applyAlignment="0" applyProtection="0"/>
    <xf numFmtId="0" fontId="1" fillId="3" borderId="0" applyNumberFormat="0" applyBorder="0" applyAlignment="0" applyProtection="0"/>
    <xf numFmtId="0" fontId="1" fillId="3" borderId="0" applyNumberFormat="0" applyBorder="0" applyAlignment="0" applyProtection="0"/>
    <xf numFmtId="0" fontId="1" fillId="3" borderId="0" applyNumberFormat="0" applyBorder="0" applyAlignment="0" applyProtection="0"/>
    <xf numFmtId="0" fontId="1" fillId="3" borderId="0" applyNumberFormat="0" applyBorder="0" applyAlignment="0" applyProtection="0"/>
    <xf numFmtId="0" fontId="1" fillId="3" borderId="0" applyNumberFormat="0" applyBorder="0" applyAlignment="0" applyProtection="0"/>
    <xf numFmtId="0" fontId="1" fillId="3" borderId="0" applyNumberFormat="0" applyBorder="0" applyAlignment="0" applyProtection="0"/>
    <xf numFmtId="0" fontId="1" fillId="3" borderId="0" applyNumberFormat="0" applyBorder="0" applyAlignment="0" applyProtection="0"/>
    <xf numFmtId="0" fontId="1" fillId="3" borderId="0" applyNumberFormat="0" applyBorder="0" applyAlignment="0" applyProtection="0"/>
    <xf numFmtId="0" fontId="1" fillId="3" borderId="0" applyNumberFormat="0" applyBorder="0" applyAlignment="0" applyProtection="0"/>
    <xf numFmtId="0" fontId="1" fillId="3" borderId="0" applyNumberFormat="0" applyBorder="0" applyAlignment="0" applyProtection="0"/>
    <xf numFmtId="0" fontId="1" fillId="3" borderId="0" applyNumberFormat="0" applyBorder="0" applyAlignment="0" applyProtection="0"/>
    <xf numFmtId="0" fontId="1" fillId="3" borderId="0" applyNumberFormat="0" applyBorder="0" applyAlignment="0" applyProtection="0"/>
    <xf numFmtId="0" fontId="1" fillId="3" borderId="0" applyNumberFormat="0" applyBorder="0" applyAlignment="0" applyProtection="0"/>
    <xf numFmtId="0" fontId="1" fillId="3" borderId="0" applyNumberFormat="0" applyBorder="0" applyAlignment="0" applyProtection="0"/>
    <xf numFmtId="0" fontId="1" fillId="3" borderId="0" applyNumberFormat="0" applyBorder="0" applyAlignment="0" applyProtection="0"/>
    <xf numFmtId="0" fontId="1" fillId="3" borderId="0" applyNumberFormat="0" applyBorder="0" applyAlignment="0" applyProtection="0"/>
    <xf numFmtId="0" fontId="1" fillId="3" borderId="0" applyNumberFormat="0" applyBorder="0" applyAlignment="0" applyProtection="0"/>
    <xf numFmtId="0" fontId="1" fillId="3" borderId="0" applyNumberFormat="0" applyBorder="0" applyAlignment="0" applyProtection="0"/>
    <xf numFmtId="0" fontId="1" fillId="3" borderId="0" applyNumberFormat="0" applyBorder="0" applyAlignment="0" applyProtection="0"/>
    <xf numFmtId="0" fontId="1" fillId="3" borderId="0" applyNumberFormat="0" applyBorder="0" applyAlignment="0" applyProtection="0"/>
    <xf numFmtId="0" fontId="1" fillId="3" borderId="0" applyNumberFormat="0" applyBorder="0" applyAlignment="0" applyProtection="0"/>
    <xf numFmtId="0" fontId="1" fillId="3" borderId="0" applyNumberFormat="0" applyBorder="0" applyAlignment="0" applyProtection="0"/>
    <xf numFmtId="0" fontId="1" fillId="3" borderId="0" applyNumberFormat="0" applyBorder="0" applyAlignment="0" applyProtection="0"/>
    <xf numFmtId="0" fontId="1" fillId="3" borderId="0" applyNumberFormat="0" applyBorder="0" applyAlignment="0" applyProtection="0"/>
    <xf numFmtId="0" fontId="1" fillId="3" borderId="0" applyNumberFormat="0" applyBorder="0" applyAlignment="0" applyProtection="0"/>
    <xf numFmtId="0" fontId="1" fillId="3" borderId="0" applyNumberFormat="0" applyBorder="0" applyAlignment="0" applyProtection="0"/>
    <xf numFmtId="0" fontId="1" fillId="3" borderId="0" applyNumberFormat="0" applyBorder="0" applyAlignment="0" applyProtection="0"/>
    <xf numFmtId="0" fontId="1" fillId="3" borderId="0" applyNumberFormat="0" applyBorder="0" applyAlignment="0" applyProtection="0"/>
    <xf numFmtId="0" fontId="1" fillId="3" borderId="0" applyNumberFormat="0" applyBorder="0" applyAlignment="0" applyProtection="0"/>
    <xf numFmtId="0" fontId="1" fillId="3" borderId="0" applyNumberFormat="0" applyBorder="0" applyAlignment="0" applyProtection="0"/>
    <xf numFmtId="0" fontId="1" fillId="3" borderId="0" applyNumberFormat="0" applyBorder="0" applyAlignment="0" applyProtection="0"/>
    <xf numFmtId="0" fontId="1" fillId="3" borderId="0" applyNumberFormat="0" applyBorder="0" applyAlignment="0" applyProtection="0"/>
    <xf numFmtId="0" fontId="1" fillId="3" borderId="0" applyNumberFormat="0" applyBorder="0" applyAlignment="0" applyProtection="0"/>
    <xf numFmtId="0" fontId="1" fillId="3" borderId="0" applyNumberFormat="0" applyBorder="0" applyAlignment="0" applyProtection="0"/>
    <xf numFmtId="0" fontId="1" fillId="3" borderId="0" applyNumberFormat="0" applyBorder="0" applyAlignment="0" applyProtection="0"/>
    <xf numFmtId="0" fontId="1" fillId="3" borderId="0" applyNumberFormat="0" applyBorder="0" applyAlignment="0" applyProtection="0"/>
    <xf numFmtId="0" fontId="1" fillId="3" borderId="0" applyNumberFormat="0" applyBorder="0" applyAlignment="0" applyProtection="0"/>
    <xf numFmtId="0" fontId="1" fillId="3" borderId="0" applyNumberFormat="0" applyBorder="0" applyAlignment="0" applyProtection="0"/>
    <xf numFmtId="0" fontId="1" fillId="3" borderId="0" applyNumberFormat="0" applyBorder="0" applyAlignment="0" applyProtection="0"/>
    <xf numFmtId="0" fontId="1" fillId="3" borderId="0" applyNumberFormat="0" applyBorder="0" applyAlignment="0" applyProtection="0"/>
    <xf numFmtId="0" fontId="1" fillId="3" borderId="0" applyNumberFormat="0" applyBorder="0" applyAlignment="0" applyProtection="0"/>
    <xf numFmtId="0" fontId="1" fillId="3" borderId="0" applyNumberFormat="0" applyBorder="0" applyAlignment="0" applyProtection="0"/>
    <xf numFmtId="0" fontId="1" fillId="3" borderId="0" applyNumberFormat="0" applyBorder="0" applyAlignment="0" applyProtection="0"/>
    <xf numFmtId="0" fontId="1" fillId="3" borderId="0" applyNumberFormat="0" applyBorder="0" applyAlignment="0" applyProtection="0"/>
    <xf numFmtId="0" fontId="1" fillId="3" borderId="0" applyNumberFormat="0" applyBorder="0" applyAlignment="0" applyProtection="0"/>
    <xf numFmtId="0" fontId="1" fillId="3" borderId="0" applyNumberFormat="0" applyBorder="0" applyAlignment="0" applyProtection="0"/>
    <xf numFmtId="0" fontId="1" fillId="3" borderId="0" applyNumberFormat="0" applyBorder="0" applyAlignment="0" applyProtection="0"/>
    <xf numFmtId="0" fontId="1" fillId="3" borderId="0" applyNumberFormat="0" applyBorder="0" applyAlignment="0" applyProtection="0"/>
    <xf numFmtId="0" fontId="1" fillId="3" borderId="0" applyNumberFormat="0" applyBorder="0" applyAlignment="0" applyProtection="0"/>
    <xf numFmtId="0" fontId="1" fillId="3" borderId="0" applyNumberFormat="0" applyBorder="0" applyAlignment="0" applyProtection="0"/>
    <xf numFmtId="0" fontId="1" fillId="3" borderId="0" applyNumberFormat="0" applyBorder="0" applyAlignment="0" applyProtection="0"/>
    <xf numFmtId="0" fontId="1" fillId="3" borderId="0" applyNumberFormat="0" applyBorder="0" applyAlignment="0" applyProtection="0"/>
    <xf numFmtId="0" fontId="1" fillId="3" borderId="0" applyNumberFormat="0" applyBorder="0" applyAlignment="0" applyProtection="0"/>
    <xf numFmtId="0" fontId="1" fillId="3" borderId="0" applyNumberFormat="0" applyBorder="0" applyAlignment="0" applyProtection="0"/>
    <xf numFmtId="0" fontId="1" fillId="3" borderId="0" applyNumberFormat="0" applyBorder="0" applyAlignment="0" applyProtection="0"/>
    <xf numFmtId="0" fontId="1" fillId="3" borderId="0" applyNumberFormat="0" applyBorder="0" applyAlignment="0" applyProtection="0"/>
    <xf numFmtId="0" fontId="1" fillId="3" borderId="0" applyNumberFormat="0" applyBorder="0" applyAlignment="0" applyProtection="0"/>
    <xf numFmtId="0" fontId="1" fillId="3" borderId="0" applyNumberFormat="0" applyBorder="0" applyAlignment="0" applyProtection="0"/>
    <xf numFmtId="0" fontId="1" fillId="3" borderId="0" applyNumberFormat="0" applyBorder="0" applyAlignment="0" applyProtection="0"/>
    <xf numFmtId="0" fontId="1" fillId="3" borderId="0" applyNumberFormat="0" applyBorder="0" applyAlignment="0" applyProtection="0"/>
    <xf numFmtId="0" fontId="1" fillId="3" borderId="0" applyNumberFormat="0" applyBorder="0" applyAlignment="0" applyProtection="0"/>
    <xf numFmtId="0" fontId="1" fillId="3" borderId="0" applyNumberFormat="0" applyBorder="0" applyAlignment="0" applyProtection="0"/>
    <xf numFmtId="0" fontId="1" fillId="3" borderId="0" applyNumberFormat="0" applyBorder="0" applyAlignment="0" applyProtection="0"/>
    <xf numFmtId="0" fontId="1" fillId="3" borderId="0" applyNumberFormat="0" applyBorder="0" applyAlignment="0" applyProtection="0"/>
    <xf numFmtId="0" fontId="1" fillId="3" borderId="0" applyNumberFormat="0" applyBorder="0" applyAlignment="0" applyProtection="0"/>
    <xf numFmtId="0" fontId="1" fillId="3" borderId="0" applyNumberFormat="0" applyBorder="0" applyAlignment="0" applyProtection="0"/>
    <xf numFmtId="0" fontId="1" fillId="3" borderId="0" applyNumberFormat="0" applyBorder="0" applyAlignment="0" applyProtection="0"/>
    <xf numFmtId="0" fontId="1" fillId="3" borderId="0" applyNumberFormat="0" applyBorder="0" applyAlignment="0" applyProtection="0"/>
    <xf numFmtId="0" fontId="1" fillId="3" borderId="0" applyNumberFormat="0" applyBorder="0" applyAlignment="0" applyProtection="0"/>
    <xf numFmtId="0" fontId="1" fillId="3" borderId="0" applyNumberFormat="0" applyBorder="0" applyAlignment="0" applyProtection="0"/>
    <xf numFmtId="0" fontId="1" fillId="3" borderId="0" applyNumberFormat="0" applyBorder="0" applyAlignment="0" applyProtection="0"/>
    <xf numFmtId="0" fontId="1" fillId="3" borderId="0" applyNumberFormat="0" applyBorder="0" applyAlignment="0" applyProtection="0"/>
    <xf numFmtId="0" fontId="1" fillId="3" borderId="0" applyNumberFormat="0" applyBorder="0" applyAlignment="0" applyProtection="0"/>
    <xf numFmtId="0" fontId="1" fillId="3" borderId="0" applyNumberFormat="0" applyBorder="0" applyAlignment="0" applyProtection="0"/>
    <xf numFmtId="0" fontId="1" fillId="3" borderId="0" applyNumberFormat="0" applyBorder="0" applyAlignment="0" applyProtection="0"/>
    <xf numFmtId="0" fontId="1" fillId="3" borderId="0" applyNumberFormat="0" applyBorder="0" applyAlignment="0" applyProtection="0"/>
    <xf numFmtId="0" fontId="1" fillId="3" borderId="0" applyNumberFormat="0" applyBorder="0" applyAlignment="0" applyProtection="0"/>
    <xf numFmtId="0" fontId="1" fillId="3" borderId="0" applyNumberFormat="0" applyBorder="0" applyAlignment="0" applyProtection="0"/>
    <xf numFmtId="0" fontId="1" fillId="3" borderId="0" applyNumberFormat="0" applyBorder="0" applyAlignment="0" applyProtection="0"/>
    <xf numFmtId="0" fontId="1" fillId="3" borderId="0" applyNumberFormat="0" applyBorder="0" applyAlignment="0" applyProtection="0"/>
    <xf numFmtId="0" fontId="1" fillId="3" borderId="0" applyNumberFormat="0" applyBorder="0" applyAlignment="0" applyProtection="0"/>
    <xf numFmtId="0" fontId="1" fillId="3" borderId="0" applyNumberFormat="0" applyBorder="0" applyAlignment="0" applyProtection="0"/>
    <xf numFmtId="0" fontId="1" fillId="3" borderId="0" applyNumberFormat="0" applyBorder="0" applyAlignment="0" applyProtection="0"/>
    <xf numFmtId="0" fontId="1" fillId="3" borderId="0" applyNumberFormat="0" applyBorder="0" applyAlignment="0" applyProtection="0"/>
    <xf numFmtId="0" fontId="1" fillId="3" borderId="0" applyNumberFormat="0" applyBorder="0" applyAlignment="0" applyProtection="0"/>
    <xf numFmtId="0" fontId="1" fillId="3" borderId="0" applyNumberFormat="0" applyBorder="0" applyAlignment="0" applyProtection="0"/>
    <xf numFmtId="0" fontId="1" fillId="3" borderId="0" applyNumberFormat="0" applyBorder="0" applyAlignment="0" applyProtection="0"/>
    <xf numFmtId="0" fontId="1" fillId="3" borderId="0" applyNumberFormat="0" applyBorder="0" applyAlignment="0" applyProtection="0"/>
    <xf numFmtId="0" fontId="1" fillId="3" borderId="0" applyNumberFormat="0" applyBorder="0" applyAlignment="0" applyProtection="0"/>
    <xf numFmtId="0" fontId="1" fillId="3" borderId="0" applyNumberFormat="0" applyBorder="0" applyAlignment="0" applyProtection="0"/>
    <xf numFmtId="0" fontId="1" fillId="3" borderId="0" applyNumberFormat="0" applyBorder="0" applyAlignment="0" applyProtection="0"/>
    <xf numFmtId="0" fontId="1" fillId="3" borderId="0" applyNumberFormat="0" applyBorder="0" applyAlignment="0" applyProtection="0"/>
    <xf numFmtId="0" fontId="1" fillId="3" borderId="0" applyNumberFormat="0" applyBorder="0" applyAlignment="0" applyProtection="0"/>
    <xf numFmtId="0" fontId="1" fillId="3" borderId="0" applyNumberFormat="0" applyBorder="0" applyAlignment="0" applyProtection="0"/>
    <xf numFmtId="0" fontId="1" fillId="3" borderId="0" applyNumberFormat="0" applyBorder="0" applyAlignment="0" applyProtection="0"/>
    <xf numFmtId="0" fontId="1" fillId="3" borderId="0" applyNumberFormat="0" applyBorder="0" applyAlignment="0" applyProtection="0"/>
    <xf numFmtId="0" fontId="1" fillId="3" borderId="0" applyNumberFormat="0" applyBorder="0" applyAlignment="0" applyProtection="0"/>
    <xf numFmtId="0" fontId="1" fillId="3" borderId="0" applyNumberFormat="0" applyBorder="0" applyAlignment="0" applyProtection="0"/>
    <xf numFmtId="0" fontId="1" fillId="3" borderId="0" applyNumberFormat="0" applyBorder="0" applyAlignment="0" applyProtection="0"/>
    <xf numFmtId="0" fontId="1" fillId="3" borderId="0" applyNumberFormat="0" applyBorder="0" applyAlignment="0" applyProtection="0"/>
    <xf numFmtId="0" fontId="1" fillId="3" borderId="0" applyNumberFormat="0" applyBorder="0" applyAlignment="0" applyProtection="0"/>
    <xf numFmtId="0" fontId="1" fillId="3" borderId="0" applyNumberFormat="0" applyBorder="0" applyAlignment="0" applyProtection="0"/>
    <xf numFmtId="0" fontId="1" fillId="3" borderId="0" applyNumberFormat="0" applyBorder="0" applyAlignment="0" applyProtection="0"/>
    <xf numFmtId="0" fontId="1" fillId="3" borderId="0" applyNumberFormat="0" applyBorder="0" applyAlignment="0" applyProtection="0"/>
    <xf numFmtId="0" fontId="1" fillId="3" borderId="0" applyNumberFormat="0" applyBorder="0" applyAlignment="0" applyProtection="0"/>
    <xf numFmtId="0" fontId="1" fillId="3" borderId="0" applyNumberFormat="0" applyBorder="0" applyAlignment="0" applyProtection="0"/>
    <xf numFmtId="0" fontId="1" fillId="3" borderId="0" applyNumberFormat="0" applyBorder="0" applyAlignment="0" applyProtection="0"/>
    <xf numFmtId="0" fontId="1" fillId="3" borderId="0" applyNumberFormat="0" applyBorder="0" applyAlignment="0" applyProtection="0"/>
    <xf numFmtId="0" fontId="1" fillId="3" borderId="0" applyNumberFormat="0" applyBorder="0" applyAlignment="0" applyProtection="0"/>
    <xf numFmtId="0" fontId="1" fillId="3" borderId="0" applyNumberFormat="0" applyBorder="0" applyAlignment="0" applyProtection="0"/>
    <xf numFmtId="0" fontId="1" fillId="3" borderId="0" applyNumberFormat="0" applyBorder="0" applyAlignment="0" applyProtection="0"/>
    <xf numFmtId="0" fontId="1" fillId="3" borderId="0" applyNumberFormat="0" applyBorder="0" applyAlignment="0" applyProtection="0"/>
    <xf numFmtId="0" fontId="1" fillId="3" borderId="0" applyNumberFormat="0" applyBorder="0" applyAlignment="0" applyProtection="0"/>
    <xf numFmtId="0" fontId="1" fillId="3" borderId="0" applyNumberFormat="0" applyBorder="0" applyAlignment="0" applyProtection="0"/>
    <xf numFmtId="0" fontId="1" fillId="3" borderId="0" applyNumberFormat="0" applyBorder="0" applyAlignment="0" applyProtection="0"/>
    <xf numFmtId="0" fontId="1" fillId="3" borderId="0" applyNumberFormat="0" applyBorder="0" applyAlignment="0" applyProtection="0"/>
    <xf numFmtId="0" fontId="1" fillId="3" borderId="0" applyNumberFormat="0" applyBorder="0" applyAlignment="0" applyProtection="0"/>
    <xf numFmtId="0" fontId="1" fillId="3" borderId="0" applyNumberFormat="0" applyBorder="0" applyAlignment="0" applyProtection="0"/>
    <xf numFmtId="0" fontId="1" fillId="3" borderId="0" applyNumberFormat="0" applyBorder="0" applyAlignment="0" applyProtection="0"/>
    <xf numFmtId="0" fontId="1" fillId="3" borderId="0" applyNumberFormat="0" applyBorder="0" applyAlignment="0" applyProtection="0"/>
    <xf numFmtId="0" fontId="1" fillId="3" borderId="0" applyNumberFormat="0" applyBorder="0" applyAlignment="0" applyProtection="0"/>
    <xf numFmtId="0" fontId="1" fillId="3" borderId="0" applyNumberFormat="0" applyBorder="0" applyAlignment="0" applyProtection="0"/>
    <xf numFmtId="0" fontId="1" fillId="3" borderId="0" applyNumberFormat="0" applyBorder="0" applyAlignment="0" applyProtection="0"/>
    <xf numFmtId="0" fontId="1" fillId="3" borderId="0" applyNumberFormat="0" applyBorder="0" applyAlignment="0" applyProtection="0"/>
    <xf numFmtId="0" fontId="1" fillId="3" borderId="0" applyNumberFormat="0" applyBorder="0" applyAlignment="0" applyProtection="0"/>
    <xf numFmtId="0" fontId="1" fillId="3" borderId="0" applyNumberFormat="0" applyBorder="0" applyAlignment="0" applyProtection="0"/>
    <xf numFmtId="0" fontId="1" fillId="3" borderId="0" applyNumberFormat="0" applyBorder="0" applyAlignment="0" applyProtection="0"/>
    <xf numFmtId="0" fontId="1" fillId="3" borderId="0" applyNumberFormat="0" applyBorder="0" applyAlignment="0" applyProtection="0"/>
    <xf numFmtId="0" fontId="1" fillId="3" borderId="0" applyNumberFormat="0" applyBorder="0" applyAlignment="0" applyProtection="0"/>
    <xf numFmtId="0" fontId="1" fillId="3" borderId="0" applyNumberFormat="0" applyBorder="0" applyAlignment="0" applyProtection="0"/>
    <xf numFmtId="0" fontId="1" fillId="3" borderId="0" applyNumberFormat="0" applyBorder="0" applyAlignment="0" applyProtection="0"/>
    <xf numFmtId="0" fontId="1" fillId="3"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49" fontId="42" fillId="0" borderId="2" applyNumberFormat="0" applyFill="0" applyBorder="0" applyProtection="0">
      <alignment horizontal="left" vertical="center"/>
    </xf>
    <xf numFmtId="0" fontId="1" fillId="60" borderId="0" applyNumberFormat="0" applyBorder="0" applyAlignment="0" applyProtection="0"/>
    <xf numFmtId="0" fontId="1" fillId="61" borderId="0" applyNumberFormat="0" applyBorder="0" applyAlignment="0" applyProtection="0"/>
    <xf numFmtId="0" fontId="1" fillId="64" borderId="0" applyNumberFormat="0" applyBorder="0" applyAlignment="0" applyProtection="0"/>
    <xf numFmtId="0" fontId="1" fillId="65" borderId="0" applyNumberFormat="0" applyBorder="0" applyAlignment="0" applyProtection="0"/>
    <xf numFmtId="0" fontId="1" fillId="68" borderId="0" applyNumberFormat="0" applyBorder="0" applyAlignment="0" applyProtection="0"/>
    <xf numFmtId="0" fontId="1" fillId="69" borderId="0" applyNumberFormat="0" applyBorder="0" applyAlignment="0" applyProtection="0"/>
    <xf numFmtId="0" fontId="1" fillId="72" borderId="0" applyNumberFormat="0" applyBorder="0" applyAlignment="0" applyProtection="0"/>
    <xf numFmtId="0" fontId="1" fillId="73" borderId="0" applyNumberFormat="0" applyBorder="0" applyAlignment="0" applyProtection="0"/>
    <xf numFmtId="0" fontId="1" fillId="76" borderId="0" applyNumberFormat="0" applyBorder="0" applyAlignment="0" applyProtection="0"/>
    <xf numFmtId="0" fontId="1" fillId="77" borderId="0" applyNumberFormat="0" applyBorder="0" applyAlignment="0" applyProtection="0"/>
    <xf numFmtId="0" fontId="1" fillId="80" borderId="0" applyNumberFormat="0" applyBorder="0" applyAlignment="0" applyProtection="0"/>
    <xf numFmtId="0" fontId="1" fillId="81"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6" borderId="0" applyNumberFormat="0" applyBorder="0" applyAlignment="0" applyProtection="0"/>
    <xf numFmtId="0" fontId="1" fillId="76" borderId="0" applyNumberFormat="0" applyBorder="0" applyAlignment="0" applyProtection="0"/>
    <xf numFmtId="0" fontId="1" fillId="76" borderId="0" applyNumberFormat="0" applyBorder="0" applyAlignment="0" applyProtection="0"/>
    <xf numFmtId="0" fontId="1" fillId="76" borderId="0" applyNumberFormat="0" applyBorder="0" applyAlignment="0" applyProtection="0"/>
    <xf numFmtId="0" fontId="1" fillId="76" borderId="0" applyNumberFormat="0" applyBorder="0" applyAlignment="0" applyProtection="0"/>
    <xf numFmtId="0" fontId="1" fillId="76" borderId="0" applyNumberFormat="0" applyBorder="0" applyAlignment="0" applyProtection="0"/>
    <xf numFmtId="0" fontId="1" fillId="76" borderId="0" applyNumberFormat="0" applyBorder="0" applyAlignment="0" applyProtection="0"/>
    <xf numFmtId="0" fontId="1" fillId="76" borderId="0" applyNumberFormat="0" applyBorder="0" applyAlignment="0" applyProtection="0"/>
    <xf numFmtId="0" fontId="1" fillId="76" borderId="0" applyNumberFormat="0" applyBorder="0" applyAlignment="0" applyProtection="0"/>
    <xf numFmtId="0" fontId="1" fillId="76" borderId="0" applyNumberFormat="0" applyBorder="0" applyAlignment="0" applyProtection="0"/>
    <xf numFmtId="0" fontId="1" fillId="76" borderId="0" applyNumberFormat="0" applyBorder="0" applyAlignment="0" applyProtection="0"/>
    <xf numFmtId="0" fontId="1" fillId="76" borderId="0" applyNumberFormat="0" applyBorder="0" applyAlignment="0" applyProtection="0"/>
    <xf numFmtId="0" fontId="1" fillId="76" borderId="0" applyNumberFormat="0" applyBorder="0" applyAlignment="0" applyProtection="0"/>
    <xf numFmtId="0" fontId="1" fillId="76" borderId="0" applyNumberFormat="0" applyBorder="0" applyAlignment="0" applyProtection="0"/>
    <xf numFmtId="0" fontId="1" fillId="76" borderId="0" applyNumberFormat="0" applyBorder="0" applyAlignment="0" applyProtection="0"/>
    <xf numFmtId="0" fontId="1" fillId="76" borderId="0" applyNumberFormat="0" applyBorder="0" applyAlignment="0" applyProtection="0"/>
    <xf numFmtId="0" fontId="1" fillId="76" borderId="0" applyNumberFormat="0" applyBorder="0" applyAlignment="0" applyProtection="0"/>
    <xf numFmtId="0" fontId="1" fillId="76" borderId="0" applyNumberFormat="0" applyBorder="0" applyAlignment="0" applyProtection="0"/>
    <xf numFmtId="0" fontId="1" fillId="76" borderId="0" applyNumberFormat="0" applyBorder="0" applyAlignment="0" applyProtection="0"/>
    <xf numFmtId="0" fontId="1" fillId="76" borderId="0" applyNumberFormat="0" applyBorder="0" applyAlignment="0" applyProtection="0"/>
    <xf numFmtId="0" fontId="1" fillId="76" borderId="0" applyNumberFormat="0" applyBorder="0" applyAlignment="0" applyProtection="0"/>
    <xf numFmtId="0" fontId="1" fillId="76" borderId="0" applyNumberFormat="0" applyBorder="0" applyAlignment="0" applyProtection="0"/>
    <xf numFmtId="0" fontId="1" fillId="76" borderId="0" applyNumberFormat="0" applyBorder="0" applyAlignment="0" applyProtection="0"/>
    <xf numFmtId="0" fontId="1" fillId="76" borderId="0" applyNumberFormat="0" applyBorder="0" applyAlignment="0" applyProtection="0"/>
    <xf numFmtId="0" fontId="1" fillId="76" borderId="0" applyNumberFormat="0" applyBorder="0" applyAlignment="0" applyProtection="0"/>
    <xf numFmtId="0" fontId="1" fillId="76" borderId="0" applyNumberFormat="0" applyBorder="0" applyAlignment="0" applyProtection="0"/>
    <xf numFmtId="0" fontId="1" fillId="76" borderId="0" applyNumberFormat="0" applyBorder="0" applyAlignment="0" applyProtection="0"/>
    <xf numFmtId="0" fontId="1" fillId="76" borderId="0" applyNumberFormat="0" applyBorder="0" applyAlignment="0" applyProtection="0"/>
    <xf numFmtId="0" fontId="1" fillId="76" borderId="0" applyNumberFormat="0" applyBorder="0" applyAlignment="0" applyProtection="0"/>
    <xf numFmtId="0" fontId="1" fillId="76" borderId="0" applyNumberFormat="0" applyBorder="0" applyAlignment="0" applyProtection="0"/>
    <xf numFmtId="0" fontId="1" fillId="76" borderId="0" applyNumberFormat="0" applyBorder="0" applyAlignment="0" applyProtection="0"/>
    <xf numFmtId="0" fontId="1" fillId="76" borderId="0" applyNumberFormat="0" applyBorder="0" applyAlignment="0" applyProtection="0"/>
    <xf numFmtId="0" fontId="1" fillId="76" borderId="0" applyNumberFormat="0" applyBorder="0" applyAlignment="0" applyProtection="0"/>
    <xf numFmtId="0" fontId="1" fillId="76" borderId="0" applyNumberFormat="0" applyBorder="0" applyAlignment="0" applyProtection="0"/>
    <xf numFmtId="0" fontId="1" fillId="76" borderId="0" applyNumberFormat="0" applyBorder="0" applyAlignment="0" applyProtection="0"/>
    <xf numFmtId="0" fontId="1" fillId="76" borderId="0" applyNumberFormat="0" applyBorder="0" applyAlignment="0" applyProtection="0"/>
    <xf numFmtId="0" fontId="1" fillId="76" borderId="0" applyNumberFormat="0" applyBorder="0" applyAlignment="0" applyProtection="0"/>
    <xf numFmtId="0" fontId="1" fillId="76" borderId="0" applyNumberFormat="0" applyBorder="0" applyAlignment="0" applyProtection="0"/>
    <xf numFmtId="0" fontId="1" fillId="76" borderId="0" applyNumberFormat="0" applyBorder="0" applyAlignment="0" applyProtection="0"/>
    <xf numFmtId="0" fontId="1" fillId="76" borderId="0" applyNumberFormat="0" applyBorder="0" applyAlignment="0" applyProtection="0"/>
    <xf numFmtId="0" fontId="1" fillId="76" borderId="0" applyNumberFormat="0" applyBorder="0" applyAlignment="0" applyProtection="0"/>
    <xf numFmtId="0" fontId="1" fillId="76" borderId="0" applyNumberFormat="0" applyBorder="0" applyAlignment="0" applyProtection="0"/>
    <xf numFmtId="0" fontId="1" fillId="76" borderId="0" applyNumberFormat="0" applyBorder="0" applyAlignment="0" applyProtection="0"/>
    <xf numFmtId="0" fontId="1" fillId="76" borderId="0" applyNumberFormat="0" applyBorder="0" applyAlignment="0" applyProtection="0"/>
    <xf numFmtId="0" fontId="1" fillId="76" borderId="0" applyNumberFormat="0" applyBorder="0" applyAlignment="0" applyProtection="0"/>
    <xf numFmtId="0" fontId="1" fillId="76" borderId="0" applyNumberFormat="0" applyBorder="0" applyAlignment="0" applyProtection="0"/>
    <xf numFmtId="0" fontId="1" fillId="76" borderId="0" applyNumberFormat="0" applyBorder="0" applyAlignment="0" applyProtection="0"/>
    <xf numFmtId="0" fontId="1" fillId="76" borderId="0" applyNumberFormat="0" applyBorder="0" applyAlignment="0" applyProtection="0"/>
    <xf numFmtId="0" fontId="1" fillId="76" borderId="0" applyNumberFormat="0" applyBorder="0" applyAlignment="0" applyProtection="0"/>
    <xf numFmtId="0" fontId="1" fillId="76" borderId="0" applyNumberFormat="0" applyBorder="0" applyAlignment="0" applyProtection="0"/>
    <xf numFmtId="0" fontId="1" fillId="76" borderId="0" applyNumberFormat="0" applyBorder="0" applyAlignment="0" applyProtection="0"/>
    <xf numFmtId="0" fontId="1" fillId="76" borderId="0" applyNumberFormat="0" applyBorder="0" applyAlignment="0" applyProtection="0"/>
    <xf numFmtId="0" fontId="1" fillId="76" borderId="0" applyNumberFormat="0" applyBorder="0" applyAlignment="0" applyProtection="0"/>
    <xf numFmtId="0" fontId="1" fillId="7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5" borderId="0" applyNumberFormat="0" applyBorder="0" applyAlignment="0" applyProtection="0"/>
    <xf numFmtId="0" fontId="1" fillId="65" borderId="0" applyNumberFormat="0" applyBorder="0" applyAlignment="0" applyProtection="0"/>
    <xf numFmtId="0" fontId="1" fillId="65" borderId="0" applyNumberFormat="0" applyBorder="0" applyAlignment="0" applyProtection="0"/>
    <xf numFmtId="0" fontId="1" fillId="65" borderId="0" applyNumberFormat="0" applyBorder="0" applyAlignment="0" applyProtection="0"/>
    <xf numFmtId="0" fontId="1" fillId="65" borderId="0" applyNumberFormat="0" applyBorder="0" applyAlignment="0" applyProtection="0"/>
    <xf numFmtId="0" fontId="1" fillId="65" borderId="0" applyNumberFormat="0" applyBorder="0" applyAlignment="0" applyProtection="0"/>
    <xf numFmtId="0" fontId="1" fillId="65" borderId="0" applyNumberFormat="0" applyBorder="0" applyAlignment="0" applyProtection="0"/>
    <xf numFmtId="0" fontId="1" fillId="65" borderId="0" applyNumberFormat="0" applyBorder="0" applyAlignment="0" applyProtection="0"/>
    <xf numFmtId="0" fontId="1" fillId="65" borderId="0" applyNumberFormat="0" applyBorder="0" applyAlignment="0" applyProtection="0"/>
    <xf numFmtId="0" fontId="1" fillId="65" borderId="0" applyNumberFormat="0" applyBorder="0" applyAlignment="0" applyProtection="0"/>
    <xf numFmtId="0" fontId="1" fillId="65" borderId="0" applyNumberFormat="0" applyBorder="0" applyAlignment="0" applyProtection="0"/>
    <xf numFmtId="0" fontId="1" fillId="65" borderId="0" applyNumberFormat="0" applyBorder="0" applyAlignment="0" applyProtection="0"/>
    <xf numFmtId="0" fontId="1" fillId="65" borderId="0" applyNumberFormat="0" applyBorder="0" applyAlignment="0" applyProtection="0"/>
    <xf numFmtId="0" fontId="1" fillId="65" borderId="0" applyNumberFormat="0" applyBorder="0" applyAlignment="0" applyProtection="0"/>
    <xf numFmtId="0" fontId="1" fillId="65" borderId="0" applyNumberFormat="0" applyBorder="0" applyAlignment="0" applyProtection="0"/>
    <xf numFmtId="0" fontId="1" fillId="65" borderId="0" applyNumberFormat="0" applyBorder="0" applyAlignment="0" applyProtection="0"/>
    <xf numFmtId="0" fontId="1" fillId="65" borderId="0" applyNumberFormat="0" applyBorder="0" applyAlignment="0" applyProtection="0"/>
    <xf numFmtId="0" fontId="1" fillId="65" borderId="0" applyNumberFormat="0" applyBorder="0" applyAlignment="0" applyProtection="0"/>
    <xf numFmtId="0" fontId="1" fillId="65" borderId="0" applyNumberFormat="0" applyBorder="0" applyAlignment="0" applyProtection="0"/>
    <xf numFmtId="0" fontId="1" fillId="65" borderId="0" applyNumberFormat="0" applyBorder="0" applyAlignment="0" applyProtection="0"/>
    <xf numFmtId="0" fontId="1" fillId="65" borderId="0" applyNumberFormat="0" applyBorder="0" applyAlignment="0" applyProtection="0"/>
    <xf numFmtId="0" fontId="1" fillId="65" borderId="0" applyNumberFormat="0" applyBorder="0" applyAlignment="0" applyProtection="0"/>
    <xf numFmtId="0" fontId="1" fillId="65" borderId="0" applyNumberFormat="0" applyBorder="0" applyAlignment="0" applyProtection="0"/>
    <xf numFmtId="0" fontId="1" fillId="65" borderId="0" applyNumberFormat="0" applyBorder="0" applyAlignment="0" applyProtection="0"/>
    <xf numFmtId="0" fontId="1" fillId="65" borderId="0" applyNumberFormat="0" applyBorder="0" applyAlignment="0" applyProtection="0"/>
    <xf numFmtId="0" fontId="1" fillId="65" borderId="0" applyNumberFormat="0" applyBorder="0" applyAlignment="0" applyProtection="0"/>
    <xf numFmtId="0" fontId="1" fillId="65" borderId="0" applyNumberFormat="0" applyBorder="0" applyAlignment="0" applyProtection="0"/>
    <xf numFmtId="0" fontId="1" fillId="65" borderId="0" applyNumberFormat="0" applyBorder="0" applyAlignment="0" applyProtection="0"/>
    <xf numFmtId="0" fontId="1" fillId="65" borderId="0" applyNumberFormat="0" applyBorder="0" applyAlignment="0" applyProtection="0"/>
    <xf numFmtId="0" fontId="1" fillId="65" borderId="0" applyNumberFormat="0" applyBorder="0" applyAlignment="0" applyProtection="0"/>
    <xf numFmtId="0" fontId="1" fillId="65" borderId="0" applyNumberFormat="0" applyBorder="0" applyAlignment="0" applyProtection="0"/>
    <xf numFmtId="0" fontId="1" fillId="65" borderId="0" applyNumberFormat="0" applyBorder="0" applyAlignment="0" applyProtection="0"/>
    <xf numFmtId="0" fontId="1" fillId="65" borderId="0" applyNumberFormat="0" applyBorder="0" applyAlignment="0" applyProtection="0"/>
    <xf numFmtId="0" fontId="1" fillId="65" borderId="0" applyNumberFormat="0" applyBorder="0" applyAlignment="0" applyProtection="0"/>
    <xf numFmtId="0" fontId="1" fillId="65" borderId="0" applyNumberFormat="0" applyBorder="0" applyAlignment="0" applyProtection="0"/>
    <xf numFmtId="0" fontId="1" fillId="65" borderId="0" applyNumberFormat="0" applyBorder="0" applyAlignment="0" applyProtection="0"/>
    <xf numFmtId="0" fontId="1" fillId="65" borderId="0" applyNumberFormat="0" applyBorder="0" applyAlignment="0" applyProtection="0"/>
    <xf numFmtId="0" fontId="1" fillId="65" borderId="0" applyNumberFormat="0" applyBorder="0" applyAlignment="0" applyProtection="0"/>
    <xf numFmtId="0" fontId="1" fillId="65" borderId="0" applyNumberFormat="0" applyBorder="0" applyAlignment="0" applyProtection="0"/>
    <xf numFmtId="0" fontId="1" fillId="65" borderId="0" applyNumberFormat="0" applyBorder="0" applyAlignment="0" applyProtection="0"/>
    <xf numFmtId="0" fontId="1" fillId="65" borderId="0" applyNumberFormat="0" applyBorder="0" applyAlignment="0" applyProtection="0"/>
    <xf numFmtId="0" fontId="1" fillId="65" borderId="0" applyNumberFormat="0" applyBorder="0" applyAlignment="0" applyProtection="0"/>
    <xf numFmtId="0" fontId="1" fillId="65" borderId="0" applyNumberFormat="0" applyBorder="0" applyAlignment="0" applyProtection="0"/>
    <xf numFmtId="0" fontId="1" fillId="65" borderId="0" applyNumberFormat="0" applyBorder="0" applyAlignment="0" applyProtection="0"/>
    <xf numFmtId="0" fontId="1" fillId="65" borderId="0" applyNumberFormat="0" applyBorder="0" applyAlignment="0" applyProtection="0"/>
    <xf numFmtId="0" fontId="1" fillId="65" borderId="0" applyNumberFormat="0" applyBorder="0" applyAlignment="0" applyProtection="0"/>
    <xf numFmtId="0" fontId="1" fillId="65" borderId="0" applyNumberFormat="0" applyBorder="0" applyAlignment="0" applyProtection="0"/>
    <xf numFmtId="0" fontId="1" fillId="65" borderId="0" applyNumberFormat="0" applyBorder="0" applyAlignment="0" applyProtection="0"/>
    <xf numFmtId="0" fontId="1" fillId="65" borderId="0" applyNumberFormat="0" applyBorder="0" applyAlignment="0" applyProtection="0"/>
    <xf numFmtId="0" fontId="1" fillId="65" borderId="0" applyNumberFormat="0" applyBorder="0" applyAlignment="0" applyProtection="0"/>
    <xf numFmtId="0" fontId="1" fillId="65" borderId="0" applyNumberFormat="0" applyBorder="0" applyAlignment="0" applyProtection="0"/>
    <xf numFmtId="0" fontId="1" fillId="65" borderId="0" applyNumberFormat="0" applyBorder="0" applyAlignment="0" applyProtection="0"/>
    <xf numFmtId="0" fontId="1" fillId="65" borderId="0" applyNumberFormat="0" applyBorder="0" applyAlignment="0" applyProtection="0"/>
    <xf numFmtId="0" fontId="1" fillId="65"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3" borderId="0" applyNumberFormat="0" applyBorder="0" applyAlignment="0" applyProtection="0"/>
    <xf numFmtId="0" fontId="1" fillId="3" borderId="0" applyNumberFormat="0" applyBorder="0" applyAlignment="0" applyProtection="0"/>
    <xf numFmtId="0" fontId="1" fillId="3" borderId="0" applyNumberFormat="0" applyBorder="0" applyAlignment="0" applyProtection="0"/>
    <xf numFmtId="0" fontId="1" fillId="3" borderId="0" applyNumberFormat="0" applyBorder="0" applyAlignment="0" applyProtection="0"/>
    <xf numFmtId="0" fontId="1" fillId="3" borderId="0" applyNumberFormat="0" applyBorder="0" applyAlignment="0" applyProtection="0"/>
    <xf numFmtId="0" fontId="1" fillId="3" borderId="0" applyNumberFormat="0" applyBorder="0" applyAlignment="0" applyProtection="0"/>
    <xf numFmtId="0" fontId="1" fillId="3" borderId="0" applyNumberFormat="0" applyBorder="0" applyAlignment="0" applyProtection="0"/>
    <xf numFmtId="0" fontId="1" fillId="3" borderId="0" applyNumberFormat="0" applyBorder="0" applyAlignment="0" applyProtection="0"/>
    <xf numFmtId="0" fontId="1" fillId="3" borderId="0" applyNumberFormat="0" applyBorder="0" applyAlignment="0" applyProtection="0"/>
    <xf numFmtId="0" fontId="1" fillId="3" borderId="0" applyNumberFormat="0" applyBorder="0" applyAlignment="0" applyProtection="0"/>
    <xf numFmtId="0" fontId="1" fillId="3" borderId="0" applyNumberFormat="0" applyBorder="0" applyAlignment="0" applyProtection="0"/>
    <xf numFmtId="0" fontId="1" fillId="3" borderId="0" applyNumberFormat="0" applyBorder="0" applyAlignment="0" applyProtection="0"/>
    <xf numFmtId="0" fontId="1" fillId="3" borderId="0" applyNumberFormat="0" applyBorder="0" applyAlignment="0" applyProtection="0"/>
    <xf numFmtId="0" fontId="1" fillId="3" borderId="0" applyNumberFormat="0" applyBorder="0" applyAlignment="0" applyProtection="0"/>
    <xf numFmtId="0" fontId="1" fillId="3" borderId="0" applyNumberFormat="0" applyBorder="0" applyAlignment="0" applyProtection="0"/>
    <xf numFmtId="0" fontId="1" fillId="3" borderId="0" applyNumberFormat="0" applyBorder="0" applyAlignment="0" applyProtection="0"/>
    <xf numFmtId="0" fontId="1" fillId="3" borderId="0" applyNumberFormat="0" applyBorder="0" applyAlignment="0" applyProtection="0"/>
    <xf numFmtId="0" fontId="1" fillId="3" borderId="0" applyNumberFormat="0" applyBorder="0" applyAlignment="0" applyProtection="0"/>
    <xf numFmtId="0" fontId="1" fillId="3" borderId="0" applyNumberFormat="0" applyBorder="0" applyAlignment="0" applyProtection="0"/>
    <xf numFmtId="0" fontId="1" fillId="3" borderId="0" applyNumberFormat="0" applyBorder="0" applyAlignment="0" applyProtection="0"/>
    <xf numFmtId="0" fontId="1" fillId="3" borderId="0" applyNumberFormat="0" applyBorder="0" applyAlignment="0" applyProtection="0"/>
    <xf numFmtId="0" fontId="1" fillId="3" borderId="0" applyNumberFormat="0" applyBorder="0" applyAlignment="0" applyProtection="0"/>
    <xf numFmtId="0" fontId="1" fillId="3" borderId="0" applyNumberFormat="0" applyBorder="0" applyAlignment="0" applyProtection="0"/>
    <xf numFmtId="0" fontId="1" fillId="3" borderId="0" applyNumberFormat="0" applyBorder="0" applyAlignment="0" applyProtection="0"/>
    <xf numFmtId="0" fontId="1" fillId="3" borderId="0" applyNumberFormat="0" applyBorder="0" applyAlignment="0" applyProtection="0"/>
    <xf numFmtId="0" fontId="1" fillId="3" borderId="0" applyNumberFormat="0" applyBorder="0" applyAlignment="0" applyProtection="0"/>
    <xf numFmtId="0" fontId="1" fillId="3" borderId="0" applyNumberFormat="0" applyBorder="0" applyAlignment="0" applyProtection="0"/>
    <xf numFmtId="0" fontId="1" fillId="3" borderId="0" applyNumberFormat="0" applyBorder="0" applyAlignment="0" applyProtection="0"/>
    <xf numFmtId="0" fontId="1" fillId="3" borderId="0" applyNumberFormat="0" applyBorder="0" applyAlignment="0" applyProtection="0"/>
    <xf numFmtId="0" fontId="1" fillId="3" borderId="0" applyNumberFormat="0" applyBorder="0" applyAlignment="0" applyProtection="0"/>
    <xf numFmtId="0" fontId="1" fillId="3" borderId="0" applyNumberFormat="0" applyBorder="0" applyAlignment="0" applyProtection="0"/>
    <xf numFmtId="0" fontId="1" fillId="3" borderId="0" applyNumberFormat="0" applyBorder="0" applyAlignment="0" applyProtection="0"/>
    <xf numFmtId="0" fontId="1" fillId="3" borderId="0" applyNumberFormat="0" applyBorder="0" applyAlignment="0" applyProtection="0"/>
    <xf numFmtId="0" fontId="1" fillId="3" borderId="0" applyNumberFormat="0" applyBorder="0" applyAlignment="0" applyProtection="0"/>
    <xf numFmtId="0" fontId="1" fillId="3" borderId="0" applyNumberFormat="0" applyBorder="0" applyAlignment="0" applyProtection="0"/>
    <xf numFmtId="0" fontId="1" fillId="3" borderId="0" applyNumberFormat="0" applyBorder="0" applyAlignment="0" applyProtection="0"/>
    <xf numFmtId="0" fontId="1" fillId="3" borderId="0" applyNumberFormat="0" applyBorder="0" applyAlignment="0" applyProtection="0"/>
    <xf numFmtId="0" fontId="1" fillId="3" borderId="0" applyNumberFormat="0" applyBorder="0" applyAlignment="0" applyProtection="0"/>
    <xf numFmtId="0" fontId="1" fillId="3" borderId="0" applyNumberFormat="0" applyBorder="0" applyAlignment="0" applyProtection="0"/>
    <xf numFmtId="0" fontId="1" fillId="3" borderId="0" applyNumberFormat="0" applyBorder="0" applyAlignment="0" applyProtection="0"/>
    <xf numFmtId="0" fontId="1" fillId="3" borderId="0" applyNumberFormat="0" applyBorder="0" applyAlignment="0" applyProtection="0"/>
    <xf numFmtId="0" fontId="1" fillId="3" borderId="0" applyNumberFormat="0" applyBorder="0" applyAlignment="0" applyProtection="0"/>
    <xf numFmtId="0" fontId="1" fillId="3" borderId="0" applyNumberFormat="0" applyBorder="0" applyAlignment="0" applyProtection="0"/>
    <xf numFmtId="0" fontId="1" fillId="3" borderId="0" applyNumberFormat="0" applyBorder="0" applyAlignment="0" applyProtection="0"/>
    <xf numFmtId="0" fontId="1" fillId="3" borderId="0" applyNumberFormat="0" applyBorder="0" applyAlignment="0" applyProtection="0"/>
    <xf numFmtId="0" fontId="1" fillId="3" borderId="0" applyNumberFormat="0" applyBorder="0" applyAlignment="0" applyProtection="0"/>
    <xf numFmtId="0" fontId="1" fillId="3" borderId="0" applyNumberFormat="0" applyBorder="0" applyAlignment="0" applyProtection="0"/>
    <xf numFmtId="0" fontId="1" fillId="3" borderId="0" applyNumberFormat="0" applyBorder="0" applyAlignment="0" applyProtection="0"/>
    <xf numFmtId="0" fontId="1" fillId="3" borderId="0" applyNumberFormat="0" applyBorder="0" applyAlignment="0" applyProtection="0"/>
    <xf numFmtId="0" fontId="1" fillId="3" borderId="0" applyNumberFormat="0" applyBorder="0" applyAlignment="0" applyProtection="0"/>
    <xf numFmtId="0" fontId="1" fillId="3" borderId="0" applyNumberFormat="0" applyBorder="0" applyAlignment="0" applyProtection="0"/>
    <xf numFmtId="0" fontId="1" fillId="3" borderId="0" applyNumberFormat="0" applyBorder="0" applyAlignment="0" applyProtection="0"/>
    <xf numFmtId="0" fontId="1" fillId="3" borderId="0" applyNumberFormat="0" applyBorder="0" applyAlignment="0" applyProtection="0"/>
    <xf numFmtId="0" fontId="1" fillId="3" borderId="0" applyNumberFormat="0" applyBorder="0" applyAlignment="0" applyProtection="0"/>
    <xf numFmtId="0" fontId="1" fillId="3" borderId="0" applyNumberFormat="0" applyBorder="0" applyAlignment="0" applyProtection="0"/>
    <xf numFmtId="0" fontId="1" fillId="3" borderId="0" applyNumberFormat="0" applyBorder="0" applyAlignment="0" applyProtection="0"/>
    <xf numFmtId="0" fontId="1" fillId="3"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58" borderId="104" applyNumberFormat="0" applyFont="0" applyAlignment="0" applyProtection="0"/>
    <xf numFmtId="0" fontId="1" fillId="58" borderId="104" applyNumberFormat="0" applyFont="0" applyAlignment="0" applyProtection="0"/>
    <xf numFmtId="0" fontId="1" fillId="60" borderId="0" applyNumberFormat="0" applyBorder="0" applyAlignment="0" applyProtection="0"/>
    <xf numFmtId="0" fontId="1" fillId="61" borderId="0" applyNumberFormat="0" applyBorder="0" applyAlignment="0" applyProtection="0"/>
    <xf numFmtId="0" fontId="1" fillId="64" borderId="0" applyNumberFormat="0" applyBorder="0" applyAlignment="0" applyProtection="0"/>
    <xf numFmtId="0" fontId="1" fillId="68" borderId="0" applyNumberFormat="0" applyBorder="0" applyAlignment="0" applyProtection="0"/>
    <xf numFmtId="0" fontId="1" fillId="69" borderId="0" applyNumberFormat="0" applyBorder="0" applyAlignment="0" applyProtection="0"/>
    <xf numFmtId="0" fontId="1" fillId="72" borderId="0" applyNumberFormat="0" applyBorder="0" applyAlignment="0" applyProtection="0"/>
    <xf numFmtId="0" fontId="1" fillId="73" borderId="0" applyNumberFormat="0" applyBorder="0" applyAlignment="0" applyProtection="0"/>
    <xf numFmtId="0" fontId="1" fillId="77" borderId="0" applyNumberFormat="0" applyBorder="0" applyAlignment="0" applyProtection="0"/>
    <xf numFmtId="0" fontId="1" fillId="80" borderId="0" applyNumberFormat="0" applyBorder="0" applyAlignment="0" applyProtection="0"/>
    <xf numFmtId="0" fontId="1" fillId="81" borderId="0" applyNumberFormat="0" applyBorder="0" applyAlignment="0" applyProtection="0"/>
    <xf numFmtId="0" fontId="1" fillId="60" borderId="0" applyNumberFormat="0" applyBorder="0" applyAlignment="0" applyProtection="0"/>
    <xf numFmtId="0" fontId="1" fillId="61" borderId="0" applyNumberFormat="0" applyBorder="0" applyAlignment="0" applyProtection="0"/>
    <xf numFmtId="0" fontId="1" fillId="64" borderId="0" applyNumberFormat="0" applyBorder="0" applyAlignment="0" applyProtection="0"/>
    <xf numFmtId="0" fontId="1" fillId="68" borderId="0" applyNumberFormat="0" applyBorder="0" applyAlignment="0" applyProtection="0"/>
    <xf numFmtId="0" fontId="1" fillId="69" borderId="0" applyNumberFormat="0" applyBorder="0" applyAlignment="0" applyProtection="0"/>
    <xf numFmtId="0" fontId="1" fillId="72" borderId="0" applyNumberFormat="0" applyBorder="0" applyAlignment="0" applyProtection="0"/>
    <xf numFmtId="0" fontId="1" fillId="73" borderId="0" applyNumberFormat="0" applyBorder="0" applyAlignment="0" applyProtection="0"/>
    <xf numFmtId="0" fontId="1" fillId="77" borderId="0" applyNumberFormat="0" applyBorder="0" applyAlignment="0" applyProtection="0"/>
    <xf numFmtId="0" fontId="1" fillId="80" borderId="0" applyNumberFormat="0" applyBorder="0" applyAlignment="0" applyProtection="0"/>
    <xf numFmtId="0" fontId="1" fillId="81" borderId="0" applyNumberFormat="0" applyBorder="0" applyAlignment="0" applyProtection="0"/>
    <xf numFmtId="0" fontId="1" fillId="58" borderId="104" applyNumberFormat="0" applyFont="0" applyAlignment="0" applyProtection="0"/>
    <xf numFmtId="0" fontId="1" fillId="60" borderId="0" applyNumberFormat="0" applyBorder="0" applyAlignment="0" applyProtection="0"/>
    <xf numFmtId="0" fontId="1" fillId="61" borderId="0" applyNumberFormat="0" applyBorder="0" applyAlignment="0" applyProtection="0"/>
    <xf numFmtId="0" fontId="1" fillId="64" borderId="0" applyNumberFormat="0" applyBorder="0" applyAlignment="0" applyProtection="0"/>
    <xf numFmtId="0" fontId="1" fillId="68" borderId="0" applyNumberFormat="0" applyBorder="0" applyAlignment="0" applyProtection="0"/>
    <xf numFmtId="0" fontId="1" fillId="69" borderId="0" applyNumberFormat="0" applyBorder="0" applyAlignment="0" applyProtection="0"/>
    <xf numFmtId="0" fontId="1" fillId="72" borderId="0" applyNumberFormat="0" applyBorder="0" applyAlignment="0" applyProtection="0"/>
    <xf numFmtId="0" fontId="1" fillId="73" borderId="0" applyNumberFormat="0" applyBorder="0" applyAlignment="0" applyProtection="0"/>
    <xf numFmtId="0" fontId="1" fillId="77" borderId="0" applyNumberFormat="0" applyBorder="0" applyAlignment="0" applyProtection="0"/>
    <xf numFmtId="0" fontId="1" fillId="80" borderId="0" applyNumberFormat="0" applyBorder="0" applyAlignment="0" applyProtection="0"/>
    <xf numFmtId="0" fontId="1" fillId="81" borderId="0" applyNumberFormat="0" applyBorder="0" applyAlignment="0" applyProtection="0"/>
    <xf numFmtId="0" fontId="1" fillId="58" borderId="104" applyNumberFormat="0" applyFont="0" applyAlignment="0" applyProtection="0"/>
    <xf numFmtId="0" fontId="1" fillId="58" borderId="104" applyNumberFormat="0" applyFont="0" applyAlignment="0" applyProtection="0"/>
    <xf numFmtId="0" fontId="1" fillId="60" borderId="0" applyNumberFormat="0" applyBorder="0" applyAlignment="0" applyProtection="0"/>
    <xf numFmtId="0" fontId="1" fillId="61" borderId="0" applyNumberFormat="0" applyBorder="0" applyAlignment="0" applyProtection="0"/>
    <xf numFmtId="0" fontId="1" fillId="64" borderId="0" applyNumberFormat="0" applyBorder="0" applyAlignment="0" applyProtection="0"/>
    <xf numFmtId="0" fontId="1" fillId="68" borderId="0" applyNumberFormat="0" applyBorder="0" applyAlignment="0" applyProtection="0"/>
    <xf numFmtId="0" fontId="1" fillId="69" borderId="0" applyNumberFormat="0" applyBorder="0" applyAlignment="0" applyProtection="0"/>
    <xf numFmtId="0" fontId="1" fillId="72" borderId="0" applyNumberFormat="0" applyBorder="0" applyAlignment="0" applyProtection="0"/>
    <xf numFmtId="0" fontId="1" fillId="73" borderId="0" applyNumberFormat="0" applyBorder="0" applyAlignment="0" applyProtection="0"/>
    <xf numFmtId="0" fontId="1" fillId="77" borderId="0" applyNumberFormat="0" applyBorder="0" applyAlignment="0" applyProtection="0"/>
    <xf numFmtId="0" fontId="1" fillId="80" borderId="0" applyNumberFormat="0" applyBorder="0" applyAlignment="0" applyProtection="0"/>
    <xf numFmtId="0" fontId="1" fillId="81" borderId="0" applyNumberFormat="0" applyBorder="0" applyAlignment="0" applyProtection="0"/>
    <xf numFmtId="0" fontId="1" fillId="60" borderId="0" applyNumberFormat="0" applyBorder="0" applyAlignment="0" applyProtection="0"/>
    <xf numFmtId="0" fontId="1" fillId="61" borderId="0" applyNumberFormat="0" applyBorder="0" applyAlignment="0" applyProtection="0"/>
    <xf numFmtId="0" fontId="1" fillId="64" borderId="0" applyNumberFormat="0" applyBorder="0" applyAlignment="0" applyProtection="0"/>
    <xf numFmtId="0" fontId="1" fillId="68" borderId="0" applyNumberFormat="0" applyBorder="0" applyAlignment="0" applyProtection="0"/>
    <xf numFmtId="0" fontId="1" fillId="69" borderId="0" applyNumberFormat="0" applyBorder="0" applyAlignment="0" applyProtection="0"/>
    <xf numFmtId="0" fontId="1" fillId="72" borderId="0" applyNumberFormat="0" applyBorder="0" applyAlignment="0" applyProtection="0"/>
    <xf numFmtId="0" fontId="1" fillId="73" borderId="0" applyNumberFormat="0" applyBorder="0" applyAlignment="0" applyProtection="0"/>
    <xf numFmtId="0" fontId="1" fillId="77" borderId="0" applyNumberFormat="0" applyBorder="0" applyAlignment="0" applyProtection="0"/>
    <xf numFmtId="0" fontId="1" fillId="80" borderId="0" applyNumberFormat="0" applyBorder="0" applyAlignment="0" applyProtection="0"/>
    <xf numFmtId="0" fontId="1" fillId="81" borderId="0" applyNumberFormat="0" applyBorder="0" applyAlignment="0" applyProtection="0"/>
    <xf numFmtId="0" fontId="1" fillId="58" borderId="104" applyNumberFormat="0" applyFont="0" applyAlignment="0" applyProtection="0"/>
    <xf numFmtId="0" fontId="1" fillId="60" borderId="0" applyNumberFormat="0" applyBorder="0" applyAlignment="0" applyProtection="0"/>
    <xf numFmtId="0" fontId="1" fillId="61" borderId="0" applyNumberFormat="0" applyBorder="0" applyAlignment="0" applyProtection="0"/>
    <xf numFmtId="0" fontId="1" fillId="64" borderId="0" applyNumberFormat="0" applyBorder="0" applyAlignment="0" applyProtection="0"/>
    <xf numFmtId="0" fontId="1" fillId="68" borderId="0" applyNumberFormat="0" applyBorder="0" applyAlignment="0" applyProtection="0"/>
    <xf numFmtId="0" fontId="1" fillId="69" borderId="0" applyNumberFormat="0" applyBorder="0" applyAlignment="0" applyProtection="0"/>
    <xf numFmtId="0" fontId="1" fillId="72" borderId="0" applyNumberFormat="0" applyBorder="0" applyAlignment="0" applyProtection="0"/>
    <xf numFmtId="0" fontId="1" fillId="73" borderId="0" applyNumberFormat="0" applyBorder="0" applyAlignment="0" applyProtection="0"/>
    <xf numFmtId="0" fontId="1" fillId="77" borderId="0" applyNumberFormat="0" applyBorder="0" applyAlignment="0" applyProtection="0"/>
    <xf numFmtId="0" fontId="1" fillId="80" borderId="0" applyNumberFormat="0" applyBorder="0" applyAlignment="0" applyProtection="0"/>
    <xf numFmtId="0" fontId="1" fillId="81" borderId="0" applyNumberFormat="0" applyBorder="0" applyAlignment="0" applyProtection="0"/>
    <xf numFmtId="0" fontId="1" fillId="58" borderId="104" applyNumberFormat="0" applyFont="0" applyAlignment="0" applyProtection="0"/>
    <xf numFmtId="0" fontId="1" fillId="58" borderId="104" applyNumberFormat="0" applyFont="0" applyAlignment="0" applyProtection="0"/>
    <xf numFmtId="0" fontId="1" fillId="60" borderId="0" applyNumberFormat="0" applyBorder="0" applyAlignment="0" applyProtection="0"/>
    <xf numFmtId="0" fontId="1" fillId="61" borderId="0" applyNumberFormat="0" applyBorder="0" applyAlignment="0" applyProtection="0"/>
    <xf numFmtId="0" fontId="1" fillId="64" borderId="0" applyNumberFormat="0" applyBorder="0" applyAlignment="0" applyProtection="0"/>
    <xf numFmtId="0" fontId="1" fillId="68" borderId="0" applyNumberFormat="0" applyBorder="0" applyAlignment="0" applyProtection="0"/>
    <xf numFmtId="0" fontId="1" fillId="69" borderId="0" applyNumberFormat="0" applyBorder="0" applyAlignment="0" applyProtection="0"/>
    <xf numFmtId="0" fontId="1" fillId="72" borderId="0" applyNumberFormat="0" applyBorder="0" applyAlignment="0" applyProtection="0"/>
    <xf numFmtId="0" fontId="1" fillId="73" borderId="0" applyNumberFormat="0" applyBorder="0" applyAlignment="0" applyProtection="0"/>
    <xf numFmtId="0" fontId="1" fillId="77" borderId="0" applyNumberFormat="0" applyBorder="0" applyAlignment="0" applyProtection="0"/>
    <xf numFmtId="0" fontId="1" fillId="80" borderId="0" applyNumberFormat="0" applyBorder="0" applyAlignment="0" applyProtection="0"/>
    <xf numFmtId="0" fontId="1" fillId="81" borderId="0" applyNumberFormat="0" applyBorder="0" applyAlignment="0" applyProtection="0"/>
    <xf numFmtId="0" fontId="1" fillId="60" borderId="0" applyNumberFormat="0" applyBorder="0" applyAlignment="0" applyProtection="0"/>
    <xf numFmtId="0" fontId="1" fillId="61" borderId="0" applyNumberFormat="0" applyBorder="0" applyAlignment="0" applyProtection="0"/>
    <xf numFmtId="0" fontId="1" fillId="64" borderId="0" applyNumberFormat="0" applyBorder="0" applyAlignment="0" applyProtection="0"/>
    <xf numFmtId="0" fontId="1" fillId="68" borderId="0" applyNumberFormat="0" applyBorder="0" applyAlignment="0" applyProtection="0"/>
    <xf numFmtId="0" fontId="1" fillId="69" borderId="0" applyNumberFormat="0" applyBorder="0" applyAlignment="0" applyProtection="0"/>
    <xf numFmtId="0" fontId="1" fillId="72" borderId="0" applyNumberFormat="0" applyBorder="0" applyAlignment="0" applyProtection="0"/>
    <xf numFmtId="0" fontId="1" fillId="73" borderId="0" applyNumberFormat="0" applyBorder="0" applyAlignment="0" applyProtection="0"/>
    <xf numFmtId="0" fontId="1" fillId="77" borderId="0" applyNumberFormat="0" applyBorder="0" applyAlignment="0" applyProtection="0"/>
    <xf numFmtId="0" fontId="1" fillId="80" borderId="0" applyNumberFormat="0" applyBorder="0" applyAlignment="0" applyProtection="0"/>
    <xf numFmtId="0" fontId="1" fillId="81" borderId="0" applyNumberFormat="0" applyBorder="0" applyAlignment="0" applyProtection="0"/>
    <xf numFmtId="0" fontId="1" fillId="58" borderId="104" applyNumberFormat="0" applyFont="0" applyAlignment="0" applyProtection="0"/>
    <xf numFmtId="0" fontId="1" fillId="60" borderId="0" applyNumberFormat="0" applyBorder="0" applyAlignment="0" applyProtection="0"/>
    <xf numFmtId="0" fontId="1" fillId="61" borderId="0" applyNumberFormat="0" applyBorder="0" applyAlignment="0" applyProtection="0"/>
    <xf numFmtId="0" fontId="1" fillId="64" borderId="0" applyNumberFormat="0" applyBorder="0" applyAlignment="0" applyProtection="0"/>
    <xf numFmtId="0" fontId="1" fillId="68" borderId="0" applyNumberFormat="0" applyBorder="0" applyAlignment="0" applyProtection="0"/>
    <xf numFmtId="0" fontId="1" fillId="69" borderId="0" applyNumberFormat="0" applyBorder="0" applyAlignment="0" applyProtection="0"/>
    <xf numFmtId="0" fontId="1" fillId="72" borderId="0" applyNumberFormat="0" applyBorder="0" applyAlignment="0" applyProtection="0"/>
    <xf numFmtId="0" fontId="1" fillId="73" borderId="0" applyNumberFormat="0" applyBorder="0" applyAlignment="0" applyProtection="0"/>
    <xf numFmtId="0" fontId="1" fillId="77" borderId="0" applyNumberFormat="0" applyBorder="0" applyAlignment="0" applyProtection="0"/>
    <xf numFmtId="0" fontId="1" fillId="80" borderId="0" applyNumberFormat="0" applyBorder="0" applyAlignment="0" applyProtection="0"/>
    <xf numFmtId="0" fontId="1" fillId="81" borderId="0" applyNumberFormat="0" applyBorder="0" applyAlignment="0" applyProtection="0"/>
    <xf numFmtId="0" fontId="1" fillId="58" borderId="104" applyNumberFormat="0" applyFont="0" applyAlignment="0" applyProtection="0"/>
    <xf numFmtId="0" fontId="1" fillId="58" borderId="104" applyNumberFormat="0" applyFont="0" applyAlignment="0" applyProtection="0"/>
    <xf numFmtId="0" fontId="1" fillId="60" borderId="0" applyNumberFormat="0" applyBorder="0" applyAlignment="0" applyProtection="0"/>
    <xf numFmtId="0" fontId="1" fillId="61" borderId="0" applyNumberFormat="0" applyBorder="0" applyAlignment="0" applyProtection="0"/>
    <xf numFmtId="0" fontId="1" fillId="64" borderId="0" applyNumberFormat="0" applyBorder="0" applyAlignment="0" applyProtection="0"/>
    <xf numFmtId="0" fontId="1" fillId="68" borderId="0" applyNumberFormat="0" applyBorder="0" applyAlignment="0" applyProtection="0"/>
    <xf numFmtId="0" fontId="1" fillId="69" borderId="0" applyNumberFormat="0" applyBorder="0" applyAlignment="0" applyProtection="0"/>
    <xf numFmtId="0" fontId="1" fillId="72" borderId="0" applyNumberFormat="0" applyBorder="0" applyAlignment="0" applyProtection="0"/>
    <xf numFmtId="0" fontId="1" fillId="73" borderId="0" applyNumberFormat="0" applyBorder="0" applyAlignment="0" applyProtection="0"/>
    <xf numFmtId="0" fontId="1" fillId="77" borderId="0" applyNumberFormat="0" applyBorder="0" applyAlignment="0" applyProtection="0"/>
    <xf numFmtId="0" fontId="1" fillId="80" borderId="0" applyNumberFormat="0" applyBorder="0" applyAlignment="0" applyProtection="0"/>
    <xf numFmtId="0" fontId="1" fillId="81" borderId="0" applyNumberFormat="0" applyBorder="0" applyAlignment="0" applyProtection="0"/>
    <xf numFmtId="0" fontId="1" fillId="60" borderId="0" applyNumberFormat="0" applyBorder="0" applyAlignment="0" applyProtection="0"/>
    <xf numFmtId="0" fontId="1" fillId="61" borderId="0" applyNumberFormat="0" applyBorder="0" applyAlignment="0" applyProtection="0"/>
    <xf numFmtId="0" fontId="1" fillId="64" borderId="0" applyNumberFormat="0" applyBorder="0" applyAlignment="0" applyProtection="0"/>
    <xf numFmtId="0" fontId="1" fillId="68" borderId="0" applyNumberFormat="0" applyBorder="0" applyAlignment="0" applyProtection="0"/>
    <xf numFmtId="0" fontId="1" fillId="69" borderId="0" applyNumberFormat="0" applyBorder="0" applyAlignment="0" applyProtection="0"/>
    <xf numFmtId="0" fontId="1" fillId="72" borderId="0" applyNumberFormat="0" applyBorder="0" applyAlignment="0" applyProtection="0"/>
    <xf numFmtId="0" fontId="1" fillId="73" borderId="0" applyNumberFormat="0" applyBorder="0" applyAlignment="0" applyProtection="0"/>
    <xf numFmtId="0" fontId="1" fillId="77" borderId="0" applyNumberFormat="0" applyBorder="0" applyAlignment="0" applyProtection="0"/>
    <xf numFmtId="0" fontId="1" fillId="80" borderId="0" applyNumberFormat="0" applyBorder="0" applyAlignment="0" applyProtection="0"/>
    <xf numFmtId="0" fontId="1" fillId="81" borderId="0" applyNumberFormat="0" applyBorder="0" applyAlignment="0" applyProtection="0"/>
    <xf numFmtId="0" fontId="1" fillId="58" borderId="104" applyNumberFormat="0" applyFont="0" applyAlignment="0" applyProtection="0"/>
    <xf numFmtId="0" fontId="1" fillId="60" borderId="0" applyNumberFormat="0" applyBorder="0" applyAlignment="0" applyProtection="0"/>
    <xf numFmtId="0" fontId="1" fillId="61" borderId="0" applyNumberFormat="0" applyBorder="0" applyAlignment="0" applyProtection="0"/>
    <xf numFmtId="0" fontId="1" fillId="64" borderId="0" applyNumberFormat="0" applyBorder="0" applyAlignment="0" applyProtection="0"/>
    <xf numFmtId="0" fontId="1" fillId="68" borderId="0" applyNumberFormat="0" applyBorder="0" applyAlignment="0" applyProtection="0"/>
    <xf numFmtId="0" fontId="1" fillId="69" borderId="0" applyNumberFormat="0" applyBorder="0" applyAlignment="0" applyProtection="0"/>
    <xf numFmtId="0" fontId="1" fillId="72" borderId="0" applyNumberFormat="0" applyBorder="0" applyAlignment="0" applyProtection="0"/>
    <xf numFmtId="0" fontId="1" fillId="73" borderId="0" applyNumberFormat="0" applyBorder="0" applyAlignment="0" applyProtection="0"/>
    <xf numFmtId="0" fontId="1" fillId="77" borderId="0" applyNumberFormat="0" applyBorder="0" applyAlignment="0" applyProtection="0"/>
    <xf numFmtId="0" fontId="1" fillId="80" borderId="0" applyNumberFormat="0" applyBorder="0" applyAlignment="0" applyProtection="0"/>
    <xf numFmtId="0" fontId="1" fillId="81" borderId="0" applyNumberFormat="0" applyBorder="0" applyAlignment="0" applyProtection="0"/>
    <xf numFmtId="0" fontId="1" fillId="58" borderId="104" applyNumberFormat="0" applyFont="0" applyAlignment="0" applyProtection="0"/>
    <xf numFmtId="0" fontId="1" fillId="58" borderId="104" applyNumberFormat="0" applyFont="0" applyAlignment="0" applyProtection="0"/>
    <xf numFmtId="0" fontId="1" fillId="60" borderId="0" applyNumberFormat="0" applyBorder="0" applyAlignment="0" applyProtection="0"/>
    <xf numFmtId="0" fontId="1" fillId="61" borderId="0" applyNumberFormat="0" applyBorder="0" applyAlignment="0" applyProtection="0"/>
    <xf numFmtId="0" fontId="1" fillId="64" borderId="0" applyNumberFormat="0" applyBorder="0" applyAlignment="0" applyProtection="0"/>
    <xf numFmtId="0" fontId="1" fillId="68" borderId="0" applyNumberFormat="0" applyBorder="0" applyAlignment="0" applyProtection="0"/>
    <xf numFmtId="0" fontId="1" fillId="69" borderId="0" applyNumberFormat="0" applyBorder="0" applyAlignment="0" applyProtection="0"/>
    <xf numFmtId="0" fontId="1" fillId="72" borderId="0" applyNumberFormat="0" applyBorder="0" applyAlignment="0" applyProtection="0"/>
    <xf numFmtId="0" fontId="1" fillId="73" borderId="0" applyNumberFormat="0" applyBorder="0" applyAlignment="0" applyProtection="0"/>
    <xf numFmtId="0" fontId="1" fillId="77" borderId="0" applyNumberFormat="0" applyBorder="0" applyAlignment="0" applyProtection="0"/>
    <xf numFmtId="0" fontId="1" fillId="80" borderId="0" applyNumberFormat="0" applyBorder="0" applyAlignment="0" applyProtection="0"/>
    <xf numFmtId="0" fontId="1" fillId="81" borderId="0" applyNumberFormat="0" applyBorder="0" applyAlignment="0" applyProtection="0"/>
    <xf numFmtId="0" fontId="1" fillId="60" borderId="0" applyNumberFormat="0" applyBorder="0" applyAlignment="0" applyProtection="0"/>
    <xf numFmtId="0" fontId="1" fillId="61" borderId="0" applyNumberFormat="0" applyBorder="0" applyAlignment="0" applyProtection="0"/>
    <xf numFmtId="0" fontId="1" fillId="64" borderId="0" applyNumberFormat="0" applyBorder="0" applyAlignment="0" applyProtection="0"/>
    <xf numFmtId="0" fontId="1" fillId="68" borderId="0" applyNumberFormat="0" applyBorder="0" applyAlignment="0" applyProtection="0"/>
    <xf numFmtId="0" fontId="1" fillId="69" borderId="0" applyNumberFormat="0" applyBorder="0" applyAlignment="0" applyProtection="0"/>
    <xf numFmtId="0" fontId="1" fillId="72" borderId="0" applyNumberFormat="0" applyBorder="0" applyAlignment="0" applyProtection="0"/>
    <xf numFmtId="0" fontId="1" fillId="73" borderId="0" applyNumberFormat="0" applyBorder="0" applyAlignment="0" applyProtection="0"/>
    <xf numFmtId="0" fontId="1" fillId="77" borderId="0" applyNumberFormat="0" applyBorder="0" applyAlignment="0" applyProtection="0"/>
    <xf numFmtId="0" fontId="1" fillId="80" borderId="0" applyNumberFormat="0" applyBorder="0" applyAlignment="0" applyProtection="0"/>
    <xf numFmtId="0" fontId="1" fillId="81" borderId="0" applyNumberFormat="0" applyBorder="0" applyAlignment="0" applyProtection="0"/>
    <xf numFmtId="0" fontId="1" fillId="58" borderId="104" applyNumberFormat="0" applyFont="0" applyAlignment="0" applyProtection="0"/>
    <xf numFmtId="0" fontId="1" fillId="60" borderId="0" applyNumberFormat="0" applyBorder="0" applyAlignment="0" applyProtection="0"/>
    <xf numFmtId="0" fontId="1" fillId="61" borderId="0" applyNumberFormat="0" applyBorder="0" applyAlignment="0" applyProtection="0"/>
    <xf numFmtId="0" fontId="1" fillId="64" borderId="0" applyNumberFormat="0" applyBorder="0" applyAlignment="0" applyProtection="0"/>
    <xf numFmtId="0" fontId="1" fillId="68" borderId="0" applyNumberFormat="0" applyBorder="0" applyAlignment="0" applyProtection="0"/>
    <xf numFmtId="0" fontId="1" fillId="69" borderId="0" applyNumberFormat="0" applyBorder="0" applyAlignment="0" applyProtection="0"/>
    <xf numFmtId="0" fontId="1" fillId="72" borderId="0" applyNumberFormat="0" applyBorder="0" applyAlignment="0" applyProtection="0"/>
    <xf numFmtId="0" fontId="1" fillId="73" borderId="0" applyNumberFormat="0" applyBorder="0" applyAlignment="0" applyProtection="0"/>
    <xf numFmtId="0" fontId="1" fillId="77" borderId="0" applyNumberFormat="0" applyBorder="0" applyAlignment="0" applyProtection="0"/>
    <xf numFmtId="0" fontId="1" fillId="80" borderId="0" applyNumberFormat="0" applyBorder="0" applyAlignment="0" applyProtection="0"/>
    <xf numFmtId="0" fontId="1" fillId="81" borderId="0" applyNumberFormat="0" applyBorder="0" applyAlignment="0" applyProtection="0"/>
    <xf numFmtId="0" fontId="1" fillId="58" borderId="104" applyNumberFormat="0" applyFont="0" applyAlignment="0" applyProtection="0"/>
    <xf numFmtId="0" fontId="1" fillId="58" borderId="104" applyNumberFormat="0" applyFont="0" applyAlignment="0" applyProtection="0"/>
    <xf numFmtId="0" fontId="1" fillId="60" borderId="0" applyNumberFormat="0" applyBorder="0" applyAlignment="0" applyProtection="0"/>
    <xf numFmtId="0" fontId="1" fillId="61" borderId="0" applyNumberFormat="0" applyBorder="0" applyAlignment="0" applyProtection="0"/>
    <xf numFmtId="0" fontId="1" fillId="64" borderId="0" applyNumberFormat="0" applyBorder="0" applyAlignment="0" applyProtection="0"/>
    <xf numFmtId="0" fontId="1" fillId="68" borderId="0" applyNumberFormat="0" applyBorder="0" applyAlignment="0" applyProtection="0"/>
    <xf numFmtId="0" fontId="1" fillId="69" borderId="0" applyNumberFormat="0" applyBorder="0" applyAlignment="0" applyProtection="0"/>
    <xf numFmtId="0" fontId="1" fillId="72" borderId="0" applyNumberFormat="0" applyBorder="0" applyAlignment="0" applyProtection="0"/>
    <xf numFmtId="0" fontId="1" fillId="73" borderId="0" applyNumberFormat="0" applyBorder="0" applyAlignment="0" applyProtection="0"/>
    <xf numFmtId="0" fontId="1" fillId="77" borderId="0" applyNumberFormat="0" applyBorder="0" applyAlignment="0" applyProtection="0"/>
    <xf numFmtId="0" fontId="1" fillId="80" borderId="0" applyNumberFormat="0" applyBorder="0" applyAlignment="0" applyProtection="0"/>
    <xf numFmtId="0" fontId="1" fillId="81" borderId="0" applyNumberFormat="0" applyBorder="0" applyAlignment="0" applyProtection="0"/>
    <xf numFmtId="0" fontId="1" fillId="60" borderId="0" applyNumberFormat="0" applyBorder="0" applyAlignment="0" applyProtection="0"/>
    <xf numFmtId="0" fontId="1" fillId="61" borderId="0" applyNumberFormat="0" applyBorder="0" applyAlignment="0" applyProtection="0"/>
    <xf numFmtId="0" fontId="1" fillId="64" borderId="0" applyNumberFormat="0" applyBorder="0" applyAlignment="0" applyProtection="0"/>
    <xf numFmtId="0" fontId="1" fillId="68" borderId="0" applyNumberFormat="0" applyBorder="0" applyAlignment="0" applyProtection="0"/>
    <xf numFmtId="0" fontId="1" fillId="69" borderId="0" applyNumberFormat="0" applyBorder="0" applyAlignment="0" applyProtection="0"/>
    <xf numFmtId="0" fontId="1" fillId="72" borderId="0" applyNumberFormat="0" applyBorder="0" applyAlignment="0" applyProtection="0"/>
    <xf numFmtId="0" fontId="1" fillId="73" borderId="0" applyNumberFormat="0" applyBorder="0" applyAlignment="0" applyProtection="0"/>
    <xf numFmtId="0" fontId="1" fillId="77" borderId="0" applyNumberFormat="0" applyBorder="0" applyAlignment="0" applyProtection="0"/>
    <xf numFmtId="0" fontId="1" fillId="80" borderId="0" applyNumberFormat="0" applyBorder="0" applyAlignment="0" applyProtection="0"/>
    <xf numFmtId="0" fontId="1" fillId="81" borderId="0" applyNumberFormat="0" applyBorder="0" applyAlignment="0" applyProtection="0"/>
    <xf numFmtId="0" fontId="1" fillId="58" borderId="104" applyNumberFormat="0" applyFont="0" applyAlignment="0" applyProtection="0"/>
    <xf numFmtId="0" fontId="1" fillId="60" borderId="0" applyNumberFormat="0" applyBorder="0" applyAlignment="0" applyProtection="0"/>
    <xf numFmtId="0" fontId="1" fillId="60" borderId="0" applyNumberFormat="0" applyBorder="0" applyAlignment="0" applyProtection="0"/>
    <xf numFmtId="0" fontId="1" fillId="60" borderId="0" applyNumberFormat="0" applyBorder="0" applyAlignment="0" applyProtection="0"/>
    <xf numFmtId="0" fontId="1" fillId="60" borderId="0" applyNumberFormat="0" applyBorder="0" applyAlignment="0" applyProtection="0"/>
    <xf numFmtId="0" fontId="1" fillId="60" borderId="0" applyNumberFormat="0" applyBorder="0" applyAlignment="0" applyProtection="0"/>
    <xf numFmtId="0" fontId="1" fillId="60" borderId="0" applyNumberFormat="0" applyBorder="0" applyAlignment="0" applyProtection="0"/>
    <xf numFmtId="0" fontId="1" fillId="60" borderId="0" applyNumberFormat="0" applyBorder="0" applyAlignment="0" applyProtection="0"/>
    <xf numFmtId="0" fontId="1" fillId="60" borderId="0" applyNumberFormat="0" applyBorder="0" applyAlignment="0" applyProtection="0"/>
    <xf numFmtId="0" fontId="1" fillId="60" borderId="0" applyNumberFormat="0" applyBorder="0" applyAlignment="0" applyProtection="0"/>
    <xf numFmtId="0" fontId="1" fillId="64" borderId="0" applyNumberFormat="0" applyBorder="0" applyAlignment="0" applyProtection="0"/>
    <xf numFmtId="0" fontId="1" fillId="64" borderId="0" applyNumberFormat="0" applyBorder="0" applyAlignment="0" applyProtection="0"/>
    <xf numFmtId="0" fontId="1" fillId="64" borderId="0" applyNumberFormat="0" applyBorder="0" applyAlignment="0" applyProtection="0"/>
    <xf numFmtId="0" fontId="1" fillId="64" borderId="0" applyNumberFormat="0" applyBorder="0" applyAlignment="0" applyProtection="0"/>
    <xf numFmtId="0" fontId="1" fillId="64" borderId="0" applyNumberFormat="0" applyBorder="0" applyAlignment="0" applyProtection="0"/>
    <xf numFmtId="0" fontId="1" fillId="64" borderId="0" applyNumberFormat="0" applyBorder="0" applyAlignment="0" applyProtection="0"/>
    <xf numFmtId="0" fontId="1" fillId="64" borderId="0" applyNumberFormat="0" applyBorder="0" applyAlignment="0" applyProtection="0"/>
    <xf numFmtId="0" fontId="1" fillId="64" borderId="0" applyNumberFormat="0" applyBorder="0" applyAlignment="0" applyProtection="0"/>
    <xf numFmtId="0" fontId="1" fillId="64" borderId="0" applyNumberFormat="0" applyBorder="0" applyAlignment="0" applyProtection="0"/>
    <xf numFmtId="0" fontId="1" fillId="68" borderId="0" applyNumberFormat="0" applyBorder="0" applyAlignment="0" applyProtection="0"/>
    <xf numFmtId="0" fontId="1" fillId="68" borderId="0" applyNumberFormat="0" applyBorder="0" applyAlignment="0" applyProtection="0"/>
    <xf numFmtId="0" fontId="1" fillId="68" borderId="0" applyNumberFormat="0" applyBorder="0" applyAlignment="0" applyProtection="0"/>
    <xf numFmtId="0" fontId="1" fillId="68" borderId="0" applyNumberFormat="0" applyBorder="0" applyAlignment="0" applyProtection="0"/>
    <xf numFmtId="0" fontId="1" fillId="68" borderId="0" applyNumberFormat="0" applyBorder="0" applyAlignment="0" applyProtection="0"/>
    <xf numFmtId="0" fontId="1" fillId="68" borderId="0" applyNumberFormat="0" applyBorder="0" applyAlignment="0" applyProtection="0"/>
    <xf numFmtId="0" fontId="1" fillId="68" borderId="0" applyNumberFormat="0" applyBorder="0" applyAlignment="0" applyProtection="0"/>
    <xf numFmtId="0" fontId="1" fillId="68" borderId="0" applyNumberFormat="0" applyBorder="0" applyAlignment="0" applyProtection="0"/>
    <xf numFmtId="0" fontId="1" fillId="68" borderId="0" applyNumberFormat="0" applyBorder="0" applyAlignment="0" applyProtection="0"/>
    <xf numFmtId="0" fontId="1" fillId="72" borderId="0" applyNumberFormat="0" applyBorder="0" applyAlignment="0" applyProtection="0"/>
    <xf numFmtId="0" fontId="1" fillId="72" borderId="0" applyNumberFormat="0" applyBorder="0" applyAlignment="0" applyProtection="0"/>
    <xf numFmtId="0" fontId="1" fillId="72" borderId="0" applyNumberFormat="0" applyBorder="0" applyAlignment="0" applyProtection="0"/>
    <xf numFmtId="0" fontId="1" fillId="72" borderId="0" applyNumberFormat="0" applyBorder="0" applyAlignment="0" applyProtection="0"/>
    <xf numFmtId="0" fontId="1" fillId="72" borderId="0" applyNumberFormat="0" applyBorder="0" applyAlignment="0" applyProtection="0"/>
    <xf numFmtId="0" fontId="1" fillId="72" borderId="0" applyNumberFormat="0" applyBorder="0" applyAlignment="0" applyProtection="0"/>
    <xf numFmtId="0" fontId="1" fillId="72" borderId="0" applyNumberFormat="0" applyBorder="0" applyAlignment="0" applyProtection="0"/>
    <xf numFmtId="0" fontId="1" fillId="72" borderId="0" applyNumberFormat="0" applyBorder="0" applyAlignment="0" applyProtection="0"/>
    <xf numFmtId="0" fontId="1" fillId="72" borderId="0" applyNumberFormat="0" applyBorder="0" applyAlignment="0" applyProtection="0"/>
    <xf numFmtId="0" fontId="1" fillId="80" borderId="0" applyNumberFormat="0" applyBorder="0" applyAlignment="0" applyProtection="0"/>
    <xf numFmtId="0" fontId="1" fillId="80" borderId="0" applyNumberFormat="0" applyBorder="0" applyAlignment="0" applyProtection="0"/>
    <xf numFmtId="0" fontId="1" fillId="80" borderId="0" applyNumberFormat="0" applyBorder="0" applyAlignment="0" applyProtection="0"/>
    <xf numFmtId="0" fontId="1" fillId="80" borderId="0" applyNumberFormat="0" applyBorder="0" applyAlignment="0" applyProtection="0"/>
    <xf numFmtId="0" fontId="1" fillId="80" borderId="0" applyNumberFormat="0" applyBorder="0" applyAlignment="0" applyProtection="0"/>
    <xf numFmtId="0" fontId="1" fillId="80" borderId="0" applyNumberFormat="0" applyBorder="0" applyAlignment="0" applyProtection="0"/>
    <xf numFmtId="0" fontId="1" fillId="80" borderId="0" applyNumberFormat="0" applyBorder="0" applyAlignment="0" applyProtection="0"/>
    <xf numFmtId="0" fontId="1" fillId="80" borderId="0" applyNumberFormat="0" applyBorder="0" applyAlignment="0" applyProtection="0"/>
    <xf numFmtId="0" fontId="1" fillId="80" borderId="0" applyNumberFormat="0" applyBorder="0" applyAlignment="0" applyProtection="0"/>
    <xf numFmtId="0" fontId="1" fillId="61" borderId="0" applyNumberFormat="0" applyBorder="0" applyAlignment="0" applyProtection="0"/>
    <xf numFmtId="0" fontId="1" fillId="61" borderId="0" applyNumberFormat="0" applyBorder="0" applyAlignment="0" applyProtection="0"/>
    <xf numFmtId="0" fontId="1" fillId="61" borderId="0" applyNumberFormat="0" applyBorder="0" applyAlignment="0" applyProtection="0"/>
    <xf numFmtId="0" fontId="1" fillId="61" borderId="0" applyNumberFormat="0" applyBorder="0" applyAlignment="0" applyProtection="0"/>
    <xf numFmtId="0" fontId="1" fillId="61" borderId="0" applyNumberFormat="0" applyBorder="0" applyAlignment="0" applyProtection="0"/>
    <xf numFmtId="0" fontId="1" fillId="61" borderId="0" applyNumberFormat="0" applyBorder="0" applyAlignment="0" applyProtection="0"/>
    <xf numFmtId="0" fontId="1" fillId="61" borderId="0" applyNumberFormat="0" applyBorder="0" applyAlignment="0" applyProtection="0"/>
    <xf numFmtId="0" fontId="1" fillId="61" borderId="0" applyNumberFormat="0" applyBorder="0" applyAlignment="0" applyProtection="0"/>
    <xf numFmtId="0" fontId="1" fillId="61" borderId="0" applyNumberFormat="0" applyBorder="0" applyAlignment="0" applyProtection="0"/>
    <xf numFmtId="0" fontId="1" fillId="69" borderId="0" applyNumberFormat="0" applyBorder="0" applyAlignment="0" applyProtection="0"/>
    <xf numFmtId="0" fontId="1" fillId="69" borderId="0" applyNumberFormat="0" applyBorder="0" applyAlignment="0" applyProtection="0"/>
    <xf numFmtId="0" fontId="1" fillId="69" borderId="0" applyNumberFormat="0" applyBorder="0" applyAlignment="0" applyProtection="0"/>
    <xf numFmtId="0" fontId="1" fillId="69" borderId="0" applyNumberFormat="0" applyBorder="0" applyAlignment="0" applyProtection="0"/>
    <xf numFmtId="0" fontId="1" fillId="69" borderId="0" applyNumberFormat="0" applyBorder="0" applyAlignment="0" applyProtection="0"/>
    <xf numFmtId="0" fontId="1" fillId="69" borderId="0" applyNumberFormat="0" applyBorder="0" applyAlignment="0" applyProtection="0"/>
    <xf numFmtId="0" fontId="1" fillId="69" borderId="0" applyNumberFormat="0" applyBorder="0" applyAlignment="0" applyProtection="0"/>
    <xf numFmtId="0" fontId="1" fillId="69" borderId="0" applyNumberFormat="0" applyBorder="0" applyAlignment="0" applyProtection="0"/>
    <xf numFmtId="0" fontId="1" fillId="69" borderId="0" applyNumberFormat="0" applyBorder="0" applyAlignment="0" applyProtection="0"/>
    <xf numFmtId="0" fontId="1" fillId="73" borderId="0" applyNumberFormat="0" applyBorder="0" applyAlignment="0" applyProtection="0"/>
    <xf numFmtId="0" fontId="1" fillId="73" borderId="0" applyNumberFormat="0" applyBorder="0" applyAlignment="0" applyProtection="0"/>
    <xf numFmtId="0" fontId="1" fillId="73" borderId="0" applyNumberFormat="0" applyBorder="0" applyAlignment="0" applyProtection="0"/>
    <xf numFmtId="0" fontId="1" fillId="73" borderId="0" applyNumberFormat="0" applyBorder="0" applyAlignment="0" applyProtection="0"/>
    <xf numFmtId="0" fontId="1" fillId="73" borderId="0" applyNumberFormat="0" applyBorder="0" applyAlignment="0" applyProtection="0"/>
    <xf numFmtId="0" fontId="1" fillId="73" borderId="0" applyNumberFormat="0" applyBorder="0" applyAlignment="0" applyProtection="0"/>
    <xf numFmtId="0" fontId="1" fillId="73" borderId="0" applyNumberFormat="0" applyBorder="0" applyAlignment="0" applyProtection="0"/>
    <xf numFmtId="0" fontId="1" fillId="73" borderId="0" applyNumberFormat="0" applyBorder="0" applyAlignment="0" applyProtection="0"/>
    <xf numFmtId="0" fontId="1" fillId="73" borderId="0" applyNumberFormat="0" applyBorder="0" applyAlignment="0" applyProtection="0"/>
    <xf numFmtId="0" fontId="1" fillId="77" borderId="0" applyNumberFormat="0" applyBorder="0" applyAlignment="0" applyProtection="0"/>
    <xf numFmtId="0" fontId="1" fillId="77" borderId="0" applyNumberFormat="0" applyBorder="0" applyAlignment="0" applyProtection="0"/>
    <xf numFmtId="0" fontId="1" fillId="77" borderId="0" applyNumberFormat="0" applyBorder="0" applyAlignment="0" applyProtection="0"/>
    <xf numFmtId="0" fontId="1" fillId="77" borderId="0" applyNumberFormat="0" applyBorder="0" applyAlignment="0" applyProtection="0"/>
    <xf numFmtId="0" fontId="1" fillId="77" borderId="0" applyNumberFormat="0" applyBorder="0" applyAlignment="0" applyProtection="0"/>
    <xf numFmtId="0" fontId="1" fillId="77" borderId="0" applyNumberFormat="0" applyBorder="0" applyAlignment="0" applyProtection="0"/>
    <xf numFmtId="0" fontId="1" fillId="77" borderId="0" applyNumberFormat="0" applyBorder="0" applyAlignment="0" applyProtection="0"/>
    <xf numFmtId="0" fontId="1" fillId="77" borderId="0" applyNumberFormat="0" applyBorder="0" applyAlignment="0" applyProtection="0"/>
    <xf numFmtId="0" fontId="1" fillId="77" borderId="0" applyNumberFormat="0" applyBorder="0" applyAlignment="0" applyProtection="0"/>
    <xf numFmtId="0" fontId="1" fillId="81" borderId="0" applyNumberFormat="0" applyBorder="0" applyAlignment="0" applyProtection="0"/>
    <xf numFmtId="0" fontId="1" fillId="81" borderId="0" applyNumberFormat="0" applyBorder="0" applyAlignment="0" applyProtection="0"/>
    <xf numFmtId="0" fontId="1" fillId="81" borderId="0" applyNumberFormat="0" applyBorder="0" applyAlignment="0" applyProtection="0"/>
    <xf numFmtId="0" fontId="1" fillId="81" borderId="0" applyNumberFormat="0" applyBorder="0" applyAlignment="0" applyProtection="0"/>
    <xf numFmtId="0" fontId="1" fillId="81" borderId="0" applyNumberFormat="0" applyBorder="0" applyAlignment="0" applyProtection="0"/>
    <xf numFmtId="0" fontId="1" fillId="81" borderId="0" applyNumberFormat="0" applyBorder="0" applyAlignment="0" applyProtection="0"/>
    <xf numFmtId="0" fontId="1" fillId="81" borderId="0" applyNumberFormat="0" applyBorder="0" applyAlignment="0" applyProtection="0"/>
    <xf numFmtId="0" fontId="1" fillId="81" borderId="0" applyNumberFormat="0" applyBorder="0" applyAlignment="0" applyProtection="0"/>
    <xf numFmtId="0" fontId="1" fillId="81" borderId="0" applyNumberFormat="0" applyBorder="0" applyAlignment="0" applyProtection="0"/>
    <xf numFmtId="0" fontId="1" fillId="58" borderId="104" applyNumberFormat="0" applyFont="0" applyAlignment="0" applyProtection="0"/>
    <xf numFmtId="0" fontId="1" fillId="58" borderId="104" applyNumberFormat="0" applyFont="0" applyAlignment="0" applyProtection="0"/>
    <xf numFmtId="0" fontId="1" fillId="58" borderId="104" applyNumberFormat="0" applyFont="0" applyAlignment="0" applyProtection="0"/>
    <xf numFmtId="0" fontId="1" fillId="58" borderId="104" applyNumberFormat="0" applyFont="0" applyAlignment="0" applyProtection="0"/>
    <xf numFmtId="0" fontId="1" fillId="58" borderId="104" applyNumberFormat="0" applyFont="0" applyAlignment="0" applyProtection="0"/>
    <xf numFmtId="0" fontId="1" fillId="58" borderId="104" applyNumberFormat="0" applyFont="0" applyAlignment="0" applyProtection="0"/>
    <xf numFmtId="0" fontId="1" fillId="58" borderId="104" applyNumberFormat="0" applyFont="0" applyAlignment="0" applyProtection="0"/>
    <xf numFmtId="0" fontId="1" fillId="58" borderId="104" applyNumberFormat="0" applyFont="0" applyAlignment="0" applyProtection="0"/>
    <xf numFmtId="0" fontId="1" fillId="58" borderId="104" applyNumberFormat="0" applyFont="0" applyAlignment="0" applyProtection="0"/>
    <xf numFmtId="9" fontId="1" fillId="0" borderId="0" applyFont="0" applyFill="0" applyBorder="0" applyAlignment="0" applyProtection="0"/>
    <xf numFmtId="0" fontId="1" fillId="60" borderId="0" applyNumberFormat="0" applyBorder="0" applyAlignment="0" applyProtection="0"/>
    <xf numFmtId="0" fontId="1" fillId="61" borderId="0" applyNumberFormat="0" applyBorder="0" applyAlignment="0" applyProtection="0"/>
    <xf numFmtId="0" fontId="1" fillId="64" borderId="0" applyNumberFormat="0" applyBorder="0" applyAlignment="0" applyProtection="0"/>
    <xf numFmtId="0" fontId="1" fillId="68" borderId="0" applyNumberFormat="0" applyBorder="0" applyAlignment="0" applyProtection="0"/>
    <xf numFmtId="0" fontId="1" fillId="69" borderId="0" applyNumberFormat="0" applyBorder="0" applyAlignment="0" applyProtection="0"/>
    <xf numFmtId="0" fontId="1" fillId="72" borderId="0" applyNumberFormat="0" applyBorder="0" applyAlignment="0" applyProtection="0"/>
    <xf numFmtId="0" fontId="1" fillId="73" borderId="0" applyNumberFormat="0" applyBorder="0" applyAlignment="0" applyProtection="0"/>
    <xf numFmtId="0" fontId="1" fillId="77" borderId="0" applyNumberFormat="0" applyBorder="0" applyAlignment="0" applyProtection="0"/>
    <xf numFmtId="0" fontId="1" fillId="80" borderId="0" applyNumberFormat="0" applyBorder="0" applyAlignment="0" applyProtection="0"/>
    <xf numFmtId="0" fontId="1" fillId="81" borderId="0" applyNumberFormat="0" applyBorder="0" applyAlignment="0" applyProtection="0"/>
    <xf numFmtId="0" fontId="1" fillId="58" borderId="104" applyNumberFormat="0" applyFont="0" applyAlignment="0" applyProtection="0"/>
    <xf numFmtId="0" fontId="1" fillId="58" borderId="104" applyNumberFormat="0" applyFont="0" applyAlignment="0" applyProtection="0"/>
    <xf numFmtId="0" fontId="1" fillId="60" borderId="0" applyNumberFormat="0" applyBorder="0" applyAlignment="0" applyProtection="0"/>
    <xf numFmtId="0" fontId="1" fillId="61" borderId="0" applyNumberFormat="0" applyBorder="0" applyAlignment="0" applyProtection="0"/>
    <xf numFmtId="0" fontId="1" fillId="64" borderId="0" applyNumberFormat="0" applyBorder="0" applyAlignment="0" applyProtection="0"/>
    <xf numFmtId="0" fontId="1" fillId="68" borderId="0" applyNumberFormat="0" applyBorder="0" applyAlignment="0" applyProtection="0"/>
    <xf numFmtId="0" fontId="1" fillId="69" borderId="0" applyNumberFormat="0" applyBorder="0" applyAlignment="0" applyProtection="0"/>
    <xf numFmtId="0" fontId="1" fillId="72" borderId="0" applyNumberFormat="0" applyBorder="0" applyAlignment="0" applyProtection="0"/>
    <xf numFmtId="0" fontId="1" fillId="73" borderId="0" applyNumberFormat="0" applyBorder="0" applyAlignment="0" applyProtection="0"/>
    <xf numFmtId="0" fontId="1" fillId="77" borderId="0" applyNumberFormat="0" applyBorder="0" applyAlignment="0" applyProtection="0"/>
    <xf numFmtId="0" fontId="1" fillId="80" borderId="0" applyNumberFormat="0" applyBorder="0" applyAlignment="0" applyProtection="0"/>
    <xf numFmtId="0" fontId="1" fillId="81" borderId="0" applyNumberFormat="0" applyBorder="0" applyAlignment="0" applyProtection="0"/>
    <xf numFmtId="0" fontId="1" fillId="60" borderId="0" applyNumberFormat="0" applyBorder="0" applyAlignment="0" applyProtection="0"/>
    <xf numFmtId="0" fontId="1" fillId="61" borderId="0" applyNumberFormat="0" applyBorder="0" applyAlignment="0" applyProtection="0"/>
    <xf numFmtId="0" fontId="1" fillId="64" borderId="0" applyNumberFormat="0" applyBorder="0" applyAlignment="0" applyProtection="0"/>
    <xf numFmtId="0" fontId="1" fillId="68" borderId="0" applyNumberFormat="0" applyBorder="0" applyAlignment="0" applyProtection="0"/>
    <xf numFmtId="0" fontId="1" fillId="69" borderId="0" applyNumberFormat="0" applyBorder="0" applyAlignment="0" applyProtection="0"/>
    <xf numFmtId="0" fontId="1" fillId="72" borderId="0" applyNumberFormat="0" applyBorder="0" applyAlignment="0" applyProtection="0"/>
    <xf numFmtId="0" fontId="1" fillId="73" borderId="0" applyNumberFormat="0" applyBorder="0" applyAlignment="0" applyProtection="0"/>
    <xf numFmtId="0" fontId="1" fillId="77" borderId="0" applyNumberFormat="0" applyBorder="0" applyAlignment="0" applyProtection="0"/>
    <xf numFmtId="0" fontId="1" fillId="80" borderId="0" applyNumberFormat="0" applyBorder="0" applyAlignment="0" applyProtection="0"/>
    <xf numFmtId="0" fontId="1" fillId="81" borderId="0" applyNumberFormat="0" applyBorder="0" applyAlignment="0" applyProtection="0"/>
    <xf numFmtId="0" fontId="1" fillId="58" borderId="104" applyNumberFormat="0" applyFont="0" applyAlignment="0" applyProtection="0"/>
    <xf numFmtId="0" fontId="1" fillId="60" borderId="0" applyNumberFormat="0" applyBorder="0" applyAlignment="0" applyProtection="0"/>
    <xf numFmtId="0" fontId="1" fillId="61" borderId="0" applyNumberFormat="0" applyBorder="0" applyAlignment="0" applyProtection="0"/>
    <xf numFmtId="0" fontId="1" fillId="64" borderId="0" applyNumberFormat="0" applyBorder="0" applyAlignment="0" applyProtection="0"/>
    <xf numFmtId="0" fontId="1" fillId="68" borderId="0" applyNumberFormat="0" applyBorder="0" applyAlignment="0" applyProtection="0"/>
    <xf numFmtId="0" fontId="1" fillId="69" borderId="0" applyNumberFormat="0" applyBorder="0" applyAlignment="0" applyProtection="0"/>
    <xf numFmtId="0" fontId="1" fillId="72" borderId="0" applyNumberFormat="0" applyBorder="0" applyAlignment="0" applyProtection="0"/>
    <xf numFmtId="0" fontId="1" fillId="73" borderId="0" applyNumberFormat="0" applyBorder="0" applyAlignment="0" applyProtection="0"/>
    <xf numFmtId="0" fontId="1" fillId="77" borderId="0" applyNumberFormat="0" applyBorder="0" applyAlignment="0" applyProtection="0"/>
    <xf numFmtId="0" fontId="1" fillId="80" borderId="0" applyNumberFormat="0" applyBorder="0" applyAlignment="0" applyProtection="0"/>
    <xf numFmtId="0" fontId="1" fillId="81" borderId="0" applyNumberFormat="0" applyBorder="0" applyAlignment="0" applyProtection="0"/>
    <xf numFmtId="0" fontId="1" fillId="58" borderId="104" applyNumberFormat="0" applyFont="0" applyAlignment="0" applyProtection="0"/>
    <xf numFmtId="0" fontId="1" fillId="58" borderId="104" applyNumberFormat="0" applyFont="0" applyAlignment="0" applyProtection="0"/>
    <xf numFmtId="0" fontId="1" fillId="60" borderId="0" applyNumberFormat="0" applyBorder="0" applyAlignment="0" applyProtection="0"/>
    <xf numFmtId="0" fontId="1" fillId="61" borderId="0" applyNumberFormat="0" applyBorder="0" applyAlignment="0" applyProtection="0"/>
    <xf numFmtId="0" fontId="1" fillId="64" borderId="0" applyNumberFormat="0" applyBorder="0" applyAlignment="0" applyProtection="0"/>
    <xf numFmtId="0" fontId="1" fillId="68" borderId="0" applyNumberFormat="0" applyBorder="0" applyAlignment="0" applyProtection="0"/>
    <xf numFmtId="0" fontId="1" fillId="69" borderId="0" applyNumberFormat="0" applyBorder="0" applyAlignment="0" applyProtection="0"/>
    <xf numFmtId="0" fontId="1" fillId="72" borderId="0" applyNumberFormat="0" applyBorder="0" applyAlignment="0" applyProtection="0"/>
    <xf numFmtId="0" fontId="1" fillId="73" borderId="0" applyNumberFormat="0" applyBorder="0" applyAlignment="0" applyProtection="0"/>
    <xf numFmtId="0" fontId="1" fillId="77" borderId="0" applyNumberFormat="0" applyBorder="0" applyAlignment="0" applyProtection="0"/>
    <xf numFmtId="0" fontId="1" fillId="80" borderId="0" applyNumberFormat="0" applyBorder="0" applyAlignment="0" applyProtection="0"/>
    <xf numFmtId="0" fontId="1" fillId="81" borderId="0" applyNumberFormat="0" applyBorder="0" applyAlignment="0" applyProtection="0"/>
    <xf numFmtId="0" fontId="1" fillId="60" borderId="0" applyNumberFormat="0" applyBorder="0" applyAlignment="0" applyProtection="0"/>
    <xf numFmtId="0" fontId="1" fillId="61" borderId="0" applyNumberFormat="0" applyBorder="0" applyAlignment="0" applyProtection="0"/>
    <xf numFmtId="0" fontId="1" fillId="64" borderId="0" applyNumberFormat="0" applyBorder="0" applyAlignment="0" applyProtection="0"/>
    <xf numFmtId="0" fontId="1" fillId="68" borderId="0" applyNumberFormat="0" applyBorder="0" applyAlignment="0" applyProtection="0"/>
    <xf numFmtId="0" fontId="1" fillId="69" borderId="0" applyNumberFormat="0" applyBorder="0" applyAlignment="0" applyProtection="0"/>
    <xf numFmtId="0" fontId="1" fillId="72" borderId="0" applyNumberFormat="0" applyBorder="0" applyAlignment="0" applyProtection="0"/>
    <xf numFmtId="0" fontId="1" fillId="73" borderId="0" applyNumberFormat="0" applyBorder="0" applyAlignment="0" applyProtection="0"/>
    <xf numFmtId="0" fontId="1" fillId="77" borderId="0" applyNumberFormat="0" applyBorder="0" applyAlignment="0" applyProtection="0"/>
    <xf numFmtId="0" fontId="1" fillId="80" borderId="0" applyNumberFormat="0" applyBorder="0" applyAlignment="0" applyProtection="0"/>
    <xf numFmtId="0" fontId="1" fillId="81" borderId="0" applyNumberFormat="0" applyBorder="0" applyAlignment="0" applyProtection="0"/>
    <xf numFmtId="0" fontId="1" fillId="58" borderId="104" applyNumberFormat="0" applyFont="0" applyAlignment="0" applyProtection="0"/>
    <xf numFmtId="0" fontId="1" fillId="60" borderId="0" applyNumberFormat="0" applyBorder="0" applyAlignment="0" applyProtection="0"/>
    <xf numFmtId="0" fontId="1" fillId="61" borderId="0" applyNumberFormat="0" applyBorder="0" applyAlignment="0" applyProtection="0"/>
    <xf numFmtId="0" fontId="1" fillId="64" borderId="0" applyNumberFormat="0" applyBorder="0" applyAlignment="0" applyProtection="0"/>
    <xf numFmtId="0" fontId="1" fillId="68" borderId="0" applyNumberFormat="0" applyBorder="0" applyAlignment="0" applyProtection="0"/>
    <xf numFmtId="0" fontId="1" fillId="69" borderId="0" applyNumberFormat="0" applyBorder="0" applyAlignment="0" applyProtection="0"/>
    <xf numFmtId="0" fontId="1" fillId="72" borderId="0" applyNumberFormat="0" applyBorder="0" applyAlignment="0" applyProtection="0"/>
    <xf numFmtId="0" fontId="1" fillId="73" borderId="0" applyNumberFormat="0" applyBorder="0" applyAlignment="0" applyProtection="0"/>
    <xf numFmtId="0" fontId="1" fillId="77" borderId="0" applyNumberFormat="0" applyBorder="0" applyAlignment="0" applyProtection="0"/>
    <xf numFmtId="0" fontId="1" fillId="80" borderId="0" applyNumberFormat="0" applyBorder="0" applyAlignment="0" applyProtection="0"/>
    <xf numFmtId="0" fontId="1" fillId="81" borderId="0" applyNumberFormat="0" applyBorder="0" applyAlignment="0" applyProtection="0"/>
    <xf numFmtId="0" fontId="1" fillId="58" borderId="104" applyNumberFormat="0" applyFont="0" applyAlignment="0" applyProtection="0"/>
    <xf numFmtId="0" fontId="1" fillId="58" borderId="104" applyNumberFormat="0" applyFont="0" applyAlignment="0" applyProtection="0"/>
    <xf numFmtId="0" fontId="1" fillId="60" borderId="0" applyNumberFormat="0" applyBorder="0" applyAlignment="0" applyProtection="0"/>
    <xf numFmtId="0" fontId="1" fillId="61" borderId="0" applyNumberFormat="0" applyBorder="0" applyAlignment="0" applyProtection="0"/>
    <xf numFmtId="0" fontId="1" fillId="64" borderId="0" applyNumberFormat="0" applyBorder="0" applyAlignment="0" applyProtection="0"/>
    <xf numFmtId="0" fontId="1" fillId="68" borderId="0" applyNumberFormat="0" applyBorder="0" applyAlignment="0" applyProtection="0"/>
    <xf numFmtId="0" fontId="1" fillId="69" borderId="0" applyNumberFormat="0" applyBorder="0" applyAlignment="0" applyProtection="0"/>
    <xf numFmtId="0" fontId="1" fillId="72" borderId="0" applyNumberFormat="0" applyBorder="0" applyAlignment="0" applyProtection="0"/>
    <xf numFmtId="0" fontId="1" fillId="73" borderId="0" applyNumberFormat="0" applyBorder="0" applyAlignment="0" applyProtection="0"/>
    <xf numFmtId="0" fontId="1" fillId="77" borderId="0" applyNumberFormat="0" applyBorder="0" applyAlignment="0" applyProtection="0"/>
    <xf numFmtId="0" fontId="1" fillId="80" borderId="0" applyNumberFormat="0" applyBorder="0" applyAlignment="0" applyProtection="0"/>
    <xf numFmtId="0" fontId="1" fillId="81" borderId="0" applyNumberFormat="0" applyBorder="0" applyAlignment="0" applyProtection="0"/>
    <xf numFmtId="0" fontId="1" fillId="60" borderId="0" applyNumberFormat="0" applyBorder="0" applyAlignment="0" applyProtection="0"/>
    <xf numFmtId="0" fontId="1" fillId="61" borderId="0" applyNumberFormat="0" applyBorder="0" applyAlignment="0" applyProtection="0"/>
    <xf numFmtId="0" fontId="1" fillId="64" borderId="0" applyNumberFormat="0" applyBorder="0" applyAlignment="0" applyProtection="0"/>
    <xf numFmtId="0" fontId="1" fillId="68" borderId="0" applyNumberFormat="0" applyBorder="0" applyAlignment="0" applyProtection="0"/>
    <xf numFmtId="0" fontId="1" fillId="69" borderId="0" applyNumberFormat="0" applyBorder="0" applyAlignment="0" applyProtection="0"/>
    <xf numFmtId="0" fontId="1" fillId="72" borderId="0" applyNumberFormat="0" applyBorder="0" applyAlignment="0" applyProtection="0"/>
    <xf numFmtId="0" fontId="1" fillId="73" borderId="0" applyNumberFormat="0" applyBorder="0" applyAlignment="0" applyProtection="0"/>
    <xf numFmtId="0" fontId="1" fillId="77" borderId="0" applyNumberFormat="0" applyBorder="0" applyAlignment="0" applyProtection="0"/>
    <xf numFmtId="0" fontId="1" fillId="80" borderId="0" applyNumberFormat="0" applyBorder="0" applyAlignment="0" applyProtection="0"/>
    <xf numFmtId="0" fontId="1" fillId="81" borderId="0" applyNumberFormat="0" applyBorder="0" applyAlignment="0" applyProtection="0"/>
    <xf numFmtId="0" fontId="1" fillId="58" borderId="104" applyNumberFormat="0" applyFont="0" applyAlignment="0" applyProtection="0"/>
    <xf numFmtId="0" fontId="1" fillId="60" borderId="0" applyNumberFormat="0" applyBorder="0" applyAlignment="0" applyProtection="0"/>
    <xf numFmtId="0" fontId="1" fillId="61" borderId="0" applyNumberFormat="0" applyBorder="0" applyAlignment="0" applyProtection="0"/>
    <xf numFmtId="0" fontId="1" fillId="64" borderId="0" applyNumberFormat="0" applyBorder="0" applyAlignment="0" applyProtection="0"/>
    <xf numFmtId="0" fontId="1" fillId="68" borderId="0" applyNumberFormat="0" applyBorder="0" applyAlignment="0" applyProtection="0"/>
    <xf numFmtId="0" fontId="1" fillId="69" borderId="0" applyNumberFormat="0" applyBorder="0" applyAlignment="0" applyProtection="0"/>
    <xf numFmtId="0" fontId="1" fillId="72" borderId="0" applyNumberFormat="0" applyBorder="0" applyAlignment="0" applyProtection="0"/>
    <xf numFmtId="0" fontId="1" fillId="73" borderId="0" applyNumberFormat="0" applyBorder="0" applyAlignment="0" applyProtection="0"/>
    <xf numFmtId="0" fontId="1" fillId="77" borderId="0" applyNumberFormat="0" applyBorder="0" applyAlignment="0" applyProtection="0"/>
    <xf numFmtId="0" fontId="1" fillId="80" borderId="0" applyNumberFormat="0" applyBorder="0" applyAlignment="0" applyProtection="0"/>
    <xf numFmtId="0" fontId="1" fillId="81" borderId="0" applyNumberFormat="0" applyBorder="0" applyAlignment="0" applyProtection="0"/>
    <xf numFmtId="0" fontId="1" fillId="58" borderId="104" applyNumberFormat="0" applyFont="0" applyAlignment="0" applyProtection="0"/>
    <xf numFmtId="0" fontId="1" fillId="58" borderId="104" applyNumberFormat="0" applyFont="0" applyAlignment="0" applyProtection="0"/>
    <xf numFmtId="0" fontId="1" fillId="60" borderId="0" applyNumberFormat="0" applyBorder="0" applyAlignment="0" applyProtection="0"/>
    <xf numFmtId="0" fontId="1" fillId="61" borderId="0" applyNumberFormat="0" applyBorder="0" applyAlignment="0" applyProtection="0"/>
    <xf numFmtId="0" fontId="1" fillId="64" borderId="0" applyNumberFormat="0" applyBorder="0" applyAlignment="0" applyProtection="0"/>
    <xf numFmtId="0" fontId="1" fillId="68" borderId="0" applyNumberFormat="0" applyBorder="0" applyAlignment="0" applyProtection="0"/>
    <xf numFmtId="0" fontId="1" fillId="69" borderId="0" applyNumberFormat="0" applyBorder="0" applyAlignment="0" applyProtection="0"/>
    <xf numFmtId="0" fontId="1" fillId="72" borderId="0" applyNumberFormat="0" applyBorder="0" applyAlignment="0" applyProtection="0"/>
    <xf numFmtId="0" fontId="1" fillId="73" borderId="0" applyNumberFormat="0" applyBorder="0" applyAlignment="0" applyProtection="0"/>
    <xf numFmtId="0" fontId="1" fillId="77" borderId="0" applyNumberFormat="0" applyBorder="0" applyAlignment="0" applyProtection="0"/>
    <xf numFmtId="0" fontId="1" fillId="80" borderId="0" applyNumberFormat="0" applyBorder="0" applyAlignment="0" applyProtection="0"/>
    <xf numFmtId="0" fontId="1" fillId="81" borderId="0" applyNumberFormat="0" applyBorder="0" applyAlignment="0" applyProtection="0"/>
    <xf numFmtId="0" fontId="1" fillId="60" borderId="0" applyNumberFormat="0" applyBorder="0" applyAlignment="0" applyProtection="0"/>
    <xf numFmtId="0" fontId="1" fillId="61" borderId="0" applyNumberFormat="0" applyBorder="0" applyAlignment="0" applyProtection="0"/>
    <xf numFmtId="0" fontId="1" fillId="64" borderId="0" applyNumberFormat="0" applyBorder="0" applyAlignment="0" applyProtection="0"/>
    <xf numFmtId="0" fontId="1" fillId="68" borderId="0" applyNumberFormat="0" applyBorder="0" applyAlignment="0" applyProtection="0"/>
    <xf numFmtId="0" fontId="1" fillId="69" borderId="0" applyNumberFormat="0" applyBorder="0" applyAlignment="0" applyProtection="0"/>
    <xf numFmtId="0" fontId="1" fillId="72" borderId="0" applyNumberFormat="0" applyBorder="0" applyAlignment="0" applyProtection="0"/>
    <xf numFmtId="0" fontId="1" fillId="73" borderId="0" applyNumberFormat="0" applyBorder="0" applyAlignment="0" applyProtection="0"/>
    <xf numFmtId="0" fontId="1" fillId="77" borderId="0" applyNumberFormat="0" applyBorder="0" applyAlignment="0" applyProtection="0"/>
    <xf numFmtId="0" fontId="1" fillId="80" borderId="0" applyNumberFormat="0" applyBorder="0" applyAlignment="0" applyProtection="0"/>
    <xf numFmtId="0" fontId="1" fillId="81" borderId="0" applyNumberFormat="0" applyBorder="0" applyAlignment="0" applyProtection="0"/>
    <xf numFmtId="0" fontId="1" fillId="58" borderId="104" applyNumberFormat="0" applyFont="0" applyAlignment="0" applyProtection="0"/>
    <xf numFmtId="0" fontId="1" fillId="60" borderId="0" applyNumberFormat="0" applyBorder="0" applyAlignment="0" applyProtection="0"/>
    <xf numFmtId="0" fontId="1" fillId="61" borderId="0" applyNumberFormat="0" applyBorder="0" applyAlignment="0" applyProtection="0"/>
    <xf numFmtId="0" fontId="1" fillId="64" borderId="0" applyNumberFormat="0" applyBorder="0" applyAlignment="0" applyProtection="0"/>
    <xf numFmtId="0" fontId="1" fillId="68" borderId="0" applyNumberFormat="0" applyBorder="0" applyAlignment="0" applyProtection="0"/>
    <xf numFmtId="0" fontId="1" fillId="69" borderId="0" applyNumberFormat="0" applyBorder="0" applyAlignment="0" applyProtection="0"/>
    <xf numFmtId="0" fontId="1" fillId="72" borderId="0" applyNumberFormat="0" applyBorder="0" applyAlignment="0" applyProtection="0"/>
    <xf numFmtId="0" fontId="1" fillId="73" borderId="0" applyNumberFormat="0" applyBorder="0" applyAlignment="0" applyProtection="0"/>
    <xf numFmtId="0" fontId="1" fillId="77" borderId="0" applyNumberFormat="0" applyBorder="0" applyAlignment="0" applyProtection="0"/>
    <xf numFmtId="0" fontId="1" fillId="80" borderId="0" applyNumberFormat="0" applyBorder="0" applyAlignment="0" applyProtection="0"/>
    <xf numFmtId="0" fontId="1" fillId="81" borderId="0" applyNumberFormat="0" applyBorder="0" applyAlignment="0" applyProtection="0"/>
    <xf numFmtId="0" fontId="1" fillId="58" borderId="104" applyNumberFormat="0" applyFont="0" applyAlignment="0" applyProtection="0"/>
    <xf numFmtId="0" fontId="1" fillId="58" borderId="104" applyNumberFormat="0" applyFont="0" applyAlignment="0" applyProtection="0"/>
    <xf numFmtId="0" fontId="1" fillId="60" borderId="0" applyNumberFormat="0" applyBorder="0" applyAlignment="0" applyProtection="0"/>
    <xf numFmtId="0" fontId="1" fillId="61" borderId="0" applyNumberFormat="0" applyBorder="0" applyAlignment="0" applyProtection="0"/>
    <xf numFmtId="0" fontId="1" fillId="64" borderId="0" applyNumberFormat="0" applyBorder="0" applyAlignment="0" applyProtection="0"/>
    <xf numFmtId="0" fontId="1" fillId="68" borderId="0" applyNumberFormat="0" applyBorder="0" applyAlignment="0" applyProtection="0"/>
    <xf numFmtId="0" fontId="1" fillId="69" borderId="0" applyNumberFormat="0" applyBorder="0" applyAlignment="0" applyProtection="0"/>
    <xf numFmtId="0" fontId="1" fillId="72" borderId="0" applyNumberFormat="0" applyBorder="0" applyAlignment="0" applyProtection="0"/>
    <xf numFmtId="0" fontId="1" fillId="73" borderId="0" applyNumberFormat="0" applyBorder="0" applyAlignment="0" applyProtection="0"/>
    <xf numFmtId="0" fontId="1" fillId="77" borderId="0" applyNumberFormat="0" applyBorder="0" applyAlignment="0" applyProtection="0"/>
    <xf numFmtId="0" fontId="1" fillId="80" borderId="0" applyNumberFormat="0" applyBorder="0" applyAlignment="0" applyProtection="0"/>
    <xf numFmtId="0" fontId="1" fillId="81" borderId="0" applyNumberFormat="0" applyBorder="0" applyAlignment="0" applyProtection="0"/>
    <xf numFmtId="0" fontId="1" fillId="60" borderId="0" applyNumberFormat="0" applyBorder="0" applyAlignment="0" applyProtection="0"/>
    <xf numFmtId="0" fontId="1" fillId="61" borderId="0" applyNumberFormat="0" applyBorder="0" applyAlignment="0" applyProtection="0"/>
    <xf numFmtId="0" fontId="1" fillId="64" borderId="0" applyNumberFormat="0" applyBorder="0" applyAlignment="0" applyProtection="0"/>
    <xf numFmtId="0" fontId="1" fillId="68" borderId="0" applyNumberFormat="0" applyBorder="0" applyAlignment="0" applyProtection="0"/>
    <xf numFmtId="0" fontId="1" fillId="69" borderId="0" applyNumberFormat="0" applyBorder="0" applyAlignment="0" applyProtection="0"/>
    <xf numFmtId="0" fontId="1" fillId="72" borderId="0" applyNumberFormat="0" applyBorder="0" applyAlignment="0" applyProtection="0"/>
    <xf numFmtId="0" fontId="1" fillId="73" borderId="0" applyNumberFormat="0" applyBorder="0" applyAlignment="0" applyProtection="0"/>
    <xf numFmtId="0" fontId="1" fillId="77" borderId="0" applyNumberFormat="0" applyBorder="0" applyAlignment="0" applyProtection="0"/>
    <xf numFmtId="0" fontId="1" fillId="80" borderId="0" applyNumberFormat="0" applyBorder="0" applyAlignment="0" applyProtection="0"/>
    <xf numFmtId="0" fontId="1" fillId="81" borderId="0" applyNumberFormat="0" applyBorder="0" applyAlignment="0" applyProtection="0"/>
    <xf numFmtId="0" fontId="1" fillId="58" borderId="104" applyNumberFormat="0" applyFont="0" applyAlignment="0" applyProtection="0"/>
    <xf numFmtId="0" fontId="1" fillId="60" borderId="0" applyNumberFormat="0" applyBorder="0" applyAlignment="0" applyProtection="0"/>
    <xf numFmtId="0" fontId="1" fillId="61" borderId="0" applyNumberFormat="0" applyBorder="0" applyAlignment="0" applyProtection="0"/>
    <xf numFmtId="0" fontId="1" fillId="64" borderId="0" applyNumberFormat="0" applyBorder="0" applyAlignment="0" applyProtection="0"/>
    <xf numFmtId="0" fontId="1" fillId="68" borderId="0" applyNumberFormat="0" applyBorder="0" applyAlignment="0" applyProtection="0"/>
    <xf numFmtId="0" fontId="1" fillId="69" borderId="0" applyNumberFormat="0" applyBorder="0" applyAlignment="0" applyProtection="0"/>
    <xf numFmtId="0" fontId="1" fillId="72" borderId="0" applyNumberFormat="0" applyBorder="0" applyAlignment="0" applyProtection="0"/>
    <xf numFmtId="0" fontId="1" fillId="73" borderId="0" applyNumberFormat="0" applyBorder="0" applyAlignment="0" applyProtection="0"/>
    <xf numFmtId="0" fontId="1" fillId="77" borderId="0" applyNumberFormat="0" applyBorder="0" applyAlignment="0" applyProtection="0"/>
    <xf numFmtId="0" fontId="1" fillId="80" borderId="0" applyNumberFormat="0" applyBorder="0" applyAlignment="0" applyProtection="0"/>
    <xf numFmtId="0" fontId="1" fillId="81" borderId="0" applyNumberFormat="0" applyBorder="0" applyAlignment="0" applyProtection="0"/>
    <xf numFmtId="0" fontId="1" fillId="58" borderId="104" applyNumberFormat="0" applyFont="0" applyAlignment="0" applyProtection="0"/>
    <xf numFmtId="0" fontId="1" fillId="58" borderId="104" applyNumberFormat="0" applyFont="0" applyAlignment="0" applyProtection="0"/>
    <xf numFmtId="0" fontId="1" fillId="60" borderId="0" applyNumberFormat="0" applyBorder="0" applyAlignment="0" applyProtection="0"/>
    <xf numFmtId="0" fontId="1" fillId="61" borderId="0" applyNumberFormat="0" applyBorder="0" applyAlignment="0" applyProtection="0"/>
    <xf numFmtId="0" fontId="1" fillId="64" borderId="0" applyNumberFormat="0" applyBorder="0" applyAlignment="0" applyProtection="0"/>
    <xf numFmtId="0" fontId="1" fillId="68" borderId="0" applyNumberFormat="0" applyBorder="0" applyAlignment="0" applyProtection="0"/>
    <xf numFmtId="0" fontId="1" fillId="69" borderId="0" applyNumberFormat="0" applyBorder="0" applyAlignment="0" applyProtection="0"/>
    <xf numFmtId="0" fontId="1" fillId="72" borderId="0" applyNumberFormat="0" applyBorder="0" applyAlignment="0" applyProtection="0"/>
    <xf numFmtId="0" fontId="1" fillId="73" borderId="0" applyNumberFormat="0" applyBorder="0" applyAlignment="0" applyProtection="0"/>
    <xf numFmtId="0" fontId="1" fillId="77" borderId="0" applyNumberFormat="0" applyBorder="0" applyAlignment="0" applyProtection="0"/>
    <xf numFmtId="0" fontId="1" fillId="80" borderId="0" applyNumberFormat="0" applyBorder="0" applyAlignment="0" applyProtection="0"/>
    <xf numFmtId="0" fontId="1" fillId="81" borderId="0" applyNumberFormat="0" applyBorder="0" applyAlignment="0" applyProtection="0"/>
    <xf numFmtId="0" fontId="1" fillId="60" borderId="0" applyNumberFormat="0" applyBorder="0" applyAlignment="0" applyProtection="0"/>
    <xf numFmtId="0" fontId="1" fillId="61" borderId="0" applyNumberFormat="0" applyBorder="0" applyAlignment="0" applyProtection="0"/>
    <xf numFmtId="0" fontId="1" fillId="64" borderId="0" applyNumberFormat="0" applyBorder="0" applyAlignment="0" applyProtection="0"/>
    <xf numFmtId="0" fontId="1" fillId="68" borderId="0" applyNumberFormat="0" applyBorder="0" applyAlignment="0" applyProtection="0"/>
    <xf numFmtId="0" fontId="1" fillId="69" borderId="0" applyNumberFormat="0" applyBorder="0" applyAlignment="0" applyProtection="0"/>
    <xf numFmtId="0" fontId="1" fillId="72" borderId="0" applyNumberFormat="0" applyBorder="0" applyAlignment="0" applyProtection="0"/>
    <xf numFmtId="0" fontId="1" fillId="73" borderId="0" applyNumberFormat="0" applyBorder="0" applyAlignment="0" applyProtection="0"/>
    <xf numFmtId="0" fontId="1" fillId="77" borderId="0" applyNumberFormat="0" applyBorder="0" applyAlignment="0" applyProtection="0"/>
    <xf numFmtId="0" fontId="1" fillId="80" borderId="0" applyNumberFormat="0" applyBorder="0" applyAlignment="0" applyProtection="0"/>
    <xf numFmtId="0" fontId="1" fillId="81" borderId="0" applyNumberFormat="0" applyBorder="0" applyAlignment="0" applyProtection="0"/>
    <xf numFmtId="0" fontId="1" fillId="58" borderId="104" applyNumberFormat="0" applyFont="0" applyAlignment="0" applyProtection="0"/>
    <xf numFmtId="0" fontId="1" fillId="60" borderId="0" applyNumberFormat="0" applyBorder="0" applyAlignment="0" applyProtection="0"/>
    <xf numFmtId="0" fontId="1" fillId="60" borderId="0" applyNumberFormat="0" applyBorder="0" applyAlignment="0" applyProtection="0"/>
    <xf numFmtId="0" fontId="1" fillId="60" borderId="0" applyNumberFormat="0" applyBorder="0" applyAlignment="0" applyProtection="0"/>
    <xf numFmtId="0" fontId="1" fillId="60" borderId="0" applyNumberFormat="0" applyBorder="0" applyAlignment="0" applyProtection="0"/>
    <xf numFmtId="0" fontId="1" fillId="60" borderId="0" applyNumberFormat="0" applyBorder="0" applyAlignment="0" applyProtection="0"/>
    <xf numFmtId="0" fontId="1" fillId="60" borderId="0" applyNumberFormat="0" applyBorder="0" applyAlignment="0" applyProtection="0"/>
    <xf numFmtId="0" fontId="1" fillId="60" borderId="0" applyNumberFormat="0" applyBorder="0" applyAlignment="0" applyProtection="0"/>
    <xf numFmtId="0" fontId="1" fillId="60" borderId="0" applyNumberFormat="0" applyBorder="0" applyAlignment="0" applyProtection="0"/>
    <xf numFmtId="0" fontId="1" fillId="60" borderId="0" applyNumberFormat="0" applyBorder="0" applyAlignment="0" applyProtection="0"/>
    <xf numFmtId="0" fontId="1" fillId="64" borderId="0" applyNumberFormat="0" applyBorder="0" applyAlignment="0" applyProtection="0"/>
    <xf numFmtId="0" fontId="1" fillId="64" borderId="0" applyNumberFormat="0" applyBorder="0" applyAlignment="0" applyProtection="0"/>
    <xf numFmtId="0" fontId="1" fillId="64" borderId="0" applyNumberFormat="0" applyBorder="0" applyAlignment="0" applyProtection="0"/>
    <xf numFmtId="0" fontId="1" fillId="64" borderId="0" applyNumberFormat="0" applyBorder="0" applyAlignment="0" applyProtection="0"/>
    <xf numFmtId="0" fontId="1" fillId="64" borderId="0" applyNumberFormat="0" applyBorder="0" applyAlignment="0" applyProtection="0"/>
    <xf numFmtId="0" fontId="1" fillId="64" borderId="0" applyNumberFormat="0" applyBorder="0" applyAlignment="0" applyProtection="0"/>
    <xf numFmtId="0" fontId="1" fillId="64" borderId="0" applyNumberFormat="0" applyBorder="0" applyAlignment="0" applyProtection="0"/>
    <xf numFmtId="0" fontId="1" fillId="64" borderId="0" applyNumberFormat="0" applyBorder="0" applyAlignment="0" applyProtection="0"/>
    <xf numFmtId="0" fontId="1" fillId="64" borderId="0" applyNumberFormat="0" applyBorder="0" applyAlignment="0" applyProtection="0"/>
    <xf numFmtId="0" fontId="1" fillId="68" borderId="0" applyNumberFormat="0" applyBorder="0" applyAlignment="0" applyProtection="0"/>
    <xf numFmtId="0" fontId="1" fillId="68" borderId="0" applyNumberFormat="0" applyBorder="0" applyAlignment="0" applyProtection="0"/>
    <xf numFmtId="0" fontId="1" fillId="68" borderId="0" applyNumberFormat="0" applyBorder="0" applyAlignment="0" applyProtection="0"/>
    <xf numFmtId="0" fontId="1" fillId="68" borderId="0" applyNumberFormat="0" applyBorder="0" applyAlignment="0" applyProtection="0"/>
    <xf numFmtId="0" fontId="1" fillId="68" borderId="0" applyNumberFormat="0" applyBorder="0" applyAlignment="0" applyProtection="0"/>
    <xf numFmtId="0" fontId="1" fillId="68" borderId="0" applyNumberFormat="0" applyBorder="0" applyAlignment="0" applyProtection="0"/>
    <xf numFmtId="0" fontId="1" fillId="68" borderId="0" applyNumberFormat="0" applyBorder="0" applyAlignment="0" applyProtection="0"/>
    <xf numFmtId="0" fontId="1" fillId="68" borderId="0" applyNumberFormat="0" applyBorder="0" applyAlignment="0" applyProtection="0"/>
    <xf numFmtId="0" fontId="1" fillId="68" borderId="0" applyNumberFormat="0" applyBorder="0" applyAlignment="0" applyProtection="0"/>
    <xf numFmtId="0" fontId="1" fillId="72" borderId="0" applyNumberFormat="0" applyBorder="0" applyAlignment="0" applyProtection="0"/>
    <xf numFmtId="0" fontId="1" fillId="72" borderId="0" applyNumberFormat="0" applyBorder="0" applyAlignment="0" applyProtection="0"/>
    <xf numFmtId="0" fontId="1" fillId="72" borderId="0" applyNumberFormat="0" applyBorder="0" applyAlignment="0" applyProtection="0"/>
    <xf numFmtId="0" fontId="1" fillId="72" borderId="0" applyNumberFormat="0" applyBorder="0" applyAlignment="0" applyProtection="0"/>
    <xf numFmtId="0" fontId="1" fillId="72" borderId="0" applyNumberFormat="0" applyBorder="0" applyAlignment="0" applyProtection="0"/>
    <xf numFmtId="0" fontId="1" fillId="72" borderId="0" applyNumberFormat="0" applyBorder="0" applyAlignment="0" applyProtection="0"/>
    <xf numFmtId="0" fontId="1" fillId="72" borderId="0" applyNumberFormat="0" applyBorder="0" applyAlignment="0" applyProtection="0"/>
    <xf numFmtId="0" fontId="1" fillId="72" borderId="0" applyNumberFormat="0" applyBorder="0" applyAlignment="0" applyProtection="0"/>
    <xf numFmtId="0" fontId="1" fillId="72" borderId="0" applyNumberFormat="0" applyBorder="0" applyAlignment="0" applyProtection="0"/>
    <xf numFmtId="0" fontId="1" fillId="80" borderId="0" applyNumberFormat="0" applyBorder="0" applyAlignment="0" applyProtection="0"/>
    <xf numFmtId="0" fontId="1" fillId="80" borderId="0" applyNumberFormat="0" applyBorder="0" applyAlignment="0" applyProtection="0"/>
    <xf numFmtId="0" fontId="1" fillId="80" borderId="0" applyNumberFormat="0" applyBorder="0" applyAlignment="0" applyProtection="0"/>
    <xf numFmtId="0" fontId="1" fillId="80" borderId="0" applyNumberFormat="0" applyBorder="0" applyAlignment="0" applyProtection="0"/>
    <xf numFmtId="0" fontId="1" fillId="80" borderId="0" applyNumberFormat="0" applyBorder="0" applyAlignment="0" applyProtection="0"/>
    <xf numFmtId="0" fontId="1" fillId="80" borderId="0" applyNumberFormat="0" applyBorder="0" applyAlignment="0" applyProtection="0"/>
    <xf numFmtId="0" fontId="1" fillId="80" borderId="0" applyNumberFormat="0" applyBorder="0" applyAlignment="0" applyProtection="0"/>
    <xf numFmtId="0" fontId="1" fillId="80" borderId="0" applyNumberFormat="0" applyBorder="0" applyAlignment="0" applyProtection="0"/>
    <xf numFmtId="0" fontId="1" fillId="80" borderId="0" applyNumberFormat="0" applyBorder="0" applyAlignment="0" applyProtection="0"/>
    <xf numFmtId="0" fontId="1" fillId="61" borderId="0" applyNumberFormat="0" applyBorder="0" applyAlignment="0" applyProtection="0"/>
    <xf numFmtId="0" fontId="1" fillId="61" borderId="0" applyNumberFormat="0" applyBorder="0" applyAlignment="0" applyProtection="0"/>
    <xf numFmtId="0" fontId="1" fillId="61" borderId="0" applyNumberFormat="0" applyBorder="0" applyAlignment="0" applyProtection="0"/>
    <xf numFmtId="0" fontId="1" fillId="61" borderId="0" applyNumberFormat="0" applyBorder="0" applyAlignment="0" applyProtection="0"/>
    <xf numFmtId="0" fontId="1" fillId="61" borderId="0" applyNumberFormat="0" applyBorder="0" applyAlignment="0" applyProtection="0"/>
    <xf numFmtId="0" fontId="1" fillId="61" borderId="0" applyNumberFormat="0" applyBorder="0" applyAlignment="0" applyProtection="0"/>
    <xf numFmtId="0" fontId="1" fillId="61" borderId="0" applyNumberFormat="0" applyBorder="0" applyAlignment="0" applyProtection="0"/>
    <xf numFmtId="0" fontId="1" fillId="61" borderId="0" applyNumberFormat="0" applyBorder="0" applyAlignment="0" applyProtection="0"/>
    <xf numFmtId="0" fontId="1" fillId="61" borderId="0" applyNumberFormat="0" applyBorder="0" applyAlignment="0" applyProtection="0"/>
    <xf numFmtId="0" fontId="1" fillId="69" borderId="0" applyNumberFormat="0" applyBorder="0" applyAlignment="0" applyProtection="0"/>
    <xf numFmtId="0" fontId="1" fillId="69" borderId="0" applyNumberFormat="0" applyBorder="0" applyAlignment="0" applyProtection="0"/>
    <xf numFmtId="0" fontId="1" fillId="69" borderId="0" applyNumberFormat="0" applyBorder="0" applyAlignment="0" applyProtection="0"/>
    <xf numFmtId="0" fontId="1" fillId="69" borderId="0" applyNumberFormat="0" applyBorder="0" applyAlignment="0" applyProtection="0"/>
    <xf numFmtId="0" fontId="1" fillId="69" borderId="0" applyNumberFormat="0" applyBorder="0" applyAlignment="0" applyProtection="0"/>
    <xf numFmtId="0" fontId="1" fillId="69" borderId="0" applyNumberFormat="0" applyBorder="0" applyAlignment="0" applyProtection="0"/>
    <xf numFmtId="0" fontId="1" fillId="69" borderId="0" applyNumberFormat="0" applyBorder="0" applyAlignment="0" applyProtection="0"/>
    <xf numFmtId="0" fontId="1" fillId="69" borderId="0" applyNumberFormat="0" applyBorder="0" applyAlignment="0" applyProtection="0"/>
    <xf numFmtId="0" fontId="1" fillId="69" borderId="0" applyNumberFormat="0" applyBorder="0" applyAlignment="0" applyProtection="0"/>
    <xf numFmtId="0" fontId="1" fillId="73" borderId="0" applyNumberFormat="0" applyBorder="0" applyAlignment="0" applyProtection="0"/>
    <xf numFmtId="0" fontId="1" fillId="73" borderId="0" applyNumberFormat="0" applyBorder="0" applyAlignment="0" applyProtection="0"/>
    <xf numFmtId="0" fontId="1" fillId="73" borderId="0" applyNumberFormat="0" applyBorder="0" applyAlignment="0" applyProtection="0"/>
    <xf numFmtId="0" fontId="1" fillId="73" borderId="0" applyNumberFormat="0" applyBorder="0" applyAlignment="0" applyProtection="0"/>
    <xf numFmtId="0" fontId="1" fillId="73" borderId="0" applyNumberFormat="0" applyBorder="0" applyAlignment="0" applyProtection="0"/>
    <xf numFmtId="0" fontId="1" fillId="73" borderId="0" applyNumberFormat="0" applyBorder="0" applyAlignment="0" applyProtection="0"/>
    <xf numFmtId="0" fontId="1" fillId="73" borderId="0" applyNumberFormat="0" applyBorder="0" applyAlignment="0" applyProtection="0"/>
    <xf numFmtId="0" fontId="1" fillId="73" borderId="0" applyNumberFormat="0" applyBorder="0" applyAlignment="0" applyProtection="0"/>
    <xf numFmtId="0" fontId="1" fillId="73" borderId="0" applyNumberFormat="0" applyBorder="0" applyAlignment="0" applyProtection="0"/>
    <xf numFmtId="0" fontId="1" fillId="77" borderId="0" applyNumberFormat="0" applyBorder="0" applyAlignment="0" applyProtection="0"/>
    <xf numFmtId="0" fontId="1" fillId="77" borderId="0" applyNumberFormat="0" applyBorder="0" applyAlignment="0" applyProtection="0"/>
    <xf numFmtId="0" fontId="1" fillId="77" borderId="0" applyNumberFormat="0" applyBorder="0" applyAlignment="0" applyProtection="0"/>
    <xf numFmtId="0" fontId="1" fillId="77" borderId="0" applyNumberFormat="0" applyBorder="0" applyAlignment="0" applyProtection="0"/>
    <xf numFmtId="0" fontId="1" fillId="77" borderId="0" applyNumberFormat="0" applyBorder="0" applyAlignment="0" applyProtection="0"/>
    <xf numFmtId="0" fontId="1" fillId="77" borderId="0" applyNumberFormat="0" applyBorder="0" applyAlignment="0" applyProtection="0"/>
    <xf numFmtId="0" fontId="1" fillId="77" borderId="0" applyNumberFormat="0" applyBorder="0" applyAlignment="0" applyProtection="0"/>
    <xf numFmtId="0" fontId="1" fillId="77" borderId="0" applyNumberFormat="0" applyBorder="0" applyAlignment="0" applyProtection="0"/>
    <xf numFmtId="0" fontId="1" fillId="77" borderId="0" applyNumberFormat="0" applyBorder="0" applyAlignment="0" applyProtection="0"/>
    <xf numFmtId="0" fontId="1" fillId="81" borderId="0" applyNumberFormat="0" applyBorder="0" applyAlignment="0" applyProtection="0"/>
    <xf numFmtId="0" fontId="1" fillId="81" borderId="0" applyNumberFormat="0" applyBorder="0" applyAlignment="0" applyProtection="0"/>
    <xf numFmtId="0" fontId="1" fillId="81" borderId="0" applyNumberFormat="0" applyBorder="0" applyAlignment="0" applyProtection="0"/>
    <xf numFmtId="0" fontId="1" fillId="81" borderId="0" applyNumberFormat="0" applyBorder="0" applyAlignment="0" applyProtection="0"/>
    <xf numFmtId="0" fontId="1" fillId="81" borderId="0" applyNumberFormat="0" applyBorder="0" applyAlignment="0" applyProtection="0"/>
    <xf numFmtId="0" fontId="1" fillId="81" borderId="0" applyNumberFormat="0" applyBorder="0" applyAlignment="0" applyProtection="0"/>
    <xf numFmtId="0" fontId="1" fillId="81" borderId="0" applyNumberFormat="0" applyBorder="0" applyAlignment="0" applyProtection="0"/>
    <xf numFmtId="0" fontId="1" fillId="81" borderId="0" applyNumberFormat="0" applyBorder="0" applyAlignment="0" applyProtection="0"/>
    <xf numFmtId="0" fontId="1" fillId="81" borderId="0" applyNumberFormat="0" applyBorder="0" applyAlignment="0" applyProtection="0"/>
    <xf numFmtId="0" fontId="1" fillId="58" borderId="104" applyNumberFormat="0" applyFont="0" applyAlignment="0" applyProtection="0"/>
    <xf numFmtId="0" fontId="1" fillId="58" borderId="104" applyNumberFormat="0" applyFont="0" applyAlignment="0" applyProtection="0"/>
    <xf numFmtId="0" fontId="1" fillId="58" borderId="104" applyNumberFormat="0" applyFont="0" applyAlignment="0" applyProtection="0"/>
    <xf numFmtId="0" fontId="1" fillId="58" borderId="104" applyNumberFormat="0" applyFont="0" applyAlignment="0" applyProtection="0"/>
    <xf numFmtId="0" fontId="1" fillId="58" borderId="104" applyNumberFormat="0" applyFont="0" applyAlignment="0" applyProtection="0"/>
    <xf numFmtId="0" fontId="1" fillId="58" borderId="104" applyNumberFormat="0" applyFont="0" applyAlignment="0" applyProtection="0"/>
    <xf numFmtId="0" fontId="1" fillId="58" borderId="104" applyNumberFormat="0" applyFont="0" applyAlignment="0" applyProtection="0"/>
    <xf numFmtId="0" fontId="1" fillId="58" borderId="104" applyNumberFormat="0" applyFont="0" applyAlignment="0" applyProtection="0"/>
    <xf numFmtId="0" fontId="1" fillId="58" borderId="104" applyNumberFormat="0" applyFont="0" applyAlignment="0" applyProtection="0"/>
    <xf numFmtId="165" fontId="1" fillId="0" borderId="0" applyFont="0" applyFill="0" applyBorder="0" applyAlignment="0" applyProtection="0"/>
    <xf numFmtId="0" fontId="1" fillId="0" borderId="0"/>
    <xf numFmtId="0" fontId="1" fillId="6" borderId="0" applyNumberFormat="0" applyBorder="0" applyAlignment="0" applyProtection="0"/>
    <xf numFmtId="0" fontId="1" fillId="9" borderId="0" applyNumberFormat="0" applyBorder="0" applyAlignment="0" applyProtection="0"/>
    <xf numFmtId="0" fontId="1" fillId="26" borderId="0" applyNumberFormat="0" applyBorder="0" applyAlignment="0" applyProtection="0"/>
    <xf numFmtId="0" fontId="1" fillId="9" borderId="0" applyNumberFormat="0" applyBorder="0" applyAlignment="0" applyProtection="0"/>
    <xf numFmtId="0" fontId="1" fillId="6" borderId="0" applyNumberFormat="0" applyBorder="0" applyAlignment="0" applyProtection="0"/>
    <xf numFmtId="0" fontId="1" fillId="26" borderId="0" applyNumberFormat="0" applyBorder="0" applyAlignment="0" applyProtection="0"/>
    <xf numFmtId="0" fontId="1" fillId="9" borderId="0" applyNumberFormat="0" applyBorder="0" applyAlignment="0" applyProtection="0"/>
    <xf numFmtId="0" fontId="1" fillId="58" borderId="104" applyNumberFormat="0" applyFont="0" applyAlignment="0" applyProtection="0"/>
    <xf numFmtId="0" fontId="1" fillId="23" borderId="0" applyNumberFormat="0" applyBorder="0" applyAlignment="0" applyProtection="0"/>
    <xf numFmtId="0" fontId="1" fillId="23"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58" borderId="104" applyNumberFormat="0" applyFont="0" applyAlignment="0" applyProtection="0"/>
    <xf numFmtId="0" fontId="1" fillId="6" borderId="0" applyNumberFormat="0" applyBorder="0" applyAlignment="0" applyProtection="0"/>
    <xf numFmtId="0" fontId="1" fillId="9" borderId="0" applyNumberFormat="0" applyBorder="0" applyAlignment="0" applyProtection="0"/>
    <xf numFmtId="0" fontId="1" fillId="6" borderId="0" applyNumberFormat="0" applyBorder="0" applyAlignment="0" applyProtection="0"/>
    <xf numFmtId="0" fontId="1" fillId="60" borderId="0" applyNumberFormat="0" applyBorder="0" applyAlignment="0" applyProtection="0"/>
    <xf numFmtId="0" fontId="1" fillId="61" borderId="0" applyNumberFormat="0" applyBorder="0" applyAlignment="0" applyProtection="0"/>
    <xf numFmtId="0" fontId="1" fillId="3" borderId="0" applyNumberFormat="0" applyBorder="0" applyAlignment="0" applyProtection="0"/>
    <xf numFmtId="0" fontId="1" fillId="64" borderId="0" applyNumberFormat="0" applyBorder="0" applyAlignment="0" applyProtection="0"/>
    <xf numFmtId="0" fontId="1" fillId="65" borderId="0" applyNumberFormat="0" applyBorder="0" applyAlignment="0" applyProtection="0"/>
    <xf numFmtId="0" fontId="1" fillId="68" borderId="0" applyNumberFormat="0" applyBorder="0" applyAlignment="0" applyProtection="0"/>
    <xf numFmtId="0" fontId="1" fillId="69" borderId="0" applyNumberFormat="0" applyBorder="0" applyAlignment="0" applyProtection="0"/>
    <xf numFmtId="0" fontId="1" fillId="26" borderId="0" applyNumberFormat="0" applyBorder="0" applyAlignment="0" applyProtection="0"/>
    <xf numFmtId="0" fontId="1" fillId="72" borderId="0" applyNumberFormat="0" applyBorder="0" applyAlignment="0" applyProtection="0"/>
    <xf numFmtId="0" fontId="1" fillId="73" borderId="0" applyNumberFormat="0" applyBorder="0" applyAlignment="0" applyProtection="0"/>
    <xf numFmtId="0" fontId="1" fillId="9" borderId="0" applyNumberFormat="0" applyBorder="0" applyAlignment="0" applyProtection="0"/>
    <xf numFmtId="0" fontId="1" fillId="76" borderId="0" applyNumberFormat="0" applyBorder="0" applyAlignment="0" applyProtection="0"/>
    <xf numFmtId="0" fontId="1" fillId="77" borderId="0" applyNumberFormat="0" applyBorder="0" applyAlignment="0" applyProtection="0"/>
    <xf numFmtId="0" fontId="1" fillId="6" borderId="0" applyNumberFormat="0" applyBorder="0" applyAlignment="0" applyProtection="0"/>
    <xf numFmtId="0" fontId="1" fillId="80" borderId="0" applyNumberFormat="0" applyBorder="0" applyAlignment="0" applyProtection="0"/>
    <xf numFmtId="0" fontId="1" fillId="81" borderId="0" applyNumberFormat="0" applyBorder="0" applyAlignment="0" applyProtection="0"/>
    <xf numFmtId="0" fontId="1" fillId="58" borderId="104" applyNumberFormat="0" applyFont="0" applyAlignment="0" applyProtection="0"/>
    <xf numFmtId="0" fontId="1" fillId="58" borderId="104" applyNumberFormat="0" applyFont="0" applyAlignment="0" applyProtection="0"/>
    <xf numFmtId="0" fontId="1" fillId="60" borderId="0" applyNumberFormat="0" applyBorder="0" applyAlignment="0" applyProtection="0"/>
    <xf numFmtId="0" fontId="1" fillId="61" borderId="0" applyNumberFormat="0" applyBorder="0" applyAlignment="0" applyProtection="0"/>
    <xf numFmtId="0" fontId="1" fillId="64" borderId="0" applyNumberFormat="0" applyBorder="0" applyAlignment="0" applyProtection="0"/>
    <xf numFmtId="0" fontId="1" fillId="65" borderId="0" applyNumberFormat="0" applyBorder="0" applyAlignment="0" applyProtection="0"/>
    <xf numFmtId="0" fontId="1" fillId="68" borderId="0" applyNumberFormat="0" applyBorder="0" applyAlignment="0" applyProtection="0"/>
    <xf numFmtId="0" fontId="1" fillId="69" borderId="0" applyNumberFormat="0" applyBorder="0" applyAlignment="0" applyProtection="0"/>
    <xf numFmtId="0" fontId="1" fillId="72" borderId="0" applyNumberFormat="0" applyBorder="0" applyAlignment="0" applyProtection="0"/>
    <xf numFmtId="0" fontId="1" fillId="73" borderId="0" applyNumberFormat="0" applyBorder="0" applyAlignment="0" applyProtection="0"/>
    <xf numFmtId="0" fontId="1" fillId="76" borderId="0" applyNumberFormat="0" applyBorder="0" applyAlignment="0" applyProtection="0"/>
    <xf numFmtId="0" fontId="1" fillId="77" borderId="0" applyNumberFormat="0" applyBorder="0" applyAlignment="0" applyProtection="0"/>
    <xf numFmtId="0" fontId="1" fillId="80" borderId="0" applyNumberFormat="0" applyBorder="0" applyAlignment="0" applyProtection="0"/>
    <xf numFmtId="0" fontId="1" fillId="81" borderId="0" applyNumberFormat="0" applyBorder="0" applyAlignment="0" applyProtection="0"/>
    <xf numFmtId="0" fontId="1" fillId="6" borderId="0" applyNumberFormat="0" applyBorder="0" applyAlignment="0" applyProtection="0"/>
    <xf numFmtId="0" fontId="1" fillId="60" borderId="0" applyNumberFormat="0" applyBorder="0" applyAlignment="0" applyProtection="0"/>
    <xf numFmtId="0" fontId="1" fillId="61" borderId="0" applyNumberFormat="0" applyBorder="0" applyAlignment="0" applyProtection="0"/>
    <xf numFmtId="0" fontId="1" fillId="64" borderId="0" applyNumberFormat="0" applyBorder="0" applyAlignment="0" applyProtection="0"/>
    <xf numFmtId="0" fontId="1" fillId="65" borderId="0" applyNumberFormat="0" applyBorder="0" applyAlignment="0" applyProtection="0"/>
    <xf numFmtId="0" fontId="1" fillId="68" borderId="0" applyNumberFormat="0" applyBorder="0" applyAlignment="0" applyProtection="0"/>
    <xf numFmtId="0" fontId="1" fillId="69" borderId="0" applyNumberFormat="0" applyBorder="0" applyAlignment="0" applyProtection="0"/>
    <xf numFmtId="0" fontId="1" fillId="72" borderId="0" applyNumberFormat="0" applyBorder="0" applyAlignment="0" applyProtection="0"/>
    <xf numFmtId="0" fontId="1" fillId="73" borderId="0" applyNumberFormat="0" applyBorder="0" applyAlignment="0" applyProtection="0"/>
    <xf numFmtId="0" fontId="1" fillId="76" borderId="0" applyNumberFormat="0" applyBorder="0" applyAlignment="0" applyProtection="0"/>
    <xf numFmtId="0" fontId="1" fillId="77" borderId="0" applyNumberFormat="0" applyBorder="0" applyAlignment="0" applyProtection="0"/>
    <xf numFmtId="0" fontId="1" fillId="80" borderId="0" applyNumberFormat="0" applyBorder="0" applyAlignment="0" applyProtection="0"/>
    <xf numFmtId="0" fontId="1" fillId="81" borderId="0" applyNumberFormat="0" applyBorder="0" applyAlignment="0" applyProtection="0"/>
    <xf numFmtId="0" fontId="1" fillId="58" borderId="104" applyNumberFormat="0" applyFont="0" applyAlignment="0" applyProtection="0"/>
    <xf numFmtId="0" fontId="1" fillId="26" borderId="0" applyNumberFormat="0" applyBorder="0" applyAlignment="0" applyProtection="0"/>
    <xf numFmtId="0" fontId="1" fillId="60" borderId="0" applyNumberFormat="0" applyBorder="0" applyAlignment="0" applyProtection="0"/>
    <xf numFmtId="0" fontId="1" fillId="61" borderId="0" applyNumberFormat="0" applyBorder="0" applyAlignment="0" applyProtection="0"/>
    <xf numFmtId="0" fontId="1" fillId="64" borderId="0" applyNumberFormat="0" applyBorder="0" applyAlignment="0" applyProtection="0"/>
    <xf numFmtId="0" fontId="1" fillId="65" borderId="0" applyNumberFormat="0" applyBorder="0" applyAlignment="0" applyProtection="0"/>
    <xf numFmtId="0" fontId="1" fillId="68" borderId="0" applyNumberFormat="0" applyBorder="0" applyAlignment="0" applyProtection="0"/>
    <xf numFmtId="0" fontId="1" fillId="69" borderId="0" applyNumberFormat="0" applyBorder="0" applyAlignment="0" applyProtection="0"/>
    <xf numFmtId="0" fontId="1" fillId="72" borderId="0" applyNumberFormat="0" applyBorder="0" applyAlignment="0" applyProtection="0"/>
    <xf numFmtId="0" fontId="1" fillId="73" borderId="0" applyNumberFormat="0" applyBorder="0" applyAlignment="0" applyProtection="0"/>
    <xf numFmtId="0" fontId="1" fillId="76" borderId="0" applyNumberFormat="0" applyBorder="0" applyAlignment="0" applyProtection="0"/>
    <xf numFmtId="0" fontId="1" fillId="77" borderId="0" applyNumberFormat="0" applyBorder="0" applyAlignment="0" applyProtection="0"/>
    <xf numFmtId="0" fontId="1" fillId="80" borderId="0" applyNumberFormat="0" applyBorder="0" applyAlignment="0" applyProtection="0"/>
    <xf numFmtId="0" fontId="1" fillId="81" borderId="0" applyNumberFormat="0" applyBorder="0" applyAlignment="0" applyProtection="0"/>
    <xf numFmtId="0" fontId="1" fillId="58" borderId="104" applyNumberFormat="0" applyFont="0" applyAlignment="0" applyProtection="0"/>
    <xf numFmtId="0" fontId="1" fillId="58" borderId="104" applyNumberFormat="0" applyFont="0" applyAlignment="0" applyProtection="0"/>
    <xf numFmtId="0" fontId="1" fillId="60" borderId="0" applyNumberFormat="0" applyBorder="0" applyAlignment="0" applyProtection="0"/>
    <xf numFmtId="0" fontId="1" fillId="61" borderId="0" applyNumberFormat="0" applyBorder="0" applyAlignment="0" applyProtection="0"/>
    <xf numFmtId="0" fontId="1" fillId="64" borderId="0" applyNumberFormat="0" applyBorder="0" applyAlignment="0" applyProtection="0"/>
    <xf numFmtId="0" fontId="1" fillId="65" borderId="0" applyNumberFormat="0" applyBorder="0" applyAlignment="0" applyProtection="0"/>
    <xf numFmtId="0" fontId="1" fillId="68" borderId="0" applyNumberFormat="0" applyBorder="0" applyAlignment="0" applyProtection="0"/>
    <xf numFmtId="0" fontId="1" fillId="69" borderId="0" applyNumberFormat="0" applyBorder="0" applyAlignment="0" applyProtection="0"/>
    <xf numFmtId="0" fontId="1" fillId="72" borderId="0" applyNumberFormat="0" applyBorder="0" applyAlignment="0" applyProtection="0"/>
    <xf numFmtId="0" fontId="1" fillId="73" borderId="0" applyNumberFormat="0" applyBorder="0" applyAlignment="0" applyProtection="0"/>
    <xf numFmtId="0" fontId="1" fillId="76" borderId="0" applyNumberFormat="0" applyBorder="0" applyAlignment="0" applyProtection="0"/>
    <xf numFmtId="0" fontId="1" fillId="77" borderId="0" applyNumberFormat="0" applyBorder="0" applyAlignment="0" applyProtection="0"/>
    <xf numFmtId="0" fontId="1" fillId="80" borderId="0" applyNumberFormat="0" applyBorder="0" applyAlignment="0" applyProtection="0"/>
    <xf numFmtId="0" fontId="1" fillId="81" borderId="0" applyNumberFormat="0" applyBorder="0" applyAlignment="0" applyProtection="0"/>
    <xf numFmtId="0" fontId="1" fillId="60" borderId="0" applyNumberFormat="0" applyBorder="0" applyAlignment="0" applyProtection="0"/>
    <xf numFmtId="0" fontId="1" fillId="61" borderId="0" applyNumberFormat="0" applyBorder="0" applyAlignment="0" applyProtection="0"/>
    <xf numFmtId="0" fontId="1" fillId="64" borderId="0" applyNumberFormat="0" applyBorder="0" applyAlignment="0" applyProtection="0"/>
    <xf numFmtId="0" fontId="1" fillId="65" borderId="0" applyNumberFormat="0" applyBorder="0" applyAlignment="0" applyProtection="0"/>
    <xf numFmtId="0" fontId="1" fillId="68" borderId="0" applyNumberFormat="0" applyBorder="0" applyAlignment="0" applyProtection="0"/>
    <xf numFmtId="0" fontId="1" fillId="69" borderId="0" applyNumberFormat="0" applyBorder="0" applyAlignment="0" applyProtection="0"/>
    <xf numFmtId="0" fontId="1" fillId="72" borderId="0" applyNumberFormat="0" applyBorder="0" applyAlignment="0" applyProtection="0"/>
    <xf numFmtId="0" fontId="1" fillId="73" borderId="0" applyNumberFormat="0" applyBorder="0" applyAlignment="0" applyProtection="0"/>
    <xf numFmtId="0" fontId="1" fillId="76" borderId="0" applyNumberFormat="0" applyBorder="0" applyAlignment="0" applyProtection="0"/>
    <xf numFmtId="0" fontId="1" fillId="77" borderId="0" applyNumberFormat="0" applyBorder="0" applyAlignment="0" applyProtection="0"/>
    <xf numFmtId="0" fontId="1" fillId="80" borderId="0" applyNumberFormat="0" applyBorder="0" applyAlignment="0" applyProtection="0"/>
    <xf numFmtId="0" fontId="1" fillId="81" borderId="0" applyNumberFormat="0" applyBorder="0" applyAlignment="0" applyProtection="0"/>
    <xf numFmtId="0" fontId="1" fillId="58" borderId="104" applyNumberFormat="0" applyFont="0" applyAlignment="0" applyProtection="0"/>
    <xf numFmtId="0" fontId="1" fillId="60" borderId="0" applyNumberFormat="0" applyBorder="0" applyAlignment="0" applyProtection="0"/>
    <xf numFmtId="0" fontId="1" fillId="61" borderId="0" applyNumberFormat="0" applyBorder="0" applyAlignment="0" applyProtection="0"/>
    <xf numFmtId="0" fontId="1" fillId="64" borderId="0" applyNumberFormat="0" applyBorder="0" applyAlignment="0" applyProtection="0"/>
    <xf numFmtId="0" fontId="1" fillId="65" borderId="0" applyNumberFormat="0" applyBorder="0" applyAlignment="0" applyProtection="0"/>
    <xf numFmtId="0" fontId="1" fillId="68" borderId="0" applyNumberFormat="0" applyBorder="0" applyAlignment="0" applyProtection="0"/>
    <xf numFmtId="0" fontId="1" fillId="69" borderId="0" applyNumberFormat="0" applyBorder="0" applyAlignment="0" applyProtection="0"/>
    <xf numFmtId="0" fontId="1" fillId="72" borderId="0" applyNumberFormat="0" applyBorder="0" applyAlignment="0" applyProtection="0"/>
    <xf numFmtId="0" fontId="1" fillId="73" borderId="0" applyNumberFormat="0" applyBorder="0" applyAlignment="0" applyProtection="0"/>
    <xf numFmtId="0" fontId="1" fillId="76" borderId="0" applyNumberFormat="0" applyBorder="0" applyAlignment="0" applyProtection="0"/>
    <xf numFmtId="0" fontId="1" fillId="77" borderId="0" applyNumberFormat="0" applyBorder="0" applyAlignment="0" applyProtection="0"/>
    <xf numFmtId="0" fontId="1" fillId="80" borderId="0" applyNumberFormat="0" applyBorder="0" applyAlignment="0" applyProtection="0"/>
    <xf numFmtId="0" fontId="1" fillId="81" borderId="0" applyNumberFormat="0" applyBorder="0" applyAlignment="0" applyProtection="0"/>
    <xf numFmtId="0" fontId="1" fillId="58" borderId="104" applyNumberFormat="0" applyFont="0" applyAlignment="0" applyProtection="0"/>
    <xf numFmtId="0" fontId="1" fillId="58" borderId="104" applyNumberFormat="0" applyFont="0" applyAlignment="0" applyProtection="0"/>
    <xf numFmtId="0" fontId="1" fillId="60" borderId="0" applyNumberFormat="0" applyBorder="0" applyAlignment="0" applyProtection="0"/>
    <xf numFmtId="0" fontId="1" fillId="61" borderId="0" applyNumberFormat="0" applyBorder="0" applyAlignment="0" applyProtection="0"/>
    <xf numFmtId="0" fontId="1" fillId="64" borderId="0" applyNumberFormat="0" applyBorder="0" applyAlignment="0" applyProtection="0"/>
    <xf numFmtId="0" fontId="1" fillId="65" borderId="0" applyNumberFormat="0" applyBorder="0" applyAlignment="0" applyProtection="0"/>
    <xf numFmtId="0" fontId="1" fillId="68" borderId="0" applyNumberFormat="0" applyBorder="0" applyAlignment="0" applyProtection="0"/>
    <xf numFmtId="0" fontId="1" fillId="69" borderId="0" applyNumberFormat="0" applyBorder="0" applyAlignment="0" applyProtection="0"/>
    <xf numFmtId="0" fontId="1" fillId="72" borderId="0" applyNumberFormat="0" applyBorder="0" applyAlignment="0" applyProtection="0"/>
    <xf numFmtId="0" fontId="1" fillId="73" borderId="0" applyNumberFormat="0" applyBorder="0" applyAlignment="0" applyProtection="0"/>
    <xf numFmtId="0" fontId="1" fillId="76" borderId="0" applyNumberFormat="0" applyBorder="0" applyAlignment="0" applyProtection="0"/>
    <xf numFmtId="0" fontId="1" fillId="77" borderId="0" applyNumberFormat="0" applyBorder="0" applyAlignment="0" applyProtection="0"/>
    <xf numFmtId="0" fontId="1" fillId="80" borderId="0" applyNumberFormat="0" applyBorder="0" applyAlignment="0" applyProtection="0"/>
    <xf numFmtId="0" fontId="1" fillId="81" borderId="0" applyNumberFormat="0" applyBorder="0" applyAlignment="0" applyProtection="0"/>
    <xf numFmtId="0" fontId="1" fillId="60" borderId="0" applyNumberFormat="0" applyBorder="0" applyAlignment="0" applyProtection="0"/>
    <xf numFmtId="0" fontId="1" fillId="61" borderId="0" applyNumberFormat="0" applyBorder="0" applyAlignment="0" applyProtection="0"/>
    <xf numFmtId="0" fontId="1" fillId="64" borderId="0" applyNumberFormat="0" applyBorder="0" applyAlignment="0" applyProtection="0"/>
    <xf numFmtId="0" fontId="1" fillId="65" borderId="0" applyNumberFormat="0" applyBorder="0" applyAlignment="0" applyProtection="0"/>
    <xf numFmtId="0" fontId="1" fillId="68" borderId="0" applyNumberFormat="0" applyBorder="0" applyAlignment="0" applyProtection="0"/>
    <xf numFmtId="0" fontId="1" fillId="69" borderId="0" applyNumberFormat="0" applyBorder="0" applyAlignment="0" applyProtection="0"/>
    <xf numFmtId="0" fontId="1" fillId="72" borderId="0" applyNumberFormat="0" applyBorder="0" applyAlignment="0" applyProtection="0"/>
    <xf numFmtId="0" fontId="1" fillId="73" borderId="0" applyNumberFormat="0" applyBorder="0" applyAlignment="0" applyProtection="0"/>
    <xf numFmtId="0" fontId="1" fillId="76" borderId="0" applyNumberFormat="0" applyBorder="0" applyAlignment="0" applyProtection="0"/>
    <xf numFmtId="0" fontId="1" fillId="77" borderId="0" applyNumberFormat="0" applyBorder="0" applyAlignment="0" applyProtection="0"/>
    <xf numFmtId="0" fontId="1" fillId="80" borderId="0" applyNumberFormat="0" applyBorder="0" applyAlignment="0" applyProtection="0"/>
    <xf numFmtId="0" fontId="1" fillId="81" borderId="0" applyNumberFormat="0" applyBorder="0" applyAlignment="0" applyProtection="0"/>
    <xf numFmtId="0" fontId="1" fillId="58" borderId="104" applyNumberFormat="0" applyFont="0" applyAlignment="0" applyProtection="0"/>
    <xf numFmtId="0" fontId="1" fillId="0" borderId="0"/>
    <xf numFmtId="0" fontId="1" fillId="26" borderId="0" applyNumberFormat="0" applyBorder="0" applyAlignment="0" applyProtection="0"/>
    <xf numFmtId="0" fontId="1" fillId="9" borderId="0" applyNumberFormat="0" applyBorder="0" applyAlignment="0" applyProtection="0"/>
    <xf numFmtId="0" fontId="1" fillId="0" borderId="0"/>
    <xf numFmtId="0" fontId="1" fillId="60" borderId="0" applyNumberFormat="0" applyBorder="0" applyAlignment="0" applyProtection="0"/>
    <xf numFmtId="0" fontId="1" fillId="61" borderId="0" applyNumberFormat="0" applyBorder="0" applyAlignment="0" applyProtection="0"/>
    <xf numFmtId="0" fontId="1" fillId="64" borderId="0" applyNumberFormat="0" applyBorder="0" applyAlignment="0" applyProtection="0"/>
    <xf numFmtId="0" fontId="1" fillId="65" borderId="0" applyNumberFormat="0" applyBorder="0" applyAlignment="0" applyProtection="0"/>
    <xf numFmtId="0" fontId="1" fillId="68" borderId="0" applyNumberFormat="0" applyBorder="0" applyAlignment="0" applyProtection="0"/>
    <xf numFmtId="0" fontId="1" fillId="69" borderId="0" applyNumberFormat="0" applyBorder="0" applyAlignment="0" applyProtection="0"/>
    <xf numFmtId="0" fontId="1" fillId="72" borderId="0" applyNumberFormat="0" applyBorder="0" applyAlignment="0" applyProtection="0"/>
    <xf numFmtId="0" fontId="1" fillId="73" borderId="0" applyNumberFormat="0" applyBorder="0" applyAlignment="0" applyProtection="0"/>
    <xf numFmtId="0" fontId="1" fillId="76" borderId="0" applyNumberFormat="0" applyBorder="0" applyAlignment="0" applyProtection="0"/>
    <xf numFmtId="0" fontId="1" fillId="77" borderId="0" applyNumberFormat="0" applyBorder="0" applyAlignment="0" applyProtection="0"/>
    <xf numFmtId="0" fontId="1" fillId="80" borderId="0" applyNumberFormat="0" applyBorder="0" applyAlignment="0" applyProtection="0"/>
    <xf numFmtId="0" fontId="1" fillId="81" borderId="0" applyNumberFormat="0" applyBorder="0" applyAlignment="0" applyProtection="0"/>
    <xf numFmtId="0" fontId="1" fillId="58" borderId="104" applyNumberFormat="0" applyFont="0" applyAlignment="0" applyProtection="0"/>
    <xf numFmtId="0" fontId="1" fillId="58" borderId="104" applyNumberFormat="0" applyFont="0" applyAlignment="0" applyProtection="0"/>
    <xf numFmtId="0" fontId="1" fillId="60" borderId="0" applyNumberFormat="0" applyBorder="0" applyAlignment="0" applyProtection="0"/>
    <xf numFmtId="0" fontId="1" fillId="61" borderId="0" applyNumberFormat="0" applyBorder="0" applyAlignment="0" applyProtection="0"/>
    <xf numFmtId="0" fontId="1" fillId="64" borderId="0" applyNumberFormat="0" applyBorder="0" applyAlignment="0" applyProtection="0"/>
    <xf numFmtId="0" fontId="1" fillId="65" borderId="0" applyNumberFormat="0" applyBorder="0" applyAlignment="0" applyProtection="0"/>
    <xf numFmtId="0" fontId="1" fillId="68" borderId="0" applyNumberFormat="0" applyBorder="0" applyAlignment="0" applyProtection="0"/>
    <xf numFmtId="0" fontId="1" fillId="69" borderId="0" applyNumberFormat="0" applyBorder="0" applyAlignment="0" applyProtection="0"/>
    <xf numFmtId="0" fontId="1" fillId="72" borderId="0" applyNumberFormat="0" applyBorder="0" applyAlignment="0" applyProtection="0"/>
    <xf numFmtId="0" fontId="1" fillId="73" borderId="0" applyNumberFormat="0" applyBorder="0" applyAlignment="0" applyProtection="0"/>
    <xf numFmtId="0" fontId="1" fillId="76" borderId="0" applyNumberFormat="0" applyBorder="0" applyAlignment="0" applyProtection="0"/>
    <xf numFmtId="0" fontId="1" fillId="77" borderId="0" applyNumberFormat="0" applyBorder="0" applyAlignment="0" applyProtection="0"/>
    <xf numFmtId="0" fontId="1" fillId="80" borderId="0" applyNumberFormat="0" applyBorder="0" applyAlignment="0" applyProtection="0"/>
    <xf numFmtId="0" fontId="1" fillId="81" borderId="0" applyNumberFormat="0" applyBorder="0" applyAlignment="0" applyProtection="0"/>
    <xf numFmtId="0" fontId="1" fillId="60" borderId="0" applyNumberFormat="0" applyBorder="0" applyAlignment="0" applyProtection="0"/>
    <xf numFmtId="0" fontId="1" fillId="61" borderId="0" applyNumberFormat="0" applyBorder="0" applyAlignment="0" applyProtection="0"/>
    <xf numFmtId="0" fontId="1" fillId="64" borderId="0" applyNumberFormat="0" applyBorder="0" applyAlignment="0" applyProtection="0"/>
    <xf numFmtId="0" fontId="1" fillId="65" borderId="0" applyNumberFormat="0" applyBorder="0" applyAlignment="0" applyProtection="0"/>
    <xf numFmtId="0" fontId="1" fillId="68" borderId="0" applyNumberFormat="0" applyBorder="0" applyAlignment="0" applyProtection="0"/>
    <xf numFmtId="0" fontId="1" fillId="69" borderId="0" applyNumberFormat="0" applyBorder="0" applyAlignment="0" applyProtection="0"/>
    <xf numFmtId="0" fontId="1" fillId="72" borderId="0" applyNumberFormat="0" applyBorder="0" applyAlignment="0" applyProtection="0"/>
    <xf numFmtId="0" fontId="1" fillId="73" borderId="0" applyNumberFormat="0" applyBorder="0" applyAlignment="0" applyProtection="0"/>
    <xf numFmtId="0" fontId="1" fillId="76" borderId="0" applyNumberFormat="0" applyBorder="0" applyAlignment="0" applyProtection="0"/>
    <xf numFmtId="0" fontId="1" fillId="77" borderId="0" applyNumberFormat="0" applyBorder="0" applyAlignment="0" applyProtection="0"/>
    <xf numFmtId="0" fontId="1" fillId="80" borderId="0" applyNumberFormat="0" applyBorder="0" applyAlignment="0" applyProtection="0"/>
    <xf numFmtId="0" fontId="1" fillId="81" borderId="0" applyNumberFormat="0" applyBorder="0" applyAlignment="0" applyProtection="0"/>
    <xf numFmtId="0" fontId="1" fillId="58" borderId="104" applyNumberFormat="0" applyFont="0" applyAlignment="0" applyProtection="0"/>
    <xf numFmtId="0" fontId="1" fillId="60" borderId="0" applyNumberFormat="0" applyBorder="0" applyAlignment="0" applyProtection="0"/>
    <xf numFmtId="0" fontId="1" fillId="61" borderId="0" applyNumberFormat="0" applyBorder="0" applyAlignment="0" applyProtection="0"/>
    <xf numFmtId="0" fontId="1" fillId="64" borderId="0" applyNumberFormat="0" applyBorder="0" applyAlignment="0" applyProtection="0"/>
    <xf numFmtId="0" fontId="1" fillId="65" borderId="0" applyNumberFormat="0" applyBorder="0" applyAlignment="0" applyProtection="0"/>
    <xf numFmtId="0" fontId="1" fillId="68" borderId="0" applyNumberFormat="0" applyBorder="0" applyAlignment="0" applyProtection="0"/>
    <xf numFmtId="0" fontId="1" fillId="69" borderId="0" applyNumberFormat="0" applyBorder="0" applyAlignment="0" applyProtection="0"/>
    <xf numFmtId="0" fontId="1" fillId="72" borderId="0" applyNumberFormat="0" applyBorder="0" applyAlignment="0" applyProtection="0"/>
    <xf numFmtId="0" fontId="1" fillId="73" borderId="0" applyNumberFormat="0" applyBorder="0" applyAlignment="0" applyProtection="0"/>
    <xf numFmtId="0" fontId="1" fillId="76" borderId="0" applyNumberFormat="0" applyBorder="0" applyAlignment="0" applyProtection="0"/>
    <xf numFmtId="0" fontId="1" fillId="77" borderId="0" applyNumberFormat="0" applyBorder="0" applyAlignment="0" applyProtection="0"/>
    <xf numFmtId="0" fontId="1" fillId="80" borderId="0" applyNumberFormat="0" applyBorder="0" applyAlignment="0" applyProtection="0"/>
    <xf numFmtId="0" fontId="1" fillId="81" borderId="0" applyNumberFormat="0" applyBorder="0" applyAlignment="0" applyProtection="0"/>
    <xf numFmtId="0" fontId="1" fillId="58" borderId="104" applyNumberFormat="0" applyFont="0" applyAlignment="0" applyProtection="0"/>
    <xf numFmtId="0" fontId="1" fillId="58" borderId="104" applyNumberFormat="0" applyFont="0" applyAlignment="0" applyProtection="0"/>
    <xf numFmtId="0" fontId="1" fillId="60" borderId="0" applyNumberFormat="0" applyBorder="0" applyAlignment="0" applyProtection="0"/>
    <xf numFmtId="0" fontId="1" fillId="61" borderId="0" applyNumberFormat="0" applyBorder="0" applyAlignment="0" applyProtection="0"/>
    <xf numFmtId="0" fontId="1" fillId="64" borderId="0" applyNumberFormat="0" applyBorder="0" applyAlignment="0" applyProtection="0"/>
    <xf numFmtId="0" fontId="1" fillId="65" borderId="0" applyNumberFormat="0" applyBorder="0" applyAlignment="0" applyProtection="0"/>
    <xf numFmtId="0" fontId="1" fillId="68" borderId="0" applyNumberFormat="0" applyBorder="0" applyAlignment="0" applyProtection="0"/>
    <xf numFmtId="0" fontId="1" fillId="69" borderId="0" applyNumberFormat="0" applyBorder="0" applyAlignment="0" applyProtection="0"/>
    <xf numFmtId="0" fontId="1" fillId="72" borderId="0" applyNumberFormat="0" applyBorder="0" applyAlignment="0" applyProtection="0"/>
    <xf numFmtId="0" fontId="1" fillId="73" borderId="0" applyNumberFormat="0" applyBorder="0" applyAlignment="0" applyProtection="0"/>
    <xf numFmtId="0" fontId="1" fillId="76" borderId="0" applyNumberFormat="0" applyBorder="0" applyAlignment="0" applyProtection="0"/>
    <xf numFmtId="0" fontId="1" fillId="77" borderId="0" applyNumberFormat="0" applyBorder="0" applyAlignment="0" applyProtection="0"/>
    <xf numFmtId="0" fontId="1" fillId="80" borderId="0" applyNumberFormat="0" applyBorder="0" applyAlignment="0" applyProtection="0"/>
    <xf numFmtId="0" fontId="1" fillId="81" borderId="0" applyNumberFormat="0" applyBorder="0" applyAlignment="0" applyProtection="0"/>
    <xf numFmtId="0" fontId="1" fillId="60" borderId="0" applyNumberFormat="0" applyBorder="0" applyAlignment="0" applyProtection="0"/>
    <xf numFmtId="0" fontId="1" fillId="61" borderId="0" applyNumberFormat="0" applyBorder="0" applyAlignment="0" applyProtection="0"/>
    <xf numFmtId="0" fontId="1" fillId="64" borderId="0" applyNumberFormat="0" applyBorder="0" applyAlignment="0" applyProtection="0"/>
    <xf numFmtId="0" fontId="1" fillId="65" borderId="0" applyNumberFormat="0" applyBorder="0" applyAlignment="0" applyProtection="0"/>
    <xf numFmtId="0" fontId="1" fillId="68" borderId="0" applyNumberFormat="0" applyBorder="0" applyAlignment="0" applyProtection="0"/>
    <xf numFmtId="0" fontId="1" fillId="69" borderId="0" applyNumberFormat="0" applyBorder="0" applyAlignment="0" applyProtection="0"/>
    <xf numFmtId="0" fontId="1" fillId="72" borderId="0" applyNumberFormat="0" applyBorder="0" applyAlignment="0" applyProtection="0"/>
    <xf numFmtId="0" fontId="1" fillId="73" borderId="0" applyNumberFormat="0" applyBorder="0" applyAlignment="0" applyProtection="0"/>
    <xf numFmtId="0" fontId="1" fillId="76" borderId="0" applyNumberFormat="0" applyBorder="0" applyAlignment="0" applyProtection="0"/>
    <xf numFmtId="0" fontId="1" fillId="77" borderId="0" applyNumberFormat="0" applyBorder="0" applyAlignment="0" applyProtection="0"/>
    <xf numFmtId="0" fontId="1" fillId="80" borderId="0" applyNumberFormat="0" applyBorder="0" applyAlignment="0" applyProtection="0"/>
    <xf numFmtId="0" fontId="1" fillId="81" borderId="0" applyNumberFormat="0" applyBorder="0" applyAlignment="0" applyProtection="0"/>
    <xf numFmtId="0" fontId="1" fillId="58" borderId="104" applyNumberFormat="0" applyFont="0" applyAlignment="0" applyProtection="0"/>
    <xf numFmtId="0" fontId="1" fillId="60" borderId="0" applyNumberFormat="0" applyBorder="0" applyAlignment="0" applyProtection="0"/>
    <xf numFmtId="0" fontId="1" fillId="61" borderId="0" applyNumberFormat="0" applyBorder="0" applyAlignment="0" applyProtection="0"/>
    <xf numFmtId="0" fontId="1" fillId="64" borderId="0" applyNumberFormat="0" applyBorder="0" applyAlignment="0" applyProtection="0"/>
    <xf numFmtId="0" fontId="1" fillId="65" borderId="0" applyNumberFormat="0" applyBorder="0" applyAlignment="0" applyProtection="0"/>
    <xf numFmtId="0" fontId="1" fillId="68" borderId="0" applyNumberFormat="0" applyBorder="0" applyAlignment="0" applyProtection="0"/>
    <xf numFmtId="0" fontId="1" fillId="69" borderId="0" applyNumberFormat="0" applyBorder="0" applyAlignment="0" applyProtection="0"/>
    <xf numFmtId="0" fontId="1" fillId="72" borderId="0" applyNumberFormat="0" applyBorder="0" applyAlignment="0" applyProtection="0"/>
    <xf numFmtId="0" fontId="1" fillId="73" borderId="0" applyNumberFormat="0" applyBorder="0" applyAlignment="0" applyProtection="0"/>
    <xf numFmtId="0" fontId="1" fillId="76" borderId="0" applyNumberFormat="0" applyBorder="0" applyAlignment="0" applyProtection="0"/>
    <xf numFmtId="0" fontId="1" fillId="77" borderId="0" applyNumberFormat="0" applyBorder="0" applyAlignment="0" applyProtection="0"/>
    <xf numFmtId="0" fontId="1" fillId="80" borderId="0" applyNumberFormat="0" applyBorder="0" applyAlignment="0" applyProtection="0"/>
    <xf numFmtId="0" fontId="1" fillId="81" borderId="0" applyNumberFormat="0" applyBorder="0" applyAlignment="0" applyProtection="0"/>
    <xf numFmtId="0" fontId="1" fillId="58" borderId="104" applyNumberFormat="0" applyFont="0" applyAlignment="0" applyProtection="0"/>
    <xf numFmtId="0" fontId="1" fillId="58" borderId="104" applyNumberFormat="0" applyFont="0" applyAlignment="0" applyProtection="0"/>
    <xf numFmtId="0" fontId="1" fillId="60" borderId="0" applyNumberFormat="0" applyBorder="0" applyAlignment="0" applyProtection="0"/>
    <xf numFmtId="0" fontId="1" fillId="61" borderId="0" applyNumberFormat="0" applyBorder="0" applyAlignment="0" applyProtection="0"/>
    <xf numFmtId="0" fontId="1" fillId="64" borderId="0" applyNumberFormat="0" applyBorder="0" applyAlignment="0" applyProtection="0"/>
    <xf numFmtId="0" fontId="1" fillId="65" borderId="0" applyNumberFormat="0" applyBorder="0" applyAlignment="0" applyProtection="0"/>
    <xf numFmtId="0" fontId="1" fillId="68" borderId="0" applyNumberFormat="0" applyBorder="0" applyAlignment="0" applyProtection="0"/>
    <xf numFmtId="0" fontId="1" fillId="69" borderId="0" applyNumberFormat="0" applyBorder="0" applyAlignment="0" applyProtection="0"/>
    <xf numFmtId="0" fontId="1" fillId="72" borderId="0" applyNumberFormat="0" applyBorder="0" applyAlignment="0" applyProtection="0"/>
    <xf numFmtId="0" fontId="1" fillId="73" borderId="0" applyNumberFormat="0" applyBorder="0" applyAlignment="0" applyProtection="0"/>
    <xf numFmtId="0" fontId="1" fillId="76" borderId="0" applyNumberFormat="0" applyBorder="0" applyAlignment="0" applyProtection="0"/>
    <xf numFmtId="0" fontId="1" fillId="77" borderId="0" applyNumberFormat="0" applyBorder="0" applyAlignment="0" applyProtection="0"/>
    <xf numFmtId="0" fontId="1" fillId="80" borderId="0" applyNumberFormat="0" applyBorder="0" applyAlignment="0" applyProtection="0"/>
    <xf numFmtId="0" fontId="1" fillId="81" borderId="0" applyNumberFormat="0" applyBorder="0" applyAlignment="0" applyProtection="0"/>
    <xf numFmtId="0" fontId="1" fillId="60" borderId="0" applyNumberFormat="0" applyBorder="0" applyAlignment="0" applyProtection="0"/>
    <xf numFmtId="0" fontId="1" fillId="61" borderId="0" applyNumberFormat="0" applyBorder="0" applyAlignment="0" applyProtection="0"/>
    <xf numFmtId="0" fontId="1" fillId="64" borderId="0" applyNumberFormat="0" applyBorder="0" applyAlignment="0" applyProtection="0"/>
    <xf numFmtId="0" fontId="1" fillId="65" borderId="0" applyNumberFormat="0" applyBorder="0" applyAlignment="0" applyProtection="0"/>
    <xf numFmtId="0" fontId="1" fillId="68" borderId="0" applyNumberFormat="0" applyBorder="0" applyAlignment="0" applyProtection="0"/>
    <xf numFmtId="0" fontId="1" fillId="69" borderId="0" applyNumberFormat="0" applyBorder="0" applyAlignment="0" applyProtection="0"/>
    <xf numFmtId="0" fontId="1" fillId="72" borderId="0" applyNumberFormat="0" applyBorder="0" applyAlignment="0" applyProtection="0"/>
    <xf numFmtId="0" fontId="1" fillId="73" borderId="0" applyNumberFormat="0" applyBorder="0" applyAlignment="0" applyProtection="0"/>
    <xf numFmtId="0" fontId="1" fillId="76" borderId="0" applyNumberFormat="0" applyBorder="0" applyAlignment="0" applyProtection="0"/>
    <xf numFmtId="0" fontId="1" fillId="77" borderId="0" applyNumberFormat="0" applyBorder="0" applyAlignment="0" applyProtection="0"/>
    <xf numFmtId="0" fontId="1" fillId="80" borderId="0" applyNumberFormat="0" applyBorder="0" applyAlignment="0" applyProtection="0"/>
    <xf numFmtId="0" fontId="1" fillId="81" borderId="0" applyNumberFormat="0" applyBorder="0" applyAlignment="0" applyProtection="0"/>
    <xf numFmtId="0" fontId="1" fillId="58" borderId="104" applyNumberFormat="0" applyFont="0" applyAlignment="0" applyProtection="0"/>
    <xf numFmtId="0" fontId="1" fillId="26" borderId="0" applyNumberFormat="0" applyBorder="0" applyAlignment="0" applyProtection="0"/>
    <xf numFmtId="0" fontId="1" fillId="60" borderId="0" applyNumberFormat="0" applyBorder="0" applyAlignment="0" applyProtection="0"/>
    <xf numFmtId="0" fontId="1" fillId="60" borderId="0" applyNumberFormat="0" applyBorder="0" applyAlignment="0" applyProtection="0"/>
    <xf numFmtId="0" fontId="1" fillId="60" borderId="0" applyNumberFormat="0" applyBorder="0" applyAlignment="0" applyProtection="0"/>
    <xf numFmtId="0" fontId="1" fillId="60" borderId="0" applyNumberFormat="0" applyBorder="0" applyAlignment="0" applyProtection="0"/>
    <xf numFmtId="0" fontId="1" fillId="60" borderId="0" applyNumberFormat="0" applyBorder="0" applyAlignment="0" applyProtection="0"/>
    <xf numFmtId="0" fontId="1" fillId="60" borderId="0" applyNumberFormat="0" applyBorder="0" applyAlignment="0" applyProtection="0"/>
    <xf numFmtId="0" fontId="1" fillId="60" borderId="0" applyNumberFormat="0" applyBorder="0" applyAlignment="0" applyProtection="0"/>
    <xf numFmtId="0" fontId="1" fillId="60" borderId="0" applyNumberFormat="0" applyBorder="0" applyAlignment="0" applyProtection="0"/>
    <xf numFmtId="0" fontId="1" fillId="60" borderId="0" applyNumberFormat="0" applyBorder="0" applyAlignment="0" applyProtection="0"/>
    <xf numFmtId="0" fontId="1" fillId="64" borderId="0" applyNumberFormat="0" applyBorder="0" applyAlignment="0" applyProtection="0"/>
    <xf numFmtId="0" fontId="1" fillId="64" borderId="0" applyNumberFormat="0" applyBorder="0" applyAlignment="0" applyProtection="0"/>
    <xf numFmtId="0" fontId="1" fillId="64" borderId="0" applyNumberFormat="0" applyBorder="0" applyAlignment="0" applyProtection="0"/>
    <xf numFmtId="0" fontId="1" fillId="64" borderId="0" applyNumberFormat="0" applyBorder="0" applyAlignment="0" applyProtection="0"/>
    <xf numFmtId="0" fontId="1" fillId="64" borderId="0" applyNumberFormat="0" applyBorder="0" applyAlignment="0" applyProtection="0"/>
    <xf numFmtId="0" fontId="1" fillId="64" borderId="0" applyNumberFormat="0" applyBorder="0" applyAlignment="0" applyProtection="0"/>
    <xf numFmtId="0" fontId="1" fillId="64" borderId="0" applyNumberFormat="0" applyBorder="0" applyAlignment="0" applyProtection="0"/>
    <xf numFmtId="0" fontId="1" fillId="64" borderId="0" applyNumberFormat="0" applyBorder="0" applyAlignment="0" applyProtection="0"/>
    <xf numFmtId="0" fontId="1" fillId="64" borderId="0" applyNumberFormat="0" applyBorder="0" applyAlignment="0" applyProtection="0"/>
    <xf numFmtId="0" fontId="1" fillId="68" borderId="0" applyNumberFormat="0" applyBorder="0" applyAlignment="0" applyProtection="0"/>
    <xf numFmtId="0" fontId="1" fillId="68" borderId="0" applyNumberFormat="0" applyBorder="0" applyAlignment="0" applyProtection="0"/>
    <xf numFmtId="0" fontId="1" fillId="68" borderId="0" applyNumberFormat="0" applyBorder="0" applyAlignment="0" applyProtection="0"/>
    <xf numFmtId="0" fontId="1" fillId="68" borderId="0" applyNumberFormat="0" applyBorder="0" applyAlignment="0" applyProtection="0"/>
    <xf numFmtId="0" fontId="1" fillId="68" borderId="0" applyNumberFormat="0" applyBorder="0" applyAlignment="0" applyProtection="0"/>
    <xf numFmtId="0" fontId="1" fillId="68" borderId="0" applyNumberFormat="0" applyBorder="0" applyAlignment="0" applyProtection="0"/>
    <xf numFmtId="0" fontId="1" fillId="68" borderId="0" applyNumberFormat="0" applyBorder="0" applyAlignment="0" applyProtection="0"/>
    <xf numFmtId="0" fontId="1" fillId="68" borderId="0" applyNumberFormat="0" applyBorder="0" applyAlignment="0" applyProtection="0"/>
    <xf numFmtId="0" fontId="1" fillId="68" borderId="0" applyNumberFormat="0" applyBorder="0" applyAlignment="0" applyProtection="0"/>
    <xf numFmtId="0" fontId="1" fillId="72" borderId="0" applyNumberFormat="0" applyBorder="0" applyAlignment="0" applyProtection="0"/>
    <xf numFmtId="0" fontId="1" fillId="72" borderId="0" applyNumberFormat="0" applyBorder="0" applyAlignment="0" applyProtection="0"/>
    <xf numFmtId="0" fontId="1" fillId="72" borderId="0" applyNumberFormat="0" applyBorder="0" applyAlignment="0" applyProtection="0"/>
    <xf numFmtId="0" fontId="1" fillId="72" borderId="0" applyNumberFormat="0" applyBorder="0" applyAlignment="0" applyProtection="0"/>
    <xf numFmtId="0" fontId="1" fillId="72" borderId="0" applyNumberFormat="0" applyBorder="0" applyAlignment="0" applyProtection="0"/>
    <xf numFmtId="0" fontId="1" fillId="72" borderId="0" applyNumberFormat="0" applyBorder="0" applyAlignment="0" applyProtection="0"/>
    <xf numFmtId="0" fontId="1" fillId="72" borderId="0" applyNumberFormat="0" applyBorder="0" applyAlignment="0" applyProtection="0"/>
    <xf numFmtId="0" fontId="1" fillId="72" borderId="0" applyNumberFormat="0" applyBorder="0" applyAlignment="0" applyProtection="0"/>
    <xf numFmtId="0" fontId="1" fillId="72" borderId="0" applyNumberFormat="0" applyBorder="0" applyAlignment="0" applyProtection="0"/>
    <xf numFmtId="0" fontId="1" fillId="76" borderId="0" applyNumberFormat="0" applyBorder="0" applyAlignment="0" applyProtection="0"/>
    <xf numFmtId="0" fontId="1" fillId="76" borderId="0" applyNumberFormat="0" applyBorder="0" applyAlignment="0" applyProtection="0"/>
    <xf numFmtId="0" fontId="1" fillId="76" borderId="0" applyNumberFormat="0" applyBorder="0" applyAlignment="0" applyProtection="0"/>
    <xf numFmtId="0" fontId="1" fillId="76" borderId="0" applyNumberFormat="0" applyBorder="0" applyAlignment="0" applyProtection="0"/>
    <xf numFmtId="0" fontId="1" fillId="76" borderId="0" applyNumberFormat="0" applyBorder="0" applyAlignment="0" applyProtection="0"/>
    <xf numFmtId="0" fontId="1" fillId="76" borderId="0" applyNumberFormat="0" applyBorder="0" applyAlignment="0" applyProtection="0"/>
    <xf numFmtId="0" fontId="1" fillId="76" borderId="0" applyNumberFormat="0" applyBorder="0" applyAlignment="0" applyProtection="0"/>
    <xf numFmtId="0" fontId="1" fillId="76" borderId="0" applyNumberFormat="0" applyBorder="0" applyAlignment="0" applyProtection="0"/>
    <xf numFmtId="0" fontId="1" fillId="76" borderId="0" applyNumberFormat="0" applyBorder="0" applyAlignment="0" applyProtection="0"/>
    <xf numFmtId="0" fontId="1" fillId="80" borderId="0" applyNumberFormat="0" applyBorder="0" applyAlignment="0" applyProtection="0"/>
    <xf numFmtId="0" fontId="1" fillId="80" borderId="0" applyNumberFormat="0" applyBorder="0" applyAlignment="0" applyProtection="0"/>
    <xf numFmtId="0" fontId="1" fillId="80" borderId="0" applyNumberFormat="0" applyBorder="0" applyAlignment="0" applyProtection="0"/>
    <xf numFmtId="0" fontId="1" fillId="80" borderId="0" applyNumberFormat="0" applyBorder="0" applyAlignment="0" applyProtection="0"/>
    <xf numFmtId="0" fontId="1" fillId="80" borderId="0" applyNumberFormat="0" applyBorder="0" applyAlignment="0" applyProtection="0"/>
    <xf numFmtId="0" fontId="1" fillId="80" borderId="0" applyNumberFormat="0" applyBorder="0" applyAlignment="0" applyProtection="0"/>
    <xf numFmtId="0" fontId="1" fillId="80" borderId="0" applyNumberFormat="0" applyBorder="0" applyAlignment="0" applyProtection="0"/>
    <xf numFmtId="0" fontId="1" fillId="80" borderId="0" applyNumberFormat="0" applyBorder="0" applyAlignment="0" applyProtection="0"/>
    <xf numFmtId="0" fontId="1" fillId="80" borderId="0" applyNumberFormat="0" applyBorder="0" applyAlignment="0" applyProtection="0"/>
    <xf numFmtId="0" fontId="1" fillId="61" borderId="0" applyNumberFormat="0" applyBorder="0" applyAlignment="0" applyProtection="0"/>
    <xf numFmtId="0" fontId="1" fillId="61" borderId="0" applyNumberFormat="0" applyBorder="0" applyAlignment="0" applyProtection="0"/>
    <xf numFmtId="0" fontId="1" fillId="61" borderId="0" applyNumberFormat="0" applyBorder="0" applyAlignment="0" applyProtection="0"/>
    <xf numFmtId="0" fontId="1" fillId="61" borderId="0" applyNumberFormat="0" applyBorder="0" applyAlignment="0" applyProtection="0"/>
    <xf numFmtId="0" fontId="1" fillId="61" borderId="0" applyNumberFormat="0" applyBorder="0" applyAlignment="0" applyProtection="0"/>
    <xf numFmtId="0" fontId="1" fillId="61" borderId="0" applyNumberFormat="0" applyBorder="0" applyAlignment="0" applyProtection="0"/>
    <xf numFmtId="0" fontId="1" fillId="61" borderId="0" applyNumberFormat="0" applyBorder="0" applyAlignment="0" applyProtection="0"/>
    <xf numFmtId="0" fontId="1" fillId="61" borderId="0" applyNumberFormat="0" applyBorder="0" applyAlignment="0" applyProtection="0"/>
    <xf numFmtId="0" fontId="1" fillId="61" borderId="0" applyNumberFormat="0" applyBorder="0" applyAlignment="0" applyProtection="0"/>
    <xf numFmtId="0" fontId="1" fillId="65" borderId="0" applyNumberFormat="0" applyBorder="0" applyAlignment="0" applyProtection="0"/>
    <xf numFmtId="0" fontId="1" fillId="65" borderId="0" applyNumberFormat="0" applyBorder="0" applyAlignment="0" applyProtection="0"/>
    <xf numFmtId="0" fontId="1" fillId="65" borderId="0" applyNumberFormat="0" applyBorder="0" applyAlignment="0" applyProtection="0"/>
    <xf numFmtId="0" fontId="1" fillId="65" borderId="0" applyNumberFormat="0" applyBorder="0" applyAlignment="0" applyProtection="0"/>
    <xf numFmtId="0" fontId="1" fillId="65" borderId="0" applyNumberFormat="0" applyBorder="0" applyAlignment="0" applyProtection="0"/>
    <xf numFmtId="0" fontId="1" fillId="65" borderId="0" applyNumberFormat="0" applyBorder="0" applyAlignment="0" applyProtection="0"/>
    <xf numFmtId="0" fontId="1" fillId="65" borderId="0" applyNumberFormat="0" applyBorder="0" applyAlignment="0" applyProtection="0"/>
    <xf numFmtId="0" fontId="1" fillId="65" borderId="0" applyNumberFormat="0" applyBorder="0" applyAlignment="0" applyProtection="0"/>
    <xf numFmtId="0" fontId="1" fillId="65" borderId="0" applyNumberFormat="0" applyBorder="0" applyAlignment="0" applyProtection="0"/>
    <xf numFmtId="0" fontId="1" fillId="69" borderId="0" applyNumberFormat="0" applyBorder="0" applyAlignment="0" applyProtection="0"/>
    <xf numFmtId="0" fontId="1" fillId="69" borderId="0" applyNumberFormat="0" applyBorder="0" applyAlignment="0" applyProtection="0"/>
    <xf numFmtId="0" fontId="1" fillId="69" borderId="0" applyNumberFormat="0" applyBorder="0" applyAlignment="0" applyProtection="0"/>
    <xf numFmtId="0" fontId="1" fillId="69" borderId="0" applyNumberFormat="0" applyBorder="0" applyAlignment="0" applyProtection="0"/>
    <xf numFmtId="0" fontId="1" fillId="69" borderId="0" applyNumberFormat="0" applyBorder="0" applyAlignment="0" applyProtection="0"/>
    <xf numFmtId="0" fontId="1" fillId="69" borderId="0" applyNumberFormat="0" applyBorder="0" applyAlignment="0" applyProtection="0"/>
    <xf numFmtId="0" fontId="1" fillId="69" borderId="0" applyNumberFormat="0" applyBorder="0" applyAlignment="0" applyProtection="0"/>
    <xf numFmtId="0" fontId="1" fillId="69" borderId="0" applyNumberFormat="0" applyBorder="0" applyAlignment="0" applyProtection="0"/>
    <xf numFmtId="0" fontId="1" fillId="69" borderId="0" applyNumberFormat="0" applyBorder="0" applyAlignment="0" applyProtection="0"/>
    <xf numFmtId="0" fontId="1" fillId="73" borderId="0" applyNumberFormat="0" applyBorder="0" applyAlignment="0" applyProtection="0"/>
    <xf numFmtId="0" fontId="1" fillId="73" borderId="0" applyNumberFormat="0" applyBorder="0" applyAlignment="0" applyProtection="0"/>
    <xf numFmtId="0" fontId="1" fillId="73" borderId="0" applyNumberFormat="0" applyBorder="0" applyAlignment="0" applyProtection="0"/>
    <xf numFmtId="0" fontId="1" fillId="73" borderId="0" applyNumberFormat="0" applyBorder="0" applyAlignment="0" applyProtection="0"/>
    <xf numFmtId="0" fontId="1" fillId="73" borderId="0" applyNumberFormat="0" applyBorder="0" applyAlignment="0" applyProtection="0"/>
    <xf numFmtId="0" fontId="1" fillId="73" borderId="0" applyNumberFormat="0" applyBorder="0" applyAlignment="0" applyProtection="0"/>
    <xf numFmtId="0" fontId="1" fillId="73" borderId="0" applyNumberFormat="0" applyBorder="0" applyAlignment="0" applyProtection="0"/>
    <xf numFmtId="0" fontId="1" fillId="73" borderId="0" applyNumberFormat="0" applyBorder="0" applyAlignment="0" applyProtection="0"/>
    <xf numFmtId="0" fontId="1" fillId="73" borderId="0" applyNumberFormat="0" applyBorder="0" applyAlignment="0" applyProtection="0"/>
    <xf numFmtId="0" fontId="1" fillId="77" borderId="0" applyNumberFormat="0" applyBorder="0" applyAlignment="0" applyProtection="0"/>
    <xf numFmtId="0" fontId="1" fillId="77" borderId="0" applyNumberFormat="0" applyBorder="0" applyAlignment="0" applyProtection="0"/>
    <xf numFmtId="0" fontId="1" fillId="77" borderId="0" applyNumberFormat="0" applyBorder="0" applyAlignment="0" applyProtection="0"/>
    <xf numFmtId="0" fontId="1" fillId="77" borderId="0" applyNumberFormat="0" applyBorder="0" applyAlignment="0" applyProtection="0"/>
    <xf numFmtId="0" fontId="1" fillId="77" borderId="0" applyNumberFormat="0" applyBorder="0" applyAlignment="0" applyProtection="0"/>
    <xf numFmtId="0" fontId="1" fillId="77" borderId="0" applyNumberFormat="0" applyBorder="0" applyAlignment="0" applyProtection="0"/>
    <xf numFmtId="0" fontId="1" fillId="77" borderId="0" applyNumberFormat="0" applyBorder="0" applyAlignment="0" applyProtection="0"/>
    <xf numFmtId="0" fontId="1" fillId="77" borderId="0" applyNumberFormat="0" applyBorder="0" applyAlignment="0" applyProtection="0"/>
    <xf numFmtId="0" fontId="1" fillId="77" borderId="0" applyNumberFormat="0" applyBorder="0" applyAlignment="0" applyProtection="0"/>
    <xf numFmtId="0" fontId="1" fillId="81" borderId="0" applyNumberFormat="0" applyBorder="0" applyAlignment="0" applyProtection="0"/>
    <xf numFmtId="0" fontId="1" fillId="81" borderId="0" applyNumberFormat="0" applyBorder="0" applyAlignment="0" applyProtection="0"/>
    <xf numFmtId="0" fontId="1" fillId="81" borderId="0" applyNumberFormat="0" applyBorder="0" applyAlignment="0" applyProtection="0"/>
    <xf numFmtId="0" fontId="1" fillId="81" borderId="0" applyNumberFormat="0" applyBorder="0" applyAlignment="0" applyProtection="0"/>
    <xf numFmtId="0" fontId="1" fillId="81" borderId="0" applyNumberFormat="0" applyBorder="0" applyAlignment="0" applyProtection="0"/>
    <xf numFmtId="0" fontId="1" fillId="81" borderId="0" applyNumberFormat="0" applyBorder="0" applyAlignment="0" applyProtection="0"/>
    <xf numFmtId="0" fontId="1" fillId="81" borderId="0" applyNumberFormat="0" applyBorder="0" applyAlignment="0" applyProtection="0"/>
    <xf numFmtId="0" fontId="1" fillId="81" borderId="0" applyNumberFormat="0" applyBorder="0" applyAlignment="0" applyProtection="0"/>
    <xf numFmtId="0" fontId="1" fillId="81" borderId="0" applyNumberFormat="0" applyBorder="0" applyAlignment="0" applyProtection="0"/>
    <xf numFmtId="0" fontId="1" fillId="23" borderId="0" applyNumberFormat="0" applyBorder="0" applyAlignment="0" applyProtection="0"/>
    <xf numFmtId="0" fontId="1" fillId="58" borderId="104" applyNumberFormat="0" applyFont="0" applyAlignment="0" applyProtection="0"/>
    <xf numFmtId="0" fontId="1" fillId="58" borderId="104" applyNumberFormat="0" applyFont="0" applyAlignment="0" applyProtection="0"/>
    <xf numFmtId="0" fontId="1" fillId="58" borderId="104" applyNumberFormat="0" applyFont="0" applyAlignment="0" applyProtection="0"/>
    <xf numFmtId="0" fontId="1" fillId="58" borderId="104" applyNumberFormat="0" applyFont="0" applyAlignment="0" applyProtection="0"/>
    <xf numFmtId="0" fontId="1" fillId="58" borderId="104" applyNumberFormat="0" applyFont="0" applyAlignment="0" applyProtection="0"/>
    <xf numFmtId="0" fontId="1" fillId="58" borderId="104" applyNumberFormat="0" applyFont="0" applyAlignment="0" applyProtection="0"/>
    <xf numFmtId="0" fontId="1" fillId="58" borderId="104" applyNumberFormat="0" applyFont="0" applyAlignment="0" applyProtection="0"/>
    <xf numFmtId="0" fontId="1" fillId="58" borderId="104" applyNumberFormat="0" applyFont="0" applyAlignment="0" applyProtection="0"/>
    <xf numFmtId="0" fontId="1" fillId="58" borderId="104" applyNumberFormat="0" applyFont="0" applyAlignment="0" applyProtection="0"/>
    <xf numFmtId="0" fontId="1" fillId="58" borderId="104" applyNumberFormat="0" applyFont="0" applyAlignment="0" applyProtection="0"/>
    <xf numFmtId="0" fontId="1" fillId="26" borderId="0" applyNumberFormat="0" applyBorder="0" applyAlignment="0" applyProtection="0"/>
    <xf numFmtId="0" fontId="1" fillId="58" borderId="104" applyNumberFormat="0" applyFont="0" applyAlignment="0" applyProtection="0"/>
    <xf numFmtId="0" fontId="1" fillId="23" borderId="0" applyNumberFormat="0" applyBorder="0" applyAlignment="0" applyProtection="0"/>
    <xf numFmtId="0" fontId="1" fillId="58" borderId="104" applyNumberFormat="0" applyFont="0" applyAlignment="0" applyProtection="0"/>
    <xf numFmtId="0" fontId="1" fillId="6" borderId="0" applyNumberFormat="0" applyBorder="0" applyAlignment="0" applyProtection="0"/>
    <xf numFmtId="0" fontId="1" fillId="0" borderId="0"/>
    <xf numFmtId="0" fontId="1" fillId="0" borderId="0"/>
    <xf numFmtId="0" fontId="1" fillId="9" borderId="0" applyNumberFormat="0" applyBorder="0" applyAlignment="0" applyProtection="0"/>
    <xf numFmtId="0" fontId="1" fillId="6"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7" borderId="0" applyNumberFormat="0" applyBorder="0" applyAlignment="0" applyProtection="0"/>
    <xf numFmtId="9" fontId="1" fillId="0" borderId="0" applyFont="0" applyFill="0" applyBorder="0" applyAlignment="0" applyProtection="0"/>
    <xf numFmtId="0" fontId="1" fillId="26" borderId="0" applyNumberFormat="0" applyBorder="0" applyAlignment="0" applyProtection="0"/>
    <xf numFmtId="0" fontId="1" fillId="23" borderId="0" applyNumberFormat="0" applyBorder="0" applyAlignment="0" applyProtection="0"/>
    <xf numFmtId="0" fontId="1" fillId="26" borderId="0" applyNumberFormat="0" applyBorder="0" applyAlignment="0" applyProtection="0"/>
    <xf numFmtId="0" fontId="1" fillId="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8"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8" borderId="0" applyNumberFormat="0" applyBorder="0" applyAlignment="0" applyProtection="0"/>
    <xf numFmtId="0" fontId="1" fillId="26" borderId="0" applyNumberFormat="0" applyBorder="0" applyAlignment="0" applyProtection="0"/>
    <xf numFmtId="0" fontId="1" fillId="9"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8" borderId="0" applyNumberFormat="0" applyBorder="0" applyAlignment="0" applyProtection="0"/>
    <xf numFmtId="0" fontId="1" fillId="26"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8" borderId="0" applyNumberFormat="0" applyBorder="0" applyAlignment="0" applyProtection="0"/>
    <xf numFmtId="0" fontId="1" fillId="26" borderId="0" applyNumberFormat="0" applyBorder="0" applyAlignment="0" applyProtection="0"/>
    <xf numFmtId="0" fontId="1" fillId="8"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60" borderId="0" applyNumberFormat="0" applyBorder="0" applyAlignment="0" applyProtection="0"/>
    <xf numFmtId="0" fontId="1" fillId="61" borderId="0" applyNumberFormat="0" applyBorder="0" applyAlignment="0" applyProtection="0"/>
    <xf numFmtId="0" fontId="1" fillId="64" borderId="0" applyNumberFormat="0" applyBorder="0" applyAlignment="0" applyProtection="0"/>
    <xf numFmtId="0" fontId="1" fillId="65" borderId="0" applyNumberFormat="0" applyBorder="0" applyAlignment="0" applyProtection="0"/>
    <xf numFmtId="0" fontId="1" fillId="68" borderId="0" applyNumberFormat="0" applyBorder="0" applyAlignment="0" applyProtection="0"/>
    <xf numFmtId="0" fontId="1" fillId="69" borderId="0" applyNumberFormat="0" applyBorder="0" applyAlignment="0" applyProtection="0"/>
    <xf numFmtId="0" fontId="1" fillId="72" borderId="0" applyNumberFormat="0" applyBorder="0" applyAlignment="0" applyProtection="0"/>
    <xf numFmtId="0" fontId="1" fillId="73" borderId="0" applyNumberFormat="0" applyBorder="0" applyAlignment="0" applyProtection="0"/>
    <xf numFmtId="0" fontId="1" fillId="76" borderId="0" applyNumberFormat="0" applyBorder="0" applyAlignment="0" applyProtection="0"/>
    <xf numFmtId="0" fontId="1" fillId="77" borderId="0" applyNumberFormat="0" applyBorder="0" applyAlignment="0" applyProtection="0"/>
    <xf numFmtId="0" fontId="1" fillId="80" borderId="0" applyNumberFormat="0" applyBorder="0" applyAlignment="0" applyProtection="0"/>
    <xf numFmtId="0" fontId="1" fillId="81" borderId="0" applyNumberFormat="0" applyBorder="0" applyAlignment="0" applyProtection="0"/>
    <xf numFmtId="0" fontId="1" fillId="58" borderId="104" applyNumberFormat="0" applyFont="0" applyAlignment="0" applyProtection="0"/>
    <xf numFmtId="0" fontId="1" fillId="58" borderId="104" applyNumberFormat="0" applyFont="0" applyAlignment="0" applyProtection="0"/>
    <xf numFmtId="0" fontId="1" fillId="60" borderId="0" applyNumberFormat="0" applyBorder="0" applyAlignment="0" applyProtection="0"/>
    <xf numFmtId="0" fontId="1" fillId="61" borderId="0" applyNumberFormat="0" applyBorder="0" applyAlignment="0" applyProtection="0"/>
    <xf numFmtId="0" fontId="1" fillId="64" borderId="0" applyNumberFormat="0" applyBorder="0" applyAlignment="0" applyProtection="0"/>
    <xf numFmtId="0" fontId="1" fillId="65" borderId="0" applyNumberFormat="0" applyBorder="0" applyAlignment="0" applyProtection="0"/>
    <xf numFmtId="0" fontId="1" fillId="68" borderId="0" applyNumberFormat="0" applyBorder="0" applyAlignment="0" applyProtection="0"/>
    <xf numFmtId="0" fontId="1" fillId="69" borderId="0" applyNumberFormat="0" applyBorder="0" applyAlignment="0" applyProtection="0"/>
    <xf numFmtId="0" fontId="1" fillId="72" borderId="0" applyNumberFormat="0" applyBorder="0" applyAlignment="0" applyProtection="0"/>
    <xf numFmtId="0" fontId="1" fillId="73" borderId="0" applyNumberFormat="0" applyBorder="0" applyAlignment="0" applyProtection="0"/>
    <xf numFmtId="0" fontId="1" fillId="76" borderId="0" applyNumberFormat="0" applyBorder="0" applyAlignment="0" applyProtection="0"/>
    <xf numFmtId="0" fontId="1" fillId="77" borderId="0" applyNumberFormat="0" applyBorder="0" applyAlignment="0" applyProtection="0"/>
    <xf numFmtId="0" fontId="1" fillId="80" borderId="0" applyNumberFormat="0" applyBorder="0" applyAlignment="0" applyProtection="0"/>
    <xf numFmtId="0" fontId="1" fillId="81" borderId="0" applyNumberFormat="0" applyBorder="0" applyAlignment="0" applyProtection="0"/>
    <xf numFmtId="0" fontId="1" fillId="60" borderId="0" applyNumberFormat="0" applyBorder="0" applyAlignment="0" applyProtection="0"/>
    <xf numFmtId="0" fontId="1" fillId="61" borderId="0" applyNumberFormat="0" applyBorder="0" applyAlignment="0" applyProtection="0"/>
    <xf numFmtId="0" fontId="1" fillId="64" borderId="0" applyNumberFormat="0" applyBorder="0" applyAlignment="0" applyProtection="0"/>
    <xf numFmtId="0" fontId="1" fillId="65" borderId="0" applyNumberFormat="0" applyBorder="0" applyAlignment="0" applyProtection="0"/>
    <xf numFmtId="0" fontId="1" fillId="68" borderId="0" applyNumberFormat="0" applyBorder="0" applyAlignment="0" applyProtection="0"/>
    <xf numFmtId="0" fontId="1" fillId="69" borderId="0" applyNumberFormat="0" applyBorder="0" applyAlignment="0" applyProtection="0"/>
    <xf numFmtId="0" fontId="1" fillId="72" borderId="0" applyNumberFormat="0" applyBorder="0" applyAlignment="0" applyProtection="0"/>
    <xf numFmtId="0" fontId="1" fillId="73" borderId="0" applyNumberFormat="0" applyBorder="0" applyAlignment="0" applyProtection="0"/>
    <xf numFmtId="0" fontId="1" fillId="76" borderId="0" applyNumberFormat="0" applyBorder="0" applyAlignment="0" applyProtection="0"/>
    <xf numFmtId="0" fontId="1" fillId="77" borderId="0" applyNumberFormat="0" applyBorder="0" applyAlignment="0" applyProtection="0"/>
    <xf numFmtId="0" fontId="1" fillId="80" borderId="0" applyNumberFormat="0" applyBorder="0" applyAlignment="0" applyProtection="0"/>
    <xf numFmtId="0" fontId="1" fillId="81" borderId="0" applyNumberFormat="0" applyBorder="0" applyAlignment="0" applyProtection="0"/>
    <xf numFmtId="0" fontId="1" fillId="58" borderId="104" applyNumberFormat="0" applyFont="0" applyAlignment="0" applyProtection="0"/>
    <xf numFmtId="0" fontId="1" fillId="60" borderId="0" applyNumberFormat="0" applyBorder="0" applyAlignment="0" applyProtection="0"/>
    <xf numFmtId="0" fontId="1" fillId="61" borderId="0" applyNumberFormat="0" applyBorder="0" applyAlignment="0" applyProtection="0"/>
    <xf numFmtId="0" fontId="1" fillId="64" borderId="0" applyNumberFormat="0" applyBorder="0" applyAlignment="0" applyProtection="0"/>
    <xf numFmtId="0" fontId="1" fillId="65" borderId="0" applyNumberFormat="0" applyBorder="0" applyAlignment="0" applyProtection="0"/>
    <xf numFmtId="0" fontId="1" fillId="68" borderId="0" applyNumberFormat="0" applyBorder="0" applyAlignment="0" applyProtection="0"/>
    <xf numFmtId="0" fontId="1" fillId="69" borderId="0" applyNumberFormat="0" applyBorder="0" applyAlignment="0" applyProtection="0"/>
    <xf numFmtId="0" fontId="1" fillId="72" borderId="0" applyNumberFormat="0" applyBorder="0" applyAlignment="0" applyProtection="0"/>
    <xf numFmtId="0" fontId="1" fillId="73" borderId="0" applyNumberFormat="0" applyBorder="0" applyAlignment="0" applyProtection="0"/>
    <xf numFmtId="0" fontId="1" fillId="76" borderId="0" applyNumberFormat="0" applyBorder="0" applyAlignment="0" applyProtection="0"/>
    <xf numFmtId="0" fontId="1" fillId="77" borderId="0" applyNumberFormat="0" applyBorder="0" applyAlignment="0" applyProtection="0"/>
    <xf numFmtId="0" fontId="1" fillId="80" borderId="0" applyNumberFormat="0" applyBorder="0" applyAlignment="0" applyProtection="0"/>
    <xf numFmtId="0" fontId="1" fillId="81" borderId="0" applyNumberFormat="0" applyBorder="0" applyAlignment="0" applyProtection="0"/>
    <xf numFmtId="0" fontId="1" fillId="58" borderId="104" applyNumberFormat="0" applyFont="0" applyAlignment="0" applyProtection="0"/>
    <xf numFmtId="0" fontId="1" fillId="58" borderId="104" applyNumberFormat="0" applyFont="0" applyAlignment="0" applyProtection="0"/>
    <xf numFmtId="0" fontId="1" fillId="60" borderId="0" applyNumberFormat="0" applyBorder="0" applyAlignment="0" applyProtection="0"/>
    <xf numFmtId="0" fontId="1" fillId="61" borderId="0" applyNumberFormat="0" applyBorder="0" applyAlignment="0" applyProtection="0"/>
    <xf numFmtId="0" fontId="1" fillId="64" borderId="0" applyNumberFormat="0" applyBorder="0" applyAlignment="0" applyProtection="0"/>
    <xf numFmtId="0" fontId="1" fillId="65" borderId="0" applyNumberFormat="0" applyBorder="0" applyAlignment="0" applyProtection="0"/>
    <xf numFmtId="0" fontId="1" fillId="68" borderId="0" applyNumberFormat="0" applyBorder="0" applyAlignment="0" applyProtection="0"/>
    <xf numFmtId="0" fontId="1" fillId="69" borderId="0" applyNumberFormat="0" applyBorder="0" applyAlignment="0" applyProtection="0"/>
    <xf numFmtId="0" fontId="1" fillId="72" borderId="0" applyNumberFormat="0" applyBorder="0" applyAlignment="0" applyProtection="0"/>
    <xf numFmtId="0" fontId="1" fillId="73" borderId="0" applyNumberFormat="0" applyBorder="0" applyAlignment="0" applyProtection="0"/>
    <xf numFmtId="0" fontId="1" fillId="76" borderId="0" applyNumberFormat="0" applyBorder="0" applyAlignment="0" applyProtection="0"/>
    <xf numFmtId="0" fontId="1" fillId="77" borderId="0" applyNumberFormat="0" applyBorder="0" applyAlignment="0" applyProtection="0"/>
    <xf numFmtId="0" fontId="1" fillId="80" borderId="0" applyNumberFormat="0" applyBorder="0" applyAlignment="0" applyProtection="0"/>
    <xf numFmtId="0" fontId="1" fillId="81" borderId="0" applyNumberFormat="0" applyBorder="0" applyAlignment="0" applyProtection="0"/>
    <xf numFmtId="0" fontId="1" fillId="60" borderId="0" applyNumberFormat="0" applyBorder="0" applyAlignment="0" applyProtection="0"/>
    <xf numFmtId="0" fontId="1" fillId="61" borderId="0" applyNumberFormat="0" applyBorder="0" applyAlignment="0" applyProtection="0"/>
    <xf numFmtId="0" fontId="1" fillId="64" borderId="0" applyNumberFormat="0" applyBorder="0" applyAlignment="0" applyProtection="0"/>
    <xf numFmtId="0" fontId="1" fillId="65" borderId="0" applyNumberFormat="0" applyBorder="0" applyAlignment="0" applyProtection="0"/>
    <xf numFmtId="0" fontId="1" fillId="68" borderId="0" applyNumberFormat="0" applyBorder="0" applyAlignment="0" applyProtection="0"/>
    <xf numFmtId="0" fontId="1" fillId="69" borderId="0" applyNumberFormat="0" applyBorder="0" applyAlignment="0" applyProtection="0"/>
    <xf numFmtId="0" fontId="1" fillId="72" borderId="0" applyNumberFormat="0" applyBorder="0" applyAlignment="0" applyProtection="0"/>
    <xf numFmtId="0" fontId="1" fillId="73" borderId="0" applyNumberFormat="0" applyBorder="0" applyAlignment="0" applyProtection="0"/>
    <xf numFmtId="0" fontId="1" fillId="76" borderId="0" applyNumberFormat="0" applyBorder="0" applyAlignment="0" applyProtection="0"/>
    <xf numFmtId="0" fontId="1" fillId="77" borderId="0" applyNumberFormat="0" applyBorder="0" applyAlignment="0" applyProtection="0"/>
    <xf numFmtId="0" fontId="1" fillId="80" borderId="0" applyNumberFormat="0" applyBorder="0" applyAlignment="0" applyProtection="0"/>
    <xf numFmtId="0" fontId="1" fillId="81" borderId="0" applyNumberFormat="0" applyBorder="0" applyAlignment="0" applyProtection="0"/>
    <xf numFmtId="0" fontId="1" fillId="58" borderId="104" applyNumberFormat="0" applyFont="0" applyAlignment="0" applyProtection="0"/>
    <xf numFmtId="0" fontId="1" fillId="60" borderId="0" applyNumberFormat="0" applyBorder="0" applyAlignment="0" applyProtection="0"/>
    <xf numFmtId="0" fontId="1" fillId="61" borderId="0" applyNumberFormat="0" applyBorder="0" applyAlignment="0" applyProtection="0"/>
    <xf numFmtId="0" fontId="1" fillId="64" borderId="0" applyNumberFormat="0" applyBorder="0" applyAlignment="0" applyProtection="0"/>
    <xf numFmtId="0" fontId="1" fillId="65" borderId="0" applyNumberFormat="0" applyBorder="0" applyAlignment="0" applyProtection="0"/>
    <xf numFmtId="0" fontId="1" fillId="68" borderId="0" applyNumberFormat="0" applyBorder="0" applyAlignment="0" applyProtection="0"/>
    <xf numFmtId="0" fontId="1" fillId="69" borderId="0" applyNumberFormat="0" applyBorder="0" applyAlignment="0" applyProtection="0"/>
    <xf numFmtId="0" fontId="1" fillId="72" borderId="0" applyNumberFormat="0" applyBorder="0" applyAlignment="0" applyProtection="0"/>
    <xf numFmtId="0" fontId="1" fillId="73" borderId="0" applyNumberFormat="0" applyBorder="0" applyAlignment="0" applyProtection="0"/>
    <xf numFmtId="0" fontId="1" fillId="76" borderId="0" applyNumberFormat="0" applyBorder="0" applyAlignment="0" applyProtection="0"/>
    <xf numFmtId="0" fontId="1" fillId="77" borderId="0" applyNumberFormat="0" applyBorder="0" applyAlignment="0" applyProtection="0"/>
    <xf numFmtId="0" fontId="1" fillId="80" borderId="0" applyNumberFormat="0" applyBorder="0" applyAlignment="0" applyProtection="0"/>
    <xf numFmtId="0" fontId="1" fillId="81" borderId="0" applyNumberFormat="0" applyBorder="0" applyAlignment="0" applyProtection="0"/>
    <xf numFmtId="0" fontId="1" fillId="58" borderId="104" applyNumberFormat="0" applyFont="0" applyAlignment="0" applyProtection="0"/>
    <xf numFmtId="0" fontId="1" fillId="58" borderId="104" applyNumberFormat="0" applyFont="0" applyAlignment="0" applyProtection="0"/>
    <xf numFmtId="0" fontId="1" fillId="60" borderId="0" applyNumberFormat="0" applyBorder="0" applyAlignment="0" applyProtection="0"/>
    <xf numFmtId="0" fontId="1" fillId="61" borderId="0" applyNumberFormat="0" applyBorder="0" applyAlignment="0" applyProtection="0"/>
    <xf numFmtId="0" fontId="1" fillId="64" borderId="0" applyNumberFormat="0" applyBorder="0" applyAlignment="0" applyProtection="0"/>
    <xf numFmtId="0" fontId="1" fillId="65" borderId="0" applyNumberFormat="0" applyBorder="0" applyAlignment="0" applyProtection="0"/>
    <xf numFmtId="0" fontId="1" fillId="68" borderId="0" applyNumberFormat="0" applyBorder="0" applyAlignment="0" applyProtection="0"/>
    <xf numFmtId="0" fontId="1" fillId="69" borderId="0" applyNumberFormat="0" applyBorder="0" applyAlignment="0" applyProtection="0"/>
    <xf numFmtId="0" fontId="1" fillId="72" borderId="0" applyNumberFormat="0" applyBorder="0" applyAlignment="0" applyProtection="0"/>
    <xf numFmtId="0" fontId="1" fillId="73" borderId="0" applyNumberFormat="0" applyBorder="0" applyAlignment="0" applyProtection="0"/>
    <xf numFmtId="0" fontId="1" fillId="76" borderId="0" applyNumberFormat="0" applyBorder="0" applyAlignment="0" applyProtection="0"/>
    <xf numFmtId="0" fontId="1" fillId="77" borderId="0" applyNumberFormat="0" applyBorder="0" applyAlignment="0" applyProtection="0"/>
    <xf numFmtId="0" fontId="1" fillId="80" borderId="0" applyNumberFormat="0" applyBorder="0" applyAlignment="0" applyProtection="0"/>
    <xf numFmtId="0" fontId="1" fillId="81" borderId="0" applyNumberFormat="0" applyBorder="0" applyAlignment="0" applyProtection="0"/>
    <xf numFmtId="0" fontId="1" fillId="60" borderId="0" applyNumberFormat="0" applyBorder="0" applyAlignment="0" applyProtection="0"/>
    <xf numFmtId="0" fontId="1" fillId="61" borderId="0" applyNumberFormat="0" applyBorder="0" applyAlignment="0" applyProtection="0"/>
    <xf numFmtId="0" fontId="1" fillId="64" borderId="0" applyNumberFormat="0" applyBorder="0" applyAlignment="0" applyProtection="0"/>
    <xf numFmtId="0" fontId="1" fillId="65" borderId="0" applyNumberFormat="0" applyBorder="0" applyAlignment="0" applyProtection="0"/>
    <xf numFmtId="0" fontId="1" fillId="68" borderId="0" applyNumberFormat="0" applyBorder="0" applyAlignment="0" applyProtection="0"/>
    <xf numFmtId="0" fontId="1" fillId="69" borderId="0" applyNumberFormat="0" applyBorder="0" applyAlignment="0" applyProtection="0"/>
    <xf numFmtId="0" fontId="1" fillId="72" borderId="0" applyNumberFormat="0" applyBorder="0" applyAlignment="0" applyProtection="0"/>
    <xf numFmtId="0" fontId="1" fillId="73" borderId="0" applyNumberFormat="0" applyBorder="0" applyAlignment="0" applyProtection="0"/>
    <xf numFmtId="0" fontId="1" fillId="76" borderId="0" applyNumberFormat="0" applyBorder="0" applyAlignment="0" applyProtection="0"/>
    <xf numFmtId="0" fontId="1" fillId="77" borderId="0" applyNumberFormat="0" applyBorder="0" applyAlignment="0" applyProtection="0"/>
    <xf numFmtId="0" fontId="1" fillId="80" borderId="0" applyNumberFormat="0" applyBorder="0" applyAlignment="0" applyProtection="0"/>
    <xf numFmtId="0" fontId="1" fillId="81" borderId="0" applyNumberFormat="0" applyBorder="0" applyAlignment="0" applyProtection="0"/>
    <xf numFmtId="0" fontId="1" fillId="58" borderId="104" applyNumberFormat="0" applyFont="0" applyAlignment="0" applyProtection="0"/>
    <xf numFmtId="0" fontId="1" fillId="60" borderId="0" applyNumberFormat="0" applyBorder="0" applyAlignment="0" applyProtection="0"/>
    <xf numFmtId="0" fontId="1" fillId="61" borderId="0" applyNumberFormat="0" applyBorder="0" applyAlignment="0" applyProtection="0"/>
    <xf numFmtId="0" fontId="1" fillId="64" borderId="0" applyNumberFormat="0" applyBorder="0" applyAlignment="0" applyProtection="0"/>
    <xf numFmtId="0" fontId="1" fillId="65" borderId="0" applyNumberFormat="0" applyBorder="0" applyAlignment="0" applyProtection="0"/>
    <xf numFmtId="0" fontId="1" fillId="68" borderId="0" applyNumberFormat="0" applyBorder="0" applyAlignment="0" applyProtection="0"/>
    <xf numFmtId="0" fontId="1" fillId="69" borderId="0" applyNumberFormat="0" applyBorder="0" applyAlignment="0" applyProtection="0"/>
    <xf numFmtId="0" fontId="1" fillId="72" borderId="0" applyNumberFormat="0" applyBorder="0" applyAlignment="0" applyProtection="0"/>
    <xf numFmtId="0" fontId="1" fillId="73" borderId="0" applyNumberFormat="0" applyBorder="0" applyAlignment="0" applyProtection="0"/>
    <xf numFmtId="0" fontId="1" fillId="76" borderId="0" applyNumberFormat="0" applyBorder="0" applyAlignment="0" applyProtection="0"/>
    <xf numFmtId="0" fontId="1" fillId="77" borderId="0" applyNumberFormat="0" applyBorder="0" applyAlignment="0" applyProtection="0"/>
    <xf numFmtId="0" fontId="1" fillId="80" borderId="0" applyNumberFormat="0" applyBorder="0" applyAlignment="0" applyProtection="0"/>
    <xf numFmtId="0" fontId="1" fillId="81" borderId="0" applyNumberFormat="0" applyBorder="0" applyAlignment="0" applyProtection="0"/>
    <xf numFmtId="0" fontId="1" fillId="58" borderId="104" applyNumberFormat="0" applyFont="0" applyAlignment="0" applyProtection="0"/>
    <xf numFmtId="0" fontId="1" fillId="58" borderId="104" applyNumberFormat="0" applyFont="0" applyAlignment="0" applyProtection="0"/>
    <xf numFmtId="0" fontId="1" fillId="60" borderId="0" applyNumberFormat="0" applyBorder="0" applyAlignment="0" applyProtection="0"/>
    <xf numFmtId="0" fontId="1" fillId="61" borderId="0" applyNumberFormat="0" applyBorder="0" applyAlignment="0" applyProtection="0"/>
    <xf numFmtId="0" fontId="1" fillId="64" borderId="0" applyNumberFormat="0" applyBorder="0" applyAlignment="0" applyProtection="0"/>
    <xf numFmtId="0" fontId="1" fillId="65" borderId="0" applyNumberFormat="0" applyBorder="0" applyAlignment="0" applyProtection="0"/>
    <xf numFmtId="0" fontId="1" fillId="68" borderId="0" applyNumberFormat="0" applyBorder="0" applyAlignment="0" applyProtection="0"/>
    <xf numFmtId="0" fontId="1" fillId="69" borderId="0" applyNumberFormat="0" applyBorder="0" applyAlignment="0" applyProtection="0"/>
    <xf numFmtId="0" fontId="1" fillId="72" borderId="0" applyNumberFormat="0" applyBorder="0" applyAlignment="0" applyProtection="0"/>
    <xf numFmtId="0" fontId="1" fillId="73" borderId="0" applyNumberFormat="0" applyBorder="0" applyAlignment="0" applyProtection="0"/>
    <xf numFmtId="0" fontId="1" fillId="76" borderId="0" applyNumberFormat="0" applyBorder="0" applyAlignment="0" applyProtection="0"/>
    <xf numFmtId="0" fontId="1" fillId="77" borderId="0" applyNumberFormat="0" applyBorder="0" applyAlignment="0" applyProtection="0"/>
    <xf numFmtId="0" fontId="1" fillId="80" borderId="0" applyNumberFormat="0" applyBorder="0" applyAlignment="0" applyProtection="0"/>
    <xf numFmtId="0" fontId="1" fillId="81" borderId="0" applyNumberFormat="0" applyBorder="0" applyAlignment="0" applyProtection="0"/>
    <xf numFmtId="0" fontId="1" fillId="60" borderId="0" applyNumberFormat="0" applyBorder="0" applyAlignment="0" applyProtection="0"/>
    <xf numFmtId="0" fontId="1" fillId="61" borderId="0" applyNumberFormat="0" applyBorder="0" applyAlignment="0" applyProtection="0"/>
    <xf numFmtId="0" fontId="1" fillId="64" borderId="0" applyNumberFormat="0" applyBorder="0" applyAlignment="0" applyProtection="0"/>
    <xf numFmtId="0" fontId="1" fillId="65" borderId="0" applyNumberFormat="0" applyBorder="0" applyAlignment="0" applyProtection="0"/>
    <xf numFmtId="0" fontId="1" fillId="68" borderId="0" applyNumberFormat="0" applyBorder="0" applyAlignment="0" applyProtection="0"/>
    <xf numFmtId="0" fontId="1" fillId="69" borderId="0" applyNumberFormat="0" applyBorder="0" applyAlignment="0" applyProtection="0"/>
    <xf numFmtId="0" fontId="1" fillId="72" borderId="0" applyNumberFormat="0" applyBorder="0" applyAlignment="0" applyProtection="0"/>
    <xf numFmtId="0" fontId="1" fillId="73" borderId="0" applyNumberFormat="0" applyBorder="0" applyAlignment="0" applyProtection="0"/>
    <xf numFmtId="0" fontId="1" fillId="76" borderId="0" applyNumberFormat="0" applyBorder="0" applyAlignment="0" applyProtection="0"/>
    <xf numFmtId="0" fontId="1" fillId="77" borderId="0" applyNumberFormat="0" applyBorder="0" applyAlignment="0" applyProtection="0"/>
    <xf numFmtId="0" fontId="1" fillId="80" borderId="0" applyNumberFormat="0" applyBorder="0" applyAlignment="0" applyProtection="0"/>
    <xf numFmtId="0" fontId="1" fillId="81" borderId="0" applyNumberFormat="0" applyBorder="0" applyAlignment="0" applyProtection="0"/>
    <xf numFmtId="0" fontId="1" fillId="58" borderId="104" applyNumberFormat="0" applyFont="0" applyAlignment="0" applyProtection="0"/>
    <xf numFmtId="0" fontId="1" fillId="60" borderId="0" applyNumberFormat="0" applyBorder="0" applyAlignment="0" applyProtection="0"/>
    <xf numFmtId="0" fontId="1" fillId="61" borderId="0" applyNumberFormat="0" applyBorder="0" applyAlignment="0" applyProtection="0"/>
    <xf numFmtId="0" fontId="1" fillId="64" borderId="0" applyNumberFormat="0" applyBorder="0" applyAlignment="0" applyProtection="0"/>
    <xf numFmtId="0" fontId="1" fillId="65" borderId="0" applyNumberFormat="0" applyBorder="0" applyAlignment="0" applyProtection="0"/>
    <xf numFmtId="0" fontId="1" fillId="68" borderId="0" applyNumberFormat="0" applyBorder="0" applyAlignment="0" applyProtection="0"/>
    <xf numFmtId="0" fontId="1" fillId="69" borderId="0" applyNumberFormat="0" applyBorder="0" applyAlignment="0" applyProtection="0"/>
    <xf numFmtId="0" fontId="1" fillId="72" borderId="0" applyNumberFormat="0" applyBorder="0" applyAlignment="0" applyProtection="0"/>
    <xf numFmtId="0" fontId="1" fillId="73" borderId="0" applyNumberFormat="0" applyBorder="0" applyAlignment="0" applyProtection="0"/>
    <xf numFmtId="0" fontId="1" fillId="76" borderId="0" applyNumberFormat="0" applyBorder="0" applyAlignment="0" applyProtection="0"/>
    <xf numFmtId="0" fontId="1" fillId="77" borderId="0" applyNumberFormat="0" applyBorder="0" applyAlignment="0" applyProtection="0"/>
    <xf numFmtId="0" fontId="1" fillId="80" borderId="0" applyNumberFormat="0" applyBorder="0" applyAlignment="0" applyProtection="0"/>
    <xf numFmtId="0" fontId="1" fillId="81" borderId="0" applyNumberFormat="0" applyBorder="0" applyAlignment="0" applyProtection="0"/>
    <xf numFmtId="0" fontId="1" fillId="58" borderId="104" applyNumberFormat="0" applyFont="0" applyAlignment="0" applyProtection="0"/>
    <xf numFmtId="0" fontId="1" fillId="58" borderId="104" applyNumberFormat="0" applyFont="0" applyAlignment="0" applyProtection="0"/>
    <xf numFmtId="0" fontId="1" fillId="60" borderId="0" applyNumberFormat="0" applyBorder="0" applyAlignment="0" applyProtection="0"/>
    <xf numFmtId="0" fontId="1" fillId="61" borderId="0" applyNumberFormat="0" applyBorder="0" applyAlignment="0" applyProtection="0"/>
    <xf numFmtId="0" fontId="1" fillId="64" borderId="0" applyNumberFormat="0" applyBorder="0" applyAlignment="0" applyProtection="0"/>
    <xf numFmtId="0" fontId="1" fillId="65" borderId="0" applyNumberFormat="0" applyBorder="0" applyAlignment="0" applyProtection="0"/>
    <xf numFmtId="0" fontId="1" fillId="68" borderId="0" applyNumberFormat="0" applyBorder="0" applyAlignment="0" applyProtection="0"/>
    <xf numFmtId="0" fontId="1" fillId="69" borderId="0" applyNumberFormat="0" applyBorder="0" applyAlignment="0" applyProtection="0"/>
    <xf numFmtId="0" fontId="1" fillId="72" borderId="0" applyNumberFormat="0" applyBorder="0" applyAlignment="0" applyProtection="0"/>
    <xf numFmtId="0" fontId="1" fillId="73" borderId="0" applyNumberFormat="0" applyBorder="0" applyAlignment="0" applyProtection="0"/>
    <xf numFmtId="0" fontId="1" fillId="76" borderId="0" applyNumberFormat="0" applyBorder="0" applyAlignment="0" applyProtection="0"/>
    <xf numFmtId="0" fontId="1" fillId="77" borderId="0" applyNumberFormat="0" applyBorder="0" applyAlignment="0" applyProtection="0"/>
    <xf numFmtId="0" fontId="1" fillId="80" borderId="0" applyNumberFormat="0" applyBorder="0" applyAlignment="0" applyProtection="0"/>
    <xf numFmtId="0" fontId="1" fillId="81" borderId="0" applyNumberFormat="0" applyBorder="0" applyAlignment="0" applyProtection="0"/>
    <xf numFmtId="0" fontId="1" fillId="60" borderId="0" applyNumberFormat="0" applyBorder="0" applyAlignment="0" applyProtection="0"/>
    <xf numFmtId="0" fontId="1" fillId="61" borderId="0" applyNumberFormat="0" applyBorder="0" applyAlignment="0" applyProtection="0"/>
    <xf numFmtId="0" fontId="1" fillId="64" borderId="0" applyNumberFormat="0" applyBorder="0" applyAlignment="0" applyProtection="0"/>
    <xf numFmtId="0" fontId="1" fillId="65" borderId="0" applyNumberFormat="0" applyBorder="0" applyAlignment="0" applyProtection="0"/>
    <xf numFmtId="0" fontId="1" fillId="68" borderId="0" applyNumberFormat="0" applyBorder="0" applyAlignment="0" applyProtection="0"/>
    <xf numFmtId="0" fontId="1" fillId="69" borderId="0" applyNumberFormat="0" applyBorder="0" applyAlignment="0" applyProtection="0"/>
    <xf numFmtId="0" fontId="1" fillId="72" borderId="0" applyNumberFormat="0" applyBorder="0" applyAlignment="0" applyProtection="0"/>
    <xf numFmtId="0" fontId="1" fillId="73" borderId="0" applyNumberFormat="0" applyBorder="0" applyAlignment="0" applyProtection="0"/>
    <xf numFmtId="0" fontId="1" fillId="76" borderId="0" applyNumberFormat="0" applyBorder="0" applyAlignment="0" applyProtection="0"/>
    <xf numFmtId="0" fontId="1" fillId="77" borderId="0" applyNumberFormat="0" applyBorder="0" applyAlignment="0" applyProtection="0"/>
    <xf numFmtId="0" fontId="1" fillId="80" borderId="0" applyNumberFormat="0" applyBorder="0" applyAlignment="0" applyProtection="0"/>
    <xf numFmtId="0" fontId="1" fillId="81" borderId="0" applyNumberFormat="0" applyBorder="0" applyAlignment="0" applyProtection="0"/>
    <xf numFmtId="0" fontId="1" fillId="58" borderId="104" applyNumberFormat="0" applyFont="0" applyAlignment="0" applyProtection="0"/>
    <xf numFmtId="0" fontId="1" fillId="60" borderId="0" applyNumberFormat="0" applyBorder="0" applyAlignment="0" applyProtection="0"/>
    <xf numFmtId="0" fontId="1" fillId="61" borderId="0" applyNumberFormat="0" applyBorder="0" applyAlignment="0" applyProtection="0"/>
    <xf numFmtId="0" fontId="1" fillId="64" borderId="0" applyNumberFormat="0" applyBorder="0" applyAlignment="0" applyProtection="0"/>
    <xf numFmtId="0" fontId="1" fillId="65" borderId="0" applyNumberFormat="0" applyBorder="0" applyAlignment="0" applyProtection="0"/>
    <xf numFmtId="0" fontId="1" fillId="68" borderId="0" applyNumberFormat="0" applyBorder="0" applyAlignment="0" applyProtection="0"/>
    <xf numFmtId="0" fontId="1" fillId="69" borderId="0" applyNumberFormat="0" applyBorder="0" applyAlignment="0" applyProtection="0"/>
    <xf numFmtId="0" fontId="1" fillId="72" borderId="0" applyNumberFormat="0" applyBorder="0" applyAlignment="0" applyProtection="0"/>
    <xf numFmtId="0" fontId="1" fillId="73" borderId="0" applyNumberFormat="0" applyBorder="0" applyAlignment="0" applyProtection="0"/>
    <xf numFmtId="0" fontId="1" fillId="76" borderId="0" applyNumberFormat="0" applyBorder="0" applyAlignment="0" applyProtection="0"/>
    <xf numFmtId="0" fontId="1" fillId="77" borderId="0" applyNumberFormat="0" applyBorder="0" applyAlignment="0" applyProtection="0"/>
    <xf numFmtId="0" fontId="1" fillId="80" borderId="0" applyNumberFormat="0" applyBorder="0" applyAlignment="0" applyProtection="0"/>
    <xf numFmtId="0" fontId="1" fillId="81" borderId="0" applyNumberFormat="0" applyBorder="0" applyAlignment="0" applyProtection="0"/>
    <xf numFmtId="0" fontId="1" fillId="58" borderId="104" applyNumberFormat="0" applyFont="0" applyAlignment="0" applyProtection="0"/>
    <xf numFmtId="0" fontId="1" fillId="58" borderId="104" applyNumberFormat="0" applyFont="0" applyAlignment="0" applyProtection="0"/>
    <xf numFmtId="0" fontId="1" fillId="60" borderId="0" applyNumberFormat="0" applyBorder="0" applyAlignment="0" applyProtection="0"/>
    <xf numFmtId="0" fontId="1" fillId="61" borderId="0" applyNumberFormat="0" applyBorder="0" applyAlignment="0" applyProtection="0"/>
    <xf numFmtId="0" fontId="1" fillId="64" borderId="0" applyNumberFormat="0" applyBorder="0" applyAlignment="0" applyProtection="0"/>
    <xf numFmtId="0" fontId="1" fillId="65" borderId="0" applyNumberFormat="0" applyBorder="0" applyAlignment="0" applyProtection="0"/>
    <xf numFmtId="0" fontId="1" fillId="68" borderId="0" applyNumberFormat="0" applyBorder="0" applyAlignment="0" applyProtection="0"/>
    <xf numFmtId="0" fontId="1" fillId="69" borderId="0" applyNumberFormat="0" applyBorder="0" applyAlignment="0" applyProtection="0"/>
    <xf numFmtId="0" fontId="1" fillId="72" borderId="0" applyNumberFormat="0" applyBorder="0" applyAlignment="0" applyProtection="0"/>
    <xf numFmtId="0" fontId="1" fillId="73" borderId="0" applyNumberFormat="0" applyBorder="0" applyAlignment="0" applyProtection="0"/>
    <xf numFmtId="0" fontId="1" fillId="76" borderId="0" applyNumberFormat="0" applyBorder="0" applyAlignment="0" applyProtection="0"/>
    <xf numFmtId="0" fontId="1" fillId="77" borderId="0" applyNumberFormat="0" applyBorder="0" applyAlignment="0" applyProtection="0"/>
    <xf numFmtId="0" fontId="1" fillId="80" borderId="0" applyNumberFormat="0" applyBorder="0" applyAlignment="0" applyProtection="0"/>
    <xf numFmtId="0" fontId="1" fillId="81" borderId="0" applyNumberFormat="0" applyBorder="0" applyAlignment="0" applyProtection="0"/>
    <xf numFmtId="0" fontId="1" fillId="60" borderId="0" applyNumberFormat="0" applyBorder="0" applyAlignment="0" applyProtection="0"/>
    <xf numFmtId="0" fontId="1" fillId="61" borderId="0" applyNumberFormat="0" applyBorder="0" applyAlignment="0" applyProtection="0"/>
    <xf numFmtId="0" fontId="1" fillId="64" borderId="0" applyNumberFormat="0" applyBorder="0" applyAlignment="0" applyProtection="0"/>
    <xf numFmtId="0" fontId="1" fillId="65" borderId="0" applyNumberFormat="0" applyBorder="0" applyAlignment="0" applyProtection="0"/>
    <xf numFmtId="0" fontId="1" fillId="68" borderId="0" applyNumberFormat="0" applyBorder="0" applyAlignment="0" applyProtection="0"/>
    <xf numFmtId="0" fontId="1" fillId="69" borderId="0" applyNumberFormat="0" applyBorder="0" applyAlignment="0" applyProtection="0"/>
    <xf numFmtId="0" fontId="1" fillId="72" borderId="0" applyNumberFormat="0" applyBorder="0" applyAlignment="0" applyProtection="0"/>
    <xf numFmtId="0" fontId="1" fillId="73" borderId="0" applyNumberFormat="0" applyBorder="0" applyAlignment="0" applyProtection="0"/>
    <xf numFmtId="0" fontId="1" fillId="76" borderId="0" applyNumberFormat="0" applyBorder="0" applyAlignment="0" applyProtection="0"/>
    <xf numFmtId="0" fontId="1" fillId="77" borderId="0" applyNumberFormat="0" applyBorder="0" applyAlignment="0" applyProtection="0"/>
    <xf numFmtId="0" fontId="1" fillId="80" borderId="0" applyNumberFormat="0" applyBorder="0" applyAlignment="0" applyProtection="0"/>
    <xf numFmtId="0" fontId="1" fillId="81" borderId="0" applyNumberFormat="0" applyBorder="0" applyAlignment="0" applyProtection="0"/>
    <xf numFmtId="0" fontId="1" fillId="58" borderId="104" applyNumberFormat="0" applyFont="0" applyAlignment="0" applyProtection="0"/>
    <xf numFmtId="0" fontId="1" fillId="26" borderId="0" applyNumberFormat="0" applyBorder="0" applyAlignment="0" applyProtection="0"/>
    <xf numFmtId="0" fontId="1" fillId="60" borderId="0" applyNumberFormat="0" applyBorder="0" applyAlignment="0" applyProtection="0"/>
    <xf numFmtId="0" fontId="1" fillId="60" borderId="0" applyNumberFormat="0" applyBorder="0" applyAlignment="0" applyProtection="0"/>
    <xf numFmtId="0" fontId="1" fillId="60" borderId="0" applyNumberFormat="0" applyBorder="0" applyAlignment="0" applyProtection="0"/>
    <xf numFmtId="0" fontId="1" fillId="60" borderId="0" applyNumberFormat="0" applyBorder="0" applyAlignment="0" applyProtection="0"/>
    <xf numFmtId="0" fontId="1" fillId="60" borderId="0" applyNumberFormat="0" applyBorder="0" applyAlignment="0" applyProtection="0"/>
    <xf numFmtId="0" fontId="1" fillId="60" borderId="0" applyNumberFormat="0" applyBorder="0" applyAlignment="0" applyProtection="0"/>
    <xf numFmtId="0" fontId="1" fillId="60" borderId="0" applyNumberFormat="0" applyBorder="0" applyAlignment="0" applyProtection="0"/>
    <xf numFmtId="0" fontId="1" fillId="60" borderId="0" applyNumberFormat="0" applyBorder="0" applyAlignment="0" applyProtection="0"/>
    <xf numFmtId="0" fontId="1" fillId="60" borderId="0" applyNumberFormat="0" applyBorder="0" applyAlignment="0" applyProtection="0"/>
    <xf numFmtId="0" fontId="1" fillId="64" borderId="0" applyNumberFormat="0" applyBorder="0" applyAlignment="0" applyProtection="0"/>
    <xf numFmtId="0" fontId="1" fillId="64" borderId="0" applyNumberFormat="0" applyBorder="0" applyAlignment="0" applyProtection="0"/>
    <xf numFmtId="0" fontId="1" fillId="64" borderId="0" applyNumberFormat="0" applyBorder="0" applyAlignment="0" applyProtection="0"/>
    <xf numFmtId="0" fontId="1" fillId="64" borderId="0" applyNumberFormat="0" applyBorder="0" applyAlignment="0" applyProtection="0"/>
    <xf numFmtId="0" fontId="1" fillId="64" borderId="0" applyNumberFormat="0" applyBorder="0" applyAlignment="0" applyProtection="0"/>
    <xf numFmtId="0" fontId="1" fillId="64" borderId="0" applyNumberFormat="0" applyBorder="0" applyAlignment="0" applyProtection="0"/>
    <xf numFmtId="0" fontId="1" fillId="64" borderId="0" applyNumberFormat="0" applyBorder="0" applyAlignment="0" applyProtection="0"/>
    <xf numFmtId="0" fontId="1" fillId="64" borderId="0" applyNumberFormat="0" applyBorder="0" applyAlignment="0" applyProtection="0"/>
    <xf numFmtId="0" fontId="1" fillId="64" borderId="0" applyNumberFormat="0" applyBorder="0" applyAlignment="0" applyProtection="0"/>
    <xf numFmtId="0" fontId="1" fillId="68" borderId="0" applyNumberFormat="0" applyBorder="0" applyAlignment="0" applyProtection="0"/>
    <xf numFmtId="0" fontId="1" fillId="68" borderId="0" applyNumberFormat="0" applyBorder="0" applyAlignment="0" applyProtection="0"/>
    <xf numFmtId="0" fontId="1" fillId="68" borderId="0" applyNumberFormat="0" applyBorder="0" applyAlignment="0" applyProtection="0"/>
    <xf numFmtId="0" fontId="1" fillId="68" borderId="0" applyNumberFormat="0" applyBorder="0" applyAlignment="0" applyProtection="0"/>
    <xf numFmtId="0" fontId="1" fillId="68" borderId="0" applyNumberFormat="0" applyBorder="0" applyAlignment="0" applyProtection="0"/>
    <xf numFmtId="0" fontId="1" fillId="68" borderId="0" applyNumberFormat="0" applyBorder="0" applyAlignment="0" applyProtection="0"/>
    <xf numFmtId="0" fontId="1" fillId="68" borderId="0" applyNumberFormat="0" applyBorder="0" applyAlignment="0" applyProtection="0"/>
    <xf numFmtId="0" fontId="1" fillId="68" borderId="0" applyNumberFormat="0" applyBorder="0" applyAlignment="0" applyProtection="0"/>
    <xf numFmtId="0" fontId="1" fillId="68" borderId="0" applyNumberFormat="0" applyBorder="0" applyAlignment="0" applyProtection="0"/>
    <xf numFmtId="0" fontId="1" fillId="72" borderId="0" applyNumberFormat="0" applyBorder="0" applyAlignment="0" applyProtection="0"/>
    <xf numFmtId="0" fontId="1" fillId="72" borderId="0" applyNumberFormat="0" applyBorder="0" applyAlignment="0" applyProtection="0"/>
    <xf numFmtId="0" fontId="1" fillId="72" borderId="0" applyNumberFormat="0" applyBorder="0" applyAlignment="0" applyProtection="0"/>
    <xf numFmtId="0" fontId="1" fillId="72" borderId="0" applyNumberFormat="0" applyBorder="0" applyAlignment="0" applyProtection="0"/>
    <xf numFmtId="0" fontId="1" fillId="72" borderId="0" applyNumberFormat="0" applyBorder="0" applyAlignment="0" applyProtection="0"/>
    <xf numFmtId="0" fontId="1" fillId="72" borderId="0" applyNumberFormat="0" applyBorder="0" applyAlignment="0" applyProtection="0"/>
    <xf numFmtId="0" fontId="1" fillId="72" borderId="0" applyNumberFormat="0" applyBorder="0" applyAlignment="0" applyProtection="0"/>
    <xf numFmtId="0" fontId="1" fillId="72" borderId="0" applyNumberFormat="0" applyBorder="0" applyAlignment="0" applyProtection="0"/>
    <xf numFmtId="0" fontId="1" fillId="72" borderId="0" applyNumberFormat="0" applyBorder="0" applyAlignment="0" applyProtection="0"/>
    <xf numFmtId="0" fontId="1" fillId="76" borderId="0" applyNumberFormat="0" applyBorder="0" applyAlignment="0" applyProtection="0"/>
    <xf numFmtId="0" fontId="1" fillId="76" borderId="0" applyNumberFormat="0" applyBorder="0" applyAlignment="0" applyProtection="0"/>
    <xf numFmtId="0" fontId="1" fillId="76" borderId="0" applyNumberFormat="0" applyBorder="0" applyAlignment="0" applyProtection="0"/>
    <xf numFmtId="0" fontId="1" fillId="76" borderId="0" applyNumberFormat="0" applyBorder="0" applyAlignment="0" applyProtection="0"/>
    <xf numFmtId="0" fontId="1" fillId="76" borderId="0" applyNumberFormat="0" applyBorder="0" applyAlignment="0" applyProtection="0"/>
    <xf numFmtId="0" fontId="1" fillId="76" borderId="0" applyNumberFormat="0" applyBorder="0" applyAlignment="0" applyProtection="0"/>
    <xf numFmtId="0" fontId="1" fillId="76" borderId="0" applyNumberFormat="0" applyBorder="0" applyAlignment="0" applyProtection="0"/>
    <xf numFmtId="0" fontId="1" fillId="76" borderId="0" applyNumberFormat="0" applyBorder="0" applyAlignment="0" applyProtection="0"/>
    <xf numFmtId="0" fontId="1" fillId="76" borderId="0" applyNumberFormat="0" applyBorder="0" applyAlignment="0" applyProtection="0"/>
    <xf numFmtId="0" fontId="1" fillId="80" borderId="0" applyNumberFormat="0" applyBorder="0" applyAlignment="0" applyProtection="0"/>
    <xf numFmtId="0" fontId="1" fillId="80" borderId="0" applyNumberFormat="0" applyBorder="0" applyAlignment="0" applyProtection="0"/>
    <xf numFmtId="0" fontId="1" fillId="80" borderId="0" applyNumberFormat="0" applyBorder="0" applyAlignment="0" applyProtection="0"/>
    <xf numFmtId="0" fontId="1" fillId="80" borderId="0" applyNumberFormat="0" applyBorder="0" applyAlignment="0" applyProtection="0"/>
    <xf numFmtId="0" fontId="1" fillId="80" borderId="0" applyNumberFormat="0" applyBorder="0" applyAlignment="0" applyProtection="0"/>
    <xf numFmtId="0" fontId="1" fillId="80" borderId="0" applyNumberFormat="0" applyBorder="0" applyAlignment="0" applyProtection="0"/>
    <xf numFmtId="0" fontId="1" fillId="80" borderId="0" applyNumberFormat="0" applyBorder="0" applyAlignment="0" applyProtection="0"/>
    <xf numFmtId="0" fontId="1" fillId="80" borderId="0" applyNumberFormat="0" applyBorder="0" applyAlignment="0" applyProtection="0"/>
    <xf numFmtId="0" fontId="1" fillId="80" borderId="0" applyNumberFormat="0" applyBorder="0" applyAlignment="0" applyProtection="0"/>
    <xf numFmtId="0" fontId="1" fillId="61" borderId="0" applyNumberFormat="0" applyBorder="0" applyAlignment="0" applyProtection="0"/>
    <xf numFmtId="0" fontId="1" fillId="61" borderId="0" applyNumberFormat="0" applyBorder="0" applyAlignment="0" applyProtection="0"/>
    <xf numFmtId="0" fontId="1" fillId="61" borderId="0" applyNumberFormat="0" applyBorder="0" applyAlignment="0" applyProtection="0"/>
    <xf numFmtId="0" fontId="1" fillId="61" borderId="0" applyNumberFormat="0" applyBorder="0" applyAlignment="0" applyProtection="0"/>
    <xf numFmtId="0" fontId="1" fillId="61" borderId="0" applyNumberFormat="0" applyBorder="0" applyAlignment="0" applyProtection="0"/>
    <xf numFmtId="0" fontId="1" fillId="61" borderId="0" applyNumberFormat="0" applyBorder="0" applyAlignment="0" applyProtection="0"/>
    <xf numFmtId="0" fontId="1" fillId="61" borderId="0" applyNumberFormat="0" applyBorder="0" applyAlignment="0" applyProtection="0"/>
    <xf numFmtId="0" fontId="1" fillId="61" borderId="0" applyNumberFormat="0" applyBorder="0" applyAlignment="0" applyProtection="0"/>
    <xf numFmtId="0" fontId="1" fillId="61" borderId="0" applyNumberFormat="0" applyBorder="0" applyAlignment="0" applyProtection="0"/>
    <xf numFmtId="0" fontId="1" fillId="65" borderId="0" applyNumberFormat="0" applyBorder="0" applyAlignment="0" applyProtection="0"/>
    <xf numFmtId="0" fontId="1" fillId="65" borderId="0" applyNumberFormat="0" applyBorder="0" applyAlignment="0" applyProtection="0"/>
    <xf numFmtId="0" fontId="1" fillId="65" borderId="0" applyNumberFormat="0" applyBorder="0" applyAlignment="0" applyProtection="0"/>
    <xf numFmtId="0" fontId="1" fillId="65" borderId="0" applyNumberFormat="0" applyBorder="0" applyAlignment="0" applyProtection="0"/>
    <xf numFmtId="0" fontId="1" fillId="65" borderId="0" applyNumberFormat="0" applyBorder="0" applyAlignment="0" applyProtection="0"/>
    <xf numFmtId="0" fontId="1" fillId="65" borderId="0" applyNumberFormat="0" applyBorder="0" applyAlignment="0" applyProtection="0"/>
    <xf numFmtId="0" fontId="1" fillId="65" borderId="0" applyNumberFormat="0" applyBorder="0" applyAlignment="0" applyProtection="0"/>
    <xf numFmtId="0" fontId="1" fillId="65" borderId="0" applyNumberFormat="0" applyBorder="0" applyAlignment="0" applyProtection="0"/>
    <xf numFmtId="0" fontId="1" fillId="65" borderId="0" applyNumberFormat="0" applyBorder="0" applyAlignment="0" applyProtection="0"/>
    <xf numFmtId="0" fontId="1" fillId="69" borderId="0" applyNumberFormat="0" applyBorder="0" applyAlignment="0" applyProtection="0"/>
    <xf numFmtId="0" fontId="1" fillId="69" borderId="0" applyNumberFormat="0" applyBorder="0" applyAlignment="0" applyProtection="0"/>
    <xf numFmtId="0" fontId="1" fillId="69" borderId="0" applyNumberFormat="0" applyBorder="0" applyAlignment="0" applyProtection="0"/>
    <xf numFmtId="0" fontId="1" fillId="69" borderId="0" applyNumberFormat="0" applyBorder="0" applyAlignment="0" applyProtection="0"/>
    <xf numFmtId="0" fontId="1" fillId="69" borderId="0" applyNumberFormat="0" applyBorder="0" applyAlignment="0" applyProtection="0"/>
    <xf numFmtId="0" fontId="1" fillId="69" borderId="0" applyNumberFormat="0" applyBorder="0" applyAlignment="0" applyProtection="0"/>
    <xf numFmtId="0" fontId="1" fillId="69" borderId="0" applyNumberFormat="0" applyBorder="0" applyAlignment="0" applyProtection="0"/>
    <xf numFmtId="0" fontId="1" fillId="69" borderId="0" applyNumberFormat="0" applyBorder="0" applyAlignment="0" applyProtection="0"/>
    <xf numFmtId="0" fontId="1" fillId="69" borderId="0" applyNumberFormat="0" applyBorder="0" applyAlignment="0" applyProtection="0"/>
    <xf numFmtId="0" fontId="1" fillId="73" borderId="0" applyNumberFormat="0" applyBorder="0" applyAlignment="0" applyProtection="0"/>
    <xf numFmtId="0" fontId="1" fillId="73" borderId="0" applyNumberFormat="0" applyBorder="0" applyAlignment="0" applyProtection="0"/>
    <xf numFmtId="0" fontId="1" fillId="73" borderId="0" applyNumberFormat="0" applyBorder="0" applyAlignment="0" applyProtection="0"/>
    <xf numFmtId="0" fontId="1" fillId="73" borderId="0" applyNumberFormat="0" applyBorder="0" applyAlignment="0" applyProtection="0"/>
    <xf numFmtId="0" fontId="1" fillId="73" borderId="0" applyNumberFormat="0" applyBorder="0" applyAlignment="0" applyProtection="0"/>
    <xf numFmtId="0" fontId="1" fillId="73" borderId="0" applyNumberFormat="0" applyBorder="0" applyAlignment="0" applyProtection="0"/>
    <xf numFmtId="0" fontId="1" fillId="73" borderId="0" applyNumberFormat="0" applyBorder="0" applyAlignment="0" applyProtection="0"/>
    <xf numFmtId="0" fontId="1" fillId="73" borderId="0" applyNumberFormat="0" applyBorder="0" applyAlignment="0" applyProtection="0"/>
    <xf numFmtId="0" fontId="1" fillId="73" borderId="0" applyNumberFormat="0" applyBorder="0" applyAlignment="0" applyProtection="0"/>
    <xf numFmtId="0" fontId="1" fillId="77" borderId="0" applyNumberFormat="0" applyBorder="0" applyAlignment="0" applyProtection="0"/>
    <xf numFmtId="0" fontId="1" fillId="77" borderId="0" applyNumberFormat="0" applyBorder="0" applyAlignment="0" applyProtection="0"/>
    <xf numFmtId="0" fontId="1" fillId="77" borderId="0" applyNumberFormat="0" applyBorder="0" applyAlignment="0" applyProtection="0"/>
    <xf numFmtId="0" fontId="1" fillId="77" borderId="0" applyNumberFormat="0" applyBorder="0" applyAlignment="0" applyProtection="0"/>
    <xf numFmtId="0" fontId="1" fillId="77" borderId="0" applyNumberFormat="0" applyBorder="0" applyAlignment="0" applyProtection="0"/>
    <xf numFmtId="0" fontId="1" fillId="77" borderId="0" applyNumberFormat="0" applyBorder="0" applyAlignment="0" applyProtection="0"/>
    <xf numFmtId="0" fontId="1" fillId="77" borderId="0" applyNumberFormat="0" applyBorder="0" applyAlignment="0" applyProtection="0"/>
    <xf numFmtId="0" fontId="1" fillId="77" borderId="0" applyNumberFormat="0" applyBorder="0" applyAlignment="0" applyProtection="0"/>
    <xf numFmtId="0" fontId="1" fillId="77" borderId="0" applyNumberFormat="0" applyBorder="0" applyAlignment="0" applyProtection="0"/>
    <xf numFmtId="0" fontId="1" fillId="81" borderId="0" applyNumberFormat="0" applyBorder="0" applyAlignment="0" applyProtection="0"/>
    <xf numFmtId="0" fontId="1" fillId="81" borderId="0" applyNumberFormat="0" applyBorder="0" applyAlignment="0" applyProtection="0"/>
    <xf numFmtId="0" fontId="1" fillId="81" borderId="0" applyNumberFormat="0" applyBorder="0" applyAlignment="0" applyProtection="0"/>
    <xf numFmtId="0" fontId="1" fillId="81" borderId="0" applyNumberFormat="0" applyBorder="0" applyAlignment="0" applyProtection="0"/>
    <xf numFmtId="0" fontId="1" fillId="81" borderId="0" applyNumberFormat="0" applyBorder="0" applyAlignment="0" applyProtection="0"/>
    <xf numFmtId="0" fontId="1" fillId="81" borderId="0" applyNumberFormat="0" applyBorder="0" applyAlignment="0" applyProtection="0"/>
    <xf numFmtId="0" fontId="1" fillId="81" borderId="0" applyNumberFormat="0" applyBorder="0" applyAlignment="0" applyProtection="0"/>
    <xf numFmtId="0" fontId="1" fillId="81" borderId="0" applyNumberFormat="0" applyBorder="0" applyAlignment="0" applyProtection="0"/>
    <xf numFmtId="0" fontId="1" fillId="81" borderId="0" applyNumberFormat="0" applyBorder="0" applyAlignment="0" applyProtection="0"/>
    <xf numFmtId="0" fontId="1" fillId="58" borderId="104" applyNumberFormat="0" applyFont="0" applyAlignment="0" applyProtection="0"/>
    <xf numFmtId="0" fontId="1" fillId="58" borderId="104" applyNumberFormat="0" applyFont="0" applyAlignment="0" applyProtection="0"/>
    <xf numFmtId="0" fontId="1" fillId="58" borderId="104" applyNumberFormat="0" applyFont="0" applyAlignment="0" applyProtection="0"/>
    <xf numFmtId="0" fontId="1" fillId="58" borderId="104" applyNumberFormat="0" applyFont="0" applyAlignment="0" applyProtection="0"/>
    <xf numFmtId="0" fontId="1" fillId="58" borderId="104" applyNumberFormat="0" applyFont="0" applyAlignment="0" applyProtection="0"/>
    <xf numFmtId="0" fontId="1" fillId="58" borderId="104" applyNumberFormat="0" applyFont="0" applyAlignment="0" applyProtection="0"/>
    <xf numFmtId="0" fontId="1" fillId="58" borderId="104" applyNumberFormat="0" applyFont="0" applyAlignment="0" applyProtection="0"/>
    <xf numFmtId="0" fontId="1" fillId="58" borderId="104" applyNumberFormat="0" applyFont="0" applyAlignment="0" applyProtection="0"/>
    <xf numFmtId="0" fontId="1" fillId="58" borderId="104" applyNumberFormat="0" applyFont="0" applyAlignment="0" applyProtection="0"/>
    <xf numFmtId="0" fontId="1" fillId="0" borderId="0"/>
    <xf numFmtId="165" fontId="1" fillId="0" borderId="0" applyFont="0" applyFill="0" applyBorder="0" applyAlignment="0" applyProtection="0"/>
    <xf numFmtId="0" fontId="1" fillId="0" borderId="0"/>
    <xf numFmtId="0" fontId="1" fillId="0" borderId="0"/>
    <xf numFmtId="0" fontId="1" fillId="0" borderId="0"/>
    <xf numFmtId="0" fontId="1" fillId="60" borderId="0" applyNumberFormat="0" applyBorder="0" applyAlignment="0" applyProtection="0"/>
    <xf numFmtId="0" fontId="1" fillId="61" borderId="0" applyNumberFormat="0" applyBorder="0" applyAlignment="0" applyProtection="0"/>
    <xf numFmtId="0" fontId="1" fillId="64" borderId="0" applyNumberFormat="0" applyBorder="0" applyAlignment="0" applyProtection="0"/>
    <xf numFmtId="0" fontId="1" fillId="65" borderId="0" applyNumberFormat="0" applyBorder="0" applyAlignment="0" applyProtection="0"/>
    <xf numFmtId="0" fontId="1" fillId="68" borderId="0" applyNumberFormat="0" applyBorder="0" applyAlignment="0" applyProtection="0"/>
    <xf numFmtId="0" fontId="1" fillId="69" borderId="0" applyNumberFormat="0" applyBorder="0" applyAlignment="0" applyProtection="0"/>
    <xf numFmtId="0" fontId="1" fillId="72" borderId="0" applyNumberFormat="0" applyBorder="0" applyAlignment="0" applyProtection="0"/>
    <xf numFmtId="0" fontId="1" fillId="73" borderId="0" applyNumberFormat="0" applyBorder="0" applyAlignment="0" applyProtection="0"/>
    <xf numFmtId="0" fontId="1" fillId="76" borderId="0" applyNumberFormat="0" applyBorder="0" applyAlignment="0" applyProtection="0"/>
    <xf numFmtId="0" fontId="1" fillId="77" borderId="0" applyNumberFormat="0" applyBorder="0" applyAlignment="0" applyProtection="0"/>
    <xf numFmtId="0" fontId="1" fillId="80" borderId="0" applyNumberFormat="0" applyBorder="0" applyAlignment="0" applyProtection="0"/>
    <xf numFmtId="0" fontId="1" fillId="81" borderId="0" applyNumberFormat="0" applyBorder="0" applyAlignment="0" applyProtection="0"/>
    <xf numFmtId="0" fontId="1" fillId="7" borderId="0" applyNumberFormat="0" applyBorder="0" applyAlignment="0" applyProtection="0"/>
    <xf numFmtId="0" fontId="1" fillId="58" borderId="104" applyNumberFormat="0" applyFont="0" applyAlignment="0" applyProtection="0"/>
    <xf numFmtId="0" fontId="1" fillId="58" borderId="104" applyNumberFormat="0" applyFont="0" applyAlignment="0" applyProtection="0"/>
    <xf numFmtId="0" fontId="1" fillId="60" borderId="0" applyNumberFormat="0" applyBorder="0" applyAlignment="0" applyProtection="0"/>
    <xf numFmtId="0" fontId="1" fillId="61" borderId="0" applyNumberFormat="0" applyBorder="0" applyAlignment="0" applyProtection="0"/>
    <xf numFmtId="0" fontId="1" fillId="64" borderId="0" applyNumberFormat="0" applyBorder="0" applyAlignment="0" applyProtection="0"/>
    <xf numFmtId="0" fontId="1" fillId="65" borderId="0" applyNumberFormat="0" applyBorder="0" applyAlignment="0" applyProtection="0"/>
    <xf numFmtId="0" fontId="1" fillId="68" borderId="0" applyNumberFormat="0" applyBorder="0" applyAlignment="0" applyProtection="0"/>
    <xf numFmtId="0" fontId="1" fillId="69" borderId="0" applyNumberFormat="0" applyBorder="0" applyAlignment="0" applyProtection="0"/>
    <xf numFmtId="0" fontId="1" fillId="72" borderId="0" applyNumberFormat="0" applyBorder="0" applyAlignment="0" applyProtection="0"/>
    <xf numFmtId="0" fontId="1" fillId="73" borderId="0" applyNumberFormat="0" applyBorder="0" applyAlignment="0" applyProtection="0"/>
    <xf numFmtId="0" fontId="1" fillId="76" borderId="0" applyNumberFormat="0" applyBorder="0" applyAlignment="0" applyProtection="0"/>
    <xf numFmtId="0" fontId="1" fillId="77" borderId="0" applyNumberFormat="0" applyBorder="0" applyAlignment="0" applyProtection="0"/>
    <xf numFmtId="0" fontId="1" fillId="80" borderId="0" applyNumberFormat="0" applyBorder="0" applyAlignment="0" applyProtection="0"/>
    <xf numFmtId="0" fontId="1" fillId="81" borderId="0" applyNumberFormat="0" applyBorder="0" applyAlignment="0" applyProtection="0"/>
    <xf numFmtId="0" fontId="1" fillId="60" borderId="0" applyNumberFormat="0" applyBorder="0" applyAlignment="0" applyProtection="0"/>
    <xf numFmtId="0" fontId="1" fillId="61" borderId="0" applyNumberFormat="0" applyBorder="0" applyAlignment="0" applyProtection="0"/>
    <xf numFmtId="0" fontId="1" fillId="64" borderId="0" applyNumberFormat="0" applyBorder="0" applyAlignment="0" applyProtection="0"/>
    <xf numFmtId="0" fontId="1" fillId="65" borderId="0" applyNumberFormat="0" applyBorder="0" applyAlignment="0" applyProtection="0"/>
    <xf numFmtId="0" fontId="1" fillId="68" borderId="0" applyNumberFormat="0" applyBorder="0" applyAlignment="0" applyProtection="0"/>
    <xf numFmtId="0" fontId="1" fillId="69" borderId="0" applyNumberFormat="0" applyBorder="0" applyAlignment="0" applyProtection="0"/>
    <xf numFmtId="0" fontId="1" fillId="72" borderId="0" applyNumberFormat="0" applyBorder="0" applyAlignment="0" applyProtection="0"/>
    <xf numFmtId="0" fontId="1" fillId="73" borderId="0" applyNumberFormat="0" applyBorder="0" applyAlignment="0" applyProtection="0"/>
    <xf numFmtId="0" fontId="1" fillId="76" borderId="0" applyNumberFormat="0" applyBorder="0" applyAlignment="0" applyProtection="0"/>
    <xf numFmtId="0" fontId="1" fillId="77" borderId="0" applyNumberFormat="0" applyBorder="0" applyAlignment="0" applyProtection="0"/>
    <xf numFmtId="0" fontId="1" fillId="80" borderId="0" applyNumberFormat="0" applyBorder="0" applyAlignment="0" applyProtection="0"/>
    <xf numFmtId="0" fontId="1" fillId="81" borderId="0" applyNumberFormat="0" applyBorder="0" applyAlignment="0" applyProtection="0"/>
    <xf numFmtId="0" fontId="1" fillId="58" borderId="104" applyNumberFormat="0" applyFont="0" applyAlignment="0" applyProtection="0"/>
    <xf numFmtId="0" fontId="1" fillId="60" borderId="0" applyNumberFormat="0" applyBorder="0" applyAlignment="0" applyProtection="0"/>
    <xf numFmtId="0" fontId="1" fillId="61" borderId="0" applyNumberFormat="0" applyBorder="0" applyAlignment="0" applyProtection="0"/>
    <xf numFmtId="0" fontId="1" fillId="64" borderId="0" applyNumberFormat="0" applyBorder="0" applyAlignment="0" applyProtection="0"/>
    <xf numFmtId="0" fontId="1" fillId="65" borderId="0" applyNumberFormat="0" applyBorder="0" applyAlignment="0" applyProtection="0"/>
    <xf numFmtId="0" fontId="1" fillId="68" borderId="0" applyNumberFormat="0" applyBorder="0" applyAlignment="0" applyProtection="0"/>
    <xf numFmtId="0" fontId="1" fillId="69" borderId="0" applyNumberFormat="0" applyBorder="0" applyAlignment="0" applyProtection="0"/>
    <xf numFmtId="0" fontId="1" fillId="72" borderId="0" applyNumberFormat="0" applyBorder="0" applyAlignment="0" applyProtection="0"/>
    <xf numFmtId="0" fontId="1" fillId="73" borderId="0" applyNumberFormat="0" applyBorder="0" applyAlignment="0" applyProtection="0"/>
    <xf numFmtId="0" fontId="1" fillId="76" borderId="0" applyNumberFormat="0" applyBorder="0" applyAlignment="0" applyProtection="0"/>
    <xf numFmtId="0" fontId="1" fillId="77" borderId="0" applyNumberFormat="0" applyBorder="0" applyAlignment="0" applyProtection="0"/>
    <xf numFmtId="0" fontId="1" fillId="80" borderId="0" applyNumberFormat="0" applyBorder="0" applyAlignment="0" applyProtection="0"/>
    <xf numFmtId="0" fontId="1" fillId="81" borderId="0" applyNumberFormat="0" applyBorder="0" applyAlignment="0" applyProtection="0"/>
    <xf numFmtId="0" fontId="1" fillId="58" borderId="104" applyNumberFormat="0" applyFont="0" applyAlignment="0" applyProtection="0"/>
    <xf numFmtId="0" fontId="1" fillId="58" borderId="104" applyNumberFormat="0" applyFont="0" applyAlignment="0" applyProtection="0"/>
    <xf numFmtId="0" fontId="1" fillId="60" borderId="0" applyNumberFormat="0" applyBorder="0" applyAlignment="0" applyProtection="0"/>
    <xf numFmtId="0" fontId="1" fillId="61" borderId="0" applyNumberFormat="0" applyBorder="0" applyAlignment="0" applyProtection="0"/>
    <xf numFmtId="0" fontId="1" fillId="64" borderId="0" applyNumberFormat="0" applyBorder="0" applyAlignment="0" applyProtection="0"/>
    <xf numFmtId="0" fontId="1" fillId="65" borderId="0" applyNumberFormat="0" applyBorder="0" applyAlignment="0" applyProtection="0"/>
    <xf numFmtId="0" fontId="1" fillId="68" borderId="0" applyNumberFormat="0" applyBorder="0" applyAlignment="0" applyProtection="0"/>
    <xf numFmtId="0" fontId="1" fillId="69" borderId="0" applyNumberFormat="0" applyBorder="0" applyAlignment="0" applyProtection="0"/>
    <xf numFmtId="0" fontId="1" fillId="72" borderId="0" applyNumberFormat="0" applyBorder="0" applyAlignment="0" applyProtection="0"/>
    <xf numFmtId="0" fontId="1" fillId="73" borderId="0" applyNumberFormat="0" applyBorder="0" applyAlignment="0" applyProtection="0"/>
    <xf numFmtId="0" fontId="1" fillId="76" borderId="0" applyNumberFormat="0" applyBorder="0" applyAlignment="0" applyProtection="0"/>
    <xf numFmtId="0" fontId="1" fillId="77" borderId="0" applyNumberFormat="0" applyBorder="0" applyAlignment="0" applyProtection="0"/>
    <xf numFmtId="0" fontId="1" fillId="80" borderId="0" applyNumberFormat="0" applyBorder="0" applyAlignment="0" applyProtection="0"/>
    <xf numFmtId="0" fontId="1" fillId="81" borderId="0" applyNumberFormat="0" applyBorder="0" applyAlignment="0" applyProtection="0"/>
    <xf numFmtId="0" fontId="1" fillId="60" borderId="0" applyNumberFormat="0" applyBorder="0" applyAlignment="0" applyProtection="0"/>
    <xf numFmtId="0" fontId="1" fillId="61" borderId="0" applyNumberFormat="0" applyBorder="0" applyAlignment="0" applyProtection="0"/>
    <xf numFmtId="0" fontId="1" fillId="64" borderId="0" applyNumberFormat="0" applyBorder="0" applyAlignment="0" applyProtection="0"/>
    <xf numFmtId="0" fontId="1" fillId="65" borderId="0" applyNumberFormat="0" applyBorder="0" applyAlignment="0" applyProtection="0"/>
    <xf numFmtId="0" fontId="1" fillId="68" borderId="0" applyNumberFormat="0" applyBorder="0" applyAlignment="0" applyProtection="0"/>
    <xf numFmtId="0" fontId="1" fillId="69" borderId="0" applyNumberFormat="0" applyBorder="0" applyAlignment="0" applyProtection="0"/>
    <xf numFmtId="0" fontId="1" fillId="72" borderId="0" applyNumberFormat="0" applyBorder="0" applyAlignment="0" applyProtection="0"/>
    <xf numFmtId="0" fontId="1" fillId="73" borderId="0" applyNumberFormat="0" applyBorder="0" applyAlignment="0" applyProtection="0"/>
    <xf numFmtId="0" fontId="1" fillId="76" borderId="0" applyNumberFormat="0" applyBorder="0" applyAlignment="0" applyProtection="0"/>
    <xf numFmtId="0" fontId="1" fillId="77" borderId="0" applyNumberFormat="0" applyBorder="0" applyAlignment="0" applyProtection="0"/>
    <xf numFmtId="0" fontId="1" fillId="80" borderId="0" applyNumberFormat="0" applyBorder="0" applyAlignment="0" applyProtection="0"/>
    <xf numFmtId="0" fontId="1" fillId="81" borderId="0" applyNumberFormat="0" applyBorder="0" applyAlignment="0" applyProtection="0"/>
    <xf numFmtId="0" fontId="1" fillId="58" borderId="104" applyNumberFormat="0" applyFont="0" applyAlignment="0" applyProtection="0"/>
    <xf numFmtId="0" fontId="1" fillId="60" borderId="0" applyNumberFormat="0" applyBorder="0" applyAlignment="0" applyProtection="0"/>
    <xf numFmtId="0" fontId="1" fillId="61" borderId="0" applyNumberFormat="0" applyBorder="0" applyAlignment="0" applyProtection="0"/>
    <xf numFmtId="0" fontId="1" fillId="64" borderId="0" applyNumberFormat="0" applyBorder="0" applyAlignment="0" applyProtection="0"/>
    <xf numFmtId="0" fontId="1" fillId="65" borderId="0" applyNumberFormat="0" applyBorder="0" applyAlignment="0" applyProtection="0"/>
    <xf numFmtId="0" fontId="1" fillId="68" borderId="0" applyNumberFormat="0" applyBorder="0" applyAlignment="0" applyProtection="0"/>
    <xf numFmtId="0" fontId="1" fillId="69" borderId="0" applyNumberFormat="0" applyBorder="0" applyAlignment="0" applyProtection="0"/>
    <xf numFmtId="0" fontId="1" fillId="72" borderId="0" applyNumberFormat="0" applyBorder="0" applyAlignment="0" applyProtection="0"/>
    <xf numFmtId="0" fontId="1" fillId="73" borderId="0" applyNumberFormat="0" applyBorder="0" applyAlignment="0" applyProtection="0"/>
    <xf numFmtId="0" fontId="1" fillId="76" borderId="0" applyNumberFormat="0" applyBorder="0" applyAlignment="0" applyProtection="0"/>
    <xf numFmtId="0" fontId="1" fillId="77" borderId="0" applyNumberFormat="0" applyBorder="0" applyAlignment="0" applyProtection="0"/>
    <xf numFmtId="0" fontId="1" fillId="80" borderId="0" applyNumberFormat="0" applyBorder="0" applyAlignment="0" applyProtection="0"/>
    <xf numFmtId="0" fontId="1" fillId="81" borderId="0" applyNumberFormat="0" applyBorder="0" applyAlignment="0" applyProtection="0"/>
    <xf numFmtId="0" fontId="1" fillId="58" borderId="104" applyNumberFormat="0" applyFont="0" applyAlignment="0" applyProtection="0"/>
    <xf numFmtId="0" fontId="1" fillId="58" borderId="104" applyNumberFormat="0" applyFont="0" applyAlignment="0" applyProtection="0"/>
    <xf numFmtId="0" fontId="1" fillId="60" borderId="0" applyNumberFormat="0" applyBorder="0" applyAlignment="0" applyProtection="0"/>
    <xf numFmtId="0" fontId="1" fillId="61" borderId="0" applyNumberFormat="0" applyBorder="0" applyAlignment="0" applyProtection="0"/>
    <xf numFmtId="0" fontId="1" fillId="64" borderId="0" applyNumberFormat="0" applyBorder="0" applyAlignment="0" applyProtection="0"/>
    <xf numFmtId="0" fontId="1" fillId="65" borderId="0" applyNumberFormat="0" applyBorder="0" applyAlignment="0" applyProtection="0"/>
    <xf numFmtId="0" fontId="1" fillId="68" borderId="0" applyNumberFormat="0" applyBorder="0" applyAlignment="0" applyProtection="0"/>
    <xf numFmtId="0" fontId="1" fillId="69" borderId="0" applyNumberFormat="0" applyBorder="0" applyAlignment="0" applyProtection="0"/>
    <xf numFmtId="0" fontId="1" fillId="72" borderId="0" applyNumberFormat="0" applyBorder="0" applyAlignment="0" applyProtection="0"/>
    <xf numFmtId="0" fontId="1" fillId="73" borderId="0" applyNumberFormat="0" applyBorder="0" applyAlignment="0" applyProtection="0"/>
    <xf numFmtId="0" fontId="1" fillId="76" borderId="0" applyNumberFormat="0" applyBorder="0" applyAlignment="0" applyProtection="0"/>
    <xf numFmtId="0" fontId="1" fillId="77" borderId="0" applyNumberFormat="0" applyBorder="0" applyAlignment="0" applyProtection="0"/>
    <xf numFmtId="0" fontId="1" fillId="80" borderId="0" applyNumberFormat="0" applyBorder="0" applyAlignment="0" applyProtection="0"/>
    <xf numFmtId="0" fontId="1" fillId="81" borderId="0" applyNumberFormat="0" applyBorder="0" applyAlignment="0" applyProtection="0"/>
    <xf numFmtId="0" fontId="1" fillId="60" borderId="0" applyNumberFormat="0" applyBorder="0" applyAlignment="0" applyProtection="0"/>
    <xf numFmtId="0" fontId="1" fillId="61" borderId="0" applyNumberFormat="0" applyBorder="0" applyAlignment="0" applyProtection="0"/>
    <xf numFmtId="0" fontId="1" fillId="64" borderId="0" applyNumberFormat="0" applyBorder="0" applyAlignment="0" applyProtection="0"/>
    <xf numFmtId="0" fontId="1" fillId="65" borderId="0" applyNumberFormat="0" applyBorder="0" applyAlignment="0" applyProtection="0"/>
    <xf numFmtId="0" fontId="1" fillId="68" borderId="0" applyNumberFormat="0" applyBorder="0" applyAlignment="0" applyProtection="0"/>
    <xf numFmtId="0" fontId="1" fillId="69" borderId="0" applyNumberFormat="0" applyBorder="0" applyAlignment="0" applyProtection="0"/>
    <xf numFmtId="0" fontId="1" fillId="72" borderId="0" applyNumberFormat="0" applyBorder="0" applyAlignment="0" applyProtection="0"/>
    <xf numFmtId="0" fontId="1" fillId="73" borderId="0" applyNumberFormat="0" applyBorder="0" applyAlignment="0" applyProtection="0"/>
    <xf numFmtId="0" fontId="1" fillId="76" borderId="0" applyNumberFormat="0" applyBorder="0" applyAlignment="0" applyProtection="0"/>
    <xf numFmtId="0" fontId="1" fillId="77" borderId="0" applyNumberFormat="0" applyBorder="0" applyAlignment="0" applyProtection="0"/>
    <xf numFmtId="0" fontId="1" fillId="80" borderId="0" applyNumberFormat="0" applyBorder="0" applyAlignment="0" applyProtection="0"/>
    <xf numFmtId="0" fontId="1" fillId="81" borderId="0" applyNumberFormat="0" applyBorder="0" applyAlignment="0" applyProtection="0"/>
    <xf numFmtId="0" fontId="1" fillId="58" borderId="104" applyNumberFormat="0" applyFont="0" applyAlignment="0" applyProtection="0"/>
    <xf numFmtId="0" fontId="1" fillId="0" borderId="0"/>
    <xf numFmtId="0" fontId="1" fillId="0" borderId="0"/>
    <xf numFmtId="0" fontId="1" fillId="60" borderId="0" applyNumberFormat="0" applyBorder="0" applyAlignment="0" applyProtection="0"/>
    <xf numFmtId="0" fontId="1" fillId="61" borderId="0" applyNumberFormat="0" applyBorder="0" applyAlignment="0" applyProtection="0"/>
    <xf numFmtId="0" fontId="1" fillId="64" borderId="0" applyNumberFormat="0" applyBorder="0" applyAlignment="0" applyProtection="0"/>
    <xf numFmtId="0" fontId="1" fillId="65" borderId="0" applyNumberFormat="0" applyBorder="0" applyAlignment="0" applyProtection="0"/>
    <xf numFmtId="0" fontId="1" fillId="68" borderId="0" applyNumberFormat="0" applyBorder="0" applyAlignment="0" applyProtection="0"/>
    <xf numFmtId="0" fontId="1" fillId="69" borderId="0" applyNumberFormat="0" applyBorder="0" applyAlignment="0" applyProtection="0"/>
    <xf numFmtId="0" fontId="1" fillId="72" borderId="0" applyNumberFormat="0" applyBorder="0" applyAlignment="0" applyProtection="0"/>
    <xf numFmtId="0" fontId="1" fillId="73" borderId="0" applyNumberFormat="0" applyBorder="0" applyAlignment="0" applyProtection="0"/>
    <xf numFmtId="0" fontId="1" fillId="76" borderId="0" applyNumberFormat="0" applyBorder="0" applyAlignment="0" applyProtection="0"/>
    <xf numFmtId="0" fontId="1" fillId="77" borderId="0" applyNumberFormat="0" applyBorder="0" applyAlignment="0" applyProtection="0"/>
    <xf numFmtId="0" fontId="1" fillId="80" borderId="0" applyNumberFormat="0" applyBorder="0" applyAlignment="0" applyProtection="0"/>
    <xf numFmtId="0" fontId="1" fillId="81" borderId="0" applyNumberFormat="0" applyBorder="0" applyAlignment="0" applyProtection="0"/>
    <xf numFmtId="0" fontId="1" fillId="58" borderId="104" applyNumberFormat="0" applyFont="0" applyAlignment="0" applyProtection="0"/>
    <xf numFmtId="0" fontId="1" fillId="58" borderId="104" applyNumberFormat="0" applyFont="0" applyAlignment="0" applyProtection="0"/>
    <xf numFmtId="0" fontId="1" fillId="60" borderId="0" applyNumberFormat="0" applyBorder="0" applyAlignment="0" applyProtection="0"/>
    <xf numFmtId="0" fontId="1" fillId="61" borderId="0" applyNumberFormat="0" applyBorder="0" applyAlignment="0" applyProtection="0"/>
    <xf numFmtId="0" fontId="1" fillId="64" borderId="0" applyNumberFormat="0" applyBorder="0" applyAlignment="0" applyProtection="0"/>
    <xf numFmtId="0" fontId="1" fillId="65" borderId="0" applyNumberFormat="0" applyBorder="0" applyAlignment="0" applyProtection="0"/>
    <xf numFmtId="0" fontId="1" fillId="68" borderId="0" applyNumberFormat="0" applyBorder="0" applyAlignment="0" applyProtection="0"/>
    <xf numFmtId="0" fontId="1" fillId="69" borderId="0" applyNumberFormat="0" applyBorder="0" applyAlignment="0" applyProtection="0"/>
    <xf numFmtId="0" fontId="1" fillId="72" borderId="0" applyNumberFormat="0" applyBorder="0" applyAlignment="0" applyProtection="0"/>
    <xf numFmtId="0" fontId="1" fillId="73" borderId="0" applyNumberFormat="0" applyBorder="0" applyAlignment="0" applyProtection="0"/>
    <xf numFmtId="0" fontId="1" fillId="76" borderId="0" applyNumberFormat="0" applyBorder="0" applyAlignment="0" applyProtection="0"/>
    <xf numFmtId="0" fontId="1" fillId="77" borderId="0" applyNumberFormat="0" applyBorder="0" applyAlignment="0" applyProtection="0"/>
    <xf numFmtId="0" fontId="1" fillId="80" borderId="0" applyNumberFormat="0" applyBorder="0" applyAlignment="0" applyProtection="0"/>
    <xf numFmtId="0" fontId="1" fillId="81" borderId="0" applyNumberFormat="0" applyBorder="0" applyAlignment="0" applyProtection="0"/>
    <xf numFmtId="0" fontId="1" fillId="60" borderId="0" applyNumberFormat="0" applyBorder="0" applyAlignment="0" applyProtection="0"/>
    <xf numFmtId="0" fontId="1" fillId="61" borderId="0" applyNumberFormat="0" applyBorder="0" applyAlignment="0" applyProtection="0"/>
    <xf numFmtId="0" fontId="1" fillId="64" borderId="0" applyNumberFormat="0" applyBorder="0" applyAlignment="0" applyProtection="0"/>
    <xf numFmtId="0" fontId="1" fillId="65" borderId="0" applyNumberFormat="0" applyBorder="0" applyAlignment="0" applyProtection="0"/>
    <xf numFmtId="0" fontId="1" fillId="68" borderId="0" applyNumberFormat="0" applyBorder="0" applyAlignment="0" applyProtection="0"/>
    <xf numFmtId="0" fontId="1" fillId="69" borderId="0" applyNumberFormat="0" applyBorder="0" applyAlignment="0" applyProtection="0"/>
    <xf numFmtId="0" fontId="1" fillId="72" borderId="0" applyNumberFormat="0" applyBorder="0" applyAlignment="0" applyProtection="0"/>
    <xf numFmtId="0" fontId="1" fillId="73" borderId="0" applyNumberFormat="0" applyBorder="0" applyAlignment="0" applyProtection="0"/>
    <xf numFmtId="0" fontId="1" fillId="76" borderId="0" applyNumberFormat="0" applyBorder="0" applyAlignment="0" applyProtection="0"/>
    <xf numFmtId="0" fontId="1" fillId="77" borderId="0" applyNumberFormat="0" applyBorder="0" applyAlignment="0" applyProtection="0"/>
    <xf numFmtId="0" fontId="1" fillId="80" borderId="0" applyNumberFormat="0" applyBorder="0" applyAlignment="0" applyProtection="0"/>
    <xf numFmtId="0" fontId="1" fillId="81" borderId="0" applyNumberFormat="0" applyBorder="0" applyAlignment="0" applyProtection="0"/>
    <xf numFmtId="0" fontId="1" fillId="58" borderId="104" applyNumberFormat="0" applyFont="0" applyAlignment="0" applyProtection="0"/>
    <xf numFmtId="0" fontId="1" fillId="60" borderId="0" applyNumberFormat="0" applyBorder="0" applyAlignment="0" applyProtection="0"/>
    <xf numFmtId="0" fontId="1" fillId="61" borderId="0" applyNumberFormat="0" applyBorder="0" applyAlignment="0" applyProtection="0"/>
    <xf numFmtId="0" fontId="1" fillId="64" borderId="0" applyNumberFormat="0" applyBorder="0" applyAlignment="0" applyProtection="0"/>
    <xf numFmtId="0" fontId="1" fillId="65" borderId="0" applyNumberFormat="0" applyBorder="0" applyAlignment="0" applyProtection="0"/>
    <xf numFmtId="0" fontId="1" fillId="68" borderId="0" applyNumberFormat="0" applyBorder="0" applyAlignment="0" applyProtection="0"/>
    <xf numFmtId="0" fontId="1" fillId="69" borderId="0" applyNumberFormat="0" applyBorder="0" applyAlignment="0" applyProtection="0"/>
    <xf numFmtId="0" fontId="1" fillId="72" borderId="0" applyNumberFormat="0" applyBorder="0" applyAlignment="0" applyProtection="0"/>
    <xf numFmtId="0" fontId="1" fillId="73" borderId="0" applyNumberFormat="0" applyBorder="0" applyAlignment="0" applyProtection="0"/>
    <xf numFmtId="0" fontId="1" fillId="76" borderId="0" applyNumberFormat="0" applyBorder="0" applyAlignment="0" applyProtection="0"/>
    <xf numFmtId="0" fontId="1" fillId="77" borderId="0" applyNumberFormat="0" applyBorder="0" applyAlignment="0" applyProtection="0"/>
    <xf numFmtId="0" fontId="1" fillId="80" borderId="0" applyNumberFormat="0" applyBorder="0" applyAlignment="0" applyProtection="0"/>
    <xf numFmtId="0" fontId="1" fillId="81" borderId="0" applyNumberFormat="0" applyBorder="0" applyAlignment="0" applyProtection="0"/>
    <xf numFmtId="0" fontId="1" fillId="58" borderId="104" applyNumberFormat="0" applyFont="0" applyAlignment="0" applyProtection="0"/>
    <xf numFmtId="0" fontId="1" fillId="58" borderId="104" applyNumberFormat="0" applyFont="0" applyAlignment="0" applyProtection="0"/>
    <xf numFmtId="0" fontId="1" fillId="60" borderId="0" applyNumberFormat="0" applyBorder="0" applyAlignment="0" applyProtection="0"/>
    <xf numFmtId="0" fontId="1" fillId="61" borderId="0" applyNumberFormat="0" applyBorder="0" applyAlignment="0" applyProtection="0"/>
    <xf numFmtId="0" fontId="1" fillId="64" borderId="0" applyNumberFormat="0" applyBorder="0" applyAlignment="0" applyProtection="0"/>
    <xf numFmtId="0" fontId="1" fillId="65" borderId="0" applyNumberFormat="0" applyBorder="0" applyAlignment="0" applyProtection="0"/>
    <xf numFmtId="0" fontId="1" fillId="68" borderId="0" applyNumberFormat="0" applyBorder="0" applyAlignment="0" applyProtection="0"/>
    <xf numFmtId="0" fontId="1" fillId="69" borderId="0" applyNumberFormat="0" applyBorder="0" applyAlignment="0" applyProtection="0"/>
    <xf numFmtId="0" fontId="1" fillId="72" borderId="0" applyNumberFormat="0" applyBorder="0" applyAlignment="0" applyProtection="0"/>
    <xf numFmtId="0" fontId="1" fillId="73" borderId="0" applyNumberFormat="0" applyBorder="0" applyAlignment="0" applyProtection="0"/>
    <xf numFmtId="0" fontId="1" fillId="76" borderId="0" applyNumberFormat="0" applyBorder="0" applyAlignment="0" applyProtection="0"/>
    <xf numFmtId="0" fontId="1" fillId="77" borderId="0" applyNumberFormat="0" applyBorder="0" applyAlignment="0" applyProtection="0"/>
    <xf numFmtId="0" fontId="1" fillId="80" borderId="0" applyNumberFormat="0" applyBorder="0" applyAlignment="0" applyProtection="0"/>
    <xf numFmtId="0" fontId="1" fillId="81" borderId="0" applyNumberFormat="0" applyBorder="0" applyAlignment="0" applyProtection="0"/>
    <xf numFmtId="0" fontId="1" fillId="60" borderId="0" applyNumberFormat="0" applyBorder="0" applyAlignment="0" applyProtection="0"/>
    <xf numFmtId="0" fontId="1" fillId="61" borderId="0" applyNumberFormat="0" applyBorder="0" applyAlignment="0" applyProtection="0"/>
    <xf numFmtId="0" fontId="1" fillId="64" borderId="0" applyNumberFormat="0" applyBorder="0" applyAlignment="0" applyProtection="0"/>
    <xf numFmtId="0" fontId="1" fillId="65" borderId="0" applyNumberFormat="0" applyBorder="0" applyAlignment="0" applyProtection="0"/>
    <xf numFmtId="0" fontId="1" fillId="68" borderId="0" applyNumberFormat="0" applyBorder="0" applyAlignment="0" applyProtection="0"/>
    <xf numFmtId="0" fontId="1" fillId="69" borderId="0" applyNumberFormat="0" applyBorder="0" applyAlignment="0" applyProtection="0"/>
    <xf numFmtId="0" fontId="1" fillId="72" borderId="0" applyNumberFormat="0" applyBorder="0" applyAlignment="0" applyProtection="0"/>
    <xf numFmtId="0" fontId="1" fillId="73" borderId="0" applyNumberFormat="0" applyBorder="0" applyAlignment="0" applyProtection="0"/>
    <xf numFmtId="0" fontId="1" fillId="76" borderId="0" applyNumberFormat="0" applyBorder="0" applyAlignment="0" applyProtection="0"/>
    <xf numFmtId="0" fontId="1" fillId="77" borderId="0" applyNumberFormat="0" applyBorder="0" applyAlignment="0" applyProtection="0"/>
    <xf numFmtId="0" fontId="1" fillId="80" borderId="0" applyNumberFormat="0" applyBorder="0" applyAlignment="0" applyProtection="0"/>
    <xf numFmtId="0" fontId="1" fillId="81" borderId="0" applyNumberFormat="0" applyBorder="0" applyAlignment="0" applyProtection="0"/>
    <xf numFmtId="0" fontId="1" fillId="58" borderId="104" applyNumberFormat="0" applyFont="0" applyAlignment="0" applyProtection="0"/>
    <xf numFmtId="0" fontId="1" fillId="60" borderId="0" applyNumberFormat="0" applyBorder="0" applyAlignment="0" applyProtection="0"/>
    <xf numFmtId="0" fontId="1" fillId="61" borderId="0" applyNumberFormat="0" applyBorder="0" applyAlignment="0" applyProtection="0"/>
    <xf numFmtId="0" fontId="1" fillId="64" borderId="0" applyNumberFormat="0" applyBorder="0" applyAlignment="0" applyProtection="0"/>
    <xf numFmtId="0" fontId="1" fillId="65" borderId="0" applyNumberFormat="0" applyBorder="0" applyAlignment="0" applyProtection="0"/>
    <xf numFmtId="0" fontId="1" fillId="68" borderId="0" applyNumberFormat="0" applyBorder="0" applyAlignment="0" applyProtection="0"/>
    <xf numFmtId="0" fontId="1" fillId="69" borderId="0" applyNumberFormat="0" applyBorder="0" applyAlignment="0" applyProtection="0"/>
    <xf numFmtId="0" fontId="1" fillId="72" borderId="0" applyNumberFormat="0" applyBorder="0" applyAlignment="0" applyProtection="0"/>
    <xf numFmtId="0" fontId="1" fillId="73" borderId="0" applyNumberFormat="0" applyBorder="0" applyAlignment="0" applyProtection="0"/>
    <xf numFmtId="0" fontId="1" fillId="76" borderId="0" applyNumberFormat="0" applyBorder="0" applyAlignment="0" applyProtection="0"/>
    <xf numFmtId="0" fontId="1" fillId="77" borderId="0" applyNumberFormat="0" applyBorder="0" applyAlignment="0" applyProtection="0"/>
    <xf numFmtId="0" fontId="1" fillId="80" borderId="0" applyNumberFormat="0" applyBorder="0" applyAlignment="0" applyProtection="0"/>
    <xf numFmtId="0" fontId="1" fillId="81" borderId="0" applyNumberFormat="0" applyBorder="0" applyAlignment="0" applyProtection="0"/>
    <xf numFmtId="0" fontId="1" fillId="58" borderId="104" applyNumberFormat="0" applyFont="0" applyAlignment="0" applyProtection="0"/>
    <xf numFmtId="0" fontId="1" fillId="58" borderId="104" applyNumberFormat="0" applyFont="0" applyAlignment="0" applyProtection="0"/>
    <xf numFmtId="0" fontId="1" fillId="60" borderId="0" applyNumberFormat="0" applyBorder="0" applyAlignment="0" applyProtection="0"/>
    <xf numFmtId="0" fontId="1" fillId="61" borderId="0" applyNumberFormat="0" applyBorder="0" applyAlignment="0" applyProtection="0"/>
    <xf numFmtId="0" fontId="1" fillId="64" borderId="0" applyNumberFormat="0" applyBorder="0" applyAlignment="0" applyProtection="0"/>
    <xf numFmtId="0" fontId="1" fillId="65" borderId="0" applyNumberFormat="0" applyBorder="0" applyAlignment="0" applyProtection="0"/>
    <xf numFmtId="0" fontId="1" fillId="68" borderId="0" applyNumberFormat="0" applyBorder="0" applyAlignment="0" applyProtection="0"/>
    <xf numFmtId="0" fontId="1" fillId="69" borderId="0" applyNumberFormat="0" applyBorder="0" applyAlignment="0" applyProtection="0"/>
    <xf numFmtId="0" fontId="1" fillId="72" borderId="0" applyNumberFormat="0" applyBorder="0" applyAlignment="0" applyProtection="0"/>
    <xf numFmtId="0" fontId="1" fillId="73" borderId="0" applyNumberFormat="0" applyBorder="0" applyAlignment="0" applyProtection="0"/>
    <xf numFmtId="0" fontId="1" fillId="76" borderId="0" applyNumberFormat="0" applyBorder="0" applyAlignment="0" applyProtection="0"/>
    <xf numFmtId="0" fontId="1" fillId="77" borderId="0" applyNumberFormat="0" applyBorder="0" applyAlignment="0" applyProtection="0"/>
    <xf numFmtId="0" fontId="1" fillId="80" borderId="0" applyNumberFormat="0" applyBorder="0" applyAlignment="0" applyProtection="0"/>
    <xf numFmtId="0" fontId="1" fillId="81" borderId="0" applyNumberFormat="0" applyBorder="0" applyAlignment="0" applyProtection="0"/>
    <xf numFmtId="0" fontId="1" fillId="60" borderId="0" applyNumberFormat="0" applyBorder="0" applyAlignment="0" applyProtection="0"/>
    <xf numFmtId="0" fontId="1" fillId="61" borderId="0" applyNumberFormat="0" applyBorder="0" applyAlignment="0" applyProtection="0"/>
    <xf numFmtId="0" fontId="1" fillId="64" borderId="0" applyNumberFormat="0" applyBorder="0" applyAlignment="0" applyProtection="0"/>
    <xf numFmtId="0" fontId="1" fillId="65" borderId="0" applyNumberFormat="0" applyBorder="0" applyAlignment="0" applyProtection="0"/>
    <xf numFmtId="0" fontId="1" fillId="68" borderId="0" applyNumberFormat="0" applyBorder="0" applyAlignment="0" applyProtection="0"/>
    <xf numFmtId="0" fontId="1" fillId="69" borderId="0" applyNumberFormat="0" applyBorder="0" applyAlignment="0" applyProtection="0"/>
    <xf numFmtId="0" fontId="1" fillId="72" borderId="0" applyNumberFormat="0" applyBorder="0" applyAlignment="0" applyProtection="0"/>
    <xf numFmtId="0" fontId="1" fillId="73" borderId="0" applyNumberFormat="0" applyBorder="0" applyAlignment="0" applyProtection="0"/>
    <xf numFmtId="0" fontId="1" fillId="76" borderId="0" applyNumberFormat="0" applyBorder="0" applyAlignment="0" applyProtection="0"/>
    <xf numFmtId="0" fontId="1" fillId="77" borderId="0" applyNumberFormat="0" applyBorder="0" applyAlignment="0" applyProtection="0"/>
    <xf numFmtId="0" fontId="1" fillId="80" borderId="0" applyNumberFormat="0" applyBorder="0" applyAlignment="0" applyProtection="0"/>
    <xf numFmtId="0" fontId="1" fillId="81" borderId="0" applyNumberFormat="0" applyBorder="0" applyAlignment="0" applyProtection="0"/>
    <xf numFmtId="0" fontId="1" fillId="58" borderId="104" applyNumberFormat="0" applyFont="0" applyAlignment="0" applyProtection="0"/>
    <xf numFmtId="0" fontId="1" fillId="9" borderId="0" applyNumberFormat="0" applyBorder="0" applyAlignment="0" applyProtection="0"/>
    <xf numFmtId="0" fontId="1" fillId="60" borderId="0" applyNumberFormat="0" applyBorder="0" applyAlignment="0" applyProtection="0"/>
    <xf numFmtId="0" fontId="1" fillId="60" borderId="0" applyNumberFormat="0" applyBorder="0" applyAlignment="0" applyProtection="0"/>
    <xf numFmtId="0" fontId="1" fillId="60" borderId="0" applyNumberFormat="0" applyBorder="0" applyAlignment="0" applyProtection="0"/>
    <xf numFmtId="0" fontId="1" fillId="60" borderId="0" applyNumberFormat="0" applyBorder="0" applyAlignment="0" applyProtection="0"/>
    <xf numFmtId="0" fontId="1" fillId="60" borderId="0" applyNumberFormat="0" applyBorder="0" applyAlignment="0" applyProtection="0"/>
    <xf numFmtId="0" fontId="1" fillId="60" borderId="0" applyNumberFormat="0" applyBorder="0" applyAlignment="0" applyProtection="0"/>
    <xf numFmtId="0" fontId="1" fillId="60" borderId="0" applyNumberFormat="0" applyBorder="0" applyAlignment="0" applyProtection="0"/>
    <xf numFmtId="0" fontId="1" fillId="60" borderId="0" applyNumberFormat="0" applyBorder="0" applyAlignment="0" applyProtection="0"/>
    <xf numFmtId="0" fontId="1" fillId="60" borderId="0" applyNumberFormat="0" applyBorder="0" applyAlignment="0" applyProtection="0"/>
    <xf numFmtId="0" fontId="1" fillId="64" borderId="0" applyNumberFormat="0" applyBorder="0" applyAlignment="0" applyProtection="0"/>
    <xf numFmtId="0" fontId="1" fillId="64" borderId="0" applyNumberFormat="0" applyBorder="0" applyAlignment="0" applyProtection="0"/>
    <xf numFmtId="0" fontId="1" fillId="64" borderId="0" applyNumberFormat="0" applyBorder="0" applyAlignment="0" applyProtection="0"/>
    <xf numFmtId="0" fontId="1" fillId="64" borderId="0" applyNumberFormat="0" applyBorder="0" applyAlignment="0" applyProtection="0"/>
    <xf numFmtId="0" fontId="1" fillId="64" borderId="0" applyNumberFormat="0" applyBorder="0" applyAlignment="0" applyProtection="0"/>
    <xf numFmtId="0" fontId="1" fillId="64" borderId="0" applyNumberFormat="0" applyBorder="0" applyAlignment="0" applyProtection="0"/>
    <xf numFmtId="0" fontId="1" fillId="64" borderId="0" applyNumberFormat="0" applyBorder="0" applyAlignment="0" applyProtection="0"/>
    <xf numFmtId="0" fontId="1" fillId="64" borderId="0" applyNumberFormat="0" applyBorder="0" applyAlignment="0" applyProtection="0"/>
    <xf numFmtId="0" fontId="1" fillId="64" borderId="0" applyNumberFormat="0" applyBorder="0" applyAlignment="0" applyProtection="0"/>
    <xf numFmtId="0" fontId="1" fillId="68" borderId="0" applyNumberFormat="0" applyBorder="0" applyAlignment="0" applyProtection="0"/>
    <xf numFmtId="0" fontId="1" fillId="68" borderId="0" applyNumberFormat="0" applyBorder="0" applyAlignment="0" applyProtection="0"/>
    <xf numFmtId="0" fontId="1" fillId="68" borderId="0" applyNumberFormat="0" applyBorder="0" applyAlignment="0" applyProtection="0"/>
    <xf numFmtId="0" fontId="1" fillId="68" borderId="0" applyNumberFormat="0" applyBorder="0" applyAlignment="0" applyProtection="0"/>
    <xf numFmtId="0" fontId="1" fillId="68" borderId="0" applyNumberFormat="0" applyBorder="0" applyAlignment="0" applyProtection="0"/>
    <xf numFmtId="0" fontId="1" fillId="68" borderId="0" applyNumberFormat="0" applyBorder="0" applyAlignment="0" applyProtection="0"/>
    <xf numFmtId="0" fontId="1" fillId="68" borderId="0" applyNumberFormat="0" applyBorder="0" applyAlignment="0" applyProtection="0"/>
    <xf numFmtId="0" fontId="1" fillId="68" borderId="0" applyNumberFormat="0" applyBorder="0" applyAlignment="0" applyProtection="0"/>
    <xf numFmtId="0" fontId="1" fillId="68" borderId="0" applyNumberFormat="0" applyBorder="0" applyAlignment="0" applyProtection="0"/>
    <xf numFmtId="0" fontId="1" fillId="72" borderId="0" applyNumberFormat="0" applyBorder="0" applyAlignment="0" applyProtection="0"/>
    <xf numFmtId="0" fontId="1" fillId="72" borderId="0" applyNumberFormat="0" applyBorder="0" applyAlignment="0" applyProtection="0"/>
    <xf numFmtId="0" fontId="1" fillId="72" borderId="0" applyNumberFormat="0" applyBorder="0" applyAlignment="0" applyProtection="0"/>
    <xf numFmtId="0" fontId="1" fillId="72" borderId="0" applyNumberFormat="0" applyBorder="0" applyAlignment="0" applyProtection="0"/>
    <xf numFmtId="0" fontId="1" fillId="72" borderId="0" applyNumberFormat="0" applyBorder="0" applyAlignment="0" applyProtection="0"/>
    <xf numFmtId="0" fontId="1" fillId="72" borderId="0" applyNumberFormat="0" applyBorder="0" applyAlignment="0" applyProtection="0"/>
    <xf numFmtId="0" fontId="1" fillId="72" borderId="0" applyNumberFormat="0" applyBorder="0" applyAlignment="0" applyProtection="0"/>
    <xf numFmtId="0" fontId="1" fillId="72" borderId="0" applyNumberFormat="0" applyBorder="0" applyAlignment="0" applyProtection="0"/>
    <xf numFmtId="0" fontId="1" fillId="72" borderId="0" applyNumberFormat="0" applyBorder="0" applyAlignment="0" applyProtection="0"/>
    <xf numFmtId="0" fontId="1" fillId="76" borderId="0" applyNumberFormat="0" applyBorder="0" applyAlignment="0" applyProtection="0"/>
    <xf numFmtId="0" fontId="1" fillId="76" borderId="0" applyNumberFormat="0" applyBorder="0" applyAlignment="0" applyProtection="0"/>
    <xf numFmtId="0" fontId="1" fillId="76" borderId="0" applyNumberFormat="0" applyBorder="0" applyAlignment="0" applyProtection="0"/>
    <xf numFmtId="0" fontId="1" fillId="76" borderId="0" applyNumberFormat="0" applyBorder="0" applyAlignment="0" applyProtection="0"/>
    <xf numFmtId="0" fontId="1" fillId="76" borderId="0" applyNumberFormat="0" applyBorder="0" applyAlignment="0" applyProtection="0"/>
    <xf numFmtId="0" fontId="1" fillId="76" borderId="0" applyNumberFormat="0" applyBorder="0" applyAlignment="0" applyProtection="0"/>
    <xf numFmtId="0" fontId="1" fillId="76" borderId="0" applyNumberFormat="0" applyBorder="0" applyAlignment="0" applyProtection="0"/>
    <xf numFmtId="0" fontId="1" fillId="76" borderId="0" applyNumberFormat="0" applyBorder="0" applyAlignment="0" applyProtection="0"/>
    <xf numFmtId="0" fontId="1" fillId="76" borderId="0" applyNumberFormat="0" applyBorder="0" applyAlignment="0" applyProtection="0"/>
    <xf numFmtId="0" fontId="1" fillId="80" borderId="0" applyNumberFormat="0" applyBorder="0" applyAlignment="0" applyProtection="0"/>
    <xf numFmtId="0" fontId="1" fillId="80" borderId="0" applyNumberFormat="0" applyBorder="0" applyAlignment="0" applyProtection="0"/>
    <xf numFmtId="0" fontId="1" fillId="80" borderId="0" applyNumberFormat="0" applyBorder="0" applyAlignment="0" applyProtection="0"/>
    <xf numFmtId="0" fontId="1" fillId="80" borderId="0" applyNumberFormat="0" applyBorder="0" applyAlignment="0" applyProtection="0"/>
    <xf numFmtId="0" fontId="1" fillId="80" borderId="0" applyNumberFormat="0" applyBorder="0" applyAlignment="0" applyProtection="0"/>
    <xf numFmtId="0" fontId="1" fillId="80" borderId="0" applyNumberFormat="0" applyBorder="0" applyAlignment="0" applyProtection="0"/>
    <xf numFmtId="0" fontId="1" fillId="80" borderId="0" applyNumberFormat="0" applyBorder="0" applyAlignment="0" applyProtection="0"/>
    <xf numFmtId="0" fontId="1" fillId="80" borderId="0" applyNumberFormat="0" applyBorder="0" applyAlignment="0" applyProtection="0"/>
    <xf numFmtId="0" fontId="1" fillId="80" borderId="0" applyNumberFormat="0" applyBorder="0" applyAlignment="0" applyProtection="0"/>
    <xf numFmtId="0" fontId="1" fillId="61" borderId="0" applyNumberFormat="0" applyBorder="0" applyAlignment="0" applyProtection="0"/>
    <xf numFmtId="0" fontId="1" fillId="61" borderId="0" applyNumberFormat="0" applyBorder="0" applyAlignment="0" applyProtection="0"/>
    <xf numFmtId="0" fontId="1" fillId="61" borderId="0" applyNumberFormat="0" applyBorder="0" applyAlignment="0" applyProtection="0"/>
    <xf numFmtId="0" fontId="1" fillId="61" borderId="0" applyNumberFormat="0" applyBorder="0" applyAlignment="0" applyProtection="0"/>
    <xf numFmtId="0" fontId="1" fillId="61" borderId="0" applyNumberFormat="0" applyBorder="0" applyAlignment="0" applyProtection="0"/>
    <xf numFmtId="0" fontId="1" fillId="61" borderId="0" applyNumberFormat="0" applyBorder="0" applyAlignment="0" applyProtection="0"/>
    <xf numFmtId="0" fontId="1" fillId="61" borderId="0" applyNumberFormat="0" applyBorder="0" applyAlignment="0" applyProtection="0"/>
    <xf numFmtId="0" fontId="1" fillId="61" borderId="0" applyNumberFormat="0" applyBorder="0" applyAlignment="0" applyProtection="0"/>
    <xf numFmtId="0" fontId="1" fillId="61" borderId="0" applyNumberFormat="0" applyBorder="0" applyAlignment="0" applyProtection="0"/>
    <xf numFmtId="0" fontId="1" fillId="65" borderId="0" applyNumberFormat="0" applyBorder="0" applyAlignment="0" applyProtection="0"/>
    <xf numFmtId="0" fontId="1" fillId="65" borderId="0" applyNumberFormat="0" applyBorder="0" applyAlignment="0" applyProtection="0"/>
    <xf numFmtId="0" fontId="1" fillId="65" borderId="0" applyNumberFormat="0" applyBorder="0" applyAlignment="0" applyProtection="0"/>
    <xf numFmtId="0" fontId="1" fillId="65" borderId="0" applyNumberFormat="0" applyBorder="0" applyAlignment="0" applyProtection="0"/>
    <xf numFmtId="0" fontId="1" fillId="65" borderId="0" applyNumberFormat="0" applyBorder="0" applyAlignment="0" applyProtection="0"/>
    <xf numFmtId="0" fontId="1" fillId="65" borderId="0" applyNumberFormat="0" applyBorder="0" applyAlignment="0" applyProtection="0"/>
    <xf numFmtId="0" fontId="1" fillId="65" borderId="0" applyNumberFormat="0" applyBorder="0" applyAlignment="0" applyProtection="0"/>
    <xf numFmtId="0" fontId="1" fillId="65" borderId="0" applyNumberFormat="0" applyBorder="0" applyAlignment="0" applyProtection="0"/>
    <xf numFmtId="0" fontId="1" fillId="65" borderId="0" applyNumberFormat="0" applyBorder="0" applyAlignment="0" applyProtection="0"/>
    <xf numFmtId="0" fontId="1" fillId="69" borderId="0" applyNumberFormat="0" applyBorder="0" applyAlignment="0" applyProtection="0"/>
    <xf numFmtId="0" fontId="1" fillId="69" borderId="0" applyNumberFormat="0" applyBorder="0" applyAlignment="0" applyProtection="0"/>
    <xf numFmtId="0" fontId="1" fillId="69" borderId="0" applyNumberFormat="0" applyBorder="0" applyAlignment="0" applyProtection="0"/>
    <xf numFmtId="0" fontId="1" fillId="69" borderId="0" applyNumberFormat="0" applyBorder="0" applyAlignment="0" applyProtection="0"/>
    <xf numFmtId="0" fontId="1" fillId="69" borderId="0" applyNumberFormat="0" applyBorder="0" applyAlignment="0" applyProtection="0"/>
    <xf numFmtId="0" fontId="1" fillId="69" borderId="0" applyNumberFormat="0" applyBorder="0" applyAlignment="0" applyProtection="0"/>
    <xf numFmtId="0" fontId="1" fillId="69" borderId="0" applyNumberFormat="0" applyBorder="0" applyAlignment="0" applyProtection="0"/>
    <xf numFmtId="0" fontId="1" fillId="69" borderId="0" applyNumberFormat="0" applyBorder="0" applyAlignment="0" applyProtection="0"/>
    <xf numFmtId="0" fontId="1" fillId="69" borderId="0" applyNumberFormat="0" applyBorder="0" applyAlignment="0" applyProtection="0"/>
    <xf numFmtId="0" fontId="1" fillId="73" borderId="0" applyNumberFormat="0" applyBorder="0" applyAlignment="0" applyProtection="0"/>
    <xf numFmtId="0" fontId="1" fillId="73" borderId="0" applyNumberFormat="0" applyBorder="0" applyAlignment="0" applyProtection="0"/>
    <xf numFmtId="0" fontId="1" fillId="73" borderId="0" applyNumberFormat="0" applyBorder="0" applyAlignment="0" applyProtection="0"/>
    <xf numFmtId="0" fontId="1" fillId="73" borderId="0" applyNumberFormat="0" applyBorder="0" applyAlignment="0" applyProtection="0"/>
    <xf numFmtId="0" fontId="1" fillId="73" borderId="0" applyNumberFormat="0" applyBorder="0" applyAlignment="0" applyProtection="0"/>
    <xf numFmtId="0" fontId="1" fillId="73" borderId="0" applyNumberFormat="0" applyBorder="0" applyAlignment="0" applyProtection="0"/>
    <xf numFmtId="0" fontId="1" fillId="73" borderId="0" applyNumberFormat="0" applyBorder="0" applyAlignment="0" applyProtection="0"/>
    <xf numFmtId="0" fontId="1" fillId="73" borderId="0" applyNumberFormat="0" applyBorder="0" applyAlignment="0" applyProtection="0"/>
    <xf numFmtId="0" fontId="1" fillId="73" borderId="0" applyNumberFormat="0" applyBorder="0" applyAlignment="0" applyProtection="0"/>
    <xf numFmtId="0" fontId="1" fillId="77" borderId="0" applyNumberFormat="0" applyBorder="0" applyAlignment="0" applyProtection="0"/>
    <xf numFmtId="0" fontId="1" fillId="77" borderId="0" applyNumberFormat="0" applyBorder="0" applyAlignment="0" applyProtection="0"/>
    <xf numFmtId="0" fontId="1" fillId="77" borderId="0" applyNumberFormat="0" applyBorder="0" applyAlignment="0" applyProtection="0"/>
    <xf numFmtId="0" fontId="1" fillId="77" borderId="0" applyNumberFormat="0" applyBorder="0" applyAlignment="0" applyProtection="0"/>
    <xf numFmtId="0" fontId="1" fillId="77" borderId="0" applyNumberFormat="0" applyBorder="0" applyAlignment="0" applyProtection="0"/>
    <xf numFmtId="0" fontId="1" fillId="77" borderId="0" applyNumberFormat="0" applyBorder="0" applyAlignment="0" applyProtection="0"/>
    <xf numFmtId="0" fontId="1" fillId="77" borderId="0" applyNumberFormat="0" applyBorder="0" applyAlignment="0" applyProtection="0"/>
    <xf numFmtId="0" fontId="1" fillId="77" borderId="0" applyNumberFormat="0" applyBorder="0" applyAlignment="0" applyProtection="0"/>
    <xf numFmtId="0" fontId="1" fillId="77" borderId="0" applyNumberFormat="0" applyBorder="0" applyAlignment="0" applyProtection="0"/>
    <xf numFmtId="0" fontId="1" fillId="81" borderId="0" applyNumberFormat="0" applyBorder="0" applyAlignment="0" applyProtection="0"/>
    <xf numFmtId="0" fontId="1" fillId="81" borderId="0" applyNumberFormat="0" applyBorder="0" applyAlignment="0" applyProtection="0"/>
    <xf numFmtId="0" fontId="1" fillId="81" borderId="0" applyNumberFormat="0" applyBorder="0" applyAlignment="0" applyProtection="0"/>
    <xf numFmtId="0" fontId="1" fillId="81" borderId="0" applyNumberFormat="0" applyBorder="0" applyAlignment="0" applyProtection="0"/>
    <xf numFmtId="0" fontId="1" fillId="81" borderId="0" applyNumberFormat="0" applyBorder="0" applyAlignment="0" applyProtection="0"/>
    <xf numFmtId="0" fontId="1" fillId="81" borderId="0" applyNumberFormat="0" applyBorder="0" applyAlignment="0" applyProtection="0"/>
    <xf numFmtId="0" fontId="1" fillId="81" borderId="0" applyNumberFormat="0" applyBorder="0" applyAlignment="0" applyProtection="0"/>
    <xf numFmtId="0" fontId="1" fillId="81" borderId="0" applyNumberFormat="0" applyBorder="0" applyAlignment="0" applyProtection="0"/>
    <xf numFmtId="0" fontId="1" fillId="81" borderId="0" applyNumberFormat="0" applyBorder="0" applyAlignment="0" applyProtection="0"/>
    <xf numFmtId="0" fontId="1" fillId="58" borderId="104" applyNumberFormat="0" applyFont="0" applyAlignment="0" applyProtection="0"/>
    <xf numFmtId="0" fontId="1" fillId="58" borderId="104" applyNumberFormat="0" applyFont="0" applyAlignment="0" applyProtection="0"/>
    <xf numFmtId="0" fontId="1" fillId="58" borderId="104" applyNumberFormat="0" applyFont="0" applyAlignment="0" applyProtection="0"/>
    <xf numFmtId="0" fontId="1" fillId="58" borderId="104" applyNumberFormat="0" applyFont="0" applyAlignment="0" applyProtection="0"/>
    <xf numFmtId="0" fontId="1" fillId="58" borderId="104" applyNumberFormat="0" applyFont="0" applyAlignment="0" applyProtection="0"/>
    <xf numFmtId="0" fontId="1" fillId="58" borderId="104" applyNumberFormat="0" applyFont="0" applyAlignment="0" applyProtection="0"/>
    <xf numFmtId="0" fontId="1" fillId="58" borderId="104" applyNumberFormat="0" applyFont="0" applyAlignment="0" applyProtection="0"/>
    <xf numFmtId="0" fontId="1" fillId="58" borderId="104" applyNumberFormat="0" applyFont="0" applyAlignment="0" applyProtection="0"/>
    <xf numFmtId="0" fontId="1" fillId="58" borderId="104" applyNumberFormat="0" applyFont="0" applyAlignment="0" applyProtection="0"/>
    <xf numFmtId="0" fontId="1" fillId="0" borderId="0"/>
    <xf numFmtId="0" fontId="1" fillId="0" borderId="0"/>
    <xf numFmtId="9" fontId="1" fillId="0" borderId="0" applyFont="0" applyFill="0" applyBorder="0" applyAlignment="0" applyProtection="0"/>
    <xf numFmtId="0" fontId="1" fillId="60" borderId="0" applyNumberFormat="0" applyBorder="0" applyAlignment="0" applyProtection="0"/>
    <xf numFmtId="0" fontId="1" fillId="61" borderId="0" applyNumberFormat="0" applyBorder="0" applyAlignment="0" applyProtection="0"/>
    <xf numFmtId="0" fontId="1" fillId="64" borderId="0" applyNumberFormat="0" applyBorder="0" applyAlignment="0" applyProtection="0"/>
    <xf numFmtId="0" fontId="1" fillId="65" borderId="0" applyNumberFormat="0" applyBorder="0" applyAlignment="0" applyProtection="0"/>
    <xf numFmtId="0" fontId="1" fillId="68" borderId="0" applyNumberFormat="0" applyBorder="0" applyAlignment="0" applyProtection="0"/>
    <xf numFmtId="0" fontId="1" fillId="69" borderId="0" applyNumberFormat="0" applyBorder="0" applyAlignment="0" applyProtection="0"/>
    <xf numFmtId="0" fontId="1" fillId="72" borderId="0" applyNumberFormat="0" applyBorder="0" applyAlignment="0" applyProtection="0"/>
    <xf numFmtId="0" fontId="1" fillId="73" borderId="0" applyNumberFormat="0" applyBorder="0" applyAlignment="0" applyProtection="0"/>
    <xf numFmtId="0" fontId="1" fillId="76" borderId="0" applyNumberFormat="0" applyBorder="0" applyAlignment="0" applyProtection="0"/>
    <xf numFmtId="0" fontId="1" fillId="77" borderId="0" applyNumberFormat="0" applyBorder="0" applyAlignment="0" applyProtection="0"/>
    <xf numFmtId="0" fontId="1" fillId="80" borderId="0" applyNumberFormat="0" applyBorder="0" applyAlignment="0" applyProtection="0"/>
    <xf numFmtId="0" fontId="1" fillId="81" borderId="0" applyNumberFormat="0" applyBorder="0" applyAlignment="0" applyProtection="0"/>
    <xf numFmtId="0" fontId="1" fillId="58" borderId="104" applyNumberFormat="0" applyFont="0" applyAlignment="0" applyProtection="0"/>
    <xf numFmtId="0" fontId="1" fillId="58" borderId="104" applyNumberFormat="0" applyFont="0" applyAlignment="0" applyProtection="0"/>
    <xf numFmtId="0" fontId="1" fillId="60" borderId="0" applyNumberFormat="0" applyBorder="0" applyAlignment="0" applyProtection="0"/>
    <xf numFmtId="0" fontId="1" fillId="61" borderId="0" applyNumberFormat="0" applyBorder="0" applyAlignment="0" applyProtection="0"/>
    <xf numFmtId="0" fontId="1" fillId="64" borderId="0" applyNumberFormat="0" applyBorder="0" applyAlignment="0" applyProtection="0"/>
    <xf numFmtId="0" fontId="1" fillId="65" borderId="0" applyNumberFormat="0" applyBorder="0" applyAlignment="0" applyProtection="0"/>
    <xf numFmtId="0" fontId="1" fillId="68" borderId="0" applyNumberFormat="0" applyBorder="0" applyAlignment="0" applyProtection="0"/>
    <xf numFmtId="0" fontId="1" fillId="69" borderId="0" applyNumberFormat="0" applyBorder="0" applyAlignment="0" applyProtection="0"/>
    <xf numFmtId="0" fontId="1" fillId="72" borderId="0" applyNumberFormat="0" applyBorder="0" applyAlignment="0" applyProtection="0"/>
    <xf numFmtId="0" fontId="1" fillId="73" borderId="0" applyNumberFormat="0" applyBorder="0" applyAlignment="0" applyProtection="0"/>
    <xf numFmtId="0" fontId="1" fillId="76" borderId="0" applyNumberFormat="0" applyBorder="0" applyAlignment="0" applyProtection="0"/>
    <xf numFmtId="0" fontId="1" fillId="77" borderId="0" applyNumberFormat="0" applyBorder="0" applyAlignment="0" applyProtection="0"/>
    <xf numFmtId="0" fontId="1" fillId="80" borderId="0" applyNumberFormat="0" applyBorder="0" applyAlignment="0" applyProtection="0"/>
    <xf numFmtId="0" fontId="1" fillId="81" borderId="0" applyNumberFormat="0" applyBorder="0" applyAlignment="0" applyProtection="0"/>
    <xf numFmtId="0" fontId="1" fillId="60" borderId="0" applyNumberFormat="0" applyBorder="0" applyAlignment="0" applyProtection="0"/>
    <xf numFmtId="0" fontId="1" fillId="61" borderId="0" applyNumberFormat="0" applyBorder="0" applyAlignment="0" applyProtection="0"/>
    <xf numFmtId="0" fontId="1" fillId="64" borderId="0" applyNumberFormat="0" applyBorder="0" applyAlignment="0" applyProtection="0"/>
    <xf numFmtId="0" fontId="1" fillId="65" borderId="0" applyNumberFormat="0" applyBorder="0" applyAlignment="0" applyProtection="0"/>
    <xf numFmtId="0" fontId="1" fillId="68" borderId="0" applyNumberFormat="0" applyBorder="0" applyAlignment="0" applyProtection="0"/>
    <xf numFmtId="0" fontId="1" fillId="69" borderId="0" applyNumberFormat="0" applyBorder="0" applyAlignment="0" applyProtection="0"/>
    <xf numFmtId="0" fontId="1" fillId="72" borderId="0" applyNumberFormat="0" applyBorder="0" applyAlignment="0" applyProtection="0"/>
    <xf numFmtId="0" fontId="1" fillId="73" borderId="0" applyNumberFormat="0" applyBorder="0" applyAlignment="0" applyProtection="0"/>
    <xf numFmtId="0" fontId="1" fillId="76" borderId="0" applyNumberFormat="0" applyBorder="0" applyAlignment="0" applyProtection="0"/>
    <xf numFmtId="0" fontId="1" fillId="77" borderId="0" applyNumberFormat="0" applyBorder="0" applyAlignment="0" applyProtection="0"/>
    <xf numFmtId="0" fontId="1" fillId="80" borderId="0" applyNumberFormat="0" applyBorder="0" applyAlignment="0" applyProtection="0"/>
    <xf numFmtId="0" fontId="1" fillId="81" borderId="0" applyNumberFormat="0" applyBorder="0" applyAlignment="0" applyProtection="0"/>
    <xf numFmtId="0" fontId="1" fillId="58" borderId="104" applyNumberFormat="0" applyFont="0" applyAlignment="0" applyProtection="0"/>
    <xf numFmtId="0" fontId="1" fillId="60" borderId="0" applyNumberFormat="0" applyBorder="0" applyAlignment="0" applyProtection="0"/>
    <xf numFmtId="0" fontId="1" fillId="61" borderId="0" applyNumberFormat="0" applyBorder="0" applyAlignment="0" applyProtection="0"/>
    <xf numFmtId="0" fontId="1" fillId="64" borderId="0" applyNumberFormat="0" applyBorder="0" applyAlignment="0" applyProtection="0"/>
    <xf numFmtId="0" fontId="1" fillId="65" borderId="0" applyNumberFormat="0" applyBorder="0" applyAlignment="0" applyProtection="0"/>
    <xf numFmtId="0" fontId="1" fillId="68" borderId="0" applyNumberFormat="0" applyBorder="0" applyAlignment="0" applyProtection="0"/>
    <xf numFmtId="0" fontId="1" fillId="69" borderId="0" applyNumberFormat="0" applyBorder="0" applyAlignment="0" applyProtection="0"/>
    <xf numFmtId="0" fontId="1" fillId="72" borderId="0" applyNumberFormat="0" applyBorder="0" applyAlignment="0" applyProtection="0"/>
    <xf numFmtId="0" fontId="1" fillId="73" borderId="0" applyNumberFormat="0" applyBorder="0" applyAlignment="0" applyProtection="0"/>
    <xf numFmtId="0" fontId="1" fillId="76" borderId="0" applyNumberFormat="0" applyBorder="0" applyAlignment="0" applyProtection="0"/>
    <xf numFmtId="0" fontId="1" fillId="77" borderId="0" applyNumberFormat="0" applyBorder="0" applyAlignment="0" applyProtection="0"/>
    <xf numFmtId="0" fontId="1" fillId="80" borderId="0" applyNumberFormat="0" applyBorder="0" applyAlignment="0" applyProtection="0"/>
    <xf numFmtId="0" fontId="1" fillId="81" borderId="0" applyNumberFormat="0" applyBorder="0" applyAlignment="0" applyProtection="0"/>
    <xf numFmtId="0" fontId="1" fillId="58" borderId="104" applyNumberFormat="0" applyFont="0" applyAlignment="0" applyProtection="0"/>
    <xf numFmtId="0" fontId="1" fillId="58" borderId="104" applyNumberFormat="0" applyFont="0" applyAlignment="0" applyProtection="0"/>
    <xf numFmtId="0" fontId="1" fillId="60" borderId="0" applyNumberFormat="0" applyBorder="0" applyAlignment="0" applyProtection="0"/>
    <xf numFmtId="0" fontId="1" fillId="61" borderId="0" applyNumberFormat="0" applyBorder="0" applyAlignment="0" applyProtection="0"/>
    <xf numFmtId="0" fontId="1" fillId="64" borderId="0" applyNumberFormat="0" applyBorder="0" applyAlignment="0" applyProtection="0"/>
    <xf numFmtId="0" fontId="1" fillId="65" borderId="0" applyNumberFormat="0" applyBorder="0" applyAlignment="0" applyProtection="0"/>
    <xf numFmtId="0" fontId="1" fillId="68" borderId="0" applyNumberFormat="0" applyBorder="0" applyAlignment="0" applyProtection="0"/>
    <xf numFmtId="0" fontId="1" fillId="69" borderId="0" applyNumberFormat="0" applyBorder="0" applyAlignment="0" applyProtection="0"/>
    <xf numFmtId="0" fontId="1" fillId="72" borderId="0" applyNumberFormat="0" applyBorder="0" applyAlignment="0" applyProtection="0"/>
    <xf numFmtId="0" fontId="1" fillId="73" borderId="0" applyNumberFormat="0" applyBorder="0" applyAlignment="0" applyProtection="0"/>
    <xf numFmtId="0" fontId="1" fillId="76" borderId="0" applyNumberFormat="0" applyBorder="0" applyAlignment="0" applyProtection="0"/>
    <xf numFmtId="0" fontId="1" fillId="77" borderId="0" applyNumberFormat="0" applyBorder="0" applyAlignment="0" applyProtection="0"/>
    <xf numFmtId="0" fontId="1" fillId="80" borderId="0" applyNumberFormat="0" applyBorder="0" applyAlignment="0" applyProtection="0"/>
    <xf numFmtId="0" fontId="1" fillId="81" borderId="0" applyNumberFormat="0" applyBorder="0" applyAlignment="0" applyProtection="0"/>
    <xf numFmtId="0" fontId="1" fillId="60" borderId="0" applyNumberFormat="0" applyBorder="0" applyAlignment="0" applyProtection="0"/>
    <xf numFmtId="0" fontId="1" fillId="61" borderId="0" applyNumberFormat="0" applyBorder="0" applyAlignment="0" applyProtection="0"/>
    <xf numFmtId="0" fontId="1" fillId="64" borderId="0" applyNumberFormat="0" applyBorder="0" applyAlignment="0" applyProtection="0"/>
    <xf numFmtId="0" fontId="1" fillId="65" borderId="0" applyNumberFormat="0" applyBorder="0" applyAlignment="0" applyProtection="0"/>
    <xf numFmtId="0" fontId="1" fillId="68" borderId="0" applyNumberFormat="0" applyBorder="0" applyAlignment="0" applyProtection="0"/>
    <xf numFmtId="0" fontId="1" fillId="69" borderId="0" applyNumberFormat="0" applyBorder="0" applyAlignment="0" applyProtection="0"/>
    <xf numFmtId="0" fontId="1" fillId="72" borderId="0" applyNumberFormat="0" applyBorder="0" applyAlignment="0" applyProtection="0"/>
    <xf numFmtId="0" fontId="1" fillId="73" borderId="0" applyNumberFormat="0" applyBorder="0" applyAlignment="0" applyProtection="0"/>
    <xf numFmtId="0" fontId="1" fillId="76" borderId="0" applyNumberFormat="0" applyBorder="0" applyAlignment="0" applyProtection="0"/>
    <xf numFmtId="0" fontId="1" fillId="77" borderId="0" applyNumberFormat="0" applyBorder="0" applyAlignment="0" applyProtection="0"/>
    <xf numFmtId="0" fontId="1" fillId="80" borderId="0" applyNumberFormat="0" applyBorder="0" applyAlignment="0" applyProtection="0"/>
    <xf numFmtId="0" fontId="1" fillId="81" borderId="0" applyNumberFormat="0" applyBorder="0" applyAlignment="0" applyProtection="0"/>
    <xf numFmtId="0" fontId="1" fillId="58" borderId="104" applyNumberFormat="0" applyFont="0" applyAlignment="0" applyProtection="0"/>
    <xf numFmtId="0" fontId="1" fillId="60" borderId="0" applyNumberFormat="0" applyBorder="0" applyAlignment="0" applyProtection="0"/>
    <xf numFmtId="0" fontId="1" fillId="61" borderId="0" applyNumberFormat="0" applyBorder="0" applyAlignment="0" applyProtection="0"/>
    <xf numFmtId="0" fontId="1" fillId="64" borderId="0" applyNumberFormat="0" applyBorder="0" applyAlignment="0" applyProtection="0"/>
    <xf numFmtId="0" fontId="1" fillId="65" borderId="0" applyNumberFormat="0" applyBorder="0" applyAlignment="0" applyProtection="0"/>
    <xf numFmtId="0" fontId="1" fillId="68" borderId="0" applyNumberFormat="0" applyBorder="0" applyAlignment="0" applyProtection="0"/>
    <xf numFmtId="0" fontId="1" fillId="69" borderId="0" applyNumberFormat="0" applyBorder="0" applyAlignment="0" applyProtection="0"/>
    <xf numFmtId="0" fontId="1" fillId="72" borderId="0" applyNumberFormat="0" applyBorder="0" applyAlignment="0" applyProtection="0"/>
    <xf numFmtId="0" fontId="1" fillId="73" borderId="0" applyNumberFormat="0" applyBorder="0" applyAlignment="0" applyProtection="0"/>
    <xf numFmtId="0" fontId="1" fillId="76" borderId="0" applyNumberFormat="0" applyBorder="0" applyAlignment="0" applyProtection="0"/>
    <xf numFmtId="0" fontId="1" fillId="77" borderId="0" applyNumberFormat="0" applyBorder="0" applyAlignment="0" applyProtection="0"/>
    <xf numFmtId="0" fontId="1" fillId="80" borderId="0" applyNumberFormat="0" applyBorder="0" applyAlignment="0" applyProtection="0"/>
    <xf numFmtId="0" fontId="1" fillId="81" borderId="0" applyNumberFormat="0" applyBorder="0" applyAlignment="0" applyProtection="0"/>
    <xf numFmtId="0" fontId="1" fillId="58" borderId="104" applyNumberFormat="0" applyFont="0" applyAlignment="0" applyProtection="0"/>
    <xf numFmtId="0" fontId="1" fillId="58" borderId="104" applyNumberFormat="0" applyFont="0" applyAlignment="0" applyProtection="0"/>
    <xf numFmtId="0" fontId="1" fillId="60" borderId="0" applyNumberFormat="0" applyBorder="0" applyAlignment="0" applyProtection="0"/>
    <xf numFmtId="0" fontId="1" fillId="61" borderId="0" applyNumberFormat="0" applyBorder="0" applyAlignment="0" applyProtection="0"/>
    <xf numFmtId="0" fontId="1" fillId="64" borderId="0" applyNumberFormat="0" applyBorder="0" applyAlignment="0" applyProtection="0"/>
    <xf numFmtId="0" fontId="1" fillId="65" borderId="0" applyNumberFormat="0" applyBorder="0" applyAlignment="0" applyProtection="0"/>
    <xf numFmtId="0" fontId="1" fillId="68" borderId="0" applyNumberFormat="0" applyBorder="0" applyAlignment="0" applyProtection="0"/>
    <xf numFmtId="0" fontId="1" fillId="69" borderId="0" applyNumberFormat="0" applyBorder="0" applyAlignment="0" applyProtection="0"/>
    <xf numFmtId="0" fontId="1" fillId="72" borderId="0" applyNumberFormat="0" applyBorder="0" applyAlignment="0" applyProtection="0"/>
    <xf numFmtId="0" fontId="1" fillId="73" borderId="0" applyNumberFormat="0" applyBorder="0" applyAlignment="0" applyProtection="0"/>
    <xf numFmtId="0" fontId="1" fillId="76" borderId="0" applyNumberFormat="0" applyBorder="0" applyAlignment="0" applyProtection="0"/>
    <xf numFmtId="0" fontId="1" fillId="77" borderId="0" applyNumberFormat="0" applyBorder="0" applyAlignment="0" applyProtection="0"/>
    <xf numFmtId="0" fontId="1" fillId="80" borderId="0" applyNumberFormat="0" applyBorder="0" applyAlignment="0" applyProtection="0"/>
    <xf numFmtId="0" fontId="1" fillId="81" borderId="0" applyNumberFormat="0" applyBorder="0" applyAlignment="0" applyProtection="0"/>
    <xf numFmtId="0" fontId="1" fillId="60" borderId="0" applyNumberFormat="0" applyBorder="0" applyAlignment="0" applyProtection="0"/>
    <xf numFmtId="0" fontId="1" fillId="61" borderId="0" applyNumberFormat="0" applyBorder="0" applyAlignment="0" applyProtection="0"/>
    <xf numFmtId="0" fontId="1" fillId="64" borderId="0" applyNumberFormat="0" applyBorder="0" applyAlignment="0" applyProtection="0"/>
    <xf numFmtId="0" fontId="1" fillId="65" borderId="0" applyNumberFormat="0" applyBorder="0" applyAlignment="0" applyProtection="0"/>
    <xf numFmtId="0" fontId="1" fillId="68" borderId="0" applyNumberFormat="0" applyBorder="0" applyAlignment="0" applyProtection="0"/>
    <xf numFmtId="0" fontId="1" fillId="69" borderId="0" applyNumberFormat="0" applyBorder="0" applyAlignment="0" applyProtection="0"/>
    <xf numFmtId="0" fontId="1" fillId="72" borderId="0" applyNumberFormat="0" applyBorder="0" applyAlignment="0" applyProtection="0"/>
    <xf numFmtId="0" fontId="1" fillId="73" borderId="0" applyNumberFormat="0" applyBorder="0" applyAlignment="0" applyProtection="0"/>
    <xf numFmtId="0" fontId="1" fillId="76" borderId="0" applyNumberFormat="0" applyBorder="0" applyAlignment="0" applyProtection="0"/>
    <xf numFmtId="0" fontId="1" fillId="77" borderId="0" applyNumberFormat="0" applyBorder="0" applyAlignment="0" applyProtection="0"/>
    <xf numFmtId="0" fontId="1" fillId="80" borderId="0" applyNumberFormat="0" applyBorder="0" applyAlignment="0" applyProtection="0"/>
    <xf numFmtId="0" fontId="1" fillId="81" borderId="0" applyNumberFormat="0" applyBorder="0" applyAlignment="0" applyProtection="0"/>
    <xf numFmtId="0" fontId="1" fillId="58" borderId="104" applyNumberFormat="0" applyFont="0" applyAlignment="0" applyProtection="0"/>
    <xf numFmtId="0" fontId="1" fillId="60" borderId="0" applyNumberFormat="0" applyBorder="0" applyAlignment="0" applyProtection="0"/>
    <xf numFmtId="0" fontId="1" fillId="61" borderId="0" applyNumberFormat="0" applyBorder="0" applyAlignment="0" applyProtection="0"/>
    <xf numFmtId="0" fontId="1" fillId="64" borderId="0" applyNumberFormat="0" applyBorder="0" applyAlignment="0" applyProtection="0"/>
    <xf numFmtId="0" fontId="1" fillId="65" borderId="0" applyNumberFormat="0" applyBorder="0" applyAlignment="0" applyProtection="0"/>
    <xf numFmtId="0" fontId="1" fillId="68" borderId="0" applyNumberFormat="0" applyBorder="0" applyAlignment="0" applyProtection="0"/>
    <xf numFmtId="0" fontId="1" fillId="69" borderId="0" applyNumberFormat="0" applyBorder="0" applyAlignment="0" applyProtection="0"/>
    <xf numFmtId="0" fontId="1" fillId="72" borderId="0" applyNumberFormat="0" applyBorder="0" applyAlignment="0" applyProtection="0"/>
    <xf numFmtId="0" fontId="1" fillId="73" borderId="0" applyNumberFormat="0" applyBorder="0" applyAlignment="0" applyProtection="0"/>
    <xf numFmtId="0" fontId="1" fillId="76" borderId="0" applyNumberFormat="0" applyBorder="0" applyAlignment="0" applyProtection="0"/>
    <xf numFmtId="0" fontId="1" fillId="77" borderId="0" applyNumberFormat="0" applyBorder="0" applyAlignment="0" applyProtection="0"/>
    <xf numFmtId="0" fontId="1" fillId="80" borderId="0" applyNumberFormat="0" applyBorder="0" applyAlignment="0" applyProtection="0"/>
    <xf numFmtId="0" fontId="1" fillId="81" borderId="0" applyNumberFormat="0" applyBorder="0" applyAlignment="0" applyProtection="0"/>
    <xf numFmtId="0" fontId="1" fillId="58" borderId="104" applyNumberFormat="0" applyFont="0" applyAlignment="0" applyProtection="0"/>
    <xf numFmtId="0" fontId="1" fillId="58" borderId="104" applyNumberFormat="0" applyFont="0" applyAlignment="0" applyProtection="0"/>
    <xf numFmtId="0" fontId="1" fillId="60" borderId="0" applyNumberFormat="0" applyBorder="0" applyAlignment="0" applyProtection="0"/>
    <xf numFmtId="0" fontId="1" fillId="61" borderId="0" applyNumberFormat="0" applyBorder="0" applyAlignment="0" applyProtection="0"/>
    <xf numFmtId="0" fontId="1" fillId="64" borderId="0" applyNumberFormat="0" applyBorder="0" applyAlignment="0" applyProtection="0"/>
    <xf numFmtId="0" fontId="1" fillId="65" borderId="0" applyNumberFormat="0" applyBorder="0" applyAlignment="0" applyProtection="0"/>
    <xf numFmtId="0" fontId="1" fillId="68" borderId="0" applyNumberFormat="0" applyBorder="0" applyAlignment="0" applyProtection="0"/>
    <xf numFmtId="0" fontId="1" fillId="69" borderId="0" applyNumberFormat="0" applyBorder="0" applyAlignment="0" applyProtection="0"/>
    <xf numFmtId="0" fontId="1" fillId="72" borderId="0" applyNumberFormat="0" applyBorder="0" applyAlignment="0" applyProtection="0"/>
    <xf numFmtId="0" fontId="1" fillId="73" borderId="0" applyNumberFormat="0" applyBorder="0" applyAlignment="0" applyProtection="0"/>
    <xf numFmtId="0" fontId="1" fillId="76" borderId="0" applyNumberFormat="0" applyBorder="0" applyAlignment="0" applyProtection="0"/>
    <xf numFmtId="0" fontId="1" fillId="77" borderId="0" applyNumberFormat="0" applyBorder="0" applyAlignment="0" applyProtection="0"/>
    <xf numFmtId="0" fontId="1" fillId="80" borderId="0" applyNumberFormat="0" applyBorder="0" applyAlignment="0" applyProtection="0"/>
    <xf numFmtId="0" fontId="1" fillId="81" borderId="0" applyNumberFormat="0" applyBorder="0" applyAlignment="0" applyProtection="0"/>
    <xf numFmtId="0" fontId="1" fillId="60" borderId="0" applyNumberFormat="0" applyBorder="0" applyAlignment="0" applyProtection="0"/>
    <xf numFmtId="0" fontId="1" fillId="61" borderId="0" applyNumberFormat="0" applyBorder="0" applyAlignment="0" applyProtection="0"/>
    <xf numFmtId="0" fontId="1" fillId="64" borderId="0" applyNumberFormat="0" applyBorder="0" applyAlignment="0" applyProtection="0"/>
    <xf numFmtId="0" fontId="1" fillId="65" borderId="0" applyNumberFormat="0" applyBorder="0" applyAlignment="0" applyProtection="0"/>
    <xf numFmtId="0" fontId="1" fillId="68" borderId="0" applyNumberFormat="0" applyBorder="0" applyAlignment="0" applyProtection="0"/>
    <xf numFmtId="0" fontId="1" fillId="69" borderId="0" applyNumberFormat="0" applyBorder="0" applyAlignment="0" applyProtection="0"/>
    <xf numFmtId="0" fontId="1" fillId="72" borderId="0" applyNumberFormat="0" applyBorder="0" applyAlignment="0" applyProtection="0"/>
    <xf numFmtId="0" fontId="1" fillId="73" borderId="0" applyNumberFormat="0" applyBorder="0" applyAlignment="0" applyProtection="0"/>
    <xf numFmtId="0" fontId="1" fillId="76" borderId="0" applyNumberFormat="0" applyBorder="0" applyAlignment="0" applyProtection="0"/>
    <xf numFmtId="0" fontId="1" fillId="77" borderId="0" applyNumberFormat="0" applyBorder="0" applyAlignment="0" applyProtection="0"/>
    <xf numFmtId="0" fontId="1" fillId="80" borderId="0" applyNumberFormat="0" applyBorder="0" applyAlignment="0" applyProtection="0"/>
    <xf numFmtId="0" fontId="1" fillId="81" borderId="0" applyNumberFormat="0" applyBorder="0" applyAlignment="0" applyProtection="0"/>
    <xf numFmtId="0" fontId="1" fillId="58" borderId="104" applyNumberFormat="0" applyFont="0" applyAlignment="0" applyProtection="0"/>
    <xf numFmtId="0" fontId="1" fillId="60" borderId="0" applyNumberFormat="0" applyBorder="0" applyAlignment="0" applyProtection="0"/>
    <xf numFmtId="0" fontId="1" fillId="61" borderId="0" applyNumberFormat="0" applyBorder="0" applyAlignment="0" applyProtection="0"/>
    <xf numFmtId="0" fontId="1" fillId="64" borderId="0" applyNumberFormat="0" applyBorder="0" applyAlignment="0" applyProtection="0"/>
    <xf numFmtId="0" fontId="1" fillId="65" borderId="0" applyNumberFormat="0" applyBorder="0" applyAlignment="0" applyProtection="0"/>
    <xf numFmtId="0" fontId="1" fillId="68" borderId="0" applyNumberFormat="0" applyBorder="0" applyAlignment="0" applyProtection="0"/>
    <xf numFmtId="0" fontId="1" fillId="69" borderId="0" applyNumberFormat="0" applyBorder="0" applyAlignment="0" applyProtection="0"/>
    <xf numFmtId="0" fontId="1" fillId="72" borderId="0" applyNumberFormat="0" applyBorder="0" applyAlignment="0" applyProtection="0"/>
    <xf numFmtId="0" fontId="1" fillId="73" borderId="0" applyNumberFormat="0" applyBorder="0" applyAlignment="0" applyProtection="0"/>
    <xf numFmtId="0" fontId="1" fillId="76" borderId="0" applyNumberFormat="0" applyBorder="0" applyAlignment="0" applyProtection="0"/>
    <xf numFmtId="0" fontId="1" fillId="77" borderId="0" applyNumberFormat="0" applyBorder="0" applyAlignment="0" applyProtection="0"/>
    <xf numFmtId="0" fontId="1" fillId="80" borderId="0" applyNumberFormat="0" applyBorder="0" applyAlignment="0" applyProtection="0"/>
    <xf numFmtId="0" fontId="1" fillId="81" borderId="0" applyNumberFormat="0" applyBorder="0" applyAlignment="0" applyProtection="0"/>
    <xf numFmtId="0" fontId="1" fillId="58" borderId="104" applyNumberFormat="0" applyFont="0" applyAlignment="0" applyProtection="0"/>
    <xf numFmtId="0" fontId="1" fillId="58" borderId="104" applyNumberFormat="0" applyFont="0" applyAlignment="0" applyProtection="0"/>
    <xf numFmtId="0" fontId="1" fillId="60" borderId="0" applyNumberFormat="0" applyBorder="0" applyAlignment="0" applyProtection="0"/>
    <xf numFmtId="0" fontId="1" fillId="61" borderId="0" applyNumberFormat="0" applyBorder="0" applyAlignment="0" applyProtection="0"/>
    <xf numFmtId="0" fontId="1" fillId="64" borderId="0" applyNumberFormat="0" applyBorder="0" applyAlignment="0" applyProtection="0"/>
    <xf numFmtId="0" fontId="1" fillId="65" borderId="0" applyNumberFormat="0" applyBorder="0" applyAlignment="0" applyProtection="0"/>
    <xf numFmtId="0" fontId="1" fillId="68" borderId="0" applyNumberFormat="0" applyBorder="0" applyAlignment="0" applyProtection="0"/>
    <xf numFmtId="0" fontId="1" fillId="69" borderId="0" applyNumberFormat="0" applyBorder="0" applyAlignment="0" applyProtection="0"/>
    <xf numFmtId="0" fontId="1" fillId="72" borderId="0" applyNumberFormat="0" applyBorder="0" applyAlignment="0" applyProtection="0"/>
    <xf numFmtId="0" fontId="1" fillId="73" borderId="0" applyNumberFormat="0" applyBorder="0" applyAlignment="0" applyProtection="0"/>
    <xf numFmtId="0" fontId="1" fillId="76" borderId="0" applyNumberFormat="0" applyBorder="0" applyAlignment="0" applyProtection="0"/>
    <xf numFmtId="0" fontId="1" fillId="77" borderId="0" applyNumberFormat="0" applyBorder="0" applyAlignment="0" applyProtection="0"/>
    <xf numFmtId="0" fontId="1" fillId="80" borderId="0" applyNumberFormat="0" applyBorder="0" applyAlignment="0" applyProtection="0"/>
    <xf numFmtId="0" fontId="1" fillId="81" borderId="0" applyNumberFormat="0" applyBorder="0" applyAlignment="0" applyProtection="0"/>
    <xf numFmtId="0" fontId="1" fillId="60" borderId="0" applyNumberFormat="0" applyBorder="0" applyAlignment="0" applyProtection="0"/>
    <xf numFmtId="0" fontId="1" fillId="61" borderId="0" applyNumberFormat="0" applyBorder="0" applyAlignment="0" applyProtection="0"/>
    <xf numFmtId="0" fontId="1" fillId="64" borderId="0" applyNumberFormat="0" applyBorder="0" applyAlignment="0" applyProtection="0"/>
    <xf numFmtId="0" fontId="1" fillId="65" borderId="0" applyNumberFormat="0" applyBorder="0" applyAlignment="0" applyProtection="0"/>
    <xf numFmtId="0" fontId="1" fillId="68" borderId="0" applyNumberFormat="0" applyBorder="0" applyAlignment="0" applyProtection="0"/>
    <xf numFmtId="0" fontId="1" fillId="69" borderId="0" applyNumberFormat="0" applyBorder="0" applyAlignment="0" applyProtection="0"/>
    <xf numFmtId="0" fontId="1" fillId="72" borderId="0" applyNumberFormat="0" applyBorder="0" applyAlignment="0" applyProtection="0"/>
    <xf numFmtId="0" fontId="1" fillId="73" borderId="0" applyNumberFormat="0" applyBorder="0" applyAlignment="0" applyProtection="0"/>
    <xf numFmtId="0" fontId="1" fillId="76" borderId="0" applyNumberFormat="0" applyBorder="0" applyAlignment="0" applyProtection="0"/>
    <xf numFmtId="0" fontId="1" fillId="77" borderId="0" applyNumberFormat="0" applyBorder="0" applyAlignment="0" applyProtection="0"/>
    <xf numFmtId="0" fontId="1" fillId="80" borderId="0" applyNumberFormat="0" applyBorder="0" applyAlignment="0" applyProtection="0"/>
    <xf numFmtId="0" fontId="1" fillId="81" borderId="0" applyNumberFormat="0" applyBorder="0" applyAlignment="0" applyProtection="0"/>
    <xf numFmtId="0" fontId="1" fillId="58" borderId="104" applyNumberFormat="0" applyFont="0" applyAlignment="0" applyProtection="0"/>
    <xf numFmtId="0" fontId="1" fillId="60" borderId="0" applyNumberFormat="0" applyBorder="0" applyAlignment="0" applyProtection="0"/>
    <xf numFmtId="0" fontId="1" fillId="61" borderId="0" applyNumberFormat="0" applyBorder="0" applyAlignment="0" applyProtection="0"/>
    <xf numFmtId="0" fontId="1" fillId="64" borderId="0" applyNumberFormat="0" applyBorder="0" applyAlignment="0" applyProtection="0"/>
    <xf numFmtId="0" fontId="1" fillId="65" borderId="0" applyNumberFormat="0" applyBorder="0" applyAlignment="0" applyProtection="0"/>
    <xf numFmtId="0" fontId="1" fillId="68" borderId="0" applyNumberFormat="0" applyBorder="0" applyAlignment="0" applyProtection="0"/>
    <xf numFmtId="0" fontId="1" fillId="69" borderId="0" applyNumberFormat="0" applyBorder="0" applyAlignment="0" applyProtection="0"/>
    <xf numFmtId="0" fontId="1" fillId="72" borderId="0" applyNumberFormat="0" applyBorder="0" applyAlignment="0" applyProtection="0"/>
    <xf numFmtId="0" fontId="1" fillId="73" borderId="0" applyNumberFormat="0" applyBorder="0" applyAlignment="0" applyProtection="0"/>
    <xf numFmtId="0" fontId="1" fillId="76" borderId="0" applyNumberFormat="0" applyBorder="0" applyAlignment="0" applyProtection="0"/>
    <xf numFmtId="0" fontId="1" fillId="77" borderId="0" applyNumberFormat="0" applyBorder="0" applyAlignment="0" applyProtection="0"/>
    <xf numFmtId="0" fontId="1" fillId="80" borderId="0" applyNumberFormat="0" applyBorder="0" applyAlignment="0" applyProtection="0"/>
    <xf numFmtId="0" fontId="1" fillId="81" borderId="0" applyNumberFormat="0" applyBorder="0" applyAlignment="0" applyProtection="0"/>
    <xf numFmtId="0" fontId="1" fillId="58" borderId="104" applyNumberFormat="0" applyFont="0" applyAlignment="0" applyProtection="0"/>
    <xf numFmtId="0" fontId="1" fillId="58" borderId="104" applyNumberFormat="0" applyFont="0" applyAlignment="0" applyProtection="0"/>
    <xf numFmtId="0" fontId="1" fillId="60" borderId="0" applyNumberFormat="0" applyBorder="0" applyAlignment="0" applyProtection="0"/>
    <xf numFmtId="0" fontId="1" fillId="61" borderId="0" applyNumberFormat="0" applyBorder="0" applyAlignment="0" applyProtection="0"/>
    <xf numFmtId="0" fontId="1" fillId="64" borderId="0" applyNumberFormat="0" applyBorder="0" applyAlignment="0" applyProtection="0"/>
    <xf numFmtId="0" fontId="1" fillId="65" borderId="0" applyNumberFormat="0" applyBorder="0" applyAlignment="0" applyProtection="0"/>
    <xf numFmtId="0" fontId="1" fillId="68" borderId="0" applyNumberFormat="0" applyBorder="0" applyAlignment="0" applyProtection="0"/>
    <xf numFmtId="0" fontId="1" fillId="69" borderId="0" applyNumberFormat="0" applyBorder="0" applyAlignment="0" applyProtection="0"/>
    <xf numFmtId="0" fontId="1" fillId="72" borderId="0" applyNumberFormat="0" applyBorder="0" applyAlignment="0" applyProtection="0"/>
    <xf numFmtId="0" fontId="1" fillId="73" borderId="0" applyNumberFormat="0" applyBorder="0" applyAlignment="0" applyProtection="0"/>
    <xf numFmtId="0" fontId="1" fillId="76" borderId="0" applyNumberFormat="0" applyBorder="0" applyAlignment="0" applyProtection="0"/>
    <xf numFmtId="0" fontId="1" fillId="77" borderId="0" applyNumberFormat="0" applyBorder="0" applyAlignment="0" applyProtection="0"/>
    <xf numFmtId="0" fontId="1" fillId="80" borderId="0" applyNumberFormat="0" applyBorder="0" applyAlignment="0" applyProtection="0"/>
    <xf numFmtId="0" fontId="1" fillId="81" borderId="0" applyNumberFormat="0" applyBorder="0" applyAlignment="0" applyProtection="0"/>
    <xf numFmtId="0" fontId="1" fillId="60" borderId="0" applyNumberFormat="0" applyBorder="0" applyAlignment="0" applyProtection="0"/>
    <xf numFmtId="0" fontId="1" fillId="61" borderId="0" applyNumberFormat="0" applyBorder="0" applyAlignment="0" applyProtection="0"/>
    <xf numFmtId="0" fontId="1" fillId="64" borderId="0" applyNumberFormat="0" applyBorder="0" applyAlignment="0" applyProtection="0"/>
    <xf numFmtId="0" fontId="1" fillId="65" borderId="0" applyNumberFormat="0" applyBorder="0" applyAlignment="0" applyProtection="0"/>
    <xf numFmtId="0" fontId="1" fillId="68" borderId="0" applyNumberFormat="0" applyBorder="0" applyAlignment="0" applyProtection="0"/>
    <xf numFmtId="0" fontId="1" fillId="69" borderId="0" applyNumberFormat="0" applyBorder="0" applyAlignment="0" applyProtection="0"/>
    <xf numFmtId="0" fontId="1" fillId="72" borderId="0" applyNumberFormat="0" applyBorder="0" applyAlignment="0" applyProtection="0"/>
    <xf numFmtId="0" fontId="1" fillId="73" borderId="0" applyNumberFormat="0" applyBorder="0" applyAlignment="0" applyProtection="0"/>
    <xf numFmtId="0" fontId="1" fillId="76" borderId="0" applyNumberFormat="0" applyBorder="0" applyAlignment="0" applyProtection="0"/>
    <xf numFmtId="0" fontId="1" fillId="77" borderId="0" applyNumberFormat="0" applyBorder="0" applyAlignment="0" applyProtection="0"/>
    <xf numFmtId="0" fontId="1" fillId="80" borderId="0" applyNumberFormat="0" applyBorder="0" applyAlignment="0" applyProtection="0"/>
    <xf numFmtId="0" fontId="1" fillId="81" borderId="0" applyNumberFormat="0" applyBorder="0" applyAlignment="0" applyProtection="0"/>
    <xf numFmtId="0" fontId="1" fillId="58" borderId="104" applyNumberFormat="0" applyFont="0" applyAlignment="0" applyProtection="0"/>
    <xf numFmtId="0" fontId="1" fillId="60" borderId="0" applyNumberFormat="0" applyBorder="0" applyAlignment="0" applyProtection="0"/>
    <xf numFmtId="0" fontId="1" fillId="60" borderId="0" applyNumberFormat="0" applyBorder="0" applyAlignment="0" applyProtection="0"/>
    <xf numFmtId="0" fontId="1" fillId="60" borderId="0" applyNumberFormat="0" applyBorder="0" applyAlignment="0" applyProtection="0"/>
    <xf numFmtId="0" fontId="1" fillId="60" borderId="0" applyNumberFormat="0" applyBorder="0" applyAlignment="0" applyProtection="0"/>
    <xf numFmtId="0" fontId="1" fillId="60" borderId="0" applyNumberFormat="0" applyBorder="0" applyAlignment="0" applyProtection="0"/>
    <xf numFmtId="0" fontId="1" fillId="60" borderId="0" applyNumberFormat="0" applyBorder="0" applyAlignment="0" applyProtection="0"/>
    <xf numFmtId="0" fontId="1" fillId="60" borderId="0" applyNumberFormat="0" applyBorder="0" applyAlignment="0" applyProtection="0"/>
    <xf numFmtId="0" fontId="1" fillId="60" borderId="0" applyNumberFormat="0" applyBorder="0" applyAlignment="0" applyProtection="0"/>
    <xf numFmtId="0" fontId="1" fillId="60" borderId="0" applyNumberFormat="0" applyBorder="0" applyAlignment="0" applyProtection="0"/>
    <xf numFmtId="0" fontId="1" fillId="64" borderId="0" applyNumberFormat="0" applyBorder="0" applyAlignment="0" applyProtection="0"/>
    <xf numFmtId="0" fontId="1" fillId="64" borderId="0" applyNumberFormat="0" applyBorder="0" applyAlignment="0" applyProtection="0"/>
    <xf numFmtId="0" fontId="1" fillId="64" borderId="0" applyNumberFormat="0" applyBorder="0" applyAlignment="0" applyProtection="0"/>
    <xf numFmtId="0" fontId="1" fillId="64" borderId="0" applyNumberFormat="0" applyBorder="0" applyAlignment="0" applyProtection="0"/>
    <xf numFmtId="0" fontId="1" fillId="64" borderId="0" applyNumberFormat="0" applyBorder="0" applyAlignment="0" applyProtection="0"/>
    <xf numFmtId="0" fontId="1" fillId="64" borderId="0" applyNumberFormat="0" applyBorder="0" applyAlignment="0" applyProtection="0"/>
    <xf numFmtId="0" fontId="1" fillId="64" borderId="0" applyNumberFormat="0" applyBorder="0" applyAlignment="0" applyProtection="0"/>
    <xf numFmtId="0" fontId="1" fillId="64" borderId="0" applyNumberFormat="0" applyBorder="0" applyAlignment="0" applyProtection="0"/>
    <xf numFmtId="0" fontId="1" fillId="64" borderId="0" applyNumberFormat="0" applyBorder="0" applyAlignment="0" applyProtection="0"/>
    <xf numFmtId="0" fontId="1" fillId="68" borderId="0" applyNumberFormat="0" applyBorder="0" applyAlignment="0" applyProtection="0"/>
    <xf numFmtId="0" fontId="1" fillId="68" borderId="0" applyNumberFormat="0" applyBorder="0" applyAlignment="0" applyProtection="0"/>
    <xf numFmtId="0" fontId="1" fillId="68" borderId="0" applyNumberFormat="0" applyBorder="0" applyAlignment="0" applyProtection="0"/>
    <xf numFmtId="0" fontId="1" fillId="68" borderId="0" applyNumberFormat="0" applyBorder="0" applyAlignment="0" applyProtection="0"/>
    <xf numFmtId="0" fontId="1" fillId="68" borderId="0" applyNumberFormat="0" applyBorder="0" applyAlignment="0" applyProtection="0"/>
    <xf numFmtId="0" fontId="1" fillId="68" borderId="0" applyNumberFormat="0" applyBorder="0" applyAlignment="0" applyProtection="0"/>
    <xf numFmtId="0" fontId="1" fillId="68" borderId="0" applyNumberFormat="0" applyBorder="0" applyAlignment="0" applyProtection="0"/>
    <xf numFmtId="0" fontId="1" fillId="68" borderId="0" applyNumberFormat="0" applyBorder="0" applyAlignment="0" applyProtection="0"/>
    <xf numFmtId="0" fontId="1" fillId="68" borderId="0" applyNumberFormat="0" applyBorder="0" applyAlignment="0" applyProtection="0"/>
    <xf numFmtId="0" fontId="1" fillId="72" borderId="0" applyNumberFormat="0" applyBorder="0" applyAlignment="0" applyProtection="0"/>
    <xf numFmtId="0" fontId="1" fillId="72" borderId="0" applyNumberFormat="0" applyBorder="0" applyAlignment="0" applyProtection="0"/>
    <xf numFmtId="0" fontId="1" fillId="72" borderId="0" applyNumberFormat="0" applyBorder="0" applyAlignment="0" applyProtection="0"/>
    <xf numFmtId="0" fontId="1" fillId="72" borderId="0" applyNumberFormat="0" applyBorder="0" applyAlignment="0" applyProtection="0"/>
    <xf numFmtId="0" fontId="1" fillId="72" borderId="0" applyNumberFormat="0" applyBorder="0" applyAlignment="0" applyProtection="0"/>
    <xf numFmtId="0" fontId="1" fillId="72" borderId="0" applyNumberFormat="0" applyBorder="0" applyAlignment="0" applyProtection="0"/>
    <xf numFmtId="0" fontId="1" fillId="72" borderId="0" applyNumberFormat="0" applyBorder="0" applyAlignment="0" applyProtection="0"/>
    <xf numFmtId="0" fontId="1" fillId="72" borderId="0" applyNumberFormat="0" applyBorder="0" applyAlignment="0" applyProtection="0"/>
    <xf numFmtId="0" fontId="1" fillId="72" borderId="0" applyNumberFormat="0" applyBorder="0" applyAlignment="0" applyProtection="0"/>
    <xf numFmtId="0" fontId="1" fillId="76" borderId="0" applyNumberFormat="0" applyBorder="0" applyAlignment="0" applyProtection="0"/>
    <xf numFmtId="0" fontId="1" fillId="76" borderId="0" applyNumberFormat="0" applyBorder="0" applyAlignment="0" applyProtection="0"/>
    <xf numFmtId="0" fontId="1" fillId="76" borderId="0" applyNumberFormat="0" applyBorder="0" applyAlignment="0" applyProtection="0"/>
    <xf numFmtId="0" fontId="1" fillId="76" borderId="0" applyNumberFormat="0" applyBorder="0" applyAlignment="0" applyProtection="0"/>
    <xf numFmtId="0" fontId="1" fillId="76" borderId="0" applyNumberFormat="0" applyBorder="0" applyAlignment="0" applyProtection="0"/>
    <xf numFmtId="0" fontId="1" fillId="76" borderId="0" applyNumberFormat="0" applyBorder="0" applyAlignment="0" applyProtection="0"/>
    <xf numFmtId="0" fontId="1" fillId="76" borderId="0" applyNumberFormat="0" applyBorder="0" applyAlignment="0" applyProtection="0"/>
    <xf numFmtId="0" fontId="1" fillId="76" borderId="0" applyNumberFormat="0" applyBorder="0" applyAlignment="0" applyProtection="0"/>
    <xf numFmtId="0" fontId="1" fillId="76" borderId="0" applyNumberFormat="0" applyBorder="0" applyAlignment="0" applyProtection="0"/>
    <xf numFmtId="0" fontId="1" fillId="80" borderId="0" applyNumberFormat="0" applyBorder="0" applyAlignment="0" applyProtection="0"/>
    <xf numFmtId="0" fontId="1" fillId="80" borderId="0" applyNumberFormat="0" applyBorder="0" applyAlignment="0" applyProtection="0"/>
    <xf numFmtId="0" fontId="1" fillId="80" borderId="0" applyNumberFormat="0" applyBorder="0" applyAlignment="0" applyProtection="0"/>
    <xf numFmtId="0" fontId="1" fillId="80" borderId="0" applyNumberFormat="0" applyBorder="0" applyAlignment="0" applyProtection="0"/>
    <xf numFmtId="0" fontId="1" fillId="80" borderId="0" applyNumberFormat="0" applyBorder="0" applyAlignment="0" applyProtection="0"/>
    <xf numFmtId="0" fontId="1" fillId="80" borderId="0" applyNumberFormat="0" applyBorder="0" applyAlignment="0" applyProtection="0"/>
    <xf numFmtId="0" fontId="1" fillId="80" borderId="0" applyNumberFormat="0" applyBorder="0" applyAlignment="0" applyProtection="0"/>
    <xf numFmtId="0" fontId="1" fillId="80" borderId="0" applyNumberFormat="0" applyBorder="0" applyAlignment="0" applyProtection="0"/>
    <xf numFmtId="0" fontId="1" fillId="80" borderId="0" applyNumberFormat="0" applyBorder="0" applyAlignment="0" applyProtection="0"/>
    <xf numFmtId="0" fontId="1" fillId="61" borderId="0" applyNumberFormat="0" applyBorder="0" applyAlignment="0" applyProtection="0"/>
    <xf numFmtId="0" fontId="1" fillId="61" borderId="0" applyNumberFormat="0" applyBorder="0" applyAlignment="0" applyProtection="0"/>
    <xf numFmtId="0" fontId="1" fillId="61" borderId="0" applyNumberFormat="0" applyBorder="0" applyAlignment="0" applyProtection="0"/>
    <xf numFmtId="0" fontId="1" fillId="61" borderId="0" applyNumberFormat="0" applyBorder="0" applyAlignment="0" applyProtection="0"/>
    <xf numFmtId="0" fontId="1" fillId="61" borderId="0" applyNumberFormat="0" applyBorder="0" applyAlignment="0" applyProtection="0"/>
    <xf numFmtId="0" fontId="1" fillId="61" borderId="0" applyNumberFormat="0" applyBorder="0" applyAlignment="0" applyProtection="0"/>
    <xf numFmtId="0" fontId="1" fillId="61" borderId="0" applyNumberFormat="0" applyBorder="0" applyAlignment="0" applyProtection="0"/>
    <xf numFmtId="0" fontId="1" fillId="61" borderId="0" applyNumberFormat="0" applyBorder="0" applyAlignment="0" applyProtection="0"/>
    <xf numFmtId="0" fontId="1" fillId="61" borderId="0" applyNumberFormat="0" applyBorder="0" applyAlignment="0" applyProtection="0"/>
    <xf numFmtId="0" fontId="1" fillId="65" borderId="0" applyNumberFormat="0" applyBorder="0" applyAlignment="0" applyProtection="0"/>
    <xf numFmtId="0" fontId="1" fillId="65" borderId="0" applyNumberFormat="0" applyBorder="0" applyAlignment="0" applyProtection="0"/>
    <xf numFmtId="0" fontId="1" fillId="65" borderId="0" applyNumberFormat="0" applyBorder="0" applyAlignment="0" applyProtection="0"/>
    <xf numFmtId="0" fontId="1" fillId="65" borderId="0" applyNumberFormat="0" applyBorder="0" applyAlignment="0" applyProtection="0"/>
    <xf numFmtId="0" fontId="1" fillId="65" borderId="0" applyNumberFormat="0" applyBorder="0" applyAlignment="0" applyProtection="0"/>
    <xf numFmtId="0" fontId="1" fillId="65" borderId="0" applyNumberFormat="0" applyBorder="0" applyAlignment="0" applyProtection="0"/>
    <xf numFmtId="0" fontId="1" fillId="65" borderId="0" applyNumberFormat="0" applyBorder="0" applyAlignment="0" applyProtection="0"/>
    <xf numFmtId="0" fontId="1" fillId="65" borderId="0" applyNumberFormat="0" applyBorder="0" applyAlignment="0" applyProtection="0"/>
    <xf numFmtId="0" fontId="1" fillId="65" borderId="0" applyNumberFormat="0" applyBorder="0" applyAlignment="0" applyProtection="0"/>
    <xf numFmtId="0" fontId="1" fillId="69" borderId="0" applyNumberFormat="0" applyBorder="0" applyAlignment="0" applyProtection="0"/>
    <xf numFmtId="0" fontId="1" fillId="69" borderId="0" applyNumberFormat="0" applyBorder="0" applyAlignment="0" applyProtection="0"/>
    <xf numFmtId="0" fontId="1" fillId="69" borderId="0" applyNumberFormat="0" applyBorder="0" applyAlignment="0" applyProtection="0"/>
    <xf numFmtId="0" fontId="1" fillId="69" borderId="0" applyNumberFormat="0" applyBorder="0" applyAlignment="0" applyProtection="0"/>
    <xf numFmtId="0" fontId="1" fillId="69" borderId="0" applyNumberFormat="0" applyBorder="0" applyAlignment="0" applyProtection="0"/>
    <xf numFmtId="0" fontId="1" fillId="69" borderId="0" applyNumberFormat="0" applyBorder="0" applyAlignment="0" applyProtection="0"/>
    <xf numFmtId="0" fontId="1" fillId="69" borderId="0" applyNumberFormat="0" applyBorder="0" applyAlignment="0" applyProtection="0"/>
    <xf numFmtId="0" fontId="1" fillId="69" borderId="0" applyNumberFormat="0" applyBorder="0" applyAlignment="0" applyProtection="0"/>
    <xf numFmtId="0" fontId="1" fillId="69" borderId="0" applyNumberFormat="0" applyBorder="0" applyAlignment="0" applyProtection="0"/>
    <xf numFmtId="0" fontId="1" fillId="73" borderId="0" applyNumberFormat="0" applyBorder="0" applyAlignment="0" applyProtection="0"/>
    <xf numFmtId="0" fontId="1" fillId="73" borderId="0" applyNumberFormat="0" applyBorder="0" applyAlignment="0" applyProtection="0"/>
    <xf numFmtId="0" fontId="1" fillId="73" borderId="0" applyNumberFormat="0" applyBorder="0" applyAlignment="0" applyProtection="0"/>
    <xf numFmtId="0" fontId="1" fillId="73" borderId="0" applyNumberFormat="0" applyBorder="0" applyAlignment="0" applyProtection="0"/>
    <xf numFmtId="0" fontId="1" fillId="73" borderId="0" applyNumberFormat="0" applyBorder="0" applyAlignment="0" applyProtection="0"/>
    <xf numFmtId="0" fontId="1" fillId="73" borderId="0" applyNumberFormat="0" applyBorder="0" applyAlignment="0" applyProtection="0"/>
    <xf numFmtId="0" fontId="1" fillId="73" borderId="0" applyNumberFormat="0" applyBorder="0" applyAlignment="0" applyProtection="0"/>
    <xf numFmtId="0" fontId="1" fillId="73" borderId="0" applyNumberFormat="0" applyBorder="0" applyAlignment="0" applyProtection="0"/>
    <xf numFmtId="0" fontId="1" fillId="73" borderId="0" applyNumberFormat="0" applyBorder="0" applyAlignment="0" applyProtection="0"/>
    <xf numFmtId="0" fontId="1" fillId="77" borderId="0" applyNumberFormat="0" applyBorder="0" applyAlignment="0" applyProtection="0"/>
    <xf numFmtId="0" fontId="1" fillId="77" borderId="0" applyNumberFormat="0" applyBorder="0" applyAlignment="0" applyProtection="0"/>
    <xf numFmtId="0" fontId="1" fillId="77" borderId="0" applyNumberFormat="0" applyBorder="0" applyAlignment="0" applyProtection="0"/>
    <xf numFmtId="0" fontId="1" fillId="77" borderId="0" applyNumberFormat="0" applyBorder="0" applyAlignment="0" applyProtection="0"/>
    <xf numFmtId="0" fontId="1" fillId="77" borderId="0" applyNumberFormat="0" applyBorder="0" applyAlignment="0" applyProtection="0"/>
    <xf numFmtId="0" fontId="1" fillId="77" borderId="0" applyNumberFormat="0" applyBorder="0" applyAlignment="0" applyProtection="0"/>
    <xf numFmtId="0" fontId="1" fillId="77" borderId="0" applyNumberFormat="0" applyBorder="0" applyAlignment="0" applyProtection="0"/>
    <xf numFmtId="0" fontId="1" fillId="77" borderId="0" applyNumberFormat="0" applyBorder="0" applyAlignment="0" applyProtection="0"/>
    <xf numFmtId="0" fontId="1" fillId="77" borderId="0" applyNumberFormat="0" applyBorder="0" applyAlignment="0" applyProtection="0"/>
    <xf numFmtId="0" fontId="1" fillId="81" borderId="0" applyNumberFormat="0" applyBorder="0" applyAlignment="0" applyProtection="0"/>
    <xf numFmtId="0" fontId="1" fillId="81" borderId="0" applyNumberFormat="0" applyBorder="0" applyAlignment="0" applyProtection="0"/>
    <xf numFmtId="0" fontId="1" fillId="81" borderId="0" applyNumberFormat="0" applyBorder="0" applyAlignment="0" applyProtection="0"/>
    <xf numFmtId="0" fontId="1" fillId="81" borderId="0" applyNumberFormat="0" applyBorder="0" applyAlignment="0" applyProtection="0"/>
    <xf numFmtId="0" fontId="1" fillId="81" borderId="0" applyNumberFormat="0" applyBorder="0" applyAlignment="0" applyProtection="0"/>
    <xf numFmtId="0" fontId="1" fillId="81" borderId="0" applyNumberFormat="0" applyBorder="0" applyAlignment="0" applyProtection="0"/>
    <xf numFmtId="0" fontId="1" fillId="81" borderId="0" applyNumberFormat="0" applyBorder="0" applyAlignment="0" applyProtection="0"/>
    <xf numFmtId="0" fontId="1" fillId="81" borderId="0" applyNumberFormat="0" applyBorder="0" applyAlignment="0" applyProtection="0"/>
    <xf numFmtId="0" fontId="1" fillId="81" borderId="0" applyNumberFormat="0" applyBorder="0" applyAlignment="0" applyProtection="0"/>
    <xf numFmtId="0" fontId="1" fillId="58" borderId="104" applyNumberFormat="0" applyFont="0" applyAlignment="0" applyProtection="0"/>
    <xf numFmtId="0" fontId="1" fillId="58" borderId="104" applyNumberFormat="0" applyFont="0" applyAlignment="0" applyProtection="0"/>
    <xf numFmtId="0" fontId="1" fillId="58" borderId="104" applyNumberFormat="0" applyFont="0" applyAlignment="0" applyProtection="0"/>
    <xf numFmtId="0" fontId="1" fillId="58" borderId="104" applyNumberFormat="0" applyFont="0" applyAlignment="0" applyProtection="0"/>
    <xf numFmtId="0" fontId="1" fillId="58" borderId="104" applyNumberFormat="0" applyFont="0" applyAlignment="0" applyProtection="0"/>
    <xf numFmtId="0" fontId="1" fillId="58" borderId="104" applyNumberFormat="0" applyFont="0" applyAlignment="0" applyProtection="0"/>
    <xf numFmtId="0" fontId="1" fillId="58" borderId="104" applyNumberFormat="0" applyFont="0" applyAlignment="0" applyProtection="0"/>
    <xf numFmtId="0" fontId="1" fillId="58" borderId="104" applyNumberFormat="0" applyFont="0" applyAlignment="0" applyProtection="0"/>
    <xf numFmtId="0" fontId="1" fillId="58" borderId="104" applyNumberFormat="0" applyFont="0" applyAlignment="0" applyProtection="0"/>
    <xf numFmtId="0" fontId="1" fillId="0" borderId="0"/>
    <xf numFmtId="165" fontId="1" fillId="0" borderId="0" applyFont="0" applyFill="0" applyBorder="0" applyAlignment="0" applyProtection="0"/>
    <xf numFmtId="0" fontId="1" fillId="0" borderId="0"/>
    <xf numFmtId="0" fontId="1" fillId="0" borderId="0"/>
    <xf numFmtId="0" fontId="1" fillId="26" borderId="0" applyNumberFormat="0" applyBorder="0" applyAlignment="0" applyProtection="0"/>
    <xf numFmtId="0" fontId="1" fillId="3" borderId="0" applyNumberFormat="0" applyBorder="0" applyAlignment="0" applyProtection="0"/>
    <xf numFmtId="0" fontId="1" fillId="26"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26" borderId="0" applyNumberFormat="0" applyBorder="0" applyAlignment="0" applyProtection="0"/>
    <xf numFmtId="0" fontId="1" fillId="3" borderId="0" applyNumberFormat="0" applyBorder="0" applyAlignment="0" applyProtection="0"/>
    <xf numFmtId="0" fontId="1" fillId="26" borderId="0" applyNumberFormat="0" applyBorder="0" applyAlignment="0" applyProtection="0"/>
    <xf numFmtId="0" fontId="1" fillId="58" borderId="104" applyNumberFormat="0" applyFont="0" applyAlignment="0" applyProtection="0"/>
    <xf numFmtId="0" fontId="1" fillId="6" borderId="0" applyNumberFormat="0" applyBorder="0" applyAlignment="0" applyProtection="0"/>
    <xf numFmtId="0" fontId="1" fillId="23" borderId="0" applyNumberFormat="0" applyBorder="0" applyAlignment="0" applyProtection="0"/>
    <xf numFmtId="0" fontId="1" fillId="6"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6" borderId="0" applyNumberFormat="0" applyBorder="0" applyAlignment="0" applyProtection="0"/>
    <xf numFmtId="0" fontId="1" fillId="23" borderId="0" applyNumberFormat="0" applyBorder="0" applyAlignment="0" applyProtection="0"/>
    <xf numFmtId="0" fontId="1" fillId="61" borderId="0" applyNumberFormat="0" applyBorder="0" applyAlignment="0" applyProtection="0"/>
    <xf numFmtId="0" fontId="1" fillId="26"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26" borderId="0" applyNumberFormat="0" applyBorder="0" applyAlignment="0" applyProtection="0"/>
    <xf numFmtId="0" fontId="1" fillId="3" borderId="0" applyNumberFormat="0" applyBorder="0" applyAlignment="0" applyProtection="0"/>
    <xf numFmtId="0" fontId="1" fillId="26" borderId="0" applyNumberFormat="0" applyBorder="0" applyAlignment="0" applyProtection="0"/>
    <xf numFmtId="0" fontId="1" fillId="0" borderId="0"/>
    <xf numFmtId="0" fontId="1" fillId="58" borderId="104" applyNumberFormat="0" applyFont="0" applyAlignment="0" applyProtection="0"/>
    <xf numFmtId="0" fontId="1" fillId="6" borderId="0" applyNumberFormat="0" applyBorder="0" applyAlignment="0" applyProtection="0"/>
    <xf numFmtId="0" fontId="1" fillId="23" borderId="0" applyNumberFormat="0" applyBorder="0" applyAlignment="0" applyProtection="0"/>
    <xf numFmtId="0" fontId="1" fillId="6" borderId="0" applyNumberFormat="0" applyBorder="0" applyAlignment="0" applyProtection="0"/>
    <xf numFmtId="0" fontId="1" fillId="58" borderId="104" applyNumberFormat="0" applyFont="0" applyAlignment="0" applyProtection="0"/>
    <xf numFmtId="0" fontId="1" fillId="26" borderId="0" applyNumberFormat="0" applyBorder="0" applyAlignment="0" applyProtection="0"/>
    <xf numFmtId="0" fontId="1" fillId="3"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7" borderId="0" applyNumberFormat="0" applyBorder="0" applyAlignment="0" applyProtection="0"/>
    <xf numFmtId="0" fontId="1" fillId="0" borderId="0"/>
    <xf numFmtId="0" fontId="1" fillId="26" borderId="0" applyNumberFormat="0" applyBorder="0" applyAlignment="0" applyProtection="0"/>
    <xf numFmtId="0" fontId="1" fillId="3" borderId="0" applyNumberFormat="0" applyBorder="0" applyAlignment="0" applyProtection="0"/>
    <xf numFmtId="0" fontId="1" fillId="23" borderId="0" applyNumberFormat="0" applyBorder="0" applyAlignment="0" applyProtection="0"/>
    <xf numFmtId="0" fontId="1" fillId="6" borderId="0" applyNumberFormat="0" applyBorder="0" applyAlignment="0" applyProtection="0"/>
    <xf numFmtId="0" fontId="1" fillId="58" borderId="104" applyNumberFormat="0" applyFont="0" applyAlignment="0" applyProtection="0"/>
    <xf numFmtId="0" fontId="1" fillId="6" borderId="0" applyNumberFormat="0" applyBorder="0" applyAlignment="0" applyProtection="0"/>
    <xf numFmtId="0" fontId="1" fillId="23" borderId="0" applyNumberFormat="0" applyBorder="0" applyAlignment="0" applyProtection="0"/>
    <xf numFmtId="0" fontId="1" fillId="6" borderId="0" applyNumberFormat="0" applyBorder="0" applyAlignment="0" applyProtection="0"/>
    <xf numFmtId="0" fontId="1" fillId="26" borderId="0" applyNumberFormat="0" applyBorder="0" applyAlignment="0" applyProtection="0"/>
    <xf numFmtId="0" fontId="1" fillId="3" borderId="0" applyNumberFormat="0" applyBorder="0" applyAlignment="0" applyProtection="0"/>
    <xf numFmtId="0" fontId="1" fillId="73" borderId="0" applyNumberFormat="0" applyBorder="0" applyAlignment="0" applyProtection="0"/>
    <xf numFmtId="0" fontId="1" fillId="26"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26" borderId="0" applyNumberFormat="0" applyBorder="0" applyAlignment="0" applyProtection="0"/>
    <xf numFmtId="0" fontId="1" fillId="3" borderId="0" applyNumberFormat="0" applyBorder="0" applyAlignment="0" applyProtection="0"/>
    <xf numFmtId="0" fontId="1" fillId="26" borderId="0" applyNumberFormat="0" applyBorder="0" applyAlignment="0" applyProtection="0"/>
    <xf numFmtId="0" fontId="1" fillId="0" borderId="0"/>
    <xf numFmtId="0" fontId="1" fillId="6" borderId="0" applyNumberFormat="0" applyBorder="0" applyAlignment="0" applyProtection="0"/>
    <xf numFmtId="0" fontId="1" fillId="23" borderId="0" applyNumberFormat="0" applyBorder="0" applyAlignment="0" applyProtection="0"/>
    <xf numFmtId="0" fontId="1" fillId="6" borderId="0" applyNumberFormat="0" applyBorder="0" applyAlignment="0" applyProtection="0"/>
    <xf numFmtId="0" fontId="1" fillId="26" borderId="0" applyNumberFormat="0" applyBorder="0" applyAlignment="0" applyProtection="0"/>
    <xf numFmtId="0" fontId="1" fillId="58" borderId="104" applyNumberFormat="0" applyFont="0" applyAlignment="0" applyProtection="0"/>
    <xf numFmtId="0" fontId="1" fillId="58" borderId="104" applyNumberFormat="0" applyFont="0" applyAlignment="0" applyProtection="0"/>
    <xf numFmtId="0" fontId="1" fillId="58" borderId="104" applyNumberFormat="0" applyFont="0" applyAlignment="0" applyProtection="0"/>
    <xf numFmtId="0" fontId="1" fillId="26" borderId="0" applyNumberFormat="0" applyBorder="0" applyAlignment="0" applyProtection="0"/>
    <xf numFmtId="0" fontId="1" fillId="0" borderId="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6" borderId="0" applyNumberFormat="0" applyBorder="0" applyAlignment="0" applyProtection="0"/>
    <xf numFmtId="0" fontId="1" fillId="23"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3" borderId="0" applyNumberFormat="0" applyBorder="0" applyAlignment="0" applyProtection="0"/>
    <xf numFmtId="0" fontId="1" fillId="3" borderId="0" applyNumberFormat="0" applyBorder="0" applyAlignment="0" applyProtection="0"/>
    <xf numFmtId="0" fontId="1" fillId="3" borderId="0" applyNumberFormat="0" applyBorder="0" applyAlignment="0" applyProtection="0"/>
    <xf numFmtId="0" fontId="1" fillId="3" borderId="0" applyNumberFormat="0" applyBorder="0" applyAlignment="0" applyProtection="0"/>
    <xf numFmtId="0" fontId="1" fillId="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26" borderId="0" applyNumberFormat="0" applyBorder="0" applyAlignment="0" applyProtection="0"/>
    <xf numFmtId="0" fontId="1" fillId="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58" borderId="104" applyNumberFormat="0" applyFont="0" applyAlignment="0" applyProtection="0"/>
    <xf numFmtId="0" fontId="1" fillId="6" borderId="0" applyNumberFormat="0" applyBorder="0" applyAlignment="0" applyProtection="0"/>
    <xf numFmtId="0" fontId="1" fillId="23" borderId="0" applyNumberFormat="0" applyBorder="0" applyAlignment="0" applyProtection="0"/>
    <xf numFmtId="0" fontId="1" fillId="6" borderId="0" applyNumberFormat="0" applyBorder="0" applyAlignment="0" applyProtection="0"/>
    <xf numFmtId="0" fontId="1" fillId="26"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58" borderId="104" applyNumberFormat="0" applyFont="0" applyAlignment="0" applyProtection="0"/>
    <xf numFmtId="0" fontId="1" fillId="26" borderId="0" applyNumberFormat="0" applyBorder="0" applyAlignment="0" applyProtection="0"/>
    <xf numFmtId="0" fontId="1" fillId="3" borderId="0" applyNumberFormat="0" applyBorder="0" applyAlignment="0" applyProtection="0"/>
    <xf numFmtId="0" fontId="1" fillId="26" borderId="0" applyNumberFormat="0" applyBorder="0" applyAlignment="0" applyProtection="0"/>
    <xf numFmtId="0" fontId="1" fillId="0" borderId="0"/>
    <xf numFmtId="0" fontId="1" fillId="6" borderId="0" applyNumberFormat="0" applyBorder="0" applyAlignment="0" applyProtection="0"/>
    <xf numFmtId="0" fontId="1" fillId="23" borderId="0" applyNumberFormat="0" applyBorder="0" applyAlignment="0" applyProtection="0"/>
    <xf numFmtId="0" fontId="1" fillId="6" borderId="0" applyNumberFormat="0" applyBorder="0" applyAlignment="0" applyProtection="0"/>
    <xf numFmtId="0" fontId="1" fillId="58" borderId="104" applyNumberFormat="0" applyFont="0" applyAlignment="0" applyProtection="0"/>
    <xf numFmtId="0" fontId="1" fillId="26" borderId="0" applyNumberFormat="0" applyBorder="0" applyAlignment="0" applyProtection="0"/>
    <xf numFmtId="0" fontId="1" fillId="58" borderId="104" applyNumberFormat="0" applyFont="0" applyAlignment="0" applyProtection="0"/>
    <xf numFmtId="0" fontId="1" fillId="3" borderId="0" applyNumberFormat="0" applyBorder="0" applyAlignment="0" applyProtection="0"/>
    <xf numFmtId="0" fontId="1" fillId="8" borderId="0" applyNumberFormat="0" applyBorder="0" applyAlignment="0" applyProtection="0"/>
    <xf numFmtId="0" fontId="1" fillId="26" borderId="0" applyNumberFormat="0" applyBorder="0" applyAlignment="0" applyProtection="0"/>
    <xf numFmtId="0" fontId="1" fillId="7" borderId="0" applyNumberFormat="0" applyBorder="0" applyAlignment="0" applyProtection="0"/>
    <xf numFmtId="0" fontId="1" fillId="26" borderId="0" applyNumberFormat="0" applyBorder="0" applyAlignment="0" applyProtection="0"/>
    <xf numFmtId="0" fontId="1" fillId="3" borderId="0" applyNumberFormat="0" applyBorder="0" applyAlignment="0" applyProtection="0"/>
    <xf numFmtId="0" fontId="1" fillId="23"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23" borderId="0" applyNumberFormat="0" applyBorder="0" applyAlignment="0" applyProtection="0"/>
    <xf numFmtId="0" fontId="1" fillId="6" borderId="0" applyNumberFormat="0" applyBorder="0" applyAlignment="0" applyProtection="0"/>
    <xf numFmtId="0" fontId="1" fillId="26" borderId="0" applyNumberFormat="0" applyBorder="0" applyAlignment="0" applyProtection="0"/>
    <xf numFmtId="0" fontId="1" fillId="58" borderId="104" applyNumberFormat="0" applyFont="0" applyAlignment="0" applyProtection="0"/>
    <xf numFmtId="0" fontId="1" fillId="3" borderId="0" applyNumberFormat="0" applyBorder="0" applyAlignment="0" applyProtection="0"/>
    <xf numFmtId="0" fontId="1" fillId="69" borderId="0" applyNumberFormat="0" applyBorder="0" applyAlignment="0" applyProtection="0"/>
    <xf numFmtId="0" fontId="1" fillId="26"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26" borderId="0" applyNumberFormat="0" applyBorder="0" applyAlignment="0" applyProtection="0"/>
    <xf numFmtId="0" fontId="1" fillId="3" borderId="0" applyNumberFormat="0" applyBorder="0" applyAlignment="0" applyProtection="0"/>
    <xf numFmtId="0" fontId="1" fillId="26" borderId="0" applyNumberFormat="0" applyBorder="0" applyAlignment="0" applyProtection="0"/>
    <xf numFmtId="0" fontId="1" fillId="6" borderId="0" applyNumberFormat="0" applyBorder="0" applyAlignment="0" applyProtection="0"/>
    <xf numFmtId="0" fontId="1" fillId="23"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23" borderId="0" applyNumberFormat="0" applyBorder="0" applyAlignment="0" applyProtection="0"/>
    <xf numFmtId="0" fontId="1" fillId="6" borderId="0" applyNumberFormat="0" applyBorder="0" applyAlignment="0" applyProtection="0"/>
    <xf numFmtId="0" fontId="1" fillId="26"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58" borderId="104" applyNumberFormat="0" applyFont="0" applyAlignment="0" applyProtection="0"/>
    <xf numFmtId="0" fontId="1" fillId="26" borderId="0" applyNumberFormat="0" applyBorder="0" applyAlignment="0" applyProtection="0"/>
    <xf numFmtId="0" fontId="1" fillId="3" borderId="0" applyNumberFormat="0" applyBorder="0" applyAlignment="0" applyProtection="0"/>
    <xf numFmtId="0" fontId="1" fillId="26" borderId="0" applyNumberFormat="0" applyBorder="0" applyAlignment="0" applyProtection="0"/>
    <xf numFmtId="0" fontId="1" fillId="6" borderId="0" applyNumberFormat="0" applyBorder="0" applyAlignment="0" applyProtection="0"/>
    <xf numFmtId="0" fontId="1" fillId="23" borderId="0" applyNumberFormat="0" applyBorder="0" applyAlignment="0" applyProtection="0"/>
    <xf numFmtId="0" fontId="1" fillId="6" borderId="0" applyNumberFormat="0" applyBorder="0" applyAlignment="0" applyProtection="0"/>
    <xf numFmtId="0" fontId="1" fillId="58" borderId="104" applyNumberFormat="0" applyFont="0" applyAlignment="0" applyProtection="0"/>
    <xf numFmtId="0" fontId="1" fillId="58" borderId="104" applyNumberFormat="0" applyFont="0" applyAlignment="0" applyProtection="0"/>
    <xf numFmtId="0" fontId="1" fillId="26" borderId="0" applyNumberFormat="0" applyBorder="0" applyAlignment="0" applyProtection="0"/>
    <xf numFmtId="0" fontId="1" fillId="3" borderId="0" applyNumberFormat="0" applyBorder="0" applyAlignment="0" applyProtection="0"/>
    <xf numFmtId="0" fontId="1" fillId="81" borderId="0" applyNumberFormat="0" applyBorder="0" applyAlignment="0" applyProtection="0"/>
    <xf numFmtId="0" fontId="1" fillId="26" borderId="0" applyNumberFormat="0" applyBorder="0" applyAlignment="0" applyProtection="0"/>
    <xf numFmtId="0" fontId="1" fillId="7" borderId="0" applyNumberFormat="0" applyBorder="0" applyAlignment="0" applyProtection="0"/>
    <xf numFmtId="0" fontId="1" fillId="26" borderId="0" applyNumberFormat="0" applyBorder="0" applyAlignment="0" applyProtection="0"/>
    <xf numFmtId="0" fontId="1" fillId="58" borderId="104" applyNumberFormat="0" applyFont="0" applyAlignment="0" applyProtection="0"/>
    <xf numFmtId="0" fontId="1" fillId="3"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23"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3" borderId="0" applyNumberFormat="0" applyBorder="0" applyAlignment="0" applyProtection="0"/>
    <xf numFmtId="0" fontId="1" fillId="26"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26" borderId="0" applyNumberFormat="0" applyBorder="0" applyAlignment="0" applyProtection="0"/>
    <xf numFmtId="0" fontId="1" fillId="58" borderId="104" applyNumberFormat="0" applyFont="0" applyAlignment="0" applyProtection="0"/>
    <xf numFmtId="0" fontId="1" fillId="3" borderId="0" applyNumberFormat="0" applyBorder="0" applyAlignment="0" applyProtection="0"/>
    <xf numFmtId="0" fontId="1" fillId="26" borderId="0" applyNumberFormat="0" applyBorder="0" applyAlignment="0" applyProtection="0"/>
    <xf numFmtId="0" fontId="1" fillId="6" borderId="0" applyNumberFormat="0" applyBorder="0" applyAlignment="0" applyProtection="0"/>
    <xf numFmtId="0" fontId="1" fillId="23" borderId="0" applyNumberFormat="0" applyBorder="0" applyAlignment="0" applyProtection="0"/>
    <xf numFmtId="0" fontId="1" fillId="6" borderId="0" applyNumberFormat="0" applyBorder="0" applyAlignment="0" applyProtection="0"/>
    <xf numFmtId="0" fontId="1" fillId="26" borderId="0" applyNumberFormat="0" applyBorder="0" applyAlignment="0" applyProtection="0"/>
    <xf numFmtId="0" fontId="1" fillId="58" borderId="104" applyNumberFormat="0" applyFont="0" applyAlignment="0" applyProtection="0"/>
    <xf numFmtId="0" fontId="1" fillId="58" borderId="104" applyNumberFormat="0" applyFont="0" applyAlignment="0" applyProtection="0"/>
    <xf numFmtId="0" fontId="1" fillId="58" borderId="104" applyNumberFormat="0" applyFont="0" applyAlignment="0" applyProtection="0"/>
    <xf numFmtId="0" fontId="1" fillId="6" borderId="0" applyNumberFormat="0" applyBorder="0" applyAlignment="0" applyProtection="0"/>
    <xf numFmtId="0" fontId="1" fillId="64" borderId="0" applyNumberFormat="0" applyBorder="0" applyAlignment="0" applyProtection="0"/>
    <xf numFmtId="0" fontId="1" fillId="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3" borderId="0" applyNumberFormat="0" applyBorder="0" applyAlignment="0" applyProtection="0"/>
    <xf numFmtId="0" fontId="1" fillId="3" borderId="0" applyNumberFormat="0" applyBorder="0" applyAlignment="0" applyProtection="0"/>
    <xf numFmtId="0" fontId="1" fillId="3" borderId="0" applyNumberFormat="0" applyBorder="0" applyAlignment="0" applyProtection="0"/>
    <xf numFmtId="0" fontId="1" fillId="3" borderId="0" applyNumberFormat="0" applyBorder="0" applyAlignment="0" applyProtection="0"/>
    <xf numFmtId="0" fontId="1" fillId="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26" borderId="0" applyNumberFormat="0" applyBorder="0" applyAlignment="0" applyProtection="0"/>
    <xf numFmtId="0" fontId="1" fillId="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26"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26"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9"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9" borderId="0" applyNumberFormat="0" applyBorder="0" applyAlignment="0" applyProtection="0"/>
    <xf numFmtId="0" fontId="1" fillId="6" borderId="0" applyNumberFormat="0" applyBorder="0" applyAlignment="0" applyProtection="0"/>
    <xf numFmtId="0" fontId="1" fillId="23" borderId="0" applyNumberFormat="0" applyBorder="0" applyAlignment="0" applyProtection="0"/>
    <xf numFmtId="0" fontId="1" fillId="6" borderId="0" applyNumberFormat="0" applyBorder="0" applyAlignment="0" applyProtection="0"/>
    <xf numFmtId="0" fontId="1" fillId="9" borderId="0" applyNumberFormat="0" applyBorder="0" applyAlignment="0" applyProtection="0"/>
    <xf numFmtId="0" fontId="1" fillId="8"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58" borderId="104" applyNumberFormat="0" applyFont="0" applyAlignment="0" applyProtection="0"/>
    <xf numFmtId="0" fontId="1" fillId="26" borderId="0" applyNumberFormat="0" applyBorder="0" applyAlignment="0" applyProtection="0"/>
    <xf numFmtId="0" fontId="1" fillId="3" borderId="0" applyNumberFormat="0" applyBorder="0" applyAlignment="0" applyProtection="0"/>
    <xf numFmtId="0" fontId="1" fillId="23" borderId="0" applyNumberFormat="0" applyBorder="0" applyAlignment="0" applyProtection="0"/>
    <xf numFmtId="0" fontId="1" fillId="26" borderId="0" applyNumberFormat="0" applyBorder="0" applyAlignment="0" applyProtection="0"/>
    <xf numFmtId="0" fontId="1" fillId="58" borderId="104" applyNumberFormat="0" applyFont="0" applyAlignment="0" applyProtection="0"/>
    <xf numFmtId="0" fontId="1" fillId="26" borderId="0" applyNumberFormat="0" applyBorder="0" applyAlignment="0" applyProtection="0"/>
    <xf numFmtId="0" fontId="1" fillId="6" borderId="0" applyNumberFormat="0" applyBorder="0" applyAlignment="0" applyProtection="0"/>
    <xf numFmtId="0" fontId="1" fillId="23" borderId="0" applyNumberFormat="0" applyBorder="0" applyAlignment="0" applyProtection="0"/>
    <xf numFmtId="0" fontId="1" fillId="6" borderId="0" applyNumberFormat="0" applyBorder="0" applyAlignment="0" applyProtection="0"/>
    <xf numFmtId="0" fontId="1" fillId="26" borderId="0" applyNumberFormat="0" applyBorder="0" applyAlignment="0" applyProtection="0"/>
    <xf numFmtId="0" fontId="1" fillId="3" borderId="0" applyNumberFormat="0" applyBorder="0" applyAlignment="0" applyProtection="0"/>
    <xf numFmtId="0" fontId="1" fillId="77" borderId="0" applyNumberFormat="0" applyBorder="0" applyAlignment="0" applyProtection="0"/>
    <xf numFmtId="0" fontId="1" fillId="26"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26" borderId="0" applyNumberFormat="0" applyBorder="0" applyAlignment="0" applyProtection="0"/>
    <xf numFmtId="0" fontId="1" fillId="3" borderId="0" applyNumberFormat="0" applyBorder="0" applyAlignment="0" applyProtection="0"/>
    <xf numFmtId="0" fontId="1" fillId="58" borderId="104" applyNumberFormat="0" applyFont="0" applyAlignment="0" applyProtection="0"/>
    <xf numFmtId="0" fontId="1" fillId="6" borderId="0" applyNumberFormat="0" applyBorder="0" applyAlignment="0" applyProtection="0"/>
    <xf numFmtId="0" fontId="1" fillId="58" borderId="104" applyNumberFormat="0" applyFont="0" applyAlignment="0" applyProtection="0"/>
    <xf numFmtId="0" fontId="1" fillId="23"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23" borderId="0" applyNumberFormat="0" applyBorder="0" applyAlignment="0" applyProtection="0"/>
    <xf numFmtId="0" fontId="1" fillId="26"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26" borderId="0" applyNumberFormat="0" applyBorder="0" applyAlignment="0" applyProtection="0"/>
    <xf numFmtId="0" fontId="1" fillId="3" borderId="0" applyNumberFormat="0" applyBorder="0" applyAlignment="0" applyProtection="0"/>
    <xf numFmtId="0" fontId="1" fillId="26" borderId="0" applyNumberFormat="0" applyBorder="0" applyAlignment="0" applyProtection="0"/>
    <xf numFmtId="0" fontId="1" fillId="6" borderId="0" applyNumberFormat="0" applyBorder="0" applyAlignment="0" applyProtection="0"/>
    <xf numFmtId="0" fontId="1" fillId="23" borderId="0" applyNumberFormat="0" applyBorder="0" applyAlignment="0" applyProtection="0"/>
    <xf numFmtId="0" fontId="1" fillId="6"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6" borderId="0" applyNumberFormat="0" applyBorder="0" applyAlignment="0" applyProtection="0"/>
    <xf numFmtId="0" fontId="1" fillId="23" borderId="0" applyNumberFormat="0" applyBorder="0" applyAlignment="0" applyProtection="0"/>
    <xf numFmtId="0" fontId="1" fillId="60" borderId="0" applyNumberFormat="0" applyBorder="0" applyAlignment="0" applyProtection="0"/>
    <xf numFmtId="0" fontId="1" fillId="26"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26" borderId="0" applyNumberFormat="0" applyBorder="0" applyAlignment="0" applyProtection="0"/>
    <xf numFmtId="0" fontId="1" fillId="3" borderId="0" applyNumberFormat="0" applyBorder="0" applyAlignment="0" applyProtection="0"/>
    <xf numFmtId="0" fontId="1" fillId="26" borderId="0" applyNumberFormat="0" applyBorder="0" applyAlignment="0" applyProtection="0"/>
    <xf numFmtId="0" fontId="1" fillId="58" borderId="104" applyNumberFormat="0" applyFont="0" applyAlignment="0" applyProtection="0"/>
    <xf numFmtId="0" fontId="1" fillId="6" borderId="0" applyNumberFormat="0" applyBorder="0" applyAlignment="0" applyProtection="0"/>
    <xf numFmtId="0" fontId="1" fillId="23" borderId="0" applyNumberFormat="0" applyBorder="0" applyAlignment="0" applyProtection="0"/>
    <xf numFmtId="0" fontId="1" fillId="6" borderId="0" applyNumberFormat="0" applyBorder="0" applyAlignment="0" applyProtection="0"/>
    <xf numFmtId="0" fontId="1" fillId="58" borderId="104" applyNumberFormat="0" applyFont="0" applyAlignment="0" applyProtection="0"/>
    <xf numFmtId="0" fontId="1" fillId="26" borderId="0" applyNumberFormat="0" applyBorder="0" applyAlignment="0" applyProtection="0"/>
    <xf numFmtId="0" fontId="1" fillId="3" borderId="0" applyNumberFormat="0" applyBorder="0" applyAlignment="0" applyProtection="0"/>
    <xf numFmtId="0" fontId="1" fillId="7" borderId="0" applyNumberFormat="0" applyBorder="0" applyAlignment="0" applyProtection="0"/>
    <xf numFmtId="0" fontId="1" fillId="26" borderId="0" applyNumberFormat="0" applyBorder="0" applyAlignment="0" applyProtection="0"/>
    <xf numFmtId="0" fontId="1" fillId="7" borderId="0" applyNumberFormat="0" applyBorder="0" applyAlignment="0" applyProtection="0"/>
    <xf numFmtId="0" fontId="1" fillId="26" borderId="0" applyNumberFormat="0" applyBorder="0" applyAlignment="0" applyProtection="0"/>
    <xf numFmtId="0" fontId="1" fillId="3" borderId="0" applyNumberFormat="0" applyBorder="0" applyAlignment="0" applyProtection="0"/>
    <xf numFmtId="0" fontId="1" fillId="23"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23" borderId="0" applyNumberFormat="0" applyBorder="0" applyAlignment="0" applyProtection="0"/>
    <xf numFmtId="0" fontId="1" fillId="6" borderId="0" applyNumberFormat="0" applyBorder="0" applyAlignment="0" applyProtection="0"/>
    <xf numFmtId="0" fontId="1" fillId="58" borderId="104" applyNumberFormat="0" applyFont="0" applyAlignment="0" applyProtection="0"/>
    <xf numFmtId="0" fontId="1" fillId="26" borderId="0" applyNumberFormat="0" applyBorder="0" applyAlignment="0" applyProtection="0"/>
    <xf numFmtId="0" fontId="1" fillId="3" borderId="0" applyNumberFormat="0" applyBorder="0" applyAlignment="0" applyProtection="0"/>
    <xf numFmtId="0" fontId="1" fillId="72" borderId="0" applyNumberFormat="0" applyBorder="0" applyAlignment="0" applyProtection="0"/>
    <xf numFmtId="0" fontId="1" fillId="26"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26" borderId="0" applyNumberFormat="0" applyBorder="0" applyAlignment="0" applyProtection="0"/>
    <xf numFmtId="0" fontId="1" fillId="3" borderId="0" applyNumberFormat="0" applyBorder="0" applyAlignment="0" applyProtection="0"/>
    <xf numFmtId="0" fontId="1" fillId="0" borderId="0"/>
    <xf numFmtId="0" fontId="1" fillId="26" borderId="0" applyNumberFormat="0" applyBorder="0" applyAlignment="0" applyProtection="0"/>
    <xf numFmtId="0" fontId="1" fillId="6" borderId="0" applyNumberFormat="0" applyBorder="0" applyAlignment="0" applyProtection="0"/>
    <xf numFmtId="0" fontId="1" fillId="23" borderId="0" applyNumberFormat="0" applyBorder="0" applyAlignment="0" applyProtection="0"/>
    <xf numFmtId="0" fontId="1" fillId="6" borderId="0" applyNumberFormat="0" applyBorder="0" applyAlignment="0" applyProtection="0"/>
    <xf numFmtId="0" fontId="1" fillId="26" borderId="0" applyNumberFormat="0" applyBorder="0" applyAlignment="0" applyProtection="0"/>
    <xf numFmtId="0" fontId="1" fillId="58" borderId="104" applyNumberFormat="0" applyFont="0" applyAlignment="0" applyProtection="0"/>
    <xf numFmtId="0" fontId="1" fillId="58" borderId="104" applyNumberFormat="0" applyFont="0" applyAlignment="0" applyProtection="0"/>
    <xf numFmtId="0" fontId="1" fillId="9" borderId="0" applyNumberFormat="0" applyBorder="0" applyAlignment="0" applyProtection="0"/>
    <xf numFmtId="0" fontId="1" fillId="0" borderId="0"/>
    <xf numFmtId="0" fontId="1" fillId="0" borderId="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6" borderId="0" applyNumberFormat="0" applyBorder="0" applyAlignment="0" applyProtection="0"/>
    <xf numFmtId="0" fontId="1" fillId="23"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3" borderId="0" applyNumberFormat="0" applyBorder="0" applyAlignment="0" applyProtection="0"/>
    <xf numFmtId="0" fontId="1" fillId="3" borderId="0" applyNumberFormat="0" applyBorder="0" applyAlignment="0" applyProtection="0"/>
    <xf numFmtId="0" fontId="1" fillId="3" borderId="0" applyNumberFormat="0" applyBorder="0" applyAlignment="0" applyProtection="0"/>
    <xf numFmtId="0" fontId="1" fillId="3" borderId="0" applyNumberFormat="0" applyBorder="0" applyAlignment="0" applyProtection="0"/>
    <xf numFmtId="0" fontId="1" fillId="3" borderId="0" applyNumberFormat="0" applyBorder="0" applyAlignment="0" applyProtection="0"/>
    <xf numFmtId="0" fontId="1" fillId="6"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26" borderId="0" applyNumberFormat="0" applyBorder="0" applyAlignment="0" applyProtection="0"/>
    <xf numFmtId="0" fontId="1" fillId="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26"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8" borderId="0" applyNumberFormat="0" applyBorder="0" applyAlignment="0" applyProtection="0"/>
    <xf numFmtId="0" fontId="1" fillId="58" borderId="104" applyNumberFormat="0" applyFont="0" applyAlignment="0" applyProtection="0"/>
    <xf numFmtId="0" fontId="1" fillId="6" borderId="0" applyNumberFormat="0" applyBorder="0" applyAlignment="0" applyProtection="0"/>
    <xf numFmtId="0" fontId="1" fillId="23" borderId="0" applyNumberFormat="0" applyBorder="0" applyAlignment="0" applyProtection="0"/>
    <xf numFmtId="0" fontId="1" fillId="6" borderId="0" applyNumberFormat="0" applyBorder="0" applyAlignment="0" applyProtection="0"/>
    <xf numFmtId="0" fontId="1" fillId="26"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26" borderId="0" applyNumberFormat="0" applyBorder="0" applyAlignment="0" applyProtection="0"/>
    <xf numFmtId="0" fontId="1" fillId="3" borderId="0" applyNumberFormat="0" applyBorder="0" applyAlignment="0" applyProtection="0"/>
    <xf numFmtId="0" fontId="1" fillId="26" borderId="0" applyNumberFormat="0" applyBorder="0" applyAlignment="0" applyProtection="0"/>
    <xf numFmtId="0" fontId="1" fillId="6" borderId="0" applyNumberFormat="0" applyBorder="0" applyAlignment="0" applyProtection="0"/>
    <xf numFmtId="0" fontId="1" fillId="23" borderId="0" applyNumberFormat="0" applyBorder="0" applyAlignment="0" applyProtection="0"/>
    <xf numFmtId="0" fontId="1" fillId="6" borderId="0" applyNumberFormat="0" applyBorder="0" applyAlignment="0" applyProtection="0"/>
    <xf numFmtId="0" fontId="1" fillId="58" borderId="104" applyNumberFormat="0" applyFont="0" applyAlignment="0" applyProtection="0"/>
    <xf numFmtId="0" fontId="1" fillId="26" borderId="0" applyNumberFormat="0" applyBorder="0" applyAlignment="0" applyProtection="0"/>
    <xf numFmtId="0" fontId="1" fillId="58" borderId="104" applyNumberFormat="0" applyFont="0" applyAlignment="0" applyProtection="0"/>
    <xf numFmtId="0" fontId="1" fillId="3" borderId="0" applyNumberFormat="0" applyBorder="0" applyAlignment="0" applyProtection="0"/>
    <xf numFmtId="0" fontId="1" fillId="26" borderId="0" applyNumberFormat="0" applyBorder="0" applyAlignment="0" applyProtection="0"/>
    <xf numFmtId="0" fontId="1" fillId="7" borderId="0" applyNumberFormat="0" applyBorder="0" applyAlignment="0" applyProtection="0"/>
    <xf numFmtId="0" fontId="1" fillId="26" borderId="0" applyNumberFormat="0" applyBorder="0" applyAlignment="0" applyProtection="0"/>
    <xf numFmtId="0" fontId="1" fillId="3" borderId="0" applyNumberFormat="0" applyBorder="0" applyAlignment="0" applyProtection="0"/>
    <xf numFmtId="0" fontId="1" fillId="23"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23" borderId="0" applyNumberFormat="0" applyBorder="0" applyAlignment="0" applyProtection="0"/>
    <xf numFmtId="0" fontId="1" fillId="6" borderId="0" applyNumberFormat="0" applyBorder="0" applyAlignment="0" applyProtection="0"/>
    <xf numFmtId="0" fontId="1" fillId="26" borderId="0" applyNumberFormat="0" applyBorder="0" applyAlignment="0" applyProtection="0"/>
    <xf numFmtId="0" fontId="1" fillId="3" borderId="0" applyNumberFormat="0" applyBorder="0" applyAlignment="0" applyProtection="0"/>
    <xf numFmtId="0" fontId="1" fillId="68" borderId="0" applyNumberFormat="0" applyBorder="0" applyAlignment="0" applyProtection="0"/>
    <xf numFmtId="0" fontId="1" fillId="26"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26" borderId="0" applyNumberFormat="0" applyBorder="0" applyAlignment="0" applyProtection="0"/>
    <xf numFmtId="0" fontId="1" fillId="3" borderId="0" applyNumberFormat="0" applyBorder="0" applyAlignment="0" applyProtection="0"/>
    <xf numFmtId="0" fontId="1" fillId="26" borderId="0" applyNumberFormat="0" applyBorder="0" applyAlignment="0" applyProtection="0"/>
    <xf numFmtId="0" fontId="1" fillId="6" borderId="0" applyNumberFormat="0" applyBorder="0" applyAlignment="0" applyProtection="0"/>
    <xf numFmtId="0" fontId="1" fillId="23"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23" borderId="0" applyNumberFormat="0" applyBorder="0" applyAlignment="0" applyProtection="0"/>
    <xf numFmtId="0" fontId="1" fillId="6" borderId="0" applyNumberFormat="0" applyBorder="0" applyAlignment="0" applyProtection="0"/>
    <xf numFmtId="0" fontId="1" fillId="26" borderId="0" applyNumberFormat="0" applyBorder="0" applyAlignment="0" applyProtection="0"/>
    <xf numFmtId="0" fontId="1" fillId="7" borderId="0" applyNumberFormat="0" applyBorder="0" applyAlignment="0" applyProtection="0"/>
    <xf numFmtId="0" fontId="1" fillId="26" borderId="0" applyNumberFormat="0" applyBorder="0" applyAlignment="0" applyProtection="0"/>
    <xf numFmtId="0" fontId="1" fillId="58" borderId="104" applyNumberFormat="0" applyFont="0" applyAlignment="0" applyProtection="0"/>
    <xf numFmtId="0" fontId="1" fillId="26" borderId="0" applyNumberFormat="0" applyBorder="0" applyAlignment="0" applyProtection="0"/>
    <xf numFmtId="0" fontId="1" fillId="3"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0" borderId="0"/>
    <xf numFmtId="0" fontId="1" fillId="6" borderId="0" applyNumberFormat="0" applyBorder="0" applyAlignment="0" applyProtection="0"/>
    <xf numFmtId="0" fontId="1" fillId="23" borderId="0" applyNumberFormat="0" applyBorder="0" applyAlignment="0" applyProtection="0"/>
    <xf numFmtId="0" fontId="1" fillId="6" borderId="0" applyNumberFormat="0" applyBorder="0" applyAlignment="0" applyProtection="0"/>
    <xf numFmtId="0" fontId="1" fillId="26" borderId="0" applyNumberFormat="0" applyBorder="0" applyAlignment="0" applyProtection="0"/>
    <xf numFmtId="0" fontId="1" fillId="3" borderId="0" applyNumberFormat="0" applyBorder="0" applyAlignment="0" applyProtection="0"/>
    <xf numFmtId="0" fontId="1" fillId="80" borderId="0" applyNumberFormat="0" applyBorder="0" applyAlignment="0" applyProtection="0"/>
    <xf numFmtId="0" fontId="1" fillId="26" borderId="0" applyNumberFormat="0" applyBorder="0" applyAlignment="0" applyProtection="0"/>
    <xf numFmtId="0" fontId="1" fillId="7" borderId="0" applyNumberFormat="0" applyBorder="0" applyAlignment="0" applyProtection="0"/>
    <xf numFmtId="0" fontId="1" fillId="26" borderId="0" applyNumberFormat="0" applyBorder="0" applyAlignment="0" applyProtection="0"/>
    <xf numFmtId="0" fontId="1" fillId="58" borderId="104" applyNumberFormat="0" applyFont="0" applyAlignment="0" applyProtection="0"/>
    <xf numFmtId="0" fontId="1" fillId="3" borderId="0" applyNumberFormat="0" applyBorder="0" applyAlignment="0" applyProtection="0"/>
    <xf numFmtId="0" fontId="1" fillId="6" borderId="0" applyNumberFormat="0" applyBorder="0" applyAlignment="0" applyProtection="0"/>
    <xf numFmtId="0" fontId="1" fillId="0" borderId="0"/>
    <xf numFmtId="0" fontId="1" fillId="6" borderId="0" applyNumberFormat="0" applyBorder="0" applyAlignment="0" applyProtection="0"/>
    <xf numFmtId="0" fontId="1" fillId="23"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3" borderId="0" applyNumberFormat="0" applyBorder="0" applyAlignment="0" applyProtection="0"/>
    <xf numFmtId="0" fontId="1" fillId="26"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0" borderId="0"/>
    <xf numFmtId="0" fontId="1" fillId="26" borderId="0" applyNumberFormat="0" applyBorder="0" applyAlignment="0" applyProtection="0"/>
    <xf numFmtId="0" fontId="1" fillId="3" borderId="0" applyNumberFormat="0" applyBorder="0" applyAlignment="0" applyProtection="0"/>
    <xf numFmtId="0" fontId="1" fillId="26" borderId="0" applyNumberFormat="0" applyBorder="0" applyAlignment="0" applyProtection="0"/>
    <xf numFmtId="0" fontId="1" fillId="6" borderId="0" applyNumberFormat="0" applyBorder="0" applyAlignment="0" applyProtection="0"/>
    <xf numFmtId="0" fontId="1" fillId="23" borderId="0" applyNumberFormat="0" applyBorder="0" applyAlignment="0" applyProtection="0"/>
    <xf numFmtId="0" fontId="1" fillId="6" borderId="0" applyNumberFormat="0" applyBorder="0" applyAlignment="0" applyProtection="0"/>
    <xf numFmtId="0" fontId="1" fillId="26" borderId="0" applyNumberFormat="0" applyBorder="0" applyAlignment="0" applyProtection="0"/>
    <xf numFmtId="0" fontId="1" fillId="58" borderId="104" applyNumberFormat="0" applyFont="0" applyAlignment="0" applyProtection="0"/>
    <xf numFmtId="9" fontId="1" fillId="0" borderId="0" applyFont="0" applyFill="0" applyBorder="0" applyAlignment="0" applyProtection="0"/>
    <xf numFmtId="0" fontId="1" fillId="58" borderId="104" applyNumberFormat="0" applyFont="0" applyAlignment="0" applyProtection="0"/>
    <xf numFmtId="0" fontId="1" fillId="58" borderId="104" applyNumberFormat="0" applyFont="0" applyAlignment="0" applyProtection="0"/>
    <xf numFmtId="0" fontId="1" fillId="58" borderId="104" applyNumberFormat="0" applyFont="0" applyAlignment="0" applyProtection="0"/>
    <xf numFmtId="0" fontId="1" fillId="58" borderId="104" applyNumberFormat="0" applyFont="0" applyAlignment="0" applyProtection="0"/>
    <xf numFmtId="0" fontId="1" fillId="3" borderId="0" applyNumberFormat="0" applyBorder="0" applyAlignment="0" applyProtection="0"/>
    <xf numFmtId="0" fontId="1" fillId="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3" borderId="0" applyNumberFormat="0" applyBorder="0" applyAlignment="0" applyProtection="0"/>
    <xf numFmtId="0" fontId="1" fillId="3" borderId="0" applyNumberFormat="0" applyBorder="0" applyAlignment="0" applyProtection="0"/>
    <xf numFmtId="0" fontId="1" fillId="3" borderId="0" applyNumberFormat="0" applyBorder="0" applyAlignment="0" applyProtection="0"/>
    <xf numFmtId="0" fontId="1" fillId="3" borderId="0" applyNumberFormat="0" applyBorder="0" applyAlignment="0" applyProtection="0"/>
    <xf numFmtId="0" fontId="1" fillId="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26" borderId="0" applyNumberFormat="0" applyBorder="0" applyAlignment="0" applyProtection="0"/>
    <xf numFmtId="0" fontId="1" fillId="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26"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26"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58" borderId="104" applyNumberFormat="0" applyFont="0" applyAlignment="0" applyProtection="0"/>
    <xf numFmtId="0" fontId="1" fillId="58" borderId="104" applyNumberFormat="0" applyFont="0" applyAlignment="0" applyProtection="0"/>
    <xf numFmtId="0" fontId="1" fillId="58" borderId="104" applyNumberFormat="0" applyFont="0" applyAlignment="0" applyProtection="0"/>
    <xf numFmtId="0" fontId="1" fillId="58" borderId="104" applyNumberFormat="0" applyFont="0" applyAlignment="0" applyProtection="0"/>
    <xf numFmtId="0" fontId="1" fillId="58" borderId="104" applyNumberFormat="0" applyFont="0" applyAlignment="0" applyProtection="0"/>
    <xf numFmtId="0" fontId="1" fillId="58" borderId="104" applyNumberFormat="0" applyFont="0" applyAlignment="0" applyProtection="0"/>
    <xf numFmtId="0" fontId="1" fillId="58" borderId="104" applyNumberFormat="0" applyFont="0" applyAlignment="0" applyProtection="0"/>
    <xf numFmtId="0" fontId="1" fillId="58" borderId="104" applyNumberFormat="0" applyFont="0" applyAlignment="0" applyProtection="0"/>
    <xf numFmtId="0" fontId="1" fillId="58" borderId="104" applyNumberFormat="0" applyFont="0" applyAlignment="0" applyProtection="0"/>
    <xf numFmtId="0" fontId="1" fillId="58" borderId="104" applyNumberFormat="0" applyFont="0" applyAlignment="0" applyProtection="0"/>
    <xf numFmtId="165" fontId="1" fillId="0" borderId="0" applyFont="0" applyFill="0" applyBorder="0" applyAlignment="0" applyProtection="0"/>
    <xf numFmtId="0" fontId="1" fillId="0" borderId="0"/>
    <xf numFmtId="9" fontId="1" fillId="0" borderId="0" applyFont="0" applyFill="0" applyBorder="0" applyAlignment="0" applyProtection="0"/>
    <xf numFmtId="0" fontId="1" fillId="0" borderId="0"/>
    <xf numFmtId="0" fontId="1" fillId="0" borderId="0"/>
    <xf numFmtId="9" fontId="1" fillId="0" borderId="0" applyFont="0" applyFill="0" applyBorder="0" applyAlignment="0" applyProtection="0"/>
    <xf numFmtId="165" fontId="1"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9" fontId="1" fillId="0" borderId="0" applyFont="0" applyFill="0" applyBorder="0" applyAlignment="0" applyProtection="0"/>
    <xf numFmtId="0" fontId="1" fillId="60" borderId="0" applyNumberFormat="0" applyBorder="0" applyAlignment="0" applyProtection="0"/>
    <xf numFmtId="0" fontId="1" fillId="61" borderId="0" applyNumberFormat="0" applyBorder="0" applyAlignment="0" applyProtection="0"/>
    <xf numFmtId="0" fontId="1" fillId="64" borderId="0" applyNumberFormat="0" applyBorder="0" applyAlignment="0" applyProtection="0"/>
    <xf numFmtId="0" fontId="1" fillId="65" borderId="0" applyNumberFormat="0" applyBorder="0" applyAlignment="0" applyProtection="0"/>
    <xf numFmtId="0" fontId="1" fillId="68" borderId="0" applyNumberFormat="0" applyBorder="0" applyAlignment="0" applyProtection="0"/>
    <xf numFmtId="0" fontId="1" fillId="69" borderId="0" applyNumberFormat="0" applyBorder="0" applyAlignment="0" applyProtection="0"/>
    <xf numFmtId="0" fontId="1" fillId="72" borderId="0" applyNumberFormat="0" applyBorder="0" applyAlignment="0" applyProtection="0"/>
    <xf numFmtId="0" fontId="1" fillId="73" borderId="0" applyNumberFormat="0" applyBorder="0" applyAlignment="0" applyProtection="0"/>
    <xf numFmtId="0" fontId="1" fillId="76" borderId="0" applyNumberFormat="0" applyBorder="0" applyAlignment="0" applyProtection="0"/>
    <xf numFmtId="0" fontId="1" fillId="77" borderId="0" applyNumberFormat="0" applyBorder="0" applyAlignment="0" applyProtection="0"/>
    <xf numFmtId="0" fontId="1" fillId="80" borderId="0" applyNumberFormat="0" applyBorder="0" applyAlignment="0" applyProtection="0"/>
    <xf numFmtId="0" fontId="1" fillId="81" borderId="0" applyNumberFormat="0" applyBorder="0" applyAlignment="0" applyProtection="0"/>
    <xf numFmtId="0" fontId="1" fillId="0" borderId="0"/>
    <xf numFmtId="0" fontId="1" fillId="58" borderId="104" applyNumberFormat="0" applyFont="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65" fontId="1" fillId="0" borderId="0" applyFont="0" applyFill="0" applyBorder="0" applyAlignment="0" applyProtection="0"/>
    <xf numFmtId="9"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9" fontId="1" fillId="0" borderId="0" applyFont="0" applyFill="0" applyBorder="0" applyAlignment="0" applyProtection="0"/>
    <xf numFmtId="0" fontId="1" fillId="0" borderId="0"/>
    <xf numFmtId="0" fontId="28" fillId="0" borderId="13" applyNumberFormat="0" applyFill="0" applyAlignment="0" applyProtection="0"/>
    <xf numFmtId="0" fontId="1" fillId="0" borderId="0"/>
    <xf numFmtId="0" fontId="1" fillId="0" borderId="0"/>
    <xf numFmtId="0" fontId="1" fillId="0" borderId="0"/>
    <xf numFmtId="0" fontId="38" fillId="26" borderId="11" applyNumberFormat="0" applyFont="0" applyAlignment="0" applyProtection="0"/>
    <xf numFmtId="0" fontId="38" fillId="26" borderId="11" applyNumberFormat="0" applyFont="0" applyAlignment="0" applyProtection="0"/>
    <xf numFmtId="9" fontId="1"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165" fontId="1" fillId="0" borderId="0" applyFont="0" applyFill="0" applyBorder="0" applyAlignment="0" applyProtection="0"/>
    <xf numFmtId="41" fontId="19" fillId="0" borderId="0" applyFont="0" applyFill="0" applyBorder="0" applyAlignment="0" applyProtection="0"/>
    <xf numFmtId="41" fontId="19" fillId="0" borderId="0" applyFont="0" applyFill="0" applyBorder="0" applyAlignment="0" applyProtection="0"/>
    <xf numFmtId="41" fontId="19" fillId="0" borderId="0" applyFont="0" applyFill="0" applyBorder="0" applyAlignment="0" applyProtection="0"/>
    <xf numFmtId="41" fontId="19" fillId="0" borderId="0" applyFont="0" applyFill="0" applyBorder="0" applyAlignment="0" applyProtection="0"/>
    <xf numFmtId="41" fontId="19" fillId="0" borderId="0" applyFont="0" applyFill="0" applyBorder="0" applyAlignment="0" applyProtection="0"/>
    <xf numFmtId="41" fontId="19" fillId="0" borderId="0" applyFont="0" applyFill="0" applyBorder="0" applyAlignment="0" applyProtection="0"/>
    <xf numFmtId="41" fontId="19" fillId="0" borderId="0" applyFont="0" applyFill="0" applyBorder="0" applyAlignment="0" applyProtection="0"/>
    <xf numFmtId="41" fontId="19" fillId="0" borderId="0" applyFont="0" applyFill="0" applyBorder="0" applyAlignment="0" applyProtection="0"/>
    <xf numFmtId="41" fontId="19" fillId="0" borderId="0" applyFont="0" applyFill="0" applyBorder="0" applyAlignment="0" applyProtection="0"/>
    <xf numFmtId="41" fontId="19" fillId="0" borderId="0" applyFont="0" applyFill="0" applyBorder="0" applyAlignment="0" applyProtection="0"/>
    <xf numFmtId="41" fontId="19" fillId="0" borderId="0" applyFont="0" applyFill="0" applyBorder="0" applyAlignment="0" applyProtection="0"/>
    <xf numFmtId="41" fontId="19" fillId="0" borderId="0" applyFont="0" applyFill="0" applyBorder="0" applyAlignment="0" applyProtection="0"/>
    <xf numFmtId="41" fontId="19" fillId="0" borderId="0" applyFont="0" applyFill="0" applyBorder="0" applyAlignment="0" applyProtection="0"/>
    <xf numFmtId="41" fontId="19" fillId="0" borderId="0" applyFont="0" applyFill="0" applyBorder="0" applyAlignment="0" applyProtection="0"/>
    <xf numFmtId="41" fontId="19" fillId="0" borderId="0" applyFont="0" applyFill="0" applyBorder="0" applyAlignment="0" applyProtection="0"/>
    <xf numFmtId="41" fontId="19" fillId="0" borderId="0" applyFont="0" applyFill="0" applyBorder="0" applyAlignment="0" applyProtection="0"/>
    <xf numFmtId="41" fontId="19" fillId="0" borderId="0" applyFont="0" applyFill="0" applyBorder="0" applyAlignment="0" applyProtection="0"/>
    <xf numFmtId="41" fontId="19" fillId="0" borderId="0" applyFont="0" applyFill="0" applyBorder="0" applyAlignment="0" applyProtection="0"/>
    <xf numFmtId="41" fontId="19" fillId="0" borderId="0" applyFont="0" applyFill="0" applyBorder="0" applyAlignment="0" applyProtection="0"/>
    <xf numFmtId="41" fontId="19" fillId="0" borderId="0" applyFont="0" applyFill="0" applyBorder="0" applyAlignment="0" applyProtection="0"/>
    <xf numFmtId="41" fontId="19" fillId="0" borderId="0" applyFont="0" applyFill="0" applyBorder="0" applyAlignment="0" applyProtection="0"/>
    <xf numFmtId="41" fontId="19" fillId="0" borderId="0" applyFont="0" applyFill="0" applyBorder="0" applyAlignment="0" applyProtection="0"/>
    <xf numFmtId="41" fontId="19" fillId="0" borderId="0" applyFont="0" applyFill="0" applyBorder="0" applyAlignment="0" applyProtection="0"/>
    <xf numFmtId="41" fontId="19" fillId="0" borderId="0" applyFont="0" applyFill="0" applyBorder="0" applyAlignment="0" applyProtection="0"/>
    <xf numFmtId="41" fontId="19" fillId="0" borderId="0" applyFont="0" applyFill="0" applyBorder="0" applyAlignment="0" applyProtection="0"/>
    <xf numFmtId="41" fontId="19" fillId="0" borderId="0" applyFont="0" applyFill="0" applyBorder="0" applyAlignment="0" applyProtection="0"/>
    <xf numFmtId="41" fontId="19" fillId="0" borderId="0" applyFont="0" applyFill="0" applyBorder="0" applyAlignment="0" applyProtection="0"/>
    <xf numFmtId="41" fontId="19" fillId="0" borderId="0" applyFont="0" applyFill="0" applyBorder="0" applyAlignment="0" applyProtection="0"/>
    <xf numFmtId="41" fontId="19" fillId="0" borderId="0" applyFont="0" applyFill="0" applyBorder="0" applyAlignment="0" applyProtection="0"/>
    <xf numFmtId="41" fontId="19" fillId="0" borderId="0" applyFont="0" applyFill="0" applyBorder="0" applyAlignment="0" applyProtection="0"/>
    <xf numFmtId="41" fontId="19" fillId="0" borderId="0" applyFont="0" applyFill="0" applyBorder="0" applyAlignment="0" applyProtection="0"/>
    <xf numFmtId="41" fontId="19" fillId="0" borderId="0" applyFont="0" applyFill="0" applyBorder="0" applyAlignment="0" applyProtection="0"/>
    <xf numFmtId="41" fontId="19" fillId="0" borderId="0" applyFont="0" applyFill="0" applyBorder="0" applyAlignment="0" applyProtection="0"/>
    <xf numFmtId="41" fontId="19" fillId="0" borderId="0" applyFont="0" applyFill="0" applyBorder="0" applyAlignment="0" applyProtection="0"/>
    <xf numFmtId="41" fontId="19" fillId="0" borderId="0" applyFont="0" applyFill="0" applyBorder="0" applyAlignment="0" applyProtection="0"/>
    <xf numFmtId="41" fontId="19" fillId="0" borderId="0" applyFont="0" applyFill="0" applyBorder="0" applyAlignment="0" applyProtection="0"/>
    <xf numFmtId="41" fontId="19" fillId="0" borderId="0" applyFont="0" applyFill="0" applyBorder="0" applyAlignment="0" applyProtection="0"/>
    <xf numFmtId="41" fontId="19" fillId="0" borderId="0" applyFont="0" applyFill="0" applyBorder="0" applyAlignment="0" applyProtection="0"/>
    <xf numFmtId="41" fontId="19" fillId="0" borderId="0" applyFont="0" applyFill="0" applyBorder="0" applyAlignment="0" applyProtection="0"/>
    <xf numFmtId="41" fontId="19" fillId="0" borderId="0" applyFont="0" applyFill="0" applyBorder="0" applyAlignment="0" applyProtection="0"/>
    <xf numFmtId="41" fontId="19" fillId="0" borderId="0" applyFont="0" applyFill="0" applyBorder="0" applyAlignment="0" applyProtection="0"/>
    <xf numFmtId="41" fontId="19" fillId="0" borderId="0" applyFont="0" applyFill="0" applyBorder="0" applyAlignment="0" applyProtection="0"/>
    <xf numFmtId="41" fontId="19" fillId="0" borderId="0" applyFont="0" applyFill="0" applyBorder="0" applyAlignment="0" applyProtection="0"/>
    <xf numFmtId="41" fontId="19" fillId="0" borderId="0" applyFont="0" applyFill="0" applyBorder="0" applyAlignment="0" applyProtection="0"/>
    <xf numFmtId="41" fontId="19" fillId="0" borderId="0" applyFont="0" applyFill="0" applyBorder="0" applyAlignment="0" applyProtection="0"/>
    <xf numFmtId="41" fontId="19" fillId="0" borderId="0" applyFont="0" applyFill="0" applyBorder="0" applyAlignment="0" applyProtection="0"/>
    <xf numFmtId="41" fontId="19" fillId="0" borderId="0" applyFont="0" applyFill="0" applyBorder="0" applyAlignment="0" applyProtection="0"/>
    <xf numFmtId="41" fontId="19" fillId="0" borderId="0" applyFont="0" applyFill="0" applyBorder="0" applyAlignment="0" applyProtection="0"/>
    <xf numFmtId="41" fontId="19" fillId="0" borderId="0" applyFont="0" applyFill="0" applyBorder="0" applyAlignment="0" applyProtection="0"/>
    <xf numFmtId="41" fontId="19" fillId="0" borderId="0" applyFont="0" applyFill="0" applyBorder="0" applyAlignment="0" applyProtection="0"/>
    <xf numFmtId="41" fontId="19" fillId="0" borderId="0" applyFont="0" applyFill="0" applyBorder="0" applyAlignment="0" applyProtection="0"/>
    <xf numFmtId="41" fontId="19" fillId="0" borderId="0" applyFont="0" applyFill="0" applyBorder="0" applyAlignment="0" applyProtection="0"/>
    <xf numFmtId="41" fontId="19" fillId="0" borderId="0" applyFont="0" applyFill="0" applyBorder="0" applyAlignment="0" applyProtection="0"/>
    <xf numFmtId="41" fontId="19" fillId="0" borderId="0" applyFont="0" applyFill="0" applyBorder="0" applyAlignment="0" applyProtection="0"/>
    <xf numFmtId="41" fontId="19" fillId="0" borderId="0" applyFont="0" applyFill="0" applyBorder="0" applyAlignment="0" applyProtection="0"/>
    <xf numFmtId="41" fontId="19" fillId="0" borderId="0" applyFont="0" applyFill="0" applyBorder="0" applyAlignment="0" applyProtection="0"/>
    <xf numFmtId="41" fontId="19" fillId="0" borderId="0" applyFont="0" applyFill="0" applyBorder="0" applyAlignment="0" applyProtection="0"/>
    <xf numFmtId="41" fontId="19"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38"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38"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38"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38"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38"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38"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38"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38"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38"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38"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38"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38"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38"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38"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38"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38"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38"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38"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38"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38"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38"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38"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38"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38"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38"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38"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38"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38"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38"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38"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38"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38"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38"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38"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38"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38"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38"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38"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38"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38"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38"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38"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38"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38"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38"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38"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38"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38"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38"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38"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38"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38"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38"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38"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38"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38"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38"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38"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38"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38"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38"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38"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38"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38"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38"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38"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38"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38"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38"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38"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38"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38"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38"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38"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38"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38"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38"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38"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38"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38"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38"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38"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38"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38"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38"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38"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38"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38"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38"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38"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38"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38"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38"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38"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38"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38"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38"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38"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38"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38"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38"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38"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38"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38"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38"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38"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38"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38"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38"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38"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38"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38"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38"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38"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38"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38"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38"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38"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38"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38" fillId="0" borderId="0" applyFont="0" applyFill="0" applyBorder="0" applyAlignment="0" applyProtection="0"/>
    <xf numFmtId="0" fontId="1" fillId="0" borderId="0"/>
    <xf numFmtId="0" fontId="1" fillId="0" borderId="0"/>
    <xf numFmtId="0" fontId="1" fillId="0" borderId="0"/>
    <xf numFmtId="0" fontId="1" fillId="0" borderId="0"/>
    <xf numFmtId="9" fontId="1" fillId="0" borderId="0" applyFont="0" applyFill="0" applyBorder="0" applyAlignment="0" applyProtection="0"/>
    <xf numFmtId="0" fontId="1" fillId="0" borderId="0"/>
    <xf numFmtId="165" fontId="1" fillId="0" borderId="0" applyFont="0" applyFill="0" applyBorder="0" applyAlignment="0" applyProtection="0"/>
    <xf numFmtId="41" fontId="19" fillId="0" borderId="0" applyFont="0" applyFill="0" applyBorder="0" applyAlignment="0" applyProtection="0"/>
    <xf numFmtId="41" fontId="19" fillId="0" borderId="0" applyFont="0" applyFill="0" applyBorder="0" applyAlignment="0" applyProtection="0"/>
    <xf numFmtId="41" fontId="19" fillId="0" borderId="0" applyFont="0" applyFill="0" applyBorder="0" applyAlignment="0" applyProtection="0"/>
    <xf numFmtId="41" fontId="19" fillId="0" borderId="0" applyFont="0" applyFill="0" applyBorder="0" applyAlignment="0" applyProtection="0"/>
    <xf numFmtId="41" fontId="19" fillId="0" borderId="0" applyFont="0" applyFill="0" applyBorder="0" applyAlignment="0" applyProtection="0"/>
    <xf numFmtId="41" fontId="19" fillId="0" borderId="0" applyFont="0" applyFill="0" applyBorder="0" applyAlignment="0" applyProtection="0"/>
    <xf numFmtId="41" fontId="19" fillId="0" borderId="0" applyFont="0" applyFill="0" applyBorder="0" applyAlignment="0" applyProtection="0"/>
    <xf numFmtId="41" fontId="19" fillId="0" borderId="0" applyFont="0" applyFill="0" applyBorder="0" applyAlignment="0" applyProtection="0"/>
    <xf numFmtId="41" fontId="19" fillId="0" borderId="0" applyFont="0" applyFill="0" applyBorder="0" applyAlignment="0" applyProtection="0"/>
    <xf numFmtId="41" fontId="19" fillId="0" borderId="0" applyFont="0" applyFill="0" applyBorder="0" applyAlignment="0" applyProtection="0"/>
    <xf numFmtId="41" fontId="19" fillId="0" borderId="0" applyFont="0" applyFill="0" applyBorder="0" applyAlignment="0" applyProtection="0"/>
    <xf numFmtId="41" fontId="19" fillId="0" borderId="0" applyFont="0" applyFill="0" applyBorder="0" applyAlignment="0" applyProtection="0"/>
    <xf numFmtId="41" fontId="19" fillId="0" borderId="0" applyFont="0" applyFill="0" applyBorder="0" applyAlignment="0" applyProtection="0"/>
    <xf numFmtId="41" fontId="19" fillId="0" borderId="0" applyFont="0" applyFill="0" applyBorder="0" applyAlignment="0" applyProtection="0"/>
    <xf numFmtId="41" fontId="19" fillId="0" borderId="0" applyFont="0" applyFill="0" applyBorder="0" applyAlignment="0" applyProtection="0"/>
    <xf numFmtId="41" fontId="19" fillId="0" borderId="0" applyFont="0" applyFill="0" applyBorder="0" applyAlignment="0" applyProtection="0"/>
    <xf numFmtId="41" fontId="19" fillId="0" borderId="0" applyFont="0" applyFill="0" applyBorder="0" applyAlignment="0" applyProtection="0"/>
    <xf numFmtId="41" fontId="19" fillId="0" borderId="0" applyFont="0" applyFill="0" applyBorder="0" applyAlignment="0" applyProtection="0"/>
    <xf numFmtId="41" fontId="19" fillId="0" borderId="0" applyFont="0" applyFill="0" applyBorder="0" applyAlignment="0" applyProtection="0"/>
    <xf numFmtId="41" fontId="19" fillId="0" borderId="0" applyFont="0" applyFill="0" applyBorder="0" applyAlignment="0" applyProtection="0"/>
    <xf numFmtId="41" fontId="19" fillId="0" borderId="0" applyFont="0" applyFill="0" applyBorder="0" applyAlignment="0" applyProtection="0"/>
    <xf numFmtId="41" fontId="19" fillId="0" borderId="0" applyFont="0" applyFill="0" applyBorder="0" applyAlignment="0" applyProtection="0"/>
    <xf numFmtId="41" fontId="19" fillId="0" borderId="0" applyFont="0" applyFill="0" applyBorder="0" applyAlignment="0" applyProtection="0"/>
    <xf numFmtId="41" fontId="19" fillId="0" borderId="0" applyFont="0" applyFill="0" applyBorder="0" applyAlignment="0" applyProtection="0"/>
    <xf numFmtId="41" fontId="19" fillId="0" borderId="0" applyFont="0" applyFill="0" applyBorder="0" applyAlignment="0" applyProtection="0"/>
    <xf numFmtId="41" fontId="19" fillId="0" borderId="0" applyFont="0" applyFill="0" applyBorder="0" applyAlignment="0" applyProtection="0"/>
    <xf numFmtId="41" fontId="19" fillId="0" borderId="0" applyFont="0" applyFill="0" applyBorder="0" applyAlignment="0" applyProtection="0"/>
    <xf numFmtId="41" fontId="19" fillId="0" borderId="0" applyFont="0" applyFill="0" applyBorder="0" applyAlignment="0" applyProtection="0"/>
    <xf numFmtId="41" fontId="19" fillId="0" borderId="0" applyFont="0" applyFill="0" applyBorder="0" applyAlignment="0" applyProtection="0"/>
    <xf numFmtId="41" fontId="19" fillId="0" borderId="0" applyFont="0" applyFill="0" applyBorder="0" applyAlignment="0" applyProtection="0"/>
    <xf numFmtId="41" fontId="19" fillId="0" borderId="0" applyFont="0" applyFill="0" applyBorder="0" applyAlignment="0" applyProtection="0"/>
    <xf numFmtId="41" fontId="19" fillId="0" borderId="0" applyFont="0" applyFill="0" applyBorder="0" applyAlignment="0" applyProtection="0"/>
    <xf numFmtId="41" fontId="19" fillId="0" borderId="0" applyFont="0" applyFill="0" applyBorder="0" applyAlignment="0" applyProtection="0"/>
    <xf numFmtId="41" fontId="19" fillId="0" borderId="0" applyFont="0" applyFill="0" applyBorder="0" applyAlignment="0" applyProtection="0"/>
    <xf numFmtId="41" fontId="19" fillId="0" borderId="0" applyFont="0" applyFill="0" applyBorder="0" applyAlignment="0" applyProtection="0"/>
    <xf numFmtId="41" fontId="19" fillId="0" borderId="0" applyFont="0" applyFill="0" applyBorder="0" applyAlignment="0" applyProtection="0"/>
    <xf numFmtId="41" fontId="19" fillId="0" borderId="0" applyFont="0" applyFill="0" applyBorder="0" applyAlignment="0" applyProtection="0"/>
    <xf numFmtId="41" fontId="19" fillId="0" borderId="0" applyFont="0" applyFill="0" applyBorder="0" applyAlignment="0" applyProtection="0"/>
    <xf numFmtId="41" fontId="19" fillId="0" borderId="0" applyFont="0" applyFill="0" applyBorder="0" applyAlignment="0" applyProtection="0"/>
    <xf numFmtId="41" fontId="19" fillId="0" borderId="0" applyFont="0" applyFill="0" applyBorder="0" applyAlignment="0" applyProtection="0"/>
    <xf numFmtId="41" fontId="19" fillId="0" borderId="0" applyFont="0" applyFill="0" applyBorder="0" applyAlignment="0" applyProtection="0"/>
    <xf numFmtId="41" fontId="19" fillId="0" borderId="0" applyFont="0" applyFill="0" applyBorder="0" applyAlignment="0" applyProtection="0"/>
    <xf numFmtId="41" fontId="19" fillId="0" borderId="0" applyFont="0" applyFill="0" applyBorder="0" applyAlignment="0" applyProtection="0"/>
    <xf numFmtId="41" fontId="19" fillId="0" borderId="0" applyFont="0" applyFill="0" applyBorder="0" applyAlignment="0" applyProtection="0"/>
    <xf numFmtId="41" fontId="19" fillId="0" borderId="0" applyFont="0" applyFill="0" applyBorder="0" applyAlignment="0" applyProtection="0"/>
    <xf numFmtId="41" fontId="19" fillId="0" borderId="0" applyFont="0" applyFill="0" applyBorder="0" applyAlignment="0" applyProtection="0"/>
    <xf numFmtId="41" fontId="19" fillId="0" borderId="0" applyFont="0" applyFill="0" applyBorder="0" applyAlignment="0" applyProtection="0"/>
    <xf numFmtId="41" fontId="19" fillId="0" borderId="0" applyFont="0" applyFill="0" applyBorder="0" applyAlignment="0" applyProtection="0"/>
    <xf numFmtId="41" fontId="19" fillId="0" borderId="0" applyFont="0" applyFill="0" applyBorder="0" applyAlignment="0" applyProtection="0"/>
    <xf numFmtId="41" fontId="19" fillId="0" borderId="0" applyFont="0" applyFill="0" applyBorder="0" applyAlignment="0" applyProtection="0"/>
    <xf numFmtId="41" fontId="19" fillId="0" borderId="0" applyFont="0" applyFill="0" applyBorder="0" applyAlignment="0" applyProtection="0"/>
    <xf numFmtId="41" fontId="19" fillId="0" borderId="0" applyFont="0" applyFill="0" applyBorder="0" applyAlignment="0" applyProtection="0"/>
    <xf numFmtId="41" fontId="19" fillId="0" borderId="0" applyFont="0" applyFill="0" applyBorder="0" applyAlignment="0" applyProtection="0"/>
    <xf numFmtId="41" fontId="19" fillId="0" borderId="0" applyFont="0" applyFill="0" applyBorder="0" applyAlignment="0" applyProtection="0"/>
    <xf numFmtId="41" fontId="19" fillId="0" borderId="0" applyFont="0" applyFill="0" applyBorder="0" applyAlignment="0" applyProtection="0"/>
    <xf numFmtId="41" fontId="19" fillId="0" borderId="0" applyFont="0" applyFill="0" applyBorder="0" applyAlignment="0" applyProtection="0"/>
    <xf numFmtId="41" fontId="19" fillId="0" borderId="0" applyFont="0" applyFill="0" applyBorder="0" applyAlignment="0" applyProtection="0"/>
    <xf numFmtId="41" fontId="19"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0" fontId="1" fillId="0" borderId="0"/>
    <xf numFmtId="0" fontId="1" fillId="0" borderId="0"/>
    <xf numFmtId="0" fontId="1" fillId="0" borderId="0"/>
    <xf numFmtId="0" fontId="1" fillId="0" borderId="0"/>
    <xf numFmtId="9" fontId="1" fillId="0" borderId="0" applyFont="0" applyFill="0" applyBorder="0" applyAlignment="0" applyProtection="0"/>
    <xf numFmtId="0" fontId="1" fillId="0" borderId="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0" fontId="1" fillId="0" borderId="0"/>
    <xf numFmtId="0" fontId="1" fillId="0" borderId="0"/>
    <xf numFmtId="0" fontId="1" fillId="0" borderId="0"/>
    <xf numFmtId="0" fontId="1" fillId="0" borderId="0"/>
    <xf numFmtId="9" fontId="1" fillId="0" borderId="0" applyFont="0" applyFill="0" applyBorder="0" applyAlignment="0" applyProtection="0"/>
    <xf numFmtId="0" fontId="1" fillId="0" borderId="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0" fontId="1" fillId="0" borderId="0"/>
    <xf numFmtId="0" fontId="1" fillId="0" borderId="0"/>
    <xf numFmtId="0" fontId="1" fillId="0" borderId="0"/>
    <xf numFmtId="0" fontId="1" fillId="0" borderId="0"/>
    <xf numFmtId="9" fontId="1" fillId="0" borderId="0" applyFont="0" applyFill="0" applyBorder="0" applyAlignment="0" applyProtection="0"/>
    <xf numFmtId="0" fontId="1" fillId="0" borderId="0"/>
    <xf numFmtId="165" fontId="1" fillId="0" borderId="0" applyFont="0" applyFill="0" applyBorder="0" applyAlignment="0" applyProtection="0"/>
    <xf numFmtId="0" fontId="1" fillId="0" borderId="0"/>
    <xf numFmtId="9"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165"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0" fillId="26" borderId="11" applyNumberFormat="0" applyFont="0" applyAlignment="0" applyProtection="0"/>
    <xf numFmtId="0" fontId="10" fillId="26" borderId="11" applyNumberFormat="0" applyFont="0" applyAlignment="0" applyProtection="0"/>
    <xf numFmtId="0" fontId="10" fillId="26" borderId="11" applyNumberFormat="0" applyFont="0" applyAlignment="0" applyProtection="0"/>
    <xf numFmtId="0" fontId="10" fillId="26" borderId="11" applyNumberFormat="0" applyFont="0" applyAlignment="0" applyProtection="0"/>
    <xf numFmtId="0" fontId="10" fillId="26" borderId="11" applyNumberFormat="0" applyFont="0" applyAlignment="0" applyProtection="0"/>
    <xf numFmtId="0" fontId="10" fillId="26" borderId="11" applyNumberFormat="0" applyFont="0" applyAlignment="0" applyProtection="0"/>
    <xf numFmtId="0" fontId="10" fillId="26" borderId="11" applyNumberFormat="0" applyFont="0" applyAlignment="0" applyProtection="0"/>
    <xf numFmtId="0" fontId="10" fillId="26" borderId="11" applyNumberFormat="0" applyFont="0" applyAlignment="0" applyProtection="0"/>
    <xf numFmtId="0" fontId="10" fillId="26" borderId="11" applyNumberFormat="0" applyFont="0" applyAlignment="0" applyProtection="0"/>
    <xf numFmtId="0" fontId="1" fillId="0" borderId="0"/>
    <xf numFmtId="0" fontId="1" fillId="60" borderId="0" applyNumberFormat="0" applyBorder="0" applyAlignment="0" applyProtection="0"/>
    <xf numFmtId="0" fontId="1" fillId="61" borderId="0" applyNumberFormat="0" applyBorder="0" applyAlignment="0" applyProtection="0"/>
    <xf numFmtId="0" fontId="1" fillId="64" borderId="0" applyNumberFormat="0" applyBorder="0" applyAlignment="0" applyProtection="0"/>
    <xf numFmtId="0" fontId="1" fillId="65" borderId="0" applyNumberFormat="0" applyBorder="0" applyAlignment="0" applyProtection="0"/>
    <xf numFmtId="0" fontId="1" fillId="68" borderId="0" applyNumberFormat="0" applyBorder="0" applyAlignment="0" applyProtection="0"/>
    <xf numFmtId="0" fontId="1" fillId="69" borderId="0" applyNumberFormat="0" applyBorder="0" applyAlignment="0" applyProtection="0"/>
    <xf numFmtId="0" fontId="1" fillId="72" borderId="0" applyNumberFormat="0" applyBorder="0" applyAlignment="0" applyProtection="0"/>
    <xf numFmtId="0" fontId="1" fillId="73" borderId="0" applyNumberFormat="0" applyBorder="0" applyAlignment="0" applyProtection="0"/>
    <xf numFmtId="0" fontId="1" fillId="76" borderId="0" applyNumberFormat="0" applyBorder="0" applyAlignment="0" applyProtection="0"/>
    <xf numFmtId="0" fontId="1" fillId="77" borderId="0" applyNumberFormat="0" applyBorder="0" applyAlignment="0" applyProtection="0"/>
    <xf numFmtId="0" fontId="1" fillId="80" borderId="0" applyNumberFormat="0" applyBorder="0" applyAlignment="0" applyProtection="0"/>
    <xf numFmtId="0" fontId="1" fillId="81" borderId="0" applyNumberFormat="0" applyBorder="0" applyAlignment="0" applyProtection="0"/>
    <xf numFmtId="43" fontId="10" fillId="0" borderId="0" applyFont="0" applyFill="0" applyBorder="0" applyAlignment="0" applyProtection="0"/>
    <xf numFmtId="43" fontId="38" fillId="0" borderId="0" applyFont="0" applyFill="0" applyBorder="0" applyAlignment="0" applyProtection="0"/>
    <xf numFmtId="43" fontId="38" fillId="0" borderId="0" applyFont="0" applyFill="0" applyBorder="0" applyAlignment="0" applyProtection="0"/>
    <xf numFmtId="43" fontId="38" fillId="0" borderId="0" applyFont="0" applyFill="0" applyBorder="0" applyAlignment="0" applyProtection="0"/>
    <xf numFmtId="43" fontId="38" fillId="0" borderId="0" applyFont="0" applyFill="0" applyBorder="0" applyAlignment="0" applyProtection="0"/>
    <xf numFmtId="43" fontId="1" fillId="0" borderId="0" applyFont="0" applyFill="0" applyBorder="0" applyAlignment="0" applyProtection="0"/>
    <xf numFmtId="43" fontId="10" fillId="0" borderId="0" applyFont="0" applyFill="0" applyBorder="0" applyAlignment="0" applyProtection="0"/>
    <xf numFmtId="41" fontId="19" fillId="0" borderId="0" applyFont="0" applyFill="0" applyBorder="0" applyAlignment="0" applyProtection="0"/>
    <xf numFmtId="41" fontId="19" fillId="0" borderId="0" applyFont="0" applyFill="0" applyBorder="0" applyAlignment="0" applyProtection="0"/>
    <xf numFmtId="41" fontId="19" fillId="0" borderId="0" applyFont="0" applyFill="0" applyBorder="0" applyAlignment="0" applyProtection="0"/>
    <xf numFmtId="41" fontId="19" fillId="0" borderId="0" applyFont="0" applyFill="0" applyBorder="0" applyAlignment="0" applyProtection="0"/>
    <xf numFmtId="41" fontId="19" fillId="0" borderId="0" applyFont="0" applyFill="0" applyBorder="0" applyAlignment="0" applyProtection="0"/>
    <xf numFmtId="41" fontId="19" fillId="0" borderId="0" applyFont="0" applyFill="0" applyBorder="0" applyAlignment="0" applyProtection="0"/>
    <xf numFmtId="41" fontId="19" fillId="0" borderId="0" applyFont="0" applyFill="0" applyBorder="0" applyAlignment="0" applyProtection="0"/>
    <xf numFmtId="41" fontId="19" fillId="0" borderId="0" applyFont="0" applyFill="0" applyBorder="0" applyAlignment="0" applyProtection="0"/>
    <xf numFmtId="41" fontId="19" fillId="0" borderId="0" applyFont="0" applyFill="0" applyBorder="0" applyAlignment="0" applyProtection="0"/>
    <xf numFmtId="41" fontId="19" fillId="0" borderId="0" applyFont="0" applyFill="0" applyBorder="0" applyAlignment="0" applyProtection="0"/>
    <xf numFmtId="41" fontId="19" fillId="0" borderId="0" applyFont="0" applyFill="0" applyBorder="0" applyAlignment="0" applyProtection="0"/>
    <xf numFmtId="41" fontId="19" fillId="0" borderId="0" applyFont="0" applyFill="0" applyBorder="0" applyAlignment="0" applyProtection="0"/>
    <xf numFmtId="41" fontId="19" fillId="0" borderId="0" applyFont="0" applyFill="0" applyBorder="0" applyAlignment="0" applyProtection="0"/>
    <xf numFmtId="41" fontId="19" fillId="0" borderId="0" applyFont="0" applyFill="0" applyBorder="0" applyAlignment="0" applyProtection="0"/>
    <xf numFmtId="41" fontId="19" fillId="0" borderId="0" applyFont="0" applyFill="0" applyBorder="0" applyAlignment="0" applyProtection="0"/>
    <xf numFmtId="41" fontId="19" fillId="0" borderId="0" applyFont="0" applyFill="0" applyBorder="0" applyAlignment="0" applyProtection="0"/>
    <xf numFmtId="41" fontId="19" fillId="0" borderId="0" applyFont="0" applyFill="0" applyBorder="0" applyAlignment="0" applyProtection="0"/>
    <xf numFmtId="41" fontId="19" fillId="0" borderId="0" applyFont="0" applyFill="0" applyBorder="0" applyAlignment="0" applyProtection="0"/>
    <xf numFmtId="41" fontId="19" fillId="0" borderId="0" applyFont="0" applyFill="0" applyBorder="0" applyAlignment="0" applyProtection="0"/>
    <xf numFmtId="41" fontId="19" fillId="0" borderId="0" applyFont="0" applyFill="0" applyBorder="0" applyAlignment="0" applyProtection="0"/>
    <xf numFmtId="41" fontId="19" fillId="0" borderId="0" applyFont="0" applyFill="0" applyBorder="0" applyAlignment="0" applyProtection="0"/>
    <xf numFmtId="41" fontId="19" fillId="0" borderId="0" applyFont="0" applyFill="0" applyBorder="0" applyAlignment="0" applyProtection="0"/>
    <xf numFmtId="41" fontId="19" fillId="0" borderId="0" applyFont="0" applyFill="0" applyBorder="0" applyAlignment="0" applyProtection="0"/>
    <xf numFmtId="41" fontId="19" fillId="0" borderId="0" applyFont="0" applyFill="0" applyBorder="0" applyAlignment="0" applyProtection="0"/>
    <xf numFmtId="41" fontId="19" fillId="0" borderId="0" applyFont="0" applyFill="0" applyBorder="0" applyAlignment="0" applyProtection="0"/>
    <xf numFmtId="41" fontId="19" fillId="0" borderId="0" applyFont="0" applyFill="0" applyBorder="0" applyAlignment="0" applyProtection="0"/>
    <xf numFmtId="41" fontId="19" fillId="0" borderId="0" applyFont="0" applyFill="0" applyBorder="0" applyAlignment="0" applyProtection="0"/>
    <xf numFmtId="41" fontId="19" fillId="0" borderId="0" applyFont="0" applyFill="0" applyBorder="0" applyAlignment="0" applyProtection="0"/>
    <xf numFmtId="41" fontId="19" fillId="0" borderId="0" applyFont="0" applyFill="0" applyBorder="0" applyAlignment="0" applyProtection="0"/>
    <xf numFmtId="41" fontId="19" fillId="0" borderId="0" applyFont="0" applyFill="0" applyBorder="0" applyAlignment="0" applyProtection="0"/>
    <xf numFmtId="41" fontId="19" fillId="0" borderId="0" applyFont="0" applyFill="0" applyBorder="0" applyAlignment="0" applyProtection="0"/>
    <xf numFmtId="41" fontId="19" fillId="0" borderId="0" applyFont="0" applyFill="0" applyBorder="0" applyAlignment="0" applyProtection="0"/>
    <xf numFmtId="41" fontId="19" fillId="0" borderId="0" applyFont="0" applyFill="0" applyBorder="0" applyAlignment="0" applyProtection="0"/>
    <xf numFmtId="41" fontId="19" fillId="0" borderId="0" applyFont="0" applyFill="0" applyBorder="0" applyAlignment="0" applyProtection="0"/>
    <xf numFmtId="41" fontId="19" fillId="0" borderId="0" applyFont="0" applyFill="0" applyBorder="0" applyAlignment="0" applyProtection="0"/>
    <xf numFmtId="41" fontId="19" fillId="0" borderId="0" applyFont="0" applyFill="0" applyBorder="0" applyAlignment="0" applyProtection="0"/>
    <xf numFmtId="41" fontId="19" fillId="0" borderId="0" applyFont="0" applyFill="0" applyBorder="0" applyAlignment="0" applyProtection="0"/>
    <xf numFmtId="41" fontId="19" fillId="0" borderId="0" applyFont="0" applyFill="0" applyBorder="0" applyAlignment="0" applyProtection="0"/>
    <xf numFmtId="41" fontId="19" fillId="0" borderId="0" applyFont="0" applyFill="0" applyBorder="0" applyAlignment="0" applyProtection="0"/>
    <xf numFmtId="41" fontId="19" fillId="0" borderId="0" applyFont="0" applyFill="0" applyBorder="0" applyAlignment="0" applyProtection="0"/>
    <xf numFmtId="41" fontId="19" fillId="0" borderId="0" applyFont="0" applyFill="0" applyBorder="0" applyAlignment="0" applyProtection="0"/>
    <xf numFmtId="41" fontId="19" fillId="0" borderId="0" applyFont="0" applyFill="0" applyBorder="0" applyAlignment="0" applyProtection="0"/>
    <xf numFmtId="41" fontId="19" fillId="0" borderId="0" applyFont="0" applyFill="0" applyBorder="0" applyAlignment="0" applyProtection="0"/>
    <xf numFmtId="41" fontId="19" fillId="0" borderId="0" applyFont="0" applyFill="0" applyBorder="0" applyAlignment="0" applyProtection="0"/>
    <xf numFmtId="41" fontId="19" fillId="0" borderId="0" applyFont="0" applyFill="0" applyBorder="0" applyAlignment="0" applyProtection="0"/>
    <xf numFmtId="41" fontId="19" fillId="0" borderId="0" applyFont="0" applyFill="0" applyBorder="0" applyAlignment="0" applyProtection="0"/>
    <xf numFmtId="41" fontId="19" fillId="0" borderId="0" applyFont="0" applyFill="0" applyBorder="0" applyAlignment="0" applyProtection="0"/>
    <xf numFmtId="41" fontId="19" fillId="0" borderId="0" applyFont="0" applyFill="0" applyBorder="0" applyAlignment="0" applyProtection="0"/>
    <xf numFmtId="41" fontId="19" fillId="0" borderId="0" applyFont="0" applyFill="0" applyBorder="0" applyAlignment="0" applyProtection="0"/>
    <xf numFmtId="41" fontId="19" fillId="0" borderId="0" applyFont="0" applyFill="0" applyBorder="0" applyAlignment="0" applyProtection="0"/>
    <xf numFmtId="41" fontId="19" fillId="0" borderId="0" applyFont="0" applyFill="0" applyBorder="0" applyAlignment="0" applyProtection="0"/>
    <xf numFmtId="41" fontId="19" fillId="0" borderId="0" applyFont="0" applyFill="0" applyBorder="0" applyAlignment="0" applyProtection="0"/>
    <xf numFmtId="41" fontId="19" fillId="0" borderId="0" applyFont="0" applyFill="0" applyBorder="0" applyAlignment="0" applyProtection="0"/>
    <xf numFmtId="41" fontId="19" fillId="0" borderId="0" applyFont="0" applyFill="0" applyBorder="0" applyAlignment="0" applyProtection="0"/>
    <xf numFmtId="41" fontId="19" fillId="0" borderId="0" applyFont="0" applyFill="0" applyBorder="0" applyAlignment="0" applyProtection="0"/>
    <xf numFmtId="41" fontId="19" fillId="0" borderId="0" applyFont="0" applyFill="0" applyBorder="0" applyAlignment="0" applyProtection="0"/>
    <xf numFmtId="41" fontId="19" fillId="0" borderId="0" applyFont="0" applyFill="0" applyBorder="0" applyAlignment="0" applyProtection="0"/>
    <xf numFmtId="41" fontId="19"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38" fillId="0" borderId="0" applyFont="0" applyFill="0" applyBorder="0" applyAlignment="0" applyProtection="0"/>
    <xf numFmtId="43" fontId="38"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38" fillId="0" borderId="0" applyFont="0" applyFill="0" applyBorder="0" applyAlignment="0" applyProtection="0"/>
    <xf numFmtId="43" fontId="38"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38" fillId="0" borderId="0" applyFont="0" applyFill="0" applyBorder="0" applyAlignment="0" applyProtection="0"/>
    <xf numFmtId="43" fontId="38"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38" fillId="0" borderId="0" applyFont="0" applyFill="0" applyBorder="0" applyAlignment="0" applyProtection="0"/>
    <xf numFmtId="43" fontId="38"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38" fillId="0" borderId="0" applyFont="0" applyFill="0" applyBorder="0" applyAlignment="0" applyProtection="0"/>
    <xf numFmtId="43" fontId="38"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38" fillId="0" borderId="0" applyFont="0" applyFill="0" applyBorder="0" applyAlignment="0" applyProtection="0"/>
    <xf numFmtId="43" fontId="38"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38" fillId="0" borderId="0" applyFont="0" applyFill="0" applyBorder="0" applyAlignment="0" applyProtection="0"/>
    <xf numFmtId="43" fontId="38"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38" fillId="0" borderId="0" applyFont="0" applyFill="0" applyBorder="0" applyAlignment="0" applyProtection="0"/>
    <xf numFmtId="43" fontId="38"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38" fillId="0" borderId="0" applyFont="0" applyFill="0" applyBorder="0" applyAlignment="0" applyProtection="0"/>
    <xf numFmtId="43" fontId="38"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38" fillId="0" borderId="0" applyFont="0" applyFill="0" applyBorder="0" applyAlignment="0" applyProtection="0"/>
    <xf numFmtId="43" fontId="38"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38" fillId="0" borderId="0" applyFont="0" applyFill="0" applyBorder="0" applyAlignment="0" applyProtection="0"/>
    <xf numFmtId="43" fontId="38"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38" fillId="0" borderId="0" applyFont="0" applyFill="0" applyBorder="0" applyAlignment="0" applyProtection="0"/>
    <xf numFmtId="43" fontId="38"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38" fillId="0" borderId="0" applyFont="0" applyFill="0" applyBorder="0" applyAlignment="0" applyProtection="0"/>
    <xf numFmtId="43" fontId="38"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38" fillId="0" borderId="0" applyFont="0" applyFill="0" applyBorder="0" applyAlignment="0" applyProtection="0"/>
    <xf numFmtId="43" fontId="38"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38" fillId="0" borderId="0" applyFont="0" applyFill="0" applyBorder="0" applyAlignment="0" applyProtection="0"/>
    <xf numFmtId="43" fontId="38"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38" fillId="0" borderId="0" applyFont="0" applyFill="0" applyBorder="0" applyAlignment="0" applyProtection="0"/>
    <xf numFmtId="43" fontId="38"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38" fillId="0" borderId="0" applyFont="0" applyFill="0" applyBorder="0" applyAlignment="0" applyProtection="0"/>
    <xf numFmtId="43" fontId="38"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38" fillId="0" borderId="0" applyFont="0" applyFill="0" applyBorder="0" applyAlignment="0" applyProtection="0"/>
    <xf numFmtId="43" fontId="38"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38" fillId="0" borderId="0" applyFont="0" applyFill="0" applyBorder="0" applyAlignment="0" applyProtection="0"/>
    <xf numFmtId="43" fontId="38"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38" fillId="0" borderId="0" applyFont="0" applyFill="0" applyBorder="0" applyAlignment="0" applyProtection="0"/>
    <xf numFmtId="43" fontId="38"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38" fillId="0" borderId="0" applyFont="0" applyFill="0" applyBorder="0" applyAlignment="0" applyProtection="0"/>
    <xf numFmtId="43" fontId="38"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38" fillId="0" borderId="0" applyFont="0" applyFill="0" applyBorder="0" applyAlignment="0" applyProtection="0"/>
    <xf numFmtId="43" fontId="38"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38" fillId="0" borderId="0" applyFont="0" applyFill="0" applyBorder="0" applyAlignment="0" applyProtection="0"/>
    <xf numFmtId="43" fontId="38"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38" fillId="0" borderId="0" applyFont="0" applyFill="0" applyBorder="0" applyAlignment="0" applyProtection="0"/>
    <xf numFmtId="43" fontId="38"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38" fillId="0" borderId="0" applyFont="0" applyFill="0" applyBorder="0" applyAlignment="0" applyProtection="0"/>
    <xf numFmtId="43" fontId="38"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38" fillId="0" borderId="0" applyFont="0" applyFill="0" applyBorder="0" applyAlignment="0" applyProtection="0"/>
    <xf numFmtId="43" fontId="38"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38" fillId="0" borderId="0" applyFont="0" applyFill="0" applyBorder="0" applyAlignment="0" applyProtection="0"/>
    <xf numFmtId="43" fontId="38"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38" fillId="0" borderId="0" applyFont="0" applyFill="0" applyBorder="0" applyAlignment="0" applyProtection="0"/>
    <xf numFmtId="43" fontId="38"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38" fillId="0" borderId="0" applyFont="0" applyFill="0" applyBorder="0" applyAlignment="0" applyProtection="0"/>
    <xf numFmtId="43" fontId="38"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38" fillId="0" borderId="0" applyFont="0" applyFill="0" applyBorder="0" applyAlignment="0" applyProtection="0"/>
    <xf numFmtId="43" fontId="38"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38" fillId="0" borderId="0" applyFont="0" applyFill="0" applyBorder="0" applyAlignment="0" applyProtection="0"/>
    <xf numFmtId="43" fontId="38"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38" fillId="0" borderId="0" applyFont="0" applyFill="0" applyBorder="0" applyAlignment="0" applyProtection="0"/>
    <xf numFmtId="43" fontId="38"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38" fillId="0" borderId="0" applyFont="0" applyFill="0" applyBorder="0" applyAlignment="0" applyProtection="0"/>
    <xf numFmtId="43" fontId="38"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38" fillId="0" borderId="0" applyFont="0" applyFill="0" applyBorder="0" applyAlignment="0" applyProtection="0"/>
    <xf numFmtId="43" fontId="38"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38" fillId="0" borderId="0" applyFont="0" applyFill="0" applyBorder="0" applyAlignment="0" applyProtection="0"/>
    <xf numFmtId="43" fontId="38"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38" fillId="0" borderId="0" applyFont="0" applyFill="0" applyBorder="0" applyAlignment="0" applyProtection="0"/>
    <xf numFmtId="43" fontId="38"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38" fillId="0" borderId="0" applyFont="0" applyFill="0" applyBorder="0" applyAlignment="0" applyProtection="0"/>
    <xf numFmtId="43" fontId="38"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38" fillId="0" borderId="0" applyFont="0" applyFill="0" applyBorder="0" applyAlignment="0" applyProtection="0"/>
    <xf numFmtId="43" fontId="38"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38" fillId="0" borderId="0" applyFont="0" applyFill="0" applyBorder="0" applyAlignment="0" applyProtection="0"/>
    <xf numFmtId="43" fontId="38"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38" fillId="0" borderId="0" applyFont="0" applyFill="0" applyBorder="0" applyAlignment="0" applyProtection="0"/>
    <xf numFmtId="43" fontId="38"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38" fillId="0" borderId="0" applyFont="0" applyFill="0" applyBorder="0" applyAlignment="0" applyProtection="0"/>
    <xf numFmtId="43" fontId="38"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38" fillId="0" borderId="0" applyFont="0" applyFill="0" applyBorder="0" applyAlignment="0" applyProtection="0"/>
    <xf numFmtId="43" fontId="38"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38" fillId="0" borderId="0" applyFont="0" applyFill="0" applyBorder="0" applyAlignment="0" applyProtection="0"/>
    <xf numFmtId="43" fontId="38"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38" fillId="0" borderId="0" applyFont="0" applyFill="0" applyBorder="0" applyAlignment="0" applyProtection="0"/>
    <xf numFmtId="43" fontId="38"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38" fillId="0" borderId="0" applyFont="0" applyFill="0" applyBorder="0" applyAlignment="0" applyProtection="0"/>
    <xf numFmtId="43" fontId="38"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38" fillId="0" borderId="0" applyFont="0" applyFill="0" applyBorder="0" applyAlignment="0" applyProtection="0"/>
    <xf numFmtId="43" fontId="38"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38" fillId="0" borderId="0" applyFont="0" applyFill="0" applyBorder="0" applyAlignment="0" applyProtection="0"/>
    <xf numFmtId="43" fontId="38"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38" fillId="0" borderId="0" applyFont="0" applyFill="0" applyBorder="0" applyAlignment="0" applyProtection="0"/>
    <xf numFmtId="43" fontId="38"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38" fillId="0" borderId="0" applyFont="0" applyFill="0" applyBorder="0" applyAlignment="0" applyProtection="0"/>
    <xf numFmtId="43" fontId="38"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38" fillId="0" borderId="0" applyFont="0" applyFill="0" applyBorder="0" applyAlignment="0" applyProtection="0"/>
    <xf numFmtId="43" fontId="38"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38" fillId="0" borderId="0" applyFont="0" applyFill="0" applyBorder="0" applyAlignment="0" applyProtection="0"/>
    <xf numFmtId="43" fontId="38"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38" fillId="0" borderId="0" applyFont="0" applyFill="0" applyBorder="0" applyAlignment="0" applyProtection="0"/>
    <xf numFmtId="43" fontId="38"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38" fillId="0" borderId="0" applyFont="0" applyFill="0" applyBorder="0" applyAlignment="0" applyProtection="0"/>
    <xf numFmtId="43" fontId="38"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38" fillId="0" borderId="0" applyFont="0" applyFill="0" applyBorder="0" applyAlignment="0" applyProtection="0"/>
    <xf numFmtId="43" fontId="38"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38" fillId="0" borderId="0" applyFont="0" applyFill="0" applyBorder="0" applyAlignment="0" applyProtection="0"/>
    <xf numFmtId="43" fontId="38"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38" fillId="0" borderId="0" applyFont="0" applyFill="0" applyBorder="0" applyAlignment="0" applyProtection="0"/>
    <xf numFmtId="43" fontId="38"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38" fillId="0" borderId="0" applyFont="0" applyFill="0" applyBorder="0" applyAlignment="0" applyProtection="0"/>
    <xf numFmtId="43" fontId="38"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38" fillId="0" borderId="0" applyFont="0" applyFill="0" applyBorder="0" applyAlignment="0" applyProtection="0"/>
    <xf numFmtId="43" fontId="38"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38" fillId="0" borderId="0" applyFont="0" applyFill="0" applyBorder="0" applyAlignment="0" applyProtection="0"/>
    <xf numFmtId="43" fontId="38"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38" fillId="0" borderId="0" applyFont="0" applyFill="0" applyBorder="0" applyAlignment="0" applyProtection="0"/>
    <xf numFmtId="43" fontId="38"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9" fontId="1" fillId="0" borderId="0" applyFont="0" applyFill="0" applyBorder="0" applyAlignment="0" applyProtection="0"/>
    <xf numFmtId="0" fontId="1" fillId="0" borderId="0"/>
    <xf numFmtId="0" fontId="1" fillId="58" borderId="104" applyNumberFormat="0" applyFont="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65" fontId="1" fillId="0" borderId="0" applyFont="0" applyFill="0" applyBorder="0" applyAlignment="0" applyProtection="0"/>
    <xf numFmtId="9" fontId="1" fillId="0" borderId="0" applyFont="0" applyFill="0" applyBorder="0" applyAlignment="0" applyProtection="0"/>
    <xf numFmtId="43" fontId="1"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9" fontId="1" fillId="0" borderId="0" applyFont="0" applyFill="0" applyBorder="0" applyAlignment="0" applyProtection="0"/>
    <xf numFmtId="0" fontId="1" fillId="0" borderId="0"/>
    <xf numFmtId="0" fontId="1" fillId="65" borderId="0" applyNumberFormat="0" applyBorder="0" applyAlignment="0" applyProtection="0"/>
    <xf numFmtId="0" fontId="1" fillId="76" borderId="0" applyNumberFormat="0" applyBorder="0" applyAlignment="0" applyProtection="0"/>
    <xf numFmtId="43" fontId="10" fillId="0" borderId="0" applyFont="0" applyFill="0" applyBorder="0" applyAlignment="0" applyProtection="0"/>
    <xf numFmtId="0" fontId="1" fillId="0" borderId="0"/>
    <xf numFmtId="9"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8"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6" borderId="0" applyNumberFormat="0" applyBorder="0" applyAlignment="0" applyProtection="0"/>
    <xf numFmtId="0" fontId="1" fillId="76" borderId="0" applyNumberFormat="0" applyBorder="0" applyAlignment="0" applyProtection="0"/>
    <xf numFmtId="0" fontId="1" fillId="76" borderId="0" applyNumberFormat="0" applyBorder="0" applyAlignment="0" applyProtection="0"/>
    <xf numFmtId="0" fontId="1" fillId="76" borderId="0" applyNumberFormat="0" applyBorder="0" applyAlignment="0" applyProtection="0"/>
    <xf numFmtId="0" fontId="1" fillId="76" borderId="0" applyNumberFormat="0" applyBorder="0" applyAlignment="0" applyProtection="0"/>
    <xf numFmtId="0" fontId="1" fillId="76" borderId="0" applyNumberFormat="0" applyBorder="0" applyAlignment="0" applyProtection="0"/>
    <xf numFmtId="0" fontId="1" fillId="76" borderId="0" applyNumberFormat="0" applyBorder="0" applyAlignment="0" applyProtection="0"/>
    <xf numFmtId="0" fontId="1" fillId="76" borderId="0" applyNumberFormat="0" applyBorder="0" applyAlignment="0" applyProtection="0"/>
    <xf numFmtId="0" fontId="1" fillId="76" borderId="0" applyNumberFormat="0" applyBorder="0" applyAlignment="0" applyProtection="0"/>
    <xf numFmtId="0" fontId="1" fillId="76" borderId="0" applyNumberFormat="0" applyBorder="0" applyAlignment="0" applyProtection="0"/>
    <xf numFmtId="0" fontId="1" fillId="76" borderId="0" applyNumberFormat="0" applyBorder="0" applyAlignment="0" applyProtection="0"/>
    <xf numFmtId="0" fontId="1" fillId="76" borderId="0" applyNumberFormat="0" applyBorder="0" applyAlignment="0" applyProtection="0"/>
    <xf numFmtId="0" fontId="1" fillId="76" borderId="0" applyNumberFormat="0" applyBorder="0" applyAlignment="0" applyProtection="0"/>
    <xf numFmtId="0" fontId="1" fillId="76" borderId="0" applyNumberFormat="0" applyBorder="0" applyAlignment="0" applyProtection="0"/>
    <xf numFmtId="0" fontId="1" fillId="76" borderId="0" applyNumberFormat="0" applyBorder="0" applyAlignment="0" applyProtection="0"/>
    <xf numFmtId="0" fontId="1" fillId="76" borderId="0" applyNumberFormat="0" applyBorder="0" applyAlignment="0" applyProtection="0"/>
    <xf numFmtId="0" fontId="1" fillId="76" borderId="0" applyNumberFormat="0" applyBorder="0" applyAlignment="0" applyProtection="0"/>
    <xf numFmtId="0" fontId="1" fillId="76" borderId="0" applyNumberFormat="0" applyBorder="0" applyAlignment="0" applyProtection="0"/>
    <xf numFmtId="0" fontId="1" fillId="76" borderId="0" applyNumberFormat="0" applyBorder="0" applyAlignment="0" applyProtection="0"/>
    <xf numFmtId="0" fontId="1" fillId="76" borderId="0" applyNumberFormat="0" applyBorder="0" applyAlignment="0" applyProtection="0"/>
    <xf numFmtId="0" fontId="1" fillId="76" borderId="0" applyNumberFormat="0" applyBorder="0" applyAlignment="0" applyProtection="0"/>
    <xf numFmtId="0" fontId="1" fillId="76" borderId="0" applyNumberFormat="0" applyBorder="0" applyAlignment="0" applyProtection="0"/>
    <xf numFmtId="0" fontId="1" fillId="76" borderId="0" applyNumberFormat="0" applyBorder="0" applyAlignment="0" applyProtection="0"/>
    <xf numFmtId="0" fontId="1" fillId="76" borderId="0" applyNumberFormat="0" applyBorder="0" applyAlignment="0" applyProtection="0"/>
    <xf numFmtId="0" fontId="1" fillId="76" borderId="0" applyNumberFormat="0" applyBorder="0" applyAlignment="0" applyProtection="0"/>
    <xf numFmtId="0" fontId="1" fillId="76" borderId="0" applyNumberFormat="0" applyBorder="0" applyAlignment="0" applyProtection="0"/>
    <xf numFmtId="0" fontId="1" fillId="76" borderId="0" applyNumberFormat="0" applyBorder="0" applyAlignment="0" applyProtection="0"/>
    <xf numFmtId="0" fontId="1" fillId="76" borderId="0" applyNumberFormat="0" applyBorder="0" applyAlignment="0" applyProtection="0"/>
    <xf numFmtId="0" fontId="1" fillId="76" borderId="0" applyNumberFormat="0" applyBorder="0" applyAlignment="0" applyProtection="0"/>
    <xf numFmtId="0" fontId="1" fillId="76" borderId="0" applyNumberFormat="0" applyBorder="0" applyAlignment="0" applyProtection="0"/>
    <xf numFmtId="0" fontId="1" fillId="76" borderId="0" applyNumberFormat="0" applyBorder="0" applyAlignment="0" applyProtection="0"/>
    <xf numFmtId="0" fontId="1" fillId="76" borderId="0" applyNumberFormat="0" applyBorder="0" applyAlignment="0" applyProtection="0"/>
    <xf numFmtId="0" fontId="1" fillId="76" borderId="0" applyNumberFormat="0" applyBorder="0" applyAlignment="0" applyProtection="0"/>
    <xf numFmtId="0" fontId="1" fillId="76" borderId="0" applyNumberFormat="0" applyBorder="0" applyAlignment="0" applyProtection="0"/>
    <xf numFmtId="0" fontId="1" fillId="76" borderId="0" applyNumberFormat="0" applyBorder="0" applyAlignment="0" applyProtection="0"/>
    <xf numFmtId="0" fontId="1" fillId="76" borderId="0" applyNumberFormat="0" applyBorder="0" applyAlignment="0" applyProtection="0"/>
    <xf numFmtId="0" fontId="1" fillId="76" borderId="0" applyNumberFormat="0" applyBorder="0" applyAlignment="0" applyProtection="0"/>
    <xf numFmtId="0" fontId="1" fillId="76" borderId="0" applyNumberFormat="0" applyBorder="0" applyAlignment="0" applyProtection="0"/>
    <xf numFmtId="0" fontId="1" fillId="76" borderId="0" applyNumberFormat="0" applyBorder="0" applyAlignment="0" applyProtection="0"/>
    <xf numFmtId="0" fontId="1" fillId="76" borderId="0" applyNumberFormat="0" applyBorder="0" applyAlignment="0" applyProtection="0"/>
    <xf numFmtId="0" fontId="1" fillId="76" borderId="0" applyNumberFormat="0" applyBorder="0" applyAlignment="0" applyProtection="0"/>
    <xf numFmtId="0" fontId="1" fillId="76" borderId="0" applyNumberFormat="0" applyBorder="0" applyAlignment="0" applyProtection="0"/>
    <xf numFmtId="0" fontId="1" fillId="76" borderId="0" applyNumberFormat="0" applyBorder="0" applyAlignment="0" applyProtection="0"/>
    <xf numFmtId="0" fontId="1" fillId="76" borderId="0" applyNumberFormat="0" applyBorder="0" applyAlignment="0" applyProtection="0"/>
    <xf numFmtId="0" fontId="1" fillId="76" borderId="0" applyNumberFormat="0" applyBorder="0" applyAlignment="0" applyProtection="0"/>
    <xf numFmtId="0" fontId="1" fillId="76" borderId="0" applyNumberFormat="0" applyBorder="0" applyAlignment="0" applyProtection="0"/>
    <xf numFmtId="0" fontId="1" fillId="76" borderId="0" applyNumberFormat="0" applyBorder="0" applyAlignment="0" applyProtection="0"/>
    <xf numFmtId="0" fontId="1" fillId="76" borderId="0" applyNumberFormat="0" applyBorder="0" applyAlignment="0" applyProtection="0"/>
    <xf numFmtId="0" fontId="1" fillId="76" borderId="0" applyNumberFormat="0" applyBorder="0" applyAlignment="0" applyProtection="0"/>
    <xf numFmtId="0" fontId="1" fillId="76" borderId="0" applyNumberFormat="0" applyBorder="0" applyAlignment="0" applyProtection="0"/>
    <xf numFmtId="0" fontId="1" fillId="76" borderId="0" applyNumberFormat="0" applyBorder="0" applyAlignment="0" applyProtection="0"/>
    <xf numFmtId="0" fontId="1" fillId="76" borderId="0" applyNumberFormat="0" applyBorder="0" applyAlignment="0" applyProtection="0"/>
    <xf numFmtId="0" fontId="1" fillId="76" borderId="0" applyNumberFormat="0" applyBorder="0" applyAlignment="0" applyProtection="0"/>
    <xf numFmtId="0" fontId="1" fillId="76" borderId="0" applyNumberFormat="0" applyBorder="0" applyAlignment="0" applyProtection="0"/>
    <xf numFmtId="0" fontId="1" fillId="76" borderId="0" applyNumberFormat="0" applyBorder="0" applyAlignment="0" applyProtection="0"/>
    <xf numFmtId="0" fontId="1" fillId="76" borderId="0" applyNumberFormat="0" applyBorder="0" applyAlignment="0" applyProtection="0"/>
    <xf numFmtId="0" fontId="1" fillId="76" borderId="0" applyNumberFormat="0" applyBorder="0" applyAlignment="0" applyProtection="0"/>
    <xf numFmtId="0" fontId="1" fillId="76" borderId="0" applyNumberFormat="0" applyBorder="0" applyAlignment="0" applyProtection="0"/>
    <xf numFmtId="0" fontId="1" fillId="76" borderId="0" applyNumberFormat="0" applyBorder="0" applyAlignment="0" applyProtection="0"/>
    <xf numFmtId="0" fontId="1" fillId="76" borderId="0" applyNumberFormat="0" applyBorder="0" applyAlignment="0" applyProtection="0"/>
    <xf numFmtId="0" fontId="1" fillId="76" borderId="0" applyNumberFormat="0" applyBorder="0" applyAlignment="0" applyProtection="0"/>
    <xf numFmtId="0" fontId="1" fillId="76" borderId="0" applyNumberFormat="0" applyBorder="0" applyAlignment="0" applyProtection="0"/>
    <xf numFmtId="0" fontId="1" fillId="76" borderId="0" applyNumberFormat="0" applyBorder="0" applyAlignment="0" applyProtection="0"/>
    <xf numFmtId="0" fontId="1" fillId="76" borderId="0" applyNumberFormat="0" applyBorder="0" applyAlignment="0" applyProtection="0"/>
    <xf numFmtId="0" fontId="1" fillId="76" borderId="0" applyNumberFormat="0" applyBorder="0" applyAlignment="0" applyProtection="0"/>
    <xf numFmtId="0" fontId="1" fillId="76" borderId="0" applyNumberFormat="0" applyBorder="0" applyAlignment="0" applyProtection="0"/>
    <xf numFmtId="0" fontId="1" fillId="76" borderId="0" applyNumberFormat="0" applyBorder="0" applyAlignment="0" applyProtection="0"/>
    <xf numFmtId="0" fontId="1" fillId="76" borderId="0" applyNumberFormat="0" applyBorder="0" applyAlignment="0" applyProtection="0"/>
    <xf numFmtId="0" fontId="1" fillId="76" borderId="0" applyNumberFormat="0" applyBorder="0" applyAlignment="0" applyProtection="0"/>
    <xf numFmtId="0" fontId="1" fillId="76" borderId="0" applyNumberFormat="0" applyBorder="0" applyAlignment="0" applyProtection="0"/>
    <xf numFmtId="0" fontId="1" fillId="76" borderId="0" applyNumberFormat="0" applyBorder="0" applyAlignment="0" applyProtection="0"/>
    <xf numFmtId="0" fontId="1" fillId="76" borderId="0" applyNumberFormat="0" applyBorder="0" applyAlignment="0" applyProtection="0"/>
    <xf numFmtId="0" fontId="1" fillId="76" borderId="0" applyNumberFormat="0" applyBorder="0" applyAlignment="0" applyProtection="0"/>
    <xf numFmtId="0" fontId="1" fillId="76" borderId="0" applyNumberFormat="0" applyBorder="0" applyAlignment="0" applyProtection="0"/>
    <xf numFmtId="0" fontId="1" fillId="76" borderId="0" applyNumberFormat="0" applyBorder="0" applyAlignment="0" applyProtection="0"/>
    <xf numFmtId="0" fontId="1" fillId="76" borderId="0" applyNumberFormat="0" applyBorder="0" applyAlignment="0" applyProtection="0"/>
    <xf numFmtId="0" fontId="1" fillId="76" borderId="0" applyNumberFormat="0" applyBorder="0" applyAlignment="0" applyProtection="0"/>
    <xf numFmtId="0" fontId="1" fillId="76" borderId="0" applyNumberFormat="0" applyBorder="0" applyAlignment="0" applyProtection="0"/>
    <xf numFmtId="0" fontId="1" fillId="76" borderId="0" applyNumberFormat="0" applyBorder="0" applyAlignment="0" applyProtection="0"/>
    <xf numFmtId="0" fontId="1" fillId="76" borderId="0" applyNumberFormat="0" applyBorder="0" applyAlignment="0" applyProtection="0"/>
    <xf numFmtId="0" fontId="1" fillId="76" borderId="0" applyNumberFormat="0" applyBorder="0" applyAlignment="0" applyProtection="0"/>
    <xf numFmtId="0" fontId="1" fillId="76" borderId="0" applyNumberFormat="0" applyBorder="0" applyAlignment="0" applyProtection="0"/>
    <xf numFmtId="0" fontId="1" fillId="76" borderId="0" applyNumberFormat="0" applyBorder="0" applyAlignment="0" applyProtection="0"/>
    <xf numFmtId="0" fontId="1" fillId="76" borderId="0" applyNumberFormat="0" applyBorder="0" applyAlignment="0" applyProtection="0"/>
    <xf numFmtId="0" fontId="1" fillId="76" borderId="0" applyNumberFormat="0" applyBorder="0" applyAlignment="0" applyProtection="0"/>
    <xf numFmtId="0" fontId="1" fillId="76" borderId="0" applyNumberFormat="0" applyBorder="0" applyAlignment="0" applyProtection="0"/>
    <xf numFmtId="0" fontId="1" fillId="76" borderId="0" applyNumberFormat="0" applyBorder="0" applyAlignment="0" applyProtection="0"/>
    <xf numFmtId="0" fontId="1" fillId="76" borderId="0" applyNumberFormat="0" applyBorder="0" applyAlignment="0" applyProtection="0"/>
    <xf numFmtId="0" fontId="1" fillId="76" borderId="0" applyNumberFormat="0" applyBorder="0" applyAlignment="0" applyProtection="0"/>
    <xf numFmtId="0" fontId="1" fillId="76" borderId="0" applyNumberFormat="0" applyBorder="0" applyAlignment="0" applyProtection="0"/>
    <xf numFmtId="0" fontId="1" fillId="76" borderId="0" applyNumberFormat="0" applyBorder="0" applyAlignment="0" applyProtection="0"/>
    <xf numFmtId="0" fontId="1" fillId="76" borderId="0" applyNumberFormat="0" applyBorder="0" applyAlignment="0" applyProtection="0"/>
    <xf numFmtId="0" fontId="1" fillId="76" borderId="0" applyNumberFormat="0" applyBorder="0" applyAlignment="0" applyProtection="0"/>
    <xf numFmtId="0" fontId="1" fillId="76" borderId="0" applyNumberFormat="0" applyBorder="0" applyAlignment="0" applyProtection="0"/>
    <xf numFmtId="0" fontId="1" fillId="76" borderId="0" applyNumberFormat="0" applyBorder="0" applyAlignment="0" applyProtection="0"/>
    <xf numFmtId="0" fontId="1" fillId="76" borderId="0" applyNumberFormat="0" applyBorder="0" applyAlignment="0" applyProtection="0"/>
    <xf numFmtId="0" fontId="1" fillId="76" borderId="0" applyNumberFormat="0" applyBorder="0" applyAlignment="0" applyProtection="0"/>
    <xf numFmtId="0" fontId="1" fillId="76" borderId="0" applyNumberFormat="0" applyBorder="0" applyAlignment="0" applyProtection="0"/>
    <xf numFmtId="0" fontId="1" fillId="76" borderId="0" applyNumberFormat="0" applyBorder="0" applyAlignment="0" applyProtection="0"/>
    <xf numFmtId="0" fontId="1" fillId="76" borderId="0" applyNumberFormat="0" applyBorder="0" applyAlignment="0" applyProtection="0"/>
    <xf numFmtId="0" fontId="1" fillId="76" borderId="0" applyNumberFormat="0" applyBorder="0" applyAlignment="0" applyProtection="0"/>
    <xf numFmtId="0" fontId="1" fillId="76" borderId="0" applyNumberFormat="0" applyBorder="0" applyAlignment="0" applyProtection="0"/>
    <xf numFmtId="0" fontId="1" fillId="76" borderId="0" applyNumberFormat="0" applyBorder="0" applyAlignment="0" applyProtection="0"/>
    <xf numFmtId="0" fontId="1" fillId="76" borderId="0" applyNumberFormat="0" applyBorder="0" applyAlignment="0" applyProtection="0"/>
    <xf numFmtId="0" fontId="1" fillId="76" borderId="0" applyNumberFormat="0" applyBorder="0" applyAlignment="0" applyProtection="0"/>
    <xf numFmtId="0" fontId="1" fillId="76" borderId="0" applyNumberFormat="0" applyBorder="0" applyAlignment="0" applyProtection="0"/>
    <xf numFmtId="0" fontId="1" fillId="76" borderId="0" applyNumberFormat="0" applyBorder="0" applyAlignment="0" applyProtection="0"/>
    <xf numFmtId="0" fontId="1" fillId="76" borderId="0" applyNumberFormat="0" applyBorder="0" applyAlignment="0" applyProtection="0"/>
    <xf numFmtId="0" fontId="1" fillId="76" borderId="0" applyNumberFormat="0" applyBorder="0" applyAlignment="0" applyProtection="0"/>
    <xf numFmtId="0" fontId="1" fillId="76" borderId="0" applyNumberFormat="0" applyBorder="0" applyAlignment="0" applyProtection="0"/>
    <xf numFmtId="0" fontId="1" fillId="76" borderId="0" applyNumberFormat="0" applyBorder="0" applyAlignment="0" applyProtection="0"/>
    <xf numFmtId="0" fontId="1" fillId="76" borderId="0" applyNumberFormat="0" applyBorder="0" applyAlignment="0" applyProtection="0"/>
    <xf numFmtId="0" fontId="1" fillId="76" borderId="0" applyNumberFormat="0" applyBorder="0" applyAlignment="0" applyProtection="0"/>
    <xf numFmtId="0" fontId="1" fillId="76" borderId="0" applyNumberFormat="0" applyBorder="0" applyAlignment="0" applyProtection="0"/>
    <xf numFmtId="0" fontId="1" fillId="76" borderId="0" applyNumberFormat="0" applyBorder="0" applyAlignment="0" applyProtection="0"/>
    <xf numFmtId="0" fontId="1" fillId="76" borderId="0" applyNumberFormat="0" applyBorder="0" applyAlignment="0" applyProtection="0"/>
    <xf numFmtId="0" fontId="1" fillId="76" borderId="0" applyNumberFormat="0" applyBorder="0" applyAlignment="0" applyProtection="0"/>
    <xf numFmtId="0" fontId="1" fillId="76" borderId="0" applyNumberFormat="0" applyBorder="0" applyAlignment="0" applyProtection="0"/>
    <xf numFmtId="0" fontId="1" fillId="76" borderId="0" applyNumberFormat="0" applyBorder="0" applyAlignment="0" applyProtection="0"/>
    <xf numFmtId="0" fontId="1" fillId="76" borderId="0" applyNumberFormat="0" applyBorder="0" applyAlignment="0" applyProtection="0"/>
    <xf numFmtId="0" fontId="1" fillId="76" borderId="0" applyNumberFormat="0" applyBorder="0" applyAlignment="0" applyProtection="0"/>
    <xf numFmtId="0" fontId="1" fillId="76" borderId="0" applyNumberFormat="0" applyBorder="0" applyAlignment="0" applyProtection="0"/>
    <xf numFmtId="0" fontId="1" fillId="76" borderId="0" applyNumberFormat="0" applyBorder="0" applyAlignment="0" applyProtection="0"/>
    <xf numFmtId="0" fontId="1" fillId="76" borderId="0" applyNumberFormat="0" applyBorder="0" applyAlignment="0" applyProtection="0"/>
    <xf numFmtId="0" fontId="1" fillId="76" borderId="0" applyNumberFormat="0" applyBorder="0" applyAlignment="0" applyProtection="0"/>
    <xf numFmtId="0" fontId="1" fillId="76" borderId="0" applyNumberFormat="0" applyBorder="0" applyAlignment="0" applyProtection="0"/>
    <xf numFmtId="0" fontId="1" fillId="76" borderId="0" applyNumberFormat="0" applyBorder="0" applyAlignment="0" applyProtection="0"/>
    <xf numFmtId="0" fontId="1" fillId="76" borderId="0" applyNumberFormat="0" applyBorder="0" applyAlignment="0" applyProtection="0"/>
    <xf numFmtId="0" fontId="1" fillId="76" borderId="0" applyNumberFormat="0" applyBorder="0" applyAlignment="0" applyProtection="0"/>
    <xf numFmtId="0" fontId="1" fillId="76" borderId="0" applyNumberFormat="0" applyBorder="0" applyAlignment="0" applyProtection="0"/>
    <xf numFmtId="0" fontId="1" fillId="76" borderId="0" applyNumberFormat="0" applyBorder="0" applyAlignment="0" applyProtection="0"/>
    <xf numFmtId="0" fontId="1" fillId="76" borderId="0" applyNumberFormat="0" applyBorder="0" applyAlignment="0" applyProtection="0"/>
    <xf numFmtId="0" fontId="1" fillId="76" borderId="0" applyNumberFormat="0" applyBorder="0" applyAlignment="0" applyProtection="0"/>
    <xf numFmtId="0" fontId="1" fillId="76" borderId="0" applyNumberFormat="0" applyBorder="0" applyAlignment="0" applyProtection="0"/>
    <xf numFmtId="0" fontId="1" fillId="76" borderId="0" applyNumberFormat="0" applyBorder="0" applyAlignment="0" applyProtection="0"/>
    <xf numFmtId="0" fontId="1" fillId="76" borderId="0" applyNumberFormat="0" applyBorder="0" applyAlignment="0" applyProtection="0"/>
    <xf numFmtId="0" fontId="1" fillId="76" borderId="0" applyNumberFormat="0" applyBorder="0" applyAlignment="0" applyProtection="0"/>
    <xf numFmtId="0" fontId="1" fillId="76" borderId="0" applyNumberFormat="0" applyBorder="0" applyAlignment="0" applyProtection="0"/>
    <xf numFmtId="0" fontId="1" fillId="76" borderId="0" applyNumberFormat="0" applyBorder="0" applyAlignment="0" applyProtection="0"/>
    <xf numFmtId="0" fontId="1" fillId="76" borderId="0" applyNumberFormat="0" applyBorder="0" applyAlignment="0" applyProtection="0"/>
    <xf numFmtId="0" fontId="1" fillId="76" borderId="0" applyNumberFormat="0" applyBorder="0" applyAlignment="0" applyProtection="0"/>
    <xf numFmtId="0" fontId="1" fillId="76" borderId="0" applyNumberFormat="0" applyBorder="0" applyAlignment="0" applyProtection="0"/>
    <xf numFmtId="0" fontId="1" fillId="76" borderId="0" applyNumberFormat="0" applyBorder="0" applyAlignment="0" applyProtection="0"/>
    <xf numFmtId="0" fontId="1" fillId="76" borderId="0" applyNumberFormat="0" applyBorder="0" applyAlignment="0" applyProtection="0"/>
    <xf numFmtId="0" fontId="1" fillId="76" borderId="0" applyNumberFormat="0" applyBorder="0" applyAlignment="0" applyProtection="0"/>
    <xf numFmtId="0" fontId="1" fillId="76" borderId="0" applyNumberFormat="0" applyBorder="0" applyAlignment="0" applyProtection="0"/>
    <xf numFmtId="0" fontId="1" fillId="76" borderId="0" applyNumberFormat="0" applyBorder="0" applyAlignment="0" applyProtection="0"/>
    <xf numFmtId="0" fontId="1" fillId="76" borderId="0" applyNumberFormat="0" applyBorder="0" applyAlignment="0" applyProtection="0"/>
    <xf numFmtId="0" fontId="1" fillId="76" borderId="0" applyNumberFormat="0" applyBorder="0" applyAlignment="0" applyProtection="0"/>
    <xf numFmtId="0" fontId="1" fillId="76" borderId="0" applyNumberFormat="0" applyBorder="0" applyAlignment="0" applyProtection="0"/>
    <xf numFmtId="0" fontId="1" fillId="76" borderId="0" applyNumberFormat="0" applyBorder="0" applyAlignment="0" applyProtection="0"/>
    <xf numFmtId="0" fontId="1" fillId="76" borderId="0" applyNumberFormat="0" applyBorder="0" applyAlignment="0" applyProtection="0"/>
    <xf numFmtId="0" fontId="1" fillId="76" borderId="0" applyNumberFormat="0" applyBorder="0" applyAlignment="0" applyProtection="0"/>
    <xf numFmtId="0" fontId="1" fillId="76" borderId="0" applyNumberFormat="0" applyBorder="0" applyAlignment="0" applyProtection="0"/>
    <xf numFmtId="0" fontId="1" fillId="76" borderId="0" applyNumberFormat="0" applyBorder="0" applyAlignment="0" applyProtection="0"/>
    <xf numFmtId="0" fontId="1" fillId="76" borderId="0" applyNumberFormat="0" applyBorder="0" applyAlignment="0" applyProtection="0"/>
    <xf numFmtId="0" fontId="1" fillId="76" borderId="0" applyNumberFormat="0" applyBorder="0" applyAlignment="0" applyProtection="0"/>
    <xf numFmtId="0" fontId="1" fillId="76" borderId="0" applyNumberFormat="0" applyBorder="0" applyAlignment="0" applyProtection="0"/>
    <xf numFmtId="0" fontId="1" fillId="76" borderId="0" applyNumberFormat="0" applyBorder="0" applyAlignment="0" applyProtection="0"/>
    <xf numFmtId="0" fontId="1" fillId="76" borderId="0" applyNumberFormat="0" applyBorder="0" applyAlignment="0" applyProtection="0"/>
    <xf numFmtId="0" fontId="1" fillId="76" borderId="0" applyNumberFormat="0" applyBorder="0" applyAlignment="0" applyProtection="0"/>
    <xf numFmtId="0" fontId="1" fillId="7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5" borderId="0" applyNumberFormat="0" applyBorder="0" applyAlignment="0" applyProtection="0"/>
    <xf numFmtId="0" fontId="1" fillId="65" borderId="0" applyNumberFormat="0" applyBorder="0" applyAlignment="0" applyProtection="0"/>
    <xf numFmtId="0" fontId="1" fillId="65" borderId="0" applyNumberFormat="0" applyBorder="0" applyAlignment="0" applyProtection="0"/>
    <xf numFmtId="0" fontId="1" fillId="65" borderId="0" applyNumberFormat="0" applyBorder="0" applyAlignment="0" applyProtection="0"/>
    <xf numFmtId="0" fontId="1" fillId="65" borderId="0" applyNumberFormat="0" applyBorder="0" applyAlignment="0" applyProtection="0"/>
    <xf numFmtId="0" fontId="1" fillId="65" borderId="0" applyNumberFormat="0" applyBorder="0" applyAlignment="0" applyProtection="0"/>
    <xf numFmtId="0" fontId="1" fillId="65" borderId="0" applyNumberFormat="0" applyBorder="0" applyAlignment="0" applyProtection="0"/>
    <xf numFmtId="0" fontId="1" fillId="65" borderId="0" applyNumberFormat="0" applyBorder="0" applyAlignment="0" applyProtection="0"/>
    <xf numFmtId="0" fontId="1" fillId="65" borderId="0" applyNumberFormat="0" applyBorder="0" applyAlignment="0" applyProtection="0"/>
    <xf numFmtId="0" fontId="1" fillId="65" borderId="0" applyNumberFormat="0" applyBorder="0" applyAlignment="0" applyProtection="0"/>
    <xf numFmtId="0" fontId="1" fillId="65" borderId="0" applyNumberFormat="0" applyBorder="0" applyAlignment="0" applyProtection="0"/>
    <xf numFmtId="0" fontId="1" fillId="65" borderId="0" applyNumberFormat="0" applyBorder="0" applyAlignment="0" applyProtection="0"/>
    <xf numFmtId="0" fontId="1" fillId="65" borderId="0" applyNumberFormat="0" applyBorder="0" applyAlignment="0" applyProtection="0"/>
    <xf numFmtId="0" fontId="1" fillId="65" borderId="0" applyNumberFormat="0" applyBorder="0" applyAlignment="0" applyProtection="0"/>
    <xf numFmtId="0" fontId="1" fillId="65" borderId="0" applyNumberFormat="0" applyBorder="0" applyAlignment="0" applyProtection="0"/>
    <xf numFmtId="0" fontId="1" fillId="65" borderId="0" applyNumberFormat="0" applyBorder="0" applyAlignment="0" applyProtection="0"/>
    <xf numFmtId="0" fontId="1" fillId="65" borderId="0" applyNumberFormat="0" applyBorder="0" applyAlignment="0" applyProtection="0"/>
    <xf numFmtId="0" fontId="1" fillId="65" borderId="0" applyNumberFormat="0" applyBorder="0" applyAlignment="0" applyProtection="0"/>
    <xf numFmtId="0" fontId="1" fillId="65" borderId="0" applyNumberFormat="0" applyBorder="0" applyAlignment="0" applyProtection="0"/>
    <xf numFmtId="0" fontId="1" fillId="65" borderId="0" applyNumberFormat="0" applyBorder="0" applyAlignment="0" applyProtection="0"/>
    <xf numFmtId="0" fontId="1" fillId="65" borderId="0" applyNumberFormat="0" applyBorder="0" applyAlignment="0" applyProtection="0"/>
    <xf numFmtId="0" fontId="1" fillId="65" borderId="0" applyNumberFormat="0" applyBorder="0" applyAlignment="0" applyProtection="0"/>
    <xf numFmtId="0" fontId="1" fillId="65" borderId="0" applyNumberFormat="0" applyBorder="0" applyAlignment="0" applyProtection="0"/>
    <xf numFmtId="0" fontId="1" fillId="65" borderId="0" applyNumberFormat="0" applyBorder="0" applyAlignment="0" applyProtection="0"/>
    <xf numFmtId="0" fontId="1" fillId="65" borderId="0" applyNumberFormat="0" applyBorder="0" applyAlignment="0" applyProtection="0"/>
    <xf numFmtId="0" fontId="1" fillId="65" borderId="0" applyNumberFormat="0" applyBorder="0" applyAlignment="0" applyProtection="0"/>
    <xf numFmtId="0" fontId="1" fillId="65" borderId="0" applyNumberFormat="0" applyBorder="0" applyAlignment="0" applyProtection="0"/>
    <xf numFmtId="0" fontId="1" fillId="65" borderId="0" applyNumberFormat="0" applyBorder="0" applyAlignment="0" applyProtection="0"/>
    <xf numFmtId="0" fontId="1" fillId="65" borderId="0" applyNumberFormat="0" applyBorder="0" applyAlignment="0" applyProtection="0"/>
    <xf numFmtId="0" fontId="1" fillId="65" borderId="0" applyNumberFormat="0" applyBorder="0" applyAlignment="0" applyProtection="0"/>
    <xf numFmtId="0" fontId="1" fillId="65" borderId="0" applyNumberFormat="0" applyBorder="0" applyAlignment="0" applyProtection="0"/>
    <xf numFmtId="0" fontId="1" fillId="65" borderId="0" applyNumberFormat="0" applyBorder="0" applyAlignment="0" applyProtection="0"/>
    <xf numFmtId="0" fontId="1" fillId="65" borderId="0" applyNumberFormat="0" applyBorder="0" applyAlignment="0" applyProtection="0"/>
    <xf numFmtId="0" fontId="1" fillId="65" borderId="0" applyNumberFormat="0" applyBorder="0" applyAlignment="0" applyProtection="0"/>
    <xf numFmtId="0" fontId="1" fillId="65" borderId="0" applyNumberFormat="0" applyBorder="0" applyAlignment="0" applyProtection="0"/>
    <xf numFmtId="0" fontId="1" fillId="65" borderId="0" applyNumberFormat="0" applyBorder="0" applyAlignment="0" applyProtection="0"/>
    <xf numFmtId="0" fontId="1" fillId="65" borderId="0" applyNumberFormat="0" applyBorder="0" applyAlignment="0" applyProtection="0"/>
    <xf numFmtId="0" fontId="1" fillId="65" borderId="0" applyNumberFormat="0" applyBorder="0" applyAlignment="0" applyProtection="0"/>
    <xf numFmtId="0" fontId="1" fillId="65" borderId="0" applyNumberFormat="0" applyBorder="0" applyAlignment="0" applyProtection="0"/>
    <xf numFmtId="0" fontId="1" fillId="65" borderId="0" applyNumberFormat="0" applyBorder="0" applyAlignment="0" applyProtection="0"/>
    <xf numFmtId="0" fontId="1" fillId="65" borderId="0" applyNumberFormat="0" applyBorder="0" applyAlignment="0" applyProtection="0"/>
    <xf numFmtId="0" fontId="1" fillId="65" borderId="0" applyNumberFormat="0" applyBorder="0" applyAlignment="0" applyProtection="0"/>
    <xf numFmtId="0" fontId="1" fillId="65" borderId="0" applyNumberFormat="0" applyBorder="0" applyAlignment="0" applyProtection="0"/>
    <xf numFmtId="0" fontId="1" fillId="65" borderId="0" applyNumberFormat="0" applyBorder="0" applyAlignment="0" applyProtection="0"/>
    <xf numFmtId="0" fontId="1" fillId="65" borderId="0" applyNumberFormat="0" applyBorder="0" applyAlignment="0" applyProtection="0"/>
    <xf numFmtId="0" fontId="1" fillId="65" borderId="0" applyNumberFormat="0" applyBorder="0" applyAlignment="0" applyProtection="0"/>
    <xf numFmtId="0" fontId="1" fillId="65" borderId="0" applyNumberFormat="0" applyBorder="0" applyAlignment="0" applyProtection="0"/>
    <xf numFmtId="0" fontId="1" fillId="65" borderId="0" applyNumberFormat="0" applyBorder="0" applyAlignment="0" applyProtection="0"/>
    <xf numFmtId="0" fontId="1" fillId="65" borderId="0" applyNumberFormat="0" applyBorder="0" applyAlignment="0" applyProtection="0"/>
    <xf numFmtId="0" fontId="1" fillId="65" borderId="0" applyNumberFormat="0" applyBorder="0" applyAlignment="0" applyProtection="0"/>
    <xf numFmtId="0" fontId="1" fillId="65" borderId="0" applyNumberFormat="0" applyBorder="0" applyAlignment="0" applyProtection="0"/>
    <xf numFmtId="0" fontId="1" fillId="65" borderId="0" applyNumberFormat="0" applyBorder="0" applyAlignment="0" applyProtection="0"/>
    <xf numFmtId="0" fontId="1" fillId="65" borderId="0" applyNumberFormat="0" applyBorder="0" applyAlignment="0" applyProtection="0"/>
    <xf numFmtId="0" fontId="1" fillId="65" borderId="0" applyNumberFormat="0" applyBorder="0" applyAlignment="0" applyProtection="0"/>
    <xf numFmtId="0" fontId="1" fillId="65" borderId="0" applyNumberFormat="0" applyBorder="0" applyAlignment="0" applyProtection="0"/>
    <xf numFmtId="0" fontId="1" fillId="65" borderId="0" applyNumberFormat="0" applyBorder="0" applyAlignment="0" applyProtection="0"/>
    <xf numFmtId="0" fontId="1" fillId="65" borderId="0" applyNumberFormat="0" applyBorder="0" applyAlignment="0" applyProtection="0"/>
    <xf numFmtId="0" fontId="1" fillId="65" borderId="0" applyNumberFormat="0" applyBorder="0" applyAlignment="0" applyProtection="0"/>
    <xf numFmtId="0" fontId="1" fillId="65" borderId="0" applyNumberFormat="0" applyBorder="0" applyAlignment="0" applyProtection="0"/>
    <xf numFmtId="0" fontId="1" fillId="65" borderId="0" applyNumberFormat="0" applyBorder="0" applyAlignment="0" applyProtection="0"/>
    <xf numFmtId="0" fontId="1" fillId="65" borderId="0" applyNumberFormat="0" applyBorder="0" applyAlignment="0" applyProtection="0"/>
    <xf numFmtId="0" fontId="1" fillId="65" borderId="0" applyNumberFormat="0" applyBorder="0" applyAlignment="0" applyProtection="0"/>
    <xf numFmtId="0" fontId="1" fillId="65" borderId="0" applyNumberFormat="0" applyBorder="0" applyAlignment="0" applyProtection="0"/>
    <xf numFmtId="0" fontId="1" fillId="65" borderId="0" applyNumberFormat="0" applyBorder="0" applyAlignment="0" applyProtection="0"/>
    <xf numFmtId="0" fontId="1" fillId="65" borderId="0" applyNumberFormat="0" applyBorder="0" applyAlignment="0" applyProtection="0"/>
    <xf numFmtId="0" fontId="1" fillId="65" borderId="0" applyNumberFormat="0" applyBorder="0" applyAlignment="0" applyProtection="0"/>
    <xf numFmtId="0" fontId="1" fillId="65" borderId="0" applyNumberFormat="0" applyBorder="0" applyAlignment="0" applyProtection="0"/>
    <xf numFmtId="0" fontId="1" fillId="65" borderId="0" applyNumberFormat="0" applyBorder="0" applyAlignment="0" applyProtection="0"/>
    <xf numFmtId="0" fontId="1" fillId="65" borderId="0" applyNumberFormat="0" applyBorder="0" applyAlignment="0" applyProtection="0"/>
    <xf numFmtId="0" fontId="1" fillId="65" borderId="0" applyNumberFormat="0" applyBorder="0" applyAlignment="0" applyProtection="0"/>
    <xf numFmtId="0" fontId="1" fillId="65" borderId="0" applyNumberFormat="0" applyBorder="0" applyAlignment="0" applyProtection="0"/>
    <xf numFmtId="0" fontId="1" fillId="65" borderId="0" applyNumberFormat="0" applyBorder="0" applyAlignment="0" applyProtection="0"/>
    <xf numFmtId="0" fontId="1" fillId="65" borderId="0" applyNumberFormat="0" applyBorder="0" applyAlignment="0" applyProtection="0"/>
    <xf numFmtId="0" fontId="1" fillId="65" borderId="0" applyNumberFormat="0" applyBorder="0" applyAlignment="0" applyProtection="0"/>
    <xf numFmtId="0" fontId="1" fillId="65" borderId="0" applyNumberFormat="0" applyBorder="0" applyAlignment="0" applyProtection="0"/>
    <xf numFmtId="0" fontId="1" fillId="65" borderId="0" applyNumberFormat="0" applyBorder="0" applyAlignment="0" applyProtection="0"/>
    <xf numFmtId="0" fontId="1" fillId="65" borderId="0" applyNumberFormat="0" applyBorder="0" applyAlignment="0" applyProtection="0"/>
    <xf numFmtId="0" fontId="1" fillId="65" borderId="0" applyNumberFormat="0" applyBorder="0" applyAlignment="0" applyProtection="0"/>
    <xf numFmtId="0" fontId="1" fillId="65" borderId="0" applyNumberFormat="0" applyBorder="0" applyAlignment="0" applyProtection="0"/>
    <xf numFmtId="0" fontId="1" fillId="65" borderId="0" applyNumberFormat="0" applyBorder="0" applyAlignment="0" applyProtection="0"/>
    <xf numFmtId="0" fontId="1" fillId="65" borderId="0" applyNumberFormat="0" applyBorder="0" applyAlignment="0" applyProtection="0"/>
    <xf numFmtId="0" fontId="1" fillId="65" borderId="0" applyNumberFormat="0" applyBorder="0" applyAlignment="0" applyProtection="0"/>
    <xf numFmtId="0" fontId="1" fillId="65" borderId="0" applyNumberFormat="0" applyBorder="0" applyAlignment="0" applyProtection="0"/>
    <xf numFmtId="0" fontId="1" fillId="65" borderId="0" applyNumberFormat="0" applyBorder="0" applyAlignment="0" applyProtection="0"/>
    <xf numFmtId="0" fontId="1" fillId="65" borderId="0" applyNumberFormat="0" applyBorder="0" applyAlignment="0" applyProtection="0"/>
    <xf numFmtId="0" fontId="1" fillId="65" borderId="0" applyNumberFormat="0" applyBorder="0" applyAlignment="0" applyProtection="0"/>
    <xf numFmtId="0" fontId="1" fillId="65" borderId="0" applyNumberFormat="0" applyBorder="0" applyAlignment="0" applyProtection="0"/>
    <xf numFmtId="0" fontId="1" fillId="65" borderId="0" applyNumberFormat="0" applyBorder="0" applyAlignment="0" applyProtection="0"/>
    <xf numFmtId="0" fontId="1" fillId="65" borderId="0" applyNumberFormat="0" applyBorder="0" applyAlignment="0" applyProtection="0"/>
    <xf numFmtId="0" fontId="1" fillId="65" borderId="0" applyNumberFormat="0" applyBorder="0" applyAlignment="0" applyProtection="0"/>
    <xf numFmtId="0" fontId="1" fillId="65" borderId="0" applyNumberFormat="0" applyBorder="0" applyAlignment="0" applyProtection="0"/>
    <xf numFmtId="0" fontId="1" fillId="65" borderId="0" applyNumberFormat="0" applyBorder="0" applyAlignment="0" applyProtection="0"/>
    <xf numFmtId="0" fontId="1" fillId="65" borderId="0" applyNumberFormat="0" applyBorder="0" applyAlignment="0" applyProtection="0"/>
    <xf numFmtId="0" fontId="1" fillId="65" borderId="0" applyNumberFormat="0" applyBorder="0" applyAlignment="0" applyProtection="0"/>
    <xf numFmtId="0" fontId="1" fillId="65" borderId="0" applyNumberFormat="0" applyBorder="0" applyAlignment="0" applyProtection="0"/>
    <xf numFmtId="0" fontId="1" fillId="65" borderId="0" applyNumberFormat="0" applyBorder="0" applyAlignment="0" applyProtection="0"/>
    <xf numFmtId="0" fontId="1" fillId="65" borderId="0" applyNumberFormat="0" applyBorder="0" applyAlignment="0" applyProtection="0"/>
    <xf numFmtId="0" fontId="1" fillId="65" borderId="0" applyNumberFormat="0" applyBorder="0" applyAlignment="0" applyProtection="0"/>
    <xf numFmtId="0" fontId="1" fillId="65" borderId="0" applyNumberFormat="0" applyBorder="0" applyAlignment="0" applyProtection="0"/>
    <xf numFmtId="0" fontId="1" fillId="65" borderId="0" applyNumberFormat="0" applyBorder="0" applyAlignment="0" applyProtection="0"/>
    <xf numFmtId="0" fontId="1" fillId="65" borderId="0" applyNumberFormat="0" applyBorder="0" applyAlignment="0" applyProtection="0"/>
    <xf numFmtId="0" fontId="1" fillId="65" borderId="0" applyNumberFormat="0" applyBorder="0" applyAlignment="0" applyProtection="0"/>
    <xf numFmtId="0" fontId="1" fillId="65" borderId="0" applyNumberFormat="0" applyBorder="0" applyAlignment="0" applyProtection="0"/>
    <xf numFmtId="0" fontId="1" fillId="65" borderId="0" applyNumberFormat="0" applyBorder="0" applyAlignment="0" applyProtection="0"/>
    <xf numFmtId="0" fontId="1" fillId="65" borderId="0" applyNumberFormat="0" applyBorder="0" applyAlignment="0" applyProtection="0"/>
    <xf numFmtId="0" fontId="1" fillId="65" borderId="0" applyNumberFormat="0" applyBorder="0" applyAlignment="0" applyProtection="0"/>
    <xf numFmtId="0" fontId="1" fillId="65" borderId="0" applyNumberFormat="0" applyBorder="0" applyAlignment="0" applyProtection="0"/>
    <xf numFmtId="0" fontId="1" fillId="65" borderId="0" applyNumberFormat="0" applyBorder="0" applyAlignment="0" applyProtection="0"/>
    <xf numFmtId="0" fontId="1" fillId="65" borderId="0" applyNumberFormat="0" applyBorder="0" applyAlignment="0" applyProtection="0"/>
    <xf numFmtId="0" fontId="1" fillId="65" borderId="0" applyNumberFormat="0" applyBorder="0" applyAlignment="0" applyProtection="0"/>
    <xf numFmtId="0" fontId="1" fillId="65" borderId="0" applyNumberFormat="0" applyBorder="0" applyAlignment="0" applyProtection="0"/>
    <xf numFmtId="0" fontId="1" fillId="65" borderId="0" applyNumberFormat="0" applyBorder="0" applyAlignment="0" applyProtection="0"/>
    <xf numFmtId="0" fontId="1" fillId="65" borderId="0" applyNumberFormat="0" applyBorder="0" applyAlignment="0" applyProtection="0"/>
    <xf numFmtId="0" fontId="1" fillId="65" borderId="0" applyNumberFormat="0" applyBorder="0" applyAlignment="0" applyProtection="0"/>
    <xf numFmtId="0" fontId="1" fillId="65" borderId="0" applyNumberFormat="0" applyBorder="0" applyAlignment="0" applyProtection="0"/>
    <xf numFmtId="0" fontId="1" fillId="65" borderId="0" applyNumberFormat="0" applyBorder="0" applyAlignment="0" applyProtection="0"/>
    <xf numFmtId="0" fontId="1" fillId="65" borderId="0" applyNumberFormat="0" applyBorder="0" applyAlignment="0" applyProtection="0"/>
    <xf numFmtId="0" fontId="1" fillId="65" borderId="0" applyNumberFormat="0" applyBorder="0" applyAlignment="0" applyProtection="0"/>
    <xf numFmtId="0" fontId="1" fillId="65" borderId="0" applyNumberFormat="0" applyBorder="0" applyAlignment="0" applyProtection="0"/>
    <xf numFmtId="0" fontId="1" fillId="65" borderId="0" applyNumberFormat="0" applyBorder="0" applyAlignment="0" applyProtection="0"/>
    <xf numFmtId="0" fontId="1" fillId="65" borderId="0" applyNumberFormat="0" applyBorder="0" applyAlignment="0" applyProtection="0"/>
    <xf numFmtId="0" fontId="1" fillId="65" borderId="0" applyNumberFormat="0" applyBorder="0" applyAlignment="0" applyProtection="0"/>
    <xf numFmtId="0" fontId="1" fillId="65" borderId="0" applyNumberFormat="0" applyBorder="0" applyAlignment="0" applyProtection="0"/>
    <xf numFmtId="0" fontId="1" fillId="65" borderId="0" applyNumberFormat="0" applyBorder="0" applyAlignment="0" applyProtection="0"/>
    <xf numFmtId="0" fontId="1" fillId="65" borderId="0" applyNumberFormat="0" applyBorder="0" applyAlignment="0" applyProtection="0"/>
    <xf numFmtId="0" fontId="1" fillId="65" borderId="0" applyNumberFormat="0" applyBorder="0" applyAlignment="0" applyProtection="0"/>
    <xf numFmtId="0" fontId="1" fillId="65" borderId="0" applyNumberFormat="0" applyBorder="0" applyAlignment="0" applyProtection="0"/>
    <xf numFmtId="0" fontId="1" fillId="65" borderId="0" applyNumberFormat="0" applyBorder="0" applyAlignment="0" applyProtection="0"/>
    <xf numFmtId="0" fontId="1" fillId="65" borderId="0" applyNumberFormat="0" applyBorder="0" applyAlignment="0" applyProtection="0"/>
    <xf numFmtId="0" fontId="1" fillId="65" borderId="0" applyNumberFormat="0" applyBorder="0" applyAlignment="0" applyProtection="0"/>
    <xf numFmtId="0" fontId="1" fillId="65" borderId="0" applyNumberFormat="0" applyBorder="0" applyAlignment="0" applyProtection="0"/>
    <xf numFmtId="0" fontId="1" fillId="65" borderId="0" applyNumberFormat="0" applyBorder="0" applyAlignment="0" applyProtection="0"/>
    <xf numFmtId="0" fontId="1" fillId="65" borderId="0" applyNumberFormat="0" applyBorder="0" applyAlignment="0" applyProtection="0"/>
    <xf numFmtId="0" fontId="1" fillId="65" borderId="0" applyNumberFormat="0" applyBorder="0" applyAlignment="0" applyProtection="0"/>
    <xf numFmtId="0" fontId="1" fillId="65" borderId="0" applyNumberFormat="0" applyBorder="0" applyAlignment="0" applyProtection="0"/>
    <xf numFmtId="0" fontId="1" fillId="65" borderId="0" applyNumberFormat="0" applyBorder="0" applyAlignment="0" applyProtection="0"/>
    <xf numFmtId="0" fontId="1" fillId="65" borderId="0" applyNumberFormat="0" applyBorder="0" applyAlignment="0" applyProtection="0"/>
    <xf numFmtId="0" fontId="1" fillId="65" borderId="0" applyNumberFormat="0" applyBorder="0" applyAlignment="0" applyProtection="0"/>
    <xf numFmtId="0" fontId="1" fillId="65" borderId="0" applyNumberFormat="0" applyBorder="0" applyAlignment="0" applyProtection="0"/>
    <xf numFmtId="0" fontId="1" fillId="65" borderId="0" applyNumberFormat="0" applyBorder="0" applyAlignment="0" applyProtection="0"/>
    <xf numFmtId="0" fontId="1" fillId="65" borderId="0" applyNumberFormat="0" applyBorder="0" applyAlignment="0" applyProtection="0"/>
    <xf numFmtId="0" fontId="1" fillId="65" borderId="0" applyNumberFormat="0" applyBorder="0" applyAlignment="0" applyProtection="0"/>
    <xf numFmtId="0" fontId="1" fillId="65" borderId="0" applyNumberFormat="0" applyBorder="0" applyAlignment="0" applyProtection="0"/>
    <xf numFmtId="0" fontId="1" fillId="65" borderId="0" applyNumberFormat="0" applyBorder="0" applyAlignment="0" applyProtection="0"/>
    <xf numFmtId="0" fontId="1" fillId="65" borderId="0" applyNumberFormat="0" applyBorder="0" applyAlignment="0" applyProtection="0"/>
    <xf numFmtId="0" fontId="1" fillId="65" borderId="0" applyNumberFormat="0" applyBorder="0" applyAlignment="0" applyProtection="0"/>
    <xf numFmtId="0" fontId="1" fillId="65" borderId="0" applyNumberFormat="0" applyBorder="0" applyAlignment="0" applyProtection="0"/>
    <xf numFmtId="0" fontId="1" fillId="65" borderId="0" applyNumberFormat="0" applyBorder="0" applyAlignment="0" applyProtection="0"/>
    <xf numFmtId="0" fontId="1" fillId="65" borderId="0" applyNumberFormat="0" applyBorder="0" applyAlignment="0" applyProtection="0"/>
    <xf numFmtId="0" fontId="1" fillId="65" borderId="0" applyNumberFormat="0" applyBorder="0" applyAlignment="0" applyProtection="0"/>
    <xf numFmtId="0" fontId="1" fillId="65" borderId="0" applyNumberFormat="0" applyBorder="0" applyAlignment="0" applyProtection="0"/>
    <xf numFmtId="0" fontId="1" fillId="65" borderId="0" applyNumberFormat="0" applyBorder="0" applyAlignment="0" applyProtection="0"/>
    <xf numFmtId="0" fontId="1" fillId="65" borderId="0" applyNumberFormat="0" applyBorder="0" applyAlignment="0" applyProtection="0"/>
    <xf numFmtId="0" fontId="1" fillId="65" borderId="0" applyNumberFormat="0" applyBorder="0" applyAlignment="0" applyProtection="0"/>
    <xf numFmtId="0" fontId="1" fillId="65" borderId="0" applyNumberFormat="0" applyBorder="0" applyAlignment="0" applyProtection="0"/>
    <xf numFmtId="0" fontId="1" fillId="65" borderId="0" applyNumberFormat="0" applyBorder="0" applyAlignment="0" applyProtection="0"/>
    <xf numFmtId="0" fontId="1" fillId="65" borderId="0" applyNumberFormat="0" applyBorder="0" applyAlignment="0" applyProtection="0"/>
    <xf numFmtId="0" fontId="1" fillId="65" borderId="0" applyNumberFormat="0" applyBorder="0" applyAlignment="0" applyProtection="0"/>
    <xf numFmtId="0" fontId="1" fillId="65" borderId="0" applyNumberFormat="0" applyBorder="0" applyAlignment="0" applyProtection="0"/>
    <xf numFmtId="0" fontId="1" fillId="65" borderId="0" applyNumberFormat="0" applyBorder="0" applyAlignment="0" applyProtection="0"/>
    <xf numFmtId="0" fontId="1" fillId="65" borderId="0" applyNumberFormat="0" applyBorder="0" applyAlignment="0" applyProtection="0"/>
    <xf numFmtId="0" fontId="1" fillId="65"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3" borderId="0" applyNumberFormat="0" applyBorder="0" applyAlignment="0" applyProtection="0"/>
    <xf numFmtId="0" fontId="1" fillId="3" borderId="0" applyNumberFormat="0" applyBorder="0" applyAlignment="0" applyProtection="0"/>
    <xf numFmtId="0" fontId="1" fillId="3" borderId="0" applyNumberFormat="0" applyBorder="0" applyAlignment="0" applyProtection="0"/>
    <xf numFmtId="0" fontId="1" fillId="3" borderId="0" applyNumberFormat="0" applyBorder="0" applyAlignment="0" applyProtection="0"/>
    <xf numFmtId="0" fontId="1" fillId="3" borderId="0" applyNumberFormat="0" applyBorder="0" applyAlignment="0" applyProtection="0"/>
    <xf numFmtId="0" fontId="1" fillId="3" borderId="0" applyNumberFormat="0" applyBorder="0" applyAlignment="0" applyProtection="0"/>
    <xf numFmtId="0" fontId="1" fillId="3" borderId="0" applyNumberFormat="0" applyBorder="0" applyAlignment="0" applyProtection="0"/>
    <xf numFmtId="0" fontId="1" fillId="3" borderId="0" applyNumberFormat="0" applyBorder="0" applyAlignment="0" applyProtection="0"/>
    <xf numFmtId="0" fontId="1" fillId="3" borderId="0" applyNumberFormat="0" applyBorder="0" applyAlignment="0" applyProtection="0"/>
    <xf numFmtId="0" fontId="1" fillId="3" borderId="0" applyNumberFormat="0" applyBorder="0" applyAlignment="0" applyProtection="0"/>
    <xf numFmtId="0" fontId="1" fillId="3" borderId="0" applyNumberFormat="0" applyBorder="0" applyAlignment="0" applyProtection="0"/>
    <xf numFmtId="0" fontId="1" fillId="3" borderId="0" applyNumberFormat="0" applyBorder="0" applyAlignment="0" applyProtection="0"/>
    <xf numFmtId="0" fontId="1" fillId="3" borderId="0" applyNumberFormat="0" applyBorder="0" applyAlignment="0" applyProtection="0"/>
    <xf numFmtId="0" fontId="1" fillId="3" borderId="0" applyNumberFormat="0" applyBorder="0" applyAlignment="0" applyProtection="0"/>
    <xf numFmtId="0" fontId="1" fillId="3" borderId="0" applyNumberFormat="0" applyBorder="0" applyAlignment="0" applyProtection="0"/>
    <xf numFmtId="0" fontId="1" fillId="3" borderId="0" applyNumberFormat="0" applyBorder="0" applyAlignment="0" applyProtection="0"/>
    <xf numFmtId="0" fontId="1" fillId="3" borderId="0" applyNumberFormat="0" applyBorder="0" applyAlignment="0" applyProtection="0"/>
    <xf numFmtId="0" fontId="1" fillId="3" borderId="0" applyNumberFormat="0" applyBorder="0" applyAlignment="0" applyProtection="0"/>
    <xf numFmtId="0" fontId="1" fillId="3" borderId="0" applyNumberFormat="0" applyBorder="0" applyAlignment="0" applyProtection="0"/>
    <xf numFmtId="0" fontId="1" fillId="3" borderId="0" applyNumberFormat="0" applyBorder="0" applyAlignment="0" applyProtection="0"/>
    <xf numFmtId="0" fontId="1" fillId="3" borderId="0" applyNumberFormat="0" applyBorder="0" applyAlignment="0" applyProtection="0"/>
    <xf numFmtId="0" fontId="1" fillId="3" borderId="0" applyNumberFormat="0" applyBorder="0" applyAlignment="0" applyProtection="0"/>
    <xf numFmtId="0" fontId="1" fillId="3" borderId="0" applyNumberFormat="0" applyBorder="0" applyAlignment="0" applyProtection="0"/>
    <xf numFmtId="0" fontId="1" fillId="3" borderId="0" applyNumberFormat="0" applyBorder="0" applyAlignment="0" applyProtection="0"/>
    <xf numFmtId="0" fontId="1" fillId="3" borderId="0" applyNumberFormat="0" applyBorder="0" applyAlignment="0" applyProtection="0"/>
    <xf numFmtId="0" fontId="1" fillId="3" borderId="0" applyNumberFormat="0" applyBorder="0" applyAlignment="0" applyProtection="0"/>
    <xf numFmtId="0" fontId="1" fillId="3" borderId="0" applyNumberFormat="0" applyBorder="0" applyAlignment="0" applyProtection="0"/>
    <xf numFmtId="0" fontId="1" fillId="3" borderId="0" applyNumberFormat="0" applyBorder="0" applyAlignment="0" applyProtection="0"/>
    <xf numFmtId="0" fontId="1" fillId="3" borderId="0" applyNumberFormat="0" applyBorder="0" applyAlignment="0" applyProtection="0"/>
    <xf numFmtId="0" fontId="1" fillId="3" borderId="0" applyNumberFormat="0" applyBorder="0" applyAlignment="0" applyProtection="0"/>
    <xf numFmtId="0" fontId="1" fillId="3" borderId="0" applyNumberFormat="0" applyBorder="0" applyAlignment="0" applyProtection="0"/>
    <xf numFmtId="0" fontId="1" fillId="3" borderId="0" applyNumberFormat="0" applyBorder="0" applyAlignment="0" applyProtection="0"/>
    <xf numFmtId="0" fontId="1" fillId="3" borderId="0" applyNumberFormat="0" applyBorder="0" applyAlignment="0" applyProtection="0"/>
    <xf numFmtId="0" fontId="1" fillId="3" borderId="0" applyNumberFormat="0" applyBorder="0" applyAlignment="0" applyProtection="0"/>
    <xf numFmtId="0" fontId="1" fillId="3" borderId="0" applyNumberFormat="0" applyBorder="0" applyAlignment="0" applyProtection="0"/>
    <xf numFmtId="0" fontId="1" fillId="3" borderId="0" applyNumberFormat="0" applyBorder="0" applyAlignment="0" applyProtection="0"/>
    <xf numFmtId="0" fontId="1" fillId="3" borderId="0" applyNumberFormat="0" applyBorder="0" applyAlignment="0" applyProtection="0"/>
    <xf numFmtId="0" fontId="1" fillId="3" borderId="0" applyNumberFormat="0" applyBorder="0" applyAlignment="0" applyProtection="0"/>
    <xf numFmtId="0" fontId="1" fillId="3" borderId="0" applyNumberFormat="0" applyBorder="0" applyAlignment="0" applyProtection="0"/>
    <xf numFmtId="0" fontId="1" fillId="3" borderId="0" applyNumberFormat="0" applyBorder="0" applyAlignment="0" applyProtection="0"/>
    <xf numFmtId="0" fontId="1" fillId="3" borderId="0" applyNumberFormat="0" applyBorder="0" applyAlignment="0" applyProtection="0"/>
    <xf numFmtId="0" fontId="1" fillId="3" borderId="0" applyNumberFormat="0" applyBorder="0" applyAlignment="0" applyProtection="0"/>
    <xf numFmtId="0" fontId="1" fillId="3" borderId="0" applyNumberFormat="0" applyBorder="0" applyAlignment="0" applyProtection="0"/>
    <xf numFmtId="0" fontId="1" fillId="3" borderId="0" applyNumberFormat="0" applyBorder="0" applyAlignment="0" applyProtection="0"/>
    <xf numFmtId="0" fontId="1" fillId="3" borderId="0" applyNumberFormat="0" applyBorder="0" applyAlignment="0" applyProtection="0"/>
    <xf numFmtId="0" fontId="1" fillId="3" borderId="0" applyNumberFormat="0" applyBorder="0" applyAlignment="0" applyProtection="0"/>
    <xf numFmtId="0" fontId="1" fillId="3" borderId="0" applyNumberFormat="0" applyBorder="0" applyAlignment="0" applyProtection="0"/>
    <xf numFmtId="0" fontId="1" fillId="3" borderId="0" applyNumberFormat="0" applyBorder="0" applyAlignment="0" applyProtection="0"/>
    <xf numFmtId="0" fontId="1" fillId="3" borderId="0" applyNumberFormat="0" applyBorder="0" applyAlignment="0" applyProtection="0"/>
    <xf numFmtId="0" fontId="1" fillId="3" borderId="0" applyNumberFormat="0" applyBorder="0" applyAlignment="0" applyProtection="0"/>
    <xf numFmtId="0" fontId="1" fillId="3" borderId="0" applyNumberFormat="0" applyBorder="0" applyAlignment="0" applyProtection="0"/>
    <xf numFmtId="0" fontId="1" fillId="3" borderId="0" applyNumberFormat="0" applyBorder="0" applyAlignment="0" applyProtection="0"/>
    <xf numFmtId="0" fontId="1" fillId="3" borderId="0" applyNumberFormat="0" applyBorder="0" applyAlignment="0" applyProtection="0"/>
    <xf numFmtId="0" fontId="1" fillId="3" borderId="0" applyNumberFormat="0" applyBorder="0" applyAlignment="0" applyProtection="0"/>
    <xf numFmtId="0" fontId="1" fillId="3" borderId="0" applyNumberFormat="0" applyBorder="0" applyAlignment="0" applyProtection="0"/>
    <xf numFmtId="0" fontId="1" fillId="3" borderId="0" applyNumberFormat="0" applyBorder="0" applyAlignment="0" applyProtection="0"/>
    <xf numFmtId="0" fontId="1" fillId="3" borderId="0" applyNumberFormat="0" applyBorder="0" applyAlignment="0" applyProtection="0"/>
    <xf numFmtId="0" fontId="1" fillId="3" borderId="0" applyNumberFormat="0" applyBorder="0" applyAlignment="0" applyProtection="0"/>
    <xf numFmtId="0" fontId="1" fillId="3" borderId="0" applyNumberFormat="0" applyBorder="0" applyAlignment="0" applyProtection="0"/>
    <xf numFmtId="0" fontId="1" fillId="3" borderId="0" applyNumberFormat="0" applyBorder="0" applyAlignment="0" applyProtection="0"/>
    <xf numFmtId="0" fontId="1" fillId="3" borderId="0" applyNumberFormat="0" applyBorder="0" applyAlignment="0" applyProtection="0"/>
    <xf numFmtId="0" fontId="1" fillId="3" borderId="0" applyNumberFormat="0" applyBorder="0" applyAlignment="0" applyProtection="0"/>
    <xf numFmtId="0" fontId="1" fillId="3" borderId="0" applyNumberFormat="0" applyBorder="0" applyAlignment="0" applyProtection="0"/>
    <xf numFmtId="0" fontId="1" fillId="3" borderId="0" applyNumberFormat="0" applyBorder="0" applyAlignment="0" applyProtection="0"/>
    <xf numFmtId="0" fontId="1" fillId="3" borderId="0" applyNumberFormat="0" applyBorder="0" applyAlignment="0" applyProtection="0"/>
    <xf numFmtId="0" fontId="1" fillId="3" borderId="0" applyNumberFormat="0" applyBorder="0" applyAlignment="0" applyProtection="0"/>
    <xf numFmtId="0" fontId="1" fillId="3" borderId="0" applyNumberFormat="0" applyBorder="0" applyAlignment="0" applyProtection="0"/>
    <xf numFmtId="0" fontId="1" fillId="3" borderId="0" applyNumberFormat="0" applyBorder="0" applyAlignment="0" applyProtection="0"/>
    <xf numFmtId="0" fontId="1" fillId="3" borderId="0" applyNumberFormat="0" applyBorder="0" applyAlignment="0" applyProtection="0"/>
    <xf numFmtId="0" fontId="1" fillId="3" borderId="0" applyNumberFormat="0" applyBorder="0" applyAlignment="0" applyProtection="0"/>
    <xf numFmtId="0" fontId="1" fillId="3" borderId="0" applyNumberFormat="0" applyBorder="0" applyAlignment="0" applyProtection="0"/>
    <xf numFmtId="0" fontId="1" fillId="3" borderId="0" applyNumberFormat="0" applyBorder="0" applyAlignment="0" applyProtection="0"/>
    <xf numFmtId="0" fontId="1" fillId="3" borderId="0" applyNumberFormat="0" applyBorder="0" applyAlignment="0" applyProtection="0"/>
    <xf numFmtId="0" fontId="1" fillId="3" borderId="0" applyNumberFormat="0" applyBorder="0" applyAlignment="0" applyProtection="0"/>
    <xf numFmtId="0" fontId="1" fillId="3" borderId="0" applyNumberFormat="0" applyBorder="0" applyAlignment="0" applyProtection="0"/>
    <xf numFmtId="0" fontId="1" fillId="3" borderId="0" applyNumberFormat="0" applyBorder="0" applyAlignment="0" applyProtection="0"/>
    <xf numFmtId="0" fontId="1" fillId="3" borderId="0" applyNumberFormat="0" applyBorder="0" applyAlignment="0" applyProtection="0"/>
    <xf numFmtId="0" fontId="1" fillId="3" borderId="0" applyNumberFormat="0" applyBorder="0" applyAlignment="0" applyProtection="0"/>
    <xf numFmtId="0" fontId="1" fillId="3" borderId="0" applyNumberFormat="0" applyBorder="0" applyAlignment="0" applyProtection="0"/>
    <xf numFmtId="0" fontId="1" fillId="3" borderId="0" applyNumberFormat="0" applyBorder="0" applyAlignment="0" applyProtection="0"/>
    <xf numFmtId="0" fontId="1" fillId="3" borderId="0" applyNumberFormat="0" applyBorder="0" applyAlignment="0" applyProtection="0"/>
    <xf numFmtId="0" fontId="1" fillId="3" borderId="0" applyNumberFormat="0" applyBorder="0" applyAlignment="0" applyProtection="0"/>
    <xf numFmtId="0" fontId="1" fillId="3" borderId="0" applyNumberFormat="0" applyBorder="0" applyAlignment="0" applyProtection="0"/>
    <xf numFmtId="0" fontId="1" fillId="3" borderId="0" applyNumberFormat="0" applyBorder="0" applyAlignment="0" applyProtection="0"/>
    <xf numFmtId="0" fontId="1" fillId="3" borderId="0" applyNumberFormat="0" applyBorder="0" applyAlignment="0" applyProtection="0"/>
    <xf numFmtId="0" fontId="1" fillId="3" borderId="0" applyNumberFormat="0" applyBorder="0" applyAlignment="0" applyProtection="0"/>
    <xf numFmtId="0" fontId="1" fillId="3" borderId="0" applyNumberFormat="0" applyBorder="0" applyAlignment="0" applyProtection="0"/>
    <xf numFmtId="0" fontId="1" fillId="3" borderId="0" applyNumberFormat="0" applyBorder="0" applyAlignment="0" applyProtection="0"/>
    <xf numFmtId="0" fontId="1" fillId="3" borderId="0" applyNumberFormat="0" applyBorder="0" applyAlignment="0" applyProtection="0"/>
    <xf numFmtId="0" fontId="1" fillId="3" borderId="0" applyNumberFormat="0" applyBorder="0" applyAlignment="0" applyProtection="0"/>
    <xf numFmtId="0" fontId="1" fillId="3" borderId="0" applyNumberFormat="0" applyBorder="0" applyAlignment="0" applyProtection="0"/>
    <xf numFmtId="0" fontId="1" fillId="3" borderId="0" applyNumberFormat="0" applyBorder="0" applyAlignment="0" applyProtection="0"/>
    <xf numFmtId="0" fontId="1" fillId="3" borderId="0" applyNumberFormat="0" applyBorder="0" applyAlignment="0" applyProtection="0"/>
    <xf numFmtId="0" fontId="1" fillId="3" borderId="0" applyNumberFormat="0" applyBorder="0" applyAlignment="0" applyProtection="0"/>
    <xf numFmtId="0" fontId="1" fillId="3" borderId="0" applyNumberFormat="0" applyBorder="0" applyAlignment="0" applyProtection="0"/>
    <xf numFmtId="0" fontId="1" fillId="3" borderId="0" applyNumberFormat="0" applyBorder="0" applyAlignment="0" applyProtection="0"/>
    <xf numFmtId="0" fontId="1" fillId="3" borderId="0" applyNumberFormat="0" applyBorder="0" applyAlignment="0" applyProtection="0"/>
    <xf numFmtId="0" fontId="1" fillId="3" borderId="0" applyNumberFormat="0" applyBorder="0" applyAlignment="0" applyProtection="0"/>
    <xf numFmtId="0" fontId="1" fillId="3" borderId="0" applyNumberFormat="0" applyBorder="0" applyAlignment="0" applyProtection="0"/>
    <xf numFmtId="0" fontId="1" fillId="3" borderId="0" applyNumberFormat="0" applyBorder="0" applyAlignment="0" applyProtection="0"/>
    <xf numFmtId="0" fontId="1" fillId="3" borderId="0" applyNumberFormat="0" applyBorder="0" applyAlignment="0" applyProtection="0"/>
    <xf numFmtId="0" fontId="1" fillId="3" borderId="0" applyNumberFormat="0" applyBorder="0" applyAlignment="0" applyProtection="0"/>
    <xf numFmtId="0" fontId="1" fillId="3" borderId="0" applyNumberFormat="0" applyBorder="0" applyAlignment="0" applyProtection="0"/>
    <xf numFmtId="0" fontId="1" fillId="3" borderId="0" applyNumberFormat="0" applyBorder="0" applyAlignment="0" applyProtection="0"/>
    <xf numFmtId="0" fontId="1" fillId="3" borderId="0" applyNumberFormat="0" applyBorder="0" applyAlignment="0" applyProtection="0"/>
    <xf numFmtId="0" fontId="1" fillId="3" borderId="0" applyNumberFormat="0" applyBorder="0" applyAlignment="0" applyProtection="0"/>
    <xf numFmtId="0" fontId="1" fillId="3" borderId="0" applyNumberFormat="0" applyBorder="0" applyAlignment="0" applyProtection="0"/>
    <xf numFmtId="0" fontId="1" fillId="3" borderId="0" applyNumberFormat="0" applyBorder="0" applyAlignment="0" applyProtection="0"/>
    <xf numFmtId="0" fontId="1" fillId="3" borderId="0" applyNumberFormat="0" applyBorder="0" applyAlignment="0" applyProtection="0"/>
    <xf numFmtId="0" fontId="1" fillId="3" borderId="0" applyNumberFormat="0" applyBorder="0" applyAlignment="0" applyProtection="0"/>
    <xf numFmtId="0" fontId="1" fillId="3" borderId="0" applyNumberFormat="0" applyBorder="0" applyAlignment="0" applyProtection="0"/>
    <xf numFmtId="0" fontId="1" fillId="3" borderId="0" applyNumberFormat="0" applyBorder="0" applyAlignment="0" applyProtection="0"/>
    <xf numFmtId="0" fontId="1" fillId="3" borderId="0" applyNumberFormat="0" applyBorder="0" applyAlignment="0" applyProtection="0"/>
    <xf numFmtId="0" fontId="1" fillId="3" borderId="0" applyNumberFormat="0" applyBorder="0" applyAlignment="0" applyProtection="0"/>
    <xf numFmtId="0" fontId="1" fillId="3" borderId="0" applyNumberFormat="0" applyBorder="0" applyAlignment="0" applyProtection="0"/>
    <xf numFmtId="0" fontId="1" fillId="3" borderId="0" applyNumberFormat="0" applyBorder="0" applyAlignment="0" applyProtection="0"/>
    <xf numFmtId="0" fontId="1" fillId="3" borderId="0" applyNumberFormat="0" applyBorder="0" applyAlignment="0" applyProtection="0"/>
    <xf numFmtId="0" fontId="1" fillId="3" borderId="0" applyNumberFormat="0" applyBorder="0" applyAlignment="0" applyProtection="0"/>
    <xf numFmtId="0" fontId="1" fillId="3" borderId="0" applyNumberFormat="0" applyBorder="0" applyAlignment="0" applyProtection="0"/>
    <xf numFmtId="0" fontId="1" fillId="3" borderId="0" applyNumberFormat="0" applyBorder="0" applyAlignment="0" applyProtection="0"/>
    <xf numFmtId="0" fontId="1" fillId="3" borderId="0" applyNumberFormat="0" applyBorder="0" applyAlignment="0" applyProtection="0"/>
    <xf numFmtId="0" fontId="1" fillId="3" borderId="0" applyNumberFormat="0" applyBorder="0" applyAlignment="0" applyProtection="0"/>
    <xf numFmtId="0" fontId="1" fillId="3" borderId="0" applyNumberFormat="0" applyBorder="0" applyAlignment="0" applyProtection="0"/>
    <xf numFmtId="0" fontId="1" fillId="3" borderId="0" applyNumberFormat="0" applyBorder="0" applyAlignment="0" applyProtection="0"/>
    <xf numFmtId="0" fontId="1" fillId="3" borderId="0" applyNumberFormat="0" applyBorder="0" applyAlignment="0" applyProtection="0"/>
    <xf numFmtId="0" fontId="1" fillId="3" borderId="0" applyNumberFormat="0" applyBorder="0" applyAlignment="0" applyProtection="0"/>
    <xf numFmtId="0" fontId="1" fillId="3" borderId="0" applyNumberFormat="0" applyBorder="0" applyAlignment="0" applyProtection="0"/>
    <xf numFmtId="0" fontId="1" fillId="3" borderId="0" applyNumberFormat="0" applyBorder="0" applyAlignment="0" applyProtection="0"/>
    <xf numFmtId="0" fontId="1" fillId="3" borderId="0" applyNumberFormat="0" applyBorder="0" applyAlignment="0" applyProtection="0"/>
    <xf numFmtId="0" fontId="1" fillId="3" borderId="0" applyNumberFormat="0" applyBorder="0" applyAlignment="0" applyProtection="0"/>
    <xf numFmtId="0" fontId="1" fillId="3" borderId="0" applyNumberFormat="0" applyBorder="0" applyAlignment="0" applyProtection="0"/>
    <xf numFmtId="0" fontId="1" fillId="3" borderId="0" applyNumberFormat="0" applyBorder="0" applyAlignment="0" applyProtection="0"/>
    <xf numFmtId="0" fontId="1" fillId="3" borderId="0" applyNumberFormat="0" applyBorder="0" applyAlignment="0" applyProtection="0"/>
    <xf numFmtId="0" fontId="1" fillId="3" borderId="0" applyNumberFormat="0" applyBorder="0" applyAlignment="0" applyProtection="0"/>
    <xf numFmtId="0" fontId="1" fillId="3" borderId="0" applyNumberFormat="0" applyBorder="0" applyAlignment="0" applyProtection="0"/>
    <xf numFmtId="0" fontId="1" fillId="3" borderId="0" applyNumberFormat="0" applyBorder="0" applyAlignment="0" applyProtection="0"/>
    <xf numFmtId="0" fontId="1" fillId="3" borderId="0" applyNumberFormat="0" applyBorder="0" applyAlignment="0" applyProtection="0"/>
    <xf numFmtId="0" fontId="1" fillId="3" borderId="0" applyNumberFormat="0" applyBorder="0" applyAlignment="0" applyProtection="0"/>
    <xf numFmtId="0" fontId="1" fillId="3" borderId="0" applyNumberFormat="0" applyBorder="0" applyAlignment="0" applyProtection="0"/>
    <xf numFmtId="0" fontId="1" fillId="3" borderId="0" applyNumberFormat="0" applyBorder="0" applyAlignment="0" applyProtection="0"/>
    <xf numFmtId="0" fontId="1" fillId="3" borderId="0" applyNumberFormat="0" applyBorder="0" applyAlignment="0" applyProtection="0"/>
    <xf numFmtId="0" fontId="1" fillId="3" borderId="0" applyNumberFormat="0" applyBorder="0" applyAlignment="0" applyProtection="0"/>
    <xf numFmtId="0" fontId="1" fillId="3" borderId="0" applyNumberFormat="0" applyBorder="0" applyAlignment="0" applyProtection="0"/>
    <xf numFmtId="0" fontId="1" fillId="3" borderId="0" applyNumberFormat="0" applyBorder="0" applyAlignment="0" applyProtection="0"/>
    <xf numFmtId="0" fontId="1" fillId="3" borderId="0" applyNumberFormat="0" applyBorder="0" applyAlignment="0" applyProtection="0"/>
    <xf numFmtId="0" fontId="1" fillId="3" borderId="0" applyNumberFormat="0" applyBorder="0" applyAlignment="0" applyProtection="0"/>
    <xf numFmtId="0" fontId="1" fillId="3" borderId="0" applyNumberFormat="0" applyBorder="0" applyAlignment="0" applyProtection="0"/>
    <xf numFmtId="0" fontId="1" fillId="3" borderId="0" applyNumberFormat="0" applyBorder="0" applyAlignment="0" applyProtection="0"/>
    <xf numFmtId="0" fontId="1" fillId="3" borderId="0" applyNumberFormat="0" applyBorder="0" applyAlignment="0" applyProtection="0"/>
    <xf numFmtId="0" fontId="1" fillId="3" borderId="0" applyNumberFormat="0" applyBorder="0" applyAlignment="0" applyProtection="0"/>
    <xf numFmtId="0" fontId="1" fillId="3" borderId="0" applyNumberFormat="0" applyBorder="0" applyAlignment="0" applyProtection="0"/>
    <xf numFmtId="0" fontId="1" fillId="3" borderId="0" applyNumberFormat="0" applyBorder="0" applyAlignment="0" applyProtection="0"/>
    <xf numFmtId="0" fontId="1" fillId="3" borderId="0" applyNumberFormat="0" applyBorder="0" applyAlignment="0" applyProtection="0"/>
    <xf numFmtId="0" fontId="1" fillId="3" borderId="0" applyNumberFormat="0" applyBorder="0" applyAlignment="0" applyProtection="0"/>
    <xf numFmtId="0" fontId="1" fillId="3" borderId="0" applyNumberFormat="0" applyBorder="0" applyAlignment="0" applyProtection="0"/>
    <xf numFmtId="0" fontId="1" fillId="3" borderId="0" applyNumberFormat="0" applyBorder="0" applyAlignment="0" applyProtection="0"/>
    <xf numFmtId="0" fontId="1" fillId="3" borderId="0" applyNumberFormat="0" applyBorder="0" applyAlignment="0" applyProtection="0"/>
    <xf numFmtId="0" fontId="1" fillId="3" borderId="0" applyNumberFormat="0" applyBorder="0" applyAlignment="0" applyProtection="0"/>
    <xf numFmtId="0" fontId="1" fillId="3" borderId="0" applyNumberFormat="0" applyBorder="0" applyAlignment="0" applyProtection="0"/>
    <xf numFmtId="0" fontId="1" fillId="3" borderId="0" applyNumberFormat="0" applyBorder="0" applyAlignment="0" applyProtection="0"/>
    <xf numFmtId="0" fontId="1" fillId="3" borderId="0" applyNumberFormat="0" applyBorder="0" applyAlignment="0" applyProtection="0"/>
    <xf numFmtId="0" fontId="1" fillId="3" borderId="0" applyNumberFormat="0" applyBorder="0" applyAlignment="0" applyProtection="0"/>
    <xf numFmtId="0" fontId="1" fillId="3" borderId="0" applyNumberFormat="0" applyBorder="0" applyAlignment="0" applyProtection="0"/>
    <xf numFmtId="0" fontId="1" fillId="3" borderId="0" applyNumberFormat="0" applyBorder="0" applyAlignment="0" applyProtection="0"/>
    <xf numFmtId="0" fontId="1" fillId="3" borderId="0" applyNumberFormat="0" applyBorder="0" applyAlignment="0" applyProtection="0"/>
    <xf numFmtId="0" fontId="1" fillId="3" borderId="0" applyNumberFormat="0" applyBorder="0" applyAlignment="0" applyProtection="0"/>
    <xf numFmtId="0" fontId="1" fillId="3" borderId="0" applyNumberFormat="0" applyBorder="0" applyAlignment="0" applyProtection="0"/>
    <xf numFmtId="0" fontId="1" fillId="3" borderId="0" applyNumberFormat="0" applyBorder="0" applyAlignment="0" applyProtection="0"/>
    <xf numFmtId="0" fontId="1" fillId="3" borderId="0" applyNumberFormat="0" applyBorder="0" applyAlignment="0" applyProtection="0"/>
    <xf numFmtId="0" fontId="1" fillId="3" borderId="0" applyNumberFormat="0" applyBorder="0" applyAlignment="0" applyProtection="0"/>
    <xf numFmtId="0" fontId="1" fillId="3" borderId="0" applyNumberFormat="0" applyBorder="0" applyAlignment="0" applyProtection="0"/>
    <xf numFmtId="0" fontId="1" fillId="3" borderId="0" applyNumberFormat="0" applyBorder="0" applyAlignment="0" applyProtection="0"/>
    <xf numFmtId="0" fontId="1" fillId="3" borderId="0" applyNumberFormat="0" applyBorder="0" applyAlignment="0" applyProtection="0"/>
    <xf numFmtId="0" fontId="1" fillId="3" borderId="0" applyNumberFormat="0" applyBorder="0" applyAlignment="0" applyProtection="0"/>
    <xf numFmtId="0" fontId="1" fillId="3" borderId="0" applyNumberFormat="0" applyBorder="0" applyAlignment="0" applyProtection="0"/>
    <xf numFmtId="0" fontId="1" fillId="3" borderId="0" applyNumberFormat="0" applyBorder="0" applyAlignment="0" applyProtection="0"/>
    <xf numFmtId="0" fontId="1" fillId="3" borderId="0" applyNumberFormat="0" applyBorder="0" applyAlignment="0" applyProtection="0"/>
    <xf numFmtId="0" fontId="1" fillId="3" borderId="0" applyNumberFormat="0" applyBorder="0" applyAlignment="0" applyProtection="0"/>
    <xf numFmtId="0" fontId="1" fillId="3" borderId="0" applyNumberFormat="0" applyBorder="0" applyAlignment="0" applyProtection="0"/>
    <xf numFmtId="0" fontId="1" fillId="3" borderId="0" applyNumberFormat="0" applyBorder="0" applyAlignment="0" applyProtection="0"/>
    <xf numFmtId="0" fontId="1" fillId="3" borderId="0" applyNumberFormat="0" applyBorder="0" applyAlignment="0" applyProtection="0"/>
    <xf numFmtId="0" fontId="1" fillId="3" borderId="0" applyNumberFormat="0" applyBorder="0" applyAlignment="0" applyProtection="0"/>
    <xf numFmtId="0" fontId="1" fillId="3" borderId="0" applyNumberFormat="0" applyBorder="0" applyAlignment="0" applyProtection="0"/>
    <xf numFmtId="0" fontId="1" fillId="3" borderId="0" applyNumberFormat="0" applyBorder="0" applyAlignment="0" applyProtection="0"/>
    <xf numFmtId="0" fontId="1" fillId="3" borderId="0" applyNumberFormat="0" applyBorder="0" applyAlignment="0" applyProtection="0"/>
    <xf numFmtId="0" fontId="1" fillId="3" borderId="0" applyNumberFormat="0" applyBorder="0" applyAlignment="0" applyProtection="0"/>
    <xf numFmtId="0" fontId="1" fillId="3" borderId="0" applyNumberFormat="0" applyBorder="0" applyAlignment="0" applyProtection="0"/>
    <xf numFmtId="0" fontId="1" fillId="3" borderId="0" applyNumberFormat="0" applyBorder="0" applyAlignment="0" applyProtection="0"/>
    <xf numFmtId="0" fontId="1" fillId="3" borderId="0" applyNumberFormat="0" applyBorder="0" applyAlignment="0" applyProtection="0"/>
    <xf numFmtId="0" fontId="1" fillId="3" borderId="0" applyNumberFormat="0" applyBorder="0" applyAlignment="0" applyProtection="0"/>
    <xf numFmtId="0" fontId="1" fillId="3" borderId="0" applyNumberFormat="0" applyBorder="0" applyAlignment="0" applyProtection="0"/>
    <xf numFmtId="0" fontId="1" fillId="3" borderId="0" applyNumberFormat="0" applyBorder="0" applyAlignment="0" applyProtection="0"/>
    <xf numFmtId="0" fontId="1" fillId="3" borderId="0" applyNumberFormat="0" applyBorder="0" applyAlignment="0" applyProtection="0"/>
    <xf numFmtId="0" fontId="1" fillId="3" borderId="0" applyNumberFormat="0" applyBorder="0" applyAlignment="0" applyProtection="0"/>
    <xf numFmtId="0" fontId="1" fillId="3" borderId="0" applyNumberFormat="0" applyBorder="0" applyAlignment="0" applyProtection="0"/>
    <xf numFmtId="0" fontId="1" fillId="3" borderId="0" applyNumberFormat="0" applyBorder="0" applyAlignment="0" applyProtection="0"/>
    <xf numFmtId="0" fontId="1" fillId="3" borderId="0" applyNumberFormat="0" applyBorder="0" applyAlignment="0" applyProtection="0"/>
    <xf numFmtId="0" fontId="1" fillId="3" borderId="0" applyNumberFormat="0" applyBorder="0" applyAlignment="0" applyProtection="0"/>
    <xf numFmtId="0" fontId="1" fillId="3" borderId="0" applyNumberFormat="0" applyBorder="0" applyAlignment="0" applyProtection="0"/>
    <xf numFmtId="0" fontId="1" fillId="3" borderId="0" applyNumberFormat="0" applyBorder="0" applyAlignment="0" applyProtection="0"/>
    <xf numFmtId="0" fontId="1" fillId="3" borderId="0" applyNumberFormat="0" applyBorder="0" applyAlignment="0" applyProtection="0"/>
    <xf numFmtId="0" fontId="1" fillId="3" borderId="0" applyNumberFormat="0" applyBorder="0" applyAlignment="0" applyProtection="0"/>
    <xf numFmtId="0" fontId="1" fillId="3" borderId="0" applyNumberFormat="0" applyBorder="0" applyAlignment="0" applyProtection="0"/>
    <xf numFmtId="0" fontId="1" fillId="3" borderId="0" applyNumberFormat="0" applyBorder="0" applyAlignment="0" applyProtection="0"/>
    <xf numFmtId="0" fontId="1" fillId="3" borderId="0" applyNumberFormat="0" applyBorder="0" applyAlignment="0" applyProtection="0"/>
    <xf numFmtId="0" fontId="1" fillId="3" borderId="0" applyNumberFormat="0" applyBorder="0" applyAlignment="0" applyProtection="0"/>
    <xf numFmtId="0" fontId="1" fillId="3" borderId="0" applyNumberFormat="0" applyBorder="0" applyAlignment="0" applyProtection="0"/>
    <xf numFmtId="0" fontId="1" fillId="3" borderId="0" applyNumberFormat="0" applyBorder="0" applyAlignment="0" applyProtection="0"/>
    <xf numFmtId="0" fontId="1" fillId="3" borderId="0" applyNumberFormat="0" applyBorder="0" applyAlignment="0" applyProtection="0"/>
    <xf numFmtId="0" fontId="1" fillId="3" borderId="0" applyNumberFormat="0" applyBorder="0" applyAlignment="0" applyProtection="0"/>
    <xf numFmtId="0" fontId="1" fillId="3" borderId="0" applyNumberFormat="0" applyBorder="0" applyAlignment="0" applyProtection="0"/>
    <xf numFmtId="0" fontId="1" fillId="3" borderId="0" applyNumberFormat="0" applyBorder="0" applyAlignment="0" applyProtection="0"/>
    <xf numFmtId="0" fontId="1" fillId="3" borderId="0" applyNumberFormat="0" applyBorder="0" applyAlignment="0" applyProtection="0"/>
    <xf numFmtId="0" fontId="1" fillId="3" borderId="0" applyNumberFormat="0" applyBorder="0" applyAlignment="0" applyProtection="0"/>
    <xf numFmtId="0" fontId="1" fillId="3" borderId="0" applyNumberFormat="0" applyBorder="0" applyAlignment="0" applyProtection="0"/>
    <xf numFmtId="0" fontId="1" fillId="3" borderId="0" applyNumberFormat="0" applyBorder="0" applyAlignment="0" applyProtection="0"/>
    <xf numFmtId="0" fontId="1" fillId="3" borderId="0" applyNumberFormat="0" applyBorder="0" applyAlignment="0" applyProtection="0"/>
    <xf numFmtId="0" fontId="1" fillId="3" borderId="0" applyNumberFormat="0" applyBorder="0" applyAlignment="0" applyProtection="0"/>
    <xf numFmtId="0" fontId="1" fillId="3" borderId="0" applyNumberFormat="0" applyBorder="0" applyAlignment="0" applyProtection="0"/>
    <xf numFmtId="0" fontId="1" fillId="3" borderId="0" applyNumberFormat="0" applyBorder="0" applyAlignment="0" applyProtection="0"/>
    <xf numFmtId="0" fontId="1" fillId="3" borderId="0" applyNumberFormat="0" applyBorder="0" applyAlignment="0" applyProtection="0"/>
    <xf numFmtId="0" fontId="1" fillId="3" borderId="0" applyNumberFormat="0" applyBorder="0" applyAlignment="0" applyProtection="0"/>
    <xf numFmtId="0" fontId="1" fillId="3" borderId="0" applyNumberFormat="0" applyBorder="0" applyAlignment="0" applyProtection="0"/>
    <xf numFmtId="0" fontId="1" fillId="3" borderId="0" applyNumberFormat="0" applyBorder="0" applyAlignment="0" applyProtection="0"/>
    <xf numFmtId="0" fontId="1" fillId="3" borderId="0" applyNumberFormat="0" applyBorder="0" applyAlignment="0" applyProtection="0"/>
    <xf numFmtId="0" fontId="1" fillId="3" borderId="0" applyNumberFormat="0" applyBorder="0" applyAlignment="0" applyProtection="0"/>
    <xf numFmtId="0" fontId="1" fillId="3" borderId="0" applyNumberFormat="0" applyBorder="0" applyAlignment="0" applyProtection="0"/>
    <xf numFmtId="0" fontId="1" fillId="3" borderId="0" applyNumberFormat="0" applyBorder="0" applyAlignment="0" applyProtection="0"/>
    <xf numFmtId="0" fontId="1" fillId="3" borderId="0" applyNumberFormat="0" applyBorder="0" applyAlignment="0" applyProtection="0"/>
    <xf numFmtId="0" fontId="1" fillId="3" borderId="0" applyNumberFormat="0" applyBorder="0" applyAlignment="0" applyProtection="0"/>
    <xf numFmtId="0" fontId="1" fillId="3" borderId="0" applyNumberFormat="0" applyBorder="0" applyAlignment="0" applyProtection="0"/>
    <xf numFmtId="0" fontId="1" fillId="3" borderId="0" applyNumberFormat="0" applyBorder="0" applyAlignment="0" applyProtection="0"/>
    <xf numFmtId="0" fontId="1" fillId="3" borderId="0" applyNumberFormat="0" applyBorder="0" applyAlignment="0" applyProtection="0"/>
    <xf numFmtId="0" fontId="1" fillId="3" borderId="0" applyNumberFormat="0" applyBorder="0" applyAlignment="0" applyProtection="0"/>
    <xf numFmtId="0" fontId="1" fillId="3" borderId="0" applyNumberFormat="0" applyBorder="0" applyAlignment="0" applyProtection="0"/>
    <xf numFmtId="0" fontId="1" fillId="3" borderId="0" applyNumberFormat="0" applyBorder="0" applyAlignment="0" applyProtection="0"/>
    <xf numFmtId="0" fontId="1" fillId="3" borderId="0" applyNumberFormat="0" applyBorder="0" applyAlignment="0" applyProtection="0"/>
    <xf numFmtId="0" fontId="1" fillId="3" borderId="0" applyNumberFormat="0" applyBorder="0" applyAlignment="0" applyProtection="0"/>
    <xf numFmtId="0" fontId="1" fillId="3" borderId="0" applyNumberFormat="0" applyBorder="0" applyAlignment="0" applyProtection="0"/>
    <xf numFmtId="0" fontId="1" fillId="3" borderId="0" applyNumberFormat="0" applyBorder="0" applyAlignment="0" applyProtection="0"/>
    <xf numFmtId="0" fontId="1" fillId="3" borderId="0" applyNumberFormat="0" applyBorder="0" applyAlignment="0" applyProtection="0"/>
    <xf numFmtId="0" fontId="1" fillId="3" borderId="0" applyNumberFormat="0" applyBorder="0" applyAlignment="0" applyProtection="0"/>
    <xf numFmtId="0" fontId="1" fillId="3" borderId="0" applyNumberFormat="0" applyBorder="0" applyAlignment="0" applyProtection="0"/>
    <xf numFmtId="0" fontId="1" fillId="3" borderId="0" applyNumberFormat="0" applyBorder="0" applyAlignment="0" applyProtection="0"/>
    <xf numFmtId="0" fontId="1" fillId="3" borderId="0" applyNumberFormat="0" applyBorder="0" applyAlignment="0" applyProtection="0"/>
    <xf numFmtId="0" fontId="1" fillId="3" borderId="0" applyNumberFormat="0" applyBorder="0" applyAlignment="0" applyProtection="0"/>
    <xf numFmtId="0" fontId="1" fillId="3" borderId="0" applyNumberFormat="0" applyBorder="0" applyAlignment="0" applyProtection="0"/>
    <xf numFmtId="0" fontId="1" fillId="3" borderId="0" applyNumberFormat="0" applyBorder="0" applyAlignment="0" applyProtection="0"/>
    <xf numFmtId="0" fontId="1" fillId="3" borderId="0" applyNumberFormat="0" applyBorder="0" applyAlignment="0" applyProtection="0"/>
    <xf numFmtId="0" fontId="1" fillId="3" borderId="0" applyNumberFormat="0" applyBorder="0" applyAlignment="0" applyProtection="0"/>
    <xf numFmtId="0" fontId="1" fillId="3" borderId="0" applyNumberFormat="0" applyBorder="0" applyAlignment="0" applyProtection="0"/>
    <xf numFmtId="0" fontId="1" fillId="3" borderId="0" applyNumberFormat="0" applyBorder="0" applyAlignment="0" applyProtection="0"/>
    <xf numFmtId="0" fontId="1" fillId="3" borderId="0" applyNumberFormat="0" applyBorder="0" applyAlignment="0" applyProtection="0"/>
    <xf numFmtId="0" fontId="1" fillId="3" borderId="0" applyNumberFormat="0" applyBorder="0" applyAlignment="0" applyProtection="0"/>
    <xf numFmtId="0" fontId="1" fillId="3" borderId="0" applyNumberFormat="0" applyBorder="0" applyAlignment="0" applyProtection="0"/>
    <xf numFmtId="0" fontId="1" fillId="3" borderId="0" applyNumberFormat="0" applyBorder="0" applyAlignment="0" applyProtection="0"/>
    <xf numFmtId="0" fontId="1" fillId="3" borderId="0" applyNumberFormat="0" applyBorder="0" applyAlignment="0" applyProtection="0"/>
    <xf numFmtId="0" fontId="1" fillId="3" borderId="0" applyNumberFormat="0" applyBorder="0" applyAlignment="0" applyProtection="0"/>
    <xf numFmtId="0" fontId="1" fillId="3" borderId="0" applyNumberFormat="0" applyBorder="0" applyAlignment="0" applyProtection="0"/>
    <xf numFmtId="0" fontId="1" fillId="3" borderId="0" applyNumberFormat="0" applyBorder="0" applyAlignment="0" applyProtection="0"/>
    <xf numFmtId="0" fontId="1" fillId="3" borderId="0" applyNumberFormat="0" applyBorder="0" applyAlignment="0" applyProtection="0"/>
    <xf numFmtId="0" fontId="1" fillId="3" borderId="0" applyNumberFormat="0" applyBorder="0" applyAlignment="0" applyProtection="0"/>
    <xf numFmtId="0" fontId="1" fillId="3" borderId="0" applyNumberFormat="0" applyBorder="0" applyAlignment="0" applyProtection="0"/>
    <xf numFmtId="0" fontId="1" fillId="3" borderId="0" applyNumberFormat="0" applyBorder="0" applyAlignment="0" applyProtection="0"/>
    <xf numFmtId="0" fontId="1" fillId="3" borderId="0" applyNumberFormat="0" applyBorder="0" applyAlignment="0" applyProtection="0"/>
    <xf numFmtId="0" fontId="1" fillId="3" borderId="0" applyNumberFormat="0" applyBorder="0" applyAlignment="0" applyProtection="0"/>
    <xf numFmtId="0" fontId="1" fillId="3" borderId="0" applyNumberFormat="0" applyBorder="0" applyAlignment="0" applyProtection="0"/>
    <xf numFmtId="0" fontId="1" fillId="3" borderId="0" applyNumberFormat="0" applyBorder="0" applyAlignment="0" applyProtection="0"/>
    <xf numFmtId="0" fontId="1" fillId="3" borderId="0" applyNumberFormat="0" applyBorder="0" applyAlignment="0" applyProtection="0"/>
    <xf numFmtId="0" fontId="1" fillId="3" borderId="0" applyNumberFormat="0" applyBorder="0" applyAlignment="0" applyProtection="0"/>
    <xf numFmtId="0" fontId="1" fillId="3" borderId="0" applyNumberFormat="0" applyBorder="0" applyAlignment="0" applyProtection="0"/>
    <xf numFmtId="0" fontId="1" fillId="3" borderId="0" applyNumberFormat="0" applyBorder="0" applyAlignment="0" applyProtection="0"/>
    <xf numFmtId="0" fontId="1" fillId="3" borderId="0" applyNumberFormat="0" applyBorder="0" applyAlignment="0" applyProtection="0"/>
    <xf numFmtId="0" fontId="1" fillId="3" borderId="0" applyNumberFormat="0" applyBorder="0" applyAlignment="0" applyProtection="0"/>
    <xf numFmtId="0" fontId="1" fillId="3" borderId="0" applyNumberFormat="0" applyBorder="0" applyAlignment="0" applyProtection="0"/>
    <xf numFmtId="0" fontId="1" fillId="3" borderId="0" applyNumberFormat="0" applyBorder="0" applyAlignment="0" applyProtection="0"/>
    <xf numFmtId="0" fontId="1" fillId="3" borderId="0" applyNumberFormat="0" applyBorder="0" applyAlignment="0" applyProtection="0"/>
    <xf numFmtId="0" fontId="1" fillId="3"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60" borderId="0" applyNumberFormat="0" applyBorder="0" applyAlignment="0" applyProtection="0"/>
    <xf numFmtId="0" fontId="1" fillId="61" borderId="0" applyNumberFormat="0" applyBorder="0" applyAlignment="0" applyProtection="0"/>
    <xf numFmtId="0" fontId="1" fillId="64" borderId="0" applyNumberFormat="0" applyBorder="0" applyAlignment="0" applyProtection="0"/>
    <xf numFmtId="0" fontId="1" fillId="65" borderId="0" applyNumberFormat="0" applyBorder="0" applyAlignment="0" applyProtection="0"/>
    <xf numFmtId="0" fontId="1" fillId="68" borderId="0" applyNumberFormat="0" applyBorder="0" applyAlignment="0" applyProtection="0"/>
    <xf numFmtId="0" fontId="1" fillId="69" borderId="0" applyNumberFormat="0" applyBorder="0" applyAlignment="0" applyProtection="0"/>
    <xf numFmtId="0" fontId="1" fillId="72" borderId="0" applyNumberFormat="0" applyBorder="0" applyAlignment="0" applyProtection="0"/>
    <xf numFmtId="0" fontId="1" fillId="73" borderId="0" applyNumberFormat="0" applyBorder="0" applyAlignment="0" applyProtection="0"/>
    <xf numFmtId="0" fontId="1" fillId="76" borderId="0" applyNumberFormat="0" applyBorder="0" applyAlignment="0" applyProtection="0"/>
    <xf numFmtId="0" fontId="1" fillId="77" borderId="0" applyNumberFormat="0" applyBorder="0" applyAlignment="0" applyProtection="0"/>
    <xf numFmtId="0" fontId="1" fillId="80" borderId="0" applyNumberFormat="0" applyBorder="0" applyAlignment="0" applyProtection="0"/>
    <xf numFmtId="0" fontId="1" fillId="81"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6" borderId="0" applyNumberFormat="0" applyBorder="0" applyAlignment="0" applyProtection="0"/>
    <xf numFmtId="0" fontId="1" fillId="76" borderId="0" applyNumberFormat="0" applyBorder="0" applyAlignment="0" applyProtection="0"/>
    <xf numFmtId="0" fontId="1" fillId="76" borderId="0" applyNumberFormat="0" applyBorder="0" applyAlignment="0" applyProtection="0"/>
    <xf numFmtId="0" fontId="1" fillId="76" borderId="0" applyNumberFormat="0" applyBorder="0" applyAlignment="0" applyProtection="0"/>
    <xf numFmtId="0" fontId="1" fillId="76" borderId="0" applyNumberFormat="0" applyBorder="0" applyAlignment="0" applyProtection="0"/>
    <xf numFmtId="0" fontId="1" fillId="76" borderId="0" applyNumberFormat="0" applyBorder="0" applyAlignment="0" applyProtection="0"/>
    <xf numFmtId="0" fontId="1" fillId="76" borderId="0" applyNumberFormat="0" applyBorder="0" applyAlignment="0" applyProtection="0"/>
    <xf numFmtId="0" fontId="1" fillId="76" borderId="0" applyNumberFormat="0" applyBorder="0" applyAlignment="0" applyProtection="0"/>
    <xf numFmtId="0" fontId="1" fillId="76" borderId="0" applyNumberFormat="0" applyBorder="0" applyAlignment="0" applyProtection="0"/>
    <xf numFmtId="0" fontId="1" fillId="76" borderId="0" applyNumberFormat="0" applyBorder="0" applyAlignment="0" applyProtection="0"/>
    <xf numFmtId="0" fontId="1" fillId="76" borderId="0" applyNumberFormat="0" applyBorder="0" applyAlignment="0" applyProtection="0"/>
    <xf numFmtId="0" fontId="1" fillId="76" borderId="0" applyNumberFormat="0" applyBorder="0" applyAlignment="0" applyProtection="0"/>
    <xf numFmtId="0" fontId="1" fillId="76" borderId="0" applyNumberFormat="0" applyBorder="0" applyAlignment="0" applyProtection="0"/>
    <xf numFmtId="0" fontId="1" fillId="76" borderId="0" applyNumberFormat="0" applyBorder="0" applyAlignment="0" applyProtection="0"/>
    <xf numFmtId="0" fontId="1" fillId="76" borderId="0" applyNumberFormat="0" applyBorder="0" applyAlignment="0" applyProtection="0"/>
    <xf numFmtId="0" fontId="1" fillId="76" borderId="0" applyNumberFormat="0" applyBorder="0" applyAlignment="0" applyProtection="0"/>
    <xf numFmtId="0" fontId="1" fillId="76" borderId="0" applyNumberFormat="0" applyBorder="0" applyAlignment="0" applyProtection="0"/>
    <xf numFmtId="0" fontId="1" fillId="76" borderId="0" applyNumberFormat="0" applyBorder="0" applyAlignment="0" applyProtection="0"/>
    <xf numFmtId="0" fontId="1" fillId="76" borderId="0" applyNumberFormat="0" applyBorder="0" applyAlignment="0" applyProtection="0"/>
    <xf numFmtId="0" fontId="1" fillId="76" borderId="0" applyNumberFormat="0" applyBorder="0" applyAlignment="0" applyProtection="0"/>
    <xf numFmtId="0" fontId="1" fillId="76" borderId="0" applyNumberFormat="0" applyBorder="0" applyAlignment="0" applyProtection="0"/>
    <xf numFmtId="0" fontId="1" fillId="76" borderId="0" applyNumberFormat="0" applyBorder="0" applyAlignment="0" applyProtection="0"/>
    <xf numFmtId="0" fontId="1" fillId="76" borderId="0" applyNumberFormat="0" applyBorder="0" applyAlignment="0" applyProtection="0"/>
    <xf numFmtId="0" fontId="1" fillId="76" borderId="0" applyNumberFormat="0" applyBorder="0" applyAlignment="0" applyProtection="0"/>
    <xf numFmtId="0" fontId="1" fillId="76" borderId="0" applyNumberFormat="0" applyBorder="0" applyAlignment="0" applyProtection="0"/>
    <xf numFmtId="0" fontId="1" fillId="76" borderId="0" applyNumberFormat="0" applyBorder="0" applyAlignment="0" applyProtection="0"/>
    <xf numFmtId="0" fontId="1" fillId="76" borderId="0" applyNumberFormat="0" applyBorder="0" applyAlignment="0" applyProtection="0"/>
    <xf numFmtId="0" fontId="1" fillId="76" borderId="0" applyNumberFormat="0" applyBorder="0" applyAlignment="0" applyProtection="0"/>
    <xf numFmtId="0" fontId="1" fillId="76" borderId="0" applyNumberFormat="0" applyBorder="0" applyAlignment="0" applyProtection="0"/>
    <xf numFmtId="0" fontId="1" fillId="76" borderId="0" applyNumberFormat="0" applyBorder="0" applyAlignment="0" applyProtection="0"/>
    <xf numFmtId="0" fontId="1" fillId="76" borderId="0" applyNumberFormat="0" applyBorder="0" applyAlignment="0" applyProtection="0"/>
    <xf numFmtId="0" fontId="1" fillId="76" borderId="0" applyNumberFormat="0" applyBorder="0" applyAlignment="0" applyProtection="0"/>
    <xf numFmtId="0" fontId="1" fillId="76" borderId="0" applyNumberFormat="0" applyBorder="0" applyAlignment="0" applyProtection="0"/>
    <xf numFmtId="0" fontId="1" fillId="76" borderId="0" applyNumberFormat="0" applyBorder="0" applyAlignment="0" applyProtection="0"/>
    <xf numFmtId="0" fontId="1" fillId="76" borderId="0" applyNumberFormat="0" applyBorder="0" applyAlignment="0" applyProtection="0"/>
    <xf numFmtId="0" fontId="1" fillId="76" borderId="0" applyNumberFormat="0" applyBorder="0" applyAlignment="0" applyProtection="0"/>
    <xf numFmtId="0" fontId="1" fillId="76" borderId="0" applyNumberFormat="0" applyBorder="0" applyAlignment="0" applyProtection="0"/>
    <xf numFmtId="0" fontId="1" fillId="76" borderId="0" applyNumberFormat="0" applyBorder="0" applyAlignment="0" applyProtection="0"/>
    <xf numFmtId="0" fontId="1" fillId="76" borderId="0" applyNumberFormat="0" applyBorder="0" applyAlignment="0" applyProtection="0"/>
    <xf numFmtId="0" fontId="1" fillId="76" borderId="0" applyNumberFormat="0" applyBorder="0" applyAlignment="0" applyProtection="0"/>
    <xf numFmtId="0" fontId="1" fillId="76" borderId="0" applyNumberFormat="0" applyBorder="0" applyAlignment="0" applyProtection="0"/>
    <xf numFmtId="0" fontId="1" fillId="76" borderId="0" applyNumberFormat="0" applyBorder="0" applyAlignment="0" applyProtection="0"/>
    <xf numFmtId="0" fontId="1" fillId="76" borderId="0" applyNumberFormat="0" applyBorder="0" applyAlignment="0" applyProtection="0"/>
    <xf numFmtId="0" fontId="1" fillId="76" borderId="0" applyNumberFormat="0" applyBorder="0" applyAlignment="0" applyProtection="0"/>
    <xf numFmtId="0" fontId="1" fillId="76" borderId="0" applyNumberFormat="0" applyBorder="0" applyAlignment="0" applyProtection="0"/>
    <xf numFmtId="0" fontId="1" fillId="76" borderId="0" applyNumberFormat="0" applyBorder="0" applyAlignment="0" applyProtection="0"/>
    <xf numFmtId="0" fontId="1" fillId="76" borderId="0" applyNumberFormat="0" applyBorder="0" applyAlignment="0" applyProtection="0"/>
    <xf numFmtId="0" fontId="1" fillId="76" borderId="0" applyNumberFormat="0" applyBorder="0" applyAlignment="0" applyProtection="0"/>
    <xf numFmtId="0" fontId="1" fillId="76" borderId="0" applyNumberFormat="0" applyBorder="0" applyAlignment="0" applyProtection="0"/>
    <xf numFmtId="0" fontId="1" fillId="76" borderId="0" applyNumberFormat="0" applyBorder="0" applyAlignment="0" applyProtection="0"/>
    <xf numFmtId="0" fontId="1" fillId="76" borderId="0" applyNumberFormat="0" applyBorder="0" applyAlignment="0" applyProtection="0"/>
    <xf numFmtId="0" fontId="1" fillId="76" borderId="0" applyNumberFormat="0" applyBorder="0" applyAlignment="0" applyProtection="0"/>
    <xf numFmtId="0" fontId="1" fillId="76" borderId="0" applyNumberFormat="0" applyBorder="0" applyAlignment="0" applyProtection="0"/>
    <xf numFmtId="0" fontId="1" fillId="7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5" borderId="0" applyNumberFormat="0" applyBorder="0" applyAlignment="0" applyProtection="0"/>
    <xf numFmtId="0" fontId="1" fillId="65" borderId="0" applyNumberFormat="0" applyBorder="0" applyAlignment="0" applyProtection="0"/>
    <xf numFmtId="0" fontId="1" fillId="65" borderId="0" applyNumberFormat="0" applyBorder="0" applyAlignment="0" applyProtection="0"/>
    <xf numFmtId="0" fontId="1" fillId="65" borderId="0" applyNumberFormat="0" applyBorder="0" applyAlignment="0" applyProtection="0"/>
    <xf numFmtId="0" fontId="1" fillId="65" borderId="0" applyNumberFormat="0" applyBorder="0" applyAlignment="0" applyProtection="0"/>
    <xf numFmtId="0" fontId="1" fillId="65" borderId="0" applyNumberFormat="0" applyBorder="0" applyAlignment="0" applyProtection="0"/>
    <xf numFmtId="0" fontId="1" fillId="65" borderId="0" applyNumberFormat="0" applyBorder="0" applyAlignment="0" applyProtection="0"/>
    <xf numFmtId="0" fontId="1" fillId="65" borderId="0" applyNumberFormat="0" applyBorder="0" applyAlignment="0" applyProtection="0"/>
    <xf numFmtId="0" fontId="1" fillId="65" borderId="0" applyNumberFormat="0" applyBorder="0" applyAlignment="0" applyProtection="0"/>
    <xf numFmtId="0" fontId="1" fillId="65" borderId="0" applyNumberFormat="0" applyBorder="0" applyAlignment="0" applyProtection="0"/>
    <xf numFmtId="0" fontId="1" fillId="65" borderId="0" applyNumberFormat="0" applyBorder="0" applyAlignment="0" applyProtection="0"/>
    <xf numFmtId="0" fontId="1" fillId="65" borderId="0" applyNumberFormat="0" applyBorder="0" applyAlignment="0" applyProtection="0"/>
    <xf numFmtId="0" fontId="1" fillId="65" borderId="0" applyNumberFormat="0" applyBorder="0" applyAlignment="0" applyProtection="0"/>
    <xf numFmtId="0" fontId="1" fillId="65" borderId="0" applyNumberFormat="0" applyBorder="0" applyAlignment="0" applyProtection="0"/>
    <xf numFmtId="0" fontId="1" fillId="65" borderId="0" applyNumberFormat="0" applyBorder="0" applyAlignment="0" applyProtection="0"/>
    <xf numFmtId="0" fontId="1" fillId="65" borderId="0" applyNumberFormat="0" applyBorder="0" applyAlignment="0" applyProtection="0"/>
    <xf numFmtId="0" fontId="1" fillId="65" borderId="0" applyNumberFormat="0" applyBorder="0" applyAlignment="0" applyProtection="0"/>
    <xf numFmtId="0" fontId="1" fillId="65" borderId="0" applyNumberFormat="0" applyBorder="0" applyAlignment="0" applyProtection="0"/>
    <xf numFmtId="0" fontId="1" fillId="65" borderId="0" applyNumberFormat="0" applyBorder="0" applyAlignment="0" applyProtection="0"/>
    <xf numFmtId="0" fontId="1" fillId="65" borderId="0" applyNumberFormat="0" applyBorder="0" applyAlignment="0" applyProtection="0"/>
    <xf numFmtId="0" fontId="1" fillId="65" borderId="0" applyNumberFormat="0" applyBorder="0" applyAlignment="0" applyProtection="0"/>
    <xf numFmtId="0" fontId="1" fillId="65" borderId="0" applyNumberFormat="0" applyBorder="0" applyAlignment="0" applyProtection="0"/>
    <xf numFmtId="0" fontId="1" fillId="65" borderId="0" applyNumberFormat="0" applyBorder="0" applyAlignment="0" applyProtection="0"/>
    <xf numFmtId="0" fontId="1" fillId="65" borderId="0" applyNumberFormat="0" applyBorder="0" applyAlignment="0" applyProtection="0"/>
    <xf numFmtId="0" fontId="1" fillId="65" borderId="0" applyNumberFormat="0" applyBorder="0" applyAlignment="0" applyProtection="0"/>
    <xf numFmtId="0" fontId="1" fillId="65" borderId="0" applyNumberFormat="0" applyBorder="0" applyAlignment="0" applyProtection="0"/>
    <xf numFmtId="0" fontId="1" fillId="65" borderId="0" applyNumberFormat="0" applyBorder="0" applyAlignment="0" applyProtection="0"/>
    <xf numFmtId="0" fontId="1" fillId="65" borderId="0" applyNumberFormat="0" applyBorder="0" applyAlignment="0" applyProtection="0"/>
    <xf numFmtId="0" fontId="1" fillId="65" borderId="0" applyNumberFormat="0" applyBorder="0" applyAlignment="0" applyProtection="0"/>
    <xf numFmtId="0" fontId="1" fillId="65" borderId="0" applyNumberFormat="0" applyBorder="0" applyAlignment="0" applyProtection="0"/>
    <xf numFmtId="0" fontId="1" fillId="65" borderId="0" applyNumberFormat="0" applyBorder="0" applyAlignment="0" applyProtection="0"/>
    <xf numFmtId="0" fontId="1" fillId="65" borderId="0" applyNumberFormat="0" applyBorder="0" applyAlignment="0" applyProtection="0"/>
    <xf numFmtId="0" fontId="1" fillId="65" borderId="0" applyNumberFormat="0" applyBorder="0" applyAlignment="0" applyProtection="0"/>
    <xf numFmtId="0" fontId="1" fillId="65" borderId="0" applyNumberFormat="0" applyBorder="0" applyAlignment="0" applyProtection="0"/>
    <xf numFmtId="0" fontId="1" fillId="65" borderId="0" applyNumberFormat="0" applyBorder="0" applyAlignment="0" applyProtection="0"/>
    <xf numFmtId="0" fontId="1" fillId="65" borderId="0" applyNumberFormat="0" applyBorder="0" applyAlignment="0" applyProtection="0"/>
    <xf numFmtId="0" fontId="1" fillId="65" borderId="0" applyNumberFormat="0" applyBorder="0" applyAlignment="0" applyProtection="0"/>
    <xf numFmtId="0" fontId="1" fillId="65" borderId="0" applyNumberFormat="0" applyBorder="0" applyAlignment="0" applyProtection="0"/>
    <xf numFmtId="0" fontId="1" fillId="65" borderId="0" applyNumberFormat="0" applyBorder="0" applyAlignment="0" applyProtection="0"/>
    <xf numFmtId="0" fontId="1" fillId="65" borderId="0" applyNumberFormat="0" applyBorder="0" applyAlignment="0" applyProtection="0"/>
    <xf numFmtId="0" fontId="1" fillId="65" borderId="0" applyNumberFormat="0" applyBorder="0" applyAlignment="0" applyProtection="0"/>
    <xf numFmtId="0" fontId="1" fillId="65" borderId="0" applyNumberFormat="0" applyBorder="0" applyAlignment="0" applyProtection="0"/>
    <xf numFmtId="0" fontId="1" fillId="65" borderId="0" applyNumberFormat="0" applyBorder="0" applyAlignment="0" applyProtection="0"/>
    <xf numFmtId="0" fontId="1" fillId="65" borderId="0" applyNumberFormat="0" applyBorder="0" applyAlignment="0" applyProtection="0"/>
    <xf numFmtId="0" fontId="1" fillId="65" borderId="0" applyNumberFormat="0" applyBorder="0" applyAlignment="0" applyProtection="0"/>
    <xf numFmtId="0" fontId="1" fillId="65" borderId="0" applyNumberFormat="0" applyBorder="0" applyAlignment="0" applyProtection="0"/>
    <xf numFmtId="0" fontId="1" fillId="65" borderId="0" applyNumberFormat="0" applyBorder="0" applyAlignment="0" applyProtection="0"/>
    <xf numFmtId="0" fontId="1" fillId="65" borderId="0" applyNumberFormat="0" applyBorder="0" applyAlignment="0" applyProtection="0"/>
    <xf numFmtId="0" fontId="1" fillId="65" borderId="0" applyNumberFormat="0" applyBorder="0" applyAlignment="0" applyProtection="0"/>
    <xf numFmtId="0" fontId="1" fillId="65" borderId="0" applyNumberFormat="0" applyBorder="0" applyAlignment="0" applyProtection="0"/>
    <xf numFmtId="0" fontId="1" fillId="65" borderId="0" applyNumberFormat="0" applyBorder="0" applyAlignment="0" applyProtection="0"/>
    <xf numFmtId="0" fontId="1" fillId="65" borderId="0" applyNumberFormat="0" applyBorder="0" applyAlignment="0" applyProtection="0"/>
    <xf numFmtId="0" fontId="1" fillId="65" borderId="0" applyNumberFormat="0" applyBorder="0" applyAlignment="0" applyProtection="0"/>
    <xf numFmtId="0" fontId="1" fillId="65"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3" borderId="0" applyNumberFormat="0" applyBorder="0" applyAlignment="0" applyProtection="0"/>
    <xf numFmtId="0" fontId="1" fillId="3" borderId="0" applyNumberFormat="0" applyBorder="0" applyAlignment="0" applyProtection="0"/>
    <xf numFmtId="0" fontId="1" fillId="3" borderId="0" applyNumberFormat="0" applyBorder="0" applyAlignment="0" applyProtection="0"/>
    <xf numFmtId="0" fontId="1" fillId="3" borderId="0" applyNumberFormat="0" applyBorder="0" applyAlignment="0" applyProtection="0"/>
    <xf numFmtId="0" fontId="1" fillId="3" borderId="0" applyNumberFormat="0" applyBorder="0" applyAlignment="0" applyProtection="0"/>
    <xf numFmtId="0" fontId="1" fillId="3" borderId="0" applyNumberFormat="0" applyBorder="0" applyAlignment="0" applyProtection="0"/>
    <xf numFmtId="0" fontId="1" fillId="3" borderId="0" applyNumberFormat="0" applyBorder="0" applyAlignment="0" applyProtection="0"/>
    <xf numFmtId="0" fontId="1" fillId="3" borderId="0" applyNumberFormat="0" applyBorder="0" applyAlignment="0" applyProtection="0"/>
    <xf numFmtId="0" fontId="1" fillId="3" borderId="0" applyNumberFormat="0" applyBorder="0" applyAlignment="0" applyProtection="0"/>
    <xf numFmtId="0" fontId="1" fillId="3" borderId="0" applyNumberFormat="0" applyBorder="0" applyAlignment="0" applyProtection="0"/>
    <xf numFmtId="0" fontId="1" fillId="3" borderId="0" applyNumberFormat="0" applyBorder="0" applyAlignment="0" applyProtection="0"/>
    <xf numFmtId="0" fontId="1" fillId="3" borderId="0" applyNumberFormat="0" applyBorder="0" applyAlignment="0" applyProtection="0"/>
    <xf numFmtId="0" fontId="1" fillId="3" borderId="0" applyNumberFormat="0" applyBorder="0" applyAlignment="0" applyProtection="0"/>
    <xf numFmtId="0" fontId="1" fillId="3" borderId="0" applyNumberFormat="0" applyBorder="0" applyAlignment="0" applyProtection="0"/>
    <xf numFmtId="0" fontId="1" fillId="3" borderId="0" applyNumberFormat="0" applyBorder="0" applyAlignment="0" applyProtection="0"/>
    <xf numFmtId="0" fontId="1" fillId="3" borderId="0" applyNumberFormat="0" applyBorder="0" applyAlignment="0" applyProtection="0"/>
    <xf numFmtId="0" fontId="1" fillId="3" borderId="0" applyNumberFormat="0" applyBorder="0" applyAlignment="0" applyProtection="0"/>
    <xf numFmtId="0" fontId="1" fillId="3" borderId="0" applyNumberFormat="0" applyBorder="0" applyAlignment="0" applyProtection="0"/>
    <xf numFmtId="0" fontId="1" fillId="3" borderId="0" applyNumberFormat="0" applyBorder="0" applyAlignment="0" applyProtection="0"/>
    <xf numFmtId="0" fontId="1" fillId="3" borderId="0" applyNumberFormat="0" applyBorder="0" applyAlignment="0" applyProtection="0"/>
    <xf numFmtId="0" fontId="1" fillId="3" borderId="0" applyNumberFormat="0" applyBorder="0" applyAlignment="0" applyProtection="0"/>
    <xf numFmtId="0" fontId="1" fillId="3" borderId="0" applyNumberFormat="0" applyBorder="0" applyAlignment="0" applyProtection="0"/>
    <xf numFmtId="0" fontId="1" fillId="3" borderId="0" applyNumberFormat="0" applyBorder="0" applyAlignment="0" applyProtection="0"/>
    <xf numFmtId="0" fontId="1" fillId="3" borderId="0" applyNumberFormat="0" applyBorder="0" applyAlignment="0" applyProtection="0"/>
    <xf numFmtId="0" fontId="1" fillId="3" borderId="0" applyNumberFormat="0" applyBorder="0" applyAlignment="0" applyProtection="0"/>
    <xf numFmtId="0" fontId="1" fillId="3" borderId="0" applyNumberFormat="0" applyBorder="0" applyAlignment="0" applyProtection="0"/>
    <xf numFmtId="0" fontId="1" fillId="3" borderId="0" applyNumberFormat="0" applyBorder="0" applyAlignment="0" applyProtection="0"/>
    <xf numFmtId="0" fontId="1" fillId="3" borderId="0" applyNumberFormat="0" applyBorder="0" applyAlignment="0" applyProtection="0"/>
    <xf numFmtId="0" fontId="1" fillId="3" borderId="0" applyNumberFormat="0" applyBorder="0" applyAlignment="0" applyProtection="0"/>
    <xf numFmtId="0" fontId="1" fillId="3" borderId="0" applyNumberFormat="0" applyBorder="0" applyAlignment="0" applyProtection="0"/>
    <xf numFmtId="0" fontId="1" fillId="3" borderId="0" applyNumberFormat="0" applyBorder="0" applyAlignment="0" applyProtection="0"/>
    <xf numFmtId="0" fontId="1" fillId="3" borderId="0" applyNumberFormat="0" applyBorder="0" applyAlignment="0" applyProtection="0"/>
    <xf numFmtId="0" fontId="1" fillId="3" borderId="0" applyNumberFormat="0" applyBorder="0" applyAlignment="0" applyProtection="0"/>
    <xf numFmtId="0" fontId="1" fillId="3" borderId="0" applyNumberFormat="0" applyBorder="0" applyAlignment="0" applyProtection="0"/>
    <xf numFmtId="0" fontId="1" fillId="3" borderId="0" applyNumberFormat="0" applyBorder="0" applyAlignment="0" applyProtection="0"/>
    <xf numFmtId="0" fontId="1" fillId="3" borderId="0" applyNumberFormat="0" applyBorder="0" applyAlignment="0" applyProtection="0"/>
    <xf numFmtId="0" fontId="1" fillId="3" borderId="0" applyNumberFormat="0" applyBorder="0" applyAlignment="0" applyProtection="0"/>
    <xf numFmtId="0" fontId="1" fillId="3" borderId="0" applyNumberFormat="0" applyBorder="0" applyAlignment="0" applyProtection="0"/>
    <xf numFmtId="0" fontId="1" fillId="3" borderId="0" applyNumberFormat="0" applyBorder="0" applyAlignment="0" applyProtection="0"/>
    <xf numFmtId="0" fontId="1" fillId="3" borderId="0" applyNumberFormat="0" applyBorder="0" applyAlignment="0" applyProtection="0"/>
    <xf numFmtId="0" fontId="1" fillId="3" borderId="0" applyNumberFormat="0" applyBorder="0" applyAlignment="0" applyProtection="0"/>
    <xf numFmtId="0" fontId="1" fillId="3" borderId="0" applyNumberFormat="0" applyBorder="0" applyAlignment="0" applyProtection="0"/>
    <xf numFmtId="0" fontId="1" fillId="3" borderId="0" applyNumberFormat="0" applyBorder="0" applyAlignment="0" applyProtection="0"/>
    <xf numFmtId="0" fontId="1" fillId="3" borderId="0" applyNumberFormat="0" applyBorder="0" applyAlignment="0" applyProtection="0"/>
    <xf numFmtId="0" fontId="1" fillId="3" borderId="0" applyNumberFormat="0" applyBorder="0" applyAlignment="0" applyProtection="0"/>
    <xf numFmtId="0" fontId="1" fillId="3" borderId="0" applyNumberFormat="0" applyBorder="0" applyAlignment="0" applyProtection="0"/>
    <xf numFmtId="0" fontId="1" fillId="3" borderId="0" applyNumberFormat="0" applyBorder="0" applyAlignment="0" applyProtection="0"/>
    <xf numFmtId="0" fontId="1" fillId="3" borderId="0" applyNumberFormat="0" applyBorder="0" applyAlignment="0" applyProtection="0"/>
    <xf numFmtId="0" fontId="1" fillId="3" borderId="0" applyNumberFormat="0" applyBorder="0" applyAlignment="0" applyProtection="0"/>
    <xf numFmtId="0" fontId="1" fillId="3" borderId="0" applyNumberFormat="0" applyBorder="0" applyAlignment="0" applyProtection="0"/>
    <xf numFmtId="0" fontId="1" fillId="3" borderId="0" applyNumberFormat="0" applyBorder="0" applyAlignment="0" applyProtection="0"/>
    <xf numFmtId="0" fontId="1" fillId="3" borderId="0" applyNumberFormat="0" applyBorder="0" applyAlignment="0" applyProtection="0"/>
    <xf numFmtId="0" fontId="1" fillId="3" borderId="0" applyNumberFormat="0" applyBorder="0" applyAlignment="0" applyProtection="0"/>
    <xf numFmtId="0" fontId="1" fillId="3" borderId="0" applyNumberFormat="0" applyBorder="0" applyAlignment="0" applyProtection="0"/>
    <xf numFmtId="0" fontId="1" fillId="3" borderId="0" applyNumberFormat="0" applyBorder="0" applyAlignment="0" applyProtection="0"/>
    <xf numFmtId="0" fontId="1" fillId="3" borderId="0" applyNumberFormat="0" applyBorder="0" applyAlignment="0" applyProtection="0"/>
    <xf numFmtId="0" fontId="1" fillId="3"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58" borderId="104" applyNumberFormat="0" applyFont="0" applyAlignment="0" applyProtection="0"/>
    <xf numFmtId="0" fontId="1" fillId="58" borderId="104" applyNumberFormat="0" applyFont="0" applyAlignment="0" applyProtection="0"/>
    <xf numFmtId="0" fontId="1" fillId="60" borderId="0" applyNumberFormat="0" applyBorder="0" applyAlignment="0" applyProtection="0"/>
    <xf numFmtId="0" fontId="1" fillId="61" borderId="0" applyNumberFormat="0" applyBorder="0" applyAlignment="0" applyProtection="0"/>
    <xf numFmtId="0" fontId="1" fillId="64" borderId="0" applyNumberFormat="0" applyBorder="0" applyAlignment="0" applyProtection="0"/>
    <xf numFmtId="0" fontId="1" fillId="68" borderId="0" applyNumberFormat="0" applyBorder="0" applyAlignment="0" applyProtection="0"/>
    <xf numFmtId="0" fontId="1" fillId="69" borderId="0" applyNumberFormat="0" applyBorder="0" applyAlignment="0" applyProtection="0"/>
    <xf numFmtId="0" fontId="1" fillId="72" borderId="0" applyNumberFormat="0" applyBorder="0" applyAlignment="0" applyProtection="0"/>
    <xf numFmtId="0" fontId="1" fillId="73" borderId="0" applyNumberFormat="0" applyBorder="0" applyAlignment="0" applyProtection="0"/>
    <xf numFmtId="0" fontId="1" fillId="77" borderId="0" applyNumberFormat="0" applyBorder="0" applyAlignment="0" applyProtection="0"/>
    <xf numFmtId="0" fontId="1" fillId="80" borderId="0" applyNumberFormat="0" applyBorder="0" applyAlignment="0" applyProtection="0"/>
    <xf numFmtId="0" fontId="1" fillId="81" borderId="0" applyNumberFormat="0" applyBorder="0" applyAlignment="0" applyProtection="0"/>
    <xf numFmtId="0" fontId="1" fillId="60" borderId="0" applyNumberFormat="0" applyBorder="0" applyAlignment="0" applyProtection="0"/>
    <xf numFmtId="0" fontId="1" fillId="61" borderId="0" applyNumberFormat="0" applyBorder="0" applyAlignment="0" applyProtection="0"/>
    <xf numFmtId="0" fontId="1" fillId="64" borderId="0" applyNumberFormat="0" applyBorder="0" applyAlignment="0" applyProtection="0"/>
    <xf numFmtId="0" fontId="1" fillId="68" borderId="0" applyNumberFormat="0" applyBorder="0" applyAlignment="0" applyProtection="0"/>
    <xf numFmtId="0" fontId="1" fillId="69" borderId="0" applyNumberFormat="0" applyBorder="0" applyAlignment="0" applyProtection="0"/>
    <xf numFmtId="0" fontId="1" fillId="72" borderId="0" applyNumberFormat="0" applyBorder="0" applyAlignment="0" applyProtection="0"/>
    <xf numFmtId="0" fontId="1" fillId="73" borderId="0" applyNumberFormat="0" applyBorder="0" applyAlignment="0" applyProtection="0"/>
    <xf numFmtId="0" fontId="1" fillId="77" borderId="0" applyNumberFormat="0" applyBorder="0" applyAlignment="0" applyProtection="0"/>
    <xf numFmtId="0" fontId="1" fillId="80" borderId="0" applyNumberFormat="0" applyBorder="0" applyAlignment="0" applyProtection="0"/>
    <xf numFmtId="0" fontId="1" fillId="81" borderId="0" applyNumberFormat="0" applyBorder="0" applyAlignment="0" applyProtection="0"/>
    <xf numFmtId="0" fontId="1" fillId="58" borderId="104" applyNumberFormat="0" applyFont="0" applyAlignment="0" applyProtection="0"/>
    <xf numFmtId="0" fontId="1" fillId="60" borderId="0" applyNumberFormat="0" applyBorder="0" applyAlignment="0" applyProtection="0"/>
    <xf numFmtId="0" fontId="1" fillId="61" borderId="0" applyNumberFormat="0" applyBorder="0" applyAlignment="0" applyProtection="0"/>
    <xf numFmtId="0" fontId="1" fillId="64" borderId="0" applyNumberFormat="0" applyBorder="0" applyAlignment="0" applyProtection="0"/>
    <xf numFmtId="0" fontId="1" fillId="68" borderId="0" applyNumberFormat="0" applyBorder="0" applyAlignment="0" applyProtection="0"/>
    <xf numFmtId="0" fontId="1" fillId="69" borderId="0" applyNumberFormat="0" applyBorder="0" applyAlignment="0" applyProtection="0"/>
    <xf numFmtId="0" fontId="1" fillId="72" borderId="0" applyNumberFormat="0" applyBorder="0" applyAlignment="0" applyProtection="0"/>
    <xf numFmtId="0" fontId="1" fillId="73" borderId="0" applyNumberFormat="0" applyBorder="0" applyAlignment="0" applyProtection="0"/>
    <xf numFmtId="0" fontId="1" fillId="77" borderId="0" applyNumberFormat="0" applyBorder="0" applyAlignment="0" applyProtection="0"/>
    <xf numFmtId="0" fontId="1" fillId="80" borderId="0" applyNumberFormat="0" applyBorder="0" applyAlignment="0" applyProtection="0"/>
    <xf numFmtId="0" fontId="1" fillId="81" borderId="0" applyNumberFormat="0" applyBorder="0" applyAlignment="0" applyProtection="0"/>
    <xf numFmtId="0" fontId="1" fillId="58" borderId="104" applyNumberFormat="0" applyFont="0" applyAlignment="0" applyProtection="0"/>
    <xf numFmtId="0" fontId="1" fillId="58" borderId="104" applyNumberFormat="0" applyFont="0" applyAlignment="0" applyProtection="0"/>
    <xf numFmtId="0" fontId="1" fillId="60" borderId="0" applyNumberFormat="0" applyBorder="0" applyAlignment="0" applyProtection="0"/>
    <xf numFmtId="0" fontId="1" fillId="61" borderId="0" applyNumberFormat="0" applyBorder="0" applyAlignment="0" applyProtection="0"/>
    <xf numFmtId="0" fontId="1" fillId="64" borderId="0" applyNumberFormat="0" applyBorder="0" applyAlignment="0" applyProtection="0"/>
    <xf numFmtId="0" fontId="1" fillId="68" borderId="0" applyNumberFormat="0" applyBorder="0" applyAlignment="0" applyProtection="0"/>
    <xf numFmtId="0" fontId="1" fillId="69" borderId="0" applyNumberFormat="0" applyBorder="0" applyAlignment="0" applyProtection="0"/>
    <xf numFmtId="0" fontId="1" fillId="72" borderId="0" applyNumberFormat="0" applyBorder="0" applyAlignment="0" applyProtection="0"/>
    <xf numFmtId="0" fontId="1" fillId="73" borderId="0" applyNumberFormat="0" applyBorder="0" applyAlignment="0" applyProtection="0"/>
    <xf numFmtId="0" fontId="1" fillId="77" borderId="0" applyNumberFormat="0" applyBorder="0" applyAlignment="0" applyProtection="0"/>
    <xf numFmtId="0" fontId="1" fillId="80" borderId="0" applyNumberFormat="0" applyBorder="0" applyAlignment="0" applyProtection="0"/>
    <xf numFmtId="0" fontId="1" fillId="81" borderId="0" applyNumberFormat="0" applyBorder="0" applyAlignment="0" applyProtection="0"/>
    <xf numFmtId="0" fontId="1" fillId="60" borderId="0" applyNumberFormat="0" applyBorder="0" applyAlignment="0" applyProtection="0"/>
    <xf numFmtId="0" fontId="1" fillId="61" borderId="0" applyNumberFormat="0" applyBorder="0" applyAlignment="0" applyProtection="0"/>
    <xf numFmtId="0" fontId="1" fillId="64" borderId="0" applyNumberFormat="0" applyBorder="0" applyAlignment="0" applyProtection="0"/>
    <xf numFmtId="0" fontId="1" fillId="68" borderId="0" applyNumberFormat="0" applyBorder="0" applyAlignment="0" applyProtection="0"/>
    <xf numFmtId="0" fontId="1" fillId="69" borderId="0" applyNumberFormat="0" applyBorder="0" applyAlignment="0" applyProtection="0"/>
    <xf numFmtId="0" fontId="1" fillId="72" borderId="0" applyNumberFormat="0" applyBorder="0" applyAlignment="0" applyProtection="0"/>
    <xf numFmtId="0" fontId="1" fillId="73" borderId="0" applyNumberFormat="0" applyBorder="0" applyAlignment="0" applyProtection="0"/>
    <xf numFmtId="0" fontId="1" fillId="77" borderId="0" applyNumberFormat="0" applyBorder="0" applyAlignment="0" applyProtection="0"/>
    <xf numFmtId="0" fontId="1" fillId="80" borderId="0" applyNumberFormat="0" applyBorder="0" applyAlignment="0" applyProtection="0"/>
    <xf numFmtId="0" fontId="1" fillId="81" borderId="0" applyNumberFormat="0" applyBorder="0" applyAlignment="0" applyProtection="0"/>
    <xf numFmtId="0" fontId="1" fillId="58" borderId="104" applyNumberFormat="0" applyFont="0" applyAlignment="0" applyProtection="0"/>
    <xf numFmtId="0" fontId="1" fillId="60" borderId="0" applyNumberFormat="0" applyBorder="0" applyAlignment="0" applyProtection="0"/>
    <xf numFmtId="0" fontId="1" fillId="61" borderId="0" applyNumberFormat="0" applyBorder="0" applyAlignment="0" applyProtection="0"/>
    <xf numFmtId="0" fontId="1" fillId="64" borderId="0" applyNumberFormat="0" applyBorder="0" applyAlignment="0" applyProtection="0"/>
    <xf numFmtId="0" fontId="1" fillId="68" borderId="0" applyNumberFormat="0" applyBorder="0" applyAlignment="0" applyProtection="0"/>
    <xf numFmtId="0" fontId="1" fillId="69" borderId="0" applyNumberFormat="0" applyBorder="0" applyAlignment="0" applyProtection="0"/>
    <xf numFmtId="0" fontId="1" fillId="72" borderId="0" applyNumberFormat="0" applyBorder="0" applyAlignment="0" applyProtection="0"/>
    <xf numFmtId="0" fontId="1" fillId="73" borderId="0" applyNumberFormat="0" applyBorder="0" applyAlignment="0" applyProtection="0"/>
    <xf numFmtId="0" fontId="1" fillId="77" borderId="0" applyNumberFormat="0" applyBorder="0" applyAlignment="0" applyProtection="0"/>
    <xf numFmtId="0" fontId="1" fillId="80" borderId="0" applyNumberFormat="0" applyBorder="0" applyAlignment="0" applyProtection="0"/>
    <xf numFmtId="0" fontId="1" fillId="81" borderId="0" applyNumberFormat="0" applyBorder="0" applyAlignment="0" applyProtection="0"/>
    <xf numFmtId="0" fontId="1" fillId="58" borderId="104" applyNumberFormat="0" applyFont="0" applyAlignment="0" applyProtection="0"/>
    <xf numFmtId="0" fontId="1" fillId="58" borderId="104" applyNumberFormat="0" applyFont="0" applyAlignment="0" applyProtection="0"/>
    <xf numFmtId="0" fontId="1" fillId="60" borderId="0" applyNumberFormat="0" applyBorder="0" applyAlignment="0" applyProtection="0"/>
    <xf numFmtId="0" fontId="1" fillId="61" borderId="0" applyNumberFormat="0" applyBorder="0" applyAlignment="0" applyProtection="0"/>
    <xf numFmtId="0" fontId="1" fillId="64" borderId="0" applyNumberFormat="0" applyBorder="0" applyAlignment="0" applyProtection="0"/>
    <xf numFmtId="0" fontId="1" fillId="68" borderId="0" applyNumberFormat="0" applyBorder="0" applyAlignment="0" applyProtection="0"/>
    <xf numFmtId="0" fontId="1" fillId="69" borderId="0" applyNumberFormat="0" applyBorder="0" applyAlignment="0" applyProtection="0"/>
    <xf numFmtId="0" fontId="1" fillId="72" borderId="0" applyNumberFormat="0" applyBorder="0" applyAlignment="0" applyProtection="0"/>
    <xf numFmtId="0" fontId="1" fillId="73" borderId="0" applyNumberFormat="0" applyBorder="0" applyAlignment="0" applyProtection="0"/>
    <xf numFmtId="0" fontId="1" fillId="77" borderId="0" applyNumberFormat="0" applyBorder="0" applyAlignment="0" applyProtection="0"/>
    <xf numFmtId="0" fontId="1" fillId="80" borderId="0" applyNumberFormat="0" applyBorder="0" applyAlignment="0" applyProtection="0"/>
    <xf numFmtId="0" fontId="1" fillId="81" borderId="0" applyNumberFormat="0" applyBorder="0" applyAlignment="0" applyProtection="0"/>
    <xf numFmtId="0" fontId="1" fillId="60" borderId="0" applyNumberFormat="0" applyBorder="0" applyAlignment="0" applyProtection="0"/>
    <xf numFmtId="0" fontId="1" fillId="61" borderId="0" applyNumberFormat="0" applyBorder="0" applyAlignment="0" applyProtection="0"/>
    <xf numFmtId="0" fontId="1" fillId="64" borderId="0" applyNumberFormat="0" applyBorder="0" applyAlignment="0" applyProtection="0"/>
    <xf numFmtId="0" fontId="1" fillId="68" borderId="0" applyNumberFormat="0" applyBorder="0" applyAlignment="0" applyProtection="0"/>
    <xf numFmtId="0" fontId="1" fillId="69" borderId="0" applyNumberFormat="0" applyBorder="0" applyAlignment="0" applyProtection="0"/>
    <xf numFmtId="0" fontId="1" fillId="72" borderId="0" applyNumberFormat="0" applyBorder="0" applyAlignment="0" applyProtection="0"/>
    <xf numFmtId="0" fontId="1" fillId="73" borderId="0" applyNumberFormat="0" applyBorder="0" applyAlignment="0" applyProtection="0"/>
    <xf numFmtId="0" fontId="1" fillId="77" borderId="0" applyNumberFormat="0" applyBorder="0" applyAlignment="0" applyProtection="0"/>
    <xf numFmtId="0" fontId="1" fillId="80" borderId="0" applyNumberFormat="0" applyBorder="0" applyAlignment="0" applyProtection="0"/>
    <xf numFmtId="0" fontId="1" fillId="81" borderId="0" applyNumberFormat="0" applyBorder="0" applyAlignment="0" applyProtection="0"/>
    <xf numFmtId="0" fontId="1" fillId="58" borderId="104" applyNumberFormat="0" applyFont="0" applyAlignment="0" applyProtection="0"/>
    <xf numFmtId="0" fontId="1" fillId="60" borderId="0" applyNumberFormat="0" applyBorder="0" applyAlignment="0" applyProtection="0"/>
    <xf numFmtId="0" fontId="1" fillId="61" borderId="0" applyNumberFormat="0" applyBorder="0" applyAlignment="0" applyProtection="0"/>
    <xf numFmtId="0" fontId="1" fillId="64" borderId="0" applyNumberFormat="0" applyBorder="0" applyAlignment="0" applyProtection="0"/>
    <xf numFmtId="0" fontId="1" fillId="68" borderId="0" applyNumberFormat="0" applyBorder="0" applyAlignment="0" applyProtection="0"/>
    <xf numFmtId="0" fontId="1" fillId="69" borderId="0" applyNumberFormat="0" applyBorder="0" applyAlignment="0" applyProtection="0"/>
    <xf numFmtId="0" fontId="1" fillId="72" borderId="0" applyNumberFormat="0" applyBorder="0" applyAlignment="0" applyProtection="0"/>
    <xf numFmtId="0" fontId="1" fillId="73" borderId="0" applyNumberFormat="0" applyBorder="0" applyAlignment="0" applyProtection="0"/>
    <xf numFmtId="0" fontId="1" fillId="77" borderId="0" applyNumberFormat="0" applyBorder="0" applyAlignment="0" applyProtection="0"/>
    <xf numFmtId="0" fontId="1" fillId="80" borderId="0" applyNumberFormat="0" applyBorder="0" applyAlignment="0" applyProtection="0"/>
    <xf numFmtId="0" fontId="1" fillId="81" borderId="0" applyNumberFormat="0" applyBorder="0" applyAlignment="0" applyProtection="0"/>
    <xf numFmtId="0" fontId="1" fillId="58" borderId="104" applyNumberFormat="0" applyFont="0" applyAlignment="0" applyProtection="0"/>
    <xf numFmtId="0" fontId="1" fillId="58" borderId="104" applyNumberFormat="0" applyFont="0" applyAlignment="0" applyProtection="0"/>
    <xf numFmtId="0" fontId="1" fillId="60" borderId="0" applyNumberFormat="0" applyBorder="0" applyAlignment="0" applyProtection="0"/>
    <xf numFmtId="0" fontId="1" fillId="61" borderId="0" applyNumberFormat="0" applyBorder="0" applyAlignment="0" applyProtection="0"/>
    <xf numFmtId="0" fontId="1" fillId="64" borderId="0" applyNumberFormat="0" applyBorder="0" applyAlignment="0" applyProtection="0"/>
    <xf numFmtId="0" fontId="1" fillId="68" borderId="0" applyNumberFormat="0" applyBorder="0" applyAlignment="0" applyProtection="0"/>
    <xf numFmtId="0" fontId="1" fillId="69" borderId="0" applyNumberFormat="0" applyBorder="0" applyAlignment="0" applyProtection="0"/>
    <xf numFmtId="0" fontId="1" fillId="72" borderId="0" applyNumberFormat="0" applyBorder="0" applyAlignment="0" applyProtection="0"/>
    <xf numFmtId="0" fontId="1" fillId="73" borderId="0" applyNumberFormat="0" applyBorder="0" applyAlignment="0" applyProtection="0"/>
    <xf numFmtId="0" fontId="1" fillId="77" borderId="0" applyNumberFormat="0" applyBorder="0" applyAlignment="0" applyProtection="0"/>
    <xf numFmtId="0" fontId="1" fillId="80" borderId="0" applyNumberFormat="0" applyBorder="0" applyAlignment="0" applyProtection="0"/>
    <xf numFmtId="0" fontId="1" fillId="81" borderId="0" applyNumberFormat="0" applyBorder="0" applyAlignment="0" applyProtection="0"/>
    <xf numFmtId="0" fontId="1" fillId="60" borderId="0" applyNumberFormat="0" applyBorder="0" applyAlignment="0" applyProtection="0"/>
    <xf numFmtId="0" fontId="1" fillId="61" borderId="0" applyNumberFormat="0" applyBorder="0" applyAlignment="0" applyProtection="0"/>
    <xf numFmtId="0" fontId="1" fillId="64" borderId="0" applyNumberFormat="0" applyBorder="0" applyAlignment="0" applyProtection="0"/>
    <xf numFmtId="0" fontId="1" fillId="68" borderId="0" applyNumberFormat="0" applyBorder="0" applyAlignment="0" applyProtection="0"/>
    <xf numFmtId="0" fontId="1" fillId="69" borderId="0" applyNumberFormat="0" applyBorder="0" applyAlignment="0" applyProtection="0"/>
    <xf numFmtId="0" fontId="1" fillId="72" borderId="0" applyNumberFormat="0" applyBorder="0" applyAlignment="0" applyProtection="0"/>
    <xf numFmtId="0" fontId="1" fillId="73" borderId="0" applyNumberFormat="0" applyBorder="0" applyAlignment="0" applyProtection="0"/>
    <xf numFmtId="0" fontId="1" fillId="77" borderId="0" applyNumberFormat="0" applyBorder="0" applyAlignment="0" applyProtection="0"/>
    <xf numFmtId="0" fontId="1" fillId="80" borderId="0" applyNumberFormat="0" applyBorder="0" applyAlignment="0" applyProtection="0"/>
    <xf numFmtId="0" fontId="1" fillId="81" borderId="0" applyNumberFormat="0" applyBorder="0" applyAlignment="0" applyProtection="0"/>
    <xf numFmtId="0" fontId="1" fillId="58" borderId="104" applyNumberFormat="0" applyFont="0" applyAlignment="0" applyProtection="0"/>
    <xf numFmtId="0" fontId="1" fillId="60" borderId="0" applyNumberFormat="0" applyBorder="0" applyAlignment="0" applyProtection="0"/>
    <xf numFmtId="0" fontId="1" fillId="61" borderId="0" applyNumberFormat="0" applyBorder="0" applyAlignment="0" applyProtection="0"/>
    <xf numFmtId="0" fontId="1" fillId="64" borderId="0" applyNumberFormat="0" applyBorder="0" applyAlignment="0" applyProtection="0"/>
    <xf numFmtId="0" fontId="1" fillId="68" borderId="0" applyNumberFormat="0" applyBorder="0" applyAlignment="0" applyProtection="0"/>
    <xf numFmtId="0" fontId="1" fillId="69" borderId="0" applyNumberFormat="0" applyBorder="0" applyAlignment="0" applyProtection="0"/>
    <xf numFmtId="0" fontId="1" fillId="72" borderId="0" applyNumberFormat="0" applyBorder="0" applyAlignment="0" applyProtection="0"/>
    <xf numFmtId="0" fontId="1" fillId="73" borderId="0" applyNumberFormat="0" applyBorder="0" applyAlignment="0" applyProtection="0"/>
    <xf numFmtId="0" fontId="1" fillId="77" borderId="0" applyNumberFormat="0" applyBorder="0" applyAlignment="0" applyProtection="0"/>
    <xf numFmtId="0" fontId="1" fillId="80" borderId="0" applyNumberFormat="0" applyBorder="0" applyAlignment="0" applyProtection="0"/>
    <xf numFmtId="0" fontId="1" fillId="81" borderId="0" applyNumberFormat="0" applyBorder="0" applyAlignment="0" applyProtection="0"/>
    <xf numFmtId="0" fontId="1" fillId="58" borderId="104" applyNumberFormat="0" applyFont="0" applyAlignment="0" applyProtection="0"/>
    <xf numFmtId="0" fontId="1" fillId="58" borderId="104" applyNumberFormat="0" applyFont="0" applyAlignment="0" applyProtection="0"/>
    <xf numFmtId="0" fontId="1" fillId="60" borderId="0" applyNumberFormat="0" applyBorder="0" applyAlignment="0" applyProtection="0"/>
    <xf numFmtId="0" fontId="1" fillId="61" borderId="0" applyNumberFormat="0" applyBorder="0" applyAlignment="0" applyProtection="0"/>
    <xf numFmtId="0" fontId="1" fillId="64" borderId="0" applyNumberFormat="0" applyBorder="0" applyAlignment="0" applyProtection="0"/>
    <xf numFmtId="0" fontId="1" fillId="68" borderId="0" applyNumberFormat="0" applyBorder="0" applyAlignment="0" applyProtection="0"/>
    <xf numFmtId="0" fontId="1" fillId="69" borderId="0" applyNumberFormat="0" applyBorder="0" applyAlignment="0" applyProtection="0"/>
    <xf numFmtId="0" fontId="1" fillId="72" borderId="0" applyNumberFormat="0" applyBorder="0" applyAlignment="0" applyProtection="0"/>
    <xf numFmtId="0" fontId="1" fillId="73" borderId="0" applyNumberFormat="0" applyBorder="0" applyAlignment="0" applyProtection="0"/>
    <xf numFmtId="0" fontId="1" fillId="77" borderId="0" applyNumberFormat="0" applyBorder="0" applyAlignment="0" applyProtection="0"/>
    <xf numFmtId="0" fontId="1" fillId="80" borderId="0" applyNumberFormat="0" applyBorder="0" applyAlignment="0" applyProtection="0"/>
    <xf numFmtId="0" fontId="1" fillId="81" borderId="0" applyNumberFormat="0" applyBorder="0" applyAlignment="0" applyProtection="0"/>
    <xf numFmtId="0" fontId="1" fillId="60" borderId="0" applyNumberFormat="0" applyBorder="0" applyAlignment="0" applyProtection="0"/>
    <xf numFmtId="0" fontId="1" fillId="61" borderId="0" applyNumberFormat="0" applyBorder="0" applyAlignment="0" applyProtection="0"/>
    <xf numFmtId="0" fontId="1" fillId="64" borderId="0" applyNumberFormat="0" applyBorder="0" applyAlignment="0" applyProtection="0"/>
    <xf numFmtId="0" fontId="1" fillId="68" borderId="0" applyNumberFormat="0" applyBorder="0" applyAlignment="0" applyProtection="0"/>
    <xf numFmtId="0" fontId="1" fillId="69" borderId="0" applyNumberFormat="0" applyBorder="0" applyAlignment="0" applyProtection="0"/>
    <xf numFmtId="0" fontId="1" fillId="72" borderId="0" applyNumberFormat="0" applyBorder="0" applyAlignment="0" applyProtection="0"/>
    <xf numFmtId="0" fontId="1" fillId="73" borderId="0" applyNumberFormat="0" applyBorder="0" applyAlignment="0" applyProtection="0"/>
    <xf numFmtId="0" fontId="1" fillId="77" borderId="0" applyNumberFormat="0" applyBorder="0" applyAlignment="0" applyProtection="0"/>
    <xf numFmtId="0" fontId="1" fillId="80" borderId="0" applyNumberFormat="0" applyBorder="0" applyAlignment="0" applyProtection="0"/>
    <xf numFmtId="0" fontId="1" fillId="81" borderId="0" applyNumberFormat="0" applyBorder="0" applyAlignment="0" applyProtection="0"/>
    <xf numFmtId="0" fontId="1" fillId="58" borderId="104" applyNumberFormat="0" applyFont="0" applyAlignment="0" applyProtection="0"/>
    <xf numFmtId="0" fontId="1" fillId="60" borderId="0" applyNumberFormat="0" applyBorder="0" applyAlignment="0" applyProtection="0"/>
    <xf numFmtId="0" fontId="1" fillId="61" borderId="0" applyNumberFormat="0" applyBorder="0" applyAlignment="0" applyProtection="0"/>
    <xf numFmtId="0" fontId="1" fillId="64" borderId="0" applyNumberFormat="0" applyBorder="0" applyAlignment="0" applyProtection="0"/>
    <xf numFmtId="0" fontId="1" fillId="68" borderId="0" applyNumberFormat="0" applyBorder="0" applyAlignment="0" applyProtection="0"/>
    <xf numFmtId="0" fontId="1" fillId="69" borderId="0" applyNumberFormat="0" applyBorder="0" applyAlignment="0" applyProtection="0"/>
    <xf numFmtId="0" fontId="1" fillId="72" borderId="0" applyNumberFormat="0" applyBorder="0" applyAlignment="0" applyProtection="0"/>
    <xf numFmtId="0" fontId="1" fillId="73" borderId="0" applyNumberFormat="0" applyBorder="0" applyAlignment="0" applyProtection="0"/>
    <xf numFmtId="0" fontId="1" fillId="77" borderId="0" applyNumberFormat="0" applyBorder="0" applyAlignment="0" applyProtection="0"/>
    <xf numFmtId="0" fontId="1" fillId="80" borderId="0" applyNumberFormat="0" applyBorder="0" applyAlignment="0" applyProtection="0"/>
    <xf numFmtId="0" fontId="1" fillId="81" borderId="0" applyNumberFormat="0" applyBorder="0" applyAlignment="0" applyProtection="0"/>
    <xf numFmtId="0" fontId="1" fillId="58" borderId="104" applyNumberFormat="0" applyFont="0" applyAlignment="0" applyProtection="0"/>
    <xf numFmtId="0" fontId="1" fillId="58" borderId="104" applyNumberFormat="0" applyFont="0" applyAlignment="0" applyProtection="0"/>
    <xf numFmtId="0" fontId="1" fillId="60" borderId="0" applyNumberFormat="0" applyBorder="0" applyAlignment="0" applyProtection="0"/>
    <xf numFmtId="0" fontId="1" fillId="61" borderId="0" applyNumberFormat="0" applyBorder="0" applyAlignment="0" applyProtection="0"/>
    <xf numFmtId="0" fontId="1" fillId="64" borderId="0" applyNumberFormat="0" applyBorder="0" applyAlignment="0" applyProtection="0"/>
    <xf numFmtId="0" fontId="1" fillId="68" borderId="0" applyNumberFormat="0" applyBorder="0" applyAlignment="0" applyProtection="0"/>
    <xf numFmtId="0" fontId="1" fillId="69" borderId="0" applyNumberFormat="0" applyBorder="0" applyAlignment="0" applyProtection="0"/>
    <xf numFmtId="0" fontId="1" fillId="72" borderId="0" applyNumberFormat="0" applyBorder="0" applyAlignment="0" applyProtection="0"/>
    <xf numFmtId="0" fontId="1" fillId="73" borderId="0" applyNumberFormat="0" applyBorder="0" applyAlignment="0" applyProtection="0"/>
    <xf numFmtId="0" fontId="1" fillId="77" borderId="0" applyNumberFormat="0" applyBorder="0" applyAlignment="0" applyProtection="0"/>
    <xf numFmtId="0" fontId="1" fillId="80" borderId="0" applyNumberFormat="0" applyBorder="0" applyAlignment="0" applyProtection="0"/>
    <xf numFmtId="0" fontId="1" fillId="81" borderId="0" applyNumberFormat="0" applyBorder="0" applyAlignment="0" applyProtection="0"/>
    <xf numFmtId="0" fontId="1" fillId="60" borderId="0" applyNumberFormat="0" applyBorder="0" applyAlignment="0" applyProtection="0"/>
    <xf numFmtId="0" fontId="1" fillId="61" borderId="0" applyNumberFormat="0" applyBorder="0" applyAlignment="0" applyProtection="0"/>
    <xf numFmtId="0" fontId="1" fillId="64" borderId="0" applyNumberFormat="0" applyBorder="0" applyAlignment="0" applyProtection="0"/>
    <xf numFmtId="0" fontId="1" fillId="68" borderId="0" applyNumberFormat="0" applyBorder="0" applyAlignment="0" applyProtection="0"/>
    <xf numFmtId="0" fontId="1" fillId="69" borderId="0" applyNumberFormat="0" applyBorder="0" applyAlignment="0" applyProtection="0"/>
    <xf numFmtId="0" fontId="1" fillId="72" borderId="0" applyNumberFormat="0" applyBorder="0" applyAlignment="0" applyProtection="0"/>
    <xf numFmtId="0" fontId="1" fillId="73" borderId="0" applyNumberFormat="0" applyBorder="0" applyAlignment="0" applyProtection="0"/>
    <xf numFmtId="0" fontId="1" fillId="77" borderId="0" applyNumberFormat="0" applyBorder="0" applyAlignment="0" applyProtection="0"/>
    <xf numFmtId="0" fontId="1" fillId="80" borderId="0" applyNumberFormat="0" applyBorder="0" applyAlignment="0" applyProtection="0"/>
    <xf numFmtId="0" fontId="1" fillId="81" borderId="0" applyNumberFormat="0" applyBorder="0" applyAlignment="0" applyProtection="0"/>
    <xf numFmtId="0" fontId="1" fillId="58" borderId="104" applyNumberFormat="0" applyFont="0" applyAlignment="0" applyProtection="0"/>
    <xf numFmtId="0" fontId="1" fillId="60" borderId="0" applyNumberFormat="0" applyBorder="0" applyAlignment="0" applyProtection="0"/>
    <xf numFmtId="0" fontId="1" fillId="60" borderId="0" applyNumberFormat="0" applyBorder="0" applyAlignment="0" applyProtection="0"/>
    <xf numFmtId="0" fontId="1" fillId="60" borderId="0" applyNumberFormat="0" applyBorder="0" applyAlignment="0" applyProtection="0"/>
    <xf numFmtId="0" fontId="1" fillId="60" borderId="0" applyNumberFormat="0" applyBorder="0" applyAlignment="0" applyProtection="0"/>
    <xf numFmtId="0" fontId="1" fillId="60" borderId="0" applyNumberFormat="0" applyBorder="0" applyAlignment="0" applyProtection="0"/>
    <xf numFmtId="0" fontId="1" fillId="60" borderId="0" applyNumberFormat="0" applyBorder="0" applyAlignment="0" applyProtection="0"/>
    <xf numFmtId="0" fontId="1" fillId="60" borderId="0" applyNumberFormat="0" applyBorder="0" applyAlignment="0" applyProtection="0"/>
    <xf numFmtId="0" fontId="1" fillId="60" borderId="0" applyNumberFormat="0" applyBorder="0" applyAlignment="0" applyProtection="0"/>
    <xf numFmtId="0" fontId="1" fillId="60" borderId="0" applyNumberFormat="0" applyBorder="0" applyAlignment="0" applyProtection="0"/>
    <xf numFmtId="0" fontId="1" fillId="64" borderId="0" applyNumberFormat="0" applyBorder="0" applyAlignment="0" applyProtection="0"/>
    <xf numFmtId="0" fontId="1" fillId="64" borderId="0" applyNumberFormat="0" applyBorder="0" applyAlignment="0" applyProtection="0"/>
    <xf numFmtId="0" fontId="1" fillId="64" borderId="0" applyNumberFormat="0" applyBorder="0" applyAlignment="0" applyProtection="0"/>
    <xf numFmtId="0" fontId="1" fillId="64" borderId="0" applyNumberFormat="0" applyBorder="0" applyAlignment="0" applyProtection="0"/>
    <xf numFmtId="0" fontId="1" fillId="64" borderId="0" applyNumberFormat="0" applyBorder="0" applyAlignment="0" applyProtection="0"/>
    <xf numFmtId="0" fontId="1" fillId="64" borderId="0" applyNumberFormat="0" applyBorder="0" applyAlignment="0" applyProtection="0"/>
    <xf numFmtId="0" fontId="1" fillId="64" borderId="0" applyNumberFormat="0" applyBorder="0" applyAlignment="0" applyProtection="0"/>
    <xf numFmtId="0" fontId="1" fillId="64" borderId="0" applyNumberFormat="0" applyBorder="0" applyAlignment="0" applyProtection="0"/>
    <xf numFmtId="0" fontId="1" fillId="64" borderId="0" applyNumberFormat="0" applyBorder="0" applyAlignment="0" applyProtection="0"/>
    <xf numFmtId="0" fontId="1" fillId="68" borderId="0" applyNumberFormat="0" applyBorder="0" applyAlignment="0" applyProtection="0"/>
    <xf numFmtId="0" fontId="1" fillId="68" borderId="0" applyNumberFormat="0" applyBorder="0" applyAlignment="0" applyProtection="0"/>
    <xf numFmtId="0" fontId="1" fillId="68" borderId="0" applyNumberFormat="0" applyBorder="0" applyAlignment="0" applyProtection="0"/>
    <xf numFmtId="0" fontId="1" fillId="68" borderId="0" applyNumberFormat="0" applyBorder="0" applyAlignment="0" applyProtection="0"/>
    <xf numFmtId="0" fontId="1" fillId="68" borderId="0" applyNumberFormat="0" applyBorder="0" applyAlignment="0" applyProtection="0"/>
    <xf numFmtId="0" fontId="1" fillId="68" borderId="0" applyNumberFormat="0" applyBorder="0" applyAlignment="0" applyProtection="0"/>
    <xf numFmtId="0" fontId="1" fillId="68" borderId="0" applyNumberFormat="0" applyBorder="0" applyAlignment="0" applyProtection="0"/>
    <xf numFmtId="0" fontId="1" fillId="68" borderId="0" applyNumberFormat="0" applyBorder="0" applyAlignment="0" applyProtection="0"/>
    <xf numFmtId="0" fontId="1" fillId="68" borderId="0" applyNumberFormat="0" applyBorder="0" applyAlignment="0" applyProtection="0"/>
    <xf numFmtId="0" fontId="1" fillId="72" borderId="0" applyNumberFormat="0" applyBorder="0" applyAlignment="0" applyProtection="0"/>
    <xf numFmtId="0" fontId="1" fillId="72" borderId="0" applyNumberFormat="0" applyBorder="0" applyAlignment="0" applyProtection="0"/>
    <xf numFmtId="0" fontId="1" fillId="72" borderId="0" applyNumberFormat="0" applyBorder="0" applyAlignment="0" applyProtection="0"/>
    <xf numFmtId="0" fontId="1" fillId="72" borderId="0" applyNumberFormat="0" applyBorder="0" applyAlignment="0" applyProtection="0"/>
    <xf numFmtId="0" fontId="1" fillId="72" borderId="0" applyNumberFormat="0" applyBorder="0" applyAlignment="0" applyProtection="0"/>
    <xf numFmtId="0" fontId="1" fillId="72" borderId="0" applyNumberFormat="0" applyBorder="0" applyAlignment="0" applyProtection="0"/>
    <xf numFmtId="0" fontId="1" fillId="72" borderId="0" applyNumberFormat="0" applyBorder="0" applyAlignment="0" applyProtection="0"/>
    <xf numFmtId="0" fontId="1" fillId="72" borderId="0" applyNumberFormat="0" applyBorder="0" applyAlignment="0" applyProtection="0"/>
    <xf numFmtId="0" fontId="1" fillId="72" borderId="0" applyNumberFormat="0" applyBorder="0" applyAlignment="0" applyProtection="0"/>
    <xf numFmtId="0" fontId="1" fillId="80" borderId="0" applyNumberFormat="0" applyBorder="0" applyAlignment="0" applyProtection="0"/>
    <xf numFmtId="0" fontId="1" fillId="80" borderId="0" applyNumberFormat="0" applyBorder="0" applyAlignment="0" applyProtection="0"/>
    <xf numFmtId="0" fontId="1" fillId="80" borderId="0" applyNumberFormat="0" applyBorder="0" applyAlignment="0" applyProtection="0"/>
    <xf numFmtId="0" fontId="1" fillId="80" borderId="0" applyNumberFormat="0" applyBorder="0" applyAlignment="0" applyProtection="0"/>
    <xf numFmtId="0" fontId="1" fillId="80" borderId="0" applyNumberFormat="0" applyBorder="0" applyAlignment="0" applyProtection="0"/>
    <xf numFmtId="0" fontId="1" fillId="80" borderId="0" applyNumberFormat="0" applyBorder="0" applyAlignment="0" applyProtection="0"/>
    <xf numFmtId="0" fontId="1" fillId="80" borderId="0" applyNumberFormat="0" applyBorder="0" applyAlignment="0" applyProtection="0"/>
    <xf numFmtId="0" fontId="1" fillId="80" borderId="0" applyNumberFormat="0" applyBorder="0" applyAlignment="0" applyProtection="0"/>
    <xf numFmtId="0" fontId="1" fillId="80" borderId="0" applyNumberFormat="0" applyBorder="0" applyAlignment="0" applyProtection="0"/>
    <xf numFmtId="0" fontId="1" fillId="61" borderId="0" applyNumberFormat="0" applyBorder="0" applyAlignment="0" applyProtection="0"/>
    <xf numFmtId="0" fontId="1" fillId="61" borderId="0" applyNumberFormat="0" applyBorder="0" applyAlignment="0" applyProtection="0"/>
    <xf numFmtId="0" fontId="1" fillId="61" borderId="0" applyNumberFormat="0" applyBorder="0" applyAlignment="0" applyProtection="0"/>
    <xf numFmtId="0" fontId="1" fillId="61" borderId="0" applyNumberFormat="0" applyBorder="0" applyAlignment="0" applyProtection="0"/>
    <xf numFmtId="0" fontId="1" fillId="61" borderId="0" applyNumberFormat="0" applyBorder="0" applyAlignment="0" applyProtection="0"/>
    <xf numFmtId="0" fontId="1" fillId="61" borderId="0" applyNumberFormat="0" applyBorder="0" applyAlignment="0" applyProtection="0"/>
    <xf numFmtId="0" fontId="1" fillId="61" borderId="0" applyNumberFormat="0" applyBorder="0" applyAlignment="0" applyProtection="0"/>
    <xf numFmtId="0" fontId="1" fillId="61" borderId="0" applyNumberFormat="0" applyBorder="0" applyAlignment="0" applyProtection="0"/>
    <xf numFmtId="0" fontId="1" fillId="61" borderId="0" applyNumberFormat="0" applyBorder="0" applyAlignment="0" applyProtection="0"/>
    <xf numFmtId="0" fontId="1" fillId="69" borderId="0" applyNumberFormat="0" applyBorder="0" applyAlignment="0" applyProtection="0"/>
    <xf numFmtId="0" fontId="1" fillId="69" borderId="0" applyNumberFormat="0" applyBorder="0" applyAlignment="0" applyProtection="0"/>
    <xf numFmtId="0" fontId="1" fillId="69" borderId="0" applyNumberFormat="0" applyBorder="0" applyAlignment="0" applyProtection="0"/>
    <xf numFmtId="0" fontId="1" fillId="69" borderId="0" applyNumberFormat="0" applyBorder="0" applyAlignment="0" applyProtection="0"/>
    <xf numFmtId="0" fontId="1" fillId="69" borderId="0" applyNumberFormat="0" applyBorder="0" applyAlignment="0" applyProtection="0"/>
    <xf numFmtId="0" fontId="1" fillId="69" borderId="0" applyNumberFormat="0" applyBorder="0" applyAlignment="0" applyProtection="0"/>
    <xf numFmtId="0" fontId="1" fillId="69" borderId="0" applyNumberFormat="0" applyBorder="0" applyAlignment="0" applyProtection="0"/>
    <xf numFmtId="0" fontId="1" fillId="69" borderId="0" applyNumberFormat="0" applyBorder="0" applyAlignment="0" applyProtection="0"/>
    <xf numFmtId="0" fontId="1" fillId="69" borderId="0" applyNumberFormat="0" applyBorder="0" applyAlignment="0" applyProtection="0"/>
    <xf numFmtId="0" fontId="1" fillId="73" borderId="0" applyNumberFormat="0" applyBorder="0" applyAlignment="0" applyProtection="0"/>
    <xf numFmtId="0" fontId="1" fillId="73" borderId="0" applyNumberFormat="0" applyBorder="0" applyAlignment="0" applyProtection="0"/>
    <xf numFmtId="0" fontId="1" fillId="73" borderId="0" applyNumberFormat="0" applyBorder="0" applyAlignment="0" applyProtection="0"/>
    <xf numFmtId="0" fontId="1" fillId="73" borderId="0" applyNumberFormat="0" applyBorder="0" applyAlignment="0" applyProtection="0"/>
    <xf numFmtId="0" fontId="1" fillId="73" borderId="0" applyNumberFormat="0" applyBorder="0" applyAlignment="0" applyProtection="0"/>
    <xf numFmtId="0" fontId="1" fillId="73" borderId="0" applyNumberFormat="0" applyBorder="0" applyAlignment="0" applyProtection="0"/>
    <xf numFmtId="0" fontId="1" fillId="73" borderId="0" applyNumberFormat="0" applyBorder="0" applyAlignment="0" applyProtection="0"/>
    <xf numFmtId="0" fontId="1" fillId="73" borderId="0" applyNumberFormat="0" applyBorder="0" applyAlignment="0" applyProtection="0"/>
    <xf numFmtId="0" fontId="1" fillId="73" borderId="0" applyNumberFormat="0" applyBorder="0" applyAlignment="0" applyProtection="0"/>
    <xf numFmtId="0" fontId="1" fillId="77" borderId="0" applyNumberFormat="0" applyBorder="0" applyAlignment="0" applyProtection="0"/>
    <xf numFmtId="0" fontId="1" fillId="77" borderId="0" applyNumberFormat="0" applyBorder="0" applyAlignment="0" applyProtection="0"/>
    <xf numFmtId="0" fontId="1" fillId="77" borderId="0" applyNumberFormat="0" applyBorder="0" applyAlignment="0" applyProtection="0"/>
    <xf numFmtId="0" fontId="1" fillId="77" borderId="0" applyNumberFormat="0" applyBorder="0" applyAlignment="0" applyProtection="0"/>
    <xf numFmtId="0" fontId="1" fillId="77" borderId="0" applyNumberFormat="0" applyBorder="0" applyAlignment="0" applyProtection="0"/>
    <xf numFmtId="0" fontId="1" fillId="77" borderId="0" applyNumberFormat="0" applyBorder="0" applyAlignment="0" applyProtection="0"/>
    <xf numFmtId="0" fontId="1" fillId="77" borderId="0" applyNumberFormat="0" applyBorder="0" applyAlignment="0" applyProtection="0"/>
    <xf numFmtId="0" fontId="1" fillId="77" borderId="0" applyNumberFormat="0" applyBorder="0" applyAlignment="0" applyProtection="0"/>
    <xf numFmtId="0" fontId="1" fillId="77" borderId="0" applyNumberFormat="0" applyBorder="0" applyAlignment="0" applyProtection="0"/>
    <xf numFmtId="0" fontId="1" fillId="81" borderId="0" applyNumberFormat="0" applyBorder="0" applyAlignment="0" applyProtection="0"/>
    <xf numFmtId="0" fontId="1" fillId="81" borderId="0" applyNumberFormat="0" applyBorder="0" applyAlignment="0" applyProtection="0"/>
    <xf numFmtId="0" fontId="1" fillId="81" borderId="0" applyNumberFormat="0" applyBorder="0" applyAlignment="0" applyProtection="0"/>
    <xf numFmtId="0" fontId="1" fillId="81" borderId="0" applyNumberFormat="0" applyBorder="0" applyAlignment="0" applyProtection="0"/>
    <xf numFmtId="0" fontId="1" fillId="81" borderId="0" applyNumberFormat="0" applyBorder="0" applyAlignment="0" applyProtection="0"/>
    <xf numFmtId="0" fontId="1" fillId="81" borderId="0" applyNumberFormat="0" applyBorder="0" applyAlignment="0" applyProtection="0"/>
    <xf numFmtId="0" fontId="1" fillId="81" borderId="0" applyNumberFormat="0" applyBorder="0" applyAlignment="0" applyProtection="0"/>
    <xf numFmtId="0" fontId="1" fillId="81" borderId="0" applyNumberFormat="0" applyBorder="0" applyAlignment="0" applyProtection="0"/>
    <xf numFmtId="0" fontId="1" fillId="81" borderId="0" applyNumberFormat="0" applyBorder="0" applyAlignment="0" applyProtection="0"/>
    <xf numFmtId="0" fontId="1" fillId="58" borderId="104" applyNumberFormat="0" applyFont="0" applyAlignment="0" applyProtection="0"/>
    <xf numFmtId="0" fontId="1" fillId="58" borderId="104" applyNumberFormat="0" applyFont="0" applyAlignment="0" applyProtection="0"/>
    <xf numFmtId="0" fontId="1" fillId="58" borderId="104" applyNumberFormat="0" applyFont="0" applyAlignment="0" applyProtection="0"/>
    <xf numFmtId="0" fontId="1" fillId="58" borderId="104" applyNumberFormat="0" applyFont="0" applyAlignment="0" applyProtection="0"/>
    <xf numFmtId="0" fontId="1" fillId="58" borderId="104" applyNumberFormat="0" applyFont="0" applyAlignment="0" applyProtection="0"/>
    <xf numFmtId="0" fontId="1" fillId="58" borderId="104" applyNumberFormat="0" applyFont="0" applyAlignment="0" applyProtection="0"/>
    <xf numFmtId="0" fontId="1" fillId="58" borderId="104" applyNumberFormat="0" applyFont="0" applyAlignment="0" applyProtection="0"/>
    <xf numFmtId="0" fontId="1" fillId="58" borderId="104" applyNumberFormat="0" applyFont="0" applyAlignment="0" applyProtection="0"/>
    <xf numFmtId="0" fontId="1" fillId="58" borderId="104" applyNumberFormat="0" applyFont="0" applyAlignment="0" applyProtection="0"/>
    <xf numFmtId="9" fontId="1" fillId="0" borderId="0" applyFont="0" applyFill="0" applyBorder="0" applyAlignment="0" applyProtection="0"/>
    <xf numFmtId="0" fontId="1" fillId="60" borderId="0" applyNumberFormat="0" applyBorder="0" applyAlignment="0" applyProtection="0"/>
    <xf numFmtId="0" fontId="1" fillId="61" borderId="0" applyNumberFormat="0" applyBorder="0" applyAlignment="0" applyProtection="0"/>
    <xf numFmtId="0" fontId="1" fillId="64" borderId="0" applyNumberFormat="0" applyBorder="0" applyAlignment="0" applyProtection="0"/>
    <xf numFmtId="0" fontId="1" fillId="68" borderId="0" applyNumberFormat="0" applyBorder="0" applyAlignment="0" applyProtection="0"/>
    <xf numFmtId="0" fontId="1" fillId="69" borderId="0" applyNumberFormat="0" applyBorder="0" applyAlignment="0" applyProtection="0"/>
    <xf numFmtId="0" fontId="1" fillId="72" borderId="0" applyNumberFormat="0" applyBorder="0" applyAlignment="0" applyProtection="0"/>
    <xf numFmtId="0" fontId="1" fillId="73" borderId="0" applyNumberFormat="0" applyBorder="0" applyAlignment="0" applyProtection="0"/>
    <xf numFmtId="0" fontId="1" fillId="77" borderId="0" applyNumberFormat="0" applyBorder="0" applyAlignment="0" applyProtection="0"/>
    <xf numFmtId="0" fontId="1" fillId="80" borderId="0" applyNumberFormat="0" applyBorder="0" applyAlignment="0" applyProtection="0"/>
    <xf numFmtId="0" fontId="1" fillId="81" borderId="0" applyNumberFormat="0" applyBorder="0" applyAlignment="0" applyProtection="0"/>
    <xf numFmtId="0" fontId="1" fillId="58" borderId="104" applyNumberFormat="0" applyFont="0" applyAlignment="0" applyProtection="0"/>
    <xf numFmtId="0" fontId="1" fillId="58" borderId="104" applyNumberFormat="0" applyFont="0" applyAlignment="0" applyProtection="0"/>
    <xf numFmtId="0" fontId="1" fillId="60" borderId="0" applyNumberFormat="0" applyBorder="0" applyAlignment="0" applyProtection="0"/>
    <xf numFmtId="0" fontId="1" fillId="61" borderId="0" applyNumberFormat="0" applyBorder="0" applyAlignment="0" applyProtection="0"/>
    <xf numFmtId="0" fontId="1" fillId="64" borderId="0" applyNumberFormat="0" applyBorder="0" applyAlignment="0" applyProtection="0"/>
    <xf numFmtId="0" fontId="1" fillId="68" borderId="0" applyNumberFormat="0" applyBorder="0" applyAlignment="0" applyProtection="0"/>
    <xf numFmtId="0" fontId="1" fillId="69" borderId="0" applyNumberFormat="0" applyBorder="0" applyAlignment="0" applyProtection="0"/>
    <xf numFmtId="0" fontId="1" fillId="72" borderId="0" applyNumberFormat="0" applyBorder="0" applyAlignment="0" applyProtection="0"/>
    <xf numFmtId="0" fontId="1" fillId="73" borderId="0" applyNumberFormat="0" applyBorder="0" applyAlignment="0" applyProtection="0"/>
    <xf numFmtId="0" fontId="1" fillId="77" borderId="0" applyNumberFormat="0" applyBorder="0" applyAlignment="0" applyProtection="0"/>
    <xf numFmtId="0" fontId="1" fillId="80" borderId="0" applyNumberFormat="0" applyBorder="0" applyAlignment="0" applyProtection="0"/>
    <xf numFmtId="0" fontId="1" fillId="81" borderId="0" applyNumberFormat="0" applyBorder="0" applyAlignment="0" applyProtection="0"/>
    <xf numFmtId="0" fontId="1" fillId="60" borderId="0" applyNumberFormat="0" applyBorder="0" applyAlignment="0" applyProtection="0"/>
    <xf numFmtId="0" fontId="1" fillId="61" borderId="0" applyNumberFormat="0" applyBorder="0" applyAlignment="0" applyProtection="0"/>
    <xf numFmtId="0" fontId="1" fillId="64" borderId="0" applyNumberFormat="0" applyBorder="0" applyAlignment="0" applyProtection="0"/>
    <xf numFmtId="0" fontId="1" fillId="68" borderId="0" applyNumberFormat="0" applyBorder="0" applyAlignment="0" applyProtection="0"/>
    <xf numFmtId="0" fontId="1" fillId="69" borderId="0" applyNumberFormat="0" applyBorder="0" applyAlignment="0" applyProtection="0"/>
    <xf numFmtId="0" fontId="1" fillId="72" borderId="0" applyNumberFormat="0" applyBorder="0" applyAlignment="0" applyProtection="0"/>
    <xf numFmtId="0" fontId="1" fillId="73" borderId="0" applyNumberFormat="0" applyBorder="0" applyAlignment="0" applyProtection="0"/>
    <xf numFmtId="0" fontId="1" fillId="77" borderId="0" applyNumberFormat="0" applyBorder="0" applyAlignment="0" applyProtection="0"/>
    <xf numFmtId="0" fontId="1" fillId="80" borderId="0" applyNumberFormat="0" applyBorder="0" applyAlignment="0" applyProtection="0"/>
    <xf numFmtId="0" fontId="1" fillId="81" borderId="0" applyNumberFormat="0" applyBorder="0" applyAlignment="0" applyProtection="0"/>
    <xf numFmtId="0" fontId="1" fillId="58" borderId="104" applyNumberFormat="0" applyFont="0" applyAlignment="0" applyProtection="0"/>
    <xf numFmtId="0" fontId="1" fillId="60" borderId="0" applyNumberFormat="0" applyBorder="0" applyAlignment="0" applyProtection="0"/>
    <xf numFmtId="0" fontId="1" fillId="61" borderId="0" applyNumberFormat="0" applyBorder="0" applyAlignment="0" applyProtection="0"/>
    <xf numFmtId="0" fontId="1" fillId="64" borderId="0" applyNumberFormat="0" applyBorder="0" applyAlignment="0" applyProtection="0"/>
    <xf numFmtId="0" fontId="1" fillId="68" borderId="0" applyNumberFormat="0" applyBorder="0" applyAlignment="0" applyProtection="0"/>
    <xf numFmtId="0" fontId="1" fillId="69" borderId="0" applyNumberFormat="0" applyBorder="0" applyAlignment="0" applyProtection="0"/>
    <xf numFmtId="0" fontId="1" fillId="72" borderId="0" applyNumberFormat="0" applyBorder="0" applyAlignment="0" applyProtection="0"/>
    <xf numFmtId="0" fontId="1" fillId="73" borderId="0" applyNumberFormat="0" applyBorder="0" applyAlignment="0" applyProtection="0"/>
    <xf numFmtId="0" fontId="1" fillId="77" borderId="0" applyNumberFormat="0" applyBorder="0" applyAlignment="0" applyProtection="0"/>
    <xf numFmtId="0" fontId="1" fillId="80" borderId="0" applyNumberFormat="0" applyBorder="0" applyAlignment="0" applyProtection="0"/>
    <xf numFmtId="0" fontId="1" fillId="81" borderId="0" applyNumberFormat="0" applyBorder="0" applyAlignment="0" applyProtection="0"/>
    <xf numFmtId="0" fontId="1" fillId="58" borderId="104" applyNumberFormat="0" applyFont="0" applyAlignment="0" applyProtection="0"/>
    <xf numFmtId="0" fontId="1" fillId="58" borderId="104" applyNumberFormat="0" applyFont="0" applyAlignment="0" applyProtection="0"/>
    <xf numFmtId="0" fontId="1" fillId="60" borderId="0" applyNumberFormat="0" applyBorder="0" applyAlignment="0" applyProtection="0"/>
    <xf numFmtId="0" fontId="1" fillId="61" borderId="0" applyNumberFormat="0" applyBorder="0" applyAlignment="0" applyProtection="0"/>
    <xf numFmtId="0" fontId="1" fillId="64" borderId="0" applyNumberFormat="0" applyBorder="0" applyAlignment="0" applyProtection="0"/>
    <xf numFmtId="0" fontId="1" fillId="68" borderId="0" applyNumberFormat="0" applyBorder="0" applyAlignment="0" applyProtection="0"/>
    <xf numFmtId="0" fontId="1" fillId="69" borderId="0" applyNumberFormat="0" applyBorder="0" applyAlignment="0" applyProtection="0"/>
    <xf numFmtId="0" fontId="1" fillId="72" borderId="0" applyNumberFormat="0" applyBorder="0" applyAlignment="0" applyProtection="0"/>
    <xf numFmtId="0" fontId="1" fillId="73" borderId="0" applyNumberFormat="0" applyBorder="0" applyAlignment="0" applyProtection="0"/>
    <xf numFmtId="0" fontId="1" fillId="77" borderId="0" applyNumberFormat="0" applyBorder="0" applyAlignment="0" applyProtection="0"/>
    <xf numFmtId="0" fontId="1" fillId="80" borderId="0" applyNumberFormat="0" applyBorder="0" applyAlignment="0" applyProtection="0"/>
    <xf numFmtId="0" fontId="1" fillId="81" borderId="0" applyNumberFormat="0" applyBorder="0" applyAlignment="0" applyProtection="0"/>
    <xf numFmtId="0" fontId="1" fillId="60" borderId="0" applyNumberFormat="0" applyBorder="0" applyAlignment="0" applyProtection="0"/>
    <xf numFmtId="0" fontId="1" fillId="61" borderId="0" applyNumberFormat="0" applyBorder="0" applyAlignment="0" applyProtection="0"/>
    <xf numFmtId="0" fontId="1" fillId="64" borderId="0" applyNumberFormat="0" applyBorder="0" applyAlignment="0" applyProtection="0"/>
    <xf numFmtId="0" fontId="1" fillId="68" borderId="0" applyNumberFormat="0" applyBorder="0" applyAlignment="0" applyProtection="0"/>
    <xf numFmtId="0" fontId="1" fillId="69" borderId="0" applyNumberFormat="0" applyBorder="0" applyAlignment="0" applyProtection="0"/>
    <xf numFmtId="0" fontId="1" fillId="72" borderId="0" applyNumberFormat="0" applyBorder="0" applyAlignment="0" applyProtection="0"/>
    <xf numFmtId="0" fontId="1" fillId="73" borderId="0" applyNumberFormat="0" applyBorder="0" applyAlignment="0" applyProtection="0"/>
    <xf numFmtId="0" fontId="1" fillId="77" borderId="0" applyNumberFormat="0" applyBorder="0" applyAlignment="0" applyProtection="0"/>
    <xf numFmtId="0" fontId="1" fillId="80" borderId="0" applyNumberFormat="0" applyBorder="0" applyAlignment="0" applyProtection="0"/>
    <xf numFmtId="0" fontId="1" fillId="81" borderId="0" applyNumberFormat="0" applyBorder="0" applyAlignment="0" applyProtection="0"/>
    <xf numFmtId="0" fontId="1" fillId="58" borderId="104" applyNumberFormat="0" applyFont="0" applyAlignment="0" applyProtection="0"/>
    <xf numFmtId="0" fontId="1" fillId="60" borderId="0" applyNumberFormat="0" applyBorder="0" applyAlignment="0" applyProtection="0"/>
    <xf numFmtId="0" fontId="1" fillId="61" borderId="0" applyNumberFormat="0" applyBorder="0" applyAlignment="0" applyProtection="0"/>
    <xf numFmtId="0" fontId="1" fillId="64" borderId="0" applyNumberFormat="0" applyBorder="0" applyAlignment="0" applyProtection="0"/>
    <xf numFmtId="0" fontId="1" fillId="68" borderId="0" applyNumberFormat="0" applyBorder="0" applyAlignment="0" applyProtection="0"/>
    <xf numFmtId="0" fontId="1" fillId="69" borderId="0" applyNumberFormat="0" applyBorder="0" applyAlignment="0" applyProtection="0"/>
    <xf numFmtId="0" fontId="1" fillId="72" borderId="0" applyNumberFormat="0" applyBorder="0" applyAlignment="0" applyProtection="0"/>
    <xf numFmtId="0" fontId="1" fillId="73" borderId="0" applyNumberFormat="0" applyBorder="0" applyAlignment="0" applyProtection="0"/>
    <xf numFmtId="0" fontId="1" fillId="77" borderId="0" applyNumberFormat="0" applyBorder="0" applyAlignment="0" applyProtection="0"/>
    <xf numFmtId="0" fontId="1" fillId="80" borderId="0" applyNumberFormat="0" applyBorder="0" applyAlignment="0" applyProtection="0"/>
    <xf numFmtId="0" fontId="1" fillId="81" borderId="0" applyNumberFormat="0" applyBorder="0" applyAlignment="0" applyProtection="0"/>
    <xf numFmtId="0" fontId="1" fillId="58" borderId="104" applyNumberFormat="0" applyFont="0" applyAlignment="0" applyProtection="0"/>
    <xf numFmtId="0" fontId="1" fillId="58" borderId="104" applyNumberFormat="0" applyFont="0" applyAlignment="0" applyProtection="0"/>
    <xf numFmtId="0" fontId="1" fillId="60" borderId="0" applyNumberFormat="0" applyBorder="0" applyAlignment="0" applyProtection="0"/>
    <xf numFmtId="0" fontId="1" fillId="61" borderId="0" applyNumberFormat="0" applyBorder="0" applyAlignment="0" applyProtection="0"/>
    <xf numFmtId="0" fontId="1" fillId="64" borderId="0" applyNumberFormat="0" applyBorder="0" applyAlignment="0" applyProtection="0"/>
    <xf numFmtId="0" fontId="1" fillId="68" borderId="0" applyNumberFormat="0" applyBorder="0" applyAlignment="0" applyProtection="0"/>
    <xf numFmtId="0" fontId="1" fillId="69" borderId="0" applyNumberFormat="0" applyBorder="0" applyAlignment="0" applyProtection="0"/>
    <xf numFmtId="0" fontId="1" fillId="72" borderId="0" applyNumberFormat="0" applyBorder="0" applyAlignment="0" applyProtection="0"/>
    <xf numFmtId="0" fontId="1" fillId="73" borderId="0" applyNumberFormat="0" applyBorder="0" applyAlignment="0" applyProtection="0"/>
    <xf numFmtId="0" fontId="1" fillId="77" borderId="0" applyNumberFormat="0" applyBorder="0" applyAlignment="0" applyProtection="0"/>
    <xf numFmtId="0" fontId="1" fillId="80" borderId="0" applyNumberFormat="0" applyBorder="0" applyAlignment="0" applyProtection="0"/>
    <xf numFmtId="0" fontId="1" fillId="81" borderId="0" applyNumberFormat="0" applyBorder="0" applyAlignment="0" applyProtection="0"/>
    <xf numFmtId="0" fontId="1" fillId="60" borderId="0" applyNumberFormat="0" applyBorder="0" applyAlignment="0" applyProtection="0"/>
    <xf numFmtId="0" fontId="1" fillId="61" borderId="0" applyNumberFormat="0" applyBorder="0" applyAlignment="0" applyProtection="0"/>
    <xf numFmtId="0" fontId="1" fillId="64" borderId="0" applyNumberFormat="0" applyBorder="0" applyAlignment="0" applyProtection="0"/>
    <xf numFmtId="0" fontId="1" fillId="68" borderId="0" applyNumberFormat="0" applyBorder="0" applyAlignment="0" applyProtection="0"/>
    <xf numFmtId="0" fontId="1" fillId="69" borderId="0" applyNumberFormat="0" applyBorder="0" applyAlignment="0" applyProtection="0"/>
    <xf numFmtId="0" fontId="1" fillId="72" borderId="0" applyNumberFormat="0" applyBorder="0" applyAlignment="0" applyProtection="0"/>
    <xf numFmtId="0" fontId="1" fillId="73" borderId="0" applyNumberFormat="0" applyBorder="0" applyAlignment="0" applyProtection="0"/>
    <xf numFmtId="0" fontId="1" fillId="77" borderId="0" applyNumberFormat="0" applyBorder="0" applyAlignment="0" applyProtection="0"/>
    <xf numFmtId="0" fontId="1" fillId="80" borderId="0" applyNumberFormat="0" applyBorder="0" applyAlignment="0" applyProtection="0"/>
    <xf numFmtId="0" fontId="1" fillId="81" borderId="0" applyNumberFormat="0" applyBorder="0" applyAlignment="0" applyProtection="0"/>
    <xf numFmtId="0" fontId="1" fillId="58" borderId="104" applyNumberFormat="0" applyFont="0" applyAlignment="0" applyProtection="0"/>
    <xf numFmtId="0" fontId="1" fillId="60" borderId="0" applyNumberFormat="0" applyBorder="0" applyAlignment="0" applyProtection="0"/>
    <xf numFmtId="0" fontId="1" fillId="61" borderId="0" applyNumberFormat="0" applyBorder="0" applyAlignment="0" applyProtection="0"/>
    <xf numFmtId="0" fontId="1" fillId="64" borderId="0" applyNumberFormat="0" applyBorder="0" applyAlignment="0" applyProtection="0"/>
    <xf numFmtId="0" fontId="1" fillId="68" borderId="0" applyNumberFormat="0" applyBorder="0" applyAlignment="0" applyProtection="0"/>
    <xf numFmtId="0" fontId="1" fillId="69" borderId="0" applyNumberFormat="0" applyBorder="0" applyAlignment="0" applyProtection="0"/>
    <xf numFmtId="0" fontId="1" fillId="72" borderId="0" applyNumberFormat="0" applyBorder="0" applyAlignment="0" applyProtection="0"/>
    <xf numFmtId="0" fontId="1" fillId="73" borderId="0" applyNumberFormat="0" applyBorder="0" applyAlignment="0" applyProtection="0"/>
    <xf numFmtId="0" fontId="1" fillId="77" borderId="0" applyNumberFormat="0" applyBorder="0" applyAlignment="0" applyProtection="0"/>
    <xf numFmtId="0" fontId="1" fillId="80" borderId="0" applyNumberFormat="0" applyBorder="0" applyAlignment="0" applyProtection="0"/>
    <xf numFmtId="0" fontId="1" fillId="81" borderId="0" applyNumberFormat="0" applyBorder="0" applyAlignment="0" applyProtection="0"/>
    <xf numFmtId="0" fontId="1" fillId="58" borderId="104" applyNumberFormat="0" applyFont="0" applyAlignment="0" applyProtection="0"/>
    <xf numFmtId="0" fontId="1" fillId="58" borderId="104" applyNumberFormat="0" applyFont="0" applyAlignment="0" applyProtection="0"/>
    <xf numFmtId="0" fontId="1" fillId="60" borderId="0" applyNumberFormat="0" applyBorder="0" applyAlignment="0" applyProtection="0"/>
    <xf numFmtId="0" fontId="1" fillId="61" borderId="0" applyNumberFormat="0" applyBorder="0" applyAlignment="0" applyProtection="0"/>
    <xf numFmtId="0" fontId="1" fillId="64" borderId="0" applyNumberFormat="0" applyBorder="0" applyAlignment="0" applyProtection="0"/>
    <xf numFmtId="0" fontId="1" fillId="68" borderId="0" applyNumberFormat="0" applyBorder="0" applyAlignment="0" applyProtection="0"/>
    <xf numFmtId="0" fontId="1" fillId="69" borderId="0" applyNumberFormat="0" applyBorder="0" applyAlignment="0" applyProtection="0"/>
    <xf numFmtId="0" fontId="1" fillId="72" borderId="0" applyNumberFormat="0" applyBorder="0" applyAlignment="0" applyProtection="0"/>
    <xf numFmtId="0" fontId="1" fillId="73" borderId="0" applyNumberFormat="0" applyBorder="0" applyAlignment="0" applyProtection="0"/>
    <xf numFmtId="0" fontId="1" fillId="77" borderId="0" applyNumberFormat="0" applyBorder="0" applyAlignment="0" applyProtection="0"/>
    <xf numFmtId="0" fontId="1" fillId="80" borderId="0" applyNumberFormat="0" applyBorder="0" applyAlignment="0" applyProtection="0"/>
    <xf numFmtId="0" fontId="1" fillId="81" borderId="0" applyNumberFormat="0" applyBorder="0" applyAlignment="0" applyProtection="0"/>
    <xf numFmtId="0" fontId="1" fillId="60" borderId="0" applyNumberFormat="0" applyBorder="0" applyAlignment="0" applyProtection="0"/>
    <xf numFmtId="0" fontId="1" fillId="61" borderId="0" applyNumberFormat="0" applyBorder="0" applyAlignment="0" applyProtection="0"/>
    <xf numFmtId="0" fontId="1" fillId="64" borderId="0" applyNumberFormat="0" applyBorder="0" applyAlignment="0" applyProtection="0"/>
    <xf numFmtId="0" fontId="1" fillId="68" borderId="0" applyNumberFormat="0" applyBorder="0" applyAlignment="0" applyProtection="0"/>
    <xf numFmtId="0" fontId="1" fillId="69" borderId="0" applyNumberFormat="0" applyBorder="0" applyAlignment="0" applyProtection="0"/>
    <xf numFmtId="0" fontId="1" fillId="72" borderId="0" applyNumberFormat="0" applyBorder="0" applyAlignment="0" applyProtection="0"/>
    <xf numFmtId="0" fontId="1" fillId="73" borderId="0" applyNumberFormat="0" applyBorder="0" applyAlignment="0" applyProtection="0"/>
    <xf numFmtId="0" fontId="1" fillId="77" borderId="0" applyNumberFormat="0" applyBorder="0" applyAlignment="0" applyProtection="0"/>
    <xf numFmtId="0" fontId="1" fillId="80" borderId="0" applyNumberFormat="0" applyBorder="0" applyAlignment="0" applyProtection="0"/>
    <xf numFmtId="0" fontId="1" fillId="81" borderId="0" applyNumberFormat="0" applyBorder="0" applyAlignment="0" applyProtection="0"/>
    <xf numFmtId="0" fontId="1" fillId="58" borderId="104" applyNumberFormat="0" applyFont="0" applyAlignment="0" applyProtection="0"/>
    <xf numFmtId="0" fontId="1" fillId="60" borderId="0" applyNumberFormat="0" applyBorder="0" applyAlignment="0" applyProtection="0"/>
    <xf numFmtId="0" fontId="1" fillId="61" borderId="0" applyNumberFormat="0" applyBorder="0" applyAlignment="0" applyProtection="0"/>
    <xf numFmtId="0" fontId="1" fillId="64" borderId="0" applyNumberFormat="0" applyBorder="0" applyAlignment="0" applyProtection="0"/>
    <xf numFmtId="0" fontId="1" fillId="68" borderId="0" applyNumberFormat="0" applyBorder="0" applyAlignment="0" applyProtection="0"/>
    <xf numFmtId="0" fontId="1" fillId="69" borderId="0" applyNumberFormat="0" applyBorder="0" applyAlignment="0" applyProtection="0"/>
    <xf numFmtId="0" fontId="1" fillId="72" borderId="0" applyNumberFormat="0" applyBorder="0" applyAlignment="0" applyProtection="0"/>
    <xf numFmtId="0" fontId="1" fillId="73" borderId="0" applyNumberFormat="0" applyBorder="0" applyAlignment="0" applyProtection="0"/>
    <xf numFmtId="0" fontId="1" fillId="77" borderId="0" applyNumberFormat="0" applyBorder="0" applyAlignment="0" applyProtection="0"/>
    <xf numFmtId="0" fontId="1" fillId="80" borderId="0" applyNumberFormat="0" applyBorder="0" applyAlignment="0" applyProtection="0"/>
    <xf numFmtId="0" fontId="1" fillId="81" borderId="0" applyNumberFormat="0" applyBorder="0" applyAlignment="0" applyProtection="0"/>
    <xf numFmtId="0" fontId="1" fillId="58" borderId="104" applyNumberFormat="0" applyFont="0" applyAlignment="0" applyProtection="0"/>
    <xf numFmtId="0" fontId="1" fillId="58" borderId="104" applyNumberFormat="0" applyFont="0" applyAlignment="0" applyProtection="0"/>
    <xf numFmtId="0" fontId="1" fillId="60" borderId="0" applyNumberFormat="0" applyBorder="0" applyAlignment="0" applyProtection="0"/>
    <xf numFmtId="0" fontId="1" fillId="61" borderId="0" applyNumberFormat="0" applyBorder="0" applyAlignment="0" applyProtection="0"/>
    <xf numFmtId="0" fontId="1" fillId="64" borderId="0" applyNumberFormat="0" applyBorder="0" applyAlignment="0" applyProtection="0"/>
    <xf numFmtId="0" fontId="1" fillId="68" borderId="0" applyNumberFormat="0" applyBorder="0" applyAlignment="0" applyProtection="0"/>
    <xf numFmtId="0" fontId="1" fillId="69" borderId="0" applyNumberFormat="0" applyBorder="0" applyAlignment="0" applyProtection="0"/>
    <xf numFmtId="0" fontId="1" fillId="72" borderId="0" applyNumberFormat="0" applyBorder="0" applyAlignment="0" applyProtection="0"/>
    <xf numFmtId="0" fontId="1" fillId="73" borderId="0" applyNumberFormat="0" applyBorder="0" applyAlignment="0" applyProtection="0"/>
    <xf numFmtId="0" fontId="1" fillId="77" borderId="0" applyNumberFormat="0" applyBorder="0" applyAlignment="0" applyProtection="0"/>
    <xf numFmtId="0" fontId="1" fillId="80" borderId="0" applyNumberFormat="0" applyBorder="0" applyAlignment="0" applyProtection="0"/>
    <xf numFmtId="0" fontId="1" fillId="81" borderId="0" applyNumberFormat="0" applyBorder="0" applyAlignment="0" applyProtection="0"/>
    <xf numFmtId="0" fontId="1" fillId="60" borderId="0" applyNumberFormat="0" applyBorder="0" applyAlignment="0" applyProtection="0"/>
    <xf numFmtId="0" fontId="1" fillId="61" borderId="0" applyNumberFormat="0" applyBorder="0" applyAlignment="0" applyProtection="0"/>
    <xf numFmtId="0" fontId="1" fillId="64" borderId="0" applyNumberFormat="0" applyBorder="0" applyAlignment="0" applyProtection="0"/>
    <xf numFmtId="0" fontId="1" fillId="68" borderId="0" applyNumberFormat="0" applyBorder="0" applyAlignment="0" applyProtection="0"/>
    <xf numFmtId="0" fontId="1" fillId="69" borderId="0" applyNumberFormat="0" applyBorder="0" applyAlignment="0" applyProtection="0"/>
    <xf numFmtId="0" fontId="1" fillId="72" borderId="0" applyNumberFormat="0" applyBorder="0" applyAlignment="0" applyProtection="0"/>
    <xf numFmtId="0" fontId="1" fillId="73" borderId="0" applyNumberFormat="0" applyBorder="0" applyAlignment="0" applyProtection="0"/>
    <xf numFmtId="0" fontId="1" fillId="77" borderId="0" applyNumberFormat="0" applyBorder="0" applyAlignment="0" applyProtection="0"/>
    <xf numFmtId="0" fontId="1" fillId="80" borderId="0" applyNumberFormat="0" applyBorder="0" applyAlignment="0" applyProtection="0"/>
    <xf numFmtId="0" fontId="1" fillId="81" borderId="0" applyNumberFormat="0" applyBorder="0" applyAlignment="0" applyProtection="0"/>
    <xf numFmtId="0" fontId="1" fillId="58" borderId="104" applyNumberFormat="0" applyFont="0" applyAlignment="0" applyProtection="0"/>
    <xf numFmtId="0" fontId="1" fillId="60" borderId="0" applyNumberFormat="0" applyBorder="0" applyAlignment="0" applyProtection="0"/>
    <xf numFmtId="0" fontId="1" fillId="61" borderId="0" applyNumberFormat="0" applyBorder="0" applyAlignment="0" applyProtection="0"/>
    <xf numFmtId="0" fontId="1" fillId="64" borderId="0" applyNumberFormat="0" applyBorder="0" applyAlignment="0" applyProtection="0"/>
    <xf numFmtId="0" fontId="1" fillId="68" borderId="0" applyNumberFormat="0" applyBorder="0" applyAlignment="0" applyProtection="0"/>
    <xf numFmtId="0" fontId="1" fillId="69" borderId="0" applyNumberFormat="0" applyBorder="0" applyAlignment="0" applyProtection="0"/>
    <xf numFmtId="0" fontId="1" fillId="72" borderId="0" applyNumberFormat="0" applyBorder="0" applyAlignment="0" applyProtection="0"/>
    <xf numFmtId="0" fontId="1" fillId="73" borderId="0" applyNumberFormat="0" applyBorder="0" applyAlignment="0" applyProtection="0"/>
    <xf numFmtId="0" fontId="1" fillId="77" borderId="0" applyNumberFormat="0" applyBorder="0" applyAlignment="0" applyProtection="0"/>
    <xf numFmtId="0" fontId="1" fillId="80" borderId="0" applyNumberFormat="0" applyBorder="0" applyAlignment="0" applyProtection="0"/>
    <xf numFmtId="0" fontId="1" fillId="81" borderId="0" applyNumberFormat="0" applyBorder="0" applyAlignment="0" applyProtection="0"/>
    <xf numFmtId="0" fontId="1" fillId="58" borderId="104" applyNumberFormat="0" applyFont="0" applyAlignment="0" applyProtection="0"/>
    <xf numFmtId="0" fontId="1" fillId="58" borderId="104" applyNumberFormat="0" applyFont="0" applyAlignment="0" applyProtection="0"/>
    <xf numFmtId="0" fontId="1" fillId="60" borderId="0" applyNumberFormat="0" applyBorder="0" applyAlignment="0" applyProtection="0"/>
    <xf numFmtId="0" fontId="1" fillId="61" borderId="0" applyNumberFormat="0" applyBorder="0" applyAlignment="0" applyProtection="0"/>
    <xf numFmtId="0" fontId="1" fillId="64" borderId="0" applyNumberFormat="0" applyBorder="0" applyAlignment="0" applyProtection="0"/>
    <xf numFmtId="0" fontId="1" fillId="68" borderId="0" applyNumberFormat="0" applyBorder="0" applyAlignment="0" applyProtection="0"/>
    <xf numFmtId="0" fontId="1" fillId="69" borderId="0" applyNumberFormat="0" applyBorder="0" applyAlignment="0" applyProtection="0"/>
    <xf numFmtId="0" fontId="1" fillId="72" borderId="0" applyNumberFormat="0" applyBorder="0" applyAlignment="0" applyProtection="0"/>
    <xf numFmtId="0" fontId="1" fillId="73" borderId="0" applyNumberFormat="0" applyBorder="0" applyAlignment="0" applyProtection="0"/>
    <xf numFmtId="0" fontId="1" fillId="77" borderId="0" applyNumberFormat="0" applyBorder="0" applyAlignment="0" applyProtection="0"/>
    <xf numFmtId="0" fontId="1" fillId="80" borderId="0" applyNumberFormat="0" applyBorder="0" applyAlignment="0" applyProtection="0"/>
    <xf numFmtId="0" fontId="1" fillId="81" borderId="0" applyNumberFormat="0" applyBorder="0" applyAlignment="0" applyProtection="0"/>
    <xf numFmtId="0" fontId="1" fillId="60" borderId="0" applyNumberFormat="0" applyBorder="0" applyAlignment="0" applyProtection="0"/>
    <xf numFmtId="0" fontId="1" fillId="61" borderId="0" applyNumberFormat="0" applyBorder="0" applyAlignment="0" applyProtection="0"/>
    <xf numFmtId="0" fontId="1" fillId="64" borderId="0" applyNumberFormat="0" applyBorder="0" applyAlignment="0" applyProtection="0"/>
    <xf numFmtId="0" fontId="1" fillId="68" borderId="0" applyNumberFormat="0" applyBorder="0" applyAlignment="0" applyProtection="0"/>
    <xf numFmtId="0" fontId="1" fillId="69" borderId="0" applyNumberFormat="0" applyBorder="0" applyAlignment="0" applyProtection="0"/>
    <xf numFmtId="0" fontId="1" fillId="72" borderId="0" applyNumberFormat="0" applyBorder="0" applyAlignment="0" applyProtection="0"/>
    <xf numFmtId="0" fontId="1" fillId="73" borderId="0" applyNumberFormat="0" applyBorder="0" applyAlignment="0" applyProtection="0"/>
    <xf numFmtId="0" fontId="1" fillId="77" borderId="0" applyNumberFormat="0" applyBorder="0" applyAlignment="0" applyProtection="0"/>
    <xf numFmtId="0" fontId="1" fillId="80" borderId="0" applyNumberFormat="0" applyBorder="0" applyAlignment="0" applyProtection="0"/>
    <xf numFmtId="0" fontId="1" fillId="81" borderId="0" applyNumberFormat="0" applyBorder="0" applyAlignment="0" applyProtection="0"/>
    <xf numFmtId="0" fontId="1" fillId="58" borderId="104" applyNumberFormat="0" applyFont="0" applyAlignment="0" applyProtection="0"/>
    <xf numFmtId="0" fontId="1" fillId="60" borderId="0" applyNumberFormat="0" applyBorder="0" applyAlignment="0" applyProtection="0"/>
    <xf numFmtId="0" fontId="1" fillId="60" borderId="0" applyNumberFormat="0" applyBorder="0" applyAlignment="0" applyProtection="0"/>
    <xf numFmtId="0" fontId="1" fillId="60" borderId="0" applyNumberFormat="0" applyBorder="0" applyAlignment="0" applyProtection="0"/>
    <xf numFmtId="0" fontId="1" fillId="60" borderId="0" applyNumberFormat="0" applyBorder="0" applyAlignment="0" applyProtection="0"/>
    <xf numFmtId="0" fontId="1" fillId="60" borderId="0" applyNumberFormat="0" applyBorder="0" applyAlignment="0" applyProtection="0"/>
    <xf numFmtId="0" fontId="1" fillId="60" borderId="0" applyNumberFormat="0" applyBorder="0" applyAlignment="0" applyProtection="0"/>
    <xf numFmtId="0" fontId="1" fillId="60" borderId="0" applyNumberFormat="0" applyBorder="0" applyAlignment="0" applyProtection="0"/>
    <xf numFmtId="0" fontId="1" fillId="60" borderId="0" applyNumberFormat="0" applyBorder="0" applyAlignment="0" applyProtection="0"/>
    <xf numFmtId="0" fontId="1" fillId="60" borderId="0" applyNumberFormat="0" applyBorder="0" applyAlignment="0" applyProtection="0"/>
    <xf numFmtId="0" fontId="1" fillId="64" borderId="0" applyNumberFormat="0" applyBorder="0" applyAlignment="0" applyProtection="0"/>
    <xf numFmtId="0" fontId="1" fillId="64" borderId="0" applyNumberFormat="0" applyBorder="0" applyAlignment="0" applyProtection="0"/>
    <xf numFmtId="0" fontId="1" fillId="64" borderId="0" applyNumberFormat="0" applyBorder="0" applyAlignment="0" applyProtection="0"/>
    <xf numFmtId="0" fontId="1" fillId="64" borderId="0" applyNumberFormat="0" applyBorder="0" applyAlignment="0" applyProtection="0"/>
    <xf numFmtId="0" fontId="1" fillId="64" borderId="0" applyNumberFormat="0" applyBorder="0" applyAlignment="0" applyProtection="0"/>
    <xf numFmtId="0" fontId="1" fillId="64" borderId="0" applyNumberFormat="0" applyBorder="0" applyAlignment="0" applyProtection="0"/>
    <xf numFmtId="0" fontId="1" fillId="64" borderId="0" applyNumberFormat="0" applyBorder="0" applyAlignment="0" applyProtection="0"/>
    <xf numFmtId="0" fontId="1" fillId="64" borderId="0" applyNumberFormat="0" applyBorder="0" applyAlignment="0" applyProtection="0"/>
    <xf numFmtId="0" fontId="1" fillId="64" borderId="0" applyNumberFormat="0" applyBorder="0" applyAlignment="0" applyProtection="0"/>
    <xf numFmtId="0" fontId="1" fillId="68" borderId="0" applyNumberFormat="0" applyBorder="0" applyAlignment="0" applyProtection="0"/>
    <xf numFmtId="0" fontId="1" fillId="68" borderId="0" applyNumberFormat="0" applyBorder="0" applyAlignment="0" applyProtection="0"/>
    <xf numFmtId="0" fontId="1" fillId="68" borderId="0" applyNumberFormat="0" applyBorder="0" applyAlignment="0" applyProtection="0"/>
    <xf numFmtId="0" fontId="1" fillId="68" borderId="0" applyNumberFormat="0" applyBorder="0" applyAlignment="0" applyProtection="0"/>
    <xf numFmtId="0" fontId="1" fillId="68" borderId="0" applyNumberFormat="0" applyBorder="0" applyAlignment="0" applyProtection="0"/>
    <xf numFmtId="0" fontId="1" fillId="68" borderId="0" applyNumberFormat="0" applyBorder="0" applyAlignment="0" applyProtection="0"/>
    <xf numFmtId="0" fontId="1" fillId="68" borderId="0" applyNumberFormat="0" applyBorder="0" applyAlignment="0" applyProtection="0"/>
    <xf numFmtId="0" fontId="1" fillId="68" borderId="0" applyNumberFormat="0" applyBorder="0" applyAlignment="0" applyProtection="0"/>
    <xf numFmtId="0" fontId="1" fillId="68" borderId="0" applyNumberFormat="0" applyBorder="0" applyAlignment="0" applyProtection="0"/>
    <xf numFmtId="0" fontId="1" fillId="72" borderId="0" applyNumberFormat="0" applyBorder="0" applyAlignment="0" applyProtection="0"/>
    <xf numFmtId="0" fontId="1" fillId="72" borderId="0" applyNumberFormat="0" applyBorder="0" applyAlignment="0" applyProtection="0"/>
    <xf numFmtId="0" fontId="1" fillId="72" borderId="0" applyNumberFormat="0" applyBorder="0" applyAlignment="0" applyProtection="0"/>
    <xf numFmtId="0" fontId="1" fillId="72" borderId="0" applyNumberFormat="0" applyBorder="0" applyAlignment="0" applyProtection="0"/>
    <xf numFmtId="0" fontId="1" fillId="72" borderId="0" applyNumberFormat="0" applyBorder="0" applyAlignment="0" applyProtection="0"/>
    <xf numFmtId="0" fontId="1" fillId="72" borderId="0" applyNumberFormat="0" applyBorder="0" applyAlignment="0" applyProtection="0"/>
    <xf numFmtId="0" fontId="1" fillId="72" borderId="0" applyNumberFormat="0" applyBorder="0" applyAlignment="0" applyProtection="0"/>
    <xf numFmtId="0" fontId="1" fillId="72" borderId="0" applyNumberFormat="0" applyBorder="0" applyAlignment="0" applyProtection="0"/>
    <xf numFmtId="0" fontId="1" fillId="72" borderId="0" applyNumberFormat="0" applyBorder="0" applyAlignment="0" applyProtection="0"/>
    <xf numFmtId="0" fontId="1" fillId="80" borderId="0" applyNumberFormat="0" applyBorder="0" applyAlignment="0" applyProtection="0"/>
    <xf numFmtId="0" fontId="1" fillId="80" borderId="0" applyNumberFormat="0" applyBorder="0" applyAlignment="0" applyProtection="0"/>
    <xf numFmtId="0" fontId="1" fillId="80" borderId="0" applyNumberFormat="0" applyBorder="0" applyAlignment="0" applyProtection="0"/>
    <xf numFmtId="0" fontId="1" fillId="80" borderId="0" applyNumberFormat="0" applyBorder="0" applyAlignment="0" applyProtection="0"/>
    <xf numFmtId="0" fontId="1" fillId="80" borderId="0" applyNumberFormat="0" applyBorder="0" applyAlignment="0" applyProtection="0"/>
    <xf numFmtId="0" fontId="1" fillId="80" borderId="0" applyNumberFormat="0" applyBorder="0" applyAlignment="0" applyProtection="0"/>
    <xf numFmtId="0" fontId="1" fillId="80" borderId="0" applyNumberFormat="0" applyBorder="0" applyAlignment="0" applyProtection="0"/>
    <xf numFmtId="0" fontId="1" fillId="80" borderId="0" applyNumberFormat="0" applyBorder="0" applyAlignment="0" applyProtection="0"/>
    <xf numFmtId="0" fontId="1" fillId="80" borderId="0" applyNumberFormat="0" applyBorder="0" applyAlignment="0" applyProtection="0"/>
    <xf numFmtId="0" fontId="1" fillId="61" borderId="0" applyNumberFormat="0" applyBorder="0" applyAlignment="0" applyProtection="0"/>
    <xf numFmtId="0" fontId="1" fillId="61" borderId="0" applyNumberFormat="0" applyBorder="0" applyAlignment="0" applyProtection="0"/>
    <xf numFmtId="0" fontId="1" fillId="61" borderId="0" applyNumberFormat="0" applyBorder="0" applyAlignment="0" applyProtection="0"/>
    <xf numFmtId="0" fontId="1" fillId="61" borderId="0" applyNumberFormat="0" applyBorder="0" applyAlignment="0" applyProtection="0"/>
    <xf numFmtId="0" fontId="1" fillId="61" borderId="0" applyNumberFormat="0" applyBorder="0" applyAlignment="0" applyProtection="0"/>
    <xf numFmtId="0" fontId="1" fillId="61" borderId="0" applyNumberFormat="0" applyBorder="0" applyAlignment="0" applyProtection="0"/>
    <xf numFmtId="0" fontId="1" fillId="61" borderId="0" applyNumberFormat="0" applyBorder="0" applyAlignment="0" applyProtection="0"/>
    <xf numFmtId="0" fontId="1" fillId="61" borderId="0" applyNumberFormat="0" applyBorder="0" applyAlignment="0" applyProtection="0"/>
    <xf numFmtId="0" fontId="1" fillId="61" borderId="0" applyNumberFormat="0" applyBorder="0" applyAlignment="0" applyProtection="0"/>
    <xf numFmtId="0" fontId="1" fillId="69" borderId="0" applyNumberFormat="0" applyBorder="0" applyAlignment="0" applyProtection="0"/>
    <xf numFmtId="0" fontId="1" fillId="69" borderId="0" applyNumberFormat="0" applyBorder="0" applyAlignment="0" applyProtection="0"/>
    <xf numFmtId="0" fontId="1" fillId="69" borderId="0" applyNumberFormat="0" applyBorder="0" applyAlignment="0" applyProtection="0"/>
    <xf numFmtId="0" fontId="1" fillId="69" borderId="0" applyNumberFormat="0" applyBorder="0" applyAlignment="0" applyProtection="0"/>
    <xf numFmtId="0" fontId="1" fillId="69" borderId="0" applyNumberFormat="0" applyBorder="0" applyAlignment="0" applyProtection="0"/>
    <xf numFmtId="0" fontId="1" fillId="69" borderId="0" applyNumberFormat="0" applyBorder="0" applyAlignment="0" applyProtection="0"/>
    <xf numFmtId="0" fontId="1" fillId="69" borderId="0" applyNumberFormat="0" applyBorder="0" applyAlignment="0" applyProtection="0"/>
    <xf numFmtId="0" fontId="1" fillId="69" borderId="0" applyNumberFormat="0" applyBorder="0" applyAlignment="0" applyProtection="0"/>
    <xf numFmtId="0" fontId="1" fillId="69" borderId="0" applyNumberFormat="0" applyBorder="0" applyAlignment="0" applyProtection="0"/>
    <xf numFmtId="0" fontId="1" fillId="73" borderId="0" applyNumberFormat="0" applyBorder="0" applyAlignment="0" applyProtection="0"/>
    <xf numFmtId="0" fontId="1" fillId="73" borderId="0" applyNumberFormat="0" applyBorder="0" applyAlignment="0" applyProtection="0"/>
    <xf numFmtId="0" fontId="1" fillId="73" borderId="0" applyNumberFormat="0" applyBorder="0" applyAlignment="0" applyProtection="0"/>
    <xf numFmtId="0" fontId="1" fillId="73" borderId="0" applyNumberFormat="0" applyBorder="0" applyAlignment="0" applyProtection="0"/>
    <xf numFmtId="0" fontId="1" fillId="73" borderId="0" applyNumberFormat="0" applyBorder="0" applyAlignment="0" applyProtection="0"/>
    <xf numFmtId="0" fontId="1" fillId="73" borderId="0" applyNumberFormat="0" applyBorder="0" applyAlignment="0" applyProtection="0"/>
    <xf numFmtId="0" fontId="1" fillId="73" borderId="0" applyNumberFormat="0" applyBorder="0" applyAlignment="0" applyProtection="0"/>
    <xf numFmtId="0" fontId="1" fillId="73" borderId="0" applyNumberFormat="0" applyBorder="0" applyAlignment="0" applyProtection="0"/>
    <xf numFmtId="0" fontId="1" fillId="73" borderId="0" applyNumberFormat="0" applyBorder="0" applyAlignment="0" applyProtection="0"/>
    <xf numFmtId="0" fontId="1" fillId="77" borderId="0" applyNumberFormat="0" applyBorder="0" applyAlignment="0" applyProtection="0"/>
    <xf numFmtId="0" fontId="1" fillId="77" borderId="0" applyNumberFormat="0" applyBorder="0" applyAlignment="0" applyProtection="0"/>
    <xf numFmtId="0" fontId="1" fillId="77" borderId="0" applyNumberFormat="0" applyBorder="0" applyAlignment="0" applyProtection="0"/>
    <xf numFmtId="0" fontId="1" fillId="77" borderId="0" applyNumberFormat="0" applyBorder="0" applyAlignment="0" applyProtection="0"/>
    <xf numFmtId="0" fontId="1" fillId="77" borderId="0" applyNumberFormat="0" applyBorder="0" applyAlignment="0" applyProtection="0"/>
    <xf numFmtId="0" fontId="1" fillId="77" borderId="0" applyNumberFormat="0" applyBorder="0" applyAlignment="0" applyProtection="0"/>
    <xf numFmtId="0" fontId="1" fillId="77" borderId="0" applyNumberFormat="0" applyBorder="0" applyAlignment="0" applyProtection="0"/>
    <xf numFmtId="0" fontId="1" fillId="77" borderId="0" applyNumberFormat="0" applyBorder="0" applyAlignment="0" applyProtection="0"/>
    <xf numFmtId="0" fontId="1" fillId="77" borderId="0" applyNumberFormat="0" applyBorder="0" applyAlignment="0" applyProtection="0"/>
    <xf numFmtId="0" fontId="1" fillId="81" borderId="0" applyNumberFormat="0" applyBorder="0" applyAlignment="0" applyProtection="0"/>
    <xf numFmtId="0" fontId="1" fillId="81" borderId="0" applyNumberFormat="0" applyBorder="0" applyAlignment="0" applyProtection="0"/>
    <xf numFmtId="0" fontId="1" fillId="81" borderId="0" applyNumberFormat="0" applyBorder="0" applyAlignment="0" applyProtection="0"/>
    <xf numFmtId="0" fontId="1" fillId="81" borderId="0" applyNumberFormat="0" applyBorder="0" applyAlignment="0" applyProtection="0"/>
    <xf numFmtId="0" fontId="1" fillId="81" borderId="0" applyNumberFormat="0" applyBorder="0" applyAlignment="0" applyProtection="0"/>
    <xf numFmtId="0" fontId="1" fillId="81" borderId="0" applyNumberFormat="0" applyBorder="0" applyAlignment="0" applyProtection="0"/>
    <xf numFmtId="0" fontId="1" fillId="81" borderId="0" applyNumberFormat="0" applyBorder="0" applyAlignment="0" applyProtection="0"/>
    <xf numFmtId="0" fontId="1" fillId="81" borderId="0" applyNumberFormat="0" applyBorder="0" applyAlignment="0" applyProtection="0"/>
    <xf numFmtId="0" fontId="1" fillId="81" borderId="0" applyNumberFormat="0" applyBorder="0" applyAlignment="0" applyProtection="0"/>
    <xf numFmtId="0" fontId="1" fillId="58" borderId="104" applyNumberFormat="0" applyFont="0" applyAlignment="0" applyProtection="0"/>
    <xf numFmtId="0" fontId="1" fillId="58" borderId="104" applyNumberFormat="0" applyFont="0" applyAlignment="0" applyProtection="0"/>
    <xf numFmtId="0" fontId="1" fillId="58" borderId="104" applyNumberFormat="0" applyFont="0" applyAlignment="0" applyProtection="0"/>
    <xf numFmtId="0" fontId="1" fillId="58" borderId="104" applyNumberFormat="0" applyFont="0" applyAlignment="0" applyProtection="0"/>
    <xf numFmtId="0" fontId="1" fillId="58" borderId="104" applyNumberFormat="0" applyFont="0" applyAlignment="0" applyProtection="0"/>
    <xf numFmtId="0" fontId="1" fillId="58" borderId="104" applyNumberFormat="0" applyFont="0" applyAlignment="0" applyProtection="0"/>
    <xf numFmtId="0" fontId="1" fillId="58" borderId="104" applyNumberFormat="0" applyFont="0" applyAlignment="0" applyProtection="0"/>
    <xf numFmtId="0" fontId="1" fillId="58" borderId="104" applyNumberFormat="0" applyFont="0" applyAlignment="0" applyProtection="0"/>
    <xf numFmtId="0" fontId="1" fillId="58" borderId="104" applyNumberFormat="0" applyFont="0" applyAlignment="0" applyProtection="0"/>
    <xf numFmtId="165" fontId="1" fillId="0" borderId="0" applyFont="0" applyFill="0" applyBorder="0" applyAlignment="0" applyProtection="0"/>
    <xf numFmtId="0" fontId="1" fillId="0" borderId="0"/>
    <xf numFmtId="0" fontId="1" fillId="6" borderId="0" applyNumberFormat="0" applyBorder="0" applyAlignment="0" applyProtection="0"/>
    <xf numFmtId="0" fontId="1" fillId="9" borderId="0" applyNumberFormat="0" applyBorder="0" applyAlignment="0" applyProtection="0"/>
    <xf numFmtId="0" fontId="1" fillId="26" borderId="0" applyNumberFormat="0" applyBorder="0" applyAlignment="0" applyProtection="0"/>
    <xf numFmtId="0" fontId="1" fillId="9" borderId="0" applyNumberFormat="0" applyBorder="0" applyAlignment="0" applyProtection="0"/>
    <xf numFmtId="0" fontId="1" fillId="6" borderId="0" applyNumberFormat="0" applyBorder="0" applyAlignment="0" applyProtection="0"/>
    <xf numFmtId="0" fontId="1" fillId="26" borderId="0" applyNumberFormat="0" applyBorder="0" applyAlignment="0" applyProtection="0"/>
    <xf numFmtId="0" fontId="1" fillId="9" borderId="0" applyNumberFormat="0" applyBorder="0" applyAlignment="0" applyProtection="0"/>
    <xf numFmtId="0" fontId="1" fillId="58" borderId="104" applyNumberFormat="0" applyFont="0" applyAlignment="0" applyProtection="0"/>
    <xf numFmtId="0" fontId="1" fillId="23" borderId="0" applyNumberFormat="0" applyBorder="0" applyAlignment="0" applyProtection="0"/>
    <xf numFmtId="0" fontId="1" fillId="23"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58" borderId="104" applyNumberFormat="0" applyFont="0" applyAlignment="0" applyProtection="0"/>
    <xf numFmtId="0" fontId="1" fillId="6" borderId="0" applyNumberFormat="0" applyBorder="0" applyAlignment="0" applyProtection="0"/>
    <xf numFmtId="0" fontId="1" fillId="9" borderId="0" applyNumberFormat="0" applyBorder="0" applyAlignment="0" applyProtection="0"/>
    <xf numFmtId="0" fontId="1" fillId="6" borderId="0" applyNumberFormat="0" applyBorder="0" applyAlignment="0" applyProtection="0"/>
    <xf numFmtId="0" fontId="1" fillId="60" borderId="0" applyNumberFormat="0" applyBorder="0" applyAlignment="0" applyProtection="0"/>
    <xf numFmtId="0" fontId="1" fillId="61" borderId="0" applyNumberFormat="0" applyBorder="0" applyAlignment="0" applyProtection="0"/>
    <xf numFmtId="0" fontId="1" fillId="3" borderId="0" applyNumberFormat="0" applyBorder="0" applyAlignment="0" applyProtection="0"/>
    <xf numFmtId="0" fontId="1" fillId="64" borderId="0" applyNumberFormat="0" applyBorder="0" applyAlignment="0" applyProtection="0"/>
    <xf numFmtId="0" fontId="1" fillId="65" borderId="0" applyNumberFormat="0" applyBorder="0" applyAlignment="0" applyProtection="0"/>
    <xf numFmtId="0" fontId="1" fillId="68" borderId="0" applyNumberFormat="0" applyBorder="0" applyAlignment="0" applyProtection="0"/>
    <xf numFmtId="0" fontId="1" fillId="69" borderId="0" applyNumberFormat="0" applyBorder="0" applyAlignment="0" applyProtection="0"/>
    <xf numFmtId="0" fontId="1" fillId="26" borderId="0" applyNumberFormat="0" applyBorder="0" applyAlignment="0" applyProtection="0"/>
    <xf numFmtId="0" fontId="1" fillId="72" borderId="0" applyNumberFormat="0" applyBorder="0" applyAlignment="0" applyProtection="0"/>
    <xf numFmtId="0" fontId="1" fillId="73" borderId="0" applyNumberFormat="0" applyBorder="0" applyAlignment="0" applyProtection="0"/>
    <xf numFmtId="0" fontId="1" fillId="9" borderId="0" applyNumberFormat="0" applyBorder="0" applyAlignment="0" applyProtection="0"/>
    <xf numFmtId="0" fontId="1" fillId="76" borderId="0" applyNumberFormat="0" applyBorder="0" applyAlignment="0" applyProtection="0"/>
    <xf numFmtId="0" fontId="1" fillId="77" borderId="0" applyNumberFormat="0" applyBorder="0" applyAlignment="0" applyProtection="0"/>
    <xf numFmtId="0" fontId="1" fillId="6" borderId="0" applyNumberFormat="0" applyBorder="0" applyAlignment="0" applyProtection="0"/>
    <xf numFmtId="0" fontId="1" fillId="80" borderId="0" applyNumberFormat="0" applyBorder="0" applyAlignment="0" applyProtection="0"/>
    <xf numFmtId="0" fontId="1" fillId="81" borderId="0" applyNumberFormat="0" applyBorder="0" applyAlignment="0" applyProtection="0"/>
    <xf numFmtId="0" fontId="1" fillId="58" borderId="104" applyNumberFormat="0" applyFont="0" applyAlignment="0" applyProtection="0"/>
    <xf numFmtId="0" fontId="1" fillId="58" borderId="104" applyNumberFormat="0" applyFont="0" applyAlignment="0" applyProtection="0"/>
    <xf numFmtId="0" fontId="1" fillId="60" borderId="0" applyNumberFormat="0" applyBorder="0" applyAlignment="0" applyProtection="0"/>
    <xf numFmtId="0" fontId="1" fillId="61" borderId="0" applyNumberFormat="0" applyBorder="0" applyAlignment="0" applyProtection="0"/>
    <xf numFmtId="0" fontId="1" fillId="64" borderId="0" applyNumberFormat="0" applyBorder="0" applyAlignment="0" applyProtection="0"/>
    <xf numFmtId="0" fontId="1" fillId="65" borderId="0" applyNumberFormat="0" applyBorder="0" applyAlignment="0" applyProtection="0"/>
    <xf numFmtId="0" fontId="1" fillId="68" borderId="0" applyNumberFormat="0" applyBorder="0" applyAlignment="0" applyProtection="0"/>
    <xf numFmtId="0" fontId="1" fillId="69" borderId="0" applyNumberFormat="0" applyBorder="0" applyAlignment="0" applyProtection="0"/>
    <xf numFmtId="0" fontId="1" fillId="72" borderId="0" applyNumberFormat="0" applyBorder="0" applyAlignment="0" applyProtection="0"/>
    <xf numFmtId="0" fontId="1" fillId="73" borderId="0" applyNumberFormat="0" applyBorder="0" applyAlignment="0" applyProtection="0"/>
    <xf numFmtId="0" fontId="1" fillId="76" borderId="0" applyNumberFormat="0" applyBorder="0" applyAlignment="0" applyProtection="0"/>
    <xf numFmtId="0" fontId="1" fillId="77" borderId="0" applyNumberFormat="0" applyBorder="0" applyAlignment="0" applyProtection="0"/>
    <xf numFmtId="0" fontId="1" fillId="80" borderId="0" applyNumberFormat="0" applyBorder="0" applyAlignment="0" applyProtection="0"/>
    <xf numFmtId="0" fontId="1" fillId="81" borderId="0" applyNumberFormat="0" applyBorder="0" applyAlignment="0" applyProtection="0"/>
    <xf numFmtId="0" fontId="1" fillId="6" borderId="0" applyNumberFormat="0" applyBorder="0" applyAlignment="0" applyProtection="0"/>
    <xf numFmtId="0" fontId="1" fillId="60" borderId="0" applyNumberFormat="0" applyBorder="0" applyAlignment="0" applyProtection="0"/>
    <xf numFmtId="0" fontId="1" fillId="61" borderId="0" applyNumberFormat="0" applyBorder="0" applyAlignment="0" applyProtection="0"/>
    <xf numFmtId="0" fontId="1" fillId="64" borderId="0" applyNumberFormat="0" applyBorder="0" applyAlignment="0" applyProtection="0"/>
    <xf numFmtId="0" fontId="1" fillId="65" borderId="0" applyNumberFormat="0" applyBorder="0" applyAlignment="0" applyProtection="0"/>
    <xf numFmtId="0" fontId="1" fillId="68" borderId="0" applyNumberFormat="0" applyBorder="0" applyAlignment="0" applyProtection="0"/>
    <xf numFmtId="0" fontId="1" fillId="69" borderId="0" applyNumberFormat="0" applyBorder="0" applyAlignment="0" applyProtection="0"/>
    <xf numFmtId="0" fontId="1" fillId="72" borderId="0" applyNumberFormat="0" applyBorder="0" applyAlignment="0" applyProtection="0"/>
    <xf numFmtId="0" fontId="1" fillId="73" borderId="0" applyNumberFormat="0" applyBorder="0" applyAlignment="0" applyProtection="0"/>
    <xf numFmtId="0" fontId="1" fillId="76" borderId="0" applyNumberFormat="0" applyBorder="0" applyAlignment="0" applyProtection="0"/>
    <xf numFmtId="0" fontId="1" fillId="77" borderId="0" applyNumberFormat="0" applyBorder="0" applyAlignment="0" applyProtection="0"/>
    <xf numFmtId="0" fontId="1" fillId="80" borderId="0" applyNumberFormat="0" applyBorder="0" applyAlignment="0" applyProtection="0"/>
    <xf numFmtId="0" fontId="1" fillId="81" borderId="0" applyNumberFormat="0" applyBorder="0" applyAlignment="0" applyProtection="0"/>
    <xf numFmtId="0" fontId="1" fillId="58" borderId="104" applyNumberFormat="0" applyFont="0" applyAlignment="0" applyProtection="0"/>
    <xf numFmtId="0" fontId="1" fillId="26" borderId="0" applyNumberFormat="0" applyBorder="0" applyAlignment="0" applyProtection="0"/>
    <xf numFmtId="0" fontId="1" fillId="60" borderId="0" applyNumberFormat="0" applyBorder="0" applyAlignment="0" applyProtection="0"/>
    <xf numFmtId="0" fontId="1" fillId="61" borderId="0" applyNumberFormat="0" applyBorder="0" applyAlignment="0" applyProtection="0"/>
    <xf numFmtId="0" fontId="1" fillId="64" borderId="0" applyNumberFormat="0" applyBorder="0" applyAlignment="0" applyProtection="0"/>
    <xf numFmtId="0" fontId="1" fillId="65" borderId="0" applyNumberFormat="0" applyBorder="0" applyAlignment="0" applyProtection="0"/>
    <xf numFmtId="0" fontId="1" fillId="68" borderId="0" applyNumberFormat="0" applyBorder="0" applyAlignment="0" applyProtection="0"/>
    <xf numFmtId="0" fontId="1" fillId="69" borderId="0" applyNumberFormat="0" applyBorder="0" applyAlignment="0" applyProtection="0"/>
    <xf numFmtId="0" fontId="1" fillId="72" borderId="0" applyNumberFormat="0" applyBorder="0" applyAlignment="0" applyProtection="0"/>
    <xf numFmtId="0" fontId="1" fillId="73" borderId="0" applyNumberFormat="0" applyBorder="0" applyAlignment="0" applyProtection="0"/>
    <xf numFmtId="0" fontId="1" fillId="76" borderId="0" applyNumberFormat="0" applyBorder="0" applyAlignment="0" applyProtection="0"/>
    <xf numFmtId="0" fontId="1" fillId="77" borderId="0" applyNumberFormat="0" applyBorder="0" applyAlignment="0" applyProtection="0"/>
    <xf numFmtId="0" fontId="1" fillId="80" borderId="0" applyNumberFormat="0" applyBorder="0" applyAlignment="0" applyProtection="0"/>
    <xf numFmtId="0" fontId="1" fillId="81" borderId="0" applyNumberFormat="0" applyBorder="0" applyAlignment="0" applyProtection="0"/>
    <xf numFmtId="0" fontId="1" fillId="58" borderId="104" applyNumberFormat="0" applyFont="0" applyAlignment="0" applyProtection="0"/>
    <xf numFmtId="0" fontId="1" fillId="58" borderId="104" applyNumberFormat="0" applyFont="0" applyAlignment="0" applyProtection="0"/>
    <xf numFmtId="0" fontId="1" fillId="60" borderId="0" applyNumberFormat="0" applyBorder="0" applyAlignment="0" applyProtection="0"/>
    <xf numFmtId="0" fontId="1" fillId="61" borderId="0" applyNumberFormat="0" applyBorder="0" applyAlignment="0" applyProtection="0"/>
    <xf numFmtId="0" fontId="1" fillId="64" borderId="0" applyNumberFormat="0" applyBorder="0" applyAlignment="0" applyProtection="0"/>
    <xf numFmtId="0" fontId="1" fillId="65" borderId="0" applyNumberFormat="0" applyBorder="0" applyAlignment="0" applyProtection="0"/>
    <xf numFmtId="0" fontId="1" fillId="68" borderId="0" applyNumberFormat="0" applyBorder="0" applyAlignment="0" applyProtection="0"/>
    <xf numFmtId="0" fontId="1" fillId="69" borderId="0" applyNumberFormat="0" applyBorder="0" applyAlignment="0" applyProtection="0"/>
    <xf numFmtId="0" fontId="1" fillId="72" borderId="0" applyNumberFormat="0" applyBorder="0" applyAlignment="0" applyProtection="0"/>
    <xf numFmtId="0" fontId="1" fillId="73" borderId="0" applyNumberFormat="0" applyBorder="0" applyAlignment="0" applyProtection="0"/>
    <xf numFmtId="0" fontId="1" fillId="76" borderId="0" applyNumberFormat="0" applyBorder="0" applyAlignment="0" applyProtection="0"/>
    <xf numFmtId="0" fontId="1" fillId="77" borderId="0" applyNumberFormat="0" applyBorder="0" applyAlignment="0" applyProtection="0"/>
    <xf numFmtId="0" fontId="1" fillId="80" borderId="0" applyNumberFormat="0" applyBorder="0" applyAlignment="0" applyProtection="0"/>
    <xf numFmtId="0" fontId="1" fillId="81" borderId="0" applyNumberFormat="0" applyBorder="0" applyAlignment="0" applyProtection="0"/>
    <xf numFmtId="0" fontId="1" fillId="60" borderId="0" applyNumberFormat="0" applyBorder="0" applyAlignment="0" applyProtection="0"/>
    <xf numFmtId="0" fontId="1" fillId="61" borderId="0" applyNumberFormat="0" applyBorder="0" applyAlignment="0" applyProtection="0"/>
    <xf numFmtId="0" fontId="1" fillId="64" borderId="0" applyNumberFormat="0" applyBorder="0" applyAlignment="0" applyProtection="0"/>
    <xf numFmtId="0" fontId="1" fillId="65" borderId="0" applyNumberFormat="0" applyBorder="0" applyAlignment="0" applyProtection="0"/>
    <xf numFmtId="0" fontId="1" fillId="68" borderId="0" applyNumberFormat="0" applyBorder="0" applyAlignment="0" applyProtection="0"/>
    <xf numFmtId="0" fontId="1" fillId="69" borderId="0" applyNumberFormat="0" applyBorder="0" applyAlignment="0" applyProtection="0"/>
    <xf numFmtId="0" fontId="1" fillId="72" borderId="0" applyNumberFormat="0" applyBorder="0" applyAlignment="0" applyProtection="0"/>
    <xf numFmtId="0" fontId="1" fillId="73" borderId="0" applyNumberFormat="0" applyBorder="0" applyAlignment="0" applyProtection="0"/>
    <xf numFmtId="0" fontId="1" fillId="76" borderId="0" applyNumberFormat="0" applyBorder="0" applyAlignment="0" applyProtection="0"/>
    <xf numFmtId="0" fontId="1" fillId="77" borderId="0" applyNumberFormat="0" applyBorder="0" applyAlignment="0" applyProtection="0"/>
    <xf numFmtId="0" fontId="1" fillId="80" borderId="0" applyNumberFormat="0" applyBorder="0" applyAlignment="0" applyProtection="0"/>
    <xf numFmtId="0" fontId="1" fillId="81" borderId="0" applyNumberFormat="0" applyBorder="0" applyAlignment="0" applyProtection="0"/>
    <xf numFmtId="0" fontId="1" fillId="58" borderId="104" applyNumberFormat="0" applyFont="0" applyAlignment="0" applyProtection="0"/>
    <xf numFmtId="0" fontId="1" fillId="60" borderId="0" applyNumberFormat="0" applyBorder="0" applyAlignment="0" applyProtection="0"/>
    <xf numFmtId="0" fontId="1" fillId="61" borderId="0" applyNumberFormat="0" applyBorder="0" applyAlignment="0" applyProtection="0"/>
    <xf numFmtId="0" fontId="1" fillId="64" borderId="0" applyNumberFormat="0" applyBorder="0" applyAlignment="0" applyProtection="0"/>
    <xf numFmtId="0" fontId="1" fillId="65" borderId="0" applyNumberFormat="0" applyBorder="0" applyAlignment="0" applyProtection="0"/>
    <xf numFmtId="0" fontId="1" fillId="68" borderId="0" applyNumberFormat="0" applyBorder="0" applyAlignment="0" applyProtection="0"/>
    <xf numFmtId="0" fontId="1" fillId="69" borderId="0" applyNumberFormat="0" applyBorder="0" applyAlignment="0" applyProtection="0"/>
    <xf numFmtId="0" fontId="1" fillId="72" borderId="0" applyNumberFormat="0" applyBorder="0" applyAlignment="0" applyProtection="0"/>
    <xf numFmtId="0" fontId="1" fillId="73" borderId="0" applyNumberFormat="0" applyBorder="0" applyAlignment="0" applyProtection="0"/>
    <xf numFmtId="0" fontId="1" fillId="76" borderId="0" applyNumberFormat="0" applyBorder="0" applyAlignment="0" applyProtection="0"/>
    <xf numFmtId="0" fontId="1" fillId="77" borderId="0" applyNumberFormat="0" applyBorder="0" applyAlignment="0" applyProtection="0"/>
    <xf numFmtId="0" fontId="1" fillId="80" borderId="0" applyNumberFormat="0" applyBorder="0" applyAlignment="0" applyProtection="0"/>
    <xf numFmtId="0" fontId="1" fillId="81" borderId="0" applyNumberFormat="0" applyBorder="0" applyAlignment="0" applyProtection="0"/>
    <xf numFmtId="0" fontId="1" fillId="58" borderId="104" applyNumberFormat="0" applyFont="0" applyAlignment="0" applyProtection="0"/>
    <xf numFmtId="0" fontId="1" fillId="58" borderId="104" applyNumberFormat="0" applyFont="0" applyAlignment="0" applyProtection="0"/>
    <xf numFmtId="0" fontId="1" fillId="60" borderId="0" applyNumberFormat="0" applyBorder="0" applyAlignment="0" applyProtection="0"/>
    <xf numFmtId="0" fontId="1" fillId="61" borderId="0" applyNumberFormat="0" applyBorder="0" applyAlignment="0" applyProtection="0"/>
    <xf numFmtId="0" fontId="1" fillId="64" borderId="0" applyNumberFormat="0" applyBorder="0" applyAlignment="0" applyProtection="0"/>
    <xf numFmtId="0" fontId="1" fillId="65" borderId="0" applyNumberFormat="0" applyBorder="0" applyAlignment="0" applyProtection="0"/>
    <xf numFmtId="0" fontId="1" fillId="68" borderId="0" applyNumberFormat="0" applyBorder="0" applyAlignment="0" applyProtection="0"/>
    <xf numFmtId="0" fontId="1" fillId="69" borderId="0" applyNumberFormat="0" applyBorder="0" applyAlignment="0" applyProtection="0"/>
    <xf numFmtId="0" fontId="1" fillId="72" borderId="0" applyNumberFormat="0" applyBorder="0" applyAlignment="0" applyProtection="0"/>
    <xf numFmtId="0" fontId="1" fillId="73" borderId="0" applyNumberFormat="0" applyBorder="0" applyAlignment="0" applyProtection="0"/>
    <xf numFmtId="0" fontId="1" fillId="76" borderId="0" applyNumberFormat="0" applyBorder="0" applyAlignment="0" applyProtection="0"/>
    <xf numFmtId="0" fontId="1" fillId="77" borderId="0" applyNumberFormat="0" applyBorder="0" applyAlignment="0" applyProtection="0"/>
    <xf numFmtId="0" fontId="1" fillId="80" borderId="0" applyNumberFormat="0" applyBorder="0" applyAlignment="0" applyProtection="0"/>
    <xf numFmtId="0" fontId="1" fillId="81" borderId="0" applyNumberFormat="0" applyBorder="0" applyAlignment="0" applyProtection="0"/>
    <xf numFmtId="0" fontId="1" fillId="60" borderId="0" applyNumberFormat="0" applyBorder="0" applyAlignment="0" applyProtection="0"/>
    <xf numFmtId="0" fontId="1" fillId="61" borderId="0" applyNumberFormat="0" applyBorder="0" applyAlignment="0" applyProtection="0"/>
    <xf numFmtId="0" fontId="1" fillId="64" borderId="0" applyNumberFormat="0" applyBorder="0" applyAlignment="0" applyProtection="0"/>
    <xf numFmtId="0" fontId="1" fillId="65" borderId="0" applyNumberFormat="0" applyBorder="0" applyAlignment="0" applyProtection="0"/>
    <xf numFmtId="0" fontId="1" fillId="68" borderId="0" applyNumberFormat="0" applyBorder="0" applyAlignment="0" applyProtection="0"/>
    <xf numFmtId="0" fontId="1" fillId="69" borderId="0" applyNumberFormat="0" applyBorder="0" applyAlignment="0" applyProtection="0"/>
    <xf numFmtId="0" fontId="1" fillId="72" borderId="0" applyNumberFormat="0" applyBorder="0" applyAlignment="0" applyProtection="0"/>
    <xf numFmtId="0" fontId="1" fillId="73" borderId="0" applyNumberFormat="0" applyBorder="0" applyAlignment="0" applyProtection="0"/>
    <xf numFmtId="0" fontId="1" fillId="76" borderId="0" applyNumberFormat="0" applyBorder="0" applyAlignment="0" applyProtection="0"/>
    <xf numFmtId="0" fontId="1" fillId="77" borderId="0" applyNumberFormat="0" applyBorder="0" applyAlignment="0" applyProtection="0"/>
    <xf numFmtId="0" fontId="1" fillId="80" borderId="0" applyNumberFormat="0" applyBorder="0" applyAlignment="0" applyProtection="0"/>
    <xf numFmtId="0" fontId="1" fillId="81" borderId="0" applyNumberFormat="0" applyBorder="0" applyAlignment="0" applyProtection="0"/>
    <xf numFmtId="0" fontId="1" fillId="58" borderId="104" applyNumberFormat="0" applyFont="0" applyAlignment="0" applyProtection="0"/>
    <xf numFmtId="0" fontId="1" fillId="0" borderId="0"/>
    <xf numFmtId="0" fontId="1" fillId="26" borderId="0" applyNumberFormat="0" applyBorder="0" applyAlignment="0" applyProtection="0"/>
    <xf numFmtId="0" fontId="1" fillId="9" borderId="0" applyNumberFormat="0" applyBorder="0" applyAlignment="0" applyProtection="0"/>
    <xf numFmtId="0" fontId="1" fillId="0" borderId="0"/>
    <xf numFmtId="0" fontId="1" fillId="60" borderId="0" applyNumberFormat="0" applyBorder="0" applyAlignment="0" applyProtection="0"/>
    <xf numFmtId="0" fontId="1" fillId="61" borderId="0" applyNumberFormat="0" applyBorder="0" applyAlignment="0" applyProtection="0"/>
    <xf numFmtId="0" fontId="1" fillId="64" borderId="0" applyNumberFormat="0" applyBorder="0" applyAlignment="0" applyProtection="0"/>
    <xf numFmtId="0" fontId="1" fillId="65" borderId="0" applyNumberFormat="0" applyBorder="0" applyAlignment="0" applyProtection="0"/>
    <xf numFmtId="0" fontId="1" fillId="68" borderId="0" applyNumberFormat="0" applyBorder="0" applyAlignment="0" applyProtection="0"/>
    <xf numFmtId="0" fontId="1" fillId="69" borderId="0" applyNumberFormat="0" applyBorder="0" applyAlignment="0" applyProtection="0"/>
    <xf numFmtId="0" fontId="1" fillId="72" borderId="0" applyNumberFormat="0" applyBorder="0" applyAlignment="0" applyProtection="0"/>
    <xf numFmtId="0" fontId="1" fillId="73" borderId="0" applyNumberFormat="0" applyBorder="0" applyAlignment="0" applyProtection="0"/>
    <xf numFmtId="0" fontId="1" fillId="76" borderId="0" applyNumberFormat="0" applyBorder="0" applyAlignment="0" applyProtection="0"/>
    <xf numFmtId="0" fontId="1" fillId="77" borderId="0" applyNumberFormat="0" applyBorder="0" applyAlignment="0" applyProtection="0"/>
    <xf numFmtId="0" fontId="1" fillId="80" borderId="0" applyNumberFormat="0" applyBorder="0" applyAlignment="0" applyProtection="0"/>
    <xf numFmtId="0" fontId="1" fillId="81" borderId="0" applyNumberFormat="0" applyBorder="0" applyAlignment="0" applyProtection="0"/>
    <xf numFmtId="0" fontId="1" fillId="58" borderId="104" applyNumberFormat="0" applyFont="0" applyAlignment="0" applyProtection="0"/>
    <xf numFmtId="0" fontId="1" fillId="58" borderId="104" applyNumberFormat="0" applyFont="0" applyAlignment="0" applyProtection="0"/>
    <xf numFmtId="0" fontId="1" fillId="60" borderId="0" applyNumberFormat="0" applyBorder="0" applyAlignment="0" applyProtection="0"/>
    <xf numFmtId="0" fontId="1" fillId="61" borderId="0" applyNumberFormat="0" applyBorder="0" applyAlignment="0" applyProtection="0"/>
    <xf numFmtId="0" fontId="1" fillId="64" borderId="0" applyNumberFormat="0" applyBorder="0" applyAlignment="0" applyProtection="0"/>
    <xf numFmtId="0" fontId="1" fillId="65" borderId="0" applyNumberFormat="0" applyBorder="0" applyAlignment="0" applyProtection="0"/>
    <xf numFmtId="0" fontId="1" fillId="68" borderId="0" applyNumberFormat="0" applyBorder="0" applyAlignment="0" applyProtection="0"/>
    <xf numFmtId="0" fontId="1" fillId="69" borderId="0" applyNumberFormat="0" applyBorder="0" applyAlignment="0" applyProtection="0"/>
    <xf numFmtId="0" fontId="1" fillId="72" borderId="0" applyNumberFormat="0" applyBorder="0" applyAlignment="0" applyProtection="0"/>
    <xf numFmtId="0" fontId="1" fillId="73" borderId="0" applyNumberFormat="0" applyBorder="0" applyAlignment="0" applyProtection="0"/>
    <xf numFmtId="0" fontId="1" fillId="76" borderId="0" applyNumberFormat="0" applyBorder="0" applyAlignment="0" applyProtection="0"/>
    <xf numFmtId="0" fontId="1" fillId="77" borderId="0" applyNumberFormat="0" applyBorder="0" applyAlignment="0" applyProtection="0"/>
    <xf numFmtId="0" fontId="1" fillId="80" borderId="0" applyNumberFormat="0" applyBorder="0" applyAlignment="0" applyProtection="0"/>
    <xf numFmtId="0" fontId="1" fillId="81" borderId="0" applyNumberFormat="0" applyBorder="0" applyAlignment="0" applyProtection="0"/>
    <xf numFmtId="0" fontId="1" fillId="60" borderId="0" applyNumberFormat="0" applyBorder="0" applyAlignment="0" applyProtection="0"/>
    <xf numFmtId="0" fontId="1" fillId="61" borderId="0" applyNumberFormat="0" applyBorder="0" applyAlignment="0" applyProtection="0"/>
    <xf numFmtId="0" fontId="1" fillId="64" borderId="0" applyNumberFormat="0" applyBorder="0" applyAlignment="0" applyProtection="0"/>
    <xf numFmtId="0" fontId="1" fillId="65" borderId="0" applyNumberFormat="0" applyBorder="0" applyAlignment="0" applyProtection="0"/>
    <xf numFmtId="0" fontId="1" fillId="68" borderId="0" applyNumberFormat="0" applyBorder="0" applyAlignment="0" applyProtection="0"/>
    <xf numFmtId="0" fontId="1" fillId="69" borderId="0" applyNumberFormat="0" applyBorder="0" applyAlignment="0" applyProtection="0"/>
    <xf numFmtId="0" fontId="1" fillId="72" borderId="0" applyNumberFormat="0" applyBorder="0" applyAlignment="0" applyProtection="0"/>
    <xf numFmtId="0" fontId="1" fillId="73" borderId="0" applyNumberFormat="0" applyBorder="0" applyAlignment="0" applyProtection="0"/>
    <xf numFmtId="0" fontId="1" fillId="76" borderId="0" applyNumberFormat="0" applyBorder="0" applyAlignment="0" applyProtection="0"/>
    <xf numFmtId="0" fontId="1" fillId="77" borderId="0" applyNumberFormat="0" applyBorder="0" applyAlignment="0" applyProtection="0"/>
    <xf numFmtId="0" fontId="1" fillId="80" borderId="0" applyNumberFormat="0" applyBorder="0" applyAlignment="0" applyProtection="0"/>
    <xf numFmtId="0" fontId="1" fillId="81" borderId="0" applyNumberFormat="0" applyBorder="0" applyAlignment="0" applyProtection="0"/>
    <xf numFmtId="0" fontId="1" fillId="58" borderId="104" applyNumberFormat="0" applyFont="0" applyAlignment="0" applyProtection="0"/>
    <xf numFmtId="0" fontId="1" fillId="60" borderId="0" applyNumberFormat="0" applyBorder="0" applyAlignment="0" applyProtection="0"/>
    <xf numFmtId="0" fontId="1" fillId="61" borderId="0" applyNumberFormat="0" applyBorder="0" applyAlignment="0" applyProtection="0"/>
    <xf numFmtId="0" fontId="1" fillId="64" borderId="0" applyNumberFormat="0" applyBorder="0" applyAlignment="0" applyProtection="0"/>
    <xf numFmtId="0" fontId="1" fillId="65" borderId="0" applyNumberFormat="0" applyBorder="0" applyAlignment="0" applyProtection="0"/>
    <xf numFmtId="0" fontId="1" fillId="68" borderId="0" applyNumberFormat="0" applyBorder="0" applyAlignment="0" applyProtection="0"/>
    <xf numFmtId="0" fontId="1" fillId="69" borderId="0" applyNumberFormat="0" applyBorder="0" applyAlignment="0" applyProtection="0"/>
    <xf numFmtId="0" fontId="1" fillId="72" borderId="0" applyNumberFormat="0" applyBorder="0" applyAlignment="0" applyProtection="0"/>
    <xf numFmtId="0" fontId="1" fillId="73" borderId="0" applyNumberFormat="0" applyBorder="0" applyAlignment="0" applyProtection="0"/>
    <xf numFmtId="0" fontId="1" fillId="76" borderId="0" applyNumberFormat="0" applyBorder="0" applyAlignment="0" applyProtection="0"/>
    <xf numFmtId="0" fontId="1" fillId="77" borderId="0" applyNumberFormat="0" applyBorder="0" applyAlignment="0" applyProtection="0"/>
    <xf numFmtId="0" fontId="1" fillId="80" borderId="0" applyNumberFormat="0" applyBorder="0" applyAlignment="0" applyProtection="0"/>
    <xf numFmtId="0" fontId="1" fillId="81" borderId="0" applyNumberFormat="0" applyBorder="0" applyAlignment="0" applyProtection="0"/>
    <xf numFmtId="0" fontId="1" fillId="58" borderId="104" applyNumberFormat="0" applyFont="0" applyAlignment="0" applyProtection="0"/>
    <xf numFmtId="0" fontId="1" fillId="58" borderId="104" applyNumberFormat="0" applyFont="0" applyAlignment="0" applyProtection="0"/>
    <xf numFmtId="0" fontId="1" fillId="60" borderId="0" applyNumberFormat="0" applyBorder="0" applyAlignment="0" applyProtection="0"/>
    <xf numFmtId="0" fontId="1" fillId="61" borderId="0" applyNumberFormat="0" applyBorder="0" applyAlignment="0" applyProtection="0"/>
    <xf numFmtId="0" fontId="1" fillId="64" borderId="0" applyNumberFormat="0" applyBorder="0" applyAlignment="0" applyProtection="0"/>
    <xf numFmtId="0" fontId="1" fillId="65" borderId="0" applyNumberFormat="0" applyBorder="0" applyAlignment="0" applyProtection="0"/>
    <xf numFmtId="0" fontId="1" fillId="68" borderId="0" applyNumberFormat="0" applyBorder="0" applyAlignment="0" applyProtection="0"/>
    <xf numFmtId="0" fontId="1" fillId="69" borderId="0" applyNumberFormat="0" applyBorder="0" applyAlignment="0" applyProtection="0"/>
    <xf numFmtId="0" fontId="1" fillId="72" borderId="0" applyNumberFormat="0" applyBorder="0" applyAlignment="0" applyProtection="0"/>
    <xf numFmtId="0" fontId="1" fillId="73" borderId="0" applyNumberFormat="0" applyBorder="0" applyAlignment="0" applyProtection="0"/>
    <xf numFmtId="0" fontId="1" fillId="76" borderId="0" applyNumberFormat="0" applyBorder="0" applyAlignment="0" applyProtection="0"/>
    <xf numFmtId="0" fontId="1" fillId="77" borderId="0" applyNumberFormat="0" applyBorder="0" applyAlignment="0" applyProtection="0"/>
    <xf numFmtId="0" fontId="1" fillId="80" borderId="0" applyNumberFormat="0" applyBorder="0" applyAlignment="0" applyProtection="0"/>
    <xf numFmtId="0" fontId="1" fillId="81" borderId="0" applyNumberFormat="0" applyBorder="0" applyAlignment="0" applyProtection="0"/>
    <xf numFmtId="0" fontId="1" fillId="60" borderId="0" applyNumberFormat="0" applyBorder="0" applyAlignment="0" applyProtection="0"/>
    <xf numFmtId="0" fontId="1" fillId="61" borderId="0" applyNumberFormat="0" applyBorder="0" applyAlignment="0" applyProtection="0"/>
    <xf numFmtId="0" fontId="1" fillId="64" borderId="0" applyNumberFormat="0" applyBorder="0" applyAlignment="0" applyProtection="0"/>
    <xf numFmtId="0" fontId="1" fillId="65" borderId="0" applyNumberFormat="0" applyBorder="0" applyAlignment="0" applyProtection="0"/>
    <xf numFmtId="0" fontId="1" fillId="68" borderId="0" applyNumberFormat="0" applyBorder="0" applyAlignment="0" applyProtection="0"/>
    <xf numFmtId="0" fontId="1" fillId="69" borderId="0" applyNumberFormat="0" applyBorder="0" applyAlignment="0" applyProtection="0"/>
    <xf numFmtId="0" fontId="1" fillId="72" borderId="0" applyNumberFormat="0" applyBorder="0" applyAlignment="0" applyProtection="0"/>
    <xf numFmtId="0" fontId="1" fillId="73" borderId="0" applyNumberFormat="0" applyBorder="0" applyAlignment="0" applyProtection="0"/>
    <xf numFmtId="0" fontId="1" fillId="76" borderId="0" applyNumberFormat="0" applyBorder="0" applyAlignment="0" applyProtection="0"/>
    <xf numFmtId="0" fontId="1" fillId="77" borderId="0" applyNumberFormat="0" applyBorder="0" applyAlignment="0" applyProtection="0"/>
    <xf numFmtId="0" fontId="1" fillId="80" borderId="0" applyNumberFormat="0" applyBorder="0" applyAlignment="0" applyProtection="0"/>
    <xf numFmtId="0" fontId="1" fillId="81" borderId="0" applyNumberFormat="0" applyBorder="0" applyAlignment="0" applyProtection="0"/>
    <xf numFmtId="0" fontId="1" fillId="58" borderId="104" applyNumberFormat="0" applyFont="0" applyAlignment="0" applyProtection="0"/>
    <xf numFmtId="0" fontId="1" fillId="60" borderId="0" applyNumberFormat="0" applyBorder="0" applyAlignment="0" applyProtection="0"/>
    <xf numFmtId="0" fontId="1" fillId="61" borderId="0" applyNumberFormat="0" applyBorder="0" applyAlignment="0" applyProtection="0"/>
    <xf numFmtId="0" fontId="1" fillId="64" borderId="0" applyNumberFormat="0" applyBorder="0" applyAlignment="0" applyProtection="0"/>
    <xf numFmtId="0" fontId="1" fillId="65" borderId="0" applyNumberFormat="0" applyBorder="0" applyAlignment="0" applyProtection="0"/>
    <xf numFmtId="0" fontId="1" fillId="68" borderId="0" applyNumberFormat="0" applyBorder="0" applyAlignment="0" applyProtection="0"/>
    <xf numFmtId="0" fontId="1" fillId="69" borderId="0" applyNumberFormat="0" applyBorder="0" applyAlignment="0" applyProtection="0"/>
    <xf numFmtId="0" fontId="1" fillId="72" borderId="0" applyNumberFormat="0" applyBorder="0" applyAlignment="0" applyProtection="0"/>
    <xf numFmtId="0" fontId="1" fillId="73" borderId="0" applyNumberFormat="0" applyBorder="0" applyAlignment="0" applyProtection="0"/>
    <xf numFmtId="0" fontId="1" fillId="76" borderId="0" applyNumberFormat="0" applyBorder="0" applyAlignment="0" applyProtection="0"/>
    <xf numFmtId="0" fontId="1" fillId="77" borderId="0" applyNumberFormat="0" applyBorder="0" applyAlignment="0" applyProtection="0"/>
    <xf numFmtId="0" fontId="1" fillId="80" borderId="0" applyNumberFormat="0" applyBorder="0" applyAlignment="0" applyProtection="0"/>
    <xf numFmtId="0" fontId="1" fillId="81" borderId="0" applyNumberFormat="0" applyBorder="0" applyAlignment="0" applyProtection="0"/>
    <xf numFmtId="0" fontId="1" fillId="58" borderId="104" applyNumberFormat="0" applyFont="0" applyAlignment="0" applyProtection="0"/>
    <xf numFmtId="0" fontId="1" fillId="58" borderId="104" applyNumberFormat="0" applyFont="0" applyAlignment="0" applyProtection="0"/>
    <xf numFmtId="0" fontId="1" fillId="60" borderId="0" applyNumberFormat="0" applyBorder="0" applyAlignment="0" applyProtection="0"/>
    <xf numFmtId="0" fontId="1" fillId="61" borderId="0" applyNumberFormat="0" applyBorder="0" applyAlignment="0" applyProtection="0"/>
    <xf numFmtId="0" fontId="1" fillId="64" borderId="0" applyNumberFormat="0" applyBorder="0" applyAlignment="0" applyProtection="0"/>
    <xf numFmtId="0" fontId="1" fillId="65" borderId="0" applyNumberFormat="0" applyBorder="0" applyAlignment="0" applyProtection="0"/>
    <xf numFmtId="0" fontId="1" fillId="68" borderId="0" applyNumberFormat="0" applyBorder="0" applyAlignment="0" applyProtection="0"/>
    <xf numFmtId="0" fontId="1" fillId="69" borderId="0" applyNumberFormat="0" applyBorder="0" applyAlignment="0" applyProtection="0"/>
    <xf numFmtId="0" fontId="1" fillId="72" borderId="0" applyNumberFormat="0" applyBorder="0" applyAlignment="0" applyProtection="0"/>
    <xf numFmtId="0" fontId="1" fillId="73" borderId="0" applyNumberFormat="0" applyBorder="0" applyAlignment="0" applyProtection="0"/>
    <xf numFmtId="0" fontId="1" fillId="76" borderId="0" applyNumberFormat="0" applyBorder="0" applyAlignment="0" applyProtection="0"/>
    <xf numFmtId="0" fontId="1" fillId="77" borderId="0" applyNumberFormat="0" applyBorder="0" applyAlignment="0" applyProtection="0"/>
    <xf numFmtId="0" fontId="1" fillId="80" borderId="0" applyNumberFormat="0" applyBorder="0" applyAlignment="0" applyProtection="0"/>
    <xf numFmtId="0" fontId="1" fillId="81" borderId="0" applyNumberFormat="0" applyBorder="0" applyAlignment="0" applyProtection="0"/>
    <xf numFmtId="0" fontId="1" fillId="60" borderId="0" applyNumberFormat="0" applyBorder="0" applyAlignment="0" applyProtection="0"/>
    <xf numFmtId="0" fontId="1" fillId="61" borderId="0" applyNumberFormat="0" applyBorder="0" applyAlignment="0" applyProtection="0"/>
    <xf numFmtId="0" fontId="1" fillId="64" borderId="0" applyNumberFormat="0" applyBorder="0" applyAlignment="0" applyProtection="0"/>
    <xf numFmtId="0" fontId="1" fillId="65" borderId="0" applyNumberFormat="0" applyBorder="0" applyAlignment="0" applyProtection="0"/>
    <xf numFmtId="0" fontId="1" fillId="68" borderId="0" applyNumberFormat="0" applyBorder="0" applyAlignment="0" applyProtection="0"/>
    <xf numFmtId="0" fontId="1" fillId="69" borderId="0" applyNumberFormat="0" applyBorder="0" applyAlignment="0" applyProtection="0"/>
    <xf numFmtId="0" fontId="1" fillId="72" borderId="0" applyNumberFormat="0" applyBorder="0" applyAlignment="0" applyProtection="0"/>
    <xf numFmtId="0" fontId="1" fillId="73" borderId="0" applyNumberFormat="0" applyBorder="0" applyAlignment="0" applyProtection="0"/>
    <xf numFmtId="0" fontId="1" fillId="76" borderId="0" applyNumberFormat="0" applyBorder="0" applyAlignment="0" applyProtection="0"/>
    <xf numFmtId="0" fontId="1" fillId="77" borderId="0" applyNumberFormat="0" applyBorder="0" applyAlignment="0" applyProtection="0"/>
    <xf numFmtId="0" fontId="1" fillId="80" borderId="0" applyNumberFormat="0" applyBorder="0" applyAlignment="0" applyProtection="0"/>
    <xf numFmtId="0" fontId="1" fillId="81" borderId="0" applyNumberFormat="0" applyBorder="0" applyAlignment="0" applyProtection="0"/>
    <xf numFmtId="0" fontId="1" fillId="58" borderId="104" applyNumberFormat="0" applyFont="0" applyAlignment="0" applyProtection="0"/>
    <xf numFmtId="0" fontId="1" fillId="26" borderId="0" applyNumberFormat="0" applyBorder="0" applyAlignment="0" applyProtection="0"/>
    <xf numFmtId="0" fontId="1" fillId="60" borderId="0" applyNumberFormat="0" applyBorder="0" applyAlignment="0" applyProtection="0"/>
    <xf numFmtId="0" fontId="1" fillId="60" borderId="0" applyNumberFormat="0" applyBorder="0" applyAlignment="0" applyProtection="0"/>
    <xf numFmtId="0" fontId="1" fillId="60" borderId="0" applyNumberFormat="0" applyBorder="0" applyAlignment="0" applyProtection="0"/>
    <xf numFmtId="0" fontId="1" fillId="60" borderId="0" applyNumberFormat="0" applyBorder="0" applyAlignment="0" applyProtection="0"/>
    <xf numFmtId="0" fontId="1" fillId="60" borderId="0" applyNumberFormat="0" applyBorder="0" applyAlignment="0" applyProtection="0"/>
    <xf numFmtId="0" fontId="1" fillId="60" borderId="0" applyNumberFormat="0" applyBorder="0" applyAlignment="0" applyProtection="0"/>
    <xf numFmtId="0" fontId="1" fillId="60" borderId="0" applyNumberFormat="0" applyBorder="0" applyAlignment="0" applyProtection="0"/>
    <xf numFmtId="0" fontId="1" fillId="60" borderId="0" applyNumberFormat="0" applyBorder="0" applyAlignment="0" applyProtection="0"/>
    <xf numFmtId="0" fontId="1" fillId="60" borderId="0" applyNumberFormat="0" applyBorder="0" applyAlignment="0" applyProtection="0"/>
    <xf numFmtId="0" fontId="1" fillId="64" borderId="0" applyNumberFormat="0" applyBorder="0" applyAlignment="0" applyProtection="0"/>
    <xf numFmtId="0" fontId="1" fillId="64" borderId="0" applyNumberFormat="0" applyBorder="0" applyAlignment="0" applyProtection="0"/>
    <xf numFmtId="0" fontId="1" fillId="64" borderId="0" applyNumberFormat="0" applyBorder="0" applyAlignment="0" applyProtection="0"/>
    <xf numFmtId="0" fontId="1" fillId="64" borderId="0" applyNumberFormat="0" applyBorder="0" applyAlignment="0" applyProtection="0"/>
    <xf numFmtId="0" fontId="1" fillId="64" borderId="0" applyNumberFormat="0" applyBorder="0" applyAlignment="0" applyProtection="0"/>
    <xf numFmtId="0" fontId="1" fillId="64" borderId="0" applyNumberFormat="0" applyBorder="0" applyAlignment="0" applyProtection="0"/>
    <xf numFmtId="0" fontId="1" fillId="64" borderId="0" applyNumberFormat="0" applyBorder="0" applyAlignment="0" applyProtection="0"/>
    <xf numFmtId="0" fontId="1" fillId="64" borderId="0" applyNumberFormat="0" applyBorder="0" applyAlignment="0" applyProtection="0"/>
    <xf numFmtId="0" fontId="1" fillId="64" borderId="0" applyNumberFormat="0" applyBorder="0" applyAlignment="0" applyProtection="0"/>
    <xf numFmtId="0" fontId="1" fillId="68" borderId="0" applyNumberFormat="0" applyBorder="0" applyAlignment="0" applyProtection="0"/>
    <xf numFmtId="0" fontId="1" fillId="68" borderId="0" applyNumberFormat="0" applyBorder="0" applyAlignment="0" applyProtection="0"/>
    <xf numFmtId="0" fontId="1" fillId="68" borderId="0" applyNumberFormat="0" applyBorder="0" applyAlignment="0" applyProtection="0"/>
    <xf numFmtId="0" fontId="1" fillId="68" borderId="0" applyNumberFormat="0" applyBorder="0" applyAlignment="0" applyProtection="0"/>
    <xf numFmtId="0" fontId="1" fillId="68" borderId="0" applyNumberFormat="0" applyBorder="0" applyAlignment="0" applyProtection="0"/>
    <xf numFmtId="0" fontId="1" fillId="68" borderId="0" applyNumberFormat="0" applyBorder="0" applyAlignment="0" applyProtection="0"/>
    <xf numFmtId="0" fontId="1" fillId="68" borderId="0" applyNumberFormat="0" applyBorder="0" applyAlignment="0" applyProtection="0"/>
    <xf numFmtId="0" fontId="1" fillId="68" borderId="0" applyNumberFormat="0" applyBorder="0" applyAlignment="0" applyProtection="0"/>
    <xf numFmtId="0" fontId="1" fillId="68" borderId="0" applyNumberFormat="0" applyBorder="0" applyAlignment="0" applyProtection="0"/>
    <xf numFmtId="0" fontId="1" fillId="72" borderId="0" applyNumberFormat="0" applyBorder="0" applyAlignment="0" applyProtection="0"/>
    <xf numFmtId="0" fontId="1" fillId="72" borderId="0" applyNumberFormat="0" applyBorder="0" applyAlignment="0" applyProtection="0"/>
    <xf numFmtId="0" fontId="1" fillId="72" borderId="0" applyNumberFormat="0" applyBorder="0" applyAlignment="0" applyProtection="0"/>
    <xf numFmtId="0" fontId="1" fillId="72" borderId="0" applyNumberFormat="0" applyBorder="0" applyAlignment="0" applyProtection="0"/>
    <xf numFmtId="0" fontId="1" fillId="72" borderId="0" applyNumberFormat="0" applyBorder="0" applyAlignment="0" applyProtection="0"/>
    <xf numFmtId="0" fontId="1" fillId="72" borderId="0" applyNumberFormat="0" applyBorder="0" applyAlignment="0" applyProtection="0"/>
    <xf numFmtId="0" fontId="1" fillId="72" borderId="0" applyNumberFormat="0" applyBorder="0" applyAlignment="0" applyProtection="0"/>
    <xf numFmtId="0" fontId="1" fillId="72" borderId="0" applyNumberFormat="0" applyBorder="0" applyAlignment="0" applyProtection="0"/>
    <xf numFmtId="0" fontId="1" fillId="72" borderId="0" applyNumberFormat="0" applyBorder="0" applyAlignment="0" applyProtection="0"/>
    <xf numFmtId="0" fontId="1" fillId="76" borderId="0" applyNumberFormat="0" applyBorder="0" applyAlignment="0" applyProtection="0"/>
    <xf numFmtId="0" fontId="1" fillId="76" borderId="0" applyNumberFormat="0" applyBorder="0" applyAlignment="0" applyProtection="0"/>
    <xf numFmtId="0" fontId="1" fillId="76" borderId="0" applyNumberFormat="0" applyBorder="0" applyAlignment="0" applyProtection="0"/>
    <xf numFmtId="0" fontId="1" fillId="76" borderId="0" applyNumberFormat="0" applyBorder="0" applyAlignment="0" applyProtection="0"/>
    <xf numFmtId="0" fontId="1" fillId="76" borderId="0" applyNumberFormat="0" applyBorder="0" applyAlignment="0" applyProtection="0"/>
    <xf numFmtId="0" fontId="1" fillId="76" borderId="0" applyNumberFormat="0" applyBorder="0" applyAlignment="0" applyProtection="0"/>
    <xf numFmtId="0" fontId="1" fillId="76" borderId="0" applyNumberFormat="0" applyBorder="0" applyAlignment="0" applyProtection="0"/>
    <xf numFmtId="0" fontId="1" fillId="76" borderId="0" applyNumberFormat="0" applyBorder="0" applyAlignment="0" applyProtection="0"/>
    <xf numFmtId="0" fontId="1" fillId="76" borderId="0" applyNumberFormat="0" applyBorder="0" applyAlignment="0" applyProtection="0"/>
    <xf numFmtId="0" fontId="1" fillId="80" borderId="0" applyNumberFormat="0" applyBorder="0" applyAlignment="0" applyProtection="0"/>
    <xf numFmtId="0" fontId="1" fillId="80" borderId="0" applyNumberFormat="0" applyBorder="0" applyAlignment="0" applyProtection="0"/>
    <xf numFmtId="0" fontId="1" fillId="80" borderId="0" applyNumberFormat="0" applyBorder="0" applyAlignment="0" applyProtection="0"/>
    <xf numFmtId="0" fontId="1" fillId="80" borderId="0" applyNumberFormat="0" applyBorder="0" applyAlignment="0" applyProtection="0"/>
    <xf numFmtId="0" fontId="1" fillId="80" borderId="0" applyNumberFormat="0" applyBorder="0" applyAlignment="0" applyProtection="0"/>
    <xf numFmtId="0" fontId="1" fillId="80" borderId="0" applyNumberFormat="0" applyBorder="0" applyAlignment="0" applyProtection="0"/>
    <xf numFmtId="0" fontId="1" fillId="80" borderId="0" applyNumberFormat="0" applyBorder="0" applyAlignment="0" applyProtection="0"/>
    <xf numFmtId="0" fontId="1" fillId="80" borderId="0" applyNumberFormat="0" applyBorder="0" applyAlignment="0" applyProtection="0"/>
    <xf numFmtId="0" fontId="1" fillId="80" borderId="0" applyNumberFormat="0" applyBorder="0" applyAlignment="0" applyProtection="0"/>
    <xf numFmtId="0" fontId="1" fillId="61" borderId="0" applyNumberFormat="0" applyBorder="0" applyAlignment="0" applyProtection="0"/>
    <xf numFmtId="0" fontId="1" fillId="61" borderId="0" applyNumberFormat="0" applyBorder="0" applyAlignment="0" applyProtection="0"/>
    <xf numFmtId="0" fontId="1" fillId="61" borderId="0" applyNumberFormat="0" applyBorder="0" applyAlignment="0" applyProtection="0"/>
    <xf numFmtId="0" fontId="1" fillId="61" borderId="0" applyNumberFormat="0" applyBorder="0" applyAlignment="0" applyProtection="0"/>
    <xf numFmtId="0" fontId="1" fillId="61" borderId="0" applyNumberFormat="0" applyBorder="0" applyAlignment="0" applyProtection="0"/>
    <xf numFmtId="0" fontId="1" fillId="61" borderId="0" applyNumberFormat="0" applyBorder="0" applyAlignment="0" applyProtection="0"/>
    <xf numFmtId="0" fontId="1" fillId="61" borderId="0" applyNumberFormat="0" applyBorder="0" applyAlignment="0" applyProtection="0"/>
    <xf numFmtId="0" fontId="1" fillId="61" borderId="0" applyNumberFormat="0" applyBorder="0" applyAlignment="0" applyProtection="0"/>
    <xf numFmtId="0" fontId="1" fillId="61" borderId="0" applyNumberFormat="0" applyBorder="0" applyAlignment="0" applyProtection="0"/>
    <xf numFmtId="0" fontId="1" fillId="65" borderId="0" applyNumberFormat="0" applyBorder="0" applyAlignment="0" applyProtection="0"/>
    <xf numFmtId="0" fontId="1" fillId="65" borderId="0" applyNumberFormat="0" applyBorder="0" applyAlignment="0" applyProtection="0"/>
    <xf numFmtId="0" fontId="1" fillId="65" borderId="0" applyNumberFormat="0" applyBorder="0" applyAlignment="0" applyProtection="0"/>
    <xf numFmtId="0" fontId="1" fillId="65" borderId="0" applyNumberFormat="0" applyBorder="0" applyAlignment="0" applyProtection="0"/>
    <xf numFmtId="0" fontId="1" fillId="65" borderId="0" applyNumberFormat="0" applyBorder="0" applyAlignment="0" applyProtection="0"/>
    <xf numFmtId="0" fontId="1" fillId="65" borderId="0" applyNumberFormat="0" applyBorder="0" applyAlignment="0" applyProtection="0"/>
    <xf numFmtId="0" fontId="1" fillId="65" borderId="0" applyNumberFormat="0" applyBorder="0" applyAlignment="0" applyProtection="0"/>
    <xf numFmtId="0" fontId="1" fillId="65" borderId="0" applyNumberFormat="0" applyBorder="0" applyAlignment="0" applyProtection="0"/>
    <xf numFmtId="0" fontId="1" fillId="65" borderId="0" applyNumberFormat="0" applyBorder="0" applyAlignment="0" applyProtection="0"/>
    <xf numFmtId="0" fontId="1" fillId="69" borderId="0" applyNumberFormat="0" applyBorder="0" applyAlignment="0" applyProtection="0"/>
    <xf numFmtId="0" fontId="1" fillId="69" borderId="0" applyNumberFormat="0" applyBorder="0" applyAlignment="0" applyProtection="0"/>
    <xf numFmtId="0" fontId="1" fillId="69" borderId="0" applyNumberFormat="0" applyBorder="0" applyAlignment="0" applyProtection="0"/>
    <xf numFmtId="0" fontId="1" fillId="69" borderId="0" applyNumberFormat="0" applyBorder="0" applyAlignment="0" applyProtection="0"/>
    <xf numFmtId="0" fontId="1" fillId="69" borderId="0" applyNumberFormat="0" applyBorder="0" applyAlignment="0" applyProtection="0"/>
    <xf numFmtId="0" fontId="1" fillId="69" borderId="0" applyNumberFormat="0" applyBorder="0" applyAlignment="0" applyProtection="0"/>
    <xf numFmtId="0" fontId="1" fillId="69" borderId="0" applyNumberFormat="0" applyBorder="0" applyAlignment="0" applyProtection="0"/>
    <xf numFmtId="0" fontId="1" fillId="69" borderId="0" applyNumberFormat="0" applyBorder="0" applyAlignment="0" applyProtection="0"/>
    <xf numFmtId="0" fontId="1" fillId="69" borderId="0" applyNumberFormat="0" applyBorder="0" applyAlignment="0" applyProtection="0"/>
    <xf numFmtId="0" fontId="1" fillId="73" borderId="0" applyNumberFormat="0" applyBorder="0" applyAlignment="0" applyProtection="0"/>
    <xf numFmtId="0" fontId="1" fillId="73" borderId="0" applyNumberFormat="0" applyBorder="0" applyAlignment="0" applyProtection="0"/>
    <xf numFmtId="0" fontId="1" fillId="73" borderId="0" applyNumberFormat="0" applyBorder="0" applyAlignment="0" applyProtection="0"/>
    <xf numFmtId="0" fontId="1" fillId="73" borderId="0" applyNumberFormat="0" applyBorder="0" applyAlignment="0" applyProtection="0"/>
    <xf numFmtId="0" fontId="1" fillId="73" borderId="0" applyNumberFormat="0" applyBorder="0" applyAlignment="0" applyProtection="0"/>
    <xf numFmtId="0" fontId="1" fillId="73" borderId="0" applyNumberFormat="0" applyBorder="0" applyAlignment="0" applyProtection="0"/>
    <xf numFmtId="0" fontId="1" fillId="73" borderId="0" applyNumberFormat="0" applyBorder="0" applyAlignment="0" applyProtection="0"/>
    <xf numFmtId="0" fontId="1" fillId="73" borderId="0" applyNumberFormat="0" applyBorder="0" applyAlignment="0" applyProtection="0"/>
    <xf numFmtId="0" fontId="1" fillId="73" borderId="0" applyNumberFormat="0" applyBorder="0" applyAlignment="0" applyProtection="0"/>
    <xf numFmtId="0" fontId="1" fillId="77" borderId="0" applyNumberFormat="0" applyBorder="0" applyAlignment="0" applyProtection="0"/>
    <xf numFmtId="0" fontId="1" fillId="77" borderId="0" applyNumberFormat="0" applyBorder="0" applyAlignment="0" applyProtection="0"/>
    <xf numFmtId="0" fontId="1" fillId="77" borderId="0" applyNumberFormat="0" applyBorder="0" applyAlignment="0" applyProtection="0"/>
    <xf numFmtId="0" fontId="1" fillId="77" borderId="0" applyNumberFormat="0" applyBorder="0" applyAlignment="0" applyProtection="0"/>
    <xf numFmtId="0" fontId="1" fillId="77" borderId="0" applyNumberFormat="0" applyBorder="0" applyAlignment="0" applyProtection="0"/>
    <xf numFmtId="0" fontId="1" fillId="77" borderId="0" applyNumberFormat="0" applyBorder="0" applyAlignment="0" applyProtection="0"/>
    <xf numFmtId="0" fontId="1" fillId="77" borderId="0" applyNumberFormat="0" applyBorder="0" applyAlignment="0" applyProtection="0"/>
    <xf numFmtId="0" fontId="1" fillId="77" borderId="0" applyNumberFormat="0" applyBorder="0" applyAlignment="0" applyProtection="0"/>
    <xf numFmtId="0" fontId="1" fillId="77" borderId="0" applyNumberFormat="0" applyBorder="0" applyAlignment="0" applyProtection="0"/>
    <xf numFmtId="0" fontId="1" fillId="81" borderId="0" applyNumberFormat="0" applyBorder="0" applyAlignment="0" applyProtection="0"/>
    <xf numFmtId="0" fontId="1" fillId="81" borderId="0" applyNumberFormat="0" applyBorder="0" applyAlignment="0" applyProtection="0"/>
    <xf numFmtId="0" fontId="1" fillId="81" borderId="0" applyNumberFormat="0" applyBorder="0" applyAlignment="0" applyProtection="0"/>
    <xf numFmtId="0" fontId="1" fillId="81" borderId="0" applyNumberFormat="0" applyBorder="0" applyAlignment="0" applyProtection="0"/>
    <xf numFmtId="0" fontId="1" fillId="81" borderId="0" applyNumberFormat="0" applyBorder="0" applyAlignment="0" applyProtection="0"/>
    <xf numFmtId="0" fontId="1" fillId="81" borderId="0" applyNumberFormat="0" applyBorder="0" applyAlignment="0" applyProtection="0"/>
    <xf numFmtId="0" fontId="1" fillId="81" borderId="0" applyNumberFormat="0" applyBorder="0" applyAlignment="0" applyProtection="0"/>
    <xf numFmtId="0" fontId="1" fillId="81" borderId="0" applyNumberFormat="0" applyBorder="0" applyAlignment="0" applyProtection="0"/>
    <xf numFmtId="0" fontId="1" fillId="81" borderId="0" applyNumberFormat="0" applyBorder="0" applyAlignment="0" applyProtection="0"/>
    <xf numFmtId="0" fontId="1" fillId="23" borderId="0" applyNumberFormat="0" applyBorder="0" applyAlignment="0" applyProtection="0"/>
    <xf numFmtId="0" fontId="1" fillId="58" borderId="104" applyNumberFormat="0" applyFont="0" applyAlignment="0" applyProtection="0"/>
    <xf numFmtId="0" fontId="1" fillId="58" borderId="104" applyNumberFormat="0" applyFont="0" applyAlignment="0" applyProtection="0"/>
    <xf numFmtId="0" fontId="1" fillId="58" borderId="104" applyNumberFormat="0" applyFont="0" applyAlignment="0" applyProtection="0"/>
    <xf numFmtId="0" fontId="1" fillId="58" borderId="104" applyNumberFormat="0" applyFont="0" applyAlignment="0" applyProtection="0"/>
    <xf numFmtId="0" fontId="1" fillId="58" borderId="104" applyNumberFormat="0" applyFont="0" applyAlignment="0" applyProtection="0"/>
    <xf numFmtId="0" fontId="1" fillId="58" borderId="104" applyNumberFormat="0" applyFont="0" applyAlignment="0" applyProtection="0"/>
    <xf numFmtId="0" fontId="1" fillId="58" borderId="104" applyNumberFormat="0" applyFont="0" applyAlignment="0" applyProtection="0"/>
    <xf numFmtId="0" fontId="1" fillId="58" borderId="104" applyNumberFormat="0" applyFont="0" applyAlignment="0" applyProtection="0"/>
    <xf numFmtId="0" fontId="1" fillId="58" borderId="104" applyNumberFormat="0" applyFont="0" applyAlignment="0" applyProtection="0"/>
    <xf numFmtId="0" fontId="1" fillId="58" borderId="104" applyNumberFormat="0" applyFont="0" applyAlignment="0" applyProtection="0"/>
    <xf numFmtId="0" fontId="1" fillId="26" borderId="0" applyNumberFormat="0" applyBorder="0" applyAlignment="0" applyProtection="0"/>
    <xf numFmtId="0" fontId="1" fillId="58" borderId="104" applyNumberFormat="0" applyFont="0" applyAlignment="0" applyProtection="0"/>
    <xf numFmtId="0" fontId="1" fillId="23" borderId="0" applyNumberFormat="0" applyBorder="0" applyAlignment="0" applyProtection="0"/>
    <xf numFmtId="0" fontId="1" fillId="58" borderId="104" applyNumberFormat="0" applyFont="0" applyAlignment="0" applyProtection="0"/>
    <xf numFmtId="0" fontId="1" fillId="6" borderId="0" applyNumberFormat="0" applyBorder="0" applyAlignment="0" applyProtection="0"/>
    <xf numFmtId="0" fontId="1" fillId="0" borderId="0"/>
    <xf numFmtId="0" fontId="1" fillId="0" borderId="0"/>
    <xf numFmtId="0" fontId="1" fillId="9" borderId="0" applyNumberFormat="0" applyBorder="0" applyAlignment="0" applyProtection="0"/>
    <xf numFmtId="0" fontId="1" fillId="6"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7" borderId="0" applyNumberFormat="0" applyBorder="0" applyAlignment="0" applyProtection="0"/>
    <xf numFmtId="9" fontId="1" fillId="0" borderId="0" applyFont="0" applyFill="0" applyBorder="0" applyAlignment="0" applyProtection="0"/>
    <xf numFmtId="0" fontId="1" fillId="26" borderId="0" applyNumberFormat="0" applyBorder="0" applyAlignment="0" applyProtection="0"/>
    <xf numFmtId="0" fontId="1" fillId="23" borderId="0" applyNumberFormat="0" applyBorder="0" applyAlignment="0" applyProtection="0"/>
    <xf numFmtId="0" fontId="1" fillId="26" borderId="0" applyNumberFormat="0" applyBorder="0" applyAlignment="0" applyProtection="0"/>
    <xf numFmtId="0" fontId="1" fillId="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8"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8" borderId="0" applyNumberFormat="0" applyBorder="0" applyAlignment="0" applyProtection="0"/>
    <xf numFmtId="0" fontId="1" fillId="26" borderId="0" applyNumberFormat="0" applyBorder="0" applyAlignment="0" applyProtection="0"/>
    <xf numFmtId="0" fontId="1" fillId="9"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8" borderId="0" applyNumberFormat="0" applyBorder="0" applyAlignment="0" applyProtection="0"/>
    <xf numFmtId="0" fontId="1" fillId="26"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8" borderId="0" applyNumberFormat="0" applyBorder="0" applyAlignment="0" applyProtection="0"/>
    <xf numFmtId="0" fontId="1" fillId="26" borderId="0" applyNumberFormat="0" applyBorder="0" applyAlignment="0" applyProtection="0"/>
    <xf numFmtId="0" fontId="1" fillId="8"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60" borderId="0" applyNumberFormat="0" applyBorder="0" applyAlignment="0" applyProtection="0"/>
    <xf numFmtId="0" fontId="1" fillId="61" borderId="0" applyNumberFormat="0" applyBorder="0" applyAlignment="0" applyProtection="0"/>
    <xf numFmtId="0" fontId="1" fillId="64" borderId="0" applyNumberFormat="0" applyBorder="0" applyAlignment="0" applyProtection="0"/>
    <xf numFmtId="0" fontId="1" fillId="65" borderId="0" applyNumberFormat="0" applyBorder="0" applyAlignment="0" applyProtection="0"/>
    <xf numFmtId="0" fontId="1" fillId="68" borderId="0" applyNumberFormat="0" applyBorder="0" applyAlignment="0" applyProtection="0"/>
    <xf numFmtId="0" fontId="1" fillId="69" borderId="0" applyNumberFormat="0" applyBorder="0" applyAlignment="0" applyProtection="0"/>
    <xf numFmtId="0" fontId="1" fillId="72" borderId="0" applyNumberFormat="0" applyBorder="0" applyAlignment="0" applyProtection="0"/>
    <xf numFmtId="0" fontId="1" fillId="73" borderId="0" applyNumberFormat="0" applyBorder="0" applyAlignment="0" applyProtection="0"/>
    <xf numFmtId="0" fontId="1" fillId="76" borderId="0" applyNumberFormat="0" applyBorder="0" applyAlignment="0" applyProtection="0"/>
    <xf numFmtId="0" fontId="1" fillId="77" borderId="0" applyNumberFormat="0" applyBorder="0" applyAlignment="0" applyProtection="0"/>
    <xf numFmtId="0" fontId="1" fillId="80" borderId="0" applyNumberFormat="0" applyBorder="0" applyAlignment="0" applyProtection="0"/>
    <xf numFmtId="0" fontId="1" fillId="81" borderId="0" applyNumberFormat="0" applyBorder="0" applyAlignment="0" applyProtection="0"/>
    <xf numFmtId="0" fontId="1" fillId="58" borderId="104" applyNumberFormat="0" applyFont="0" applyAlignment="0" applyProtection="0"/>
    <xf numFmtId="0" fontId="1" fillId="58" borderId="104" applyNumberFormat="0" applyFont="0" applyAlignment="0" applyProtection="0"/>
    <xf numFmtId="0" fontId="1" fillId="60" borderId="0" applyNumberFormat="0" applyBorder="0" applyAlignment="0" applyProtection="0"/>
    <xf numFmtId="0" fontId="1" fillId="61" borderId="0" applyNumberFormat="0" applyBorder="0" applyAlignment="0" applyProtection="0"/>
    <xf numFmtId="0" fontId="1" fillId="64" borderId="0" applyNumberFormat="0" applyBorder="0" applyAlignment="0" applyProtection="0"/>
    <xf numFmtId="0" fontId="1" fillId="65" borderId="0" applyNumberFormat="0" applyBorder="0" applyAlignment="0" applyProtection="0"/>
    <xf numFmtId="0" fontId="1" fillId="68" borderId="0" applyNumberFormat="0" applyBorder="0" applyAlignment="0" applyProtection="0"/>
    <xf numFmtId="0" fontId="1" fillId="69" borderId="0" applyNumberFormat="0" applyBorder="0" applyAlignment="0" applyProtection="0"/>
    <xf numFmtId="0" fontId="1" fillId="72" borderId="0" applyNumberFormat="0" applyBorder="0" applyAlignment="0" applyProtection="0"/>
    <xf numFmtId="0" fontId="1" fillId="73" borderId="0" applyNumberFormat="0" applyBorder="0" applyAlignment="0" applyProtection="0"/>
    <xf numFmtId="0" fontId="1" fillId="76" borderId="0" applyNumberFormat="0" applyBorder="0" applyAlignment="0" applyProtection="0"/>
    <xf numFmtId="0" fontId="1" fillId="77" borderId="0" applyNumberFormat="0" applyBorder="0" applyAlignment="0" applyProtection="0"/>
    <xf numFmtId="0" fontId="1" fillId="80" borderId="0" applyNumberFormat="0" applyBorder="0" applyAlignment="0" applyProtection="0"/>
    <xf numFmtId="0" fontId="1" fillId="81" borderId="0" applyNumberFormat="0" applyBorder="0" applyAlignment="0" applyProtection="0"/>
    <xf numFmtId="0" fontId="1" fillId="60" borderId="0" applyNumberFormat="0" applyBorder="0" applyAlignment="0" applyProtection="0"/>
    <xf numFmtId="0" fontId="1" fillId="61" borderId="0" applyNumberFormat="0" applyBorder="0" applyAlignment="0" applyProtection="0"/>
    <xf numFmtId="0" fontId="1" fillId="64" borderId="0" applyNumberFormat="0" applyBorder="0" applyAlignment="0" applyProtection="0"/>
    <xf numFmtId="0" fontId="1" fillId="65" borderId="0" applyNumberFormat="0" applyBorder="0" applyAlignment="0" applyProtection="0"/>
    <xf numFmtId="0" fontId="1" fillId="68" borderId="0" applyNumberFormat="0" applyBorder="0" applyAlignment="0" applyProtection="0"/>
    <xf numFmtId="0" fontId="1" fillId="69" borderId="0" applyNumberFormat="0" applyBorder="0" applyAlignment="0" applyProtection="0"/>
    <xf numFmtId="0" fontId="1" fillId="72" borderId="0" applyNumberFormat="0" applyBorder="0" applyAlignment="0" applyProtection="0"/>
    <xf numFmtId="0" fontId="1" fillId="73" borderId="0" applyNumberFormat="0" applyBorder="0" applyAlignment="0" applyProtection="0"/>
    <xf numFmtId="0" fontId="1" fillId="76" borderId="0" applyNumberFormat="0" applyBorder="0" applyAlignment="0" applyProtection="0"/>
    <xf numFmtId="0" fontId="1" fillId="77" borderId="0" applyNumberFormat="0" applyBorder="0" applyAlignment="0" applyProtection="0"/>
    <xf numFmtId="0" fontId="1" fillId="80" borderId="0" applyNumberFormat="0" applyBorder="0" applyAlignment="0" applyProtection="0"/>
    <xf numFmtId="0" fontId="1" fillId="81" borderId="0" applyNumberFormat="0" applyBorder="0" applyAlignment="0" applyProtection="0"/>
    <xf numFmtId="0" fontId="1" fillId="58" borderId="104" applyNumberFormat="0" applyFont="0" applyAlignment="0" applyProtection="0"/>
    <xf numFmtId="0" fontId="1" fillId="60" borderId="0" applyNumberFormat="0" applyBorder="0" applyAlignment="0" applyProtection="0"/>
    <xf numFmtId="0" fontId="1" fillId="61" borderId="0" applyNumberFormat="0" applyBorder="0" applyAlignment="0" applyProtection="0"/>
    <xf numFmtId="0" fontId="1" fillId="64" borderId="0" applyNumberFormat="0" applyBorder="0" applyAlignment="0" applyProtection="0"/>
    <xf numFmtId="0" fontId="1" fillId="65" borderId="0" applyNumberFormat="0" applyBorder="0" applyAlignment="0" applyProtection="0"/>
    <xf numFmtId="0" fontId="1" fillId="68" borderId="0" applyNumberFormat="0" applyBorder="0" applyAlignment="0" applyProtection="0"/>
    <xf numFmtId="0" fontId="1" fillId="69" borderId="0" applyNumberFormat="0" applyBorder="0" applyAlignment="0" applyProtection="0"/>
    <xf numFmtId="0" fontId="1" fillId="72" borderId="0" applyNumberFormat="0" applyBorder="0" applyAlignment="0" applyProtection="0"/>
    <xf numFmtId="0" fontId="1" fillId="73" borderId="0" applyNumberFormat="0" applyBorder="0" applyAlignment="0" applyProtection="0"/>
    <xf numFmtId="0" fontId="1" fillId="76" borderId="0" applyNumberFormat="0" applyBorder="0" applyAlignment="0" applyProtection="0"/>
    <xf numFmtId="0" fontId="1" fillId="77" borderId="0" applyNumberFormat="0" applyBorder="0" applyAlignment="0" applyProtection="0"/>
    <xf numFmtId="0" fontId="1" fillId="80" borderId="0" applyNumberFormat="0" applyBorder="0" applyAlignment="0" applyProtection="0"/>
    <xf numFmtId="0" fontId="1" fillId="81" borderId="0" applyNumberFormat="0" applyBorder="0" applyAlignment="0" applyProtection="0"/>
    <xf numFmtId="0" fontId="1" fillId="58" borderId="104" applyNumberFormat="0" applyFont="0" applyAlignment="0" applyProtection="0"/>
    <xf numFmtId="0" fontId="1" fillId="58" borderId="104" applyNumberFormat="0" applyFont="0" applyAlignment="0" applyProtection="0"/>
    <xf numFmtId="0" fontId="1" fillId="60" borderId="0" applyNumberFormat="0" applyBorder="0" applyAlignment="0" applyProtection="0"/>
    <xf numFmtId="0" fontId="1" fillId="61" borderId="0" applyNumberFormat="0" applyBorder="0" applyAlignment="0" applyProtection="0"/>
    <xf numFmtId="0" fontId="1" fillId="64" borderId="0" applyNumberFormat="0" applyBorder="0" applyAlignment="0" applyProtection="0"/>
    <xf numFmtId="0" fontId="1" fillId="65" borderId="0" applyNumberFormat="0" applyBorder="0" applyAlignment="0" applyProtection="0"/>
    <xf numFmtId="0" fontId="1" fillId="68" borderId="0" applyNumberFormat="0" applyBorder="0" applyAlignment="0" applyProtection="0"/>
    <xf numFmtId="0" fontId="1" fillId="69" borderId="0" applyNumberFormat="0" applyBorder="0" applyAlignment="0" applyProtection="0"/>
    <xf numFmtId="0" fontId="1" fillId="72" borderId="0" applyNumberFormat="0" applyBorder="0" applyAlignment="0" applyProtection="0"/>
    <xf numFmtId="0" fontId="1" fillId="73" borderId="0" applyNumberFormat="0" applyBorder="0" applyAlignment="0" applyProtection="0"/>
    <xf numFmtId="0" fontId="1" fillId="76" borderId="0" applyNumberFormat="0" applyBorder="0" applyAlignment="0" applyProtection="0"/>
    <xf numFmtId="0" fontId="1" fillId="77" borderId="0" applyNumberFormat="0" applyBorder="0" applyAlignment="0" applyProtection="0"/>
    <xf numFmtId="0" fontId="1" fillId="80" borderId="0" applyNumberFormat="0" applyBorder="0" applyAlignment="0" applyProtection="0"/>
    <xf numFmtId="0" fontId="1" fillId="81" borderId="0" applyNumberFormat="0" applyBorder="0" applyAlignment="0" applyProtection="0"/>
    <xf numFmtId="0" fontId="1" fillId="60" borderId="0" applyNumberFormat="0" applyBorder="0" applyAlignment="0" applyProtection="0"/>
    <xf numFmtId="0" fontId="1" fillId="61" borderId="0" applyNumberFormat="0" applyBorder="0" applyAlignment="0" applyProtection="0"/>
    <xf numFmtId="0" fontId="1" fillId="64" borderId="0" applyNumberFormat="0" applyBorder="0" applyAlignment="0" applyProtection="0"/>
    <xf numFmtId="0" fontId="1" fillId="65" borderId="0" applyNumberFormat="0" applyBorder="0" applyAlignment="0" applyProtection="0"/>
    <xf numFmtId="0" fontId="1" fillId="68" borderId="0" applyNumberFormat="0" applyBorder="0" applyAlignment="0" applyProtection="0"/>
    <xf numFmtId="0" fontId="1" fillId="69" borderId="0" applyNumberFormat="0" applyBorder="0" applyAlignment="0" applyProtection="0"/>
    <xf numFmtId="0" fontId="1" fillId="72" borderId="0" applyNumberFormat="0" applyBorder="0" applyAlignment="0" applyProtection="0"/>
    <xf numFmtId="0" fontId="1" fillId="73" borderId="0" applyNumberFormat="0" applyBorder="0" applyAlignment="0" applyProtection="0"/>
    <xf numFmtId="0" fontId="1" fillId="76" borderId="0" applyNumberFormat="0" applyBorder="0" applyAlignment="0" applyProtection="0"/>
    <xf numFmtId="0" fontId="1" fillId="77" borderId="0" applyNumberFormat="0" applyBorder="0" applyAlignment="0" applyProtection="0"/>
    <xf numFmtId="0" fontId="1" fillId="80" borderId="0" applyNumberFormat="0" applyBorder="0" applyAlignment="0" applyProtection="0"/>
    <xf numFmtId="0" fontId="1" fillId="81" borderId="0" applyNumberFormat="0" applyBorder="0" applyAlignment="0" applyProtection="0"/>
    <xf numFmtId="0" fontId="1" fillId="58" borderId="104" applyNumberFormat="0" applyFont="0" applyAlignment="0" applyProtection="0"/>
    <xf numFmtId="0" fontId="1" fillId="60" borderId="0" applyNumberFormat="0" applyBorder="0" applyAlignment="0" applyProtection="0"/>
    <xf numFmtId="0" fontId="1" fillId="61" borderId="0" applyNumberFormat="0" applyBorder="0" applyAlignment="0" applyProtection="0"/>
    <xf numFmtId="0" fontId="1" fillId="64" borderId="0" applyNumberFormat="0" applyBorder="0" applyAlignment="0" applyProtection="0"/>
    <xf numFmtId="0" fontId="1" fillId="65" borderId="0" applyNumberFormat="0" applyBorder="0" applyAlignment="0" applyProtection="0"/>
    <xf numFmtId="0" fontId="1" fillId="68" borderId="0" applyNumberFormat="0" applyBorder="0" applyAlignment="0" applyProtection="0"/>
    <xf numFmtId="0" fontId="1" fillId="69" borderId="0" applyNumberFormat="0" applyBorder="0" applyAlignment="0" applyProtection="0"/>
    <xf numFmtId="0" fontId="1" fillId="72" borderId="0" applyNumberFormat="0" applyBorder="0" applyAlignment="0" applyProtection="0"/>
    <xf numFmtId="0" fontId="1" fillId="73" borderId="0" applyNumberFormat="0" applyBorder="0" applyAlignment="0" applyProtection="0"/>
    <xf numFmtId="0" fontId="1" fillId="76" borderId="0" applyNumberFormat="0" applyBorder="0" applyAlignment="0" applyProtection="0"/>
    <xf numFmtId="0" fontId="1" fillId="77" borderId="0" applyNumberFormat="0" applyBorder="0" applyAlignment="0" applyProtection="0"/>
    <xf numFmtId="0" fontId="1" fillId="80" borderId="0" applyNumberFormat="0" applyBorder="0" applyAlignment="0" applyProtection="0"/>
    <xf numFmtId="0" fontId="1" fillId="81" borderId="0" applyNumberFormat="0" applyBorder="0" applyAlignment="0" applyProtection="0"/>
    <xf numFmtId="0" fontId="1" fillId="58" borderId="104" applyNumberFormat="0" applyFont="0" applyAlignment="0" applyProtection="0"/>
    <xf numFmtId="0" fontId="1" fillId="58" borderId="104" applyNumberFormat="0" applyFont="0" applyAlignment="0" applyProtection="0"/>
    <xf numFmtId="0" fontId="1" fillId="60" borderId="0" applyNumberFormat="0" applyBorder="0" applyAlignment="0" applyProtection="0"/>
    <xf numFmtId="0" fontId="1" fillId="61" borderId="0" applyNumberFormat="0" applyBorder="0" applyAlignment="0" applyProtection="0"/>
    <xf numFmtId="0" fontId="1" fillId="64" borderId="0" applyNumberFormat="0" applyBorder="0" applyAlignment="0" applyProtection="0"/>
    <xf numFmtId="0" fontId="1" fillId="65" borderId="0" applyNumberFormat="0" applyBorder="0" applyAlignment="0" applyProtection="0"/>
    <xf numFmtId="0" fontId="1" fillId="68" borderId="0" applyNumberFormat="0" applyBorder="0" applyAlignment="0" applyProtection="0"/>
    <xf numFmtId="0" fontId="1" fillId="69" borderId="0" applyNumberFormat="0" applyBorder="0" applyAlignment="0" applyProtection="0"/>
    <xf numFmtId="0" fontId="1" fillId="72" borderId="0" applyNumberFormat="0" applyBorder="0" applyAlignment="0" applyProtection="0"/>
    <xf numFmtId="0" fontId="1" fillId="73" borderId="0" applyNumberFormat="0" applyBorder="0" applyAlignment="0" applyProtection="0"/>
    <xf numFmtId="0" fontId="1" fillId="76" borderId="0" applyNumberFormat="0" applyBorder="0" applyAlignment="0" applyProtection="0"/>
    <xf numFmtId="0" fontId="1" fillId="77" borderId="0" applyNumberFormat="0" applyBorder="0" applyAlignment="0" applyProtection="0"/>
    <xf numFmtId="0" fontId="1" fillId="80" borderId="0" applyNumberFormat="0" applyBorder="0" applyAlignment="0" applyProtection="0"/>
    <xf numFmtId="0" fontId="1" fillId="81" borderId="0" applyNumberFormat="0" applyBorder="0" applyAlignment="0" applyProtection="0"/>
    <xf numFmtId="0" fontId="1" fillId="60" borderId="0" applyNumberFormat="0" applyBorder="0" applyAlignment="0" applyProtection="0"/>
    <xf numFmtId="0" fontId="1" fillId="61" borderId="0" applyNumberFormat="0" applyBorder="0" applyAlignment="0" applyProtection="0"/>
    <xf numFmtId="0" fontId="1" fillId="64" borderId="0" applyNumberFormat="0" applyBorder="0" applyAlignment="0" applyProtection="0"/>
    <xf numFmtId="0" fontId="1" fillId="65" borderId="0" applyNumberFormat="0" applyBorder="0" applyAlignment="0" applyProtection="0"/>
    <xf numFmtId="0" fontId="1" fillId="68" borderId="0" applyNumberFormat="0" applyBorder="0" applyAlignment="0" applyProtection="0"/>
    <xf numFmtId="0" fontId="1" fillId="69" borderId="0" applyNumberFormat="0" applyBorder="0" applyAlignment="0" applyProtection="0"/>
    <xf numFmtId="0" fontId="1" fillId="72" borderId="0" applyNumberFormat="0" applyBorder="0" applyAlignment="0" applyProtection="0"/>
    <xf numFmtId="0" fontId="1" fillId="73" borderId="0" applyNumberFormat="0" applyBorder="0" applyAlignment="0" applyProtection="0"/>
    <xf numFmtId="0" fontId="1" fillId="76" borderId="0" applyNumberFormat="0" applyBorder="0" applyAlignment="0" applyProtection="0"/>
    <xf numFmtId="0" fontId="1" fillId="77" borderId="0" applyNumberFormat="0" applyBorder="0" applyAlignment="0" applyProtection="0"/>
    <xf numFmtId="0" fontId="1" fillId="80" borderId="0" applyNumberFormat="0" applyBorder="0" applyAlignment="0" applyProtection="0"/>
    <xf numFmtId="0" fontId="1" fillId="81" borderId="0" applyNumberFormat="0" applyBorder="0" applyAlignment="0" applyProtection="0"/>
    <xf numFmtId="0" fontId="1" fillId="58" borderId="104" applyNumberFormat="0" applyFont="0" applyAlignment="0" applyProtection="0"/>
    <xf numFmtId="0" fontId="1" fillId="60" borderId="0" applyNumberFormat="0" applyBorder="0" applyAlignment="0" applyProtection="0"/>
    <xf numFmtId="0" fontId="1" fillId="61" borderId="0" applyNumberFormat="0" applyBorder="0" applyAlignment="0" applyProtection="0"/>
    <xf numFmtId="0" fontId="1" fillId="64" borderId="0" applyNumberFormat="0" applyBorder="0" applyAlignment="0" applyProtection="0"/>
    <xf numFmtId="0" fontId="1" fillId="65" borderId="0" applyNumberFormat="0" applyBorder="0" applyAlignment="0" applyProtection="0"/>
    <xf numFmtId="0" fontId="1" fillId="68" borderId="0" applyNumberFormat="0" applyBorder="0" applyAlignment="0" applyProtection="0"/>
    <xf numFmtId="0" fontId="1" fillId="69" borderId="0" applyNumberFormat="0" applyBorder="0" applyAlignment="0" applyProtection="0"/>
    <xf numFmtId="0" fontId="1" fillId="72" borderId="0" applyNumberFormat="0" applyBorder="0" applyAlignment="0" applyProtection="0"/>
    <xf numFmtId="0" fontId="1" fillId="73" borderId="0" applyNumberFormat="0" applyBorder="0" applyAlignment="0" applyProtection="0"/>
    <xf numFmtId="0" fontId="1" fillId="76" borderId="0" applyNumberFormat="0" applyBorder="0" applyAlignment="0" applyProtection="0"/>
    <xf numFmtId="0" fontId="1" fillId="77" borderId="0" applyNumberFormat="0" applyBorder="0" applyAlignment="0" applyProtection="0"/>
    <xf numFmtId="0" fontId="1" fillId="80" borderId="0" applyNumberFormat="0" applyBorder="0" applyAlignment="0" applyProtection="0"/>
    <xf numFmtId="0" fontId="1" fillId="81" borderId="0" applyNumberFormat="0" applyBorder="0" applyAlignment="0" applyProtection="0"/>
    <xf numFmtId="0" fontId="1" fillId="58" borderId="104" applyNumberFormat="0" applyFont="0" applyAlignment="0" applyProtection="0"/>
    <xf numFmtId="0" fontId="1" fillId="58" borderId="104" applyNumberFormat="0" applyFont="0" applyAlignment="0" applyProtection="0"/>
    <xf numFmtId="0" fontId="1" fillId="60" borderId="0" applyNumberFormat="0" applyBorder="0" applyAlignment="0" applyProtection="0"/>
    <xf numFmtId="0" fontId="1" fillId="61" borderId="0" applyNumberFormat="0" applyBorder="0" applyAlignment="0" applyProtection="0"/>
    <xf numFmtId="0" fontId="1" fillId="64" borderId="0" applyNumberFormat="0" applyBorder="0" applyAlignment="0" applyProtection="0"/>
    <xf numFmtId="0" fontId="1" fillId="65" borderId="0" applyNumberFormat="0" applyBorder="0" applyAlignment="0" applyProtection="0"/>
    <xf numFmtId="0" fontId="1" fillId="68" borderId="0" applyNumberFormat="0" applyBorder="0" applyAlignment="0" applyProtection="0"/>
    <xf numFmtId="0" fontId="1" fillId="69" borderId="0" applyNumberFormat="0" applyBorder="0" applyAlignment="0" applyProtection="0"/>
    <xf numFmtId="0" fontId="1" fillId="72" borderId="0" applyNumberFormat="0" applyBorder="0" applyAlignment="0" applyProtection="0"/>
    <xf numFmtId="0" fontId="1" fillId="73" borderId="0" applyNumberFormat="0" applyBorder="0" applyAlignment="0" applyProtection="0"/>
    <xf numFmtId="0" fontId="1" fillId="76" borderId="0" applyNumberFormat="0" applyBorder="0" applyAlignment="0" applyProtection="0"/>
    <xf numFmtId="0" fontId="1" fillId="77" borderId="0" applyNumberFormat="0" applyBorder="0" applyAlignment="0" applyProtection="0"/>
    <xf numFmtId="0" fontId="1" fillId="80" borderId="0" applyNumberFormat="0" applyBorder="0" applyAlignment="0" applyProtection="0"/>
    <xf numFmtId="0" fontId="1" fillId="81" borderId="0" applyNumberFormat="0" applyBorder="0" applyAlignment="0" applyProtection="0"/>
    <xf numFmtId="0" fontId="1" fillId="60" borderId="0" applyNumberFormat="0" applyBorder="0" applyAlignment="0" applyProtection="0"/>
    <xf numFmtId="0" fontId="1" fillId="61" borderId="0" applyNumberFormat="0" applyBorder="0" applyAlignment="0" applyProtection="0"/>
    <xf numFmtId="0" fontId="1" fillId="64" borderId="0" applyNumberFormat="0" applyBorder="0" applyAlignment="0" applyProtection="0"/>
    <xf numFmtId="0" fontId="1" fillId="65" borderId="0" applyNumberFormat="0" applyBorder="0" applyAlignment="0" applyProtection="0"/>
    <xf numFmtId="0" fontId="1" fillId="68" borderId="0" applyNumberFormat="0" applyBorder="0" applyAlignment="0" applyProtection="0"/>
    <xf numFmtId="0" fontId="1" fillId="69" borderId="0" applyNumberFormat="0" applyBorder="0" applyAlignment="0" applyProtection="0"/>
    <xf numFmtId="0" fontId="1" fillId="72" borderId="0" applyNumberFormat="0" applyBorder="0" applyAlignment="0" applyProtection="0"/>
    <xf numFmtId="0" fontId="1" fillId="73" borderId="0" applyNumberFormat="0" applyBorder="0" applyAlignment="0" applyProtection="0"/>
    <xf numFmtId="0" fontId="1" fillId="76" borderId="0" applyNumberFormat="0" applyBorder="0" applyAlignment="0" applyProtection="0"/>
    <xf numFmtId="0" fontId="1" fillId="77" borderId="0" applyNumberFormat="0" applyBorder="0" applyAlignment="0" applyProtection="0"/>
    <xf numFmtId="0" fontId="1" fillId="80" borderId="0" applyNumberFormat="0" applyBorder="0" applyAlignment="0" applyProtection="0"/>
    <xf numFmtId="0" fontId="1" fillId="81" borderId="0" applyNumberFormat="0" applyBorder="0" applyAlignment="0" applyProtection="0"/>
    <xf numFmtId="0" fontId="1" fillId="58" borderId="104" applyNumberFormat="0" applyFont="0" applyAlignment="0" applyProtection="0"/>
    <xf numFmtId="0" fontId="1" fillId="60" borderId="0" applyNumberFormat="0" applyBorder="0" applyAlignment="0" applyProtection="0"/>
    <xf numFmtId="0" fontId="1" fillId="61" borderId="0" applyNumberFormat="0" applyBorder="0" applyAlignment="0" applyProtection="0"/>
    <xf numFmtId="0" fontId="1" fillId="64" borderId="0" applyNumberFormat="0" applyBorder="0" applyAlignment="0" applyProtection="0"/>
    <xf numFmtId="0" fontId="1" fillId="65" borderId="0" applyNumberFormat="0" applyBorder="0" applyAlignment="0" applyProtection="0"/>
    <xf numFmtId="0" fontId="1" fillId="68" borderId="0" applyNumberFormat="0" applyBorder="0" applyAlignment="0" applyProtection="0"/>
    <xf numFmtId="0" fontId="1" fillId="69" borderId="0" applyNumberFormat="0" applyBorder="0" applyAlignment="0" applyProtection="0"/>
    <xf numFmtId="0" fontId="1" fillId="72" borderId="0" applyNumberFormat="0" applyBorder="0" applyAlignment="0" applyProtection="0"/>
    <xf numFmtId="0" fontId="1" fillId="73" borderId="0" applyNumberFormat="0" applyBorder="0" applyAlignment="0" applyProtection="0"/>
    <xf numFmtId="0" fontId="1" fillId="76" borderId="0" applyNumberFormat="0" applyBorder="0" applyAlignment="0" applyProtection="0"/>
    <xf numFmtId="0" fontId="1" fillId="77" borderId="0" applyNumberFormat="0" applyBorder="0" applyAlignment="0" applyProtection="0"/>
    <xf numFmtId="0" fontId="1" fillId="80" borderId="0" applyNumberFormat="0" applyBorder="0" applyAlignment="0" applyProtection="0"/>
    <xf numFmtId="0" fontId="1" fillId="81" borderId="0" applyNumberFormat="0" applyBorder="0" applyAlignment="0" applyProtection="0"/>
    <xf numFmtId="0" fontId="1" fillId="58" borderId="104" applyNumberFormat="0" applyFont="0" applyAlignment="0" applyProtection="0"/>
    <xf numFmtId="0" fontId="1" fillId="58" borderId="104" applyNumberFormat="0" applyFont="0" applyAlignment="0" applyProtection="0"/>
    <xf numFmtId="0" fontId="1" fillId="60" borderId="0" applyNumberFormat="0" applyBorder="0" applyAlignment="0" applyProtection="0"/>
    <xf numFmtId="0" fontId="1" fillId="61" borderId="0" applyNumberFormat="0" applyBorder="0" applyAlignment="0" applyProtection="0"/>
    <xf numFmtId="0" fontId="1" fillId="64" borderId="0" applyNumberFormat="0" applyBorder="0" applyAlignment="0" applyProtection="0"/>
    <xf numFmtId="0" fontId="1" fillId="65" borderId="0" applyNumberFormat="0" applyBorder="0" applyAlignment="0" applyProtection="0"/>
    <xf numFmtId="0" fontId="1" fillId="68" borderId="0" applyNumberFormat="0" applyBorder="0" applyAlignment="0" applyProtection="0"/>
    <xf numFmtId="0" fontId="1" fillId="69" borderId="0" applyNumberFormat="0" applyBorder="0" applyAlignment="0" applyProtection="0"/>
    <xf numFmtId="0" fontId="1" fillId="72" borderId="0" applyNumberFormat="0" applyBorder="0" applyAlignment="0" applyProtection="0"/>
    <xf numFmtId="0" fontId="1" fillId="73" borderId="0" applyNumberFormat="0" applyBorder="0" applyAlignment="0" applyProtection="0"/>
    <xf numFmtId="0" fontId="1" fillId="76" borderId="0" applyNumberFormat="0" applyBorder="0" applyAlignment="0" applyProtection="0"/>
    <xf numFmtId="0" fontId="1" fillId="77" borderId="0" applyNumberFormat="0" applyBorder="0" applyAlignment="0" applyProtection="0"/>
    <xf numFmtId="0" fontId="1" fillId="80" borderId="0" applyNumberFormat="0" applyBorder="0" applyAlignment="0" applyProtection="0"/>
    <xf numFmtId="0" fontId="1" fillId="81" borderId="0" applyNumberFormat="0" applyBorder="0" applyAlignment="0" applyProtection="0"/>
    <xf numFmtId="0" fontId="1" fillId="60" borderId="0" applyNumberFormat="0" applyBorder="0" applyAlignment="0" applyProtection="0"/>
    <xf numFmtId="0" fontId="1" fillId="61" borderId="0" applyNumberFormat="0" applyBorder="0" applyAlignment="0" applyProtection="0"/>
    <xf numFmtId="0" fontId="1" fillId="64" borderId="0" applyNumberFormat="0" applyBorder="0" applyAlignment="0" applyProtection="0"/>
    <xf numFmtId="0" fontId="1" fillId="65" borderId="0" applyNumberFormat="0" applyBorder="0" applyAlignment="0" applyProtection="0"/>
    <xf numFmtId="0" fontId="1" fillId="68" borderId="0" applyNumberFormat="0" applyBorder="0" applyAlignment="0" applyProtection="0"/>
    <xf numFmtId="0" fontId="1" fillId="69" borderId="0" applyNumberFormat="0" applyBorder="0" applyAlignment="0" applyProtection="0"/>
    <xf numFmtId="0" fontId="1" fillId="72" borderId="0" applyNumberFormat="0" applyBorder="0" applyAlignment="0" applyProtection="0"/>
    <xf numFmtId="0" fontId="1" fillId="73" borderId="0" applyNumberFormat="0" applyBorder="0" applyAlignment="0" applyProtection="0"/>
    <xf numFmtId="0" fontId="1" fillId="76" borderId="0" applyNumberFormat="0" applyBorder="0" applyAlignment="0" applyProtection="0"/>
    <xf numFmtId="0" fontId="1" fillId="77" borderId="0" applyNumberFormat="0" applyBorder="0" applyAlignment="0" applyProtection="0"/>
    <xf numFmtId="0" fontId="1" fillId="80" borderId="0" applyNumberFormat="0" applyBorder="0" applyAlignment="0" applyProtection="0"/>
    <xf numFmtId="0" fontId="1" fillId="81" borderId="0" applyNumberFormat="0" applyBorder="0" applyAlignment="0" applyProtection="0"/>
    <xf numFmtId="0" fontId="1" fillId="58" borderId="104" applyNumberFormat="0" applyFont="0" applyAlignment="0" applyProtection="0"/>
    <xf numFmtId="0" fontId="1" fillId="60" borderId="0" applyNumberFormat="0" applyBorder="0" applyAlignment="0" applyProtection="0"/>
    <xf numFmtId="0" fontId="1" fillId="61" borderId="0" applyNumberFormat="0" applyBorder="0" applyAlignment="0" applyProtection="0"/>
    <xf numFmtId="0" fontId="1" fillId="64" borderId="0" applyNumberFormat="0" applyBorder="0" applyAlignment="0" applyProtection="0"/>
    <xf numFmtId="0" fontId="1" fillId="65" borderId="0" applyNumberFormat="0" applyBorder="0" applyAlignment="0" applyProtection="0"/>
    <xf numFmtId="0" fontId="1" fillId="68" borderId="0" applyNumberFormat="0" applyBorder="0" applyAlignment="0" applyProtection="0"/>
    <xf numFmtId="0" fontId="1" fillId="69" borderId="0" applyNumberFormat="0" applyBorder="0" applyAlignment="0" applyProtection="0"/>
    <xf numFmtId="0" fontId="1" fillId="72" borderId="0" applyNumberFormat="0" applyBorder="0" applyAlignment="0" applyProtection="0"/>
    <xf numFmtId="0" fontId="1" fillId="73" borderId="0" applyNumberFormat="0" applyBorder="0" applyAlignment="0" applyProtection="0"/>
    <xf numFmtId="0" fontId="1" fillId="76" borderId="0" applyNumberFormat="0" applyBorder="0" applyAlignment="0" applyProtection="0"/>
    <xf numFmtId="0" fontId="1" fillId="77" borderId="0" applyNumberFormat="0" applyBorder="0" applyAlignment="0" applyProtection="0"/>
    <xf numFmtId="0" fontId="1" fillId="80" borderId="0" applyNumberFormat="0" applyBorder="0" applyAlignment="0" applyProtection="0"/>
    <xf numFmtId="0" fontId="1" fillId="81" borderId="0" applyNumberFormat="0" applyBorder="0" applyAlignment="0" applyProtection="0"/>
    <xf numFmtId="0" fontId="1" fillId="58" borderId="104" applyNumberFormat="0" applyFont="0" applyAlignment="0" applyProtection="0"/>
    <xf numFmtId="0" fontId="1" fillId="58" borderId="104" applyNumberFormat="0" applyFont="0" applyAlignment="0" applyProtection="0"/>
    <xf numFmtId="0" fontId="1" fillId="60" borderId="0" applyNumberFormat="0" applyBorder="0" applyAlignment="0" applyProtection="0"/>
    <xf numFmtId="0" fontId="1" fillId="61" borderId="0" applyNumberFormat="0" applyBorder="0" applyAlignment="0" applyProtection="0"/>
    <xf numFmtId="0" fontId="1" fillId="64" borderId="0" applyNumberFormat="0" applyBorder="0" applyAlignment="0" applyProtection="0"/>
    <xf numFmtId="0" fontId="1" fillId="65" borderId="0" applyNumberFormat="0" applyBorder="0" applyAlignment="0" applyProtection="0"/>
    <xf numFmtId="0" fontId="1" fillId="68" borderId="0" applyNumberFormat="0" applyBorder="0" applyAlignment="0" applyProtection="0"/>
    <xf numFmtId="0" fontId="1" fillId="69" borderId="0" applyNumberFormat="0" applyBorder="0" applyAlignment="0" applyProtection="0"/>
    <xf numFmtId="0" fontId="1" fillId="72" borderId="0" applyNumberFormat="0" applyBorder="0" applyAlignment="0" applyProtection="0"/>
    <xf numFmtId="0" fontId="1" fillId="73" borderId="0" applyNumberFormat="0" applyBorder="0" applyAlignment="0" applyProtection="0"/>
    <xf numFmtId="0" fontId="1" fillId="76" borderId="0" applyNumberFormat="0" applyBorder="0" applyAlignment="0" applyProtection="0"/>
    <xf numFmtId="0" fontId="1" fillId="77" borderId="0" applyNumberFormat="0" applyBorder="0" applyAlignment="0" applyProtection="0"/>
    <xf numFmtId="0" fontId="1" fillId="80" borderId="0" applyNumberFormat="0" applyBorder="0" applyAlignment="0" applyProtection="0"/>
    <xf numFmtId="0" fontId="1" fillId="81" borderId="0" applyNumberFormat="0" applyBorder="0" applyAlignment="0" applyProtection="0"/>
    <xf numFmtId="0" fontId="1" fillId="60" borderId="0" applyNumberFormat="0" applyBorder="0" applyAlignment="0" applyProtection="0"/>
    <xf numFmtId="0" fontId="1" fillId="61" borderId="0" applyNumberFormat="0" applyBorder="0" applyAlignment="0" applyProtection="0"/>
    <xf numFmtId="0" fontId="1" fillId="64" borderId="0" applyNumberFormat="0" applyBorder="0" applyAlignment="0" applyProtection="0"/>
    <xf numFmtId="0" fontId="1" fillId="65" borderId="0" applyNumberFormat="0" applyBorder="0" applyAlignment="0" applyProtection="0"/>
    <xf numFmtId="0" fontId="1" fillId="68" borderId="0" applyNumberFormat="0" applyBorder="0" applyAlignment="0" applyProtection="0"/>
    <xf numFmtId="0" fontId="1" fillId="69" borderId="0" applyNumberFormat="0" applyBorder="0" applyAlignment="0" applyProtection="0"/>
    <xf numFmtId="0" fontId="1" fillId="72" borderId="0" applyNumberFormat="0" applyBorder="0" applyAlignment="0" applyProtection="0"/>
    <xf numFmtId="0" fontId="1" fillId="73" borderId="0" applyNumberFormat="0" applyBorder="0" applyAlignment="0" applyProtection="0"/>
    <xf numFmtId="0" fontId="1" fillId="76" borderId="0" applyNumberFormat="0" applyBorder="0" applyAlignment="0" applyProtection="0"/>
    <xf numFmtId="0" fontId="1" fillId="77" borderId="0" applyNumberFormat="0" applyBorder="0" applyAlignment="0" applyProtection="0"/>
    <xf numFmtId="0" fontId="1" fillId="80" borderId="0" applyNumberFormat="0" applyBorder="0" applyAlignment="0" applyProtection="0"/>
    <xf numFmtId="0" fontId="1" fillId="81" borderId="0" applyNumberFormat="0" applyBorder="0" applyAlignment="0" applyProtection="0"/>
    <xf numFmtId="0" fontId="1" fillId="58" borderId="104" applyNumberFormat="0" applyFont="0" applyAlignment="0" applyProtection="0"/>
    <xf numFmtId="0" fontId="1" fillId="26" borderId="0" applyNumberFormat="0" applyBorder="0" applyAlignment="0" applyProtection="0"/>
    <xf numFmtId="0" fontId="1" fillId="60" borderId="0" applyNumberFormat="0" applyBorder="0" applyAlignment="0" applyProtection="0"/>
    <xf numFmtId="0" fontId="1" fillId="60" borderId="0" applyNumberFormat="0" applyBorder="0" applyAlignment="0" applyProtection="0"/>
    <xf numFmtId="0" fontId="1" fillId="60" borderId="0" applyNumberFormat="0" applyBorder="0" applyAlignment="0" applyProtection="0"/>
    <xf numFmtId="0" fontId="1" fillId="60" borderId="0" applyNumberFormat="0" applyBorder="0" applyAlignment="0" applyProtection="0"/>
    <xf numFmtId="0" fontId="1" fillId="60" borderId="0" applyNumberFormat="0" applyBorder="0" applyAlignment="0" applyProtection="0"/>
    <xf numFmtId="0" fontId="1" fillId="60" borderId="0" applyNumberFormat="0" applyBorder="0" applyAlignment="0" applyProtection="0"/>
    <xf numFmtId="0" fontId="1" fillId="60" borderId="0" applyNumberFormat="0" applyBorder="0" applyAlignment="0" applyProtection="0"/>
    <xf numFmtId="0" fontId="1" fillId="60" borderId="0" applyNumberFormat="0" applyBorder="0" applyAlignment="0" applyProtection="0"/>
    <xf numFmtId="0" fontId="1" fillId="60" borderId="0" applyNumberFormat="0" applyBorder="0" applyAlignment="0" applyProtection="0"/>
    <xf numFmtId="0" fontId="1" fillId="64" borderId="0" applyNumberFormat="0" applyBorder="0" applyAlignment="0" applyProtection="0"/>
    <xf numFmtId="0" fontId="1" fillId="64" borderId="0" applyNumberFormat="0" applyBorder="0" applyAlignment="0" applyProtection="0"/>
    <xf numFmtId="0" fontId="1" fillId="64" borderId="0" applyNumberFormat="0" applyBorder="0" applyAlignment="0" applyProtection="0"/>
    <xf numFmtId="0" fontId="1" fillId="64" borderId="0" applyNumberFormat="0" applyBorder="0" applyAlignment="0" applyProtection="0"/>
    <xf numFmtId="0" fontId="1" fillId="64" borderId="0" applyNumberFormat="0" applyBorder="0" applyAlignment="0" applyProtection="0"/>
    <xf numFmtId="0" fontId="1" fillId="64" borderId="0" applyNumberFormat="0" applyBorder="0" applyAlignment="0" applyProtection="0"/>
    <xf numFmtId="0" fontId="1" fillId="64" borderId="0" applyNumberFormat="0" applyBorder="0" applyAlignment="0" applyProtection="0"/>
    <xf numFmtId="0" fontId="1" fillId="64" borderId="0" applyNumberFormat="0" applyBorder="0" applyAlignment="0" applyProtection="0"/>
    <xf numFmtId="0" fontId="1" fillId="64" borderId="0" applyNumberFormat="0" applyBorder="0" applyAlignment="0" applyProtection="0"/>
    <xf numFmtId="0" fontId="1" fillId="68" borderId="0" applyNumberFormat="0" applyBorder="0" applyAlignment="0" applyProtection="0"/>
    <xf numFmtId="0" fontId="1" fillId="68" borderId="0" applyNumberFormat="0" applyBorder="0" applyAlignment="0" applyProtection="0"/>
    <xf numFmtId="0" fontId="1" fillId="68" borderId="0" applyNumberFormat="0" applyBorder="0" applyAlignment="0" applyProtection="0"/>
    <xf numFmtId="0" fontId="1" fillId="68" borderId="0" applyNumberFormat="0" applyBorder="0" applyAlignment="0" applyProtection="0"/>
    <xf numFmtId="0" fontId="1" fillId="68" borderId="0" applyNumberFormat="0" applyBorder="0" applyAlignment="0" applyProtection="0"/>
    <xf numFmtId="0" fontId="1" fillId="68" borderId="0" applyNumberFormat="0" applyBorder="0" applyAlignment="0" applyProtection="0"/>
    <xf numFmtId="0" fontId="1" fillId="68" borderId="0" applyNumberFormat="0" applyBorder="0" applyAlignment="0" applyProtection="0"/>
    <xf numFmtId="0" fontId="1" fillId="68" borderId="0" applyNumberFormat="0" applyBorder="0" applyAlignment="0" applyProtection="0"/>
    <xf numFmtId="0" fontId="1" fillId="68" borderId="0" applyNumberFormat="0" applyBorder="0" applyAlignment="0" applyProtection="0"/>
    <xf numFmtId="0" fontId="1" fillId="72" borderId="0" applyNumberFormat="0" applyBorder="0" applyAlignment="0" applyProtection="0"/>
    <xf numFmtId="0" fontId="1" fillId="72" borderId="0" applyNumberFormat="0" applyBorder="0" applyAlignment="0" applyProtection="0"/>
    <xf numFmtId="0" fontId="1" fillId="72" borderId="0" applyNumberFormat="0" applyBorder="0" applyAlignment="0" applyProtection="0"/>
    <xf numFmtId="0" fontId="1" fillId="72" borderId="0" applyNumberFormat="0" applyBorder="0" applyAlignment="0" applyProtection="0"/>
    <xf numFmtId="0" fontId="1" fillId="72" borderId="0" applyNumberFormat="0" applyBorder="0" applyAlignment="0" applyProtection="0"/>
    <xf numFmtId="0" fontId="1" fillId="72" borderId="0" applyNumberFormat="0" applyBorder="0" applyAlignment="0" applyProtection="0"/>
    <xf numFmtId="0" fontId="1" fillId="72" borderId="0" applyNumberFormat="0" applyBorder="0" applyAlignment="0" applyProtection="0"/>
    <xf numFmtId="0" fontId="1" fillId="72" borderId="0" applyNumberFormat="0" applyBorder="0" applyAlignment="0" applyProtection="0"/>
    <xf numFmtId="0" fontId="1" fillId="72" borderId="0" applyNumberFormat="0" applyBorder="0" applyAlignment="0" applyProtection="0"/>
    <xf numFmtId="0" fontId="1" fillId="76" borderId="0" applyNumberFormat="0" applyBorder="0" applyAlignment="0" applyProtection="0"/>
    <xf numFmtId="0" fontId="1" fillId="76" borderId="0" applyNumberFormat="0" applyBorder="0" applyAlignment="0" applyProtection="0"/>
    <xf numFmtId="0" fontId="1" fillId="76" borderId="0" applyNumberFormat="0" applyBorder="0" applyAlignment="0" applyProtection="0"/>
    <xf numFmtId="0" fontId="1" fillId="76" borderId="0" applyNumberFormat="0" applyBorder="0" applyAlignment="0" applyProtection="0"/>
    <xf numFmtId="0" fontId="1" fillId="76" borderId="0" applyNumberFormat="0" applyBorder="0" applyAlignment="0" applyProtection="0"/>
    <xf numFmtId="0" fontId="1" fillId="76" borderId="0" applyNumberFormat="0" applyBorder="0" applyAlignment="0" applyProtection="0"/>
    <xf numFmtId="0" fontId="1" fillId="76" borderId="0" applyNumberFormat="0" applyBorder="0" applyAlignment="0" applyProtection="0"/>
    <xf numFmtId="0" fontId="1" fillId="76" borderId="0" applyNumberFormat="0" applyBorder="0" applyAlignment="0" applyProtection="0"/>
    <xf numFmtId="0" fontId="1" fillId="76" borderId="0" applyNumberFormat="0" applyBorder="0" applyAlignment="0" applyProtection="0"/>
    <xf numFmtId="0" fontId="1" fillId="80" borderId="0" applyNumberFormat="0" applyBorder="0" applyAlignment="0" applyProtection="0"/>
    <xf numFmtId="0" fontId="1" fillId="80" borderId="0" applyNumberFormat="0" applyBorder="0" applyAlignment="0" applyProtection="0"/>
    <xf numFmtId="0" fontId="1" fillId="80" borderId="0" applyNumberFormat="0" applyBorder="0" applyAlignment="0" applyProtection="0"/>
    <xf numFmtId="0" fontId="1" fillId="80" borderId="0" applyNumberFormat="0" applyBorder="0" applyAlignment="0" applyProtection="0"/>
    <xf numFmtId="0" fontId="1" fillId="80" borderId="0" applyNumberFormat="0" applyBorder="0" applyAlignment="0" applyProtection="0"/>
    <xf numFmtId="0" fontId="1" fillId="80" borderId="0" applyNumberFormat="0" applyBorder="0" applyAlignment="0" applyProtection="0"/>
    <xf numFmtId="0" fontId="1" fillId="80" borderId="0" applyNumberFormat="0" applyBorder="0" applyAlignment="0" applyProtection="0"/>
    <xf numFmtId="0" fontId="1" fillId="80" borderId="0" applyNumberFormat="0" applyBorder="0" applyAlignment="0" applyProtection="0"/>
    <xf numFmtId="0" fontId="1" fillId="80" borderId="0" applyNumberFormat="0" applyBorder="0" applyAlignment="0" applyProtection="0"/>
    <xf numFmtId="0" fontId="1" fillId="61" borderId="0" applyNumberFormat="0" applyBorder="0" applyAlignment="0" applyProtection="0"/>
    <xf numFmtId="0" fontId="1" fillId="61" borderId="0" applyNumberFormat="0" applyBorder="0" applyAlignment="0" applyProtection="0"/>
    <xf numFmtId="0" fontId="1" fillId="61" borderId="0" applyNumberFormat="0" applyBorder="0" applyAlignment="0" applyProtection="0"/>
    <xf numFmtId="0" fontId="1" fillId="61" borderId="0" applyNumberFormat="0" applyBorder="0" applyAlignment="0" applyProtection="0"/>
    <xf numFmtId="0" fontId="1" fillId="61" borderId="0" applyNumberFormat="0" applyBorder="0" applyAlignment="0" applyProtection="0"/>
    <xf numFmtId="0" fontId="1" fillId="61" borderId="0" applyNumberFormat="0" applyBorder="0" applyAlignment="0" applyProtection="0"/>
    <xf numFmtId="0" fontId="1" fillId="61" borderId="0" applyNumberFormat="0" applyBorder="0" applyAlignment="0" applyProtection="0"/>
    <xf numFmtId="0" fontId="1" fillId="61" borderId="0" applyNumberFormat="0" applyBorder="0" applyAlignment="0" applyProtection="0"/>
    <xf numFmtId="0" fontId="1" fillId="61" borderId="0" applyNumberFormat="0" applyBorder="0" applyAlignment="0" applyProtection="0"/>
    <xf numFmtId="0" fontId="1" fillId="65" borderId="0" applyNumberFormat="0" applyBorder="0" applyAlignment="0" applyProtection="0"/>
    <xf numFmtId="0" fontId="1" fillId="65" borderId="0" applyNumberFormat="0" applyBorder="0" applyAlignment="0" applyProtection="0"/>
    <xf numFmtId="0" fontId="1" fillId="65" borderId="0" applyNumberFormat="0" applyBorder="0" applyAlignment="0" applyProtection="0"/>
    <xf numFmtId="0" fontId="1" fillId="65" borderId="0" applyNumberFormat="0" applyBorder="0" applyAlignment="0" applyProtection="0"/>
    <xf numFmtId="0" fontId="1" fillId="65" borderId="0" applyNumberFormat="0" applyBorder="0" applyAlignment="0" applyProtection="0"/>
    <xf numFmtId="0" fontId="1" fillId="65" borderId="0" applyNumberFormat="0" applyBorder="0" applyAlignment="0" applyProtection="0"/>
    <xf numFmtId="0" fontId="1" fillId="65" borderId="0" applyNumberFormat="0" applyBorder="0" applyAlignment="0" applyProtection="0"/>
    <xf numFmtId="0" fontId="1" fillId="65" borderId="0" applyNumberFormat="0" applyBorder="0" applyAlignment="0" applyProtection="0"/>
    <xf numFmtId="0" fontId="1" fillId="65" borderId="0" applyNumberFormat="0" applyBorder="0" applyAlignment="0" applyProtection="0"/>
    <xf numFmtId="0" fontId="1" fillId="69" borderId="0" applyNumberFormat="0" applyBorder="0" applyAlignment="0" applyProtection="0"/>
    <xf numFmtId="0" fontId="1" fillId="69" borderId="0" applyNumberFormat="0" applyBorder="0" applyAlignment="0" applyProtection="0"/>
    <xf numFmtId="0" fontId="1" fillId="69" borderId="0" applyNumberFormat="0" applyBorder="0" applyAlignment="0" applyProtection="0"/>
    <xf numFmtId="0" fontId="1" fillId="69" borderId="0" applyNumberFormat="0" applyBorder="0" applyAlignment="0" applyProtection="0"/>
    <xf numFmtId="0" fontId="1" fillId="69" borderId="0" applyNumberFormat="0" applyBorder="0" applyAlignment="0" applyProtection="0"/>
    <xf numFmtId="0" fontId="1" fillId="69" borderId="0" applyNumberFormat="0" applyBorder="0" applyAlignment="0" applyProtection="0"/>
    <xf numFmtId="0" fontId="1" fillId="69" borderId="0" applyNumberFormat="0" applyBorder="0" applyAlignment="0" applyProtection="0"/>
    <xf numFmtId="0" fontId="1" fillId="69" borderId="0" applyNumberFormat="0" applyBorder="0" applyAlignment="0" applyProtection="0"/>
    <xf numFmtId="0" fontId="1" fillId="69" borderId="0" applyNumberFormat="0" applyBorder="0" applyAlignment="0" applyProtection="0"/>
    <xf numFmtId="0" fontId="1" fillId="73" borderId="0" applyNumberFormat="0" applyBorder="0" applyAlignment="0" applyProtection="0"/>
    <xf numFmtId="0" fontId="1" fillId="73" borderId="0" applyNumberFormat="0" applyBorder="0" applyAlignment="0" applyProtection="0"/>
    <xf numFmtId="0" fontId="1" fillId="73" borderId="0" applyNumberFormat="0" applyBorder="0" applyAlignment="0" applyProtection="0"/>
    <xf numFmtId="0" fontId="1" fillId="73" borderId="0" applyNumberFormat="0" applyBorder="0" applyAlignment="0" applyProtection="0"/>
    <xf numFmtId="0" fontId="1" fillId="73" borderId="0" applyNumberFormat="0" applyBorder="0" applyAlignment="0" applyProtection="0"/>
    <xf numFmtId="0" fontId="1" fillId="73" borderId="0" applyNumberFormat="0" applyBorder="0" applyAlignment="0" applyProtection="0"/>
    <xf numFmtId="0" fontId="1" fillId="73" borderId="0" applyNumberFormat="0" applyBorder="0" applyAlignment="0" applyProtection="0"/>
    <xf numFmtId="0" fontId="1" fillId="73" borderId="0" applyNumberFormat="0" applyBorder="0" applyAlignment="0" applyProtection="0"/>
    <xf numFmtId="0" fontId="1" fillId="73" borderId="0" applyNumberFormat="0" applyBorder="0" applyAlignment="0" applyProtection="0"/>
    <xf numFmtId="0" fontId="1" fillId="77" borderId="0" applyNumberFormat="0" applyBorder="0" applyAlignment="0" applyProtection="0"/>
    <xf numFmtId="0" fontId="1" fillId="77" borderId="0" applyNumberFormat="0" applyBorder="0" applyAlignment="0" applyProtection="0"/>
    <xf numFmtId="0" fontId="1" fillId="77" borderId="0" applyNumberFormat="0" applyBorder="0" applyAlignment="0" applyProtection="0"/>
    <xf numFmtId="0" fontId="1" fillId="77" borderId="0" applyNumberFormat="0" applyBorder="0" applyAlignment="0" applyProtection="0"/>
    <xf numFmtId="0" fontId="1" fillId="77" borderId="0" applyNumberFormat="0" applyBorder="0" applyAlignment="0" applyProtection="0"/>
    <xf numFmtId="0" fontId="1" fillId="77" borderId="0" applyNumberFormat="0" applyBorder="0" applyAlignment="0" applyProtection="0"/>
    <xf numFmtId="0" fontId="1" fillId="77" borderId="0" applyNumberFormat="0" applyBorder="0" applyAlignment="0" applyProtection="0"/>
    <xf numFmtId="0" fontId="1" fillId="77" borderId="0" applyNumberFormat="0" applyBorder="0" applyAlignment="0" applyProtection="0"/>
    <xf numFmtId="0" fontId="1" fillId="77" borderId="0" applyNumberFormat="0" applyBorder="0" applyAlignment="0" applyProtection="0"/>
    <xf numFmtId="0" fontId="1" fillId="81" borderId="0" applyNumberFormat="0" applyBorder="0" applyAlignment="0" applyProtection="0"/>
    <xf numFmtId="0" fontId="1" fillId="81" borderId="0" applyNumberFormat="0" applyBorder="0" applyAlignment="0" applyProtection="0"/>
    <xf numFmtId="0" fontId="1" fillId="81" borderId="0" applyNumberFormat="0" applyBorder="0" applyAlignment="0" applyProtection="0"/>
    <xf numFmtId="0" fontId="1" fillId="81" borderId="0" applyNumberFormat="0" applyBorder="0" applyAlignment="0" applyProtection="0"/>
    <xf numFmtId="0" fontId="1" fillId="81" borderId="0" applyNumberFormat="0" applyBorder="0" applyAlignment="0" applyProtection="0"/>
    <xf numFmtId="0" fontId="1" fillId="81" borderId="0" applyNumberFormat="0" applyBorder="0" applyAlignment="0" applyProtection="0"/>
    <xf numFmtId="0" fontId="1" fillId="81" borderId="0" applyNumberFormat="0" applyBorder="0" applyAlignment="0" applyProtection="0"/>
    <xf numFmtId="0" fontId="1" fillId="81" borderId="0" applyNumberFormat="0" applyBorder="0" applyAlignment="0" applyProtection="0"/>
    <xf numFmtId="0" fontId="1" fillId="81" borderId="0" applyNumberFormat="0" applyBorder="0" applyAlignment="0" applyProtection="0"/>
    <xf numFmtId="0" fontId="1" fillId="58" borderId="104" applyNumberFormat="0" applyFont="0" applyAlignment="0" applyProtection="0"/>
    <xf numFmtId="0" fontId="1" fillId="58" borderId="104" applyNumberFormat="0" applyFont="0" applyAlignment="0" applyProtection="0"/>
    <xf numFmtId="0" fontId="1" fillId="58" borderId="104" applyNumberFormat="0" applyFont="0" applyAlignment="0" applyProtection="0"/>
    <xf numFmtId="0" fontId="1" fillId="58" borderId="104" applyNumberFormat="0" applyFont="0" applyAlignment="0" applyProtection="0"/>
    <xf numFmtId="0" fontId="1" fillId="58" borderId="104" applyNumberFormat="0" applyFont="0" applyAlignment="0" applyProtection="0"/>
    <xf numFmtId="0" fontId="1" fillId="58" borderId="104" applyNumberFormat="0" applyFont="0" applyAlignment="0" applyProtection="0"/>
    <xf numFmtId="0" fontId="1" fillId="58" borderId="104" applyNumberFormat="0" applyFont="0" applyAlignment="0" applyProtection="0"/>
    <xf numFmtId="0" fontId="1" fillId="58" borderId="104" applyNumberFormat="0" applyFont="0" applyAlignment="0" applyProtection="0"/>
    <xf numFmtId="0" fontId="1" fillId="58" borderId="104" applyNumberFormat="0" applyFont="0" applyAlignment="0" applyProtection="0"/>
    <xf numFmtId="0" fontId="1" fillId="0" borderId="0"/>
    <xf numFmtId="165" fontId="1" fillId="0" borderId="0" applyFont="0" applyFill="0" applyBorder="0" applyAlignment="0" applyProtection="0"/>
    <xf numFmtId="0" fontId="1" fillId="0" borderId="0"/>
    <xf numFmtId="0" fontId="1" fillId="0" borderId="0"/>
    <xf numFmtId="0" fontId="1" fillId="0" borderId="0"/>
    <xf numFmtId="0" fontId="1" fillId="60" borderId="0" applyNumberFormat="0" applyBorder="0" applyAlignment="0" applyProtection="0"/>
    <xf numFmtId="0" fontId="1" fillId="61" borderId="0" applyNumberFormat="0" applyBorder="0" applyAlignment="0" applyProtection="0"/>
    <xf numFmtId="0" fontId="1" fillId="64" borderId="0" applyNumberFormat="0" applyBorder="0" applyAlignment="0" applyProtection="0"/>
    <xf numFmtId="0" fontId="1" fillId="65" borderId="0" applyNumberFormat="0" applyBorder="0" applyAlignment="0" applyProtection="0"/>
    <xf numFmtId="0" fontId="1" fillId="68" borderId="0" applyNumberFormat="0" applyBorder="0" applyAlignment="0" applyProtection="0"/>
    <xf numFmtId="0" fontId="1" fillId="69" borderId="0" applyNumberFormat="0" applyBorder="0" applyAlignment="0" applyProtection="0"/>
    <xf numFmtId="0" fontId="1" fillId="72" borderId="0" applyNumberFormat="0" applyBorder="0" applyAlignment="0" applyProtection="0"/>
    <xf numFmtId="0" fontId="1" fillId="73" borderId="0" applyNumberFormat="0" applyBorder="0" applyAlignment="0" applyProtection="0"/>
    <xf numFmtId="0" fontId="1" fillId="76" borderId="0" applyNumberFormat="0" applyBorder="0" applyAlignment="0" applyProtection="0"/>
    <xf numFmtId="0" fontId="1" fillId="77" borderId="0" applyNumberFormat="0" applyBorder="0" applyAlignment="0" applyProtection="0"/>
    <xf numFmtId="0" fontId="1" fillId="80" borderId="0" applyNumberFormat="0" applyBorder="0" applyAlignment="0" applyProtection="0"/>
    <xf numFmtId="0" fontId="1" fillId="81" borderId="0" applyNumberFormat="0" applyBorder="0" applyAlignment="0" applyProtection="0"/>
    <xf numFmtId="0" fontId="1" fillId="7" borderId="0" applyNumberFormat="0" applyBorder="0" applyAlignment="0" applyProtection="0"/>
    <xf numFmtId="0" fontId="1" fillId="58" borderId="104" applyNumberFormat="0" applyFont="0" applyAlignment="0" applyProtection="0"/>
    <xf numFmtId="0" fontId="1" fillId="58" borderId="104" applyNumberFormat="0" applyFont="0" applyAlignment="0" applyProtection="0"/>
    <xf numFmtId="0" fontId="1" fillId="60" borderId="0" applyNumberFormat="0" applyBorder="0" applyAlignment="0" applyProtection="0"/>
    <xf numFmtId="0" fontId="1" fillId="61" borderId="0" applyNumberFormat="0" applyBorder="0" applyAlignment="0" applyProtection="0"/>
    <xf numFmtId="0" fontId="1" fillId="64" borderId="0" applyNumberFormat="0" applyBorder="0" applyAlignment="0" applyProtection="0"/>
    <xf numFmtId="0" fontId="1" fillId="65" borderId="0" applyNumberFormat="0" applyBorder="0" applyAlignment="0" applyProtection="0"/>
    <xf numFmtId="0" fontId="1" fillId="68" borderId="0" applyNumberFormat="0" applyBorder="0" applyAlignment="0" applyProtection="0"/>
    <xf numFmtId="0" fontId="1" fillId="69" borderId="0" applyNumberFormat="0" applyBorder="0" applyAlignment="0" applyProtection="0"/>
    <xf numFmtId="0" fontId="1" fillId="72" borderId="0" applyNumberFormat="0" applyBorder="0" applyAlignment="0" applyProtection="0"/>
    <xf numFmtId="0" fontId="1" fillId="73" borderId="0" applyNumberFormat="0" applyBorder="0" applyAlignment="0" applyProtection="0"/>
    <xf numFmtId="0" fontId="1" fillId="76" borderId="0" applyNumberFormat="0" applyBorder="0" applyAlignment="0" applyProtection="0"/>
    <xf numFmtId="0" fontId="1" fillId="77" borderId="0" applyNumberFormat="0" applyBorder="0" applyAlignment="0" applyProtection="0"/>
    <xf numFmtId="0" fontId="1" fillId="80" borderId="0" applyNumberFormat="0" applyBorder="0" applyAlignment="0" applyProtection="0"/>
    <xf numFmtId="0" fontId="1" fillId="81" borderId="0" applyNumberFormat="0" applyBorder="0" applyAlignment="0" applyProtection="0"/>
    <xf numFmtId="0" fontId="1" fillId="60" borderId="0" applyNumberFormat="0" applyBorder="0" applyAlignment="0" applyProtection="0"/>
    <xf numFmtId="0" fontId="1" fillId="61" borderId="0" applyNumberFormat="0" applyBorder="0" applyAlignment="0" applyProtection="0"/>
    <xf numFmtId="0" fontId="1" fillId="64" borderId="0" applyNumberFormat="0" applyBorder="0" applyAlignment="0" applyProtection="0"/>
    <xf numFmtId="0" fontId="1" fillId="65" borderId="0" applyNumberFormat="0" applyBorder="0" applyAlignment="0" applyProtection="0"/>
    <xf numFmtId="0" fontId="1" fillId="68" borderId="0" applyNumberFormat="0" applyBorder="0" applyAlignment="0" applyProtection="0"/>
    <xf numFmtId="0" fontId="1" fillId="69" borderId="0" applyNumberFormat="0" applyBorder="0" applyAlignment="0" applyProtection="0"/>
    <xf numFmtId="0" fontId="1" fillId="72" borderId="0" applyNumberFormat="0" applyBorder="0" applyAlignment="0" applyProtection="0"/>
    <xf numFmtId="0" fontId="1" fillId="73" borderId="0" applyNumberFormat="0" applyBorder="0" applyAlignment="0" applyProtection="0"/>
    <xf numFmtId="0" fontId="1" fillId="76" borderId="0" applyNumberFormat="0" applyBorder="0" applyAlignment="0" applyProtection="0"/>
    <xf numFmtId="0" fontId="1" fillId="77" borderId="0" applyNumberFormat="0" applyBorder="0" applyAlignment="0" applyProtection="0"/>
    <xf numFmtId="0" fontId="1" fillId="80" borderId="0" applyNumberFormat="0" applyBorder="0" applyAlignment="0" applyProtection="0"/>
    <xf numFmtId="0" fontId="1" fillId="81" borderId="0" applyNumberFormat="0" applyBorder="0" applyAlignment="0" applyProtection="0"/>
    <xf numFmtId="0" fontId="1" fillId="58" borderId="104" applyNumberFormat="0" applyFont="0" applyAlignment="0" applyProtection="0"/>
    <xf numFmtId="0" fontId="1" fillId="60" borderId="0" applyNumberFormat="0" applyBorder="0" applyAlignment="0" applyProtection="0"/>
    <xf numFmtId="0" fontId="1" fillId="61" borderId="0" applyNumberFormat="0" applyBorder="0" applyAlignment="0" applyProtection="0"/>
    <xf numFmtId="0" fontId="1" fillId="64" borderId="0" applyNumberFormat="0" applyBorder="0" applyAlignment="0" applyProtection="0"/>
    <xf numFmtId="0" fontId="1" fillId="65" borderId="0" applyNumberFormat="0" applyBorder="0" applyAlignment="0" applyProtection="0"/>
    <xf numFmtId="0" fontId="1" fillId="68" borderId="0" applyNumberFormat="0" applyBorder="0" applyAlignment="0" applyProtection="0"/>
    <xf numFmtId="0" fontId="1" fillId="69" borderId="0" applyNumberFormat="0" applyBorder="0" applyAlignment="0" applyProtection="0"/>
    <xf numFmtId="0" fontId="1" fillId="72" borderId="0" applyNumberFormat="0" applyBorder="0" applyAlignment="0" applyProtection="0"/>
    <xf numFmtId="0" fontId="1" fillId="73" borderId="0" applyNumberFormat="0" applyBorder="0" applyAlignment="0" applyProtection="0"/>
    <xf numFmtId="0" fontId="1" fillId="76" borderId="0" applyNumberFormat="0" applyBorder="0" applyAlignment="0" applyProtection="0"/>
    <xf numFmtId="0" fontId="1" fillId="77" borderId="0" applyNumberFormat="0" applyBorder="0" applyAlignment="0" applyProtection="0"/>
    <xf numFmtId="0" fontId="1" fillId="80" borderId="0" applyNumberFormat="0" applyBorder="0" applyAlignment="0" applyProtection="0"/>
    <xf numFmtId="0" fontId="1" fillId="81" borderId="0" applyNumberFormat="0" applyBorder="0" applyAlignment="0" applyProtection="0"/>
    <xf numFmtId="0" fontId="1" fillId="58" borderId="104" applyNumberFormat="0" applyFont="0" applyAlignment="0" applyProtection="0"/>
    <xf numFmtId="0" fontId="1" fillId="58" borderId="104" applyNumberFormat="0" applyFont="0" applyAlignment="0" applyProtection="0"/>
    <xf numFmtId="0" fontId="1" fillId="60" borderId="0" applyNumberFormat="0" applyBorder="0" applyAlignment="0" applyProtection="0"/>
    <xf numFmtId="0" fontId="1" fillId="61" borderId="0" applyNumberFormat="0" applyBorder="0" applyAlignment="0" applyProtection="0"/>
    <xf numFmtId="0" fontId="1" fillId="64" borderId="0" applyNumberFormat="0" applyBorder="0" applyAlignment="0" applyProtection="0"/>
    <xf numFmtId="0" fontId="1" fillId="65" borderId="0" applyNumberFormat="0" applyBorder="0" applyAlignment="0" applyProtection="0"/>
    <xf numFmtId="0" fontId="1" fillId="68" borderId="0" applyNumberFormat="0" applyBorder="0" applyAlignment="0" applyProtection="0"/>
    <xf numFmtId="0" fontId="1" fillId="69" borderId="0" applyNumberFormat="0" applyBorder="0" applyAlignment="0" applyProtection="0"/>
    <xf numFmtId="0" fontId="1" fillId="72" borderId="0" applyNumberFormat="0" applyBorder="0" applyAlignment="0" applyProtection="0"/>
    <xf numFmtId="0" fontId="1" fillId="73" borderId="0" applyNumberFormat="0" applyBorder="0" applyAlignment="0" applyProtection="0"/>
    <xf numFmtId="0" fontId="1" fillId="76" borderId="0" applyNumberFormat="0" applyBorder="0" applyAlignment="0" applyProtection="0"/>
    <xf numFmtId="0" fontId="1" fillId="77" borderId="0" applyNumberFormat="0" applyBorder="0" applyAlignment="0" applyProtection="0"/>
    <xf numFmtId="0" fontId="1" fillId="80" borderId="0" applyNumberFormat="0" applyBorder="0" applyAlignment="0" applyProtection="0"/>
    <xf numFmtId="0" fontId="1" fillId="81" borderId="0" applyNumberFormat="0" applyBorder="0" applyAlignment="0" applyProtection="0"/>
    <xf numFmtId="0" fontId="1" fillId="60" borderId="0" applyNumberFormat="0" applyBorder="0" applyAlignment="0" applyProtection="0"/>
    <xf numFmtId="0" fontId="1" fillId="61" borderId="0" applyNumberFormat="0" applyBorder="0" applyAlignment="0" applyProtection="0"/>
    <xf numFmtId="0" fontId="1" fillId="64" borderId="0" applyNumberFormat="0" applyBorder="0" applyAlignment="0" applyProtection="0"/>
    <xf numFmtId="0" fontId="1" fillId="65" borderId="0" applyNumberFormat="0" applyBorder="0" applyAlignment="0" applyProtection="0"/>
    <xf numFmtId="0" fontId="1" fillId="68" borderId="0" applyNumberFormat="0" applyBorder="0" applyAlignment="0" applyProtection="0"/>
    <xf numFmtId="0" fontId="1" fillId="69" borderId="0" applyNumberFormat="0" applyBorder="0" applyAlignment="0" applyProtection="0"/>
    <xf numFmtId="0" fontId="1" fillId="72" borderId="0" applyNumberFormat="0" applyBorder="0" applyAlignment="0" applyProtection="0"/>
    <xf numFmtId="0" fontId="1" fillId="73" borderId="0" applyNumberFormat="0" applyBorder="0" applyAlignment="0" applyProtection="0"/>
    <xf numFmtId="0" fontId="1" fillId="76" borderId="0" applyNumberFormat="0" applyBorder="0" applyAlignment="0" applyProtection="0"/>
    <xf numFmtId="0" fontId="1" fillId="77" borderId="0" applyNumberFormat="0" applyBorder="0" applyAlignment="0" applyProtection="0"/>
    <xf numFmtId="0" fontId="1" fillId="80" borderId="0" applyNumberFormat="0" applyBorder="0" applyAlignment="0" applyProtection="0"/>
    <xf numFmtId="0" fontId="1" fillId="81" borderId="0" applyNumberFormat="0" applyBorder="0" applyAlignment="0" applyProtection="0"/>
    <xf numFmtId="0" fontId="1" fillId="58" borderId="104" applyNumberFormat="0" applyFont="0" applyAlignment="0" applyProtection="0"/>
    <xf numFmtId="0" fontId="1" fillId="60" borderId="0" applyNumberFormat="0" applyBorder="0" applyAlignment="0" applyProtection="0"/>
    <xf numFmtId="0" fontId="1" fillId="61" borderId="0" applyNumberFormat="0" applyBorder="0" applyAlignment="0" applyProtection="0"/>
    <xf numFmtId="0" fontId="1" fillId="64" borderId="0" applyNumberFormat="0" applyBorder="0" applyAlignment="0" applyProtection="0"/>
    <xf numFmtId="0" fontId="1" fillId="65" borderId="0" applyNumberFormat="0" applyBorder="0" applyAlignment="0" applyProtection="0"/>
    <xf numFmtId="0" fontId="1" fillId="68" borderId="0" applyNumberFormat="0" applyBorder="0" applyAlignment="0" applyProtection="0"/>
    <xf numFmtId="0" fontId="1" fillId="69" borderId="0" applyNumberFormat="0" applyBorder="0" applyAlignment="0" applyProtection="0"/>
    <xf numFmtId="0" fontId="1" fillId="72" borderId="0" applyNumberFormat="0" applyBorder="0" applyAlignment="0" applyProtection="0"/>
    <xf numFmtId="0" fontId="1" fillId="73" borderId="0" applyNumberFormat="0" applyBorder="0" applyAlignment="0" applyProtection="0"/>
    <xf numFmtId="0" fontId="1" fillId="76" borderId="0" applyNumberFormat="0" applyBorder="0" applyAlignment="0" applyProtection="0"/>
    <xf numFmtId="0" fontId="1" fillId="77" borderId="0" applyNumberFormat="0" applyBorder="0" applyAlignment="0" applyProtection="0"/>
    <xf numFmtId="0" fontId="1" fillId="80" borderId="0" applyNumberFormat="0" applyBorder="0" applyAlignment="0" applyProtection="0"/>
    <xf numFmtId="0" fontId="1" fillId="81" borderId="0" applyNumberFormat="0" applyBorder="0" applyAlignment="0" applyProtection="0"/>
    <xf numFmtId="0" fontId="1" fillId="58" borderId="104" applyNumberFormat="0" applyFont="0" applyAlignment="0" applyProtection="0"/>
    <xf numFmtId="0" fontId="1" fillId="58" borderId="104" applyNumberFormat="0" applyFont="0" applyAlignment="0" applyProtection="0"/>
    <xf numFmtId="0" fontId="1" fillId="60" borderId="0" applyNumberFormat="0" applyBorder="0" applyAlignment="0" applyProtection="0"/>
    <xf numFmtId="0" fontId="1" fillId="61" borderId="0" applyNumberFormat="0" applyBorder="0" applyAlignment="0" applyProtection="0"/>
    <xf numFmtId="0" fontId="1" fillId="64" borderId="0" applyNumberFormat="0" applyBorder="0" applyAlignment="0" applyProtection="0"/>
    <xf numFmtId="0" fontId="1" fillId="65" borderId="0" applyNumberFormat="0" applyBorder="0" applyAlignment="0" applyProtection="0"/>
    <xf numFmtId="0" fontId="1" fillId="68" borderId="0" applyNumberFormat="0" applyBorder="0" applyAlignment="0" applyProtection="0"/>
    <xf numFmtId="0" fontId="1" fillId="69" borderId="0" applyNumberFormat="0" applyBorder="0" applyAlignment="0" applyProtection="0"/>
    <xf numFmtId="0" fontId="1" fillId="72" borderId="0" applyNumberFormat="0" applyBorder="0" applyAlignment="0" applyProtection="0"/>
    <xf numFmtId="0" fontId="1" fillId="73" borderId="0" applyNumberFormat="0" applyBorder="0" applyAlignment="0" applyProtection="0"/>
    <xf numFmtId="0" fontId="1" fillId="76" borderId="0" applyNumberFormat="0" applyBorder="0" applyAlignment="0" applyProtection="0"/>
    <xf numFmtId="0" fontId="1" fillId="77" borderId="0" applyNumberFormat="0" applyBorder="0" applyAlignment="0" applyProtection="0"/>
    <xf numFmtId="0" fontId="1" fillId="80" borderId="0" applyNumberFormat="0" applyBorder="0" applyAlignment="0" applyProtection="0"/>
    <xf numFmtId="0" fontId="1" fillId="81" borderId="0" applyNumberFormat="0" applyBorder="0" applyAlignment="0" applyProtection="0"/>
    <xf numFmtId="0" fontId="1" fillId="60" borderId="0" applyNumberFormat="0" applyBorder="0" applyAlignment="0" applyProtection="0"/>
    <xf numFmtId="0" fontId="1" fillId="61" borderId="0" applyNumberFormat="0" applyBorder="0" applyAlignment="0" applyProtection="0"/>
    <xf numFmtId="0" fontId="1" fillId="64" borderId="0" applyNumberFormat="0" applyBorder="0" applyAlignment="0" applyProtection="0"/>
    <xf numFmtId="0" fontId="1" fillId="65" borderId="0" applyNumberFormat="0" applyBorder="0" applyAlignment="0" applyProtection="0"/>
    <xf numFmtId="0" fontId="1" fillId="68" borderId="0" applyNumberFormat="0" applyBorder="0" applyAlignment="0" applyProtection="0"/>
    <xf numFmtId="0" fontId="1" fillId="69" borderId="0" applyNumberFormat="0" applyBorder="0" applyAlignment="0" applyProtection="0"/>
    <xf numFmtId="0" fontId="1" fillId="72" borderId="0" applyNumberFormat="0" applyBorder="0" applyAlignment="0" applyProtection="0"/>
    <xf numFmtId="0" fontId="1" fillId="73" borderId="0" applyNumberFormat="0" applyBorder="0" applyAlignment="0" applyProtection="0"/>
    <xf numFmtId="0" fontId="1" fillId="76" borderId="0" applyNumberFormat="0" applyBorder="0" applyAlignment="0" applyProtection="0"/>
    <xf numFmtId="0" fontId="1" fillId="77" borderId="0" applyNumberFormat="0" applyBorder="0" applyAlignment="0" applyProtection="0"/>
    <xf numFmtId="0" fontId="1" fillId="80" borderId="0" applyNumberFormat="0" applyBorder="0" applyAlignment="0" applyProtection="0"/>
    <xf numFmtId="0" fontId="1" fillId="81" borderId="0" applyNumberFormat="0" applyBorder="0" applyAlignment="0" applyProtection="0"/>
    <xf numFmtId="0" fontId="1" fillId="58" borderId="104" applyNumberFormat="0" applyFont="0" applyAlignment="0" applyProtection="0"/>
    <xf numFmtId="0" fontId="1" fillId="0" borderId="0"/>
    <xf numFmtId="0" fontId="1" fillId="0" borderId="0"/>
    <xf numFmtId="0" fontId="1" fillId="60" borderId="0" applyNumberFormat="0" applyBorder="0" applyAlignment="0" applyProtection="0"/>
    <xf numFmtId="0" fontId="1" fillId="61" borderId="0" applyNumberFormat="0" applyBorder="0" applyAlignment="0" applyProtection="0"/>
    <xf numFmtId="0" fontId="1" fillId="64" borderId="0" applyNumberFormat="0" applyBorder="0" applyAlignment="0" applyProtection="0"/>
    <xf numFmtId="0" fontId="1" fillId="65" borderId="0" applyNumberFormat="0" applyBorder="0" applyAlignment="0" applyProtection="0"/>
    <xf numFmtId="0" fontId="1" fillId="68" borderId="0" applyNumberFormat="0" applyBorder="0" applyAlignment="0" applyProtection="0"/>
    <xf numFmtId="0" fontId="1" fillId="69" borderId="0" applyNumberFormat="0" applyBorder="0" applyAlignment="0" applyProtection="0"/>
    <xf numFmtId="0" fontId="1" fillId="72" borderId="0" applyNumberFormat="0" applyBorder="0" applyAlignment="0" applyProtection="0"/>
    <xf numFmtId="0" fontId="1" fillId="73" borderId="0" applyNumberFormat="0" applyBorder="0" applyAlignment="0" applyProtection="0"/>
    <xf numFmtId="0" fontId="1" fillId="76" borderId="0" applyNumberFormat="0" applyBorder="0" applyAlignment="0" applyProtection="0"/>
    <xf numFmtId="0" fontId="1" fillId="77" borderId="0" applyNumberFormat="0" applyBorder="0" applyAlignment="0" applyProtection="0"/>
    <xf numFmtId="0" fontId="1" fillId="80" borderId="0" applyNumberFormat="0" applyBorder="0" applyAlignment="0" applyProtection="0"/>
    <xf numFmtId="0" fontId="1" fillId="81" borderId="0" applyNumberFormat="0" applyBorder="0" applyAlignment="0" applyProtection="0"/>
    <xf numFmtId="0" fontId="1" fillId="58" borderId="104" applyNumberFormat="0" applyFont="0" applyAlignment="0" applyProtection="0"/>
    <xf numFmtId="0" fontId="1" fillId="58" borderId="104" applyNumberFormat="0" applyFont="0" applyAlignment="0" applyProtection="0"/>
    <xf numFmtId="0" fontId="1" fillId="60" borderId="0" applyNumberFormat="0" applyBorder="0" applyAlignment="0" applyProtection="0"/>
    <xf numFmtId="0" fontId="1" fillId="61" borderId="0" applyNumberFormat="0" applyBorder="0" applyAlignment="0" applyProtection="0"/>
    <xf numFmtId="0" fontId="1" fillId="64" borderId="0" applyNumberFormat="0" applyBorder="0" applyAlignment="0" applyProtection="0"/>
    <xf numFmtId="0" fontId="1" fillId="65" borderId="0" applyNumberFormat="0" applyBorder="0" applyAlignment="0" applyProtection="0"/>
    <xf numFmtId="0" fontId="1" fillId="68" borderId="0" applyNumberFormat="0" applyBorder="0" applyAlignment="0" applyProtection="0"/>
    <xf numFmtId="0" fontId="1" fillId="69" borderId="0" applyNumberFormat="0" applyBorder="0" applyAlignment="0" applyProtection="0"/>
    <xf numFmtId="0" fontId="1" fillId="72" borderId="0" applyNumberFormat="0" applyBorder="0" applyAlignment="0" applyProtection="0"/>
    <xf numFmtId="0" fontId="1" fillId="73" borderId="0" applyNumberFormat="0" applyBorder="0" applyAlignment="0" applyProtection="0"/>
    <xf numFmtId="0" fontId="1" fillId="76" borderId="0" applyNumberFormat="0" applyBorder="0" applyAlignment="0" applyProtection="0"/>
    <xf numFmtId="0" fontId="1" fillId="77" borderId="0" applyNumberFormat="0" applyBorder="0" applyAlignment="0" applyProtection="0"/>
    <xf numFmtId="0" fontId="1" fillId="80" borderId="0" applyNumberFormat="0" applyBorder="0" applyAlignment="0" applyProtection="0"/>
    <xf numFmtId="0" fontId="1" fillId="81" borderId="0" applyNumberFormat="0" applyBorder="0" applyAlignment="0" applyProtection="0"/>
    <xf numFmtId="0" fontId="1" fillId="60" borderId="0" applyNumberFormat="0" applyBorder="0" applyAlignment="0" applyProtection="0"/>
    <xf numFmtId="0" fontId="1" fillId="61" borderId="0" applyNumberFormat="0" applyBorder="0" applyAlignment="0" applyProtection="0"/>
    <xf numFmtId="0" fontId="1" fillId="64" borderId="0" applyNumberFormat="0" applyBorder="0" applyAlignment="0" applyProtection="0"/>
    <xf numFmtId="0" fontId="1" fillId="65" borderId="0" applyNumberFormat="0" applyBorder="0" applyAlignment="0" applyProtection="0"/>
    <xf numFmtId="0" fontId="1" fillId="68" borderId="0" applyNumberFormat="0" applyBorder="0" applyAlignment="0" applyProtection="0"/>
    <xf numFmtId="0" fontId="1" fillId="69" borderId="0" applyNumberFormat="0" applyBorder="0" applyAlignment="0" applyProtection="0"/>
    <xf numFmtId="0" fontId="1" fillId="72" borderId="0" applyNumberFormat="0" applyBorder="0" applyAlignment="0" applyProtection="0"/>
    <xf numFmtId="0" fontId="1" fillId="73" borderId="0" applyNumberFormat="0" applyBorder="0" applyAlignment="0" applyProtection="0"/>
    <xf numFmtId="0" fontId="1" fillId="76" borderId="0" applyNumberFormat="0" applyBorder="0" applyAlignment="0" applyProtection="0"/>
    <xf numFmtId="0" fontId="1" fillId="77" borderId="0" applyNumberFormat="0" applyBorder="0" applyAlignment="0" applyProtection="0"/>
    <xf numFmtId="0" fontId="1" fillId="80" borderId="0" applyNumberFormat="0" applyBorder="0" applyAlignment="0" applyProtection="0"/>
    <xf numFmtId="0" fontId="1" fillId="81" borderId="0" applyNumberFormat="0" applyBorder="0" applyAlignment="0" applyProtection="0"/>
    <xf numFmtId="0" fontId="1" fillId="58" borderId="104" applyNumberFormat="0" applyFont="0" applyAlignment="0" applyProtection="0"/>
    <xf numFmtId="0" fontId="1" fillId="60" borderId="0" applyNumberFormat="0" applyBorder="0" applyAlignment="0" applyProtection="0"/>
    <xf numFmtId="0" fontId="1" fillId="61" borderId="0" applyNumberFormat="0" applyBorder="0" applyAlignment="0" applyProtection="0"/>
    <xf numFmtId="0" fontId="1" fillId="64" borderId="0" applyNumberFormat="0" applyBorder="0" applyAlignment="0" applyProtection="0"/>
    <xf numFmtId="0" fontId="1" fillId="65" borderId="0" applyNumberFormat="0" applyBorder="0" applyAlignment="0" applyProtection="0"/>
    <xf numFmtId="0" fontId="1" fillId="68" borderId="0" applyNumberFormat="0" applyBorder="0" applyAlignment="0" applyProtection="0"/>
    <xf numFmtId="0" fontId="1" fillId="69" borderId="0" applyNumberFormat="0" applyBorder="0" applyAlignment="0" applyProtection="0"/>
    <xf numFmtId="0" fontId="1" fillId="72" borderId="0" applyNumberFormat="0" applyBorder="0" applyAlignment="0" applyProtection="0"/>
    <xf numFmtId="0" fontId="1" fillId="73" borderId="0" applyNumberFormat="0" applyBorder="0" applyAlignment="0" applyProtection="0"/>
    <xf numFmtId="0" fontId="1" fillId="76" borderId="0" applyNumberFormat="0" applyBorder="0" applyAlignment="0" applyProtection="0"/>
    <xf numFmtId="0" fontId="1" fillId="77" borderId="0" applyNumberFormat="0" applyBorder="0" applyAlignment="0" applyProtection="0"/>
    <xf numFmtId="0" fontId="1" fillId="80" borderId="0" applyNumberFormat="0" applyBorder="0" applyAlignment="0" applyProtection="0"/>
    <xf numFmtId="0" fontId="1" fillId="81" borderId="0" applyNumberFormat="0" applyBorder="0" applyAlignment="0" applyProtection="0"/>
    <xf numFmtId="0" fontId="1" fillId="58" borderId="104" applyNumberFormat="0" applyFont="0" applyAlignment="0" applyProtection="0"/>
    <xf numFmtId="0" fontId="1" fillId="58" borderId="104" applyNumberFormat="0" applyFont="0" applyAlignment="0" applyProtection="0"/>
    <xf numFmtId="0" fontId="1" fillId="60" borderId="0" applyNumberFormat="0" applyBorder="0" applyAlignment="0" applyProtection="0"/>
    <xf numFmtId="0" fontId="1" fillId="61" borderId="0" applyNumberFormat="0" applyBorder="0" applyAlignment="0" applyProtection="0"/>
    <xf numFmtId="0" fontId="1" fillId="64" borderId="0" applyNumberFormat="0" applyBorder="0" applyAlignment="0" applyProtection="0"/>
    <xf numFmtId="0" fontId="1" fillId="65" borderId="0" applyNumberFormat="0" applyBorder="0" applyAlignment="0" applyProtection="0"/>
    <xf numFmtId="0" fontId="1" fillId="68" borderId="0" applyNumberFormat="0" applyBorder="0" applyAlignment="0" applyProtection="0"/>
    <xf numFmtId="0" fontId="1" fillId="69" borderId="0" applyNumberFormat="0" applyBorder="0" applyAlignment="0" applyProtection="0"/>
    <xf numFmtId="0" fontId="1" fillId="72" borderId="0" applyNumberFormat="0" applyBorder="0" applyAlignment="0" applyProtection="0"/>
    <xf numFmtId="0" fontId="1" fillId="73" borderId="0" applyNumberFormat="0" applyBorder="0" applyAlignment="0" applyProtection="0"/>
    <xf numFmtId="0" fontId="1" fillId="76" borderId="0" applyNumberFormat="0" applyBorder="0" applyAlignment="0" applyProtection="0"/>
    <xf numFmtId="0" fontId="1" fillId="77" borderId="0" applyNumberFormat="0" applyBorder="0" applyAlignment="0" applyProtection="0"/>
    <xf numFmtId="0" fontId="1" fillId="80" borderId="0" applyNumberFormat="0" applyBorder="0" applyAlignment="0" applyProtection="0"/>
    <xf numFmtId="0" fontId="1" fillId="81" borderId="0" applyNumberFormat="0" applyBorder="0" applyAlignment="0" applyProtection="0"/>
    <xf numFmtId="0" fontId="1" fillId="60" borderId="0" applyNumberFormat="0" applyBorder="0" applyAlignment="0" applyProtection="0"/>
    <xf numFmtId="0" fontId="1" fillId="61" borderId="0" applyNumberFormat="0" applyBorder="0" applyAlignment="0" applyProtection="0"/>
    <xf numFmtId="0" fontId="1" fillId="64" borderId="0" applyNumberFormat="0" applyBorder="0" applyAlignment="0" applyProtection="0"/>
    <xf numFmtId="0" fontId="1" fillId="65" borderId="0" applyNumberFormat="0" applyBorder="0" applyAlignment="0" applyProtection="0"/>
    <xf numFmtId="0" fontId="1" fillId="68" borderId="0" applyNumberFormat="0" applyBorder="0" applyAlignment="0" applyProtection="0"/>
    <xf numFmtId="0" fontId="1" fillId="69" borderId="0" applyNumberFormat="0" applyBorder="0" applyAlignment="0" applyProtection="0"/>
    <xf numFmtId="0" fontId="1" fillId="72" borderId="0" applyNumberFormat="0" applyBorder="0" applyAlignment="0" applyProtection="0"/>
    <xf numFmtId="0" fontId="1" fillId="73" borderId="0" applyNumberFormat="0" applyBorder="0" applyAlignment="0" applyProtection="0"/>
    <xf numFmtId="0" fontId="1" fillId="76" borderId="0" applyNumberFormat="0" applyBorder="0" applyAlignment="0" applyProtection="0"/>
    <xf numFmtId="0" fontId="1" fillId="77" borderId="0" applyNumberFormat="0" applyBorder="0" applyAlignment="0" applyProtection="0"/>
    <xf numFmtId="0" fontId="1" fillId="80" borderId="0" applyNumberFormat="0" applyBorder="0" applyAlignment="0" applyProtection="0"/>
    <xf numFmtId="0" fontId="1" fillId="81" borderId="0" applyNumberFormat="0" applyBorder="0" applyAlignment="0" applyProtection="0"/>
    <xf numFmtId="0" fontId="1" fillId="58" borderId="104" applyNumberFormat="0" applyFont="0" applyAlignment="0" applyProtection="0"/>
    <xf numFmtId="0" fontId="1" fillId="60" borderId="0" applyNumberFormat="0" applyBorder="0" applyAlignment="0" applyProtection="0"/>
    <xf numFmtId="0" fontId="1" fillId="61" borderId="0" applyNumberFormat="0" applyBorder="0" applyAlignment="0" applyProtection="0"/>
    <xf numFmtId="0" fontId="1" fillId="64" borderId="0" applyNumberFormat="0" applyBorder="0" applyAlignment="0" applyProtection="0"/>
    <xf numFmtId="0" fontId="1" fillId="65" borderId="0" applyNumberFormat="0" applyBorder="0" applyAlignment="0" applyProtection="0"/>
    <xf numFmtId="0" fontId="1" fillId="68" borderId="0" applyNumberFormat="0" applyBorder="0" applyAlignment="0" applyProtection="0"/>
    <xf numFmtId="0" fontId="1" fillId="69" borderId="0" applyNumberFormat="0" applyBorder="0" applyAlignment="0" applyProtection="0"/>
    <xf numFmtId="0" fontId="1" fillId="72" borderId="0" applyNumberFormat="0" applyBorder="0" applyAlignment="0" applyProtection="0"/>
    <xf numFmtId="0" fontId="1" fillId="73" borderId="0" applyNumberFormat="0" applyBorder="0" applyAlignment="0" applyProtection="0"/>
    <xf numFmtId="0" fontId="1" fillId="76" borderId="0" applyNumberFormat="0" applyBorder="0" applyAlignment="0" applyProtection="0"/>
    <xf numFmtId="0" fontId="1" fillId="77" borderId="0" applyNumberFormat="0" applyBorder="0" applyAlignment="0" applyProtection="0"/>
    <xf numFmtId="0" fontId="1" fillId="80" borderId="0" applyNumberFormat="0" applyBorder="0" applyAlignment="0" applyProtection="0"/>
    <xf numFmtId="0" fontId="1" fillId="81" borderId="0" applyNumberFormat="0" applyBorder="0" applyAlignment="0" applyProtection="0"/>
    <xf numFmtId="0" fontId="1" fillId="58" borderId="104" applyNumberFormat="0" applyFont="0" applyAlignment="0" applyProtection="0"/>
    <xf numFmtId="0" fontId="1" fillId="58" borderId="104" applyNumberFormat="0" applyFont="0" applyAlignment="0" applyProtection="0"/>
    <xf numFmtId="0" fontId="1" fillId="60" borderId="0" applyNumberFormat="0" applyBorder="0" applyAlignment="0" applyProtection="0"/>
    <xf numFmtId="0" fontId="1" fillId="61" borderId="0" applyNumberFormat="0" applyBorder="0" applyAlignment="0" applyProtection="0"/>
    <xf numFmtId="0" fontId="1" fillId="64" borderId="0" applyNumberFormat="0" applyBorder="0" applyAlignment="0" applyProtection="0"/>
    <xf numFmtId="0" fontId="1" fillId="65" borderId="0" applyNumberFormat="0" applyBorder="0" applyAlignment="0" applyProtection="0"/>
    <xf numFmtId="0" fontId="1" fillId="68" borderId="0" applyNumberFormat="0" applyBorder="0" applyAlignment="0" applyProtection="0"/>
    <xf numFmtId="0" fontId="1" fillId="69" borderId="0" applyNumberFormat="0" applyBorder="0" applyAlignment="0" applyProtection="0"/>
    <xf numFmtId="0" fontId="1" fillId="72" borderId="0" applyNumberFormat="0" applyBorder="0" applyAlignment="0" applyProtection="0"/>
    <xf numFmtId="0" fontId="1" fillId="73" borderId="0" applyNumberFormat="0" applyBorder="0" applyAlignment="0" applyProtection="0"/>
    <xf numFmtId="0" fontId="1" fillId="76" borderId="0" applyNumberFormat="0" applyBorder="0" applyAlignment="0" applyProtection="0"/>
    <xf numFmtId="0" fontId="1" fillId="77" borderId="0" applyNumberFormat="0" applyBorder="0" applyAlignment="0" applyProtection="0"/>
    <xf numFmtId="0" fontId="1" fillId="80" borderId="0" applyNumberFormat="0" applyBorder="0" applyAlignment="0" applyProtection="0"/>
    <xf numFmtId="0" fontId="1" fillId="81" borderId="0" applyNumberFormat="0" applyBorder="0" applyAlignment="0" applyProtection="0"/>
    <xf numFmtId="0" fontId="1" fillId="60" borderId="0" applyNumberFormat="0" applyBorder="0" applyAlignment="0" applyProtection="0"/>
    <xf numFmtId="0" fontId="1" fillId="61" borderId="0" applyNumberFormat="0" applyBorder="0" applyAlignment="0" applyProtection="0"/>
    <xf numFmtId="0" fontId="1" fillId="64" borderId="0" applyNumberFormat="0" applyBorder="0" applyAlignment="0" applyProtection="0"/>
    <xf numFmtId="0" fontId="1" fillId="65" borderId="0" applyNumberFormat="0" applyBorder="0" applyAlignment="0" applyProtection="0"/>
    <xf numFmtId="0" fontId="1" fillId="68" borderId="0" applyNumberFormat="0" applyBorder="0" applyAlignment="0" applyProtection="0"/>
    <xf numFmtId="0" fontId="1" fillId="69" borderId="0" applyNumberFormat="0" applyBorder="0" applyAlignment="0" applyProtection="0"/>
    <xf numFmtId="0" fontId="1" fillId="72" borderId="0" applyNumberFormat="0" applyBorder="0" applyAlignment="0" applyProtection="0"/>
    <xf numFmtId="0" fontId="1" fillId="73" borderId="0" applyNumberFormat="0" applyBorder="0" applyAlignment="0" applyProtection="0"/>
    <xf numFmtId="0" fontId="1" fillId="76" borderId="0" applyNumberFormat="0" applyBorder="0" applyAlignment="0" applyProtection="0"/>
    <xf numFmtId="0" fontId="1" fillId="77" borderId="0" applyNumberFormat="0" applyBorder="0" applyAlignment="0" applyProtection="0"/>
    <xf numFmtId="0" fontId="1" fillId="80" borderId="0" applyNumberFormat="0" applyBorder="0" applyAlignment="0" applyProtection="0"/>
    <xf numFmtId="0" fontId="1" fillId="81" borderId="0" applyNumberFormat="0" applyBorder="0" applyAlignment="0" applyProtection="0"/>
    <xf numFmtId="0" fontId="1" fillId="58" borderId="104" applyNumberFormat="0" applyFont="0" applyAlignment="0" applyProtection="0"/>
    <xf numFmtId="0" fontId="1" fillId="9" borderId="0" applyNumberFormat="0" applyBorder="0" applyAlignment="0" applyProtection="0"/>
    <xf numFmtId="0" fontId="1" fillId="60" borderId="0" applyNumberFormat="0" applyBorder="0" applyAlignment="0" applyProtection="0"/>
    <xf numFmtId="0" fontId="1" fillId="60" borderId="0" applyNumberFormat="0" applyBorder="0" applyAlignment="0" applyProtection="0"/>
    <xf numFmtId="0" fontId="1" fillId="60" borderId="0" applyNumberFormat="0" applyBorder="0" applyAlignment="0" applyProtection="0"/>
    <xf numFmtId="0" fontId="1" fillId="60" borderId="0" applyNumberFormat="0" applyBorder="0" applyAlignment="0" applyProtection="0"/>
    <xf numFmtId="0" fontId="1" fillId="60" borderId="0" applyNumberFormat="0" applyBorder="0" applyAlignment="0" applyProtection="0"/>
    <xf numFmtId="0" fontId="1" fillId="60" borderId="0" applyNumberFormat="0" applyBorder="0" applyAlignment="0" applyProtection="0"/>
    <xf numFmtId="0" fontId="1" fillId="60" borderId="0" applyNumberFormat="0" applyBorder="0" applyAlignment="0" applyProtection="0"/>
    <xf numFmtId="0" fontId="1" fillId="60" borderId="0" applyNumberFormat="0" applyBorder="0" applyAlignment="0" applyProtection="0"/>
    <xf numFmtId="0" fontId="1" fillId="60" borderId="0" applyNumberFormat="0" applyBorder="0" applyAlignment="0" applyProtection="0"/>
    <xf numFmtId="0" fontId="1" fillId="64" borderId="0" applyNumberFormat="0" applyBorder="0" applyAlignment="0" applyProtection="0"/>
    <xf numFmtId="0" fontId="1" fillId="64" borderId="0" applyNumberFormat="0" applyBorder="0" applyAlignment="0" applyProtection="0"/>
    <xf numFmtId="0" fontId="1" fillId="64" borderId="0" applyNumberFormat="0" applyBorder="0" applyAlignment="0" applyProtection="0"/>
    <xf numFmtId="0" fontId="1" fillId="64" borderId="0" applyNumberFormat="0" applyBorder="0" applyAlignment="0" applyProtection="0"/>
    <xf numFmtId="0" fontId="1" fillId="64" borderId="0" applyNumberFormat="0" applyBorder="0" applyAlignment="0" applyProtection="0"/>
    <xf numFmtId="0" fontId="1" fillId="64" borderId="0" applyNumberFormat="0" applyBorder="0" applyAlignment="0" applyProtection="0"/>
    <xf numFmtId="0" fontId="1" fillId="64" borderId="0" applyNumberFormat="0" applyBorder="0" applyAlignment="0" applyProtection="0"/>
    <xf numFmtId="0" fontId="1" fillId="64" borderId="0" applyNumberFormat="0" applyBorder="0" applyAlignment="0" applyProtection="0"/>
    <xf numFmtId="0" fontId="1" fillId="64" borderId="0" applyNumberFormat="0" applyBorder="0" applyAlignment="0" applyProtection="0"/>
    <xf numFmtId="0" fontId="1" fillId="68" borderId="0" applyNumberFormat="0" applyBorder="0" applyAlignment="0" applyProtection="0"/>
    <xf numFmtId="0" fontId="1" fillId="68" borderId="0" applyNumberFormat="0" applyBorder="0" applyAlignment="0" applyProtection="0"/>
    <xf numFmtId="0" fontId="1" fillId="68" borderId="0" applyNumberFormat="0" applyBorder="0" applyAlignment="0" applyProtection="0"/>
    <xf numFmtId="0" fontId="1" fillId="68" borderId="0" applyNumberFormat="0" applyBorder="0" applyAlignment="0" applyProtection="0"/>
    <xf numFmtId="0" fontId="1" fillId="68" borderId="0" applyNumberFormat="0" applyBorder="0" applyAlignment="0" applyProtection="0"/>
    <xf numFmtId="0" fontId="1" fillId="68" borderId="0" applyNumberFormat="0" applyBorder="0" applyAlignment="0" applyProtection="0"/>
    <xf numFmtId="0" fontId="1" fillId="68" borderId="0" applyNumberFormat="0" applyBorder="0" applyAlignment="0" applyProtection="0"/>
    <xf numFmtId="0" fontId="1" fillId="68" borderId="0" applyNumberFormat="0" applyBorder="0" applyAlignment="0" applyProtection="0"/>
    <xf numFmtId="0" fontId="1" fillId="68" borderId="0" applyNumberFormat="0" applyBorder="0" applyAlignment="0" applyProtection="0"/>
    <xf numFmtId="0" fontId="1" fillId="72" borderId="0" applyNumberFormat="0" applyBorder="0" applyAlignment="0" applyProtection="0"/>
    <xf numFmtId="0" fontId="1" fillId="72" borderId="0" applyNumberFormat="0" applyBorder="0" applyAlignment="0" applyProtection="0"/>
    <xf numFmtId="0" fontId="1" fillId="72" borderId="0" applyNumberFormat="0" applyBorder="0" applyAlignment="0" applyProtection="0"/>
    <xf numFmtId="0" fontId="1" fillId="72" borderId="0" applyNumberFormat="0" applyBorder="0" applyAlignment="0" applyProtection="0"/>
    <xf numFmtId="0" fontId="1" fillId="72" borderId="0" applyNumberFormat="0" applyBorder="0" applyAlignment="0" applyProtection="0"/>
    <xf numFmtId="0" fontId="1" fillId="72" borderId="0" applyNumberFormat="0" applyBorder="0" applyAlignment="0" applyProtection="0"/>
    <xf numFmtId="0" fontId="1" fillId="72" borderId="0" applyNumberFormat="0" applyBorder="0" applyAlignment="0" applyProtection="0"/>
    <xf numFmtId="0" fontId="1" fillId="72" borderId="0" applyNumberFormat="0" applyBorder="0" applyAlignment="0" applyProtection="0"/>
    <xf numFmtId="0" fontId="1" fillId="72" borderId="0" applyNumberFormat="0" applyBorder="0" applyAlignment="0" applyProtection="0"/>
    <xf numFmtId="0" fontId="1" fillId="76" borderId="0" applyNumberFormat="0" applyBorder="0" applyAlignment="0" applyProtection="0"/>
    <xf numFmtId="0" fontId="1" fillId="76" borderId="0" applyNumberFormat="0" applyBorder="0" applyAlignment="0" applyProtection="0"/>
    <xf numFmtId="0" fontId="1" fillId="76" borderId="0" applyNumberFormat="0" applyBorder="0" applyAlignment="0" applyProtection="0"/>
    <xf numFmtId="0" fontId="1" fillId="76" borderId="0" applyNumberFormat="0" applyBorder="0" applyAlignment="0" applyProtection="0"/>
    <xf numFmtId="0" fontId="1" fillId="76" borderId="0" applyNumberFormat="0" applyBorder="0" applyAlignment="0" applyProtection="0"/>
    <xf numFmtId="0" fontId="1" fillId="76" borderId="0" applyNumberFormat="0" applyBorder="0" applyAlignment="0" applyProtection="0"/>
    <xf numFmtId="0" fontId="1" fillId="76" borderId="0" applyNumberFormat="0" applyBorder="0" applyAlignment="0" applyProtection="0"/>
    <xf numFmtId="0" fontId="1" fillId="76" borderId="0" applyNumberFormat="0" applyBorder="0" applyAlignment="0" applyProtection="0"/>
    <xf numFmtId="0" fontId="1" fillId="76" borderId="0" applyNumberFormat="0" applyBorder="0" applyAlignment="0" applyProtection="0"/>
    <xf numFmtId="0" fontId="1" fillId="80" borderId="0" applyNumberFormat="0" applyBorder="0" applyAlignment="0" applyProtection="0"/>
    <xf numFmtId="0" fontId="1" fillId="80" borderId="0" applyNumberFormat="0" applyBorder="0" applyAlignment="0" applyProtection="0"/>
    <xf numFmtId="0" fontId="1" fillId="80" borderId="0" applyNumberFormat="0" applyBorder="0" applyAlignment="0" applyProtection="0"/>
    <xf numFmtId="0" fontId="1" fillId="80" borderId="0" applyNumberFormat="0" applyBorder="0" applyAlignment="0" applyProtection="0"/>
    <xf numFmtId="0" fontId="1" fillId="80" borderId="0" applyNumberFormat="0" applyBorder="0" applyAlignment="0" applyProtection="0"/>
    <xf numFmtId="0" fontId="1" fillId="80" borderId="0" applyNumberFormat="0" applyBorder="0" applyAlignment="0" applyProtection="0"/>
    <xf numFmtId="0" fontId="1" fillId="80" borderId="0" applyNumberFormat="0" applyBorder="0" applyAlignment="0" applyProtection="0"/>
    <xf numFmtId="0" fontId="1" fillId="80" borderId="0" applyNumberFormat="0" applyBorder="0" applyAlignment="0" applyProtection="0"/>
    <xf numFmtId="0" fontId="1" fillId="80" borderId="0" applyNumberFormat="0" applyBorder="0" applyAlignment="0" applyProtection="0"/>
    <xf numFmtId="0" fontId="1" fillId="61" borderId="0" applyNumberFormat="0" applyBorder="0" applyAlignment="0" applyProtection="0"/>
    <xf numFmtId="0" fontId="1" fillId="61" borderId="0" applyNumberFormat="0" applyBorder="0" applyAlignment="0" applyProtection="0"/>
    <xf numFmtId="0" fontId="1" fillId="61" borderId="0" applyNumberFormat="0" applyBorder="0" applyAlignment="0" applyProtection="0"/>
    <xf numFmtId="0" fontId="1" fillId="61" borderId="0" applyNumberFormat="0" applyBorder="0" applyAlignment="0" applyProtection="0"/>
    <xf numFmtId="0" fontId="1" fillId="61" borderId="0" applyNumberFormat="0" applyBorder="0" applyAlignment="0" applyProtection="0"/>
    <xf numFmtId="0" fontId="1" fillId="61" borderId="0" applyNumberFormat="0" applyBorder="0" applyAlignment="0" applyProtection="0"/>
    <xf numFmtId="0" fontId="1" fillId="61" borderId="0" applyNumberFormat="0" applyBorder="0" applyAlignment="0" applyProtection="0"/>
    <xf numFmtId="0" fontId="1" fillId="61" borderId="0" applyNumberFormat="0" applyBorder="0" applyAlignment="0" applyProtection="0"/>
    <xf numFmtId="0" fontId="1" fillId="61" borderId="0" applyNumberFormat="0" applyBorder="0" applyAlignment="0" applyProtection="0"/>
    <xf numFmtId="0" fontId="1" fillId="65" borderId="0" applyNumberFormat="0" applyBorder="0" applyAlignment="0" applyProtection="0"/>
    <xf numFmtId="0" fontId="1" fillId="65" borderId="0" applyNumberFormat="0" applyBorder="0" applyAlignment="0" applyProtection="0"/>
    <xf numFmtId="0" fontId="1" fillId="65" borderId="0" applyNumberFormat="0" applyBorder="0" applyAlignment="0" applyProtection="0"/>
    <xf numFmtId="0" fontId="1" fillId="65" borderId="0" applyNumberFormat="0" applyBorder="0" applyAlignment="0" applyProtection="0"/>
    <xf numFmtId="0" fontId="1" fillId="65" borderId="0" applyNumberFormat="0" applyBorder="0" applyAlignment="0" applyProtection="0"/>
    <xf numFmtId="0" fontId="1" fillId="65" borderId="0" applyNumberFormat="0" applyBorder="0" applyAlignment="0" applyProtection="0"/>
    <xf numFmtId="0" fontId="1" fillId="65" borderId="0" applyNumberFormat="0" applyBorder="0" applyAlignment="0" applyProtection="0"/>
    <xf numFmtId="0" fontId="1" fillId="65" borderId="0" applyNumberFormat="0" applyBorder="0" applyAlignment="0" applyProtection="0"/>
    <xf numFmtId="0" fontId="1" fillId="65" borderId="0" applyNumberFormat="0" applyBorder="0" applyAlignment="0" applyProtection="0"/>
    <xf numFmtId="0" fontId="1" fillId="69" borderId="0" applyNumberFormat="0" applyBorder="0" applyAlignment="0" applyProtection="0"/>
    <xf numFmtId="0" fontId="1" fillId="69" borderId="0" applyNumberFormat="0" applyBorder="0" applyAlignment="0" applyProtection="0"/>
    <xf numFmtId="0" fontId="1" fillId="69" borderId="0" applyNumberFormat="0" applyBorder="0" applyAlignment="0" applyProtection="0"/>
    <xf numFmtId="0" fontId="1" fillId="69" borderId="0" applyNumberFormat="0" applyBorder="0" applyAlignment="0" applyProtection="0"/>
    <xf numFmtId="0" fontId="1" fillId="69" borderId="0" applyNumberFormat="0" applyBorder="0" applyAlignment="0" applyProtection="0"/>
    <xf numFmtId="0" fontId="1" fillId="69" borderId="0" applyNumberFormat="0" applyBorder="0" applyAlignment="0" applyProtection="0"/>
    <xf numFmtId="0" fontId="1" fillId="69" borderId="0" applyNumberFormat="0" applyBorder="0" applyAlignment="0" applyProtection="0"/>
    <xf numFmtId="0" fontId="1" fillId="69" borderId="0" applyNumberFormat="0" applyBorder="0" applyAlignment="0" applyProtection="0"/>
    <xf numFmtId="0" fontId="1" fillId="69" borderId="0" applyNumberFormat="0" applyBorder="0" applyAlignment="0" applyProtection="0"/>
    <xf numFmtId="0" fontId="1" fillId="73" borderId="0" applyNumberFormat="0" applyBorder="0" applyAlignment="0" applyProtection="0"/>
    <xf numFmtId="0" fontId="1" fillId="73" borderId="0" applyNumberFormat="0" applyBorder="0" applyAlignment="0" applyProtection="0"/>
    <xf numFmtId="0" fontId="1" fillId="73" borderId="0" applyNumberFormat="0" applyBorder="0" applyAlignment="0" applyProtection="0"/>
    <xf numFmtId="0" fontId="1" fillId="73" borderId="0" applyNumberFormat="0" applyBorder="0" applyAlignment="0" applyProtection="0"/>
    <xf numFmtId="0" fontId="1" fillId="73" borderId="0" applyNumberFormat="0" applyBorder="0" applyAlignment="0" applyProtection="0"/>
    <xf numFmtId="0" fontId="1" fillId="73" borderId="0" applyNumberFormat="0" applyBorder="0" applyAlignment="0" applyProtection="0"/>
    <xf numFmtId="0" fontId="1" fillId="73" borderId="0" applyNumberFormat="0" applyBorder="0" applyAlignment="0" applyProtection="0"/>
    <xf numFmtId="0" fontId="1" fillId="73" borderId="0" applyNumberFormat="0" applyBorder="0" applyAlignment="0" applyProtection="0"/>
    <xf numFmtId="0" fontId="1" fillId="73" borderId="0" applyNumberFormat="0" applyBorder="0" applyAlignment="0" applyProtection="0"/>
    <xf numFmtId="0" fontId="1" fillId="77" borderId="0" applyNumberFormat="0" applyBorder="0" applyAlignment="0" applyProtection="0"/>
    <xf numFmtId="0" fontId="1" fillId="77" borderId="0" applyNumberFormat="0" applyBorder="0" applyAlignment="0" applyProtection="0"/>
    <xf numFmtId="0" fontId="1" fillId="77" borderId="0" applyNumberFormat="0" applyBorder="0" applyAlignment="0" applyProtection="0"/>
    <xf numFmtId="0" fontId="1" fillId="77" borderId="0" applyNumberFormat="0" applyBorder="0" applyAlignment="0" applyProtection="0"/>
    <xf numFmtId="0" fontId="1" fillId="77" borderId="0" applyNumberFormat="0" applyBorder="0" applyAlignment="0" applyProtection="0"/>
    <xf numFmtId="0" fontId="1" fillId="77" borderId="0" applyNumberFormat="0" applyBorder="0" applyAlignment="0" applyProtection="0"/>
    <xf numFmtId="0" fontId="1" fillId="77" borderId="0" applyNumberFormat="0" applyBorder="0" applyAlignment="0" applyProtection="0"/>
    <xf numFmtId="0" fontId="1" fillId="77" borderId="0" applyNumberFormat="0" applyBorder="0" applyAlignment="0" applyProtection="0"/>
    <xf numFmtId="0" fontId="1" fillId="77" borderId="0" applyNumberFormat="0" applyBorder="0" applyAlignment="0" applyProtection="0"/>
    <xf numFmtId="0" fontId="1" fillId="81" borderId="0" applyNumberFormat="0" applyBorder="0" applyAlignment="0" applyProtection="0"/>
    <xf numFmtId="0" fontId="1" fillId="81" borderId="0" applyNumberFormat="0" applyBorder="0" applyAlignment="0" applyProtection="0"/>
    <xf numFmtId="0" fontId="1" fillId="81" borderId="0" applyNumberFormat="0" applyBorder="0" applyAlignment="0" applyProtection="0"/>
    <xf numFmtId="0" fontId="1" fillId="81" borderId="0" applyNumberFormat="0" applyBorder="0" applyAlignment="0" applyProtection="0"/>
    <xf numFmtId="0" fontId="1" fillId="81" borderId="0" applyNumberFormat="0" applyBorder="0" applyAlignment="0" applyProtection="0"/>
    <xf numFmtId="0" fontId="1" fillId="81" borderId="0" applyNumberFormat="0" applyBorder="0" applyAlignment="0" applyProtection="0"/>
    <xf numFmtId="0" fontId="1" fillId="81" borderId="0" applyNumberFormat="0" applyBorder="0" applyAlignment="0" applyProtection="0"/>
    <xf numFmtId="0" fontId="1" fillId="81" borderId="0" applyNumberFormat="0" applyBorder="0" applyAlignment="0" applyProtection="0"/>
    <xf numFmtId="0" fontId="1" fillId="81" borderId="0" applyNumberFormat="0" applyBorder="0" applyAlignment="0" applyProtection="0"/>
    <xf numFmtId="0" fontId="1" fillId="58" borderId="104" applyNumberFormat="0" applyFont="0" applyAlignment="0" applyProtection="0"/>
    <xf numFmtId="0" fontId="1" fillId="58" borderId="104" applyNumberFormat="0" applyFont="0" applyAlignment="0" applyProtection="0"/>
    <xf numFmtId="0" fontId="1" fillId="58" borderId="104" applyNumberFormat="0" applyFont="0" applyAlignment="0" applyProtection="0"/>
    <xf numFmtId="0" fontId="1" fillId="58" borderId="104" applyNumberFormat="0" applyFont="0" applyAlignment="0" applyProtection="0"/>
    <xf numFmtId="0" fontId="1" fillId="58" borderId="104" applyNumberFormat="0" applyFont="0" applyAlignment="0" applyProtection="0"/>
    <xf numFmtId="0" fontId="1" fillId="58" borderId="104" applyNumberFormat="0" applyFont="0" applyAlignment="0" applyProtection="0"/>
    <xf numFmtId="0" fontId="1" fillId="58" borderId="104" applyNumberFormat="0" applyFont="0" applyAlignment="0" applyProtection="0"/>
    <xf numFmtId="0" fontId="1" fillId="58" borderId="104" applyNumberFormat="0" applyFont="0" applyAlignment="0" applyProtection="0"/>
    <xf numFmtId="0" fontId="1" fillId="58" borderId="104" applyNumberFormat="0" applyFont="0" applyAlignment="0" applyProtection="0"/>
    <xf numFmtId="0" fontId="1" fillId="0" borderId="0"/>
    <xf numFmtId="0" fontId="1" fillId="0" borderId="0"/>
    <xf numFmtId="9" fontId="1" fillId="0" borderId="0" applyFont="0" applyFill="0" applyBorder="0" applyAlignment="0" applyProtection="0"/>
    <xf numFmtId="0" fontId="1" fillId="60" borderId="0" applyNumberFormat="0" applyBorder="0" applyAlignment="0" applyProtection="0"/>
    <xf numFmtId="0" fontId="1" fillId="61" borderId="0" applyNumberFormat="0" applyBorder="0" applyAlignment="0" applyProtection="0"/>
    <xf numFmtId="0" fontId="1" fillId="64" borderId="0" applyNumberFormat="0" applyBorder="0" applyAlignment="0" applyProtection="0"/>
    <xf numFmtId="0" fontId="1" fillId="65" borderId="0" applyNumberFormat="0" applyBorder="0" applyAlignment="0" applyProtection="0"/>
    <xf numFmtId="0" fontId="1" fillId="68" borderId="0" applyNumberFormat="0" applyBorder="0" applyAlignment="0" applyProtection="0"/>
    <xf numFmtId="0" fontId="1" fillId="69" borderId="0" applyNumberFormat="0" applyBorder="0" applyAlignment="0" applyProtection="0"/>
    <xf numFmtId="0" fontId="1" fillId="72" borderId="0" applyNumberFormat="0" applyBorder="0" applyAlignment="0" applyProtection="0"/>
    <xf numFmtId="0" fontId="1" fillId="73" borderId="0" applyNumberFormat="0" applyBorder="0" applyAlignment="0" applyProtection="0"/>
    <xf numFmtId="0" fontId="1" fillId="76" borderId="0" applyNumberFormat="0" applyBorder="0" applyAlignment="0" applyProtection="0"/>
    <xf numFmtId="0" fontId="1" fillId="77" borderId="0" applyNumberFormat="0" applyBorder="0" applyAlignment="0" applyProtection="0"/>
    <xf numFmtId="0" fontId="1" fillId="80" borderId="0" applyNumberFormat="0" applyBorder="0" applyAlignment="0" applyProtection="0"/>
    <xf numFmtId="0" fontId="1" fillId="81" borderId="0" applyNumberFormat="0" applyBorder="0" applyAlignment="0" applyProtection="0"/>
    <xf numFmtId="0" fontId="1" fillId="58" borderId="104" applyNumberFormat="0" applyFont="0" applyAlignment="0" applyProtection="0"/>
    <xf numFmtId="0" fontId="1" fillId="58" borderId="104" applyNumberFormat="0" applyFont="0" applyAlignment="0" applyProtection="0"/>
    <xf numFmtId="0" fontId="1" fillId="60" borderId="0" applyNumberFormat="0" applyBorder="0" applyAlignment="0" applyProtection="0"/>
    <xf numFmtId="0" fontId="1" fillId="61" borderId="0" applyNumberFormat="0" applyBorder="0" applyAlignment="0" applyProtection="0"/>
    <xf numFmtId="0" fontId="1" fillId="64" borderId="0" applyNumberFormat="0" applyBorder="0" applyAlignment="0" applyProtection="0"/>
    <xf numFmtId="0" fontId="1" fillId="65" borderId="0" applyNumberFormat="0" applyBorder="0" applyAlignment="0" applyProtection="0"/>
    <xf numFmtId="0" fontId="1" fillId="68" borderId="0" applyNumberFormat="0" applyBorder="0" applyAlignment="0" applyProtection="0"/>
    <xf numFmtId="0" fontId="1" fillId="69" borderId="0" applyNumberFormat="0" applyBorder="0" applyAlignment="0" applyProtection="0"/>
    <xf numFmtId="0" fontId="1" fillId="72" borderId="0" applyNumberFormat="0" applyBorder="0" applyAlignment="0" applyProtection="0"/>
    <xf numFmtId="0" fontId="1" fillId="73" borderId="0" applyNumberFormat="0" applyBorder="0" applyAlignment="0" applyProtection="0"/>
    <xf numFmtId="0" fontId="1" fillId="76" borderId="0" applyNumberFormat="0" applyBorder="0" applyAlignment="0" applyProtection="0"/>
    <xf numFmtId="0" fontId="1" fillId="77" borderId="0" applyNumberFormat="0" applyBorder="0" applyAlignment="0" applyProtection="0"/>
    <xf numFmtId="0" fontId="1" fillId="80" borderId="0" applyNumberFormat="0" applyBorder="0" applyAlignment="0" applyProtection="0"/>
    <xf numFmtId="0" fontId="1" fillId="81" borderId="0" applyNumberFormat="0" applyBorder="0" applyAlignment="0" applyProtection="0"/>
    <xf numFmtId="0" fontId="1" fillId="60" borderId="0" applyNumberFormat="0" applyBorder="0" applyAlignment="0" applyProtection="0"/>
    <xf numFmtId="0" fontId="1" fillId="61" borderId="0" applyNumberFormat="0" applyBorder="0" applyAlignment="0" applyProtection="0"/>
    <xf numFmtId="0" fontId="1" fillId="64" borderId="0" applyNumberFormat="0" applyBorder="0" applyAlignment="0" applyProtection="0"/>
    <xf numFmtId="0" fontId="1" fillId="65" borderId="0" applyNumberFormat="0" applyBorder="0" applyAlignment="0" applyProtection="0"/>
    <xf numFmtId="0" fontId="1" fillId="68" borderId="0" applyNumberFormat="0" applyBorder="0" applyAlignment="0" applyProtection="0"/>
    <xf numFmtId="0" fontId="1" fillId="69" borderId="0" applyNumberFormat="0" applyBorder="0" applyAlignment="0" applyProtection="0"/>
    <xf numFmtId="0" fontId="1" fillId="72" borderId="0" applyNumberFormat="0" applyBorder="0" applyAlignment="0" applyProtection="0"/>
    <xf numFmtId="0" fontId="1" fillId="73" borderId="0" applyNumberFormat="0" applyBorder="0" applyAlignment="0" applyProtection="0"/>
    <xf numFmtId="0" fontId="1" fillId="76" borderId="0" applyNumberFormat="0" applyBorder="0" applyAlignment="0" applyProtection="0"/>
    <xf numFmtId="0" fontId="1" fillId="77" borderId="0" applyNumberFormat="0" applyBorder="0" applyAlignment="0" applyProtection="0"/>
    <xf numFmtId="0" fontId="1" fillId="80" borderId="0" applyNumberFormat="0" applyBorder="0" applyAlignment="0" applyProtection="0"/>
    <xf numFmtId="0" fontId="1" fillId="81" borderId="0" applyNumberFormat="0" applyBorder="0" applyAlignment="0" applyProtection="0"/>
    <xf numFmtId="0" fontId="1" fillId="58" borderId="104" applyNumberFormat="0" applyFont="0" applyAlignment="0" applyProtection="0"/>
    <xf numFmtId="0" fontId="1" fillId="60" borderId="0" applyNumberFormat="0" applyBorder="0" applyAlignment="0" applyProtection="0"/>
    <xf numFmtId="0" fontId="1" fillId="61" borderId="0" applyNumberFormat="0" applyBorder="0" applyAlignment="0" applyProtection="0"/>
    <xf numFmtId="0" fontId="1" fillId="64" borderId="0" applyNumberFormat="0" applyBorder="0" applyAlignment="0" applyProtection="0"/>
    <xf numFmtId="0" fontId="1" fillId="65" borderId="0" applyNumberFormat="0" applyBorder="0" applyAlignment="0" applyProtection="0"/>
    <xf numFmtId="0" fontId="1" fillId="68" borderId="0" applyNumberFormat="0" applyBorder="0" applyAlignment="0" applyProtection="0"/>
    <xf numFmtId="0" fontId="1" fillId="69" borderId="0" applyNumberFormat="0" applyBorder="0" applyAlignment="0" applyProtection="0"/>
    <xf numFmtId="0" fontId="1" fillId="72" borderId="0" applyNumberFormat="0" applyBorder="0" applyAlignment="0" applyProtection="0"/>
    <xf numFmtId="0" fontId="1" fillId="73" borderId="0" applyNumberFormat="0" applyBorder="0" applyAlignment="0" applyProtection="0"/>
    <xf numFmtId="0" fontId="1" fillId="76" borderId="0" applyNumberFormat="0" applyBorder="0" applyAlignment="0" applyProtection="0"/>
    <xf numFmtId="0" fontId="1" fillId="77" borderId="0" applyNumberFormat="0" applyBorder="0" applyAlignment="0" applyProtection="0"/>
    <xf numFmtId="0" fontId="1" fillId="80" borderId="0" applyNumberFormat="0" applyBorder="0" applyAlignment="0" applyProtection="0"/>
    <xf numFmtId="0" fontId="1" fillId="81" borderId="0" applyNumberFormat="0" applyBorder="0" applyAlignment="0" applyProtection="0"/>
    <xf numFmtId="0" fontId="1" fillId="58" borderId="104" applyNumberFormat="0" applyFont="0" applyAlignment="0" applyProtection="0"/>
    <xf numFmtId="0" fontId="1" fillId="58" borderId="104" applyNumberFormat="0" applyFont="0" applyAlignment="0" applyProtection="0"/>
    <xf numFmtId="0" fontId="1" fillId="60" borderId="0" applyNumberFormat="0" applyBorder="0" applyAlignment="0" applyProtection="0"/>
    <xf numFmtId="0" fontId="1" fillId="61" borderId="0" applyNumberFormat="0" applyBorder="0" applyAlignment="0" applyProtection="0"/>
    <xf numFmtId="0" fontId="1" fillId="64" borderId="0" applyNumberFormat="0" applyBorder="0" applyAlignment="0" applyProtection="0"/>
    <xf numFmtId="0" fontId="1" fillId="65" borderId="0" applyNumberFormat="0" applyBorder="0" applyAlignment="0" applyProtection="0"/>
    <xf numFmtId="0" fontId="1" fillId="68" borderId="0" applyNumberFormat="0" applyBorder="0" applyAlignment="0" applyProtection="0"/>
    <xf numFmtId="0" fontId="1" fillId="69" borderId="0" applyNumberFormat="0" applyBorder="0" applyAlignment="0" applyProtection="0"/>
    <xf numFmtId="0" fontId="1" fillId="72" borderId="0" applyNumberFormat="0" applyBorder="0" applyAlignment="0" applyProtection="0"/>
    <xf numFmtId="0" fontId="1" fillId="73" borderId="0" applyNumberFormat="0" applyBorder="0" applyAlignment="0" applyProtection="0"/>
    <xf numFmtId="0" fontId="1" fillId="76" borderId="0" applyNumberFormat="0" applyBorder="0" applyAlignment="0" applyProtection="0"/>
    <xf numFmtId="0" fontId="1" fillId="77" borderId="0" applyNumberFormat="0" applyBorder="0" applyAlignment="0" applyProtection="0"/>
    <xf numFmtId="0" fontId="1" fillId="80" borderId="0" applyNumberFormat="0" applyBorder="0" applyAlignment="0" applyProtection="0"/>
    <xf numFmtId="0" fontId="1" fillId="81" borderId="0" applyNumberFormat="0" applyBorder="0" applyAlignment="0" applyProtection="0"/>
    <xf numFmtId="0" fontId="1" fillId="60" borderId="0" applyNumberFormat="0" applyBorder="0" applyAlignment="0" applyProtection="0"/>
    <xf numFmtId="0" fontId="1" fillId="61" borderId="0" applyNumberFormat="0" applyBorder="0" applyAlignment="0" applyProtection="0"/>
    <xf numFmtId="0" fontId="1" fillId="64" borderId="0" applyNumberFormat="0" applyBorder="0" applyAlignment="0" applyProtection="0"/>
    <xf numFmtId="0" fontId="1" fillId="65" borderId="0" applyNumberFormat="0" applyBorder="0" applyAlignment="0" applyProtection="0"/>
    <xf numFmtId="0" fontId="1" fillId="68" borderId="0" applyNumberFormat="0" applyBorder="0" applyAlignment="0" applyProtection="0"/>
    <xf numFmtId="0" fontId="1" fillId="69" borderId="0" applyNumberFormat="0" applyBorder="0" applyAlignment="0" applyProtection="0"/>
    <xf numFmtId="0" fontId="1" fillId="72" borderId="0" applyNumberFormat="0" applyBorder="0" applyAlignment="0" applyProtection="0"/>
    <xf numFmtId="0" fontId="1" fillId="73" borderId="0" applyNumberFormat="0" applyBorder="0" applyAlignment="0" applyProtection="0"/>
    <xf numFmtId="0" fontId="1" fillId="76" borderId="0" applyNumberFormat="0" applyBorder="0" applyAlignment="0" applyProtection="0"/>
    <xf numFmtId="0" fontId="1" fillId="77" borderId="0" applyNumberFormat="0" applyBorder="0" applyAlignment="0" applyProtection="0"/>
    <xf numFmtId="0" fontId="1" fillId="80" borderId="0" applyNumberFormat="0" applyBorder="0" applyAlignment="0" applyProtection="0"/>
    <xf numFmtId="0" fontId="1" fillId="81" borderId="0" applyNumberFormat="0" applyBorder="0" applyAlignment="0" applyProtection="0"/>
    <xf numFmtId="0" fontId="1" fillId="58" borderId="104" applyNumberFormat="0" applyFont="0" applyAlignment="0" applyProtection="0"/>
    <xf numFmtId="0" fontId="1" fillId="60" borderId="0" applyNumberFormat="0" applyBorder="0" applyAlignment="0" applyProtection="0"/>
    <xf numFmtId="0" fontId="1" fillId="61" borderId="0" applyNumberFormat="0" applyBorder="0" applyAlignment="0" applyProtection="0"/>
    <xf numFmtId="0" fontId="1" fillId="64" borderId="0" applyNumberFormat="0" applyBorder="0" applyAlignment="0" applyProtection="0"/>
    <xf numFmtId="0" fontId="1" fillId="65" borderId="0" applyNumberFormat="0" applyBorder="0" applyAlignment="0" applyProtection="0"/>
    <xf numFmtId="0" fontId="1" fillId="68" borderId="0" applyNumberFormat="0" applyBorder="0" applyAlignment="0" applyProtection="0"/>
    <xf numFmtId="0" fontId="1" fillId="69" borderId="0" applyNumberFormat="0" applyBorder="0" applyAlignment="0" applyProtection="0"/>
    <xf numFmtId="0" fontId="1" fillId="72" borderId="0" applyNumberFormat="0" applyBorder="0" applyAlignment="0" applyProtection="0"/>
    <xf numFmtId="0" fontId="1" fillId="73" borderId="0" applyNumberFormat="0" applyBorder="0" applyAlignment="0" applyProtection="0"/>
    <xf numFmtId="0" fontId="1" fillId="76" borderId="0" applyNumberFormat="0" applyBorder="0" applyAlignment="0" applyProtection="0"/>
    <xf numFmtId="0" fontId="1" fillId="77" borderId="0" applyNumberFormat="0" applyBorder="0" applyAlignment="0" applyProtection="0"/>
    <xf numFmtId="0" fontId="1" fillId="80" borderId="0" applyNumberFormat="0" applyBorder="0" applyAlignment="0" applyProtection="0"/>
    <xf numFmtId="0" fontId="1" fillId="81" borderId="0" applyNumberFormat="0" applyBorder="0" applyAlignment="0" applyProtection="0"/>
    <xf numFmtId="0" fontId="1" fillId="58" borderId="104" applyNumberFormat="0" applyFont="0" applyAlignment="0" applyProtection="0"/>
    <xf numFmtId="0" fontId="1" fillId="58" borderId="104" applyNumberFormat="0" applyFont="0" applyAlignment="0" applyProtection="0"/>
    <xf numFmtId="0" fontId="1" fillId="60" borderId="0" applyNumberFormat="0" applyBorder="0" applyAlignment="0" applyProtection="0"/>
    <xf numFmtId="0" fontId="1" fillId="61" borderId="0" applyNumberFormat="0" applyBorder="0" applyAlignment="0" applyProtection="0"/>
    <xf numFmtId="0" fontId="1" fillId="64" borderId="0" applyNumberFormat="0" applyBorder="0" applyAlignment="0" applyProtection="0"/>
    <xf numFmtId="0" fontId="1" fillId="65" borderId="0" applyNumberFormat="0" applyBorder="0" applyAlignment="0" applyProtection="0"/>
    <xf numFmtId="0" fontId="1" fillId="68" borderId="0" applyNumberFormat="0" applyBorder="0" applyAlignment="0" applyProtection="0"/>
    <xf numFmtId="0" fontId="1" fillId="69" borderId="0" applyNumberFormat="0" applyBorder="0" applyAlignment="0" applyProtection="0"/>
    <xf numFmtId="0" fontId="1" fillId="72" borderId="0" applyNumberFormat="0" applyBorder="0" applyAlignment="0" applyProtection="0"/>
    <xf numFmtId="0" fontId="1" fillId="73" borderId="0" applyNumberFormat="0" applyBorder="0" applyAlignment="0" applyProtection="0"/>
    <xf numFmtId="0" fontId="1" fillId="76" borderId="0" applyNumberFormat="0" applyBorder="0" applyAlignment="0" applyProtection="0"/>
    <xf numFmtId="0" fontId="1" fillId="77" borderId="0" applyNumberFormat="0" applyBorder="0" applyAlignment="0" applyProtection="0"/>
    <xf numFmtId="0" fontId="1" fillId="80" borderId="0" applyNumberFormat="0" applyBorder="0" applyAlignment="0" applyProtection="0"/>
    <xf numFmtId="0" fontId="1" fillId="81" borderId="0" applyNumberFormat="0" applyBorder="0" applyAlignment="0" applyProtection="0"/>
    <xf numFmtId="0" fontId="1" fillId="60" borderId="0" applyNumberFormat="0" applyBorder="0" applyAlignment="0" applyProtection="0"/>
    <xf numFmtId="0" fontId="1" fillId="61" borderId="0" applyNumberFormat="0" applyBorder="0" applyAlignment="0" applyProtection="0"/>
    <xf numFmtId="0" fontId="1" fillId="64" borderId="0" applyNumberFormat="0" applyBorder="0" applyAlignment="0" applyProtection="0"/>
    <xf numFmtId="0" fontId="1" fillId="65" borderId="0" applyNumberFormat="0" applyBorder="0" applyAlignment="0" applyProtection="0"/>
    <xf numFmtId="0" fontId="1" fillId="68" borderId="0" applyNumberFormat="0" applyBorder="0" applyAlignment="0" applyProtection="0"/>
    <xf numFmtId="0" fontId="1" fillId="69" borderId="0" applyNumberFormat="0" applyBorder="0" applyAlignment="0" applyProtection="0"/>
    <xf numFmtId="0" fontId="1" fillId="72" borderId="0" applyNumberFormat="0" applyBorder="0" applyAlignment="0" applyProtection="0"/>
    <xf numFmtId="0" fontId="1" fillId="73" borderId="0" applyNumberFormat="0" applyBorder="0" applyAlignment="0" applyProtection="0"/>
    <xf numFmtId="0" fontId="1" fillId="76" borderId="0" applyNumberFormat="0" applyBorder="0" applyAlignment="0" applyProtection="0"/>
    <xf numFmtId="0" fontId="1" fillId="77" borderId="0" applyNumberFormat="0" applyBorder="0" applyAlignment="0" applyProtection="0"/>
    <xf numFmtId="0" fontId="1" fillId="80" borderId="0" applyNumberFormat="0" applyBorder="0" applyAlignment="0" applyProtection="0"/>
    <xf numFmtId="0" fontId="1" fillId="81" borderId="0" applyNumberFormat="0" applyBorder="0" applyAlignment="0" applyProtection="0"/>
    <xf numFmtId="0" fontId="1" fillId="58" borderId="104" applyNumberFormat="0" applyFont="0" applyAlignment="0" applyProtection="0"/>
    <xf numFmtId="0" fontId="1" fillId="60" borderId="0" applyNumberFormat="0" applyBorder="0" applyAlignment="0" applyProtection="0"/>
    <xf numFmtId="0" fontId="1" fillId="61" borderId="0" applyNumberFormat="0" applyBorder="0" applyAlignment="0" applyProtection="0"/>
    <xf numFmtId="0" fontId="1" fillId="64" borderId="0" applyNumberFormat="0" applyBorder="0" applyAlignment="0" applyProtection="0"/>
    <xf numFmtId="0" fontId="1" fillId="65" borderId="0" applyNumberFormat="0" applyBorder="0" applyAlignment="0" applyProtection="0"/>
    <xf numFmtId="0" fontId="1" fillId="68" borderId="0" applyNumberFormat="0" applyBorder="0" applyAlignment="0" applyProtection="0"/>
    <xf numFmtId="0" fontId="1" fillId="69" borderId="0" applyNumberFormat="0" applyBorder="0" applyAlignment="0" applyProtection="0"/>
    <xf numFmtId="0" fontId="1" fillId="72" borderId="0" applyNumberFormat="0" applyBorder="0" applyAlignment="0" applyProtection="0"/>
    <xf numFmtId="0" fontId="1" fillId="73" borderId="0" applyNumberFormat="0" applyBorder="0" applyAlignment="0" applyProtection="0"/>
    <xf numFmtId="0" fontId="1" fillId="76" borderId="0" applyNumberFormat="0" applyBorder="0" applyAlignment="0" applyProtection="0"/>
    <xf numFmtId="0" fontId="1" fillId="77" borderId="0" applyNumberFormat="0" applyBorder="0" applyAlignment="0" applyProtection="0"/>
    <xf numFmtId="0" fontId="1" fillId="80" borderId="0" applyNumberFormat="0" applyBorder="0" applyAlignment="0" applyProtection="0"/>
    <xf numFmtId="0" fontId="1" fillId="81" borderId="0" applyNumberFormat="0" applyBorder="0" applyAlignment="0" applyProtection="0"/>
    <xf numFmtId="0" fontId="1" fillId="58" borderId="104" applyNumberFormat="0" applyFont="0" applyAlignment="0" applyProtection="0"/>
    <xf numFmtId="0" fontId="1" fillId="58" borderId="104" applyNumberFormat="0" applyFont="0" applyAlignment="0" applyProtection="0"/>
    <xf numFmtId="0" fontId="1" fillId="60" borderId="0" applyNumberFormat="0" applyBorder="0" applyAlignment="0" applyProtection="0"/>
    <xf numFmtId="0" fontId="1" fillId="61" borderId="0" applyNumberFormat="0" applyBorder="0" applyAlignment="0" applyProtection="0"/>
    <xf numFmtId="0" fontId="1" fillId="64" borderId="0" applyNumberFormat="0" applyBorder="0" applyAlignment="0" applyProtection="0"/>
    <xf numFmtId="0" fontId="1" fillId="65" borderId="0" applyNumberFormat="0" applyBorder="0" applyAlignment="0" applyProtection="0"/>
    <xf numFmtId="0" fontId="1" fillId="68" borderId="0" applyNumberFormat="0" applyBorder="0" applyAlignment="0" applyProtection="0"/>
    <xf numFmtId="0" fontId="1" fillId="69" borderId="0" applyNumberFormat="0" applyBorder="0" applyAlignment="0" applyProtection="0"/>
    <xf numFmtId="0" fontId="1" fillId="72" borderId="0" applyNumberFormat="0" applyBorder="0" applyAlignment="0" applyProtection="0"/>
    <xf numFmtId="0" fontId="1" fillId="73" borderId="0" applyNumberFormat="0" applyBorder="0" applyAlignment="0" applyProtection="0"/>
    <xf numFmtId="0" fontId="1" fillId="76" borderId="0" applyNumberFormat="0" applyBorder="0" applyAlignment="0" applyProtection="0"/>
    <xf numFmtId="0" fontId="1" fillId="77" borderId="0" applyNumberFormat="0" applyBorder="0" applyAlignment="0" applyProtection="0"/>
    <xf numFmtId="0" fontId="1" fillId="80" borderId="0" applyNumberFormat="0" applyBorder="0" applyAlignment="0" applyProtection="0"/>
    <xf numFmtId="0" fontId="1" fillId="81" borderId="0" applyNumberFormat="0" applyBorder="0" applyAlignment="0" applyProtection="0"/>
    <xf numFmtId="0" fontId="1" fillId="60" borderId="0" applyNumberFormat="0" applyBorder="0" applyAlignment="0" applyProtection="0"/>
    <xf numFmtId="0" fontId="1" fillId="61" borderId="0" applyNumberFormat="0" applyBorder="0" applyAlignment="0" applyProtection="0"/>
    <xf numFmtId="0" fontId="1" fillId="64" borderId="0" applyNumberFormat="0" applyBorder="0" applyAlignment="0" applyProtection="0"/>
    <xf numFmtId="0" fontId="1" fillId="65" borderId="0" applyNumberFormat="0" applyBorder="0" applyAlignment="0" applyProtection="0"/>
    <xf numFmtId="0" fontId="1" fillId="68" borderId="0" applyNumberFormat="0" applyBorder="0" applyAlignment="0" applyProtection="0"/>
    <xf numFmtId="0" fontId="1" fillId="69" borderId="0" applyNumberFormat="0" applyBorder="0" applyAlignment="0" applyProtection="0"/>
    <xf numFmtId="0" fontId="1" fillId="72" borderId="0" applyNumberFormat="0" applyBorder="0" applyAlignment="0" applyProtection="0"/>
    <xf numFmtId="0" fontId="1" fillId="73" borderId="0" applyNumberFormat="0" applyBorder="0" applyAlignment="0" applyProtection="0"/>
    <xf numFmtId="0" fontId="1" fillId="76" borderId="0" applyNumberFormat="0" applyBorder="0" applyAlignment="0" applyProtection="0"/>
    <xf numFmtId="0" fontId="1" fillId="77" borderId="0" applyNumberFormat="0" applyBorder="0" applyAlignment="0" applyProtection="0"/>
    <xf numFmtId="0" fontId="1" fillId="80" borderId="0" applyNumberFormat="0" applyBorder="0" applyAlignment="0" applyProtection="0"/>
    <xf numFmtId="0" fontId="1" fillId="81" borderId="0" applyNumberFormat="0" applyBorder="0" applyAlignment="0" applyProtection="0"/>
    <xf numFmtId="0" fontId="1" fillId="58" borderId="104" applyNumberFormat="0" applyFont="0" applyAlignment="0" applyProtection="0"/>
    <xf numFmtId="0" fontId="1" fillId="60" borderId="0" applyNumberFormat="0" applyBorder="0" applyAlignment="0" applyProtection="0"/>
    <xf numFmtId="0" fontId="1" fillId="61" borderId="0" applyNumberFormat="0" applyBorder="0" applyAlignment="0" applyProtection="0"/>
    <xf numFmtId="0" fontId="1" fillId="64" borderId="0" applyNumberFormat="0" applyBorder="0" applyAlignment="0" applyProtection="0"/>
    <xf numFmtId="0" fontId="1" fillId="65" borderId="0" applyNumberFormat="0" applyBorder="0" applyAlignment="0" applyProtection="0"/>
    <xf numFmtId="0" fontId="1" fillId="68" borderId="0" applyNumberFormat="0" applyBorder="0" applyAlignment="0" applyProtection="0"/>
    <xf numFmtId="0" fontId="1" fillId="69" borderId="0" applyNumberFormat="0" applyBorder="0" applyAlignment="0" applyProtection="0"/>
    <xf numFmtId="0" fontId="1" fillId="72" borderId="0" applyNumberFormat="0" applyBorder="0" applyAlignment="0" applyProtection="0"/>
    <xf numFmtId="0" fontId="1" fillId="73" borderId="0" applyNumberFormat="0" applyBorder="0" applyAlignment="0" applyProtection="0"/>
    <xf numFmtId="0" fontId="1" fillId="76" borderId="0" applyNumberFormat="0" applyBorder="0" applyAlignment="0" applyProtection="0"/>
    <xf numFmtId="0" fontId="1" fillId="77" borderId="0" applyNumberFormat="0" applyBorder="0" applyAlignment="0" applyProtection="0"/>
    <xf numFmtId="0" fontId="1" fillId="80" borderId="0" applyNumberFormat="0" applyBorder="0" applyAlignment="0" applyProtection="0"/>
    <xf numFmtId="0" fontId="1" fillId="81" borderId="0" applyNumberFormat="0" applyBorder="0" applyAlignment="0" applyProtection="0"/>
    <xf numFmtId="0" fontId="1" fillId="58" borderId="104" applyNumberFormat="0" applyFont="0" applyAlignment="0" applyProtection="0"/>
    <xf numFmtId="0" fontId="1" fillId="58" borderId="104" applyNumberFormat="0" applyFont="0" applyAlignment="0" applyProtection="0"/>
    <xf numFmtId="0" fontId="1" fillId="60" borderId="0" applyNumberFormat="0" applyBorder="0" applyAlignment="0" applyProtection="0"/>
    <xf numFmtId="0" fontId="1" fillId="61" borderId="0" applyNumberFormat="0" applyBorder="0" applyAlignment="0" applyProtection="0"/>
    <xf numFmtId="0" fontId="1" fillId="64" borderId="0" applyNumberFormat="0" applyBorder="0" applyAlignment="0" applyProtection="0"/>
    <xf numFmtId="0" fontId="1" fillId="65" borderId="0" applyNumberFormat="0" applyBorder="0" applyAlignment="0" applyProtection="0"/>
    <xf numFmtId="0" fontId="1" fillId="68" borderId="0" applyNumberFormat="0" applyBorder="0" applyAlignment="0" applyProtection="0"/>
    <xf numFmtId="0" fontId="1" fillId="69" borderId="0" applyNumberFormat="0" applyBorder="0" applyAlignment="0" applyProtection="0"/>
    <xf numFmtId="0" fontId="1" fillId="72" borderId="0" applyNumberFormat="0" applyBorder="0" applyAlignment="0" applyProtection="0"/>
    <xf numFmtId="0" fontId="1" fillId="73" borderId="0" applyNumberFormat="0" applyBorder="0" applyAlignment="0" applyProtection="0"/>
    <xf numFmtId="0" fontId="1" fillId="76" borderId="0" applyNumberFormat="0" applyBorder="0" applyAlignment="0" applyProtection="0"/>
    <xf numFmtId="0" fontId="1" fillId="77" borderId="0" applyNumberFormat="0" applyBorder="0" applyAlignment="0" applyProtection="0"/>
    <xf numFmtId="0" fontId="1" fillId="80" borderId="0" applyNumberFormat="0" applyBorder="0" applyAlignment="0" applyProtection="0"/>
    <xf numFmtId="0" fontId="1" fillId="81" borderId="0" applyNumberFormat="0" applyBorder="0" applyAlignment="0" applyProtection="0"/>
    <xf numFmtId="0" fontId="1" fillId="60" borderId="0" applyNumberFormat="0" applyBorder="0" applyAlignment="0" applyProtection="0"/>
    <xf numFmtId="0" fontId="1" fillId="61" borderId="0" applyNumberFormat="0" applyBorder="0" applyAlignment="0" applyProtection="0"/>
    <xf numFmtId="0" fontId="1" fillId="64" borderId="0" applyNumberFormat="0" applyBorder="0" applyAlignment="0" applyProtection="0"/>
    <xf numFmtId="0" fontId="1" fillId="65" borderId="0" applyNumberFormat="0" applyBorder="0" applyAlignment="0" applyProtection="0"/>
    <xf numFmtId="0" fontId="1" fillId="68" borderId="0" applyNumberFormat="0" applyBorder="0" applyAlignment="0" applyProtection="0"/>
    <xf numFmtId="0" fontId="1" fillId="69" borderId="0" applyNumberFormat="0" applyBorder="0" applyAlignment="0" applyProtection="0"/>
    <xf numFmtId="0" fontId="1" fillId="72" borderId="0" applyNumberFormat="0" applyBorder="0" applyAlignment="0" applyProtection="0"/>
    <xf numFmtId="0" fontId="1" fillId="73" borderId="0" applyNumberFormat="0" applyBorder="0" applyAlignment="0" applyProtection="0"/>
    <xf numFmtId="0" fontId="1" fillId="76" borderId="0" applyNumberFormat="0" applyBorder="0" applyAlignment="0" applyProtection="0"/>
    <xf numFmtId="0" fontId="1" fillId="77" borderId="0" applyNumberFormat="0" applyBorder="0" applyAlignment="0" applyProtection="0"/>
    <xf numFmtId="0" fontId="1" fillId="80" borderId="0" applyNumberFormat="0" applyBorder="0" applyAlignment="0" applyProtection="0"/>
    <xf numFmtId="0" fontId="1" fillId="81" borderId="0" applyNumberFormat="0" applyBorder="0" applyAlignment="0" applyProtection="0"/>
    <xf numFmtId="0" fontId="1" fillId="58" borderId="104" applyNumberFormat="0" applyFont="0" applyAlignment="0" applyProtection="0"/>
    <xf numFmtId="0" fontId="1" fillId="60" borderId="0" applyNumberFormat="0" applyBorder="0" applyAlignment="0" applyProtection="0"/>
    <xf numFmtId="0" fontId="1" fillId="61" borderId="0" applyNumberFormat="0" applyBorder="0" applyAlignment="0" applyProtection="0"/>
    <xf numFmtId="0" fontId="1" fillId="64" borderId="0" applyNumberFormat="0" applyBorder="0" applyAlignment="0" applyProtection="0"/>
    <xf numFmtId="0" fontId="1" fillId="65" borderId="0" applyNumberFormat="0" applyBorder="0" applyAlignment="0" applyProtection="0"/>
    <xf numFmtId="0" fontId="1" fillId="68" borderId="0" applyNumberFormat="0" applyBorder="0" applyAlignment="0" applyProtection="0"/>
    <xf numFmtId="0" fontId="1" fillId="69" borderId="0" applyNumberFormat="0" applyBorder="0" applyAlignment="0" applyProtection="0"/>
    <xf numFmtId="0" fontId="1" fillId="72" borderId="0" applyNumberFormat="0" applyBorder="0" applyAlignment="0" applyProtection="0"/>
    <xf numFmtId="0" fontId="1" fillId="73" borderId="0" applyNumberFormat="0" applyBorder="0" applyAlignment="0" applyProtection="0"/>
    <xf numFmtId="0" fontId="1" fillId="76" borderId="0" applyNumberFormat="0" applyBorder="0" applyAlignment="0" applyProtection="0"/>
    <xf numFmtId="0" fontId="1" fillId="77" borderId="0" applyNumberFormat="0" applyBorder="0" applyAlignment="0" applyProtection="0"/>
    <xf numFmtId="0" fontId="1" fillId="80" borderId="0" applyNumberFormat="0" applyBorder="0" applyAlignment="0" applyProtection="0"/>
    <xf numFmtId="0" fontId="1" fillId="81" borderId="0" applyNumberFormat="0" applyBorder="0" applyAlignment="0" applyProtection="0"/>
    <xf numFmtId="0" fontId="1" fillId="58" borderId="104" applyNumberFormat="0" applyFont="0" applyAlignment="0" applyProtection="0"/>
    <xf numFmtId="0" fontId="1" fillId="58" borderId="104" applyNumberFormat="0" applyFont="0" applyAlignment="0" applyProtection="0"/>
    <xf numFmtId="0" fontId="1" fillId="60" borderId="0" applyNumberFormat="0" applyBorder="0" applyAlignment="0" applyProtection="0"/>
    <xf numFmtId="0" fontId="1" fillId="61" borderId="0" applyNumberFormat="0" applyBorder="0" applyAlignment="0" applyProtection="0"/>
    <xf numFmtId="0" fontId="1" fillId="64" borderId="0" applyNumberFormat="0" applyBorder="0" applyAlignment="0" applyProtection="0"/>
    <xf numFmtId="0" fontId="1" fillId="65" borderId="0" applyNumberFormat="0" applyBorder="0" applyAlignment="0" applyProtection="0"/>
    <xf numFmtId="0" fontId="1" fillId="68" borderId="0" applyNumberFormat="0" applyBorder="0" applyAlignment="0" applyProtection="0"/>
    <xf numFmtId="0" fontId="1" fillId="69" borderId="0" applyNumberFormat="0" applyBorder="0" applyAlignment="0" applyProtection="0"/>
    <xf numFmtId="0" fontId="1" fillId="72" borderId="0" applyNumberFormat="0" applyBorder="0" applyAlignment="0" applyProtection="0"/>
    <xf numFmtId="0" fontId="1" fillId="73" borderId="0" applyNumberFormat="0" applyBorder="0" applyAlignment="0" applyProtection="0"/>
    <xf numFmtId="0" fontId="1" fillId="76" borderId="0" applyNumberFormat="0" applyBorder="0" applyAlignment="0" applyProtection="0"/>
    <xf numFmtId="0" fontId="1" fillId="77" borderId="0" applyNumberFormat="0" applyBorder="0" applyAlignment="0" applyProtection="0"/>
    <xf numFmtId="0" fontId="1" fillId="80" borderId="0" applyNumberFormat="0" applyBorder="0" applyAlignment="0" applyProtection="0"/>
    <xf numFmtId="0" fontId="1" fillId="81" borderId="0" applyNumberFormat="0" applyBorder="0" applyAlignment="0" applyProtection="0"/>
    <xf numFmtId="0" fontId="1" fillId="60" borderId="0" applyNumberFormat="0" applyBorder="0" applyAlignment="0" applyProtection="0"/>
    <xf numFmtId="0" fontId="1" fillId="61" borderId="0" applyNumberFormat="0" applyBorder="0" applyAlignment="0" applyProtection="0"/>
    <xf numFmtId="0" fontId="1" fillId="64" borderId="0" applyNumberFormat="0" applyBorder="0" applyAlignment="0" applyProtection="0"/>
    <xf numFmtId="0" fontId="1" fillId="65" borderId="0" applyNumberFormat="0" applyBorder="0" applyAlignment="0" applyProtection="0"/>
    <xf numFmtId="0" fontId="1" fillId="68" borderId="0" applyNumberFormat="0" applyBorder="0" applyAlignment="0" applyProtection="0"/>
    <xf numFmtId="0" fontId="1" fillId="69" borderId="0" applyNumberFormat="0" applyBorder="0" applyAlignment="0" applyProtection="0"/>
    <xf numFmtId="0" fontId="1" fillId="72" borderId="0" applyNumberFormat="0" applyBorder="0" applyAlignment="0" applyProtection="0"/>
    <xf numFmtId="0" fontId="1" fillId="73" borderId="0" applyNumberFormat="0" applyBorder="0" applyAlignment="0" applyProtection="0"/>
    <xf numFmtId="0" fontId="1" fillId="76" borderId="0" applyNumberFormat="0" applyBorder="0" applyAlignment="0" applyProtection="0"/>
    <xf numFmtId="0" fontId="1" fillId="77" borderId="0" applyNumberFormat="0" applyBorder="0" applyAlignment="0" applyProtection="0"/>
    <xf numFmtId="0" fontId="1" fillId="80" borderId="0" applyNumberFormat="0" applyBorder="0" applyAlignment="0" applyProtection="0"/>
    <xf numFmtId="0" fontId="1" fillId="81" borderId="0" applyNumberFormat="0" applyBorder="0" applyAlignment="0" applyProtection="0"/>
    <xf numFmtId="0" fontId="1" fillId="58" borderId="104" applyNumberFormat="0" applyFont="0" applyAlignment="0" applyProtection="0"/>
    <xf numFmtId="0" fontId="1" fillId="60" borderId="0" applyNumberFormat="0" applyBorder="0" applyAlignment="0" applyProtection="0"/>
    <xf numFmtId="0" fontId="1" fillId="60" borderId="0" applyNumberFormat="0" applyBorder="0" applyAlignment="0" applyProtection="0"/>
    <xf numFmtId="0" fontId="1" fillId="60" borderId="0" applyNumberFormat="0" applyBorder="0" applyAlignment="0" applyProtection="0"/>
    <xf numFmtId="0" fontId="1" fillId="60" borderId="0" applyNumberFormat="0" applyBorder="0" applyAlignment="0" applyProtection="0"/>
    <xf numFmtId="0" fontId="1" fillId="60" borderId="0" applyNumberFormat="0" applyBorder="0" applyAlignment="0" applyProtection="0"/>
    <xf numFmtId="0" fontId="1" fillId="60" borderId="0" applyNumberFormat="0" applyBorder="0" applyAlignment="0" applyProtection="0"/>
    <xf numFmtId="0" fontId="1" fillId="60" borderId="0" applyNumberFormat="0" applyBorder="0" applyAlignment="0" applyProtection="0"/>
    <xf numFmtId="0" fontId="1" fillId="60" borderId="0" applyNumberFormat="0" applyBorder="0" applyAlignment="0" applyProtection="0"/>
    <xf numFmtId="0" fontId="1" fillId="60" borderId="0" applyNumberFormat="0" applyBorder="0" applyAlignment="0" applyProtection="0"/>
    <xf numFmtId="0" fontId="1" fillId="64" borderId="0" applyNumberFormat="0" applyBorder="0" applyAlignment="0" applyProtection="0"/>
    <xf numFmtId="0" fontId="1" fillId="64" borderId="0" applyNumberFormat="0" applyBorder="0" applyAlignment="0" applyProtection="0"/>
    <xf numFmtId="0" fontId="1" fillId="64" borderId="0" applyNumberFormat="0" applyBorder="0" applyAlignment="0" applyProtection="0"/>
    <xf numFmtId="0" fontId="1" fillId="64" borderId="0" applyNumberFormat="0" applyBorder="0" applyAlignment="0" applyProtection="0"/>
    <xf numFmtId="0" fontId="1" fillId="64" borderId="0" applyNumberFormat="0" applyBorder="0" applyAlignment="0" applyProtection="0"/>
    <xf numFmtId="0" fontId="1" fillId="64" borderId="0" applyNumberFormat="0" applyBorder="0" applyAlignment="0" applyProtection="0"/>
    <xf numFmtId="0" fontId="1" fillId="64" borderId="0" applyNumberFormat="0" applyBorder="0" applyAlignment="0" applyProtection="0"/>
    <xf numFmtId="0" fontId="1" fillId="64" borderId="0" applyNumberFormat="0" applyBorder="0" applyAlignment="0" applyProtection="0"/>
    <xf numFmtId="0" fontId="1" fillId="64" borderId="0" applyNumberFormat="0" applyBorder="0" applyAlignment="0" applyProtection="0"/>
    <xf numFmtId="0" fontId="1" fillId="68" borderId="0" applyNumberFormat="0" applyBorder="0" applyAlignment="0" applyProtection="0"/>
    <xf numFmtId="0" fontId="1" fillId="68" borderId="0" applyNumberFormat="0" applyBorder="0" applyAlignment="0" applyProtection="0"/>
    <xf numFmtId="0" fontId="1" fillId="68" borderId="0" applyNumberFormat="0" applyBorder="0" applyAlignment="0" applyProtection="0"/>
    <xf numFmtId="0" fontId="1" fillId="68" borderId="0" applyNumberFormat="0" applyBorder="0" applyAlignment="0" applyProtection="0"/>
    <xf numFmtId="0" fontId="1" fillId="68" borderId="0" applyNumberFormat="0" applyBorder="0" applyAlignment="0" applyProtection="0"/>
    <xf numFmtId="0" fontId="1" fillId="68" borderId="0" applyNumberFormat="0" applyBorder="0" applyAlignment="0" applyProtection="0"/>
    <xf numFmtId="0" fontId="1" fillId="68" borderId="0" applyNumberFormat="0" applyBorder="0" applyAlignment="0" applyProtection="0"/>
    <xf numFmtId="0" fontId="1" fillId="68" borderId="0" applyNumberFormat="0" applyBorder="0" applyAlignment="0" applyProtection="0"/>
    <xf numFmtId="0" fontId="1" fillId="68" borderId="0" applyNumberFormat="0" applyBorder="0" applyAlignment="0" applyProtection="0"/>
    <xf numFmtId="0" fontId="1" fillId="72" borderId="0" applyNumberFormat="0" applyBorder="0" applyAlignment="0" applyProtection="0"/>
    <xf numFmtId="0" fontId="1" fillId="72" borderId="0" applyNumberFormat="0" applyBorder="0" applyAlignment="0" applyProtection="0"/>
    <xf numFmtId="0" fontId="1" fillId="72" borderId="0" applyNumberFormat="0" applyBorder="0" applyAlignment="0" applyProtection="0"/>
    <xf numFmtId="0" fontId="1" fillId="72" borderId="0" applyNumberFormat="0" applyBorder="0" applyAlignment="0" applyProtection="0"/>
    <xf numFmtId="0" fontId="1" fillId="72" borderId="0" applyNumberFormat="0" applyBorder="0" applyAlignment="0" applyProtection="0"/>
    <xf numFmtId="0" fontId="1" fillId="72" borderId="0" applyNumberFormat="0" applyBorder="0" applyAlignment="0" applyProtection="0"/>
    <xf numFmtId="0" fontId="1" fillId="72" borderId="0" applyNumberFormat="0" applyBorder="0" applyAlignment="0" applyProtection="0"/>
    <xf numFmtId="0" fontId="1" fillId="72" borderId="0" applyNumberFormat="0" applyBorder="0" applyAlignment="0" applyProtection="0"/>
    <xf numFmtId="0" fontId="1" fillId="72" borderId="0" applyNumberFormat="0" applyBorder="0" applyAlignment="0" applyProtection="0"/>
    <xf numFmtId="0" fontId="1" fillId="76" borderId="0" applyNumberFormat="0" applyBorder="0" applyAlignment="0" applyProtection="0"/>
    <xf numFmtId="0" fontId="1" fillId="76" borderId="0" applyNumberFormat="0" applyBorder="0" applyAlignment="0" applyProtection="0"/>
    <xf numFmtId="0" fontId="1" fillId="76" borderId="0" applyNumberFormat="0" applyBorder="0" applyAlignment="0" applyProtection="0"/>
    <xf numFmtId="0" fontId="1" fillId="76" borderId="0" applyNumberFormat="0" applyBorder="0" applyAlignment="0" applyProtection="0"/>
    <xf numFmtId="0" fontId="1" fillId="76" borderId="0" applyNumberFormat="0" applyBorder="0" applyAlignment="0" applyProtection="0"/>
    <xf numFmtId="0" fontId="1" fillId="76" borderId="0" applyNumberFormat="0" applyBorder="0" applyAlignment="0" applyProtection="0"/>
    <xf numFmtId="0" fontId="1" fillId="76" borderId="0" applyNumberFormat="0" applyBorder="0" applyAlignment="0" applyProtection="0"/>
    <xf numFmtId="0" fontId="1" fillId="76" borderId="0" applyNumberFormat="0" applyBorder="0" applyAlignment="0" applyProtection="0"/>
    <xf numFmtId="0" fontId="1" fillId="76" borderId="0" applyNumberFormat="0" applyBorder="0" applyAlignment="0" applyProtection="0"/>
    <xf numFmtId="0" fontId="1" fillId="80" borderId="0" applyNumberFormat="0" applyBorder="0" applyAlignment="0" applyProtection="0"/>
    <xf numFmtId="0" fontId="1" fillId="80" borderId="0" applyNumberFormat="0" applyBorder="0" applyAlignment="0" applyProtection="0"/>
    <xf numFmtId="0" fontId="1" fillId="80" borderId="0" applyNumberFormat="0" applyBorder="0" applyAlignment="0" applyProtection="0"/>
    <xf numFmtId="0" fontId="1" fillId="80" borderId="0" applyNumberFormat="0" applyBorder="0" applyAlignment="0" applyProtection="0"/>
    <xf numFmtId="0" fontId="1" fillId="80" borderId="0" applyNumberFormat="0" applyBorder="0" applyAlignment="0" applyProtection="0"/>
    <xf numFmtId="0" fontId="1" fillId="80" borderId="0" applyNumberFormat="0" applyBorder="0" applyAlignment="0" applyProtection="0"/>
    <xf numFmtId="0" fontId="1" fillId="80" borderId="0" applyNumberFormat="0" applyBorder="0" applyAlignment="0" applyProtection="0"/>
    <xf numFmtId="0" fontId="1" fillId="80" borderId="0" applyNumberFormat="0" applyBorder="0" applyAlignment="0" applyProtection="0"/>
    <xf numFmtId="0" fontId="1" fillId="80" borderId="0" applyNumberFormat="0" applyBorder="0" applyAlignment="0" applyProtection="0"/>
    <xf numFmtId="0" fontId="1" fillId="61" borderId="0" applyNumberFormat="0" applyBorder="0" applyAlignment="0" applyProtection="0"/>
    <xf numFmtId="0" fontId="1" fillId="61" borderId="0" applyNumberFormat="0" applyBorder="0" applyAlignment="0" applyProtection="0"/>
    <xf numFmtId="0" fontId="1" fillId="61" borderId="0" applyNumberFormat="0" applyBorder="0" applyAlignment="0" applyProtection="0"/>
    <xf numFmtId="0" fontId="1" fillId="61" borderId="0" applyNumberFormat="0" applyBorder="0" applyAlignment="0" applyProtection="0"/>
    <xf numFmtId="0" fontId="1" fillId="61" borderId="0" applyNumberFormat="0" applyBorder="0" applyAlignment="0" applyProtection="0"/>
    <xf numFmtId="0" fontId="1" fillId="61" borderId="0" applyNumberFormat="0" applyBorder="0" applyAlignment="0" applyProtection="0"/>
    <xf numFmtId="0" fontId="1" fillId="61" borderId="0" applyNumberFormat="0" applyBorder="0" applyAlignment="0" applyProtection="0"/>
    <xf numFmtId="0" fontId="1" fillId="61" borderId="0" applyNumberFormat="0" applyBorder="0" applyAlignment="0" applyProtection="0"/>
    <xf numFmtId="0" fontId="1" fillId="61" borderId="0" applyNumberFormat="0" applyBorder="0" applyAlignment="0" applyProtection="0"/>
    <xf numFmtId="0" fontId="1" fillId="65" borderId="0" applyNumberFormat="0" applyBorder="0" applyAlignment="0" applyProtection="0"/>
    <xf numFmtId="0" fontId="1" fillId="65" borderId="0" applyNumberFormat="0" applyBorder="0" applyAlignment="0" applyProtection="0"/>
    <xf numFmtId="0" fontId="1" fillId="65" borderId="0" applyNumberFormat="0" applyBorder="0" applyAlignment="0" applyProtection="0"/>
    <xf numFmtId="0" fontId="1" fillId="65" borderId="0" applyNumberFormat="0" applyBorder="0" applyAlignment="0" applyProtection="0"/>
    <xf numFmtId="0" fontId="1" fillId="65" borderId="0" applyNumberFormat="0" applyBorder="0" applyAlignment="0" applyProtection="0"/>
    <xf numFmtId="0" fontId="1" fillId="65" borderId="0" applyNumberFormat="0" applyBorder="0" applyAlignment="0" applyProtection="0"/>
    <xf numFmtId="0" fontId="1" fillId="65" borderId="0" applyNumberFormat="0" applyBorder="0" applyAlignment="0" applyProtection="0"/>
    <xf numFmtId="0" fontId="1" fillId="65" borderId="0" applyNumberFormat="0" applyBorder="0" applyAlignment="0" applyProtection="0"/>
    <xf numFmtId="0" fontId="1" fillId="65" borderId="0" applyNumberFormat="0" applyBorder="0" applyAlignment="0" applyProtection="0"/>
    <xf numFmtId="0" fontId="1" fillId="69" borderId="0" applyNumberFormat="0" applyBorder="0" applyAlignment="0" applyProtection="0"/>
    <xf numFmtId="0" fontId="1" fillId="69" borderId="0" applyNumberFormat="0" applyBorder="0" applyAlignment="0" applyProtection="0"/>
    <xf numFmtId="0" fontId="1" fillId="69" borderId="0" applyNumberFormat="0" applyBorder="0" applyAlignment="0" applyProtection="0"/>
    <xf numFmtId="0" fontId="1" fillId="69" borderId="0" applyNumberFormat="0" applyBorder="0" applyAlignment="0" applyProtection="0"/>
    <xf numFmtId="0" fontId="1" fillId="69" borderId="0" applyNumberFormat="0" applyBorder="0" applyAlignment="0" applyProtection="0"/>
    <xf numFmtId="0" fontId="1" fillId="69" borderId="0" applyNumberFormat="0" applyBorder="0" applyAlignment="0" applyProtection="0"/>
    <xf numFmtId="0" fontId="1" fillId="69" borderId="0" applyNumberFormat="0" applyBorder="0" applyAlignment="0" applyProtection="0"/>
    <xf numFmtId="0" fontId="1" fillId="69" borderId="0" applyNumberFormat="0" applyBorder="0" applyAlignment="0" applyProtection="0"/>
    <xf numFmtId="0" fontId="1" fillId="69" borderId="0" applyNumberFormat="0" applyBorder="0" applyAlignment="0" applyProtection="0"/>
    <xf numFmtId="0" fontId="1" fillId="73" borderId="0" applyNumberFormat="0" applyBorder="0" applyAlignment="0" applyProtection="0"/>
    <xf numFmtId="0" fontId="1" fillId="73" borderId="0" applyNumberFormat="0" applyBorder="0" applyAlignment="0" applyProtection="0"/>
    <xf numFmtId="0" fontId="1" fillId="73" borderId="0" applyNumberFormat="0" applyBorder="0" applyAlignment="0" applyProtection="0"/>
    <xf numFmtId="0" fontId="1" fillId="73" borderId="0" applyNumberFormat="0" applyBorder="0" applyAlignment="0" applyProtection="0"/>
    <xf numFmtId="0" fontId="1" fillId="73" borderId="0" applyNumberFormat="0" applyBorder="0" applyAlignment="0" applyProtection="0"/>
    <xf numFmtId="0" fontId="1" fillId="73" borderId="0" applyNumberFormat="0" applyBorder="0" applyAlignment="0" applyProtection="0"/>
    <xf numFmtId="0" fontId="1" fillId="73" borderId="0" applyNumberFormat="0" applyBorder="0" applyAlignment="0" applyProtection="0"/>
    <xf numFmtId="0" fontId="1" fillId="73" borderId="0" applyNumberFormat="0" applyBorder="0" applyAlignment="0" applyProtection="0"/>
    <xf numFmtId="0" fontId="1" fillId="73" borderId="0" applyNumberFormat="0" applyBorder="0" applyAlignment="0" applyProtection="0"/>
    <xf numFmtId="0" fontId="1" fillId="77" borderId="0" applyNumberFormat="0" applyBorder="0" applyAlignment="0" applyProtection="0"/>
    <xf numFmtId="0" fontId="1" fillId="77" borderId="0" applyNumberFormat="0" applyBorder="0" applyAlignment="0" applyProtection="0"/>
    <xf numFmtId="0" fontId="1" fillId="77" borderId="0" applyNumberFormat="0" applyBorder="0" applyAlignment="0" applyProtection="0"/>
    <xf numFmtId="0" fontId="1" fillId="77" borderId="0" applyNumberFormat="0" applyBorder="0" applyAlignment="0" applyProtection="0"/>
    <xf numFmtId="0" fontId="1" fillId="77" borderId="0" applyNumberFormat="0" applyBorder="0" applyAlignment="0" applyProtection="0"/>
    <xf numFmtId="0" fontId="1" fillId="77" borderId="0" applyNumberFormat="0" applyBorder="0" applyAlignment="0" applyProtection="0"/>
    <xf numFmtId="0" fontId="1" fillId="77" borderId="0" applyNumberFormat="0" applyBorder="0" applyAlignment="0" applyProtection="0"/>
    <xf numFmtId="0" fontId="1" fillId="77" borderId="0" applyNumberFormat="0" applyBorder="0" applyAlignment="0" applyProtection="0"/>
    <xf numFmtId="0" fontId="1" fillId="77" borderId="0" applyNumberFormat="0" applyBorder="0" applyAlignment="0" applyProtection="0"/>
    <xf numFmtId="0" fontId="1" fillId="81" borderId="0" applyNumberFormat="0" applyBorder="0" applyAlignment="0" applyProtection="0"/>
    <xf numFmtId="0" fontId="1" fillId="81" borderId="0" applyNumberFormat="0" applyBorder="0" applyAlignment="0" applyProtection="0"/>
    <xf numFmtId="0" fontId="1" fillId="81" borderId="0" applyNumberFormat="0" applyBorder="0" applyAlignment="0" applyProtection="0"/>
    <xf numFmtId="0" fontId="1" fillId="81" borderId="0" applyNumberFormat="0" applyBorder="0" applyAlignment="0" applyProtection="0"/>
    <xf numFmtId="0" fontId="1" fillId="81" borderId="0" applyNumberFormat="0" applyBorder="0" applyAlignment="0" applyProtection="0"/>
    <xf numFmtId="0" fontId="1" fillId="81" borderId="0" applyNumberFormat="0" applyBorder="0" applyAlignment="0" applyProtection="0"/>
    <xf numFmtId="0" fontId="1" fillId="81" borderId="0" applyNumberFormat="0" applyBorder="0" applyAlignment="0" applyProtection="0"/>
    <xf numFmtId="0" fontId="1" fillId="81" borderId="0" applyNumberFormat="0" applyBorder="0" applyAlignment="0" applyProtection="0"/>
    <xf numFmtId="0" fontId="1" fillId="81" borderId="0" applyNumberFormat="0" applyBorder="0" applyAlignment="0" applyProtection="0"/>
    <xf numFmtId="0" fontId="1" fillId="58" borderId="104" applyNumberFormat="0" applyFont="0" applyAlignment="0" applyProtection="0"/>
    <xf numFmtId="0" fontId="1" fillId="58" borderId="104" applyNumberFormat="0" applyFont="0" applyAlignment="0" applyProtection="0"/>
    <xf numFmtId="0" fontId="1" fillId="58" borderId="104" applyNumberFormat="0" applyFont="0" applyAlignment="0" applyProtection="0"/>
    <xf numFmtId="0" fontId="1" fillId="58" borderId="104" applyNumberFormat="0" applyFont="0" applyAlignment="0" applyProtection="0"/>
    <xf numFmtId="0" fontId="1" fillId="58" borderId="104" applyNumberFormat="0" applyFont="0" applyAlignment="0" applyProtection="0"/>
    <xf numFmtId="0" fontId="1" fillId="58" borderId="104" applyNumberFormat="0" applyFont="0" applyAlignment="0" applyProtection="0"/>
    <xf numFmtId="0" fontId="1" fillId="58" borderId="104" applyNumberFormat="0" applyFont="0" applyAlignment="0" applyProtection="0"/>
    <xf numFmtId="0" fontId="1" fillId="58" borderId="104" applyNumberFormat="0" applyFont="0" applyAlignment="0" applyProtection="0"/>
    <xf numFmtId="0" fontId="1" fillId="58" borderId="104" applyNumberFormat="0" applyFont="0" applyAlignment="0" applyProtection="0"/>
    <xf numFmtId="0" fontId="1" fillId="0" borderId="0"/>
    <xf numFmtId="165" fontId="1" fillId="0" borderId="0" applyFont="0" applyFill="0" applyBorder="0" applyAlignment="0" applyProtection="0"/>
    <xf numFmtId="0" fontId="1" fillId="0" borderId="0"/>
    <xf numFmtId="0" fontId="1" fillId="0" borderId="0"/>
    <xf numFmtId="0" fontId="1" fillId="26" borderId="0" applyNumberFormat="0" applyBorder="0" applyAlignment="0" applyProtection="0"/>
    <xf numFmtId="0" fontId="1" fillId="3" borderId="0" applyNumberFormat="0" applyBorder="0" applyAlignment="0" applyProtection="0"/>
    <xf numFmtId="0" fontId="1" fillId="26"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26" borderId="0" applyNumberFormat="0" applyBorder="0" applyAlignment="0" applyProtection="0"/>
    <xf numFmtId="0" fontId="1" fillId="3" borderId="0" applyNumberFormat="0" applyBorder="0" applyAlignment="0" applyProtection="0"/>
    <xf numFmtId="0" fontId="1" fillId="26" borderId="0" applyNumberFormat="0" applyBorder="0" applyAlignment="0" applyProtection="0"/>
    <xf numFmtId="0" fontId="1" fillId="58" borderId="104" applyNumberFormat="0" applyFont="0" applyAlignment="0" applyProtection="0"/>
    <xf numFmtId="0" fontId="1" fillId="6" borderId="0" applyNumberFormat="0" applyBorder="0" applyAlignment="0" applyProtection="0"/>
    <xf numFmtId="0" fontId="1" fillId="23" borderId="0" applyNumberFormat="0" applyBorder="0" applyAlignment="0" applyProtection="0"/>
    <xf numFmtId="0" fontId="1" fillId="6"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6" borderId="0" applyNumberFormat="0" applyBorder="0" applyAlignment="0" applyProtection="0"/>
    <xf numFmtId="0" fontId="1" fillId="23" borderId="0" applyNumberFormat="0" applyBorder="0" applyAlignment="0" applyProtection="0"/>
    <xf numFmtId="0" fontId="1" fillId="61" borderId="0" applyNumberFormat="0" applyBorder="0" applyAlignment="0" applyProtection="0"/>
    <xf numFmtId="0" fontId="1" fillId="26"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26" borderId="0" applyNumberFormat="0" applyBorder="0" applyAlignment="0" applyProtection="0"/>
    <xf numFmtId="0" fontId="1" fillId="3" borderId="0" applyNumberFormat="0" applyBorder="0" applyAlignment="0" applyProtection="0"/>
    <xf numFmtId="0" fontId="1" fillId="26" borderId="0" applyNumberFormat="0" applyBorder="0" applyAlignment="0" applyProtection="0"/>
    <xf numFmtId="0" fontId="1" fillId="0" borderId="0"/>
    <xf numFmtId="0" fontId="1" fillId="58" borderId="104" applyNumberFormat="0" applyFont="0" applyAlignment="0" applyProtection="0"/>
    <xf numFmtId="0" fontId="1" fillId="6" borderId="0" applyNumberFormat="0" applyBorder="0" applyAlignment="0" applyProtection="0"/>
    <xf numFmtId="0" fontId="1" fillId="23" borderId="0" applyNumberFormat="0" applyBorder="0" applyAlignment="0" applyProtection="0"/>
    <xf numFmtId="0" fontId="1" fillId="6" borderId="0" applyNumberFormat="0" applyBorder="0" applyAlignment="0" applyProtection="0"/>
    <xf numFmtId="0" fontId="1" fillId="58" borderId="104" applyNumberFormat="0" applyFont="0" applyAlignment="0" applyProtection="0"/>
    <xf numFmtId="0" fontId="1" fillId="26" borderId="0" applyNumberFormat="0" applyBorder="0" applyAlignment="0" applyProtection="0"/>
    <xf numFmtId="0" fontId="1" fillId="3"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7" borderId="0" applyNumberFormat="0" applyBorder="0" applyAlignment="0" applyProtection="0"/>
    <xf numFmtId="0" fontId="1" fillId="0" borderId="0"/>
    <xf numFmtId="0" fontId="1" fillId="26" borderId="0" applyNumberFormat="0" applyBorder="0" applyAlignment="0" applyProtection="0"/>
    <xf numFmtId="0" fontId="1" fillId="3" borderId="0" applyNumberFormat="0" applyBorder="0" applyAlignment="0" applyProtection="0"/>
    <xf numFmtId="0" fontId="1" fillId="23" borderId="0" applyNumberFormat="0" applyBorder="0" applyAlignment="0" applyProtection="0"/>
    <xf numFmtId="0" fontId="1" fillId="6" borderId="0" applyNumberFormat="0" applyBorder="0" applyAlignment="0" applyProtection="0"/>
    <xf numFmtId="0" fontId="1" fillId="58" borderId="104" applyNumberFormat="0" applyFont="0" applyAlignment="0" applyProtection="0"/>
    <xf numFmtId="0" fontId="1" fillId="6" borderId="0" applyNumberFormat="0" applyBorder="0" applyAlignment="0" applyProtection="0"/>
    <xf numFmtId="0" fontId="1" fillId="23" borderId="0" applyNumberFormat="0" applyBorder="0" applyAlignment="0" applyProtection="0"/>
    <xf numFmtId="0" fontId="1" fillId="6" borderId="0" applyNumberFormat="0" applyBorder="0" applyAlignment="0" applyProtection="0"/>
    <xf numFmtId="0" fontId="1" fillId="26" borderId="0" applyNumberFormat="0" applyBorder="0" applyAlignment="0" applyProtection="0"/>
    <xf numFmtId="0" fontId="1" fillId="3" borderId="0" applyNumberFormat="0" applyBorder="0" applyAlignment="0" applyProtection="0"/>
    <xf numFmtId="0" fontId="1" fillId="73" borderId="0" applyNumberFormat="0" applyBorder="0" applyAlignment="0" applyProtection="0"/>
    <xf numFmtId="0" fontId="1" fillId="26"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26" borderId="0" applyNumberFormat="0" applyBorder="0" applyAlignment="0" applyProtection="0"/>
    <xf numFmtId="0" fontId="1" fillId="3" borderId="0" applyNumberFormat="0" applyBorder="0" applyAlignment="0" applyProtection="0"/>
    <xf numFmtId="0" fontId="1" fillId="26" borderId="0" applyNumberFormat="0" applyBorder="0" applyAlignment="0" applyProtection="0"/>
    <xf numFmtId="0" fontId="1" fillId="0" borderId="0"/>
    <xf numFmtId="0" fontId="1" fillId="6" borderId="0" applyNumberFormat="0" applyBorder="0" applyAlignment="0" applyProtection="0"/>
    <xf numFmtId="0" fontId="1" fillId="23" borderId="0" applyNumberFormat="0" applyBorder="0" applyAlignment="0" applyProtection="0"/>
    <xf numFmtId="0" fontId="1" fillId="6" borderId="0" applyNumberFormat="0" applyBorder="0" applyAlignment="0" applyProtection="0"/>
    <xf numFmtId="0" fontId="1" fillId="26" borderId="0" applyNumberFormat="0" applyBorder="0" applyAlignment="0" applyProtection="0"/>
    <xf numFmtId="0" fontId="1" fillId="58" borderId="104" applyNumberFormat="0" applyFont="0" applyAlignment="0" applyProtection="0"/>
    <xf numFmtId="0" fontId="1" fillId="58" borderId="104" applyNumberFormat="0" applyFont="0" applyAlignment="0" applyProtection="0"/>
    <xf numFmtId="0" fontId="1" fillId="58" borderId="104" applyNumberFormat="0" applyFont="0" applyAlignment="0" applyProtection="0"/>
    <xf numFmtId="0" fontId="1" fillId="26" borderId="0" applyNumberFormat="0" applyBorder="0" applyAlignment="0" applyProtection="0"/>
    <xf numFmtId="0" fontId="1" fillId="0" borderId="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6" borderId="0" applyNumberFormat="0" applyBorder="0" applyAlignment="0" applyProtection="0"/>
    <xf numFmtId="0" fontId="1" fillId="23"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3" borderId="0" applyNumberFormat="0" applyBorder="0" applyAlignment="0" applyProtection="0"/>
    <xf numFmtId="0" fontId="1" fillId="3" borderId="0" applyNumberFormat="0" applyBorder="0" applyAlignment="0" applyProtection="0"/>
    <xf numFmtId="0" fontId="1" fillId="3" borderId="0" applyNumberFormat="0" applyBorder="0" applyAlignment="0" applyProtection="0"/>
    <xf numFmtId="0" fontId="1" fillId="3" borderId="0" applyNumberFormat="0" applyBorder="0" applyAlignment="0" applyProtection="0"/>
    <xf numFmtId="0" fontId="1" fillId="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26" borderId="0" applyNumberFormat="0" applyBorder="0" applyAlignment="0" applyProtection="0"/>
    <xf numFmtId="0" fontId="1" fillId="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58" borderId="104" applyNumberFormat="0" applyFont="0" applyAlignment="0" applyProtection="0"/>
    <xf numFmtId="0" fontId="1" fillId="6" borderId="0" applyNumberFormat="0" applyBorder="0" applyAlignment="0" applyProtection="0"/>
    <xf numFmtId="0" fontId="1" fillId="23" borderId="0" applyNumberFormat="0" applyBorder="0" applyAlignment="0" applyProtection="0"/>
    <xf numFmtId="0" fontId="1" fillId="6" borderId="0" applyNumberFormat="0" applyBorder="0" applyAlignment="0" applyProtection="0"/>
    <xf numFmtId="0" fontId="1" fillId="26"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58" borderId="104" applyNumberFormat="0" applyFont="0" applyAlignment="0" applyProtection="0"/>
    <xf numFmtId="0" fontId="1" fillId="26" borderId="0" applyNumberFormat="0" applyBorder="0" applyAlignment="0" applyProtection="0"/>
    <xf numFmtId="0" fontId="1" fillId="3" borderId="0" applyNumberFormat="0" applyBorder="0" applyAlignment="0" applyProtection="0"/>
    <xf numFmtId="0" fontId="1" fillId="26" borderId="0" applyNumberFormat="0" applyBorder="0" applyAlignment="0" applyProtection="0"/>
    <xf numFmtId="0" fontId="1" fillId="0" borderId="0"/>
    <xf numFmtId="0" fontId="1" fillId="6" borderId="0" applyNumberFormat="0" applyBorder="0" applyAlignment="0" applyProtection="0"/>
    <xf numFmtId="0" fontId="1" fillId="23" borderId="0" applyNumberFormat="0" applyBorder="0" applyAlignment="0" applyProtection="0"/>
    <xf numFmtId="0" fontId="1" fillId="6" borderId="0" applyNumberFormat="0" applyBorder="0" applyAlignment="0" applyProtection="0"/>
    <xf numFmtId="0" fontId="1" fillId="58" borderId="104" applyNumberFormat="0" applyFont="0" applyAlignment="0" applyProtection="0"/>
    <xf numFmtId="0" fontId="1" fillId="26" borderId="0" applyNumberFormat="0" applyBorder="0" applyAlignment="0" applyProtection="0"/>
    <xf numFmtId="0" fontId="1" fillId="58" borderId="104" applyNumberFormat="0" applyFont="0" applyAlignment="0" applyProtection="0"/>
    <xf numFmtId="0" fontId="1" fillId="3" borderId="0" applyNumberFormat="0" applyBorder="0" applyAlignment="0" applyProtection="0"/>
    <xf numFmtId="0" fontId="1" fillId="8" borderId="0" applyNumberFormat="0" applyBorder="0" applyAlignment="0" applyProtection="0"/>
    <xf numFmtId="0" fontId="1" fillId="26" borderId="0" applyNumberFormat="0" applyBorder="0" applyAlignment="0" applyProtection="0"/>
    <xf numFmtId="0" fontId="1" fillId="7" borderId="0" applyNumberFormat="0" applyBorder="0" applyAlignment="0" applyProtection="0"/>
    <xf numFmtId="0" fontId="1" fillId="26" borderId="0" applyNumberFormat="0" applyBorder="0" applyAlignment="0" applyProtection="0"/>
    <xf numFmtId="0" fontId="1" fillId="3" borderId="0" applyNumberFormat="0" applyBorder="0" applyAlignment="0" applyProtection="0"/>
    <xf numFmtId="0" fontId="1" fillId="23"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23" borderId="0" applyNumberFormat="0" applyBorder="0" applyAlignment="0" applyProtection="0"/>
    <xf numFmtId="0" fontId="1" fillId="6" borderId="0" applyNumberFormat="0" applyBorder="0" applyAlignment="0" applyProtection="0"/>
    <xf numFmtId="0" fontId="1" fillId="26" borderId="0" applyNumberFormat="0" applyBorder="0" applyAlignment="0" applyProtection="0"/>
    <xf numFmtId="0" fontId="1" fillId="58" borderId="104" applyNumberFormat="0" applyFont="0" applyAlignment="0" applyProtection="0"/>
    <xf numFmtId="0" fontId="1" fillId="3" borderId="0" applyNumberFormat="0" applyBorder="0" applyAlignment="0" applyProtection="0"/>
    <xf numFmtId="0" fontId="1" fillId="69" borderId="0" applyNumberFormat="0" applyBorder="0" applyAlignment="0" applyProtection="0"/>
    <xf numFmtId="0" fontId="1" fillId="26"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26" borderId="0" applyNumberFormat="0" applyBorder="0" applyAlignment="0" applyProtection="0"/>
    <xf numFmtId="0" fontId="1" fillId="3" borderId="0" applyNumberFormat="0" applyBorder="0" applyAlignment="0" applyProtection="0"/>
    <xf numFmtId="0" fontId="1" fillId="26" borderId="0" applyNumberFormat="0" applyBorder="0" applyAlignment="0" applyProtection="0"/>
    <xf numFmtId="0" fontId="1" fillId="6" borderId="0" applyNumberFormat="0" applyBorder="0" applyAlignment="0" applyProtection="0"/>
    <xf numFmtId="0" fontId="1" fillId="23"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23" borderId="0" applyNumberFormat="0" applyBorder="0" applyAlignment="0" applyProtection="0"/>
    <xf numFmtId="0" fontId="1" fillId="6" borderId="0" applyNumberFormat="0" applyBorder="0" applyAlignment="0" applyProtection="0"/>
    <xf numFmtId="0" fontId="1" fillId="26"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58" borderId="104" applyNumberFormat="0" applyFont="0" applyAlignment="0" applyProtection="0"/>
    <xf numFmtId="0" fontId="1" fillId="26" borderId="0" applyNumberFormat="0" applyBorder="0" applyAlignment="0" applyProtection="0"/>
    <xf numFmtId="0" fontId="1" fillId="3" borderId="0" applyNumberFormat="0" applyBorder="0" applyAlignment="0" applyProtection="0"/>
    <xf numFmtId="0" fontId="1" fillId="26" borderId="0" applyNumberFormat="0" applyBorder="0" applyAlignment="0" applyProtection="0"/>
    <xf numFmtId="0" fontId="1" fillId="6" borderId="0" applyNumberFormat="0" applyBorder="0" applyAlignment="0" applyProtection="0"/>
    <xf numFmtId="0" fontId="1" fillId="23" borderId="0" applyNumberFormat="0" applyBorder="0" applyAlignment="0" applyProtection="0"/>
    <xf numFmtId="0" fontId="1" fillId="6" borderId="0" applyNumberFormat="0" applyBorder="0" applyAlignment="0" applyProtection="0"/>
    <xf numFmtId="0" fontId="1" fillId="58" borderId="104" applyNumberFormat="0" applyFont="0" applyAlignment="0" applyProtection="0"/>
    <xf numFmtId="0" fontId="1" fillId="58" borderId="104" applyNumberFormat="0" applyFont="0" applyAlignment="0" applyProtection="0"/>
    <xf numFmtId="0" fontId="1" fillId="26" borderId="0" applyNumberFormat="0" applyBorder="0" applyAlignment="0" applyProtection="0"/>
    <xf numFmtId="0" fontId="1" fillId="3" borderId="0" applyNumberFormat="0" applyBorder="0" applyAlignment="0" applyProtection="0"/>
    <xf numFmtId="0" fontId="1" fillId="81" borderId="0" applyNumberFormat="0" applyBorder="0" applyAlignment="0" applyProtection="0"/>
    <xf numFmtId="0" fontId="1" fillId="26" borderId="0" applyNumberFormat="0" applyBorder="0" applyAlignment="0" applyProtection="0"/>
    <xf numFmtId="0" fontId="1" fillId="7" borderId="0" applyNumberFormat="0" applyBorder="0" applyAlignment="0" applyProtection="0"/>
    <xf numFmtId="0" fontId="1" fillId="26" borderId="0" applyNumberFormat="0" applyBorder="0" applyAlignment="0" applyProtection="0"/>
    <xf numFmtId="0" fontId="1" fillId="58" borderId="104" applyNumberFormat="0" applyFont="0" applyAlignment="0" applyProtection="0"/>
    <xf numFmtId="0" fontId="1" fillId="3"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23"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3" borderId="0" applyNumberFormat="0" applyBorder="0" applyAlignment="0" applyProtection="0"/>
    <xf numFmtId="0" fontId="1" fillId="26"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26" borderId="0" applyNumberFormat="0" applyBorder="0" applyAlignment="0" applyProtection="0"/>
    <xf numFmtId="0" fontId="1" fillId="58" borderId="104" applyNumberFormat="0" applyFont="0" applyAlignment="0" applyProtection="0"/>
    <xf numFmtId="0" fontId="1" fillId="3" borderId="0" applyNumberFormat="0" applyBorder="0" applyAlignment="0" applyProtection="0"/>
    <xf numFmtId="0" fontId="1" fillId="26" borderId="0" applyNumberFormat="0" applyBorder="0" applyAlignment="0" applyProtection="0"/>
    <xf numFmtId="0" fontId="1" fillId="6" borderId="0" applyNumberFormat="0" applyBorder="0" applyAlignment="0" applyProtection="0"/>
    <xf numFmtId="0" fontId="1" fillId="23" borderId="0" applyNumberFormat="0" applyBorder="0" applyAlignment="0" applyProtection="0"/>
    <xf numFmtId="0" fontId="1" fillId="6" borderId="0" applyNumberFormat="0" applyBorder="0" applyAlignment="0" applyProtection="0"/>
    <xf numFmtId="0" fontId="1" fillId="26" borderId="0" applyNumberFormat="0" applyBorder="0" applyAlignment="0" applyProtection="0"/>
    <xf numFmtId="0" fontId="1" fillId="58" borderId="104" applyNumberFormat="0" applyFont="0" applyAlignment="0" applyProtection="0"/>
    <xf numFmtId="0" fontId="1" fillId="58" borderId="104" applyNumberFormat="0" applyFont="0" applyAlignment="0" applyProtection="0"/>
    <xf numFmtId="0" fontId="1" fillId="58" borderId="104" applyNumberFormat="0" applyFont="0" applyAlignment="0" applyProtection="0"/>
    <xf numFmtId="0" fontId="1" fillId="6" borderId="0" applyNumberFormat="0" applyBorder="0" applyAlignment="0" applyProtection="0"/>
    <xf numFmtId="0" fontId="1" fillId="64" borderId="0" applyNumberFormat="0" applyBorder="0" applyAlignment="0" applyProtection="0"/>
    <xf numFmtId="0" fontId="1" fillId="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3" borderId="0" applyNumberFormat="0" applyBorder="0" applyAlignment="0" applyProtection="0"/>
    <xf numFmtId="0" fontId="1" fillId="3" borderId="0" applyNumberFormat="0" applyBorder="0" applyAlignment="0" applyProtection="0"/>
    <xf numFmtId="0" fontId="1" fillId="3" borderId="0" applyNumberFormat="0" applyBorder="0" applyAlignment="0" applyProtection="0"/>
    <xf numFmtId="0" fontId="1" fillId="3" borderId="0" applyNumberFormat="0" applyBorder="0" applyAlignment="0" applyProtection="0"/>
    <xf numFmtId="0" fontId="1" fillId="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26" borderId="0" applyNumberFormat="0" applyBorder="0" applyAlignment="0" applyProtection="0"/>
    <xf numFmtId="0" fontId="1" fillId="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26"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26"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9"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9" borderId="0" applyNumberFormat="0" applyBorder="0" applyAlignment="0" applyProtection="0"/>
    <xf numFmtId="0" fontId="1" fillId="6" borderId="0" applyNumberFormat="0" applyBorder="0" applyAlignment="0" applyProtection="0"/>
    <xf numFmtId="0" fontId="1" fillId="23" borderId="0" applyNumberFormat="0" applyBorder="0" applyAlignment="0" applyProtection="0"/>
    <xf numFmtId="0" fontId="1" fillId="6" borderId="0" applyNumberFormat="0" applyBorder="0" applyAlignment="0" applyProtection="0"/>
    <xf numFmtId="0" fontId="1" fillId="9" borderId="0" applyNumberFormat="0" applyBorder="0" applyAlignment="0" applyProtection="0"/>
    <xf numFmtId="0" fontId="1" fillId="8"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58" borderId="104" applyNumberFormat="0" applyFont="0" applyAlignment="0" applyProtection="0"/>
    <xf numFmtId="0" fontId="1" fillId="26" borderId="0" applyNumberFormat="0" applyBorder="0" applyAlignment="0" applyProtection="0"/>
    <xf numFmtId="0" fontId="1" fillId="3" borderId="0" applyNumberFormat="0" applyBorder="0" applyAlignment="0" applyProtection="0"/>
    <xf numFmtId="0" fontId="1" fillId="23" borderId="0" applyNumberFormat="0" applyBorder="0" applyAlignment="0" applyProtection="0"/>
    <xf numFmtId="0" fontId="1" fillId="26" borderId="0" applyNumberFormat="0" applyBorder="0" applyAlignment="0" applyProtection="0"/>
    <xf numFmtId="0" fontId="1" fillId="58" borderId="104" applyNumberFormat="0" applyFont="0" applyAlignment="0" applyProtection="0"/>
    <xf numFmtId="0" fontId="1" fillId="26" borderId="0" applyNumberFormat="0" applyBorder="0" applyAlignment="0" applyProtection="0"/>
    <xf numFmtId="0" fontId="1" fillId="6" borderId="0" applyNumberFormat="0" applyBorder="0" applyAlignment="0" applyProtection="0"/>
    <xf numFmtId="0" fontId="1" fillId="23" borderId="0" applyNumberFormat="0" applyBorder="0" applyAlignment="0" applyProtection="0"/>
    <xf numFmtId="0" fontId="1" fillId="6" borderId="0" applyNumberFormat="0" applyBorder="0" applyAlignment="0" applyProtection="0"/>
    <xf numFmtId="0" fontId="1" fillId="26" borderId="0" applyNumberFormat="0" applyBorder="0" applyAlignment="0" applyProtection="0"/>
    <xf numFmtId="0" fontId="1" fillId="3" borderId="0" applyNumberFormat="0" applyBorder="0" applyAlignment="0" applyProtection="0"/>
    <xf numFmtId="0" fontId="1" fillId="77" borderId="0" applyNumberFormat="0" applyBorder="0" applyAlignment="0" applyProtection="0"/>
    <xf numFmtId="0" fontId="1" fillId="26"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26" borderId="0" applyNumberFormat="0" applyBorder="0" applyAlignment="0" applyProtection="0"/>
    <xf numFmtId="0" fontId="1" fillId="3" borderId="0" applyNumberFormat="0" applyBorder="0" applyAlignment="0" applyProtection="0"/>
    <xf numFmtId="0" fontId="1" fillId="58" borderId="104" applyNumberFormat="0" applyFont="0" applyAlignment="0" applyProtection="0"/>
    <xf numFmtId="0" fontId="1" fillId="6" borderId="0" applyNumberFormat="0" applyBorder="0" applyAlignment="0" applyProtection="0"/>
    <xf numFmtId="0" fontId="1" fillId="58" borderId="104" applyNumberFormat="0" applyFont="0" applyAlignment="0" applyProtection="0"/>
    <xf numFmtId="0" fontId="1" fillId="23"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23" borderId="0" applyNumberFormat="0" applyBorder="0" applyAlignment="0" applyProtection="0"/>
    <xf numFmtId="0" fontId="1" fillId="26"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26" borderId="0" applyNumberFormat="0" applyBorder="0" applyAlignment="0" applyProtection="0"/>
    <xf numFmtId="0" fontId="1" fillId="3" borderId="0" applyNumberFormat="0" applyBorder="0" applyAlignment="0" applyProtection="0"/>
    <xf numFmtId="0" fontId="1" fillId="26" borderId="0" applyNumberFormat="0" applyBorder="0" applyAlignment="0" applyProtection="0"/>
    <xf numFmtId="0" fontId="1" fillId="6" borderId="0" applyNumberFormat="0" applyBorder="0" applyAlignment="0" applyProtection="0"/>
    <xf numFmtId="0" fontId="1" fillId="23" borderId="0" applyNumberFormat="0" applyBorder="0" applyAlignment="0" applyProtection="0"/>
    <xf numFmtId="0" fontId="1" fillId="6"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6" borderId="0" applyNumberFormat="0" applyBorder="0" applyAlignment="0" applyProtection="0"/>
    <xf numFmtId="0" fontId="1" fillId="23" borderId="0" applyNumberFormat="0" applyBorder="0" applyAlignment="0" applyProtection="0"/>
    <xf numFmtId="0" fontId="1" fillId="60" borderId="0" applyNumberFormat="0" applyBorder="0" applyAlignment="0" applyProtection="0"/>
    <xf numFmtId="0" fontId="1" fillId="26"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26" borderId="0" applyNumberFormat="0" applyBorder="0" applyAlignment="0" applyProtection="0"/>
    <xf numFmtId="0" fontId="1" fillId="3" borderId="0" applyNumberFormat="0" applyBorder="0" applyAlignment="0" applyProtection="0"/>
    <xf numFmtId="0" fontId="1" fillId="26" borderId="0" applyNumberFormat="0" applyBorder="0" applyAlignment="0" applyProtection="0"/>
    <xf numFmtId="0" fontId="1" fillId="58" borderId="104" applyNumberFormat="0" applyFont="0" applyAlignment="0" applyProtection="0"/>
    <xf numFmtId="0" fontId="1" fillId="6" borderId="0" applyNumberFormat="0" applyBorder="0" applyAlignment="0" applyProtection="0"/>
    <xf numFmtId="0" fontId="1" fillId="23" borderId="0" applyNumberFormat="0" applyBorder="0" applyAlignment="0" applyProtection="0"/>
    <xf numFmtId="0" fontId="1" fillId="6" borderId="0" applyNumberFormat="0" applyBorder="0" applyAlignment="0" applyProtection="0"/>
    <xf numFmtId="0" fontId="1" fillId="58" borderId="104" applyNumberFormat="0" applyFont="0" applyAlignment="0" applyProtection="0"/>
    <xf numFmtId="0" fontId="1" fillId="26" borderId="0" applyNumberFormat="0" applyBorder="0" applyAlignment="0" applyProtection="0"/>
    <xf numFmtId="0" fontId="1" fillId="3" borderId="0" applyNumberFormat="0" applyBorder="0" applyAlignment="0" applyProtection="0"/>
    <xf numFmtId="0" fontId="1" fillId="7" borderId="0" applyNumberFormat="0" applyBorder="0" applyAlignment="0" applyProtection="0"/>
    <xf numFmtId="0" fontId="1" fillId="26" borderId="0" applyNumberFormat="0" applyBorder="0" applyAlignment="0" applyProtection="0"/>
    <xf numFmtId="0" fontId="1" fillId="7" borderId="0" applyNumberFormat="0" applyBorder="0" applyAlignment="0" applyProtection="0"/>
    <xf numFmtId="0" fontId="1" fillId="26" borderId="0" applyNumberFormat="0" applyBorder="0" applyAlignment="0" applyProtection="0"/>
    <xf numFmtId="0" fontId="1" fillId="3" borderId="0" applyNumberFormat="0" applyBorder="0" applyAlignment="0" applyProtection="0"/>
    <xf numFmtId="0" fontId="1" fillId="23"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23" borderId="0" applyNumberFormat="0" applyBorder="0" applyAlignment="0" applyProtection="0"/>
    <xf numFmtId="0" fontId="1" fillId="6" borderId="0" applyNumberFormat="0" applyBorder="0" applyAlignment="0" applyProtection="0"/>
    <xf numFmtId="0" fontId="1" fillId="58" borderId="104" applyNumberFormat="0" applyFont="0" applyAlignment="0" applyProtection="0"/>
    <xf numFmtId="0" fontId="1" fillId="26" borderId="0" applyNumberFormat="0" applyBorder="0" applyAlignment="0" applyProtection="0"/>
    <xf numFmtId="0" fontId="1" fillId="3" borderId="0" applyNumberFormat="0" applyBorder="0" applyAlignment="0" applyProtection="0"/>
    <xf numFmtId="0" fontId="1" fillId="72" borderId="0" applyNumberFormat="0" applyBorder="0" applyAlignment="0" applyProtection="0"/>
    <xf numFmtId="0" fontId="1" fillId="26"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26" borderId="0" applyNumberFormat="0" applyBorder="0" applyAlignment="0" applyProtection="0"/>
    <xf numFmtId="0" fontId="1" fillId="3" borderId="0" applyNumberFormat="0" applyBorder="0" applyAlignment="0" applyProtection="0"/>
    <xf numFmtId="0" fontId="1" fillId="0" borderId="0"/>
    <xf numFmtId="0" fontId="1" fillId="26" borderId="0" applyNumberFormat="0" applyBorder="0" applyAlignment="0" applyProtection="0"/>
    <xf numFmtId="0" fontId="1" fillId="6" borderId="0" applyNumberFormat="0" applyBorder="0" applyAlignment="0" applyProtection="0"/>
    <xf numFmtId="0" fontId="1" fillId="23" borderId="0" applyNumberFormat="0" applyBorder="0" applyAlignment="0" applyProtection="0"/>
    <xf numFmtId="0" fontId="1" fillId="6" borderId="0" applyNumberFormat="0" applyBorder="0" applyAlignment="0" applyProtection="0"/>
    <xf numFmtId="0" fontId="1" fillId="26" borderId="0" applyNumberFormat="0" applyBorder="0" applyAlignment="0" applyProtection="0"/>
    <xf numFmtId="0" fontId="1" fillId="58" borderId="104" applyNumberFormat="0" applyFont="0" applyAlignment="0" applyProtection="0"/>
    <xf numFmtId="0" fontId="1" fillId="58" borderId="104" applyNumberFormat="0" applyFont="0" applyAlignment="0" applyProtection="0"/>
    <xf numFmtId="0" fontId="1" fillId="9" borderId="0" applyNumberFormat="0" applyBorder="0" applyAlignment="0" applyProtection="0"/>
    <xf numFmtId="0" fontId="1" fillId="0" borderId="0"/>
    <xf numFmtId="0" fontId="1" fillId="0" borderId="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6" borderId="0" applyNumberFormat="0" applyBorder="0" applyAlignment="0" applyProtection="0"/>
    <xf numFmtId="0" fontId="1" fillId="23"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3" borderId="0" applyNumberFormat="0" applyBorder="0" applyAlignment="0" applyProtection="0"/>
    <xf numFmtId="0" fontId="1" fillId="3" borderId="0" applyNumberFormat="0" applyBorder="0" applyAlignment="0" applyProtection="0"/>
    <xf numFmtId="0" fontId="1" fillId="3" borderId="0" applyNumberFormat="0" applyBorder="0" applyAlignment="0" applyProtection="0"/>
    <xf numFmtId="0" fontId="1" fillId="3" borderId="0" applyNumberFormat="0" applyBorder="0" applyAlignment="0" applyProtection="0"/>
    <xf numFmtId="0" fontId="1" fillId="3" borderId="0" applyNumberFormat="0" applyBorder="0" applyAlignment="0" applyProtection="0"/>
    <xf numFmtId="0" fontId="1" fillId="6"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26" borderId="0" applyNumberFormat="0" applyBorder="0" applyAlignment="0" applyProtection="0"/>
    <xf numFmtId="0" fontId="1" fillId="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26"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8" borderId="0" applyNumberFormat="0" applyBorder="0" applyAlignment="0" applyProtection="0"/>
    <xf numFmtId="0" fontId="1" fillId="58" borderId="104" applyNumberFormat="0" applyFont="0" applyAlignment="0" applyProtection="0"/>
    <xf numFmtId="0" fontId="1" fillId="6" borderId="0" applyNumberFormat="0" applyBorder="0" applyAlignment="0" applyProtection="0"/>
    <xf numFmtId="0" fontId="1" fillId="23" borderId="0" applyNumberFormat="0" applyBorder="0" applyAlignment="0" applyProtection="0"/>
    <xf numFmtId="0" fontId="1" fillId="6" borderId="0" applyNumberFormat="0" applyBorder="0" applyAlignment="0" applyProtection="0"/>
    <xf numFmtId="0" fontId="1" fillId="26"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26" borderId="0" applyNumberFormat="0" applyBorder="0" applyAlignment="0" applyProtection="0"/>
    <xf numFmtId="0" fontId="1" fillId="3" borderId="0" applyNumberFormat="0" applyBorder="0" applyAlignment="0" applyProtection="0"/>
    <xf numFmtId="0" fontId="1" fillId="26" borderId="0" applyNumberFormat="0" applyBorder="0" applyAlignment="0" applyProtection="0"/>
    <xf numFmtId="0" fontId="1" fillId="6" borderId="0" applyNumberFormat="0" applyBorder="0" applyAlignment="0" applyProtection="0"/>
    <xf numFmtId="0" fontId="1" fillId="23" borderId="0" applyNumberFormat="0" applyBorder="0" applyAlignment="0" applyProtection="0"/>
    <xf numFmtId="0" fontId="1" fillId="6" borderId="0" applyNumberFormat="0" applyBorder="0" applyAlignment="0" applyProtection="0"/>
    <xf numFmtId="0" fontId="1" fillId="58" borderId="104" applyNumberFormat="0" applyFont="0" applyAlignment="0" applyProtection="0"/>
    <xf numFmtId="0" fontId="1" fillId="26" borderId="0" applyNumberFormat="0" applyBorder="0" applyAlignment="0" applyProtection="0"/>
    <xf numFmtId="0" fontId="1" fillId="58" borderId="104" applyNumberFormat="0" applyFont="0" applyAlignment="0" applyProtection="0"/>
    <xf numFmtId="0" fontId="1" fillId="3" borderId="0" applyNumberFormat="0" applyBorder="0" applyAlignment="0" applyProtection="0"/>
    <xf numFmtId="0" fontId="1" fillId="26" borderId="0" applyNumberFormat="0" applyBorder="0" applyAlignment="0" applyProtection="0"/>
    <xf numFmtId="0" fontId="1" fillId="7" borderId="0" applyNumberFormat="0" applyBorder="0" applyAlignment="0" applyProtection="0"/>
    <xf numFmtId="0" fontId="1" fillId="26" borderId="0" applyNumberFormat="0" applyBorder="0" applyAlignment="0" applyProtection="0"/>
    <xf numFmtId="0" fontId="1" fillId="3" borderId="0" applyNumberFormat="0" applyBorder="0" applyAlignment="0" applyProtection="0"/>
    <xf numFmtId="0" fontId="1" fillId="23"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23" borderId="0" applyNumberFormat="0" applyBorder="0" applyAlignment="0" applyProtection="0"/>
    <xf numFmtId="0" fontId="1" fillId="6" borderId="0" applyNumberFormat="0" applyBorder="0" applyAlignment="0" applyProtection="0"/>
    <xf numFmtId="0" fontId="1" fillId="26" borderId="0" applyNumberFormat="0" applyBorder="0" applyAlignment="0" applyProtection="0"/>
    <xf numFmtId="0" fontId="1" fillId="3" borderId="0" applyNumberFormat="0" applyBorder="0" applyAlignment="0" applyProtection="0"/>
    <xf numFmtId="0" fontId="1" fillId="68" borderId="0" applyNumberFormat="0" applyBorder="0" applyAlignment="0" applyProtection="0"/>
    <xf numFmtId="0" fontId="1" fillId="26"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26" borderId="0" applyNumberFormat="0" applyBorder="0" applyAlignment="0" applyProtection="0"/>
    <xf numFmtId="0" fontId="1" fillId="3" borderId="0" applyNumberFormat="0" applyBorder="0" applyAlignment="0" applyProtection="0"/>
    <xf numFmtId="0" fontId="1" fillId="26" borderId="0" applyNumberFormat="0" applyBorder="0" applyAlignment="0" applyProtection="0"/>
    <xf numFmtId="0" fontId="1" fillId="6" borderId="0" applyNumberFormat="0" applyBorder="0" applyAlignment="0" applyProtection="0"/>
    <xf numFmtId="0" fontId="1" fillId="23"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23" borderId="0" applyNumberFormat="0" applyBorder="0" applyAlignment="0" applyProtection="0"/>
    <xf numFmtId="0" fontId="1" fillId="6" borderId="0" applyNumberFormat="0" applyBorder="0" applyAlignment="0" applyProtection="0"/>
    <xf numFmtId="0" fontId="1" fillId="26" borderId="0" applyNumberFormat="0" applyBorder="0" applyAlignment="0" applyProtection="0"/>
    <xf numFmtId="0" fontId="1" fillId="7" borderId="0" applyNumberFormat="0" applyBorder="0" applyAlignment="0" applyProtection="0"/>
    <xf numFmtId="0" fontId="1" fillId="26" borderId="0" applyNumberFormat="0" applyBorder="0" applyAlignment="0" applyProtection="0"/>
    <xf numFmtId="0" fontId="1" fillId="58" borderId="104" applyNumberFormat="0" applyFont="0" applyAlignment="0" applyProtection="0"/>
    <xf numFmtId="0" fontId="1" fillId="26" borderId="0" applyNumberFormat="0" applyBorder="0" applyAlignment="0" applyProtection="0"/>
    <xf numFmtId="0" fontId="1" fillId="3"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0" borderId="0"/>
    <xf numFmtId="0" fontId="1" fillId="6" borderId="0" applyNumberFormat="0" applyBorder="0" applyAlignment="0" applyProtection="0"/>
    <xf numFmtId="0" fontId="1" fillId="23" borderId="0" applyNumberFormat="0" applyBorder="0" applyAlignment="0" applyProtection="0"/>
    <xf numFmtId="0" fontId="1" fillId="6" borderId="0" applyNumberFormat="0" applyBorder="0" applyAlignment="0" applyProtection="0"/>
    <xf numFmtId="0" fontId="1" fillId="26" borderId="0" applyNumberFormat="0" applyBorder="0" applyAlignment="0" applyProtection="0"/>
    <xf numFmtId="0" fontId="1" fillId="3" borderId="0" applyNumberFormat="0" applyBorder="0" applyAlignment="0" applyProtection="0"/>
    <xf numFmtId="0" fontId="1" fillId="80" borderId="0" applyNumberFormat="0" applyBorder="0" applyAlignment="0" applyProtection="0"/>
    <xf numFmtId="0" fontId="1" fillId="26" borderId="0" applyNumberFormat="0" applyBorder="0" applyAlignment="0" applyProtection="0"/>
    <xf numFmtId="0" fontId="1" fillId="7" borderId="0" applyNumberFormat="0" applyBorder="0" applyAlignment="0" applyProtection="0"/>
    <xf numFmtId="0" fontId="1" fillId="26" borderId="0" applyNumberFormat="0" applyBorder="0" applyAlignment="0" applyProtection="0"/>
    <xf numFmtId="0" fontId="1" fillId="58" borderId="104" applyNumberFormat="0" applyFont="0" applyAlignment="0" applyProtection="0"/>
    <xf numFmtId="0" fontId="1" fillId="3" borderId="0" applyNumberFormat="0" applyBorder="0" applyAlignment="0" applyProtection="0"/>
    <xf numFmtId="0" fontId="1" fillId="6" borderId="0" applyNumberFormat="0" applyBorder="0" applyAlignment="0" applyProtection="0"/>
    <xf numFmtId="0" fontId="1" fillId="0" borderId="0"/>
    <xf numFmtId="0" fontId="1" fillId="6" borderId="0" applyNumberFormat="0" applyBorder="0" applyAlignment="0" applyProtection="0"/>
    <xf numFmtId="0" fontId="1" fillId="23"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3" borderId="0" applyNumberFormat="0" applyBorder="0" applyAlignment="0" applyProtection="0"/>
    <xf numFmtId="0" fontId="1" fillId="26"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0" borderId="0"/>
    <xf numFmtId="0" fontId="1" fillId="26" borderId="0" applyNumberFormat="0" applyBorder="0" applyAlignment="0" applyProtection="0"/>
    <xf numFmtId="0" fontId="1" fillId="3" borderId="0" applyNumberFormat="0" applyBorder="0" applyAlignment="0" applyProtection="0"/>
    <xf numFmtId="0" fontId="1" fillId="26" borderId="0" applyNumberFormat="0" applyBorder="0" applyAlignment="0" applyProtection="0"/>
    <xf numFmtId="0" fontId="1" fillId="6" borderId="0" applyNumberFormat="0" applyBorder="0" applyAlignment="0" applyProtection="0"/>
    <xf numFmtId="0" fontId="1" fillId="23" borderId="0" applyNumberFormat="0" applyBorder="0" applyAlignment="0" applyProtection="0"/>
    <xf numFmtId="0" fontId="1" fillId="6" borderId="0" applyNumberFormat="0" applyBorder="0" applyAlignment="0" applyProtection="0"/>
    <xf numFmtId="0" fontId="1" fillId="26" borderId="0" applyNumberFormat="0" applyBorder="0" applyAlignment="0" applyProtection="0"/>
    <xf numFmtId="0" fontId="1" fillId="58" borderId="104" applyNumberFormat="0" applyFont="0" applyAlignment="0" applyProtection="0"/>
    <xf numFmtId="9" fontId="1" fillId="0" borderId="0" applyFont="0" applyFill="0" applyBorder="0" applyAlignment="0" applyProtection="0"/>
    <xf numFmtId="0" fontId="1" fillId="58" borderId="104" applyNumberFormat="0" applyFont="0" applyAlignment="0" applyProtection="0"/>
    <xf numFmtId="0" fontId="1" fillId="58" borderId="104" applyNumberFormat="0" applyFont="0" applyAlignment="0" applyProtection="0"/>
    <xf numFmtId="0" fontId="1" fillId="58" borderId="104" applyNumberFormat="0" applyFont="0" applyAlignment="0" applyProtection="0"/>
    <xf numFmtId="0" fontId="1" fillId="58" borderId="104" applyNumberFormat="0" applyFont="0" applyAlignment="0" applyProtection="0"/>
    <xf numFmtId="0" fontId="1" fillId="3" borderId="0" applyNumberFormat="0" applyBorder="0" applyAlignment="0" applyProtection="0"/>
    <xf numFmtId="0" fontId="1" fillId="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3" borderId="0" applyNumberFormat="0" applyBorder="0" applyAlignment="0" applyProtection="0"/>
    <xf numFmtId="0" fontId="1" fillId="3" borderId="0" applyNumberFormat="0" applyBorder="0" applyAlignment="0" applyProtection="0"/>
    <xf numFmtId="0" fontId="1" fillId="3" borderId="0" applyNumberFormat="0" applyBorder="0" applyAlignment="0" applyProtection="0"/>
    <xf numFmtId="0" fontId="1" fillId="3" borderId="0" applyNumberFormat="0" applyBorder="0" applyAlignment="0" applyProtection="0"/>
    <xf numFmtId="0" fontId="1" fillId="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26" borderId="0" applyNumberFormat="0" applyBorder="0" applyAlignment="0" applyProtection="0"/>
    <xf numFmtId="0" fontId="1" fillId="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26"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26"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58" borderId="104" applyNumberFormat="0" applyFont="0" applyAlignment="0" applyProtection="0"/>
    <xf numFmtId="0" fontId="1" fillId="58" borderId="104" applyNumberFormat="0" applyFont="0" applyAlignment="0" applyProtection="0"/>
    <xf numFmtId="0" fontId="1" fillId="58" borderId="104" applyNumberFormat="0" applyFont="0" applyAlignment="0" applyProtection="0"/>
    <xf numFmtId="0" fontId="1" fillId="58" borderId="104" applyNumberFormat="0" applyFont="0" applyAlignment="0" applyProtection="0"/>
    <xf numFmtId="0" fontId="1" fillId="58" borderId="104" applyNumberFormat="0" applyFont="0" applyAlignment="0" applyProtection="0"/>
    <xf numFmtId="0" fontId="1" fillId="58" borderId="104" applyNumberFormat="0" applyFont="0" applyAlignment="0" applyProtection="0"/>
    <xf numFmtId="0" fontId="1" fillId="58" borderId="104" applyNumberFormat="0" applyFont="0" applyAlignment="0" applyProtection="0"/>
    <xf numFmtId="0" fontId="1" fillId="58" borderId="104" applyNumberFormat="0" applyFont="0" applyAlignment="0" applyProtection="0"/>
    <xf numFmtId="0" fontId="1" fillId="58" borderId="104" applyNumberFormat="0" applyFont="0" applyAlignment="0" applyProtection="0"/>
    <xf numFmtId="0" fontId="1" fillId="58" borderId="104" applyNumberFormat="0" applyFont="0" applyAlignment="0" applyProtection="0"/>
    <xf numFmtId="165" fontId="1" fillId="0" borderId="0" applyFont="0" applyFill="0" applyBorder="0" applyAlignment="0" applyProtection="0"/>
    <xf numFmtId="0" fontId="1" fillId="0" borderId="0"/>
    <xf numFmtId="9" fontId="1" fillId="0" borderId="0" applyFont="0" applyFill="0" applyBorder="0" applyAlignment="0" applyProtection="0"/>
    <xf numFmtId="0" fontId="1" fillId="0" borderId="0"/>
    <xf numFmtId="0" fontId="1" fillId="0" borderId="0"/>
    <xf numFmtId="9" fontId="1" fillId="0" borderId="0" applyFont="0" applyFill="0" applyBorder="0" applyAlignment="0" applyProtection="0"/>
    <xf numFmtId="165" fontId="1"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9" fontId="1" fillId="0" borderId="0" applyFont="0" applyFill="0" applyBorder="0" applyAlignment="0" applyProtection="0"/>
    <xf numFmtId="0" fontId="1" fillId="60" borderId="0" applyNumberFormat="0" applyBorder="0" applyAlignment="0" applyProtection="0"/>
    <xf numFmtId="0" fontId="1" fillId="61" borderId="0" applyNumberFormat="0" applyBorder="0" applyAlignment="0" applyProtection="0"/>
    <xf numFmtId="0" fontId="1" fillId="64" borderId="0" applyNumberFormat="0" applyBorder="0" applyAlignment="0" applyProtection="0"/>
    <xf numFmtId="0" fontId="1" fillId="65" borderId="0" applyNumberFormat="0" applyBorder="0" applyAlignment="0" applyProtection="0"/>
    <xf numFmtId="0" fontId="1" fillId="68" borderId="0" applyNumberFormat="0" applyBorder="0" applyAlignment="0" applyProtection="0"/>
    <xf numFmtId="0" fontId="1" fillId="69" borderId="0" applyNumberFormat="0" applyBorder="0" applyAlignment="0" applyProtection="0"/>
    <xf numFmtId="0" fontId="1" fillId="72" borderId="0" applyNumberFormat="0" applyBorder="0" applyAlignment="0" applyProtection="0"/>
    <xf numFmtId="0" fontId="1" fillId="73" borderId="0" applyNumberFormat="0" applyBorder="0" applyAlignment="0" applyProtection="0"/>
    <xf numFmtId="0" fontId="1" fillId="76" borderId="0" applyNumberFormat="0" applyBorder="0" applyAlignment="0" applyProtection="0"/>
    <xf numFmtId="0" fontId="1" fillId="77" borderId="0" applyNumberFormat="0" applyBorder="0" applyAlignment="0" applyProtection="0"/>
    <xf numFmtId="0" fontId="1" fillId="80" borderId="0" applyNumberFormat="0" applyBorder="0" applyAlignment="0" applyProtection="0"/>
    <xf numFmtId="0" fontId="1" fillId="81" borderId="0" applyNumberFormat="0" applyBorder="0" applyAlignment="0" applyProtection="0"/>
    <xf numFmtId="0" fontId="1" fillId="0" borderId="0"/>
    <xf numFmtId="0" fontId="1" fillId="58" borderId="104" applyNumberFormat="0" applyFont="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65" fontId="1" fillId="0" borderId="0" applyFont="0" applyFill="0" applyBorder="0" applyAlignment="0" applyProtection="0"/>
    <xf numFmtId="9"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9" fontId="1" fillId="0" borderId="0" applyFont="0" applyFill="0" applyBorder="0" applyAlignment="0" applyProtection="0"/>
    <xf numFmtId="0" fontId="1" fillId="0" borderId="0"/>
    <xf numFmtId="0" fontId="1" fillId="0" borderId="0"/>
    <xf numFmtId="0" fontId="1" fillId="0" borderId="0"/>
    <xf numFmtId="0" fontId="1" fillId="0" borderId="0"/>
    <xf numFmtId="9" fontId="1" fillId="0" borderId="0" applyFont="0" applyFill="0" applyBorder="0" applyAlignment="0" applyProtection="0"/>
    <xf numFmtId="0" fontId="1" fillId="0" borderId="0"/>
    <xf numFmtId="0" fontId="1" fillId="0" borderId="0"/>
    <xf numFmtId="0" fontId="1" fillId="0" borderId="0"/>
    <xf numFmtId="0" fontId="1" fillId="0" borderId="0"/>
    <xf numFmtId="9" fontId="1" fillId="0" borderId="0" applyFont="0" applyFill="0" applyBorder="0" applyAlignment="0" applyProtection="0"/>
    <xf numFmtId="0" fontId="1" fillId="60" borderId="0" applyNumberFormat="0" applyBorder="0" applyAlignment="0" applyProtection="0"/>
    <xf numFmtId="0" fontId="1" fillId="61" borderId="0" applyNumberFormat="0" applyBorder="0" applyAlignment="0" applyProtection="0"/>
    <xf numFmtId="0" fontId="1" fillId="64" borderId="0" applyNumberFormat="0" applyBorder="0" applyAlignment="0" applyProtection="0"/>
    <xf numFmtId="0" fontId="1" fillId="65" borderId="0" applyNumberFormat="0" applyBorder="0" applyAlignment="0" applyProtection="0"/>
    <xf numFmtId="0" fontId="1" fillId="68" borderId="0" applyNumberFormat="0" applyBorder="0" applyAlignment="0" applyProtection="0"/>
    <xf numFmtId="0" fontId="1" fillId="69" borderId="0" applyNumberFormat="0" applyBorder="0" applyAlignment="0" applyProtection="0"/>
    <xf numFmtId="0" fontId="1" fillId="72" borderId="0" applyNumberFormat="0" applyBorder="0" applyAlignment="0" applyProtection="0"/>
    <xf numFmtId="0" fontId="1" fillId="73" borderId="0" applyNumberFormat="0" applyBorder="0" applyAlignment="0" applyProtection="0"/>
    <xf numFmtId="0" fontId="1" fillId="76" borderId="0" applyNumberFormat="0" applyBorder="0" applyAlignment="0" applyProtection="0"/>
    <xf numFmtId="0" fontId="1" fillId="77" borderId="0" applyNumberFormat="0" applyBorder="0" applyAlignment="0" applyProtection="0"/>
    <xf numFmtId="0" fontId="1" fillId="80" borderId="0" applyNumberFormat="0" applyBorder="0" applyAlignment="0" applyProtection="0"/>
    <xf numFmtId="0" fontId="1" fillId="81" borderId="0" applyNumberFormat="0" applyBorder="0" applyAlignment="0" applyProtection="0"/>
    <xf numFmtId="43" fontId="10" fillId="0" borderId="0" applyFont="0" applyFill="0" applyBorder="0" applyAlignment="0" applyProtection="0"/>
    <xf numFmtId="43" fontId="38" fillId="0" borderId="0" applyFont="0" applyFill="0" applyBorder="0" applyAlignment="0" applyProtection="0"/>
    <xf numFmtId="43" fontId="38" fillId="0" borderId="0" applyFont="0" applyFill="0" applyBorder="0" applyAlignment="0" applyProtection="0"/>
    <xf numFmtId="43" fontId="38" fillId="0" borderId="0" applyFont="0" applyFill="0" applyBorder="0" applyAlignment="0" applyProtection="0"/>
    <xf numFmtId="43" fontId="38" fillId="0" borderId="0" applyFont="0" applyFill="0" applyBorder="0" applyAlignment="0" applyProtection="0"/>
    <xf numFmtId="43" fontId="1" fillId="0" borderId="0" applyFont="0" applyFill="0" applyBorder="0" applyAlignment="0" applyProtection="0"/>
    <xf numFmtId="43" fontId="10" fillId="0" borderId="0" applyFont="0" applyFill="0" applyBorder="0" applyAlignment="0" applyProtection="0"/>
    <xf numFmtId="41" fontId="19" fillId="0" borderId="0" applyFont="0" applyFill="0" applyBorder="0" applyAlignment="0" applyProtection="0"/>
    <xf numFmtId="41" fontId="19" fillId="0" borderId="0" applyFont="0" applyFill="0" applyBorder="0" applyAlignment="0" applyProtection="0"/>
    <xf numFmtId="41" fontId="19" fillId="0" borderId="0" applyFont="0" applyFill="0" applyBorder="0" applyAlignment="0" applyProtection="0"/>
    <xf numFmtId="41" fontId="19" fillId="0" borderId="0" applyFont="0" applyFill="0" applyBorder="0" applyAlignment="0" applyProtection="0"/>
    <xf numFmtId="41" fontId="19" fillId="0" borderId="0" applyFont="0" applyFill="0" applyBorder="0" applyAlignment="0" applyProtection="0"/>
    <xf numFmtId="41" fontId="19" fillId="0" borderId="0" applyFont="0" applyFill="0" applyBorder="0" applyAlignment="0" applyProtection="0"/>
    <xf numFmtId="41" fontId="19" fillId="0" borderId="0" applyFont="0" applyFill="0" applyBorder="0" applyAlignment="0" applyProtection="0"/>
    <xf numFmtId="41" fontId="19" fillId="0" borderId="0" applyFont="0" applyFill="0" applyBorder="0" applyAlignment="0" applyProtection="0"/>
    <xf numFmtId="41" fontId="19" fillId="0" borderId="0" applyFont="0" applyFill="0" applyBorder="0" applyAlignment="0" applyProtection="0"/>
    <xf numFmtId="41" fontId="19" fillId="0" borderId="0" applyFont="0" applyFill="0" applyBorder="0" applyAlignment="0" applyProtection="0"/>
    <xf numFmtId="41" fontId="19" fillId="0" borderId="0" applyFont="0" applyFill="0" applyBorder="0" applyAlignment="0" applyProtection="0"/>
    <xf numFmtId="41" fontId="19" fillId="0" borderId="0" applyFont="0" applyFill="0" applyBorder="0" applyAlignment="0" applyProtection="0"/>
    <xf numFmtId="41" fontId="19" fillId="0" borderId="0" applyFont="0" applyFill="0" applyBorder="0" applyAlignment="0" applyProtection="0"/>
    <xf numFmtId="41" fontId="19" fillId="0" borderId="0" applyFont="0" applyFill="0" applyBorder="0" applyAlignment="0" applyProtection="0"/>
    <xf numFmtId="41" fontId="19" fillId="0" borderId="0" applyFont="0" applyFill="0" applyBorder="0" applyAlignment="0" applyProtection="0"/>
    <xf numFmtId="41" fontId="19" fillId="0" borderId="0" applyFont="0" applyFill="0" applyBorder="0" applyAlignment="0" applyProtection="0"/>
    <xf numFmtId="41" fontId="19" fillId="0" borderId="0" applyFont="0" applyFill="0" applyBorder="0" applyAlignment="0" applyProtection="0"/>
    <xf numFmtId="41" fontId="19" fillId="0" borderId="0" applyFont="0" applyFill="0" applyBorder="0" applyAlignment="0" applyProtection="0"/>
    <xf numFmtId="41" fontId="19" fillId="0" borderId="0" applyFont="0" applyFill="0" applyBorder="0" applyAlignment="0" applyProtection="0"/>
    <xf numFmtId="41" fontId="19" fillId="0" borderId="0" applyFont="0" applyFill="0" applyBorder="0" applyAlignment="0" applyProtection="0"/>
    <xf numFmtId="41" fontId="19" fillId="0" borderId="0" applyFont="0" applyFill="0" applyBorder="0" applyAlignment="0" applyProtection="0"/>
    <xf numFmtId="41" fontId="19" fillId="0" borderId="0" applyFont="0" applyFill="0" applyBorder="0" applyAlignment="0" applyProtection="0"/>
    <xf numFmtId="41" fontId="19" fillId="0" borderId="0" applyFont="0" applyFill="0" applyBorder="0" applyAlignment="0" applyProtection="0"/>
    <xf numFmtId="41" fontId="19" fillId="0" borderId="0" applyFont="0" applyFill="0" applyBorder="0" applyAlignment="0" applyProtection="0"/>
    <xf numFmtId="41" fontId="19" fillId="0" borderId="0" applyFont="0" applyFill="0" applyBorder="0" applyAlignment="0" applyProtection="0"/>
    <xf numFmtId="41" fontId="19" fillId="0" borderId="0" applyFont="0" applyFill="0" applyBorder="0" applyAlignment="0" applyProtection="0"/>
    <xf numFmtId="41" fontId="19" fillId="0" borderId="0" applyFont="0" applyFill="0" applyBorder="0" applyAlignment="0" applyProtection="0"/>
    <xf numFmtId="41" fontId="19" fillId="0" borderId="0" applyFont="0" applyFill="0" applyBorder="0" applyAlignment="0" applyProtection="0"/>
    <xf numFmtId="41" fontId="19" fillId="0" borderId="0" applyFont="0" applyFill="0" applyBorder="0" applyAlignment="0" applyProtection="0"/>
    <xf numFmtId="41" fontId="19" fillId="0" borderId="0" applyFont="0" applyFill="0" applyBorder="0" applyAlignment="0" applyProtection="0"/>
    <xf numFmtId="41" fontId="19" fillId="0" borderId="0" applyFont="0" applyFill="0" applyBorder="0" applyAlignment="0" applyProtection="0"/>
    <xf numFmtId="41" fontId="19" fillId="0" borderId="0" applyFont="0" applyFill="0" applyBorder="0" applyAlignment="0" applyProtection="0"/>
    <xf numFmtId="41" fontId="19" fillId="0" borderId="0" applyFont="0" applyFill="0" applyBorder="0" applyAlignment="0" applyProtection="0"/>
    <xf numFmtId="41" fontId="19" fillId="0" borderId="0" applyFont="0" applyFill="0" applyBorder="0" applyAlignment="0" applyProtection="0"/>
    <xf numFmtId="41" fontId="19" fillId="0" borderId="0" applyFont="0" applyFill="0" applyBorder="0" applyAlignment="0" applyProtection="0"/>
    <xf numFmtId="41" fontId="19" fillId="0" borderId="0" applyFont="0" applyFill="0" applyBorder="0" applyAlignment="0" applyProtection="0"/>
    <xf numFmtId="41" fontId="19" fillId="0" borderId="0" applyFont="0" applyFill="0" applyBorder="0" applyAlignment="0" applyProtection="0"/>
    <xf numFmtId="41" fontId="19" fillId="0" borderId="0" applyFont="0" applyFill="0" applyBorder="0" applyAlignment="0" applyProtection="0"/>
    <xf numFmtId="41" fontId="19" fillId="0" borderId="0" applyFont="0" applyFill="0" applyBorder="0" applyAlignment="0" applyProtection="0"/>
    <xf numFmtId="41" fontId="19" fillId="0" borderId="0" applyFont="0" applyFill="0" applyBorder="0" applyAlignment="0" applyProtection="0"/>
    <xf numFmtId="41" fontId="19" fillId="0" borderId="0" applyFont="0" applyFill="0" applyBorder="0" applyAlignment="0" applyProtection="0"/>
    <xf numFmtId="41" fontId="19" fillId="0" borderId="0" applyFont="0" applyFill="0" applyBorder="0" applyAlignment="0" applyProtection="0"/>
    <xf numFmtId="41" fontId="19" fillId="0" borderId="0" applyFont="0" applyFill="0" applyBorder="0" applyAlignment="0" applyProtection="0"/>
    <xf numFmtId="41" fontId="19" fillId="0" borderId="0" applyFont="0" applyFill="0" applyBorder="0" applyAlignment="0" applyProtection="0"/>
    <xf numFmtId="41" fontId="19" fillId="0" borderId="0" applyFont="0" applyFill="0" applyBorder="0" applyAlignment="0" applyProtection="0"/>
    <xf numFmtId="41" fontId="19" fillId="0" borderId="0" applyFont="0" applyFill="0" applyBorder="0" applyAlignment="0" applyProtection="0"/>
    <xf numFmtId="41" fontId="19" fillId="0" borderId="0" applyFont="0" applyFill="0" applyBorder="0" applyAlignment="0" applyProtection="0"/>
    <xf numFmtId="41" fontId="19" fillId="0" borderId="0" applyFont="0" applyFill="0" applyBorder="0" applyAlignment="0" applyProtection="0"/>
    <xf numFmtId="41" fontId="19" fillId="0" borderId="0" applyFont="0" applyFill="0" applyBorder="0" applyAlignment="0" applyProtection="0"/>
    <xf numFmtId="41" fontId="19" fillId="0" borderId="0" applyFont="0" applyFill="0" applyBorder="0" applyAlignment="0" applyProtection="0"/>
    <xf numFmtId="41" fontId="19" fillId="0" borderId="0" applyFont="0" applyFill="0" applyBorder="0" applyAlignment="0" applyProtection="0"/>
    <xf numFmtId="41" fontId="19" fillId="0" borderId="0" applyFont="0" applyFill="0" applyBorder="0" applyAlignment="0" applyProtection="0"/>
    <xf numFmtId="41" fontId="19" fillId="0" borderId="0" applyFont="0" applyFill="0" applyBorder="0" applyAlignment="0" applyProtection="0"/>
    <xf numFmtId="41" fontId="19" fillId="0" borderId="0" applyFont="0" applyFill="0" applyBorder="0" applyAlignment="0" applyProtection="0"/>
    <xf numFmtId="41" fontId="19" fillId="0" borderId="0" applyFont="0" applyFill="0" applyBorder="0" applyAlignment="0" applyProtection="0"/>
    <xf numFmtId="41" fontId="19" fillId="0" borderId="0" applyFont="0" applyFill="0" applyBorder="0" applyAlignment="0" applyProtection="0"/>
    <xf numFmtId="41" fontId="19" fillId="0" borderId="0" applyFont="0" applyFill="0" applyBorder="0" applyAlignment="0" applyProtection="0"/>
    <xf numFmtId="41" fontId="19"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38" fillId="0" borderId="0" applyFont="0" applyFill="0" applyBorder="0" applyAlignment="0" applyProtection="0"/>
    <xf numFmtId="43" fontId="38"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38" fillId="0" borderId="0" applyFont="0" applyFill="0" applyBorder="0" applyAlignment="0" applyProtection="0"/>
    <xf numFmtId="43" fontId="38"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38" fillId="0" borderId="0" applyFont="0" applyFill="0" applyBorder="0" applyAlignment="0" applyProtection="0"/>
    <xf numFmtId="43" fontId="38"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38" fillId="0" borderId="0" applyFont="0" applyFill="0" applyBorder="0" applyAlignment="0" applyProtection="0"/>
    <xf numFmtId="43" fontId="38"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38" fillId="0" borderId="0" applyFont="0" applyFill="0" applyBorder="0" applyAlignment="0" applyProtection="0"/>
    <xf numFmtId="43" fontId="38"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38" fillId="0" borderId="0" applyFont="0" applyFill="0" applyBorder="0" applyAlignment="0" applyProtection="0"/>
    <xf numFmtId="43" fontId="38"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38" fillId="0" borderId="0" applyFont="0" applyFill="0" applyBorder="0" applyAlignment="0" applyProtection="0"/>
    <xf numFmtId="43" fontId="38"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38" fillId="0" borderId="0" applyFont="0" applyFill="0" applyBorder="0" applyAlignment="0" applyProtection="0"/>
    <xf numFmtId="43" fontId="38"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38" fillId="0" borderId="0" applyFont="0" applyFill="0" applyBorder="0" applyAlignment="0" applyProtection="0"/>
    <xf numFmtId="43" fontId="38"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38" fillId="0" borderId="0" applyFont="0" applyFill="0" applyBorder="0" applyAlignment="0" applyProtection="0"/>
    <xf numFmtId="43" fontId="38"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38" fillId="0" borderId="0" applyFont="0" applyFill="0" applyBorder="0" applyAlignment="0" applyProtection="0"/>
    <xf numFmtId="43" fontId="38"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38" fillId="0" borderId="0" applyFont="0" applyFill="0" applyBorder="0" applyAlignment="0" applyProtection="0"/>
    <xf numFmtId="43" fontId="38"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38" fillId="0" borderId="0" applyFont="0" applyFill="0" applyBorder="0" applyAlignment="0" applyProtection="0"/>
    <xf numFmtId="43" fontId="38"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38" fillId="0" borderId="0" applyFont="0" applyFill="0" applyBorder="0" applyAlignment="0" applyProtection="0"/>
    <xf numFmtId="43" fontId="38"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38" fillId="0" borderId="0" applyFont="0" applyFill="0" applyBorder="0" applyAlignment="0" applyProtection="0"/>
    <xf numFmtId="43" fontId="38"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38" fillId="0" borderId="0" applyFont="0" applyFill="0" applyBorder="0" applyAlignment="0" applyProtection="0"/>
    <xf numFmtId="43" fontId="38"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38" fillId="0" borderId="0" applyFont="0" applyFill="0" applyBorder="0" applyAlignment="0" applyProtection="0"/>
    <xf numFmtId="43" fontId="38"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38" fillId="0" borderId="0" applyFont="0" applyFill="0" applyBorder="0" applyAlignment="0" applyProtection="0"/>
    <xf numFmtId="43" fontId="38"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38" fillId="0" borderId="0" applyFont="0" applyFill="0" applyBorder="0" applyAlignment="0" applyProtection="0"/>
    <xf numFmtId="43" fontId="38"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38" fillId="0" borderId="0" applyFont="0" applyFill="0" applyBorder="0" applyAlignment="0" applyProtection="0"/>
    <xf numFmtId="43" fontId="38"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38" fillId="0" borderId="0" applyFont="0" applyFill="0" applyBorder="0" applyAlignment="0" applyProtection="0"/>
    <xf numFmtId="43" fontId="38"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38" fillId="0" borderId="0" applyFont="0" applyFill="0" applyBorder="0" applyAlignment="0" applyProtection="0"/>
    <xf numFmtId="43" fontId="38"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38" fillId="0" borderId="0" applyFont="0" applyFill="0" applyBorder="0" applyAlignment="0" applyProtection="0"/>
    <xf numFmtId="43" fontId="38"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38" fillId="0" borderId="0" applyFont="0" applyFill="0" applyBorder="0" applyAlignment="0" applyProtection="0"/>
    <xf numFmtId="43" fontId="38"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38" fillId="0" borderId="0" applyFont="0" applyFill="0" applyBorder="0" applyAlignment="0" applyProtection="0"/>
    <xf numFmtId="43" fontId="38"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38" fillId="0" borderId="0" applyFont="0" applyFill="0" applyBorder="0" applyAlignment="0" applyProtection="0"/>
    <xf numFmtId="43" fontId="38"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38" fillId="0" borderId="0" applyFont="0" applyFill="0" applyBorder="0" applyAlignment="0" applyProtection="0"/>
    <xf numFmtId="43" fontId="38"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38" fillId="0" borderId="0" applyFont="0" applyFill="0" applyBorder="0" applyAlignment="0" applyProtection="0"/>
    <xf numFmtId="43" fontId="38"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38" fillId="0" borderId="0" applyFont="0" applyFill="0" applyBorder="0" applyAlignment="0" applyProtection="0"/>
    <xf numFmtId="43" fontId="38"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38" fillId="0" borderId="0" applyFont="0" applyFill="0" applyBorder="0" applyAlignment="0" applyProtection="0"/>
    <xf numFmtId="43" fontId="38"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38" fillId="0" borderId="0" applyFont="0" applyFill="0" applyBorder="0" applyAlignment="0" applyProtection="0"/>
    <xf numFmtId="43" fontId="38"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38" fillId="0" borderId="0" applyFont="0" applyFill="0" applyBorder="0" applyAlignment="0" applyProtection="0"/>
    <xf numFmtId="43" fontId="38"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38" fillId="0" borderId="0" applyFont="0" applyFill="0" applyBorder="0" applyAlignment="0" applyProtection="0"/>
    <xf numFmtId="43" fontId="38"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38" fillId="0" borderId="0" applyFont="0" applyFill="0" applyBorder="0" applyAlignment="0" applyProtection="0"/>
    <xf numFmtId="43" fontId="38"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38" fillId="0" borderId="0" applyFont="0" applyFill="0" applyBorder="0" applyAlignment="0" applyProtection="0"/>
    <xf numFmtId="43" fontId="38"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38" fillId="0" borderId="0" applyFont="0" applyFill="0" applyBorder="0" applyAlignment="0" applyProtection="0"/>
    <xf numFmtId="43" fontId="38"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38" fillId="0" borderId="0" applyFont="0" applyFill="0" applyBorder="0" applyAlignment="0" applyProtection="0"/>
    <xf numFmtId="43" fontId="38"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38" fillId="0" borderId="0" applyFont="0" applyFill="0" applyBorder="0" applyAlignment="0" applyProtection="0"/>
    <xf numFmtId="43" fontId="38"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38" fillId="0" borderId="0" applyFont="0" applyFill="0" applyBorder="0" applyAlignment="0" applyProtection="0"/>
    <xf numFmtId="43" fontId="38"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38" fillId="0" borderId="0" applyFont="0" applyFill="0" applyBorder="0" applyAlignment="0" applyProtection="0"/>
    <xf numFmtId="43" fontId="38"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38" fillId="0" borderId="0" applyFont="0" applyFill="0" applyBorder="0" applyAlignment="0" applyProtection="0"/>
    <xf numFmtId="43" fontId="38"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38" fillId="0" borderId="0" applyFont="0" applyFill="0" applyBorder="0" applyAlignment="0" applyProtection="0"/>
    <xf numFmtId="43" fontId="38"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38" fillId="0" borderId="0" applyFont="0" applyFill="0" applyBorder="0" applyAlignment="0" applyProtection="0"/>
    <xf numFmtId="43" fontId="38"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38" fillId="0" borderId="0" applyFont="0" applyFill="0" applyBorder="0" applyAlignment="0" applyProtection="0"/>
    <xf numFmtId="43" fontId="38"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38" fillId="0" borderId="0" applyFont="0" applyFill="0" applyBorder="0" applyAlignment="0" applyProtection="0"/>
    <xf numFmtId="43" fontId="38"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38" fillId="0" borderId="0" applyFont="0" applyFill="0" applyBorder="0" applyAlignment="0" applyProtection="0"/>
    <xf numFmtId="43" fontId="38"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38" fillId="0" borderId="0" applyFont="0" applyFill="0" applyBorder="0" applyAlignment="0" applyProtection="0"/>
    <xf numFmtId="43" fontId="38"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38" fillId="0" borderId="0" applyFont="0" applyFill="0" applyBorder="0" applyAlignment="0" applyProtection="0"/>
    <xf numFmtId="43" fontId="38"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38" fillId="0" borderId="0" applyFont="0" applyFill="0" applyBorder="0" applyAlignment="0" applyProtection="0"/>
    <xf numFmtId="43" fontId="38"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38" fillId="0" borderId="0" applyFont="0" applyFill="0" applyBorder="0" applyAlignment="0" applyProtection="0"/>
    <xf numFmtId="43" fontId="38"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38" fillId="0" borderId="0" applyFont="0" applyFill="0" applyBorder="0" applyAlignment="0" applyProtection="0"/>
    <xf numFmtId="43" fontId="38"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38" fillId="0" borderId="0" applyFont="0" applyFill="0" applyBorder="0" applyAlignment="0" applyProtection="0"/>
    <xf numFmtId="43" fontId="38"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38" fillId="0" borderId="0" applyFont="0" applyFill="0" applyBorder="0" applyAlignment="0" applyProtection="0"/>
    <xf numFmtId="43" fontId="38"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38" fillId="0" borderId="0" applyFont="0" applyFill="0" applyBorder="0" applyAlignment="0" applyProtection="0"/>
    <xf numFmtId="43" fontId="38"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38" fillId="0" borderId="0" applyFont="0" applyFill="0" applyBorder="0" applyAlignment="0" applyProtection="0"/>
    <xf numFmtId="43" fontId="38"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38" fillId="0" borderId="0" applyFont="0" applyFill="0" applyBorder="0" applyAlignment="0" applyProtection="0"/>
    <xf numFmtId="43" fontId="38"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38" fillId="0" borderId="0" applyFont="0" applyFill="0" applyBorder="0" applyAlignment="0" applyProtection="0"/>
    <xf numFmtId="43" fontId="38"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38" fillId="0" borderId="0" applyFont="0" applyFill="0" applyBorder="0" applyAlignment="0" applyProtection="0"/>
    <xf numFmtId="43" fontId="38"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38" fillId="0" borderId="0" applyFont="0" applyFill="0" applyBorder="0" applyAlignment="0" applyProtection="0"/>
    <xf numFmtId="43" fontId="38"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38" fillId="0" borderId="0" applyFont="0" applyFill="0" applyBorder="0" applyAlignment="0" applyProtection="0"/>
    <xf numFmtId="43" fontId="38" fillId="0" borderId="0" applyFont="0" applyFill="0" applyBorder="0" applyAlignment="0" applyProtection="0"/>
    <xf numFmtId="0" fontId="1" fillId="0" borderId="0"/>
    <xf numFmtId="0" fontId="1" fillId="0" borderId="0"/>
    <xf numFmtId="9" fontId="1" fillId="0" borderId="0" applyFont="0" applyFill="0" applyBorder="0" applyAlignment="0" applyProtection="0"/>
    <xf numFmtId="0" fontId="1" fillId="0" borderId="0"/>
    <xf numFmtId="0" fontId="1" fillId="58" borderId="104" applyNumberFormat="0" applyFont="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65" fontId="1" fillId="0" borderId="0" applyFont="0" applyFill="0" applyBorder="0" applyAlignment="0" applyProtection="0"/>
    <xf numFmtId="9" fontId="1" fillId="0" borderId="0" applyFont="0" applyFill="0" applyBorder="0" applyAlignment="0" applyProtection="0"/>
    <xf numFmtId="43" fontId="1"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9" fontId="1" fillId="0" borderId="0" applyFont="0" applyFill="0" applyBorder="0" applyAlignment="0" applyProtection="0"/>
    <xf numFmtId="0" fontId="1" fillId="0" borderId="0"/>
    <xf numFmtId="0" fontId="1" fillId="65" borderId="0" applyNumberFormat="0" applyBorder="0" applyAlignment="0" applyProtection="0"/>
    <xf numFmtId="0" fontId="1" fillId="76" borderId="0" applyNumberFormat="0" applyBorder="0" applyAlignment="0" applyProtection="0"/>
    <xf numFmtId="43" fontId="10" fillId="0" borderId="0" applyFont="0" applyFill="0" applyBorder="0" applyAlignment="0" applyProtection="0"/>
    <xf numFmtId="0" fontId="1" fillId="0" borderId="0"/>
    <xf numFmtId="9"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8"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6" borderId="0" applyNumberFormat="0" applyBorder="0" applyAlignment="0" applyProtection="0"/>
    <xf numFmtId="0" fontId="1" fillId="76" borderId="0" applyNumberFormat="0" applyBorder="0" applyAlignment="0" applyProtection="0"/>
    <xf numFmtId="0" fontId="1" fillId="76" borderId="0" applyNumberFormat="0" applyBorder="0" applyAlignment="0" applyProtection="0"/>
    <xf numFmtId="0" fontId="1" fillId="76" borderId="0" applyNumberFormat="0" applyBorder="0" applyAlignment="0" applyProtection="0"/>
    <xf numFmtId="0" fontId="1" fillId="76" borderId="0" applyNumberFormat="0" applyBorder="0" applyAlignment="0" applyProtection="0"/>
    <xf numFmtId="0" fontId="1" fillId="76" borderId="0" applyNumberFormat="0" applyBorder="0" applyAlignment="0" applyProtection="0"/>
    <xf numFmtId="0" fontId="1" fillId="76" borderId="0" applyNumberFormat="0" applyBorder="0" applyAlignment="0" applyProtection="0"/>
    <xf numFmtId="0" fontId="1" fillId="76" borderId="0" applyNumberFormat="0" applyBorder="0" applyAlignment="0" applyProtection="0"/>
    <xf numFmtId="0" fontId="1" fillId="76" borderId="0" applyNumberFormat="0" applyBorder="0" applyAlignment="0" applyProtection="0"/>
    <xf numFmtId="0" fontId="1" fillId="76" borderId="0" applyNumberFormat="0" applyBorder="0" applyAlignment="0" applyProtection="0"/>
    <xf numFmtId="0" fontId="1" fillId="76" borderId="0" applyNumberFormat="0" applyBorder="0" applyAlignment="0" applyProtection="0"/>
    <xf numFmtId="0" fontId="1" fillId="76" borderId="0" applyNumberFormat="0" applyBorder="0" applyAlignment="0" applyProtection="0"/>
    <xf numFmtId="0" fontId="1" fillId="76" borderId="0" applyNumberFormat="0" applyBorder="0" applyAlignment="0" applyProtection="0"/>
    <xf numFmtId="0" fontId="1" fillId="76" borderId="0" applyNumberFormat="0" applyBorder="0" applyAlignment="0" applyProtection="0"/>
    <xf numFmtId="0" fontId="1" fillId="76" borderId="0" applyNumberFormat="0" applyBorder="0" applyAlignment="0" applyProtection="0"/>
    <xf numFmtId="0" fontId="1" fillId="76" borderId="0" applyNumberFormat="0" applyBorder="0" applyAlignment="0" applyProtection="0"/>
    <xf numFmtId="0" fontId="1" fillId="76" borderId="0" applyNumberFormat="0" applyBorder="0" applyAlignment="0" applyProtection="0"/>
    <xf numFmtId="0" fontId="1" fillId="76" borderId="0" applyNumberFormat="0" applyBorder="0" applyAlignment="0" applyProtection="0"/>
    <xf numFmtId="0" fontId="1" fillId="76" borderId="0" applyNumberFormat="0" applyBorder="0" applyAlignment="0" applyProtection="0"/>
    <xf numFmtId="0" fontId="1" fillId="76" borderId="0" applyNumberFormat="0" applyBorder="0" applyAlignment="0" applyProtection="0"/>
    <xf numFmtId="0" fontId="1" fillId="76" borderId="0" applyNumberFormat="0" applyBorder="0" applyAlignment="0" applyProtection="0"/>
    <xf numFmtId="0" fontId="1" fillId="76" borderId="0" applyNumberFormat="0" applyBorder="0" applyAlignment="0" applyProtection="0"/>
    <xf numFmtId="0" fontId="1" fillId="76" borderId="0" applyNumberFormat="0" applyBorder="0" applyAlignment="0" applyProtection="0"/>
    <xf numFmtId="0" fontId="1" fillId="76" borderId="0" applyNumberFormat="0" applyBorder="0" applyAlignment="0" applyProtection="0"/>
    <xf numFmtId="0" fontId="1" fillId="76" borderId="0" applyNumberFormat="0" applyBorder="0" applyAlignment="0" applyProtection="0"/>
    <xf numFmtId="0" fontId="1" fillId="76" borderId="0" applyNumberFormat="0" applyBorder="0" applyAlignment="0" applyProtection="0"/>
    <xf numFmtId="0" fontId="1" fillId="76" borderId="0" applyNumberFormat="0" applyBorder="0" applyAlignment="0" applyProtection="0"/>
    <xf numFmtId="0" fontId="1" fillId="76" borderId="0" applyNumberFormat="0" applyBorder="0" applyAlignment="0" applyProtection="0"/>
    <xf numFmtId="0" fontId="1" fillId="76" borderId="0" applyNumberFormat="0" applyBorder="0" applyAlignment="0" applyProtection="0"/>
    <xf numFmtId="0" fontId="1" fillId="76" borderId="0" applyNumberFormat="0" applyBorder="0" applyAlignment="0" applyProtection="0"/>
    <xf numFmtId="0" fontId="1" fillId="76" borderId="0" applyNumberFormat="0" applyBorder="0" applyAlignment="0" applyProtection="0"/>
    <xf numFmtId="0" fontId="1" fillId="76" borderId="0" applyNumberFormat="0" applyBorder="0" applyAlignment="0" applyProtection="0"/>
    <xf numFmtId="0" fontId="1" fillId="76" borderId="0" applyNumberFormat="0" applyBorder="0" applyAlignment="0" applyProtection="0"/>
    <xf numFmtId="0" fontId="1" fillId="76" borderId="0" applyNumberFormat="0" applyBorder="0" applyAlignment="0" applyProtection="0"/>
    <xf numFmtId="0" fontId="1" fillId="76" borderId="0" applyNumberFormat="0" applyBorder="0" applyAlignment="0" applyProtection="0"/>
    <xf numFmtId="0" fontId="1" fillId="76" borderId="0" applyNumberFormat="0" applyBorder="0" applyAlignment="0" applyProtection="0"/>
    <xf numFmtId="0" fontId="1" fillId="76" borderId="0" applyNumberFormat="0" applyBorder="0" applyAlignment="0" applyProtection="0"/>
    <xf numFmtId="0" fontId="1" fillId="76" borderId="0" applyNumberFormat="0" applyBorder="0" applyAlignment="0" applyProtection="0"/>
    <xf numFmtId="0" fontId="1" fillId="76" borderId="0" applyNumberFormat="0" applyBorder="0" applyAlignment="0" applyProtection="0"/>
    <xf numFmtId="0" fontId="1" fillId="76" borderId="0" applyNumberFormat="0" applyBorder="0" applyAlignment="0" applyProtection="0"/>
    <xf numFmtId="0" fontId="1" fillId="76" borderId="0" applyNumberFormat="0" applyBorder="0" applyAlignment="0" applyProtection="0"/>
    <xf numFmtId="0" fontId="1" fillId="76" borderId="0" applyNumberFormat="0" applyBorder="0" applyAlignment="0" applyProtection="0"/>
    <xf numFmtId="0" fontId="1" fillId="76" borderId="0" applyNumberFormat="0" applyBorder="0" applyAlignment="0" applyProtection="0"/>
    <xf numFmtId="0" fontId="1" fillId="76" borderId="0" applyNumberFormat="0" applyBorder="0" applyAlignment="0" applyProtection="0"/>
    <xf numFmtId="0" fontId="1" fillId="76" borderId="0" applyNumberFormat="0" applyBorder="0" applyAlignment="0" applyProtection="0"/>
    <xf numFmtId="0" fontId="1" fillId="76" borderId="0" applyNumberFormat="0" applyBorder="0" applyAlignment="0" applyProtection="0"/>
    <xf numFmtId="0" fontId="1" fillId="76" borderId="0" applyNumberFormat="0" applyBorder="0" applyAlignment="0" applyProtection="0"/>
    <xf numFmtId="0" fontId="1" fillId="76" borderId="0" applyNumberFormat="0" applyBorder="0" applyAlignment="0" applyProtection="0"/>
    <xf numFmtId="0" fontId="1" fillId="76" borderId="0" applyNumberFormat="0" applyBorder="0" applyAlignment="0" applyProtection="0"/>
    <xf numFmtId="0" fontId="1" fillId="76" borderId="0" applyNumberFormat="0" applyBorder="0" applyAlignment="0" applyProtection="0"/>
    <xf numFmtId="0" fontId="1" fillId="76" borderId="0" applyNumberFormat="0" applyBorder="0" applyAlignment="0" applyProtection="0"/>
    <xf numFmtId="0" fontId="1" fillId="76" borderId="0" applyNumberFormat="0" applyBorder="0" applyAlignment="0" applyProtection="0"/>
    <xf numFmtId="0" fontId="1" fillId="76" borderId="0" applyNumberFormat="0" applyBorder="0" applyAlignment="0" applyProtection="0"/>
    <xf numFmtId="0" fontId="1" fillId="76" borderId="0" applyNumberFormat="0" applyBorder="0" applyAlignment="0" applyProtection="0"/>
    <xf numFmtId="0" fontId="1" fillId="76" borderId="0" applyNumberFormat="0" applyBorder="0" applyAlignment="0" applyProtection="0"/>
    <xf numFmtId="0" fontId="1" fillId="76" borderId="0" applyNumberFormat="0" applyBorder="0" applyAlignment="0" applyProtection="0"/>
    <xf numFmtId="0" fontId="1" fillId="76" borderId="0" applyNumberFormat="0" applyBorder="0" applyAlignment="0" applyProtection="0"/>
    <xf numFmtId="0" fontId="1" fillId="76" borderId="0" applyNumberFormat="0" applyBorder="0" applyAlignment="0" applyProtection="0"/>
    <xf numFmtId="0" fontId="1" fillId="76" borderId="0" applyNumberFormat="0" applyBorder="0" applyAlignment="0" applyProtection="0"/>
    <xf numFmtId="0" fontId="1" fillId="76" borderId="0" applyNumberFormat="0" applyBorder="0" applyAlignment="0" applyProtection="0"/>
    <xf numFmtId="0" fontId="1" fillId="76" borderId="0" applyNumberFormat="0" applyBorder="0" applyAlignment="0" applyProtection="0"/>
    <xf numFmtId="0" fontId="1" fillId="76" borderId="0" applyNumberFormat="0" applyBorder="0" applyAlignment="0" applyProtection="0"/>
    <xf numFmtId="0" fontId="1" fillId="76" borderId="0" applyNumberFormat="0" applyBorder="0" applyAlignment="0" applyProtection="0"/>
    <xf numFmtId="0" fontId="1" fillId="76" borderId="0" applyNumberFormat="0" applyBorder="0" applyAlignment="0" applyProtection="0"/>
    <xf numFmtId="0" fontId="1" fillId="76" borderId="0" applyNumberFormat="0" applyBorder="0" applyAlignment="0" applyProtection="0"/>
    <xf numFmtId="0" fontId="1" fillId="76" borderId="0" applyNumberFormat="0" applyBorder="0" applyAlignment="0" applyProtection="0"/>
    <xf numFmtId="0" fontId="1" fillId="76" borderId="0" applyNumberFormat="0" applyBorder="0" applyAlignment="0" applyProtection="0"/>
    <xf numFmtId="0" fontId="1" fillId="76" borderId="0" applyNumberFormat="0" applyBorder="0" applyAlignment="0" applyProtection="0"/>
    <xf numFmtId="0" fontId="1" fillId="76" borderId="0" applyNumberFormat="0" applyBorder="0" applyAlignment="0" applyProtection="0"/>
    <xf numFmtId="0" fontId="1" fillId="76" borderId="0" applyNumberFormat="0" applyBorder="0" applyAlignment="0" applyProtection="0"/>
    <xf numFmtId="0" fontId="1" fillId="76" borderId="0" applyNumberFormat="0" applyBorder="0" applyAlignment="0" applyProtection="0"/>
    <xf numFmtId="0" fontId="1" fillId="76" borderId="0" applyNumberFormat="0" applyBorder="0" applyAlignment="0" applyProtection="0"/>
    <xf numFmtId="0" fontId="1" fillId="76" borderId="0" applyNumberFormat="0" applyBorder="0" applyAlignment="0" applyProtection="0"/>
    <xf numFmtId="0" fontId="1" fillId="76" borderId="0" applyNumberFormat="0" applyBorder="0" applyAlignment="0" applyProtection="0"/>
    <xf numFmtId="0" fontId="1" fillId="76" borderId="0" applyNumberFormat="0" applyBorder="0" applyAlignment="0" applyProtection="0"/>
    <xf numFmtId="0" fontId="1" fillId="76" borderId="0" applyNumberFormat="0" applyBorder="0" applyAlignment="0" applyProtection="0"/>
    <xf numFmtId="0" fontId="1" fillId="76" borderId="0" applyNumberFormat="0" applyBorder="0" applyAlignment="0" applyProtection="0"/>
    <xf numFmtId="0" fontId="1" fillId="76" borderId="0" applyNumberFormat="0" applyBorder="0" applyAlignment="0" applyProtection="0"/>
    <xf numFmtId="0" fontId="1" fillId="76" borderId="0" applyNumberFormat="0" applyBorder="0" applyAlignment="0" applyProtection="0"/>
    <xf numFmtId="0" fontId="1" fillId="76" borderId="0" applyNumberFormat="0" applyBorder="0" applyAlignment="0" applyProtection="0"/>
    <xf numFmtId="0" fontId="1" fillId="76" borderId="0" applyNumberFormat="0" applyBorder="0" applyAlignment="0" applyProtection="0"/>
    <xf numFmtId="0" fontId="1" fillId="76" borderId="0" applyNumberFormat="0" applyBorder="0" applyAlignment="0" applyProtection="0"/>
    <xf numFmtId="0" fontId="1" fillId="76" borderId="0" applyNumberFormat="0" applyBorder="0" applyAlignment="0" applyProtection="0"/>
    <xf numFmtId="0" fontId="1" fillId="76" borderId="0" applyNumberFormat="0" applyBorder="0" applyAlignment="0" applyProtection="0"/>
    <xf numFmtId="0" fontId="1" fillId="76" borderId="0" applyNumberFormat="0" applyBorder="0" applyAlignment="0" applyProtection="0"/>
    <xf numFmtId="0" fontId="1" fillId="76" borderId="0" applyNumberFormat="0" applyBorder="0" applyAlignment="0" applyProtection="0"/>
    <xf numFmtId="0" fontId="1" fillId="76" borderId="0" applyNumberFormat="0" applyBorder="0" applyAlignment="0" applyProtection="0"/>
    <xf numFmtId="0" fontId="1" fillId="76" borderId="0" applyNumberFormat="0" applyBorder="0" applyAlignment="0" applyProtection="0"/>
    <xf numFmtId="0" fontId="1" fillId="76" borderId="0" applyNumberFormat="0" applyBorder="0" applyAlignment="0" applyProtection="0"/>
    <xf numFmtId="0" fontId="1" fillId="76" borderId="0" applyNumberFormat="0" applyBorder="0" applyAlignment="0" applyProtection="0"/>
    <xf numFmtId="0" fontId="1" fillId="76" borderId="0" applyNumberFormat="0" applyBorder="0" applyAlignment="0" applyProtection="0"/>
    <xf numFmtId="0" fontId="1" fillId="76" borderId="0" applyNumberFormat="0" applyBorder="0" applyAlignment="0" applyProtection="0"/>
    <xf numFmtId="0" fontId="1" fillId="76" borderId="0" applyNumberFormat="0" applyBorder="0" applyAlignment="0" applyProtection="0"/>
    <xf numFmtId="0" fontId="1" fillId="76" borderId="0" applyNumberFormat="0" applyBorder="0" applyAlignment="0" applyProtection="0"/>
    <xf numFmtId="0" fontId="1" fillId="76" borderId="0" applyNumberFormat="0" applyBorder="0" applyAlignment="0" applyProtection="0"/>
    <xf numFmtId="0" fontId="1" fillId="76" borderId="0" applyNumberFormat="0" applyBorder="0" applyAlignment="0" applyProtection="0"/>
    <xf numFmtId="0" fontId="1" fillId="76" borderId="0" applyNumberFormat="0" applyBorder="0" applyAlignment="0" applyProtection="0"/>
    <xf numFmtId="0" fontId="1" fillId="76" borderId="0" applyNumberFormat="0" applyBorder="0" applyAlignment="0" applyProtection="0"/>
    <xf numFmtId="0" fontId="1" fillId="76" borderId="0" applyNumberFormat="0" applyBorder="0" applyAlignment="0" applyProtection="0"/>
    <xf numFmtId="0" fontId="1" fillId="76" borderId="0" applyNumberFormat="0" applyBorder="0" applyAlignment="0" applyProtection="0"/>
    <xf numFmtId="0" fontId="1" fillId="76" borderId="0" applyNumberFormat="0" applyBorder="0" applyAlignment="0" applyProtection="0"/>
    <xf numFmtId="0" fontId="1" fillId="76" borderId="0" applyNumberFormat="0" applyBorder="0" applyAlignment="0" applyProtection="0"/>
    <xf numFmtId="0" fontId="1" fillId="76" borderId="0" applyNumberFormat="0" applyBorder="0" applyAlignment="0" applyProtection="0"/>
    <xf numFmtId="0" fontId="1" fillId="76" borderId="0" applyNumberFormat="0" applyBorder="0" applyAlignment="0" applyProtection="0"/>
    <xf numFmtId="0" fontId="1" fillId="76" borderId="0" applyNumberFormat="0" applyBorder="0" applyAlignment="0" applyProtection="0"/>
    <xf numFmtId="0" fontId="1" fillId="76" borderId="0" applyNumberFormat="0" applyBorder="0" applyAlignment="0" applyProtection="0"/>
    <xf numFmtId="0" fontId="1" fillId="76" borderId="0" applyNumberFormat="0" applyBorder="0" applyAlignment="0" applyProtection="0"/>
    <xf numFmtId="0" fontId="1" fillId="76" borderId="0" applyNumberFormat="0" applyBorder="0" applyAlignment="0" applyProtection="0"/>
    <xf numFmtId="0" fontId="1" fillId="76" borderId="0" applyNumberFormat="0" applyBorder="0" applyAlignment="0" applyProtection="0"/>
    <xf numFmtId="0" fontId="1" fillId="76" borderId="0" applyNumberFormat="0" applyBorder="0" applyAlignment="0" applyProtection="0"/>
    <xf numFmtId="0" fontId="1" fillId="76" borderId="0" applyNumberFormat="0" applyBorder="0" applyAlignment="0" applyProtection="0"/>
    <xf numFmtId="0" fontId="1" fillId="76" borderId="0" applyNumberFormat="0" applyBorder="0" applyAlignment="0" applyProtection="0"/>
    <xf numFmtId="0" fontId="1" fillId="76" borderId="0" applyNumberFormat="0" applyBorder="0" applyAlignment="0" applyProtection="0"/>
    <xf numFmtId="0" fontId="1" fillId="76" borderId="0" applyNumberFormat="0" applyBorder="0" applyAlignment="0" applyProtection="0"/>
    <xf numFmtId="0" fontId="1" fillId="76" borderId="0" applyNumberFormat="0" applyBorder="0" applyAlignment="0" applyProtection="0"/>
    <xf numFmtId="0" fontId="1" fillId="76" borderId="0" applyNumberFormat="0" applyBorder="0" applyAlignment="0" applyProtection="0"/>
    <xf numFmtId="0" fontId="1" fillId="76" borderId="0" applyNumberFormat="0" applyBorder="0" applyAlignment="0" applyProtection="0"/>
    <xf numFmtId="0" fontId="1" fillId="76" borderId="0" applyNumberFormat="0" applyBorder="0" applyAlignment="0" applyProtection="0"/>
    <xf numFmtId="0" fontId="1" fillId="76" borderId="0" applyNumberFormat="0" applyBorder="0" applyAlignment="0" applyProtection="0"/>
    <xf numFmtId="0" fontId="1" fillId="76" borderId="0" applyNumberFormat="0" applyBorder="0" applyAlignment="0" applyProtection="0"/>
    <xf numFmtId="0" fontId="1" fillId="76" borderId="0" applyNumberFormat="0" applyBorder="0" applyAlignment="0" applyProtection="0"/>
    <xf numFmtId="0" fontId="1" fillId="76" borderId="0" applyNumberFormat="0" applyBorder="0" applyAlignment="0" applyProtection="0"/>
    <xf numFmtId="0" fontId="1" fillId="76" borderId="0" applyNumberFormat="0" applyBorder="0" applyAlignment="0" applyProtection="0"/>
    <xf numFmtId="0" fontId="1" fillId="76" borderId="0" applyNumberFormat="0" applyBorder="0" applyAlignment="0" applyProtection="0"/>
    <xf numFmtId="0" fontId="1" fillId="76" borderId="0" applyNumberFormat="0" applyBorder="0" applyAlignment="0" applyProtection="0"/>
    <xf numFmtId="0" fontId="1" fillId="76" borderId="0" applyNumberFormat="0" applyBorder="0" applyAlignment="0" applyProtection="0"/>
    <xf numFmtId="0" fontId="1" fillId="76" borderId="0" applyNumberFormat="0" applyBorder="0" applyAlignment="0" applyProtection="0"/>
    <xf numFmtId="0" fontId="1" fillId="76" borderId="0" applyNumberFormat="0" applyBorder="0" applyAlignment="0" applyProtection="0"/>
    <xf numFmtId="0" fontId="1" fillId="76" borderId="0" applyNumberFormat="0" applyBorder="0" applyAlignment="0" applyProtection="0"/>
    <xf numFmtId="0" fontId="1" fillId="76" borderId="0" applyNumberFormat="0" applyBorder="0" applyAlignment="0" applyProtection="0"/>
    <xf numFmtId="0" fontId="1" fillId="76" borderId="0" applyNumberFormat="0" applyBorder="0" applyAlignment="0" applyProtection="0"/>
    <xf numFmtId="0" fontId="1" fillId="76" borderId="0" applyNumberFormat="0" applyBorder="0" applyAlignment="0" applyProtection="0"/>
    <xf numFmtId="0" fontId="1" fillId="76" borderId="0" applyNumberFormat="0" applyBorder="0" applyAlignment="0" applyProtection="0"/>
    <xf numFmtId="0" fontId="1" fillId="76" borderId="0" applyNumberFormat="0" applyBorder="0" applyAlignment="0" applyProtection="0"/>
    <xf numFmtId="0" fontId="1" fillId="76" borderId="0" applyNumberFormat="0" applyBorder="0" applyAlignment="0" applyProtection="0"/>
    <xf numFmtId="0" fontId="1" fillId="76" borderId="0" applyNumberFormat="0" applyBorder="0" applyAlignment="0" applyProtection="0"/>
    <xf numFmtId="0" fontId="1" fillId="76" borderId="0" applyNumberFormat="0" applyBorder="0" applyAlignment="0" applyProtection="0"/>
    <xf numFmtId="0" fontId="1" fillId="76" borderId="0" applyNumberFormat="0" applyBorder="0" applyAlignment="0" applyProtection="0"/>
    <xf numFmtId="0" fontId="1" fillId="76" borderId="0" applyNumberFormat="0" applyBorder="0" applyAlignment="0" applyProtection="0"/>
    <xf numFmtId="0" fontId="1" fillId="76" borderId="0" applyNumberFormat="0" applyBorder="0" applyAlignment="0" applyProtection="0"/>
    <xf numFmtId="0" fontId="1" fillId="76" borderId="0" applyNumberFormat="0" applyBorder="0" applyAlignment="0" applyProtection="0"/>
    <xf numFmtId="0" fontId="1" fillId="76" borderId="0" applyNumberFormat="0" applyBorder="0" applyAlignment="0" applyProtection="0"/>
    <xf numFmtId="0" fontId="1" fillId="76" borderId="0" applyNumberFormat="0" applyBorder="0" applyAlignment="0" applyProtection="0"/>
    <xf numFmtId="0" fontId="1" fillId="76" borderId="0" applyNumberFormat="0" applyBorder="0" applyAlignment="0" applyProtection="0"/>
    <xf numFmtId="0" fontId="1" fillId="76" borderId="0" applyNumberFormat="0" applyBorder="0" applyAlignment="0" applyProtection="0"/>
    <xf numFmtId="0" fontId="1" fillId="76" borderId="0" applyNumberFormat="0" applyBorder="0" applyAlignment="0" applyProtection="0"/>
    <xf numFmtId="0" fontId="1" fillId="76" borderId="0" applyNumberFormat="0" applyBorder="0" applyAlignment="0" applyProtection="0"/>
    <xf numFmtId="0" fontId="1" fillId="76" borderId="0" applyNumberFormat="0" applyBorder="0" applyAlignment="0" applyProtection="0"/>
    <xf numFmtId="0" fontId="1" fillId="76" borderId="0" applyNumberFormat="0" applyBorder="0" applyAlignment="0" applyProtection="0"/>
    <xf numFmtId="0" fontId="1" fillId="76" borderId="0" applyNumberFormat="0" applyBorder="0" applyAlignment="0" applyProtection="0"/>
    <xf numFmtId="0" fontId="1" fillId="76" borderId="0" applyNumberFormat="0" applyBorder="0" applyAlignment="0" applyProtection="0"/>
    <xf numFmtId="0" fontId="1" fillId="76" borderId="0" applyNumberFormat="0" applyBorder="0" applyAlignment="0" applyProtection="0"/>
    <xf numFmtId="0" fontId="1" fillId="76" borderId="0" applyNumberFormat="0" applyBorder="0" applyAlignment="0" applyProtection="0"/>
    <xf numFmtId="0" fontId="1" fillId="76" borderId="0" applyNumberFormat="0" applyBorder="0" applyAlignment="0" applyProtection="0"/>
    <xf numFmtId="0" fontId="1" fillId="76" borderId="0" applyNumberFormat="0" applyBorder="0" applyAlignment="0" applyProtection="0"/>
    <xf numFmtId="0" fontId="1" fillId="76" borderId="0" applyNumberFormat="0" applyBorder="0" applyAlignment="0" applyProtection="0"/>
    <xf numFmtId="0" fontId="1" fillId="76" borderId="0" applyNumberFormat="0" applyBorder="0" applyAlignment="0" applyProtection="0"/>
    <xf numFmtId="0" fontId="1" fillId="76" borderId="0" applyNumberFormat="0" applyBorder="0" applyAlignment="0" applyProtection="0"/>
    <xf numFmtId="0" fontId="1" fillId="76" borderId="0" applyNumberFormat="0" applyBorder="0" applyAlignment="0" applyProtection="0"/>
    <xf numFmtId="0" fontId="1" fillId="76" borderId="0" applyNumberFormat="0" applyBorder="0" applyAlignment="0" applyProtection="0"/>
    <xf numFmtId="0" fontId="1" fillId="76" borderId="0" applyNumberFormat="0" applyBorder="0" applyAlignment="0" applyProtection="0"/>
    <xf numFmtId="0" fontId="1" fillId="7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5" borderId="0" applyNumberFormat="0" applyBorder="0" applyAlignment="0" applyProtection="0"/>
    <xf numFmtId="0" fontId="1" fillId="65" borderId="0" applyNumberFormat="0" applyBorder="0" applyAlignment="0" applyProtection="0"/>
    <xf numFmtId="0" fontId="1" fillId="65" borderId="0" applyNumberFormat="0" applyBorder="0" applyAlignment="0" applyProtection="0"/>
    <xf numFmtId="0" fontId="1" fillId="65" borderId="0" applyNumberFormat="0" applyBorder="0" applyAlignment="0" applyProtection="0"/>
    <xf numFmtId="0" fontId="1" fillId="65" borderId="0" applyNumberFormat="0" applyBorder="0" applyAlignment="0" applyProtection="0"/>
    <xf numFmtId="0" fontId="1" fillId="65" borderId="0" applyNumberFormat="0" applyBorder="0" applyAlignment="0" applyProtection="0"/>
    <xf numFmtId="0" fontId="1" fillId="65" borderId="0" applyNumberFormat="0" applyBorder="0" applyAlignment="0" applyProtection="0"/>
    <xf numFmtId="0" fontId="1" fillId="65" borderId="0" applyNumberFormat="0" applyBorder="0" applyAlignment="0" applyProtection="0"/>
    <xf numFmtId="0" fontId="1" fillId="65" borderId="0" applyNumberFormat="0" applyBorder="0" applyAlignment="0" applyProtection="0"/>
    <xf numFmtId="0" fontId="1" fillId="65" borderId="0" applyNumberFormat="0" applyBorder="0" applyAlignment="0" applyProtection="0"/>
    <xf numFmtId="0" fontId="1" fillId="65" borderId="0" applyNumberFormat="0" applyBorder="0" applyAlignment="0" applyProtection="0"/>
    <xf numFmtId="0" fontId="1" fillId="65" borderId="0" applyNumberFormat="0" applyBorder="0" applyAlignment="0" applyProtection="0"/>
    <xf numFmtId="0" fontId="1" fillId="65" borderId="0" applyNumberFormat="0" applyBorder="0" applyAlignment="0" applyProtection="0"/>
    <xf numFmtId="0" fontId="1" fillId="65" borderId="0" applyNumberFormat="0" applyBorder="0" applyAlignment="0" applyProtection="0"/>
    <xf numFmtId="0" fontId="1" fillId="65" borderId="0" applyNumberFormat="0" applyBorder="0" applyAlignment="0" applyProtection="0"/>
    <xf numFmtId="0" fontId="1" fillId="65" borderId="0" applyNumberFormat="0" applyBorder="0" applyAlignment="0" applyProtection="0"/>
    <xf numFmtId="0" fontId="1" fillId="65" borderId="0" applyNumberFormat="0" applyBorder="0" applyAlignment="0" applyProtection="0"/>
    <xf numFmtId="0" fontId="1" fillId="65" borderId="0" applyNumberFormat="0" applyBorder="0" applyAlignment="0" applyProtection="0"/>
    <xf numFmtId="0" fontId="1" fillId="65" borderId="0" applyNumberFormat="0" applyBorder="0" applyAlignment="0" applyProtection="0"/>
    <xf numFmtId="0" fontId="1" fillId="65" borderId="0" applyNumberFormat="0" applyBorder="0" applyAlignment="0" applyProtection="0"/>
    <xf numFmtId="0" fontId="1" fillId="65" borderId="0" applyNumberFormat="0" applyBorder="0" applyAlignment="0" applyProtection="0"/>
    <xf numFmtId="0" fontId="1" fillId="65" borderId="0" applyNumberFormat="0" applyBorder="0" applyAlignment="0" applyProtection="0"/>
    <xf numFmtId="0" fontId="1" fillId="65" borderId="0" applyNumberFormat="0" applyBorder="0" applyAlignment="0" applyProtection="0"/>
    <xf numFmtId="0" fontId="1" fillId="65" borderId="0" applyNumberFormat="0" applyBorder="0" applyAlignment="0" applyProtection="0"/>
    <xf numFmtId="0" fontId="1" fillId="65" borderId="0" applyNumberFormat="0" applyBorder="0" applyAlignment="0" applyProtection="0"/>
    <xf numFmtId="0" fontId="1" fillId="65" borderId="0" applyNumberFormat="0" applyBorder="0" applyAlignment="0" applyProtection="0"/>
    <xf numFmtId="0" fontId="1" fillId="65" borderId="0" applyNumberFormat="0" applyBorder="0" applyAlignment="0" applyProtection="0"/>
    <xf numFmtId="0" fontId="1" fillId="65" borderId="0" applyNumberFormat="0" applyBorder="0" applyAlignment="0" applyProtection="0"/>
    <xf numFmtId="0" fontId="1" fillId="65" borderId="0" applyNumberFormat="0" applyBorder="0" applyAlignment="0" applyProtection="0"/>
    <xf numFmtId="0" fontId="1" fillId="65" borderId="0" applyNumberFormat="0" applyBorder="0" applyAlignment="0" applyProtection="0"/>
    <xf numFmtId="0" fontId="1" fillId="65" borderId="0" applyNumberFormat="0" applyBorder="0" applyAlignment="0" applyProtection="0"/>
    <xf numFmtId="0" fontId="1" fillId="65" borderId="0" applyNumberFormat="0" applyBorder="0" applyAlignment="0" applyProtection="0"/>
    <xf numFmtId="0" fontId="1" fillId="65" borderId="0" applyNumberFormat="0" applyBorder="0" applyAlignment="0" applyProtection="0"/>
    <xf numFmtId="0" fontId="1" fillId="65" borderId="0" applyNumberFormat="0" applyBorder="0" applyAlignment="0" applyProtection="0"/>
    <xf numFmtId="0" fontId="1" fillId="65" borderId="0" applyNumberFormat="0" applyBorder="0" applyAlignment="0" applyProtection="0"/>
    <xf numFmtId="0" fontId="1" fillId="65" borderId="0" applyNumberFormat="0" applyBorder="0" applyAlignment="0" applyProtection="0"/>
    <xf numFmtId="0" fontId="1" fillId="65" borderId="0" applyNumberFormat="0" applyBorder="0" applyAlignment="0" applyProtection="0"/>
    <xf numFmtId="0" fontId="1" fillId="65" borderId="0" applyNumberFormat="0" applyBorder="0" applyAlignment="0" applyProtection="0"/>
    <xf numFmtId="0" fontId="1" fillId="65" borderId="0" applyNumberFormat="0" applyBorder="0" applyAlignment="0" applyProtection="0"/>
    <xf numFmtId="0" fontId="1" fillId="65" borderId="0" applyNumberFormat="0" applyBorder="0" applyAlignment="0" applyProtection="0"/>
    <xf numFmtId="0" fontId="1" fillId="65" borderId="0" applyNumberFormat="0" applyBorder="0" applyAlignment="0" applyProtection="0"/>
    <xf numFmtId="0" fontId="1" fillId="65" borderId="0" applyNumberFormat="0" applyBorder="0" applyAlignment="0" applyProtection="0"/>
    <xf numFmtId="0" fontId="1" fillId="65" borderId="0" applyNumberFormat="0" applyBorder="0" applyAlignment="0" applyProtection="0"/>
    <xf numFmtId="0" fontId="1" fillId="65" borderId="0" applyNumberFormat="0" applyBorder="0" applyAlignment="0" applyProtection="0"/>
    <xf numFmtId="0" fontId="1" fillId="65" borderId="0" applyNumberFormat="0" applyBorder="0" applyAlignment="0" applyProtection="0"/>
    <xf numFmtId="0" fontId="1" fillId="65" borderId="0" applyNumberFormat="0" applyBorder="0" applyAlignment="0" applyProtection="0"/>
    <xf numFmtId="0" fontId="1" fillId="65" borderId="0" applyNumberFormat="0" applyBorder="0" applyAlignment="0" applyProtection="0"/>
    <xf numFmtId="0" fontId="1" fillId="65" borderId="0" applyNumberFormat="0" applyBorder="0" applyAlignment="0" applyProtection="0"/>
    <xf numFmtId="0" fontId="1" fillId="65" borderId="0" applyNumberFormat="0" applyBorder="0" applyAlignment="0" applyProtection="0"/>
    <xf numFmtId="0" fontId="1" fillId="65" borderId="0" applyNumberFormat="0" applyBorder="0" applyAlignment="0" applyProtection="0"/>
    <xf numFmtId="0" fontId="1" fillId="65" borderId="0" applyNumberFormat="0" applyBorder="0" applyAlignment="0" applyProtection="0"/>
    <xf numFmtId="0" fontId="1" fillId="65" borderId="0" applyNumberFormat="0" applyBorder="0" applyAlignment="0" applyProtection="0"/>
    <xf numFmtId="0" fontId="1" fillId="65" borderId="0" applyNumberFormat="0" applyBorder="0" applyAlignment="0" applyProtection="0"/>
    <xf numFmtId="0" fontId="1" fillId="65" borderId="0" applyNumberFormat="0" applyBorder="0" applyAlignment="0" applyProtection="0"/>
    <xf numFmtId="0" fontId="1" fillId="65" borderId="0" applyNumberFormat="0" applyBorder="0" applyAlignment="0" applyProtection="0"/>
    <xf numFmtId="0" fontId="1" fillId="65" borderId="0" applyNumberFormat="0" applyBorder="0" applyAlignment="0" applyProtection="0"/>
    <xf numFmtId="0" fontId="1" fillId="65" borderId="0" applyNumberFormat="0" applyBorder="0" applyAlignment="0" applyProtection="0"/>
    <xf numFmtId="0" fontId="1" fillId="65" borderId="0" applyNumberFormat="0" applyBorder="0" applyAlignment="0" applyProtection="0"/>
    <xf numFmtId="0" fontId="1" fillId="65" borderId="0" applyNumberFormat="0" applyBorder="0" applyAlignment="0" applyProtection="0"/>
    <xf numFmtId="0" fontId="1" fillId="65" borderId="0" applyNumberFormat="0" applyBorder="0" applyAlignment="0" applyProtection="0"/>
    <xf numFmtId="0" fontId="1" fillId="65" borderId="0" applyNumberFormat="0" applyBorder="0" applyAlignment="0" applyProtection="0"/>
    <xf numFmtId="0" fontId="1" fillId="65" borderId="0" applyNumberFormat="0" applyBorder="0" applyAlignment="0" applyProtection="0"/>
    <xf numFmtId="0" fontId="1" fillId="65" borderId="0" applyNumberFormat="0" applyBorder="0" applyAlignment="0" applyProtection="0"/>
    <xf numFmtId="0" fontId="1" fillId="65" borderId="0" applyNumberFormat="0" applyBorder="0" applyAlignment="0" applyProtection="0"/>
    <xf numFmtId="0" fontId="1" fillId="65" borderId="0" applyNumberFormat="0" applyBorder="0" applyAlignment="0" applyProtection="0"/>
    <xf numFmtId="0" fontId="1" fillId="65" borderId="0" applyNumberFormat="0" applyBorder="0" applyAlignment="0" applyProtection="0"/>
    <xf numFmtId="0" fontId="1" fillId="65" borderId="0" applyNumberFormat="0" applyBorder="0" applyAlignment="0" applyProtection="0"/>
    <xf numFmtId="0" fontId="1" fillId="65" borderId="0" applyNumberFormat="0" applyBorder="0" applyAlignment="0" applyProtection="0"/>
    <xf numFmtId="0" fontId="1" fillId="65" borderId="0" applyNumberFormat="0" applyBorder="0" applyAlignment="0" applyProtection="0"/>
    <xf numFmtId="0" fontId="1" fillId="65" borderId="0" applyNumberFormat="0" applyBorder="0" applyAlignment="0" applyProtection="0"/>
    <xf numFmtId="0" fontId="1" fillId="65" borderId="0" applyNumberFormat="0" applyBorder="0" applyAlignment="0" applyProtection="0"/>
    <xf numFmtId="0" fontId="1" fillId="65" borderId="0" applyNumberFormat="0" applyBorder="0" applyAlignment="0" applyProtection="0"/>
    <xf numFmtId="0" fontId="1" fillId="65" borderId="0" applyNumberFormat="0" applyBorder="0" applyAlignment="0" applyProtection="0"/>
    <xf numFmtId="0" fontId="1" fillId="65" borderId="0" applyNumberFormat="0" applyBorder="0" applyAlignment="0" applyProtection="0"/>
    <xf numFmtId="0" fontId="1" fillId="65" borderId="0" applyNumberFormat="0" applyBorder="0" applyAlignment="0" applyProtection="0"/>
    <xf numFmtId="0" fontId="1" fillId="65" borderId="0" applyNumberFormat="0" applyBorder="0" applyAlignment="0" applyProtection="0"/>
    <xf numFmtId="0" fontId="1" fillId="65" borderId="0" applyNumberFormat="0" applyBorder="0" applyAlignment="0" applyProtection="0"/>
    <xf numFmtId="0" fontId="1" fillId="65" borderId="0" applyNumberFormat="0" applyBorder="0" applyAlignment="0" applyProtection="0"/>
    <xf numFmtId="0" fontId="1" fillId="65" borderId="0" applyNumberFormat="0" applyBorder="0" applyAlignment="0" applyProtection="0"/>
    <xf numFmtId="0" fontId="1" fillId="65" borderId="0" applyNumberFormat="0" applyBorder="0" applyAlignment="0" applyProtection="0"/>
    <xf numFmtId="0" fontId="1" fillId="65" borderId="0" applyNumberFormat="0" applyBorder="0" applyAlignment="0" applyProtection="0"/>
    <xf numFmtId="0" fontId="1" fillId="65" borderId="0" applyNumberFormat="0" applyBorder="0" applyAlignment="0" applyProtection="0"/>
    <xf numFmtId="0" fontId="1" fillId="65" borderId="0" applyNumberFormat="0" applyBorder="0" applyAlignment="0" applyProtection="0"/>
    <xf numFmtId="0" fontId="1" fillId="65" borderId="0" applyNumberFormat="0" applyBorder="0" applyAlignment="0" applyProtection="0"/>
    <xf numFmtId="0" fontId="1" fillId="65" borderId="0" applyNumberFormat="0" applyBorder="0" applyAlignment="0" applyProtection="0"/>
    <xf numFmtId="0" fontId="1" fillId="65" borderId="0" applyNumberFormat="0" applyBorder="0" applyAlignment="0" applyProtection="0"/>
    <xf numFmtId="0" fontId="1" fillId="65" borderId="0" applyNumberFormat="0" applyBorder="0" applyAlignment="0" applyProtection="0"/>
    <xf numFmtId="0" fontId="1" fillId="65" borderId="0" applyNumberFormat="0" applyBorder="0" applyAlignment="0" applyProtection="0"/>
    <xf numFmtId="0" fontId="1" fillId="65" borderId="0" applyNumberFormat="0" applyBorder="0" applyAlignment="0" applyProtection="0"/>
    <xf numFmtId="0" fontId="1" fillId="65" borderId="0" applyNumberFormat="0" applyBorder="0" applyAlignment="0" applyProtection="0"/>
    <xf numFmtId="0" fontId="1" fillId="65" borderId="0" applyNumberFormat="0" applyBorder="0" applyAlignment="0" applyProtection="0"/>
    <xf numFmtId="0" fontId="1" fillId="65" borderId="0" applyNumberFormat="0" applyBorder="0" applyAlignment="0" applyProtection="0"/>
    <xf numFmtId="0" fontId="1" fillId="65" borderId="0" applyNumberFormat="0" applyBorder="0" applyAlignment="0" applyProtection="0"/>
    <xf numFmtId="0" fontId="1" fillId="65" borderId="0" applyNumberFormat="0" applyBorder="0" applyAlignment="0" applyProtection="0"/>
    <xf numFmtId="0" fontId="1" fillId="65" borderId="0" applyNumberFormat="0" applyBorder="0" applyAlignment="0" applyProtection="0"/>
    <xf numFmtId="0" fontId="1" fillId="65" borderId="0" applyNumberFormat="0" applyBorder="0" applyAlignment="0" applyProtection="0"/>
    <xf numFmtId="0" fontId="1" fillId="65" borderId="0" applyNumberFormat="0" applyBorder="0" applyAlignment="0" applyProtection="0"/>
    <xf numFmtId="0" fontId="1" fillId="65" borderId="0" applyNumberFormat="0" applyBorder="0" applyAlignment="0" applyProtection="0"/>
    <xf numFmtId="0" fontId="1" fillId="65" borderId="0" applyNumberFormat="0" applyBorder="0" applyAlignment="0" applyProtection="0"/>
    <xf numFmtId="0" fontId="1" fillId="65" borderId="0" applyNumberFormat="0" applyBorder="0" applyAlignment="0" applyProtection="0"/>
    <xf numFmtId="0" fontId="1" fillId="65" borderId="0" applyNumberFormat="0" applyBorder="0" applyAlignment="0" applyProtection="0"/>
    <xf numFmtId="0" fontId="1" fillId="65" borderId="0" applyNumberFormat="0" applyBorder="0" applyAlignment="0" applyProtection="0"/>
    <xf numFmtId="0" fontId="1" fillId="65" borderId="0" applyNumberFormat="0" applyBorder="0" applyAlignment="0" applyProtection="0"/>
    <xf numFmtId="0" fontId="1" fillId="65" borderId="0" applyNumberFormat="0" applyBorder="0" applyAlignment="0" applyProtection="0"/>
    <xf numFmtId="0" fontId="1" fillId="65" borderId="0" applyNumberFormat="0" applyBorder="0" applyAlignment="0" applyProtection="0"/>
    <xf numFmtId="0" fontId="1" fillId="65" borderId="0" applyNumberFormat="0" applyBorder="0" applyAlignment="0" applyProtection="0"/>
    <xf numFmtId="0" fontId="1" fillId="65" borderId="0" applyNumberFormat="0" applyBorder="0" applyAlignment="0" applyProtection="0"/>
    <xf numFmtId="0" fontId="1" fillId="65" borderId="0" applyNumberFormat="0" applyBorder="0" applyAlignment="0" applyProtection="0"/>
    <xf numFmtId="0" fontId="1" fillId="65" borderId="0" applyNumberFormat="0" applyBorder="0" applyAlignment="0" applyProtection="0"/>
    <xf numFmtId="0" fontId="1" fillId="65" borderId="0" applyNumberFormat="0" applyBorder="0" applyAlignment="0" applyProtection="0"/>
    <xf numFmtId="0" fontId="1" fillId="65" borderId="0" applyNumberFormat="0" applyBorder="0" applyAlignment="0" applyProtection="0"/>
    <xf numFmtId="0" fontId="1" fillId="65" borderId="0" applyNumberFormat="0" applyBorder="0" applyAlignment="0" applyProtection="0"/>
    <xf numFmtId="0" fontId="1" fillId="65" borderId="0" applyNumberFormat="0" applyBorder="0" applyAlignment="0" applyProtection="0"/>
    <xf numFmtId="0" fontId="1" fillId="65" borderId="0" applyNumberFormat="0" applyBorder="0" applyAlignment="0" applyProtection="0"/>
    <xf numFmtId="0" fontId="1" fillId="65" borderId="0" applyNumberFormat="0" applyBorder="0" applyAlignment="0" applyProtection="0"/>
    <xf numFmtId="0" fontId="1" fillId="65" borderId="0" applyNumberFormat="0" applyBorder="0" applyAlignment="0" applyProtection="0"/>
    <xf numFmtId="0" fontId="1" fillId="65" borderId="0" applyNumberFormat="0" applyBorder="0" applyAlignment="0" applyProtection="0"/>
    <xf numFmtId="0" fontId="1" fillId="65" borderId="0" applyNumberFormat="0" applyBorder="0" applyAlignment="0" applyProtection="0"/>
    <xf numFmtId="0" fontId="1" fillId="65" borderId="0" applyNumberFormat="0" applyBorder="0" applyAlignment="0" applyProtection="0"/>
    <xf numFmtId="0" fontId="1" fillId="65" borderId="0" applyNumberFormat="0" applyBorder="0" applyAlignment="0" applyProtection="0"/>
    <xf numFmtId="0" fontId="1" fillId="65" borderId="0" applyNumberFormat="0" applyBorder="0" applyAlignment="0" applyProtection="0"/>
    <xf numFmtId="0" fontId="1" fillId="65" borderId="0" applyNumberFormat="0" applyBorder="0" applyAlignment="0" applyProtection="0"/>
    <xf numFmtId="0" fontId="1" fillId="65" borderId="0" applyNumberFormat="0" applyBorder="0" applyAlignment="0" applyProtection="0"/>
    <xf numFmtId="0" fontId="1" fillId="65" borderId="0" applyNumberFormat="0" applyBorder="0" applyAlignment="0" applyProtection="0"/>
    <xf numFmtId="0" fontId="1" fillId="65" borderId="0" applyNumberFormat="0" applyBorder="0" applyAlignment="0" applyProtection="0"/>
    <xf numFmtId="0" fontId="1" fillId="65" borderId="0" applyNumberFormat="0" applyBorder="0" applyAlignment="0" applyProtection="0"/>
    <xf numFmtId="0" fontId="1" fillId="65" borderId="0" applyNumberFormat="0" applyBorder="0" applyAlignment="0" applyProtection="0"/>
    <xf numFmtId="0" fontId="1" fillId="65" borderId="0" applyNumberFormat="0" applyBorder="0" applyAlignment="0" applyProtection="0"/>
    <xf numFmtId="0" fontId="1" fillId="65" borderId="0" applyNumberFormat="0" applyBorder="0" applyAlignment="0" applyProtection="0"/>
    <xf numFmtId="0" fontId="1" fillId="65" borderId="0" applyNumberFormat="0" applyBorder="0" applyAlignment="0" applyProtection="0"/>
    <xf numFmtId="0" fontId="1" fillId="65" borderId="0" applyNumberFormat="0" applyBorder="0" applyAlignment="0" applyProtection="0"/>
    <xf numFmtId="0" fontId="1" fillId="65" borderId="0" applyNumberFormat="0" applyBorder="0" applyAlignment="0" applyProtection="0"/>
    <xf numFmtId="0" fontId="1" fillId="65" borderId="0" applyNumberFormat="0" applyBorder="0" applyAlignment="0" applyProtection="0"/>
    <xf numFmtId="0" fontId="1" fillId="65" borderId="0" applyNumberFormat="0" applyBorder="0" applyAlignment="0" applyProtection="0"/>
    <xf numFmtId="0" fontId="1" fillId="65" borderId="0" applyNumberFormat="0" applyBorder="0" applyAlignment="0" applyProtection="0"/>
    <xf numFmtId="0" fontId="1" fillId="65" borderId="0" applyNumberFormat="0" applyBorder="0" applyAlignment="0" applyProtection="0"/>
    <xf numFmtId="0" fontId="1" fillId="65" borderId="0" applyNumberFormat="0" applyBorder="0" applyAlignment="0" applyProtection="0"/>
    <xf numFmtId="0" fontId="1" fillId="65" borderId="0" applyNumberFormat="0" applyBorder="0" applyAlignment="0" applyProtection="0"/>
    <xf numFmtId="0" fontId="1" fillId="65" borderId="0" applyNumberFormat="0" applyBorder="0" applyAlignment="0" applyProtection="0"/>
    <xf numFmtId="0" fontId="1" fillId="65" borderId="0" applyNumberFormat="0" applyBorder="0" applyAlignment="0" applyProtection="0"/>
    <xf numFmtId="0" fontId="1" fillId="65" borderId="0" applyNumberFormat="0" applyBorder="0" applyAlignment="0" applyProtection="0"/>
    <xf numFmtId="0" fontId="1" fillId="65" borderId="0" applyNumberFormat="0" applyBorder="0" applyAlignment="0" applyProtection="0"/>
    <xf numFmtId="0" fontId="1" fillId="65" borderId="0" applyNumberFormat="0" applyBorder="0" applyAlignment="0" applyProtection="0"/>
    <xf numFmtId="0" fontId="1" fillId="65" borderId="0" applyNumberFormat="0" applyBorder="0" applyAlignment="0" applyProtection="0"/>
    <xf numFmtId="0" fontId="1" fillId="65" borderId="0" applyNumberFormat="0" applyBorder="0" applyAlignment="0" applyProtection="0"/>
    <xf numFmtId="0" fontId="1" fillId="65" borderId="0" applyNumberFormat="0" applyBorder="0" applyAlignment="0" applyProtection="0"/>
    <xf numFmtId="0" fontId="1" fillId="65" borderId="0" applyNumberFormat="0" applyBorder="0" applyAlignment="0" applyProtection="0"/>
    <xf numFmtId="0" fontId="1" fillId="65" borderId="0" applyNumberFormat="0" applyBorder="0" applyAlignment="0" applyProtection="0"/>
    <xf numFmtId="0" fontId="1" fillId="65" borderId="0" applyNumberFormat="0" applyBorder="0" applyAlignment="0" applyProtection="0"/>
    <xf numFmtId="0" fontId="1" fillId="65" borderId="0" applyNumberFormat="0" applyBorder="0" applyAlignment="0" applyProtection="0"/>
    <xf numFmtId="0" fontId="1" fillId="65" borderId="0" applyNumberFormat="0" applyBorder="0" applyAlignment="0" applyProtection="0"/>
    <xf numFmtId="0" fontId="1" fillId="65" borderId="0" applyNumberFormat="0" applyBorder="0" applyAlignment="0" applyProtection="0"/>
    <xf numFmtId="0" fontId="1" fillId="65" borderId="0" applyNumberFormat="0" applyBorder="0" applyAlignment="0" applyProtection="0"/>
    <xf numFmtId="0" fontId="1" fillId="65" borderId="0" applyNumberFormat="0" applyBorder="0" applyAlignment="0" applyProtection="0"/>
    <xf numFmtId="0" fontId="1" fillId="65" borderId="0" applyNumberFormat="0" applyBorder="0" applyAlignment="0" applyProtection="0"/>
    <xf numFmtId="0" fontId="1" fillId="65" borderId="0" applyNumberFormat="0" applyBorder="0" applyAlignment="0" applyProtection="0"/>
    <xf numFmtId="0" fontId="1" fillId="65" borderId="0" applyNumberFormat="0" applyBorder="0" applyAlignment="0" applyProtection="0"/>
    <xf numFmtId="0" fontId="1" fillId="65" borderId="0" applyNumberFormat="0" applyBorder="0" applyAlignment="0" applyProtection="0"/>
    <xf numFmtId="0" fontId="1" fillId="65" borderId="0" applyNumberFormat="0" applyBorder="0" applyAlignment="0" applyProtection="0"/>
    <xf numFmtId="0" fontId="1" fillId="65" borderId="0" applyNumberFormat="0" applyBorder="0" applyAlignment="0" applyProtection="0"/>
    <xf numFmtId="0" fontId="1" fillId="65" borderId="0" applyNumberFormat="0" applyBorder="0" applyAlignment="0" applyProtection="0"/>
    <xf numFmtId="0" fontId="1" fillId="65"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3" borderId="0" applyNumberFormat="0" applyBorder="0" applyAlignment="0" applyProtection="0"/>
    <xf numFmtId="0" fontId="1" fillId="3" borderId="0" applyNumberFormat="0" applyBorder="0" applyAlignment="0" applyProtection="0"/>
    <xf numFmtId="0" fontId="1" fillId="3" borderId="0" applyNumberFormat="0" applyBorder="0" applyAlignment="0" applyProtection="0"/>
    <xf numFmtId="0" fontId="1" fillId="3" borderId="0" applyNumberFormat="0" applyBorder="0" applyAlignment="0" applyProtection="0"/>
    <xf numFmtId="0" fontId="1" fillId="3" borderId="0" applyNumberFormat="0" applyBorder="0" applyAlignment="0" applyProtection="0"/>
    <xf numFmtId="0" fontId="1" fillId="3" borderId="0" applyNumberFormat="0" applyBorder="0" applyAlignment="0" applyProtection="0"/>
    <xf numFmtId="0" fontId="1" fillId="3" borderId="0" applyNumberFormat="0" applyBorder="0" applyAlignment="0" applyProtection="0"/>
    <xf numFmtId="0" fontId="1" fillId="3" borderId="0" applyNumberFormat="0" applyBorder="0" applyAlignment="0" applyProtection="0"/>
    <xf numFmtId="0" fontId="1" fillId="3" borderId="0" applyNumberFormat="0" applyBorder="0" applyAlignment="0" applyProtection="0"/>
    <xf numFmtId="0" fontId="1" fillId="3" borderId="0" applyNumberFormat="0" applyBorder="0" applyAlignment="0" applyProtection="0"/>
    <xf numFmtId="0" fontId="1" fillId="3" borderId="0" applyNumberFormat="0" applyBorder="0" applyAlignment="0" applyProtection="0"/>
    <xf numFmtId="0" fontId="1" fillId="3" borderId="0" applyNumberFormat="0" applyBorder="0" applyAlignment="0" applyProtection="0"/>
    <xf numFmtId="0" fontId="1" fillId="3" borderId="0" applyNumberFormat="0" applyBorder="0" applyAlignment="0" applyProtection="0"/>
    <xf numFmtId="0" fontId="1" fillId="3" borderId="0" applyNumberFormat="0" applyBorder="0" applyAlignment="0" applyProtection="0"/>
    <xf numFmtId="0" fontId="1" fillId="3" borderId="0" applyNumberFormat="0" applyBorder="0" applyAlignment="0" applyProtection="0"/>
    <xf numFmtId="0" fontId="1" fillId="3" borderId="0" applyNumberFormat="0" applyBorder="0" applyAlignment="0" applyProtection="0"/>
    <xf numFmtId="0" fontId="1" fillId="3" borderId="0" applyNumberFormat="0" applyBorder="0" applyAlignment="0" applyProtection="0"/>
    <xf numFmtId="0" fontId="1" fillId="3" borderId="0" applyNumberFormat="0" applyBorder="0" applyAlignment="0" applyProtection="0"/>
    <xf numFmtId="0" fontId="1" fillId="3" borderId="0" applyNumberFormat="0" applyBorder="0" applyAlignment="0" applyProtection="0"/>
    <xf numFmtId="0" fontId="1" fillId="3" borderId="0" applyNumberFormat="0" applyBorder="0" applyAlignment="0" applyProtection="0"/>
    <xf numFmtId="0" fontId="1" fillId="3" borderId="0" applyNumberFormat="0" applyBorder="0" applyAlignment="0" applyProtection="0"/>
    <xf numFmtId="0" fontId="1" fillId="3" borderId="0" applyNumberFormat="0" applyBorder="0" applyAlignment="0" applyProtection="0"/>
    <xf numFmtId="0" fontId="1" fillId="3" borderId="0" applyNumberFormat="0" applyBorder="0" applyAlignment="0" applyProtection="0"/>
    <xf numFmtId="0" fontId="1" fillId="3" borderId="0" applyNumberFormat="0" applyBorder="0" applyAlignment="0" applyProtection="0"/>
    <xf numFmtId="0" fontId="1" fillId="3" borderId="0" applyNumberFormat="0" applyBorder="0" applyAlignment="0" applyProtection="0"/>
    <xf numFmtId="0" fontId="1" fillId="3" borderId="0" applyNumberFormat="0" applyBorder="0" applyAlignment="0" applyProtection="0"/>
    <xf numFmtId="0" fontId="1" fillId="3" borderId="0" applyNumberFormat="0" applyBorder="0" applyAlignment="0" applyProtection="0"/>
    <xf numFmtId="0" fontId="1" fillId="3" borderId="0" applyNumberFormat="0" applyBorder="0" applyAlignment="0" applyProtection="0"/>
    <xf numFmtId="0" fontId="1" fillId="3" borderId="0" applyNumberFormat="0" applyBorder="0" applyAlignment="0" applyProtection="0"/>
    <xf numFmtId="0" fontId="1" fillId="3" borderId="0" applyNumberFormat="0" applyBorder="0" applyAlignment="0" applyProtection="0"/>
    <xf numFmtId="0" fontId="1" fillId="3" borderId="0" applyNumberFormat="0" applyBorder="0" applyAlignment="0" applyProtection="0"/>
    <xf numFmtId="0" fontId="1" fillId="3" borderId="0" applyNumberFormat="0" applyBorder="0" applyAlignment="0" applyProtection="0"/>
    <xf numFmtId="0" fontId="1" fillId="3" borderId="0" applyNumberFormat="0" applyBorder="0" applyAlignment="0" applyProtection="0"/>
    <xf numFmtId="0" fontId="1" fillId="3" borderId="0" applyNumberFormat="0" applyBorder="0" applyAlignment="0" applyProtection="0"/>
    <xf numFmtId="0" fontId="1" fillId="3" borderId="0" applyNumberFormat="0" applyBorder="0" applyAlignment="0" applyProtection="0"/>
    <xf numFmtId="0" fontId="1" fillId="3" borderId="0" applyNumberFormat="0" applyBorder="0" applyAlignment="0" applyProtection="0"/>
    <xf numFmtId="0" fontId="1" fillId="3" borderId="0" applyNumberFormat="0" applyBorder="0" applyAlignment="0" applyProtection="0"/>
    <xf numFmtId="0" fontId="1" fillId="3" borderId="0" applyNumberFormat="0" applyBorder="0" applyAlignment="0" applyProtection="0"/>
    <xf numFmtId="0" fontId="1" fillId="3" borderId="0" applyNumberFormat="0" applyBorder="0" applyAlignment="0" applyProtection="0"/>
    <xf numFmtId="0" fontId="1" fillId="3" borderId="0" applyNumberFormat="0" applyBorder="0" applyAlignment="0" applyProtection="0"/>
    <xf numFmtId="0" fontId="1" fillId="3" borderId="0" applyNumberFormat="0" applyBorder="0" applyAlignment="0" applyProtection="0"/>
    <xf numFmtId="0" fontId="1" fillId="3" borderId="0" applyNumberFormat="0" applyBorder="0" applyAlignment="0" applyProtection="0"/>
    <xf numFmtId="0" fontId="1" fillId="3" borderId="0" applyNumberFormat="0" applyBorder="0" applyAlignment="0" applyProtection="0"/>
    <xf numFmtId="0" fontId="1" fillId="3" borderId="0" applyNumberFormat="0" applyBorder="0" applyAlignment="0" applyProtection="0"/>
    <xf numFmtId="0" fontId="1" fillId="3" borderId="0" applyNumberFormat="0" applyBorder="0" applyAlignment="0" applyProtection="0"/>
    <xf numFmtId="0" fontId="1" fillId="3" borderId="0" applyNumberFormat="0" applyBorder="0" applyAlignment="0" applyProtection="0"/>
    <xf numFmtId="0" fontId="1" fillId="3" borderId="0" applyNumberFormat="0" applyBorder="0" applyAlignment="0" applyProtection="0"/>
    <xf numFmtId="0" fontId="1" fillId="3" borderId="0" applyNumberFormat="0" applyBorder="0" applyAlignment="0" applyProtection="0"/>
    <xf numFmtId="0" fontId="1" fillId="3" borderId="0" applyNumberFormat="0" applyBorder="0" applyAlignment="0" applyProtection="0"/>
    <xf numFmtId="0" fontId="1" fillId="3" borderId="0" applyNumberFormat="0" applyBorder="0" applyAlignment="0" applyProtection="0"/>
    <xf numFmtId="0" fontId="1" fillId="3" borderId="0" applyNumberFormat="0" applyBorder="0" applyAlignment="0" applyProtection="0"/>
    <xf numFmtId="0" fontId="1" fillId="3" borderId="0" applyNumberFormat="0" applyBorder="0" applyAlignment="0" applyProtection="0"/>
    <xf numFmtId="0" fontId="1" fillId="3" borderId="0" applyNumberFormat="0" applyBorder="0" applyAlignment="0" applyProtection="0"/>
    <xf numFmtId="0" fontId="1" fillId="3" borderId="0" applyNumberFormat="0" applyBorder="0" applyAlignment="0" applyProtection="0"/>
    <xf numFmtId="0" fontId="1" fillId="3" borderId="0" applyNumberFormat="0" applyBorder="0" applyAlignment="0" applyProtection="0"/>
    <xf numFmtId="0" fontId="1" fillId="3" borderId="0" applyNumberFormat="0" applyBorder="0" applyAlignment="0" applyProtection="0"/>
    <xf numFmtId="0" fontId="1" fillId="3" borderId="0" applyNumberFormat="0" applyBorder="0" applyAlignment="0" applyProtection="0"/>
    <xf numFmtId="0" fontId="1" fillId="3" borderId="0" applyNumberFormat="0" applyBorder="0" applyAlignment="0" applyProtection="0"/>
    <xf numFmtId="0" fontId="1" fillId="3" borderId="0" applyNumberFormat="0" applyBorder="0" applyAlignment="0" applyProtection="0"/>
    <xf numFmtId="0" fontId="1" fillId="3" borderId="0" applyNumberFormat="0" applyBorder="0" applyAlignment="0" applyProtection="0"/>
    <xf numFmtId="0" fontId="1" fillId="3" borderId="0" applyNumberFormat="0" applyBorder="0" applyAlignment="0" applyProtection="0"/>
    <xf numFmtId="0" fontId="1" fillId="3" borderId="0" applyNumberFormat="0" applyBorder="0" applyAlignment="0" applyProtection="0"/>
    <xf numFmtId="0" fontId="1" fillId="3" borderId="0" applyNumberFormat="0" applyBorder="0" applyAlignment="0" applyProtection="0"/>
    <xf numFmtId="0" fontId="1" fillId="3" borderId="0" applyNumberFormat="0" applyBorder="0" applyAlignment="0" applyProtection="0"/>
    <xf numFmtId="0" fontId="1" fillId="3" borderId="0" applyNumberFormat="0" applyBorder="0" applyAlignment="0" applyProtection="0"/>
    <xf numFmtId="0" fontId="1" fillId="3" borderId="0" applyNumberFormat="0" applyBorder="0" applyAlignment="0" applyProtection="0"/>
    <xf numFmtId="0" fontId="1" fillId="3" borderId="0" applyNumberFormat="0" applyBorder="0" applyAlignment="0" applyProtection="0"/>
    <xf numFmtId="0" fontId="1" fillId="3" borderId="0" applyNumberFormat="0" applyBorder="0" applyAlignment="0" applyProtection="0"/>
    <xf numFmtId="0" fontId="1" fillId="3" borderId="0" applyNumberFormat="0" applyBorder="0" applyAlignment="0" applyProtection="0"/>
    <xf numFmtId="0" fontId="1" fillId="3" borderId="0" applyNumberFormat="0" applyBorder="0" applyAlignment="0" applyProtection="0"/>
    <xf numFmtId="0" fontId="1" fillId="3" borderId="0" applyNumberFormat="0" applyBorder="0" applyAlignment="0" applyProtection="0"/>
    <xf numFmtId="0" fontId="1" fillId="3" borderId="0" applyNumberFormat="0" applyBorder="0" applyAlignment="0" applyProtection="0"/>
    <xf numFmtId="0" fontId="1" fillId="3" borderId="0" applyNumberFormat="0" applyBorder="0" applyAlignment="0" applyProtection="0"/>
    <xf numFmtId="0" fontId="1" fillId="3" borderId="0" applyNumberFormat="0" applyBorder="0" applyAlignment="0" applyProtection="0"/>
    <xf numFmtId="0" fontId="1" fillId="3" borderId="0" applyNumberFormat="0" applyBorder="0" applyAlignment="0" applyProtection="0"/>
    <xf numFmtId="0" fontId="1" fillId="3" borderId="0" applyNumberFormat="0" applyBorder="0" applyAlignment="0" applyProtection="0"/>
    <xf numFmtId="0" fontId="1" fillId="3" borderId="0" applyNumberFormat="0" applyBorder="0" applyAlignment="0" applyProtection="0"/>
    <xf numFmtId="0" fontId="1" fillId="3" borderId="0" applyNumberFormat="0" applyBorder="0" applyAlignment="0" applyProtection="0"/>
    <xf numFmtId="0" fontId="1" fillId="3" borderId="0" applyNumberFormat="0" applyBorder="0" applyAlignment="0" applyProtection="0"/>
    <xf numFmtId="0" fontId="1" fillId="3" borderId="0" applyNumberFormat="0" applyBorder="0" applyAlignment="0" applyProtection="0"/>
    <xf numFmtId="0" fontId="1" fillId="3" borderId="0" applyNumberFormat="0" applyBorder="0" applyAlignment="0" applyProtection="0"/>
    <xf numFmtId="0" fontId="1" fillId="3" borderId="0" applyNumberFormat="0" applyBorder="0" applyAlignment="0" applyProtection="0"/>
    <xf numFmtId="0" fontId="1" fillId="3" borderId="0" applyNumberFormat="0" applyBorder="0" applyAlignment="0" applyProtection="0"/>
    <xf numFmtId="0" fontId="1" fillId="3" borderId="0" applyNumberFormat="0" applyBorder="0" applyAlignment="0" applyProtection="0"/>
    <xf numFmtId="0" fontId="1" fillId="3" borderId="0" applyNumberFormat="0" applyBorder="0" applyAlignment="0" applyProtection="0"/>
    <xf numFmtId="0" fontId="1" fillId="3" borderId="0" applyNumberFormat="0" applyBorder="0" applyAlignment="0" applyProtection="0"/>
    <xf numFmtId="0" fontId="1" fillId="3" borderId="0" applyNumberFormat="0" applyBorder="0" applyAlignment="0" applyProtection="0"/>
    <xf numFmtId="0" fontId="1" fillId="3" borderId="0" applyNumberFormat="0" applyBorder="0" applyAlignment="0" applyProtection="0"/>
    <xf numFmtId="0" fontId="1" fillId="3" borderId="0" applyNumberFormat="0" applyBorder="0" applyAlignment="0" applyProtection="0"/>
    <xf numFmtId="0" fontId="1" fillId="3" borderId="0" applyNumberFormat="0" applyBorder="0" applyAlignment="0" applyProtection="0"/>
    <xf numFmtId="0" fontId="1" fillId="3" borderId="0" applyNumberFormat="0" applyBorder="0" applyAlignment="0" applyProtection="0"/>
    <xf numFmtId="0" fontId="1" fillId="3" borderId="0" applyNumberFormat="0" applyBorder="0" applyAlignment="0" applyProtection="0"/>
    <xf numFmtId="0" fontId="1" fillId="3" borderId="0" applyNumberFormat="0" applyBorder="0" applyAlignment="0" applyProtection="0"/>
    <xf numFmtId="0" fontId="1" fillId="3" borderId="0" applyNumberFormat="0" applyBorder="0" applyAlignment="0" applyProtection="0"/>
    <xf numFmtId="0" fontId="1" fillId="3" borderId="0" applyNumberFormat="0" applyBorder="0" applyAlignment="0" applyProtection="0"/>
    <xf numFmtId="0" fontId="1" fillId="3" borderId="0" applyNumberFormat="0" applyBorder="0" applyAlignment="0" applyProtection="0"/>
    <xf numFmtId="0" fontId="1" fillId="3" borderId="0" applyNumberFormat="0" applyBorder="0" applyAlignment="0" applyProtection="0"/>
    <xf numFmtId="0" fontId="1" fillId="3" borderId="0" applyNumberFormat="0" applyBorder="0" applyAlignment="0" applyProtection="0"/>
    <xf numFmtId="0" fontId="1" fillId="3" borderId="0" applyNumberFormat="0" applyBorder="0" applyAlignment="0" applyProtection="0"/>
    <xf numFmtId="0" fontId="1" fillId="3" borderId="0" applyNumberFormat="0" applyBorder="0" applyAlignment="0" applyProtection="0"/>
    <xf numFmtId="0" fontId="1" fillId="3" borderId="0" applyNumberFormat="0" applyBorder="0" applyAlignment="0" applyProtection="0"/>
    <xf numFmtId="0" fontId="1" fillId="3" borderId="0" applyNumberFormat="0" applyBorder="0" applyAlignment="0" applyProtection="0"/>
    <xf numFmtId="0" fontId="1" fillId="3" borderId="0" applyNumberFormat="0" applyBorder="0" applyAlignment="0" applyProtection="0"/>
    <xf numFmtId="0" fontId="1" fillId="3" borderId="0" applyNumberFormat="0" applyBorder="0" applyAlignment="0" applyProtection="0"/>
    <xf numFmtId="0" fontId="1" fillId="3" borderId="0" applyNumberFormat="0" applyBorder="0" applyAlignment="0" applyProtection="0"/>
    <xf numFmtId="0" fontId="1" fillId="3" borderId="0" applyNumberFormat="0" applyBorder="0" applyAlignment="0" applyProtection="0"/>
    <xf numFmtId="0" fontId="1" fillId="3" borderId="0" applyNumberFormat="0" applyBorder="0" applyAlignment="0" applyProtection="0"/>
    <xf numFmtId="0" fontId="1" fillId="3" borderId="0" applyNumberFormat="0" applyBorder="0" applyAlignment="0" applyProtection="0"/>
    <xf numFmtId="0" fontId="1" fillId="3" borderId="0" applyNumberFormat="0" applyBorder="0" applyAlignment="0" applyProtection="0"/>
    <xf numFmtId="0" fontId="1" fillId="3" borderId="0" applyNumberFormat="0" applyBorder="0" applyAlignment="0" applyProtection="0"/>
    <xf numFmtId="0" fontId="1" fillId="3" borderId="0" applyNumberFormat="0" applyBorder="0" applyAlignment="0" applyProtection="0"/>
    <xf numFmtId="0" fontId="1" fillId="3" borderId="0" applyNumberFormat="0" applyBorder="0" applyAlignment="0" applyProtection="0"/>
    <xf numFmtId="0" fontId="1" fillId="3" borderId="0" applyNumberFormat="0" applyBorder="0" applyAlignment="0" applyProtection="0"/>
    <xf numFmtId="0" fontId="1" fillId="3" borderId="0" applyNumberFormat="0" applyBorder="0" applyAlignment="0" applyProtection="0"/>
    <xf numFmtId="0" fontId="1" fillId="3" borderId="0" applyNumberFormat="0" applyBorder="0" applyAlignment="0" applyProtection="0"/>
    <xf numFmtId="0" fontId="1" fillId="3" borderId="0" applyNumberFormat="0" applyBorder="0" applyAlignment="0" applyProtection="0"/>
    <xf numFmtId="0" fontId="1" fillId="3" borderId="0" applyNumberFormat="0" applyBorder="0" applyAlignment="0" applyProtection="0"/>
    <xf numFmtId="0" fontId="1" fillId="3" borderId="0" applyNumberFormat="0" applyBorder="0" applyAlignment="0" applyProtection="0"/>
    <xf numFmtId="0" fontId="1" fillId="3" borderId="0" applyNumberFormat="0" applyBorder="0" applyAlignment="0" applyProtection="0"/>
    <xf numFmtId="0" fontId="1" fillId="3" borderId="0" applyNumberFormat="0" applyBorder="0" applyAlignment="0" applyProtection="0"/>
    <xf numFmtId="0" fontId="1" fillId="3" borderId="0" applyNumberFormat="0" applyBorder="0" applyAlignment="0" applyProtection="0"/>
    <xf numFmtId="0" fontId="1" fillId="3" borderId="0" applyNumberFormat="0" applyBorder="0" applyAlignment="0" applyProtection="0"/>
    <xf numFmtId="0" fontId="1" fillId="3" borderId="0" applyNumberFormat="0" applyBorder="0" applyAlignment="0" applyProtection="0"/>
    <xf numFmtId="0" fontId="1" fillId="3" borderId="0" applyNumberFormat="0" applyBorder="0" applyAlignment="0" applyProtection="0"/>
    <xf numFmtId="0" fontId="1" fillId="3" borderId="0" applyNumberFormat="0" applyBorder="0" applyAlignment="0" applyProtection="0"/>
    <xf numFmtId="0" fontId="1" fillId="3" borderId="0" applyNumberFormat="0" applyBorder="0" applyAlignment="0" applyProtection="0"/>
    <xf numFmtId="0" fontId="1" fillId="3" borderId="0" applyNumberFormat="0" applyBorder="0" applyAlignment="0" applyProtection="0"/>
    <xf numFmtId="0" fontId="1" fillId="3" borderId="0" applyNumberFormat="0" applyBorder="0" applyAlignment="0" applyProtection="0"/>
    <xf numFmtId="0" fontId="1" fillId="3" borderId="0" applyNumberFormat="0" applyBorder="0" applyAlignment="0" applyProtection="0"/>
    <xf numFmtId="0" fontId="1" fillId="3" borderId="0" applyNumberFormat="0" applyBorder="0" applyAlignment="0" applyProtection="0"/>
    <xf numFmtId="0" fontId="1" fillId="3" borderId="0" applyNumberFormat="0" applyBorder="0" applyAlignment="0" applyProtection="0"/>
    <xf numFmtId="0" fontId="1" fillId="3" borderId="0" applyNumberFormat="0" applyBorder="0" applyAlignment="0" applyProtection="0"/>
    <xf numFmtId="0" fontId="1" fillId="3" borderId="0" applyNumberFormat="0" applyBorder="0" applyAlignment="0" applyProtection="0"/>
    <xf numFmtId="0" fontId="1" fillId="3" borderId="0" applyNumberFormat="0" applyBorder="0" applyAlignment="0" applyProtection="0"/>
    <xf numFmtId="0" fontId="1" fillId="3" borderId="0" applyNumberFormat="0" applyBorder="0" applyAlignment="0" applyProtection="0"/>
    <xf numFmtId="0" fontId="1" fillId="3" borderId="0" applyNumberFormat="0" applyBorder="0" applyAlignment="0" applyProtection="0"/>
    <xf numFmtId="0" fontId="1" fillId="3" borderId="0" applyNumberFormat="0" applyBorder="0" applyAlignment="0" applyProtection="0"/>
    <xf numFmtId="0" fontId="1" fillId="3" borderId="0" applyNumberFormat="0" applyBorder="0" applyAlignment="0" applyProtection="0"/>
    <xf numFmtId="0" fontId="1" fillId="3" borderId="0" applyNumberFormat="0" applyBorder="0" applyAlignment="0" applyProtection="0"/>
    <xf numFmtId="0" fontId="1" fillId="3" borderId="0" applyNumberFormat="0" applyBorder="0" applyAlignment="0" applyProtection="0"/>
    <xf numFmtId="0" fontId="1" fillId="3" borderId="0" applyNumberFormat="0" applyBorder="0" applyAlignment="0" applyProtection="0"/>
    <xf numFmtId="0" fontId="1" fillId="3" borderId="0" applyNumberFormat="0" applyBorder="0" applyAlignment="0" applyProtection="0"/>
    <xf numFmtId="0" fontId="1" fillId="3" borderId="0" applyNumberFormat="0" applyBorder="0" applyAlignment="0" applyProtection="0"/>
    <xf numFmtId="0" fontId="1" fillId="3" borderId="0" applyNumberFormat="0" applyBorder="0" applyAlignment="0" applyProtection="0"/>
    <xf numFmtId="0" fontId="1" fillId="3" borderId="0" applyNumberFormat="0" applyBorder="0" applyAlignment="0" applyProtection="0"/>
    <xf numFmtId="0" fontId="1" fillId="3" borderId="0" applyNumberFormat="0" applyBorder="0" applyAlignment="0" applyProtection="0"/>
    <xf numFmtId="0" fontId="1" fillId="3" borderId="0" applyNumberFormat="0" applyBorder="0" applyAlignment="0" applyProtection="0"/>
    <xf numFmtId="0" fontId="1" fillId="3" borderId="0" applyNumberFormat="0" applyBorder="0" applyAlignment="0" applyProtection="0"/>
    <xf numFmtId="0" fontId="1" fillId="3" borderId="0" applyNumberFormat="0" applyBorder="0" applyAlignment="0" applyProtection="0"/>
    <xf numFmtId="0" fontId="1" fillId="3" borderId="0" applyNumberFormat="0" applyBorder="0" applyAlignment="0" applyProtection="0"/>
    <xf numFmtId="0" fontId="1" fillId="3" borderId="0" applyNumberFormat="0" applyBorder="0" applyAlignment="0" applyProtection="0"/>
    <xf numFmtId="0" fontId="1" fillId="3" borderId="0" applyNumberFormat="0" applyBorder="0" applyAlignment="0" applyProtection="0"/>
    <xf numFmtId="0" fontId="1" fillId="3" borderId="0" applyNumberFormat="0" applyBorder="0" applyAlignment="0" applyProtection="0"/>
    <xf numFmtId="0" fontId="1" fillId="3" borderId="0" applyNumberFormat="0" applyBorder="0" applyAlignment="0" applyProtection="0"/>
    <xf numFmtId="0" fontId="1" fillId="3" borderId="0" applyNumberFormat="0" applyBorder="0" applyAlignment="0" applyProtection="0"/>
    <xf numFmtId="0" fontId="1" fillId="3" borderId="0" applyNumberFormat="0" applyBorder="0" applyAlignment="0" applyProtection="0"/>
    <xf numFmtId="0" fontId="1" fillId="3" borderId="0" applyNumberFormat="0" applyBorder="0" applyAlignment="0" applyProtection="0"/>
    <xf numFmtId="0" fontId="1" fillId="3" borderId="0" applyNumberFormat="0" applyBorder="0" applyAlignment="0" applyProtection="0"/>
    <xf numFmtId="0" fontId="1" fillId="3" borderId="0" applyNumberFormat="0" applyBorder="0" applyAlignment="0" applyProtection="0"/>
    <xf numFmtId="0" fontId="1" fillId="3" borderId="0" applyNumberFormat="0" applyBorder="0" applyAlignment="0" applyProtection="0"/>
    <xf numFmtId="0" fontId="1" fillId="3" borderId="0" applyNumberFormat="0" applyBorder="0" applyAlignment="0" applyProtection="0"/>
    <xf numFmtId="0" fontId="1" fillId="3" borderId="0" applyNumberFormat="0" applyBorder="0" applyAlignment="0" applyProtection="0"/>
    <xf numFmtId="0" fontId="1" fillId="3" borderId="0" applyNumberFormat="0" applyBorder="0" applyAlignment="0" applyProtection="0"/>
    <xf numFmtId="0" fontId="1" fillId="3" borderId="0" applyNumberFormat="0" applyBorder="0" applyAlignment="0" applyProtection="0"/>
    <xf numFmtId="0" fontId="1" fillId="3" borderId="0" applyNumberFormat="0" applyBorder="0" applyAlignment="0" applyProtection="0"/>
    <xf numFmtId="0" fontId="1" fillId="3" borderId="0" applyNumberFormat="0" applyBorder="0" applyAlignment="0" applyProtection="0"/>
    <xf numFmtId="0" fontId="1" fillId="3" borderId="0" applyNumberFormat="0" applyBorder="0" applyAlignment="0" applyProtection="0"/>
    <xf numFmtId="0" fontId="1" fillId="3" borderId="0" applyNumberFormat="0" applyBorder="0" applyAlignment="0" applyProtection="0"/>
    <xf numFmtId="0" fontId="1" fillId="3" borderId="0" applyNumberFormat="0" applyBorder="0" applyAlignment="0" applyProtection="0"/>
    <xf numFmtId="0" fontId="1" fillId="3" borderId="0" applyNumberFormat="0" applyBorder="0" applyAlignment="0" applyProtection="0"/>
    <xf numFmtId="0" fontId="1" fillId="3" borderId="0" applyNumberFormat="0" applyBorder="0" applyAlignment="0" applyProtection="0"/>
    <xf numFmtId="0" fontId="1" fillId="3" borderId="0" applyNumberFormat="0" applyBorder="0" applyAlignment="0" applyProtection="0"/>
    <xf numFmtId="0" fontId="1" fillId="3" borderId="0" applyNumberFormat="0" applyBorder="0" applyAlignment="0" applyProtection="0"/>
    <xf numFmtId="0" fontId="1" fillId="3" borderId="0" applyNumberFormat="0" applyBorder="0" applyAlignment="0" applyProtection="0"/>
    <xf numFmtId="0" fontId="1" fillId="3" borderId="0" applyNumberFormat="0" applyBorder="0" applyAlignment="0" applyProtection="0"/>
    <xf numFmtId="0" fontId="1" fillId="3" borderId="0" applyNumberFormat="0" applyBorder="0" applyAlignment="0" applyProtection="0"/>
    <xf numFmtId="0" fontId="1" fillId="3" borderId="0" applyNumberFormat="0" applyBorder="0" applyAlignment="0" applyProtection="0"/>
    <xf numFmtId="0" fontId="1" fillId="3" borderId="0" applyNumberFormat="0" applyBorder="0" applyAlignment="0" applyProtection="0"/>
    <xf numFmtId="0" fontId="1" fillId="3" borderId="0" applyNumberFormat="0" applyBorder="0" applyAlignment="0" applyProtection="0"/>
    <xf numFmtId="0" fontId="1" fillId="3" borderId="0" applyNumberFormat="0" applyBorder="0" applyAlignment="0" applyProtection="0"/>
    <xf numFmtId="0" fontId="1" fillId="3" borderId="0" applyNumberFormat="0" applyBorder="0" applyAlignment="0" applyProtection="0"/>
    <xf numFmtId="0" fontId="1" fillId="3" borderId="0" applyNumberFormat="0" applyBorder="0" applyAlignment="0" applyProtection="0"/>
    <xf numFmtId="0" fontId="1" fillId="3" borderId="0" applyNumberFormat="0" applyBorder="0" applyAlignment="0" applyProtection="0"/>
    <xf numFmtId="0" fontId="1" fillId="3" borderId="0" applyNumberFormat="0" applyBorder="0" applyAlignment="0" applyProtection="0"/>
    <xf numFmtId="0" fontId="1" fillId="3" borderId="0" applyNumberFormat="0" applyBorder="0" applyAlignment="0" applyProtection="0"/>
    <xf numFmtId="0" fontId="1" fillId="3" borderId="0" applyNumberFormat="0" applyBorder="0" applyAlignment="0" applyProtection="0"/>
    <xf numFmtId="0" fontId="1" fillId="3" borderId="0" applyNumberFormat="0" applyBorder="0" applyAlignment="0" applyProtection="0"/>
    <xf numFmtId="0" fontId="1" fillId="3" borderId="0" applyNumberFormat="0" applyBorder="0" applyAlignment="0" applyProtection="0"/>
    <xf numFmtId="0" fontId="1" fillId="3" borderId="0" applyNumberFormat="0" applyBorder="0" applyAlignment="0" applyProtection="0"/>
    <xf numFmtId="0" fontId="1" fillId="3" borderId="0" applyNumberFormat="0" applyBorder="0" applyAlignment="0" applyProtection="0"/>
    <xf numFmtId="0" fontId="1" fillId="3" borderId="0" applyNumberFormat="0" applyBorder="0" applyAlignment="0" applyProtection="0"/>
    <xf numFmtId="0" fontId="1" fillId="3" borderId="0" applyNumberFormat="0" applyBorder="0" applyAlignment="0" applyProtection="0"/>
    <xf numFmtId="0" fontId="1" fillId="3" borderId="0" applyNumberFormat="0" applyBorder="0" applyAlignment="0" applyProtection="0"/>
    <xf numFmtId="0" fontId="1" fillId="3" borderId="0" applyNumberFormat="0" applyBorder="0" applyAlignment="0" applyProtection="0"/>
    <xf numFmtId="0" fontId="1" fillId="3" borderId="0" applyNumberFormat="0" applyBorder="0" applyAlignment="0" applyProtection="0"/>
    <xf numFmtId="0" fontId="1" fillId="3" borderId="0" applyNumberFormat="0" applyBorder="0" applyAlignment="0" applyProtection="0"/>
    <xf numFmtId="0" fontId="1" fillId="3" borderId="0" applyNumberFormat="0" applyBorder="0" applyAlignment="0" applyProtection="0"/>
    <xf numFmtId="0" fontId="1" fillId="3" borderId="0" applyNumberFormat="0" applyBorder="0" applyAlignment="0" applyProtection="0"/>
    <xf numFmtId="0" fontId="1" fillId="3" borderId="0" applyNumberFormat="0" applyBorder="0" applyAlignment="0" applyProtection="0"/>
    <xf numFmtId="0" fontId="1" fillId="3" borderId="0" applyNumberFormat="0" applyBorder="0" applyAlignment="0" applyProtection="0"/>
    <xf numFmtId="0" fontId="1" fillId="3" borderId="0" applyNumberFormat="0" applyBorder="0" applyAlignment="0" applyProtection="0"/>
    <xf numFmtId="0" fontId="1" fillId="3" borderId="0" applyNumberFormat="0" applyBorder="0" applyAlignment="0" applyProtection="0"/>
    <xf numFmtId="0" fontId="1" fillId="3" borderId="0" applyNumberFormat="0" applyBorder="0" applyAlignment="0" applyProtection="0"/>
    <xf numFmtId="0" fontId="1" fillId="3" borderId="0" applyNumberFormat="0" applyBorder="0" applyAlignment="0" applyProtection="0"/>
    <xf numFmtId="0" fontId="1" fillId="3" borderId="0" applyNumberFormat="0" applyBorder="0" applyAlignment="0" applyProtection="0"/>
    <xf numFmtId="0" fontId="1" fillId="3" borderId="0" applyNumberFormat="0" applyBorder="0" applyAlignment="0" applyProtection="0"/>
    <xf numFmtId="0" fontId="1" fillId="3" borderId="0" applyNumberFormat="0" applyBorder="0" applyAlignment="0" applyProtection="0"/>
    <xf numFmtId="0" fontId="1" fillId="3" borderId="0" applyNumberFormat="0" applyBorder="0" applyAlignment="0" applyProtection="0"/>
    <xf numFmtId="0" fontId="1" fillId="3" borderId="0" applyNumberFormat="0" applyBorder="0" applyAlignment="0" applyProtection="0"/>
    <xf numFmtId="0" fontId="1" fillId="3" borderId="0" applyNumberFormat="0" applyBorder="0" applyAlignment="0" applyProtection="0"/>
    <xf numFmtId="0" fontId="1" fillId="3" borderId="0" applyNumberFormat="0" applyBorder="0" applyAlignment="0" applyProtection="0"/>
    <xf numFmtId="0" fontId="1" fillId="3" borderId="0" applyNumberFormat="0" applyBorder="0" applyAlignment="0" applyProtection="0"/>
    <xf numFmtId="0" fontId="1" fillId="3" borderId="0" applyNumberFormat="0" applyBorder="0" applyAlignment="0" applyProtection="0"/>
    <xf numFmtId="0" fontId="1" fillId="3" borderId="0" applyNumberFormat="0" applyBorder="0" applyAlignment="0" applyProtection="0"/>
    <xf numFmtId="0" fontId="1" fillId="3" borderId="0" applyNumberFormat="0" applyBorder="0" applyAlignment="0" applyProtection="0"/>
    <xf numFmtId="0" fontId="1" fillId="3" borderId="0" applyNumberFormat="0" applyBorder="0" applyAlignment="0" applyProtection="0"/>
    <xf numFmtId="0" fontId="1" fillId="3" borderId="0" applyNumberFormat="0" applyBorder="0" applyAlignment="0" applyProtection="0"/>
    <xf numFmtId="0" fontId="1" fillId="3" borderId="0" applyNumberFormat="0" applyBorder="0" applyAlignment="0" applyProtection="0"/>
    <xf numFmtId="0" fontId="1" fillId="3" borderId="0" applyNumberFormat="0" applyBorder="0" applyAlignment="0" applyProtection="0"/>
    <xf numFmtId="0" fontId="1" fillId="3" borderId="0" applyNumberFormat="0" applyBorder="0" applyAlignment="0" applyProtection="0"/>
    <xf numFmtId="0" fontId="1" fillId="3" borderId="0" applyNumberFormat="0" applyBorder="0" applyAlignment="0" applyProtection="0"/>
    <xf numFmtId="0" fontId="1" fillId="3" borderId="0" applyNumberFormat="0" applyBorder="0" applyAlignment="0" applyProtection="0"/>
    <xf numFmtId="0" fontId="1" fillId="3" borderId="0" applyNumberFormat="0" applyBorder="0" applyAlignment="0" applyProtection="0"/>
    <xf numFmtId="0" fontId="1" fillId="3" borderId="0" applyNumberFormat="0" applyBorder="0" applyAlignment="0" applyProtection="0"/>
    <xf numFmtId="0" fontId="1" fillId="3" borderId="0" applyNumberFormat="0" applyBorder="0" applyAlignment="0" applyProtection="0"/>
    <xf numFmtId="0" fontId="1" fillId="3" borderId="0" applyNumberFormat="0" applyBorder="0" applyAlignment="0" applyProtection="0"/>
    <xf numFmtId="0" fontId="1" fillId="3" borderId="0" applyNumberFormat="0" applyBorder="0" applyAlignment="0" applyProtection="0"/>
    <xf numFmtId="0" fontId="1" fillId="3" borderId="0" applyNumberFormat="0" applyBorder="0" applyAlignment="0" applyProtection="0"/>
    <xf numFmtId="0" fontId="1" fillId="3" borderId="0" applyNumberFormat="0" applyBorder="0" applyAlignment="0" applyProtection="0"/>
    <xf numFmtId="0" fontId="1" fillId="3" borderId="0" applyNumberFormat="0" applyBorder="0" applyAlignment="0" applyProtection="0"/>
    <xf numFmtId="0" fontId="1" fillId="3" borderId="0" applyNumberFormat="0" applyBorder="0" applyAlignment="0" applyProtection="0"/>
    <xf numFmtId="0" fontId="1" fillId="3" borderId="0" applyNumberFormat="0" applyBorder="0" applyAlignment="0" applyProtection="0"/>
    <xf numFmtId="0" fontId="1" fillId="3" borderId="0" applyNumberFormat="0" applyBorder="0" applyAlignment="0" applyProtection="0"/>
    <xf numFmtId="0" fontId="1" fillId="3" borderId="0" applyNumberFormat="0" applyBorder="0" applyAlignment="0" applyProtection="0"/>
    <xf numFmtId="0" fontId="1" fillId="3" borderId="0" applyNumberFormat="0" applyBorder="0" applyAlignment="0" applyProtection="0"/>
    <xf numFmtId="0" fontId="1" fillId="3" borderId="0" applyNumberFormat="0" applyBorder="0" applyAlignment="0" applyProtection="0"/>
    <xf numFmtId="0" fontId="1" fillId="3" borderId="0" applyNumberFormat="0" applyBorder="0" applyAlignment="0" applyProtection="0"/>
    <xf numFmtId="0" fontId="1" fillId="3" borderId="0" applyNumberFormat="0" applyBorder="0" applyAlignment="0" applyProtection="0"/>
    <xf numFmtId="0" fontId="1" fillId="3" borderId="0" applyNumberFormat="0" applyBorder="0" applyAlignment="0" applyProtection="0"/>
    <xf numFmtId="0" fontId="1" fillId="3" borderId="0" applyNumberFormat="0" applyBorder="0" applyAlignment="0" applyProtection="0"/>
    <xf numFmtId="0" fontId="1" fillId="3" borderId="0" applyNumberFormat="0" applyBorder="0" applyAlignment="0" applyProtection="0"/>
    <xf numFmtId="0" fontId="1" fillId="3" borderId="0" applyNumberFormat="0" applyBorder="0" applyAlignment="0" applyProtection="0"/>
    <xf numFmtId="0" fontId="1" fillId="3" borderId="0" applyNumberFormat="0" applyBorder="0" applyAlignment="0" applyProtection="0"/>
    <xf numFmtId="0" fontId="1" fillId="3" borderId="0" applyNumberFormat="0" applyBorder="0" applyAlignment="0" applyProtection="0"/>
    <xf numFmtId="0" fontId="1" fillId="3" borderId="0" applyNumberFormat="0" applyBorder="0" applyAlignment="0" applyProtection="0"/>
    <xf numFmtId="0" fontId="1" fillId="3" borderId="0" applyNumberFormat="0" applyBorder="0" applyAlignment="0" applyProtection="0"/>
    <xf numFmtId="0" fontId="1" fillId="3" borderId="0" applyNumberFormat="0" applyBorder="0" applyAlignment="0" applyProtection="0"/>
    <xf numFmtId="0" fontId="1" fillId="3" borderId="0" applyNumberFormat="0" applyBorder="0" applyAlignment="0" applyProtection="0"/>
    <xf numFmtId="0" fontId="1" fillId="3" borderId="0" applyNumberFormat="0" applyBorder="0" applyAlignment="0" applyProtection="0"/>
    <xf numFmtId="0" fontId="1" fillId="3" borderId="0" applyNumberFormat="0" applyBorder="0" applyAlignment="0" applyProtection="0"/>
    <xf numFmtId="0" fontId="1" fillId="3" borderId="0" applyNumberFormat="0" applyBorder="0" applyAlignment="0" applyProtection="0"/>
    <xf numFmtId="0" fontId="1" fillId="3" borderId="0" applyNumberFormat="0" applyBorder="0" applyAlignment="0" applyProtection="0"/>
    <xf numFmtId="0" fontId="1" fillId="3" borderId="0" applyNumberFormat="0" applyBorder="0" applyAlignment="0" applyProtection="0"/>
    <xf numFmtId="0" fontId="1" fillId="3" borderId="0" applyNumberFormat="0" applyBorder="0" applyAlignment="0" applyProtection="0"/>
    <xf numFmtId="0" fontId="1" fillId="3" borderId="0" applyNumberFormat="0" applyBorder="0" applyAlignment="0" applyProtection="0"/>
    <xf numFmtId="0" fontId="1" fillId="3" borderId="0" applyNumberFormat="0" applyBorder="0" applyAlignment="0" applyProtection="0"/>
    <xf numFmtId="0" fontId="1" fillId="3" borderId="0" applyNumberFormat="0" applyBorder="0" applyAlignment="0" applyProtection="0"/>
    <xf numFmtId="0" fontId="1" fillId="3" borderId="0" applyNumberFormat="0" applyBorder="0" applyAlignment="0" applyProtection="0"/>
    <xf numFmtId="0" fontId="1" fillId="3" borderId="0" applyNumberFormat="0" applyBorder="0" applyAlignment="0" applyProtection="0"/>
    <xf numFmtId="0" fontId="1" fillId="3" borderId="0" applyNumberFormat="0" applyBorder="0" applyAlignment="0" applyProtection="0"/>
    <xf numFmtId="0" fontId="1" fillId="3" borderId="0" applyNumberFormat="0" applyBorder="0" applyAlignment="0" applyProtection="0"/>
    <xf numFmtId="0" fontId="1" fillId="3" borderId="0" applyNumberFormat="0" applyBorder="0" applyAlignment="0" applyProtection="0"/>
    <xf numFmtId="0" fontId="1" fillId="3" borderId="0" applyNumberFormat="0" applyBorder="0" applyAlignment="0" applyProtection="0"/>
    <xf numFmtId="0" fontId="1" fillId="3" borderId="0" applyNumberFormat="0" applyBorder="0" applyAlignment="0" applyProtection="0"/>
    <xf numFmtId="0" fontId="1" fillId="3" borderId="0" applyNumberFormat="0" applyBorder="0" applyAlignment="0" applyProtection="0"/>
    <xf numFmtId="0" fontId="1" fillId="3" borderId="0" applyNumberFormat="0" applyBorder="0" applyAlignment="0" applyProtection="0"/>
    <xf numFmtId="0" fontId="1" fillId="3" borderId="0" applyNumberFormat="0" applyBorder="0" applyAlignment="0" applyProtection="0"/>
    <xf numFmtId="0" fontId="1" fillId="3" borderId="0" applyNumberFormat="0" applyBorder="0" applyAlignment="0" applyProtection="0"/>
    <xf numFmtId="0" fontId="1" fillId="3" borderId="0" applyNumberFormat="0" applyBorder="0" applyAlignment="0" applyProtection="0"/>
    <xf numFmtId="0" fontId="1" fillId="3" borderId="0" applyNumberFormat="0" applyBorder="0" applyAlignment="0" applyProtection="0"/>
    <xf numFmtId="0" fontId="1" fillId="3" borderId="0" applyNumberFormat="0" applyBorder="0" applyAlignment="0" applyProtection="0"/>
    <xf numFmtId="0" fontId="1" fillId="3" borderId="0" applyNumberFormat="0" applyBorder="0" applyAlignment="0" applyProtection="0"/>
    <xf numFmtId="0" fontId="1" fillId="3" borderId="0" applyNumberFormat="0" applyBorder="0" applyAlignment="0" applyProtection="0"/>
    <xf numFmtId="0" fontId="1" fillId="3" borderId="0" applyNumberFormat="0" applyBorder="0" applyAlignment="0" applyProtection="0"/>
    <xf numFmtId="0" fontId="1" fillId="3" borderId="0" applyNumberFormat="0" applyBorder="0" applyAlignment="0" applyProtection="0"/>
    <xf numFmtId="0" fontId="1" fillId="3" borderId="0" applyNumberFormat="0" applyBorder="0" applyAlignment="0" applyProtection="0"/>
    <xf numFmtId="0" fontId="1" fillId="3" borderId="0" applyNumberFormat="0" applyBorder="0" applyAlignment="0" applyProtection="0"/>
    <xf numFmtId="0" fontId="1" fillId="3"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60" borderId="0" applyNumberFormat="0" applyBorder="0" applyAlignment="0" applyProtection="0"/>
    <xf numFmtId="0" fontId="1" fillId="61" borderId="0" applyNumberFormat="0" applyBorder="0" applyAlignment="0" applyProtection="0"/>
    <xf numFmtId="0" fontId="1" fillId="64" borderId="0" applyNumberFormat="0" applyBorder="0" applyAlignment="0" applyProtection="0"/>
    <xf numFmtId="0" fontId="1" fillId="65" borderId="0" applyNumberFormat="0" applyBorder="0" applyAlignment="0" applyProtection="0"/>
    <xf numFmtId="0" fontId="1" fillId="68" borderId="0" applyNumberFormat="0" applyBorder="0" applyAlignment="0" applyProtection="0"/>
    <xf numFmtId="0" fontId="1" fillId="69" borderId="0" applyNumberFormat="0" applyBorder="0" applyAlignment="0" applyProtection="0"/>
    <xf numFmtId="0" fontId="1" fillId="72" borderId="0" applyNumberFormat="0" applyBorder="0" applyAlignment="0" applyProtection="0"/>
    <xf numFmtId="0" fontId="1" fillId="73" borderId="0" applyNumberFormat="0" applyBorder="0" applyAlignment="0" applyProtection="0"/>
    <xf numFmtId="0" fontId="1" fillId="76" borderId="0" applyNumberFormat="0" applyBorder="0" applyAlignment="0" applyProtection="0"/>
    <xf numFmtId="0" fontId="1" fillId="77" borderId="0" applyNumberFormat="0" applyBorder="0" applyAlignment="0" applyProtection="0"/>
    <xf numFmtId="0" fontId="1" fillId="80" borderId="0" applyNumberFormat="0" applyBorder="0" applyAlignment="0" applyProtection="0"/>
    <xf numFmtId="0" fontId="1" fillId="81"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6" borderId="0" applyNumberFormat="0" applyBorder="0" applyAlignment="0" applyProtection="0"/>
    <xf numFmtId="0" fontId="1" fillId="76" borderId="0" applyNumberFormat="0" applyBorder="0" applyAlignment="0" applyProtection="0"/>
    <xf numFmtId="0" fontId="1" fillId="76" borderId="0" applyNumberFormat="0" applyBorder="0" applyAlignment="0" applyProtection="0"/>
    <xf numFmtId="0" fontId="1" fillId="76" borderId="0" applyNumberFormat="0" applyBorder="0" applyAlignment="0" applyProtection="0"/>
    <xf numFmtId="0" fontId="1" fillId="76" borderId="0" applyNumberFormat="0" applyBorder="0" applyAlignment="0" applyProtection="0"/>
    <xf numFmtId="0" fontId="1" fillId="76" borderId="0" applyNumberFormat="0" applyBorder="0" applyAlignment="0" applyProtection="0"/>
    <xf numFmtId="0" fontId="1" fillId="76" borderId="0" applyNumberFormat="0" applyBorder="0" applyAlignment="0" applyProtection="0"/>
    <xf numFmtId="0" fontId="1" fillId="76" borderId="0" applyNumberFormat="0" applyBorder="0" applyAlignment="0" applyProtection="0"/>
    <xf numFmtId="0" fontId="1" fillId="76" borderId="0" applyNumberFormat="0" applyBorder="0" applyAlignment="0" applyProtection="0"/>
    <xf numFmtId="0" fontId="1" fillId="76" borderId="0" applyNumberFormat="0" applyBorder="0" applyAlignment="0" applyProtection="0"/>
    <xf numFmtId="0" fontId="1" fillId="76" borderId="0" applyNumberFormat="0" applyBorder="0" applyAlignment="0" applyProtection="0"/>
    <xf numFmtId="0" fontId="1" fillId="76" borderId="0" applyNumberFormat="0" applyBorder="0" applyAlignment="0" applyProtection="0"/>
    <xf numFmtId="0" fontId="1" fillId="76" borderId="0" applyNumberFormat="0" applyBorder="0" applyAlignment="0" applyProtection="0"/>
    <xf numFmtId="0" fontId="1" fillId="76" borderId="0" applyNumberFormat="0" applyBorder="0" applyAlignment="0" applyProtection="0"/>
    <xf numFmtId="0" fontId="1" fillId="76" borderId="0" applyNumberFormat="0" applyBorder="0" applyAlignment="0" applyProtection="0"/>
    <xf numFmtId="0" fontId="1" fillId="76" borderId="0" applyNumberFormat="0" applyBorder="0" applyAlignment="0" applyProtection="0"/>
    <xf numFmtId="0" fontId="1" fillId="76" borderId="0" applyNumberFormat="0" applyBorder="0" applyAlignment="0" applyProtection="0"/>
    <xf numFmtId="0" fontId="1" fillId="76" borderId="0" applyNumberFormat="0" applyBorder="0" applyAlignment="0" applyProtection="0"/>
    <xf numFmtId="0" fontId="1" fillId="76" borderId="0" applyNumberFormat="0" applyBorder="0" applyAlignment="0" applyProtection="0"/>
    <xf numFmtId="0" fontId="1" fillId="76" borderId="0" applyNumberFormat="0" applyBorder="0" applyAlignment="0" applyProtection="0"/>
    <xf numFmtId="0" fontId="1" fillId="76" borderId="0" applyNumberFormat="0" applyBorder="0" applyAlignment="0" applyProtection="0"/>
    <xf numFmtId="0" fontId="1" fillId="76" borderId="0" applyNumberFormat="0" applyBorder="0" applyAlignment="0" applyProtection="0"/>
    <xf numFmtId="0" fontId="1" fillId="76" borderId="0" applyNumberFormat="0" applyBorder="0" applyAlignment="0" applyProtection="0"/>
    <xf numFmtId="0" fontId="1" fillId="76" borderId="0" applyNumberFormat="0" applyBorder="0" applyAlignment="0" applyProtection="0"/>
    <xf numFmtId="0" fontId="1" fillId="76" borderId="0" applyNumberFormat="0" applyBorder="0" applyAlignment="0" applyProtection="0"/>
    <xf numFmtId="0" fontId="1" fillId="76" borderId="0" applyNumberFormat="0" applyBorder="0" applyAlignment="0" applyProtection="0"/>
    <xf numFmtId="0" fontId="1" fillId="76" borderId="0" applyNumberFormat="0" applyBorder="0" applyAlignment="0" applyProtection="0"/>
    <xf numFmtId="0" fontId="1" fillId="76" borderId="0" applyNumberFormat="0" applyBorder="0" applyAlignment="0" applyProtection="0"/>
    <xf numFmtId="0" fontId="1" fillId="76" borderId="0" applyNumberFormat="0" applyBorder="0" applyAlignment="0" applyProtection="0"/>
    <xf numFmtId="0" fontId="1" fillId="76" borderId="0" applyNumberFormat="0" applyBorder="0" applyAlignment="0" applyProtection="0"/>
    <xf numFmtId="0" fontId="1" fillId="76" borderId="0" applyNumberFormat="0" applyBorder="0" applyAlignment="0" applyProtection="0"/>
    <xf numFmtId="0" fontId="1" fillId="76" borderId="0" applyNumberFormat="0" applyBorder="0" applyAlignment="0" applyProtection="0"/>
    <xf numFmtId="0" fontId="1" fillId="76" borderId="0" applyNumberFormat="0" applyBorder="0" applyAlignment="0" applyProtection="0"/>
    <xf numFmtId="0" fontId="1" fillId="76" borderId="0" applyNumberFormat="0" applyBorder="0" applyAlignment="0" applyProtection="0"/>
    <xf numFmtId="0" fontId="1" fillId="76" borderId="0" applyNumberFormat="0" applyBorder="0" applyAlignment="0" applyProtection="0"/>
    <xf numFmtId="0" fontId="1" fillId="76" borderId="0" applyNumberFormat="0" applyBorder="0" applyAlignment="0" applyProtection="0"/>
    <xf numFmtId="0" fontId="1" fillId="76" borderId="0" applyNumberFormat="0" applyBorder="0" applyAlignment="0" applyProtection="0"/>
    <xf numFmtId="0" fontId="1" fillId="76" borderId="0" applyNumberFormat="0" applyBorder="0" applyAlignment="0" applyProtection="0"/>
    <xf numFmtId="0" fontId="1" fillId="76" borderId="0" applyNumberFormat="0" applyBorder="0" applyAlignment="0" applyProtection="0"/>
    <xf numFmtId="0" fontId="1" fillId="76" borderId="0" applyNumberFormat="0" applyBorder="0" applyAlignment="0" applyProtection="0"/>
    <xf numFmtId="0" fontId="1" fillId="76" borderId="0" applyNumberFormat="0" applyBorder="0" applyAlignment="0" applyProtection="0"/>
    <xf numFmtId="0" fontId="1" fillId="76" borderId="0" applyNumberFormat="0" applyBorder="0" applyAlignment="0" applyProtection="0"/>
    <xf numFmtId="0" fontId="1" fillId="76" borderId="0" applyNumberFormat="0" applyBorder="0" applyAlignment="0" applyProtection="0"/>
    <xf numFmtId="0" fontId="1" fillId="76" borderId="0" applyNumberFormat="0" applyBorder="0" applyAlignment="0" applyProtection="0"/>
    <xf numFmtId="0" fontId="1" fillId="76" borderId="0" applyNumberFormat="0" applyBorder="0" applyAlignment="0" applyProtection="0"/>
    <xf numFmtId="0" fontId="1" fillId="76" borderId="0" applyNumberFormat="0" applyBorder="0" applyAlignment="0" applyProtection="0"/>
    <xf numFmtId="0" fontId="1" fillId="76" borderId="0" applyNumberFormat="0" applyBorder="0" applyAlignment="0" applyProtection="0"/>
    <xf numFmtId="0" fontId="1" fillId="76" borderId="0" applyNumberFormat="0" applyBorder="0" applyAlignment="0" applyProtection="0"/>
    <xf numFmtId="0" fontId="1" fillId="76" borderId="0" applyNumberFormat="0" applyBorder="0" applyAlignment="0" applyProtection="0"/>
    <xf numFmtId="0" fontId="1" fillId="76" borderId="0" applyNumberFormat="0" applyBorder="0" applyAlignment="0" applyProtection="0"/>
    <xf numFmtId="0" fontId="1" fillId="76" borderId="0" applyNumberFormat="0" applyBorder="0" applyAlignment="0" applyProtection="0"/>
    <xf numFmtId="0" fontId="1" fillId="76" borderId="0" applyNumberFormat="0" applyBorder="0" applyAlignment="0" applyProtection="0"/>
    <xf numFmtId="0" fontId="1" fillId="76" borderId="0" applyNumberFormat="0" applyBorder="0" applyAlignment="0" applyProtection="0"/>
    <xf numFmtId="0" fontId="1" fillId="7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5" borderId="0" applyNumberFormat="0" applyBorder="0" applyAlignment="0" applyProtection="0"/>
    <xf numFmtId="0" fontId="1" fillId="65" borderId="0" applyNumberFormat="0" applyBorder="0" applyAlignment="0" applyProtection="0"/>
    <xf numFmtId="0" fontId="1" fillId="65" borderId="0" applyNumberFormat="0" applyBorder="0" applyAlignment="0" applyProtection="0"/>
    <xf numFmtId="0" fontId="1" fillId="65" borderId="0" applyNumberFormat="0" applyBorder="0" applyAlignment="0" applyProtection="0"/>
    <xf numFmtId="0" fontId="1" fillId="65" borderId="0" applyNumberFormat="0" applyBorder="0" applyAlignment="0" applyProtection="0"/>
    <xf numFmtId="0" fontId="1" fillId="65" borderId="0" applyNumberFormat="0" applyBorder="0" applyAlignment="0" applyProtection="0"/>
    <xf numFmtId="0" fontId="1" fillId="65" borderId="0" applyNumberFormat="0" applyBorder="0" applyAlignment="0" applyProtection="0"/>
    <xf numFmtId="0" fontId="1" fillId="65" borderId="0" applyNumberFormat="0" applyBorder="0" applyAlignment="0" applyProtection="0"/>
    <xf numFmtId="0" fontId="1" fillId="65" borderId="0" applyNumberFormat="0" applyBorder="0" applyAlignment="0" applyProtection="0"/>
    <xf numFmtId="0" fontId="1" fillId="65" borderId="0" applyNumberFormat="0" applyBorder="0" applyAlignment="0" applyProtection="0"/>
    <xf numFmtId="0" fontId="1" fillId="65" borderId="0" applyNumberFormat="0" applyBorder="0" applyAlignment="0" applyProtection="0"/>
    <xf numFmtId="0" fontId="1" fillId="65" borderId="0" applyNumberFormat="0" applyBorder="0" applyAlignment="0" applyProtection="0"/>
    <xf numFmtId="0" fontId="1" fillId="65" borderId="0" applyNumberFormat="0" applyBorder="0" applyAlignment="0" applyProtection="0"/>
    <xf numFmtId="0" fontId="1" fillId="65" borderId="0" applyNumberFormat="0" applyBorder="0" applyAlignment="0" applyProtection="0"/>
    <xf numFmtId="0" fontId="1" fillId="65" borderId="0" applyNumberFormat="0" applyBorder="0" applyAlignment="0" applyProtection="0"/>
    <xf numFmtId="0" fontId="1" fillId="65" borderId="0" applyNumberFormat="0" applyBorder="0" applyAlignment="0" applyProtection="0"/>
    <xf numFmtId="0" fontId="1" fillId="65" borderId="0" applyNumberFormat="0" applyBorder="0" applyAlignment="0" applyProtection="0"/>
    <xf numFmtId="0" fontId="1" fillId="65" borderId="0" applyNumberFormat="0" applyBorder="0" applyAlignment="0" applyProtection="0"/>
    <xf numFmtId="0" fontId="1" fillId="65" borderId="0" applyNumberFormat="0" applyBorder="0" applyAlignment="0" applyProtection="0"/>
    <xf numFmtId="0" fontId="1" fillId="65" borderId="0" applyNumberFormat="0" applyBorder="0" applyAlignment="0" applyProtection="0"/>
    <xf numFmtId="0" fontId="1" fillId="65" borderId="0" applyNumberFormat="0" applyBorder="0" applyAlignment="0" applyProtection="0"/>
    <xf numFmtId="0" fontId="1" fillId="65" borderId="0" applyNumberFormat="0" applyBorder="0" applyAlignment="0" applyProtection="0"/>
    <xf numFmtId="0" fontId="1" fillId="65" borderId="0" applyNumberFormat="0" applyBorder="0" applyAlignment="0" applyProtection="0"/>
    <xf numFmtId="0" fontId="1" fillId="65" borderId="0" applyNumberFormat="0" applyBorder="0" applyAlignment="0" applyProtection="0"/>
    <xf numFmtId="0" fontId="1" fillId="65" borderId="0" applyNumberFormat="0" applyBorder="0" applyAlignment="0" applyProtection="0"/>
    <xf numFmtId="0" fontId="1" fillId="65" borderId="0" applyNumberFormat="0" applyBorder="0" applyAlignment="0" applyProtection="0"/>
    <xf numFmtId="0" fontId="1" fillId="65" borderId="0" applyNumberFormat="0" applyBorder="0" applyAlignment="0" applyProtection="0"/>
    <xf numFmtId="0" fontId="1" fillId="65" borderId="0" applyNumberFormat="0" applyBorder="0" applyAlignment="0" applyProtection="0"/>
    <xf numFmtId="0" fontId="1" fillId="65" borderId="0" applyNumberFormat="0" applyBorder="0" applyAlignment="0" applyProtection="0"/>
    <xf numFmtId="0" fontId="1" fillId="65" borderId="0" applyNumberFormat="0" applyBorder="0" applyAlignment="0" applyProtection="0"/>
    <xf numFmtId="0" fontId="1" fillId="65" borderId="0" applyNumberFormat="0" applyBorder="0" applyAlignment="0" applyProtection="0"/>
    <xf numFmtId="0" fontId="1" fillId="65" borderId="0" applyNumberFormat="0" applyBorder="0" applyAlignment="0" applyProtection="0"/>
    <xf numFmtId="0" fontId="1" fillId="65" borderId="0" applyNumberFormat="0" applyBorder="0" applyAlignment="0" applyProtection="0"/>
    <xf numFmtId="0" fontId="1" fillId="65" borderId="0" applyNumberFormat="0" applyBorder="0" applyAlignment="0" applyProtection="0"/>
    <xf numFmtId="0" fontId="1" fillId="65" borderId="0" applyNumberFormat="0" applyBorder="0" applyAlignment="0" applyProtection="0"/>
    <xf numFmtId="0" fontId="1" fillId="65" borderId="0" applyNumberFormat="0" applyBorder="0" applyAlignment="0" applyProtection="0"/>
    <xf numFmtId="0" fontId="1" fillId="65" borderId="0" applyNumberFormat="0" applyBorder="0" applyAlignment="0" applyProtection="0"/>
    <xf numFmtId="0" fontId="1" fillId="65" borderId="0" applyNumberFormat="0" applyBorder="0" applyAlignment="0" applyProtection="0"/>
    <xf numFmtId="0" fontId="1" fillId="65" borderId="0" applyNumberFormat="0" applyBorder="0" applyAlignment="0" applyProtection="0"/>
    <xf numFmtId="0" fontId="1" fillId="65" borderId="0" applyNumberFormat="0" applyBorder="0" applyAlignment="0" applyProtection="0"/>
    <xf numFmtId="0" fontId="1" fillId="65" borderId="0" applyNumberFormat="0" applyBorder="0" applyAlignment="0" applyProtection="0"/>
    <xf numFmtId="0" fontId="1" fillId="65" borderId="0" applyNumberFormat="0" applyBorder="0" applyAlignment="0" applyProtection="0"/>
    <xf numFmtId="0" fontId="1" fillId="65" borderId="0" applyNumberFormat="0" applyBorder="0" applyAlignment="0" applyProtection="0"/>
    <xf numFmtId="0" fontId="1" fillId="65" borderId="0" applyNumberFormat="0" applyBorder="0" applyAlignment="0" applyProtection="0"/>
    <xf numFmtId="0" fontId="1" fillId="65" borderId="0" applyNumberFormat="0" applyBorder="0" applyAlignment="0" applyProtection="0"/>
    <xf numFmtId="0" fontId="1" fillId="65" borderId="0" applyNumberFormat="0" applyBorder="0" applyAlignment="0" applyProtection="0"/>
    <xf numFmtId="0" fontId="1" fillId="65" borderId="0" applyNumberFormat="0" applyBorder="0" applyAlignment="0" applyProtection="0"/>
    <xf numFmtId="0" fontId="1" fillId="65" borderId="0" applyNumberFormat="0" applyBorder="0" applyAlignment="0" applyProtection="0"/>
    <xf numFmtId="0" fontId="1" fillId="65" borderId="0" applyNumberFormat="0" applyBorder="0" applyAlignment="0" applyProtection="0"/>
    <xf numFmtId="0" fontId="1" fillId="65" borderId="0" applyNumberFormat="0" applyBorder="0" applyAlignment="0" applyProtection="0"/>
    <xf numFmtId="0" fontId="1" fillId="65" borderId="0" applyNumberFormat="0" applyBorder="0" applyAlignment="0" applyProtection="0"/>
    <xf numFmtId="0" fontId="1" fillId="65" borderId="0" applyNumberFormat="0" applyBorder="0" applyAlignment="0" applyProtection="0"/>
    <xf numFmtId="0" fontId="1" fillId="65" borderId="0" applyNumberFormat="0" applyBorder="0" applyAlignment="0" applyProtection="0"/>
    <xf numFmtId="0" fontId="1" fillId="65"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3" borderId="0" applyNumberFormat="0" applyBorder="0" applyAlignment="0" applyProtection="0"/>
    <xf numFmtId="0" fontId="1" fillId="3" borderId="0" applyNumberFormat="0" applyBorder="0" applyAlignment="0" applyProtection="0"/>
    <xf numFmtId="0" fontId="1" fillId="3" borderId="0" applyNumberFormat="0" applyBorder="0" applyAlignment="0" applyProtection="0"/>
    <xf numFmtId="0" fontId="1" fillId="3" borderId="0" applyNumberFormat="0" applyBorder="0" applyAlignment="0" applyProtection="0"/>
    <xf numFmtId="0" fontId="1" fillId="3" borderId="0" applyNumberFormat="0" applyBorder="0" applyAlignment="0" applyProtection="0"/>
    <xf numFmtId="0" fontId="1" fillId="3" borderId="0" applyNumberFormat="0" applyBorder="0" applyAlignment="0" applyProtection="0"/>
    <xf numFmtId="0" fontId="1" fillId="3" borderId="0" applyNumberFormat="0" applyBorder="0" applyAlignment="0" applyProtection="0"/>
    <xf numFmtId="0" fontId="1" fillId="3" borderId="0" applyNumberFormat="0" applyBorder="0" applyAlignment="0" applyProtection="0"/>
    <xf numFmtId="0" fontId="1" fillId="3" borderId="0" applyNumberFormat="0" applyBorder="0" applyAlignment="0" applyProtection="0"/>
    <xf numFmtId="0" fontId="1" fillId="3" borderId="0" applyNumberFormat="0" applyBorder="0" applyAlignment="0" applyProtection="0"/>
    <xf numFmtId="0" fontId="1" fillId="3" borderId="0" applyNumberFormat="0" applyBorder="0" applyAlignment="0" applyProtection="0"/>
    <xf numFmtId="0" fontId="1" fillId="3" borderId="0" applyNumberFormat="0" applyBorder="0" applyAlignment="0" applyProtection="0"/>
    <xf numFmtId="0" fontId="1" fillId="3" borderId="0" applyNumberFormat="0" applyBorder="0" applyAlignment="0" applyProtection="0"/>
    <xf numFmtId="0" fontId="1" fillId="3" borderId="0" applyNumberFormat="0" applyBorder="0" applyAlignment="0" applyProtection="0"/>
    <xf numFmtId="0" fontId="1" fillId="3" borderId="0" applyNumberFormat="0" applyBorder="0" applyAlignment="0" applyProtection="0"/>
    <xf numFmtId="0" fontId="1" fillId="3" borderId="0" applyNumberFormat="0" applyBorder="0" applyAlignment="0" applyProtection="0"/>
    <xf numFmtId="0" fontId="1" fillId="3" borderId="0" applyNumberFormat="0" applyBorder="0" applyAlignment="0" applyProtection="0"/>
    <xf numFmtId="0" fontId="1" fillId="3" borderId="0" applyNumberFormat="0" applyBorder="0" applyAlignment="0" applyProtection="0"/>
    <xf numFmtId="0" fontId="1" fillId="3" borderId="0" applyNumberFormat="0" applyBorder="0" applyAlignment="0" applyProtection="0"/>
    <xf numFmtId="0" fontId="1" fillId="3" borderId="0" applyNumberFormat="0" applyBorder="0" applyAlignment="0" applyProtection="0"/>
    <xf numFmtId="0" fontId="1" fillId="3" borderId="0" applyNumberFormat="0" applyBorder="0" applyAlignment="0" applyProtection="0"/>
    <xf numFmtId="0" fontId="1" fillId="3" borderId="0" applyNumberFormat="0" applyBorder="0" applyAlignment="0" applyProtection="0"/>
    <xf numFmtId="0" fontId="1" fillId="3" borderId="0" applyNumberFormat="0" applyBorder="0" applyAlignment="0" applyProtection="0"/>
    <xf numFmtId="0" fontId="1" fillId="3" borderId="0" applyNumberFormat="0" applyBorder="0" applyAlignment="0" applyProtection="0"/>
    <xf numFmtId="0" fontId="1" fillId="3" borderId="0" applyNumberFormat="0" applyBorder="0" applyAlignment="0" applyProtection="0"/>
    <xf numFmtId="0" fontId="1" fillId="3" borderId="0" applyNumberFormat="0" applyBorder="0" applyAlignment="0" applyProtection="0"/>
    <xf numFmtId="0" fontId="1" fillId="3" borderId="0" applyNumberFormat="0" applyBorder="0" applyAlignment="0" applyProtection="0"/>
    <xf numFmtId="0" fontId="1" fillId="3" borderId="0" applyNumberFormat="0" applyBorder="0" applyAlignment="0" applyProtection="0"/>
    <xf numFmtId="0" fontId="1" fillId="3" borderId="0" applyNumberFormat="0" applyBorder="0" applyAlignment="0" applyProtection="0"/>
    <xf numFmtId="0" fontId="1" fillId="3" borderId="0" applyNumberFormat="0" applyBorder="0" applyAlignment="0" applyProtection="0"/>
    <xf numFmtId="0" fontId="1" fillId="3" borderId="0" applyNumberFormat="0" applyBorder="0" applyAlignment="0" applyProtection="0"/>
    <xf numFmtId="0" fontId="1" fillId="3" borderId="0" applyNumberFormat="0" applyBorder="0" applyAlignment="0" applyProtection="0"/>
    <xf numFmtId="0" fontId="1" fillId="3" borderId="0" applyNumberFormat="0" applyBorder="0" applyAlignment="0" applyProtection="0"/>
    <xf numFmtId="0" fontId="1" fillId="3" borderId="0" applyNumberFormat="0" applyBorder="0" applyAlignment="0" applyProtection="0"/>
    <xf numFmtId="0" fontId="1" fillId="3" borderId="0" applyNumberFormat="0" applyBorder="0" applyAlignment="0" applyProtection="0"/>
    <xf numFmtId="0" fontId="1" fillId="3" borderId="0" applyNumberFormat="0" applyBorder="0" applyAlignment="0" applyProtection="0"/>
    <xf numFmtId="0" fontId="1" fillId="3" borderId="0" applyNumberFormat="0" applyBorder="0" applyAlignment="0" applyProtection="0"/>
    <xf numFmtId="0" fontId="1" fillId="3" borderId="0" applyNumberFormat="0" applyBorder="0" applyAlignment="0" applyProtection="0"/>
    <xf numFmtId="0" fontId="1" fillId="3" borderId="0" applyNumberFormat="0" applyBorder="0" applyAlignment="0" applyProtection="0"/>
    <xf numFmtId="0" fontId="1" fillId="3" borderId="0" applyNumberFormat="0" applyBorder="0" applyAlignment="0" applyProtection="0"/>
    <xf numFmtId="0" fontId="1" fillId="3" borderId="0" applyNumberFormat="0" applyBorder="0" applyAlignment="0" applyProtection="0"/>
    <xf numFmtId="0" fontId="1" fillId="3" borderId="0" applyNumberFormat="0" applyBorder="0" applyAlignment="0" applyProtection="0"/>
    <xf numFmtId="0" fontId="1" fillId="3" borderId="0" applyNumberFormat="0" applyBorder="0" applyAlignment="0" applyProtection="0"/>
    <xf numFmtId="0" fontId="1" fillId="3" borderId="0" applyNumberFormat="0" applyBorder="0" applyAlignment="0" applyProtection="0"/>
    <xf numFmtId="0" fontId="1" fillId="3" borderId="0" applyNumberFormat="0" applyBorder="0" applyAlignment="0" applyProtection="0"/>
    <xf numFmtId="0" fontId="1" fillId="3" borderId="0" applyNumberFormat="0" applyBorder="0" applyAlignment="0" applyProtection="0"/>
    <xf numFmtId="0" fontId="1" fillId="3" borderId="0" applyNumberFormat="0" applyBorder="0" applyAlignment="0" applyProtection="0"/>
    <xf numFmtId="0" fontId="1" fillId="3" borderId="0" applyNumberFormat="0" applyBorder="0" applyAlignment="0" applyProtection="0"/>
    <xf numFmtId="0" fontId="1" fillId="3" borderId="0" applyNumberFormat="0" applyBorder="0" applyAlignment="0" applyProtection="0"/>
    <xf numFmtId="0" fontId="1" fillId="3" borderId="0" applyNumberFormat="0" applyBorder="0" applyAlignment="0" applyProtection="0"/>
    <xf numFmtId="0" fontId="1" fillId="3" borderId="0" applyNumberFormat="0" applyBorder="0" applyAlignment="0" applyProtection="0"/>
    <xf numFmtId="0" fontId="1" fillId="3" borderId="0" applyNumberFormat="0" applyBorder="0" applyAlignment="0" applyProtection="0"/>
    <xf numFmtId="0" fontId="1" fillId="3" borderId="0" applyNumberFormat="0" applyBorder="0" applyAlignment="0" applyProtection="0"/>
    <xf numFmtId="0" fontId="1" fillId="3" borderId="0" applyNumberFormat="0" applyBorder="0" applyAlignment="0" applyProtection="0"/>
    <xf numFmtId="0" fontId="1" fillId="3" borderId="0" applyNumberFormat="0" applyBorder="0" applyAlignment="0" applyProtection="0"/>
    <xf numFmtId="0" fontId="1" fillId="3" borderId="0" applyNumberFormat="0" applyBorder="0" applyAlignment="0" applyProtection="0"/>
    <xf numFmtId="0" fontId="1" fillId="3"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58" borderId="104" applyNumberFormat="0" applyFont="0" applyAlignment="0" applyProtection="0"/>
    <xf numFmtId="0" fontId="1" fillId="58" borderId="104" applyNumberFormat="0" applyFont="0" applyAlignment="0" applyProtection="0"/>
    <xf numFmtId="0" fontId="1" fillId="60" borderId="0" applyNumberFormat="0" applyBorder="0" applyAlignment="0" applyProtection="0"/>
    <xf numFmtId="0" fontId="1" fillId="61" borderId="0" applyNumberFormat="0" applyBorder="0" applyAlignment="0" applyProtection="0"/>
    <xf numFmtId="0" fontId="1" fillId="64" borderId="0" applyNumberFormat="0" applyBorder="0" applyAlignment="0" applyProtection="0"/>
    <xf numFmtId="0" fontId="1" fillId="68" borderId="0" applyNumberFormat="0" applyBorder="0" applyAlignment="0" applyProtection="0"/>
    <xf numFmtId="0" fontId="1" fillId="69" borderId="0" applyNumberFormat="0" applyBorder="0" applyAlignment="0" applyProtection="0"/>
    <xf numFmtId="0" fontId="1" fillId="72" borderId="0" applyNumberFormat="0" applyBorder="0" applyAlignment="0" applyProtection="0"/>
    <xf numFmtId="0" fontId="1" fillId="73" borderId="0" applyNumberFormat="0" applyBorder="0" applyAlignment="0" applyProtection="0"/>
    <xf numFmtId="0" fontId="1" fillId="77" borderId="0" applyNumberFormat="0" applyBorder="0" applyAlignment="0" applyProtection="0"/>
    <xf numFmtId="0" fontId="1" fillId="80" borderId="0" applyNumberFormat="0" applyBorder="0" applyAlignment="0" applyProtection="0"/>
    <xf numFmtId="0" fontId="1" fillId="81" borderId="0" applyNumberFormat="0" applyBorder="0" applyAlignment="0" applyProtection="0"/>
    <xf numFmtId="0" fontId="1" fillId="60" borderId="0" applyNumberFormat="0" applyBorder="0" applyAlignment="0" applyProtection="0"/>
    <xf numFmtId="0" fontId="1" fillId="61" borderId="0" applyNumberFormat="0" applyBorder="0" applyAlignment="0" applyProtection="0"/>
    <xf numFmtId="0" fontId="1" fillId="64" borderId="0" applyNumberFormat="0" applyBorder="0" applyAlignment="0" applyProtection="0"/>
    <xf numFmtId="0" fontId="1" fillId="68" borderId="0" applyNumberFormat="0" applyBorder="0" applyAlignment="0" applyProtection="0"/>
    <xf numFmtId="0" fontId="1" fillId="69" borderId="0" applyNumberFormat="0" applyBorder="0" applyAlignment="0" applyProtection="0"/>
    <xf numFmtId="0" fontId="1" fillId="72" borderId="0" applyNumberFormat="0" applyBorder="0" applyAlignment="0" applyProtection="0"/>
    <xf numFmtId="0" fontId="1" fillId="73" borderId="0" applyNumberFormat="0" applyBorder="0" applyAlignment="0" applyProtection="0"/>
    <xf numFmtId="0" fontId="1" fillId="77" borderId="0" applyNumberFormat="0" applyBorder="0" applyAlignment="0" applyProtection="0"/>
    <xf numFmtId="0" fontId="1" fillId="80" borderId="0" applyNumberFormat="0" applyBorder="0" applyAlignment="0" applyProtection="0"/>
    <xf numFmtId="0" fontId="1" fillId="81" borderId="0" applyNumberFormat="0" applyBorder="0" applyAlignment="0" applyProtection="0"/>
    <xf numFmtId="0" fontId="1" fillId="58" borderId="104" applyNumberFormat="0" applyFont="0" applyAlignment="0" applyProtection="0"/>
    <xf numFmtId="0" fontId="1" fillId="60" borderId="0" applyNumberFormat="0" applyBorder="0" applyAlignment="0" applyProtection="0"/>
    <xf numFmtId="0" fontId="1" fillId="61" borderId="0" applyNumberFormat="0" applyBorder="0" applyAlignment="0" applyProtection="0"/>
    <xf numFmtId="0" fontId="1" fillId="64" borderId="0" applyNumberFormat="0" applyBorder="0" applyAlignment="0" applyProtection="0"/>
    <xf numFmtId="0" fontId="1" fillId="68" borderId="0" applyNumberFormat="0" applyBorder="0" applyAlignment="0" applyProtection="0"/>
    <xf numFmtId="0" fontId="1" fillId="69" borderId="0" applyNumberFormat="0" applyBorder="0" applyAlignment="0" applyProtection="0"/>
    <xf numFmtId="0" fontId="1" fillId="72" borderId="0" applyNumberFormat="0" applyBorder="0" applyAlignment="0" applyProtection="0"/>
    <xf numFmtId="0" fontId="1" fillId="73" borderId="0" applyNumberFormat="0" applyBorder="0" applyAlignment="0" applyProtection="0"/>
    <xf numFmtId="0" fontId="1" fillId="77" borderId="0" applyNumberFormat="0" applyBorder="0" applyAlignment="0" applyProtection="0"/>
    <xf numFmtId="0" fontId="1" fillId="80" borderId="0" applyNumberFormat="0" applyBorder="0" applyAlignment="0" applyProtection="0"/>
    <xf numFmtId="0" fontId="1" fillId="81" borderId="0" applyNumberFormat="0" applyBorder="0" applyAlignment="0" applyProtection="0"/>
    <xf numFmtId="0" fontId="1" fillId="58" borderId="104" applyNumberFormat="0" applyFont="0" applyAlignment="0" applyProtection="0"/>
    <xf numFmtId="0" fontId="1" fillId="58" borderId="104" applyNumberFormat="0" applyFont="0" applyAlignment="0" applyProtection="0"/>
    <xf numFmtId="0" fontId="1" fillId="60" borderId="0" applyNumberFormat="0" applyBorder="0" applyAlignment="0" applyProtection="0"/>
    <xf numFmtId="0" fontId="1" fillId="61" borderId="0" applyNumberFormat="0" applyBorder="0" applyAlignment="0" applyProtection="0"/>
    <xf numFmtId="0" fontId="1" fillId="64" borderId="0" applyNumberFormat="0" applyBorder="0" applyAlignment="0" applyProtection="0"/>
    <xf numFmtId="0" fontId="1" fillId="68" borderId="0" applyNumberFormat="0" applyBorder="0" applyAlignment="0" applyProtection="0"/>
    <xf numFmtId="0" fontId="1" fillId="69" borderId="0" applyNumberFormat="0" applyBorder="0" applyAlignment="0" applyProtection="0"/>
    <xf numFmtId="0" fontId="1" fillId="72" borderId="0" applyNumberFormat="0" applyBorder="0" applyAlignment="0" applyProtection="0"/>
    <xf numFmtId="0" fontId="1" fillId="73" borderId="0" applyNumberFormat="0" applyBorder="0" applyAlignment="0" applyProtection="0"/>
    <xf numFmtId="0" fontId="1" fillId="77" borderId="0" applyNumberFormat="0" applyBorder="0" applyAlignment="0" applyProtection="0"/>
    <xf numFmtId="0" fontId="1" fillId="80" borderId="0" applyNumberFormat="0" applyBorder="0" applyAlignment="0" applyProtection="0"/>
    <xf numFmtId="0" fontId="1" fillId="81" borderId="0" applyNumberFormat="0" applyBorder="0" applyAlignment="0" applyProtection="0"/>
    <xf numFmtId="0" fontId="1" fillId="60" borderId="0" applyNumberFormat="0" applyBorder="0" applyAlignment="0" applyProtection="0"/>
    <xf numFmtId="0" fontId="1" fillId="61" borderId="0" applyNumberFormat="0" applyBorder="0" applyAlignment="0" applyProtection="0"/>
    <xf numFmtId="0" fontId="1" fillId="64" borderId="0" applyNumberFormat="0" applyBorder="0" applyAlignment="0" applyProtection="0"/>
    <xf numFmtId="0" fontId="1" fillId="68" borderId="0" applyNumberFormat="0" applyBorder="0" applyAlignment="0" applyProtection="0"/>
    <xf numFmtId="0" fontId="1" fillId="69" borderId="0" applyNumberFormat="0" applyBorder="0" applyAlignment="0" applyProtection="0"/>
    <xf numFmtId="0" fontId="1" fillId="72" borderId="0" applyNumberFormat="0" applyBorder="0" applyAlignment="0" applyProtection="0"/>
    <xf numFmtId="0" fontId="1" fillId="73" borderId="0" applyNumberFormat="0" applyBorder="0" applyAlignment="0" applyProtection="0"/>
    <xf numFmtId="0" fontId="1" fillId="77" borderId="0" applyNumberFormat="0" applyBorder="0" applyAlignment="0" applyProtection="0"/>
    <xf numFmtId="0" fontId="1" fillId="80" borderId="0" applyNumberFormat="0" applyBorder="0" applyAlignment="0" applyProtection="0"/>
    <xf numFmtId="0" fontId="1" fillId="81" borderId="0" applyNumberFormat="0" applyBorder="0" applyAlignment="0" applyProtection="0"/>
    <xf numFmtId="0" fontId="1" fillId="58" borderId="104" applyNumberFormat="0" applyFont="0" applyAlignment="0" applyProtection="0"/>
    <xf numFmtId="0" fontId="1" fillId="60" borderId="0" applyNumberFormat="0" applyBorder="0" applyAlignment="0" applyProtection="0"/>
    <xf numFmtId="0" fontId="1" fillId="61" borderId="0" applyNumberFormat="0" applyBorder="0" applyAlignment="0" applyProtection="0"/>
    <xf numFmtId="0" fontId="1" fillId="64" borderId="0" applyNumberFormat="0" applyBorder="0" applyAlignment="0" applyProtection="0"/>
    <xf numFmtId="0" fontId="1" fillId="68" borderId="0" applyNumberFormat="0" applyBorder="0" applyAlignment="0" applyProtection="0"/>
    <xf numFmtId="0" fontId="1" fillId="69" borderId="0" applyNumberFormat="0" applyBorder="0" applyAlignment="0" applyProtection="0"/>
    <xf numFmtId="0" fontId="1" fillId="72" borderId="0" applyNumberFormat="0" applyBorder="0" applyAlignment="0" applyProtection="0"/>
    <xf numFmtId="0" fontId="1" fillId="73" borderId="0" applyNumberFormat="0" applyBorder="0" applyAlignment="0" applyProtection="0"/>
    <xf numFmtId="0" fontId="1" fillId="77" borderId="0" applyNumberFormat="0" applyBorder="0" applyAlignment="0" applyProtection="0"/>
    <xf numFmtId="0" fontId="1" fillId="80" borderId="0" applyNumberFormat="0" applyBorder="0" applyAlignment="0" applyProtection="0"/>
    <xf numFmtId="0" fontId="1" fillId="81" borderId="0" applyNumberFormat="0" applyBorder="0" applyAlignment="0" applyProtection="0"/>
    <xf numFmtId="0" fontId="1" fillId="58" borderId="104" applyNumberFormat="0" applyFont="0" applyAlignment="0" applyProtection="0"/>
    <xf numFmtId="0" fontId="1" fillId="58" borderId="104" applyNumberFormat="0" applyFont="0" applyAlignment="0" applyProtection="0"/>
    <xf numFmtId="0" fontId="1" fillId="60" borderId="0" applyNumberFormat="0" applyBorder="0" applyAlignment="0" applyProtection="0"/>
    <xf numFmtId="0" fontId="1" fillId="61" borderId="0" applyNumberFormat="0" applyBorder="0" applyAlignment="0" applyProtection="0"/>
    <xf numFmtId="0" fontId="1" fillId="64" borderId="0" applyNumberFormat="0" applyBorder="0" applyAlignment="0" applyProtection="0"/>
    <xf numFmtId="0" fontId="1" fillId="68" borderId="0" applyNumberFormat="0" applyBorder="0" applyAlignment="0" applyProtection="0"/>
    <xf numFmtId="0" fontId="1" fillId="69" borderId="0" applyNumberFormat="0" applyBorder="0" applyAlignment="0" applyProtection="0"/>
    <xf numFmtId="0" fontId="1" fillId="72" borderId="0" applyNumberFormat="0" applyBorder="0" applyAlignment="0" applyProtection="0"/>
    <xf numFmtId="0" fontId="1" fillId="73" borderId="0" applyNumberFormat="0" applyBorder="0" applyAlignment="0" applyProtection="0"/>
    <xf numFmtId="0" fontId="1" fillId="77" borderId="0" applyNumberFormat="0" applyBorder="0" applyAlignment="0" applyProtection="0"/>
    <xf numFmtId="0" fontId="1" fillId="80" borderId="0" applyNumberFormat="0" applyBorder="0" applyAlignment="0" applyProtection="0"/>
    <xf numFmtId="0" fontId="1" fillId="81" borderId="0" applyNumberFormat="0" applyBorder="0" applyAlignment="0" applyProtection="0"/>
    <xf numFmtId="0" fontId="1" fillId="60" borderId="0" applyNumberFormat="0" applyBorder="0" applyAlignment="0" applyProtection="0"/>
    <xf numFmtId="0" fontId="1" fillId="61" borderId="0" applyNumberFormat="0" applyBorder="0" applyAlignment="0" applyProtection="0"/>
    <xf numFmtId="0" fontId="1" fillId="64" borderId="0" applyNumberFormat="0" applyBorder="0" applyAlignment="0" applyProtection="0"/>
    <xf numFmtId="0" fontId="1" fillId="68" borderId="0" applyNumberFormat="0" applyBorder="0" applyAlignment="0" applyProtection="0"/>
    <xf numFmtId="0" fontId="1" fillId="69" borderId="0" applyNumberFormat="0" applyBorder="0" applyAlignment="0" applyProtection="0"/>
    <xf numFmtId="0" fontId="1" fillId="72" borderId="0" applyNumberFormat="0" applyBorder="0" applyAlignment="0" applyProtection="0"/>
    <xf numFmtId="0" fontId="1" fillId="73" borderId="0" applyNumberFormat="0" applyBorder="0" applyAlignment="0" applyProtection="0"/>
    <xf numFmtId="0" fontId="1" fillId="77" borderId="0" applyNumberFormat="0" applyBorder="0" applyAlignment="0" applyProtection="0"/>
    <xf numFmtId="0" fontId="1" fillId="80" borderId="0" applyNumberFormat="0" applyBorder="0" applyAlignment="0" applyProtection="0"/>
    <xf numFmtId="0" fontId="1" fillId="81" borderId="0" applyNumberFormat="0" applyBorder="0" applyAlignment="0" applyProtection="0"/>
    <xf numFmtId="0" fontId="1" fillId="58" borderId="104" applyNumberFormat="0" applyFont="0" applyAlignment="0" applyProtection="0"/>
    <xf numFmtId="0" fontId="1" fillId="60" borderId="0" applyNumberFormat="0" applyBorder="0" applyAlignment="0" applyProtection="0"/>
    <xf numFmtId="0" fontId="1" fillId="61" borderId="0" applyNumberFormat="0" applyBorder="0" applyAlignment="0" applyProtection="0"/>
    <xf numFmtId="0" fontId="1" fillId="64" borderId="0" applyNumberFormat="0" applyBorder="0" applyAlignment="0" applyProtection="0"/>
    <xf numFmtId="0" fontId="1" fillId="68" borderId="0" applyNumberFormat="0" applyBorder="0" applyAlignment="0" applyProtection="0"/>
    <xf numFmtId="0" fontId="1" fillId="69" borderId="0" applyNumberFormat="0" applyBorder="0" applyAlignment="0" applyProtection="0"/>
    <xf numFmtId="0" fontId="1" fillId="72" borderId="0" applyNumberFormat="0" applyBorder="0" applyAlignment="0" applyProtection="0"/>
    <xf numFmtId="0" fontId="1" fillId="73" borderId="0" applyNumberFormat="0" applyBorder="0" applyAlignment="0" applyProtection="0"/>
    <xf numFmtId="0" fontId="1" fillId="77" borderId="0" applyNumberFormat="0" applyBorder="0" applyAlignment="0" applyProtection="0"/>
    <xf numFmtId="0" fontId="1" fillId="80" borderId="0" applyNumberFormat="0" applyBorder="0" applyAlignment="0" applyProtection="0"/>
    <xf numFmtId="0" fontId="1" fillId="81" borderId="0" applyNumberFormat="0" applyBorder="0" applyAlignment="0" applyProtection="0"/>
    <xf numFmtId="0" fontId="1" fillId="58" borderId="104" applyNumberFormat="0" applyFont="0" applyAlignment="0" applyProtection="0"/>
    <xf numFmtId="0" fontId="1" fillId="58" borderId="104" applyNumberFormat="0" applyFont="0" applyAlignment="0" applyProtection="0"/>
    <xf numFmtId="0" fontId="1" fillId="60" borderId="0" applyNumberFormat="0" applyBorder="0" applyAlignment="0" applyProtection="0"/>
    <xf numFmtId="0" fontId="1" fillId="61" borderId="0" applyNumberFormat="0" applyBorder="0" applyAlignment="0" applyProtection="0"/>
    <xf numFmtId="0" fontId="1" fillId="64" borderId="0" applyNumberFormat="0" applyBorder="0" applyAlignment="0" applyProtection="0"/>
    <xf numFmtId="0" fontId="1" fillId="68" borderId="0" applyNumberFormat="0" applyBorder="0" applyAlignment="0" applyProtection="0"/>
    <xf numFmtId="0" fontId="1" fillId="69" borderId="0" applyNumberFormat="0" applyBorder="0" applyAlignment="0" applyProtection="0"/>
    <xf numFmtId="0" fontId="1" fillId="72" borderId="0" applyNumberFormat="0" applyBorder="0" applyAlignment="0" applyProtection="0"/>
    <xf numFmtId="0" fontId="1" fillId="73" borderId="0" applyNumberFormat="0" applyBorder="0" applyAlignment="0" applyProtection="0"/>
    <xf numFmtId="0" fontId="1" fillId="77" borderId="0" applyNumberFormat="0" applyBorder="0" applyAlignment="0" applyProtection="0"/>
    <xf numFmtId="0" fontId="1" fillId="80" borderId="0" applyNumberFormat="0" applyBorder="0" applyAlignment="0" applyProtection="0"/>
    <xf numFmtId="0" fontId="1" fillId="81" borderId="0" applyNumberFormat="0" applyBorder="0" applyAlignment="0" applyProtection="0"/>
    <xf numFmtId="0" fontId="1" fillId="60" borderId="0" applyNumberFormat="0" applyBorder="0" applyAlignment="0" applyProtection="0"/>
    <xf numFmtId="0" fontId="1" fillId="61" borderId="0" applyNumberFormat="0" applyBorder="0" applyAlignment="0" applyProtection="0"/>
    <xf numFmtId="0" fontId="1" fillId="64" borderId="0" applyNumberFormat="0" applyBorder="0" applyAlignment="0" applyProtection="0"/>
    <xf numFmtId="0" fontId="1" fillId="68" borderId="0" applyNumberFormat="0" applyBorder="0" applyAlignment="0" applyProtection="0"/>
    <xf numFmtId="0" fontId="1" fillId="69" borderId="0" applyNumberFormat="0" applyBorder="0" applyAlignment="0" applyProtection="0"/>
    <xf numFmtId="0" fontId="1" fillId="72" borderId="0" applyNumberFormat="0" applyBorder="0" applyAlignment="0" applyProtection="0"/>
    <xf numFmtId="0" fontId="1" fillId="73" borderId="0" applyNumberFormat="0" applyBorder="0" applyAlignment="0" applyProtection="0"/>
    <xf numFmtId="0" fontId="1" fillId="77" borderId="0" applyNumberFormat="0" applyBorder="0" applyAlignment="0" applyProtection="0"/>
    <xf numFmtId="0" fontId="1" fillId="80" borderId="0" applyNumberFormat="0" applyBorder="0" applyAlignment="0" applyProtection="0"/>
    <xf numFmtId="0" fontId="1" fillId="81" borderId="0" applyNumberFormat="0" applyBorder="0" applyAlignment="0" applyProtection="0"/>
    <xf numFmtId="0" fontId="1" fillId="58" borderId="104" applyNumberFormat="0" applyFont="0" applyAlignment="0" applyProtection="0"/>
    <xf numFmtId="0" fontId="1" fillId="60" borderId="0" applyNumberFormat="0" applyBorder="0" applyAlignment="0" applyProtection="0"/>
    <xf numFmtId="0" fontId="1" fillId="61" borderId="0" applyNumberFormat="0" applyBorder="0" applyAlignment="0" applyProtection="0"/>
    <xf numFmtId="0" fontId="1" fillId="64" borderId="0" applyNumberFormat="0" applyBorder="0" applyAlignment="0" applyProtection="0"/>
    <xf numFmtId="0" fontId="1" fillId="68" borderId="0" applyNumberFormat="0" applyBorder="0" applyAlignment="0" applyProtection="0"/>
    <xf numFmtId="0" fontId="1" fillId="69" borderId="0" applyNumberFormat="0" applyBorder="0" applyAlignment="0" applyProtection="0"/>
    <xf numFmtId="0" fontId="1" fillId="72" borderId="0" applyNumberFormat="0" applyBorder="0" applyAlignment="0" applyProtection="0"/>
    <xf numFmtId="0" fontId="1" fillId="73" borderId="0" applyNumberFormat="0" applyBorder="0" applyAlignment="0" applyProtection="0"/>
    <xf numFmtId="0" fontId="1" fillId="77" borderId="0" applyNumberFormat="0" applyBorder="0" applyAlignment="0" applyProtection="0"/>
    <xf numFmtId="0" fontId="1" fillId="80" borderId="0" applyNumberFormat="0" applyBorder="0" applyAlignment="0" applyProtection="0"/>
    <xf numFmtId="0" fontId="1" fillId="81" borderId="0" applyNumberFormat="0" applyBorder="0" applyAlignment="0" applyProtection="0"/>
    <xf numFmtId="0" fontId="1" fillId="58" borderId="104" applyNumberFormat="0" applyFont="0" applyAlignment="0" applyProtection="0"/>
    <xf numFmtId="0" fontId="1" fillId="58" borderId="104" applyNumberFormat="0" applyFont="0" applyAlignment="0" applyProtection="0"/>
    <xf numFmtId="0" fontId="1" fillId="60" borderId="0" applyNumberFormat="0" applyBorder="0" applyAlignment="0" applyProtection="0"/>
    <xf numFmtId="0" fontId="1" fillId="61" borderId="0" applyNumberFormat="0" applyBorder="0" applyAlignment="0" applyProtection="0"/>
    <xf numFmtId="0" fontId="1" fillId="64" borderId="0" applyNumberFormat="0" applyBorder="0" applyAlignment="0" applyProtection="0"/>
    <xf numFmtId="0" fontId="1" fillId="68" borderId="0" applyNumberFormat="0" applyBorder="0" applyAlignment="0" applyProtection="0"/>
    <xf numFmtId="0" fontId="1" fillId="69" borderId="0" applyNumberFormat="0" applyBorder="0" applyAlignment="0" applyProtection="0"/>
    <xf numFmtId="0" fontId="1" fillId="72" borderId="0" applyNumberFormat="0" applyBorder="0" applyAlignment="0" applyProtection="0"/>
    <xf numFmtId="0" fontId="1" fillId="73" borderId="0" applyNumberFormat="0" applyBorder="0" applyAlignment="0" applyProtection="0"/>
    <xf numFmtId="0" fontId="1" fillId="77" borderId="0" applyNumberFormat="0" applyBorder="0" applyAlignment="0" applyProtection="0"/>
    <xf numFmtId="0" fontId="1" fillId="80" borderId="0" applyNumberFormat="0" applyBorder="0" applyAlignment="0" applyProtection="0"/>
    <xf numFmtId="0" fontId="1" fillId="81" borderId="0" applyNumberFormat="0" applyBorder="0" applyAlignment="0" applyProtection="0"/>
    <xf numFmtId="0" fontId="1" fillId="60" borderId="0" applyNumberFormat="0" applyBorder="0" applyAlignment="0" applyProtection="0"/>
    <xf numFmtId="0" fontId="1" fillId="61" borderId="0" applyNumberFormat="0" applyBorder="0" applyAlignment="0" applyProtection="0"/>
    <xf numFmtId="0" fontId="1" fillId="64" borderId="0" applyNumberFormat="0" applyBorder="0" applyAlignment="0" applyProtection="0"/>
    <xf numFmtId="0" fontId="1" fillId="68" borderId="0" applyNumberFormat="0" applyBorder="0" applyAlignment="0" applyProtection="0"/>
    <xf numFmtId="0" fontId="1" fillId="69" borderId="0" applyNumberFormat="0" applyBorder="0" applyAlignment="0" applyProtection="0"/>
    <xf numFmtId="0" fontId="1" fillId="72" borderId="0" applyNumberFormat="0" applyBorder="0" applyAlignment="0" applyProtection="0"/>
    <xf numFmtId="0" fontId="1" fillId="73" borderId="0" applyNumberFormat="0" applyBorder="0" applyAlignment="0" applyProtection="0"/>
    <xf numFmtId="0" fontId="1" fillId="77" borderId="0" applyNumberFormat="0" applyBorder="0" applyAlignment="0" applyProtection="0"/>
    <xf numFmtId="0" fontId="1" fillId="80" borderId="0" applyNumberFormat="0" applyBorder="0" applyAlignment="0" applyProtection="0"/>
    <xf numFmtId="0" fontId="1" fillId="81" borderId="0" applyNumberFormat="0" applyBorder="0" applyAlignment="0" applyProtection="0"/>
    <xf numFmtId="0" fontId="1" fillId="58" borderId="104" applyNumberFormat="0" applyFont="0" applyAlignment="0" applyProtection="0"/>
    <xf numFmtId="0" fontId="1" fillId="60" borderId="0" applyNumberFormat="0" applyBorder="0" applyAlignment="0" applyProtection="0"/>
    <xf numFmtId="0" fontId="1" fillId="61" borderId="0" applyNumberFormat="0" applyBorder="0" applyAlignment="0" applyProtection="0"/>
    <xf numFmtId="0" fontId="1" fillId="64" borderId="0" applyNumberFormat="0" applyBorder="0" applyAlignment="0" applyProtection="0"/>
    <xf numFmtId="0" fontId="1" fillId="68" borderId="0" applyNumberFormat="0" applyBorder="0" applyAlignment="0" applyProtection="0"/>
    <xf numFmtId="0" fontId="1" fillId="69" borderId="0" applyNumberFormat="0" applyBorder="0" applyAlignment="0" applyProtection="0"/>
    <xf numFmtId="0" fontId="1" fillId="72" borderId="0" applyNumberFormat="0" applyBorder="0" applyAlignment="0" applyProtection="0"/>
    <xf numFmtId="0" fontId="1" fillId="73" borderId="0" applyNumberFormat="0" applyBorder="0" applyAlignment="0" applyProtection="0"/>
    <xf numFmtId="0" fontId="1" fillId="77" borderId="0" applyNumberFormat="0" applyBorder="0" applyAlignment="0" applyProtection="0"/>
    <xf numFmtId="0" fontId="1" fillId="80" borderId="0" applyNumberFormat="0" applyBorder="0" applyAlignment="0" applyProtection="0"/>
    <xf numFmtId="0" fontId="1" fillId="81" borderId="0" applyNumberFormat="0" applyBorder="0" applyAlignment="0" applyProtection="0"/>
    <xf numFmtId="0" fontId="1" fillId="58" borderId="104" applyNumberFormat="0" applyFont="0" applyAlignment="0" applyProtection="0"/>
    <xf numFmtId="0" fontId="1" fillId="58" borderId="104" applyNumberFormat="0" applyFont="0" applyAlignment="0" applyProtection="0"/>
    <xf numFmtId="0" fontId="1" fillId="60" borderId="0" applyNumberFormat="0" applyBorder="0" applyAlignment="0" applyProtection="0"/>
    <xf numFmtId="0" fontId="1" fillId="61" borderId="0" applyNumberFormat="0" applyBorder="0" applyAlignment="0" applyProtection="0"/>
    <xf numFmtId="0" fontId="1" fillId="64" borderId="0" applyNumberFormat="0" applyBorder="0" applyAlignment="0" applyProtection="0"/>
    <xf numFmtId="0" fontId="1" fillId="68" borderId="0" applyNumberFormat="0" applyBorder="0" applyAlignment="0" applyProtection="0"/>
    <xf numFmtId="0" fontId="1" fillId="69" borderId="0" applyNumberFormat="0" applyBorder="0" applyAlignment="0" applyProtection="0"/>
    <xf numFmtId="0" fontId="1" fillId="72" borderId="0" applyNumberFormat="0" applyBorder="0" applyAlignment="0" applyProtection="0"/>
    <xf numFmtId="0" fontId="1" fillId="73" borderId="0" applyNumberFormat="0" applyBorder="0" applyAlignment="0" applyProtection="0"/>
    <xf numFmtId="0" fontId="1" fillId="77" borderId="0" applyNumberFormat="0" applyBorder="0" applyAlignment="0" applyProtection="0"/>
    <xf numFmtId="0" fontId="1" fillId="80" borderId="0" applyNumberFormat="0" applyBorder="0" applyAlignment="0" applyProtection="0"/>
    <xf numFmtId="0" fontId="1" fillId="81" borderId="0" applyNumberFormat="0" applyBorder="0" applyAlignment="0" applyProtection="0"/>
    <xf numFmtId="0" fontId="1" fillId="60" borderId="0" applyNumberFormat="0" applyBorder="0" applyAlignment="0" applyProtection="0"/>
    <xf numFmtId="0" fontId="1" fillId="61" borderId="0" applyNumberFormat="0" applyBorder="0" applyAlignment="0" applyProtection="0"/>
    <xf numFmtId="0" fontId="1" fillId="64" borderId="0" applyNumberFormat="0" applyBorder="0" applyAlignment="0" applyProtection="0"/>
    <xf numFmtId="0" fontId="1" fillId="68" borderId="0" applyNumberFormat="0" applyBorder="0" applyAlignment="0" applyProtection="0"/>
    <xf numFmtId="0" fontId="1" fillId="69" borderId="0" applyNumberFormat="0" applyBorder="0" applyAlignment="0" applyProtection="0"/>
    <xf numFmtId="0" fontId="1" fillId="72" borderId="0" applyNumberFormat="0" applyBorder="0" applyAlignment="0" applyProtection="0"/>
    <xf numFmtId="0" fontId="1" fillId="73" borderId="0" applyNumberFormat="0" applyBorder="0" applyAlignment="0" applyProtection="0"/>
    <xf numFmtId="0" fontId="1" fillId="77" borderId="0" applyNumberFormat="0" applyBorder="0" applyAlignment="0" applyProtection="0"/>
    <xf numFmtId="0" fontId="1" fillId="80" borderId="0" applyNumberFormat="0" applyBorder="0" applyAlignment="0" applyProtection="0"/>
    <xf numFmtId="0" fontId="1" fillId="81" borderId="0" applyNumberFormat="0" applyBorder="0" applyAlignment="0" applyProtection="0"/>
    <xf numFmtId="0" fontId="1" fillId="58" borderId="104" applyNumberFormat="0" applyFont="0" applyAlignment="0" applyProtection="0"/>
    <xf numFmtId="0" fontId="1" fillId="60" borderId="0" applyNumberFormat="0" applyBorder="0" applyAlignment="0" applyProtection="0"/>
    <xf numFmtId="0" fontId="1" fillId="60" borderId="0" applyNumberFormat="0" applyBorder="0" applyAlignment="0" applyProtection="0"/>
    <xf numFmtId="0" fontId="1" fillId="60" borderId="0" applyNumberFormat="0" applyBorder="0" applyAlignment="0" applyProtection="0"/>
    <xf numFmtId="0" fontId="1" fillId="60" borderId="0" applyNumberFormat="0" applyBorder="0" applyAlignment="0" applyProtection="0"/>
    <xf numFmtId="0" fontId="1" fillId="60" borderId="0" applyNumberFormat="0" applyBorder="0" applyAlignment="0" applyProtection="0"/>
    <xf numFmtId="0" fontId="1" fillId="60" borderId="0" applyNumberFormat="0" applyBorder="0" applyAlignment="0" applyProtection="0"/>
    <xf numFmtId="0" fontId="1" fillId="60" borderId="0" applyNumberFormat="0" applyBorder="0" applyAlignment="0" applyProtection="0"/>
    <xf numFmtId="0" fontId="1" fillId="60" borderId="0" applyNumberFormat="0" applyBorder="0" applyAlignment="0" applyProtection="0"/>
    <xf numFmtId="0" fontId="1" fillId="60" borderId="0" applyNumberFormat="0" applyBorder="0" applyAlignment="0" applyProtection="0"/>
    <xf numFmtId="0" fontId="1" fillId="64" borderId="0" applyNumberFormat="0" applyBorder="0" applyAlignment="0" applyProtection="0"/>
    <xf numFmtId="0" fontId="1" fillId="64" borderId="0" applyNumberFormat="0" applyBorder="0" applyAlignment="0" applyProtection="0"/>
    <xf numFmtId="0" fontId="1" fillId="64" borderId="0" applyNumberFormat="0" applyBorder="0" applyAlignment="0" applyProtection="0"/>
    <xf numFmtId="0" fontId="1" fillId="64" borderId="0" applyNumberFormat="0" applyBorder="0" applyAlignment="0" applyProtection="0"/>
    <xf numFmtId="0" fontId="1" fillId="64" borderId="0" applyNumberFormat="0" applyBorder="0" applyAlignment="0" applyProtection="0"/>
    <xf numFmtId="0" fontId="1" fillId="64" borderId="0" applyNumberFormat="0" applyBorder="0" applyAlignment="0" applyProtection="0"/>
    <xf numFmtId="0" fontId="1" fillId="64" borderId="0" applyNumberFormat="0" applyBorder="0" applyAlignment="0" applyProtection="0"/>
    <xf numFmtId="0" fontId="1" fillId="64" borderId="0" applyNumberFormat="0" applyBorder="0" applyAlignment="0" applyProtection="0"/>
    <xf numFmtId="0" fontId="1" fillId="64" borderId="0" applyNumberFormat="0" applyBorder="0" applyAlignment="0" applyProtection="0"/>
    <xf numFmtId="0" fontId="1" fillId="68" borderId="0" applyNumberFormat="0" applyBorder="0" applyAlignment="0" applyProtection="0"/>
    <xf numFmtId="0" fontId="1" fillId="68" borderId="0" applyNumberFormat="0" applyBorder="0" applyAlignment="0" applyProtection="0"/>
    <xf numFmtId="0" fontId="1" fillId="68" borderId="0" applyNumberFormat="0" applyBorder="0" applyAlignment="0" applyProtection="0"/>
    <xf numFmtId="0" fontId="1" fillId="68" borderId="0" applyNumberFormat="0" applyBorder="0" applyAlignment="0" applyProtection="0"/>
    <xf numFmtId="0" fontId="1" fillId="68" borderId="0" applyNumberFormat="0" applyBorder="0" applyAlignment="0" applyProtection="0"/>
    <xf numFmtId="0" fontId="1" fillId="68" borderId="0" applyNumberFormat="0" applyBorder="0" applyAlignment="0" applyProtection="0"/>
    <xf numFmtId="0" fontId="1" fillId="68" borderId="0" applyNumberFormat="0" applyBorder="0" applyAlignment="0" applyProtection="0"/>
    <xf numFmtId="0" fontId="1" fillId="68" borderId="0" applyNumberFormat="0" applyBorder="0" applyAlignment="0" applyProtection="0"/>
    <xf numFmtId="0" fontId="1" fillId="68" borderId="0" applyNumberFormat="0" applyBorder="0" applyAlignment="0" applyProtection="0"/>
    <xf numFmtId="0" fontId="1" fillId="72" borderId="0" applyNumberFormat="0" applyBorder="0" applyAlignment="0" applyProtection="0"/>
    <xf numFmtId="0" fontId="1" fillId="72" borderId="0" applyNumberFormat="0" applyBorder="0" applyAlignment="0" applyProtection="0"/>
    <xf numFmtId="0" fontId="1" fillId="72" borderId="0" applyNumberFormat="0" applyBorder="0" applyAlignment="0" applyProtection="0"/>
    <xf numFmtId="0" fontId="1" fillId="72" borderId="0" applyNumberFormat="0" applyBorder="0" applyAlignment="0" applyProtection="0"/>
    <xf numFmtId="0" fontId="1" fillId="72" borderId="0" applyNumberFormat="0" applyBorder="0" applyAlignment="0" applyProtection="0"/>
    <xf numFmtId="0" fontId="1" fillId="72" borderId="0" applyNumberFormat="0" applyBorder="0" applyAlignment="0" applyProtection="0"/>
    <xf numFmtId="0" fontId="1" fillId="72" borderId="0" applyNumberFormat="0" applyBorder="0" applyAlignment="0" applyProtection="0"/>
    <xf numFmtId="0" fontId="1" fillId="72" borderId="0" applyNumberFormat="0" applyBorder="0" applyAlignment="0" applyProtection="0"/>
    <xf numFmtId="0" fontId="1" fillId="72" borderId="0" applyNumberFormat="0" applyBorder="0" applyAlignment="0" applyProtection="0"/>
    <xf numFmtId="0" fontId="1" fillId="80" borderId="0" applyNumberFormat="0" applyBorder="0" applyAlignment="0" applyProtection="0"/>
    <xf numFmtId="0" fontId="1" fillId="80" borderId="0" applyNumberFormat="0" applyBorder="0" applyAlignment="0" applyProtection="0"/>
    <xf numFmtId="0" fontId="1" fillId="80" borderId="0" applyNumberFormat="0" applyBorder="0" applyAlignment="0" applyProtection="0"/>
    <xf numFmtId="0" fontId="1" fillId="80" borderId="0" applyNumberFormat="0" applyBorder="0" applyAlignment="0" applyProtection="0"/>
    <xf numFmtId="0" fontId="1" fillId="80" borderId="0" applyNumberFormat="0" applyBorder="0" applyAlignment="0" applyProtection="0"/>
    <xf numFmtId="0" fontId="1" fillId="80" borderId="0" applyNumberFormat="0" applyBorder="0" applyAlignment="0" applyProtection="0"/>
    <xf numFmtId="0" fontId="1" fillId="80" borderId="0" applyNumberFormat="0" applyBorder="0" applyAlignment="0" applyProtection="0"/>
    <xf numFmtId="0" fontId="1" fillId="80" borderId="0" applyNumberFormat="0" applyBorder="0" applyAlignment="0" applyProtection="0"/>
    <xf numFmtId="0" fontId="1" fillId="80" borderId="0" applyNumberFormat="0" applyBorder="0" applyAlignment="0" applyProtection="0"/>
    <xf numFmtId="0" fontId="1" fillId="61" borderId="0" applyNumberFormat="0" applyBorder="0" applyAlignment="0" applyProtection="0"/>
    <xf numFmtId="0" fontId="1" fillId="61" borderId="0" applyNumberFormat="0" applyBorder="0" applyAlignment="0" applyProtection="0"/>
    <xf numFmtId="0" fontId="1" fillId="61" borderId="0" applyNumberFormat="0" applyBorder="0" applyAlignment="0" applyProtection="0"/>
    <xf numFmtId="0" fontId="1" fillId="61" borderId="0" applyNumberFormat="0" applyBorder="0" applyAlignment="0" applyProtection="0"/>
    <xf numFmtId="0" fontId="1" fillId="61" borderId="0" applyNumberFormat="0" applyBorder="0" applyAlignment="0" applyProtection="0"/>
    <xf numFmtId="0" fontId="1" fillId="61" borderId="0" applyNumberFormat="0" applyBorder="0" applyAlignment="0" applyProtection="0"/>
    <xf numFmtId="0" fontId="1" fillId="61" borderId="0" applyNumberFormat="0" applyBorder="0" applyAlignment="0" applyProtection="0"/>
    <xf numFmtId="0" fontId="1" fillId="61" borderId="0" applyNumberFormat="0" applyBorder="0" applyAlignment="0" applyProtection="0"/>
    <xf numFmtId="0" fontId="1" fillId="61" borderId="0" applyNumberFormat="0" applyBorder="0" applyAlignment="0" applyProtection="0"/>
    <xf numFmtId="0" fontId="1" fillId="69" borderId="0" applyNumberFormat="0" applyBorder="0" applyAlignment="0" applyProtection="0"/>
    <xf numFmtId="0" fontId="1" fillId="69" borderId="0" applyNumberFormat="0" applyBorder="0" applyAlignment="0" applyProtection="0"/>
    <xf numFmtId="0" fontId="1" fillId="69" borderId="0" applyNumberFormat="0" applyBorder="0" applyAlignment="0" applyProtection="0"/>
    <xf numFmtId="0" fontId="1" fillId="69" borderId="0" applyNumberFormat="0" applyBorder="0" applyAlignment="0" applyProtection="0"/>
    <xf numFmtId="0" fontId="1" fillId="69" borderId="0" applyNumberFormat="0" applyBorder="0" applyAlignment="0" applyProtection="0"/>
    <xf numFmtId="0" fontId="1" fillId="69" borderId="0" applyNumberFormat="0" applyBorder="0" applyAlignment="0" applyProtection="0"/>
    <xf numFmtId="0" fontId="1" fillId="69" borderId="0" applyNumberFormat="0" applyBorder="0" applyAlignment="0" applyProtection="0"/>
    <xf numFmtId="0" fontId="1" fillId="69" borderId="0" applyNumberFormat="0" applyBorder="0" applyAlignment="0" applyProtection="0"/>
    <xf numFmtId="0" fontId="1" fillId="69" borderId="0" applyNumberFormat="0" applyBorder="0" applyAlignment="0" applyProtection="0"/>
    <xf numFmtId="0" fontId="1" fillId="73" borderId="0" applyNumberFormat="0" applyBorder="0" applyAlignment="0" applyProtection="0"/>
    <xf numFmtId="0" fontId="1" fillId="73" borderId="0" applyNumberFormat="0" applyBorder="0" applyAlignment="0" applyProtection="0"/>
    <xf numFmtId="0" fontId="1" fillId="73" borderId="0" applyNumberFormat="0" applyBorder="0" applyAlignment="0" applyProtection="0"/>
    <xf numFmtId="0" fontId="1" fillId="73" borderId="0" applyNumberFormat="0" applyBorder="0" applyAlignment="0" applyProtection="0"/>
    <xf numFmtId="0" fontId="1" fillId="73" borderId="0" applyNumberFormat="0" applyBorder="0" applyAlignment="0" applyProtection="0"/>
    <xf numFmtId="0" fontId="1" fillId="73" borderId="0" applyNumberFormat="0" applyBorder="0" applyAlignment="0" applyProtection="0"/>
    <xf numFmtId="0" fontId="1" fillId="73" borderId="0" applyNumberFormat="0" applyBorder="0" applyAlignment="0" applyProtection="0"/>
    <xf numFmtId="0" fontId="1" fillId="73" borderId="0" applyNumberFormat="0" applyBorder="0" applyAlignment="0" applyProtection="0"/>
    <xf numFmtId="0" fontId="1" fillId="73" borderId="0" applyNumberFormat="0" applyBorder="0" applyAlignment="0" applyProtection="0"/>
    <xf numFmtId="0" fontId="1" fillId="77" borderId="0" applyNumberFormat="0" applyBorder="0" applyAlignment="0" applyProtection="0"/>
    <xf numFmtId="0" fontId="1" fillId="77" borderId="0" applyNumberFormat="0" applyBorder="0" applyAlignment="0" applyProtection="0"/>
    <xf numFmtId="0" fontId="1" fillId="77" borderId="0" applyNumberFormat="0" applyBorder="0" applyAlignment="0" applyProtection="0"/>
    <xf numFmtId="0" fontId="1" fillId="77" borderId="0" applyNumberFormat="0" applyBorder="0" applyAlignment="0" applyProtection="0"/>
    <xf numFmtId="0" fontId="1" fillId="77" borderId="0" applyNumberFormat="0" applyBorder="0" applyAlignment="0" applyProtection="0"/>
    <xf numFmtId="0" fontId="1" fillId="77" borderId="0" applyNumberFormat="0" applyBorder="0" applyAlignment="0" applyProtection="0"/>
    <xf numFmtId="0" fontId="1" fillId="77" borderId="0" applyNumberFormat="0" applyBorder="0" applyAlignment="0" applyProtection="0"/>
    <xf numFmtId="0" fontId="1" fillId="77" borderId="0" applyNumberFormat="0" applyBorder="0" applyAlignment="0" applyProtection="0"/>
    <xf numFmtId="0" fontId="1" fillId="77" borderId="0" applyNumberFormat="0" applyBorder="0" applyAlignment="0" applyProtection="0"/>
    <xf numFmtId="0" fontId="1" fillId="81" borderId="0" applyNumberFormat="0" applyBorder="0" applyAlignment="0" applyProtection="0"/>
    <xf numFmtId="0" fontId="1" fillId="81" borderId="0" applyNumberFormat="0" applyBorder="0" applyAlignment="0" applyProtection="0"/>
    <xf numFmtId="0" fontId="1" fillId="81" borderId="0" applyNumberFormat="0" applyBorder="0" applyAlignment="0" applyProtection="0"/>
    <xf numFmtId="0" fontId="1" fillId="81" borderId="0" applyNumberFormat="0" applyBorder="0" applyAlignment="0" applyProtection="0"/>
    <xf numFmtId="0" fontId="1" fillId="81" borderId="0" applyNumberFormat="0" applyBorder="0" applyAlignment="0" applyProtection="0"/>
    <xf numFmtId="0" fontId="1" fillId="81" borderId="0" applyNumberFormat="0" applyBorder="0" applyAlignment="0" applyProtection="0"/>
    <xf numFmtId="0" fontId="1" fillId="81" borderId="0" applyNumberFormat="0" applyBorder="0" applyAlignment="0" applyProtection="0"/>
    <xf numFmtId="0" fontId="1" fillId="81" borderId="0" applyNumberFormat="0" applyBorder="0" applyAlignment="0" applyProtection="0"/>
    <xf numFmtId="0" fontId="1" fillId="81" borderId="0" applyNumberFormat="0" applyBorder="0" applyAlignment="0" applyProtection="0"/>
    <xf numFmtId="0" fontId="1" fillId="58" borderId="104" applyNumberFormat="0" applyFont="0" applyAlignment="0" applyProtection="0"/>
    <xf numFmtId="0" fontId="1" fillId="58" borderId="104" applyNumberFormat="0" applyFont="0" applyAlignment="0" applyProtection="0"/>
    <xf numFmtId="0" fontId="1" fillId="58" borderId="104" applyNumberFormat="0" applyFont="0" applyAlignment="0" applyProtection="0"/>
    <xf numFmtId="0" fontId="1" fillId="58" borderId="104" applyNumberFormat="0" applyFont="0" applyAlignment="0" applyProtection="0"/>
    <xf numFmtId="0" fontId="1" fillId="58" borderId="104" applyNumberFormat="0" applyFont="0" applyAlignment="0" applyProtection="0"/>
    <xf numFmtId="0" fontId="1" fillId="58" borderId="104" applyNumberFormat="0" applyFont="0" applyAlignment="0" applyProtection="0"/>
    <xf numFmtId="0" fontId="1" fillId="58" borderId="104" applyNumberFormat="0" applyFont="0" applyAlignment="0" applyProtection="0"/>
    <xf numFmtId="0" fontId="1" fillId="58" borderId="104" applyNumberFormat="0" applyFont="0" applyAlignment="0" applyProtection="0"/>
    <xf numFmtId="0" fontId="1" fillId="58" borderId="104" applyNumberFormat="0" applyFont="0" applyAlignment="0" applyProtection="0"/>
    <xf numFmtId="9" fontId="1" fillId="0" borderId="0" applyFont="0" applyFill="0" applyBorder="0" applyAlignment="0" applyProtection="0"/>
    <xf numFmtId="0" fontId="1" fillId="60" borderId="0" applyNumberFormat="0" applyBorder="0" applyAlignment="0" applyProtection="0"/>
    <xf numFmtId="0" fontId="1" fillId="61" borderId="0" applyNumberFormat="0" applyBorder="0" applyAlignment="0" applyProtection="0"/>
    <xf numFmtId="0" fontId="1" fillId="64" borderId="0" applyNumberFormat="0" applyBorder="0" applyAlignment="0" applyProtection="0"/>
    <xf numFmtId="0" fontId="1" fillId="68" borderId="0" applyNumberFormat="0" applyBorder="0" applyAlignment="0" applyProtection="0"/>
    <xf numFmtId="0" fontId="1" fillId="69" borderId="0" applyNumberFormat="0" applyBorder="0" applyAlignment="0" applyProtection="0"/>
    <xf numFmtId="0" fontId="1" fillId="72" borderId="0" applyNumberFormat="0" applyBorder="0" applyAlignment="0" applyProtection="0"/>
    <xf numFmtId="0" fontId="1" fillId="73" borderId="0" applyNumberFormat="0" applyBorder="0" applyAlignment="0" applyProtection="0"/>
    <xf numFmtId="0" fontId="1" fillId="77" borderId="0" applyNumberFormat="0" applyBorder="0" applyAlignment="0" applyProtection="0"/>
    <xf numFmtId="0" fontId="1" fillId="80" borderId="0" applyNumberFormat="0" applyBorder="0" applyAlignment="0" applyProtection="0"/>
    <xf numFmtId="0" fontId="1" fillId="81" borderId="0" applyNumberFormat="0" applyBorder="0" applyAlignment="0" applyProtection="0"/>
    <xf numFmtId="0" fontId="1" fillId="58" borderId="104" applyNumberFormat="0" applyFont="0" applyAlignment="0" applyProtection="0"/>
    <xf numFmtId="0" fontId="1" fillId="58" borderId="104" applyNumberFormat="0" applyFont="0" applyAlignment="0" applyProtection="0"/>
    <xf numFmtId="0" fontId="1" fillId="60" borderId="0" applyNumberFormat="0" applyBorder="0" applyAlignment="0" applyProtection="0"/>
    <xf numFmtId="0" fontId="1" fillId="61" borderId="0" applyNumberFormat="0" applyBorder="0" applyAlignment="0" applyProtection="0"/>
    <xf numFmtId="0" fontId="1" fillId="64" borderId="0" applyNumberFormat="0" applyBorder="0" applyAlignment="0" applyProtection="0"/>
    <xf numFmtId="0" fontId="1" fillId="68" borderId="0" applyNumberFormat="0" applyBorder="0" applyAlignment="0" applyProtection="0"/>
    <xf numFmtId="0" fontId="1" fillId="69" borderId="0" applyNumberFormat="0" applyBorder="0" applyAlignment="0" applyProtection="0"/>
    <xf numFmtId="0" fontId="1" fillId="72" borderId="0" applyNumberFormat="0" applyBorder="0" applyAlignment="0" applyProtection="0"/>
    <xf numFmtId="0" fontId="1" fillId="73" borderId="0" applyNumberFormat="0" applyBorder="0" applyAlignment="0" applyProtection="0"/>
    <xf numFmtId="0" fontId="1" fillId="77" borderId="0" applyNumberFormat="0" applyBorder="0" applyAlignment="0" applyProtection="0"/>
    <xf numFmtId="0" fontId="1" fillId="80" borderId="0" applyNumberFormat="0" applyBorder="0" applyAlignment="0" applyProtection="0"/>
    <xf numFmtId="0" fontId="1" fillId="81" borderId="0" applyNumberFormat="0" applyBorder="0" applyAlignment="0" applyProtection="0"/>
    <xf numFmtId="0" fontId="1" fillId="60" borderId="0" applyNumberFormat="0" applyBorder="0" applyAlignment="0" applyProtection="0"/>
    <xf numFmtId="0" fontId="1" fillId="61" borderId="0" applyNumberFormat="0" applyBorder="0" applyAlignment="0" applyProtection="0"/>
    <xf numFmtId="0" fontId="1" fillId="64" borderId="0" applyNumberFormat="0" applyBorder="0" applyAlignment="0" applyProtection="0"/>
    <xf numFmtId="0" fontId="1" fillId="68" borderId="0" applyNumberFormat="0" applyBorder="0" applyAlignment="0" applyProtection="0"/>
    <xf numFmtId="0" fontId="1" fillId="69" borderId="0" applyNumberFormat="0" applyBorder="0" applyAlignment="0" applyProtection="0"/>
    <xf numFmtId="0" fontId="1" fillId="72" borderId="0" applyNumberFormat="0" applyBorder="0" applyAlignment="0" applyProtection="0"/>
    <xf numFmtId="0" fontId="1" fillId="73" borderId="0" applyNumberFormat="0" applyBorder="0" applyAlignment="0" applyProtection="0"/>
    <xf numFmtId="0" fontId="1" fillId="77" borderId="0" applyNumberFormat="0" applyBorder="0" applyAlignment="0" applyProtection="0"/>
    <xf numFmtId="0" fontId="1" fillId="80" borderId="0" applyNumberFormat="0" applyBorder="0" applyAlignment="0" applyProtection="0"/>
    <xf numFmtId="0" fontId="1" fillId="81" borderId="0" applyNumberFormat="0" applyBorder="0" applyAlignment="0" applyProtection="0"/>
    <xf numFmtId="0" fontId="1" fillId="58" borderId="104" applyNumberFormat="0" applyFont="0" applyAlignment="0" applyProtection="0"/>
    <xf numFmtId="0" fontId="1" fillId="60" borderId="0" applyNumberFormat="0" applyBorder="0" applyAlignment="0" applyProtection="0"/>
    <xf numFmtId="0" fontId="1" fillId="61" borderId="0" applyNumberFormat="0" applyBorder="0" applyAlignment="0" applyProtection="0"/>
    <xf numFmtId="0" fontId="1" fillId="64" borderId="0" applyNumberFormat="0" applyBorder="0" applyAlignment="0" applyProtection="0"/>
    <xf numFmtId="0" fontId="1" fillId="68" borderId="0" applyNumberFormat="0" applyBorder="0" applyAlignment="0" applyProtection="0"/>
    <xf numFmtId="0" fontId="1" fillId="69" borderId="0" applyNumberFormat="0" applyBorder="0" applyAlignment="0" applyProtection="0"/>
    <xf numFmtId="0" fontId="1" fillId="72" borderId="0" applyNumberFormat="0" applyBorder="0" applyAlignment="0" applyProtection="0"/>
    <xf numFmtId="0" fontId="1" fillId="73" borderId="0" applyNumberFormat="0" applyBorder="0" applyAlignment="0" applyProtection="0"/>
    <xf numFmtId="0" fontId="1" fillId="77" borderId="0" applyNumberFormat="0" applyBorder="0" applyAlignment="0" applyProtection="0"/>
    <xf numFmtId="0" fontId="1" fillId="80" borderId="0" applyNumberFormat="0" applyBorder="0" applyAlignment="0" applyProtection="0"/>
    <xf numFmtId="0" fontId="1" fillId="81" borderId="0" applyNumberFormat="0" applyBorder="0" applyAlignment="0" applyProtection="0"/>
    <xf numFmtId="0" fontId="1" fillId="58" borderId="104" applyNumberFormat="0" applyFont="0" applyAlignment="0" applyProtection="0"/>
    <xf numFmtId="0" fontId="1" fillId="58" borderId="104" applyNumberFormat="0" applyFont="0" applyAlignment="0" applyProtection="0"/>
    <xf numFmtId="0" fontId="1" fillId="60" borderId="0" applyNumberFormat="0" applyBorder="0" applyAlignment="0" applyProtection="0"/>
    <xf numFmtId="0" fontId="1" fillId="61" borderId="0" applyNumberFormat="0" applyBorder="0" applyAlignment="0" applyProtection="0"/>
    <xf numFmtId="0" fontId="1" fillId="64" borderId="0" applyNumberFormat="0" applyBorder="0" applyAlignment="0" applyProtection="0"/>
    <xf numFmtId="0" fontId="1" fillId="68" borderId="0" applyNumberFormat="0" applyBorder="0" applyAlignment="0" applyProtection="0"/>
    <xf numFmtId="0" fontId="1" fillId="69" borderId="0" applyNumberFormat="0" applyBorder="0" applyAlignment="0" applyProtection="0"/>
    <xf numFmtId="0" fontId="1" fillId="72" borderId="0" applyNumberFormat="0" applyBorder="0" applyAlignment="0" applyProtection="0"/>
    <xf numFmtId="0" fontId="1" fillId="73" borderId="0" applyNumberFormat="0" applyBorder="0" applyAlignment="0" applyProtection="0"/>
    <xf numFmtId="0" fontId="1" fillId="77" borderId="0" applyNumberFormat="0" applyBorder="0" applyAlignment="0" applyProtection="0"/>
    <xf numFmtId="0" fontId="1" fillId="80" borderId="0" applyNumberFormat="0" applyBorder="0" applyAlignment="0" applyProtection="0"/>
    <xf numFmtId="0" fontId="1" fillId="81" borderId="0" applyNumberFormat="0" applyBorder="0" applyAlignment="0" applyProtection="0"/>
    <xf numFmtId="0" fontId="1" fillId="60" borderId="0" applyNumberFormat="0" applyBorder="0" applyAlignment="0" applyProtection="0"/>
    <xf numFmtId="0" fontId="1" fillId="61" borderId="0" applyNumberFormat="0" applyBorder="0" applyAlignment="0" applyProtection="0"/>
    <xf numFmtId="0" fontId="1" fillId="64" borderId="0" applyNumberFormat="0" applyBorder="0" applyAlignment="0" applyProtection="0"/>
    <xf numFmtId="0" fontId="1" fillId="68" borderId="0" applyNumberFormat="0" applyBorder="0" applyAlignment="0" applyProtection="0"/>
    <xf numFmtId="0" fontId="1" fillId="69" borderId="0" applyNumberFormat="0" applyBorder="0" applyAlignment="0" applyProtection="0"/>
    <xf numFmtId="0" fontId="1" fillId="72" borderId="0" applyNumberFormat="0" applyBorder="0" applyAlignment="0" applyProtection="0"/>
    <xf numFmtId="0" fontId="1" fillId="73" borderId="0" applyNumberFormat="0" applyBorder="0" applyAlignment="0" applyProtection="0"/>
    <xf numFmtId="0" fontId="1" fillId="77" borderId="0" applyNumberFormat="0" applyBorder="0" applyAlignment="0" applyProtection="0"/>
    <xf numFmtId="0" fontId="1" fillId="80" borderId="0" applyNumberFormat="0" applyBorder="0" applyAlignment="0" applyProtection="0"/>
    <xf numFmtId="0" fontId="1" fillId="81" borderId="0" applyNumberFormat="0" applyBorder="0" applyAlignment="0" applyProtection="0"/>
    <xf numFmtId="0" fontId="1" fillId="58" borderId="104" applyNumberFormat="0" applyFont="0" applyAlignment="0" applyProtection="0"/>
    <xf numFmtId="0" fontId="1" fillId="60" borderId="0" applyNumberFormat="0" applyBorder="0" applyAlignment="0" applyProtection="0"/>
    <xf numFmtId="0" fontId="1" fillId="61" borderId="0" applyNumberFormat="0" applyBorder="0" applyAlignment="0" applyProtection="0"/>
    <xf numFmtId="0" fontId="1" fillId="64" borderId="0" applyNumberFormat="0" applyBorder="0" applyAlignment="0" applyProtection="0"/>
    <xf numFmtId="0" fontId="1" fillId="68" borderId="0" applyNumberFormat="0" applyBorder="0" applyAlignment="0" applyProtection="0"/>
    <xf numFmtId="0" fontId="1" fillId="69" borderId="0" applyNumberFormat="0" applyBorder="0" applyAlignment="0" applyProtection="0"/>
    <xf numFmtId="0" fontId="1" fillId="72" borderId="0" applyNumberFormat="0" applyBorder="0" applyAlignment="0" applyProtection="0"/>
    <xf numFmtId="0" fontId="1" fillId="73" borderId="0" applyNumberFormat="0" applyBorder="0" applyAlignment="0" applyProtection="0"/>
    <xf numFmtId="0" fontId="1" fillId="77" borderId="0" applyNumberFormat="0" applyBorder="0" applyAlignment="0" applyProtection="0"/>
    <xf numFmtId="0" fontId="1" fillId="80" borderId="0" applyNumberFormat="0" applyBorder="0" applyAlignment="0" applyProtection="0"/>
    <xf numFmtId="0" fontId="1" fillId="81" borderId="0" applyNumberFormat="0" applyBorder="0" applyAlignment="0" applyProtection="0"/>
    <xf numFmtId="0" fontId="1" fillId="58" borderId="104" applyNumberFormat="0" applyFont="0" applyAlignment="0" applyProtection="0"/>
    <xf numFmtId="0" fontId="1" fillId="58" borderId="104" applyNumberFormat="0" applyFont="0" applyAlignment="0" applyProtection="0"/>
    <xf numFmtId="0" fontId="1" fillId="60" borderId="0" applyNumberFormat="0" applyBorder="0" applyAlignment="0" applyProtection="0"/>
    <xf numFmtId="0" fontId="1" fillId="61" borderId="0" applyNumberFormat="0" applyBorder="0" applyAlignment="0" applyProtection="0"/>
    <xf numFmtId="0" fontId="1" fillId="64" borderId="0" applyNumberFormat="0" applyBorder="0" applyAlignment="0" applyProtection="0"/>
    <xf numFmtId="0" fontId="1" fillId="68" borderId="0" applyNumberFormat="0" applyBorder="0" applyAlignment="0" applyProtection="0"/>
    <xf numFmtId="0" fontId="1" fillId="69" borderId="0" applyNumberFormat="0" applyBorder="0" applyAlignment="0" applyProtection="0"/>
    <xf numFmtId="0" fontId="1" fillId="72" borderId="0" applyNumberFormat="0" applyBorder="0" applyAlignment="0" applyProtection="0"/>
    <xf numFmtId="0" fontId="1" fillId="73" borderId="0" applyNumberFormat="0" applyBorder="0" applyAlignment="0" applyProtection="0"/>
    <xf numFmtId="0" fontId="1" fillId="77" borderId="0" applyNumberFormat="0" applyBorder="0" applyAlignment="0" applyProtection="0"/>
    <xf numFmtId="0" fontId="1" fillId="80" borderId="0" applyNumberFormat="0" applyBorder="0" applyAlignment="0" applyProtection="0"/>
    <xf numFmtId="0" fontId="1" fillId="81" borderId="0" applyNumberFormat="0" applyBorder="0" applyAlignment="0" applyProtection="0"/>
    <xf numFmtId="0" fontId="1" fillId="60" borderId="0" applyNumberFormat="0" applyBorder="0" applyAlignment="0" applyProtection="0"/>
    <xf numFmtId="0" fontId="1" fillId="61" borderId="0" applyNumberFormat="0" applyBorder="0" applyAlignment="0" applyProtection="0"/>
    <xf numFmtId="0" fontId="1" fillId="64" borderId="0" applyNumberFormat="0" applyBorder="0" applyAlignment="0" applyProtection="0"/>
    <xf numFmtId="0" fontId="1" fillId="68" borderId="0" applyNumberFormat="0" applyBorder="0" applyAlignment="0" applyProtection="0"/>
    <xf numFmtId="0" fontId="1" fillId="69" borderId="0" applyNumberFormat="0" applyBorder="0" applyAlignment="0" applyProtection="0"/>
    <xf numFmtId="0" fontId="1" fillId="72" borderId="0" applyNumberFormat="0" applyBorder="0" applyAlignment="0" applyProtection="0"/>
    <xf numFmtId="0" fontId="1" fillId="73" borderId="0" applyNumberFormat="0" applyBorder="0" applyAlignment="0" applyProtection="0"/>
    <xf numFmtId="0" fontId="1" fillId="77" borderId="0" applyNumberFormat="0" applyBorder="0" applyAlignment="0" applyProtection="0"/>
    <xf numFmtId="0" fontId="1" fillId="80" borderId="0" applyNumberFormat="0" applyBorder="0" applyAlignment="0" applyProtection="0"/>
    <xf numFmtId="0" fontId="1" fillId="81" borderId="0" applyNumberFormat="0" applyBorder="0" applyAlignment="0" applyProtection="0"/>
    <xf numFmtId="0" fontId="1" fillId="58" borderId="104" applyNumberFormat="0" applyFont="0" applyAlignment="0" applyProtection="0"/>
    <xf numFmtId="0" fontId="1" fillId="60" borderId="0" applyNumberFormat="0" applyBorder="0" applyAlignment="0" applyProtection="0"/>
    <xf numFmtId="0" fontId="1" fillId="61" borderId="0" applyNumberFormat="0" applyBorder="0" applyAlignment="0" applyProtection="0"/>
    <xf numFmtId="0" fontId="1" fillId="64" borderId="0" applyNumberFormat="0" applyBorder="0" applyAlignment="0" applyProtection="0"/>
    <xf numFmtId="0" fontId="1" fillId="68" borderId="0" applyNumberFormat="0" applyBorder="0" applyAlignment="0" applyProtection="0"/>
    <xf numFmtId="0" fontId="1" fillId="69" borderId="0" applyNumberFormat="0" applyBorder="0" applyAlignment="0" applyProtection="0"/>
    <xf numFmtId="0" fontId="1" fillId="72" borderId="0" applyNumberFormat="0" applyBorder="0" applyAlignment="0" applyProtection="0"/>
    <xf numFmtId="0" fontId="1" fillId="73" borderId="0" applyNumberFormat="0" applyBorder="0" applyAlignment="0" applyProtection="0"/>
    <xf numFmtId="0" fontId="1" fillId="77" borderId="0" applyNumberFormat="0" applyBorder="0" applyAlignment="0" applyProtection="0"/>
    <xf numFmtId="0" fontId="1" fillId="80" borderId="0" applyNumberFormat="0" applyBorder="0" applyAlignment="0" applyProtection="0"/>
    <xf numFmtId="0" fontId="1" fillId="81" borderId="0" applyNumberFormat="0" applyBorder="0" applyAlignment="0" applyProtection="0"/>
    <xf numFmtId="0" fontId="1" fillId="58" borderId="104" applyNumberFormat="0" applyFont="0" applyAlignment="0" applyProtection="0"/>
    <xf numFmtId="0" fontId="1" fillId="58" borderId="104" applyNumberFormat="0" applyFont="0" applyAlignment="0" applyProtection="0"/>
    <xf numFmtId="0" fontId="1" fillId="60" borderId="0" applyNumberFormat="0" applyBorder="0" applyAlignment="0" applyProtection="0"/>
    <xf numFmtId="0" fontId="1" fillId="61" borderId="0" applyNumberFormat="0" applyBorder="0" applyAlignment="0" applyProtection="0"/>
    <xf numFmtId="0" fontId="1" fillId="64" borderId="0" applyNumberFormat="0" applyBorder="0" applyAlignment="0" applyProtection="0"/>
    <xf numFmtId="0" fontId="1" fillId="68" borderId="0" applyNumberFormat="0" applyBorder="0" applyAlignment="0" applyProtection="0"/>
    <xf numFmtId="0" fontId="1" fillId="69" borderId="0" applyNumberFormat="0" applyBorder="0" applyAlignment="0" applyProtection="0"/>
    <xf numFmtId="0" fontId="1" fillId="72" borderId="0" applyNumberFormat="0" applyBorder="0" applyAlignment="0" applyProtection="0"/>
    <xf numFmtId="0" fontId="1" fillId="73" borderId="0" applyNumberFormat="0" applyBorder="0" applyAlignment="0" applyProtection="0"/>
    <xf numFmtId="0" fontId="1" fillId="77" borderId="0" applyNumberFormat="0" applyBorder="0" applyAlignment="0" applyProtection="0"/>
    <xf numFmtId="0" fontId="1" fillId="80" borderId="0" applyNumberFormat="0" applyBorder="0" applyAlignment="0" applyProtection="0"/>
    <xf numFmtId="0" fontId="1" fillId="81" borderId="0" applyNumberFormat="0" applyBorder="0" applyAlignment="0" applyProtection="0"/>
    <xf numFmtId="0" fontId="1" fillId="60" borderId="0" applyNumberFormat="0" applyBorder="0" applyAlignment="0" applyProtection="0"/>
    <xf numFmtId="0" fontId="1" fillId="61" borderId="0" applyNumberFormat="0" applyBorder="0" applyAlignment="0" applyProtection="0"/>
    <xf numFmtId="0" fontId="1" fillId="64" borderId="0" applyNumberFormat="0" applyBorder="0" applyAlignment="0" applyProtection="0"/>
    <xf numFmtId="0" fontId="1" fillId="68" borderId="0" applyNumberFormat="0" applyBorder="0" applyAlignment="0" applyProtection="0"/>
    <xf numFmtId="0" fontId="1" fillId="69" borderId="0" applyNumberFormat="0" applyBorder="0" applyAlignment="0" applyProtection="0"/>
    <xf numFmtId="0" fontId="1" fillId="72" borderId="0" applyNumberFormat="0" applyBorder="0" applyAlignment="0" applyProtection="0"/>
    <xf numFmtId="0" fontId="1" fillId="73" borderId="0" applyNumberFormat="0" applyBorder="0" applyAlignment="0" applyProtection="0"/>
    <xf numFmtId="0" fontId="1" fillId="77" borderId="0" applyNumberFormat="0" applyBorder="0" applyAlignment="0" applyProtection="0"/>
    <xf numFmtId="0" fontId="1" fillId="80" borderId="0" applyNumberFormat="0" applyBorder="0" applyAlignment="0" applyProtection="0"/>
    <xf numFmtId="0" fontId="1" fillId="81" borderId="0" applyNumberFormat="0" applyBorder="0" applyAlignment="0" applyProtection="0"/>
    <xf numFmtId="0" fontId="1" fillId="58" borderId="104" applyNumberFormat="0" applyFont="0" applyAlignment="0" applyProtection="0"/>
    <xf numFmtId="0" fontId="1" fillId="60" borderId="0" applyNumberFormat="0" applyBorder="0" applyAlignment="0" applyProtection="0"/>
    <xf numFmtId="0" fontId="1" fillId="61" borderId="0" applyNumberFormat="0" applyBorder="0" applyAlignment="0" applyProtection="0"/>
    <xf numFmtId="0" fontId="1" fillId="64" borderId="0" applyNumberFormat="0" applyBorder="0" applyAlignment="0" applyProtection="0"/>
    <xf numFmtId="0" fontId="1" fillId="68" borderId="0" applyNumberFormat="0" applyBorder="0" applyAlignment="0" applyProtection="0"/>
    <xf numFmtId="0" fontId="1" fillId="69" borderId="0" applyNumberFormat="0" applyBorder="0" applyAlignment="0" applyProtection="0"/>
    <xf numFmtId="0" fontId="1" fillId="72" borderId="0" applyNumberFormat="0" applyBorder="0" applyAlignment="0" applyProtection="0"/>
    <xf numFmtId="0" fontId="1" fillId="73" borderId="0" applyNumberFormat="0" applyBorder="0" applyAlignment="0" applyProtection="0"/>
    <xf numFmtId="0" fontId="1" fillId="77" borderId="0" applyNumberFormat="0" applyBorder="0" applyAlignment="0" applyProtection="0"/>
    <xf numFmtId="0" fontId="1" fillId="80" borderId="0" applyNumberFormat="0" applyBorder="0" applyAlignment="0" applyProtection="0"/>
    <xf numFmtId="0" fontId="1" fillId="81" borderId="0" applyNumberFormat="0" applyBorder="0" applyAlignment="0" applyProtection="0"/>
    <xf numFmtId="0" fontId="1" fillId="58" borderId="104" applyNumberFormat="0" applyFont="0" applyAlignment="0" applyProtection="0"/>
    <xf numFmtId="0" fontId="1" fillId="58" borderId="104" applyNumberFormat="0" applyFont="0" applyAlignment="0" applyProtection="0"/>
    <xf numFmtId="0" fontId="1" fillId="60" borderId="0" applyNumberFormat="0" applyBorder="0" applyAlignment="0" applyProtection="0"/>
    <xf numFmtId="0" fontId="1" fillId="61" borderId="0" applyNumberFormat="0" applyBorder="0" applyAlignment="0" applyProtection="0"/>
    <xf numFmtId="0" fontId="1" fillId="64" borderId="0" applyNumberFormat="0" applyBorder="0" applyAlignment="0" applyProtection="0"/>
    <xf numFmtId="0" fontId="1" fillId="68" borderId="0" applyNumberFormat="0" applyBorder="0" applyAlignment="0" applyProtection="0"/>
    <xf numFmtId="0" fontId="1" fillId="69" borderId="0" applyNumberFormat="0" applyBorder="0" applyAlignment="0" applyProtection="0"/>
    <xf numFmtId="0" fontId="1" fillId="72" borderId="0" applyNumberFormat="0" applyBorder="0" applyAlignment="0" applyProtection="0"/>
    <xf numFmtId="0" fontId="1" fillId="73" borderId="0" applyNumberFormat="0" applyBorder="0" applyAlignment="0" applyProtection="0"/>
    <xf numFmtId="0" fontId="1" fillId="77" borderId="0" applyNumberFormat="0" applyBorder="0" applyAlignment="0" applyProtection="0"/>
    <xf numFmtId="0" fontId="1" fillId="80" borderId="0" applyNumberFormat="0" applyBorder="0" applyAlignment="0" applyProtection="0"/>
    <xf numFmtId="0" fontId="1" fillId="81" borderId="0" applyNumberFormat="0" applyBorder="0" applyAlignment="0" applyProtection="0"/>
    <xf numFmtId="0" fontId="1" fillId="60" borderId="0" applyNumberFormat="0" applyBorder="0" applyAlignment="0" applyProtection="0"/>
    <xf numFmtId="0" fontId="1" fillId="61" borderId="0" applyNumberFormat="0" applyBorder="0" applyAlignment="0" applyProtection="0"/>
    <xf numFmtId="0" fontId="1" fillId="64" borderId="0" applyNumberFormat="0" applyBorder="0" applyAlignment="0" applyProtection="0"/>
    <xf numFmtId="0" fontId="1" fillId="68" borderId="0" applyNumberFormat="0" applyBorder="0" applyAlignment="0" applyProtection="0"/>
    <xf numFmtId="0" fontId="1" fillId="69" borderId="0" applyNumberFormat="0" applyBorder="0" applyAlignment="0" applyProtection="0"/>
    <xf numFmtId="0" fontId="1" fillId="72" borderId="0" applyNumberFormat="0" applyBorder="0" applyAlignment="0" applyProtection="0"/>
    <xf numFmtId="0" fontId="1" fillId="73" borderId="0" applyNumberFormat="0" applyBorder="0" applyAlignment="0" applyProtection="0"/>
    <xf numFmtId="0" fontId="1" fillId="77" borderId="0" applyNumberFormat="0" applyBorder="0" applyAlignment="0" applyProtection="0"/>
    <xf numFmtId="0" fontId="1" fillId="80" borderId="0" applyNumberFormat="0" applyBorder="0" applyAlignment="0" applyProtection="0"/>
    <xf numFmtId="0" fontId="1" fillId="81" borderId="0" applyNumberFormat="0" applyBorder="0" applyAlignment="0" applyProtection="0"/>
    <xf numFmtId="0" fontId="1" fillId="58" borderId="104" applyNumberFormat="0" applyFont="0" applyAlignment="0" applyProtection="0"/>
    <xf numFmtId="0" fontId="1" fillId="60" borderId="0" applyNumberFormat="0" applyBorder="0" applyAlignment="0" applyProtection="0"/>
    <xf numFmtId="0" fontId="1" fillId="61" borderId="0" applyNumberFormat="0" applyBorder="0" applyAlignment="0" applyProtection="0"/>
    <xf numFmtId="0" fontId="1" fillId="64" borderId="0" applyNumberFormat="0" applyBorder="0" applyAlignment="0" applyProtection="0"/>
    <xf numFmtId="0" fontId="1" fillId="68" borderId="0" applyNumberFormat="0" applyBorder="0" applyAlignment="0" applyProtection="0"/>
    <xf numFmtId="0" fontId="1" fillId="69" borderId="0" applyNumberFormat="0" applyBorder="0" applyAlignment="0" applyProtection="0"/>
    <xf numFmtId="0" fontId="1" fillId="72" borderId="0" applyNumberFormat="0" applyBorder="0" applyAlignment="0" applyProtection="0"/>
    <xf numFmtId="0" fontId="1" fillId="73" borderId="0" applyNumberFormat="0" applyBorder="0" applyAlignment="0" applyProtection="0"/>
    <xf numFmtId="0" fontId="1" fillId="77" borderId="0" applyNumberFormat="0" applyBorder="0" applyAlignment="0" applyProtection="0"/>
    <xf numFmtId="0" fontId="1" fillId="80" borderId="0" applyNumberFormat="0" applyBorder="0" applyAlignment="0" applyProtection="0"/>
    <xf numFmtId="0" fontId="1" fillId="81" borderId="0" applyNumberFormat="0" applyBorder="0" applyAlignment="0" applyProtection="0"/>
    <xf numFmtId="0" fontId="1" fillId="58" borderId="104" applyNumberFormat="0" applyFont="0" applyAlignment="0" applyProtection="0"/>
    <xf numFmtId="0" fontId="1" fillId="58" borderId="104" applyNumberFormat="0" applyFont="0" applyAlignment="0" applyProtection="0"/>
    <xf numFmtId="0" fontId="1" fillId="60" borderId="0" applyNumberFormat="0" applyBorder="0" applyAlignment="0" applyProtection="0"/>
    <xf numFmtId="0" fontId="1" fillId="61" borderId="0" applyNumberFormat="0" applyBorder="0" applyAlignment="0" applyProtection="0"/>
    <xf numFmtId="0" fontId="1" fillId="64" borderId="0" applyNumberFormat="0" applyBorder="0" applyAlignment="0" applyProtection="0"/>
    <xf numFmtId="0" fontId="1" fillId="68" borderId="0" applyNumberFormat="0" applyBorder="0" applyAlignment="0" applyProtection="0"/>
    <xf numFmtId="0" fontId="1" fillId="69" borderId="0" applyNumberFormat="0" applyBorder="0" applyAlignment="0" applyProtection="0"/>
    <xf numFmtId="0" fontId="1" fillId="72" borderId="0" applyNumberFormat="0" applyBorder="0" applyAlignment="0" applyProtection="0"/>
    <xf numFmtId="0" fontId="1" fillId="73" borderId="0" applyNumberFormat="0" applyBorder="0" applyAlignment="0" applyProtection="0"/>
    <xf numFmtId="0" fontId="1" fillId="77" borderId="0" applyNumberFormat="0" applyBorder="0" applyAlignment="0" applyProtection="0"/>
    <xf numFmtId="0" fontId="1" fillId="80" borderId="0" applyNumberFormat="0" applyBorder="0" applyAlignment="0" applyProtection="0"/>
    <xf numFmtId="0" fontId="1" fillId="81" borderId="0" applyNumberFormat="0" applyBorder="0" applyAlignment="0" applyProtection="0"/>
    <xf numFmtId="0" fontId="1" fillId="60" borderId="0" applyNumberFormat="0" applyBorder="0" applyAlignment="0" applyProtection="0"/>
    <xf numFmtId="0" fontId="1" fillId="61" borderId="0" applyNumberFormat="0" applyBorder="0" applyAlignment="0" applyProtection="0"/>
    <xf numFmtId="0" fontId="1" fillId="64" borderId="0" applyNumberFormat="0" applyBorder="0" applyAlignment="0" applyProtection="0"/>
    <xf numFmtId="0" fontId="1" fillId="68" borderId="0" applyNumberFormat="0" applyBorder="0" applyAlignment="0" applyProtection="0"/>
    <xf numFmtId="0" fontId="1" fillId="69" borderId="0" applyNumberFormat="0" applyBorder="0" applyAlignment="0" applyProtection="0"/>
    <xf numFmtId="0" fontId="1" fillId="72" borderId="0" applyNumberFormat="0" applyBorder="0" applyAlignment="0" applyProtection="0"/>
    <xf numFmtId="0" fontId="1" fillId="73" borderId="0" applyNumberFormat="0" applyBorder="0" applyAlignment="0" applyProtection="0"/>
    <xf numFmtId="0" fontId="1" fillId="77" borderId="0" applyNumberFormat="0" applyBorder="0" applyAlignment="0" applyProtection="0"/>
    <xf numFmtId="0" fontId="1" fillId="80" borderId="0" applyNumberFormat="0" applyBorder="0" applyAlignment="0" applyProtection="0"/>
    <xf numFmtId="0" fontId="1" fillId="81" borderId="0" applyNumberFormat="0" applyBorder="0" applyAlignment="0" applyProtection="0"/>
    <xf numFmtId="0" fontId="1" fillId="58" borderId="104" applyNumberFormat="0" applyFont="0" applyAlignment="0" applyProtection="0"/>
    <xf numFmtId="0" fontId="1" fillId="60" borderId="0" applyNumberFormat="0" applyBorder="0" applyAlignment="0" applyProtection="0"/>
    <xf numFmtId="0" fontId="1" fillId="60" borderId="0" applyNumberFormat="0" applyBorder="0" applyAlignment="0" applyProtection="0"/>
    <xf numFmtId="0" fontId="1" fillId="60" borderId="0" applyNumberFormat="0" applyBorder="0" applyAlignment="0" applyProtection="0"/>
    <xf numFmtId="0" fontId="1" fillId="60" borderId="0" applyNumberFormat="0" applyBorder="0" applyAlignment="0" applyProtection="0"/>
    <xf numFmtId="0" fontId="1" fillId="60" borderId="0" applyNumberFormat="0" applyBorder="0" applyAlignment="0" applyProtection="0"/>
    <xf numFmtId="0" fontId="1" fillId="60" borderId="0" applyNumberFormat="0" applyBorder="0" applyAlignment="0" applyProtection="0"/>
    <xf numFmtId="0" fontId="1" fillId="60" borderId="0" applyNumberFormat="0" applyBorder="0" applyAlignment="0" applyProtection="0"/>
    <xf numFmtId="0" fontId="1" fillId="60" borderId="0" applyNumberFormat="0" applyBorder="0" applyAlignment="0" applyProtection="0"/>
    <xf numFmtId="0" fontId="1" fillId="60" borderId="0" applyNumberFormat="0" applyBorder="0" applyAlignment="0" applyProtection="0"/>
    <xf numFmtId="0" fontId="1" fillId="64" borderId="0" applyNumberFormat="0" applyBorder="0" applyAlignment="0" applyProtection="0"/>
    <xf numFmtId="0" fontId="1" fillId="64" borderId="0" applyNumberFormat="0" applyBorder="0" applyAlignment="0" applyProtection="0"/>
    <xf numFmtId="0" fontId="1" fillId="64" borderId="0" applyNumberFormat="0" applyBorder="0" applyAlignment="0" applyProtection="0"/>
    <xf numFmtId="0" fontId="1" fillId="64" borderId="0" applyNumberFormat="0" applyBorder="0" applyAlignment="0" applyProtection="0"/>
    <xf numFmtId="0" fontId="1" fillId="64" borderId="0" applyNumberFormat="0" applyBorder="0" applyAlignment="0" applyProtection="0"/>
    <xf numFmtId="0" fontId="1" fillId="64" borderId="0" applyNumberFormat="0" applyBorder="0" applyAlignment="0" applyProtection="0"/>
    <xf numFmtId="0" fontId="1" fillId="64" borderId="0" applyNumberFormat="0" applyBorder="0" applyAlignment="0" applyProtection="0"/>
    <xf numFmtId="0" fontId="1" fillId="64" borderId="0" applyNumberFormat="0" applyBorder="0" applyAlignment="0" applyProtection="0"/>
    <xf numFmtId="0" fontId="1" fillId="64" borderId="0" applyNumberFormat="0" applyBorder="0" applyAlignment="0" applyProtection="0"/>
    <xf numFmtId="0" fontId="1" fillId="68" borderId="0" applyNumberFormat="0" applyBorder="0" applyAlignment="0" applyProtection="0"/>
    <xf numFmtId="0" fontId="1" fillId="68" borderId="0" applyNumberFormat="0" applyBorder="0" applyAlignment="0" applyProtection="0"/>
    <xf numFmtId="0" fontId="1" fillId="68" borderId="0" applyNumberFormat="0" applyBorder="0" applyAlignment="0" applyProtection="0"/>
    <xf numFmtId="0" fontId="1" fillId="68" borderId="0" applyNumberFormat="0" applyBorder="0" applyAlignment="0" applyProtection="0"/>
    <xf numFmtId="0" fontId="1" fillId="68" borderId="0" applyNumberFormat="0" applyBorder="0" applyAlignment="0" applyProtection="0"/>
    <xf numFmtId="0" fontId="1" fillId="68" borderId="0" applyNumberFormat="0" applyBorder="0" applyAlignment="0" applyProtection="0"/>
    <xf numFmtId="0" fontId="1" fillId="68" borderId="0" applyNumberFormat="0" applyBorder="0" applyAlignment="0" applyProtection="0"/>
    <xf numFmtId="0" fontId="1" fillId="68" borderId="0" applyNumberFormat="0" applyBorder="0" applyAlignment="0" applyProtection="0"/>
    <xf numFmtId="0" fontId="1" fillId="68" borderId="0" applyNumberFormat="0" applyBorder="0" applyAlignment="0" applyProtection="0"/>
    <xf numFmtId="0" fontId="1" fillId="72" borderId="0" applyNumberFormat="0" applyBorder="0" applyAlignment="0" applyProtection="0"/>
    <xf numFmtId="0" fontId="1" fillId="72" borderId="0" applyNumberFormat="0" applyBorder="0" applyAlignment="0" applyProtection="0"/>
    <xf numFmtId="0" fontId="1" fillId="72" borderId="0" applyNumberFormat="0" applyBorder="0" applyAlignment="0" applyProtection="0"/>
    <xf numFmtId="0" fontId="1" fillId="72" borderId="0" applyNumberFormat="0" applyBorder="0" applyAlignment="0" applyProtection="0"/>
    <xf numFmtId="0" fontId="1" fillId="72" borderId="0" applyNumberFormat="0" applyBorder="0" applyAlignment="0" applyProtection="0"/>
    <xf numFmtId="0" fontId="1" fillId="72" borderId="0" applyNumberFormat="0" applyBorder="0" applyAlignment="0" applyProtection="0"/>
    <xf numFmtId="0" fontId="1" fillId="72" borderId="0" applyNumberFormat="0" applyBorder="0" applyAlignment="0" applyProtection="0"/>
    <xf numFmtId="0" fontId="1" fillId="72" borderId="0" applyNumberFormat="0" applyBorder="0" applyAlignment="0" applyProtection="0"/>
    <xf numFmtId="0" fontId="1" fillId="72" borderId="0" applyNumberFormat="0" applyBorder="0" applyAlignment="0" applyProtection="0"/>
    <xf numFmtId="0" fontId="1" fillId="80" borderId="0" applyNumberFormat="0" applyBorder="0" applyAlignment="0" applyProtection="0"/>
    <xf numFmtId="0" fontId="1" fillId="80" borderId="0" applyNumberFormat="0" applyBorder="0" applyAlignment="0" applyProtection="0"/>
    <xf numFmtId="0" fontId="1" fillId="80" borderId="0" applyNumberFormat="0" applyBorder="0" applyAlignment="0" applyProtection="0"/>
    <xf numFmtId="0" fontId="1" fillId="80" borderId="0" applyNumberFormat="0" applyBorder="0" applyAlignment="0" applyProtection="0"/>
    <xf numFmtId="0" fontId="1" fillId="80" borderId="0" applyNumberFormat="0" applyBorder="0" applyAlignment="0" applyProtection="0"/>
    <xf numFmtId="0" fontId="1" fillId="80" borderId="0" applyNumberFormat="0" applyBorder="0" applyAlignment="0" applyProtection="0"/>
    <xf numFmtId="0" fontId="1" fillId="80" borderId="0" applyNumberFormat="0" applyBorder="0" applyAlignment="0" applyProtection="0"/>
    <xf numFmtId="0" fontId="1" fillId="80" borderId="0" applyNumberFormat="0" applyBorder="0" applyAlignment="0" applyProtection="0"/>
    <xf numFmtId="0" fontId="1" fillId="80" borderId="0" applyNumberFormat="0" applyBorder="0" applyAlignment="0" applyProtection="0"/>
    <xf numFmtId="0" fontId="1" fillId="61" borderId="0" applyNumberFormat="0" applyBorder="0" applyAlignment="0" applyProtection="0"/>
    <xf numFmtId="0" fontId="1" fillId="61" borderId="0" applyNumberFormat="0" applyBorder="0" applyAlignment="0" applyProtection="0"/>
    <xf numFmtId="0" fontId="1" fillId="61" borderId="0" applyNumberFormat="0" applyBorder="0" applyAlignment="0" applyProtection="0"/>
    <xf numFmtId="0" fontId="1" fillId="61" borderId="0" applyNumberFormat="0" applyBorder="0" applyAlignment="0" applyProtection="0"/>
    <xf numFmtId="0" fontId="1" fillId="61" borderId="0" applyNumberFormat="0" applyBorder="0" applyAlignment="0" applyProtection="0"/>
    <xf numFmtId="0" fontId="1" fillId="61" borderId="0" applyNumberFormat="0" applyBorder="0" applyAlignment="0" applyProtection="0"/>
    <xf numFmtId="0" fontId="1" fillId="61" borderId="0" applyNumberFormat="0" applyBorder="0" applyAlignment="0" applyProtection="0"/>
    <xf numFmtId="0" fontId="1" fillId="61" borderId="0" applyNumberFormat="0" applyBorder="0" applyAlignment="0" applyProtection="0"/>
    <xf numFmtId="0" fontId="1" fillId="61" borderId="0" applyNumberFormat="0" applyBorder="0" applyAlignment="0" applyProtection="0"/>
    <xf numFmtId="0" fontId="1" fillId="69" borderId="0" applyNumberFormat="0" applyBorder="0" applyAlignment="0" applyProtection="0"/>
    <xf numFmtId="0" fontId="1" fillId="69" borderId="0" applyNumberFormat="0" applyBorder="0" applyAlignment="0" applyProtection="0"/>
    <xf numFmtId="0" fontId="1" fillId="69" borderId="0" applyNumberFormat="0" applyBorder="0" applyAlignment="0" applyProtection="0"/>
    <xf numFmtId="0" fontId="1" fillId="69" borderId="0" applyNumberFormat="0" applyBorder="0" applyAlignment="0" applyProtection="0"/>
    <xf numFmtId="0" fontId="1" fillId="69" borderId="0" applyNumberFormat="0" applyBorder="0" applyAlignment="0" applyProtection="0"/>
    <xf numFmtId="0" fontId="1" fillId="69" borderId="0" applyNumberFormat="0" applyBorder="0" applyAlignment="0" applyProtection="0"/>
    <xf numFmtId="0" fontId="1" fillId="69" borderId="0" applyNumberFormat="0" applyBorder="0" applyAlignment="0" applyProtection="0"/>
    <xf numFmtId="0" fontId="1" fillId="69" borderId="0" applyNumberFormat="0" applyBorder="0" applyAlignment="0" applyProtection="0"/>
    <xf numFmtId="0" fontId="1" fillId="69" borderId="0" applyNumberFormat="0" applyBorder="0" applyAlignment="0" applyProtection="0"/>
    <xf numFmtId="0" fontId="1" fillId="73" borderId="0" applyNumberFormat="0" applyBorder="0" applyAlignment="0" applyProtection="0"/>
    <xf numFmtId="0" fontId="1" fillId="73" borderId="0" applyNumberFormat="0" applyBorder="0" applyAlignment="0" applyProtection="0"/>
    <xf numFmtId="0" fontId="1" fillId="73" borderId="0" applyNumberFormat="0" applyBorder="0" applyAlignment="0" applyProtection="0"/>
    <xf numFmtId="0" fontId="1" fillId="73" borderId="0" applyNumberFormat="0" applyBorder="0" applyAlignment="0" applyProtection="0"/>
    <xf numFmtId="0" fontId="1" fillId="73" borderId="0" applyNumberFormat="0" applyBorder="0" applyAlignment="0" applyProtection="0"/>
    <xf numFmtId="0" fontId="1" fillId="73" borderId="0" applyNumberFormat="0" applyBorder="0" applyAlignment="0" applyProtection="0"/>
    <xf numFmtId="0" fontId="1" fillId="73" borderId="0" applyNumberFormat="0" applyBorder="0" applyAlignment="0" applyProtection="0"/>
    <xf numFmtId="0" fontId="1" fillId="73" borderId="0" applyNumberFormat="0" applyBorder="0" applyAlignment="0" applyProtection="0"/>
    <xf numFmtId="0" fontId="1" fillId="73" borderId="0" applyNumberFormat="0" applyBorder="0" applyAlignment="0" applyProtection="0"/>
    <xf numFmtId="0" fontId="1" fillId="77" borderId="0" applyNumberFormat="0" applyBorder="0" applyAlignment="0" applyProtection="0"/>
    <xf numFmtId="0" fontId="1" fillId="77" borderId="0" applyNumberFormat="0" applyBorder="0" applyAlignment="0" applyProtection="0"/>
    <xf numFmtId="0" fontId="1" fillId="77" borderId="0" applyNumberFormat="0" applyBorder="0" applyAlignment="0" applyProtection="0"/>
    <xf numFmtId="0" fontId="1" fillId="77" borderId="0" applyNumberFormat="0" applyBorder="0" applyAlignment="0" applyProtection="0"/>
    <xf numFmtId="0" fontId="1" fillId="77" borderId="0" applyNumberFormat="0" applyBorder="0" applyAlignment="0" applyProtection="0"/>
    <xf numFmtId="0" fontId="1" fillId="77" borderId="0" applyNumberFormat="0" applyBorder="0" applyAlignment="0" applyProtection="0"/>
    <xf numFmtId="0" fontId="1" fillId="77" borderId="0" applyNumberFormat="0" applyBorder="0" applyAlignment="0" applyProtection="0"/>
    <xf numFmtId="0" fontId="1" fillId="77" borderId="0" applyNumberFormat="0" applyBorder="0" applyAlignment="0" applyProtection="0"/>
    <xf numFmtId="0" fontId="1" fillId="77" borderId="0" applyNumberFormat="0" applyBorder="0" applyAlignment="0" applyProtection="0"/>
    <xf numFmtId="0" fontId="1" fillId="81" borderId="0" applyNumberFormat="0" applyBorder="0" applyAlignment="0" applyProtection="0"/>
    <xf numFmtId="0" fontId="1" fillId="81" borderId="0" applyNumberFormat="0" applyBorder="0" applyAlignment="0" applyProtection="0"/>
    <xf numFmtId="0" fontId="1" fillId="81" borderId="0" applyNumberFormat="0" applyBorder="0" applyAlignment="0" applyProtection="0"/>
    <xf numFmtId="0" fontId="1" fillId="81" borderId="0" applyNumberFormat="0" applyBorder="0" applyAlignment="0" applyProtection="0"/>
    <xf numFmtId="0" fontId="1" fillId="81" borderId="0" applyNumberFormat="0" applyBorder="0" applyAlignment="0" applyProtection="0"/>
    <xf numFmtId="0" fontId="1" fillId="81" borderId="0" applyNumberFormat="0" applyBorder="0" applyAlignment="0" applyProtection="0"/>
    <xf numFmtId="0" fontId="1" fillId="81" borderId="0" applyNumberFormat="0" applyBorder="0" applyAlignment="0" applyProtection="0"/>
    <xf numFmtId="0" fontId="1" fillId="81" borderId="0" applyNumberFormat="0" applyBorder="0" applyAlignment="0" applyProtection="0"/>
    <xf numFmtId="0" fontId="1" fillId="81" borderId="0" applyNumberFormat="0" applyBorder="0" applyAlignment="0" applyProtection="0"/>
    <xf numFmtId="0" fontId="1" fillId="58" borderId="104" applyNumberFormat="0" applyFont="0" applyAlignment="0" applyProtection="0"/>
    <xf numFmtId="0" fontId="1" fillId="58" borderId="104" applyNumberFormat="0" applyFont="0" applyAlignment="0" applyProtection="0"/>
    <xf numFmtId="0" fontId="1" fillId="58" borderId="104" applyNumberFormat="0" applyFont="0" applyAlignment="0" applyProtection="0"/>
    <xf numFmtId="0" fontId="1" fillId="58" borderId="104" applyNumberFormat="0" applyFont="0" applyAlignment="0" applyProtection="0"/>
    <xf numFmtId="0" fontId="1" fillId="58" borderId="104" applyNumberFormat="0" applyFont="0" applyAlignment="0" applyProtection="0"/>
    <xf numFmtId="0" fontId="1" fillId="58" borderId="104" applyNumberFormat="0" applyFont="0" applyAlignment="0" applyProtection="0"/>
    <xf numFmtId="0" fontId="1" fillId="58" borderId="104" applyNumberFormat="0" applyFont="0" applyAlignment="0" applyProtection="0"/>
    <xf numFmtId="0" fontId="1" fillId="58" borderId="104" applyNumberFormat="0" applyFont="0" applyAlignment="0" applyProtection="0"/>
    <xf numFmtId="0" fontId="1" fillId="58" borderId="104" applyNumberFormat="0" applyFont="0" applyAlignment="0" applyProtection="0"/>
    <xf numFmtId="165" fontId="1" fillId="0" borderId="0" applyFont="0" applyFill="0" applyBorder="0" applyAlignment="0" applyProtection="0"/>
    <xf numFmtId="0" fontId="1" fillId="0" borderId="0"/>
    <xf numFmtId="0" fontId="1" fillId="6" borderId="0" applyNumberFormat="0" applyBorder="0" applyAlignment="0" applyProtection="0"/>
    <xf numFmtId="0" fontId="1" fillId="9" borderId="0" applyNumberFormat="0" applyBorder="0" applyAlignment="0" applyProtection="0"/>
    <xf numFmtId="0" fontId="1" fillId="26" borderId="0" applyNumberFormat="0" applyBorder="0" applyAlignment="0" applyProtection="0"/>
    <xf numFmtId="0" fontId="1" fillId="9" borderId="0" applyNumberFormat="0" applyBorder="0" applyAlignment="0" applyProtection="0"/>
    <xf numFmtId="0" fontId="1" fillId="6" borderId="0" applyNumberFormat="0" applyBorder="0" applyAlignment="0" applyProtection="0"/>
    <xf numFmtId="0" fontId="1" fillId="26" borderId="0" applyNumberFormat="0" applyBorder="0" applyAlignment="0" applyProtection="0"/>
    <xf numFmtId="0" fontId="1" fillId="9" borderId="0" applyNumberFormat="0" applyBorder="0" applyAlignment="0" applyProtection="0"/>
    <xf numFmtId="0" fontId="1" fillId="58" borderId="104" applyNumberFormat="0" applyFont="0" applyAlignment="0" applyProtection="0"/>
    <xf numFmtId="0" fontId="1" fillId="23" borderId="0" applyNumberFormat="0" applyBorder="0" applyAlignment="0" applyProtection="0"/>
    <xf numFmtId="0" fontId="1" fillId="23"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58" borderId="104" applyNumberFormat="0" applyFont="0" applyAlignment="0" applyProtection="0"/>
    <xf numFmtId="0" fontId="1" fillId="6" borderId="0" applyNumberFormat="0" applyBorder="0" applyAlignment="0" applyProtection="0"/>
    <xf numFmtId="0" fontId="1" fillId="9" borderId="0" applyNumberFormat="0" applyBorder="0" applyAlignment="0" applyProtection="0"/>
    <xf numFmtId="0" fontId="1" fillId="6" borderId="0" applyNumberFormat="0" applyBorder="0" applyAlignment="0" applyProtection="0"/>
    <xf numFmtId="0" fontId="1" fillId="60" borderId="0" applyNumberFormat="0" applyBorder="0" applyAlignment="0" applyProtection="0"/>
    <xf numFmtId="0" fontId="1" fillId="61" borderId="0" applyNumberFormat="0" applyBorder="0" applyAlignment="0" applyProtection="0"/>
    <xf numFmtId="0" fontId="1" fillId="3" borderId="0" applyNumberFormat="0" applyBorder="0" applyAlignment="0" applyProtection="0"/>
    <xf numFmtId="0" fontId="1" fillId="64" borderId="0" applyNumberFormat="0" applyBorder="0" applyAlignment="0" applyProtection="0"/>
    <xf numFmtId="0" fontId="1" fillId="65" borderId="0" applyNumberFormat="0" applyBorder="0" applyAlignment="0" applyProtection="0"/>
    <xf numFmtId="0" fontId="1" fillId="68" borderId="0" applyNumberFormat="0" applyBorder="0" applyAlignment="0" applyProtection="0"/>
    <xf numFmtId="0" fontId="1" fillId="69" borderId="0" applyNumberFormat="0" applyBorder="0" applyAlignment="0" applyProtection="0"/>
    <xf numFmtId="0" fontId="1" fillId="26" borderId="0" applyNumberFormat="0" applyBorder="0" applyAlignment="0" applyProtection="0"/>
    <xf numFmtId="0" fontId="1" fillId="72" borderId="0" applyNumberFormat="0" applyBorder="0" applyAlignment="0" applyProtection="0"/>
    <xf numFmtId="0" fontId="1" fillId="73" borderId="0" applyNumberFormat="0" applyBorder="0" applyAlignment="0" applyProtection="0"/>
    <xf numFmtId="0" fontId="1" fillId="9" borderId="0" applyNumberFormat="0" applyBorder="0" applyAlignment="0" applyProtection="0"/>
    <xf numFmtId="0" fontId="1" fillId="76" borderId="0" applyNumberFormat="0" applyBorder="0" applyAlignment="0" applyProtection="0"/>
    <xf numFmtId="0" fontId="1" fillId="77" borderId="0" applyNumberFormat="0" applyBorder="0" applyAlignment="0" applyProtection="0"/>
    <xf numFmtId="0" fontId="1" fillId="6" borderId="0" applyNumberFormat="0" applyBorder="0" applyAlignment="0" applyProtection="0"/>
    <xf numFmtId="0" fontId="1" fillId="80" borderId="0" applyNumberFormat="0" applyBorder="0" applyAlignment="0" applyProtection="0"/>
    <xf numFmtId="0" fontId="1" fillId="81" borderId="0" applyNumberFormat="0" applyBorder="0" applyAlignment="0" applyProtection="0"/>
    <xf numFmtId="0" fontId="1" fillId="58" borderId="104" applyNumberFormat="0" applyFont="0" applyAlignment="0" applyProtection="0"/>
    <xf numFmtId="0" fontId="1" fillId="58" borderId="104" applyNumberFormat="0" applyFont="0" applyAlignment="0" applyProtection="0"/>
    <xf numFmtId="0" fontId="1" fillId="60" borderId="0" applyNumberFormat="0" applyBorder="0" applyAlignment="0" applyProtection="0"/>
    <xf numFmtId="0" fontId="1" fillId="61" borderId="0" applyNumberFormat="0" applyBorder="0" applyAlignment="0" applyProtection="0"/>
    <xf numFmtId="0" fontId="1" fillId="64" borderId="0" applyNumberFormat="0" applyBorder="0" applyAlignment="0" applyProtection="0"/>
    <xf numFmtId="0" fontId="1" fillId="65" borderId="0" applyNumberFormat="0" applyBorder="0" applyAlignment="0" applyProtection="0"/>
    <xf numFmtId="0" fontId="1" fillId="68" borderId="0" applyNumberFormat="0" applyBorder="0" applyAlignment="0" applyProtection="0"/>
    <xf numFmtId="0" fontId="1" fillId="69" borderId="0" applyNumberFormat="0" applyBorder="0" applyAlignment="0" applyProtection="0"/>
    <xf numFmtId="0" fontId="1" fillId="72" borderId="0" applyNumberFormat="0" applyBorder="0" applyAlignment="0" applyProtection="0"/>
    <xf numFmtId="0" fontId="1" fillId="73" borderId="0" applyNumberFormat="0" applyBorder="0" applyAlignment="0" applyProtection="0"/>
    <xf numFmtId="0" fontId="1" fillId="76" borderId="0" applyNumberFormat="0" applyBorder="0" applyAlignment="0" applyProtection="0"/>
    <xf numFmtId="0" fontId="1" fillId="77" borderId="0" applyNumberFormat="0" applyBorder="0" applyAlignment="0" applyProtection="0"/>
    <xf numFmtId="0" fontId="1" fillId="80" borderId="0" applyNumberFormat="0" applyBorder="0" applyAlignment="0" applyProtection="0"/>
    <xf numFmtId="0" fontId="1" fillId="81" borderId="0" applyNumberFormat="0" applyBorder="0" applyAlignment="0" applyProtection="0"/>
    <xf numFmtId="0" fontId="1" fillId="6" borderId="0" applyNumberFormat="0" applyBorder="0" applyAlignment="0" applyProtection="0"/>
    <xf numFmtId="0" fontId="1" fillId="60" borderId="0" applyNumberFormat="0" applyBorder="0" applyAlignment="0" applyProtection="0"/>
    <xf numFmtId="0" fontId="1" fillId="61" borderId="0" applyNumberFormat="0" applyBorder="0" applyAlignment="0" applyProtection="0"/>
    <xf numFmtId="0" fontId="1" fillId="64" borderId="0" applyNumberFormat="0" applyBorder="0" applyAlignment="0" applyProtection="0"/>
    <xf numFmtId="0" fontId="1" fillId="65" borderId="0" applyNumberFormat="0" applyBorder="0" applyAlignment="0" applyProtection="0"/>
    <xf numFmtId="0" fontId="1" fillId="68" borderId="0" applyNumberFormat="0" applyBorder="0" applyAlignment="0" applyProtection="0"/>
    <xf numFmtId="0" fontId="1" fillId="69" borderId="0" applyNumberFormat="0" applyBorder="0" applyAlignment="0" applyProtection="0"/>
    <xf numFmtId="0" fontId="1" fillId="72" borderId="0" applyNumberFormat="0" applyBorder="0" applyAlignment="0" applyProtection="0"/>
    <xf numFmtId="0" fontId="1" fillId="73" borderId="0" applyNumberFormat="0" applyBorder="0" applyAlignment="0" applyProtection="0"/>
    <xf numFmtId="0" fontId="1" fillId="76" borderId="0" applyNumberFormat="0" applyBorder="0" applyAlignment="0" applyProtection="0"/>
    <xf numFmtId="0" fontId="1" fillId="77" borderId="0" applyNumberFormat="0" applyBorder="0" applyAlignment="0" applyProtection="0"/>
    <xf numFmtId="0" fontId="1" fillId="80" borderId="0" applyNumberFormat="0" applyBorder="0" applyAlignment="0" applyProtection="0"/>
    <xf numFmtId="0" fontId="1" fillId="81" borderId="0" applyNumberFormat="0" applyBorder="0" applyAlignment="0" applyProtection="0"/>
    <xf numFmtId="0" fontId="1" fillId="58" borderId="104" applyNumberFormat="0" applyFont="0" applyAlignment="0" applyProtection="0"/>
    <xf numFmtId="0" fontId="1" fillId="26" borderId="0" applyNumberFormat="0" applyBorder="0" applyAlignment="0" applyProtection="0"/>
    <xf numFmtId="0" fontId="1" fillId="60" borderId="0" applyNumberFormat="0" applyBorder="0" applyAlignment="0" applyProtection="0"/>
    <xf numFmtId="0" fontId="1" fillId="61" borderId="0" applyNumberFormat="0" applyBorder="0" applyAlignment="0" applyProtection="0"/>
    <xf numFmtId="0" fontId="1" fillId="64" borderId="0" applyNumberFormat="0" applyBorder="0" applyAlignment="0" applyProtection="0"/>
    <xf numFmtId="0" fontId="1" fillId="65" borderId="0" applyNumberFormat="0" applyBorder="0" applyAlignment="0" applyProtection="0"/>
    <xf numFmtId="0" fontId="1" fillId="68" borderId="0" applyNumberFormat="0" applyBorder="0" applyAlignment="0" applyProtection="0"/>
    <xf numFmtId="0" fontId="1" fillId="69" borderId="0" applyNumberFormat="0" applyBorder="0" applyAlignment="0" applyProtection="0"/>
    <xf numFmtId="0" fontId="1" fillId="72" borderId="0" applyNumberFormat="0" applyBorder="0" applyAlignment="0" applyProtection="0"/>
    <xf numFmtId="0" fontId="1" fillId="73" borderId="0" applyNumberFormat="0" applyBorder="0" applyAlignment="0" applyProtection="0"/>
    <xf numFmtId="0" fontId="1" fillId="76" borderId="0" applyNumberFormat="0" applyBorder="0" applyAlignment="0" applyProtection="0"/>
    <xf numFmtId="0" fontId="1" fillId="77" borderId="0" applyNumberFormat="0" applyBorder="0" applyAlignment="0" applyProtection="0"/>
    <xf numFmtId="0" fontId="1" fillId="80" borderId="0" applyNumberFormat="0" applyBorder="0" applyAlignment="0" applyProtection="0"/>
    <xf numFmtId="0" fontId="1" fillId="81" borderId="0" applyNumberFormat="0" applyBorder="0" applyAlignment="0" applyProtection="0"/>
    <xf numFmtId="0" fontId="1" fillId="58" borderId="104" applyNumberFormat="0" applyFont="0" applyAlignment="0" applyProtection="0"/>
    <xf numFmtId="0" fontId="1" fillId="58" borderId="104" applyNumberFormat="0" applyFont="0" applyAlignment="0" applyProtection="0"/>
    <xf numFmtId="0" fontId="1" fillId="60" borderId="0" applyNumberFormat="0" applyBorder="0" applyAlignment="0" applyProtection="0"/>
    <xf numFmtId="0" fontId="1" fillId="61" borderId="0" applyNumberFormat="0" applyBorder="0" applyAlignment="0" applyProtection="0"/>
    <xf numFmtId="0" fontId="1" fillId="64" borderId="0" applyNumberFormat="0" applyBorder="0" applyAlignment="0" applyProtection="0"/>
    <xf numFmtId="0" fontId="1" fillId="65" borderId="0" applyNumberFormat="0" applyBorder="0" applyAlignment="0" applyProtection="0"/>
    <xf numFmtId="0" fontId="1" fillId="68" borderId="0" applyNumberFormat="0" applyBorder="0" applyAlignment="0" applyProtection="0"/>
    <xf numFmtId="0" fontId="1" fillId="69" borderId="0" applyNumberFormat="0" applyBorder="0" applyAlignment="0" applyProtection="0"/>
    <xf numFmtId="0" fontId="1" fillId="72" borderId="0" applyNumberFormat="0" applyBorder="0" applyAlignment="0" applyProtection="0"/>
    <xf numFmtId="0" fontId="1" fillId="73" borderId="0" applyNumberFormat="0" applyBorder="0" applyAlignment="0" applyProtection="0"/>
    <xf numFmtId="0" fontId="1" fillId="76" borderId="0" applyNumberFormat="0" applyBorder="0" applyAlignment="0" applyProtection="0"/>
    <xf numFmtId="0" fontId="1" fillId="77" borderId="0" applyNumberFormat="0" applyBorder="0" applyAlignment="0" applyProtection="0"/>
    <xf numFmtId="0" fontId="1" fillId="80" borderId="0" applyNumberFormat="0" applyBorder="0" applyAlignment="0" applyProtection="0"/>
    <xf numFmtId="0" fontId="1" fillId="81" borderId="0" applyNumberFormat="0" applyBorder="0" applyAlignment="0" applyProtection="0"/>
    <xf numFmtId="0" fontId="1" fillId="60" borderId="0" applyNumberFormat="0" applyBorder="0" applyAlignment="0" applyProtection="0"/>
    <xf numFmtId="0" fontId="1" fillId="61" borderId="0" applyNumberFormat="0" applyBorder="0" applyAlignment="0" applyProtection="0"/>
    <xf numFmtId="0" fontId="1" fillId="64" borderId="0" applyNumberFormat="0" applyBorder="0" applyAlignment="0" applyProtection="0"/>
    <xf numFmtId="0" fontId="1" fillId="65" borderId="0" applyNumberFormat="0" applyBorder="0" applyAlignment="0" applyProtection="0"/>
    <xf numFmtId="0" fontId="1" fillId="68" borderId="0" applyNumberFormat="0" applyBorder="0" applyAlignment="0" applyProtection="0"/>
    <xf numFmtId="0" fontId="1" fillId="69" borderId="0" applyNumberFormat="0" applyBorder="0" applyAlignment="0" applyProtection="0"/>
    <xf numFmtId="0" fontId="1" fillId="72" borderId="0" applyNumberFormat="0" applyBorder="0" applyAlignment="0" applyProtection="0"/>
    <xf numFmtId="0" fontId="1" fillId="73" borderId="0" applyNumberFormat="0" applyBorder="0" applyAlignment="0" applyProtection="0"/>
    <xf numFmtId="0" fontId="1" fillId="76" borderId="0" applyNumberFormat="0" applyBorder="0" applyAlignment="0" applyProtection="0"/>
    <xf numFmtId="0" fontId="1" fillId="77" borderId="0" applyNumberFormat="0" applyBorder="0" applyAlignment="0" applyProtection="0"/>
    <xf numFmtId="0" fontId="1" fillId="80" borderId="0" applyNumberFormat="0" applyBorder="0" applyAlignment="0" applyProtection="0"/>
    <xf numFmtId="0" fontId="1" fillId="81" borderId="0" applyNumberFormat="0" applyBorder="0" applyAlignment="0" applyProtection="0"/>
    <xf numFmtId="0" fontId="1" fillId="58" borderId="104" applyNumberFormat="0" applyFont="0" applyAlignment="0" applyProtection="0"/>
    <xf numFmtId="0" fontId="1" fillId="60" borderId="0" applyNumberFormat="0" applyBorder="0" applyAlignment="0" applyProtection="0"/>
    <xf numFmtId="0" fontId="1" fillId="61" borderId="0" applyNumberFormat="0" applyBorder="0" applyAlignment="0" applyProtection="0"/>
    <xf numFmtId="0" fontId="1" fillId="64" borderId="0" applyNumberFormat="0" applyBorder="0" applyAlignment="0" applyProtection="0"/>
    <xf numFmtId="0" fontId="1" fillId="65" borderId="0" applyNumberFormat="0" applyBorder="0" applyAlignment="0" applyProtection="0"/>
    <xf numFmtId="0" fontId="1" fillId="68" borderId="0" applyNumberFormat="0" applyBorder="0" applyAlignment="0" applyProtection="0"/>
    <xf numFmtId="0" fontId="1" fillId="69" borderId="0" applyNumberFormat="0" applyBorder="0" applyAlignment="0" applyProtection="0"/>
    <xf numFmtId="0" fontId="1" fillId="72" borderId="0" applyNumberFormat="0" applyBorder="0" applyAlignment="0" applyProtection="0"/>
    <xf numFmtId="0" fontId="1" fillId="73" borderId="0" applyNumberFormat="0" applyBorder="0" applyAlignment="0" applyProtection="0"/>
    <xf numFmtId="0" fontId="1" fillId="76" borderId="0" applyNumberFormat="0" applyBorder="0" applyAlignment="0" applyProtection="0"/>
    <xf numFmtId="0" fontId="1" fillId="77" borderId="0" applyNumberFormat="0" applyBorder="0" applyAlignment="0" applyProtection="0"/>
    <xf numFmtId="0" fontId="1" fillId="80" borderId="0" applyNumberFormat="0" applyBorder="0" applyAlignment="0" applyProtection="0"/>
    <xf numFmtId="0" fontId="1" fillId="81" borderId="0" applyNumberFormat="0" applyBorder="0" applyAlignment="0" applyProtection="0"/>
    <xf numFmtId="0" fontId="1" fillId="58" borderId="104" applyNumberFormat="0" applyFont="0" applyAlignment="0" applyProtection="0"/>
    <xf numFmtId="0" fontId="1" fillId="58" borderId="104" applyNumberFormat="0" applyFont="0" applyAlignment="0" applyProtection="0"/>
    <xf numFmtId="0" fontId="1" fillId="60" borderId="0" applyNumberFormat="0" applyBorder="0" applyAlignment="0" applyProtection="0"/>
    <xf numFmtId="0" fontId="1" fillId="61" borderId="0" applyNumberFormat="0" applyBorder="0" applyAlignment="0" applyProtection="0"/>
    <xf numFmtId="0" fontId="1" fillId="64" borderId="0" applyNumberFormat="0" applyBorder="0" applyAlignment="0" applyProtection="0"/>
    <xf numFmtId="0" fontId="1" fillId="65" borderId="0" applyNumberFormat="0" applyBorder="0" applyAlignment="0" applyProtection="0"/>
    <xf numFmtId="0" fontId="1" fillId="68" borderId="0" applyNumberFormat="0" applyBorder="0" applyAlignment="0" applyProtection="0"/>
    <xf numFmtId="0" fontId="1" fillId="69" borderId="0" applyNumberFormat="0" applyBorder="0" applyAlignment="0" applyProtection="0"/>
    <xf numFmtId="0" fontId="1" fillId="72" borderId="0" applyNumberFormat="0" applyBorder="0" applyAlignment="0" applyProtection="0"/>
    <xf numFmtId="0" fontId="1" fillId="73" borderId="0" applyNumberFormat="0" applyBorder="0" applyAlignment="0" applyProtection="0"/>
    <xf numFmtId="0" fontId="1" fillId="76" borderId="0" applyNumberFormat="0" applyBorder="0" applyAlignment="0" applyProtection="0"/>
    <xf numFmtId="0" fontId="1" fillId="77" borderId="0" applyNumberFormat="0" applyBorder="0" applyAlignment="0" applyProtection="0"/>
    <xf numFmtId="0" fontId="1" fillId="80" borderId="0" applyNumberFormat="0" applyBorder="0" applyAlignment="0" applyProtection="0"/>
    <xf numFmtId="0" fontId="1" fillId="81" borderId="0" applyNumberFormat="0" applyBorder="0" applyAlignment="0" applyProtection="0"/>
    <xf numFmtId="0" fontId="1" fillId="60" borderId="0" applyNumberFormat="0" applyBorder="0" applyAlignment="0" applyProtection="0"/>
    <xf numFmtId="0" fontId="1" fillId="61" borderId="0" applyNumberFormat="0" applyBorder="0" applyAlignment="0" applyProtection="0"/>
    <xf numFmtId="0" fontId="1" fillId="64" borderId="0" applyNumberFormat="0" applyBorder="0" applyAlignment="0" applyProtection="0"/>
    <xf numFmtId="0" fontId="1" fillId="65" borderId="0" applyNumberFormat="0" applyBorder="0" applyAlignment="0" applyProtection="0"/>
    <xf numFmtId="0" fontId="1" fillId="68" borderId="0" applyNumberFormat="0" applyBorder="0" applyAlignment="0" applyProtection="0"/>
    <xf numFmtId="0" fontId="1" fillId="69" borderId="0" applyNumberFormat="0" applyBorder="0" applyAlignment="0" applyProtection="0"/>
    <xf numFmtId="0" fontId="1" fillId="72" borderId="0" applyNumberFormat="0" applyBorder="0" applyAlignment="0" applyProtection="0"/>
    <xf numFmtId="0" fontId="1" fillId="73" borderId="0" applyNumberFormat="0" applyBorder="0" applyAlignment="0" applyProtection="0"/>
    <xf numFmtId="0" fontId="1" fillId="76" borderId="0" applyNumberFormat="0" applyBorder="0" applyAlignment="0" applyProtection="0"/>
    <xf numFmtId="0" fontId="1" fillId="77" borderId="0" applyNumberFormat="0" applyBorder="0" applyAlignment="0" applyProtection="0"/>
    <xf numFmtId="0" fontId="1" fillId="80" borderId="0" applyNumberFormat="0" applyBorder="0" applyAlignment="0" applyProtection="0"/>
    <xf numFmtId="0" fontId="1" fillId="81" borderId="0" applyNumberFormat="0" applyBorder="0" applyAlignment="0" applyProtection="0"/>
    <xf numFmtId="0" fontId="1" fillId="58" borderId="104" applyNumberFormat="0" applyFont="0" applyAlignment="0" applyProtection="0"/>
    <xf numFmtId="0" fontId="1" fillId="0" borderId="0"/>
    <xf numFmtId="0" fontId="1" fillId="26" borderId="0" applyNumberFormat="0" applyBorder="0" applyAlignment="0" applyProtection="0"/>
    <xf numFmtId="0" fontId="1" fillId="9" borderId="0" applyNumberFormat="0" applyBorder="0" applyAlignment="0" applyProtection="0"/>
    <xf numFmtId="0" fontId="1" fillId="0" borderId="0"/>
    <xf numFmtId="0" fontId="1" fillId="60" borderId="0" applyNumberFormat="0" applyBorder="0" applyAlignment="0" applyProtection="0"/>
    <xf numFmtId="0" fontId="1" fillId="61" borderId="0" applyNumberFormat="0" applyBorder="0" applyAlignment="0" applyProtection="0"/>
    <xf numFmtId="0" fontId="1" fillId="64" borderId="0" applyNumberFormat="0" applyBorder="0" applyAlignment="0" applyProtection="0"/>
    <xf numFmtId="0" fontId="1" fillId="65" borderId="0" applyNumberFormat="0" applyBorder="0" applyAlignment="0" applyProtection="0"/>
    <xf numFmtId="0" fontId="1" fillId="68" borderId="0" applyNumberFormat="0" applyBorder="0" applyAlignment="0" applyProtection="0"/>
    <xf numFmtId="0" fontId="1" fillId="69" borderId="0" applyNumberFormat="0" applyBorder="0" applyAlignment="0" applyProtection="0"/>
    <xf numFmtId="0" fontId="1" fillId="72" borderId="0" applyNumberFormat="0" applyBorder="0" applyAlignment="0" applyProtection="0"/>
    <xf numFmtId="0" fontId="1" fillId="73" borderId="0" applyNumberFormat="0" applyBorder="0" applyAlignment="0" applyProtection="0"/>
    <xf numFmtId="0" fontId="1" fillId="76" borderId="0" applyNumberFormat="0" applyBorder="0" applyAlignment="0" applyProtection="0"/>
    <xf numFmtId="0" fontId="1" fillId="77" borderId="0" applyNumberFormat="0" applyBorder="0" applyAlignment="0" applyProtection="0"/>
    <xf numFmtId="0" fontId="1" fillId="80" borderId="0" applyNumberFormat="0" applyBorder="0" applyAlignment="0" applyProtection="0"/>
    <xf numFmtId="0" fontId="1" fillId="81" borderId="0" applyNumberFormat="0" applyBorder="0" applyAlignment="0" applyProtection="0"/>
    <xf numFmtId="0" fontId="1" fillId="58" borderId="104" applyNumberFormat="0" applyFont="0" applyAlignment="0" applyProtection="0"/>
    <xf numFmtId="0" fontId="1" fillId="58" borderId="104" applyNumberFormat="0" applyFont="0" applyAlignment="0" applyProtection="0"/>
    <xf numFmtId="0" fontId="1" fillId="60" borderId="0" applyNumberFormat="0" applyBorder="0" applyAlignment="0" applyProtection="0"/>
    <xf numFmtId="0" fontId="1" fillId="61" borderId="0" applyNumberFormat="0" applyBorder="0" applyAlignment="0" applyProtection="0"/>
    <xf numFmtId="0" fontId="1" fillId="64" borderId="0" applyNumberFormat="0" applyBorder="0" applyAlignment="0" applyProtection="0"/>
    <xf numFmtId="0" fontId="1" fillId="65" borderId="0" applyNumberFormat="0" applyBorder="0" applyAlignment="0" applyProtection="0"/>
    <xf numFmtId="0" fontId="1" fillId="68" borderId="0" applyNumberFormat="0" applyBorder="0" applyAlignment="0" applyProtection="0"/>
    <xf numFmtId="0" fontId="1" fillId="69" borderId="0" applyNumberFormat="0" applyBorder="0" applyAlignment="0" applyProtection="0"/>
    <xf numFmtId="0" fontId="1" fillId="72" borderId="0" applyNumberFormat="0" applyBorder="0" applyAlignment="0" applyProtection="0"/>
    <xf numFmtId="0" fontId="1" fillId="73" borderId="0" applyNumberFormat="0" applyBorder="0" applyAlignment="0" applyProtection="0"/>
    <xf numFmtId="0" fontId="1" fillId="76" borderId="0" applyNumberFormat="0" applyBorder="0" applyAlignment="0" applyProtection="0"/>
    <xf numFmtId="0" fontId="1" fillId="77" borderId="0" applyNumberFormat="0" applyBorder="0" applyAlignment="0" applyProtection="0"/>
    <xf numFmtId="0" fontId="1" fillId="80" borderId="0" applyNumberFormat="0" applyBorder="0" applyAlignment="0" applyProtection="0"/>
    <xf numFmtId="0" fontId="1" fillId="81" borderId="0" applyNumberFormat="0" applyBorder="0" applyAlignment="0" applyProtection="0"/>
    <xf numFmtId="0" fontId="1" fillId="60" borderId="0" applyNumberFormat="0" applyBorder="0" applyAlignment="0" applyProtection="0"/>
    <xf numFmtId="0" fontId="1" fillId="61" borderId="0" applyNumberFormat="0" applyBorder="0" applyAlignment="0" applyProtection="0"/>
    <xf numFmtId="0" fontId="1" fillId="64" borderId="0" applyNumberFormat="0" applyBorder="0" applyAlignment="0" applyProtection="0"/>
    <xf numFmtId="0" fontId="1" fillId="65" borderId="0" applyNumberFormat="0" applyBorder="0" applyAlignment="0" applyProtection="0"/>
    <xf numFmtId="0" fontId="1" fillId="68" borderId="0" applyNumberFormat="0" applyBorder="0" applyAlignment="0" applyProtection="0"/>
    <xf numFmtId="0" fontId="1" fillId="69" borderId="0" applyNumberFormat="0" applyBorder="0" applyAlignment="0" applyProtection="0"/>
    <xf numFmtId="0" fontId="1" fillId="72" borderId="0" applyNumberFormat="0" applyBorder="0" applyAlignment="0" applyProtection="0"/>
    <xf numFmtId="0" fontId="1" fillId="73" borderId="0" applyNumberFormat="0" applyBorder="0" applyAlignment="0" applyProtection="0"/>
    <xf numFmtId="0" fontId="1" fillId="76" borderId="0" applyNumberFormat="0" applyBorder="0" applyAlignment="0" applyProtection="0"/>
    <xf numFmtId="0" fontId="1" fillId="77" borderId="0" applyNumberFormat="0" applyBorder="0" applyAlignment="0" applyProtection="0"/>
    <xf numFmtId="0" fontId="1" fillId="80" borderId="0" applyNumberFormat="0" applyBorder="0" applyAlignment="0" applyProtection="0"/>
    <xf numFmtId="0" fontId="1" fillId="81" borderId="0" applyNumberFormat="0" applyBorder="0" applyAlignment="0" applyProtection="0"/>
    <xf numFmtId="0" fontId="1" fillId="58" borderId="104" applyNumberFormat="0" applyFont="0" applyAlignment="0" applyProtection="0"/>
    <xf numFmtId="0" fontId="1" fillId="60" borderId="0" applyNumberFormat="0" applyBorder="0" applyAlignment="0" applyProtection="0"/>
    <xf numFmtId="0" fontId="1" fillId="61" borderId="0" applyNumberFormat="0" applyBorder="0" applyAlignment="0" applyProtection="0"/>
    <xf numFmtId="0" fontId="1" fillId="64" borderId="0" applyNumberFormat="0" applyBorder="0" applyAlignment="0" applyProtection="0"/>
    <xf numFmtId="0" fontId="1" fillId="65" borderId="0" applyNumberFormat="0" applyBorder="0" applyAlignment="0" applyProtection="0"/>
    <xf numFmtId="0" fontId="1" fillId="68" borderId="0" applyNumberFormat="0" applyBorder="0" applyAlignment="0" applyProtection="0"/>
    <xf numFmtId="0" fontId="1" fillId="69" borderId="0" applyNumberFormat="0" applyBorder="0" applyAlignment="0" applyProtection="0"/>
    <xf numFmtId="0" fontId="1" fillId="72" borderId="0" applyNumberFormat="0" applyBorder="0" applyAlignment="0" applyProtection="0"/>
    <xf numFmtId="0" fontId="1" fillId="73" borderId="0" applyNumberFormat="0" applyBorder="0" applyAlignment="0" applyProtection="0"/>
    <xf numFmtId="0" fontId="1" fillId="76" borderId="0" applyNumberFormat="0" applyBorder="0" applyAlignment="0" applyProtection="0"/>
    <xf numFmtId="0" fontId="1" fillId="77" borderId="0" applyNumberFormat="0" applyBorder="0" applyAlignment="0" applyProtection="0"/>
    <xf numFmtId="0" fontId="1" fillId="80" borderId="0" applyNumberFormat="0" applyBorder="0" applyAlignment="0" applyProtection="0"/>
    <xf numFmtId="0" fontId="1" fillId="81" borderId="0" applyNumberFormat="0" applyBorder="0" applyAlignment="0" applyProtection="0"/>
    <xf numFmtId="0" fontId="1" fillId="58" borderId="104" applyNumberFormat="0" applyFont="0" applyAlignment="0" applyProtection="0"/>
    <xf numFmtId="0" fontId="1" fillId="58" borderId="104" applyNumberFormat="0" applyFont="0" applyAlignment="0" applyProtection="0"/>
    <xf numFmtId="0" fontId="1" fillId="60" borderId="0" applyNumberFormat="0" applyBorder="0" applyAlignment="0" applyProtection="0"/>
    <xf numFmtId="0" fontId="1" fillId="61" borderId="0" applyNumberFormat="0" applyBorder="0" applyAlignment="0" applyProtection="0"/>
    <xf numFmtId="0" fontId="1" fillId="64" borderId="0" applyNumberFormat="0" applyBorder="0" applyAlignment="0" applyProtection="0"/>
    <xf numFmtId="0" fontId="1" fillId="65" borderId="0" applyNumberFormat="0" applyBorder="0" applyAlignment="0" applyProtection="0"/>
    <xf numFmtId="0" fontId="1" fillId="68" borderId="0" applyNumberFormat="0" applyBorder="0" applyAlignment="0" applyProtection="0"/>
    <xf numFmtId="0" fontId="1" fillId="69" borderId="0" applyNumberFormat="0" applyBorder="0" applyAlignment="0" applyProtection="0"/>
    <xf numFmtId="0" fontId="1" fillId="72" borderId="0" applyNumberFormat="0" applyBorder="0" applyAlignment="0" applyProtection="0"/>
    <xf numFmtId="0" fontId="1" fillId="73" borderId="0" applyNumberFormat="0" applyBorder="0" applyAlignment="0" applyProtection="0"/>
    <xf numFmtId="0" fontId="1" fillId="76" borderId="0" applyNumberFormat="0" applyBorder="0" applyAlignment="0" applyProtection="0"/>
    <xf numFmtId="0" fontId="1" fillId="77" borderId="0" applyNumberFormat="0" applyBorder="0" applyAlignment="0" applyProtection="0"/>
    <xf numFmtId="0" fontId="1" fillId="80" borderId="0" applyNumberFormat="0" applyBorder="0" applyAlignment="0" applyProtection="0"/>
    <xf numFmtId="0" fontId="1" fillId="81" borderId="0" applyNumberFormat="0" applyBorder="0" applyAlignment="0" applyProtection="0"/>
    <xf numFmtId="0" fontId="1" fillId="60" borderId="0" applyNumberFormat="0" applyBorder="0" applyAlignment="0" applyProtection="0"/>
    <xf numFmtId="0" fontId="1" fillId="61" borderId="0" applyNumberFormat="0" applyBorder="0" applyAlignment="0" applyProtection="0"/>
    <xf numFmtId="0" fontId="1" fillId="64" borderId="0" applyNumberFormat="0" applyBorder="0" applyAlignment="0" applyProtection="0"/>
    <xf numFmtId="0" fontId="1" fillId="65" borderId="0" applyNumberFormat="0" applyBorder="0" applyAlignment="0" applyProtection="0"/>
    <xf numFmtId="0" fontId="1" fillId="68" borderId="0" applyNumberFormat="0" applyBorder="0" applyAlignment="0" applyProtection="0"/>
    <xf numFmtId="0" fontId="1" fillId="69" borderId="0" applyNumberFormat="0" applyBorder="0" applyAlignment="0" applyProtection="0"/>
    <xf numFmtId="0" fontId="1" fillId="72" borderId="0" applyNumberFormat="0" applyBorder="0" applyAlignment="0" applyProtection="0"/>
    <xf numFmtId="0" fontId="1" fillId="73" borderId="0" applyNumberFormat="0" applyBorder="0" applyAlignment="0" applyProtection="0"/>
    <xf numFmtId="0" fontId="1" fillId="76" borderId="0" applyNumberFormat="0" applyBorder="0" applyAlignment="0" applyProtection="0"/>
    <xf numFmtId="0" fontId="1" fillId="77" borderId="0" applyNumberFormat="0" applyBorder="0" applyAlignment="0" applyProtection="0"/>
    <xf numFmtId="0" fontId="1" fillId="80" borderId="0" applyNumberFormat="0" applyBorder="0" applyAlignment="0" applyProtection="0"/>
    <xf numFmtId="0" fontId="1" fillId="81" borderId="0" applyNumberFormat="0" applyBorder="0" applyAlignment="0" applyProtection="0"/>
    <xf numFmtId="0" fontId="1" fillId="58" borderId="104" applyNumberFormat="0" applyFont="0" applyAlignment="0" applyProtection="0"/>
    <xf numFmtId="0" fontId="1" fillId="60" borderId="0" applyNumberFormat="0" applyBorder="0" applyAlignment="0" applyProtection="0"/>
    <xf numFmtId="0" fontId="1" fillId="61" borderId="0" applyNumberFormat="0" applyBorder="0" applyAlignment="0" applyProtection="0"/>
    <xf numFmtId="0" fontId="1" fillId="64" borderId="0" applyNumberFormat="0" applyBorder="0" applyAlignment="0" applyProtection="0"/>
    <xf numFmtId="0" fontId="1" fillId="65" borderId="0" applyNumberFormat="0" applyBorder="0" applyAlignment="0" applyProtection="0"/>
    <xf numFmtId="0" fontId="1" fillId="68" borderId="0" applyNumberFormat="0" applyBorder="0" applyAlignment="0" applyProtection="0"/>
    <xf numFmtId="0" fontId="1" fillId="69" borderId="0" applyNumberFormat="0" applyBorder="0" applyAlignment="0" applyProtection="0"/>
    <xf numFmtId="0" fontId="1" fillId="72" borderId="0" applyNumberFormat="0" applyBorder="0" applyAlignment="0" applyProtection="0"/>
    <xf numFmtId="0" fontId="1" fillId="73" borderId="0" applyNumberFormat="0" applyBorder="0" applyAlignment="0" applyProtection="0"/>
    <xf numFmtId="0" fontId="1" fillId="76" borderId="0" applyNumberFormat="0" applyBorder="0" applyAlignment="0" applyProtection="0"/>
    <xf numFmtId="0" fontId="1" fillId="77" borderId="0" applyNumberFormat="0" applyBorder="0" applyAlignment="0" applyProtection="0"/>
    <xf numFmtId="0" fontId="1" fillId="80" borderId="0" applyNumberFormat="0" applyBorder="0" applyAlignment="0" applyProtection="0"/>
    <xf numFmtId="0" fontId="1" fillId="81" borderId="0" applyNumberFormat="0" applyBorder="0" applyAlignment="0" applyProtection="0"/>
    <xf numFmtId="0" fontId="1" fillId="58" borderId="104" applyNumberFormat="0" applyFont="0" applyAlignment="0" applyProtection="0"/>
    <xf numFmtId="0" fontId="1" fillId="58" borderId="104" applyNumberFormat="0" applyFont="0" applyAlignment="0" applyProtection="0"/>
    <xf numFmtId="0" fontId="1" fillId="60" borderId="0" applyNumberFormat="0" applyBorder="0" applyAlignment="0" applyProtection="0"/>
    <xf numFmtId="0" fontId="1" fillId="61" borderId="0" applyNumberFormat="0" applyBorder="0" applyAlignment="0" applyProtection="0"/>
    <xf numFmtId="0" fontId="1" fillId="64" borderId="0" applyNumberFormat="0" applyBorder="0" applyAlignment="0" applyProtection="0"/>
    <xf numFmtId="0" fontId="1" fillId="65" borderId="0" applyNumberFormat="0" applyBorder="0" applyAlignment="0" applyProtection="0"/>
    <xf numFmtId="0" fontId="1" fillId="68" borderId="0" applyNumberFormat="0" applyBorder="0" applyAlignment="0" applyProtection="0"/>
    <xf numFmtId="0" fontId="1" fillId="69" borderId="0" applyNumberFormat="0" applyBorder="0" applyAlignment="0" applyProtection="0"/>
    <xf numFmtId="0" fontId="1" fillId="72" borderId="0" applyNumberFormat="0" applyBorder="0" applyAlignment="0" applyProtection="0"/>
    <xf numFmtId="0" fontId="1" fillId="73" borderId="0" applyNumberFormat="0" applyBorder="0" applyAlignment="0" applyProtection="0"/>
    <xf numFmtId="0" fontId="1" fillId="76" borderId="0" applyNumberFormat="0" applyBorder="0" applyAlignment="0" applyProtection="0"/>
    <xf numFmtId="0" fontId="1" fillId="77" borderId="0" applyNumberFormat="0" applyBorder="0" applyAlignment="0" applyProtection="0"/>
    <xf numFmtId="0" fontId="1" fillId="80" borderId="0" applyNumberFormat="0" applyBorder="0" applyAlignment="0" applyProtection="0"/>
    <xf numFmtId="0" fontId="1" fillId="81" borderId="0" applyNumberFormat="0" applyBorder="0" applyAlignment="0" applyProtection="0"/>
    <xf numFmtId="0" fontId="1" fillId="60" borderId="0" applyNumberFormat="0" applyBorder="0" applyAlignment="0" applyProtection="0"/>
    <xf numFmtId="0" fontId="1" fillId="61" borderId="0" applyNumberFormat="0" applyBorder="0" applyAlignment="0" applyProtection="0"/>
    <xf numFmtId="0" fontId="1" fillId="64" borderId="0" applyNumberFormat="0" applyBorder="0" applyAlignment="0" applyProtection="0"/>
    <xf numFmtId="0" fontId="1" fillId="65" borderId="0" applyNumberFormat="0" applyBorder="0" applyAlignment="0" applyProtection="0"/>
    <xf numFmtId="0" fontId="1" fillId="68" borderId="0" applyNumberFormat="0" applyBorder="0" applyAlignment="0" applyProtection="0"/>
    <xf numFmtId="0" fontId="1" fillId="69" borderId="0" applyNumberFormat="0" applyBorder="0" applyAlignment="0" applyProtection="0"/>
    <xf numFmtId="0" fontId="1" fillId="72" borderId="0" applyNumberFormat="0" applyBorder="0" applyAlignment="0" applyProtection="0"/>
    <xf numFmtId="0" fontId="1" fillId="73" borderId="0" applyNumberFormat="0" applyBorder="0" applyAlignment="0" applyProtection="0"/>
    <xf numFmtId="0" fontId="1" fillId="76" borderId="0" applyNumberFormat="0" applyBorder="0" applyAlignment="0" applyProtection="0"/>
    <xf numFmtId="0" fontId="1" fillId="77" borderId="0" applyNumberFormat="0" applyBorder="0" applyAlignment="0" applyProtection="0"/>
    <xf numFmtId="0" fontId="1" fillId="80" borderId="0" applyNumberFormat="0" applyBorder="0" applyAlignment="0" applyProtection="0"/>
    <xf numFmtId="0" fontId="1" fillId="81" borderId="0" applyNumberFormat="0" applyBorder="0" applyAlignment="0" applyProtection="0"/>
    <xf numFmtId="0" fontId="1" fillId="58" borderId="104" applyNumberFormat="0" applyFont="0" applyAlignment="0" applyProtection="0"/>
    <xf numFmtId="0" fontId="1" fillId="26" borderId="0" applyNumberFormat="0" applyBorder="0" applyAlignment="0" applyProtection="0"/>
    <xf numFmtId="0" fontId="1" fillId="60" borderId="0" applyNumberFormat="0" applyBorder="0" applyAlignment="0" applyProtection="0"/>
    <xf numFmtId="0" fontId="1" fillId="60" borderId="0" applyNumberFormat="0" applyBorder="0" applyAlignment="0" applyProtection="0"/>
    <xf numFmtId="0" fontId="1" fillId="60" borderId="0" applyNumberFormat="0" applyBorder="0" applyAlignment="0" applyProtection="0"/>
    <xf numFmtId="0" fontId="1" fillId="60" borderId="0" applyNumberFormat="0" applyBorder="0" applyAlignment="0" applyProtection="0"/>
    <xf numFmtId="0" fontId="1" fillId="60" borderId="0" applyNumberFormat="0" applyBorder="0" applyAlignment="0" applyProtection="0"/>
    <xf numFmtId="0" fontId="1" fillId="60" borderId="0" applyNumberFormat="0" applyBorder="0" applyAlignment="0" applyProtection="0"/>
    <xf numFmtId="0" fontId="1" fillId="60" borderId="0" applyNumberFormat="0" applyBorder="0" applyAlignment="0" applyProtection="0"/>
    <xf numFmtId="0" fontId="1" fillId="60" borderId="0" applyNumberFormat="0" applyBorder="0" applyAlignment="0" applyProtection="0"/>
    <xf numFmtId="0" fontId="1" fillId="60" borderId="0" applyNumberFormat="0" applyBorder="0" applyAlignment="0" applyProtection="0"/>
    <xf numFmtId="0" fontId="1" fillId="64" borderId="0" applyNumberFormat="0" applyBorder="0" applyAlignment="0" applyProtection="0"/>
    <xf numFmtId="0" fontId="1" fillId="64" borderId="0" applyNumberFormat="0" applyBorder="0" applyAlignment="0" applyProtection="0"/>
    <xf numFmtId="0" fontId="1" fillId="64" borderId="0" applyNumberFormat="0" applyBorder="0" applyAlignment="0" applyProtection="0"/>
    <xf numFmtId="0" fontId="1" fillId="64" borderId="0" applyNumberFormat="0" applyBorder="0" applyAlignment="0" applyProtection="0"/>
    <xf numFmtId="0" fontId="1" fillId="64" borderId="0" applyNumberFormat="0" applyBorder="0" applyAlignment="0" applyProtection="0"/>
    <xf numFmtId="0" fontId="1" fillId="64" borderId="0" applyNumberFormat="0" applyBorder="0" applyAlignment="0" applyProtection="0"/>
    <xf numFmtId="0" fontId="1" fillId="64" borderId="0" applyNumberFormat="0" applyBorder="0" applyAlignment="0" applyProtection="0"/>
    <xf numFmtId="0" fontId="1" fillId="64" borderId="0" applyNumberFormat="0" applyBorder="0" applyAlignment="0" applyProtection="0"/>
    <xf numFmtId="0" fontId="1" fillId="64" borderId="0" applyNumberFormat="0" applyBorder="0" applyAlignment="0" applyProtection="0"/>
    <xf numFmtId="0" fontId="1" fillId="68" borderId="0" applyNumberFormat="0" applyBorder="0" applyAlignment="0" applyProtection="0"/>
    <xf numFmtId="0" fontId="1" fillId="68" borderId="0" applyNumberFormat="0" applyBorder="0" applyAlignment="0" applyProtection="0"/>
    <xf numFmtId="0" fontId="1" fillId="68" borderId="0" applyNumberFormat="0" applyBorder="0" applyAlignment="0" applyProtection="0"/>
    <xf numFmtId="0" fontId="1" fillId="68" borderId="0" applyNumberFormat="0" applyBorder="0" applyAlignment="0" applyProtection="0"/>
    <xf numFmtId="0" fontId="1" fillId="68" borderId="0" applyNumberFormat="0" applyBorder="0" applyAlignment="0" applyProtection="0"/>
    <xf numFmtId="0" fontId="1" fillId="68" borderId="0" applyNumberFormat="0" applyBorder="0" applyAlignment="0" applyProtection="0"/>
    <xf numFmtId="0" fontId="1" fillId="68" borderId="0" applyNumberFormat="0" applyBorder="0" applyAlignment="0" applyProtection="0"/>
    <xf numFmtId="0" fontId="1" fillId="68" borderId="0" applyNumberFormat="0" applyBorder="0" applyAlignment="0" applyProtection="0"/>
    <xf numFmtId="0" fontId="1" fillId="68" borderId="0" applyNumberFormat="0" applyBorder="0" applyAlignment="0" applyProtection="0"/>
    <xf numFmtId="0" fontId="1" fillId="72" borderId="0" applyNumberFormat="0" applyBorder="0" applyAlignment="0" applyProtection="0"/>
    <xf numFmtId="0" fontId="1" fillId="72" borderId="0" applyNumberFormat="0" applyBorder="0" applyAlignment="0" applyProtection="0"/>
    <xf numFmtId="0" fontId="1" fillId="72" borderId="0" applyNumberFormat="0" applyBorder="0" applyAlignment="0" applyProtection="0"/>
    <xf numFmtId="0" fontId="1" fillId="72" borderId="0" applyNumberFormat="0" applyBorder="0" applyAlignment="0" applyProtection="0"/>
    <xf numFmtId="0" fontId="1" fillId="72" borderId="0" applyNumberFormat="0" applyBorder="0" applyAlignment="0" applyProtection="0"/>
    <xf numFmtId="0" fontId="1" fillId="72" borderId="0" applyNumberFormat="0" applyBorder="0" applyAlignment="0" applyProtection="0"/>
    <xf numFmtId="0" fontId="1" fillId="72" borderId="0" applyNumberFormat="0" applyBorder="0" applyAlignment="0" applyProtection="0"/>
    <xf numFmtId="0" fontId="1" fillId="72" borderId="0" applyNumberFormat="0" applyBorder="0" applyAlignment="0" applyProtection="0"/>
    <xf numFmtId="0" fontId="1" fillId="72" borderId="0" applyNumberFormat="0" applyBorder="0" applyAlignment="0" applyProtection="0"/>
    <xf numFmtId="0" fontId="1" fillId="76" borderId="0" applyNumberFormat="0" applyBorder="0" applyAlignment="0" applyProtection="0"/>
    <xf numFmtId="0" fontId="1" fillId="76" borderId="0" applyNumberFormat="0" applyBorder="0" applyAlignment="0" applyProtection="0"/>
    <xf numFmtId="0" fontId="1" fillId="76" borderId="0" applyNumberFormat="0" applyBorder="0" applyAlignment="0" applyProtection="0"/>
    <xf numFmtId="0" fontId="1" fillId="76" borderId="0" applyNumberFormat="0" applyBorder="0" applyAlignment="0" applyProtection="0"/>
    <xf numFmtId="0" fontId="1" fillId="76" borderId="0" applyNumberFormat="0" applyBorder="0" applyAlignment="0" applyProtection="0"/>
    <xf numFmtId="0" fontId="1" fillId="76" borderId="0" applyNumberFormat="0" applyBorder="0" applyAlignment="0" applyProtection="0"/>
    <xf numFmtId="0" fontId="1" fillId="76" borderId="0" applyNumberFormat="0" applyBorder="0" applyAlignment="0" applyProtection="0"/>
    <xf numFmtId="0" fontId="1" fillId="76" borderId="0" applyNumberFormat="0" applyBorder="0" applyAlignment="0" applyProtection="0"/>
    <xf numFmtId="0" fontId="1" fillId="76" borderId="0" applyNumberFormat="0" applyBorder="0" applyAlignment="0" applyProtection="0"/>
    <xf numFmtId="0" fontId="1" fillId="80" borderId="0" applyNumberFormat="0" applyBorder="0" applyAlignment="0" applyProtection="0"/>
    <xf numFmtId="0" fontId="1" fillId="80" borderId="0" applyNumberFormat="0" applyBorder="0" applyAlignment="0" applyProtection="0"/>
    <xf numFmtId="0" fontId="1" fillId="80" borderId="0" applyNumberFormat="0" applyBorder="0" applyAlignment="0" applyProtection="0"/>
    <xf numFmtId="0" fontId="1" fillId="80" borderId="0" applyNumberFormat="0" applyBorder="0" applyAlignment="0" applyProtection="0"/>
    <xf numFmtId="0" fontId="1" fillId="80" borderId="0" applyNumberFormat="0" applyBorder="0" applyAlignment="0" applyProtection="0"/>
    <xf numFmtId="0" fontId="1" fillId="80" borderId="0" applyNumberFormat="0" applyBorder="0" applyAlignment="0" applyProtection="0"/>
    <xf numFmtId="0" fontId="1" fillId="80" borderId="0" applyNumberFormat="0" applyBorder="0" applyAlignment="0" applyProtection="0"/>
    <xf numFmtId="0" fontId="1" fillId="80" borderId="0" applyNumberFormat="0" applyBorder="0" applyAlignment="0" applyProtection="0"/>
    <xf numFmtId="0" fontId="1" fillId="80" borderId="0" applyNumberFormat="0" applyBorder="0" applyAlignment="0" applyProtection="0"/>
    <xf numFmtId="0" fontId="1" fillId="61" borderId="0" applyNumberFormat="0" applyBorder="0" applyAlignment="0" applyProtection="0"/>
    <xf numFmtId="0" fontId="1" fillId="61" borderId="0" applyNumberFormat="0" applyBorder="0" applyAlignment="0" applyProtection="0"/>
    <xf numFmtId="0" fontId="1" fillId="61" borderId="0" applyNumberFormat="0" applyBorder="0" applyAlignment="0" applyProtection="0"/>
    <xf numFmtId="0" fontId="1" fillId="61" borderId="0" applyNumberFormat="0" applyBorder="0" applyAlignment="0" applyProtection="0"/>
    <xf numFmtId="0" fontId="1" fillId="61" borderId="0" applyNumberFormat="0" applyBorder="0" applyAlignment="0" applyProtection="0"/>
    <xf numFmtId="0" fontId="1" fillId="61" borderId="0" applyNumberFormat="0" applyBorder="0" applyAlignment="0" applyProtection="0"/>
    <xf numFmtId="0" fontId="1" fillId="61" borderId="0" applyNumberFormat="0" applyBorder="0" applyAlignment="0" applyProtection="0"/>
    <xf numFmtId="0" fontId="1" fillId="61" borderId="0" applyNumberFormat="0" applyBorder="0" applyAlignment="0" applyProtection="0"/>
    <xf numFmtId="0" fontId="1" fillId="61" borderId="0" applyNumberFormat="0" applyBorder="0" applyAlignment="0" applyProtection="0"/>
    <xf numFmtId="0" fontId="1" fillId="65" borderId="0" applyNumberFormat="0" applyBorder="0" applyAlignment="0" applyProtection="0"/>
    <xf numFmtId="0" fontId="1" fillId="65" borderId="0" applyNumberFormat="0" applyBorder="0" applyAlignment="0" applyProtection="0"/>
    <xf numFmtId="0" fontId="1" fillId="65" borderId="0" applyNumberFormat="0" applyBorder="0" applyAlignment="0" applyProtection="0"/>
    <xf numFmtId="0" fontId="1" fillId="65" borderId="0" applyNumberFormat="0" applyBorder="0" applyAlignment="0" applyProtection="0"/>
    <xf numFmtId="0" fontId="1" fillId="65" borderId="0" applyNumberFormat="0" applyBorder="0" applyAlignment="0" applyProtection="0"/>
    <xf numFmtId="0" fontId="1" fillId="65" borderId="0" applyNumberFormat="0" applyBorder="0" applyAlignment="0" applyProtection="0"/>
    <xf numFmtId="0" fontId="1" fillId="65" borderId="0" applyNumberFormat="0" applyBorder="0" applyAlignment="0" applyProtection="0"/>
    <xf numFmtId="0" fontId="1" fillId="65" borderId="0" applyNumberFormat="0" applyBorder="0" applyAlignment="0" applyProtection="0"/>
    <xf numFmtId="0" fontId="1" fillId="65" borderId="0" applyNumberFormat="0" applyBorder="0" applyAlignment="0" applyProtection="0"/>
    <xf numFmtId="0" fontId="1" fillId="69" borderId="0" applyNumberFormat="0" applyBorder="0" applyAlignment="0" applyProtection="0"/>
    <xf numFmtId="0" fontId="1" fillId="69" borderId="0" applyNumberFormat="0" applyBorder="0" applyAlignment="0" applyProtection="0"/>
    <xf numFmtId="0" fontId="1" fillId="69" borderId="0" applyNumberFormat="0" applyBorder="0" applyAlignment="0" applyProtection="0"/>
    <xf numFmtId="0" fontId="1" fillId="69" borderId="0" applyNumberFormat="0" applyBorder="0" applyAlignment="0" applyProtection="0"/>
    <xf numFmtId="0" fontId="1" fillId="69" borderId="0" applyNumberFormat="0" applyBorder="0" applyAlignment="0" applyProtection="0"/>
    <xf numFmtId="0" fontId="1" fillId="69" borderId="0" applyNumberFormat="0" applyBorder="0" applyAlignment="0" applyProtection="0"/>
    <xf numFmtId="0" fontId="1" fillId="69" borderId="0" applyNumberFormat="0" applyBorder="0" applyAlignment="0" applyProtection="0"/>
    <xf numFmtId="0" fontId="1" fillId="69" borderId="0" applyNumberFormat="0" applyBorder="0" applyAlignment="0" applyProtection="0"/>
    <xf numFmtId="0" fontId="1" fillId="69" borderId="0" applyNumberFormat="0" applyBorder="0" applyAlignment="0" applyProtection="0"/>
    <xf numFmtId="0" fontId="1" fillId="73" borderId="0" applyNumberFormat="0" applyBorder="0" applyAlignment="0" applyProtection="0"/>
    <xf numFmtId="0" fontId="1" fillId="73" borderId="0" applyNumberFormat="0" applyBorder="0" applyAlignment="0" applyProtection="0"/>
    <xf numFmtId="0" fontId="1" fillId="73" borderId="0" applyNumberFormat="0" applyBorder="0" applyAlignment="0" applyProtection="0"/>
    <xf numFmtId="0" fontId="1" fillId="73" borderId="0" applyNumberFormat="0" applyBorder="0" applyAlignment="0" applyProtection="0"/>
    <xf numFmtId="0" fontId="1" fillId="73" borderId="0" applyNumberFormat="0" applyBorder="0" applyAlignment="0" applyProtection="0"/>
    <xf numFmtId="0" fontId="1" fillId="73" borderId="0" applyNumberFormat="0" applyBorder="0" applyAlignment="0" applyProtection="0"/>
    <xf numFmtId="0" fontId="1" fillId="73" borderId="0" applyNumberFormat="0" applyBorder="0" applyAlignment="0" applyProtection="0"/>
    <xf numFmtId="0" fontId="1" fillId="73" borderId="0" applyNumberFormat="0" applyBorder="0" applyAlignment="0" applyProtection="0"/>
    <xf numFmtId="0" fontId="1" fillId="73" borderId="0" applyNumberFormat="0" applyBorder="0" applyAlignment="0" applyProtection="0"/>
    <xf numFmtId="0" fontId="1" fillId="77" borderId="0" applyNumberFormat="0" applyBorder="0" applyAlignment="0" applyProtection="0"/>
    <xf numFmtId="0" fontId="1" fillId="77" borderId="0" applyNumberFormat="0" applyBorder="0" applyAlignment="0" applyProtection="0"/>
    <xf numFmtId="0" fontId="1" fillId="77" borderId="0" applyNumberFormat="0" applyBorder="0" applyAlignment="0" applyProtection="0"/>
    <xf numFmtId="0" fontId="1" fillId="77" borderId="0" applyNumberFormat="0" applyBorder="0" applyAlignment="0" applyProtection="0"/>
    <xf numFmtId="0" fontId="1" fillId="77" borderId="0" applyNumberFormat="0" applyBorder="0" applyAlignment="0" applyProtection="0"/>
    <xf numFmtId="0" fontId="1" fillId="77" borderId="0" applyNumberFormat="0" applyBorder="0" applyAlignment="0" applyProtection="0"/>
    <xf numFmtId="0" fontId="1" fillId="77" borderId="0" applyNumberFormat="0" applyBorder="0" applyAlignment="0" applyProtection="0"/>
    <xf numFmtId="0" fontId="1" fillId="77" borderId="0" applyNumberFormat="0" applyBorder="0" applyAlignment="0" applyProtection="0"/>
    <xf numFmtId="0" fontId="1" fillId="77" borderId="0" applyNumberFormat="0" applyBorder="0" applyAlignment="0" applyProtection="0"/>
    <xf numFmtId="0" fontId="1" fillId="81" borderId="0" applyNumberFormat="0" applyBorder="0" applyAlignment="0" applyProtection="0"/>
    <xf numFmtId="0" fontId="1" fillId="81" borderId="0" applyNumberFormat="0" applyBorder="0" applyAlignment="0" applyProtection="0"/>
    <xf numFmtId="0" fontId="1" fillId="81" borderId="0" applyNumberFormat="0" applyBorder="0" applyAlignment="0" applyProtection="0"/>
    <xf numFmtId="0" fontId="1" fillId="81" borderId="0" applyNumberFormat="0" applyBorder="0" applyAlignment="0" applyProtection="0"/>
    <xf numFmtId="0" fontId="1" fillId="81" borderId="0" applyNumberFormat="0" applyBorder="0" applyAlignment="0" applyProtection="0"/>
    <xf numFmtId="0" fontId="1" fillId="81" borderId="0" applyNumberFormat="0" applyBorder="0" applyAlignment="0" applyProtection="0"/>
    <xf numFmtId="0" fontId="1" fillId="81" borderId="0" applyNumberFormat="0" applyBorder="0" applyAlignment="0" applyProtection="0"/>
    <xf numFmtId="0" fontId="1" fillId="81" borderId="0" applyNumberFormat="0" applyBorder="0" applyAlignment="0" applyProtection="0"/>
    <xf numFmtId="0" fontId="1" fillId="81" borderId="0" applyNumberFormat="0" applyBorder="0" applyAlignment="0" applyProtection="0"/>
    <xf numFmtId="0" fontId="1" fillId="23" borderId="0" applyNumberFormat="0" applyBorder="0" applyAlignment="0" applyProtection="0"/>
    <xf numFmtId="0" fontId="1" fillId="58" borderId="104" applyNumberFormat="0" applyFont="0" applyAlignment="0" applyProtection="0"/>
    <xf numFmtId="0" fontId="1" fillId="58" borderId="104" applyNumberFormat="0" applyFont="0" applyAlignment="0" applyProtection="0"/>
    <xf numFmtId="0" fontId="1" fillId="58" borderId="104" applyNumberFormat="0" applyFont="0" applyAlignment="0" applyProtection="0"/>
    <xf numFmtId="0" fontId="1" fillId="58" borderId="104" applyNumberFormat="0" applyFont="0" applyAlignment="0" applyProtection="0"/>
    <xf numFmtId="0" fontId="1" fillId="58" borderId="104" applyNumberFormat="0" applyFont="0" applyAlignment="0" applyProtection="0"/>
    <xf numFmtId="0" fontId="1" fillId="58" borderId="104" applyNumberFormat="0" applyFont="0" applyAlignment="0" applyProtection="0"/>
    <xf numFmtId="0" fontId="1" fillId="58" borderId="104" applyNumberFormat="0" applyFont="0" applyAlignment="0" applyProtection="0"/>
    <xf numFmtId="0" fontId="1" fillId="58" borderId="104" applyNumberFormat="0" applyFont="0" applyAlignment="0" applyProtection="0"/>
    <xf numFmtId="0" fontId="1" fillId="58" borderId="104" applyNumberFormat="0" applyFont="0" applyAlignment="0" applyProtection="0"/>
    <xf numFmtId="0" fontId="1" fillId="58" borderId="104" applyNumberFormat="0" applyFont="0" applyAlignment="0" applyProtection="0"/>
    <xf numFmtId="0" fontId="1" fillId="26" borderId="0" applyNumberFormat="0" applyBorder="0" applyAlignment="0" applyProtection="0"/>
    <xf numFmtId="0" fontId="1" fillId="58" borderId="104" applyNumberFormat="0" applyFont="0" applyAlignment="0" applyProtection="0"/>
    <xf numFmtId="0" fontId="1" fillId="23" borderId="0" applyNumberFormat="0" applyBorder="0" applyAlignment="0" applyProtection="0"/>
    <xf numFmtId="0" fontId="1" fillId="58" borderId="104" applyNumberFormat="0" applyFont="0" applyAlignment="0" applyProtection="0"/>
    <xf numFmtId="0" fontId="1" fillId="6" borderId="0" applyNumberFormat="0" applyBorder="0" applyAlignment="0" applyProtection="0"/>
    <xf numFmtId="0" fontId="1" fillId="0" borderId="0"/>
    <xf numFmtId="0" fontId="1" fillId="0" borderId="0"/>
    <xf numFmtId="0" fontId="1" fillId="9" borderId="0" applyNumberFormat="0" applyBorder="0" applyAlignment="0" applyProtection="0"/>
    <xf numFmtId="0" fontId="1" fillId="6"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7" borderId="0" applyNumberFormat="0" applyBorder="0" applyAlignment="0" applyProtection="0"/>
    <xf numFmtId="9" fontId="1" fillId="0" borderId="0" applyFont="0" applyFill="0" applyBorder="0" applyAlignment="0" applyProtection="0"/>
    <xf numFmtId="0" fontId="1" fillId="26" borderId="0" applyNumberFormat="0" applyBorder="0" applyAlignment="0" applyProtection="0"/>
    <xf numFmtId="0" fontId="1" fillId="23" borderId="0" applyNumberFormat="0" applyBorder="0" applyAlignment="0" applyProtection="0"/>
    <xf numFmtId="0" fontId="1" fillId="26" borderId="0" applyNumberFormat="0" applyBorder="0" applyAlignment="0" applyProtection="0"/>
    <xf numFmtId="0" fontId="1" fillId="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8"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8" borderId="0" applyNumberFormat="0" applyBorder="0" applyAlignment="0" applyProtection="0"/>
    <xf numFmtId="0" fontId="1" fillId="26" borderId="0" applyNumberFormat="0" applyBorder="0" applyAlignment="0" applyProtection="0"/>
    <xf numFmtId="0" fontId="1" fillId="9"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8" borderId="0" applyNumberFormat="0" applyBorder="0" applyAlignment="0" applyProtection="0"/>
    <xf numFmtId="0" fontId="1" fillId="26"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8" borderId="0" applyNumberFormat="0" applyBorder="0" applyAlignment="0" applyProtection="0"/>
    <xf numFmtId="0" fontId="1" fillId="26" borderId="0" applyNumberFormat="0" applyBorder="0" applyAlignment="0" applyProtection="0"/>
    <xf numFmtId="0" fontId="1" fillId="8"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60" borderId="0" applyNumberFormat="0" applyBorder="0" applyAlignment="0" applyProtection="0"/>
    <xf numFmtId="0" fontId="1" fillId="61" borderId="0" applyNumberFormat="0" applyBorder="0" applyAlignment="0" applyProtection="0"/>
    <xf numFmtId="0" fontId="1" fillId="64" borderId="0" applyNumberFormat="0" applyBorder="0" applyAlignment="0" applyProtection="0"/>
    <xf numFmtId="0" fontId="1" fillId="65" borderId="0" applyNumberFormat="0" applyBorder="0" applyAlignment="0" applyProtection="0"/>
    <xf numFmtId="0" fontId="1" fillId="68" borderId="0" applyNumberFormat="0" applyBorder="0" applyAlignment="0" applyProtection="0"/>
    <xf numFmtId="0" fontId="1" fillId="69" borderId="0" applyNumberFormat="0" applyBorder="0" applyAlignment="0" applyProtection="0"/>
    <xf numFmtId="0" fontId="1" fillId="72" borderId="0" applyNumberFormat="0" applyBorder="0" applyAlignment="0" applyProtection="0"/>
    <xf numFmtId="0" fontId="1" fillId="73" borderId="0" applyNumberFormat="0" applyBorder="0" applyAlignment="0" applyProtection="0"/>
    <xf numFmtId="0" fontId="1" fillId="76" borderId="0" applyNumberFormat="0" applyBorder="0" applyAlignment="0" applyProtection="0"/>
    <xf numFmtId="0" fontId="1" fillId="77" borderId="0" applyNumberFormat="0" applyBorder="0" applyAlignment="0" applyProtection="0"/>
    <xf numFmtId="0" fontId="1" fillId="80" borderId="0" applyNumberFormat="0" applyBorder="0" applyAlignment="0" applyProtection="0"/>
    <xf numFmtId="0" fontId="1" fillId="81" borderId="0" applyNumberFormat="0" applyBorder="0" applyAlignment="0" applyProtection="0"/>
    <xf numFmtId="0" fontId="1" fillId="58" borderId="104" applyNumberFormat="0" applyFont="0" applyAlignment="0" applyProtection="0"/>
    <xf numFmtId="0" fontId="1" fillId="58" borderId="104" applyNumberFormat="0" applyFont="0" applyAlignment="0" applyProtection="0"/>
    <xf numFmtId="0" fontId="1" fillId="60" borderId="0" applyNumberFormat="0" applyBorder="0" applyAlignment="0" applyProtection="0"/>
    <xf numFmtId="0" fontId="1" fillId="61" borderId="0" applyNumberFormat="0" applyBorder="0" applyAlignment="0" applyProtection="0"/>
    <xf numFmtId="0" fontId="1" fillId="64" borderId="0" applyNumberFormat="0" applyBorder="0" applyAlignment="0" applyProtection="0"/>
    <xf numFmtId="0" fontId="1" fillId="65" borderId="0" applyNumberFormat="0" applyBorder="0" applyAlignment="0" applyProtection="0"/>
    <xf numFmtId="0" fontId="1" fillId="68" borderId="0" applyNumberFormat="0" applyBorder="0" applyAlignment="0" applyProtection="0"/>
    <xf numFmtId="0" fontId="1" fillId="69" borderId="0" applyNumberFormat="0" applyBorder="0" applyAlignment="0" applyProtection="0"/>
    <xf numFmtId="0" fontId="1" fillId="72" borderId="0" applyNumberFormat="0" applyBorder="0" applyAlignment="0" applyProtection="0"/>
    <xf numFmtId="0" fontId="1" fillId="73" borderId="0" applyNumberFormat="0" applyBorder="0" applyAlignment="0" applyProtection="0"/>
    <xf numFmtId="0" fontId="1" fillId="76" borderId="0" applyNumberFormat="0" applyBorder="0" applyAlignment="0" applyProtection="0"/>
    <xf numFmtId="0" fontId="1" fillId="77" borderId="0" applyNumberFormat="0" applyBorder="0" applyAlignment="0" applyProtection="0"/>
    <xf numFmtId="0" fontId="1" fillId="80" borderId="0" applyNumberFormat="0" applyBorder="0" applyAlignment="0" applyProtection="0"/>
    <xf numFmtId="0" fontId="1" fillId="81" borderId="0" applyNumberFormat="0" applyBorder="0" applyAlignment="0" applyProtection="0"/>
    <xf numFmtId="0" fontId="1" fillId="60" borderId="0" applyNumberFormat="0" applyBorder="0" applyAlignment="0" applyProtection="0"/>
    <xf numFmtId="0" fontId="1" fillId="61" borderId="0" applyNumberFormat="0" applyBorder="0" applyAlignment="0" applyProtection="0"/>
    <xf numFmtId="0" fontId="1" fillId="64" borderId="0" applyNumberFormat="0" applyBorder="0" applyAlignment="0" applyProtection="0"/>
    <xf numFmtId="0" fontId="1" fillId="65" borderId="0" applyNumberFormat="0" applyBorder="0" applyAlignment="0" applyProtection="0"/>
    <xf numFmtId="0" fontId="1" fillId="68" borderId="0" applyNumberFormat="0" applyBorder="0" applyAlignment="0" applyProtection="0"/>
    <xf numFmtId="0" fontId="1" fillId="69" borderId="0" applyNumberFormat="0" applyBorder="0" applyAlignment="0" applyProtection="0"/>
    <xf numFmtId="0" fontId="1" fillId="72" borderId="0" applyNumberFormat="0" applyBorder="0" applyAlignment="0" applyProtection="0"/>
    <xf numFmtId="0" fontId="1" fillId="73" borderId="0" applyNumberFormat="0" applyBorder="0" applyAlignment="0" applyProtection="0"/>
    <xf numFmtId="0" fontId="1" fillId="76" borderId="0" applyNumberFormat="0" applyBorder="0" applyAlignment="0" applyProtection="0"/>
    <xf numFmtId="0" fontId="1" fillId="77" borderId="0" applyNumberFormat="0" applyBorder="0" applyAlignment="0" applyProtection="0"/>
    <xf numFmtId="0" fontId="1" fillId="80" borderId="0" applyNumberFormat="0" applyBorder="0" applyAlignment="0" applyProtection="0"/>
    <xf numFmtId="0" fontId="1" fillId="81" borderId="0" applyNumberFormat="0" applyBorder="0" applyAlignment="0" applyProtection="0"/>
    <xf numFmtId="0" fontId="1" fillId="58" borderId="104" applyNumberFormat="0" applyFont="0" applyAlignment="0" applyProtection="0"/>
    <xf numFmtId="0" fontId="1" fillId="60" borderId="0" applyNumberFormat="0" applyBorder="0" applyAlignment="0" applyProtection="0"/>
    <xf numFmtId="0" fontId="1" fillId="61" borderId="0" applyNumberFormat="0" applyBorder="0" applyAlignment="0" applyProtection="0"/>
    <xf numFmtId="0" fontId="1" fillId="64" borderId="0" applyNumberFormat="0" applyBorder="0" applyAlignment="0" applyProtection="0"/>
    <xf numFmtId="0" fontId="1" fillId="65" borderId="0" applyNumberFormat="0" applyBorder="0" applyAlignment="0" applyProtection="0"/>
    <xf numFmtId="0" fontId="1" fillId="68" borderId="0" applyNumberFormat="0" applyBorder="0" applyAlignment="0" applyProtection="0"/>
    <xf numFmtId="0" fontId="1" fillId="69" borderId="0" applyNumberFormat="0" applyBorder="0" applyAlignment="0" applyProtection="0"/>
    <xf numFmtId="0" fontId="1" fillId="72" borderId="0" applyNumberFormat="0" applyBorder="0" applyAlignment="0" applyProtection="0"/>
    <xf numFmtId="0" fontId="1" fillId="73" borderId="0" applyNumberFormat="0" applyBorder="0" applyAlignment="0" applyProtection="0"/>
    <xf numFmtId="0" fontId="1" fillId="76" borderId="0" applyNumberFormat="0" applyBorder="0" applyAlignment="0" applyProtection="0"/>
    <xf numFmtId="0" fontId="1" fillId="77" borderId="0" applyNumberFormat="0" applyBorder="0" applyAlignment="0" applyProtection="0"/>
    <xf numFmtId="0" fontId="1" fillId="80" borderId="0" applyNumberFormat="0" applyBorder="0" applyAlignment="0" applyProtection="0"/>
    <xf numFmtId="0" fontId="1" fillId="81" borderId="0" applyNumberFormat="0" applyBorder="0" applyAlignment="0" applyProtection="0"/>
    <xf numFmtId="0" fontId="1" fillId="58" borderId="104" applyNumberFormat="0" applyFont="0" applyAlignment="0" applyProtection="0"/>
    <xf numFmtId="0" fontId="1" fillId="58" borderId="104" applyNumberFormat="0" applyFont="0" applyAlignment="0" applyProtection="0"/>
    <xf numFmtId="0" fontId="1" fillId="60" borderId="0" applyNumberFormat="0" applyBorder="0" applyAlignment="0" applyProtection="0"/>
    <xf numFmtId="0" fontId="1" fillId="61" borderId="0" applyNumberFormat="0" applyBorder="0" applyAlignment="0" applyProtection="0"/>
    <xf numFmtId="0" fontId="1" fillId="64" borderId="0" applyNumberFormat="0" applyBorder="0" applyAlignment="0" applyProtection="0"/>
    <xf numFmtId="0" fontId="1" fillId="65" borderId="0" applyNumberFormat="0" applyBorder="0" applyAlignment="0" applyProtection="0"/>
    <xf numFmtId="0" fontId="1" fillId="68" borderId="0" applyNumberFormat="0" applyBorder="0" applyAlignment="0" applyProtection="0"/>
    <xf numFmtId="0" fontId="1" fillId="69" borderId="0" applyNumberFormat="0" applyBorder="0" applyAlignment="0" applyProtection="0"/>
    <xf numFmtId="0" fontId="1" fillId="72" borderId="0" applyNumberFormat="0" applyBorder="0" applyAlignment="0" applyProtection="0"/>
    <xf numFmtId="0" fontId="1" fillId="73" borderId="0" applyNumberFormat="0" applyBorder="0" applyAlignment="0" applyProtection="0"/>
    <xf numFmtId="0" fontId="1" fillId="76" borderId="0" applyNumberFormat="0" applyBorder="0" applyAlignment="0" applyProtection="0"/>
    <xf numFmtId="0" fontId="1" fillId="77" borderId="0" applyNumberFormat="0" applyBorder="0" applyAlignment="0" applyProtection="0"/>
    <xf numFmtId="0" fontId="1" fillId="80" borderId="0" applyNumberFormat="0" applyBorder="0" applyAlignment="0" applyProtection="0"/>
    <xf numFmtId="0" fontId="1" fillId="81" borderId="0" applyNumberFormat="0" applyBorder="0" applyAlignment="0" applyProtection="0"/>
    <xf numFmtId="0" fontId="1" fillId="60" borderId="0" applyNumberFormat="0" applyBorder="0" applyAlignment="0" applyProtection="0"/>
    <xf numFmtId="0" fontId="1" fillId="61" borderId="0" applyNumberFormat="0" applyBorder="0" applyAlignment="0" applyProtection="0"/>
    <xf numFmtId="0" fontId="1" fillId="64" borderId="0" applyNumberFormat="0" applyBorder="0" applyAlignment="0" applyProtection="0"/>
    <xf numFmtId="0" fontId="1" fillId="65" borderId="0" applyNumberFormat="0" applyBorder="0" applyAlignment="0" applyProtection="0"/>
    <xf numFmtId="0" fontId="1" fillId="68" borderId="0" applyNumberFormat="0" applyBorder="0" applyAlignment="0" applyProtection="0"/>
    <xf numFmtId="0" fontId="1" fillId="69" borderId="0" applyNumberFormat="0" applyBorder="0" applyAlignment="0" applyProtection="0"/>
    <xf numFmtId="0" fontId="1" fillId="72" borderId="0" applyNumberFormat="0" applyBorder="0" applyAlignment="0" applyProtection="0"/>
    <xf numFmtId="0" fontId="1" fillId="73" borderId="0" applyNumberFormat="0" applyBorder="0" applyAlignment="0" applyProtection="0"/>
    <xf numFmtId="0" fontId="1" fillId="76" borderId="0" applyNumberFormat="0" applyBorder="0" applyAlignment="0" applyProtection="0"/>
    <xf numFmtId="0" fontId="1" fillId="77" borderId="0" applyNumberFormat="0" applyBorder="0" applyAlignment="0" applyProtection="0"/>
    <xf numFmtId="0" fontId="1" fillId="80" borderId="0" applyNumberFormat="0" applyBorder="0" applyAlignment="0" applyProtection="0"/>
    <xf numFmtId="0" fontId="1" fillId="81" borderId="0" applyNumberFormat="0" applyBorder="0" applyAlignment="0" applyProtection="0"/>
    <xf numFmtId="0" fontId="1" fillId="58" borderId="104" applyNumberFormat="0" applyFont="0" applyAlignment="0" applyProtection="0"/>
    <xf numFmtId="0" fontId="1" fillId="60" borderId="0" applyNumberFormat="0" applyBorder="0" applyAlignment="0" applyProtection="0"/>
    <xf numFmtId="0" fontId="1" fillId="61" borderId="0" applyNumberFormat="0" applyBorder="0" applyAlignment="0" applyProtection="0"/>
    <xf numFmtId="0" fontId="1" fillId="64" borderId="0" applyNumberFormat="0" applyBorder="0" applyAlignment="0" applyProtection="0"/>
    <xf numFmtId="0" fontId="1" fillId="65" borderId="0" applyNumberFormat="0" applyBorder="0" applyAlignment="0" applyProtection="0"/>
    <xf numFmtId="0" fontId="1" fillId="68" borderId="0" applyNumberFormat="0" applyBorder="0" applyAlignment="0" applyProtection="0"/>
    <xf numFmtId="0" fontId="1" fillId="69" borderId="0" applyNumberFormat="0" applyBorder="0" applyAlignment="0" applyProtection="0"/>
    <xf numFmtId="0" fontId="1" fillId="72" borderId="0" applyNumberFormat="0" applyBorder="0" applyAlignment="0" applyProtection="0"/>
    <xf numFmtId="0" fontId="1" fillId="73" borderId="0" applyNumberFormat="0" applyBorder="0" applyAlignment="0" applyProtection="0"/>
    <xf numFmtId="0" fontId="1" fillId="76" borderId="0" applyNumberFormat="0" applyBorder="0" applyAlignment="0" applyProtection="0"/>
    <xf numFmtId="0" fontId="1" fillId="77" borderId="0" applyNumberFormat="0" applyBorder="0" applyAlignment="0" applyProtection="0"/>
    <xf numFmtId="0" fontId="1" fillId="80" borderId="0" applyNumberFormat="0" applyBorder="0" applyAlignment="0" applyProtection="0"/>
    <xf numFmtId="0" fontId="1" fillId="81" borderId="0" applyNumberFormat="0" applyBorder="0" applyAlignment="0" applyProtection="0"/>
    <xf numFmtId="0" fontId="1" fillId="58" borderId="104" applyNumberFormat="0" applyFont="0" applyAlignment="0" applyProtection="0"/>
    <xf numFmtId="0" fontId="1" fillId="58" borderId="104" applyNumberFormat="0" applyFont="0" applyAlignment="0" applyProtection="0"/>
    <xf numFmtId="0" fontId="1" fillId="60" borderId="0" applyNumberFormat="0" applyBorder="0" applyAlignment="0" applyProtection="0"/>
    <xf numFmtId="0" fontId="1" fillId="61" borderId="0" applyNumberFormat="0" applyBorder="0" applyAlignment="0" applyProtection="0"/>
    <xf numFmtId="0" fontId="1" fillId="64" borderId="0" applyNumberFormat="0" applyBorder="0" applyAlignment="0" applyProtection="0"/>
    <xf numFmtId="0" fontId="1" fillId="65" borderId="0" applyNumberFormat="0" applyBorder="0" applyAlignment="0" applyProtection="0"/>
    <xf numFmtId="0" fontId="1" fillId="68" borderId="0" applyNumberFormat="0" applyBorder="0" applyAlignment="0" applyProtection="0"/>
    <xf numFmtId="0" fontId="1" fillId="69" borderId="0" applyNumberFormat="0" applyBorder="0" applyAlignment="0" applyProtection="0"/>
    <xf numFmtId="0" fontId="1" fillId="72" borderId="0" applyNumberFormat="0" applyBorder="0" applyAlignment="0" applyProtection="0"/>
    <xf numFmtId="0" fontId="1" fillId="73" borderId="0" applyNumberFormat="0" applyBorder="0" applyAlignment="0" applyProtection="0"/>
    <xf numFmtId="0" fontId="1" fillId="76" borderId="0" applyNumberFormat="0" applyBorder="0" applyAlignment="0" applyProtection="0"/>
    <xf numFmtId="0" fontId="1" fillId="77" borderId="0" applyNumberFormat="0" applyBorder="0" applyAlignment="0" applyProtection="0"/>
    <xf numFmtId="0" fontId="1" fillId="80" borderId="0" applyNumberFormat="0" applyBorder="0" applyAlignment="0" applyProtection="0"/>
    <xf numFmtId="0" fontId="1" fillId="81" borderId="0" applyNumberFormat="0" applyBorder="0" applyAlignment="0" applyProtection="0"/>
    <xf numFmtId="0" fontId="1" fillId="60" borderId="0" applyNumberFormat="0" applyBorder="0" applyAlignment="0" applyProtection="0"/>
    <xf numFmtId="0" fontId="1" fillId="61" borderId="0" applyNumberFormat="0" applyBorder="0" applyAlignment="0" applyProtection="0"/>
    <xf numFmtId="0" fontId="1" fillId="64" borderId="0" applyNumberFormat="0" applyBorder="0" applyAlignment="0" applyProtection="0"/>
    <xf numFmtId="0" fontId="1" fillId="65" borderId="0" applyNumberFormat="0" applyBorder="0" applyAlignment="0" applyProtection="0"/>
    <xf numFmtId="0" fontId="1" fillId="68" borderId="0" applyNumberFormat="0" applyBorder="0" applyAlignment="0" applyProtection="0"/>
    <xf numFmtId="0" fontId="1" fillId="69" borderId="0" applyNumberFormat="0" applyBorder="0" applyAlignment="0" applyProtection="0"/>
    <xf numFmtId="0" fontId="1" fillId="72" borderId="0" applyNumberFormat="0" applyBorder="0" applyAlignment="0" applyProtection="0"/>
    <xf numFmtId="0" fontId="1" fillId="73" borderId="0" applyNumberFormat="0" applyBorder="0" applyAlignment="0" applyProtection="0"/>
    <xf numFmtId="0" fontId="1" fillId="76" borderId="0" applyNumberFormat="0" applyBorder="0" applyAlignment="0" applyProtection="0"/>
    <xf numFmtId="0" fontId="1" fillId="77" borderId="0" applyNumberFormat="0" applyBorder="0" applyAlignment="0" applyProtection="0"/>
    <xf numFmtId="0" fontId="1" fillId="80" borderId="0" applyNumberFormat="0" applyBorder="0" applyAlignment="0" applyProtection="0"/>
    <xf numFmtId="0" fontId="1" fillId="81" borderId="0" applyNumberFormat="0" applyBorder="0" applyAlignment="0" applyProtection="0"/>
    <xf numFmtId="0" fontId="1" fillId="58" borderId="104" applyNumberFormat="0" applyFont="0" applyAlignment="0" applyProtection="0"/>
    <xf numFmtId="0" fontId="1" fillId="60" borderId="0" applyNumberFormat="0" applyBorder="0" applyAlignment="0" applyProtection="0"/>
    <xf numFmtId="0" fontId="1" fillId="61" borderId="0" applyNumberFormat="0" applyBorder="0" applyAlignment="0" applyProtection="0"/>
    <xf numFmtId="0" fontId="1" fillId="64" borderId="0" applyNumberFormat="0" applyBorder="0" applyAlignment="0" applyProtection="0"/>
    <xf numFmtId="0" fontId="1" fillId="65" borderId="0" applyNumberFormat="0" applyBorder="0" applyAlignment="0" applyProtection="0"/>
    <xf numFmtId="0" fontId="1" fillId="68" borderId="0" applyNumberFormat="0" applyBorder="0" applyAlignment="0" applyProtection="0"/>
    <xf numFmtId="0" fontId="1" fillId="69" borderId="0" applyNumberFormat="0" applyBorder="0" applyAlignment="0" applyProtection="0"/>
    <xf numFmtId="0" fontId="1" fillId="72" borderId="0" applyNumberFormat="0" applyBorder="0" applyAlignment="0" applyProtection="0"/>
    <xf numFmtId="0" fontId="1" fillId="73" borderId="0" applyNumberFormat="0" applyBorder="0" applyAlignment="0" applyProtection="0"/>
    <xf numFmtId="0" fontId="1" fillId="76" borderId="0" applyNumberFormat="0" applyBorder="0" applyAlignment="0" applyProtection="0"/>
    <xf numFmtId="0" fontId="1" fillId="77" borderId="0" applyNumberFormat="0" applyBorder="0" applyAlignment="0" applyProtection="0"/>
    <xf numFmtId="0" fontId="1" fillId="80" borderId="0" applyNumberFormat="0" applyBorder="0" applyAlignment="0" applyProtection="0"/>
    <xf numFmtId="0" fontId="1" fillId="81" borderId="0" applyNumberFormat="0" applyBorder="0" applyAlignment="0" applyProtection="0"/>
    <xf numFmtId="0" fontId="1" fillId="58" borderId="104" applyNumberFormat="0" applyFont="0" applyAlignment="0" applyProtection="0"/>
    <xf numFmtId="0" fontId="1" fillId="58" borderId="104" applyNumberFormat="0" applyFont="0" applyAlignment="0" applyProtection="0"/>
    <xf numFmtId="0" fontId="1" fillId="60" borderId="0" applyNumberFormat="0" applyBorder="0" applyAlignment="0" applyProtection="0"/>
    <xf numFmtId="0" fontId="1" fillId="61" borderId="0" applyNumberFormat="0" applyBorder="0" applyAlignment="0" applyProtection="0"/>
    <xf numFmtId="0" fontId="1" fillId="64" borderId="0" applyNumberFormat="0" applyBorder="0" applyAlignment="0" applyProtection="0"/>
    <xf numFmtId="0" fontId="1" fillId="65" borderId="0" applyNumberFormat="0" applyBorder="0" applyAlignment="0" applyProtection="0"/>
    <xf numFmtId="0" fontId="1" fillId="68" borderId="0" applyNumberFormat="0" applyBorder="0" applyAlignment="0" applyProtection="0"/>
    <xf numFmtId="0" fontId="1" fillId="69" borderId="0" applyNumberFormat="0" applyBorder="0" applyAlignment="0" applyProtection="0"/>
    <xf numFmtId="0" fontId="1" fillId="72" borderId="0" applyNumberFormat="0" applyBorder="0" applyAlignment="0" applyProtection="0"/>
    <xf numFmtId="0" fontId="1" fillId="73" borderId="0" applyNumberFormat="0" applyBorder="0" applyAlignment="0" applyProtection="0"/>
    <xf numFmtId="0" fontId="1" fillId="76" borderId="0" applyNumberFormat="0" applyBorder="0" applyAlignment="0" applyProtection="0"/>
    <xf numFmtId="0" fontId="1" fillId="77" borderId="0" applyNumberFormat="0" applyBorder="0" applyAlignment="0" applyProtection="0"/>
    <xf numFmtId="0" fontId="1" fillId="80" borderId="0" applyNumberFormat="0" applyBorder="0" applyAlignment="0" applyProtection="0"/>
    <xf numFmtId="0" fontId="1" fillId="81" borderId="0" applyNumberFormat="0" applyBorder="0" applyAlignment="0" applyProtection="0"/>
    <xf numFmtId="0" fontId="1" fillId="60" borderId="0" applyNumberFormat="0" applyBorder="0" applyAlignment="0" applyProtection="0"/>
    <xf numFmtId="0" fontId="1" fillId="61" borderId="0" applyNumberFormat="0" applyBorder="0" applyAlignment="0" applyProtection="0"/>
    <xf numFmtId="0" fontId="1" fillId="64" borderId="0" applyNumberFormat="0" applyBorder="0" applyAlignment="0" applyProtection="0"/>
    <xf numFmtId="0" fontId="1" fillId="65" borderId="0" applyNumberFormat="0" applyBorder="0" applyAlignment="0" applyProtection="0"/>
    <xf numFmtId="0" fontId="1" fillId="68" borderId="0" applyNumberFormat="0" applyBorder="0" applyAlignment="0" applyProtection="0"/>
    <xf numFmtId="0" fontId="1" fillId="69" borderId="0" applyNumberFormat="0" applyBorder="0" applyAlignment="0" applyProtection="0"/>
    <xf numFmtId="0" fontId="1" fillId="72" borderId="0" applyNumberFormat="0" applyBorder="0" applyAlignment="0" applyProtection="0"/>
    <xf numFmtId="0" fontId="1" fillId="73" borderId="0" applyNumberFormat="0" applyBorder="0" applyAlignment="0" applyProtection="0"/>
    <xf numFmtId="0" fontId="1" fillId="76" borderId="0" applyNumberFormat="0" applyBorder="0" applyAlignment="0" applyProtection="0"/>
    <xf numFmtId="0" fontId="1" fillId="77" borderId="0" applyNumberFormat="0" applyBorder="0" applyAlignment="0" applyProtection="0"/>
    <xf numFmtId="0" fontId="1" fillId="80" borderId="0" applyNumberFormat="0" applyBorder="0" applyAlignment="0" applyProtection="0"/>
    <xf numFmtId="0" fontId="1" fillId="81" borderId="0" applyNumberFormat="0" applyBorder="0" applyAlignment="0" applyProtection="0"/>
    <xf numFmtId="0" fontId="1" fillId="58" borderId="104" applyNumberFormat="0" applyFont="0" applyAlignment="0" applyProtection="0"/>
    <xf numFmtId="0" fontId="1" fillId="60" borderId="0" applyNumberFormat="0" applyBorder="0" applyAlignment="0" applyProtection="0"/>
    <xf numFmtId="0" fontId="1" fillId="61" borderId="0" applyNumberFormat="0" applyBorder="0" applyAlignment="0" applyProtection="0"/>
    <xf numFmtId="0" fontId="1" fillId="64" borderId="0" applyNumberFormat="0" applyBorder="0" applyAlignment="0" applyProtection="0"/>
    <xf numFmtId="0" fontId="1" fillId="65" borderId="0" applyNumberFormat="0" applyBorder="0" applyAlignment="0" applyProtection="0"/>
    <xf numFmtId="0" fontId="1" fillId="68" borderId="0" applyNumberFormat="0" applyBorder="0" applyAlignment="0" applyProtection="0"/>
    <xf numFmtId="0" fontId="1" fillId="69" borderId="0" applyNumberFormat="0" applyBorder="0" applyAlignment="0" applyProtection="0"/>
    <xf numFmtId="0" fontId="1" fillId="72" borderId="0" applyNumberFormat="0" applyBorder="0" applyAlignment="0" applyProtection="0"/>
    <xf numFmtId="0" fontId="1" fillId="73" borderId="0" applyNumberFormat="0" applyBorder="0" applyAlignment="0" applyProtection="0"/>
    <xf numFmtId="0" fontId="1" fillId="76" borderId="0" applyNumberFormat="0" applyBorder="0" applyAlignment="0" applyProtection="0"/>
    <xf numFmtId="0" fontId="1" fillId="77" borderId="0" applyNumberFormat="0" applyBorder="0" applyAlignment="0" applyProtection="0"/>
    <xf numFmtId="0" fontId="1" fillId="80" borderId="0" applyNumberFormat="0" applyBorder="0" applyAlignment="0" applyProtection="0"/>
    <xf numFmtId="0" fontId="1" fillId="81" borderId="0" applyNumberFormat="0" applyBorder="0" applyAlignment="0" applyProtection="0"/>
    <xf numFmtId="0" fontId="1" fillId="58" borderId="104" applyNumberFormat="0" applyFont="0" applyAlignment="0" applyProtection="0"/>
    <xf numFmtId="0" fontId="1" fillId="58" borderId="104" applyNumberFormat="0" applyFont="0" applyAlignment="0" applyProtection="0"/>
    <xf numFmtId="0" fontId="1" fillId="60" borderId="0" applyNumberFormat="0" applyBorder="0" applyAlignment="0" applyProtection="0"/>
    <xf numFmtId="0" fontId="1" fillId="61" borderId="0" applyNumberFormat="0" applyBorder="0" applyAlignment="0" applyProtection="0"/>
    <xf numFmtId="0" fontId="1" fillId="64" borderId="0" applyNumberFormat="0" applyBorder="0" applyAlignment="0" applyProtection="0"/>
    <xf numFmtId="0" fontId="1" fillId="65" borderId="0" applyNumberFormat="0" applyBorder="0" applyAlignment="0" applyProtection="0"/>
    <xf numFmtId="0" fontId="1" fillId="68" borderId="0" applyNumberFormat="0" applyBorder="0" applyAlignment="0" applyProtection="0"/>
    <xf numFmtId="0" fontId="1" fillId="69" borderId="0" applyNumberFormat="0" applyBorder="0" applyAlignment="0" applyProtection="0"/>
    <xf numFmtId="0" fontId="1" fillId="72" borderId="0" applyNumberFormat="0" applyBorder="0" applyAlignment="0" applyProtection="0"/>
    <xf numFmtId="0" fontId="1" fillId="73" borderId="0" applyNumberFormat="0" applyBorder="0" applyAlignment="0" applyProtection="0"/>
    <xf numFmtId="0" fontId="1" fillId="76" borderId="0" applyNumberFormat="0" applyBorder="0" applyAlignment="0" applyProtection="0"/>
    <xf numFmtId="0" fontId="1" fillId="77" borderId="0" applyNumberFormat="0" applyBorder="0" applyAlignment="0" applyProtection="0"/>
    <xf numFmtId="0" fontId="1" fillId="80" borderId="0" applyNumberFormat="0" applyBorder="0" applyAlignment="0" applyProtection="0"/>
    <xf numFmtId="0" fontId="1" fillId="81" borderId="0" applyNumberFormat="0" applyBorder="0" applyAlignment="0" applyProtection="0"/>
    <xf numFmtId="0" fontId="1" fillId="60" borderId="0" applyNumberFormat="0" applyBorder="0" applyAlignment="0" applyProtection="0"/>
    <xf numFmtId="0" fontId="1" fillId="61" borderId="0" applyNumberFormat="0" applyBorder="0" applyAlignment="0" applyProtection="0"/>
    <xf numFmtId="0" fontId="1" fillId="64" borderId="0" applyNumberFormat="0" applyBorder="0" applyAlignment="0" applyProtection="0"/>
    <xf numFmtId="0" fontId="1" fillId="65" borderId="0" applyNumberFormat="0" applyBorder="0" applyAlignment="0" applyProtection="0"/>
    <xf numFmtId="0" fontId="1" fillId="68" borderId="0" applyNumberFormat="0" applyBorder="0" applyAlignment="0" applyProtection="0"/>
    <xf numFmtId="0" fontId="1" fillId="69" borderId="0" applyNumberFormat="0" applyBorder="0" applyAlignment="0" applyProtection="0"/>
    <xf numFmtId="0" fontId="1" fillId="72" borderId="0" applyNumberFormat="0" applyBorder="0" applyAlignment="0" applyProtection="0"/>
    <xf numFmtId="0" fontId="1" fillId="73" borderId="0" applyNumberFormat="0" applyBorder="0" applyAlignment="0" applyProtection="0"/>
    <xf numFmtId="0" fontId="1" fillId="76" borderId="0" applyNumberFormat="0" applyBorder="0" applyAlignment="0" applyProtection="0"/>
    <xf numFmtId="0" fontId="1" fillId="77" borderId="0" applyNumberFormat="0" applyBorder="0" applyAlignment="0" applyProtection="0"/>
    <xf numFmtId="0" fontId="1" fillId="80" borderId="0" applyNumberFormat="0" applyBorder="0" applyAlignment="0" applyProtection="0"/>
    <xf numFmtId="0" fontId="1" fillId="81" borderId="0" applyNumberFormat="0" applyBorder="0" applyAlignment="0" applyProtection="0"/>
    <xf numFmtId="0" fontId="1" fillId="58" borderId="104" applyNumberFormat="0" applyFont="0" applyAlignment="0" applyProtection="0"/>
    <xf numFmtId="0" fontId="1" fillId="60" borderId="0" applyNumberFormat="0" applyBorder="0" applyAlignment="0" applyProtection="0"/>
    <xf numFmtId="0" fontId="1" fillId="61" borderId="0" applyNumberFormat="0" applyBorder="0" applyAlignment="0" applyProtection="0"/>
    <xf numFmtId="0" fontId="1" fillId="64" borderId="0" applyNumberFormat="0" applyBorder="0" applyAlignment="0" applyProtection="0"/>
    <xf numFmtId="0" fontId="1" fillId="65" borderId="0" applyNumberFormat="0" applyBorder="0" applyAlignment="0" applyProtection="0"/>
    <xf numFmtId="0" fontId="1" fillId="68" borderId="0" applyNumberFormat="0" applyBorder="0" applyAlignment="0" applyProtection="0"/>
    <xf numFmtId="0" fontId="1" fillId="69" borderId="0" applyNumberFormat="0" applyBorder="0" applyAlignment="0" applyProtection="0"/>
    <xf numFmtId="0" fontId="1" fillId="72" borderId="0" applyNumberFormat="0" applyBorder="0" applyAlignment="0" applyProtection="0"/>
    <xf numFmtId="0" fontId="1" fillId="73" borderId="0" applyNumberFormat="0" applyBorder="0" applyAlignment="0" applyProtection="0"/>
    <xf numFmtId="0" fontId="1" fillId="76" borderId="0" applyNumberFormat="0" applyBorder="0" applyAlignment="0" applyProtection="0"/>
    <xf numFmtId="0" fontId="1" fillId="77" borderId="0" applyNumberFormat="0" applyBorder="0" applyAlignment="0" applyProtection="0"/>
    <xf numFmtId="0" fontId="1" fillId="80" borderId="0" applyNumberFormat="0" applyBorder="0" applyAlignment="0" applyProtection="0"/>
    <xf numFmtId="0" fontId="1" fillId="81" borderId="0" applyNumberFormat="0" applyBorder="0" applyAlignment="0" applyProtection="0"/>
    <xf numFmtId="0" fontId="1" fillId="58" borderId="104" applyNumberFormat="0" applyFont="0" applyAlignment="0" applyProtection="0"/>
    <xf numFmtId="0" fontId="1" fillId="58" borderId="104" applyNumberFormat="0" applyFont="0" applyAlignment="0" applyProtection="0"/>
    <xf numFmtId="0" fontId="1" fillId="60" borderId="0" applyNumberFormat="0" applyBorder="0" applyAlignment="0" applyProtection="0"/>
    <xf numFmtId="0" fontId="1" fillId="61" borderId="0" applyNumberFormat="0" applyBorder="0" applyAlignment="0" applyProtection="0"/>
    <xf numFmtId="0" fontId="1" fillId="64" borderId="0" applyNumberFormat="0" applyBorder="0" applyAlignment="0" applyProtection="0"/>
    <xf numFmtId="0" fontId="1" fillId="65" borderId="0" applyNumberFormat="0" applyBorder="0" applyAlignment="0" applyProtection="0"/>
    <xf numFmtId="0" fontId="1" fillId="68" borderId="0" applyNumberFormat="0" applyBorder="0" applyAlignment="0" applyProtection="0"/>
    <xf numFmtId="0" fontId="1" fillId="69" borderId="0" applyNumberFormat="0" applyBorder="0" applyAlignment="0" applyProtection="0"/>
    <xf numFmtId="0" fontId="1" fillId="72" borderId="0" applyNumberFormat="0" applyBorder="0" applyAlignment="0" applyProtection="0"/>
    <xf numFmtId="0" fontId="1" fillId="73" borderId="0" applyNumberFormat="0" applyBorder="0" applyAlignment="0" applyProtection="0"/>
    <xf numFmtId="0" fontId="1" fillId="76" borderId="0" applyNumberFormat="0" applyBorder="0" applyAlignment="0" applyProtection="0"/>
    <xf numFmtId="0" fontId="1" fillId="77" borderId="0" applyNumberFormat="0" applyBorder="0" applyAlignment="0" applyProtection="0"/>
    <xf numFmtId="0" fontId="1" fillId="80" borderId="0" applyNumberFormat="0" applyBorder="0" applyAlignment="0" applyProtection="0"/>
    <xf numFmtId="0" fontId="1" fillId="81" borderId="0" applyNumberFormat="0" applyBorder="0" applyAlignment="0" applyProtection="0"/>
    <xf numFmtId="0" fontId="1" fillId="60" borderId="0" applyNumberFormat="0" applyBorder="0" applyAlignment="0" applyProtection="0"/>
    <xf numFmtId="0" fontId="1" fillId="61" borderId="0" applyNumberFormat="0" applyBorder="0" applyAlignment="0" applyProtection="0"/>
    <xf numFmtId="0" fontId="1" fillId="64" borderId="0" applyNumberFormat="0" applyBorder="0" applyAlignment="0" applyProtection="0"/>
    <xf numFmtId="0" fontId="1" fillId="65" borderId="0" applyNumberFormat="0" applyBorder="0" applyAlignment="0" applyProtection="0"/>
    <xf numFmtId="0" fontId="1" fillId="68" borderId="0" applyNumberFormat="0" applyBorder="0" applyAlignment="0" applyProtection="0"/>
    <xf numFmtId="0" fontId="1" fillId="69" borderId="0" applyNumberFormat="0" applyBorder="0" applyAlignment="0" applyProtection="0"/>
    <xf numFmtId="0" fontId="1" fillId="72" borderId="0" applyNumberFormat="0" applyBorder="0" applyAlignment="0" applyProtection="0"/>
    <xf numFmtId="0" fontId="1" fillId="73" borderId="0" applyNumberFormat="0" applyBorder="0" applyAlignment="0" applyProtection="0"/>
    <xf numFmtId="0" fontId="1" fillId="76" borderId="0" applyNumberFormat="0" applyBorder="0" applyAlignment="0" applyProtection="0"/>
    <xf numFmtId="0" fontId="1" fillId="77" borderId="0" applyNumberFormat="0" applyBorder="0" applyAlignment="0" applyProtection="0"/>
    <xf numFmtId="0" fontId="1" fillId="80" borderId="0" applyNumberFormat="0" applyBorder="0" applyAlignment="0" applyProtection="0"/>
    <xf numFmtId="0" fontId="1" fillId="81" borderId="0" applyNumberFormat="0" applyBorder="0" applyAlignment="0" applyProtection="0"/>
    <xf numFmtId="0" fontId="1" fillId="58" borderId="104" applyNumberFormat="0" applyFont="0" applyAlignment="0" applyProtection="0"/>
    <xf numFmtId="0" fontId="1" fillId="26" borderId="0" applyNumberFormat="0" applyBorder="0" applyAlignment="0" applyProtection="0"/>
    <xf numFmtId="0" fontId="1" fillId="60" borderId="0" applyNumberFormat="0" applyBorder="0" applyAlignment="0" applyProtection="0"/>
    <xf numFmtId="0" fontId="1" fillId="60" borderId="0" applyNumberFormat="0" applyBorder="0" applyAlignment="0" applyProtection="0"/>
    <xf numFmtId="0" fontId="1" fillId="60" borderId="0" applyNumberFormat="0" applyBorder="0" applyAlignment="0" applyProtection="0"/>
    <xf numFmtId="0" fontId="1" fillId="60" borderId="0" applyNumberFormat="0" applyBorder="0" applyAlignment="0" applyProtection="0"/>
    <xf numFmtId="0" fontId="1" fillId="60" borderId="0" applyNumberFormat="0" applyBorder="0" applyAlignment="0" applyProtection="0"/>
    <xf numFmtId="0" fontId="1" fillId="60" borderId="0" applyNumberFormat="0" applyBorder="0" applyAlignment="0" applyProtection="0"/>
    <xf numFmtId="0" fontId="1" fillId="60" borderId="0" applyNumberFormat="0" applyBorder="0" applyAlignment="0" applyProtection="0"/>
    <xf numFmtId="0" fontId="1" fillId="60" borderId="0" applyNumberFormat="0" applyBorder="0" applyAlignment="0" applyProtection="0"/>
    <xf numFmtId="0" fontId="1" fillId="60" borderId="0" applyNumberFormat="0" applyBorder="0" applyAlignment="0" applyProtection="0"/>
    <xf numFmtId="0" fontId="1" fillId="64" borderId="0" applyNumberFormat="0" applyBorder="0" applyAlignment="0" applyProtection="0"/>
    <xf numFmtId="0" fontId="1" fillId="64" borderId="0" applyNumberFormat="0" applyBorder="0" applyAlignment="0" applyProtection="0"/>
    <xf numFmtId="0" fontId="1" fillId="64" borderId="0" applyNumberFormat="0" applyBorder="0" applyAlignment="0" applyProtection="0"/>
    <xf numFmtId="0" fontId="1" fillId="64" borderId="0" applyNumberFormat="0" applyBorder="0" applyAlignment="0" applyProtection="0"/>
    <xf numFmtId="0" fontId="1" fillId="64" borderId="0" applyNumberFormat="0" applyBorder="0" applyAlignment="0" applyProtection="0"/>
    <xf numFmtId="0" fontId="1" fillId="64" borderId="0" applyNumberFormat="0" applyBorder="0" applyAlignment="0" applyProtection="0"/>
    <xf numFmtId="0" fontId="1" fillId="64" borderId="0" applyNumberFormat="0" applyBorder="0" applyAlignment="0" applyProtection="0"/>
    <xf numFmtId="0" fontId="1" fillId="64" borderId="0" applyNumberFormat="0" applyBorder="0" applyAlignment="0" applyProtection="0"/>
    <xf numFmtId="0" fontId="1" fillId="64" borderId="0" applyNumberFormat="0" applyBorder="0" applyAlignment="0" applyProtection="0"/>
    <xf numFmtId="0" fontId="1" fillId="68" borderId="0" applyNumberFormat="0" applyBorder="0" applyAlignment="0" applyProtection="0"/>
    <xf numFmtId="0" fontId="1" fillId="68" borderId="0" applyNumberFormat="0" applyBorder="0" applyAlignment="0" applyProtection="0"/>
    <xf numFmtId="0" fontId="1" fillId="68" borderId="0" applyNumberFormat="0" applyBorder="0" applyAlignment="0" applyProtection="0"/>
    <xf numFmtId="0" fontId="1" fillId="68" borderId="0" applyNumberFormat="0" applyBorder="0" applyAlignment="0" applyProtection="0"/>
    <xf numFmtId="0" fontId="1" fillId="68" borderId="0" applyNumberFormat="0" applyBorder="0" applyAlignment="0" applyProtection="0"/>
    <xf numFmtId="0" fontId="1" fillId="68" borderId="0" applyNumberFormat="0" applyBorder="0" applyAlignment="0" applyProtection="0"/>
    <xf numFmtId="0" fontId="1" fillId="68" borderId="0" applyNumberFormat="0" applyBorder="0" applyAlignment="0" applyProtection="0"/>
    <xf numFmtId="0" fontId="1" fillId="68" borderId="0" applyNumberFormat="0" applyBorder="0" applyAlignment="0" applyProtection="0"/>
    <xf numFmtId="0" fontId="1" fillId="68" borderId="0" applyNumberFormat="0" applyBorder="0" applyAlignment="0" applyProtection="0"/>
    <xf numFmtId="0" fontId="1" fillId="72" borderId="0" applyNumberFormat="0" applyBorder="0" applyAlignment="0" applyProtection="0"/>
    <xf numFmtId="0" fontId="1" fillId="72" borderId="0" applyNumberFormat="0" applyBorder="0" applyAlignment="0" applyProtection="0"/>
    <xf numFmtId="0" fontId="1" fillId="72" borderId="0" applyNumberFormat="0" applyBorder="0" applyAlignment="0" applyProtection="0"/>
    <xf numFmtId="0" fontId="1" fillId="72" borderId="0" applyNumberFormat="0" applyBorder="0" applyAlignment="0" applyProtection="0"/>
    <xf numFmtId="0" fontId="1" fillId="72" borderId="0" applyNumberFormat="0" applyBorder="0" applyAlignment="0" applyProtection="0"/>
    <xf numFmtId="0" fontId="1" fillId="72" borderId="0" applyNumberFormat="0" applyBorder="0" applyAlignment="0" applyProtection="0"/>
    <xf numFmtId="0" fontId="1" fillId="72" borderId="0" applyNumberFormat="0" applyBorder="0" applyAlignment="0" applyProtection="0"/>
    <xf numFmtId="0" fontId="1" fillId="72" borderId="0" applyNumberFormat="0" applyBorder="0" applyAlignment="0" applyProtection="0"/>
    <xf numFmtId="0" fontId="1" fillId="72" borderId="0" applyNumberFormat="0" applyBorder="0" applyAlignment="0" applyProtection="0"/>
    <xf numFmtId="0" fontId="1" fillId="76" borderId="0" applyNumberFormat="0" applyBorder="0" applyAlignment="0" applyProtection="0"/>
    <xf numFmtId="0" fontId="1" fillId="76" borderId="0" applyNumberFormat="0" applyBorder="0" applyAlignment="0" applyProtection="0"/>
    <xf numFmtId="0" fontId="1" fillId="76" borderId="0" applyNumberFormat="0" applyBorder="0" applyAlignment="0" applyProtection="0"/>
    <xf numFmtId="0" fontId="1" fillId="76" borderId="0" applyNumberFormat="0" applyBorder="0" applyAlignment="0" applyProtection="0"/>
    <xf numFmtId="0" fontId="1" fillId="76" borderId="0" applyNumberFormat="0" applyBorder="0" applyAlignment="0" applyProtection="0"/>
    <xf numFmtId="0" fontId="1" fillId="76" borderId="0" applyNumberFormat="0" applyBorder="0" applyAlignment="0" applyProtection="0"/>
    <xf numFmtId="0" fontId="1" fillId="76" borderId="0" applyNumberFormat="0" applyBorder="0" applyAlignment="0" applyProtection="0"/>
    <xf numFmtId="0" fontId="1" fillId="76" borderId="0" applyNumberFormat="0" applyBorder="0" applyAlignment="0" applyProtection="0"/>
    <xf numFmtId="0" fontId="1" fillId="76" borderId="0" applyNumberFormat="0" applyBorder="0" applyAlignment="0" applyProtection="0"/>
    <xf numFmtId="0" fontId="1" fillId="80" borderId="0" applyNumberFormat="0" applyBorder="0" applyAlignment="0" applyProtection="0"/>
    <xf numFmtId="0" fontId="1" fillId="80" borderId="0" applyNumberFormat="0" applyBorder="0" applyAlignment="0" applyProtection="0"/>
    <xf numFmtId="0" fontId="1" fillId="80" borderId="0" applyNumberFormat="0" applyBorder="0" applyAlignment="0" applyProtection="0"/>
    <xf numFmtId="0" fontId="1" fillId="80" borderId="0" applyNumberFormat="0" applyBorder="0" applyAlignment="0" applyProtection="0"/>
    <xf numFmtId="0" fontId="1" fillId="80" borderId="0" applyNumberFormat="0" applyBorder="0" applyAlignment="0" applyProtection="0"/>
    <xf numFmtId="0" fontId="1" fillId="80" borderId="0" applyNumberFormat="0" applyBorder="0" applyAlignment="0" applyProtection="0"/>
    <xf numFmtId="0" fontId="1" fillId="80" borderId="0" applyNumberFormat="0" applyBorder="0" applyAlignment="0" applyProtection="0"/>
    <xf numFmtId="0" fontId="1" fillId="80" borderId="0" applyNumberFormat="0" applyBorder="0" applyAlignment="0" applyProtection="0"/>
    <xf numFmtId="0" fontId="1" fillId="80" borderId="0" applyNumberFormat="0" applyBorder="0" applyAlignment="0" applyProtection="0"/>
    <xf numFmtId="0" fontId="1" fillId="61" borderId="0" applyNumberFormat="0" applyBorder="0" applyAlignment="0" applyProtection="0"/>
    <xf numFmtId="0" fontId="1" fillId="61" borderId="0" applyNumberFormat="0" applyBorder="0" applyAlignment="0" applyProtection="0"/>
    <xf numFmtId="0" fontId="1" fillId="61" borderId="0" applyNumberFormat="0" applyBorder="0" applyAlignment="0" applyProtection="0"/>
    <xf numFmtId="0" fontId="1" fillId="61" borderId="0" applyNumberFormat="0" applyBorder="0" applyAlignment="0" applyProtection="0"/>
    <xf numFmtId="0" fontId="1" fillId="61" borderId="0" applyNumberFormat="0" applyBorder="0" applyAlignment="0" applyProtection="0"/>
    <xf numFmtId="0" fontId="1" fillId="61" borderId="0" applyNumberFormat="0" applyBorder="0" applyAlignment="0" applyProtection="0"/>
    <xf numFmtId="0" fontId="1" fillId="61" borderId="0" applyNumberFormat="0" applyBorder="0" applyAlignment="0" applyProtection="0"/>
    <xf numFmtId="0" fontId="1" fillId="61" borderId="0" applyNumberFormat="0" applyBorder="0" applyAlignment="0" applyProtection="0"/>
    <xf numFmtId="0" fontId="1" fillId="61" borderId="0" applyNumberFormat="0" applyBorder="0" applyAlignment="0" applyProtection="0"/>
    <xf numFmtId="0" fontId="1" fillId="65" borderId="0" applyNumberFormat="0" applyBorder="0" applyAlignment="0" applyProtection="0"/>
    <xf numFmtId="0" fontId="1" fillId="65" borderId="0" applyNumberFormat="0" applyBorder="0" applyAlignment="0" applyProtection="0"/>
    <xf numFmtId="0" fontId="1" fillId="65" borderId="0" applyNumberFormat="0" applyBorder="0" applyAlignment="0" applyProtection="0"/>
    <xf numFmtId="0" fontId="1" fillId="65" borderId="0" applyNumberFormat="0" applyBorder="0" applyAlignment="0" applyProtection="0"/>
    <xf numFmtId="0" fontId="1" fillId="65" borderId="0" applyNumberFormat="0" applyBorder="0" applyAlignment="0" applyProtection="0"/>
    <xf numFmtId="0" fontId="1" fillId="65" borderId="0" applyNumberFormat="0" applyBorder="0" applyAlignment="0" applyProtection="0"/>
    <xf numFmtId="0" fontId="1" fillId="65" borderId="0" applyNumberFormat="0" applyBorder="0" applyAlignment="0" applyProtection="0"/>
    <xf numFmtId="0" fontId="1" fillId="65" borderId="0" applyNumberFormat="0" applyBorder="0" applyAlignment="0" applyProtection="0"/>
    <xf numFmtId="0" fontId="1" fillId="65" borderId="0" applyNumberFormat="0" applyBorder="0" applyAlignment="0" applyProtection="0"/>
    <xf numFmtId="0" fontId="1" fillId="69" borderId="0" applyNumberFormat="0" applyBorder="0" applyAlignment="0" applyProtection="0"/>
    <xf numFmtId="0" fontId="1" fillId="69" borderId="0" applyNumberFormat="0" applyBorder="0" applyAlignment="0" applyProtection="0"/>
    <xf numFmtId="0" fontId="1" fillId="69" borderId="0" applyNumberFormat="0" applyBorder="0" applyAlignment="0" applyProtection="0"/>
    <xf numFmtId="0" fontId="1" fillId="69" borderId="0" applyNumberFormat="0" applyBorder="0" applyAlignment="0" applyProtection="0"/>
    <xf numFmtId="0" fontId="1" fillId="69" borderId="0" applyNumberFormat="0" applyBorder="0" applyAlignment="0" applyProtection="0"/>
    <xf numFmtId="0" fontId="1" fillId="69" borderId="0" applyNumberFormat="0" applyBorder="0" applyAlignment="0" applyProtection="0"/>
    <xf numFmtId="0" fontId="1" fillId="69" borderId="0" applyNumberFormat="0" applyBorder="0" applyAlignment="0" applyProtection="0"/>
    <xf numFmtId="0" fontId="1" fillId="69" borderId="0" applyNumberFormat="0" applyBorder="0" applyAlignment="0" applyProtection="0"/>
    <xf numFmtId="0" fontId="1" fillId="69" borderId="0" applyNumberFormat="0" applyBorder="0" applyAlignment="0" applyProtection="0"/>
    <xf numFmtId="0" fontId="1" fillId="73" borderId="0" applyNumberFormat="0" applyBorder="0" applyAlignment="0" applyProtection="0"/>
    <xf numFmtId="0" fontId="1" fillId="73" borderId="0" applyNumberFormat="0" applyBorder="0" applyAlignment="0" applyProtection="0"/>
    <xf numFmtId="0" fontId="1" fillId="73" borderId="0" applyNumberFormat="0" applyBorder="0" applyAlignment="0" applyProtection="0"/>
    <xf numFmtId="0" fontId="1" fillId="73" borderId="0" applyNumberFormat="0" applyBorder="0" applyAlignment="0" applyProtection="0"/>
    <xf numFmtId="0" fontId="1" fillId="73" borderId="0" applyNumberFormat="0" applyBorder="0" applyAlignment="0" applyProtection="0"/>
    <xf numFmtId="0" fontId="1" fillId="73" borderId="0" applyNumberFormat="0" applyBorder="0" applyAlignment="0" applyProtection="0"/>
    <xf numFmtId="0" fontId="1" fillId="73" borderId="0" applyNumberFormat="0" applyBorder="0" applyAlignment="0" applyProtection="0"/>
    <xf numFmtId="0" fontId="1" fillId="73" borderId="0" applyNumberFormat="0" applyBorder="0" applyAlignment="0" applyProtection="0"/>
    <xf numFmtId="0" fontId="1" fillId="73" borderId="0" applyNumberFormat="0" applyBorder="0" applyAlignment="0" applyProtection="0"/>
    <xf numFmtId="0" fontId="1" fillId="77" borderId="0" applyNumberFormat="0" applyBorder="0" applyAlignment="0" applyProtection="0"/>
    <xf numFmtId="0" fontId="1" fillId="77" borderId="0" applyNumberFormat="0" applyBorder="0" applyAlignment="0" applyProtection="0"/>
    <xf numFmtId="0" fontId="1" fillId="77" borderId="0" applyNumberFormat="0" applyBorder="0" applyAlignment="0" applyProtection="0"/>
    <xf numFmtId="0" fontId="1" fillId="77" borderId="0" applyNumberFormat="0" applyBorder="0" applyAlignment="0" applyProtection="0"/>
    <xf numFmtId="0" fontId="1" fillId="77" borderId="0" applyNumberFormat="0" applyBorder="0" applyAlignment="0" applyProtection="0"/>
    <xf numFmtId="0" fontId="1" fillId="77" borderId="0" applyNumberFormat="0" applyBorder="0" applyAlignment="0" applyProtection="0"/>
    <xf numFmtId="0" fontId="1" fillId="77" borderId="0" applyNumberFormat="0" applyBorder="0" applyAlignment="0" applyProtection="0"/>
    <xf numFmtId="0" fontId="1" fillId="77" borderId="0" applyNumberFormat="0" applyBorder="0" applyAlignment="0" applyProtection="0"/>
    <xf numFmtId="0" fontId="1" fillId="77" borderId="0" applyNumberFormat="0" applyBorder="0" applyAlignment="0" applyProtection="0"/>
    <xf numFmtId="0" fontId="1" fillId="81" borderId="0" applyNumberFormat="0" applyBorder="0" applyAlignment="0" applyProtection="0"/>
    <xf numFmtId="0" fontId="1" fillId="81" borderId="0" applyNumberFormat="0" applyBorder="0" applyAlignment="0" applyProtection="0"/>
    <xf numFmtId="0" fontId="1" fillId="81" borderId="0" applyNumberFormat="0" applyBorder="0" applyAlignment="0" applyProtection="0"/>
    <xf numFmtId="0" fontId="1" fillId="81" borderId="0" applyNumberFormat="0" applyBorder="0" applyAlignment="0" applyProtection="0"/>
    <xf numFmtId="0" fontId="1" fillId="81" borderId="0" applyNumberFormat="0" applyBorder="0" applyAlignment="0" applyProtection="0"/>
    <xf numFmtId="0" fontId="1" fillId="81" borderId="0" applyNumberFormat="0" applyBorder="0" applyAlignment="0" applyProtection="0"/>
    <xf numFmtId="0" fontId="1" fillId="81" borderId="0" applyNumberFormat="0" applyBorder="0" applyAlignment="0" applyProtection="0"/>
    <xf numFmtId="0" fontId="1" fillId="81" borderId="0" applyNumberFormat="0" applyBorder="0" applyAlignment="0" applyProtection="0"/>
    <xf numFmtId="0" fontId="1" fillId="81" borderId="0" applyNumberFormat="0" applyBorder="0" applyAlignment="0" applyProtection="0"/>
    <xf numFmtId="0" fontId="1" fillId="58" borderId="104" applyNumberFormat="0" applyFont="0" applyAlignment="0" applyProtection="0"/>
    <xf numFmtId="0" fontId="1" fillId="58" borderId="104" applyNumberFormat="0" applyFont="0" applyAlignment="0" applyProtection="0"/>
    <xf numFmtId="0" fontId="1" fillId="58" borderId="104" applyNumberFormat="0" applyFont="0" applyAlignment="0" applyProtection="0"/>
    <xf numFmtId="0" fontId="1" fillId="58" borderId="104" applyNumberFormat="0" applyFont="0" applyAlignment="0" applyProtection="0"/>
    <xf numFmtId="0" fontId="1" fillId="58" borderId="104" applyNumberFormat="0" applyFont="0" applyAlignment="0" applyProtection="0"/>
    <xf numFmtId="0" fontId="1" fillId="58" borderId="104" applyNumberFormat="0" applyFont="0" applyAlignment="0" applyProtection="0"/>
    <xf numFmtId="0" fontId="1" fillId="58" borderId="104" applyNumberFormat="0" applyFont="0" applyAlignment="0" applyProtection="0"/>
    <xf numFmtId="0" fontId="1" fillId="58" borderId="104" applyNumberFormat="0" applyFont="0" applyAlignment="0" applyProtection="0"/>
    <xf numFmtId="0" fontId="1" fillId="58" borderId="104" applyNumberFormat="0" applyFont="0" applyAlignment="0" applyProtection="0"/>
    <xf numFmtId="0" fontId="1" fillId="0" borderId="0"/>
    <xf numFmtId="165" fontId="1" fillId="0" borderId="0" applyFont="0" applyFill="0" applyBorder="0" applyAlignment="0" applyProtection="0"/>
    <xf numFmtId="0" fontId="1" fillId="0" borderId="0"/>
    <xf numFmtId="0" fontId="1" fillId="0" borderId="0"/>
    <xf numFmtId="0" fontId="1" fillId="0" borderId="0"/>
    <xf numFmtId="0" fontId="1" fillId="60" borderId="0" applyNumberFormat="0" applyBorder="0" applyAlignment="0" applyProtection="0"/>
    <xf numFmtId="0" fontId="1" fillId="61" borderId="0" applyNumberFormat="0" applyBorder="0" applyAlignment="0" applyProtection="0"/>
    <xf numFmtId="0" fontId="1" fillId="64" borderId="0" applyNumberFormat="0" applyBorder="0" applyAlignment="0" applyProtection="0"/>
    <xf numFmtId="0" fontId="1" fillId="65" borderId="0" applyNumberFormat="0" applyBorder="0" applyAlignment="0" applyProtection="0"/>
    <xf numFmtId="0" fontId="1" fillId="68" borderId="0" applyNumberFormat="0" applyBorder="0" applyAlignment="0" applyProtection="0"/>
    <xf numFmtId="0" fontId="1" fillId="69" borderId="0" applyNumberFormat="0" applyBorder="0" applyAlignment="0" applyProtection="0"/>
    <xf numFmtId="0" fontId="1" fillId="72" borderId="0" applyNumberFormat="0" applyBorder="0" applyAlignment="0" applyProtection="0"/>
    <xf numFmtId="0" fontId="1" fillId="73" borderId="0" applyNumberFormat="0" applyBorder="0" applyAlignment="0" applyProtection="0"/>
    <xf numFmtId="0" fontId="1" fillId="76" borderId="0" applyNumberFormat="0" applyBorder="0" applyAlignment="0" applyProtection="0"/>
    <xf numFmtId="0" fontId="1" fillId="77" borderId="0" applyNumberFormat="0" applyBorder="0" applyAlignment="0" applyProtection="0"/>
    <xf numFmtId="0" fontId="1" fillId="80" borderId="0" applyNumberFormat="0" applyBorder="0" applyAlignment="0" applyProtection="0"/>
    <xf numFmtId="0" fontId="1" fillId="81" borderId="0" applyNumberFormat="0" applyBorder="0" applyAlignment="0" applyProtection="0"/>
    <xf numFmtId="0" fontId="1" fillId="7" borderId="0" applyNumberFormat="0" applyBorder="0" applyAlignment="0" applyProtection="0"/>
    <xf numFmtId="0" fontId="1" fillId="58" borderId="104" applyNumberFormat="0" applyFont="0" applyAlignment="0" applyProtection="0"/>
    <xf numFmtId="0" fontId="1" fillId="58" borderId="104" applyNumberFormat="0" applyFont="0" applyAlignment="0" applyProtection="0"/>
    <xf numFmtId="0" fontId="1" fillId="60" borderId="0" applyNumberFormat="0" applyBorder="0" applyAlignment="0" applyProtection="0"/>
    <xf numFmtId="0" fontId="1" fillId="61" borderId="0" applyNumberFormat="0" applyBorder="0" applyAlignment="0" applyProtection="0"/>
    <xf numFmtId="0" fontId="1" fillId="64" borderId="0" applyNumberFormat="0" applyBorder="0" applyAlignment="0" applyProtection="0"/>
    <xf numFmtId="0" fontId="1" fillId="65" borderId="0" applyNumberFormat="0" applyBorder="0" applyAlignment="0" applyProtection="0"/>
    <xf numFmtId="0" fontId="1" fillId="68" borderId="0" applyNumberFormat="0" applyBorder="0" applyAlignment="0" applyProtection="0"/>
    <xf numFmtId="0" fontId="1" fillId="69" borderId="0" applyNumberFormat="0" applyBorder="0" applyAlignment="0" applyProtection="0"/>
    <xf numFmtId="0" fontId="1" fillId="72" borderId="0" applyNumberFormat="0" applyBorder="0" applyAlignment="0" applyProtection="0"/>
    <xf numFmtId="0" fontId="1" fillId="73" borderId="0" applyNumberFormat="0" applyBorder="0" applyAlignment="0" applyProtection="0"/>
    <xf numFmtId="0" fontId="1" fillId="76" borderId="0" applyNumberFormat="0" applyBorder="0" applyAlignment="0" applyProtection="0"/>
    <xf numFmtId="0" fontId="1" fillId="77" borderId="0" applyNumberFormat="0" applyBorder="0" applyAlignment="0" applyProtection="0"/>
    <xf numFmtId="0" fontId="1" fillId="80" borderId="0" applyNumberFormat="0" applyBorder="0" applyAlignment="0" applyProtection="0"/>
    <xf numFmtId="0" fontId="1" fillId="81" borderId="0" applyNumberFormat="0" applyBorder="0" applyAlignment="0" applyProtection="0"/>
    <xf numFmtId="0" fontId="1" fillId="60" borderId="0" applyNumberFormat="0" applyBorder="0" applyAlignment="0" applyProtection="0"/>
    <xf numFmtId="0" fontId="1" fillId="61" borderId="0" applyNumberFormat="0" applyBorder="0" applyAlignment="0" applyProtection="0"/>
    <xf numFmtId="0" fontId="1" fillId="64" borderId="0" applyNumberFormat="0" applyBorder="0" applyAlignment="0" applyProtection="0"/>
    <xf numFmtId="0" fontId="1" fillId="65" borderId="0" applyNumberFormat="0" applyBorder="0" applyAlignment="0" applyProtection="0"/>
    <xf numFmtId="0" fontId="1" fillId="68" borderId="0" applyNumberFormat="0" applyBorder="0" applyAlignment="0" applyProtection="0"/>
    <xf numFmtId="0" fontId="1" fillId="69" borderId="0" applyNumberFormat="0" applyBorder="0" applyAlignment="0" applyProtection="0"/>
    <xf numFmtId="0" fontId="1" fillId="72" borderId="0" applyNumberFormat="0" applyBorder="0" applyAlignment="0" applyProtection="0"/>
    <xf numFmtId="0" fontId="1" fillId="73" borderId="0" applyNumberFormat="0" applyBorder="0" applyAlignment="0" applyProtection="0"/>
    <xf numFmtId="0" fontId="1" fillId="76" borderId="0" applyNumberFormat="0" applyBorder="0" applyAlignment="0" applyProtection="0"/>
    <xf numFmtId="0" fontId="1" fillId="77" borderId="0" applyNumberFormat="0" applyBorder="0" applyAlignment="0" applyProtection="0"/>
    <xf numFmtId="0" fontId="1" fillId="80" borderId="0" applyNumberFormat="0" applyBorder="0" applyAlignment="0" applyProtection="0"/>
    <xf numFmtId="0" fontId="1" fillId="81" borderId="0" applyNumberFormat="0" applyBorder="0" applyAlignment="0" applyProtection="0"/>
    <xf numFmtId="0" fontId="1" fillId="58" borderId="104" applyNumberFormat="0" applyFont="0" applyAlignment="0" applyProtection="0"/>
    <xf numFmtId="0" fontId="1" fillId="60" borderId="0" applyNumberFormat="0" applyBorder="0" applyAlignment="0" applyProtection="0"/>
    <xf numFmtId="0" fontId="1" fillId="61" borderId="0" applyNumberFormat="0" applyBorder="0" applyAlignment="0" applyProtection="0"/>
    <xf numFmtId="0" fontId="1" fillId="64" borderId="0" applyNumberFormat="0" applyBorder="0" applyAlignment="0" applyProtection="0"/>
    <xf numFmtId="0" fontId="1" fillId="65" borderId="0" applyNumberFormat="0" applyBorder="0" applyAlignment="0" applyProtection="0"/>
    <xf numFmtId="0" fontId="1" fillId="68" borderId="0" applyNumberFormat="0" applyBorder="0" applyAlignment="0" applyProtection="0"/>
    <xf numFmtId="0" fontId="1" fillId="69" borderId="0" applyNumberFormat="0" applyBorder="0" applyAlignment="0" applyProtection="0"/>
    <xf numFmtId="0" fontId="1" fillId="72" borderId="0" applyNumberFormat="0" applyBorder="0" applyAlignment="0" applyProtection="0"/>
    <xf numFmtId="0" fontId="1" fillId="73" borderId="0" applyNumberFormat="0" applyBorder="0" applyAlignment="0" applyProtection="0"/>
    <xf numFmtId="0" fontId="1" fillId="76" borderId="0" applyNumberFormat="0" applyBorder="0" applyAlignment="0" applyProtection="0"/>
    <xf numFmtId="0" fontId="1" fillId="77" borderId="0" applyNumberFormat="0" applyBorder="0" applyAlignment="0" applyProtection="0"/>
    <xf numFmtId="0" fontId="1" fillId="80" borderId="0" applyNumberFormat="0" applyBorder="0" applyAlignment="0" applyProtection="0"/>
    <xf numFmtId="0" fontId="1" fillId="81" borderId="0" applyNumberFormat="0" applyBorder="0" applyAlignment="0" applyProtection="0"/>
    <xf numFmtId="0" fontId="1" fillId="58" borderId="104" applyNumberFormat="0" applyFont="0" applyAlignment="0" applyProtection="0"/>
    <xf numFmtId="0" fontId="1" fillId="58" borderId="104" applyNumberFormat="0" applyFont="0" applyAlignment="0" applyProtection="0"/>
    <xf numFmtId="0" fontId="1" fillId="60" borderId="0" applyNumberFormat="0" applyBorder="0" applyAlignment="0" applyProtection="0"/>
    <xf numFmtId="0" fontId="1" fillId="61" borderId="0" applyNumberFormat="0" applyBorder="0" applyAlignment="0" applyProtection="0"/>
    <xf numFmtId="0" fontId="1" fillId="64" borderId="0" applyNumberFormat="0" applyBorder="0" applyAlignment="0" applyProtection="0"/>
    <xf numFmtId="0" fontId="1" fillId="65" borderId="0" applyNumberFormat="0" applyBorder="0" applyAlignment="0" applyProtection="0"/>
    <xf numFmtId="0" fontId="1" fillId="68" borderId="0" applyNumberFormat="0" applyBorder="0" applyAlignment="0" applyProtection="0"/>
    <xf numFmtId="0" fontId="1" fillId="69" borderId="0" applyNumberFormat="0" applyBorder="0" applyAlignment="0" applyProtection="0"/>
    <xf numFmtId="0" fontId="1" fillId="72" borderId="0" applyNumberFormat="0" applyBorder="0" applyAlignment="0" applyProtection="0"/>
    <xf numFmtId="0" fontId="1" fillId="73" borderId="0" applyNumberFormat="0" applyBorder="0" applyAlignment="0" applyProtection="0"/>
    <xf numFmtId="0" fontId="1" fillId="76" borderId="0" applyNumberFormat="0" applyBorder="0" applyAlignment="0" applyProtection="0"/>
    <xf numFmtId="0" fontId="1" fillId="77" borderId="0" applyNumberFormat="0" applyBorder="0" applyAlignment="0" applyProtection="0"/>
    <xf numFmtId="0" fontId="1" fillId="80" borderId="0" applyNumberFormat="0" applyBorder="0" applyAlignment="0" applyProtection="0"/>
    <xf numFmtId="0" fontId="1" fillId="81" borderId="0" applyNumberFormat="0" applyBorder="0" applyAlignment="0" applyProtection="0"/>
    <xf numFmtId="0" fontId="1" fillId="60" borderId="0" applyNumberFormat="0" applyBorder="0" applyAlignment="0" applyProtection="0"/>
    <xf numFmtId="0" fontId="1" fillId="61" borderId="0" applyNumberFormat="0" applyBorder="0" applyAlignment="0" applyProtection="0"/>
    <xf numFmtId="0" fontId="1" fillId="64" borderId="0" applyNumberFormat="0" applyBorder="0" applyAlignment="0" applyProtection="0"/>
    <xf numFmtId="0" fontId="1" fillId="65" borderId="0" applyNumberFormat="0" applyBorder="0" applyAlignment="0" applyProtection="0"/>
    <xf numFmtId="0" fontId="1" fillId="68" borderId="0" applyNumberFormat="0" applyBorder="0" applyAlignment="0" applyProtection="0"/>
    <xf numFmtId="0" fontId="1" fillId="69" borderId="0" applyNumberFormat="0" applyBorder="0" applyAlignment="0" applyProtection="0"/>
    <xf numFmtId="0" fontId="1" fillId="72" borderId="0" applyNumberFormat="0" applyBorder="0" applyAlignment="0" applyProtection="0"/>
    <xf numFmtId="0" fontId="1" fillId="73" borderId="0" applyNumberFormat="0" applyBorder="0" applyAlignment="0" applyProtection="0"/>
    <xf numFmtId="0" fontId="1" fillId="76" borderId="0" applyNumberFormat="0" applyBorder="0" applyAlignment="0" applyProtection="0"/>
    <xf numFmtId="0" fontId="1" fillId="77" borderId="0" applyNumberFormat="0" applyBorder="0" applyAlignment="0" applyProtection="0"/>
    <xf numFmtId="0" fontId="1" fillId="80" borderId="0" applyNumberFormat="0" applyBorder="0" applyAlignment="0" applyProtection="0"/>
    <xf numFmtId="0" fontId="1" fillId="81" borderId="0" applyNumberFormat="0" applyBorder="0" applyAlignment="0" applyProtection="0"/>
    <xf numFmtId="0" fontId="1" fillId="58" borderId="104" applyNumberFormat="0" applyFont="0" applyAlignment="0" applyProtection="0"/>
    <xf numFmtId="0" fontId="1" fillId="60" borderId="0" applyNumberFormat="0" applyBorder="0" applyAlignment="0" applyProtection="0"/>
    <xf numFmtId="0" fontId="1" fillId="61" borderId="0" applyNumberFormat="0" applyBorder="0" applyAlignment="0" applyProtection="0"/>
    <xf numFmtId="0" fontId="1" fillId="64" borderId="0" applyNumberFormat="0" applyBorder="0" applyAlignment="0" applyProtection="0"/>
    <xf numFmtId="0" fontId="1" fillId="65" borderId="0" applyNumberFormat="0" applyBorder="0" applyAlignment="0" applyProtection="0"/>
    <xf numFmtId="0" fontId="1" fillId="68" borderId="0" applyNumberFormat="0" applyBorder="0" applyAlignment="0" applyProtection="0"/>
    <xf numFmtId="0" fontId="1" fillId="69" borderId="0" applyNumberFormat="0" applyBorder="0" applyAlignment="0" applyProtection="0"/>
    <xf numFmtId="0" fontId="1" fillId="72" borderId="0" applyNumberFormat="0" applyBorder="0" applyAlignment="0" applyProtection="0"/>
    <xf numFmtId="0" fontId="1" fillId="73" borderId="0" applyNumberFormat="0" applyBorder="0" applyAlignment="0" applyProtection="0"/>
    <xf numFmtId="0" fontId="1" fillId="76" borderId="0" applyNumberFormat="0" applyBorder="0" applyAlignment="0" applyProtection="0"/>
    <xf numFmtId="0" fontId="1" fillId="77" borderId="0" applyNumberFormat="0" applyBorder="0" applyAlignment="0" applyProtection="0"/>
    <xf numFmtId="0" fontId="1" fillId="80" borderId="0" applyNumberFormat="0" applyBorder="0" applyAlignment="0" applyProtection="0"/>
    <xf numFmtId="0" fontId="1" fillId="81" borderId="0" applyNumberFormat="0" applyBorder="0" applyAlignment="0" applyProtection="0"/>
    <xf numFmtId="0" fontId="1" fillId="58" borderId="104" applyNumberFormat="0" applyFont="0" applyAlignment="0" applyProtection="0"/>
    <xf numFmtId="0" fontId="1" fillId="58" borderId="104" applyNumberFormat="0" applyFont="0" applyAlignment="0" applyProtection="0"/>
    <xf numFmtId="0" fontId="1" fillId="60" borderId="0" applyNumberFormat="0" applyBorder="0" applyAlignment="0" applyProtection="0"/>
    <xf numFmtId="0" fontId="1" fillId="61" borderId="0" applyNumberFormat="0" applyBorder="0" applyAlignment="0" applyProtection="0"/>
    <xf numFmtId="0" fontId="1" fillId="64" borderId="0" applyNumberFormat="0" applyBorder="0" applyAlignment="0" applyProtection="0"/>
    <xf numFmtId="0" fontId="1" fillId="65" borderId="0" applyNumberFormat="0" applyBorder="0" applyAlignment="0" applyProtection="0"/>
    <xf numFmtId="0" fontId="1" fillId="68" borderId="0" applyNumberFormat="0" applyBorder="0" applyAlignment="0" applyProtection="0"/>
    <xf numFmtId="0" fontId="1" fillId="69" borderId="0" applyNumberFormat="0" applyBorder="0" applyAlignment="0" applyProtection="0"/>
    <xf numFmtId="0" fontId="1" fillId="72" borderId="0" applyNumberFormat="0" applyBorder="0" applyAlignment="0" applyProtection="0"/>
    <xf numFmtId="0" fontId="1" fillId="73" borderId="0" applyNumberFormat="0" applyBorder="0" applyAlignment="0" applyProtection="0"/>
    <xf numFmtId="0" fontId="1" fillId="76" borderId="0" applyNumberFormat="0" applyBorder="0" applyAlignment="0" applyProtection="0"/>
    <xf numFmtId="0" fontId="1" fillId="77" borderId="0" applyNumberFormat="0" applyBorder="0" applyAlignment="0" applyProtection="0"/>
    <xf numFmtId="0" fontId="1" fillId="80" borderId="0" applyNumberFormat="0" applyBorder="0" applyAlignment="0" applyProtection="0"/>
    <xf numFmtId="0" fontId="1" fillId="81" borderId="0" applyNumberFormat="0" applyBorder="0" applyAlignment="0" applyProtection="0"/>
    <xf numFmtId="0" fontId="1" fillId="60" borderId="0" applyNumberFormat="0" applyBorder="0" applyAlignment="0" applyProtection="0"/>
    <xf numFmtId="0" fontId="1" fillId="61" borderId="0" applyNumberFormat="0" applyBorder="0" applyAlignment="0" applyProtection="0"/>
    <xf numFmtId="0" fontId="1" fillId="64" borderId="0" applyNumberFormat="0" applyBorder="0" applyAlignment="0" applyProtection="0"/>
    <xf numFmtId="0" fontId="1" fillId="65" borderId="0" applyNumberFormat="0" applyBorder="0" applyAlignment="0" applyProtection="0"/>
    <xf numFmtId="0" fontId="1" fillId="68" borderId="0" applyNumberFormat="0" applyBorder="0" applyAlignment="0" applyProtection="0"/>
    <xf numFmtId="0" fontId="1" fillId="69" borderId="0" applyNumberFormat="0" applyBorder="0" applyAlignment="0" applyProtection="0"/>
    <xf numFmtId="0" fontId="1" fillId="72" borderId="0" applyNumberFormat="0" applyBorder="0" applyAlignment="0" applyProtection="0"/>
    <xf numFmtId="0" fontId="1" fillId="73" borderId="0" applyNumberFormat="0" applyBorder="0" applyAlignment="0" applyProtection="0"/>
    <xf numFmtId="0" fontId="1" fillId="76" borderId="0" applyNumberFormat="0" applyBorder="0" applyAlignment="0" applyProtection="0"/>
    <xf numFmtId="0" fontId="1" fillId="77" borderId="0" applyNumberFormat="0" applyBorder="0" applyAlignment="0" applyProtection="0"/>
    <xf numFmtId="0" fontId="1" fillId="80" borderId="0" applyNumberFormat="0" applyBorder="0" applyAlignment="0" applyProtection="0"/>
    <xf numFmtId="0" fontId="1" fillId="81" borderId="0" applyNumberFormat="0" applyBorder="0" applyAlignment="0" applyProtection="0"/>
    <xf numFmtId="0" fontId="1" fillId="58" borderId="104" applyNumberFormat="0" applyFont="0" applyAlignment="0" applyProtection="0"/>
    <xf numFmtId="0" fontId="1" fillId="0" borderId="0"/>
    <xf numFmtId="0" fontId="1" fillId="0" borderId="0"/>
    <xf numFmtId="0" fontId="1" fillId="60" borderId="0" applyNumberFormat="0" applyBorder="0" applyAlignment="0" applyProtection="0"/>
    <xf numFmtId="0" fontId="1" fillId="61" borderId="0" applyNumberFormat="0" applyBorder="0" applyAlignment="0" applyProtection="0"/>
    <xf numFmtId="0" fontId="1" fillId="64" borderId="0" applyNumberFormat="0" applyBorder="0" applyAlignment="0" applyProtection="0"/>
    <xf numFmtId="0" fontId="1" fillId="65" borderId="0" applyNumberFormat="0" applyBorder="0" applyAlignment="0" applyProtection="0"/>
    <xf numFmtId="0" fontId="1" fillId="68" borderId="0" applyNumberFormat="0" applyBorder="0" applyAlignment="0" applyProtection="0"/>
    <xf numFmtId="0" fontId="1" fillId="69" borderId="0" applyNumberFormat="0" applyBorder="0" applyAlignment="0" applyProtection="0"/>
    <xf numFmtId="0" fontId="1" fillId="72" borderId="0" applyNumberFormat="0" applyBorder="0" applyAlignment="0" applyProtection="0"/>
    <xf numFmtId="0" fontId="1" fillId="73" borderId="0" applyNumberFormat="0" applyBorder="0" applyAlignment="0" applyProtection="0"/>
    <xf numFmtId="0" fontId="1" fillId="76" borderId="0" applyNumberFormat="0" applyBorder="0" applyAlignment="0" applyProtection="0"/>
    <xf numFmtId="0" fontId="1" fillId="77" borderId="0" applyNumberFormat="0" applyBorder="0" applyAlignment="0" applyProtection="0"/>
    <xf numFmtId="0" fontId="1" fillId="80" borderId="0" applyNumberFormat="0" applyBorder="0" applyAlignment="0" applyProtection="0"/>
    <xf numFmtId="0" fontId="1" fillId="81" borderId="0" applyNumberFormat="0" applyBorder="0" applyAlignment="0" applyProtection="0"/>
    <xf numFmtId="0" fontId="1" fillId="58" borderId="104" applyNumberFormat="0" applyFont="0" applyAlignment="0" applyProtection="0"/>
    <xf numFmtId="0" fontId="1" fillId="58" borderId="104" applyNumberFormat="0" applyFont="0" applyAlignment="0" applyProtection="0"/>
    <xf numFmtId="0" fontId="1" fillId="60" borderId="0" applyNumberFormat="0" applyBorder="0" applyAlignment="0" applyProtection="0"/>
    <xf numFmtId="0" fontId="1" fillId="61" borderId="0" applyNumberFormat="0" applyBorder="0" applyAlignment="0" applyProtection="0"/>
    <xf numFmtId="0" fontId="1" fillId="64" borderId="0" applyNumberFormat="0" applyBorder="0" applyAlignment="0" applyProtection="0"/>
    <xf numFmtId="0" fontId="1" fillId="65" borderId="0" applyNumberFormat="0" applyBorder="0" applyAlignment="0" applyProtection="0"/>
    <xf numFmtId="0" fontId="1" fillId="68" borderId="0" applyNumberFormat="0" applyBorder="0" applyAlignment="0" applyProtection="0"/>
    <xf numFmtId="0" fontId="1" fillId="69" borderId="0" applyNumberFormat="0" applyBorder="0" applyAlignment="0" applyProtection="0"/>
    <xf numFmtId="0" fontId="1" fillId="72" borderId="0" applyNumberFormat="0" applyBorder="0" applyAlignment="0" applyProtection="0"/>
    <xf numFmtId="0" fontId="1" fillId="73" borderId="0" applyNumberFormat="0" applyBorder="0" applyAlignment="0" applyProtection="0"/>
    <xf numFmtId="0" fontId="1" fillId="76" borderId="0" applyNumberFormat="0" applyBorder="0" applyAlignment="0" applyProtection="0"/>
    <xf numFmtId="0" fontId="1" fillId="77" borderId="0" applyNumberFormat="0" applyBorder="0" applyAlignment="0" applyProtection="0"/>
    <xf numFmtId="0" fontId="1" fillId="80" borderId="0" applyNumberFormat="0" applyBorder="0" applyAlignment="0" applyProtection="0"/>
    <xf numFmtId="0" fontId="1" fillId="81" borderId="0" applyNumberFormat="0" applyBorder="0" applyAlignment="0" applyProtection="0"/>
    <xf numFmtId="0" fontId="1" fillId="60" borderId="0" applyNumberFormat="0" applyBorder="0" applyAlignment="0" applyProtection="0"/>
    <xf numFmtId="0" fontId="1" fillId="61" borderId="0" applyNumberFormat="0" applyBorder="0" applyAlignment="0" applyProtection="0"/>
    <xf numFmtId="0" fontId="1" fillId="64" borderId="0" applyNumberFormat="0" applyBorder="0" applyAlignment="0" applyProtection="0"/>
    <xf numFmtId="0" fontId="1" fillId="65" borderId="0" applyNumberFormat="0" applyBorder="0" applyAlignment="0" applyProtection="0"/>
    <xf numFmtId="0" fontId="1" fillId="68" borderId="0" applyNumberFormat="0" applyBorder="0" applyAlignment="0" applyProtection="0"/>
    <xf numFmtId="0" fontId="1" fillId="69" borderId="0" applyNumberFormat="0" applyBorder="0" applyAlignment="0" applyProtection="0"/>
    <xf numFmtId="0" fontId="1" fillId="72" borderId="0" applyNumberFormat="0" applyBorder="0" applyAlignment="0" applyProtection="0"/>
    <xf numFmtId="0" fontId="1" fillId="73" borderId="0" applyNumberFormat="0" applyBorder="0" applyAlignment="0" applyProtection="0"/>
    <xf numFmtId="0" fontId="1" fillId="76" borderId="0" applyNumberFormat="0" applyBorder="0" applyAlignment="0" applyProtection="0"/>
    <xf numFmtId="0" fontId="1" fillId="77" borderId="0" applyNumberFormat="0" applyBorder="0" applyAlignment="0" applyProtection="0"/>
    <xf numFmtId="0" fontId="1" fillId="80" borderId="0" applyNumberFormat="0" applyBorder="0" applyAlignment="0" applyProtection="0"/>
    <xf numFmtId="0" fontId="1" fillId="81" borderId="0" applyNumberFormat="0" applyBorder="0" applyAlignment="0" applyProtection="0"/>
    <xf numFmtId="0" fontId="1" fillId="58" borderId="104" applyNumberFormat="0" applyFont="0" applyAlignment="0" applyProtection="0"/>
    <xf numFmtId="0" fontId="1" fillId="60" borderId="0" applyNumberFormat="0" applyBorder="0" applyAlignment="0" applyProtection="0"/>
    <xf numFmtId="0" fontId="1" fillId="61" borderId="0" applyNumberFormat="0" applyBorder="0" applyAlignment="0" applyProtection="0"/>
    <xf numFmtId="0" fontId="1" fillId="64" borderId="0" applyNumberFormat="0" applyBorder="0" applyAlignment="0" applyProtection="0"/>
    <xf numFmtId="0" fontId="1" fillId="65" borderId="0" applyNumberFormat="0" applyBorder="0" applyAlignment="0" applyProtection="0"/>
    <xf numFmtId="0" fontId="1" fillId="68" borderId="0" applyNumberFormat="0" applyBorder="0" applyAlignment="0" applyProtection="0"/>
    <xf numFmtId="0" fontId="1" fillId="69" borderId="0" applyNumberFormat="0" applyBorder="0" applyAlignment="0" applyProtection="0"/>
    <xf numFmtId="0" fontId="1" fillId="72" borderId="0" applyNumberFormat="0" applyBorder="0" applyAlignment="0" applyProtection="0"/>
    <xf numFmtId="0" fontId="1" fillId="73" borderId="0" applyNumberFormat="0" applyBorder="0" applyAlignment="0" applyProtection="0"/>
    <xf numFmtId="0" fontId="1" fillId="76" borderId="0" applyNumberFormat="0" applyBorder="0" applyAlignment="0" applyProtection="0"/>
    <xf numFmtId="0" fontId="1" fillId="77" borderId="0" applyNumberFormat="0" applyBorder="0" applyAlignment="0" applyProtection="0"/>
    <xf numFmtId="0" fontId="1" fillId="80" borderId="0" applyNumberFormat="0" applyBorder="0" applyAlignment="0" applyProtection="0"/>
    <xf numFmtId="0" fontId="1" fillId="81" borderId="0" applyNumberFormat="0" applyBorder="0" applyAlignment="0" applyProtection="0"/>
    <xf numFmtId="0" fontId="1" fillId="58" borderId="104" applyNumberFormat="0" applyFont="0" applyAlignment="0" applyProtection="0"/>
    <xf numFmtId="0" fontId="1" fillId="58" borderId="104" applyNumberFormat="0" applyFont="0" applyAlignment="0" applyProtection="0"/>
    <xf numFmtId="0" fontId="1" fillId="60" borderId="0" applyNumberFormat="0" applyBorder="0" applyAlignment="0" applyProtection="0"/>
    <xf numFmtId="0" fontId="1" fillId="61" borderId="0" applyNumberFormat="0" applyBorder="0" applyAlignment="0" applyProtection="0"/>
    <xf numFmtId="0" fontId="1" fillId="64" borderId="0" applyNumberFormat="0" applyBorder="0" applyAlignment="0" applyProtection="0"/>
    <xf numFmtId="0" fontId="1" fillId="65" borderId="0" applyNumberFormat="0" applyBorder="0" applyAlignment="0" applyProtection="0"/>
    <xf numFmtId="0" fontId="1" fillId="68" borderId="0" applyNumberFormat="0" applyBorder="0" applyAlignment="0" applyProtection="0"/>
    <xf numFmtId="0" fontId="1" fillId="69" borderId="0" applyNumberFormat="0" applyBorder="0" applyAlignment="0" applyProtection="0"/>
    <xf numFmtId="0" fontId="1" fillId="72" borderId="0" applyNumberFormat="0" applyBorder="0" applyAlignment="0" applyProtection="0"/>
    <xf numFmtId="0" fontId="1" fillId="73" borderId="0" applyNumberFormat="0" applyBorder="0" applyAlignment="0" applyProtection="0"/>
    <xf numFmtId="0" fontId="1" fillId="76" borderId="0" applyNumberFormat="0" applyBorder="0" applyAlignment="0" applyProtection="0"/>
    <xf numFmtId="0" fontId="1" fillId="77" borderId="0" applyNumberFormat="0" applyBorder="0" applyAlignment="0" applyProtection="0"/>
    <xf numFmtId="0" fontId="1" fillId="80" borderId="0" applyNumberFormat="0" applyBorder="0" applyAlignment="0" applyProtection="0"/>
    <xf numFmtId="0" fontId="1" fillId="81" borderId="0" applyNumberFormat="0" applyBorder="0" applyAlignment="0" applyProtection="0"/>
    <xf numFmtId="0" fontId="1" fillId="60" borderId="0" applyNumberFormat="0" applyBorder="0" applyAlignment="0" applyProtection="0"/>
    <xf numFmtId="0" fontId="1" fillId="61" borderId="0" applyNumberFormat="0" applyBorder="0" applyAlignment="0" applyProtection="0"/>
    <xf numFmtId="0" fontId="1" fillId="64" borderId="0" applyNumberFormat="0" applyBorder="0" applyAlignment="0" applyProtection="0"/>
    <xf numFmtId="0" fontId="1" fillId="65" borderId="0" applyNumberFormat="0" applyBorder="0" applyAlignment="0" applyProtection="0"/>
    <xf numFmtId="0" fontId="1" fillId="68" borderId="0" applyNumberFormat="0" applyBorder="0" applyAlignment="0" applyProtection="0"/>
    <xf numFmtId="0" fontId="1" fillId="69" borderId="0" applyNumberFormat="0" applyBorder="0" applyAlignment="0" applyProtection="0"/>
    <xf numFmtId="0" fontId="1" fillId="72" borderId="0" applyNumberFormat="0" applyBorder="0" applyAlignment="0" applyProtection="0"/>
    <xf numFmtId="0" fontId="1" fillId="73" borderId="0" applyNumberFormat="0" applyBorder="0" applyAlignment="0" applyProtection="0"/>
    <xf numFmtId="0" fontId="1" fillId="76" borderId="0" applyNumberFormat="0" applyBorder="0" applyAlignment="0" applyProtection="0"/>
    <xf numFmtId="0" fontId="1" fillId="77" borderId="0" applyNumberFormat="0" applyBorder="0" applyAlignment="0" applyProtection="0"/>
    <xf numFmtId="0" fontId="1" fillId="80" borderId="0" applyNumberFormat="0" applyBorder="0" applyAlignment="0" applyProtection="0"/>
    <xf numFmtId="0" fontId="1" fillId="81" borderId="0" applyNumberFormat="0" applyBorder="0" applyAlignment="0" applyProtection="0"/>
    <xf numFmtId="0" fontId="1" fillId="58" borderId="104" applyNumberFormat="0" applyFont="0" applyAlignment="0" applyProtection="0"/>
    <xf numFmtId="0" fontId="1" fillId="60" borderId="0" applyNumberFormat="0" applyBorder="0" applyAlignment="0" applyProtection="0"/>
    <xf numFmtId="0" fontId="1" fillId="61" borderId="0" applyNumberFormat="0" applyBorder="0" applyAlignment="0" applyProtection="0"/>
    <xf numFmtId="0" fontId="1" fillId="64" borderId="0" applyNumberFormat="0" applyBorder="0" applyAlignment="0" applyProtection="0"/>
    <xf numFmtId="0" fontId="1" fillId="65" borderId="0" applyNumberFormat="0" applyBorder="0" applyAlignment="0" applyProtection="0"/>
    <xf numFmtId="0" fontId="1" fillId="68" borderId="0" applyNumberFormat="0" applyBorder="0" applyAlignment="0" applyProtection="0"/>
    <xf numFmtId="0" fontId="1" fillId="69" borderId="0" applyNumberFormat="0" applyBorder="0" applyAlignment="0" applyProtection="0"/>
    <xf numFmtId="0" fontId="1" fillId="72" borderId="0" applyNumberFormat="0" applyBorder="0" applyAlignment="0" applyProtection="0"/>
    <xf numFmtId="0" fontId="1" fillId="73" borderId="0" applyNumberFormat="0" applyBorder="0" applyAlignment="0" applyProtection="0"/>
    <xf numFmtId="0" fontId="1" fillId="76" borderId="0" applyNumberFormat="0" applyBorder="0" applyAlignment="0" applyProtection="0"/>
    <xf numFmtId="0" fontId="1" fillId="77" borderId="0" applyNumberFormat="0" applyBorder="0" applyAlignment="0" applyProtection="0"/>
    <xf numFmtId="0" fontId="1" fillId="80" borderId="0" applyNumberFormat="0" applyBorder="0" applyAlignment="0" applyProtection="0"/>
    <xf numFmtId="0" fontId="1" fillId="81" borderId="0" applyNumberFormat="0" applyBorder="0" applyAlignment="0" applyProtection="0"/>
    <xf numFmtId="0" fontId="1" fillId="58" borderId="104" applyNumberFormat="0" applyFont="0" applyAlignment="0" applyProtection="0"/>
    <xf numFmtId="0" fontId="1" fillId="58" borderId="104" applyNumberFormat="0" applyFont="0" applyAlignment="0" applyProtection="0"/>
    <xf numFmtId="0" fontId="1" fillId="60" borderId="0" applyNumberFormat="0" applyBorder="0" applyAlignment="0" applyProtection="0"/>
    <xf numFmtId="0" fontId="1" fillId="61" borderId="0" applyNumberFormat="0" applyBorder="0" applyAlignment="0" applyProtection="0"/>
    <xf numFmtId="0" fontId="1" fillId="64" borderId="0" applyNumberFormat="0" applyBorder="0" applyAlignment="0" applyProtection="0"/>
    <xf numFmtId="0" fontId="1" fillId="65" borderId="0" applyNumberFormat="0" applyBorder="0" applyAlignment="0" applyProtection="0"/>
    <xf numFmtId="0" fontId="1" fillId="68" borderId="0" applyNumberFormat="0" applyBorder="0" applyAlignment="0" applyProtection="0"/>
    <xf numFmtId="0" fontId="1" fillId="69" borderId="0" applyNumberFormat="0" applyBorder="0" applyAlignment="0" applyProtection="0"/>
    <xf numFmtId="0" fontId="1" fillId="72" borderId="0" applyNumberFormat="0" applyBorder="0" applyAlignment="0" applyProtection="0"/>
    <xf numFmtId="0" fontId="1" fillId="73" borderId="0" applyNumberFormat="0" applyBorder="0" applyAlignment="0" applyProtection="0"/>
    <xf numFmtId="0" fontId="1" fillId="76" borderId="0" applyNumberFormat="0" applyBorder="0" applyAlignment="0" applyProtection="0"/>
    <xf numFmtId="0" fontId="1" fillId="77" borderId="0" applyNumberFormat="0" applyBorder="0" applyAlignment="0" applyProtection="0"/>
    <xf numFmtId="0" fontId="1" fillId="80" borderId="0" applyNumberFormat="0" applyBorder="0" applyAlignment="0" applyProtection="0"/>
    <xf numFmtId="0" fontId="1" fillId="81" borderId="0" applyNumberFormat="0" applyBorder="0" applyAlignment="0" applyProtection="0"/>
    <xf numFmtId="0" fontId="1" fillId="60" borderId="0" applyNumberFormat="0" applyBorder="0" applyAlignment="0" applyProtection="0"/>
    <xf numFmtId="0" fontId="1" fillId="61" borderId="0" applyNumberFormat="0" applyBorder="0" applyAlignment="0" applyProtection="0"/>
    <xf numFmtId="0" fontId="1" fillId="64" borderId="0" applyNumberFormat="0" applyBorder="0" applyAlignment="0" applyProtection="0"/>
    <xf numFmtId="0" fontId="1" fillId="65" borderId="0" applyNumberFormat="0" applyBorder="0" applyAlignment="0" applyProtection="0"/>
    <xf numFmtId="0" fontId="1" fillId="68" borderId="0" applyNumberFormat="0" applyBorder="0" applyAlignment="0" applyProtection="0"/>
    <xf numFmtId="0" fontId="1" fillId="69" borderId="0" applyNumberFormat="0" applyBorder="0" applyAlignment="0" applyProtection="0"/>
    <xf numFmtId="0" fontId="1" fillId="72" borderId="0" applyNumberFormat="0" applyBorder="0" applyAlignment="0" applyProtection="0"/>
    <xf numFmtId="0" fontId="1" fillId="73" borderId="0" applyNumberFormat="0" applyBorder="0" applyAlignment="0" applyProtection="0"/>
    <xf numFmtId="0" fontId="1" fillId="76" borderId="0" applyNumberFormat="0" applyBorder="0" applyAlignment="0" applyProtection="0"/>
    <xf numFmtId="0" fontId="1" fillId="77" borderId="0" applyNumberFormat="0" applyBorder="0" applyAlignment="0" applyProtection="0"/>
    <xf numFmtId="0" fontId="1" fillId="80" borderId="0" applyNumberFormat="0" applyBorder="0" applyAlignment="0" applyProtection="0"/>
    <xf numFmtId="0" fontId="1" fillId="81" borderId="0" applyNumberFormat="0" applyBorder="0" applyAlignment="0" applyProtection="0"/>
    <xf numFmtId="0" fontId="1" fillId="58" borderId="104" applyNumberFormat="0" applyFont="0" applyAlignment="0" applyProtection="0"/>
    <xf numFmtId="0" fontId="1" fillId="9" borderId="0" applyNumberFormat="0" applyBorder="0" applyAlignment="0" applyProtection="0"/>
    <xf numFmtId="0" fontId="1" fillId="60" borderId="0" applyNumberFormat="0" applyBorder="0" applyAlignment="0" applyProtection="0"/>
    <xf numFmtId="0" fontId="1" fillId="60" borderId="0" applyNumberFormat="0" applyBorder="0" applyAlignment="0" applyProtection="0"/>
    <xf numFmtId="0" fontId="1" fillId="60" borderId="0" applyNumberFormat="0" applyBorder="0" applyAlignment="0" applyProtection="0"/>
    <xf numFmtId="0" fontId="1" fillId="60" borderId="0" applyNumberFormat="0" applyBorder="0" applyAlignment="0" applyProtection="0"/>
    <xf numFmtId="0" fontId="1" fillId="60" borderId="0" applyNumberFormat="0" applyBorder="0" applyAlignment="0" applyProtection="0"/>
    <xf numFmtId="0" fontId="1" fillId="60" borderId="0" applyNumberFormat="0" applyBorder="0" applyAlignment="0" applyProtection="0"/>
    <xf numFmtId="0" fontId="1" fillId="60" borderId="0" applyNumberFormat="0" applyBorder="0" applyAlignment="0" applyProtection="0"/>
    <xf numFmtId="0" fontId="1" fillId="60" borderId="0" applyNumberFormat="0" applyBorder="0" applyAlignment="0" applyProtection="0"/>
    <xf numFmtId="0" fontId="1" fillId="60" borderId="0" applyNumberFormat="0" applyBorder="0" applyAlignment="0" applyProtection="0"/>
    <xf numFmtId="0" fontId="1" fillId="64" borderId="0" applyNumberFormat="0" applyBorder="0" applyAlignment="0" applyProtection="0"/>
    <xf numFmtId="0" fontId="1" fillId="64" borderId="0" applyNumberFormat="0" applyBorder="0" applyAlignment="0" applyProtection="0"/>
    <xf numFmtId="0" fontId="1" fillId="64" borderId="0" applyNumberFormat="0" applyBorder="0" applyAlignment="0" applyProtection="0"/>
    <xf numFmtId="0" fontId="1" fillId="64" borderId="0" applyNumberFormat="0" applyBorder="0" applyAlignment="0" applyProtection="0"/>
    <xf numFmtId="0" fontId="1" fillId="64" borderId="0" applyNumberFormat="0" applyBorder="0" applyAlignment="0" applyProtection="0"/>
    <xf numFmtId="0" fontId="1" fillId="64" borderId="0" applyNumberFormat="0" applyBorder="0" applyAlignment="0" applyProtection="0"/>
    <xf numFmtId="0" fontId="1" fillId="64" borderId="0" applyNumberFormat="0" applyBorder="0" applyAlignment="0" applyProtection="0"/>
    <xf numFmtId="0" fontId="1" fillId="64" borderId="0" applyNumberFormat="0" applyBorder="0" applyAlignment="0" applyProtection="0"/>
    <xf numFmtId="0" fontId="1" fillId="64" borderId="0" applyNumberFormat="0" applyBorder="0" applyAlignment="0" applyProtection="0"/>
    <xf numFmtId="0" fontId="1" fillId="68" borderId="0" applyNumberFormat="0" applyBorder="0" applyAlignment="0" applyProtection="0"/>
    <xf numFmtId="0" fontId="1" fillId="68" borderId="0" applyNumberFormat="0" applyBorder="0" applyAlignment="0" applyProtection="0"/>
    <xf numFmtId="0" fontId="1" fillId="68" borderId="0" applyNumberFormat="0" applyBorder="0" applyAlignment="0" applyProtection="0"/>
    <xf numFmtId="0" fontId="1" fillId="68" borderId="0" applyNumberFormat="0" applyBorder="0" applyAlignment="0" applyProtection="0"/>
    <xf numFmtId="0" fontId="1" fillId="68" borderId="0" applyNumberFormat="0" applyBorder="0" applyAlignment="0" applyProtection="0"/>
    <xf numFmtId="0" fontId="1" fillId="68" borderId="0" applyNumberFormat="0" applyBorder="0" applyAlignment="0" applyProtection="0"/>
    <xf numFmtId="0" fontId="1" fillId="68" borderId="0" applyNumberFormat="0" applyBorder="0" applyAlignment="0" applyProtection="0"/>
    <xf numFmtId="0" fontId="1" fillId="68" borderId="0" applyNumberFormat="0" applyBorder="0" applyAlignment="0" applyProtection="0"/>
    <xf numFmtId="0" fontId="1" fillId="68" borderId="0" applyNumberFormat="0" applyBorder="0" applyAlignment="0" applyProtection="0"/>
    <xf numFmtId="0" fontId="1" fillId="72" borderId="0" applyNumberFormat="0" applyBorder="0" applyAlignment="0" applyProtection="0"/>
    <xf numFmtId="0" fontId="1" fillId="72" borderId="0" applyNumberFormat="0" applyBorder="0" applyAlignment="0" applyProtection="0"/>
    <xf numFmtId="0" fontId="1" fillId="72" borderId="0" applyNumberFormat="0" applyBorder="0" applyAlignment="0" applyProtection="0"/>
    <xf numFmtId="0" fontId="1" fillId="72" borderId="0" applyNumberFormat="0" applyBorder="0" applyAlignment="0" applyProtection="0"/>
    <xf numFmtId="0" fontId="1" fillId="72" borderId="0" applyNumberFormat="0" applyBorder="0" applyAlignment="0" applyProtection="0"/>
    <xf numFmtId="0" fontId="1" fillId="72" borderId="0" applyNumberFormat="0" applyBorder="0" applyAlignment="0" applyProtection="0"/>
    <xf numFmtId="0" fontId="1" fillId="72" borderId="0" applyNumberFormat="0" applyBorder="0" applyAlignment="0" applyProtection="0"/>
    <xf numFmtId="0" fontId="1" fillId="72" borderId="0" applyNumberFormat="0" applyBorder="0" applyAlignment="0" applyProtection="0"/>
    <xf numFmtId="0" fontId="1" fillId="72" borderId="0" applyNumberFormat="0" applyBorder="0" applyAlignment="0" applyProtection="0"/>
    <xf numFmtId="0" fontId="1" fillId="76" borderId="0" applyNumberFormat="0" applyBorder="0" applyAlignment="0" applyProtection="0"/>
    <xf numFmtId="0" fontId="1" fillId="76" borderId="0" applyNumberFormat="0" applyBorder="0" applyAlignment="0" applyProtection="0"/>
    <xf numFmtId="0" fontId="1" fillId="76" borderId="0" applyNumberFormat="0" applyBorder="0" applyAlignment="0" applyProtection="0"/>
    <xf numFmtId="0" fontId="1" fillId="76" borderId="0" applyNumberFormat="0" applyBorder="0" applyAlignment="0" applyProtection="0"/>
    <xf numFmtId="0" fontId="1" fillId="76" borderId="0" applyNumberFormat="0" applyBorder="0" applyAlignment="0" applyProtection="0"/>
    <xf numFmtId="0" fontId="1" fillId="76" borderId="0" applyNumberFormat="0" applyBorder="0" applyAlignment="0" applyProtection="0"/>
    <xf numFmtId="0" fontId="1" fillId="76" borderId="0" applyNumberFormat="0" applyBorder="0" applyAlignment="0" applyProtection="0"/>
    <xf numFmtId="0" fontId="1" fillId="76" borderId="0" applyNumberFormat="0" applyBorder="0" applyAlignment="0" applyProtection="0"/>
    <xf numFmtId="0" fontId="1" fillId="76" borderId="0" applyNumberFormat="0" applyBorder="0" applyAlignment="0" applyProtection="0"/>
    <xf numFmtId="0" fontId="1" fillId="80" borderId="0" applyNumberFormat="0" applyBorder="0" applyAlignment="0" applyProtection="0"/>
    <xf numFmtId="0" fontId="1" fillId="80" borderId="0" applyNumberFormat="0" applyBorder="0" applyAlignment="0" applyProtection="0"/>
    <xf numFmtId="0" fontId="1" fillId="80" borderId="0" applyNumberFormat="0" applyBorder="0" applyAlignment="0" applyProtection="0"/>
    <xf numFmtId="0" fontId="1" fillId="80" borderId="0" applyNumberFormat="0" applyBorder="0" applyAlignment="0" applyProtection="0"/>
    <xf numFmtId="0" fontId="1" fillId="80" borderId="0" applyNumberFormat="0" applyBorder="0" applyAlignment="0" applyProtection="0"/>
    <xf numFmtId="0" fontId="1" fillId="80" borderId="0" applyNumberFormat="0" applyBorder="0" applyAlignment="0" applyProtection="0"/>
    <xf numFmtId="0" fontId="1" fillId="80" borderId="0" applyNumberFormat="0" applyBorder="0" applyAlignment="0" applyProtection="0"/>
    <xf numFmtId="0" fontId="1" fillId="80" borderId="0" applyNumberFormat="0" applyBorder="0" applyAlignment="0" applyProtection="0"/>
    <xf numFmtId="0" fontId="1" fillId="80" borderId="0" applyNumberFormat="0" applyBorder="0" applyAlignment="0" applyProtection="0"/>
    <xf numFmtId="0" fontId="1" fillId="61" borderId="0" applyNumberFormat="0" applyBorder="0" applyAlignment="0" applyProtection="0"/>
    <xf numFmtId="0" fontId="1" fillId="61" borderId="0" applyNumberFormat="0" applyBorder="0" applyAlignment="0" applyProtection="0"/>
    <xf numFmtId="0" fontId="1" fillId="61" borderId="0" applyNumberFormat="0" applyBorder="0" applyAlignment="0" applyProtection="0"/>
    <xf numFmtId="0" fontId="1" fillId="61" borderId="0" applyNumberFormat="0" applyBorder="0" applyAlignment="0" applyProtection="0"/>
    <xf numFmtId="0" fontId="1" fillId="61" borderId="0" applyNumberFormat="0" applyBorder="0" applyAlignment="0" applyProtection="0"/>
    <xf numFmtId="0" fontId="1" fillId="61" borderId="0" applyNumberFormat="0" applyBorder="0" applyAlignment="0" applyProtection="0"/>
    <xf numFmtId="0" fontId="1" fillId="61" borderId="0" applyNumberFormat="0" applyBorder="0" applyAlignment="0" applyProtection="0"/>
    <xf numFmtId="0" fontId="1" fillId="61" borderId="0" applyNumberFormat="0" applyBorder="0" applyAlignment="0" applyProtection="0"/>
    <xf numFmtId="0" fontId="1" fillId="61" borderId="0" applyNumberFormat="0" applyBorder="0" applyAlignment="0" applyProtection="0"/>
    <xf numFmtId="0" fontId="1" fillId="65" borderId="0" applyNumberFormat="0" applyBorder="0" applyAlignment="0" applyProtection="0"/>
    <xf numFmtId="0" fontId="1" fillId="65" borderId="0" applyNumberFormat="0" applyBorder="0" applyAlignment="0" applyProtection="0"/>
    <xf numFmtId="0" fontId="1" fillId="65" borderId="0" applyNumberFormat="0" applyBorder="0" applyAlignment="0" applyProtection="0"/>
    <xf numFmtId="0" fontId="1" fillId="65" borderId="0" applyNumberFormat="0" applyBorder="0" applyAlignment="0" applyProtection="0"/>
    <xf numFmtId="0" fontId="1" fillId="65" borderId="0" applyNumberFormat="0" applyBorder="0" applyAlignment="0" applyProtection="0"/>
    <xf numFmtId="0" fontId="1" fillId="65" borderId="0" applyNumberFormat="0" applyBorder="0" applyAlignment="0" applyProtection="0"/>
    <xf numFmtId="0" fontId="1" fillId="65" borderId="0" applyNumberFormat="0" applyBorder="0" applyAlignment="0" applyProtection="0"/>
    <xf numFmtId="0" fontId="1" fillId="65" borderId="0" applyNumberFormat="0" applyBorder="0" applyAlignment="0" applyProtection="0"/>
    <xf numFmtId="0" fontId="1" fillId="65" borderId="0" applyNumberFormat="0" applyBorder="0" applyAlignment="0" applyProtection="0"/>
    <xf numFmtId="0" fontId="1" fillId="69" borderId="0" applyNumberFormat="0" applyBorder="0" applyAlignment="0" applyProtection="0"/>
    <xf numFmtId="0" fontId="1" fillId="69" borderId="0" applyNumberFormat="0" applyBorder="0" applyAlignment="0" applyProtection="0"/>
    <xf numFmtId="0" fontId="1" fillId="69" borderId="0" applyNumberFormat="0" applyBorder="0" applyAlignment="0" applyProtection="0"/>
    <xf numFmtId="0" fontId="1" fillId="69" borderId="0" applyNumberFormat="0" applyBorder="0" applyAlignment="0" applyProtection="0"/>
    <xf numFmtId="0" fontId="1" fillId="69" borderId="0" applyNumberFormat="0" applyBorder="0" applyAlignment="0" applyProtection="0"/>
    <xf numFmtId="0" fontId="1" fillId="69" borderId="0" applyNumberFormat="0" applyBorder="0" applyAlignment="0" applyProtection="0"/>
    <xf numFmtId="0" fontId="1" fillId="69" borderId="0" applyNumberFormat="0" applyBorder="0" applyAlignment="0" applyProtection="0"/>
    <xf numFmtId="0" fontId="1" fillId="69" borderId="0" applyNumberFormat="0" applyBorder="0" applyAlignment="0" applyProtection="0"/>
    <xf numFmtId="0" fontId="1" fillId="69" borderId="0" applyNumberFormat="0" applyBorder="0" applyAlignment="0" applyProtection="0"/>
    <xf numFmtId="0" fontId="1" fillId="73" borderId="0" applyNumberFormat="0" applyBorder="0" applyAlignment="0" applyProtection="0"/>
    <xf numFmtId="0" fontId="1" fillId="73" borderId="0" applyNumberFormat="0" applyBorder="0" applyAlignment="0" applyProtection="0"/>
    <xf numFmtId="0" fontId="1" fillId="73" borderId="0" applyNumberFormat="0" applyBorder="0" applyAlignment="0" applyProtection="0"/>
    <xf numFmtId="0" fontId="1" fillId="73" borderId="0" applyNumberFormat="0" applyBorder="0" applyAlignment="0" applyProtection="0"/>
    <xf numFmtId="0" fontId="1" fillId="73" borderId="0" applyNumberFormat="0" applyBorder="0" applyAlignment="0" applyProtection="0"/>
    <xf numFmtId="0" fontId="1" fillId="73" borderId="0" applyNumberFormat="0" applyBorder="0" applyAlignment="0" applyProtection="0"/>
    <xf numFmtId="0" fontId="1" fillId="73" borderId="0" applyNumberFormat="0" applyBorder="0" applyAlignment="0" applyProtection="0"/>
    <xf numFmtId="0" fontId="1" fillId="73" borderId="0" applyNumberFormat="0" applyBorder="0" applyAlignment="0" applyProtection="0"/>
    <xf numFmtId="0" fontId="1" fillId="73" borderId="0" applyNumberFormat="0" applyBorder="0" applyAlignment="0" applyProtection="0"/>
    <xf numFmtId="0" fontId="1" fillId="77" borderId="0" applyNumberFormat="0" applyBorder="0" applyAlignment="0" applyProtection="0"/>
    <xf numFmtId="0" fontId="1" fillId="77" borderId="0" applyNumberFormat="0" applyBorder="0" applyAlignment="0" applyProtection="0"/>
    <xf numFmtId="0" fontId="1" fillId="77" borderId="0" applyNumberFormat="0" applyBorder="0" applyAlignment="0" applyProtection="0"/>
    <xf numFmtId="0" fontId="1" fillId="77" borderId="0" applyNumberFormat="0" applyBorder="0" applyAlignment="0" applyProtection="0"/>
    <xf numFmtId="0" fontId="1" fillId="77" borderId="0" applyNumberFormat="0" applyBorder="0" applyAlignment="0" applyProtection="0"/>
    <xf numFmtId="0" fontId="1" fillId="77" borderId="0" applyNumberFormat="0" applyBorder="0" applyAlignment="0" applyProtection="0"/>
    <xf numFmtId="0" fontId="1" fillId="77" borderId="0" applyNumberFormat="0" applyBorder="0" applyAlignment="0" applyProtection="0"/>
    <xf numFmtId="0" fontId="1" fillId="77" borderId="0" applyNumberFormat="0" applyBorder="0" applyAlignment="0" applyProtection="0"/>
    <xf numFmtId="0" fontId="1" fillId="77" borderId="0" applyNumberFormat="0" applyBorder="0" applyAlignment="0" applyProtection="0"/>
    <xf numFmtId="0" fontId="1" fillId="81" borderId="0" applyNumberFormat="0" applyBorder="0" applyAlignment="0" applyProtection="0"/>
    <xf numFmtId="0" fontId="1" fillId="81" borderId="0" applyNumberFormat="0" applyBorder="0" applyAlignment="0" applyProtection="0"/>
    <xf numFmtId="0" fontId="1" fillId="81" borderId="0" applyNumberFormat="0" applyBorder="0" applyAlignment="0" applyProtection="0"/>
    <xf numFmtId="0" fontId="1" fillId="81" borderId="0" applyNumberFormat="0" applyBorder="0" applyAlignment="0" applyProtection="0"/>
    <xf numFmtId="0" fontId="1" fillId="81" borderId="0" applyNumberFormat="0" applyBorder="0" applyAlignment="0" applyProtection="0"/>
    <xf numFmtId="0" fontId="1" fillId="81" borderId="0" applyNumberFormat="0" applyBorder="0" applyAlignment="0" applyProtection="0"/>
    <xf numFmtId="0" fontId="1" fillId="81" borderId="0" applyNumberFormat="0" applyBorder="0" applyAlignment="0" applyProtection="0"/>
    <xf numFmtId="0" fontId="1" fillId="81" borderId="0" applyNumberFormat="0" applyBorder="0" applyAlignment="0" applyProtection="0"/>
    <xf numFmtId="0" fontId="1" fillId="81" borderId="0" applyNumberFormat="0" applyBorder="0" applyAlignment="0" applyProtection="0"/>
    <xf numFmtId="0" fontId="1" fillId="58" borderId="104" applyNumberFormat="0" applyFont="0" applyAlignment="0" applyProtection="0"/>
    <xf numFmtId="0" fontId="1" fillId="58" borderId="104" applyNumberFormat="0" applyFont="0" applyAlignment="0" applyProtection="0"/>
    <xf numFmtId="0" fontId="1" fillId="58" borderId="104" applyNumberFormat="0" applyFont="0" applyAlignment="0" applyProtection="0"/>
    <xf numFmtId="0" fontId="1" fillId="58" borderId="104" applyNumberFormat="0" applyFont="0" applyAlignment="0" applyProtection="0"/>
    <xf numFmtId="0" fontId="1" fillId="58" borderId="104" applyNumberFormat="0" applyFont="0" applyAlignment="0" applyProtection="0"/>
    <xf numFmtId="0" fontId="1" fillId="58" borderId="104" applyNumberFormat="0" applyFont="0" applyAlignment="0" applyProtection="0"/>
    <xf numFmtId="0" fontId="1" fillId="58" borderId="104" applyNumberFormat="0" applyFont="0" applyAlignment="0" applyProtection="0"/>
    <xf numFmtId="0" fontId="1" fillId="58" borderId="104" applyNumberFormat="0" applyFont="0" applyAlignment="0" applyProtection="0"/>
    <xf numFmtId="0" fontId="1" fillId="58" borderId="104" applyNumberFormat="0" applyFont="0" applyAlignment="0" applyProtection="0"/>
    <xf numFmtId="0" fontId="1" fillId="0" borderId="0"/>
    <xf numFmtId="0" fontId="1" fillId="0" borderId="0"/>
    <xf numFmtId="9" fontId="1" fillId="0" borderId="0" applyFont="0" applyFill="0" applyBorder="0" applyAlignment="0" applyProtection="0"/>
    <xf numFmtId="0" fontId="1" fillId="60" borderId="0" applyNumberFormat="0" applyBorder="0" applyAlignment="0" applyProtection="0"/>
    <xf numFmtId="0" fontId="1" fillId="61" borderId="0" applyNumberFormat="0" applyBorder="0" applyAlignment="0" applyProtection="0"/>
    <xf numFmtId="0" fontId="1" fillId="64" borderId="0" applyNumberFormat="0" applyBorder="0" applyAlignment="0" applyProtection="0"/>
    <xf numFmtId="0" fontId="1" fillId="65" borderId="0" applyNumberFormat="0" applyBorder="0" applyAlignment="0" applyProtection="0"/>
    <xf numFmtId="0" fontId="1" fillId="68" borderId="0" applyNumberFormat="0" applyBorder="0" applyAlignment="0" applyProtection="0"/>
    <xf numFmtId="0" fontId="1" fillId="69" borderId="0" applyNumberFormat="0" applyBorder="0" applyAlignment="0" applyProtection="0"/>
    <xf numFmtId="0" fontId="1" fillId="72" borderId="0" applyNumberFormat="0" applyBorder="0" applyAlignment="0" applyProtection="0"/>
    <xf numFmtId="0" fontId="1" fillId="73" borderId="0" applyNumberFormat="0" applyBorder="0" applyAlignment="0" applyProtection="0"/>
    <xf numFmtId="0" fontId="1" fillId="76" borderId="0" applyNumberFormat="0" applyBorder="0" applyAlignment="0" applyProtection="0"/>
    <xf numFmtId="0" fontId="1" fillId="77" borderId="0" applyNumberFormat="0" applyBorder="0" applyAlignment="0" applyProtection="0"/>
    <xf numFmtId="0" fontId="1" fillId="80" borderId="0" applyNumberFormat="0" applyBorder="0" applyAlignment="0" applyProtection="0"/>
    <xf numFmtId="0" fontId="1" fillId="81" borderId="0" applyNumberFormat="0" applyBorder="0" applyAlignment="0" applyProtection="0"/>
    <xf numFmtId="0" fontId="1" fillId="58" borderId="104" applyNumberFormat="0" applyFont="0" applyAlignment="0" applyProtection="0"/>
    <xf numFmtId="0" fontId="1" fillId="58" borderId="104" applyNumberFormat="0" applyFont="0" applyAlignment="0" applyProtection="0"/>
    <xf numFmtId="0" fontId="1" fillId="60" borderId="0" applyNumberFormat="0" applyBorder="0" applyAlignment="0" applyProtection="0"/>
    <xf numFmtId="0" fontId="1" fillId="61" borderId="0" applyNumberFormat="0" applyBorder="0" applyAlignment="0" applyProtection="0"/>
    <xf numFmtId="0" fontId="1" fillId="64" borderId="0" applyNumberFormat="0" applyBorder="0" applyAlignment="0" applyProtection="0"/>
    <xf numFmtId="0" fontId="1" fillId="65" borderId="0" applyNumberFormat="0" applyBorder="0" applyAlignment="0" applyProtection="0"/>
    <xf numFmtId="0" fontId="1" fillId="68" borderId="0" applyNumberFormat="0" applyBorder="0" applyAlignment="0" applyProtection="0"/>
    <xf numFmtId="0" fontId="1" fillId="69" borderId="0" applyNumberFormat="0" applyBorder="0" applyAlignment="0" applyProtection="0"/>
    <xf numFmtId="0" fontId="1" fillId="72" borderId="0" applyNumberFormat="0" applyBorder="0" applyAlignment="0" applyProtection="0"/>
    <xf numFmtId="0" fontId="1" fillId="73" borderId="0" applyNumberFormat="0" applyBorder="0" applyAlignment="0" applyProtection="0"/>
    <xf numFmtId="0" fontId="1" fillId="76" borderId="0" applyNumberFormat="0" applyBorder="0" applyAlignment="0" applyProtection="0"/>
    <xf numFmtId="0" fontId="1" fillId="77" borderId="0" applyNumberFormat="0" applyBorder="0" applyAlignment="0" applyProtection="0"/>
    <xf numFmtId="0" fontId="1" fillId="80" borderId="0" applyNumberFormat="0" applyBorder="0" applyAlignment="0" applyProtection="0"/>
    <xf numFmtId="0" fontId="1" fillId="81" borderId="0" applyNumberFormat="0" applyBorder="0" applyAlignment="0" applyProtection="0"/>
    <xf numFmtId="0" fontId="1" fillId="60" borderId="0" applyNumberFormat="0" applyBorder="0" applyAlignment="0" applyProtection="0"/>
    <xf numFmtId="0" fontId="1" fillId="61" borderId="0" applyNumberFormat="0" applyBorder="0" applyAlignment="0" applyProtection="0"/>
    <xf numFmtId="0" fontId="1" fillId="64" borderId="0" applyNumberFormat="0" applyBorder="0" applyAlignment="0" applyProtection="0"/>
    <xf numFmtId="0" fontId="1" fillId="65" borderId="0" applyNumberFormat="0" applyBorder="0" applyAlignment="0" applyProtection="0"/>
    <xf numFmtId="0" fontId="1" fillId="68" borderId="0" applyNumberFormat="0" applyBorder="0" applyAlignment="0" applyProtection="0"/>
    <xf numFmtId="0" fontId="1" fillId="69" borderId="0" applyNumberFormat="0" applyBorder="0" applyAlignment="0" applyProtection="0"/>
    <xf numFmtId="0" fontId="1" fillId="72" borderId="0" applyNumberFormat="0" applyBorder="0" applyAlignment="0" applyProtection="0"/>
    <xf numFmtId="0" fontId="1" fillId="73" borderId="0" applyNumberFormat="0" applyBorder="0" applyAlignment="0" applyProtection="0"/>
    <xf numFmtId="0" fontId="1" fillId="76" borderId="0" applyNumberFormat="0" applyBorder="0" applyAlignment="0" applyProtection="0"/>
    <xf numFmtId="0" fontId="1" fillId="77" borderId="0" applyNumberFormat="0" applyBorder="0" applyAlignment="0" applyProtection="0"/>
    <xf numFmtId="0" fontId="1" fillId="80" borderId="0" applyNumberFormat="0" applyBorder="0" applyAlignment="0" applyProtection="0"/>
    <xf numFmtId="0" fontId="1" fillId="81" borderId="0" applyNumberFormat="0" applyBorder="0" applyAlignment="0" applyProtection="0"/>
    <xf numFmtId="0" fontId="1" fillId="58" borderId="104" applyNumberFormat="0" applyFont="0" applyAlignment="0" applyProtection="0"/>
    <xf numFmtId="0" fontId="1" fillId="60" borderId="0" applyNumberFormat="0" applyBorder="0" applyAlignment="0" applyProtection="0"/>
    <xf numFmtId="0" fontId="1" fillId="61" borderId="0" applyNumberFormat="0" applyBorder="0" applyAlignment="0" applyProtection="0"/>
    <xf numFmtId="0" fontId="1" fillId="64" borderId="0" applyNumberFormat="0" applyBorder="0" applyAlignment="0" applyProtection="0"/>
    <xf numFmtId="0" fontId="1" fillId="65" borderId="0" applyNumberFormat="0" applyBorder="0" applyAlignment="0" applyProtection="0"/>
    <xf numFmtId="0" fontId="1" fillId="68" borderId="0" applyNumberFormat="0" applyBorder="0" applyAlignment="0" applyProtection="0"/>
    <xf numFmtId="0" fontId="1" fillId="69" borderId="0" applyNumberFormat="0" applyBorder="0" applyAlignment="0" applyProtection="0"/>
    <xf numFmtId="0" fontId="1" fillId="72" borderId="0" applyNumberFormat="0" applyBorder="0" applyAlignment="0" applyProtection="0"/>
    <xf numFmtId="0" fontId="1" fillId="73" borderId="0" applyNumberFormat="0" applyBorder="0" applyAlignment="0" applyProtection="0"/>
    <xf numFmtId="0" fontId="1" fillId="76" borderId="0" applyNumberFormat="0" applyBorder="0" applyAlignment="0" applyProtection="0"/>
    <xf numFmtId="0" fontId="1" fillId="77" borderId="0" applyNumberFormat="0" applyBorder="0" applyAlignment="0" applyProtection="0"/>
    <xf numFmtId="0" fontId="1" fillId="80" borderId="0" applyNumberFormat="0" applyBorder="0" applyAlignment="0" applyProtection="0"/>
    <xf numFmtId="0" fontId="1" fillId="81" borderId="0" applyNumberFormat="0" applyBorder="0" applyAlignment="0" applyProtection="0"/>
    <xf numFmtId="0" fontId="1" fillId="58" borderId="104" applyNumberFormat="0" applyFont="0" applyAlignment="0" applyProtection="0"/>
    <xf numFmtId="0" fontId="1" fillId="58" borderId="104" applyNumberFormat="0" applyFont="0" applyAlignment="0" applyProtection="0"/>
    <xf numFmtId="0" fontId="1" fillId="60" borderId="0" applyNumberFormat="0" applyBorder="0" applyAlignment="0" applyProtection="0"/>
    <xf numFmtId="0" fontId="1" fillId="61" borderId="0" applyNumberFormat="0" applyBorder="0" applyAlignment="0" applyProtection="0"/>
    <xf numFmtId="0" fontId="1" fillId="64" borderId="0" applyNumberFormat="0" applyBorder="0" applyAlignment="0" applyProtection="0"/>
    <xf numFmtId="0" fontId="1" fillId="65" borderId="0" applyNumberFormat="0" applyBorder="0" applyAlignment="0" applyProtection="0"/>
    <xf numFmtId="0" fontId="1" fillId="68" borderId="0" applyNumberFormat="0" applyBorder="0" applyAlignment="0" applyProtection="0"/>
    <xf numFmtId="0" fontId="1" fillId="69" borderId="0" applyNumberFormat="0" applyBorder="0" applyAlignment="0" applyProtection="0"/>
    <xf numFmtId="0" fontId="1" fillId="72" borderId="0" applyNumberFormat="0" applyBorder="0" applyAlignment="0" applyProtection="0"/>
    <xf numFmtId="0" fontId="1" fillId="73" borderId="0" applyNumberFormat="0" applyBorder="0" applyAlignment="0" applyProtection="0"/>
    <xf numFmtId="0" fontId="1" fillId="76" borderId="0" applyNumberFormat="0" applyBorder="0" applyAlignment="0" applyProtection="0"/>
    <xf numFmtId="0" fontId="1" fillId="77" borderId="0" applyNumberFormat="0" applyBorder="0" applyAlignment="0" applyProtection="0"/>
    <xf numFmtId="0" fontId="1" fillId="80" borderId="0" applyNumberFormat="0" applyBorder="0" applyAlignment="0" applyProtection="0"/>
    <xf numFmtId="0" fontId="1" fillId="81" borderId="0" applyNumberFormat="0" applyBorder="0" applyAlignment="0" applyProtection="0"/>
    <xf numFmtId="0" fontId="1" fillId="60" borderId="0" applyNumberFormat="0" applyBorder="0" applyAlignment="0" applyProtection="0"/>
    <xf numFmtId="0" fontId="1" fillId="61" borderId="0" applyNumberFormat="0" applyBorder="0" applyAlignment="0" applyProtection="0"/>
    <xf numFmtId="0" fontId="1" fillId="64" borderId="0" applyNumberFormat="0" applyBorder="0" applyAlignment="0" applyProtection="0"/>
    <xf numFmtId="0" fontId="1" fillId="65" borderId="0" applyNumberFormat="0" applyBorder="0" applyAlignment="0" applyProtection="0"/>
    <xf numFmtId="0" fontId="1" fillId="68" borderId="0" applyNumberFormat="0" applyBorder="0" applyAlignment="0" applyProtection="0"/>
    <xf numFmtId="0" fontId="1" fillId="69" borderId="0" applyNumberFormat="0" applyBorder="0" applyAlignment="0" applyProtection="0"/>
    <xf numFmtId="0" fontId="1" fillId="72" borderId="0" applyNumberFormat="0" applyBorder="0" applyAlignment="0" applyProtection="0"/>
    <xf numFmtId="0" fontId="1" fillId="73" borderId="0" applyNumberFormat="0" applyBorder="0" applyAlignment="0" applyProtection="0"/>
    <xf numFmtId="0" fontId="1" fillId="76" borderId="0" applyNumberFormat="0" applyBorder="0" applyAlignment="0" applyProtection="0"/>
    <xf numFmtId="0" fontId="1" fillId="77" borderId="0" applyNumberFormat="0" applyBorder="0" applyAlignment="0" applyProtection="0"/>
    <xf numFmtId="0" fontId="1" fillId="80" borderId="0" applyNumberFormat="0" applyBorder="0" applyAlignment="0" applyProtection="0"/>
    <xf numFmtId="0" fontId="1" fillId="81" borderId="0" applyNumberFormat="0" applyBorder="0" applyAlignment="0" applyProtection="0"/>
    <xf numFmtId="0" fontId="1" fillId="58" borderId="104" applyNumberFormat="0" applyFont="0" applyAlignment="0" applyProtection="0"/>
    <xf numFmtId="0" fontId="1" fillId="60" borderId="0" applyNumberFormat="0" applyBorder="0" applyAlignment="0" applyProtection="0"/>
    <xf numFmtId="0" fontId="1" fillId="61" borderId="0" applyNumberFormat="0" applyBorder="0" applyAlignment="0" applyProtection="0"/>
    <xf numFmtId="0" fontId="1" fillId="64" borderId="0" applyNumberFormat="0" applyBorder="0" applyAlignment="0" applyProtection="0"/>
    <xf numFmtId="0" fontId="1" fillId="65" borderId="0" applyNumberFormat="0" applyBorder="0" applyAlignment="0" applyProtection="0"/>
    <xf numFmtId="0" fontId="1" fillId="68" borderId="0" applyNumberFormat="0" applyBorder="0" applyAlignment="0" applyProtection="0"/>
    <xf numFmtId="0" fontId="1" fillId="69" borderId="0" applyNumberFormat="0" applyBorder="0" applyAlignment="0" applyProtection="0"/>
    <xf numFmtId="0" fontId="1" fillId="72" borderId="0" applyNumberFormat="0" applyBorder="0" applyAlignment="0" applyProtection="0"/>
    <xf numFmtId="0" fontId="1" fillId="73" borderId="0" applyNumberFormat="0" applyBorder="0" applyAlignment="0" applyProtection="0"/>
    <xf numFmtId="0" fontId="1" fillId="76" borderId="0" applyNumberFormat="0" applyBorder="0" applyAlignment="0" applyProtection="0"/>
    <xf numFmtId="0" fontId="1" fillId="77" borderId="0" applyNumberFormat="0" applyBorder="0" applyAlignment="0" applyProtection="0"/>
    <xf numFmtId="0" fontId="1" fillId="80" borderId="0" applyNumberFormat="0" applyBorder="0" applyAlignment="0" applyProtection="0"/>
    <xf numFmtId="0" fontId="1" fillId="81" borderId="0" applyNumberFormat="0" applyBorder="0" applyAlignment="0" applyProtection="0"/>
    <xf numFmtId="0" fontId="1" fillId="58" borderId="104" applyNumberFormat="0" applyFont="0" applyAlignment="0" applyProtection="0"/>
    <xf numFmtId="0" fontId="1" fillId="58" borderId="104" applyNumberFormat="0" applyFont="0" applyAlignment="0" applyProtection="0"/>
    <xf numFmtId="0" fontId="1" fillId="60" borderId="0" applyNumberFormat="0" applyBorder="0" applyAlignment="0" applyProtection="0"/>
    <xf numFmtId="0" fontId="1" fillId="61" borderId="0" applyNumberFormat="0" applyBorder="0" applyAlignment="0" applyProtection="0"/>
    <xf numFmtId="0" fontId="1" fillId="64" borderId="0" applyNumberFormat="0" applyBorder="0" applyAlignment="0" applyProtection="0"/>
    <xf numFmtId="0" fontId="1" fillId="65" borderId="0" applyNumberFormat="0" applyBorder="0" applyAlignment="0" applyProtection="0"/>
    <xf numFmtId="0" fontId="1" fillId="68" borderId="0" applyNumberFormat="0" applyBorder="0" applyAlignment="0" applyProtection="0"/>
    <xf numFmtId="0" fontId="1" fillId="69" borderId="0" applyNumberFormat="0" applyBorder="0" applyAlignment="0" applyProtection="0"/>
    <xf numFmtId="0" fontId="1" fillId="72" borderId="0" applyNumberFormat="0" applyBorder="0" applyAlignment="0" applyProtection="0"/>
    <xf numFmtId="0" fontId="1" fillId="73" borderId="0" applyNumberFormat="0" applyBorder="0" applyAlignment="0" applyProtection="0"/>
    <xf numFmtId="0" fontId="1" fillId="76" borderId="0" applyNumberFormat="0" applyBorder="0" applyAlignment="0" applyProtection="0"/>
    <xf numFmtId="0" fontId="1" fillId="77" borderId="0" applyNumberFormat="0" applyBorder="0" applyAlignment="0" applyProtection="0"/>
    <xf numFmtId="0" fontId="1" fillId="80" borderId="0" applyNumberFormat="0" applyBorder="0" applyAlignment="0" applyProtection="0"/>
    <xf numFmtId="0" fontId="1" fillId="81" borderId="0" applyNumberFormat="0" applyBorder="0" applyAlignment="0" applyProtection="0"/>
    <xf numFmtId="0" fontId="1" fillId="60" borderId="0" applyNumberFormat="0" applyBorder="0" applyAlignment="0" applyProtection="0"/>
    <xf numFmtId="0" fontId="1" fillId="61" borderId="0" applyNumberFormat="0" applyBorder="0" applyAlignment="0" applyProtection="0"/>
    <xf numFmtId="0" fontId="1" fillId="64" borderId="0" applyNumberFormat="0" applyBorder="0" applyAlignment="0" applyProtection="0"/>
    <xf numFmtId="0" fontId="1" fillId="65" borderId="0" applyNumberFormat="0" applyBorder="0" applyAlignment="0" applyProtection="0"/>
    <xf numFmtId="0" fontId="1" fillId="68" borderId="0" applyNumberFormat="0" applyBorder="0" applyAlignment="0" applyProtection="0"/>
    <xf numFmtId="0" fontId="1" fillId="69" borderId="0" applyNumberFormat="0" applyBorder="0" applyAlignment="0" applyProtection="0"/>
    <xf numFmtId="0" fontId="1" fillId="72" borderId="0" applyNumberFormat="0" applyBorder="0" applyAlignment="0" applyProtection="0"/>
    <xf numFmtId="0" fontId="1" fillId="73" borderId="0" applyNumberFormat="0" applyBorder="0" applyAlignment="0" applyProtection="0"/>
    <xf numFmtId="0" fontId="1" fillId="76" borderId="0" applyNumberFormat="0" applyBorder="0" applyAlignment="0" applyProtection="0"/>
    <xf numFmtId="0" fontId="1" fillId="77" borderId="0" applyNumberFormat="0" applyBorder="0" applyAlignment="0" applyProtection="0"/>
    <xf numFmtId="0" fontId="1" fillId="80" borderId="0" applyNumberFormat="0" applyBorder="0" applyAlignment="0" applyProtection="0"/>
    <xf numFmtId="0" fontId="1" fillId="81" borderId="0" applyNumberFormat="0" applyBorder="0" applyAlignment="0" applyProtection="0"/>
    <xf numFmtId="0" fontId="1" fillId="58" borderId="104" applyNumberFormat="0" applyFont="0" applyAlignment="0" applyProtection="0"/>
    <xf numFmtId="0" fontId="1" fillId="60" borderId="0" applyNumberFormat="0" applyBorder="0" applyAlignment="0" applyProtection="0"/>
    <xf numFmtId="0" fontId="1" fillId="61" borderId="0" applyNumberFormat="0" applyBorder="0" applyAlignment="0" applyProtection="0"/>
    <xf numFmtId="0" fontId="1" fillId="64" borderId="0" applyNumberFormat="0" applyBorder="0" applyAlignment="0" applyProtection="0"/>
    <xf numFmtId="0" fontId="1" fillId="65" borderId="0" applyNumberFormat="0" applyBorder="0" applyAlignment="0" applyProtection="0"/>
    <xf numFmtId="0" fontId="1" fillId="68" borderId="0" applyNumberFormat="0" applyBorder="0" applyAlignment="0" applyProtection="0"/>
    <xf numFmtId="0" fontId="1" fillId="69" borderId="0" applyNumberFormat="0" applyBorder="0" applyAlignment="0" applyProtection="0"/>
    <xf numFmtId="0" fontId="1" fillId="72" borderId="0" applyNumberFormat="0" applyBorder="0" applyAlignment="0" applyProtection="0"/>
    <xf numFmtId="0" fontId="1" fillId="73" borderId="0" applyNumberFormat="0" applyBorder="0" applyAlignment="0" applyProtection="0"/>
    <xf numFmtId="0" fontId="1" fillId="76" borderId="0" applyNumberFormat="0" applyBorder="0" applyAlignment="0" applyProtection="0"/>
    <xf numFmtId="0" fontId="1" fillId="77" borderId="0" applyNumberFormat="0" applyBorder="0" applyAlignment="0" applyProtection="0"/>
    <xf numFmtId="0" fontId="1" fillId="80" borderId="0" applyNumberFormat="0" applyBorder="0" applyAlignment="0" applyProtection="0"/>
    <xf numFmtId="0" fontId="1" fillId="81" borderId="0" applyNumberFormat="0" applyBorder="0" applyAlignment="0" applyProtection="0"/>
    <xf numFmtId="0" fontId="1" fillId="58" borderId="104" applyNumberFormat="0" applyFont="0" applyAlignment="0" applyProtection="0"/>
    <xf numFmtId="0" fontId="1" fillId="58" borderId="104" applyNumberFormat="0" applyFont="0" applyAlignment="0" applyProtection="0"/>
    <xf numFmtId="0" fontId="1" fillId="60" borderId="0" applyNumberFormat="0" applyBorder="0" applyAlignment="0" applyProtection="0"/>
    <xf numFmtId="0" fontId="1" fillId="61" borderId="0" applyNumberFormat="0" applyBorder="0" applyAlignment="0" applyProtection="0"/>
    <xf numFmtId="0" fontId="1" fillId="64" borderId="0" applyNumberFormat="0" applyBorder="0" applyAlignment="0" applyProtection="0"/>
    <xf numFmtId="0" fontId="1" fillId="65" borderId="0" applyNumberFormat="0" applyBorder="0" applyAlignment="0" applyProtection="0"/>
    <xf numFmtId="0" fontId="1" fillId="68" borderId="0" applyNumberFormat="0" applyBorder="0" applyAlignment="0" applyProtection="0"/>
    <xf numFmtId="0" fontId="1" fillId="69" borderId="0" applyNumberFormat="0" applyBorder="0" applyAlignment="0" applyProtection="0"/>
    <xf numFmtId="0" fontId="1" fillId="72" borderId="0" applyNumberFormat="0" applyBorder="0" applyAlignment="0" applyProtection="0"/>
    <xf numFmtId="0" fontId="1" fillId="73" borderId="0" applyNumberFormat="0" applyBorder="0" applyAlignment="0" applyProtection="0"/>
    <xf numFmtId="0" fontId="1" fillId="76" borderId="0" applyNumberFormat="0" applyBorder="0" applyAlignment="0" applyProtection="0"/>
    <xf numFmtId="0" fontId="1" fillId="77" borderId="0" applyNumberFormat="0" applyBorder="0" applyAlignment="0" applyProtection="0"/>
    <xf numFmtId="0" fontId="1" fillId="80" borderId="0" applyNumberFormat="0" applyBorder="0" applyAlignment="0" applyProtection="0"/>
    <xf numFmtId="0" fontId="1" fillId="81" borderId="0" applyNumberFormat="0" applyBorder="0" applyAlignment="0" applyProtection="0"/>
    <xf numFmtId="0" fontId="1" fillId="60" borderId="0" applyNumberFormat="0" applyBorder="0" applyAlignment="0" applyProtection="0"/>
    <xf numFmtId="0" fontId="1" fillId="61" borderId="0" applyNumberFormat="0" applyBorder="0" applyAlignment="0" applyProtection="0"/>
    <xf numFmtId="0" fontId="1" fillId="64" borderId="0" applyNumberFormat="0" applyBorder="0" applyAlignment="0" applyProtection="0"/>
    <xf numFmtId="0" fontId="1" fillId="65" borderId="0" applyNumberFormat="0" applyBorder="0" applyAlignment="0" applyProtection="0"/>
    <xf numFmtId="0" fontId="1" fillId="68" borderId="0" applyNumberFormat="0" applyBorder="0" applyAlignment="0" applyProtection="0"/>
    <xf numFmtId="0" fontId="1" fillId="69" borderId="0" applyNumberFormat="0" applyBorder="0" applyAlignment="0" applyProtection="0"/>
    <xf numFmtId="0" fontId="1" fillId="72" borderId="0" applyNumberFormat="0" applyBorder="0" applyAlignment="0" applyProtection="0"/>
    <xf numFmtId="0" fontId="1" fillId="73" borderId="0" applyNumberFormat="0" applyBorder="0" applyAlignment="0" applyProtection="0"/>
    <xf numFmtId="0" fontId="1" fillId="76" borderId="0" applyNumberFormat="0" applyBorder="0" applyAlignment="0" applyProtection="0"/>
    <xf numFmtId="0" fontId="1" fillId="77" borderId="0" applyNumberFormat="0" applyBorder="0" applyAlignment="0" applyProtection="0"/>
    <xf numFmtId="0" fontId="1" fillId="80" borderId="0" applyNumberFormat="0" applyBorder="0" applyAlignment="0" applyProtection="0"/>
    <xf numFmtId="0" fontId="1" fillId="81" borderId="0" applyNumberFormat="0" applyBorder="0" applyAlignment="0" applyProtection="0"/>
    <xf numFmtId="0" fontId="1" fillId="58" borderId="104" applyNumberFormat="0" applyFont="0" applyAlignment="0" applyProtection="0"/>
    <xf numFmtId="0" fontId="1" fillId="60" borderId="0" applyNumberFormat="0" applyBorder="0" applyAlignment="0" applyProtection="0"/>
    <xf numFmtId="0" fontId="1" fillId="61" borderId="0" applyNumberFormat="0" applyBorder="0" applyAlignment="0" applyProtection="0"/>
    <xf numFmtId="0" fontId="1" fillId="64" borderId="0" applyNumberFormat="0" applyBorder="0" applyAlignment="0" applyProtection="0"/>
    <xf numFmtId="0" fontId="1" fillId="65" borderId="0" applyNumberFormat="0" applyBorder="0" applyAlignment="0" applyProtection="0"/>
    <xf numFmtId="0" fontId="1" fillId="68" borderId="0" applyNumberFormat="0" applyBorder="0" applyAlignment="0" applyProtection="0"/>
    <xf numFmtId="0" fontId="1" fillId="69" borderId="0" applyNumberFormat="0" applyBorder="0" applyAlignment="0" applyProtection="0"/>
    <xf numFmtId="0" fontId="1" fillId="72" borderId="0" applyNumberFormat="0" applyBorder="0" applyAlignment="0" applyProtection="0"/>
    <xf numFmtId="0" fontId="1" fillId="73" borderId="0" applyNumberFormat="0" applyBorder="0" applyAlignment="0" applyProtection="0"/>
    <xf numFmtId="0" fontId="1" fillId="76" borderId="0" applyNumberFormat="0" applyBorder="0" applyAlignment="0" applyProtection="0"/>
    <xf numFmtId="0" fontId="1" fillId="77" borderId="0" applyNumberFormat="0" applyBorder="0" applyAlignment="0" applyProtection="0"/>
    <xf numFmtId="0" fontId="1" fillId="80" borderId="0" applyNumberFormat="0" applyBorder="0" applyAlignment="0" applyProtection="0"/>
    <xf numFmtId="0" fontId="1" fillId="81" borderId="0" applyNumberFormat="0" applyBorder="0" applyAlignment="0" applyProtection="0"/>
    <xf numFmtId="0" fontId="1" fillId="58" borderId="104" applyNumberFormat="0" applyFont="0" applyAlignment="0" applyProtection="0"/>
    <xf numFmtId="0" fontId="1" fillId="58" borderId="104" applyNumberFormat="0" applyFont="0" applyAlignment="0" applyProtection="0"/>
    <xf numFmtId="0" fontId="1" fillId="60" borderId="0" applyNumberFormat="0" applyBorder="0" applyAlignment="0" applyProtection="0"/>
    <xf numFmtId="0" fontId="1" fillId="61" borderId="0" applyNumberFormat="0" applyBorder="0" applyAlignment="0" applyProtection="0"/>
    <xf numFmtId="0" fontId="1" fillId="64" borderId="0" applyNumberFormat="0" applyBorder="0" applyAlignment="0" applyProtection="0"/>
    <xf numFmtId="0" fontId="1" fillId="65" borderId="0" applyNumberFormat="0" applyBorder="0" applyAlignment="0" applyProtection="0"/>
    <xf numFmtId="0" fontId="1" fillId="68" borderId="0" applyNumberFormat="0" applyBorder="0" applyAlignment="0" applyProtection="0"/>
    <xf numFmtId="0" fontId="1" fillId="69" borderId="0" applyNumberFormat="0" applyBorder="0" applyAlignment="0" applyProtection="0"/>
    <xf numFmtId="0" fontId="1" fillId="72" borderId="0" applyNumberFormat="0" applyBorder="0" applyAlignment="0" applyProtection="0"/>
    <xf numFmtId="0" fontId="1" fillId="73" borderId="0" applyNumberFormat="0" applyBorder="0" applyAlignment="0" applyProtection="0"/>
    <xf numFmtId="0" fontId="1" fillId="76" borderId="0" applyNumberFormat="0" applyBorder="0" applyAlignment="0" applyProtection="0"/>
    <xf numFmtId="0" fontId="1" fillId="77" borderId="0" applyNumberFormat="0" applyBorder="0" applyAlignment="0" applyProtection="0"/>
    <xf numFmtId="0" fontId="1" fillId="80" borderId="0" applyNumberFormat="0" applyBorder="0" applyAlignment="0" applyProtection="0"/>
    <xf numFmtId="0" fontId="1" fillId="81" borderId="0" applyNumberFormat="0" applyBorder="0" applyAlignment="0" applyProtection="0"/>
    <xf numFmtId="0" fontId="1" fillId="60" borderId="0" applyNumberFormat="0" applyBorder="0" applyAlignment="0" applyProtection="0"/>
    <xf numFmtId="0" fontId="1" fillId="61" borderId="0" applyNumberFormat="0" applyBorder="0" applyAlignment="0" applyProtection="0"/>
    <xf numFmtId="0" fontId="1" fillId="64" borderId="0" applyNumberFormat="0" applyBorder="0" applyAlignment="0" applyProtection="0"/>
    <xf numFmtId="0" fontId="1" fillId="65" borderId="0" applyNumberFormat="0" applyBorder="0" applyAlignment="0" applyProtection="0"/>
    <xf numFmtId="0" fontId="1" fillId="68" borderId="0" applyNumberFormat="0" applyBorder="0" applyAlignment="0" applyProtection="0"/>
    <xf numFmtId="0" fontId="1" fillId="69" borderId="0" applyNumberFormat="0" applyBorder="0" applyAlignment="0" applyProtection="0"/>
    <xf numFmtId="0" fontId="1" fillId="72" borderId="0" applyNumberFormat="0" applyBorder="0" applyAlignment="0" applyProtection="0"/>
    <xf numFmtId="0" fontId="1" fillId="73" borderId="0" applyNumberFormat="0" applyBorder="0" applyAlignment="0" applyProtection="0"/>
    <xf numFmtId="0" fontId="1" fillId="76" borderId="0" applyNumberFormat="0" applyBorder="0" applyAlignment="0" applyProtection="0"/>
    <xf numFmtId="0" fontId="1" fillId="77" borderId="0" applyNumberFormat="0" applyBorder="0" applyAlignment="0" applyProtection="0"/>
    <xf numFmtId="0" fontId="1" fillId="80" borderId="0" applyNumberFormat="0" applyBorder="0" applyAlignment="0" applyProtection="0"/>
    <xf numFmtId="0" fontId="1" fillId="81" borderId="0" applyNumberFormat="0" applyBorder="0" applyAlignment="0" applyProtection="0"/>
    <xf numFmtId="0" fontId="1" fillId="58" borderId="104" applyNumberFormat="0" applyFont="0" applyAlignment="0" applyProtection="0"/>
    <xf numFmtId="0" fontId="1" fillId="60" borderId="0" applyNumberFormat="0" applyBorder="0" applyAlignment="0" applyProtection="0"/>
    <xf numFmtId="0" fontId="1" fillId="61" borderId="0" applyNumberFormat="0" applyBorder="0" applyAlignment="0" applyProtection="0"/>
    <xf numFmtId="0" fontId="1" fillId="64" borderId="0" applyNumberFormat="0" applyBorder="0" applyAlignment="0" applyProtection="0"/>
    <xf numFmtId="0" fontId="1" fillId="65" borderId="0" applyNumberFormat="0" applyBorder="0" applyAlignment="0" applyProtection="0"/>
    <xf numFmtId="0" fontId="1" fillId="68" borderId="0" applyNumberFormat="0" applyBorder="0" applyAlignment="0" applyProtection="0"/>
    <xf numFmtId="0" fontId="1" fillId="69" borderId="0" applyNumberFormat="0" applyBorder="0" applyAlignment="0" applyProtection="0"/>
    <xf numFmtId="0" fontId="1" fillId="72" borderId="0" applyNumberFormat="0" applyBorder="0" applyAlignment="0" applyProtection="0"/>
    <xf numFmtId="0" fontId="1" fillId="73" borderId="0" applyNumberFormat="0" applyBorder="0" applyAlignment="0" applyProtection="0"/>
    <xf numFmtId="0" fontId="1" fillId="76" borderId="0" applyNumberFormat="0" applyBorder="0" applyAlignment="0" applyProtection="0"/>
    <xf numFmtId="0" fontId="1" fillId="77" borderId="0" applyNumberFormat="0" applyBorder="0" applyAlignment="0" applyProtection="0"/>
    <xf numFmtId="0" fontId="1" fillId="80" borderId="0" applyNumberFormat="0" applyBorder="0" applyAlignment="0" applyProtection="0"/>
    <xf numFmtId="0" fontId="1" fillId="81" borderId="0" applyNumberFormat="0" applyBorder="0" applyAlignment="0" applyProtection="0"/>
    <xf numFmtId="0" fontId="1" fillId="58" borderId="104" applyNumberFormat="0" applyFont="0" applyAlignment="0" applyProtection="0"/>
    <xf numFmtId="0" fontId="1" fillId="58" borderId="104" applyNumberFormat="0" applyFont="0" applyAlignment="0" applyProtection="0"/>
    <xf numFmtId="0" fontId="1" fillId="60" borderId="0" applyNumberFormat="0" applyBorder="0" applyAlignment="0" applyProtection="0"/>
    <xf numFmtId="0" fontId="1" fillId="61" borderId="0" applyNumberFormat="0" applyBorder="0" applyAlignment="0" applyProtection="0"/>
    <xf numFmtId="0" fontId="1" fillId="64" borderId="0" applyNumberFormat="0" applyBorder="0" applyAlignment="0" applyProtection="0"/>
    <xf numFmtId="0" fontId="1" fillId="65" borderId="0" applyNumberFormat="0" applyBorder="0" applyAlignment="0" applyProtection="0"/>
    <xf numFmtId="0" fontId="1" fillId="68" borderId="0" applyNumberFormat="0" applyBorder="0" applyAlignment="0" applyProtection="0"/>
    <xf numFmtId="0" fontId="1" fillId="69" borderId="0" applyNumberFormat="0" applyBorder="0" applyAlignment="0" applyProtection="0"/>
    <xf numFmtId="0" fontId="1" fillId="72" borderId="0" applyNumberFormat="0" applyBorder="0" applyAlignment="0" applyProtection="0"/>
    <xf numFmtId="0" fontId="1" fillId="73" borderId="0" applyNumberFormat="0" applyBorder="0" applyAlignment="0" applyProtection="0"/>
    <xf numFmtId="0" fontId="1" fillId="76" borderId="0" applyNumberFormat="0" applyBorder="0" applyAlignment="0" applyProtection="0"/>
    <xf numFmtId="0" fontId="1" fillId="77" borderId="0" applyNumberFormat="0" applyBorder="0" applyAlignment="0" applyProtection="0"/>
    <xf numFmtId="0" fontId="1" fillId="80" borderId="0" applyNumberFormat="0" applyBorder="0" applyAlignment="0" applyProtection="0"/>
    <xf numFmtId="0" fontId="1" fillId="81" borderId="0" applyNumberFormat="0" applyBorder="0" applyAlignment="0" applyProtection="0"/>
    <xf numFmtId="0" fontId="1" fillId="60" borderId="0" applyNumberFormat="0" applyBorder="0" applyAlignment="0" applyProtection="0"/>
    <xf numFmtId="0" fontId="1" fillId="61" borderId="0" applyNumberFormat="0" applyBorder="0" applyAlignment="0" applyProtection="0"/>
    <xf numFmtId="0" fontId="1" fillId="64" borderId="0" applyNumberFormat="0" applyBorder="0" applyAlignment="0" applyProtection="0"/>
    <xf numFmtId="0" fontId="1" fillId="65" borderId="0" applyNumberFormat="0" applyBorder="0" applyAlignment="0" applyProtection="0"/>
    <xf numFmtId="0" fontId="1" fillId="68" borderId="0" applyNumberFormat="0" applyBorder="0" applyAlignment="0" applyProtection="0"/>
    <xf numFmtId="0" fontId="1" fillId="69" borderId="0" applyNumberFormat="0" applyBorder="0" applyAlignment="0" applyProtection="0"/>
    <xf numFmtId="0" fontId="1" fillId="72" borderId="0" applyNumberFormat="0" applyBorder="0" applyAlignment="0" applyProtection="0"/>
    <xf numFmtId="0" fontId="1" fillId="73" borderId="0" applyNumberFormat="0" applyBorder="0" applyAlignment="0" applyProtection="0"/>
    <xf numFmtId="0" fontId="1" fillId="76" borderId="0" applyNumberFormat="0" applyBorder="0" applyAlignment="0" applyProtection="0"/>
    <xf numFmtId="0" fontId="1" fillId="77" borderId="0" applyNumberFormat="0" applyBorder="0" applyAlignment="0" applyProtection="0"/>
    <xf numFmtId="0" fontId="1" fillId="80" borderId="0" applyNumberFormat="0" applyBorder="0" applyAlignment="0" applyProtection="0"/>
    <xf numFmtId="0" fontId="1" fillId="81" borderId="0" applyNumberFormat="0" applyBorder="0" applyAlignment="0" applyProtection="0"/>
    <xf numFmtId="0" fontId="1" fillId="58" borderId="104" applyNumberFormat="0" applyFont="0" applyAlignment="0" applyProtection="0"/>
    <xf numFmtId="0" fontId="1" fillId="60" borderId="0" applyNumberFormat="0" applyBorder="0" applyAlignment="0" applyProtection="0"/>
    <xf numFmtId="0" fontId="1" fillId="60" borderId="0" applyNumberFormat="0" applyBorder="0" applyAlignment="0" applyProtection="0"/>
    <xf numFmtId="0" fontId="1" fillId="60" borderId="0" applyNumberFormat="0" applyBorder="0" applyAlignment="0" applyProtection="0"/>
    <xf numFmtId="0" fontId="1" fillId="60" borderId="0" applyNumberFormat="0" applyBorder="0" applyAlignment="0" applyProtection="0"/>
    <xf numFmtId="0" fontId="1" fillId="60" borderId="0" applyNumberFormat="0" applyBorder="0" applyAlignment="0" applyProtection="0"/>
    <xf numFmtId="0" fontId="1" fillId="60" borderId="0" applyNumberFormat="0" applyBorder="0" applyAlignment="0" applyProtection="0"/>
    <xf numFmtId="0" fontId="1" fillId="60" borderId="0" applyNumberFormat="0" applyBorder="0" applyAlignment="0" applyProtection="0"/>
    <xf numFmtId="0" fontId="1" fillId="60" borderId="0" applyNumberFormat="0" applyBorder="0" applyAlignment="0" applyProtection="0"/>
    <xf numFmtId="0" fontId="1" fillId="60" borderId="0" applyNumberFormat="0" applyBorder="0" applyAlignment="0" applyProtection="0"/>
    <xf numFmtId="0" fontId="1" fillId="64" borderId="0" applyNumberFormat="0" applyBorder="0" applyAlignment="0" applyProtection="0"/>
    <xf numFmtId="0" fontId="1" fillId="64" borderId="0" applyNumberFormat="0" applyBorder="0" applyAlignment="0" applyProtection="0"/>
    <xf numFmtId="0" fontId="1" fillId="64" borderId="0" applyNumberFormat="0" applyBorder="0" applyAlignment="0" applyProtection="0"/>
    <xf numFmtId="0" fontId="1" fillId="64" borderId="0" applyNumberFormat="0" applyBorder="0" applyAlignment="0" applyProtection="0"/>
    <xf numFmtId="0" fontId="1" fillId="64" borderId="0" applyNumberFormat="0" applyBorder="0" applyAlignment="0" applyProtection="0"/>
    <xf numFmtId="0" fontId="1" fillId="64" borderId="0" applyNumberFormat="0" applyBorder="0" applyAlignment="0" applyProtection="0"/>
    <xf numFmtId="0" fontId="1" fillId="64" borderId="0" applyNumberFormat="0" applyBorder="0" applyAlignment="0" applyProtection="0"/>
    <xf numFmtId="0" fontId="1" fillId="64" borderId="0" applyNumberFormat="0" applyBorder="0" applyAlignment="0" applyProtection="0"/>
    <xf numFmtId="0" fontId="1" fillId="64" borderId="0" applyNumberFormat="0" applyBorder="0" applyAlignment="0" applyProtection="0"/>
    <xf numFmtId="0" fontId="1" fillId="68" borderId="0" applyNumberFormat="0" applyBorder="0" applyAlignment="0" applyProtection="0"/>
    <xf numFmtId="0" fontId="1" fillId="68" borderId="0" applyNumberFormat="0" applyBorder="0" applyAlignment="0" applyProtection="0"/>
    <xf numFmtId="0" fontId="1" fillId="68" borderId="0" applyNumberFormat="0" applyBorder="0" applyAlignment="0" applyProtection="0"/>
    <xf numFmtId="0" fontId="1" fillId="68" borderId="0" applyNumberFormat="0" applyBorder="0" applyAlignment="0" applyProtection="0"/>
    <xf numFmtId="0" fontId="1" fillId="68" borderId="0" applyNumberFormat="0" applyBorder="0" applyAlignment="0" applyProtection="0"/>
    <xf numFmtId="0" fontId="1" fillId="68" borderId="0" applyNumberFormat="0" applyBorder="0" applyAlignment="0" applyProtection="0"/>
    <xf numFmtId="0" fontId="1" fillId="68" borderId="0" applyNumberFormat="0" applyBorder="0" applyAlignment="0" applyProtection="0"/>
    <xf numFmtId="0" fontId="1" fillId="68" borderId="0" applyNumberFormat="0" applyBorder="0" applyAlignment="0" applyProtection="0"/>
    <xf numFmtId="0" fontId="1" fillId="68" borderId="0" applyNumberFormat="0" applyBorder="0" applyAlignment="0" applyProtection="0"/>
    <xf numFmtId="0" fontId="1" fillId="72" borderId="0" applyNumberFormat="0" applyBorder="0" applyAlignment="0" applyProtection="0"/>
    <xf numFmtId="0" fontId="1" fillId="72" borderId="0" applyNumberFormat="0" applyBorder="0" applyAlignment="0" applyProtection="0"/>
    <xf numFmtId="0" fontId="1" fillId="72" borderId="0" applyNumberFormat="0" applyBorder="0" applyAlignment="0" applyProtection="0"/>
    <xf numFmtId="0" fontId="1" fillId="72" borderId="0" applyNumberFormat="0" applyBorder="0" applyAlignment="0" applyProtection="0"/>
    <xf numFmtId="0" fontId="1" fillId="72" borderId="0" applyNumberFormat="0" applyBorder="0" applyAlignment="0" applyProtection="0"/>
    <xf numFmtId="0" fontId="1" fillId="72" borderId="0" applyNumberFormat="0" applyBorder="0" applyAlignment="0" applyProtection="0"/>
    <xf numFmtId="0" fontId="1" fillId="72" borderId="0" applyNumberFormat="0" applyBorder="0" applyAlignment="0" applyProtection="0"/>
    <xf numFmtId="0" fontId="1" fillId="72" borderId="0" applyNumberFormat="0" applyBorder="0" applyAlignment="0" applyProtection="0"/>
    <xf numFmtId="0" fontId="1" fillId="72" borderId="0" applyNumberFormat="0" applyBorder="0" applyAlignment="0" applyProtection="0"/>
    <xf numFmtId="0" fontId="1" fillId="76" borderId="0" applyNumberFormat="0" applyBorder="0" applyAlignment="0" applyProtection="0"/>
    <xf numFmtId="0" fontId="1" fillId="76" borderId="0" applyNumberFormat="0" applyBorder="0" applyAlignment="0" applyProtection="0"/>
    <xf numFmtId="0" fontId="1" fillId="76" borderId="0" applyNumberFormat="0" applyBorder="0" applyAlignment="0" applyProtection="0"/>
    <xf numFmtId="0" fontId="1" fillId="76" borderId="0" applyNumberFormat="0" applyBorder="0" applyAlignment="0" applyProtection="0"/>
    <xf numFmtId="0" fontId="1" fillId="76" borderId="0" applyNumberFormat="0" applyBorder="0" applyAlignment="0" applyProtection="0"/>
    <xf numFmtId="0" fontId="1" fillId="76" borderId="0" applyNumberFormat="0" applyBorder="0" applyAlignment="0" applyProtection="0"/>
    <xf numFmtId="0" fontId="1" fillId="76" borderId="0" applyNumberFormat="0" applyBorder="0" applyAlignment="0" applyProtection="0"/>
    <xf numFmtId="0" fontId="1" fillId="76" borderId="0" applyNumberFormat="0" applyBorder="0" applyAlignment="0" applyProtection="0"/>
    <xf numFmtId="0" fontId="1" fillId="76" borderId="0" applyNumberFormat="0" applyBorder="0" applyAlignment="0" applyProtection="0"/>
    <xf numFmtId="0" fontId="1" fillId="80" borderId="0" applyNumberFormat="0" applyBorder="0" applyAlignment="0" applyProtection="0"/>
    <xf numFmtId="0" fontId="1" fillId="80" borderId="0" applyNumberFormat="0" applyBorder="0" applyAlignment="0" applyProtection="0"/>
    <xf numFmtId="0" fontId="1" fillId="80" borderId="0" applyNumberFormat="0" applyBorder="0" applyAlignment="0" applyProtection="0"/>
    <xf numFmtId="0" fontId="1" fillId="80" borderId="0" applyNumberFormat="0" applyBorder="0" applyAlignment="0" applyProtection="0"/>
    <xf numFmtId="0" fontId="1" fillId="80" borderId="0" applyNumberFormat="0" applyBorder="0" applyAlignment="0" applyProtection="0"/>
    <xf numFmtId="0" fontId="1" fillId="80" borderId="0" applyNumberFormat="0" applyBorder="0" applyAlignment="0" applyProtection="0"/>
    <xf numFmtId="0" fontId="1" fillId="80" borderId="0" applyNumberFormat="0" applyBorder="0" applyAlignment="0" applyProtection="0"/>
    <xf numFmtId="0" fontId="1" fillId="80" borderId="0" applyNumberFormat="0" applyBorder="0" applyAlignment="0" applyProtection="0"/>
    <xf numFmtId="0" fontId="1" fillId="80" borderId="0" applyNumberFormat="0" applyBorder="0" applyAlignment="0" applyProtection="0"/>
    <xf numFmtId="0" fontId="1" fillId="61" borderId="0" applyNumberFormat="0" applyBorder="0" applyAlignment="0" applyProtection="0"/>
    <xf numFmtId="0" fontId="1" fillId="61" borderId="0" applyNumberFormat="0" applyBorder="0" applyAlignment="0" applyProtection="0"/>
    <xf numFmtId="0" fontId="1" fillId="61" borderId="0" applyNumberFormat="0" applyBorder="0" applyAlignment="0" applyProtection="0"/>
    <xf numFmtId="0" fontId="1" fillId="61" borderId="0" applyNumberFormat="0" applyBorder="0" applyAlignment="0" applyProtection="0"/>
    <xf numFmtId="0" fontId="1" fillId="61" borderId="0" applyNumberFormat="0" applyBorder="0" applyAlignment="0" applyProtection="0"/>
    <xf numFmtId="0" fontId="1" fillId="61" borderId="0" applyNumberFormat="0" applyBorder="0" applyAlignment="0" applyProtection="0"/>
    <xf numFmtId="0" fontId="1" fillId="61" borderId="0" applyNumberFormat="0" applyBorder="0" applyAlignment="0" applyProtection="0"/>
    <xf numFmtId="0" fontId="1" fillId="61" borderId="0" applyNumberFormat="0" applyBorder="0" applyAlignment="0" applyProtection="0"/>
    <xf numFmtId="0" fontId="1" fillId="61" borderId="0" applyNumberFormat="0" applyBorder="0" applyAlignment="0" applyProtection="0"/>
    <xf numFmtId="0" fontId="1" fillId="65" borderId="0" applyNumberFormat="0" applyBorder="0" applyAlignment="0" applyProtection="0"/>
    <xf numFmtId="0" fontId="1" fillId="65" borderId="0" applyNumberFormat="0" applyBorder="0" applyAlignment="0" applyProtection="0"/>
    <xf numFmtId="0" fontId="1" fillId="65" borderId="0" applyNumberFormat="0" applyBorder="0" applyAlignment="0" applyProtection="0"/>
    <xf numFmtId="0" fontId="1" fillId="65" borderId="0" applyNumberFormat="0" applyBorder="0" applyAlignment="0" applyProtection="0"/>
    <xf numFmtId="0" fontId="1" fillId="65" borderId="0" applyNumberFormat="0" applyBorder="0" applyAlignment="0" applyProtection="0"/>
    <xf numFmtId="0" fontId="1" fillId="65" borderId="0" applyNumberFormat="0" applyBorder="0" applyAlignment="0" applyProtection="0"/>
    <xf numFmtId="0" fontId="1" fillId="65" borderId="0" applyNumberFormat="0" applyBorder="0" applyAlignment="0" applyProtection="0"/>
    <xf numFmtId="0" fontId="1" fillId="65" borderId="0" applyNumberFormat="0" applyBorder="0" applyAlignment="0" applyProtection="0"/>
    <xf numFmtId="0" fontId="1" fillId="65" borderId="0" applyNumberFormat="0" applyBorder="0" applyAlignment="0" applyProtection="0"/>
    <xf numFmtId="0" fontId="1" fillId="69" borderId="0" applyNumberFormat="0" applyBorder="0" applyAlignment="0" applyProtection="0"/>
    <xf numFmtId="0" fontId="1" fillId="69" borderId="0" applyNumberFormat="0" applyBorder="0" applyAlignment="0" applyProtection="0"/>
    <xf numFmtId="0" fontId="1" fillId="69" borderId="0" applyNumberFormat="0" applyBorder="0" applyAlignment="0" applyProtection="0"/>
    <xf numFmtId="0" fontId="1" fillId="69" borderId="0" applyNumberFormat="0" applyBorder="0" applyAlignment="0" applyProtection="0"/>
    <xf numFmtId="0" fontId="1" fillId="69" borderId="0" applyNumberFormat="0" applyBorder="0" applyAlignment="0" applyProtection="0"/>
    <xf numFmtId="0" fontId="1" fillId="69" borderId="0" applyNumberFormat="0" applyBorder="0" applyAlignment="0" applyProtection="0"/>
    <xf numFmtId="0" fontId="1" fillId="69" borderId="0" applyNumberFormat="0" applyBorder="0" applyAlignment="0" applyProtection="0"/>
    <xf numFmtId="0" fontId="1" fillId="69" borderId="0" applyNumberFormat="0" applyBorder="0" applyAlignment="0" applyProtection="0"/>
    <xf numFmtId="0" fontId="1" fillId="69" borderId="0" applyNumberFormat="0" applyBorder="0" applyAlignment="0" applyProtection="0"/>
    <xf numFmtId="0" fontId="1" fillId="73" borderId="0" applyNumberFormat="0" applyBorder="0" applyAlignment="0" applyProtection="0"/>
    <xf numFmtId="0" fontId="1" fillId="73" borderId="0" applyNumberFormat="0" applyBorder="0" applyAlignment="0" applyProtection="0"/>
    <xf numFmtId="0" fontId="1" fillId="73" borderId="0" applyNumberFormat="0" applyBorder="0" applyAlignment="0" applyProtection="0"/>
    <xf numFmtId="0" fontId="1" fillId="73" borderId="0" applyNumberFormat="0" applyBorder="0" applyAlignment="0" applyProtection="0"/>
    <xf numFmtId="0" fontId="1" fillId="73" borderId="0" applyNumberFormat="0" applyBorder="0" applyAlignment="0" applyProtection="0"/>
    <xf numFmtId="0" fontId="1" fillId="73" borderId="0" applyNumberFormat="0" applyBorder="0" applyAlignment="0" applyProtection="0"/>
    <xf numFmtId="0" fontId="1" fillId="73" borderId="0" applyNumberFormat="0" applyBorder="0" applyAlignment="0" applyProtection="0"/>
    <xf numFmtId="0" fontId="1" fillId="73" borderId="0" applyNumberFormat="0" applyBorder="0" applyAlignment="0" applyProtection="0"/>
    <xf numFmtId="0" fontId="1" fillId="73" borderId="0" applyNumberFormat="0" applyBorder="0" applyAlignment="0" applyProtection="0"/>
    <xf numFmtId="0" fontId="1" fillId="77" borderId="0" applyNumberFormat="0" applyBorder="0" applyAlignment="0" applyProtection="0"/>
    <xf numFmtId="0" fontId="1" fillId="77" borderId="0" applyNumberFormat="0" applyBorder="0" applyAlignment="0" applyProtection="0"/>
    <xf numFmtId="0" fontId="1" fillId="77" borderId="0" applyNumberFormat="0" applyBorder="0" applyAlignment="0" applyProtection="0"/>
    <xf numFmtId="0" fontId="1" fillId="77" borderId="0" applyNumberFormat="0" applyBorder="0" applyAlignment="0" applyProtection="0"/>
    <xf numFmtId="0" fontId="1" fillId="77" borderId="0" applyNumberFormat="0" applyBorder="0" applyAlignment="0" applyProtection="0"/>
    <xf numFmtId="0" fontId="1" fillId="77" borderId="0" applyNumberFormat="0" applyBorder="0" applyAlignment="0" applyProtection="0"/>
    <xf numFmtId="0" fontId="1" fillId="77" borderId="0" applyNumberFormat="0" applyBorder="0" applyAlignment="0" applyProtection="0"/>
    <xf numFmtId="0" fontId="1" fillId="77" borderId="0" applyNumberFormat="0" applyBorder="0" applyAlignment="0" applyProtection="0"/>
    <xf numFmtId="0" fontId="1" fillId="77" borderId="0" applyNumberFormat="0" applyBorder="0" applyAlignment="0" applyProtection="0"/>
    <xf numFmtId="0" fontId="1" fillId="81" borderId="0" applyNumberFormat="0" applyBorder="0" applyAlignment="0" applyProtection="0"/>
    <xf numFmtId="0" fontId="1" fillId="81" borderId="0" applyNumberFormat="0" applyBorder="0" applyAlignment="0" applyProtection="0"/>
    <xf numFmtId="0" fontId="1" fillId="81" borderId="0" applyNumberFormat="0" applyBorder="0" applyAlignment="0" applyProtection="0"/>
    <xf numFmtId="0" fontId="1" fillId="81" borderId="0" applyNumberFormat="0" applyBorder="0" applyAlignment="0" applyProtection="0"/>
    <xf numFmtId="0" fontId="1" fillId="81" borderId="0" applyNumberFormat="0" applyBorder="0" applyAlignment="0" applyProtection="0"/>
    <xf numFmtId="0" fontId="1" fillId="81" borderId="0" applyNumberFormat="0" applyBorder="0" applyAlignment="0" applyProtection="0"/>
    <xf numFmtId="0" fontId="1" fillId="81" borderId="0" applyNumberFormat="0" applyBorder="0" applyAlignment="0" applyProtection="0"/>
    <xf numFmtId="0" fontId="1" fillId="81" borderId="0" applyNumberFormat="0" applyBorder="0" applyAlignment="0" applyProtection="0"/>
    <xf numFmtId="0" fontId="1" fillId="81" borderId="0" applyNumberFormat="0" applyBorder="0" applyAlignment="0" applyProtection="0"/>
    <xf numFmtId="0" fontId="1" fillId="58" borderId="104" applyNumberFormat="0" applyFont="0" applyAlignment="0" applyProtection="0"/>
    <xf numFmtId="0" fontId="1" fillId="58" borderId="104" applyNumberFormat="0" applyFont="0" applyAlignment="0" applyProtection="0"/>
    <xf numFmtId="0" fontId="1" fillId="58" borderId="104" applyNumberFormat="0" applyFont="0" applyAlignment="0" applyProtection="0"/>
    <xf numFmtId="0" fontId="1" fillId="58" borderId="104" applyNumberFormat="0" applyFont="0" applyAlignment="0" applyProtection="0"/>
    <xf numFmtId="0" fontId="1" fillId="58" borderId="104" applyNumberFormat="0" applyFont="0" applyAlignment="0" applyProtection="0"/>
    <xf numFmtId="0" fontId="1" fillId="58" borderId="104" applyNumberFormat="0" applyFont="0" applyAlignment="0" applyProtection="0"/>
    <xf numFmtId="0" fontId="1" fillId="58" borderId="104" applyNumberFormat="0" applyFont="0" applyAlignment="0" applyProtection="0"/>
    <xf numFmtId="0" fontId="1" fillId="58" borderId="104" applyNumberFormat="0" applyFont="0" applyAlignment="0" applyProtection="0"/>
    <xf numFmtId="0" fontId="1" fillId="58" borderId="104" applyNumberFormat="0" applyFont="0" applyAlignment="0" applyProtection="0"/>
    <xf numFmtId="0" fontId="1" fillId="0" borderId="0"/>
    <xf numFmtId="165" fontId="1" fillId="0" borderId="0" applyFont="0" applyFill="0" applyBorder="0" applyAlignment="0" applyProtection="0"/>
    <xf numFmtId="0" fontId="1" fillId="0" borderId="0"/>
    <xf numFmtId="0" fontId="1" fillId="0" borderId="0"/>
    <xf numFmtId="0" fontId="1" fillId="26" borderId="0" applyNumberFormat="0" applyBorder="0" applyAlignment="0" applyProtection="0"/>
    <xf numFmtId="0" fontId="1" fillId="3" borderId="0" applyNumberFormat="0" applyBorder="0" applyAlignment="0" applyProtection="0"/>
    <xf numFmtId="0" fontId="1" fillId="26"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26" borderId="0" applyNumberFormat="0" applyBorder="0" applyAlignment="0" applyProtection="0"/>
    <xf numFmtId="0" fontId="1" fillId="3" borderId="0" applyNumberFormat="0" applyBorder="0" applyAlignment="0" applyProtection="0"/>
    <xf numFmtId="0" fontId="1" fillId="26" borderId="0" applyNumberFormat="0" applyBorder="0" applyAlignment="0" applyProtection="0"/>
    <xf numFmtId="0" fontId="1" fillId="58" borderId="104" applyNumberFormat="0" applyFont="0" applyAlignment="0" applyProtection="0"/>
    <xf numFmtId="0" fontId="1" fillId="6" borderId="0" applyNumberFormat="0" applyBorder="0" applyAlignment="0" applyProtection="0"/>
    <xf numFmtId="0" fontId="1" fillId="23" borderId="0" applyNumberFormat="0" applyBorder="0" applyAlignment="0" applyProtection="0"/>
    <xf numFmtId="0" fontId="1" fillId="6"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6" borderId="0" applyNumberFormat="0" applyBorder="0" applyAlignment="0" applyProtection="0"/>
    <xf numFmtId="0" fontId="1" fillId="23" borderId="0" applyNumberFormat="0" applyBorder="0" applyAlignment="0" applyProtection="0"/>
    <xf numFmtId="0" fontId="1" fillId="61" borderId="0" applyNumberFormat="0" applyBorder="0" applyAlignment="0" applyProtection="0"/>
    <xf numFmtId="0" fontId="1" fillId="26"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26" borderId="0" applyNumberFormat="0" applyBorder="0" applyAlignment="0" applyProtection="0"/>
    <xf numFmtId="0" fontId="1" fillId="3" borderId="0" applyNumberFormat="0" applyBorder="0" applyAlignment="0" applyProtection="0"/>
    <xf numFmtId="0" fontId="1" fillId="26" borderId="0" applyNumberFormat="0" applyBorder="0" applyAlignment="0" applyProtection="0"/>
    <xf numFmtId="0" fontId="1" fillId="0" borderId="0"/>
    <xf numFmtId="0" fontId="1" fillId="58" borderId="104" applyNumberFormat="0" applyFont="0" applyAlignment="0" applyProtection="0"/>
    <xf numFmtId="0" fontId="1" fillId="6" borderId="0" applyNumberFormat="0" applyBorder="0" applyAlignment="0" applyProtection="0"/>
    <xf numFmtId="0" fontId="1" fillId="23" borderId="0" applyNumberFormat="0" applyBorder="0" applyAlignment="0" applyProtection="0"/>
    <xf numFmtId="0" fontId="1" fillId="6" borderId="0" applyNumberFormat="0" applyBorder="0" applyAlignment="0" applyProtection="0"/>
    <xf numFmtId="0" fontId="1" fillId="58" borderId="104" applyNumberFormat="0" applyFont="0" applyAlignment="0" applyProtection="0"/>
    <xf numFmtId="0" fontId="1" fillId="26" borderId="0" applyNumberFormat="0" applyBorder="0" applyAlignment="0" applyProtection="0"/>
    <xf numFmtId="0" fontId="1" fillId="3"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7" borderId="0" applyNumberFormat="0" applyBorder="0" applyAlignment="0" applyProtection="0"/>
    <xf numFmtId="0" fontId="1" fillId="0" borderId="0"/>
    <xf numFmtId="0" fontId="1" fillId="26" borderId="0" applyNumberFormat="0" applyBorder="0" applyAlignment="0" applyProtection="0"/>
    <xf numFmtId="0" fontId="1" fillId="3" borderId="0" applyNumberFormat="0" applyBorder="0" applyAlignment="0" applyProtection="0"/>
    <xf numFmtId="0" fontId="1" fillId="23" borderId="0" applyNumberFormat="0" applyBorder="0" applyAlignment="0" applyProtection="0"/>
    <xf numFmtId="0" fontId="1" fillId="6" borderId="0" applyNumberFormat="0" applyBorder="0" applyAlignment="0" applyProtection="0"/>
    <xf numFmtId="0" fontId="1" fillId="58" borderId="104" applyNumberFormat="0" applyFont="0" applyAlignment="0" applyProtection="0"/>
    <xf numFmtId="0" fontId="1" fillId="6" borderId="0" applyNumberFormat="0" applyBorder="0" applyAlignment="0" applyProtection="0"/>
    <xf numFmtId="0" fontId="1" fillId="23" borderId="0" applyNumberFormat="0" applyBorder="0" applyAlignment="0" applyProtection="0"/>
    <xf numFmtId="0" fontId="1" fillId="6" borderId="0" applyNumberFormat="0" applyBorder="0" applyAlignment="0" applyProtection="0"/>
    <xf numFmtId="0" fontId="1" fillId="26" borderId="0" applyNumberFormat="0" applyBorder="0" applyAlignment="0" applyProtection="0"/>
    <xf numFmtId="0" fontId="1" fillId="3" borderId="0" applyNumberFormat="0" applyBorder="0" applyAlignment="0" applyProtection="0"/>
    <xf numFmtId="0" fontId="1" fillId="73" borderId="0" applyNumberFormat="0" applyBorder="0" applyAlignment="0" applyProtection="0"/>
    <xf numFmtId="0" fontId="1" fillId="26"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26" borderId="0" applyNumberFormat="0" applyBorder="0" applyAlignment="0" applyProtection="0"/>
    <xf numFmtId="0" fontId="1" fillId="3" borderId="0" applyNumberFormat="0" applyBorder="0" applyAlignment="0" applyProtection="0"/>
    <xf numFmtId="0" fontId="1" fillId="26" borderId="0" applyNumberFormat="0" applyBorder="0" applyAlignment="0" applyProtection="0"/>
    <xf numFmtId="0" fontId="1" fillId="0" borderId="0"/>
    <xf numFmtId="0" fontId="1" fillId="6" borderId="0" applyNumberFormat="0" applyBorder="0" applyAlignment="0" applyProtection="0"/>
    <xf numFmtId="0" fontId="1" fillId="23" borderId="0" applyNumberFormat="0" applyBorder="0" applyAlignment="0" applyProtection="0"/>
    <xf numFmtId="0" fontId="1" fillId="6" borderId="0" applyNumberFormat="0" applyBorder="0" applyAlignment="0" applyProtection="0"/>
    <xf numFmtId="0" fontId="1" fillId="26" borderId="0" applyNumberFormat="0" applyBorder="0" applyAlignment="0" applyProtection="0"/>
    <xf numFmtId="0" fontId="1" fillId="58" borderId="104" applyNumberFormat="0" applyFont="0" applyAlignment="0" applyProtection="0"/>
    <xf numFmtId="0" fontId="1" fillId="58" borderId="104" applyNumberFormat="0" applyFont="0" applyAlignment="0" applyProtection="0"/>
    <xf numFmtId="0" fontId="1" fillId="58" borderId="104" applyNumberFormat="0" applyFont="0" applyAlignment="0" applyProtection="0"/>
    <xf numFmtId="0" fontId="1" fillId="26" borderId="0" applyNumberFormat="0" applyBorder="0" applyAlignment="0" applyProtection="0"/>
    <xf numFmtId="0" fontId="1" fillId="0" borderId="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6" borderId="0" applyNumberFormat="0" applyBorder="0" applyAlignment="0" applyProtection="0"/>
    <xf numFmtId="0" fontId="1" fillId="23"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3" borderId="0" applyNumberFormat="0" applyBorder="0" applyAlignment="0" applyProtection="0"/>
    <xf numFmtId="0" fontId="1" fillId="3" borderId="0" applyNumberFormat="0" applyBorder="0" applyAlignment="0" applyProtection="0"/>
    <xf numFmtId="0" fontId="1" fillId="3" borderId="0" applyNumberFormat="0" applyBorder="0" applyAlignment="0" applyProtection="0"/>
    <xf numFmtId="0" fontId="1" fillId="3" borderId="0" applyNumberFormat="0" applyBorder="0" applyAlignment="0" applyProtection="0"/>
    <xf numFmtId="0" fontId="1" fillId="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26" borderId="0" applyNumberFormat="0" applyBorder="0" applyAlignment="0" applyProtection="0"/>
    <xf numFmtId="0" fontId="1" fillId="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58" borderId="104" applyNumberFormat="0" applyFont="0" applyAlignment="0" applyProtection="0"/>
    <xf numFmtId="0" fontId="1" fillId="6" borderId="0" applyNumberFormat="0" applyBorder="0" applyAlignment="0" applyProtection="0"/>
    <xf numFmtId="0" fontId="1" fillId="23" borderId="0" applyNumberFormat="0" applyBorder="0" applyAlignment="0" applyProtection="0"/>
    <xf numFmtId="0" fontId="1" fillId="6" borderId="0" applyNumberFormat="0" applyBorder="0" applyAlignment="0" applyProtection="0"/>
    <xf numFmtId="0" fontId="1" fillId="26"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58" borderId="104" applyNumberFormat="0" applyFont="0" applyAlignment="0" applyProtection="0"/>
    <xf numFmtId="0" fontId="1" fillId="26" borderId="0" applyNumberFormat="0" applyBorder="0" applyAlignment="0" applyProtection="0"/>
    <xf numFmtId="0" fontId="1" fillId="3" borderId="0" applyNumberFormat="0" applyBorder="0" applyAlignment="0" applyProtection="0"/>
    <xf numFmtId="0" fontId="1" fillId="26" borderId="0" applyNumberFormat="0" applyBorder="0" applyAlignment="0" applyProtection="0"/>
    <xf numFmtId="0" fontId="1" fillId="0" borderId="0"/>
    <xf numFmtId="0" fontId="1" fillId="6" borderId="0" applyNumberFormat="0" applyBorder="0" applyAlignment="0" applyProtection="0"/>
    <xf numFmtId="0" fontId="1" fillId="23" borderId="0" applyNumberFormat="0" applyBorder="0" applyAlignment="0" applyProtection="0"/>
    <xf numFmtId="0" fontId="1" fillId="6" borderId="0" applyNumberFormat="0" applyBorder="0" applyAlignment="0" applyProtection="0"/>
    <xf numFmtId="0" fontId="1" fillId="58" borderId="104" applyNumberFormat="0" applyFont="0" applyAlignment="0" applyProtection="0"/>
    <xf numFmtId="0" fontId="1" fillId="26" borderId="0" applyNumberFormat="0" applyBorder="0" applyAlignment="0" applyProtection="0"/>
    <xf numFmtId="0" fontId="1" fillId="58" borderId="104" applyNumberFormat="0" applyFont="0" applyAlignment="0" applyProtection="0"/>
    <xf numFmtId="0" fontId="1" fillId="3" borderId="0" applyNumberFormat="0" applyBorder="0" applyAlignment="0" applyProtection="0"/>
    <xf numFmtId="0" fontId="1" fillId="8" borderId="0" applyNumberFormat="0" applyBorder="0" applyAlignment="0" applyProtection="0"/>
    <xf numFmtId="0" fontId="1" fillId="26" borderId="0" applyNumberFormat="0" applyBorder="0" applyAlignment="0" applyProtection="0"/>
    <xf numFmtId="0" fontId="1" fillId="7" borderId="0" applyNumberFormat="0" applyBorder="0" applyAlignment="0" applyProtection="0"/>
    <xf numFmtId="0" fontId="1" fillId="26" borderId="0" applyNumberFormat="0" applyBorder="0" applyAlignment="0" applyProtection="0"/>
    <xf numFmtId="0" fontId="1" fillId="3" borderId="0" applyNumberFormat="0" applyBorder="0" applyAlignment="0" applyProtection="0"/>
    <xf numFmtId="0" fontId="1" fillId="23"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23" borderId="0" applyNumberFormat="0" applyBorder="0" applyAlignment="0" applyProtection="0"/>
    <xf numFmtId="0" fontId="1" fillId="6" borderId="0" applyNumberFormat="0" applyBorder="0" applyAlignment="0" applyProtection="0"/>
    <xf numFmtId="0" fontId="1" fillId="26" borderId="0" applyNumberFormat="0" applyBorder="0" applyAlignment="0" applyProtection="0"/>
    <xf numFmtId="0" fontId="1" fillId="58" borderId="104" applyNumberFormat="0" applyFont="0" applyAlignment="0" applyProtection="0"/>
    <xf numFmtId="0" fontId="1" fillId="3" borderId="0" applyNumberFormat="0" applyBorder="0" applyAlignment="0" applyProtection="0"/>
    <xf numFmtId="0" fontId="1" fillId="69" borderId="0" applyNumberFormat="0" applyBorder="0" applyAlignment="0" applyProtection="0"/>
    <xf numFmtId="0" fontId="1" fillId="26"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26" borderId="0" applyNumberFormat="0" applyBorder="0" applyAlignment="0" applyProtection="0"/>
    <xf numFmtId="0" fontId="1" fillId="3" borderId="0" applyNumberFormat="0" applyBorder="0" applyAlignment="0" applyProtection="0"/>
    <xf numFmtId="0" fontId="1" fillId="26" borderId="0" applyNumberFormat="0" applyBorder="0" applyAlignment="0" applyProtection="0"/>
    <xf numFmtId="0" fontId="1" fillId="6" borderId="0" applyNumberFormat="0" applyBorder="0" applyAlignment="0" applyProtection="0"/>
    <xf numFmtId="0" fontId="1" fillId="23"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23" borderId="0" applyNumberFormat="0" applyBorder="0" applyAlignment="0" applyProtection="0"/>
    <xf numFmtId="0" fontId="1" fillId="6" borderId="0" applyNumberFormat="0" applyBorder="0" applyAlignment="0" applyProtection="0"/>
    <xf numFmtId="0" fontId="1" fillId="26"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58" borderId="104" applyNumberFormat="0" applyFont="0" applyAlignment="0" applyProtection="0"/>
    <xf numFmtId="0" fontId="1" fillId="26" borderId="0" applyNumberFormat="0" applyBorder="0" applyAlignment="0" applyProtection="0"/>
    <xf numFmtId="0" fontId="1" fillId="3" borderId="0" applyNumberFormat="0" applyBorder="0" applyAlignment="0" applyProtection="0"/>
    <xf numFmtId="0" fontId="1" fillId="26" borderId="0" applyNumberFormat="0" applyBorder="0" applyAlignment="0" applyProtection="0"/>
    <xf numFmtId="0" fontId="1" fillId="6" borderId="0" applyNumberFormat="0" applyBorder="0" applyAlignment="0" applyProtection="0"/>
    <xf numFmtId="0" fontId="1" fillId="23" borderId="0" applyNumberFormat="0" applyBorder="0" applyAlignment="0" applyProtection="0"/>
    <xf numFmtId="0" fontId="1" fillId="6" borderId="0" applyNumberFormat="0" applyBorder="0" applyAlignment="0" applyProtection="0"/>
    <xf numFmtId="0" fontId="1" fillId="58" borderId="104" applyNumberFormat="0" applyFont="0" applyAlignment="0" applyProtection="0"/>
    <xf numFmtId="0" fontId="1" fillId="58" borderId="104" applyNumberFormat="0" applyFont="0" applyAlignment="0" applyProtection="0"/>
    <xf numFmtId="0" fontId="1" fillId="26" borderId="0" applyNumberFormat="0" applyBorder="0" applyAlignment="0" applyProtection="0"/>
    <xf numFmtId="0" fontId="1" fillId="3" borderId="0" applyNumberFormat="0" applyBorder="0" applyAlignment="0" applyProtection="0"/>
    <xf numFmtId="0" fontId="1" fillId="81" borderId="0" applyNumberFormat="0" applyBorder="0" applyAlignment="0" applyProtection="0"/>
    <xf numFmtId="0" fontId="1" fillId="26" borderId="0" applyNumberFormat="0" applyBorder="0" applyAlignment="0" applyProtection="0"/>
    <xf numFmtId="0" fontId="1" fillId="7" borderId="0" applyNumberFormat="0" applyBorder="0" applyAlignment="0" applyProtection="0"/>
    <xf numFmtId="0" fontId="1" fillId="26" borderId="0" applyNumberFormat="0" applyBorder="0" applyAlignment="0" applyProtection="0"/>
    <xf numFmtId="0" fontId="1" fillId="58" borderId="104" applyNumberFormat="0" applyFont="0" applyAlignment="0" applyProtection="0"/>
    <xf numFmtId="0" fontId="1" fillId="3"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23"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3" borderId="0" applyNumberFormat="0" applyBorder="0" applyAlignment="0" applyProtection="0"/>
    <xf numFmtId="0" fontId="1" fillId="26"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26" borderId="0" applyNumberFormat="0" applyBorder="0" applyAlignment="0" applyProtection="0"/>
    <xf numFmtId="0" fontId="1" fillId="58" borderId="104" applyNumberFormat="0" applyFont="0" applyAlignment="0" applyProtection="0"/>
    <xf numFmtId="0" fontId="1" fillId="3" borderId="0" applyNumberFormat="0" applyBorder="0" applyAlignment="0" applyProtection="0"/>
    <xf numFmtId="0" fontId="1" fillId="26" borderId="0" applyNumberFormat="0" applyBorder="0" applyAlignment="0" applyProtection="0"/>
    <xf numFmtId="0" fontId="1" fillId="6" borderId="0" applyNumberFormat="0" applyBorder="0" applyAlignment="0" applyProtection="0"/>
    <xf numFmtId="0" fontId="1" fillId="23" borderId="0" applyNumberFormat="0" applyBorder="0" applyAlignment="0" applyProtection="0"/>
    <xf numFmtId="0" fontId="1" fillId="6" borderId="0" applyNumberFormat="0" applyBorder="0" applyAlignment="0" applyProtection="0"/>
    <xf numFmtId="0" fontId="1" fillId="26" borderId="0" applyNumberFormat="0" applyBorder="0" applyAlignment="0" applyProtection="0"/>
    <xf numFmtId="0" fontId="1" fillId="58" borderId="104" applyNumberFormat="0" applyFont="0" applyAlignment="0" applyProtection="0"/>
    <xf numFmtId="0" fontId="1" fillId="58" borderId="104" applyNumberFormat="0" applyFont="0" applyAlignment="0" applyProtection="0"/>
    <xf numFmtId="0" fontId="1" fillId="58" borderId="104" applyNumberFormat="0" applyFont="0" applyAlignment="0" applyProtection="0"/>
    <xf numFmtId="0" fontId="1" fillId="6" borderId="0" applyNumberFormat="0" applyBorder="0" applyAlignment="0" applyProtection="0"/>
    <xf numFmtId="0" fontId="1" fillId="64" borderId="0" applyNumberFormat="0" applyBorder="0" applyAlignment="0" applyProtection="0"/>
    <xf numFmtId="0" fontId="1" fillId="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3" borderId="0" applyNumberFormat="0" applyBorder="0" applyAlignment="0" applyProtection="0"/>
    <xf numFmtId="0" fontId="1" fillId="3" borderId="0" applyNumberFormat="0" applyBorder="0" applyAlignment="0" applyProtection="0"/>
    <xf numFmtId="0" fontId="1" fillId="3" borderId="0" applyNumberFormat="0" applyBorder="0" applyAlignment="0" applyProtection="0"/>
    <xf numFmtId="0" fontId="1" fillId="3" borderId="0" applyNumberFormat="0" applyBorder="0" applyAlignment="0" applyProtection="0"/>
    <xf numFmtId="0" fontId="1" fillId="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26" borderId="0" applyNumberFormat="0" applyBorder="0" applyAlignment="0" applyProtection="0"/>
    <xf numFmtId="0" fontId="1" fillId="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26"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26"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9"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9" borderId="0" applyNumberFormat="0" applyBorder="0" applyAlignment="0" applyProtection="0"/>
    <xf numFmtId="0" fontId="1" fillId="6" borderId="0" applyNumberFormat="0" applyBorder="0" applyAlignment="0" applyProtection="0"/>
    <xf numFmtId="0" fontId="1" fillId="23" borderId="0" applyNumberFormat="0" applyBorder="0" applyAlignment="0" applyProtection="0"/>
    <xf numFmtId="0" fontId="1" fillId="6" borderId="0" applyNumberFormat="0" applyBorder="0" applyAlignment="0" applyProtection="0"/>
    <xf numFmtId="0" fontId="1" fillId="9" borderId="0" applyNumberFormat="0" applyBorder="0" applyAlignment="0" applyProtection="0"/>
    <xf numFmtId="0" fontId="1" fillId="8"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58" borderId="104" applyNumberFormat="0" applyFont="0" applyAlignment="0" applyProtection="0"/>
    <xf numFmtId="0" fontId="1" fillId="26" borderId="0" applyNumberFormat="0" applyBorder="0" applyAlignment="0" applyProtection="0"/>
    <xf numFmtId="0" fontId="1" fillId="3" borderId="0" applyNumberFormat="0" applyBorder="0" applyAlignment="0" applyProtection="0"/>
    <xf numFmtId="0" fontId="1" fillId="23" borderId="0" applyNumberFormat="0" applyBorder="0" applyAlignment="0" applyProtection="0"/>
    <xf numFmtId="0" fontId="1" fillId="26" borderId="0" applyNumberFormat="0" applyBorder="0" applyAlignment="0" applyProtection="0"/>
    <xf numFmtId="0" fontId="1" fillId="58" borderId="104" applyNumberFormat="0" applyFont="0" applyAlignment="0" applyProtection="0"/>
    <xf numFmtId="0" fontId="1" fillId="26" borderId="0" applyNumberFormat="0" applyBorder="0" applyAlignment="0" applyProtection="0"/>
    <xf numFmtId="0" fontId="1" fillId="6" borderId="0" applyNumberFormat="0" applyBorder="0" applyAlignment="0" applyProtection="0"/>
    <xf numFmtId="0" fontId="1" fillId="23" borderId="0" applyNumberFormat="0" applyBorder="0" applyAlignment="0" applyProtection="0"/>
    <xf numFmtId="0" fontId="1" fillId="6" borderId="0" applyNumberFormat="0" applyBorder="0" applyAlignment="0" applyProtection="0"/>
    <xf numFmtId="0" fontId="1" fillId="26" borderId="0" applyNumberFormat="0" applyBorder="0" applyAlignment="0" applyProtection="0"/>
    <xf numFmtId="0" fontId="1" fillId="3" borderId="0" applyNumberFormat="0" applyBorder="0" applyAlignment="0" applyProtection="0"/>
    <xf numFmtId="0" fontId="1" fillId="77" borderId="0" applyNumberFormat="0" applyBorder="0" applyAlignment="0" applyProtection="0"/>
    <xf numFmtId="0" fontId="1" fillId="26"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26" borderId="0" applyNumberFormat="0" applyBorder="0" applyAlignment="0" applyProtection="0"/>
    <xf numFmtId="0" fontId="1" fillId="3" borderId="0" applyNumberFormat="0" applyBorder="0" applyAlignment="0" applyProtection="0"/>
    <xf numFmtId="0" fontId="1" fillId="58" borderId="104" applyNumberFormat="0" applyFont="0" applyAlignment="0" applyProtection="0"/>
    <xf numFmtId="0" fontId="1" fillId="6" borderId="0" applyNumberFormat="0" applyBorder="0" applyAlignment="0" applyProtection="0"/>
    <xf numFmtId="0" fontId="1" fillId="58" borderId="104" applyNumberFormat="0" applyFont="0" applyAlignment="0" applyProtection="0"/>
    <xf numFmtId="0" fontId="1" fillId="23"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23" borderId="0" applyNumberFormat="0" applyBorder="0" applyAlignment="0" applyProtection="0"/>
    <xf numFmtId="0" fontId="1" fillId="26"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26" borderId="0" applyNumberFormat="0" applyBorder="0" applyAlignment="0" applyProtection="0"/>
    <xf numFmtId="0" fontId="1" fillId="3" borderId="0" applyNumberFormat="0" applyBorder="0" applyAlignment="0" applyProtection="0"/>
    <xf numFmtId="0" fontId="1" fillId="26" borderId="0" applyNumberFormat="0" applyBorder="0" applyAlignment="0" applyProtection="0"/>
    <xf numFmtId="0" fontId="1" fillId="6" borderId="0" applyNumberFormat="0" applyBorder="0" applyAlignment="0" applyProtection="0"/>
    <xf numFmtId="0" fontId="1" fillId="23" borderId="0" applyNumberFormat="0" applyBorder="0" applyAlignment="0" applyProtection="0"/>
    <xf numFmtId="0" fontId="1" fillId="6"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6" borderId="0" applyNumberFormat="0" applyBorder="0" applyAlignment="0" applyProtection="0"/>
    <xf numFmtId="0" fontId="1" fillId="23" borderId="0" applyNumberFormat="0" applyBorder="0" applyAlignment="0" applyProtection="0"/>
    <xf numFmtId="0" fontId="1" fillId="60" borderId="0" applyNumberFormat="0" applyBorder="0" applyAlignment="0" applyProtection="0"/>
    <xf numFmtId="0" fontId="1" fillId="26"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26" borderId="0" applyNumberFormat="0" applyBorder="0" applyAlignment="0" applyProtection="0"/>
    <xf numFmtId="0" fontId="1" fillId="3" borderId="0" applyNumberFormat="0" applyBorder="0" applyAlignment="0" applyProtection="0"/>
    <xf numFmtId="0" fontId="1" fillId="26" borderId="0" applyNumberFormat="0" applyBorder="0" applyAlignment="0" applyProtection="0"/>
    <xf numFmtId="0" fontId="1" fillId="58" borderId="104" applyNumberFormat="0" applyFont="0" applyAlignment="0" applyProtection="0"/>
    <xf numFmtId="0" fontId="1" fillId="6" borderId="0" applyNumberFormat="0" applyBorder="0" applyAlignment="0" applyProtection="0"/>
    <xf numFmtId="0" fontId="1" fillId="23" borderId="0" applyNumberFormat="0" applyBorder="0" applyAlignment="0" applyProtection="0"/>
    <xf numFmtId="0" fontId="1" fillId="6" borderId="0" applyNumberFormat="0" applyBorder="0" applyAlignment="0" applyProtection="0"/>
    <xf numFmtId="0" fontId="1" fillId="58" borderId="104" applyNumberFormat="0" applyFont="0" applyAlignment="0" applyProtection="0"/>
    <xf numFmtId="0" fontId="1" fillId="26" borderId="0" applyNumberFormat="0" applyBorder="0" applyAlignment="0" applyProtection="0"/>
    <xf numFmtId="0" fontId="1" fillId="3" borderId="0" applyNumberFormat="0" applyBorder="0" applyAlignment="0" applyProtection="0"/>
    <xf numFmtId="0" fontId="1" fillId="7" borderId="0" applyNumberFormat="0" applyBorder="0" applyAlignment="0" applyProtection="0"/>
    <xf numFmtId="0" fontId="1" fillId="26" borderId="0" applyNumberFormat="0" applyBorder="0" applyAlignment="0" applyProtection="0"/>
    <xf numFmtId="0" fontId="1" fillId="7" borderId="0" applyNumberFormat="0" applyBorder="0" applyAlignment="0" applyProtection="0"/>
    <xf numFmtId="0" fontId="1" fillId="26" borderId="0" applyNumberFormat="0" applyBorder="0" applyAlignment="0" applyProtection="0"/>
    <xf numFmtId="0" fontId="1" fillId="3" borderId="0" applyNumberFormat="0" applyBorder="0" applyAlignment="0" applyProtection="0"/>
    <xf numFmtId="0" fontId="1" fillId="23"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23" borderId="0" applyNumberFormat="0" applyBorder="0" applyAlignment="0" applyProtection="0"/>
    <xf numFmtId="0" fontId="1" fillId="6" borderId="0" applyNumberFormat="0" applyBorder="0" applyAlignment="0" applyProtection="0"/>
    <xf numFmtId="0" fontId="1" fillId="58" borderId="104" applyNumberFormat="0" applyFont="0" applyAlignment="0" applyProtection="0"/>
    <xf numFmtId="0" fontId="1" fillId="26" borderId="0" applyNumberFormat="0" applyBorder="0" applyAlignment="0" applyProtection="0"/>
    <xf numFmtId="0" fontId="1" fillId="3" borderId="0" applyNumberFormat="0" applyBorder="0" applyAlignment="0" applyProtection="0"/>
    <xf numFmtId="0" fontId="1" fillId="72" borderId="0" applyNumberFormat="0" applyBorder="0" applyAlignment="0" applyProtection="0"/>
    <xf numFmtId="0" fontId="1" fillId="26"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26" borderId="0" applyNumberFormat="0" applyBorder="0" applyAlignment="0" applyProtection="0"/>
    <xf numFmtId="0" fontId="1" fillId="3" borderId="0" applyNumberFormat="0" applyBorder="0" applyAlignment="0" applyProtection="0"/>
    <xf numFmtId="0" fontId="1" fillId="0" borderId="0"/>
    <xf numFmtId="0" fontId="1" fillId="26" borderId="0" applyNumberFormat="0" applyBorder="0" applyAlignment="0" applyProtection="0"/>
    <xf numFmtId="0" fontId="1" fillId="6" borderId="0" applyNumberFormat="0" applyBorder="0" applyAlignment="0" applyProtection="0"/>
    <xf numFmtId="0" fontId="1" fillId="23" borderId="0" applyNumberFormat="0" applyBorder="0" applyAlignment="0" applyProtection="0"/>
    <xf numFmtId="0" fontId="1" fillId="6" borderId="0" applyNumberFormat="0" applyBorder="0" applyAlignment="0" applyProtection="0"/>
    <xf numFmtId="0" fontId="1" fillId="26" borderId="0" applyNumberFormat="0" applyBorder="0" applyAlignment="0" applyProtection="0"/>
    <xf numFmtId="0" fontId="1" fillId="58" borderId="104" applyNumberFormat="0" applyFont="0" applyAlignment="0" applyProtection="0"/>
    <xf numFmtId="0" fontId="1" fillId="58" borderId="104" applyNumberFormat="0" applyFont="0" applyAlignment="0" applyProtection="0"/>
    <xf numFmtId="0" fontId="1" fillId="9" borderId="0" applyNumberFormat="0" applyBorder="0" applyAlignment="0" applyProtection="0"/>
    <xf numFmtId="0" fontId="1" fillId="0" borderId="0"/>
    <xf numFmtId="0" fontId="1" fillId="0" borderId="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6" borderId="0" applyNumberFormat="0" applyBorder="0" applyAlignment="0" applyProtection="0"/>
    <xf numFmtId="0" fontId="1" fillId="23"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3" borderId="0" applyNumberFormat="0" applyBorder="0" applyAlignment="0" applyProtection="0"/>
    <xf numFmtId="0" fontId="1" fillId="3" borderId="0" applyNumberFormat="0" applyBorder="0" applyAlignment="0" applyProtection="0"/>
    <xf numFmtId="0" fontId="1" fillId="3" borderId="0" applyNumberFormat="0" applyBorder="0" applyAlignment="0" applyProtection="0"/>
    <xf numFmtId="0" fontId="1" fillId="3" borderId="0" applyNumberFormat="0" applyBorder="0" applyAlignment="0" applyProtection="0"/>
    <xf numFmtId="0" fontId="1" fillId="3" borderId="0" applyNumberFormat="0" applyBorder="0" applyAlignment="0" applyProtection="0"/>
    <xf numFmtId="0" fontId="1" fillId="6"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26" borderId="0" applyNumberFormat="0" applyBorder="0" applyAlignment="0" applyProtection="0"/>
    <xf numFmtId="0" fontId="1" fillId="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26"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8" borderId="0" applyNumberFormat="0" applyBorder="0" applyAlignment="0" applyProtection="0"/>
    <xf numFmtId="0" fontId="1" fillId="58" borderId="104" applyNumberFormat="0" applyFont="0" applyAlignment="0" applyProtection="0"/>
    <xf numFmtId="0" fontId="1" fillId="6" borderId="0" applyNumberFormat="0" applyBorder="0" applyAlignment="0" applyProtection="0"/>
    <xf numFmtId="0" fontId="1" fillId="23" borderId="0" applyNumberFormat="0" applyBorder="0" applyAlignment="0" applyProtection="0"/>
    <xf numFmtId="0" fontId="1" fillId="6" borderId="0" applyNumberFormat="0" applyBorder="0" applyAlignment="0" applyProtection="0"/>
    <xf numFmtId="0" fontId="1" fillId="26"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26" borderId="0" applyNumberFormat="0" applyBorder="0" applyAlignment="0" applyProtection="0"/>
    <xf numFmtId="0" fontId="1" fillId="3" borderId="0" applyNumberFormat="0" applyBorder="0" applyAlignment="0" applyProtection="0"/>
    <xf numFmtId="0" fontId="1" fillId="26" borderId="0" applyNumberFormat="0" applyBorder="0" applyAlignment="0" applyProtection="0"/>
    <xf numFmtId="0" fontId="1" fillId="6" borderId="0" applyNumberFormat="0" applyBorder="0" applyAlignment="0" applyProtection="0"/>
    <xf numFmtId="0" fontId="1" fillId="23" borderId="0" applyNumberFormat="0" applyBorder="0" applyAlignment="0" applyProtection="0"/>
    <xf numFmtId="0" fontId="1" fillId="6" borderId="0" applyNumberFormat="0" applyBorder="0" applyAlignment="0" applyProtection="0"/>
    <xf numFmtId="0" fontId="1" fillId="58" borderId="104" applyNumberFormat="0" applyFont="0" applyAlignment="0" applyProtection="0"/>
    <xf numFmtId="0" fontId="1" fillId="26" borderId="0" applyNumberFormat="0" applyBorder="0" applyAlignment="0" applyProtection="0"/>
    <xf numFmtId="0" fontId="1" fillId="58" borderId="104" applyNumberFormat="0" applyFont="0" applyAlignment="0" applyProtection="0"/>
    <xf numFmtId="0" fontId="1" fillId="3" borderId="0" applyNumberFormat="0" applyBorder="0" applyAlignment="0" applyProtection="0"/>
    <xf numFmtId="0" fontId="1" fillId="26" borderId="0" applyNumberFormat="0" applyBorder="0" applyAlignment="0" applyProtection="0"/>
    <xf numFmtId="0" fontId="1" fillId="7" borderId="0" applyNumberFormat="0" applyBorder="0" applyAlignment="0" applyProtection="0"/>
    <xf numFmtId="0" fontId="1" fillId="26" borderId="0" applyNumberFormat="0" applyBorder="0" applyAlignment="0" applyProtection="0"/>
    <xf numFmtId="0" fontId="1" fillId="3" borderId="0" applyNumberFormat="0" applyBorder="0" applyAlignment="0" applyProtection="0"/>
    <xf numFmtId="0" fontId="1" fillId="23"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23" borderId="0" applyNumberFormat="0" applyBorder="0" applyAlignment="0" applyProtection="0"/>
    <xf numFmtId="0" fontId="1" fillId="6" borderId="0" applyNumberFormat="0" applyBorder="0" applyAlignment="0" applyProtection="0"/>
    <xf numFmtId="0" fontId="1" fillId="26" borderId="0" applyNumberFormat="0" applyBorder="0" applyAlignment="0" applyProtection="0"/>
    <xf numFmtId="0" fontId="1" fillId="3" borderId="0" applyNumberFormat="0" applyBorder="0" applyAlignment="0" applyProtection="0"/>
    <xf numFmtId="0" fontId="1" fillId="68" borderId="0" applyNumberFormat="0" applyBorder="0" applyAlignment="0" applyProtection="0"/>
    <xf numFmtId="0" fontId="1" fillId="26"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26" borderId="0" applyNumberFormat="0" applyBorder="0" applyAlignment="0" applyProtection="0"/>
    <xf numFmtId="0" fontId="1" fillId="3" borderId="0" applyNumberFormat="0" applyBorder="0" applyAlignment="0" applyProtection="0"/>
    <xf numFmtId="0" fontId="1" fillId="26" borderId="0" applyNumberFormat="0" applyBorder="0" applyAlignment="0" applyProtection="0"/>
    <xf numFmtId="0" fontId="1" fillId="6" borderId="0" applyNumberFormat="0" applyBorder="0" applyAlignment="0" applyProtection="0"/>
    <xf numFmtId="0" fontId="1" fillId="23"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23" borderId="0" applyNumberFormat="0" applyBorder="0" applyAlignment="0" applyProtection="0"/>
    <xf numFmtId="0" fontId="1" fillId="6" borderId="0" applyNumberFormat="0" applyBorder="0" applyAlignment="0" applyProtection="0"/>
    <xf numFmtId="0" fontId="1" fillId="26" borderId="0" applyNumberFormat="0" applyBorder="0" applyAlignment="0" applyProtection="0"/>
    <xf numFmtId="0" fontId="1" fillId="7" borderId="0" applyNumberFormat="0" applyBorder="0" applyAlignment="0" applyProtection="0"/>
    <xf numFmtId="0" fontId="1" fillId="26" borderId="0" applyNumberFormat="0" applyBorder="0" applyAlignment="0" applyProtection="0"/>
    <xf numFmtId="0" fontId="1" fillId="58" borderId="104" applyNumberFormat="0" applyFont="0" applyAlignment="0" applyProtection="0"/>
    <xf numFmtId="0" fontId="1" fillId="26" borderId="0" applyNumberFormat="0" applyBorder="0" applyAlignment="0" applyProtection="0"/>
    <xf numFmtId="0" fontId="1" fillId="3"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0" borderId="0"/>
    <xf numFmtId="0" fontId="1" fillId="6" borderId="0" applyNumberFormat="0" applyBorder="0" applyAlignment="0" applyProtection="0"/>
    <xf numFmtId="0" fontId="1" fillId="23" borderId="0" applyNumberFormat="0" applyBorder="0" applyAlignment="0" applyProtection="0"/>
    <xf numFmtId="0" fontId="1" fillId="6" borderId="0" applyNumberFormat="0" applyBorder="0" applyAlignment="0" applyProtection="0"/>
    <xf numFmtId="0" fontId="1" fillId="26" borderId="0" applyNumberFormat="0" applyBorder="0" applyAlignment="0" applyProtection="0"/>
    <xf numFmtId="0" fontId="1" fillId="3" borderId="0" applyNumberFormat="0" applyBorder="0" applyAlignment="0" applyProtection="0"/>
    <xf numFmtId="0" fontId="1" fillId="80" borderId="0" applyNumberFormat="0" applyBorder="0" applyAlignment="0" applyProtection="0"/>
    <xf numFmtId="0" fontId="1" fillId="26" borderId="0" applyNumberFormat="0" applyBorder="0" applyAlignment="0" applyProtection="0"/>
    <xf numFmtId="0" fontId="1" fillId="7" borderId="0" applyNumberFormat="0" applyBorder="0" applyAlignment="0" applyProtection="0"/>
    <xf numFmtId="0" fontId="1" fillId="26" borderId="0" applyNumberFormat="0" applyBorder="0" applyAlignment="0" applyProtection="0"/>
    <xf numFmtId="0" fontId="1" fillId="58" borderId="104" applyNumberFormat="0" applyFont="0" applyAlignment="0" applyProtection="0"/>
    <xf numFmtId="0" fontId="1" fillId="3" borderId="0" applyNumberFormat="0" applyBorder="0" applyAlignment="0" applyProtection="0"/>
    <xf numFmtId="0" fontId="1" fillId="6" borderId="0" applyNumberFormat="0" applyBorder="0" applyAlignment="0" applyProtection="0"/>
    <xf numFmtId="0" fontId="1" fillId="0" borderId="0"/>
    <xf numFmtId="0" fontId="1" fillId="6" borderId="0" applyNumberFormat="0" applyBorder="0" applyAlignment="0" applyProtection="0"/>
    <xf numFmtId="0" fontId="1" fillId="23"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3" borderId="0" applyNumberFormat="0" applyBorder="0" applyAlignment="0" applyProtection="0"/>
    <xf numFmtId="0" fontId="1" fillId="26"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0" borderId="0"/>
    <xf numFmtId="0" fontId="1" fillId="26" borderId="0" applyNumberFormat="0" applyBorder="0" applyAlignment="0" applyProtection="0"/>
    <xf numFmtId="0" fontId="1" fillId="3" borderId="0" applyNumberFormat="0" applyBorder="0" applyAlignment="0" applyProtection="0"/>
    <xf numFmtId="0" fontId="1" fillId="26" borderId="0" applyNumberFormat="0" applyBorder="0" applyAlignment="0" applyProtection="0"/>
    <xf numFmtId="0" fontId="1" fillId="6" borderId="0" applyNumberFormat="0" applyBorder="0" applyAlignment="0" applyProtection="0"/>
    <xf numFmtId="0" fontId="1" fillId="23" borderId="0" applyNumberFormat="0" applyBorder="0" applyAlignment="0" applyProtection="0"/>
    <xf numFmtId="0" fontId="1" fillId="6" borderId="0" applyNumberFormat="0" applyBorder="0" applyAlignment="0" applyProtection="0"/>
    <xf numFmtId="0" fontId="1" fillId="26" borderId="0" applyNumberFormat="0" applyBorder="0" applyAlignment="0" applyProtection="0"/>
    <xf numFmtId="0" fontId="1" fillId="58" borderId="104" applyNumberFormat="0" applyFont="0" applyAlignment="0" applyProtection="0"/>
    <xf numFmtId="9" fontId="1" fillId="0" borderId="0" applyFont="0" applyFill="0" applyBorder="0" applyAlignment="0" applyProtection="0"/>
    <xf numFmtId="0" fontId="1" fillId="58" borderId="104" applyNumberFormat="0" applyFont="0" applyAlignment="0" applyProtection="0"/>
    <xf numFmtId="0" fontId="1" fillId="58" borderId="104" applyNumberFormat="0" applyFont="0" applyAlignment="0" applyProtection="0"/>
    <xf numFmtId="0" fontId="1" fillId="58" borderId="104" applyNumberFormat="0" applyFont="0" applyAlignment="0" applyProtection="0"/>
    <xf numFmtId="0" fontId="1" fillId="58" borderId="104" applyNumberFormat="0" applyFont="0" applyAlignment="0" applyProtection="0"/>
    <xf numFmtId="0" fontId="1" fillId="3" borderId="0" applyNumberFormat="0" applyBorder="0" applyAlignment="0" applyProtection="0"/>
    <xf numFmtId="0" fontId="1" fillId="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3" borderId="0" applyNumberFormat="0" applyBorder="0" applyAlignment="0" applyProtection="0"/>
    <xf numFmtId="0" fontId="1" fillId="3" borderId="0" applyNumberFormat="0" applyBorder="0" applyAlignment="0" applyProtection="0"/>
    <xf numFmtId="0" fontId="1" fillId="3" borderId="0" applyNumberFormat="0" applyBorder="0" applyAlignment="0" applyProtection="0"/>
    <xf numFmtId="0" fontId="1" fillId="3" borderId="0" applyNumberFormat="0" applyBorder="0" applyAlignment="0" applyProtection="0"/>
    <xf numFmtId="0" fontId="1" fillId="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26" borderId="0" applyNumberFormat="0" applyBorder="0" applyAlignment="0" applyProtection="0"/>
    <xf numFmtId="0" fontId="1" fillId="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26"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26"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26" borderId="0" applyNumberFormat="0" applyBorder="0" applyAlignment="0" applyProtection="0"/>
    <xf numFmtId="0" fontId="1" fillId="26" borderId="0" applyNumberFormat="0" applyBorder="0" applyAlignment="0" applyProtection="0"/>
    <xf numFmtId="0" fontId="1" fillId="58" borderId="104" applyNumberFormat="0" applyFont="0" applyAlignment="0" applyProtection="0"/>
    <xf numFmtId="0" fontId="1" fillId="58" borderId="104" applyNumberFormat="0" applyFont="0" applyAlignment="0" applyProtection="0"/>
    <xf numFmtId="0" fontId="1" fillId="58" borderId="104" applyNumberFormat="0" applyFont="0" applyAlignment="0" applyProtection="0"/>
    <xf numFmtId="0" fontId="1" fillId="58" borderId="104" applyNumberFormat="0" applyFont="0" applyAlignment="0" applyProtection="0"/>
    <xf numFmtId="0" fontId="1" fillId="58" borderId="104" applyNumberFormat="0" applyFont="0" applyAlignment="0" applyProtection="0"/>
    <xf numFmtId="0" fontId="1" fillId="58" borderId="104" applyNumberFormat="0" applyFont="0" applyAlignment="0" applyProtection="0"/>
    <xf numFmtId="0" fontId="1" fillId="58" borderId="104" applyNumberFormat="0" applyFont="0" applyAlignment="0" applyProtection="0"/>
    <xf numFmtId="0" fontId="1" fillId="58" borderId="104" applyNumberFormat="0" applyFont="0" applyAlignment="0" applyProtection="0"/>
    <xf numFmtId="0" fontId="1" fillId="58" borderId="104" applyNumberFormat="0" applyFont="0" applyAlignment="0" applyProtection="0"/>
    <xf numFmtId="0" fontId="1" fillId="58" borderId="104" applyNumberFormat="0" applyFont="0" applyAlignment="0" applyProtection="0"/>
    <xf numFmtId="165" fontId="1" fillId="0" borderId="0" applyFont="0" applyFill="0" applyBorder="0" applyAlignment="0" applyProtection="0"/>
    <xf numFmtId="0" fontId="1" fillId="0" borderId="0"/>
    <xf numFmtId="9" fontId="1" fillId="0" borderId="0" applyFont="0" applyFill="0" applyBorder="0" applyAlignment="0" applyProtection="0"/>
    <xf numFmtId="0" fontId="1" fillId="0" borderId="0"/>
    <xf numFmtId="0" fontId="1" fillId="0" borderId="0"/>
    <xf numFmtId="9" fontId="1" fillId="0" borderId="0" applyFont="0" applyFill="0" applyBorder="0" applyAlignment="0" applyProtection="0"/>
    <xf numFmtId="165" fontId="1"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9" fontId="1" fillId="0" borderId="0" applyFont="0" applyFill="0" applyBorder="0" applyAlignment="0" applyProtection="0"/>
    <xf numFmtId="0" fontId="1" fillId="60" borderId="0" applyNumberFormat="0" applyBorder="0" applyAlignment="0" applyProtection="0"/>
    <xf numFmtId="0" fontId="1" fillId="61" borderId="0" applyNumberFormat="0" applyBorder="0" applyAlignment="0" applyProtection="0"/>
    <xf numFmtId="0" fontId="1" fillId="64" borderId="0" applyNumberFormat="0" applyBorder="0" applyAlignment="0" applyProtection="0"/>
    <xf numFmtId="0" fontId="1" fillId="65" borderId="0" applyNumberFormat="0" applyBorder="0" applyAlignment="0" applyProtection="0"/>
    <xf numFmtId="0" fontId="1" fillId="68" borderId="0" applyNumberFormat="0" applyBorder="0" applyAlignment="0" applyProtection="0"/>
    <xf numFmtId="0" fontId="1" fillId="69" borderId="0" applyNumberFormat="0" applyBorder="0" applyAlignment="0" applyProtection="0"/>
    <xf numFmtId="0" fontId="1" fillId="72" borderId="0" applyNumberFormat="0" applyBorder="0" applyAlignment="0" applyProtection="0"/>
    <xf numFmtId="0" fontId="1" fillId="73" borderId="0" applyNumberFormat="0" applyBorder="0" applyAlignment="0" applyProtection="0"/>
    <xf numFmtId="0" fontId="1" fillId="76" borderId="0" applyNumberFormat="0" applyBorder="0" applyAlignment="0" applyProtection="0"/>
    <xf numFmtId="0" fontId="1" fillId="77" borderId="0" applyNumberFormat="0" applyBorder="0" applyAlignment="0" applyProtection="0"/>
    <xf numFmtId="0" fontId="1" fillId="80" borderId="0" applyNumberFormat="0" applyBorder="0" applyAlignment="0" applyProtection="0"/>
    <xf numFmtId="0" fontId="1" fillId="81" borderId="0" applyNumberFormat="0" applyBorder="0" applyAlignment="0" applyProtection="0"/>
    <xf numFmtId="0" fontId="1" fillId="0" borderId="0"/>
    <xf numFmtId="0" fontId="1" fillId="58" borderId="104" applyNumberFormat="0" applyFont="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65" fontId="1" fillId="0" borderId="0" applyFont="0" applyFill="0" applyBorder="0" applyAlignment="0" applyProtection="0"/>
    <xf numFmtId="9"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9" fontId="1" fillId="0" borderId="0" applyFont="0" applyFill="0" applyBorder="0" applyAlignment="0" applyProtection="0"/>
    <xf numFmtId="0" fontId="1" fillId="0" borderId="0"/>
    <xf numFmtId="0" fontId="1" fillId="0" borderId="0"/>
    <xf numFmtId="0" fontId="1" fillId="0" borderId="0"/>
    <xf numFmtId="0" fontId="1" fillId="0" borderId="0"/>
    <xf numFmtId="9" fontId="1"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165" fontId="1" fillId="0" borderId="0" applyFont="0" applyFill="0" applyBorder="0" applyAlignment="0" applyProtection="0"/>
    <xf numFmtId="41" fontId="19" fillId="0" borderId="0" applyFont="0" applyFill="0" applyBorder="0" applyAlignment="0" applyProtection="0"/>
    <xf numFmtId="41" fontId="19" fillId="0" borderId="0" applyFont="0" applyFill="0" applyBorder="0" applyAlignment="0" applyProtection="0"/>
    <xf numFmtId="41" fontId="19" fillId="0" borderId="0" applyFont="0" applyFill="0" applyBorder="0" applyAlignment="0" applyProtection="0"/>
    <xf numFmtId="41" fontId="19" fillId="0" borderId="0" applyFont="0" applyFill="0" applyBorder="0" applyAlignment="0" applyProtection="0"/>
    <xf numFmtId="41" fontId="19" fillId="0" borderId="0" applyFont="0" applyFill="0" applyBorder="0" applyAlignment="0" applyProtection="0"/>
    <xf numFmtId="41" fontId="19" fillId="0" borderId="0" applyFont="0" applyFill="0" applyBorder="0" applyAlignment="0" applyProtection="0"/>
    <xf numFmtId="41" fontId="19" fillId="0" borderId="0" applyFont="0" applyFill="0" applyBorder="0" applyAlignment="0" applyProtection="0"/>
    <xf numFmtId="41" fontId="19" fillId="0" borderId="0" applyFont="0" applyFill="0" applyBorder="0" applyAlignment="0" applyProtection="0"/>
    <xf numFmtId="41" fontId="19" fillId="0" borderId="0" applyFont="0" applyFill="0" applyBorder="0" applyAlignment="0" applyProtection="0"/>
    <xf numFmtId="41" fontId="19" fillId="0" borderId="0" applyFont="0" applyFill="0" applyBorder="0" applyAlignment="0" applyProtection="0"/>
    <xf numFmtId="41" fontId="19" fillId="0" borderId="0" applyFont="0" applyFill="0" applyBorder="0" applyAlignment="0" applyProtection="0"/>
    <xf numFmtId="41" fontId="19" fillId="0" borderId="0" applyFont="0" applyFill="0" applyBorder="0" applyAlignment="0" applyProtection="0"/>
    <xf numFmtId="41" fontId="19" fillId="0" borderId="0" applyFont="0" applyFill="0" applyBorder="0" applyAlignment="0" applyProtection="0"/>
    <xf numFmtId="41" fontId="19" fillId="0" borderId="0" applyFont="0" applyFill="0" applyBorder="0" applyAlignment="0" applyProtection="0"/>
    <xf numFmtId="41" fontId="19" fillId="0" borderId="0" applyFont="0" applyFill="0" applyBorder="0" applyAlignment="0" applyProtection="0"/>
    <xf numFmtId="41" fontId="19" fillId="0" borderId="0" applyFont="0" applyFill="0" applyBorder="0" applyAlignment="0" applyProtection="0"/>
    <xf numFmtId="41" fontId="19" fillId="0" borderId="0" applyFont="0" applyFill="0" applyBorder="0" applyAlignment="0" applyProtection="0"/>
    <xf numFmtId="41" fontId="19" fillId="0" borderId="0" applyFont="0" applyFill="0" applyBorder="0" applyAlignment="0" applyProtection="0"/>
    <xf numFmtId="41" fontId="19" fillId="0" borderId="0" applyFont="0" applyFill="0" applyBorder="0" applyAlignment="0" applyProtection="0"/>
    <xf numFmtId="41" fontId="19" fillId="0" borderId="0" applyFont="0" applyFill="0" applyBorder="0" applyAlignment="0" applyProtection="0"/>
    <xf numFmtId="41" fontId="19" fillId="0" borderId="0" applyFont="0" applyFill="0" applyBorder="0" applyAlignment="0" applyProtection="0"/>
    <xf numFmtId="41" fontId="19" fillId="0" borderId="0" applyFont="0" applyFill="0" applyBorder="0" applyAlignment="0" applyProtection="0"/>
    <xf numFmtId="41" fontId="19" fillId="0" borderId="0" applyFont="0" applyFill="0" applyBorder="0" applyAlignment="0" applyProtection="0"/>
    <xf numFmtId="41" fontId="19" fillId="0" borderId="0" applyFont="0" applyFill="0" applyBorder="0" applyAlignment="0" applyProtection="0"/>
    <xf numFmtId="41" fontId="19" fillId="0" borderId="0" applyFont="0" applyFill="0" applyBorder="0" applyAlignment="0" applyProtection="0"/>
    <xf numFmtId="41" fontId="19" fillId="0" borderId="0" applyFont="0" applyFill="0" applyBorder="0" applyAlignment="0" applyProtection="0"/>
    <xf numFmtId="41" fontId="19" fillId="0" borderId="0" applyFont="0" applyFill="0" applyBorder="0" applyAlignment="0" applyProtection="0"/>
    <xf numFmtId="41" fontId="19" fillId="0" borderId="0" applyFont="0" applyFill="0" applyBorder="0" applyAlignment="0" applyProtection="0"/>
    <xf numFmtId="41" fontId="19" fillId="0" borderId="0" applyFont="0" applyFill="0" applyBorder="0" applyAlignment="0" applyProtection="0"/>
    <xf numFmtId="41" fontId="19" fillId="0" borderId="0" applyFont="0" applyFill="0" applyBorder="0" applyAlignment="0" applyProtection="0"/>
    <xf numFmtId="41" fontId="19" fillId="0" borderId="0" applyFont="0" applyFill="0" applyBorder="0" applyAlignment="0" applyProtection="0"/>
    <xf numFmtId="41" fontId="19" fillId="0" borderId="0" applyFont="0" applyFill="0" applyBorder="0" applyAlignment="0" applyProtection="0"/>
    <xf numFmtId="41" fontId="19" fillId="0" borderId="0" applyFont="0" applyFill="0" applyBorder="0" applyAlignment="0" applyProtection="0"/>
    <xf numFmtId="41" fontId="19" fillId="0" borderId="0" applyFont="0" applyFill="0" applyBorder="0" applyAlignment="0" applyProtection="0"/>
    <xf numFmtId="41" fontId="19" fillId="0" borderId="0" applyFont="0" applyFill="0" applyBorder="0" applyAlignment="0" applyProtection="0"/>
    <xf numFmtId="41" fontId="19" fillId="0" borderId="0" applyFont="0" applyFill="0" applyBorder="0" applyAlignment="0" applyProtection="0"/>
    <xf numFmtId="41" fontId="19" fillId="0" borderId="0" applyFont="0" applyFill="0" applyBorder="0" applyAlignment="0" applyProtection="0"/>
    <xf numFmtId="41" fontId="19" fillId="0" borderId="0" applyFont="0" applyFill="0" applyBorder="0" applyAlignment="0" applyProtection="0"/>
    <xf numFmtId="41" fontId="19" fillId="0" borderId="0" applyFont="0" applyFill="0" applyBorder="0" applyAlignment="0" applyProtection="0"/>
    <xf numFmtId="41" fontId="19" fillId="0" borderId="0" applyFont="0" applyFill="0" applyBorder="0" applyAlignment="0" applyProtection="0"/>
    <xf numFmtId="41" fontId="19" fillId="0" borderId="0" applyFont="0" applyFill="0" applyBorder="0" applyAlignment="0" applyProtection="0"/>
    <xf numFmtId="41" fontId="19" fillId="0" borderId="0" applyFont="0" applyFill="0" applyBorder="0" applyAlignment="0" applyProtection="0"/>
    <xf numFmtId="41" fontId="19" fillId="0" borderId="0" applyFont="0" applyFill="0" applyBorder="0" applyAlignment="0" applyProtection="0"/>
    <xf numFmtId="41" fontId="19" fillId="0" borderId="0" applyFont="0" applyFill="0" applyBorder="0" applyAlignment="0" applyProtection="0"/>
    <xf numFmtId="41" fontId="19" fillId="0" borderId="0" applyFont="0" applyFill="0" applyBorder="0" applyAlignment="0" applyProtection="0"/>
    <xf numFmtId="41" fontId="19" fillId="0" borderId="0" applyFont="0" applyFill="0" applyBorder="0" applyAlignment="0" applyProtection="0"/>
    <xf numFmtId="41" fontId="19" fillId="0" borderId="0" applyFont="0" applyFill="0" applyBorder="0" applyAlignment="0" applyProtection="0"/>
    <xf numFmtId="41" fontId="19" fillId="0" borderId="0" applyFont="0" applyFill="0" applyBorder="0" applyAlignment="0" applyProtection="0"/>
    <xf numFmtId="41" fontId="19" fillId="0" borderId="0" applyFont="0" applyFill="0" applyBorder="0" applyAlignment="0" applyProtection="0"/>
    <xf numFmtId="41" fontId="19" fillId="0" borderId="0" applyFont="0" applyFill="0" applyBorder="0" applyAlignment="0" applyProtection="0"/>
    <xf numFmtId="41" fontId="19" fillId="0" borderId="0" applyFont="0" applyFill="0" applyBorder="0" applyAlignment="0" applyProtection="0"/>
    <xf numFmtId="41" fontId="19" fillId="0" borderId="0" applyFont="0" applyFill="0" applyBorder="0" applyAlignment="0" applyProtection="0"/>
    <xf numFmtId="41" fontId="19" fillId="0" borderId="0" applyFont="0" applyFill="0" applyBorder="0" applyAlignment="0" applyProtection="0"/>
    <xf numFmtId="41" fontId="19" fillId="0" borderId="0" applyFont="0" applyFill="0" applyBorder="0" applyAlignment="0" applyProtection="0"/>
    <xf numFmtId="41" fontId="19" fillId="0" borderId="0" applyFont="0" applyFill="0" applyBorder="0" applyAlignment="0" applyProtection="0"/>
    <xf numFmtId="41" fontId="19" fillId="0" borderId="0" applyFont="0" applyFill="0" applyBorder="0" applyAlignment="0" applyProtection="0"/>
    <xf numFmtId="41" fontId="19" fillId="0" borderId="0" applyFont="0" applyFill="0" applyBorder="0" applyAlignment="0" applyProtection="0"/>
    <xf numFmtId="41" fontId="19"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38"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38"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38"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38"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38"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38"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38"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38"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38"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38"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38"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38"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38"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38"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38"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38"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38"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38"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38"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38"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38"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38"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38"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38"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38"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38"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38"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38"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38"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38"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38"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38"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38"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38"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38"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38"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38"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38"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38"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38"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38"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38"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38"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38"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38"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38"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38"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38"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38"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38"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38"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38"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38"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38"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38"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38"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38"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38"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38"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38"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38"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38"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38"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38"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38"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38"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38"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38"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38"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38"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38"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38"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38"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38"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38"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38"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38"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38"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38"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38"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38"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38"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38"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38"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38"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38"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38"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38"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38"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38"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38"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38"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38"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38"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38"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38"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38"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38"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38"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38"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38"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38"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38"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38"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38"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38"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38"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38"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38"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38"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38"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38"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38"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38"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38"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38"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38"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38"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38"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38" fillId="0" borderId="0" applyFont="0" applyFill="0" applyBorder="0" applyAlignment="0" applyProtection="0"/>
    <xf numFmtId="0" fontId="1" fillId="0" borderId="0"/>
    <xf numFmtId="0" fontId="1" fillId="0" borderId="0"/>
    <xf numFmtId="0" fontId="1" fillId="0" borderId="0"/>
    <xf numFmtId="0" fontId="1" fillId="0" borderId="0"/>
    <xf numFmtId="9" fontId="1" fillId="0" borderId="0" applyFont="0" applyFill="0" applyBorder="0" applyAlignment="0" applyProtection="0"/>
    <xf numFmtId="0" fontId="1" fillId="0" borderId="0"/>
    <xf numFmtId="165" fontId="1" fillId="0" borderId="0" applyFont="0" applyFill="0" applyBorder="0" applyAlignment="0" applyProtection="0"/>
    <xf numFmtId="41" fontId="19" fillId="0" borderId="0" applyFont="0" applyFill="0" applyBorder="0" applyAlignment="0" applyProtection="0"/>
    <xf numFmtId="41" fontId="19" fillId="0" borderId="0" applyFont="0" applyFill="0" applyBorder="0" applyAlignment="0" applyProtection="0"/>
    <xf numFmtId="41" fontId="19" fillId="0" borderId="0" applyFont="0" applyFill="0" applyBorder="0" applyAlignment="0" applyProtection="0"/>
    <xf numFmtId="41" fontId="19" fillId="0" borderId="0" applyFont="0" applyFill="0" applyBorder="0" applyAlignment="0" applyProtection="0"/>
    <xf numFmtId="41" fontId="19" fillId="0" borderId="0" applyFont="0" applyFill="0" applyBorder="0" applyAlignment="0" applyProtection="0"/>
    <xf numFmtId="41" fontId="19" fillId="0" borderId="0" applyFont="0" applyFill="0" applyBorder="0" applyAlignment="0" applyProtection="0"/>
    <xf numFmtId="41" fontId="19" fillId="0" borderId="0" applyFont="0" applyFill="0" applyBorder="0" applyAlignment="0" applyProtection="0"/>
    <xf numFmtId="41" fontId="19" fillId="0" borderId="0" applyFont="0" applyFill="0" applyBorder="0" applyAlignment="0" applyProtection="0"/>
    <xf numFmtId="41" fontId="19" fillId="0" borderId="0" applyFont="0" applyFill="0" applyBorder="0" applyAlignment="0" applyProtection="0"/>
    <xf numFmtId="41" fontId="19" fillId="0" borderId="0" applyFont="0" applyFill="0" applyBorder="0" applyAlignment="0" applyProtection="0"/>
    <xf numFmtId="41" fontId="19" fillId="0" borderId="0" applyFont="0" applyFill="0" applyBorder="0" applyAlignment="0" applyProtection="0"/>
    <xf numFmtId="41" fontId="19" fillId="0" borderId="0" applyFont="0" applyFill="0" applyBorder="0" applyAlignment="0" applyProtection="0"/>
    <xf numFmtId="41" fontId="19" fillId="0" borderId="0" applyFont="0" applyFill="0" applyBorder="0" applyAlignment="0" applyProtection="0"/>
    <xf numFmtId="41" fontId="19" fillId="0" borderId="0" applyFont="0" applyFill="0" applyBorder="0" applyAlignment="0" applyProtection="0"/>
    <xf numFmtId="41" fontId="19" fillId="0" borderId="0" applyFont="0" applyFill="0" applyBorder="0" applyAlignment="0" applyProtection="0"/>
    <xf numFmtId="41" fontId="19" fillId="0" borderId="0" applyFont="0" applyFill="0" applyBorder="0" applyAlignment="0" applyProtection="0"/>
    <xf numFmtId="41" fontId="19" fillId="0" borderId="0" applyFont="0" applyFill="0" applyBorder="0" applyAlignment="0" applyProtection="0"/>
    <xf numFmtId="41" fontId="19" fillId="0" borderId="0" applyFont="0" applyFill="0" applyBorder="0" applyAlignment="0" applyProtection="0"/>
    <xf numFmtId="41" fontId="19" fillId="0" borderId="0" applyFont="0" applyFill="0" applyBorder="0" applyAlignment="0" applyProtection="0"/>
    <xf numFmtId="41" fontId="19" fillId="0" borderId="0" applyFont="0" applyFill="0" applyBorder="0" applyAlignment="0" applyProtection="0"/>
    <xf numFmtId="41" fontId="19" fillId="0" borderId="0" applyFont="0" applyFill="0" applyBorder="0" applyAlignment="0" applyProtection="0"/>
    <xf numFmtId="41" fontId="19" fillId="0" borderId="0" applyFont="0" applyFill="0" applyBorder="0" applyAlignment="0" applyProtection="0"/>
    <xf numFmtId="41" fontId="19" fillId="0" borderId="0" applyFont="0" applyFill="0" applyBorder="0" applyAlignment="0" applyProtection="0"/>
    <xf numFmtId="41" fontId="19" fillId="0" borderId="0" applyFont="0" applyFill="0" applyBorder="0" applyAlignment="0" applyProtection="0"/>
    <xf numFmtId="41" fontId="19" fillId="0" borderId="0" applyFont="0" applyFill="0" applyBorder="0" applyAlignment="0" applyProtection="0"/>
    <xf numFmtId="41" fontId="19" fillId="0" borderId="0" applyFont="0" applyFill="0" applyBorder="0" applyAlignment="0" applyProtection="0"/>
    <xf numFmtId="41" fontId="19" fillId="0" borderId="0" applyFont="0" applyFill="0" applyBorder="0" applyAlignment="0" applyProtection="0"/>
    <xf numFmtId="41" fontId="19" fillId="0" borderId="0" applyFont="0" applyFill="0" applyBorder="0" applyAlignment="0" applyProtection="0"/>
    <xf numFmtId="41" fontId="19" fillId="0" borderId="0" applyFont="0" applyFill="0" applyBorder="0" applyAlignment="0" applyProtection="0"/>
    <xf numFmtId="41" fontId="19" fillId="0" borderId="0" applyFont="0" applyFill="0" applyBorder="0" applyAlignment="0" applyProtection="0"/>
    <xf numFmtId="41" fontId="19" fillId="0" borderId="0" applyFont="0" applyFill="0" applyBorder="0" applyAlignment="0" applyProtection="0"/>
    <xf numFmtId="41" fontId="19" fillId="0" borderId="0" applyFont="0" applyFill="0" applyBorder="0" applyAlignment="0" applyProtection="0"/>
    <xf numFmtId="41" fontId="19" fillId="0" borderId="0" applyFont="0" applyFill="0" applyBorder="0" applyAlignment="0" applyProtection="0"/>
    <xf numFmtId="41" fontId="19" fillId="0" borderId="0" applyFont="0" applyFill="0" applyBorder="0" applyAlignment="0" applyProtection="0"/>
    <xf numFmtId="41" fontId="19" fillId="0" borderId="0" applyFont="0" applyFill="0" applyBorder="0" applyAlignment="0" applyProtection="0"/>
    <xf numFmtId="41" fontId="19" fillId="0" borderId="0" applyFont="0" applyFill="0" applyBorder="0" applyAlignment="0" applyProtection="0"/>
    <xf numFmtId="41" fontId="19" fillId="0" borderId="0" applyFont="0" applyFill="0" applyBorder="0" applyAlignment="0" applyProtection="0"/>
    <xf numFmtId="41" fontId="19" fillId="0" borderId="0" applyFont="0" applyFill="0" applyBorder="0" applyAlignment="0" applyProtection="0"/>
    <xf numFmtId="41" fontId="19" fillId="0" borderId="0" applyFont="0" applyFill="0" applyBorder="0" applyAlignment="0" applyProtection="0"/>
    <xf numFmtId="41" fontId="19" fillId="0" borderId="0" applyFont="0" applyFill="0" applyBorder="0" applyAlignment="0" applyProtection="0"/>
    <xf numFmtId="41" fontId="19" fillId="0" borderId="0" applyFont="0" applyFill="0" applyBorder="0" applyAlignment="0" applyProtection="0"/>
    <xf numFmtId="41" fontId="19" fillId="0" borderId="0" applyFont="0" applyFill="0" applyBorder="0" applyAlignment="0" applyProtection="0"/>
    <xf numFmtId="41" fontId="19" fillId="0" borderId="0" applyFont="0" applyFill="0" applyBorder="0" applyAlignment="0" applyProtection="0"/>
    <xf numFmtId="41" fontId="19" fillId="0" borderId="0" applyFont="0" applyFill="0" applyBorder="0" applyAlignment="0" applyProtection="0"/>
    <xf numFmtId="41" fontId="19" fillId="0" borderId="0" applyFont="0" applyFill="0" applyBorder="0" applyAlignment="0" applyProtection="0"/>
    <xf numFmtId="41" fontId="19" fillId="0" borderId="0" applyFont="0" applyFill="0" applyBorder="0" applyAlignment="0" applyProtection="0"/>
    <xf numFmtId="41" fontId="19" fillId="0" borderId="0" applyFont="0" applyFill="0" applyBorder="0" applyAlignment="0" applyProtection="0"/>
    <xf numFmtId="41" fontId="19" fillId="0" borderId="0" applyFont="0" applyFill="0" applyBorder="0" applyAlignment="0" applyProtection="0"/>
    <xf numFmtId="41" fontId="19" fillId="0" borderId="0" applyFont="0" applyFill="0" applyBorder="0" applyAlignment="0" applyProtection="0"/>
    <xf numFmtId="41" fontId="19" fillId="0" borderId="0" applyFont="0" applyFill="0" applyBorder="0" applyAlignment="0" applyProtection="0"/>
    <xf numFmtId="41" fontId="19" fillId="0" borderId="0" applyFont="0" applyFill="0" applyBorder="0" applyAlignment="0" applyProtection="0"/>
    <xf numFmtId="41" fontId="19" fillId="0" borderId="0" applyFont="0" applyFill="0" applyBorder="0" applyAlignment="0" applyProtection="0"/>
    <xf numFmtId="41" fontId="19" fillId="0" borderId="0" applyFont="0" applyFill="0" applyBorder="0" applyAlignment="0" applyProtection="0"/>
    <xf numFmtId="41" fontId="19" fillId="0" borderId="0" applyFont="0" applyFill="0" applyBorder="0" applyAlignment="0" applyProtection="0"/>
    <xf numFmtId="41" fontId="19" fillId="0" borderId="0" applyFont="0" applyFill="0" applyBorder="0" applyAlignment="0" applyProtection="0"/>
    <xf numFmtId="41" fontId="19" fillId="0" borderId="0" applyFont="0" applyFill="0" applyBorder="0" applyAlignment="0" applyProtection="0"/>
    <xf numFmtId="41" fontId="19" fillId="0" borderId="0" applyFont="0" applyFill="0" applyBorder="0" applyAlignment="0" applyProtection="0"/>
    <xf numFmtId="41" fontId="19"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0" fontId="1" fillId="0" borderId="0"/>
    <xf numFmtId="0" fontId="1" fillId="0" borderId="0"/>
    <xf numFmtId="0" fontId="1" fillId="0" borderId="0"/>
    <xf numFmtId="0" fontId="1" fillId="0" borderId="0"/>
    <xf numFmtId="9" fontId="1" fillId="0" borderId="0" applyFont="0" applyFill="0" applyBorder="0" applyAlignment="0" applyProtection="0"/>
    <xf numFmtId="0" fontId="1" fillId="0" borderId="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0" fontId="1" fillId="0" borderId="0"/>
    <xf numFmtId="0" fontId="1" fillId="0" borderId="0"/>
    <xf numFmtId="0" fontId="1" fillId="0" borderId="0"/>
    <xf numFmtId="0" fontId="1" fillId="0" borderId="0"/>
    <xf numFmtId="9" fontId="1" fillId="0" borderId="0" applyFont="0" applyFill="0" applyBorder="0" applyAlignment="0" applyProtection="0"/>
    <xf numFmtId="0" fontId="1" fillId="0" borderId="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0" fontId="1" fillId="0" borderId="0"/>
    <xf numFmtId="0" fontId="1" fillId="0" borderId="0"/>
    <xf numFmtId="0" fontId="1" fillId="0" borderId="0"/>
    <xf numFmtId="0" fontId="1" fillId="0" borderId="0"/>
    <xf numFmtId="9" fontId="1" fillId="0" borderId="0" applyFont="0" applyFill="0" applyBorder="0" applyAlignment="0" applyProtection="0"/>
    <xf numFmtId="0" fontId="1" fillId="0" borderId="0"/>
    <xf numFmtId="165" fontId="1" fillId="0" borderId="0" applyFont="0" applyFill="0" applyBorder="0" applyAlignment="0" applyProtection="0"/>
    <xf numFmtId="0" fontId="1" fillId="0" borderId="0"/>
    <xf numFmtId="9"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165"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43" fontId="10" fillId="0" borderId="0" applyFont="0" applyFill="0" applyBorder="0" applyAlignment="0" applyProtection="0"/>
    <xf numFmtId="43" fontId="38" fillId="0" borderId="0" applyFont="0" applyFill="0" applyBorder="0" applyAlignment="0" applyProtection="0"/>
    <xf numFmtId="43" fontId="38" fillId="0" borderId="0" applyFont="0" applyFill="0" applyBorder="0" applyAlignment="0" applyProtection="0"/>
    <xf numFmtId="43" fontId="38" fillId="0" borderId="0" applyFont="0" applyFill="0" applyBorder="0" applyAlignment="0" applyProtection="0"/>
    <xf numFmtId="43" fontId="38" fillId="0" borderId="0" applyFont="0" applyFill="0" applyBorder="0" applyAlignment="0" applyProtection="0"/>
    <xf numFmtId="43" fontId="1" fillId="0" borderId="0" applyFont="0" applyFill="0" applyBorder="0" applyAlignment="0" applyProtection="0"/>
    <xf numFmtId="43" fontId="10" fillId="0" borderId="0" applyFont="0" applyFill="0" applyBorder="0" applyAlignment="0" applyProtection="0"/>
    <xf numFmtId="41" fontId="19" fillId="0" borderId="0" applyFont="0" applyFill="0" applyBorder="0" applyAlignment="0" applyProtection="0"/>
    <xf numFmtId="41" fontId="19" fillId="0" borderId="0" applyFont="0" applyFill="0" applyBorder="0" applyAlignment="0" applyProtection="0"/>
    <xf numFmtId="41" fontId="19" fillId="0" borderId="0" applyFont="0" applyFill="0" applyBorder="0" applyAlignment="0" applyProtection="0"/>
    <xf numFmtId="41" fontId="19" fillId="0" borderId="0" applyFont="0" applyFill="0" applyBorder="0" applyAlignment="0" applyProtection="0"/>
    <xf numFmtId="41" fontId="19" fillId="0" borderId="0" applyFont="0" applyFill="0" applyBorder="0" applyAlignment="0" applyProtection="0"/>
    <xf numFmtId="41" fontId="19" fillId="0" borderId="0" applyFont="0" applyFill="0" applyBorder="0" applyAlignment="0" applyProtection="0"/>
    <xf numFmtId="41" fontId="19" fillId="0" borderId="0" applyFont="0" applyFill="0" applyBorder="0" applyAlignment="0" applyProtection="0"/>
    <xf numFmtId="41" fontId="19" fillId="0" borderId="0" applyFont="0" applyFill="0" applyBorder="0" applyAlignment="0" applyProtection="0"/>
    <xf numFmtId="41" fontId="19" fillId="0" borderId="0" applyFont="0" applyFill="0" applyBorder="0" applyAlignment="0" applyProtection="0"/>
    <xf numFmtId="41" fontId="19" fillId="0" borderId="0" applyFont="0" applyFill="0" applyBorder="0" applyAlignment="0" applyProtection="0"/>
    <xf numFmtId="41" fontId="19" fillId="0" borderId="0" applyFont="0" applyFill="0" applyBorder="0" applyAlignment="0" applyProtection="0"/>
    <xf numFmtId="41" fontId="19" fillId="0" borderId="0" applyFont="0" applyFill="0" applyBorder="0" applyAlignment="0" applyProtection="0"/>
    <xf numFmtId="41" fontId="19" fillId="0" borderId="0" applyFont="0" applyFill="0" applyBorder="0" applyAlignment="0" applyProtection="0"/>
    <xf numFmtId="41" fontId="19" fillId="0" borderId="0" applyFont="0" applyFill="0" applyBorder="0" applyAlignment="0" applyProtection="0"/>
    <xf numFmtId="41" fontId="19" fillId="0" borderId="0" applyFont="0" applyFill="0" applyBorder="0" applyAlignment="0" applyProtection="0"/>
    <xf numFmtId="41" fontId="19" fillId="0" borderId="0" applyFont="0" applyFill="0" applyBorder="0" applyAlignment="0" applyProtection="0"/>
    <xf numFmtId="41" fontId="19" fillId="0" borderId="0" applyFont="0" applyFill="0" applyBorder="0" applyAlignment="0" applyProtection="0"/>
    <xf numFmtId="41" fontId="19" fillId="0" borderId="0" applyFont="0" applyFill="0" applyBorder="0" applyAlignment="0" applyProtection="0"/>
    <xf numFmtId="41" fontId="19" fillId="0" borderId="0" applyFont="0" applyFill="0" applyBorder="0" applyAlignment="0" applyProtection="0"/>
    <xf numFmtId="41" fontId="19" fillId="0" borderId="0" applyFont="0" applyFill="0" applyBorder="0" applyAlignment="0" applyProtection="0"/>
    <xf numFmtId="41" fontId="19" fillId="0" borderId="0" applyFont="0" applyFill="0" applyBorder="0" applyAlignment="0" applyProtection="0"/>
    <xf numFmtId="41" fontId="19" fillId="0" borderId="0" applyFont="0" applyFill="0" applyBorder="0" applyAlignment="0" applyProtection="0"/>
    <xf numFmtId="41" fontId="19" fillId="0" borderId="0" applyFont="0" applyFill="0" applyBorder="0" applyAlignment="0" applyProtection="0"/>
    <xf numFmtId="41" fontId="19" fillId="0" borderId="0" applyFont="0" applyFill="0" applyBorder="0" applyAlignment="0" applyProtection="0"/>
    <xf numFmtId="41" fontId="19" fillId="0" borderId="0" applyFont="0" applyFill="0" applyBorder="0" applyAlignment="0" applyProtection="0"/>
    <xf numFmtId="41" fontId="19" fillId="0" borderId="0" applyFont="0" applyFill="0" applyBorder="0" applyAlignment="0" applyProtection="0"/>
    <xf numFmtId="41" fontId="19" fillId="0" borderId="0" applyFont="0" applyFill="0" applyBorder="0" applyAlignment="0" applyProtection="0"/>
    <xf numFmtId="41" fontId="19" fillId="0" borderId="0" applyFont="0" applyFill="0" applyBorder="0" applyAlignment="0" applyProtection="0"/>
    <xf numFmtId="41" fontId="19" fillId="0" borderId="0" applyFont="0" applyFill="0" applyBorder="0" applyAlignment="0" applyProtection="0"/>
    <xf numFmtId="41" fontId="19" fillId="0" borderId="0" applyFont="0" applyFill="0" applyBorder="0" applyAlignment="0" applyProtection="0"/>
    <xf numFmtId="41" fontId="19" fillId="0" borderId="0" applyFont="0" applyFill="0" applyBorder="0" applyAlignment="0" applyProtection="0"/>
    <xf numFmtId="41" fontId="19" fillId="0" borderId="0" applyFont="0" applyFill="0" applyBorder="0" applyAlignment="0" applyProtection="0"/>
    <xf numFmtId="41" fontId="19" fillId="0" borderId="0" applyFont="0" applyFill="0" applyBorder="0" applyAlignment="0" applyProtection="0"/>
    <xf numFmtId="41" fontId="19" fillId="0" borderId="0" applyFont="0" applyFill="0" applyBorder="0" applyAlignment="0" applyProtection="0"/>
    <xf numFmtId="41" fontId="19" fillId="0" borderId="0" applyFont="0" applyFill="0" applyBorder="0" applyAlignment="0" applyProtection="0"/>
    <xf numFmtId="41" fontId="19" fillId="0" borderId="0" applyFont="0" applyFill="0" applyBorder="0" applyAlignment="0" applyProtection="0"/>
    <xf numFmtId="41" fontId="19" fillId="0" borderId="0" applyFont="0" applyFill="0" applyBorder="0" applyAlignment="0" applyProtection="0"/>
    <xf numFmtId="41" fontId="19" fillId="0" borderId="0" applyFont="0" applyFill="0" applyBorder="0" applyAlignment="0" applyProtection="0"/>
    <xf numFmtId="41" fontId="19" fillId="0" borderId="0" applyFont="0" applyFill="0" applyBorder="0" applyAlignment="0" applyProtection="0"/>
    <xf numFmtId="41" fontId="19" fillId="0" borderId="0" applyFont="0" applyFill="0" applyBorder="0" applyAlignment="0" applyProtection="0"/>
    <xf numFmtId="41" fontId="19" fillId="0" borderId="0" applyFont="0" applyFill="0" applyBorder="0" applyAlignment="0" applyProtection="0"/>
    <xf numFmtId="41" fontId="19" fillId="0" borderId="0" applyFont="0" applyFill="0" applyBorder="0" applyAlignment="0" applyProtection="0"/>
    <xf numFmtId="41" fontId="19" fillId="0" borderId="0" applyFont="0" applyFill="0" applyBorder="0" applyAlignment="0" applyProtection="0"/>
    <xf numFmtId="41" fontId="19" fillId="0" borderId="0" applyFont="0" applyFill="0" applyBorder="0" applyAlignment="0" applyProtection="0"/>
    <xf numFmtId="41" fontId="19" fillId="0" borderId="0" applyFont="0" applyFill="0" applyBorder="0" applyAlignment="0" applyProtection="0"/>
    <xf numFmtId="41" fontId="19" fillId="0" borderId="0" applyFont="0" applyFill="0" applyBorder="0" applyAlignment="0" applyProtection="0"/>
    <xf numFmtId="41" fontId="19" fillId="0" borderId="0" applyFont="0" applyFill="0" applyBorder="0" applyAlignment="0" applyProtection="0"/>
    <xf numFmtId="41" fontId="19" fillId="0" borderId="0" applyFont="0" applyFill="0" applyBorder="0" applyAlignment="0" applyProtection="0"/>
    <xf numFmtId="41" fontId="19" fillId="0" borderId="0" applyFont="0" applyFill="0" applyBorder="0" applyAlignment="0" applyProtection="0"/>
    <xf numFmtId="41" fontId="19" fillId="0" borderId="0" applyFont="0" applyFill="0" applyBorder="0" applyAlignment="0" applyProtection="0"/>
    <xf numFmtId="41" fontId="19" fillId="0" borderId="0" applyFont="0" applyFill="0" applyBorder="0" applyAlignment="0" applyProtection="0"/>
    <xf numFmtId="41" fontId="19" fillId="0" borderId="0" applyFont="0" applyFill="0" applyBorder="0" applyAlignment="0" applyProtection="0"/>
    <xf numFmtId="41" fontId="19" fillId="0" borderId="0" applyFont="0" applyFill="0" applyBorder="0" applyAlignment="0" applyProtection="0"/>
    <xf numFmtId="41" fontId="19" fillId="0" borderId="0" applyFont="0" applyFill="0" applyBorder="0" applyAlignment="0" applyProtection="0"/>
    <xf numFmtId="41" fontId="19" fillId="0" borderId="0" applyFont="0" applyFill="0" applyBorder="0" applyAlignment="0" applyProtection="0"/>
    <xf numFmtId="41" fontId="19" fillId="0" borderId="0" applyFont="0" applyFill="0" applyBorder="0" applyAlignment="0" applyProtection="0"/>
    <xf numFmtId="41" fontId="19" fillId="0" borderId="0" applyFont="0" applyFill="0" applyBorder="0" applyAlignment="0" applyProtection="0"/>
    <xf numFmtId="41" fontId="19"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38" fillId="0" borderId="0" applyFont="0" applyFill="0" applyBorder="0" applyAlignment="0" applyProtection="0"/>
    <xf numFmtId="43" fontId="38"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38" fillId="0" borderId="0" applyFont="0" applyFill="0" applyBorder="0" applyAlignment="0" applyProtection="0"/>
    <xf numFmtId="43" fontId="38"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38" fillId="0" borderId="0" applyFont="0" applyFill="0" applyBorder="0" applyAlignment="0" applyProtection="0"/>
    <xf numFmtId="43" fontId="38"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38" fillId="0" borderId="0" applyFont="0" applyFill="0" applyBorder="0" applyAlignment="0" applyProtection="0"/>
    <xf numFmtId="43" fontId="38"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38" fillId="0" borderId="0" applyFont="0" applyFill="0" applyBorder="0" applyAlignment="0" applyProtection="0"/>
    <xf numFmtId="43" fontId="38"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38" fillId="0" borderId="0" applyFont="0" applyFill="0" applyBorder="0" applyAlignment="0" applyProtection="0"/>
    <xf numFmtId="43" fontId="38"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38" fillId="0" borderId="0" applyFont="0" applyFill="0" applyBorder="0" applyAlignment="0" applyProtection="0"/>
    <xf numFmtId="43" fontId="38"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38" fillId="0" borderId="0" applyFont="0" applyFill="0" applyBorder="0" applyAlignment="0" applyProtection="0"/>
    <xf numFmtId="43" fontId="38"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38" fillId="0" borderId="0" applyFont="0" applyFill="0" applyBorder="0" applyAlignment="0" applyProtection="0"/>
    <xf numFmtId="43" fontId="38"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38" fillId="0" borderId="0" applyFont="0" applyFill="0" applyBorder="0" applyAlignment="0" applyProtection="0"/>
    <xf numFmtId="43" fontId="38"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38" fillId="0" borderId="0" applyFont="0" applyFill="0" applyBorder="0" applyAlignment="0" applyProtection="0"/>
    <xf numFmtId="43" fontId="38"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38" fillId="0" borderId="0" applyFont="0" applyFill="0" applyBorder="0" applyAlignment="0" applyProtection="0"/>
    <xf numFmtId="43" fontId="38"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38" fillId="0" borderId="0" applyFont="0" applyFill="0" applyBorder="0" applyAlignment="0" applyProtection="0"/>
    <xf numFmtId="43" fontId="38"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38" fillId="0" borderId="0" applyFont="0" applyFill="0" applyBorder="0" applyAlignment="0" applyProtection="0"/>
    <xf numFmtId="43" fontId="38"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38" fillId="0" borderId="0" applyFont="0" applyFill="0" applyBorder="0" applyAlignment="0" applyProtection="0"/>
    <xf numFmtId="43" fontId="38"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38" fillId="0" borderId="0" applyFont="0" applyFill="0" applyBorder="0" applyAlignment="0" applyProtection="0"/>
    <xf numFmtId="43" fontId="38"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38" fillId="0" borderId="0" applyFont="0" applyFill="0" applyBorder="0" applyAlignment="0" applyProtection="0"/>
    <xf numFmtId="43" fontId="38"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38" fillId="0" borderId="0" applyFont="0" applyFill="0" applyBorder="0" applyAlignment="0" applyProtection="0"/>
    <xf numFmtId="43" fontId="38"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38" fillId="0" borderId="0" applyFont="0" applyFill="0" applyBorder="0" applyAlignment="0" applyProtection="0"/>
    <xf numFmtId="43" fontId="38"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38" fillId="0" borderId="0" applyFont="0" applyFill="0" applyBorder="0" applyAlignment="0" applyProtection="0"/>
    <xf numFmtId="43" fontId="38"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38" fillId="0" borderId="0" applyFont="0" applyFill="0" applyBorder="0" applyAlignment="0" applyProtection="0"/>
    <xf numFmtId="43" fontId="38"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38" fillId="0" borderId="0" applyFont="0" applyFill="0" applyBorder="0" applyAlignment="0" applyProtection="0"/>
    <xf numFmtId="43" fontId="38"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38" fillId="0" borderId="0" applyFont="0" applyFill="0" applyBorder="0" applyAlignment="0" applyProtection="0"/>
    <xf numFmtId="43" fontId="38"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38" fillId="0" borderId="0" applyFont="0" applyFill="0" applyBorder="0" applyAlignment="0" applyProtection="0"/>
    <xf numFmtId="43" fontId="38"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38" fillId="0" borderId="0" applyFont="0" applyFill="0" applyBorder="0" applyAlignment="0" applyProtection="0"/>
    <xf numFmtId="43" fontId="38"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38" fillId="0" borderId="0" applyFont="0" applyFill="0" applyBorder="0" applyAlignment="0" applyProtection="0"/>
    <xf numFmtId="43" fontId="38"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38" fillId="0" borderId="0" applyFont="0" applyFill="0" applyBorder="0" applyAlignment="0" applyProtection="0"/>
    <xf numFmtId="43" fontId="38"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38" fillId="0" borderId="0" applyFont="0" applyFill="0" applyBorder="0" applyAlignment="0" applyProtection="0"/>
    <xf numFmtId="43" fontId="38"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38" fillId="0" borderId="0" applyFont="0" applyFill="0" applyBorder="0" applyAlignment="0" applyProtection="0"/>
    <xf numFmtId="43" fontId="38"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38" fillId="0" borderId="0" applyFont="0" applyFill="0" applyBorder="0" applyAlignment="0" applyProtection="0"/>
    <xf numFmtId="43" fontId="38"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38" fillId="0" borderId="0" applyFont="0" applyFill="0" applyBorder="0" applyAlignment="0" applyProtection="0"/>
    <xf numFmtId="43" fontId="38"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38" fillId="0" borderId="0" applyFont="0" applyFill="0" applyBorder="0" applyAlignment="0" applyProtection="0"/>
    <xf numFmtId="43" fontId="38"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38" fillId="0" borderId="0" applyFont="0" applyFill="0" applyBorder="0" applyAlignment="0" applyProtection="0"/>
    <xf numFmtId="43" fontId="38"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38" fillId="0" borderId="0" applyFont="0" applyFill="0" applyBorder="0" applyAlignment="0" applyProtection="0"/>
    <xf numFmtId="43" fontId="38"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38" fillId="0" borderId="0" applyFont="0" applyFill="0" applyBorder="0" applyAlignment="0" applyProtection="0"/>
    <xf numFmtId="43" fontId="38"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38" fillId="0" borderId="0" applyFont="0" applyFill="0" applyBorder="0" applyAlignment="0" applyProtection="0"/>
    <xf numFmtId="43" fontId="38"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38" fillId="0" borderId="0" applyFont="0" applyFill="0" applyBorder="0" applyAlignment="0" applyProtection="0"/>
    <xf numFmtId="43" fontId="38"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38" fillId="0" borderId="0" applyFont="0" applyFill="0" applyBorder="0" applyAlignment="0" applyProtection="0"/>
    <xf numFmtId="43" fontId="38"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38" fillId="0" borderId="0" applyFont="0" applyFill="0" applyBorder="0" applyAlignment="0" applyProtection="0"/>
    <xf numFmtId="43" fontId="38"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38" fillId="0" borderId="0" applyFont="0" applyFill="0" applyBorder="0" applyAlignment="0" applyProtection="0"/>
    <xf numFmtId="43" fontId="38"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38" fillId="0" borderId="0" applyFont="0" applyFill="0" applyBorder="0" applyAlignment="0" applyProtection="0"/>
    <xf numFmtId="43" fontId="38"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38" fillId="0" borderId="0" applyFont="0" applyFill="0" applyBorder="0" applyAlignment="0" applyProtection="0"/>
    <xf numFmtId="43" fontId="38"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38" fillId="0" borderId="0" applyFont="0" applyFill="0" applyBorder="0" applyAlignment="0" applyProtection="0"/>
    <xf numFmtId="43" fontId="38"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38" fillId="0" borderId="0" applyFont="0" applyFill="0" applyBorder="0" applyAlignment="0" applyProtection="0"/>
    <xf numFmtId="43" fontId="38"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38" fillId="0" borderId="0" applyFont="0" applyFill="0" applyBorder="0" applyAlignment="0" applyProtection="0"/>
    <xf numFmtId="43" fontId="38"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38" fillId="0" borderId="0" applyFont="0" applyFill="0" applyBorder="0" applyAlignment="0" applyProtection="0"/>
    <xf numFmtId="43" fontId="38"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38" fillId="0" borderId="0" applyFont="0" applyFill="0" applyBorder="0" applyAlignment="0" applyProtection="0"/>
    <xf numFmtId="43" fontId="38"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38" fillId="0" borderId="0" applyFont="0" applyFill="0" applyBorder="0" applyAlignment="0" applyProtection="0"/>
    <xf numFmtId="43" fontId="38"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38" fillId="0" borderId="0" applyFont="0" applyFill="0" applyBorder="0" applyAlignment="0" applyProtection="0"/>
    <xf numFmtId="43" fontId="38"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38" fillId="0" borderId="0" applyFont="0" applyFill="0" applyBorder="0" applyAlignment="0" applyProtection="0"/>
    <xf numFmtId="43" fontId="38"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38" fillId="0" borderId="0" applyFont="0" applyFill="0" applyBorder="0" applyAlignment="0" applyProtection="0"/>
    <xf numFmtId="43" fontId="38"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38" fillId="0" borderId="0" applyFont="0" applyFill="0" applyBorder="0" applyAlignment="0" applyProtection="0"/>
    <xf numFmtId="43" fontId="38"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38" fillId="0" borderId="0" applyFont="0" applyFill="0" applyBorder="0" applyAlignment="0" applyProtection="0"/>
    <xf numFmtId="43" fontId="38"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38" fillId="0" borderId="0" applyFont="0" applyFill="0" applyBorder="0" applyAlignment="0" applyProtection="0"/>
    <xf numFmtId="43" fontId="38"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38" fillId="0" borderId="0" applyFont="0" applyFill="0" applyBorder="0" applyAlignment="0" applyProtection="0"/>
    <xf numFmtId="43" fontId="38"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38" fillId="0" borderId="0" applyFont="0" applyFill="0" applyBorder="0" applyAlignment="0" applyProtection="0"/>
    <xf numFmtId="43" fontId="38"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38" fillId="0" borderId="0" applyFont="0" applyFill="0" applyBorder="0" applyAlignment="0" applyProtection="0"/>
    <xf numFmtId="43" fontId="38"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38" fillId="0" borderId="0" applyFont="0" applyFill="0" applyBorder="0" applyAlignment="0" applyProtection="0"/>
    <xf numFmtId="43" fontId="38"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38" fillId="0" borderId="0" applyFont="0" applyFill="0" applyBorder="0" applyAlignment="0" applyProtection="0"/>
    <xf numFmtId="43" fontId="38"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38" fillId="0" borderId="0" applyFont="0" applyFill="0" applyBorder="0" applyAlignment="0" applyProtection="0"/>
    <xf numFmtId="43" fontId="38"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9" fontId="1" fillId="0" borderId="0" applyFont="0" applyFill="0" applyBorder="0" applyAlignment="0" applyProtection="0"/>
    <xf numFmtId="0" fontId="1" fillId="60" borderId="0" applyNumberFormat="0" applyBorder="0" applyAlignment="0" applyProtection="0"/>
    <xf numFmtId="0" fontId="1" fillId="61" borderId="0" applyNumberFormat="0" applyBorder="0" applyAlignment="0" applyProtection="0"/>
    <xf numFmtId="0" fontId="1" fillId="64" borderId="0" applyNumberFormat="0" applyBorder="0" applyAlignment="0" applyProtection="0"/>
    <xf numFmtId="0" fontId="1" fillId="65" borderId="0" applyNumberFormat="0" applyBorder="0" applyAlignment="0" applyProtection="0"/>
    <xf numFmtId="0" fontId="1" fillId="68" borderId="0" applyNumberFormat="0" applyBorder="0" applyAlignment="0" applyProtection="0"/>
    <xf numFmtId="0" fontId="1" fillId="69" borderId="0" applyNumberFormat="0" applyBorder="0" applyAlignment="0" applyProtection="0"/>
    <xf numFmtId="0" fontId="1" fillId="72" borderId="0" applyNumberFormat="0" applyBorder="0" applyAlignment="0" applyProtection="0"/>
    <xf numFmtId="0" fontId="1" fillId="73" borderId="0" applyNumberFormat="0" applyBorder="0" applyAlignment="0" applyProtection="0"/>
    <xf numFmtId="0" fontId="1" fillId="76" borderId="0" applyNumberFormat="0" applyBorder="0" applyAlignment="0" applyProtection="0"/>
    <xf numFmtId="0" fontId="1" fillId="77" borderId="0" applyNumberFormat="0" applyBorder="0" applyAlignment="0" applyProtection="0"/>
    <xf numFmtId="0" fontId="1" fillId="80" borderId="0" applyNumberFormat="0" applyBorder="0" applyAlignment="0" applyProtection="0"/>
    <xf numFmtId="0" fontId="1" fillId="81" borderId="0" applyNumberFormat="0" applyBorder="0" applyAlignment="0" applyProtection="0"/>
    <xf numFmtId="0" fontId="1" fillId="0" borderId="0"/>
    <xf numFmtId="0" fontId="1" fillId="58" borderId="104" applyNumberFormat="0" applyFont="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65" fontId="1" fillId="0" borderId="0" applyFont="0" applyFill="0" applyBorder="0" applyAlignment="0" applyProtection="0"/>
    <xf numFmtId="9" fontId="1" fillId="0" borderId="0" applyFont="0" applyFill="0" applyBorder="0" applyAlignment="0" applyProtection="0"/>
    <xf numFmtId="43" fontId="1"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9" fontId="1" fillId="0" borderId="0" applyFont="0" applyFill="0" applyBorder="0" applyAlignment="0" applyProtection="0"/>
    <xf numFmtId="43" fontId="10" fillId="0" borderId="0" applyFont="0" applyFill="0" applyBorder="0" applyAlignment="0" applyProtection="0"/>
    <xf numFmtId="43" fontId="38" fillId="0" borderId="0" applyFont="0" applyFill="0" applyBorder="0" applyAlignment="0" applyProtection="0"/>
    <xf numFmtId="43" fontId="38" fillId="0" borderId="0" applyFont="0" applyFill="0" applyBorder="0" applyAlignment="0" applyProtection="0"/>
    <xf numFmtId="43" fontId="38" fillId="0" borderId="0" applyFont="0" applyFill="0" applyBorder="0" applyAlignment="0" applyProtection="0"/>
    <xf numFmtId="43" fontId="38" fillId="0" borderId="0" applyFont="0" applyFill="0" applyBorder="0" applyAlignment="0" applyProtection="0"/>
    <xf numFmtId="43" fontId="1" fillId="0" borderId="0" applyFont="0" applyFill="0" applyBorder="0" applyAlignment="0" applyProtection="0"/>
    <xf numFmtId="43" fontId="10" fillId="0" borderId="0" applyFont="0" applyFill="0" applyBorder="0" applyAlignment="0" applyProtection="0"/>
    <xf numFmtId="41" fontId="19" fillId="0" borderId="0" applyFont="0" applyFill="0" applyBorder="0" applyAlignment="0" applyProtection="0"/>
    <xf numFmtId="41" fontId="19" fillId="0" borderId="0" applyFont="0" applyFill="0" applyBorder="0" applyAlignment="0" applyProtection="0"/>
    <xf numFmtId="41" fontId="19" fillId="0" borderId="0" applyFont="0" applyFill="0" applyBorder="0" applyAlignment="0" applyProtection="0"/>
    <xf numFmtId="41" fontId="19" fillId="0" borderId="0" applyFont="0" applyFill="0" applyBorder="0" applyAlignment="0" applyProtection="0"/>
    <xf numFmtId="41" fontId="19" fillId="0" borderId="0" applyFont="0" applyFill="0" applyBorder="0" applyAlignment="0" applyProtection="0"/>
    <xf numFmtId="41" fontId="19" fillId="0" borderId="0" applyFont="0" applyFill="0" applyBorder="0" applyAlignment="0" applyProtection="0"/>
    <xf numFmtId="41" fontId="19" fillId="0" borderId="0" applyFont="0" applyFill="0" applyBorder="0" applyAlignment="0" applyProtection="0"/>
    <xf numFmtId="41" fontId="19" fillId="0" borderId="0" applyFont="0" applyFill="0" applyBorder="0" applyAlignment="0" applyProtection="0"/>
    <xf numFmtId="41" fontId="19" fillId="0" borderId="0" applyFont="0" applyFill="0" applyBorder="0" applyAlignment="0" applyProtection="0"/>
    <xf numFmtId="41" fontId="19" fillId="0" borderId="0" applyFont="0" applyFill="0" applyBorder="0" applyAlignment="0" applyProtection="0"/>
    <xf numFmtId="41" fontId="19" fillId="0" borderId="0" applyFont="0" applyFill="0" applyBorder="0" applyAlignment="0" applyProtection="0"/>
    <xf numFmtId="41" fontId="19" fillId="0" borderId="0" applyFont="0" applyFill="0" applyBorder="0" applyAlignment="0" applyProtection="0"/>
    <xf numFmtId="41" fontId="19" fillId="0" borderId="0" applyFont="0" applyFill="0" applyBorder="0" applyAlignment="0" applyProtection="0"/>
    <xf numFmtId="41" fontId="19" fillId="0" borderId="0" applyFont="0" applyFill="0" applyBorder="0" applyAlignment="0" applyProtection="0"/>
    <xf numFmtId="41" fontId="19" fillId="0" borderId="0" applyFont="0" applyFill="0" applyBorder="0" applyAlignment="0" applyProtection="0"/>
    <xf numFmtId="41" fontId="19" fillId="0" borderId="0" applyFont="0" applyFill="0" applyBorder="0" applyAlignment="0" applyProtection="0"/>
    <xf numFmtId="41" fontId="19" fillId="0" borderId="0" applyFont="0" applyFill="0" applyBorder="0" applyAlignment="0" applyProtection="0"/>
    <xf numFmtId="41" fontId="19" fillId="0" borderId="0" applyFont="0" applyFill="0" applyBorder="0" applyAlignment="0" applyProtection="0"/>
    <xf numFmtId="41" fontId="19" fillId="0" borderId="0" applyFont="0" applyFill="0" applyBorder="0" applyAlignment="0" applyProtection="0"/>
    <xf numFmtId="41" fontId="19" fillId="0" borderId="0" applyFont="0" applyFill="0" applyBorder="0" applyAlignment="0" applyProtection="0"/>
    <xf numFmtId="41" fontId="19" fillId="0" borderId="0" applyFont="0" applyFill="0" applyBorder="0" applyAlignment="0" applyProtection="0"/>
    <xf numFmtId="41" fontId="19" fillId="0" borderId="0" applyFont="0" applyFill="0" applyBorder="0" applyAlignment="0" applyProtection="0"/>
    <xf numFmtId="41" fontId="19" fillId="0" borderId="0" applyFont="0" applyFill="0" applyBorder="0" applyAlignment="0" applyProtection="0"/>
    <xf numFmtId="41" fontId="19" fillId="0" borderId="0" applyFont="0" applyFill="0" applyBorder="0" applyAlignment="0" applyProtection="0"/>
    <xf numFmtId="41" fontId="19" fillId="0" borderId="0" applyFont="0" applyFill="0" applyBorder="0" applyAlignment="0" applyProtection="0"/>
    <xf numFmtId="41" fontId="19" fillId="0" borderId="0" applyFont="0" applyFill="0" applyBorder="0" applyAlignment="0" applyProtection="0"/>
    <xf numFmtId="41" fontId="19" fillId="0" borderId="0" applyFont="0" applyFill="0" applyBorder="0" applyAlignment="0" applyProtection="0"/>
    <xf numFmtId="41" fontId="19" fillId="0" borderId="0" applyFont="0" applyFill="0" applyBorder="0" applyAlignment="0" applyProtection="0"/>
    <xf numFmtId="41" fontId="19" fillId="0" borderId="0" applyFont="0" applyFill="0" applyBorder="0" applyAlignment="0" applyProtection="0"/>
    <xf numFmtId="41" fontId="19" fillId="0" borderId="0" applyFont="0" applyFill="0" applyBorder="0" applyAlignment="0" applyProtection="0"/>
    <xf numFmtId="41" fontId="19" fillId="0" borderId="0" applyFont="0" applyFill="0" applyBorder="0" applyAlignment="0" applyProtection="0"/>
    <xf numFmtId="41" fontId="19" fillId="0" borderId="0" applyFont="0" applyFill="0" applyBorder="0" applyAlignment="0" applyProtection="0"/>
    <xf numFmtId="41" fontId="19" fillId="0" borderId="0" applyFont="0" applyFill="0" applyBorder="0" applyAlignment="0" applyProtection="0"/>
    <xf numFmtId="41" fontId="19" fillId="0" borderId="0" applyFont="0" applyFill="0" applyBorder="0" applyAlignment="0" applyProtection="0"/>
    <xf numFmtId="41" fontId="19" fillId="0" borderId="0" applyFont="0" applyFill="0" applyBorder="0" applyAlignment="0" applyProtection="0"/>
    <xf numFmtId="41" fontId="19" fillId="0" borderId="0" applyFont="0" applyFill="0" applyBorder="0" applyAlignment="0" applyProtection="0"/>
    <xf numFmtId="41" fontId="19" fillId="0" borderId="0" applyFont="0" applyFill="0" applyBorder="0" applyAlignment="0" applyProtection="0"/>
    <xf numFmtId="41" fontId="19" fillId="0" borderId="0" applyFont="0" applyFill="0" applyBorder="0" applyAlignment="0" applyProtection="0"/>
    <xf numFmtId="41" fontId="19" fillId="0" borderId="0" applyFont="0" applyFill="0" applyBorder="0" applyAlignment="0" applyProtection="0"/>
    <xf numFmtId="41" fontId="19" fillId="0" borderId="0" applyFont="0" applyFill="0" applyBorder="0" applyAlignment="0" applyProtection="0"/>
    <xf numFmtId="41" fontId="19" fillId="0" borderId="0" applyFont="0" applyFill="0" applyBorder="0" applyAlignment="0" applyProtection="0"/>
    <xf numFmtId="41" fontId="19" fillId="0" borderId="0" applyFont="0" applyFill="0" applyBorder="0" applyAlignment="0" applyProtection="0"/>
    <xf numFmtId="41" fontId="19" fillId="0" borderId="0" applyFont="0" applyFill="0" applyBorder="0" applyAlignment="0" applyProtection="0"/>
    <xf numFmtId="41" fontId="19" fillId="0" borderId="0" applyFont="0" applyFill="0" applyBorder="0" applyAlignment="0" applyProtection="0"/>
    <xf numFmtId="41" fontId="19" fillId="0" borderId="0" applyFont="0" applyFill="0" applyBorder="0" applyAlignment="0" applyProtection="0"/>
    <xf numFmtId="41" fontId="19" fillId="0" borderId="0" applyFont="0" applyFill="0" applyBorder="0" applyAlignment="0" applyProtection="0"/>
    <xf numFmtId="41" fontId="19" fillId="0" borderId="0" applyFont="0" applyFill="0" applyBorder="0" applyAlignment="0" applyProtection="0"/>
    <xf numFmtId="41" fontId="19" fillId="0" borderId="0" applyFont="0" applyFill="0" applyBorder="0" applyAlignment="0" applyProtection="0"/>
    <xf numFmtId="41" fontId="19" fillId="0" borderId="0" applyFont="0" applyFill="0" applyBorder="0" applyAlignment="0" applyProtection="0"/>
    <xf numFmtId="41" fontId="19" fillId="0" borderId="0" applyFont="0" applyFill="0" applyBorder="0" applyAlignment="0" applyProtection="0"/>
    <xf numFmtId="41" fontId="19" fillId="0" borderId="0" applyFont="0" applyFill="0" applyBorder="0" applyAlignment="0" applyProtection="0"/>
    <xf numFmtId="41" fontId="19" fillId="0" borderId="0" applyFont="0" applyFill="0" applyBorder="0" applyAlignment="0" applyProtection="0"/>
    <xf numFmtId="41" fontId="19" fillId="0" borderId="0" applyFont="0" applyFill="0" applyBorder="0" applyAlignment="0" applyProtection="0"/>
    <xf numFmtId="41" fontId="19" fillId="0" borderId="0" applyFont="0" applyFill="0" applyBorder="0" applyAlignment="0" applyProtection="0"/>
    <xf numFmtId="41" fontId="19" fillId="0" borderId="0" applyFont="0" applyFill="0" applyBorder="0" applyAlignment="0" applyProtection="0"/>
    <xf numFmtId="41" fontId="19" fillId="0" borderId="0" applyFont="0" applyFill="0" applyBorder="0" applyAlignment="0" applyProtection="0"/>
    <xf numFmtId="41" fontId="19" fillId="0" borderId="0" applyFont="0" applyFill="0" applyBorder="0" applyAlignment="0" applyProtection="0"/>
    <xf numFmtId="41" fontId="19"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38" fillId="0" borderId="0" applyFont="0" applyFill="0" applyBorder="0" applyAlignment="0" applyProtection="0"/>
    <xf numFmtId="43" fontId="38"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38" fillId="0" borderId="0" applyFont="0" applyFill="0" applyBorder="0" applyAlignment="0" applyProtection="0"/>
    <xf numFmtId="43" fontId="38"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38" fillId="0" borderId="0" applyFont="0" applyFill="0" applyBorder="0" applyAlignment="0" applyProtection="0"/>
    <xf numFmtId="43" fontId="38"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38" fillId="0" borderId="0" applyFont="0" applyFill="0" applyBorder="0" applyAlignment="0" applyProtection="0"/>
    <xf numFmtId="43" fontId="38"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38" fillId="0" borderId="0" applyFont="0" applyFill="0" applyBorder="0" applyAlignment="0" applyProtection="0"/>
    <xf numFmtId="43" fontId="38"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38" fillId="0" borderId="0" applyFont="0" applyFill="0" applyBorder="0" applyAlignment="0" applyProtection="0"/>
    <xf numFmtId="43" fontId="38"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38" fillId="0" borderId="0" applyFont="0" applyFill="0" applyBorder="0" applyAlignment="0" applyProtection="0"/>
    <xf numFmtId="43" fontId="38"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38" fillId="0" borderId="0" applyFont="0" applyFill="0" applyBorder="0" applyAlignment="0" applyProtection="0"/>
    <xf numFmtId="43" fontId="38"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38" fillId="0" borderId="0" applyFont="0" applyFill="0" applyBorder="0" applyAlignment="0" applyProtection="0"/>
    <xf numFmtId="43" fontId="38"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38" fillId="0" borderId="0" applyFont="0" applyFill="0" applyBorder="0" applyAlignment="0" applyProtection="0"/>
    <xf numFmtId="43" fontId="38"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38" fillId="0" borderId="0" applyFont="0" applyFill="0" applyBorder="0" applyAlignment="0" applyProtection="0"/>
    <xf numFmtId="43" fontId="38"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38" fillId="0" borderId="0" applyFont="0" applyFill="0" applyBorder="0" applyAlignment="0" applyProtection="0"/>
    <xf numFmtId="43" fontId="38"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38" fillId="0" borderId="0" applyFont="0" applyFill="0" applyBorder="0" applyAlignment="0" applyProtection="0"/>
    <xf numFmtId="43" fontId="38"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38" fillId="0" borderId="0" applyFont="0" applyFill="0" applyBorder="0" applyAlignment="0" applyProtection="0"/>
    <xf numFmtId="43" fontId="38"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38" fillId="0" borderId="0" applyFont="0" applyFill="0" applyBorder="0" applyAlignment="0" applyProtection="0"/>
    <xf numFmtId="43" fontId="38"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38" fillId="0" borderId="0" applyFont="0" applyFill="0" applyBorder="0" applyAlignment="0" applyProtection="0"/>
    <xf numFmtId="43" fontId="38"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38" fillId="0" borderId="0" applyFont="0" applyFill="0" applyBorder="0" applyAlignment="0" applyProtection="0"/>
    <xf numFmtId="43" fontId="38"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38" fillId="0" borderId="0" applyFont="0" applyFill="0" applyBorder="0" applyAlignment="0" applyProtection="0"/>
    <xf numFmtId="43" fontId="38"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38" fillId="0" borderId="0" applyFont="0" applyFill="0" applyBorder="0" applyAlignment="0" applyProtection="0"/>
    <xf numFmtId="43" fontId="38"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38" fillId="0" borderId="0" applyFont="0" applyFill="0" applyBorder="0" applyAlignment="0" applyProtection="0"/>
    <xf numFmtId="43" fontId="38"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38" fillId="0" borderId="0" applyFont="0" applyFill="0" applyBorder="0" applyAlignment="0" applyProtection="0"/>
    <xf numFmtId="43" fontId="38"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38" fillId="0" borderId="0" applyFont="0" applyFill="0" applyBorder="0" applyAlignment="0" applyProtection="0"/>
    <xf numFmtId="43" fontId="38"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38" fillId="0" borderId="0" applyFont="0" applyFill="0" applyBorder="0" applyAlignment="0" applyProtection="0"/>
    <xf numFmtId="43" fontId="38"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38" fillId="0" borderId="0" applyFont="0" applyFill="0" applyBorder="0" applyAlignment="0" applyProtection="0"/>
    <xf numFmtId="43" fontId="38"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38" fillId="0" borderId="0" applyFont="0" applyFill="0" applyBorder="0" applyAlignment="0" applyProtection="0"/>
    <xf numFmtId="43" fontId="38"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38" fillId="0" borderId="0" applyFont="0" applyFill="0" applyBorder="0" applyAlignment="0" applyProtection="0"/>
    <xf numFmtId="43" fontId="38"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38" fillId="0" borderId="0" applyFont="0" applyFill="0" applyBorder="0" applyAlignment="0" applyProtection="0"/>
    <xf numFmtId="43" fontId="38"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38" fillId="0" borderId="0" applyFont="0" applyFill="0" applyBorder="0" applyAlignment="0" applyProtection="0"/>
    <xf numFmtId="43" fontId="38"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38" fillId="0" borderId="0" applyFont="0" applyFill="0" applyBorder="0" applyAlignment="0" applyProtection="0"/>
    <xf numFmtId="43" fontId="38"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38" fillId="0" borderId="0" applyFont="0" applyFill="0" applyBorder="0" applyAlignment="0" applyProtection="0"/>
    <xf numFmtId="43" fontId="38"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38" fillId="0" borderId="0" applyFont="0" applyFill="0" applyBorder="0" applyAlignment="0" applyProtection="0"/>
    <xf numFmtId="43" fontId="38"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38" fillId="0" borderId="0" applyFont="0" applyFill="0" applyBorder="0" applyAlignment="0" applyProtection="0"/>
    <xf numFmtId="43" fontId="38"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38" fillId="0" borderId="0" applyFont="0" applyFill="0" applyBorder="0" applyAlignment="0" applyProtection="0"/>
    <xf numFmtId="43" fontId="38"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38" fillId="0" borderId="0" applyFont="0" applyFill="0" applyBorder="0" applyAlignment="0" applyProtection="0"/>
    <xf numFmtId="43" fontId="38"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38" fillId="0" borderId="0" applyFont="0" applyFill="0" applyBorder="0" applyAlignment="0" applyProtection="0"/>
    <xf numFmtId="43" fontId="38"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38" fillId="0" borderId="0" applyFont="0" applyFill="0" applyBorder="0" applyAlignment="0" applyProtection="0"/>
    <xf numFmtId="43" fontId="38"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38" fillId="0" borderId="0" applyFont="0" applyFill="0" applyBorder="0" applyAlignment="0" applyProtection="0"/>
    <xf numFmtId="43" fontId="38"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38" fillId="0" borderId="0" applyFont="0" applyFill="0" applyBorder="0" applyAlignment="0" applyProtection="0"/>
    <xf numFmtId="43" fontId="38"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38" fillId="0" borderId="0" applyFont="0" applyFill="0" applyBorder="0" applyAlignment="0" applyProtection="0"/>
    <xf numFmtId="43" fontId="38"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38" fillId="0" borderId="0" applyFont="0" applyFill="0" applyBorder="0" applyAlignment="0" applyProtection="0"/>
    <xf numFmtId="43" fontId="38"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38" fillId="0" borderId="0" applyFont="0" applyFill="0" applyBorder="0" applyAlignment="0" applyProtection="0"/>
    <xf numFmtId="43" fontId="38"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38" fillId="0" borderId="0" applyFont="0" applyFill="0" applyBorder="0" applyAlignment="0" applyProtection="0"/>
    <xf numFmtId="43" fontId="38"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38" fillId="0" borderId="0" applyFont="0" applyFill="0" applyBorder="0" applyAlignment="0" applyProtection="0"/>
    <xf numFmtId="43" fontId="38"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38" fillId="0" borderId="0" applyFont="0" applyFill="0" applyBorder="0" applyAlignment="0" applyProtection="0"/>
    <xf numFmtId="43" fontId="38"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38" fillId="0" borderId="0" applyFont="0" applyFill="0" applyBorder="0" applyAlignment="0" applyProtection="0"/>
    <xf numFmtId="43" fontId="38"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38" fillId="0" borderId="0" applyFont="0" applyFill="0" applyBorder="0" applyAlignment="0" applyProtection="0"/>
    <xf numFmtId="43" fontId="38"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38" fillId="0" borderId="0" applyFont="0" applyFill="0" applyBorder="0" applyAlignment="0" applyProtection="0"/>
    <xf numFmtId="43" fontId="38"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38" fillId="0" borderId="0" applyFont="0" applyFill="0" applyBorder="0" applyAlignment="0" applyProtection="0"/>
    <xf numFmtId="43" fontId="38"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38" fillId="0" borderId="0" applyFont="0" applyFill="0" applyBorder="0" applyAlignment="0" applyProtection="0"/>
    <xf numFmtId="43" fontId="38"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38" fillId="0" borderId="0" applyFont="0" applyFill="0" applyBorder="0" applyAlignment="0" applyProtection="0"/>
    <xf numFmtId="43" fontId="38"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38" fillId="0" borderId="0" applyFont="0" applyFill="0" applyBorder="0" applyAlignment="0" applyProtection="0"/>
    <xf numFmtId="43" fontId="38"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38" fillId="0" borderId="0" applyFont="0" applyFill="0" applyBorder="0" applyAlignment="0" applyProtection="0"/>
    <xf numFmtId="43" fontId="38"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38" fillId="0" borderId="0" applyFont="0" applyFill="0" applyBorder="0" applyAlignment="0" applyProtection="0"/>
    <xf numFmtId="43" fontId="38"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38" fillId="0" borderId="0" applyFont="0" applyFill="0" applyBorder="0" applyAlignment="0" applyProtection="0"/>
    <xf numFmtId="43" fontId="38"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38" fillId="0" borderId="0" applyFont="0" applyFill="0" applyBorder="0" applyAlignment="0" applyProtection="0"/>
    <xf numFmtId="43" fontId="38"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38" fillId="0" borderId="0" applyFont="0" applyFill="0" applyBorder="0" applyAlignment="0" applyProtection="0"/>
    <xf numFmtId="43" fontId="38"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38" fillId="0" borderId="0" applyFont="0" applyFill="0" applyBorder="0" applyAlignment="0" applyProtection="0"/>
    <xf numFmtId="43" fontId="38"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38" fillId="0" borderId="0" applyFont="0" applyFill="0" applyBorder="0" applyAlignment="0" applyProtection="0"/>
    <xf numFmtId="43" fontId="38"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38" fillId="0" borderId="0" applyFont="0" applyFill="0" applyBorder="0" applyAlignment="0" applyProtection="0"/>
    <xf numFmtId="43" fontId="38"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38" fillId="0" borderId="0" applyFont="0" applyFill="0" applyBorder="0" applyAlignment="0" applyProtection="0"/>
    <xf numFmtId="43" fontId="38"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9" fontId="1" fillId="0" borderId="0" applyFont="0" applyFill="0" applyBorder="0" applyAlignment="0" applyProtection="0"/>
    <xf numFmtId="0" fontId="1" fillId="60" borderId="0" applyNumberFormat="0" applyBorder="0" applyAlignment="0" applyProtection="0"/>
    <xf numFmtId="0" fontId="1" fillId="61" borderId="0" applyNumberFormat="0" applyBorder="0" applyAlignment="0" applyProtection="0"/>
    <xf numFmtId="0" fontId="1" fillId="64" borderId="0" applyNumberFormat="0" applyBorder="0" applyAlignment="0" applyProtection="0"/>
    <xf numFmtId="0" fontId="1" fillId="65" borderId="0" applyNumberFormat="0" applyBorder="0" applyAlignment="0" applyProtection="0"/>
    <xf numFmtId="0" fontId="1" fillId="68" borderId="0" applyNumberFormat="0" applyBorder="0" applyAlignment="0" applyProtection="0"/>
    <xf numFmtId="0" fontId="1" fillId="69" borderId="0" applyNumberFormat="0" applyBorder="0" applyAlignment="0" applyProtection="0"/>
    <xf numFmtId="0" fontId="1" fillId="72" borderId="0" applyNumberFormat="0" applyBorder="0" applyAlignment="0" applyProtection="0"/>
    <xf numFmtId="0" fontId="1" fillId="73" borderId="0" applyNumberFormat="0" applyBorder="0" applyAlignment="0" applyProtection="0"/>
    <xf numFmtId="0" fontId="1" fillId="76" borderId="0" applyNumberFormat="0" applyBorder="0" applyAlignment="0" applyProtection="0"/>
    <xf numFmtId="0" fontId="1" fillId="77" borderId="0" applyNumberFormat="0" applyBorder="0" applyAlignment="0" applyProtection="0"/>
    <xf numFmtId="0" fontId="1" fillId="80" borderId="0" applyNumberFormat="0" applyBorder="0" applyAlignment="0" applyProtection="0"/>
    <xf numFmtId="0" fontId="1" fillId="81" borderId="0" applyNumberFormat="0" applyBorder="0" applyAlignment="0" applyProtection="0"/>
    <xf numFmtId="0" fontId="1" fillId="0" borderId="0"/>
    <xf numFmtId="0" fontId="1" fillId="58" borderId="104" applyNumberFormat="0" applyFont="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65" fontId="1" fillId="0" borderId="0" applyFont="0" applyFill="0" applyBorder="0" applyAlignment="0" applyProtection="0"/>
    <xf numFmtId="9" fontId="1" fillId="0" borderId="0" applyFont="0" applyFill="0" applyBorder="0" applyAlignment="0" applyProtection="0"/>
    <xf numFmtId="43" fontId="1"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9" fontId="1" fillId="0" borderId="0" applyFont="0" applyFill="0" applyBorder="0" applyAlignment="0" applyProtection="0"/>
    <xf numFmtId="0" fontId="1" fillId="0" borderId="0"/>
    <xf numFmtId="43" fontId="10" fillId="0" borderId="0" applyFont="0" applyFill="0" applyBorder="0" applyAlignment="0" applyProtection="0"/>
    <xf numFmtId="43" fontId="38" fillId="0" borderId="0" applyFont="0" applyFill="0" applyBorder="0" applyAlignment="0" applyProtection="0"/>
    <xf numFmtId="43" fontId="38" fillId="0" borderId="0" applyFont="0" applyFill="0" applyBorder="0" applyAlignment="0" applyProtection="0"/>
    <xf numFmtId="43" fontId="38" fillId="0" borderId="0" applyFont="0" applyFill="0" applyBorder="0" applyAlignment="0" applyProtection="0"/>
    <xf numFmtId="43" fontId="38" fillId="0" borderId="0" applyFont="0" applyFill="0" applyBorder="0" applyAlignment="0" applyProtection="0"/>
    <xf numFmtId="43" fontId="1" fillId="0" borderId="0" applyFont="0" applyFill="0" applyBorder="0" applyAlignment="0" applyProtection="0"/>
    <xf numFmtId="43" fontId="10" fillId="0" borderId="0" applyFont="0" applyFill="0" applyBorder="0" applyAlignment="0" applyProtection="0"/>
    <xf numFmtId="41" fontId="19" fillId="0" borderId="0" applyFont="0" applyFill="0" applyBorder="0" applyAlignment="0" applyProtection="0"/>
    <xf numFmtId="41" fontId="19" fillId="0" borderId="0" applyFont="0" applyFill="0" applyBorder="0" applyAlignment="0" applyProtection="0"/>
    <xf numFmtId="41" fontId="19" fillId="0" borderId="0" applyFont="0" applyFill="0" applyBorder="0" applyAlignment="0" applyProtection="0"/>
    <xf numFmtId="41" fontId="19" fillId="0" borderId="0" applyFont="0" applyFill="0" applyBorder="0" applyAlignment="0" applyProtection="0"/>
    <xf numFmtId="41" fontId="19" fillId="0" borderId="0" applyFont="0" applyFill="0" applyBorder="0" applyAlignment="0" applyProtection="0"/>
    <xf numFmtId="41" fontId="19" fillId="0" borderId="0" applyFont="0" applyFill="0" applyBorder="0" applyAlignment="0" applyProtection="0"/>
    <xf numFmtId="41" fontId="19" fillId="0" borderId="0" applyFont="0" applyFill="0" applyBorder="0" applyAlignment="0" applyProtection="0"/>
    <xf numFmtId="41" fontId="19" fillId="0" borderId="0" applyFont="0" applyFill="0" applyBorder="0" applyAlignment="0" applyProtection="0"/>
    <xf numFmtId="41" fontId="19" fillId="0" borderId="0" applyFont="0" applyFill="0" applyBorder="0" applyAlignment="0" applyProtection="0"/>
    <xf numFmtId="41" fontId="19" fillId="0" borderId="0" applyFont="0" applyFill="0" applyBorder="0" applyAlignment="0" applyProtection="0"/>
    <xf numFmtId="41" fontId="19" fillId="0" borderId="0" applyFont="0" applyFill="0" applyBorder="0" applyAlignment="0" applyProtection="0"/>
    <xf numFmtId="41" fontId="19" fillId="0" borderId="0" applyFont="0" applyFill="0" applyBorder="0" applyAlignment="0" applyProtection="0"/>
    <xf numFmtId="41" fontId="19" fillId="0" borderId="0" applyFont="0" applyFill="0" applyBorder="0" applyAlignment="0" applyProtection="0"/>
    <xf numFmtId="41" fontId="19" fillId="0" borderId="0" applyFont="0" applyFill="0" applyBorder="0" applyAlignment="0" applyProtection="0"/>
    <xf numFmtId="41" fontId="19" fillId="0" borderId="0" applyFont="0" applyFill="0" applyBorder="0" applyAlignment="0" applyProtection="0"/>
    <xf numFmtId="41" fontId="19" fillId="0" borderId="0" applyFont="0" applyFill="0" applyBorder="0" applyAlignment="0" applyProtection="0"/>
    <xf numFmtId="41" fontId="19" fillId="0" borderId="0" applyFont="0" applyFill="0" applyBorder="0" applyAlignment="0" applyProtection="0"/>
    <xf numFmtId="41" fontId="19" fillId="0" borderId="0" applyFont="0" applyFill="0" applyBorder="0" applyAlignment="0" applyProtection="0"/>
    <xf numFmtId="41" fontId="19" fillId="0" borderId="0" applyFont="0" applyFill="0" applyBorder="0" applyAlignment="0" applyProtection="0"/>
    <xf numFmtId="41" fontId="19" fillId="0" borderId="0" applyFont="0" applyFill="0" applyBorder="0" applyAlignment="0" applyProtection="0"/>
    <xf numFmtId="41" fontId="19" fillId="0" borderId="0" applyFont="0" applyFill="0" applyBorder="0" applyAlignment="0" applyProtection="0"/>
    <xf numFmtId="41" fontId="19" fillId="0" borderId="0" applyFont="0" applyFill="0" applyBorder="0" applyAlignment="0" applyProtection="0"/>
    <xf numFmtId="41" fontId="19" fillId="0" borderId="0" applyFont="0" applyFill="0" applyBorder="0" applyAlignment="0" applyProtection="0"/>
    <xf numFmtId="41" fontId="19" fillId="0" borderId="0" applyFont="0" applyFill="0" applyBorder="0" applyAlignment="0" applyProtection="0"/>
    <xf numFmtId="41" fontId="19" fillId="0" borderId="0" applyFont="0" applyFill="0" applyBorder="0" applyAlignment="0" applyProtection="0"/>
    <xf numFmtId="41" fontId="19" fillId="0" borderId="0" applyFont="0" applyFill="0" applyBorder="0" applyAlignment="0" applyProtection="0"/>
    <xf numFmtId="41" fontId="19" fillId="0" borderId="0" applyFont="0" applyFill="0" applyBorder="0" applyAlignment="0" applyProtection="0"/>
    <xf numFmtId="41" fontId="19" fillId="0" borderId="0" applyFont="0" applyFill="0" applyBorder="0" applyAlignment="0" applyProtection="0"/>
    <xf numFmtId="41" fontId="19" fillId="0" borderId="0" applyFont="0" applyFill="0" applyBorder="0" applyAlignment="0" applyProtection="0"/>
    <xf numFmtId="41" fontId="19" fillId="0" borderId="0" applyFont="0" applyFill="0" applyBorder="0" applyAlignment="0" applyProtection="0"/>
    <xf numFmtId="41" fontId="19" fillId="0" borderId="0" applyFont="0" applyFill="0" applyBorder="0" applyAlignment="0" applyProtection="0"/>
    <xf numFmtId="41" fontId="19" fillId="0" borderId="0" applyFont="0" applyFill="0" applyBorder="0" applyAlignment="0" applyProtection="0"/>
    <xf numFmtId="41" fontId="19" fillId="0" borderId="0" applyFont="0" applyFill="0" applyBorder="0" applyAlignment="0" applyProtection="0"/>
    <xf numFmtId="41" fontId="19" fillId="0" borderId="0" applyFont="0" applyFill="0" applyBorder="0" applyAlignment="0" applyProtection="0"/>
    <xf numFmtId="41" fontId="19" fillId="0" borderId="0" applyFont="0" applyFill="0" applyBorder="0" applyAlignment="0" applyProtection="0"/>
    <xf numFmtId="41" fontId="19" fillId="0" borderId="0" applyFont="0" applyFill="0" applyBorder="0" applyAlignment="0" applyProtection="0"/>
    <xf numFmtId="41" fontId="19" fillId="0" borderId="0" applyFont="0" applyFill="0" applyBorder="0" applyAlignment="0" applyProtection="0"/>
    <xf numFmtId="41" fontId="19" fillId="0" borderId="0" applyFont="0" applyFill="0" applyBorder="0" applyAlignment="0" applyProtection="0"/>
    <xf numFmtId="41" fontId="19" fillId="0" borderId="0" applyFont="0" applyFill="0" applyBorder="0" applyAlignment="0" applyProtection="0"/>
    <xf numFmtId="41" fontId="19" fillId="0" borderId="0" applyFont="0" applyFill="0" applyBorder="0" applyAlignment="0" applyProtection="0"/>
    <xf numFmtId="41" fontId="19" fillId="0" borderId="0" applyFont="0" applyFill="0" applyBorder="0" applyAlignment="0" applyProtection="0"/>
    <xf numFmtId="41" fontId="19" fillId="0" borderId="0" applyFont="0" applyFill="0" applyBorder="0" applyAlignment="0" applyProtection="0"/>
    <xf numFmtId="41" fontId="19" fillId="0" borderId="0" applyFont="0" applyFill="0" applyBorder="0" applyAlignment="0" applyProtection="0"/>
    <xf numFmtId="41" fontId="19" fillId="0" borderId="0" applyFont="0" applyFill="0" applyBorder="0" applyAlignment="0" applyProtection="0"/>
    <xf numFmtId="41" fontId="19" fillId="0" borderId="0" applyFont="0" applyFill="0" applyBorder="0" applyAlignment="0" applyProtection="0"/>
    <xf numFmtId="41" fontId="19" fillId="0" borderId="0" applyFont="0" applyFill="0" applyBorder="0" applyAlignment="0" applyProtection="0"/>
    <xf numFmtId="41" fontId="19" fillId="0" borderId="0" applyFont="0" applyFill="0" applyBorder="0" applyAlignment="0" applyProtection="0"/>
    <xf numFmtId="41" fontId="19" fillId="0" borderId="0" applyFont="0" applyFill="0" applyBorder="0" applyAlignment="0" applyProtection="0"/>
    <xf numFmtId="41" fontId="19" fillId="0" borderId="0" applyFont="0" applyFill="0" applyBorder="0" applyAlignment="0" applyProtection="0"/>
    <xf numFmtId="41" fontId="19" fillId="0" borderId="0" applyFont="0" applyFill="0" applyBorder="0" applyAlignment="0" applyProtection="0"/>
    <xf numFmtId="41" fontId="19" fillId="0" borderId="0" applyFont="0" applyFill="0" applyBorder="0" applyAlignment="0" applyProtection="0"/>
    <xf numFmtId="41" fontId="19" fillId="0" borderId="0" applyFont="0" applyFill="0" applyBorder="0" applyAlignment="0" applyProtection="0"/>
    <xf numFmtId="41" fontId="19" fillId="0" borderId="0" applyFont="0" applyFill="0" applyBorder="0" applyAlignment="0" applyProtection="0"/>
    <xf numFmtId="41" fontId="19" fillId="0" borderId="0" applyFont="0" applyFill="0" applyBorder="0" applyAlignment="0" applyProtection="0"/>
    <xf numFmtId="41" fontId="19" fillId="0" borderId="0" applyFont="0" applyFill="0" applyBorder="0" applyAlignment="0" applyProtection="0"/>
    <xf numFmtId="41" fontId="19" fillId="0" borderId="0" applyFont="0" applyFill="0" applyBorder="0" applyAlignment="0" applyProtection="0"/>
    <xf numFmtId="41" fontId="19" fillId="0" borderId="0" applyFont="0" applyFill="0" applyBorder="0" applyAlignment="0" applyProtection="0"/>
    <xf numFmtId="41" fontId="19"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38" fillId="0" borderId="0" applyFont="0" applyFill="0" applyBorder="0" applyAlignment="0" applyProtection="0"/>
    <xf numFmtId="43" fontId="38"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38" fillId="0" borderId="0" applyFont="0" applyFill="0" applyBorder="0" applyAlignment="0" applyProtection="0"/>
    <xf numFmtId="43" fontId="38"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38" fillId="0" borderId="0" applyFont="0" applyFill="0" applyBorder="0" applyAlignment="0" applyProtection="0"/>
    <xf numFmtId="43" fontId="38"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38" fillId="0" borderId="0" applyFont="0" applyFill="0" applyBorder="0" applyAlignment="0" applyProtection="0"/>
    <xf numFmtId="43" fontId="38"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38" fillId="0" borderId="0" applyFont="0" applyFill="0" applyBorder="0" applyAlignment="0" applyProtection="0"/>
    <xf numFmtId="43" fontId="38"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38" fillId="0" borderId="0" applyFont="0" applyFill="0" applyBorder="0" applyAlignment="0" applyProtection="0"/>
    <xf numFmtId="43" fontId="38"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38" fillId="0" borderId="0" applyFont="0" applyFill="0" applyBorder="0" applyAlignment="0" applyProtection="0"/>
    <xf numFmtId="43" fontId="38"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38" fillId="0" borderId="0" applyFont="0" applyFill="0" applyBorder="0" applyAlignment="0" applyProtection="0"/>
    <xf numFmtId="43" fontId="38"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38" fillId="0" borderId="0" applyFont="0" applyFill="0" applyBorder="0" applyAlignment="0" applyProtection="0"/>
    <xf numFmtId="43" fontId="38"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38" fillId="0" borderId="0" applyFont="0" applyFill="0" applyBorder="0" applyAlignment="0" applyProtection="0"/>
    <xf numFmtId="43" fontId="38"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38" fillId="0" borderId="0" applyFont="0" applyFill="0" applyBorder="0" applyAlignment="0" applyProtection="0"/>
    <xf numFmtId="43" fontId="38"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38" fillId="0" borderId="0" applyFont="0" applyFill="0" applyBorder="0" applyAlignment="0" applyProtection="0"/>
    <xf numFmtId="43" fontId="38"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38" fillId="0" borderId="0" applyFont="0" applyFill="0" applyBorder="0" applyAlignment="0" applyProtection="0"/>
    <xf numFmtId="43" fontId="38"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38" fillId="0" borderId="0" applyFont="0" applyFill="0" applyBorder="0" applyAlignment="0" applyProtection="0"/>
    <xf numFmtId="43" fontId="38"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38" fillId="0" borderId="0" applyFont="0" applyFill="0" applyBorder="0" applyAlignment="0" applyProtection="0"/>
    <xf numFmtId="43" fontId="38"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38" fillId="0" borderId="0" applyFont="0" applyFill="0" applyBorder="0" applyAlignment="0" applyProtection="0"/>
    <xf numFmtId="43" fontId="38"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38" fillId="0" borderId="0" applyFont="0" applyFill="0" applyBorder="0" applyAlignment="0" applyProtection="0"/>
    <xf numFmtId="43" fontId="38"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38" fillId="0" borderId="0" applyFont="0" applyFill="0" applyBorder="0" applyAlignment="0" applyProtection="0"/>
    <xf numFmtId="43" fontId="38"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38" fillId="0" borderId="0" applyFont="0" applyFill="0" applyBorder="0" applyAlignment="0" applyProtection="0"/>
    <xf numFmtId="43" fontId="38"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38" fillId="0" borderId="0" applyFont="0" applyFill="0" applyBorder="0" applyAlignment="0" applyProtection="0"/>
    <xf numFmtId="43" fontId="38"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38" fillId="0" borderId="0" applyFont="0" applyFill="0" applyBorder="0" applyAlignment="0" applyProtection="0"/>
    <xf numFmtId="43" fontId="38"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38" fillId="0" borderId="0" applyFont="0" applyFill="0" applyBorder="0" applyAlignment="0" applyProtection="0"/>
    <xf numFmtId="43" fontId="38"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38" fillId="0" borderId="0" applyFont="0" applyFill="0" applyBorder="0" applyAlignment="0" applyProtection="0"/>
    <xf numFmtId="43" fontId="38"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38" fillId="0" borderId="0" applyFont="0" applyFill="0" applyBorder="0" applyAlignment="0" applyProtection="0"/>
    <xf numFmtId="43" fontId="38"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38" fillId="0" borderId="0" applyFont="0" applyFill="0" applyBorder="0" applyAlignment="0" applyProtection="0"/>
    <xf numFmtId="43" fontId="38"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38" fillId="0" borderId="0" applyFont="0" applyFill="0" applyBorder="0" applyAlignment="0" applyProtection="0"/>
    <xf numFmtId="43" fontId="38"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38" fillId="0" borderId="0" applyFont="0" applyFill="0" applyBorder="0" applyAlignment="0" applyProtection="0"/>
    <xf numFmtId="43" fontId="38"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38" fillId="0" borderId="0" applyFont="0" applyFill="0" applyBorder="0" applyAlignment="0" applyProtection="0"/>
    <xf numFmtId="43" fontId="38"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38" fillId="0" borderId="0" applyFont="0" applyFill="0" applyBorder="0" applyAlignment="0" applyProtection="0"/>
    <xf numFmtId="43" fontId="38"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38" fillId="0" borderId="0" applyFont="0" applyFill="0" applyBorder="0" applyAlignment="0" applyProtection="0"/>
    <xf numFmtId="43" fontId="38"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38" fillId="0" borderId="0" applyFont="0" applyFill="0" applyBorder="0" applyAlignment="0" applyProtection="0"/>
    <xf numFmtId="43" fontId="38"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38" fillId="0" borderId="0" applyFont="0" applyFill="0" applyBorder="0" applyAlignment="0" applyProtection="0"/>
    <xf numFmtId="43" fontId="38"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38" fillId="0" borderId="0" applyFont="0" applyFill="0" applyBorder="0" applyAlignment="0" applyProtection="0"/>
    <xf numFmtId="43" fontId="38"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38" fillId="0" borderId="0" applyFont="0" applyFill="0" applyBorder="0" applyAlignment="0" applyProtection="0"/>
    <xf numFmtId="43" fontId="38"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38" fillId="0" borderId="0" applyFont="0" applyFill="0" applyBorder="0" applyAlignment="0" applyProtection="0"/>
    <xf numFmtId="43" fontId="38"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38" fillId="0" borderId="0" applyFont="0" applyFill="0" applyBorder="0" applyAlignment="0" applyProtection="0"/>
    <xf numFmtId="43" fontId="38"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38" fillId="0" borderId="0" applyFont="0" applyFill="0" applyBorder="0" applyAlignment="0" applyProtection="0"/>
    <xf numFmtId="43" fontId="38"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38" fillId="0" borderId="0" applyFont="0" applyFill="0" applyBorder="0" applyAlignment="0" applyProtection="0"/>
    <xf numFmtId="43" fontId="38"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38" fillId="0" borderId="0" applyFont="0" applyFill="0" applyBorder="0" applyAlignment="0" applyProtection="0"/>
    <xf numFmtId="43" fontId="38"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38" fillId="0" borderId="0" applyFont="0" applyFill="0" applyBorder="0" applyAlignment="0" applyProtection="0"/>
    <xf numFmtId="43" fontId="38"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38" fillId="0" borderId="0" applyFont="0" applyFill="0" applyBorder="0" applyAlignment="0" applyProtection="0"/>
    <xf numFmtId="43" fontId="38"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38" fillId="0" borderId="0" applyFont="0" applyFill="0" applyBorder="0" applyAlignment="0" applyProtection="0"/>
    <xf numFmtId="43" fontId="38"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38" fillId="0" borderId="0" applyFont="0" applyFill="0" applyBorder="0" applyAlignment="0" applyProtection="0"/>
    <xf numFmtId="43" fontId="38"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38" fillId="0" borderId="0" applyFont="0" applyFill="0" applyBorder="0" applyAlignment="0" applyProtection="0"/>
    <xf numFmtId="43" fontId="38"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38" fillId="0" borderId="0" applyFont="0" applyFill="0" applyBorder="0" applyAlignment="0" applyProtection="0"/>
    <xf numFmtId="43" fontId="38"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38" fillId="0" borderId="0" applyFont="0" applyFill="0" applyBorder="0" applyAlignment="0" applyProtection="0"/>
    <xf numFmtId="43" fontId="38"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38" fillId="0" borderId="0" applyFont="0" applyFill="0" applyBorder="0" applyAlignment="0" applyProtection="0"/>
    <xf numFmtId="43" fontId="38"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38" fillId="0" borderId="0" applyFont="0" applyFill="0" applyBorder="0" applyAlignment="0" applyProtection="0"/>
    <xf numFmtId="43" fontId="38"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38" fillId="0" borderId="0" applyFont="0" applyFill="0" applyBorder="0" applyAlignment="0" applyProtection="0"/>
    <xf numFmtId="43" fontId="38"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38" fillId="0" borderId="0" applyFont="0" applyFill="0" applyBorder="0" applyAlignment="0" applyProtection="0"/>
    <xf numFmtId="43" fontId="38"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38" fillId="0" borderId="0" applyFont="0" applyFill="0" applyBorder="0" applyAlignment="0" applyProtection="0"/>
    <xf numFmtId="43" fontId="38"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38" fillId="0" borderId="0" applyFont="0" applyFill="0" applyBorder="0" applyAlignment="0" applyProtection="0"/>
    <xf numFmtId="43" fontId="38"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38" fillId="0" borderId="0" applyFont="0" applyFill="0" applyBorder="0" applyAlignment="0" applyProtection="0"/>
    <xf numFmtId="43" fontId="38"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38" fillId="0" borderId="0" applyFont="0" applyFill="0" applyBorder="0" applyAlignment="0" applyProtection="0"/>
    <xf numFmtId="43" fontId="38"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38" fillId="0" borderId="0" applyFont="0" applyFill="0" applyBorder="0" applyAlignment="0" applyProtection="0"/>
    <xf numFmtId="43" fontId="38"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38" fillId="0" borderId="0" applyFont="0" applyFill="0" applyBorder="0" applyAlignment="0" applyProtection="0"/>
    <xf numFmtId="43" fontId="38"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38" fillId="0" borderId="0" applyFont="0" applyFill="0" applyBorder="0" applyAlignment="0" applyProtection="0"/>
    <xf numFmtId="43" fontId="38"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38" fillId="0" borderId="0" applyFont="0" applyFill="0" applyBorder="0" applyAlignment="0" applyProtection="0"/>
    <xf numFmtId="43" fontId="38"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38" fillId="0" borderId="0" applyFont="0" applyFill="0" applyBorder="0" applyAlignment="0" applyProtection="0"/>
    <xf numFmtId="43" fontId="38"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38" fillId="0" borderId="0" applyFont="0" applyFill="0" applyBorder="0" applyAlignment="0" applyProtection="0"/>
    <xf numFmtId="43" fontId="38"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4" fontId="41" fillId="0" borderId="2" applyFill="0" applyBorder="0" applyProtection="0">
      <alignment horizontal="right" vertical="center"/>
    </xf>
    <xf numFmtId="0" fontId="41" fillId="0" borderId="2" applyNumberFormat="0" applyFill="0" applyAlignment="0" applyProtection="0"/>
    <xf numFmtId="181" fontId="41" fillId="27" borderId="2" applyNumberFormat="0" applyFont="0" applyBorder="0" applyAlignment="0" applyProtection="0">
      <alignment horizontal="right" vertical="center"/>
    </xf>
    <xf numFmtId="9" fontId="1" fillId="0" borderId="0" applyFont="0" applyFill="0" applyBorder="0" applyAlignment="0" applyProtection="0"/>
    <xf numFmtId="0" fontId="1" fillId="60" borderId="0" applyNumberFormat="0" applyBorder="0" applyAlignment="0" applyProtection="0"/>
    <xf numFmtId="0" fontId="1" fillId="61" borderId="0" applyNumberFormat="0" applyBorder="0" applyAlignment="0" applyProtection="0"/>
    <xf numFmtId="0" fontId="1" fillId="64" borderId="0" applyNumberFormat="0" applyBorder="0" applyAlignment="0" applyProtection="0"/>
    <xf numFmtId="0" fontId="1" fillId="65" borderId="0" applyNumberFormat="0" applyBorder="0" applyAlignment="0" applyProtection="0"/>
    <xf numFmtId="0" fontId="1" fillId="68" borderId="0" applyNumberFormat="0" applyBorder="0" applyAlignment="0" applyProtection="0"/>
    <xf numFmtId="0" fontId="1" fillId="69" borderId="0" applyNumberFormat="0" applyBorder="0" applyAlignment="0" applyProtection="0"/>
    <xf numFmtId="0" fontId="1" fillId="72" borderId="0" applyNumberFormat="0" applyBorder="0" applyAlignment="0" applyProtection="0"/>
    <xf numFmtId="0" fontId="1" fillId="73" borderId="0" applyNumberFormat="0" applyBorder="0" applyAlignment="0" applyProtection="0"/>
    <xf numFmtId="0" fontId="1" fillId="76" borderId="0" applyNumberFormat="0" applyBorder="0" applyAlignment="0" applyProtection="0"/>
    <xf numFmtId="0" fontId="1" fillId="77" borderId="0" applyNumberFormat="0" applyBorder="0" applyAlignment="0" applyProtection="0"/>
    <xf numFmtId="0" fontId="1" fillId="80" borderId="0" applyNumberFormat="0" applyBorder="0" applyAlignment="0" applyProtection="0"/>
    <xf numFmtId="0" fontId="1" fillId="81" borderId="0" applyNumberFormat="0" applyBorder="0" applyAlignment="0" applyProtection="0"/>
    <xf numFmtId="0" fontId="1" fillId="0" borderId="0"/>
    <xf numFmtId="0" fontId="1" fillId="58" borderId="104" applyNumberFormat="0" applyFont="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65" fontId="1" fillId="0" borderId="0" applyFont="0" applyFill="0" applyBorder="0" applyAlignment="0" applyProtection="0"/>
    <xf numFmtId="9" fontId="1" fillId="0" borderId="0" applyFont="0" applyFill="0" applyBorder="0" applyAlignment="0" applyProtection="0"/>
    <xf numFmtId="43" fontId="1"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9" fontId="1" fillId="0" borderId="0" applyFont="0" applyFill="0" applyBorder="0" applyAlignment="0" applyProtection="0"/>
    <xf numFmtId="43" fontId="10" fillId="0" borderId="0" applyFont="0" applyFill="0" applyBorder="0" applyAlignment="0" applyProtection="0"/>
    <xf numFmtId="43" fontId="38" fillId="0" borderId="0" applyFont="0" applyFill="0" applyBorder="0" applyAlignment="0" applyProtection="0"/>
    <xf numFmtId="43" fontId="38" fillId="0" borderId="0" applyFont="0" applyFill="0" applyBorder="0" applyAlignment="0" applyProtection="0"/>
    <xf numFmtId="43" fontId="38" fillId="0" borderId="0" applyFont="0" applyFill="0" applyBorder="0" applyAlignment="0" applyProtection="0"/>
    <xf numFmtId="43" fontId="38" fillId="0" borderId="0" applyFont="0" applyFill="0" applyBorder="0" applyAlignment="0" applyProtection="0"/>
    <xf numFmtId="43" fontId="1" fillId="0" borderId="0" applyFont="0" applyFill="0" applyBorder="0" applyAlignment="0" applyProtection="0"/>
    <xf numFmtId="43" fontId="10" fillId="0" borderId="0" applyFont="0" applyFill="0" applyBorder="0" applyAlignment="0" applyProtection="0"/>
    <xf numFmtId="41" fontId="19" fillId="0" borderId="0" applyFont="0" applyFill="0" applyBorder="0" applyAlignment="0" applyProtection="0"/>
    <xf numFmtId="41" fontId="19" fillId="0" borderId="0" applyFont="0" applyFill="0" applyBorder="0" applyAlignment="0" applyProtection="0"/>
    <xf numFmtId="41" fontId="19" fillId="0" borderId="0" applyFont="0" applyFill="0" applyBorder="0" applyAlignment="0" applyProtection="0"/>
    <xf numFmtId="41" fontId="19" fillId="0" borderId="0" applyFont="0" applyFill="0" applyBorder="0" applyAlignment="0" applyProtection="0"/>
    <xf numFmtId="41" fontId="19" fillId="0" borderId="0" applyFont="0" applyFill="0" applyBorder="0" applyAlignment="0" applyProtection="0"/>
    <xf numFmtId="41" fontId="19" fillId="0" borderId="0" applyFont="0" applyFill="0" applyBorder="0" applyAlignment="0" applyProtection="0"/>
    <xf numFmtId="41" fontId="19" fillId="0" borderId="0" applyFont="0" applyFill="0" applyBorder="0" applyAlignment="0" applyProtection="0"/>
    <xf numFmtId="41" fontId="19" fillId="0" borderId="0" applyFont="0" applyFill="0" applyBorder="0" applyAlignment="0" applyProtection="0"/>
    <xf numFmtId="41" fontId="19" fillId="0" borderId="0" applyFont="0" applyFill="0" applyBorder="0" applyAlignment="0" applyProtection="0"/>
    <xf numFmtId="41" fontId="19" fillId="0" borderId="0" applyFont="0" applyFill="0" applyBorder="0" applyAlignment="0" applyProtection="0"/>
    <xf numFmtId="41" fontId="19" fillId="0" borderId="0" applyFont="0" applyFill="0" applyBorder="0" applyAlignment="0" applyProtection="0"/>
    <xf numFmtId="41" fontId="19" fillId="0" borderId="0" applyFont="0" applyFill="0" applyBorder="0" applyAlignment="0" applyProtection="0"/>
    <xf numFmtId="41" fontId="19" fillId="0" borderId="0" applyFont="0" applyFill="0" applyBorder="0" applyAlignment="0" applyProtection="0"/>
    <xf numFmtId="41" fontId="19" fillId="0" borderId="0" applyFont="0" applyFill="0" applyBorder="0" applyAlignment="0" applyProtection="0"/>
    <xf numFmtId="41" fontId="19" fillId="0" borderId="0" applyFont="0" applyFill="0" applyBorder="0" applyAlignment="0" applyProtection="0"/>
    <xf numFmtId="41" fontId="19" fillId="0" borderId="0" applyFont="0" applyFill="0" applyBorder="0" applyAlignment="0" applyProtection="0"/>
    <xf numFmtId="41" fontId="19" fillId="0" borderId="0" applyFont="0" applyFill="0" applyBorder="0" applyAlignment="0" applyProtection="0"/>
    <xf numFmtId="41" fontId="19" fillId="0" borderId="0" applyFont="0" applyFill="0" applyBorder="0" applyAlignment="0" applyProtection="0"/>
    <xf numFmtId="41" fontId="19" fillId="0" borderId="0" applyFont="0" applyFill="0" applyBorder="0" applyAlignment="0" applyProtection="0"/>
    <xf numFmtId="41" fontId="19" fillId="0" borderId="0" applyFont="0" applyFill="0" applyBorder="0" applyAlignment="0" applyProtection="0"/>
    <xf numFmtId="41" fontId="19" fillId="0" borderId="0" applyFont="0" applyFill="0" applyBorder="0" applyAlignment="0" applyProtection="0"/>
    <xf numFmtId="41" fontId="19" fillId="0" borderId="0" applyFont="0" applyFill="0" applyBorder="0" applyAlignment="0" applyProtection="0"/>
    <xf numFmtId="41" fontId="19" fillId="0" borderId="0" applyFont="0" applyFill="0" applyBorder="0" applyAlignment="0" applyProtection="0"/>
    <xf numFmtId="41" fontId="19" fillId="0" borderId="0" applyFont="0" applyFill="0" applyBorder="0" applyAlignment="0" applyProtection="0"/>
    <xf numFmtId="41" fontId="19" fillId="0" borderId="0" applyFont="0" applyFill="0" applyBorder="0" applyAlignment="0" applyProtection="0"/>
    <xf numFmtId="41" fontId="19" fillId="0" borderId="0" applyFont="0" applyFill="0" applyBorder="0" applyAlignment="0" applyProtection="0"/>
    <xf numFmtId="41" fontId="19" fillId="0" borderId="0" applyFont="0" applyFill="0" applyBorder="0" applyAlignment="0" applyProtection="0"/>
    <xf numFmtId="41" fontId="19" fillId="0" borderId="0" applyFont="0" applyFill="0" applyBorder="0" applyAlignment="0" applyProtection="0"/>
    <xf numFmtId="41" fontId="19" fillId="0" borderId="0" applyFont="0" applyFill="0" applyBorder="0" applyAlignment="0" applyProtection="0"/>
    <xf numFmtId="41" fontId="19" fillId="0" borderId="0" applyFont="0" applyFill="0" applyBorder="0" applyAlignment="0" applyProtection="0"/>
    <xf numFmtId="41" fontId="19" fillId="0" borderId="0" applyFont="0" applyFill="0" applyBorder="0" applyAlignment="0" applyProtection="0"/>
    <xf numFmtId="41" fontId="19" fillId="0" borderId="0" applyFont="0" applyFill="0" applyBorder="0" applyAlignment="0" applyProtection="0"/>
    <xf numFmtId="41" fontId="19" fillId="0" borderId="0" applyFont="0" applyFill="0" applyBorder="0" applyAlignment="0" applyProtection="0"/>
    <xf numFmtId="41" fontId="19" fillId="0" borderId="0" applyFont="0" applyFill="0" applyBorder="0" applyAlignment="0" applyProtection="0"/>
    <xf numFmtId="41" fontId="19" fillId="0" borderId="0" applyFont="0" applyFill="0" applyBorder="0" applyAlignment="0" applyProtection="0"/>
    <xf numFmtId="41" fontId="19" fillId="0" borderId="0" applyFont="0" applyFill="0" applyBorder="0" applyAlignment="0" applyProtection="0"/>
    <xf numFmtId="41" fontId="19" fillId="0" borderId="0" applyFont="0" applyFill="0" applyBorder="0" applyAlignment="0" applyProtection="0"/>
    <xf numFmtId="41" fontId="19" fillId="0" borderId="0" applyFont="0" applyFill="0" applyBorder="0" applyAlignment="0" applyProtection="0"/>
    <xf numFmtId="41" fontId="19" fillId="0" borderId="0" applyFont="0" applyFill="0" applyBorder="0" applyAlignment="0" applyProtection="0"/>
    <xf numFmtId="41" fontId="19" fillId="0" borderId="0" applyFont="0" applyFill="0" applyBorder="0" applyAlignment="0" applyProtection="0"/>
    <xf numFmtId="41" fontId="19" fillId="0" borderId="0" applyFont="0" applyFill="0" applyBorder="0" applyAlignment="0" applyProtection="0"/>
    <xf numFmtId="41" fontId="19" fillId="0" borderId="0" applyFont="0" applyFill="0" applyBorder="0" applyAlignment="0" applyProtection="0"/>
    <xf numFmtId="41" fontId="19" fillId="0" borderId="0" applyFont="0" applyFill="0" applyBorder="0" applyAlignment="0" applyProtection="0"/>
    <xf numFmtId="41" fontId="19" fillId="0" borderId="0" applyFont="0" applyFill="0" applyBorder="0" applyAlignment="0" applyProtection="0"/>
    <xf numFmtId="41" fontId="19" fillId="0" borderId="0" applyFont="0" applyFill="0" applyBorder="0" applyAlignment="0" applyProtection="0"/>
    <xf numFmtId="41" fontId="19" fillId="0" borderId="0" applyFont="0" applyFill="0" applyBorder="0" applyAlignment="0" applyProtection="0"/>
    <xf numFmtId="41" fontId="19" fillId="0" borderId="0" applyFont="0" applyFill="0" applyBorder="0" applyAlignment="0" applyProtection="0"/>
    <xf numFmtId="41" fontId="19" fillId="0" borderId="0" applyFont="0" applyFill="0" applyBorder="0" applyAlignment="0" applyProtection="0"/>
    <xf numFmtId="41" fontId="19" fillId="0" borderId="0" applyFont="0" applyFill="0" applyBorder="0" applyAlignment="0" applyProtection="0"/>
    <xf numFmtId="41" fontId="19" fillId="0" borderId="0" applyFont="0" applyFill="0" applyBorder="0" applyAlignment="0" applyProtection="0"/>
    <xf numFmtId="41" fontId="19" fillId="0" borderId="0" applyFont="0" applyFill="0" applyBorder="0" applyAlignment="0" applyProtection="0"/>
    <xf numFmtId="41" fontId="19" fillId="0" borderId="0" applyFont="0" applyFill="0" applyBorder="0" applyAlignment="0" applyProtection="0"/>
    <xf numFmtId="41" fontId="19" fillId="0" borderId="0" applyFont="0" applyFill="0" applyBorder="0" applyAlignment="0" applyProtection="0"/>
    <xf numFmtId="41" fontId="19" fillId="0" borderId="0" applyFont="0" applyFill="0" applyBorder="0" applyAlignment="0" applyProtection="0"/>
    <xf numFmtId="41" fontId="19" fillId="0" borderId="0" applyFont="0" applyFill="0" applyBorder="0" applyAlignment="0" applyProtection="0"/>
    <xf numFmtId="41" fontId="19" fillId="0" borderId="0" applyFont="0" applyFill="0" applyBorder="0" applyAlignment="0" applyProtection="0"/>
    <xf numFmtId="41" fontId="19" fillId="0" borderId="0" applyFont="0" applyFill="0" applyBorder="0" applyAlignment="0" applyProtection="0"/>
    <xf numFmtId="41" fontId="19"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38" fillId="0" borderId="0" applyFont="0" applyFill="0" applyBorder="0" applyAlignment="0" applyProtection="0"/>
    <xf numFmtId="43" fontId="38"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38" fillId="0" borderId="0" applyFont="0" applyFill="0" applyBorder="0" applyAlignment="0" applyProtection="0"/>
    <xf numFmtId="43" fontId="38"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38" fillId="0" borderId="0" applyFont="0" applyFill="0" applyBorder="0" applyAlignment="0" applyProtection="0"/>
    <xf numFmtId="43" fontId="38"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38" fillId="0" borderId="0" applyFont="0" applyFill="0" applyBorder="0" applyAlignment="0" applyProtection="0"/>
    <xf numFmtId="43" fontId="38"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38" fillId="0" borderId="0" applyFont="0" applyFill="0" applyBorder="0" applyAlignment="0" applyProtection="0"/>
    <xf numFmtId="43" fontId="38"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38" fillId="0" borderId="0" applyFont="0" applyFill="0" applyBorder="0" applyAlignment="0" applyProtection="0"/>
    <xf numFmtId="43" fontId="38"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38" fillId="0" borderId="0" applyFont="0" applyFill="0" applyBorder="0" applyAlignment="0" applyProtection="0"/>
    <xf numFmtId="43" fontId="38"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38" fillId="0" borderId="0" applyFont="0" applyFill="0" applyBorder="0" applyAlignment="0" applyProtection="0"/>
    <xf numFmtId="43" fontId="38"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38" fillId="0" borderId="0" applyFont="0" applyFill="0" applyBorder="0" applyAlignment="0" applyProtection="0"/>
    <xf numFmtId="43" fontId="38"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38" fillId="0" borderId="0" applyFont="0" applyFill="0" applyBorder="0" applyAlignment="0" applyProtection="0"/>
    <xf numFmtId="43" fontId="38"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38" fillId="0" borderId="0" applyFont="0" applyFill="0" applyBorder="0" applyAlignment="0" applyProtection="0"/>
    <xf numFmtId="43" fontId="38"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38" fillId="0" borderId="0" applyFont="0" applyFill="0" applyBorder="0" applyAlignment="0" applyProtection="0"/>
    <xf numFmtId="43" fontId="38"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38" fillId="0" borderId="0" applyFont="0" applyFill="0" applyBorder="0" applyAlignment="0" applyProtection="0"/>
    <xf numFmtId="43" fontId="38"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38" fillId="0" borderId="0" applyFont="0" applyFill="0" applyBorder="0" applyAlignment="0" applyProtection="0"/>
    <xf numFmtId="43" fontId="38"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38" fillId="0" borderId="0" applyFont="0" applyFill="0" applyBorder="0" applyAlignment="0" applyProtection="0"/>
    <xf numFmtId="43" fontId="38"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38" fillId="0" borderId="0" applyFont="0" applyFill="0" applyBorder="0" applyAlignment="0" applyProtection="0"/>
    <xf numFmtId="43" fontId="38"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38" fillId="0" borderId="0" applyFont="0" applyFill="0" applyBorder="0" applyAlignment="0" applyProtection="0"/>
    <xf numFmtId="43" fontId="38"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38" fillId="0" borderId="0" applyFont="0" applyFill="0" applyBorder="0" applyAlignment="0" applyProtection="0"/>
    <xf numFmtId="43" fontId="38"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38" fillId="0" borderId="0" applyFont="0" applyFill="0" applyBorder="0" applyAlignment="0" applyProtection="0"/>
    <xf numFmtId="43" fontId="38"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38" fillId="0" borderId="0" applyFont="0" applyFill="0" applyBorder="0" applyAlignment="0" applyProtection="0"/>
    <xf numFmtId="43" fontId="38"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38" fillId="0" borderId="0" applyFont="0" applyFill="0" applyBorder="0" applyAlignment="0" applyProtection="0"/>
    <xf numFmtId="43" fontId="38"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38" fillId="0" borderId="0" applyFont="0" applyFill="0" applyBorder="0" applyAlignment="0" applyProtection="0"/>
    <xf numFmtId="43" fontId="38"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38" fillId="0" borderId="0" applyFont="0" applyFill="0" applyBorder="0" applyAlignment="0" applyProtection="0"/>
    <xf numFmtId="43" fontId="38"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38" fillId="0" borderId="0" applyFont="0" applyFill="0" applyBorder="0" applyAlignment="0" applyProtection="0"/>
    <xf numFmtId="43" fontId="38"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38" fillId="0" borderId="0" applyFont="0" applyFill="0" applyBorder="0" applyAlignment="0" applyProtection="0"/>
    <xf numFmtId="43" fontId="38"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38" fillId="0" borderId="0" applyFont="0" applyFill="0" applyBorder="0" applyAlignment="0" applyProtection="0"/>
    <xf numFmtId="43" fontId="38"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38" fillId="0" borderId="0" applyFont="0" applyFill="0" applyBorder="0" applyAlignment="0" applyProtection="0"/>
    <xf numFmtId="43" fontId="38"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38" fillId="0" borderId="0" applyFont="0" applyFill="0" applyBorder="0" applyAlignment="0" applyProtection="0"/>
    <xf numFmtId="43" fontId="38"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38" fillId="0" borderId="0" applyFont="0" applyFill="0" applyBorder="0" applyAlignment="0" applyProtection="0"/>
    <xf numFmtId="43" fontId="38"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38" fillId="0" borderId="0" applyFont="0" applyFill="0" applyBorder="0" applyAlignment="0" applyProtection="0"/>
    <xf numFmtId="43" fontId="38"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38" fillId="0" borderId="0" applyFont="0" applyFill="0" applyBorder="0" applyAlignment="0" applyProtection="0"/>
    <xf numFmtId="43" fontId="38"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38" fillId="0" borderId="0" applyFont="0" applyFill="0" applyBorder="0" applyAlignment="0" applyProtection="0"/>
    <xf numFmtId="43" fontId="38"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38" fillId="0" borderId="0" applyFont="0" applyFill="0" applyBorder="0" applyAlignment="0" applyProtection="0"/>
    <xf numFmtId="43" fontId="38"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38" fillId="0" borderId="0" applyFont="0" applyFill="0" applyBorder="0" applyAlignment="0" applyProtection="0"/>
    <xf numFmtId="43" fontId="38"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38" fillId="0" borderId="0" applyFont="0" applyFill="0" applyBorder="0" applyAlignment="0" applyProtection="0"/>
    <xf numFmtId="43" fontId="38"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38" fillId="0" borderId="0" applyFont="0" applyFill="0" applyBorder="0" applyAlignment="0" applyProtection="0"/>
    <xf numFmtId="43" fontId="38"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38" fillId="0" borderId="0" applyFont="0" applyFill="0" applyBorder="0" applyAlignment="0" applyProtection="0"/>
    <xf numFmtId="43" fontId="38"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38" fillId="0" borderId="0" applyFont="0" applyFill="0" applyBorder="0" applyAlignment="0" applyProtection="0"/>
    <xf numFmtId="43" fontId="38"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38" fillId="0" borderId="0" applyFont="0" applyFill="0" applyBorder="0" applyAlignment="0" applyProtection="0"/>
    <xf numFmtId="43" fontId="38"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38" fillId="0" borderId="0" applyFont="0" applyFill="0" applyBorder="0" applyAlignment="0" applyProtection="0"/>
    <xf numFmtId="43" fontId="38"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38" fillId="0" borderId="0" applyFont="0" applyFill="0" applyBorder="0" applyAlignment="0" applyProtection="0"/>
    <xf numFmtId="43" fontId="38"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38" fillId="0" borderId="0" applyFont="0" applyFill="0" applyBorder="0" applyAlignment="0" applyProtection="0"/>
    <xf numFmtId="43" fontId="38"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38" fillId="0" borderId="0" applyFont="0" applyFill="0" applyBorder="0" applyAlignment="0" applyProtection="0"/>
    <xf numFmtId="43" fontId="38"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38" fillId="0" borderId="0" applyFont="0" applyFill="0" applyBorder="0" applyAlignment="0" applyProtection="0"/>
    <xf numFmtId="43" fontId="38"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38" fillId="0" borderId="0" applyFont="0" applyFill="0" applyBorder="0" applyAlignment="0" applyProtection="0"/>
    <xf numFmtId="43" fontId="38"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38" fillId="0" borderId="0" applyFont="0" applyFill="0" applyBorder="0" applyAlignment="0" applyProtection="0"/>
    <xf numFmtId="43" fontId="38"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38" fillId="0" borderId="0" applyFont="0" applyFill="0" applyBorder="0" applyAlignment="0" applyProtection="0"/>
    <xf numFmtId="43" fontId="38"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38" fillId="0" borderId="0" applyFont="0" applyFill="0" applyBorder="0" applyAlignment="0" applyProtection="0"/>
    <xf numFmtId="43" fontId="38"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38" fillId="0" borderId="0" applyFont="0" applyFill="0" applyBorder="0" applyAlignment="0" applyProtection="0"/>
    <xf numFmtId="43" fontId="38"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38" fillId="0" borderId="0" applyFont="0" applyFill="0" applyBorder="0" applyAlignment="0" applyProtection="0"/>
    <xf numFmtId="43" fontId="38"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38" fillId="0" borderId="0" applyFont="0" applyFill="0" applyBorder="0" applyAlignment="0" applyProtection="0"/>
    <xf numFmtId="43" fontId="38"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38" fillId="0" borderId="0" applyFont="0" applyFill="0" applyBorder="0" applyAlignment="0" applyProtection="0"/>
    <xf numFmtId="43" fontId="38"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38" fillId="0" borderId="0" applyFont="0" applyFill="0" applyBorder="0" applyAlignment="0" applyProtection="0"/>
    <xf numFmtId="43" fontId="38"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38" fillId="0" borderId="0" applyFont="0" applyFill="0" applyBorder="0" applyAlignment="0" applyProtection="0"/>
    <xf numFmtId="43" fontId="38"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38" fillId="0" borderId="0" applyFont="0" applyFill="0" applyBorder="0" applyAlignment="0" applyProtection="0"/>
    <xf numFmtId="43" fontId="38"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38" fillId="0" borderId="0" applyFont="0" applyFill="0" applyBorder="0" applyAlignment="0" applyProtection="0"/>
    <xf numFmtId="43" fontId="38"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38" fillId="0" borderId="0" applyFont="0" applyFill="0" applyBorder="0" applyAlignment="0" applyProtection="0"/>
    <xf numFmtId="43" fontId="38"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38" fillId="0" borderId="0" applyFont="0" applyFill="0" applyBorder="0" applyAlignment="0" applyProtection="0"/>
    <xf numFmtId="43" fontId="38"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38" fillId="0" borderId="0" applyFont="0" applyFill="0" applyBorder="0" applyAlignment="0" applyProtection="0"/>
    <xf numFmtId="43" fontId="38"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38" fillId="0" borderId="0" applyFont="0" applyFill="0" applyBorder="0" applyAlignment="0" applyProtection="0"/>
    <xf numFmtId="43" fontId="38"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9" fontId="1" fillId="0" borderId="0" applyFont="0" applyFill="0" applyBorder="0" applyAlignment="0" applyProtection="0"/>
    <xf numFmtId="0" fontId="1" fillId="60" borderId="0" applyNumberFormat="0" applyBorder="0" applyAlignment="0" applyProtection="0"/>
    <xf numFmtId="0" fontId="1" fillId="61" borderId="0" applyNumberFormat="0" applyBorder="0" applyAlignment="0" applyProtection="0"/>
    <xf numFmtId="0" fontId="1" fillId="64" borderId="0" applyNumberFormat="0" applyBorder="0" applyAlignment="0" applyProtection="0"/>
    <xf numFmtId="0" fontId="1" fillId="65" borderId="0" applyNumberFormat="0" applyBorder="0" applyAlignment="0" applyProtection="0"/>
    <xf numFmtId="0" fontId="1" fillId="68" borderId="0" applyNumberFormat="0" applyBorder="0" applyAlignment="0" applyProtection="0"/>
    <xf numFmtId="0" fontId="1" fillId="69" borderId="0" applyNumberFormat="0" applyBorder="0" applyAlignment="0" applyProtection="0"/>
    <xf numFmtId="0" fontId="1" fillId="72" borderId="0" applyNumberFormat="0" applyBorder="0" applyAlignment="0" applyProtection="0"/>
    <xf numFmtId="0" fontId="1" fillId="73" borderId="0" applyNumberFormat="0" applyBorder="0" applyAlignment="0" applyProtection="0"/>
    <xf numFmtId="0" fontId="1" fillId="76" borderId="0" applyNumberFormat="0" applyBorder="0" applyAlignment="0" applyProtection="0"/>
    <xf numFmtId="0" fontId="1" fillId="77" borderId="0" applyNumberFormat="0" applyBorder="0" applyAlignment="0" applyProtection="0"/>
    <xf numFmtId="0" fontId="1" fillId="80" borderId="0" applyNumberFormat="0" applyBorder="0" applyAlignment="0" applyProtection="0"/>
    <xf numFmtId="0" fontId="1" fillId="81" borderId="0" applyNumberFormat="0" applyBorder="0" applyAlignment="0" applyProtection="0"/>
    <xf numFmtId="0" fontId="1" fillId="0" borderId="0"/>
    <xf numFmtId="0" fontId="1" fillId="58" borderId="104" applyNumberFormat="0" applyFont="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65" fontId="1" fillId="0" borderId="0" applyFont="0" applyFill="0" applyBorder="0" applyAlignment="0" applyProtection="0"/>
    <xf numFmtId="9" fontId="1" fillId="0" borderId="0" applyFont="0" applyFill="0" applyBorder="0" applyAlignment="0" applyProtection="0"/>
    <xf numFmtId="43" fontId="1"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9" fontId="1" fillId="0" borderId="0" applyFont="0" applyFill="0" applyBorder="0" applyAlignment="0" applyProtection="0"/>
    <xf numFmtId="0" fontId="1" fillId="0" borderId="0"/>
    <xf numFmtId="0" fontId="1" fillId="0" borderId="0"/>
    <xf numFmtId="0" fontId="1" fillId="0" borderId="0"/>
    <xf numFmtId="0" fontId="1" fillId="0" borderId="0"/>
    <xf numFmtId="9" fontId="1" fillId="0" borderId="0" applyFont="0" applyFill="0" applyBorder="0" applyAlignment="0" applyProtection="0"/>
    <xf numFmtId="0" fontId="10" fillId="0" borderId="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43" fontId="10" fillId="0" borderId="0" applyFont="0" applyFill="0" applyBorder="0" applyAlignment="0" applyProtection="0"/>
    <xf numFmtId="43" fontId="38" fillId="0" borderId="0" applyFont="0" applyFill="0" applyBorder="0" applyAlignment="0" applyProtection="0"/>
    <xf numFmtId="43" fontId="38" fillId="0" borderId="0" applyFont="0" applyFill="0" applyBorder="0" applyAlignment="0" applyProtection="0"/>
    <xf numFmtId="43" fontId="38" fillId="0" borderId="0" applyFont="0" applyFill="0" applyBorder="0" applyAlignment="0" applyProtection="0"/>
    <xf numFmtId="43" fontId="38" fillId="0" borderId="0" applyFont="0" applyFill="0" applyBorder="0" applyAlignment="0" applyProtection="0"/>
    <xf numFmtId="43" fontId="1" fillId="0" borderId="0" applyFont="0" applyFill="0" applyBorder="0" applyAlignment="0" applyProtection="0"/>
    <xf numFmtId="43" fontId="10" fillId="0" borderId="0" applyFont="0" applyFill="0" applyBorder="0" applyAlignment="0" applyProtection="0"/>
    <xf numFmtId="9" fontId="10" fillId="0" borderId="0" applyFont="0" applyFill="0" applyBorder="0" applyAlignment="0" applyProtection="0"/>
    <xf numFmtId="169" fontId="10" fillId="0" borderId="0" applyFont="0" applyFill="0" applyBorder="0" applyAlignment="0" applyProtection="0"/>
    <xf numFmtId="169" fontId="10" fillId="0" borderId="0" applyFont="0" applyFill="0" applyBorder="0" applyAlignment="0" applyProtection="0"/>
    <xf numFmtId="169" fontId="10" fillId="0" borderId="0" applyFont="0" applyFill="0" applyBorder="0" applyAlignment="0" applyProtection="0"/>
    <xf numFmtId="169" fontId="10" fillId="0" borderId="0" applyFont="0" applyFill="0" applyBorder="0" applyAlignment="0" applyProtection="0"/>
    <xf numFmtId="169" fontId="10" fillId="0" borderId="0" applyFont="0" applyFill="0" applyBorder="0" applyAlignment="0" applyProtection="0"/>
    <xf numFmtId="169" fontId="10" fillId="0" borderId="0" applyFont="0" applyFill="0" applyBorder="0" applyAlignment="0" applyProtection="0"/>
    <xf numFmtId="169" fontId="10" fillId="0" borderId="0" applyFont="0" applyFill="0" applyBorder="0" applyAlignment="0" applyProtection="0"/>
    <xf numFmtId="169" fontId="10" fillId="0" borderId="0" applyFont="0" applyFill="0" applyBorder="0" applyAlignment="0" applyProtection="0"/>
    <xf numFmtId="169" fontId="10" fillId="0" borderId="0" applyFont="0" applyFill="0" applyBorder="0" applyAlignment="0" applyProtection="0"/>
    <xf numFmtId="169" fontId="10" fillId="0" borderId="0" applyFont="0" applyFill="0" applyBorder="0" applyAlignment="0" applyProtection="0"/>
    <xf numFmtId="169" fontId="10" fillId="0" borderId="0" applyFont="0" applyFill="0" applyBorder="0" applyAlignment="0" applyProtection="0"/>
    <xf numFmtId="169" fontId="10" fillId="0" borderId="0" applyFont="0" applyFill="0" applyBorder="0" applyAlignment="0" applyProtection="0"/>
    <xf numFmtId="169" fontId="10" fillId="0" borderId="0" applyFont="0" applyFill="0" applyBorder="0" applyAlignment="0" applyProtection="0"/>
    <xf numFmtId="169" fontId="10" fillId="0" borderId="0" applyFont="0" applyFill="0" applyBorder="0" applyAlignment="0" applyProtection="0"/>
    <xf numFmtId="169" fontId="10" fillId="0" borderId="0" applyFont="0" applyFill="0" applyBorder="0" applyAlignment="0" applyProtection="0"/>
    <xf numFmtId="169" fontId="10" fillId="0" borderId="0" applyFont="0" applyFill="0" applyBorder="0" applyAlignment="0" applyProtection="0"/>
    <xf numFmtId="169" fontId="10" fillId="0" borderId="0" applyFont="0" applyFill="0" applyBorder="0" applyAlignment="0" applyProtection="0"/>
    <xf numFmtId="169" fontId="10" fillId="0" borderId="0" applyFont="0" applyFill="0" applyBorder="0" applyAlignment="0" applyProtection="0"/>
    <xf numFmtId="169" fontId="10" fillId="0" borderId="0" applyFont="0" applyFill="0" applyBorder="0" applyAlignment="0" applyProtection="0"/>
    <xf numFmtId="169" fontId="10" fillId="0" borderId="0" applyFont="0" applyFill="0" applyBorder="0" applyAlignment="0" applyProtection="0"/>
    <xf numFmtId="169" fontId="10" fillId="0" borderId="0" applyFont="0" applyFill="0" applyBorder="0" applyAlignment="0" applyProtection="0"/>
    <xf numFmtId="169" fontId="10" fillId="0" borderId="0" applyFont="0" applyFill="0" applyBorder="0" applyAlignment="0" applyProtection="0"/>
    <xf numFmtId="169" fontId="10" fillId="0" borderId="0" applyFont="0" applyFill="0" applyBorder="0" applyAlignment="0" applyProtection="0"/>
    <xf numFmtId="169" fontId="10" fillId="0" borderId="0" applyFont="0" applyFill="0" applyBorder="0" applyAlignment="0" applyProtection="0"/>
    <xf numFmtId="169" fontId="10" fillId="0" borderId="0" applyFont="0" applyFill="0" applyBorder="0" applyAlignment="0" applyProtection="0"/>
    <xf numFmtId="169" fontId="10" fillId="0" borderId="0" applyFont="0" applyFill="0" applyBorder="0" applyAlignment="0" applyProtection="0"/>
    <xf numFmtId="169" fontId="10" fillId="0" borderId="0" applyFont="0" applyFill="0" applyBorder="0" applyAlignment="0" applyProtection="0"/>
    <xf numFmtId="41" fontId="19" fillId="0" borderId="0" applyFont="0" applyFill="0" applyBorder="0" applyAlignment="0" applyProtection="0"/>
    <xf numFmtId="41" fontId="19" fillId="0" borderId="0" applyFont="0" applyFill="0" applyBorder="0" applyAlignment="0" applyProtection="0"/>
    <xf numFmtId="41" fontId="19" fillId="0" borderId="0" applyFont="0" applyFill="0" applyBorder="0" applyAlignment="0" applyProtection="0"/>
    <xf numFmtId="41" fontId="19" fillId="0" borderId="0" applyFont="0" applyFill="0" applyBorder="0" applyAlignment="0" applyProtection="0"/>
    <xf numFmtId="41" fontId="19" fillId="0" borderId="0" applyFont="0" applyFill="0" applyBorder="0" applyAlignment="0" applyProtection="0"/>
    <xf numFmtId="41" fontId="19" fillId="0" borderId="0" applyFont="0" applyFill="0" applyBorder="0" applyAlignment="0" applyProtection="0"/>
    <xf numFmtId="41" fontId="19" fillId="0" borderId="0" applyFont="0" applyFill="0" applyBorder="0" applyAlignment="0" applyProtection="0"/>
    <xf numFmtId="41" fontId="19" fillId="0" borderId="0" applyFont="0" applyFill="0" applyBorder="0" applyAlignment="0" applyProtection="0"/>
    <xf numFmtId="41" fontId="19" fillId="0" borderId="0" applyFont="0" applyFill="0" applyBorder="0" applyAlignment="0" applyProtection="0"/>
    <xf numFmtId="41" fontId="19" fillId="0" borderId="0" applyFont="0" applyFill="0" applyBorder="0" applyAlignment="0" applyProtection="0"/>
    <xf numFmtId="41" fontId="19" fillId="0" borderId="0" applyFont="0" applyFill="0" applyBorder="0" applyAlignment="0" applyProtection="0"/>
    <xf numFmtId="41" fontId="19" fillId="0" borderId="0" applyFont="0" applyFill="0" applyBorder="0" applyAlignment="0" applyProtection="0"/>
    <xf numFmtId="41" fontId="19" fillId="0" borderId="0" applyFont="0" applyFill="0" applyBorder="0" applyAlignment="0" applyProtection="0"/>
    <xf numFmtId="41" fontId="19" fillId="0" borderId="0" applyFont="0" applyFill="0" applyBorder="0" applyAlignment="0" applyProtection="0"/>
    <xf numFmtId="41" fontId="19" fillId="0" borderId="0" applyFont="0" applyFill="0" applyBorder="0" applyAlignment="0" applyProtection="0"/>
    <xf numFmtId="41" fontId="19" fillId="0" borderId="0" applyFont="0" applyFill="0" applyBorder="0" applyAlignment="0" applyProtection="0"/>
    <xf numFmtId="41" fontId="19" fillId="0" borderId="0" applyFont="0" applyFill="0" applyBorder="0" applyAlignment="0" applyProtection="0"/>
    <xf numFmtId="41" fontId="19" fillId="0" borderId="0" applyFont="0" applyFill="0" applyBorder="0" applyAlignment="0" applyProtection="0"/>
    <xf numFmtId="41" fontId="19" fillId="0" borderId="0" applyFont="0" applyFill="0" applyBorder="0" applyAlignment="0" applyProtection="0"/>
    <xf numFmtId="41" fontId="19" fillId="0" borderId="0" applyFont="0" applyFill="0" applyBorder="0" applyAlignment="0" applyProtection="0"/>
    <xf numFmtId="41" fontId="19" fillId="0" borderId="0" applyFont="0" applyFill="0" applyBorder="0" applyAlignment="0" applyProtection="0"/>
    <xf numFmtId="41" fontId="19" fillId="0" borderId="0" applyFont="0" applyFill="0" applyBorder="0" applyAlignment="0" applyProtection="0"/>
    <xf numFmtId="41" fontId="19" fillId="0" borderId="0" applyFont="0" applyFill="0" applyBorder="0" applyAlignment="0" applyProtection="0"/>
    <xf numFmtId="41" fontId="19" fillId="0" borderId="0" applyFont="0" applyFill="0" applyBorder="0" applyAlignment="0" applyProtection="0"/>
    <xf numFmtId="41" fontId="19" fillId="0" borderId="0" applyFont="0" applyFill="0" applyBorder="0" applyAlignment="0" applyProtection="0"/>
    <xf numFmtId="41" fontId="19" fillId="0" borderId="0" applyFont="0" applyFill="0" applyBorder="0" applyAlignment="0" applyProtection="0"/>
    <xf numFmtId="41" fontId="19" fillId="0" borderId="0" applyFont="0" applyFill="0" applyBorder="0" applyAlignment="0" applyProtection="0"/>
    <xf numFmtId="41" fontId="19" fillId="0" borderId="0" applyFont="0" applyFill="0" applyBorder="0" applyAlignment="0" applyProtection="0"/>
    <xf numFmtId="41" fontId="19" fillId="0" borderId="0" applyFont="0" applyFill="0" applyBorder="0" applyAlignment="0" applyProtection="0"/>
    <xf numFmtId="41" fontId="19" fillId="0" borderId="0" applyFont="0" applyFill="0" applyBorder="0" applyAlignment="0" applyProtection="0"/>
    <xf numFmtId="41" fontId="19" fillId="0" borderId="0" applyFont="0" applyFill="0" applyBorder="0" applyAlignment="0" applyProtection="0"/>
    <xf numFmtId="41" fontId="19" fillId="0" borderId="0" applyFont="0" applyFill="0" applyBorder="0" applyAlignment="0" applyProtection="0"/>
    <xf numFmtId="41" fontId="19" fillId="0" borderId="0" applyFont="0" applyFill="0" applyBorder="0" applyAlignment="0" applyProtection="0"/>
    <xf numFmtId="41" fontId="19" fillId="0" borderId="0" applyFont="0" applyFill="0" applyBorder="0" applyAlignment="0" applyProtection="0"/>
    <xf numFmtId="41" fontId="19" fillId="0" borderId="0" applyFont="0" applyFill="0" applyBorder="0" applyAlignment="0" applyProtection="0"/>
    <xf numFmtId="41" fontId="19" fillId="0" borderId="0" applyFont="0" applyFill="0" applyBorder="0" applyAlignment="0" applyProtection="0"/>
    <xf numFmtId="41" fontId="19" fillId="0" borderId="0" applyFont="0" applyFill="0" applyBorder="0" applyAlignment="0" applyProtection="0"/>
    <xf numFmtId="41" fontId="19" fillId="0" borderId="0" applyFont="0" applyFill="0" applyBorder="0" applyAlignment="0" applyProtection="0"/>
    <xf numFmtId="41" fontId="19" fillId="0" borderId="0" applyFont="0" applyFill="0" applyBorder="0" applyAlignment="0" applyProtection="0"/>
    <xf numFmtId="41" fontId="19" fillId="0" borderId="0" applyFont="0" applyFill="0" applyBorder="0" applyAlignment="0" applyProtection="0"/>
    <xf numFmtId="41" fontId="19" fillId="0" borderId="0" applyFont="0" applyFill="0" applyBorder="0" applyAlignment="0" applyProtection="0"/>
    <xf numFmtId="41" fontId="19" fillId="0" borderId="0" applyFont="0" applyFill="0" applyBorder="0" applyAlignment="0" applyProtection="0"/>
    <xf numFmtId="41" fontId="19" fillId="0" borderId="0" applyFont="0" applyFill="0" applyBorder="0" applyAlignment="0" applyProtection="0"/>
    <xf numFmtId="41" fontId="19" fillId="0" borderId="0" applyFont="0" applyFill="0" applyBorder="0" applyAlignment="0" applyProtection="0"/>
    <xf numFmtId="41" fontId="19" fillId="0" borderId="0" applyFont="0" applyFill="0" applyBorder="0" applyAlignment="0" applyProtection="0"/>
    <xf numFmtId="41" fontId="19" fillId="0" borderId="0" applyFont="0" applyFill="0" applyBorder="0" applyAlignment="0" applyProtection="0"/>
    <xf numFmtId="41" fontId="19" fillId="0" borderId="0" applyFont="0" applyFill="0" applyBorder="0" applyAlignment="0" applyProtection="0"/>
    <xf numFmtId="41" fontId="19" fillId="0" borderId="0" applyFont="0" applyFill="0" applyBorder="0" applyAlignment="0" applyProtection="0"/>
    <xf numFmtId="41" fontId="19" fillId="0" borderId="0" applyFont="0" applyFill="0" applyBorder="0" applyAlignment="0" applyProtection="0"/>
    <xf numFmtId="41" fontId="19" fillId="0" borderId="0" applyFont="0" applyFill="0" applyBorder="0" applyAlignment="0" applyProtection="0"/>
    <xf numFmtId="41" fontId="19" fillId="0" borderId="0" applyFont="0" applyFill="0" applyBorder="0" applyAlignment="0" applyProtection="0"/>
    <xf numFmtId="41" fontId="19" fillId="0" borderId="0" applyFont="0" applyFill="0" applyBorder="0" applyAlignment="0" applyProtection="0"/>
    <xf numFmtId="41" fontId="19" fillId="0" borderId="0" applyFont="0" applyFill="0" applyBorder="0" applyAlignment="0" applyProtection="0"/>
    <xf numFmtId="41" fontId="19" fillId="0" borderId="0" applyFont="0" applyFill="0" applyBorder="0" applyAlignment="0" applyProtection="0"/>
    <xf numFmtId="41" fontId="19" fillId="0" borderId="0" applyFont="0" applyFill="0" applyBorder="0" applyAlignment="0" applyProtection="0"/>
    <xf numFmtId="41" fontId="19" fillId="0" borderId="0" applyFont="0" applyFill="0" applyBorder="0" applyAlignment="0" applyProtection="0"/>
    <xf numFmtId="41" fontId="19" fillId="0" borderId="0" applyFont="0" applyFill="0" applyBorder="0" applyAlignment="0" applyProtection="0"/>
    <xf numFmtId="41" fontId="19"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38" fillId="0" borderId="0" applyFont="0" applyFill="0" applyBorder="0" applyAlignment="0" applyProtection="0"/>
    <xf numFmtId="43" fontId="38"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38" fillId="0" borderId="0" applyFont="0" applyFill="0" applyBorder="0" applyAlignment="0" applyProtection="0"/>
    <xf numFmtId="43" fontId="38"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38" fillId="0" borderId="0" applyFont="0" applyFill="0" applyBorder="0" applyAlignment="0" applyProtection="0"/>
    <xf numFmtId="43" fontId="38"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38" fillId="0" borderId="0" applyFont="0" applyFill="0" applyBorder="0" applyAlignment="0" applyProtection="0"/>
    <xf numFmtId="43" fontId="38"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38" fillId="0" borderId="0" applyFont="0" applyFill="0" applyBorder="0" applyAlignment="0" applyProtection="0"/>
    <xf numFmtId="43" fontId="38"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38" fillId="0" borderId="0" applyFont="0" applyFill="0" applyBorder="0" applyAlignment="0" applyProtection="0"/>
    <xf numFmtId="43" fontId="38"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38" fillId="0" borderId="0" applyFont="0" applyFill="0" applyBorder="0" applyAlignment="0" applyProtection="0"/>
    <xf numFmtId="43" fontId="38"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38" fillId="0" borderId="0" applyFont="0" applyFill="0" applyBorder="0" applyAlignment="0" applyProtection="0"/>
    <xf numFmtId="43" fontId="38"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38" fillId="0" borderId="0" applyFont="0" applyFill="0" applyBorder="0" applyAlignment="0" applyProtection="0"/>
    <xf numFmtId="43" fontId="38"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38" fillId="0" borderId="0" applyFont="0" applyFill="0" applyBorder="0" applyAlignment="0" applyProtection="0"/>
    <xf numFmtId="43" fontId="38"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38" fillId="0" borderId="0" applyFont="0" applyFill="0" applyBorder="0" applyAlignment="0" applyProtection="0"/>
    <xf numFmtId="43" fontId="38"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38" fillId="0" borderId="0" applyFont="0" applyFill="0" applyBorder="0" applyAlignment="0" applyProtection="0"/>
    <xf numFmtId="43" fontId="38"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38" fillId="0" borderId="0" applyFont="0" applyFill="0" applyBorder="0" applyAlignment="0" applyProtection="0"/>
    <xf numFmtId="43" fontId="38"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38" fillId="0" borderId="0" applyFont="0" applyFill="0" applyBorder="0" applyAlignment="0" applyProtection="0"/>
    <xf numFmtId="43" fontId="38"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38" fillId="0" borderId="0" applyFont="0" applyFill="0" applyBorder="0" applyAlignment="0" applyProtection="0"/>
    <xf numFmtId="43" fontId="38"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38" fillId="0" borderId="0" applyFont="0" applyFill="0" applyBorder="0" applyAlignment="0" applyProtection="0"/>
    <xf numFmtId="43" fontId="38"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38" fillId="0" borderId="0" applyFont="0" applyFill="0" applyBorder="0" applyAlignment="0" applyProtection="0"/>
    <xf numFmtId="43" fontId="38"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38" fillId="0" borderId="0" applyFont="0" applyFill="0" applyBorder="0" applyAlignment="0" applyProtection="0"/>
    <xf numFmtId="43" fontId="38"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38" fillId="0" borderId="0" applyFont="0" applyFill="0" applyBorder="0" applyAlignment="0" applyProtection="0"/>
    <xf numFmtId="43" fontId="38"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38" fillId="0" borderId="0" applyFont="0" applyFill="0" applyBorder="0" applyAlignment="0" applyProtection="0"/>
    <xf numFmtId="43" fontId="38"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38" fillId="0" borderId="0" applyFont="0" applyFill="0" applyBorder="0" applyAlignment="0" applyProtection="0"/>
    <xf numFmtId="43" fontId="38"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38" fillId="0" borderId="0" applyFont="0" applyFill="0" applyBorder="0" applyAlignment="0" applyProtection="0"/>
    <xf numFmtId="43" fontId="38"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38" fillId="0" borderId="0" applyFont="0" applyFill="0" applyBorder="0" applyAlignment="0" applyProtection="0"/>
    <xf numFmtId="43" fontId="38"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38" fillId="0" borderId="0" applyFont="0" applyFill="0" applyBorder="0" applyAlignment="0" applyProtection="0"/>
    <xf numFmtId="43" fontId="38"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38" fillId="0" borderId="0" applyFont="0" applyFill="0" applyBorder="0" applyAlignment="0" applyProtection="0"/>
    <xf numFmtId="43" fontId="38"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38" fillId="0" borderId="0" applyFont="0" applyFill="0" applyBorder="0" applyAlignment="0" applyProtection="0"/>
    <xf numFmtId="43" fontId="38"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38" fillId="0" borderId="0" applyFont="0" applyFill="0" applyBorder="0" applyAlignment="0" applyProtection="0"/>
    <xf numFmtId="43" fontId="38"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38" fillId="0" borderId="0" applyFont="0" applyFill="0" applyBorder="0" applyAlignment="0" applyProtection="0"/>
    <xf numFmtId="43" fontId="38"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38" fillId="0" borderId="0" applyFont="0" applyFill="0" applyBorder="0" applyAlignment="0" applyProtection="0"/>
    <xf numFmtId="43" fontId="38"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38" fillId="0" borderId="0" applyFont="0" applyFill="0" applyBorder="0" applyAlignment="0" applyProtection="0"/>
    <xf numFmtId="43" fontId="38"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38" fillId="0" borderId="0" applyFont="0" applyFill="0" applyBorder="0" applyAlignment="0" applyProtection="0"/>
    <xf numFmtId="43" fontId="38"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38" fillId="0" borderId="0" applyFont="0" applyFill="0" applyBorder="0" applyAlignment="0" applyProtection="0"/>
    <xf numFmtId="43" fontId="38"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38" fillId="0" borderId="0" applyFont="0" applyFill="0" applyBorder="0" applyAlignment="0" applyProtection="0"/>
    <xf numFmtId="43" fontId="38"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38" fillId="0" borderId="0" applyFont="0" applyFill="0" applyBorder="0" applyAlignment="0" applyProtection="0"/>
    <xf numFmtId="43" fontId="38"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38" fillId="0" borderId="0" applyFont="0" applyFill="0" applyBorder="0" applyAlignment="0" applyProtection="0"/>
    <xf numFmtId="43" fontId="38"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38" fillId="0" borderId="0" applyFont="0" applyFill="0" applyBorder="0" applyAlignment="0" applyProtection="0"/>
    <xf numFmtId="43" fontId="38"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38" fillId="0" borderId="0" applyFont="0" applyFill="0" applyBorder="0" applyAlignment="0" applyProtection="0"/>
    <xf numFmtId="43" fontId="38"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38" fillId="0" borderId="0" applyFont="0" applyFill="0" applyBorder="0" applyAlignment="0" applyProtection="0"/>
    <xf numFmtId="43" fontId="38"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38" fillId="0" borderId="0" applyFont="0" applyFill="0" applyBorder="0" applyAlignment="0" applyProtection="0"/>
    <xf numFmtId="43" fontId="38"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38" fillId="0" borderId="0" applyFont="0" applyFill="0" applyBorder="0" applyAlignment="0" applyProtection="0"/>
    <xf numFmtId="43" fontId="38"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38" fillId="0" borderId="0" applyFont="0" applyFill="0" applyBorder="0" applyAlignment="0" applyProtection="0"/>
    <xf numFmtId="43" fontId="38"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38" fillId="0" borderId="0" applyFont="0" applyFill="0" applyBorder="0" applyAlignment="0" applyProtection="0"/>
    <xf numFmtId="43" fontId="38"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38" fillId="0" borderId="0" applyFont="0" applyFill="0" applyBorder="0" applyAlignment="0" applyProtection="0"/>
    <xf numFmtId="43" fontId="38"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38" fillId="0" borderId="0" applyFont="0" applyFill="0" applyBorder="0" applyAlignment="0" applyProtection="0"/>
    <xf numFmtId="43" fontId="38"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38" fillId="0" borderId="0" applyFont="0" applyFill="0" applyBorder="0" applyAlignment="0" applyProtection="0"/>
    <xf numFmtId="43" fontId="38"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38" fillId="0" borderId="0" applyFont="0" applyFill="0" applyBorder="0" applyAlignment="0" applyProtection="0"/>
    <xf numFmtId="43" fontId="38"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38" fillId="0" borderId="0" applyFont="0" applyFill="0" applyBorder="0" applyAlignment="0" applyProtection="0"/>
    <xf numFmtId="43" fontId="38"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38" fillId="0" borderId="0" applyFont="0" applyFill="0" applyBorder="0" applyAlignment="0" applyProtection="0"/>
    <xf numFmtId="43" fontId="38"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38" fillId="0" borderId="0" applyFont="0" applyFill="0" applyBorder="0" applyAlignment="0" applyProtection="0"/>
    <xf numFmtId="43" fontId="38"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38" fillId="0" borderId="0" applyFont="0" applyFill="0" applyBorder="0" applyAlignment="0" applyProtection="0"/>
    <xf numFmtId="43" fontId="38"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38" fillId="0" borderId="0" applyFont="0" applyFill="0" applyBorder="0" applyAlignment="0" applyProtection="0"/>
    <xf numFmtId="43" fontId="38"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38" fillId="0" borderId="0" applyFont="0" applyFill="0" applyBorder="0" applyAlignment="0" applyProtection="0"/>
    <xf numFmtId="43" fontId="38"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38" fillId="0" borderId="0" applyFont="0" applyFill="0" applyBorder="0" applyAlignment="0" applyProtection="0"/>
    <xf numFmtId="43" fontId="38"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38" fillId="0" borderId="0" applyFont="0" applyFill="0" applyBorder="0" applyAlignment="0" applyProtection="0"/>
    <xf numFmtId="43" fontId="38"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38" fillId="0" borderId="0" applyFont="0" applyFill="0" applyBorder="0" applyAlignment="0" applyProtection="0"/>
    <xf numFmtId="43" fontId="38"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38" fillId="0" borderId="0" applyFont="0" applyFill="0" applyBorder="0" applyAlignment="0" applyProtection="0"/>
    <xf numFmtId="43" fontId="38"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38" fillId="0" borderId="0" applyFont="0" applyFill="0" applyBorder="0" applyAlignment="0" applyProtection="0"/>
    <xf numFmtId="43" fontId="38"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38" fillId="0" borderId="0" applyFont="0" applyFill="0" applyBorder="0" applyAlignment="0" applyProtection="0"/>
    <xf numFmtId="43" fontId="38"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38" fillId="0" borderId="0" applyFont="0" applyFill="0" applyBorder="0" applyAlignment="0" applyProtection="0"/>
    <xf numFmtId="43" fontId="38"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38" fillId="0" borderId="0" applyFont="0" applyFill="0" applyBorder="0" applyAlignment="0" applyProtection="0"/>
    <xf numFmtId="43" fontId="38"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31" fillId="0" borderId="0"/>
    <xf numFmtId="43" fontId="38" fillId="0" borderId="0" applyFont="0" applyFill="0" applyBorder="0" applyAlignment="0" applyProtection="0"/>
    <xf numFmtId="43" fontId="10" fillId="0" borderId="0" applyFont="0" applyFill="0" applyBorder="0" applyAlignment="0" applyProtection="0"/>
    <xf numFmtId="43" fontId="38" fillId="0" borderId="0" applyFont="0" applyFill="0" applyBorder="0" applyAlignment="0" applyProtection="0"/>
    <xf numFmtId="43" fontId="38"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38" fillId="0" borderId="0" applyFont="0" applyFill="0" applyBorder="0" applyAlignment="0" applyProtection="0"/>
    <xf numFmtId="43" fontId="38" fillId="0" borderId="0" applyFont="0" applyFill="0" applyBorder="0" applyAlignment="0" applyProtection="0"/>
    <xf numFmtId="43" fontId="10" fillId="0" borderId="0" applyFont="0" applyFill="0" applyBorder="0" applyAlignment="0" applyProtection="0"/>
    <xf numFmtId="43" fontId="38" fillId="0" borderId="0" applyFont="0" applyFill="0" applyBorder="0" applyAlignment="0" applyProtection="0"/>
    <xf numFmtId="43" fontId="10" fillId="0" borderId="0" applyFont="0" applyFill="0" applyBorder="0" applyAlignment="0" applyProtection="0"/>
    <xf numFmtId="43" fontId="38" fillId="0" borderId="0" applyFont="0" applyFill="0" applyBorder="0" applyAlignment="0" applyProtection="0"/>
    <xf numFmtId="43" fontId="38"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38" fillId="0" borderId="0" applyFont="0" applyFill="0" applyBorder="0" applyAlignment="0" applyProtection="0"/>
    <xf numFmtId="43" fontId="10" fillId="0" borderId="0" applyFont="0" applyFill="0" applyBorder="0" applyAlignment="0" applyProtection="0"/>
    <xf numFmtId="43" fontId="38" fillId="0" borderId="0" applyFont="0" applyFill="0" applyBorder="0" applyAlignment="0" applyProtection="0"/>
    <xf numFmtId="43" fontId="38" fillId="0" borderId="0" applyFont="0" applyFill="0" applyBorder="0" applyAlignment="0" applyProtection="0"/>
    <xf numFmtId="43" fontId="38" fillId="0" borderId="0" applyFont="0" applyFill="0" applyBorder="0" applyAlignment="0" applyProtection="0"/>
    <xf numFmtId="43" fontId="38" fillId="0" borderId="0" applyFont="0" applyFill="0" applyBorder="0" applyAlignment="0" applyProtection="0"/>
    <xf numFmtId="43" fontId="38" fillId="0" borderId="0" applyFont="0" applyFill="0" applyBorder="0" applyAlignment="0" applyProtection="0"/>
    <xf numFmtId="43" fontId="38" fillId="0" borderId="0" applyFont="0" applyFill="0" applyBorder="0" applyAlignment="0" applyProtection="0"/>
    <xf numFmtId="43" fontId="38" fillId="0" borderId="0" applyFont="0" applyFill="0" applyBorder="0" applyAlignment="0" applyProtection="0"/>
    <xf numFmtId="43" fontId="38" fillId="0" borderId="0" applyFont="0" applyFill="0" applyBorder="0" applyAlignment="0" applyProtection="0"/>
    <xf numFmtId="43" fontId="38"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38" fillId="0" borderId="0" applyFont="0" applyFill="0" applyBorder="0" applyAlignment="0" applyProtection="0"/>
    <xf numFmtId="43" fontId="38" fillId="0" borderId="0" applyFont="0" applyFill="0" applyBorder="0" applyAlignment="0" applyProtection="0"/>
    <xf numFmtId="43" fontId="38" fillId="0" borderId="0" applyFont="0" applyFill="0" applyBorder="0" applyAlignment="0" applyProtection="0"/>
    <xf numFmtId="43" fontId="10" fillId="0" borderId="0" applyFont="0" applyFill="0" applyBorder="0" applyAlignment="0" applyProtection="0"/>
    <xf numFmtId="43" fontId="38" fillId="0" borderId="0" applyFont="0" applyFill="0" applyBorder="0" applyAlignment="0" applyProtection="0"/>
    <xf numFmtId="43" fontId="38" fillId="0" borderId="0" applyFont="0" applyFill="0" applyBorder="0" applyAlignment="0" applyProtection="0"/>
    <xf numFmtId="43" fontId="38" fillId="0" borderId="0" applyFont="0" applyFill="0" applyBorder="0" applyAlignment="0" applyProtection="0"/>
    <xf numFmtId="43" fontId="38" fillId="0" borderId="0" applyFont="0" applyFill="0" applyBorder="0" applyAlignment="0" applyProtection="0"/>
    <xf numFmtId="0" fontId="118" fillId="0" borderId="0" applyNumberFormat="0" applyFill="0" applyBorder="0" applyAlignment="0" applyProtection="0">
      <alignment vertical="top"/>
      <protection locked="0"/>
    </xf>
    <xf numFmtId="0" fontId="253" fillId="40" borderId="0" applyNumberFormat="0" applyAlignment="0" applyProtection="0"/>
    <xf numFmtId="166" fontId="10" fillId="0" borderId="0" applyFont="0" applyFill="0" applyBorder="0" applyAlignment="0" applyProtection="0"/>
    <xf numFmtId="166" fontId="10" fillId="0" borderId="0" applyFont="0" applyFill="0" applyBorder="0" applyAlignment="0" applyProtection="0"/>
    <xf numFmtId="166" fontId="10" fillId="0" borderId="0" applyFont="0" applyFill="0" applyBorder="0" applyAlignment="0" applyProtection="0"/>
    <xf numFmtId="166" fontId="10" fillId="0" borderId="0" applyFont="0" applyFill="0" applyBorder="0" applyAlignment="0" applyProtection="0"/>
    <xf numFmtId="166" fontId="10" fillId="0" borderId="0" applyFont="0" applyFill="0" applyBorder="0" applyAlignment="0" applyProtection="0"/>
    <xf numFmtId="166" fontId="10" fillId="0" borderId="0" applyFont="0" applyFill="0" applyBorder="0" applyAlignment="0" applyProtection="0"/>
    <xf numFmtId="166" fontId="10" fillId="0" borderId="0" applyFont="0" applyFill="0" applyBorder="0" applyAlignment="0" applyProtection="0"/>
    <xf numFmtId="166" fontId="10" fillId="0" borderId="0" applyFont="0" applyFill="0" applyBorder="0" applyAlignment="0" applyProtection="0"/>
    <xf numFmtId="166" fontId="10" fillId="0" borderId="0" applyFont="0" applyFill="0" applyBorder="0" applyAlignment="0" applyProtection="0"/>
    <xf numFmtId="166" fontId="10" fillId="0" borderId="0" applyFont="0" applyFill="0" applyBorder="0" applyAlignment="0" applyProtection="0"/>
    <xf numFmtId="166" fontId="10" fillId="0" borderId="0" applyFont="0" applyFill="0" applyBorder="0" applyAlignment="0" applyProtection="0"/>
    <xf numFmtId="166" fontId="10" fillId="0" borderId="0" applyFont="0" applyFill="0" applyBorder="0" applyAlignment="0" applyProtection="0"/>
    <xf numFmtId="166" fontId="10" fillId="0" borderId="0" applyFont="0" applyFill="0" applyBorder="0" applyAlignment="0" applyProtection="0"/>
    <xf numFmtId="166" fontId="10" fillId="0" borderId="0" applyFont="0" applyFill="0" applyBorder="0" applyAlignment="0" applyProtection="0"/>
    <xf numFmtId="166" fontId="10" fillId="0" borderId="0" applyFont="0" applyFill="0" applyBorder="0" applyAlignment="0" applyProtection="0"/>
    <xf numFmtId="166" fontId="10" fillId="0" borderId="0" applyFont="0" applyFill="0" applyBorder="0" applyAlignment="0" applyProtection="0"/>
    <xf numFmtId="166" fontId="10" fillId="0" borderId="0" applyFont="0" applyFill="0" applyBorder="0" applyAlignment="0" applyProtection="0"/>
    <xf numFmtId="166" fontId="10" fillId="0" borderId="0" applyFont="0" applyFill="0" applyBorder="0" applyAlignment="0" applyProtection="0"/>
    <xf numFmtId="166" fontId="10" fillId="0" borderId="0" applyFont="0" applyFill="0" applyBorder="0" applyAlignment="0" applyProtection="0"/>
    <xf numFmtId="166"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 fillId="0" borderId="0" applyFont="0" applyFill="0" applyBorder="0" applyAlignment="0" applyProtection="0"/>
    <xf numFmtId="43" fontId="38" fillId="0" borderId="0" applyFont="0" applyFill="0" applyBorder="0" applyAlignment="0" applyProtection="0"/>
    <xf numFmtId="9" fontId="1" fillId="0" borderId="0" applyFont="0" applyFill="0" applyBorder="0" applyAlignment="0" applyProtection="0"/>
    <xf numFmtId="169" fontId="10" fillId="0" borderId="0" applyFont="0" applyFill="0" applyBorder="0" applyAlignment="0" applyProtection="0"/>
    <xf numFmtId="43" fontId="38"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43" fontId="10" fillId="0" borderId="0" applyFont="0" applyFill="0" applyBorder="0" applyAlignment="0" applyProtection="0"/>
    <xf numFmtId="169" fontId="10" fillId="0" borderId="0" applyFont="0" applyFill="0" applyBorder="0" applyAlignment="0" applyProtection="0"/>
    <xf numFmtId="43" fontId="38" fillId="0" borderId="0" applyFont="0" applyFill="0" applyBorder="0" applyAlignment="0" applyProtection="0"/>
    <xf numFmtId="169" fontId="10" fillId="0" borderId="0" applyFont="0" applyFill="0" applyBorder="0" applyAlignment="0" applyProtection="0"/>
    <xf numFmtId="169" fontId="10" fillId="0" borderId="0" applyFont="0" applyFill="0" applyBorder="0" applyAlignment="0" applyProtection="0"/>
    <xf numFmtId="169" fontId="10" fillId="0" borderId="0" applyFont="0" applyFill="0" applyBorder="0" applyAlignment="0" applyProtection="0"/>
    <xf numFmtId="169" fontId="10" fillId="0" borderId="0" applyFont="0" applyFill="0" applyBorder="0" applyAlignment="0" applyProtection="0"/>
    <xf numFmtId="43" fontId="10" fillId="0" borderId="0" applyFont="0" applyFill="0" applyBorder="0" applyAlignment="0" applyProtection="0"/>
    <xf numFmtId="43" fontId="38" fillId="0" borderId="0" applyFont="0" applyFill="0" applyBorder="0" applyAlignment="0" applyProtection="0"/>
    <xf numFmtId="43" fontId="10" fillId="0" borderId="0" applyFont="0" applyFill="0" applyBorder="0" applyAlignment="0" applyProtection="0"/>
    <xf numFmtId="43" fontId="38" fillId="0" borderId="0" applyFont="0" applyFill="0" applyBorder="0" applyAlignment="0" applyProtection="0"/>
    <xf numFmtId="43" fontId="10" fillId="0" borderId="0" applyFont="0" applyFill="0" applyBorder="0" applyAlignment="0" applyProtection="0"/>
    <xf numFmtId="43" fontId="38" fillId="0" borderId="0" applyFont="0" applyFill="0" applyBorder="0" applyAlignment="0" applyProtection="0"/>
    <xf numFmtId="43" fontId="10" fillId="0" borderId="0" applyFont="0" applyFill="0" applyBorder="0" applyAlignment="0" applyProtection="0"/>
    <xf numFmtId="43" fontId="38"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38" fillId="0" borderId="0" applyFont="0" applyFill="0" applyBorder="0" applyAlignment="0" applyProtection="0"/>
    <xf numFmtId="43" fontId="10" fillId="0" borderId="0" applyFont="0" applyFill="0" applyBorder="0" applyAlignment="0" applyProtection="0"/>
    <xf numFmtId="43" fontId="38" fillId="0" borderId="0" applyFont="0" applyFill="0" applyBorder="0" applyAlignment="0" applyProtection="0"/>
    <xf numFmtId="43" fontId="38" fillId="0" borderId="0" applyFont="0" applyFill="0" applyBorder="0" applyAlignment="0" applyProtection="0"/>
    <xf numFmtId="43" fontId="38" fillId="0" borderId="0" applyFont="0" applyFill="0" applyBorder="0" applyAlignment="0" applyProtection="0"/>
    <xf numFmtId="43" fontId="10" fillId="0" borderId="0" applyFont="0" applyFill="0" applyBorder="0" applyAlignment="0" applyProtection="0"/>
    <xf numFmtId="43" fontId="38" fillId="0" borderId="0" applyFont="0" applyFill="0" applyBorder="0" applyAlignment="0" applyProtection="0"/>
    <xf numFmtId="43" fontId="38" fillId="0" borderId="0" applyFont="0" applyFill="0" applyBorder="0" applyAlignment="0" applyProtection="0"/>
    <xf numFmtId="43" fontId="38" fillId="0" borderId="0" applyFont="0" applyFill="0" applyBorder="0" applyAlignment="0" applyProtection="0"/>
    <xf numFmtId="43" fontId="10" fillId="0" borderId="0" applyFont="0" applyFill="0" applyBorder="0" applyAlignment="0" applyProtection="0"/>
    <xf numFmtId="43" fontId="38"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38" fillId="0" borderId="0" applyFont="0" applyFill="0" applyBorder="0" applyAlignment="0" applyProtection="0"/>
    <xf numFmtId="43" fontId="38"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38" fillId="0" borderId="0" applyFont="0" applyFill="0" applyBorder="0" applyAlignment="0" applyProtection="0"/>
    <xf numFmtId="43" fontId="38" fillId="0" borderId="0" applyFont="0" applyFill="0" applyBorder="0" applyAlignment="0" applyProtection="0"/>
    <xf numFmtId="43" fontId="38" fillId="0" borderId="0" applyFont="0" applyFill="0" applyBorder="0" applyAlignment="0" applyProtection="0"/>
    <xf numFmtId="43" fontId="38" fillId="0" borderId="0" applyFont="0" applyFill="0" applyBorder="0" applyAlignment="0" applyProtection="0"/>
    <xf numFmtId="43" fontId="10" fillId="0" borderId="0" applyFont="0" applyFill="0" applyBorder="0" applyAlignment="0" applyProtection="0"/>
    <xf numFmtId="43" fontId="38" fillId="0" borderId="0" applyFont="0" applyFill="0" applyBorder="0" applyAlignment="0" applyProtection="0"/>
    <xf numFmtId="166" fontId="10" fillId="0" borderId="0" applyFont="0" applyFill="0" applyBorder="0" applyAlignment="0" applyProtection="0"/>
    <xf numFmtId="166" fontId="10" fillId="0" borderId="0" applyFont="0" applyFill="0" applyBorder="0" applyAlignment="0" applyProtection="0"/>
    <xf numFmtId="166" fontId="10" fillId="0" borderId="0" applyFont="0" applyFill="0" applyBorder="0" applyAlignment="0" applyProtection="0"/>
    <xf numFmtId="166" fontId="10" fillId="0" borderId="0" applyFont="0" applyFill="0" applyBorder="0" applyAlignment="0" applyProtection="0"/>
    <xf numFmtId="166" fontId="10" fillId="0" borderId="0" applyFont="0" applyFill="0" applyBorder="0" applyAlignment="0" applyProtection="0"/>
    <xf numFmtId="0" fontId="1" fillId="60" borderId="0" applyNumberFormat="0" applyBorder="0" applyAlignment="0" applyProtection="0"/>
    <xf numFmtId="0" fontId="1" fillId="61" borderId="0" applyNumberFormat="0" applyBorder="0" applyAlignment="0" applyProtection="0"/>
    <xf numFmtId="9" fontId="10" fillId="0" borderId="0" applyFont="0" applyFill="0" applyBorder="0" applyAlignment="0" applyProtection="0"/>
    <xf numFmtId="0" fontId="1" fillId="64" borderId="0" applyNumberFormat="0" applyBorder="0" applyAlignment="0" applyProtection="0"/>
    <xf numFmtId="0" fontId="1" fillId="65" borderId="0" applyNumberFormat="0" applyBorder="0" applyAlignment="0" applyProtection="0"/>
    <xf numFmtId="0" fontId="1" fillId="68" borderId="0" applyNumberFormat="0" applyBorder="0" applyAlignment="0" applyProtection="0"/>
    <xf numFmtId="0" fontId="1" fillId="69" borderId="0" applyNumberFormat="0" applyBorder="0" applyAlignment="0" applyProtection="0"/>
    <xf numFmtId="0" fontId="1" fillId="72" borderId="0" applyNumberFormat="0" applyBorder="0" applyAlignment="0" applyProtection="0"/>
    <xf numFmtId="0" fontId="1" fillId="73" borderId="0" applyNumberFormat="0" applyBorder="0" applyAlignment="0" applyProtection="0"/>
    <xf numFmtId="9" fontId="10" fillId="0" borderId="0" applyFont="0" applyFill="0" applyBorder="0" applyAlignment="0" applyProtection="0"/>
    <xf numFmtId="0" fontId="1" fillId="76" borderId="0" applyNumberFormat="0" applyBorder="0" applyAlignment="0" applyProtection="0"/>
    <xf numFmtId="0" fontId="1" fillId="77" borderId="0" applyNumberFormat="0" applyBorder="0" applyAlignment="0" applyProtection="0"/>
    <xf numFmtId="0" fontId="1" fillId="80" borderId="0" applyNumberFormat="0" applyBorder="0" applyAlignment="0" applyProtection="0"/>
    <xf numFmtId="0" fontId="1" fillId="81" borderId="0" applyNumberFormat="0" applyBorder="0" applyAlignment="0" applyProtection="0"/>
    <xf numFmtId="0" fontId="1" fillId="0" borderId="0"/>
    <xf numFmtId="0" fontId="1" fillId="58" borderId="104" applyNumberFormat="0" applyFont="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65" fontId="1" fillId="0" borderId="0" applyFont="0" applyFill="0" applyBorder="0" applyAlignment="0" applyProtection="0"/>
    <xf numFmtId="9" fontId="1" fillId="0" borderId="0" applyFont="0" applyFill="0" applyBorder="0" applyAlignment="0" applyProtection="0"/>
    <xf numFmtId="43" fontId="1" fillId="0" borderId="0" applyFont="0" applyFill="0" applyBorder="0" applyAlignment="0" applyProtection="0"/>
    <xf numFmtId="43" fontId="10" fillId="0" borderId="0" applyFont="0" applyFill="0" applyBorder="0" applyAlignment="0" applyProtection="0"/>
    <xf numFmtId="9" fontId="31" fillId="0" borderId="0" applyFont="0" applyFill="0" applyBorder="0" applyAlignment="0" applyProtection="0"/>
    <xf numFmtId="169" fontId="10" fillId="0" borderId="0" applyFont="0" applyFill="0" applyBorder="0" applyAlignment="0" applyProtection="0"/>
    <xf numFmtId="169" fontId="10" fillId="0" borderId="0" applyFont="0" applyFill="0" applyBorder="0" applyAlignment="0" applyProtection="0"/>
    <xf numFmtId="169" fontId="10" fillId="0" borderId="0" applyFont="0" applyFill="0" applyBorder="0" applyAlignment="0" applyProtection="0"/>
    <xf numFmtId="169"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189" fontId="10" fillId="0" borderId="0"/>
    <xf numFmtId="189" fontId="10" fillId="0" borderId="0"/>
    <xf numFmtId="43" fontId="38" fillId="0" borderId="0" applyFont="0" applyFill="0" applyBorder="0" applyAlignment="0" applyProtection="0"/>
    <xf numFmtId="43" fontId="38" fillId="0" borderId="0" applyFont="0" applyFill="0" applyBorder="0" applyAlignment="0" applyProtection="0"/>
    <xf numFmtId="43" fontId="10" fillId="0" borderId="0" applyFont="0" applyFill="0" applyBorder="0" applyAlignment="0" applyProtection="0"/>
    <xf numFmtId="43" fontId="38" fillId="0" borderId="0" applyFont="0" applyFill="0" applyBorder="0" applyAlignment="0" applyProtection="0"/>
    <xf numFmtId="43" fontId="38" fillId="0" borderId="0" applyFont="0" applyFill="0" applyBorder="0" applyAlignment="0" applyProtection="0"/>
    <xf numFmtId="43" fontId="10" fillId="0" borderId="0" applyFont="0" applyFill="0" applyBorder="0" applyAlignment="0" applyProtection="0"/>
    <xf numFmtId="43" fontId="38" fillId="0" borderId="0" applyFont="0" applyFill="0" applyBorder="0" applyAlignment="0" applyProtection="0"/>
    <xf numFmtId="43" fontId="38" fillId="0" borderId="0" applyFont="0" applyFill="0" applyBorder="0" applyAlignment="0" applyProtection="0"/>
    <xf numFmtId="43" fontId="38" fillId="0" borderId="0" applyFont="0" applyFill="0" applyBorder="0" applyAlignment="0" applyProtection="0"/>
    <xf numFmtId="43" fontId="38" fillId="0" borderId="0" applyFont="0" applyFill="0" applyBorder="0" applyAlignment="0" applyProtection="0"/>
    <xf numFmtId="43" fontId="10" fillId="0" borderId="0" applyFont="0" applyFill="0" applyBorder="0" applyAlignment="0" applyProtection="0"/>
    <xf numFmtId="43" fontId="38" fillId="0" borderId="0" applyFont="0" applyFill="0" applyBorder="0" applyAlignment="0" applyProtection="0"/>
    <xf numFmtId="43" fontId="38" fillId="0" borderId="0" applyFont="0" applyFill="0" applyBorder="0" applyAlignment="0" applyProtection="0"/>
    <xf numFmtId="43" fontId="38" fillId="0" borderId="0" applyFont="0" applyFill="0" applyBorder="0" applyAlignment="0" applyProtection="0"/>
    <xf numFmtId="43" fontId="38" fillId="0" borderId="0" applyFont="0" applyFill="0" applyBorder="0" applyAlignment="0" applyProtection="0"/>
    <xf numFmtId="43" fontId="38" fillId="0" borderId="0" applyFont="0" applyFill="0" applyBorder="0" applyAlignment="0" applyProtection="0"/>
    <xf numFmtId="43" fontId="10" fillId="0" borderId="0" applyFont="0" applyFill="0" applyBorder="0" applyAlignment="0" applyProtection="0"/>
    <xf numFmtId="43" fontId="38" fillId="0" borderId="0" applyFont="0" applyFill="0" applyBorder="0" applyAlignment="0" applyProtection="0"/>
    <xf numFmtId="43" fontId="10" fillId="0" borderId="0" applyFont="0" applyFill="0" applyBorder="0" applyAlignment="0" applyProtection="0"/>
    <xf numFmtId="43" fontId="38" fillId="0" borderId="0" applyFont="0" applyFill="0" applyBorder="0" applyAlignment="0" applyProtection="0"/>
    <xf numFmtId="43" fontId="38" fillId="0" borderId="0" applyFont="0" applyFill="0" applyBorder="0" applyAlignment="0" applyProtection="0"/>
    <xf numFmtId="43" fontId="38" fillId="0" borderId="0" applyFont="0" applyFill="0" applyBorder="0" applyAlignment="0" applyProtection="0"/>
    <xf numFmtId="43" fontId="38" fillId="0" borderId="0" applyFont="0" applyFill="0" applyBorder="0" applyAlignment="0" applyProtection="0"/>
    <xf numFmtId="43" fontId="38" fillId="0" borderId="0" applyFont="0" applyFill="0" applyBorder="0" applyAlignment="0" applyProtection="0"/>
    <xf numFmtId="43" fontId="10" fillId="0" borderId="0" applyFont="0" applyFill="0" applyBorder="0" applyAlignment="0" applyProtection="0"/>
    <xf numFmtId="43" fontId="38" fillId="0" borderId="0" applyFont="0" applyFill="0" applyBorder="0" applyAlignment="0" applyProtection="0"/>
    <xf numFmtId="43" fontId="38" fillId="0" borderId="0" applyFont="0" applyFill="0" applyBorder="0" applyAlignment="0" applyProtection="0"/>
    <xf numFmtId="43" fontId="38" fillId="0" borderId="0" applyFont="0" applyFill="0" applyBorder="0" applyAlignment="0" applyProtection="0"/>
    <xf numFmtId="43" fontId="10" fillId="0" borderId="0" applyFont="0" applyFill="0" applyBorder="0" applyAlignment="0" applyProtection="0"/>
    <xf numFmtId="43" fontId="38" fillId="0" borderId="0" applyFont="0" applyFill="0" applyBorder="0" applyAlignment="0" applyProtection="0"/>
    <xf numFmtId="43" fontId="38" fillId="0" borderId="0" applyFont="0" applyFill="0" applyBorder="0" applyAlignment="0" applyProtection="0"/>
    <xf numFmtId="43" fontId="38" fillId="0" borderId="0" applyFont="0" applyFill="0" applyBorder="0" applyAlignment="0" applyProtection="0"/>
    <xf numFmtId="43" fontId="38" fillId="0" borderId="0" applyFont="0" applyFill="0" applyBorder="0" applyAlignment="0" applyProtection="0"/>
    <xf numFmtId="43" fontId="10" fillId="0" borderId="0" applyFont="0" applyFill="0" applyBorder="0" applyAlignment="0" applyProtection="0"/>
    <xf numFmtId="43" fontId="38" fillId="0" borderId="0" applyFont="0" applyFill="0" applyBorder="0" applyAlignment="0" applyProtection="0"/>
    <xf numFmtId="43" fontId="38"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38" fillId="0" borderId="0" applyFont="0" applyFill="0" applyBorder="0" applyAlignment="0" applyProtection="0"/>
    <xf numFmtId="43" fontId="38" fillId="0" borderId="0" applyFont="0" applyFill="0" applyBorder="0" applyAlignment="0" applyProtection="0"/>
    <xf numFmtId="43" fontId="10" fillId="0" borderId="0" applyFont="0" applyFill="0" applyBorder="0" applyAlignment="0" applyProtection="0"/>
    <xf numFmtId="166" fontId="10" fillId="0" borderId="0" applyFont="0" applyFill="0" applyBorder="0" applyAlignment="0" applyProtection="0"/>
    <xf numFmtId="166" fontId="10" fillId="0" borderId="0" applyFont="0" applyFill="0" applyBorder="0" applyAlignment="0" applyProtection="0"/>
    <xf numFmtId="166" fontId="10" fillId="0" borderId="0" applyFont="0" applyFill="0" applyBorder="0" applyAlignment="0" applyProtection="0"/>
    <xf numFmtId="166" fontId="10" fillId="0" borderId="0" applyFont="0" applyFill="0" applyBorder="0" applyAlignment="0" applyProtection="0"/>
    <xf numFmtId="166" fontId="10" fillId="0" borderId="0" applyFont="0" applyFill="0" applyBorder="0" applyAlignment="0" applyProtection="0"/>
    <xf numFmtId="43" fontId="38" fillId="0" borderId="0" applyFont="0" applyFill="0" applyBorder="0" applyAlignment="0" applyProtection="0"/>
    <xf numFmtId="9" fontId="1" fillId="0" borderId="0" applyFont="0" applyFill="0" applyBorder="0" applyAlignment="0" applyProtection="0"/>
    <xf numFmtId="166" fontId="10" fillId="0" borderId="0" applyFont="0" applyFill="0" applyBorder="0" applyAlignment="0" applyProtection="0"/>
    <xf numFmtId="43" fontId="38" fillId="0" borderId="0" applyFont="0" applyFill="0" applyBorder="0" applyAlignment="0" applyProtection="0"/>
    <xf numFmtId="9" fontId="10" fillId="0" borderId="0" applyFont="0" applyFill="0" applyBorder="0" applyAlignment="0" applyProtection="0"/>
    <xf numFmtId="169" fontId="10" fillId="0" borderId="0" applyFont="0" applyFill="0" applyBorder="0" applyAlignment="0" applyProtection="0"/>
    <xf numFmtId="189" fontId="10" fillId="0" borderId="0"/>
    <xf numFmtId="43" fontId="38"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38" fillId="0" borderId="0" applyFont="0" applyFill="0" applyBorder="0" applyAlignment="0" applyProtection="0"/>
    <xf numFmtId="43" fontId="10" fillId="0" borderId="0" applyFont="0" applyFill="0" applyBorder="0" applyAlignment="0" applyProtection="0"/>
    <xf numFmtId="43" fontId="38" fillId="0" borderId="0" applyFont="0" applyFill="0" applyBorder="0" applyAlignment="0" applyProtection="0"/>
    <xf numFmtId="43" fontId="10" fillId="0" borderId="0" applyFont="0" applyFill="0" applyBorder="0" applyAlignment="0" applyProtection="0"/>
    <xf numFmtId="43" fontId="38" fillId="0" borderId="0" applyFont="0" applyFill="0" applyBorder="0" applyAlignment="0" applyProtection="0"/>
    <xf numFmtId="166" fontId="10" fillId="0" borderId="0" applyFont="0" applyFill="0" applyBorder="0" applyAlignment="0" applyProtection="0"/>
    <xf numFmtId="166" fontId="10" fillId="0" borderId="0" applyFont="0" applyFill="0" applyBorder="0" applyAlignment="0" applyProtection="0"/>
    <xf numFmtId="166" fontId="10" fillId="0" borderId="0" applyFont="0" applyFill="0" applyBorder="0" applyAlignment="0" applyProtection="0"/>
    <xf numFmtId="166" fontId="10" fillId="0" borderId="0" applyFont="0" applyFill="0" applyBorder="0" applyAlignment="0" applyProtection="0"/>
    <xf numFmtId="43" fontId="38" fillId="0" borderId="0" applyFont="0" applyFill="0" applyBorder="0" applyAlignment="0" applyProtection="0"/>
    <xf numFmtId="43" fontId="38" fillId="0" borderId="0" applyFont="0" applyFill="0" applyBorder="0" applyAlignment="0" applyProtection="0"/>
    <xf numFmtId="9" fontId="10" fillId="0" borderId="0" applyFont="0" applyFill="0" applyBorder="0" applyAlignment="0" applyProtection="0"/>
    <xf numFmtId="166" fontId="10" fillId="0" borderId="0" applyFont="0" applyFill="0" applyBorder="0" applyAlignment="0" applyProtection="0"/>
    <xf numFmtId="43" fontId="10" fillId="0" borderId="0" applyFont="0" applyFill="0" applyBorder="0" applyAlignment="0" applyProtection="0"/>
    <xf numFmtId="43" fontId="38" fillId="0" borderId="0" applyFont="0" applyFill="0" applyBorder="0" applyAlignment="0" applyProtection="0"/>
    <xf numFmtId="43" fontId="38" fillId="0" borderId="0" applyFont="0" applyFill="0" applyBorder="0" applyAlignment="0" applyProtection="0"/>
    <xf numFmtId="43" fontId="38" fillId="0" borderId="0" applyFont="0" applyFill="0" applyBorder="0" applyAlignment="0" applyProtection="0"/>
    <xf numFmtId="43" fontId="38" fillId="0" borderId="0" applyFont="0" applyFill="0" applyBorder="0" applyAlignment="0" applyProtection="0"/>
    <xf numFmtId="43" fontId="38" fillId="0" borderId="0" applyFont="0" applyFill="0" applyBorder="0" applyAlignment="0" applyProtection="0"/>
    <xf numFmtId="43" fontId="10" fillId="0" borderId="0" applyFont="0" applyFill="0" applyBorder="0" applyAlignment="0" applyProtection="0"/>
    <xf numFmtId="43" fontId="38"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38" fillId="0" borderId="0" applyFont="0" applyFill="0" applyBorder="0" applyAlignment="0" applyProtection="0"/>
    <xf numFmtId="43" fontId="38" fillId="0" borderId="0" applyFont="0" applyFill="0" applyBorder="0" applyAlignment="0" applyProtection="0"/>
    <xf numFmtId="166" fontId="10" fillId="0" borderId="0" applyFont="0" applyFill="0" applyBorder="0" applyAlignment="0" applyProtection="0"/>
    <xf numFmtId="166" fontId="10" fillId="0" borderId="0" applyFont="0" applyFill="0" applyBorder="0" applyAlignment="0" applyProtection="0"/>
    <xf numFmtId="166" fontId="10" fillId="0" borderId="0" applyFont="0" applyFill="0" applyBorder="0" applyAlignment="0" applyProtection="0"/>
    <xf numFmtId="166" fontId="10" fillId="0" borderId="0" applyFont="0" applyFill="0" applyBorder="0" applyAlignment="0" applyProtection="0"/>
    <xf numFmtId="166" fontId="10" fillId="0" borderId="0" applyFont="0" applyFill="0" applyBorder="0" applyAlignment="0" applyProtection="0"/>
    <xf numFmtId="166" fontId="10" fillId="0" borderId="0" applyFont="0" applyFill="0" applyBorder="0" applyAlignment="0" applyProtection="0"/>
    <xf numFmtId="166" fontId="10" fillId="0" borderId="0" applyFont="0" applyFill="0" applyBorder="0" applyAlignment="0" applyProtection="0"/>
    <xf numFmtId="170" fontId="10" fillId="0" borderId="0" applyFont="0" applyFill="0" applyBorder="0" applyAlignment="0" applyProtection="0"/>
    <xf numFmtId="208" fontId="252" fillId="108" borderId="0" applyNumberFormat="0" applyBorder="0" applyAlignment="0" applyProtection="0">
      <alignment horizontal="center" vertical="top" wrapText="1"/>
    </xf>
    <xf numFmtId="43" fontId="38" fillId="0" borderId="0" applyFont="0" applyFill="0" applyBorder="0" applyAlignment="0" applyProtection="0"/>
    <xf numFmtId="43" fontId="38" fillId="0" borderId="0" applyFont="0" applyFill="0" applyBorder="0" applyAlignment="0" applyProtection="0"/>
    <xf numFmtId="43" fontId="38" fillId="0" borderId="0" applyFont="0" applyFill="0" applyBorder="0" applyAlignment="0" applyProtection="0"/>
    <xf numFmtId="43" fontId="10" fillId="0" borderId="0" applyFont="0" applyFill="0" applyBorder="0" applyAlignment="0" applyProtection="0"/>
    <xf numFmtId="43" fontId="38" fillId="0" borderId="0" applyFont="0" applyFill="0" applyBorder="0" applyAlignment="0" applyProtection="0"/>
    <xf numFmtId="43" fontId="10" fillId="0" borderId="0" applyFont="0" applyFill="0" applyBorder="0" applyAlignment="0" applyProtection="0"/>
    <xf numFmtId="43" fontId="38" fillId="0" borderId="0" applyFont="0" applyFill="0" applyBorder="0" applyAlignment="0" applyProtection="0"/>
    <xf numFmtId="43" fontId="38" fillId="0" borderId="0" applyFont="0" applyFill="0" applyBorder="0" applyAlignment="0" applyProtection="0"/>
    <xf numFmtId="43" fontId="10" fillId="0" borderId="0" applyFont="0" applyFill="0" applyBorder="0" applyAlignment="0" applyProtection="0"/>
    <xf numFmtId="43" fontId="38" fillId="0" borderId="0" applyFont="0" applyFill="0" applyBorder="0" applyAlignment="0" applyProtection="0"/>
    <xf numFmtId="43" fontId="38" fillId="0" borderId="0" applyFont="0" applyFill="0" applyBorder="0" applyAlignment="0" applyProtection="0"/>
    <xf numFmtId="43" fontId="10" fillId="0" borderId="0" applyFont="0" applyFill="0" applyBorder="0" applyAlignment="0" applyProtection="0"/>
    <xf numFmtId="43" fontId="38" fillId="0" borderId="0" applyFont="0" applyFill="0" applyBorder="0" applyAlignment="0" applyProtection="0"/>
    <xf numFmtId="43" fontId="10" fillId="0" borderId="0" applyFont="0" applyFill="0" applyBorder="0" applyAlignment="0" applyProtection="0"/>
    <xf numFmtId="43" fontId="38" fillId="0" borderId="0" applyFont="0" applyFill="0" applyBorder="0" applyAlignment="0" applyProtection="0"/>
    <xf numFmtId="43" fontId="38" fillId="0" borderId="0" applyFont="0" applyFill="0" applyBorder="0" applyAlignment="0" applyProtection="0"/>
    <xf numFmtId="43" fontId="38" fillId="0" borderId="0" applyFont="0" applyFill="0" applyBorder="0" applyAlignment="0" applyProtection="0"/>
    <xf numFmtId="43" fontId="10" fillId="0" borderId="0" applyFont="0" applyFill="0" applyBorder="0" applyAlignment="0" applyProtection="0"/>
    <xf numFmtId="43" fontId="38" fillId="0" borderId="0" applyFont="0" applyFill="0" applyBorder="0" applyAlignment="0" applyProtection="0"/>
    <xf numFmtId="43" fontId="10" fillId="0" borderId="0" applyFont="0" applyFill="0" applyBorder="0" applyAlignment="0" applyProtection="0"/>
    <xf numFmtId="43" fontId="38" fillId="0" borderId="0" applyFont="0" applyFill="0" applyBorder="0" applyAlignment="0" applyProtection="0"/>
    <xf numFmtId="43" fontId="38" fillId="0" borderId="0" applyFont="0" applyFill="0" applyBorder="0" applyAlignment="0" applyProtection="0"/>
    <xf numFmtId="43" fontId="10" fillId="0" borderId="0" applyFont="0" applyFill="0" applyBorder="0" applyAlignment="0" applyProtection="0"/>
    <xf numFmtId="43" fontId="38" fillId="0" borderId="0" applyFont="0" applyFill="0" applyBorder="0" applyAlignment="0" applyProtection="0"/>
    <xf numFmtId="43" fontId="38" fillId="0" borderId="0" applyFont="0" applyFill="0" applyBorder="0" applyAlignment="0" applyProtection="0"/>
    <xf numFmtId="43" fontId="38" fillId="0" borderId="0" applyFont="0" applyFill="0" applyBorder="0" applyAlignment="0" applyProtection="0"/>
    <xf numFmtId="43" fontId="38" fillId="0" borderId="0" applyFont="0" applyFill="0" applyBorder="0" applyAlignment="0" applyProtection="0"/>
    <xf numFmtId="43" fontId="38" fillId="0" borderId="0" applyFont="0" applyFill="0" applyBorder="0" applyAlignment="0" applyProtection="0"/>
    <xf numFmtId="43" fontId="38" fillId="0" borderId="0" applyFont="0" applyFill="0" applyBorder="0" applyAlignment="0" applyProtection="0"/>
    <xf numFmtId="43" fontId="38"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38" fillId="0" borderId="0" applyFont="0" applyFill="0" applyBorder="0" applyAlignment="0" applyProtection="0"/>
    <xf numFmtId="43" fontId="10" fillId="0" borderId="0" applyFont="0" applyFill="0" applyBorder="0" applyAlignment="0" applyProtection="0"/>
    <xf numFmtId="43" fontId="38" fillId="0" borderId="0" applyFont="0" applyFill="0" applyBorder="0" applyAlignment="0" applyProtection="0"/>
    <xf numFmtId="43" fontId="38" fillId="0" borderId="0" applyFont="0" applyFill="0" applyBorder="0" applyAlignment="0" applyProtection="0"/>
    <xf numFmtId="43" fontId="38" fillId="0" borderId="0" applyFont="0" applyFill="0" applyBorder="0" applyAlignment="0" applyProtection="0"/>
    <xf numFmtId="43" fontId="10" fillId="0" borderId="0" applyFont="0" applyFill="0" applyBorder="0" applyAlignment="0" applyProtection="0"/>
    <xf numFmtId="43" fontId="38" fillId="0" borderId="0" applyFont="0" applyFill="0" applyBorder="0" applyAlignment="0" applyProtection="0"/>
    <xf numFmtId="43" fontId="38" fillId="0" borderId="0" applyFont="0" applyFill="0" applyBorder="0" applyAlignment="0" applyProtection="0"/>
    <xf numFmtId="43" fontId="38" fillId="0" borderId="0" applyFont="0" applyFill="0" applyBorder="0" applyAlignment="0" applyProtection="0"/>
    <xf numFmtId="208" fontId="10" fillId="0" borderId="0"/>
    <xf numFmtId="169" fontId="10" fillId="0" borderId="0" applyFont="0" applyFill="0" applyBorder="0" applyAlignment="0" applyProtection="0"/>
    <xf numFmtId="169" fontId="10" fillId="0" borderId="0" applyFont="0" applyFill="0" applyBorder="0" applyAlignment="0" applyProtection="0"/>
    <xf numFmtId="169" fontId="10" fillId="0" borderId="0" applyFont="0" applyFill="0" applyBorder="0" applyAlignment="0" applyProtection="0"/>
    <xf numFmtId="169" fontId="10" fillId="0" borderId="0" applyFont="0" applyFill="0" applyBorder="0" applyAlignment="0" applyProtection="0"/>
    <xf numFmtId="169" fontId="10" fillId="0" borderId="0" applyFont="0" applyFill="0" applyBorder="0" applyAlignment="0" applyProtection="0"/>
    <xf numFmtId="16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43" fontId="10" fillId="0" borderId="0" applyFont="0" applyFill="0" applyBorder="0" applyAlignment="0" applyProtection="0"/>
    <xf numFmtId="43" fontId="38" fillId="0" borderId="0" applyFont="0" applyFill="0" applyBorder="0" applyAlignment="0" applyProtection="0"/>
    <xf numFmtId="43" fontId="38" fillId="0" borderId="0" applyFont="0" applyFill="0" applyBorder="0" applyAlignment="0" applyProtection="0"/>
    <xf numFmtId="43" fontId="38" fillId="0" borderId="0" applyFont="0" applyFill="0" applyBorder="0" applyAlignment="0" applyProtection="0"/>
    <xf numFmtId="43" fontId="38" fillId="0" borderId="0" applyFont="0" applyFill="0" applyBorder="0" applyAlignment="0" applyProtection="0"/>
    <xf numFmtId="43" fontId="1" fillId="0" borderId="0" applyFont="0" applyFill="0" applyBorder="0" applyAlignment="0" applyProtection="0"/>
    <xf numFmtId="43" fontId="10" fillId="0" borderId="0" applyFont="0" applyFill="0" applyBorder="0" applyAlignment="0" applyProtection="0"/>
    <xf numFmtId="41" fontId="19" fillId="0" borderId="0" applyFont="0" applyFill="0" applyBorder="0" applyAlignment="0" applyProtection="0"/>
    <xf numFmtId="41" fontId="19" fillId="0" borderId="0" applyFont="0" applyFill="0" applyBorder="0" applyAlignment="0" applyProtection="0"/>
    <xf numFmtId="41" fontId="19" fillId="0" borderId="0" applyFont="0" applyFill="0" applyBorder="0" applyAlignment="0" applyProtection="0"/>
    <xf numFmtId="41" fontId="19" fillId="0" borderId="0" applyFont="0" applyFill="0" applyBorder="0" applyAlignment="0" applyProtection="0"/>
    <xf numFmtId="41" fontId="19" fillId="0" borderId="0" applyFont="0" applyFill="0" applyBorder="0" applyAlignment="0" applyProtection="0"/>
    <xf numFmtId="41" fontId="19" fillId="0" borderId="0" applyFont="0" applyFill="0" applyBorder="0" applyAlignment="0" applyProtection="0"/>
    <xf numFmtId="41" fontId="19" fillId="0" borderId="0" applyFont="0" applyFill="0" applyBorder="0" applyAlignment="0" applyProtection="0"/>
    <xf numFmtId="41" fontId="19" fillId="0" borderId="0" applyFont="0" applyFill="0" applyBorder="0" applyAlignment="0" applyProtection="0"/>
    <xf numFmtId="41" fontId="19" fillId="0" borderId="0" applyFont="0" applyFill="0" applyBorder="0" applyAlignment="0" applyProtection="0"/>
    <xf numFmtId="41" fontId="19" fillId="0" borderId="0" applyFont="0" applyFill="0" applyBorder="0" applyAlignment="0" applyProtection="0"/>
    <xf numFmtId="41" fontId="19" fillId="0" borderId="0" applyFont="0" applyFill="0" applyBorder="0" applyAlignment="0" applyProtection="0"/>
    <xf numFmtId="41" fontId="19" fillId="0" borderId="0" applyFont="0" applyFill="0" applyBorder="0" applyAlignment="0" applyProtection="0"/>
    <xf numFmtId="41" fontId="19" fillId="0" borderId="0" applyFont="0" applyFill="0" applyBorder="0" applyAlignment="0" applyProtection="0"/>
    <xf numFmtId="41" fontId="19" fillId="0" borderId="0" applyFont="0" applyFill="0" applyBorder="0" applyAlignment="0" applyProtection="0"/>
    <xf numFmtId="41" fontId="19" fillId="0" borderId="0" applyFont="0" applyFill="0" applyBorder="0" applyAlignment="0" applyProtection="0"/>
    <xf numFmtId="41" fontId="19" fillId="0" borderId="0" applyFont="0" applyFill="0" applyBorder="0" applyAlignment="0" applyProtection="0"/>
    <xf numFmtId="41" fontId="19" fillId="0" borderId="0" applyFont="0" applyFill="0" applyBorder="0" applyAlignment="0" applyProtection="0"/>
    <xf numFmtId="41" fontId="19" fillId="0" borderId="0" applyFont="0" applyFill="0" applyBorder="0" applyAlignment="0" applyProtection="0"/>
    <xf numFmtId="41" fontId="19" fillId="0" borderId="0" applyFont="0" applyFill="0" applyBorder="0" applyAlignment="0" applyProtection="0"/>
    <xf numFmtId="41" fontId="19" fillId="0" borderId="0" applyFont="0" applyFill="0" applyBorder="0" applyAlignment="0" applyProtection="0"/>
    <xf numFmtId="41" fontId="19" fillId="0" borderId="0" applyFont="0" applyFill="0" applyBorder="0" applyAlignment="0" applyProtection="0"/>
    <xf numFmtId="41" fontId="19" fillId="0" borderId="0" applyFont="0" applyFill="0" applyBorder="0" applyAlignment="0" applyProtection="0"/>
    <xf numFmtId="41" fontId="19" fillId="0" borderId="0" applyFont="0" applyFill="0" applyBorder="0" applyAlignment="0" applyProtection="0"/>
    <xf numFmtId="41" fontId="19" fillId="0" borderId="0" applyFont="0" applyFill="0" applyBorder="0" applyAlignment="0" applyProtection="0"/>
    <xf numFmtId="41" fontId="19" fillId="0" borderId="0" applyFont="0" applyFill="0" applyBorder="0" applyAlignment="0" applyProtection="0"/>
    <xf numFmtId="41" fontId="19" fillId="0" borderId="0" applyFont="0" applyFill="0" applyBorder="0" applyAlignment="0" applyProtection="0"/>
    <xf numFmtId="41" fontId="19" fillId="0" borderId="0" applyFont="0" applyFill="0" applyBorder="0" applyAlignment="0" applyProtection="0"/>
    <xf numFmtId="41" fontId="19" fillId="0" borderId="0" applyFont="0" applyFill="0" applyBorder="0" applyAlignment="0" applyProtection="0"/>
    <xf numFmtId="41" fontId="19" fillId="0" borderId="0" applyFont="0" applyFill="0" applyBorder="0" applyAlignment="0" applyProtection="0"/>
    <xf numFmtId="41" fontId="19" fillId="0" borderId="0" applyFont="0" applyFill="0" applyBorder="0" applyAlignment="0" applyProtection="0"/>
    <xf numFmtId="41" fontId="19" fillId="0" borderId="0" applyFont="0" applyFill="0" applyBorder="0" applyAlignment="0" applyProtection="0"/>
    <xf numFmtId="41" fontId="19" fillId="0" borderId="0" applyFont="0" applyFill="0" applyBorder="0" applyAlignment="0" applyProtection="0"/>
    <xf numFmtId="41" fontId="19" fillId="0" borderId="0" applyFont="0" applyFill="0" applyBorder="0" applyAlignment="0" applyProtection="0"/>
    <xf numFmtId="41" fontId="19" fillId="0" borderId="0" applyFont="0" applyFill="0" applyBorder="0" applyAlignment="0" applyProtection="0"/>
    <xf numFmtId="41" fontId="19" fillId="0" borderId="0" applyFont="0" applyFill="0" applyBorder="0" applyAlignment="0" applyProtection="0"/>
    <xf numFmtId="41" fontId="19" fillId="0" borderId="0" applyFont="0" applyFill="0" applyBorder="0" applyAlignment="0" applyProtection="0"/>
    <xf numFmtId="41" fontId="19" fillId="0" borderId="0" applyFont="0" applyFill="0" applyBorder="0" applyAlignment="0" applyProtection="0"/>
    <xf numFmtId="41" fontId="19" fillId="0" borderId="0" applyFont="0" applyFill="0" applyBorder="0" applyAlignment="0" applyProtection="0"/>
    <xf numFmtId="41" fontId="19" fillId="0" borderId="0" applyFont="0" applyFill="0" applyBorder="0" applyAlignment="0" applyProtection="0"/>
    <xf numFmtId="41" fontId="19" fillId="0" borderId="0" applyFont="0" applyFill="0" applyBorder="0" applyAlignment="0" applyProtection="0"/>
    <xf numFmtId="41" fontId="19" fillId="0" borderId="0" applyFont="0" applyFill="0" applyBorder="0" applyAlignment="0" applyProtection="0"/>
    <xf numFmtId="41" fontId="19" fillId="0" borderId="0" applyFont="0" applyFill="0" applyBorder="0" applyAlignment="0" applyProtection="0"/>
    <xf numFmtId="41" fontId="19" fillId="0" borderId="0" applyFont="0" applyFill="0" applyBorder="0" applyAlignment="0" applyProtection="0"/>
    <xf numFmtId="41" fontId="19" fillId="0" borderId="0" applyFont="0" applyFill="0" applyBorder="0" applyAlignment="0" applyProtection="0"/>
    <xf numFmtId="41" fontId="19" fillId="0" borderId="0" applyFont="0" applyFill="0" applyBorder="0" applyAlignment="0" applyProtection="0"/>
    <xf numFmtId="41" fontId="19" fillId="0" borderId="0" applyFont="0" applyFill="0" applyBorder="0" applyAlignment="0" applyProtection="0"/>
    <xf numFmtId="41" fontId="19" fillId="0" borderId="0" applyFont="0" applyFill="0" applyBorder="0" applyAlignment="0" applyProtection="0"/>
    <xf numFmtId="41" fontId="19" fillId="0" borderId="0" applyFont="0" applyFill="0" applyBorder="0" applyAlignment="0" applyProtection="0"/>
    <xf numFmtId="41" fontId="19" fillId="0" borderId="0" applyFont="0" applyFill="0" applyBorder="0" applyAlignment="0" applyProtection="0"/>
    <xf numFmtId="41" fontId="19" fillId="0" borderId="0" applyFont="0" applyFill="0" applyBorder="0" applyAlignment="0" applyProtection="0"/>
    <xf numFmtId="41" fontId="19" fillId="0" borderId="0" applyFont="0" applyFill="0" applyBorder="0" applyAlignment="0" applyProtection="0"/>
    <xf numFmtId="41" fontId="19" fillId="0" borderId="0" applyFont="0" applyFill="0" applyBorder="0" applyAlignment="0" applyProtection="0"/>
    <xf numFmtId="41" fontId="19" fillId="0" borderId="0" applyFont="0" applyFill="0" applyBorder="0" applyAlignment="0" applyProtection="0"/>
    <xf numFmtId="41" fontId="19" fillId="0" borderId="0" applyFont="0" applyFill="0" applyBorder="0" applyAlignment="0" applyProtection="0"/>
    <xf numFmtId="41" fontId="19" fillId="0" borderId="0" applyFont="0" applyFill="0" applyBorder="0" applyAlignment="0" applyProtection="0"/>
    <xf numFmtId="41" fontId="19" fillId="0" borderId="0" applyFont="0" applyFill="0" applyBorder="0" applyAlignment="0" applyProtection="0"/>
    <xf numFmtId="41" fontId="19" fillId="0" borderId="0" applyFont="0" applyFill="0" applyBorder="0" applyAlignment="0" applyProtection="0"/>
    <xf numFmtId="41" fontId="19"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38" fillId="0" borderId="0" applyFont="0" applyFill="0" applyBorder="0" applyAlignment="0" applyProtection="0"/>
    <xf numFmtId="43" fontId="38"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38" fillId="0" borderId="0" applyFont="0" applyFill="0" applyBorder="0" applyAlignment="0" applyProtection="0"/>
    <xf numFmtId="43" fontId="38"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38" fillId="0" borderId="0" applyFont="0" applyFill="0" applyBorder="0" applyAlignment="0" applyProtection="0"/>
    <xf numFmtId="43" fontId="38"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38" fillId="0" borderId="0" applyFont="0" applyFill="0" applyBorder="0" applyAlignment="0" applyProtection="0"/>
    <xf numFmtId="43" fontId="38"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38" fillId="0" borderId="0" applyFont="0" applyFill="0" applyBorder="0" applyAlignment="0" applyProtection="0"/>
    <xf numFmtId="43" fontId="38"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38" fillId="0" borderId="0" applyFont="0" applyFill="0" applyBorder="0" applyAlignment="0" applyProtection="0"/>
    <xf numFmtId="43" fontId="38"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38" fillId="0" borderId="0" applyFont="0" applyFill="0" applyBorder="0" applyAlignment="0" applyProtection="0"/>
    <xf numFmtId="43" fontId="38"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38" fillId="0" borderId="0" applyFont="0" applyFill="0" applyBorder="0" applyAlignment="0" applyProtection="0"/>
    <xf numFmtId="43" fontId="38"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38" fillId="0" borderId="0" applyFont="0" applyFill="0" applyBorder="0" applyAlignment="0" applyProtection="0"/>
    <xf numFmtId="43" fontId="38"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38" fillId="0" borderId="0" applyFont="0" applyFill="0" applyBorder="0" applyAlignment="0" applyProtection="0"/>
    <xf numFmtId="43" fontId="38"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38" fillId="0" borderId="0" applyFont="0" applyFill="0" applyBorder="0" applyAlignment="0" applyProtection="0"/>
    <xf numFmtId="43" fontId="38"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38" fillId="0" borderId="0" applyFont="0" applyFill="0" applyBorder="0" applyAlignment="0" applyProtection="0"/>
    <xf numFmtId="43" fontId="38"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38" fillId="0" borderId="0" applyFont="0" applyFill="0" applyBorder="0" applyAlignment="0" applyProtection="0"/>
    <xf numFmtId="43" fontId="38"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38" fillId="0" borderId="0" applyFont="0" applyFill="0" applyBorder="0" applyAlignment="0" applyProtection="0"/>
    <xf numFmtId="43" fontId="38"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38" fillId="0" borderId="0" applyFont="0" applyFill="0" applyBorder="0" applyAlignment="0" applyProtection="0"/>
    <xf numFmtId="43" fontId="38"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38" fillId="0" borderId="0" applyFont="0" applyFill="0" applyBorder="0" applyAlignment="0" applyProtection="0"/>
    <xf numFmtId="43" fontId="38"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38" fillId="0" borderId="0" applyFont="0" applyFill="0" applyBorder="0" applyAlignment="0" applyProtection="0"/>
    <xf numFmtId="43" fontId="38"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38" fillId="0" borderId="0" applyFont="0" applyFill="0" applyBorder="0" applyAlignment="0" applyProtection="0"/>
    <xf numFmtId="43" fontId="38"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38" fillId="0" borderId="0" applyFont="0" applyFill="0" applyBorder="0" applyAlignment="0" applyProtection="0"/>
    <xf numFmtId="43" fontId="38"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38" fillId="0" borderId="0" applyFont="0" applyFill="0" applyBorder="0" applyAlignment="0" applyProtection="0"/>
    <xf numFmtId="43" fontId="38"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38" fillId="0" borderId="0" applyFont="0" applyFill="0" applyBorder="0" applyAlignment="0" applyProtection="0"/>
    <xf numFmtId="43" fontId="38"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38" fillId="0" borderId="0" applyFont="0" applyFill="0" applyBorder="0" applyAlignment="0" applyProtection="0"/>
    <xf numFmtId="43" fontId="38"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38" fillId="0" borderId="0" applyFont="0" applyFill="0" applyBorder="0" applyAlignment="0" applyProtection="0"/>
    <xf numFmtId="43" fontId="38"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38" fillId="0" borderId="0" applyFont="0" applyFill="0" applyBorder="0" applyAlignment="0" applyProtection="0"/>
    <xf numFmtId="43" fontId="38"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38" fillId="0" borderId="0" applyFont="0" applyFill="0" applyBorder="0" applyAlignment="0" applyProtection="0"/>
    <xf numFmtId="43" fontId="38"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38" fillId="0" borderId="0" applyFont="0" applyFill="0" applyBorder="0" applyAlignment="0" applyProtection="0"/>
    <xf numFmtId="43" fontId="38"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38" fillId="0" borderId="0" applyFont="0" applyFill="0" applyBorder="0" applyAlignment="0" applyProtection="0"/>
    <xf numFmtId="43" fontId="38"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38" fillId="0" borderId="0" applyFont="0" applyFill="0" applyBorder="0" applyAlignment="0" applyProtection="0"/>
    <xf numFmtId="43" fontId="38"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38" fillId="0" borderId="0" applyFont="0" applyFill="0" applyBorder="0" applyAlignment="0" applyProtection="0"/>
    <xf numFmtId="43" fontId="38"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38" fillId="0" borderId="0" applyFont="0" applyFill="0" applyBorder="0" applyAlignment="0" applyProtection="0"/>
    <xf numFmtId="43" fontId="38"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38" fillId="0" borderId="0" applyFont="0" applyFill="0" applyBorder="0" applyAlignment="0" applyProtection="0"/>
    <xf numFmtId="43" fontId="38"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38" fillId="0" borderId="0" applyFont="0" applyFill="0" applyBorder="0" applyAlignment="0" applyProtection="0"/>
    <xf numFmtId="43" fontId="38"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38" fillId="0" borderId="0" applyFont="0" applyFill="0" applyBorder="0" applyAlignment="0" applyProtection="0"/>
    <xf numFmtId="43" fontId="38"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38" fillId="0" borderId="0" applyFont="0" applyFill="0" applyBorder="0" applyAlignment="0" applyProtection="0"/>
    <xf numFmtId="43" fontId="38"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38" fillId="0" borderId="0" applyFont="0" applyFill="0" applyBorder="0" applyAlignment="0" applyProtection="0"/>
    <xf numFmtId="43" fontId="38"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38" fillId="0" borderId="0" applyFont="0" applyFill="0" applyBorder="0" applyAlignment="0" applyProtection="0"/>
    <xf numFmtId="43" fontId="38"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38" fillId="0" borderId="0" applyFont="0" applyFill="0" applyBorder="0" applyAlignment="0" applyProtection="0"/>
    <xf numFmtId="43" fontId="38"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38" fillId="0" borderId="0" applyFont="0" applyFill="0" applyBorder="0" applyAlignment="0" applyProtection="0"/>
    <xf numFmtId="43" fontId="38"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38" fillId="0" borderId="0" applyFont="0" applyFill="0" applyBorder="0" applyAlignment="0" applyProtection="0"/>
    <xf numFmtId="43" fontId="38"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38" fillId="0" borderId="0" applyFont="0" applyFill="0" applyBorder="0" applyAlignment="0" applyProtection="0"/>
    <xf numFmtId="43" fontId="38"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38" fillId="0" borderId="0" applyFont="0" applyFill="0" applyBorder="0" applyAlignment="0" applyProtection="0"/>
    <xf numFmtId="43" fontId="38"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38" fillId="0" borderId="0" applyFont="0" applyFill="0" applyBorder="0" applyAlignment="0" applyProtection="0"/>
    <xf numFmtId="43" fontId="38"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38" fillId="0" borderId="0" applyFont="0" applyFill="0" applyBorder="0" applyAlignment="0" applyProtection="0"/>
    <xf numFmtId="43" fontId="38"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38" fillId="0" borderId="0" applyFont="0" applyFill="0" applyBorder="0" applyAlignment="0" applyProtection="0"/>
    <xf numFmtId="43" fontId="38"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38" fillId="0" borderId="0" applyFont="0" applyFill="0" applyBorder="0" applyAlignment="0" applyProtection="0"/>
    <xf numFmtId="43" fontId="38"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38" fillId="0" borderId="0" applyFont="0" applyFill="0" applyBorder="0" applyAlignment="0" applyProtection="0"/>
    <xf numFmtId="43" fontId="38"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38" fillId="0" borderId="0" applyFont="0" applyFill="0" applyBorder="0" applyAlignment="0" applyProtection="0"/>
    <xf numFmtId="43" fontId="38"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38" fillId="0" borderId="0" applyFont="0" applyFill="0" applyBorder="0" applyAlignment="0" applyProtection="0"/>
    <xf numFmtId="43" fontId="38"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38" fillId="0" borderId="0" applyFont="0" applyFill="0" applyBorder="0" applyAlignment="0" applyProtection="0"/>
    <xf numFmtId="43" fontId="38"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38" fillId="0" borderId="0" applyFont="0" applyFill="0" applyBorder="0" applyAlignment="0" applyProtection="0"/>
    <xf numFmtId="43" fontId="38"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38" fillId="0" borderId="0" applyFont="0" applyFill="0" applyBorder="0" applyAlignment="0" applyProtection="0"/>
    <xf numFmtId="43" fontId="38"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38" fillId="0" borderId="0" applyFont="0" applyFill="0" applyBorder="0" applyAlignment="0" applyProtection="0"/>
    <xf numFmtId="43" fontId="38"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38" fillId="0" borderId="0" applyFont="0" applyFill="0" applyBorder="0" applyAlignment="0" applyProtection="0"/>
    <xf numFmtId="43" fontId="38"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38" fillId="0" borderId="0" applyFont="0" applyFill="0" applyBorder="0" applyAlignment="0" applyProtection="0"/>
    <xf numFmtId="43" fontId="38"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38" fillId="0" borderId="0" applyFont="0" applyFill="0" applyBorder="0" applyAlignment="0" applyProtection="0"/>
    <xf numFmtId="43" fontId="38"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38" fillId="0" borderId="0" applyFont="0" applyFill="0" applyBorder="0" applyAlignment="0" applyProtection="0"/>
    <xf numFmtId="43" fontId="38"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38" fillId="0" borderId="0" applyFont="0" applyFill="0" applyBorder="0" applyAlignment="0" applyProtection="0"/>
    <xf numFmtId="43" fontId="38"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38" fillId="0" borderId="0" applyFont="0" applyFill="0" applyBorder="0" applyAlignment="0" applyProtection="0"/>
    <xf numFmtId="43" fontId="38"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38" fillId="0" borderId="0" applyFont="0" applyFill="0" applyBorder="0" applyAlignment="0" applyProtection="0"/>
    <xf numFmtId="43" fontId="38"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38" fillId="0" borderId="0" applyFont="0" applyFill="0" applyBorder="0" applyAlignment="0" applyProtection="0"/>
    <xf numFmtId="43" fontId="38"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9" fontId="1" fillId="0" borderId="0" applyFont="0" applyFill="0" applyBorder="0" applyAlignment="0" applyProtection="0"/>
    <xf numFmtId="0" fontId="1" fillId="60" borderId="0" applyNumberFormat="0" applyBorder="0" applyAlignment="0" applyProtection="0"/>
    <xf numFmtId="0" fontId="1" fillId="61" borderId="0" applyNumberFormat="0" applyBorder="0" applyAlignment="0" applyProtection="0"/>
    <xf numFmtId="0" fontId="1" fillId="64" borderId="0" applyNumberFormat="0" applyBorder="0" applyAlignment="0" applyProtection="0"/>
    <xf numFmtId="0" fontId="1" fillId="65" borderId="0" applyNumberFormat="0" applyBorder="0" applyAlignment="0" applyProtection="0"/>
    <xf numFmtId="0" fontId="1" fillId="68" borderId="0" applyNumberFormat="0" applyBorder="0" applyAlignment="0" applyProtection="0"/>
    <xf numFmtId="0" fontId="1" fillId="69" borderId="0" applyNumberFormat="0" applyBorder="0" applyAlignment="0" applyProtection="0"/>
    <xf numFmtId="0" fontId="1" fillId="72" borderId="0" applyNumberFormat="0" applyBorder="0" applyAlignment="0" applyProtection="0"/>
    <xf numFmtId="0" fontId="1" fillId="73" borderId="0" applyNumberFormat="0" applyBorder="0" applyAlignment="0" applyProtection="0"/>
    <xf numFmtId="0" fontId="1" fillId="76" borderId="0" applyNumberFormat="0" applyBorder="0" applyAlignment="0" applyProtection="0"/>
    <xf numFmtId="0" fontId="1" fillId="77" borderId="0" applyNumberFormat="0" applyBorder="0" applyAlignment="0" applyProtection="0"/>
    <xf numFmtId="0" fontId="1" fillId="80" borderId="0" applyNumberFormat="0" applyBorder="0" applyAlignment="0" applyProtection="0"/>
    <xf numFmtId="0" fontId="1" fillId="81" borderId="0" applyNumberFormat="0" applyBorder="0" applyAlignment="0" applyProtection="0"/>
    <xf numFmtId="0" fontId="1" fillId="0" borderId="0"/>
    <xf numFmtId="0" fontId="1" fillId="58" borderId="104" applyNumberFormat="0" applyFont="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65" fontId="1" fillId="0" borderId="0" applyFont="0" applyFill="0" applyBorder="0" applyAlignment="0" applyProtection="0"/>
    <xf numFmtId="9" fontId="1" fillId="0" borderId="0" applyFont="0" applyFill="0" applyBorder="0" applyAlignment="0" applyProtection="0"/>
    <xf numFmtId="43" fontId="1"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9" fontId="1" fillId="0" borderId="0" applyFont="0" applyFill="0" applyBorder="0" applyAlignment="0" applyProtection="0"/>
    <xf numFmtId="0" fontId="120" fillId="0" borderId="0" applyNumberFormat="0" applyFill="0" applyBorder="0" applyAlignment="0" applyProtection="0"/>
    <xf numFmtId="0" fontId="120" fillId="0" borderId="0" applyNumberFormat="0" applyFill="0" applyBorder="0" applyAlignment="0" applyProtection="0"/>
    <xf numFmtId="0" fontId="18" fillId="7" borderId="4" applyNumberFormat="0" applyAlignment="0" applyProtection="0"/>
    <xf numFmtId="0" fontId="1" fillId="0" borderId="0"/>
    <xf numFmtId="9" fontId="1" fillId="0" borderId="0" applyFont="0" applyFill="0" applyBorder="0" applyAlignment="0" applyProtection="0"/>
    <xf numFmtId="0" fontId="15" fillId="21" borderId="4" applyNumberFormat="0" applyAlignment="0" applyProtection="0"/>
    <xf numFmtId="43" fontId="10" fillId="0" borderId="0" applyFont="0" applyFill="0" applyBorder="0" applyAlignment="0" applyProtection="0"/>
    <xf numFmtId="43" fontId="38" fillId="0" borderId="0" applyFont="0" applyFill="0" applyBorder="0" applyAlignment="0" applyProtection="0"/>
    <xf numFmtId="43" fontId="38" fillId="0" borderId="0" applyFont="0" applyFill="0" applyBorder="0" applyAlignment="0" applyProtection="0"/>
    <xf numFmtId="43" fontId="38" fillId="0" borderId="0" applyFont="0" applyFill="0" applyBorder="0" applyAlignment="0" applyProtection="0"/>
    <xf numFmtId="43" fontId="38" fillId="0" borderId="0" applyFont="0" applyFill="0" applyBorder="0" applyAlignment="0" applyProtection="0"/>
    <xf numFmtId="43" fontId="1" fillId="0" borderId="0" applyFont="0" applyFill="0" applyBorder="0" applyAlignment="0" applyProtection="0"/>
    <xf numFmtId="43" fontId="10" fillId="0" borderId="0" applyFont="0" applyFill="0" applyBorder="0" applyAlignment="0" applyProtection="0"/>
    <xf numFmtId="0" fontId="18" fillId="7" borderId="4" applyNumberFormat="0" applyAlignment="0" applyProtection="0"/>
    <xf numFmtId="41" fontId="19" fillId="0" borderId="0" applyFont="0" applyFill="0" applyBorder="0" applyAlignment="0" applyProtection="0"/>
    <xf numFmtId="41" fontId="19" fillId="0" borderId="0" applyFont="0" applyFill="0" applyBorder="0" applyAlignment="0" applyProtection="0"/>
    <xf numFmtId="41" fontId="19" fillId="0" borderId="0" applyFont="0" applyFill="0" applyBorder="0" applyAlignment="0" applyProtection="0"/>
    <xf numFmtId="41" fontId="19" fillId="0" borderId="0" applyFont="0" applyFill="0" applyBorder="0" applyAlignment="0" applyProtection="0"/>
    <xf numFmtId="41" fontId="19" fillId="0" borderId="0" applyFont="0" applyFill="0" applyBorder="0" applyAlignment="0" applyProtection="0"/>
    <xf numFmtId="41" fontId="19" fillId="0" borderId="0" applyFont="0" applyFill="0" applyBorder="0" applyAlignment="0" applyProtection="0"/>
    <xf numFmtId="41" fontId="19" fillId="0" borderId="0" applyFont="0" applyFill="0" applyBorder="0" applyAlignment="0" applyProtection="0"/>
    <xf numFmtId="41" fontId="19" fillId="0" borderId="0" applyFont="0" applyFill="0" applyBorder="0" applyAlignment="0" applyProtection="0"/>
    <xf numFmtId="41" fontId="19" fillId="0" borderId="0" applyFont="0" applyFill="0" applyBorder="0" applyAlignment="0" applyProtection="0"/>
    <xf numFmtId="41" fontId="19" fillId="0" borderId="0" applyFont="0" applyFill="0" applyBorder="0" applyAlignment="0" applyProtection="0"/>
    <xf numFmtId="41" fontId="19" fillId="0" borderId="0" applyFont="0" applyFill="0" applyBorder="0" applyAlignment="0" applyProtection="0"/>
    <xf numFmtId="41" fontId="19" fillId="0" borderId="0" applyFont="0" applyFill="0" applyBorder="0" applyAlignment="0" applyProtection="0"/>
    <xf numFmtId="41" fontId="19" fillId="0" borderId="0" applyFont="0" applyFill="0" applyBorder="0" applyAlignment="0" applyProtection="0"/>
    <xf numFmtId="41" fontId="19" fillId="0" borderId="0" applyFont="0" applyFill="0" applyBorder="0" applyAlignment="0" applyProtection="0"/>
    <xf numFmtId="41" fontId="19" fillId="0" borderId="0" applyFont="0" applyFill="0" applyBorder="0" applyAlignment="0" applyProtection="0"/>
    <xf numFmtId="41" fontId="19" fillId="0" borderId="0" applyFont="0" applyFill="0" applyBorder="0" applyAlignment="0" applyProtection="0"/>
    <xf numFmtId="41" fontId="19" fillId="0" borderId="0" applyFont="0" applyFill="0" applyBorder="0" applyAlignment="0" applyProtection="0"/>
    <xf numFmtId="41" fontId="19" fillId="0" borderId="0" applyFont="0" applyFill="0" applyBorder="0" applyAlignment="0" applyProtection="0"/>
    <xf numFmtId="41" fontId="19" fillId="0" borderId="0" applyFont="0" applyFill="0" applyBorder="0" applyAlignment="0" applyProtection="0"/>
    <xf numFmtId="41" fontId="19" fillId="0" borderId="0" applyFont="0" applyFill="0" applyBorder="0" applyAlignment="0" applyProtection="0"/>
    <xf numFmtId="41" fontId="19" fillId="0" borderId="0" applyFont="0" applyFill="0" applyBorder="0" applyAlignment="0" applyProtection="0"/>
    <xf numFmtId="41" fontId="19" fillId="0" borderId="0" applyFont="0" applyFill="0" applyBorder="0" applyAlignment="0" applyProtection="0"/>
    <xf numFmtId="41" fontId="19" fillId="0" borderId="0" applyFont="0" applyFill="0" applyBorder="0" applyAlignment="0" applyProtection="0"/>
    <xf numFmtId="41" fontId="19" fillId="0" borderId="0" applyFont="0" applyFill="0" applyBorder="0" applyAlignment="0" applyProtection="0"/>
    <xf numFmtId="41" fontId="19" fillId="0" borderId="0" applyFont="0" applyFill="0" applyBorder="0" applyAlignment="0" applyProtection="0"/>
    <xf numFmtId="41" fontId="19" fillId="0" borderId="0" applyFont="0" applyFill="0" applyBorder="0" applyAlignment="0" applyProtection="0"/>
    <xf numFmtId="41" fontId="19" fillId="0" borderId="0" applyFont="0" applyFill="0" applyBorder="0" applyAlignment="0" applyProtection="0"/>
    <xf numFmtId="41" fontId="19" fillId="0" borderId="0" applyFont="0" applyFill="0" applyBorder="0" applyAlignment="0" applyProtection="0"/>
    <xf numFmtId="41" fontId="19" fillId="0" borderId="0" applyFont="0" applyFill="0" applyBorder="0" applyAlignment="0" applyProtection="0"/>
    <xf numFmtId="41" fontId="19" fillId="0" borderId="0" applyFont="0" applyFill="0" applyBorder="0" applyAlignment="0" applyProtection="0"/>
    <xf numFmtId="41" fontId="19" fillId="0" borderId="0" applyFont="0" applyFill="0" applyBorder="0" applyAlignment="0" applyProtection="0"/>
    <xf numFmtId="41" fontId="19" fillId="0" borderId="0" applyFont="0" applyFill="0" applyBorder="0" applyAlignment="0" applyProtection="0"/>
    <xf numFmtId="41" fontId="19" fillId="0" borderId="0" applyFont="0" applyFill="0" applyBorder="0" applyAlignment="0" applyProtection="0"/>
    <xf numFmtId="41" fontId="19" fillId="0" borderId="0" applyFont="0" applyFill="0" applyBorder="0" applyAlignment="0" applyProtection="0"/>
    <xf numFmtId="41" fontId="19" fillId="0" borderId="0" applyFont="0" applyFill="0" applyBorder="0" applyAlignment="0" applyProtection="0"/>
    <xf numFmtId="41" fontId="19" fillId="0" borderId="0" applyFont="0" applyFill="0" applyBorder="0" applyAlignment="0" applyProtection="0"/>
    <xf numFmtId="41" fontId="19" fillId="0" borderId="0" applyFont="0" applyFill="0" applyBorder="0" applyAlignment="0" applyProtection="0"/>
    <xf numFmtId="41" fontId="19" fillId="0" borderId="0" applyFont="0" applyFill="0" applyBorder="0" applyAlignment="0" applyProtection="0"/>
    <xf numFmtId="41" fontId="19" fillId="0" borderId="0" applyFont="0" applyFill="0" applyBorder="0" applyAlignment="0" applyProtection="0"/>
    <xf numFmtId="41" fontId="19" fillId="0" borderId="0" applyFont="0" applyFill="0" applyBorder="0" applyAlignment="0" applyProtection="0"/>
    <xf numFmtId="41" fontId="19" fillId="0" borderId="0" applyFont="0" applyFill="0" applyBorder="0" applyAlignment="0" applyProtection="0"/>
    <xf numFmtId="41" fontId="19" fillId="0" borderId="0" applyFont="0" applyFill="0" applyBorder="0" applyAlignment="0" applyProtection="0"/>
    <xf numFmtId="41" fontId="19" fillId="0" borderId="0" applyFont="0" applyFill="0" applyBorder="0" applyAlignment="0" applyProtection="0"/>
    <xf numFmtId="41" fontId="19" fillId="0" borderId="0" applyFont="0" applyFill="0" applyBorder="0" applyAlignment="0" applyProtection="0"/>
    <xf numFmtId="41" fontId="19" fillId="0" borderId="0" applyFont="0" applyFill="0" applyBorder="0" applyAlignment="0" applyProtection="0"/>
    <xf numFmtId="41" fontId="19" fillId="0" borderId="0" applyFont="0" applyFill="0" applyBorder="0" applyAlignment="0" applyProtection="0"/>
    <xf numFmtId="41" fontId="19" fillId="0" borderId="0" applyFont="0" applyFill="0" applyBorder="0" applyAlignment="0" applyProtection="0"/>
    <xf numFmtId="41" fontId="19" fillId="0" borderId="0" applyFont="0" applyFill="0" applyBorder="0" applyAlignment="0" applyProtection="0"/>
    <xf numFmtId="41" fontId="19" fillId="0" borderId="0" applyFont="0" applyFill="0" applyBorder="0" applyAlignment="0" applyProtection="0"/>
    <xf numFmtId="41" fontId="19" fillId="0" borderId="0" applyFont="0" applyFill="0" applyBorder="0" applyAlignment="0" applyProtection="0"/>
    <xf numFmtId="41" fontId="19" fillId="0" borderId="0" applyFont="0" applyFill="0" applyBorder="0" applyAlignment="0" applyProtection="0"/>
    <xf numFmtId="41" fontId="19" fillId="0" borderId="0" applyFont="0" applyFill="0" applyBorder="0" applyAlignment="0" applyProtection="0"/>
    <xf numFmtId="41" fontId="19" fillId="0" borderId="0" applyFont="0" applyFill="0" applyBorder="0" applyAlignment="0" applyProtection="0"/>
    <xf numFmtId="41" fontId="19" fillId="0" borderId="0" applyFont="0" applyFill="0" applyBorder="0" applyAlignment="0" applyProtection="0"/>
    <xf numFmtId="41" fontId="19" fillId="0" borderId="0" applyFont="0" applyFill="0" applyBorder="0" applyAlignment="0" applyProtection="0"/>
    <xf numFmtId="41" fontId="19" fillId="0" borderId="0" applyFont="0" applyFill="0" applyBorder="0" applyAlignment="0" applyProtection="0"/>
    <xf numFmtId="41" fontId="19" fillId="0" borderId="0" applyFont="0" applyFill="0" applyBorder="0" applyAlignment="0" applyProtection="0"/>
    <xf numFmtId="41" fontId="19"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38" fillId="0" borderId="0" applyFont="0" applyFill="0" applyBorder="0" applyAlignment="0" applyProtection="0"/>
    <xf numFmtId="43" fontId="38"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38" fillId="0" borderId="0" applyFont="0" applyFill="0" applyBorder="0" applyAlignment="0" applyProtection="0"/>
    <xf numFmtId="43" fontId="38"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38" fillId="0" borderId="0" applyFont="0" applyFill="0" applyBorder="0" applyAlignment="0" applyProtection="0"/>
    <xf numFmtId="43" fontId="38"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38" fillId="0" borderId="0" applyFont="0" applyFill="0" applyBorder="0" applyAlignment="0" applyProtection="0"/>
    <xf numFmtId="43" fontId="38"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38" fillId="0" borderId="0" applyFont="0" applyFill="0" applyBorder="0" applyAlignment="0" applyProtection="0"/>
    <xf numFmtId="43" fontId="38"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38" fillId="0" borderId="0" applyFont="0" applyFill="0" applyBorder="0" applyAlignment="0" applyProtection="0"/>
    <xf numFmtId="43" fontId="38"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38" fillId="0" borderId="0" applyFont="0" applyFill="0" applyBorder="0" applyAlignment="0" applyProtection="0"/>
    <xf numFmtId="43" fontId="38"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38" fillId="0" borderId="0" applyFont="0" applyFill="0" applyBorder="0" applyAlignment="0" applyProtection="0"/>
    <xf numFmtId="43" fontId="38"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38" fillId="0" borderId="0" applyFont="0" applyFill="0" applyBorder="0" applyAlignment="0" applyProtection="0"/>
    <xf numFmtId="43" fontId="38"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38" fillId="0" borderId="0" applyFont="0" applyFill="0" applyBorder="0" applyAlignment="0" applyProtection="0"/>
    <xf numFmtId="43" fontId="38"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38" fillId="0" borderId="0" applyFont="0" applyFill="0" applyBorder="0" applyAlignment="0" applyProtection="0"/>
    <xf numFmtId="43" fontId="38"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38" fillId="0" borderId="0" applyFont="0" applyFill="0" applyBorder="0" applyAlignment="0" applyProtection="0"/>
    <xf numFmtId="43" fontId="38"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38" fillId="0" borderId="0" applyFont="0" applyFill="0" applyBorder="0" applyAlignment="0" applyProtection="0"/>
    <xf numFmtId="43" fontId="38"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38" fillId="0" borderId="0" applyFont="0" applyFill="0" applyBorder="0" applyAlignment="0" applyProtection="0"/>
    <xf numFmtId="43" fontId="38"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38" fillId="0" borderId="0" applyFont="0" applyFill="0" applyBorder="0" applyAlignment="0" applyProtection="0"/>
    <xf numFmtId="43" fontId="38"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38" fillId="0" borderId="0" applyFont="0" applyFill="0" applyBorder="0" applyAlignment="0" applyProtection="0"/>
    <xf numFmtId="43" fontId="38"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38" fillId="0" borderId="0" applyFont="0" applyFill="0" applyBorder="0" applyAlignment="0" applyProtection="0"/>
    <xf numFmtId="43" fontId="38"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38" fillId="0" borderId="0" applyFont="0" applyFill="0" applyBorder="0" applyAlignment="0" applyProtection="0"/>
    <xf numFmtId="43" fontId="38"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38" fillId="0" borderId="0" applyFont="0" applyFill="0" applyBorder="0" applyAlignment="0" applyProtection="0"/>
    <xf numFmtId="43" fontId="38"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38" fillId="0" borderId="0" applyFont="0" applyFill="0" applyBorder="0" applyAlignment="0" applyProtection="0"/>
    <xf numFmtId="43" fontId="38"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38" fillId="0" borderId="0" applyFont="0" applyFill="0" applyBorder="0" applyAlignment="0" applyProtection="0"/>
    <xf numFmtId="43" fontId="38"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38" fillId="0" borderId="0" applyFont="0" applyFill="0" applyBorder="0" applyAlignment="0" applyProtection="0"/>
    <xf numFmtId="43" fontId="38"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38" fillId="0" borderId="0" applyFont="0" applyFill="0" applyBorder="0" applyAlignment="0" applyProtection="0"/>
    <xf numFmtId="43" fontId="38"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38" fillId="0" borderId="0" applyFont="0" applyFill="0" applyBorder="0" applyAlignment="0" applyProtection="0"/>
    <xf numFmtId="43" fontId="38"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38" fillId="0" borderId="0" applyFont="0" applyFill="0" applyBorder="0" applyAlignment="0" applyProtection="0"/>
    <xf numFmtId="43" fontId="38"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38" fillId="0" borderId="0" applyFont="0" applyFill="0" applyBorder="0" applyAlignment="0" applyProtection="0"/>
    <xf numFmtId="43" fontId="38"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38" fillId="0" borderId="0" applyFont="0" applyFill="0" applyBorder="0" applyAlignment="0" applyProtection="0"/>
    <xf numFmtId="43" fontId="38"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38" fillId="0" borderId="0" applyFont="0" applyFill="0" applyBorder="0" applyAlignment="0" applyProtection="0"/>
    <xf numFmtId="43" fontId="38"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38" fillId="0" borderId="0" applyFont="0" applyFill="0" applyBorder="0" applyAlignment="0" applyProtection="0"/>
    <xf numFmtId="43" fontId="38"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38" fillId="0" borderId="0" applyFont="0" applyFill="0" applyBorder="0" applyAlignment="0" applyProtection="0"/>
    <xf numFmtId="43" fontId="38"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38" fillId="0" borderId="0" applyFont="0" applyFill="0" applyBorder="0" applyAlignment="0" applyProtection="0"/>
    <xf numFmtId="43" fontId="38"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38" fillId="0" borderId="0" applyFont="0" applyFill="0" applyBorder="0" applyAlignment="0" applyProtection="0"/>
    <xf numFmtId="43" fontId="38"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38" fillId="0" borderId="0" applyFont="0" applyFill="0" applyBorder="0" applyAlignment="0" applyProtection="0"/>
    <xf numFmtId="43" fontId="38"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38" fillId="0" borderId="0" applyFont="0" applyFill="0" applyBorder="0" applyAlignment="0" applyProtection="0"/>
    <xf numFmtId="43" fontId="38"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38" fillId="0" borderId="0" applyFont="0" applyFill="0" applyBorder="0" applyAlignment="0" applyProtection="0"/>
    <xf numFmtId="43" fontId="38"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38" fillId="0" borderId="0" applyFont="0" applyFill="0" applyBorder="0" applyAlignment="0" applyProtection="0"/>
    <xf numFmtId="43" fontId="38"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38" fillId="0" borderId="0" applyFont="0" applyFill="0" applyBorder="0" applyAlignment="0" applyProtection="0"/>
    <xf numFmtId="43" fontId="38"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38" fillId="0" borderId="0" applyFont="0" applyFill="0" applyBorder="0" applyAlignment="0" applyProtection="0"/>
    <xf numFmtId="43" fontId="38"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38" fillId="0" borderId="0" applyFont="0" applyFill="0" applyBorder="0" applyAlignment="0" applyProtection="0"/>
    <xf numFmtId="43" fontId="38"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38" fillId="0" borderId="0" applyFont="0" applyFill="0" applyBorder="0" applyAlignment="0" applyProtection="0"/>
    <xf numFmtId="43" fontId="38"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38" fillId="0" borderId="0" applyFont="0" applyFill="0" applyBorder="0" applyAlignment="0" applyProtection="0"/>
    <xf numFmtId="43" fontId="38"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38" fillId="0" borderId="0" applyFont="0" applyFill="0" applyBorder="0" applyAlignment="0" applyProtection="0"/>
    <xf numFmtId="43" fontId="38"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38" fillId="0" borderId="0" applyFont="0" applyFill="0" applyBorder="0" applyAlignment="0" applyProtection="0"/>
    <xf numFmtId="43" fontId="38"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38" fillId="0" borderId="0" applyFont="0" applyFill="0" applyBorder="0" applyAlignment="0" applyProtection="0"/>
    <xf numFmtId="43" fontId="38"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38" fillId="0" borderId="0" applyFont="0" applyFill="0" applyBorder="0" applyAlignment="0" applyProtection="0"/>
    <xf numFmtId="43" fontId="38"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38" fillId="0" borderId="0" applyFont="0" applyFill="0" applyBorder="0" applyAlignment="0" applyProtection="0"/>
    <xf numFmtId="43" fontId="38"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38" fillId="0" borderId="0" applyFont="0" applyFill="0" applyBorder="0" applyAlignment="0" applyProtection="0"/>
    <xf numFmtId="43" fontId="38"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38" fillId="0" borderId="0" applyFont="0" applyFill="0" applyBorder="0" applyAlignment="0" applyProtection="0"/>
    <xf numFmtId="43" fontId="38"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38" fillId="0" borderId="0" applyFont="0" applyFill="0" applyBorder="0" applyAlignment="0" applyProtection="0"/>
    <xf numFmtId="43" fontId="38"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38" fillId="0" borderId="0" applyFont="0" applyFill="0" applyBorder="0" applyAlignment="0" applyProtection="0"/>
    <xf numFmtId="43" fontId="38"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38" fillId="0" borderId="0" applyFont="0" applyFill="0" applyBorder="0" applyAlignment="0" applyProtection="0"/>
    <xf numFmtId="43" fontId="38"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38" fillId="0" borderId="0" applyFont="0" applyFill="0" applyBorder="0" applyAlignment="0" applyProtection="0"/>
    <xf numFmtId="43" fontId="38"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38" fillId="0" borderId="0" applyFont="0" applyFill="0" applyBorder="0" applyAlignment="0" applyProtection="0"/>
    <xf numFmtId="43" fontId="38"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38" fillId="0" borderId="0" applyFont="0" applyFill="0" applyBorder="0" applyAlignment="0" applyProtection="0"/>
    <xf numFmtId="43" fontId="38"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38" fillId="0" borderId="0" applyFont="0" applyFill="0" applyBorder="0" applyAlignment="0" applyProtection="0"/>
    <xf numFmtId="43" fontId="38"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38" fillId="0" borderId="0" applyFont="0" applyFill="0" applyBorder="0" applyAlignment="0" applyProtection="0"/>
    <xf numFmtId="43" fontId="38"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38" fillId="0" borderId="0" applyFont="0" applyFill="0" applyBorder="0" applyAlignment="0" applyProtection="0"/>
    <xf numFmtId="43" fontId="38"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38" fillId="0" borderId="0" applyFont="0" applyFill="0" applyBorder="0" applyAlignment="0" applyProtection="0"/>
    <xf numFmtId="43" fontId="38"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38" fillId="0" borderId="0" applyFont="0" applyFill="0" applyBorder="0" applyAlignment="0" applyProtection="0"/>
    <xf numFmtId="43" fontId="38"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38" fillId="0" borderId="0" applyFont="0" applyFill="0" applyBorder="0" applyAlignment="0" applyProtection="0"/>
    <xf numFmtId="43" fontId="38"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0" fillId="26" borderId="11" applyNumberFormat="0" applyFont="0" applyAlignment="0" applyProtection="0"/>
    <xf numFmtId="0" fontId="10" fillId="26" borderId="11" applyNumberFormat="0" applyFont="0" applyAlignment="0" applyProtection="0"/>
    <xf numFmtId="0" fontId="38" fillId="26" borderId="11" applyNumberFormat="0" applyFont="0" applyAlignment="0" applyProtection="0"/>
    <xf numFmtId="0" fontId="38" fillId="26" borderId="11" applyNumberFormat="0" applyFont="0" applyAlignment="0" applyProtection="0"/>
    <xf numFmtId="0" fontId="21" fillId="21" borderId="12" applyNumberFormat="0" applyAlignment="0" applyProtection="0"/>
    <xf numFmtId="0" fontId="21" fillId="21" borderId="12" applyNumberFormat="0" applyAlignment="0" applyProtection="0"/>
    <xf numFmtId="9" fontId="1" fillId="0" borderId="0" applyFont="0" applyFill="0" applyBorder="0" applyAlignment="0" applyProtection="0"/>
    <xf numFmtId="0" fontId="28" fillId="0" borderId="13" applyNumberFormat="0" applyFill="0" applyAlignment="0" applyProtection="0"/>
    <xf numFmtId="0" fontId="1" fillId="60" borderId="0" applyNumberFormat="0" applyBorder="0" applyAlignment="0" applyProtection="0"/>
    <xf numFmtId="0" fontId="1" fillId="61" borderId="0" applyNumberFormat="0" applyBorder="0" applyAlignment="0" applyProtection="0"/>
    <xf numFmtId="0" fontId="1" fillId="64" borderId="0" applyNumberFormat="0" applyBorder="0" applyAlignment="0" applyProtection="0"/>
    <xf numFmtId="0" fontId="1" fillId="65" borderId="0" applyNumberFormat="0" applyBorder="0" applyAlignment="0" applyProtection="0"/>
    <xf numFmtId="0" fontId="1" fillId="68" borderId="0" applyNumberFormat="0" applyBorder="0" applyAlignment="0" applyProtection="0"/>
    <xf numFmtId="0" fontId="1" fillId="69" borderId="0" applyNumberFormat="0" applyBorder="0" applyAlignment="0" applyProtection="0"/>
    <xf numFmtId="0" fontId="1" fillId="72" borderId="0" applyNumberFormat="0" applyBorder="0" applyAlignment="0" applyProtection="0"/>
    <xf numFmtId="0" fontId="1" fillId="73" borderId="0" applyNumberFormat="0" applyBorder="0" applyAlignment="0" applyProtection="0"/>
    <xf numFmtId="0" fontId="1" fillId="76" borderId="0" applyNumberFormat="0" applyBorder="0" applyAlignment="0" applyProtection="0"/>
    <xf numFmtId="0" fontId="1" fillId="77" borderId="0" applyNumberFormat="0" applyBorder="0" applyAlignment="0" applyProtection="0"/>
    <xf numFmtId="0" fontId="1" fillId="80" borderId="0" applyNumberFormat="0" applyBorder="0" applyAlignment="0" applyProtection="0"/>
    <xf numFmtId="0" fontId="1" fillId="81" borderId="0" applyNumberFormat="0" applyBorder="0" applyAlignment="0" applyProtection="0"/>
    <xf numFmtId="0" fontId="1" fillId="0" borderId="0"/>
    <xf numFmtId="0" fontId="1" fillId="58" borderId="104" applyNumberFormat="0" applyFont="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08" fillId="21" borderId="4" applyNumberFormat="0" applyFill="0" applyBorder="0" applyAlignment="0" applyProtection="0"/>
    <xf numFmtId="165" fontId="1" fillId="0" borderId="0" applyFont="0" applyFill="0" applyBorder="0" applyAlignment="0" applyProtection="0"/>
    <xf numFmtId="9" fontId="1" fillId="0" borderId="0" applyFont="0" applyFill="0" applyBorder="0" applyAlignment="0" applyProtection="0"/>
    <xf numFmtId="43" fontId="1"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0" fillId="26" borderId="11" applyNumberFormat="0" applyFont="0" applyAlignment="0" applyProtection="0"/>
    <xf numFmtId="9" fontId="1" fillId="0" borderId="0" applyFont="0" applyFill="0" applyBorder="0" applyAlignment="0" applyProtection="0"/>
    <xf numFmtId="0" fontId="120" fillId="0" borderId="0" applyNumberForma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165" fontId="1" fillId="0" borderId="0" applyFont="0" applyFill="0" applyBorder="0" applyAlignment="0" applyProtection="0"/>
    <xf numFmtId="41" fontId="19" fillId="0" borderId="0" applyFont="0" applyFill="0" applyBorder="0" applyAlignment="0" applyProtection="0"/>
    <xf numFmtId="41" fontId="19" fillId="0" borderId="0" applyFont="0" applyFill="0" applyBorder="0" applyAlignment="0" applyProtection="0"/>
    <xf numFmtId="41" fontId="19" fillId="0" borderId="0" applyFont="0" applyFill="0" applyBorder="0" applyAlignment="0" applyProtection="0"/>
    <xf numFmtId="41" fontId="19" fillId="0" borderId="0" applyFont="0" applyFill="0" applyBorder="0" applyAlignment="0" applyProtection="0"/>
    <xf numFmtId="41" fontId="19" fillId="0" borderId="0" applyFont="0" applyFill="0" applyBorder="0" applyAlignment="0" applyProtection="0"/>
    <xf numFmtId="41" fontId="19" fillId="0" borderId="0" applyFont="0" applyFill="0" applyBorder="0" applyAlignment="0" applyProtection="0"/>
    <xf numFmtId="41" fontId="19" fillId="0" borderId="0" applyFont="0" applyFill="0" applyBorder="0" applyAlignment="0" applyProtection="0"/>
    <xf numFmtId="41" fontId="19" fillId="0" borderId="0" applyFont="0" applyFill="0" applyBorder="0" applyAlignment="0" applyProtection="0"/>
    <xf numFmtId="41" fontId="19" fillId="0" borderId="0" applyFont="0" applyFill="0" applyBorder="0" applyAlignment="0" applyProtection="0"/>
    <xf numFmtId="41" fontId="19" fillId="0" borderId="0" applyFont="0" applyFill="0" applyBorder="0" applyAlignment="0" applyProtection="0"/>
    <xf numFmtId="41" fontId="19" fillId="0" borderId="0" applyFont="0" applyFill="0" applyBorder="0" applyAlignment="0" applyProtection="0"/>
    <xf numFmtId="41" fontId="19" fillId="0" borderId="0" applyFont="0" applyFill="0" applyBorder="0" applyAlignment="0" applyProtection="0"/>
    <xf numFmtId="41" fontId="19" fillId="0" borderId="0" applyFont="0" applyFill="0" applyBorder="0" applyAlignment="0" applyProtection="0"/>
    <xf numFmtId="41" fontId="19" fillId="0" borderId="0" applyFont="0" applyFill="0" applyBorder="0" applyAlignment="0" applyProtection="0"/>
    <xf numFmtId="41" fontId="19" fillId="0" borderId="0" applyFont="0" applyFill="0" applyBorder="0" applyAlignment="0" applyProtection="0"/>
    <xf numFmtId="41" fontId="19" fillId="0" borderId="0" applyFont="0" applyFill="0" applyBorder="0" applyAlignment="0" applyProtection="0"/>
    <xf numFmtId="41" fontId="19" fillId="0" borderId="0" applyFont="0" applyFill="0" applyBorder="0" applyAlignment="0" applyProtection="0"/>
    <xf numFmtId="41" fontId="19" fillId="0" borderId="0" applyFont="0" applyFill="0" applyBorder="0" applyAlignment="0" applyProtection="0"/>
    <xf numFmtId="41" fontId="19" fillId="0" borderId="0" applyFont="0" applyFill="0" applyBorder="0" applyAlignment="0" applyProtection="0"/>
    <xf numFmtId="41" fontId="19" fillId="0" borderId="0" applyFont="0" applyFill="0" applyBorder="0" applyAlignment="0" applyProtection="0"/>
    <xf numFmtId="41" fontId="19" fillId="0" borderId="0" applyFont="0" applyFill="0" applyBorder="0" applyAlignment="0" applyProtection="0"/>
    <xf numFmtId="41" fontId="19" fillId="0" borderId="0" applyFont="0" applyFill="0" applyBorder="0" applyAlignment="0" applyProtection="0"/>
    <xf numFmtId="41" fontId="19" fillId="0" borderId="0" applyFont="0" applyFill="0" applyBorder="0" applyAlignment="0" applyProtection="0"/>
    <xf numFmtId="41" fontId="19" fillId="0" borderId="0" applyFont="0" applyFill="0" applyBorder="0" applyAlignment="0" applyProtection="0"/>
    <xf numFmtId="41" fontId="19" fillId="0" borderId="0" applyFont="0" applyFill="0" applyBorder="0" applyAlignment="0" applyProtection="0"/>
    <xf numFmtId="41" fontId="19" fillId="0" borderId="0" applyFont="0" applyFill="0" applyBorder="0" applyAlignment="0" applyProtection="0"/>
    <xf numFmtId="41" fontId="19" fillId="0" borderId="0" applyFont="0" applyFill="0" applyBorder="0" applyAlignment="0" applyProtection="0"/>
    <xf numFmtId="41" fontId="19" fillId="0" borderId="0" applyFont="0" applyFill="0" applyBorder="0" applyAlignment="0" applyProtection="0"/>
    <xf numFmtId="41" fontId="19" fillId="0" borderId="0" applyFont="0" applyFill="0" applyBorder="0" applyAlignment="0" applyProtection="0"/>
    <xf numFmtId="41" fontId="19" fillId="0" borderId="0" applyFont="0" applyFill="0" applyBorder="0" applyAlignment="0" applyProtection="0"/>
    <xf numFmtId="41" fontId="19" fillId="0" borderId="0" applyFont="0" applyFill="0" applyBorder="0" applyAlignment="0" applyProtection="0"/>
    <xf numFmtId="41" fontId="19" fillId="0" borderId="0" applyFont="0" applyFill="0" applyBorder="0" applyAlignment="0" applyProtection="0"/>
    <xf numFmtId="41" fontId="19" fillId="0" borderId="0" applyFont="0" applyFill="0" applyBorder="0" applyAlignment="0" applyProtection="0"/>
    <xf numFmtId="41" fontId="19" fillId="0" borderId="0" applyFont="0" applyFill="0" applyBorder="0" applyAlignment="0" applyProtection="0"/>
    <xf numFmtId="41" fontId="19" fillId="0" borderId="0" applyFont="0" applyFill="0" applyBorder="0" applyAlignment="0" applyProtection="0"/>
    <xf numFmtId="41" fontId="19" fillId="0" borderId="0" applyFont="0" applyFill="0" applyBorder="0" applyAlignment="0" applyProtection="0"/>
    <xf numFmtId="41" fontId="19" fillId="0" borderId="0" applyFont="0" applyFill="0" applyBorder="0" applyAlignment="0" applyProtection="0"/>
    <xf numFmtId="41" fontId="19" fillId="0" borderId="0" applyFont="0" applyFill="0" applyBorder="0" applyAlignment="0" applyProtection="0"/>
    <xf numFmtId="41" fontId="19" fillId="0" borderId="0" applyFont="0" applyFill="0" applyBorder="0" applyAlignment="0" applyProtection="0"/>
    <xf numFmtId="41" fontId="19" fillId="0" borderId="0" applyFont="0" applyFill="0" applyBorder="0" applyAlignment="0" applyProtection="0"/>
    <xf numFmtId="41" fontId="19" fillId="0" borderId="0" applyFont="0" applyFill="0" applyBorder="0" applyAlignment="0" applyProtection="0"/>
    <xf numFmtId="41" fontId="19" fillId="0" borderId="0" applyFont="0" applyFill="0" applyBorder="0" applyAlignment="0" applyProtection="0"/>
    <xf numFmtId="41" fontId="19" fillId="0" borderId="0" applyFont="0" applyFill="0" applyBorder="0" applyAlignment="0" applyProtection="0"/>
    <xf numFmtId="41" fontId="19" fillId="0" borderId="0" applyFont="0" applyFill="0" applyBorder="0" applyAlignment="0" applyProtection="0"/>
    <xf numFmtId="41" fontId="19" fillId="0" borderId="0" applyFont="0" applyFill="0" applyBorder="0" applyAlignment="0" applyProtection="0"/>
    <xf numFmtId="41" fontId="19" fillId="0" borderId="0" applyFont="0" applyFill="0" applyBorder="0" applyAlignment="0" applyProtection="0"/>
    <xf numFmtId="41" fontId="19" fillId="0" borderId="0" applyFont="0" applyFill="0" applyBorder="0" applyAlignment="0" applyProtection="0"/>
    <xf numFmtId="41" fontId="19" fillId="0" borderId="0" applyFont="0" applyFill="0" applyBorder="0" applyAlignment="0" applyProtection="0"/>
    <xf numFmtId="41" fontId="19" fillId="0" borderId="0" applyFont="0" applyFill="0" applyBorder="0" applyAlignment="0" applyProtection="0"/>
    <xf numFmtId="41" fontId="19" fillId="0" borderId="0" applyFont="0" applyFill="0" applyBorder="0" applyAlignment="0" applyProtection="0"/>
    <xf numFmtId="41" fontId="19" fillId="0" borderId="0" applyFont="0" applyFill="0" applyBorder="0" applyAlignment="0" applyProtection="0"/>
    <xf numFmtId="41" fontId="19" fillId="0" borderId="0" applyFont="0" applyFill="0" applyBorder="0" applyAlignment="0" applyProtection="0"/>
    <xf numFmtId="41" fontId="19" fillId="0" borderId="0" applyFont="0" applyFill="0" applyBorder="0" applyAlignment="0" applyProtection="0"/>
    <xf numFmtId="41" fontId="19" fillId="0" borderId="0" applyFont="0" applyFill="0" applyBorder="0" applyAlignment="0" applyProtection="0"/>
    <xf numFmtId="41" fontId="19" fillId="0" borderId="0" applyFont="0" applyFill="0" applyBorder="0" applyAlignment="0" applyProtection="0"/>
    <xf numFmtId="41" fontId="19" fillId="0" borderId="0" applyFont="0" applyFill="0" applyBorder="0" applyAlignment="0" applyProtection="0"/>
    <xf numFmtId="41" fontId="19" fillId="0" borderId="0" applyFont="0" applyFill="0" applyBorder="0" applyAlignment="0" applyProtection="0"/>
    <xf numFmtId="41" fontId="19"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38"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38"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38"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38"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38"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38"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38"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38"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38"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38"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38"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38"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38"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38"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38"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38"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38"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38"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38"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38"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38"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38"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38"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38"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38"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38"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38"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38"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38"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38"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38"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38"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38"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38"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38"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38"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38"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38"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38"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38"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38"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38"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38"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38"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38"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38"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38"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38"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38"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38"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38"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38"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38"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38"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38"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38"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38"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38"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38"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38"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38"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38"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38"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38"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38"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38"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38"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38"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38"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38"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38"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38"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38"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38"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38"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38"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38"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38"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38"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38"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38"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38"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38"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38"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38"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38"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38"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38"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38"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38"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38"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38"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38"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38"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38"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38"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38"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38"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38"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38"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38"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38"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38"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38"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38"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38"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38"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38"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38"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38"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38"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38"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38"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38"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38"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38"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38"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38"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38"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38" fillId="0" borderId="0" applyFont="0" applyFill="0" applyBorder="0" applyAlignment="0" applyProtection="0"/>
    <xf numFmtId="0" fontId="1" fillId="0" borderId="0"/>
    <xf numFmtId="0" fontId="1" fillId="0" borderId="0"/>
    <xf numFmtId="0" fontId="1" fillId="0" borderId="0"/>
    <xf numFmtId="0" fontId="1" fillId="0" borderId="0"/>
    <xf numFmtId="0" fontId="10" fillId="26" borderId="11" applyNumberFormat="0" applyFont="0" applyAlignment="0" applyProtection="0"/>
    <xf numFmtId="0" fontId="10" fillId="26" borderId="11" applyNumberFormat="0" applyFont="0" applyAlignment="0" applyProtection="0"/>
    <xf numFmtId="0" fontId="10" fillId="26" borderId="11" applyNumberFormat="0" applyFont="0" applyAlignment="0" applyProtection="0"/>
    <xf numFmtId="0" fontId="10" fillId="26" borderId="11" applyNumberFormat="0" applyFont="0" applyAlignment="0" applyProtection="0"/>
    <xf numFmtId="0" fontId="38" fillId="26" borderId="11" applyNumberFormat="0" applyFont="0" applyAlignment="0" applyProtection="0"/>
    <xf numFmtId="9" fontId="1" fillId="0" borderId="0" applyFont="0" applyFill="0" applyBorder="0" applyAlignment="0" applyProtection="0"/>
    <xf numFmtId="0" fontId="1" fillId="0" borderId="0"/>
    <xf numFmtId="165" fontId="1" fillId="0" borderId="0" applyFont="0" applyFill="0" applyBorder="0" applyAlignment="0" applyProtection="0"/>
    <xf numFmtId="41" fontId="19" fillId="0" borderId="0" applyFont="0" applyFill="0" applyBorder="0" applyAlignment="0" applyProtection="0"/>
    <xf numFmtId="41" fontId="19" fillId="0" borderId="0" applyFont="0" applyFill="0" applyBorder="0" applyAlignment="0" applyProtection="0"/>
    <xf numFmtId="41" fontId="19" fillId="0" borderId="0" applyFont="0" applyFill="0" applyBorder="0" applyAlignment="0" applyProtection="0"/>
    <xf numFmtId="41" fontId="19" fillId="0" borderId="0" applyFont="0" applyFill="0" applyBorder="0" applyAlignment="0" applyProtection="0"/>
    <xf numFmtId="41" fontId="19" fillId="0" borderId="0" applyFont="0" applyFill="0" applyBorder="0" applyAlignment="0" applyProtection="0"/>
    <xf numFmtId="41" fontId="19" fillId="0" borderId="0" applyFont="0" applyFill="0" applyBorder="0" applyAlignment="0" applyProtection="0"/>
    <xf numFmtId="41" fontId="19" fillId="0" borderId="0" applyFont="0" applyFill="0" applyBorder="0" applyAlignment="0" applyProtection="0"/>
    <xf numFmtId="41" fontId="19" fillId="0" borderId="0" applyFont="0" applyFill="0" applyBorder="0" applyAlignment="0" applyProtection="0"/>
    <xf numFmtId="41" fontId="19" fillId="0" borderId="0" applyFont="0" applyFill="0" applyBorder="0" applyAlignment="0" applyProtection="0"/>
    <xf numFmtId="41" fontId="19" fillId="0" borderId="0" applyFont="0" applyFill="0" applyBorder="0" applyAlignment="0" applyProtection="0"/>
    <xf numFmtId="41" fontId="19" fillId="0" borderId="0" applyFont="0" applyFill="0" applyBorder="0" applyAlignment="0" applyProtection="0"/>
    <xf numFmtId="41" fontId="19" fillId="0" borderId="0" applyFont="0" applyFill="0" applyBorder="0" applyAlignment="0" applyProtection="0"/>
    <xf numFmtId="41" fontId="19" fillId="0" borderId="0" applyFont="0" applyFill="0" applyBorder="0" applyAlignment="0" applyProtection="0"/>
    <xf numFmtId="41" fontId="19" fillId="0" borderId="0" applyFont="0" applyFill="0" applyBorder="0" applyAlignment="0" applyProtection="0"/>
    <xf numFmtId="41" fontId="19" fillId="0" borderId="0" applyFont="0" applyFill="0" applyBorder="0" applyAlignment="0" applyProtection="0"/>
    <xf numFmtId="41" fontId="19" fillId="0" borderId="0" applyFont="0" applyFill="0" applyBorder="0" applyAlignment="0" applyProtection="0"/>
    <xf numFmtId="41" fontId="19" fillId="0" borderId="0" applyFont="0" applyFill="0" applyBorder="0" applyAlignment="0" applyProtection="0"/>
    <xf numFmtId="41" fontId="19" fillId="0" borderId="0" applyFont="0" applyFill="0" applyBorder="0" applyAlignment="0" applyProtection="0"/>
    <xf numFmtId="41" fontId="19" fillId="0" borderId="0" applyFont="0" applyFill="0" applyBorder="0" applyAlignment="0" applyProtection="0"/>
    <xf numFmtId="41" fontId="19" fillId="0" borderId="0" applyFont="0" applyFill="0" applyBorder="0" applyAlignment="0" applyProtection="0"/>
    <xf numFmtId="41" fontId="19" fillId="0" borderId="0" applyFont="0" applyFill="0" applyBorder="0" applyAlignment="0" applyProtection="0"/>
    <xf numFmtId="41" fontId="19" fillId="0" borderId="0" applyFont="0" applyFill="0" applyBorder="0" applyAlignment="0" applyProtection="0"/>
    <xf numFmtId="41" fontId="19" fillId="0" borderId="0" applyFont="0" applyFill="0" applyBorder="0" applyAlignment="0" applyProtection="0"/>
    <xf numFmtId="41" fontId="19" fillId="0" borderId="0" applyFont="0" applyFill="0" applyBorder="0" applyAlignment="0" applyProtection="0"/>
    <xf numFmtId="41" fontId="19" fillId="0" borderId="0" applyFont="0" applyFill="0" applyBorder="0" applyAlignment="0" applyProtection="0"/>
    <xf numFmtId="41" fontId="19" fillId="0" borderId="0" applyFont="0" applyFill="0" applyBorder="0" applyAlignment="0" applyProtection="0"/>
    <xf numFmtId="41" fontId="19" fillId="0" borderId="0" applyFont="0" applyFill="0" applyBorder="0" applyAlignment="0" applyProtection="0"/>
    <xf numFmtId="41" fontId="19" fillId="0" borderId="0" applyFont="0" applyFill="0" applyBorder="0" applyAlignment="0" applyProtection="0"/>
    <xf numFmtId="41" fontId="19" fillId="0" borderId="0" applyFont="0" applyFill="0" applyBorder="0" applyAlignment="0" applyProtection="0"/>
    <xf numFmtId="41" fontId="19" fillId="0" borderId="0" applyFont="0" applyFill="0" applyBorder="0" applyAlignment="0" applyProtection="0"/>
    <xf numFmtId="41" fontId="19" fillId="0" borderId="0" applyFont="0" applyFill="0" applyBorder="0" applyAlignment="0" applyProtection="0"/>
    <xf numFmtId="41" fontId="19" fillId="0" borderId="0" applyFont="0" applyFill="0" applyBorder="0" applyAlignment="0" applyProtection="0"/>
    <xf numFmtId="41" fontId="19" fillId="0" borderId="0" applyFont="0" applyFill="0" applyBorder="0" applyAlignment="0" applyProtection="0"/>
    <xf numFmtId="41" fontId="19" fillId="0" borderId="0" applyFont="0" applyFill="0" applyBorder="0" applyAlignment="0" applyProtection="0"/>
    <xf numFmtId="41" fontId="19" fillId="0" borderId="0" applyFont="0" applyFill="0" applyBorder="0" applyAlignment="0" applyProtection="0"/>
    <xf numFmtId="41" fontId="19" fillId="0" borderId="0" applyFont="0" applyFill="0" applyBorder="0" applyAlignment="0" applyProtection="0"/>
    <xf numFmtId="41" fontId="19" fillId="0" borderId="0" applyFont="0" applyFill="0" applyBorder="0" applyAlignment="0" applyProtection="0"/>
    <xf numFmtId="41" fontId="19" fillId="0" borderId="0" applyFont="0" applyFill="0" applyBorder="0" applyAlignment="0" applyProtection="0"/>
    <xf numFmtId="41" fontId="19" fillId="0" borderId="0" applyFont="0" applyFill="0" applyBorder="0" applyAlignment="0" applyProtection="0"/>
    <xf numFmtId="41" fontId="19" fillId="0" borderId="0" applyFont="0" applyFill="0" applyBorder="0" applyAlignment="0" applyProtection="0"/>
    <xf numFmtId="41" fontId="19" fillId="0" borderId="0" applyFont="0" applyFill="0" applyBorder="0" applyAlignment="0" applyProtection="0"/>
    <xf numFmtId="41" fontId="19" fillId="0" borderId="0" applyFont="0" applyFill="0" applyBorder="0" applyAlignment="0" applyProtection="0"/>
    <xf numFmtId="41" fontId="19" fillId="0" borderId="0" applyFont="0" applyFill="0" applyBorder="0" applyAlignment="0" applyProtection="0"/>
    <xf numFmtId="41" fontId="19" fillId="0" borderId="0" applyFont="0" applyFill="0" applyBorder="0" applyAlignment="0" applyProtection="0"/>
    <xf numFmtId="41" fontId="19" fillId="0" borderId="0" applyFont="0" applyFill="0" applyBorder="0" applyAlignment="0" applyProtection="0"/>
    <xf numFmtId="41" fontId="19" fillId="0" borderId="0" applyFont="0" applyFill="0" applyBorder="0" applyAlignment="0" applyProtection="0"/>
    <xf numFmtId="41" fontId="19" fillId="0" borderId="0" applyFont="0" applyFill="0" applyBorder="0" applyAlignment="0" applyProtection="0"/>
    <xf numFmtId="41" fontId="19" fillId="0" borderId="0" applyFont="0" applyFill="0" applyBorder="0" applyAlignment="0" applyProtection="0"/>
    <xf numFmtId="41" fontId="19" fillId="0" borderId="0" applyFont="0" applyFill="0" applyBorder="0" applyAlignment="0" applyProtection="0"/>
    <xf numFmtId="41" fontId="19" fillId="0" borderId="0" applyFont="0" applyFill="0" applyBorder="0" applyAlignment="0" applyProtection="0"/>
    <xf numFmtId="41" fontId="19" fillId="0" borderId="0" applyFont="0" applyFill="0" applyBorder="0" applyAlignment="0" applyProtection="0"/>
    <xf numFmtId="41" fontId="19" fillId="0" borderId="0" applyFont="0" applyFill="0" applyBorder="0" applyAlignment="0" applyProtection="0"/>
    <xf numFmtId="41" fontId="19" fillId="0" borderId="0" applyFont="0" applyFill="0" applyBorder="0" applyAlignment="0" applyProtection="0"/>
    <xf numFmtId="41" fontId="19" fillId="0" borderId="0" applyFont="0" applyFill="0" applyBorder="0" applyAlignment="0" applyProtection="0"/>
    <xf numFmtId="41" fontId="19" fillId="0" borderId="0" applyFont="0" applyFill="0" applyBorder="0" applyAlignment="0" applyProtection="0"/>
    <xf numFmtId="41" fontId="19" fillId="0" borderId="0" applyFont="0" applyFill="0" applyBorder="0" applyAlignment="0" applyProtection="0"/>
    <xf numFmtId="41" fontId="19" fillId="0" borderId="0" applyFont="0" applyFill="0" applyBorder="0" applyAlignment="0" applyProtection="0"/>
    <xf numFmtId="41" fontId="19"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0" fontId="1" fillId="0" borderId="0"/>
    <xf numFmtId="0" fontId="1" fillId="0" borderId="0"/>
    <xf numFmtId="0" fontId="1" fillId="0" borderId="0"/>
    <xf numFmtId="0" fontId="1" fillId="0" borderId="0"/>
    <xf numFmtId="0" fontId="10" fillId="26" borderId="11" applyNumberFormat="0" applyFont="0" applyAlignment="0" applyProtection="0"/>
    <xf numFmtId="0" fontId="10" fillId="26" borderId="11" applyNumberFormat="0" applyFont="0" applyAlignment="0" applyProtection="0"/>
    <xf numFmtId="0" fontId="10" fillId="26" borderId="11" applyNumberFormat="0" applyFont="0" applyAlignment="0" applyProtection="0"/>
    <xf numFmtId="0" fontId="10" fillId="26" borderId="11" applyNumberFormat="0" applyFont="0" applyAlignment="0" applyProtection="0"/>
    <xf numFmtId="9" fontId="1" fillId="0" borderId="0" applyFont="0" applyFill="0" applyBorder="0" applyAlignment="0" applyProtection="0"/>
    <xf numFmtId="0" fontId="1" fillId="0" borderId="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0" fontId="1" fillId="0" borderId="0"/>
    <xf numFmtId="0" fontId="1" fillId="0" borderId="0"/>
    <xf numFmtId="0" fontId="1" fillId="0" borderId="0"/>
    <xf numFmtId="0" fontId="1" fillId="0" borderId="0"/>
    <xf numFmtId="9" fontId="1" fillId="0" borderId="0" applyFont="0" applyFill="0" applyBorder="0" applyAlignment="0" applyProtection="0"/>
    <xf numFmtId="0" fontId="1" fillId="0" borderId="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0" fontId="1" fillId="0" borderId="0"/>
    <xf numFmtId="0" fontId="1" fillId="0" borderId="0"/>
    <xf numFmtId="0" fontId="1" fillId="0" borderId="0"/>
    <xf numFmtId="0" fontId="1" fillId="0" borderId="0"/>
    <xf numFmtId="9" fontId="1" fillId="0" borderId="0" applyFont="0" applyFill="0" applyBorder="0" applyAlignment="0" applyProtection="0"/>
    <xf numFmtId="0" fontId="1" fillId="0" borderId="0"/>
    <xf numFmtId="165" fontId="1" fillId="0" borderId="0" applyFont="0" applyFill="0" applyBorder="0" applyAlignment="0" applyProtection="0"/>
    <xf numFmtId="0" fontId="1" fillId="0" borderId="0"/>
    <xf numFmtId="9"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165"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60" borderId="0" applyNumberFormat="0" applyBorder="0" applyAlignment="0" applyProtection="0"/>
    <xf numFmtId="0" fontId="1" fillId="61" borderId="0" applyNumberFormat="0" applyBorder="0" applyAlignment="0" applyProtection="0"/>
    <xf numFmtId="0" fontId="1" fillId="64" borderId="0" applyNumberFormat="0" applyBorder="0" applyAlignment="0" applyProtection="0"/>
    <xf numFmtId="0" fontId="1" fillId="65" borderId="0" applyNumberFormat="0" applyBorder="0" applyAlignment="0" applyProtection="0"/>
    <xf numFmtId="0" fontId="1" fillId="68" borderId="0" applyNumberFormat="0" applyBorder="0" applyAlignment="0" applyProtection="0"/>
    <xf numFmtId="0" fontId="1" fillId="69" borderId="0" applyNumberFormat="0" applyBorder="0" applyAlignment="0" applyProtection="0"/>
    <xf numFmtId="0" fontId="1" fillId="72" borderId="0" applyNumberFormat="0" applyBorder="0" applyAlignment="0" applyProtection="0"/>
    <xf numFmtId="0" fontId="1" fillId="73" borderId="0" applyNumberFormat="0" applyBorder="0" applyAlignment="0" applyProtection="0"/>
    <xf numFmtId="0" fontId="1" fillId="76" borderId="0" applyNumberFormat="0" applyBorder="0" applyAlignment="0" applyProtection="0"/>
    <xf numFmtId="0" fontId="1" fillId="77" borderId="0" applyNumberFormat="0" applyBorder="0" applyAlignment="0" applyProtection="0"/>
    <xf numFmtId="0" fontId="1" fillId="80" borderId="0" applyNumberFormat="0" applyBorder="0" applyAlignment="0" applyProtection="0"/>
    <xf numFmtId="0" fontId="1" fillId="81" borderId="0" applyNumberFormat="0" applyBorder="0" applyAlignment="0" applyProtection="0"/>
    <xf numFmtId="0" fontId="1" fillId="0" borderId="0"/>
    <xf numFmtId="165" fontId="1" fillId="0" borderId="0" applyFont="0" applyFill="0" applyBorder="0" applyAlignment="0" applyProtection="0"/>
    <xf numFmtId="9" fontId="1" fillId="0" borderId="0" applyFont="0" applyFill="0" applyBorder="0" applyAlignment="0" applyProtection="0"/>
    <xf numFmtId="165" fontId="197"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208" fontId="32" fillId="47" borderId="0" applyNumberFormat="0" applyBorder="0" applyAlignment="0"/>
    <xf numFmtId="208" fontId="10" fillId="0" borderId="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89" fontId="10" fillId="0" borderId="0"/>
    <xf numFmtId="189" fontId="10" fillId="0" borderId="0"/>
    <xf numFmtId="189" fontId="10" fillId="0" borderId="0"/>
    <xf numFmtId="189" fontId="70" fillId="0" borderId="0"/>
    <xf numFmtId="9" fontId="10" fillId="0" borderId="0" applyFont="0" applyFill="0" applyBorder="0" applyAlignment="0" applyProtection="0"/>
    <xf numFmtId="0" fontId="1" fillId="0" borderId="0"/>
    <xf numFmtId="0" fontId="1" fillId="0" borderId="0"/>
    <xf numFmtId="165" fontId="1" fillId="0" borderId="0" applyFont="0" applyFill="0" applyBorder="0" applyAlignment="0" applyProtection="0"/>
    <xf numFmtId="9" fontId="1" fillId="0" borderId="0" applyFont="0" applyFill="0" applyBorder="0" applyAlignment="0" applyProtection="0"/>
    <xf numFmtId="165" fontId="10" fillId="0" borderId="0" applyFont="0" applyFill="0" applyBorder="0" applyAlignment="0" applyProtection="0"/>
    <xf numFmtId="0" fontId="10" fillId="0" borderId="0"/>
    <xf numFmtId="0" fontId="13" fillId="2" borderId="0" applyNumberFormat="0" applyBorder="0" applyAlignment="0" applyProtection="0"/>
    <xf numFmtId="0" fontId="13" fillId="3" borderId="0" applyNumberFormat="0" applyBorder="0" applyAlignment="0" applyProtection="0"/>
    <xf numFmtId="0" fontId="13" fillId="4" borderId="0" applyNumberFormat="0" applyBorder="0" applyAlignment="0" applyProtection="0"/>
    <xf numFmtId="0" fontId="13" fillId="5" borderId="0" applyNumberFormat="0" applyBorder="0" applyAlignment="0" applyProtection="0"/>
    <xf numFmtId="0" fontId="13" fillId="6" borderId="0" applyNumberFormat="0" applyBorder="0" applyAlignment="0" applyProtection="0"/>
    <xf numFmtId="0" fontId="13" fillId="7" borderId="0" applyNumberFormat="0" applyBorder="0" applyAlignment="0" applyProtection="0"/>
    <xf numFmtId="0" fontId="13" fillId="8" borderId="0" applyNumberFormat="0" applyBorder="0" applyAlignment="0" applyProtection="0"/>
    <xf numFmtId="0" fontId="13" fillId="9" borderId="0" applyNumberFormat="0" applyBorder="0" applyAlignment="0" applyProtection="0"/>
    <xf numFmtId="0" fontId="13" fillId="10" borderId="0" applyNumberFormat="0" applyBorder="0" applyAlignment="0" applyProtection="0"/>
    <xf numFmtId="0" fontId="13" fillId="5" borderId="0" applyNumberFormat="0" applyBorder="0" applyAlignment="0" applyProtection="0"/>
    <xf numFmtId="0" fontId="13" fillId="8" borderId="0" applyNumberFormat="0" applyBorder="0" applyAlignment="0" applyProtection="0"/>
    <xf numFmtId="0" fontId="13" fillId="11" borderId="0" applyNumberFormat="0" applyBorder="0" applyAlignment="0" applyProtection="0"/>
    <xf numFmtId="0" fontId="14" fillId="12" borderId="0" applyNumberFormat="0" applyBorder="0" applyAlignment="0" applyProtection="0"/>
    <xf numFmtId="0" fontId="14" fillId="9" borderId="0" applyNumberFormat="0" applyBorder="0" applyAlignment="0" applyProtection="0"/>
    <xf numFmtId="0" fontId="14" fillId="10" borderId="0" applyNumberFormat="0" applyBorder="0" applyAlignment="0" applyProtection="0"/>
    <xf numFmtId="0" fontId="14" fillId="13" borderId="0" applyNumberFormat="0" applyBorder="0" applyAlignment="0" applyProtection="0"/>
    <xf numFmtId="0" fontId="14" fillId="14" borderId="0" applyNumberFormat="0" applyBorder="0" applyAlignment="0" applyProtection="0"/>
    <xf numFmtId="0" fontId="14" fillId="15" borderId="0" applyNumberFormat="0" applyBorder="0" applyAlignment="0" applyProtection="0"/>
    <xf numFmtId="0" fontId="14" fillId="16" borderId="0" applyNumberFormat="0" applyBorder="0" applyAlignment="0" applyProtection="0"/>
    <xf numFmtId="0" fontId="14" fillId="17" borderId="0" applyNumberFormat="0" applyBorder="0" applyAlignment="0" applyProtection="0"/>
    <xf numFmtId="0" fontId="14" fillId="18" borderId="0" applyNumberFormat="0" applyBorder="0" applyAlignment="0" applyProtection="0"/>
    <xf numFmtId="0" fontId="14" fillId="13" borderId="0" applyNumberFormat="0" applyBorder="0" applyAlignment="0" applyProtection="0"/>
    <xf numFmtId="0" fontId="14" fillId="14" borderId="0" applyNumberFormat="0" applyBorder="0" applyAlignment="0" applyProtection="0"/>
    <xf numFmtId="0" fontId="14" fillId="19" borderId="0" applyNumberFormat="0" applyBorder="0" applyAlignment="0" applyProtection="0"/>
    <xf numFmtId="0" fontId="29" fillId="3" borderId="0" applyNumberFormat="0" applyBorder="0" applyAlignment="0" applyProtection="0"/>
    <xf numFmtId="0" fontId="257" fillId="0" borderId="0"/>
    <xf numFmtId="0" fontId="183" fillId="0" borderId="0">
      <alignment horizontal="right"/>
    </xf>
    <xf numFmtId="0" fontId="258" fillId="0" borderId="0"/>
    <xf numFmtId="0" fontId="144" fillId="0" borderId="0"/>
    <xf numFmtId="0" fontId="259" fillId="0" borderId="0"/>
    <xf numFmtId="0" fontId="260" fillId="0" borderId="162" applyNumberFormat="0" applyAlignment="0"/>
    <xf numFmtId="0" fontId="215" fillId="0" borderId="0" applyAlignment="0">
      <alignment horizontal="left"/>
    </xf>
    <xf numFmtId="0" fontId="215" fillId="0" borderId="0">
      <alignment horizontal="right"/>
    </xf>
    <xf numFmtId="179" fontId="215" fillId="0" borderId="0">
      <alignment horizontal="right"/>
    </xf>
    <xf numFmtId="167" fontId="261" fillId="0" borderId="0">
      <alignment horizontal="right"/>
    </xf>
    <xf numFmtId="0" fontId="262" fillId="0" borderId="0"/>
    <xf numFmtId="0" fontId="15" fillId="21" borderId="4" applyNumberFormat="0" applyAlignment="0" applyProtection="0"/>
    <xf numFmtId="0" fontId="17" fillId="22" borderId="6" applyNumberFormat="0" applyAlignment="0" applyProtection="0"/>
    <xf numFmtId="165" fontId="10" fillId="0" borderId="0" applyFont="0" applyFill="0" applyBorder="0" applyAlignment="0" applyProtection="0"/>
    <xf numFmtId="165" fontId="197" fillId="0" borderId="0" applyFont="0" applyFill="0" applyBorder="0" applyAlignment="0" applyProtection="0"/>
    <xf numFmtId="165" fontId="197" fillId="0" borderId="0" applyFont="0" applyFill="0" applyBorder="0" applyAlignment="0" applyProtection="0"/>
    <xf numFmtId="165" fontId="197" fillId="0" borderId="0" applyFont="0" applyFill="0" applyBorder="0" applyAlignment="0" applyProtection="0"/>
    <xf numFmtId="43" fontId="13" fillId="0" borderId="0" applyFont="0" applyFill="0" applyBorder="0" applyAlignment="0" applyProtection="0"/>
    <xf numFmtId="165" fontId="197" fillId="0" borderId="0" applyFont="0" applyFill="0" applyBorder="0" applyAlignment="0" applyProtection="0"/>
    <xf numFmtId="165" fontId="197" fillId="0" borderId="0" applyFont="0" applyFill="0" applyBorder="0" applyAlignment="0" applyProtection="0"/>
    <xf numFmtId="165" fontId="197" fillId="0" borderId="0" applyFont="0" applyFill="0" applyBorder="0" applyAlignment="0" applyProtection="0"/>
    <xf numFmtId="165" fontId="1" fillId="0" borderId="0" applyFont="0" applyFill="0" applyBorder="0" applyAlignment="0" applyProtection="0"/>
    <xf numFmtId="0" fontId="23" fillId="0" borderId="0" applyNumberFormat="0" applyFill="0" applyBorder="0" applyAlignment="0" applyProtection="0"/>
    <xf numFmtId="0" fontId="30" fillId="4" borderId="0" applyNumberFormat="0" applyBorder="0" applyAlignment="0" applyProtection="0"/>
    <xf numFmtId="0" fontId="25" fillId="0" borderId="8" applyNumberFormat="0" applyFill="0" applyAlignment="0" applyProtection="0"/>
    <xf numFmtId="0" fontId="26" fillId="0" borderId="9" applyNumberFormat="0" applyFill="0" applyAlignment="0" applyProtection="0"/>
    <xf numFmtId="0" fontId="27" fillId="0" borderId="10" applyNumberFormat="0" applyFill="0" applyAlignment="0" applyProtection="0"/>
    <xf numFmtId="0" fontId="27" fillId="0" borderId="0" applyNumberFormat="0" applyFill="0" applyBorder="0" applyAlignment="0" applyProtection="0"/>
    <xf numFmtId="0" fontId="249" fillId="0" borderId="0" applyNumberFormat="0" applyFill="0" applyBorder="0" applyAlignment="0" applyProtection="0">
      <alignment vertical="top"/>
      <protection locked="0"/>
    </xf>
    <xf numFmtId="0" fontId="118" fillId="0" borderId="0" applyNumberFormat="0" applyFill="0" applyBorder="0" applyAlignment="0" applyProtection="0">
      <alignment vertical="top"/>
      <protection locked="0"/>
    </xf>
    <xf numFmtId="0" fontId="16" fillId="0" borderId="5" applyNumberFormat="0" applyFill="0" applyAlignment="0" applyProtection="0"/>
    <xf numFmtId="0" fontId="20" fillId="23" borderId="0" applyNumberFormat="0" applyBorder="0" applyAlignment="0" applyProtection="0"/>
    <xf numFmtId="0" fontId="1" fillId="0" borderId="0"/>
    <xf numFmtId="0" fontId="31" fillId="0" borderId="0" applyFill="0" applyBorder="0"/>
    <xf numFmtId="0" fontId="10" fillId="0" borderId="0"/>
    <xf numFmtId="0" fontId="10" fillId="26" borderId="11" applyNumberFormat="0" applyFont="0" applyAlignment="0" applyProtection="0"/>
    <xf numFmtId="179" fontId="197" fillId="0" borderId="0" applyFont="0" applyFill="0" applyBorder="0" applyAlignment="0" applyProtection="0"/>
    <xf numFmtId="9" fontId="1" fillId="0" borderId="0" applyFont="0" applyFill="0" applyBorder="0" applyAlignment="0" applyProtection="0"/>
    <xf numFmtId="0" fontId="263" fillId="0" borderId="0" applyNumberFormat="0" applyFill="0" applyBorder="0" applyAlignment="0" applyProtection="0"/>
    <xf numFmtId="0" fontId="24" fillId="0" borderId="0" applyNumberFormat="0" applyFill="0" applyBorder="0" applyAlignment="0" applyProtection="0"/>
    <xf numFmtId="0" fontId="28" fillId="0" borderId="13" applyNumberFormat="0" applyFill="0" applyAlignment="0" applyProtection="0"/>
    <xf numFmtId="0" fontId="22" fillId="0" borderId="0" applyNumberFormat="0" applyFill="0" applyBorder="0" applyAlignment="0" applyProtection="0"/>
    <xf numFmtId="0" fontId="1" fillId="0" borderId="0"/>
    <xf numFmtId="0" fontId="1" fillId="0" borderId="0"/>
    <xf numFmtId="0" fontId="1" fillId="0" borderId="0"/>
    <xf numFmtId="165" fontId="1" fillId="0" borderId="0" applyFont="0" applyFill="0" applyBorder="0" applyAlignment="0" applyProtection="0"/>
    <xf numFmtId="9" fontId="1" fillId="0" borderId="0" applyFont="0" applyFill="0" applyBorder="0" applyAlignment="0" applyProtection="0"/>
    <xf numFmtId="165" fontId="1" fillId="0" borderId="0" applyFont="0" applyFill="0" applyBorder="0" applyAlignment="0" applyProtection="0"/>
    <xf numFmtId="0" fontId="1" fillId="0" borderId="0"/>
    <xf numFmtId="9" fontId="1" fillId="0" borderId="0" applyFont="0" applyFill="0" applyBorder="0" applyAlignment="0" applyProtection="0"/>
    <xf numFmtId="0" fontId="1" fillId="0" borderId="0"/>
    <xf numFmtId="0" fontId="1" fillId="0" borderId="0"/>
    <xf numFmtId="0" fontId="1" fillId="0" borderId="0"/>
    <xf numFmtId="165" fontId="1" fillId="0" borderId="0" applyFont="0" applyFill="0" applyBorder="0" applyAlignment="0" applyProtection="0"/>
    <xf numFmtId="9" fontId="1" fillId="0" borderId="0" applyFont="0" applyFill="0" applyBorder="0" applyAlignment="0" applyProtection="0"/>
    <xf numFmtId="165" fontId="1" fillId="0" borderId="0" applyFont="0" applyFill="0" applyBorder="0" applyAlignment="0" applyProtection="0"/>
    <xf numFmtId="0" fontId="1" fillId="0" borderId="0"/>
    <xf numFmtId="9" fontId="1" fillId="0" borderId="0" applyFont="0" applyFill="0" applyBorder="0" applyAlignment="0" applyProtection="0"/>
    <xf numFmtId="0" fontId="1" fillId="0" borderId="0"/>
    <xf numFmtId="0" fontId="1" fillId="0" borderId="0"/>
    <xf numFmtId="0" fontId="1" fillId="0" borderId="0"/>
    <xf numFmtId="165" fontId="1" fillId="0" borderId="0" applyFont="0" applyFill="0" applyBorder="0" applyAlignment="0" applyProtection="0"/>
    <xf numFmtId="9" fontId="1" fillId="0" borderId="0" applyFont="0" applyFill="0" applyBorder="0" applyAlignment="0" applyProtection="0"/>
    <xf numFmtId="165" fontId="1" fillId="0" borderId="0" applyFont="0" applyFill="0" applyBorder="0" applyAlignment="0" applyProtection="0"/>
    <xf numFmtId="0" fontId="1" fillId="0" borderId="0"/>
    <xf numFmtId="9" fontId="1" fillId="0" borderId="0" applyFont="0" applyFill="0" applyBorder="0" applyAlignment="0" applyProtection="0"/>
    <xf numFmtId="0" fontId="1" fillId="0" borderId="0"/>
    <xf numFmtId="0" fontId="1" fillId="0" borderId="0"/>
    <xf numFmtId="0" fontId="1" fillId="0" borderId="0"/>
    <xf numFmtId="165" fontId="1" fillId="0" borderId="0" applyFont="0" applyFill="0" applyBorder="0" applyAlignment="0" applyProtection="0"/>
    <xf numFmtId="9" fontId="1" fillId="0" borderId="0" applyFont="0" applyFill="0" applyBorder="0" applyAlignment="0" applyProtection="0"/>
    <xf numFmtId="165" fontId="1" fillId="0" borderId="0" applyFont="0" applyFill="0" applyBorder="0" applyAlignment="0" applyProtection="0"/>
    <xf numFmtId="0" fontId="1" fillId="0" borderId="0"/>
    <xf numFmtId="9" fontId="1" fillId="0" borderId="0" applyFont="0" applyFill="0" applyBorder="0" applyAlignment="0" applyProtection="0"/>
    <xf numFmtId="0" fontId="1" fillId="0" borderId="0"/>
    <xf numFmtId="0" fontId="1" fillId="0" borderId="0"/>
    <xf numFmtId="0" fontId="1" fillId="0" borderId="0"/>
    <xf numFmtId="165" fontId="1" fillId="0" borderId="0" applyFont="0" applyFill="0" applyBorder="0" applyAlignment="0" applyProtection="0"/>
    <xf numFmtId="9" fontId="1" fillId="0" borderId="0" applyFont="0" applyFill="0" applyBorder="0" applyAlignment="0" applyProtection="0"/>
    <xf numFmtId="165" fontId="1" fillId="0" borderId="0" applyFont="0" applyFill="0" applyBorder="0" applyAlignment="0" applyProtection="0"/>
    <xf numFmtId="0" fontId="1" fillId="0" borderId="0"/>
    <xf numFmtId="9" fontId="1" fillId="0" borderId="0" applyFont="0" applyFill="0" applyBorder="0" applyAlignment="0" applyProtection="0"/>
    <xf numFmtId="0" fontId="1" fillId="0" borderId="0"/>
    <xf numFmtId="0" fontId="45" fillId="0" borderId="0"/>
    <xf numFmtId="165" fontId="1" fillId="0" borderId="0" applyFont="0" applyFill="0" applyBorder="0" applyAlignment="0" applyProtection="0"/>
    <xf numFmtId="208" fontId="32" fillId="47" borderId="0" applyNumberFormat="0" applyBorder="0" applyAlignment="0"/>
    <xf numFmtId="0" fontId="249" fillId="0" borderId="0" applyNumberFormat="0" applyFill="0" applyBorder="0" applyAlignment="0" applyProtection="0">
      <alignment vertical="top"/>
      <protection locked="0"/>
    </xf>
    <xf numFmtId="165" fontId="10" fillId="0" borderId="0" applyFont="0" applyFill="0" applyBorder="0" applyAlignment="0" applyProtection="0"/>
    <xf numFmtId="189" fontId="70" fillId="0" borderId="0"/>
    <xf numFmtId="208" fontId="10" fillId="0" borderId="0"/>
    <xf numFmtId="165" fontId="10" fillId="0" borderId="0" applyFont="0" applyFill="0" applyBorder="0" applyAlignment="0" applyProtection="0"/>
    <xf numFmtId="9" fontId="10" fillId="0" borderId="0" applyFont="0" applyFill="0" applyBorder="0" applyAlignment="0" applyProtection="0"/>
    <xf numFmtId="0" fontId="251" fillId="0" borderId="0" applyNumberFormat="0" applyFill="0" applyBorder="0" applyAlignment="0" applyProtection="0"/>
    <xf numFmtId="0" fontId="10" fillId="0" borderId="0"/>
    <xf numFmtId="9" fontId="1" fillId="0" borderId="0" applyFont="0" applyFill="0" applyBorder="0" applyAlignment="0" applyProtection="0"/>
    <xf numFmtId="0" fontId="1" fillId="0" borderId="0"/>
    <xf numFmtId="165" fontId="1" fillId="0" borderId="0" applyFont="0" applyFill="0" applyBorder="0" applyAlignment="0" applyProtection="0"/>
    <xf numFmtId="9" fontId="1" fillId="0" borderId="0" applyFont="0" applyFill="0" applyBorder="0" applyAlignment="0" applyProtection="0"/>
    <xf numFmtId="0" fontId="1" fillId="0" borderId="0"/>
    <xf numFmtId="165" fontId="1" fillId="0" borderId="0" applyFont="0" applyFill="0" applyBorder="0" applyAlignment="0" applyProtection="0"/>
    <xf numFmtId="0" fontId="1" fillId="0" borderId="0"/>
    <xf numFmtId="0" fontId="31" fillId="0" borderId="0" applyFill="0" applyBorder="0"/>
    <xf numFmtId="0" fontId="10" fillId="0" borderId="0"/>
    <xf numFmtId="0" fontId="15" fillId="21" borderId="4" applyNumberFormat="0" applyAlignment="0" applyProtection="0"/>
    <xf numFmtId="0" fontId="18" fillId="7" borderId="4" applyNumberFormat="0" applyAlignment="0" applyProtection="0"/>
    <xf numFmtId="0" fontId="10" fillId="26" borderId="11" applyNumberFormat="0" applyFont="0" applyAlignment="0" applyProtection="0"/>
    <xf numFmtId="0" fontId="21" fillId="21" borderId="12" applyNumberFormat="0" applyAlignment="0" applyProtection="0"/>
    <xf numFmtId="0" fontId="28" fillId="0" borderId="13" applyNumberFormat="0" applyFill="0" applyAlignment="0" applyProtection="0"/>
    <xf numFmtId="0" fontId="98" fillId="0" borderId="98" applyNumberFormat="0" applyFill="0" applyAlignment="0" applyProtection="0"/>
    <xf numFmtId="0" fontId="99" fillId="0" borderId="99" applyNumberFormat="0" applyFill="0" applyAlignment="0" applyProtection="0"/>
    <xf numFmtId="0" fontId="100" fillId="0" borderId="100" applyNumberFormat="0" applyFill="0" applyAlignment="0" applyProtection="0"/>
    <xf numFmtId="0" fontId="100" fillId="0" borderId="0" applyNumberFormat="0" applyFill="0" applyBorder="0" applyAlignment="0" applyProtection="0"/>
    <xf numFmtId="0" fontId="1" fillId="60" borderId="0" applyNumberFormat="0" applyBorder="0" applyAlignment="0" applyProtection="0"/>
    <xf numFmtId="0" fontId="1" fillId="64" borderId="0" applyNumberFormat="0" applyBorder="0" applyAlignment="0" applyProtection="0"/>
    <xf numFmtId="0" fontId="1" fillId="60" borderId="0" applyNumberFormat="0" applyBorder="0" applyAlignment="0" applyProtection="0"/>
    <xf numFmtId="0" fontId="1" fillId="64" borderId="0" applyNumberFormat="0" applyBorder="0" applyAlignment="0" applyProtection="0"/>
    <xf numFmtId="0" fontId="1" fillId="60" borderId="0" applyNumberFormat="0" applyBorder="0" applyAlignment="0" applyProtection="0"/>
    <xf numFmtId="0" fontId="1" fillId="69" borderId="0" applyNumberFormat="0" applyBorder="0" applyAlignment="0" applyProtection="0"/>
    <xf numFmtId="0" fontId="1" fillId="69" borderId="0" applyNumberFormat="0" applyBorder="0" applyAlignment="0" applyProtection="0"/>
    <xf numFmtId="0" fontId="1" fillId="65" borderId="0" applyNumberFormat="0" applyBorder="0" applyAlignment="0" applyProtection="0"/>
    <xf numFmtId="0" fontId="1" fillId="65" borderId="0" applyNumberFormat="0" applyBorder="0" applyAlignment="0" applyProtection="0"/>
    <xf numFmtId="0" fontId="1" fillId="65" borderId="0" applyNumberFormat="0" applyBorder="0" applyAlignment="0" applyProtection="0"/>
    <xf numFmtId="0" fontId="1" fillId="65" borderId="0" applyNumberFormat="0" applyBorder="0" applyAlignment="0" applyProtection="0"/>
    <xf numFmtId="0" fontId="1" fillId="65" borderId="0" applyNumberFormat="0" applyBorder="0" applyAlignment="0" applyProtection="0"/>
    <xf numFmtId="0" fontId="1" fillId="65" borderId="0" applyNumberFormat="0" applyBorder="0" applyAlignment="0" applyProtection="0"/>
    <xf numFmtId="0" fontId="1" fillId="65" borderId="0" applyNumberFormat="0" applyBorder="0" applyAlignment="0" applyProtection="0"/>
    <xf numFmtId="0" fontId="1" fillId="61" borderId="0" applyNumberFormat="0" applyBorder="0" applyAlignment="0" applyProtection="0"/>
    <xf numFmtId="0" fontId="1" fillId="61" borderId="0" applyNumberFormat="0" applyBorder="0" applyAlignment="0" applyProtection="0"/>
    <xf numFmtId="0" fontId="1" fillId="61" borderId="0" applyNumberFormat="0" applyBorder="0" applyAlignment="0" applyProtection="0"/>
    <xf numFmtId="0" fontId="1" fillId="61" borderId="0" applyNumberFormat="0" applyBorder="0" applyAlignment="0" applyProtection="0"/>
    <xf numFmtId="0" fontId="1" fillId="61" borderId="0" applyNumberFormat="0" applyBorder="0" applyAlignment="0" applyProtection="0"/>
    <xf numFmtId="0" fontId="1" fillId="61" borderId="0" applyNumberFormat="0" applyBorder="0" applyAlignment="0" applyProtection="0"/>
    <xf numFmtId="0" fontId="1" fillId="61" borderId="0" applyNumberFormat="0" applyBorder="0" applyAlignment="0" applyProtection="0"/>
    <xf numFmtId="0" fontId="1" fillId="80" borderId="0" applyNumberFormat="0" applyBorder="0" applyAlignment="0" applyProtection="0"/>
    <xf numFmtId="0" fontId="1" fillId="80" borderId="0" applyNumberFormat="0" applyBorder="0" applyAlignment="0" applyProtection="0"/>
    <xf numFmtId="0" fontId="1" fillId="80" borderId="0" applyNumberFormat="0" applyBorder="0" applyAlignment="0" applyProtection="0"/>
    <xf numFmtId="0" fontId="1" fillId="80" borderId="0" applyNumberFormat="0" applyBorder="0" applyAlignment="0" applyProtection="0"/>
    <xf numFmtId="0" fontId="1" fillId="80" borderId="0" applyNumberFormat="0" applyBorder="0" applyAlignment="0" applyProtection="0"/>
    <xf numFmtId="0" fontId="1" fillId="80" borderId="0" applyNumberFormat="0" applyBorder="0" applyAlignment="0" applyProtection="0"/>
    <xf numFmtId="0" fontId="1" fillId="80" borderId="0" applyNumberFormat="0" applyBorder="0" applyAlignment="0" applyProtection="0"/>
    <xf numFmtId="0" fontId="1" fillId="76" borderId="0" applyNumberFormat="0" applyBorder="0" applyAlignment="0" applyProtection="0"/>
    <xf numFmtId="0" fontId="1" fillId="76" borderId="0" applyNumberFormat="0" applyBorder="0" applyAlignment="0" applyProtection="0"/>
    <xf numFmtId="0" fontId="1" fillId="76" borderId="0" applyNumberFormat="0" applyBorder="0" applyAlignment="0" applyProtection="0"/>
    <xf numFmtId="0" fontId="1" fillId="76" borderId="0" applyNumberFormat="0" applyBorder="0" applyAlignment="0" applyProtection="0"/>
    <xf numFmtId="0" fontId="1" fillId="76" borderId="0" applyNumberFormat="0" applyBorder="0" applyAlignment="0" applyProtection="0"/>
    <xf numFmtId="0" fontId="1" fillId="76" borderId="0" applyNumberFormat="0" applyBorder="0" applyAlignment="0" applyProtection="0"/>
    <xf numFmtId="0" fontId="1" fillId="76" borderId="0" applyNumberFormat="0" applyBorder="0" applyAlignment="0" applyProtection="0"/>
    <xf numFmtId="0" fontId="1" fillId="72" borderId="0" applyNumberFormat="0" applyBorder="0" applyAlignment="0" applyProtection="0"/>
    <xf numFmtId="0" fontId="1" fillId="72" borderId="0" applyNumberFormat="0" applyBorder="0" applyAlignment="0" applyProtection="0"/>
    <xf numFmtId="0" fontId="1" fillId="72" borderId="0" applyNumberFormat="0" applyBorder="0" applyAlignment="0" applyProtection="0"/>
    <xf numFmtId="0" fontId="1" fillId="72" borderId="0" applyNumberFormat="0" applyBorder="0" applyAlignment="0" applyProtection="0"/>
    <xf numFmtId="0" fontId="1" fillId="72" borderId="0" applyNumberFormat="0" applyBorder="0" applyAlignment="0" applyProtection="0"/>
    <xf numFmtId="0" fontId="1" fillId="72" borderId="0" applyNumberFormat="0" applyBorder="0" applyAlignment="0" applyProtection="0"/>
    <xf numFmtId="0" fontId="1" fillId="72" borderId="0" applyNumberFormat="0" applyBorder="0" applyAlignment="0" applyProtection="0"/>
    <xf numFmtId="0" fontId="1" fillId="68" borderId="0" applyNumberFormat="0" applyBorder="0" applyAlignment="0" applyProtection="0"/>
    <xf numFmtId="0" fontId="1" fillId="68" borderId="0" applyNumberFormat="0" applyBorder="0" applyAlignment="0" applyProtection="0"/>
    <xf numFmtId="0" fontId="1" fillId="68" borderId="0" applyNumberFormat="0" applyBorder="0" applyAlignment="0" applyProtection="0"/>
    <xf numFmtId="0" fontId="1" fillId="68" borderId="0" applyNumberFormat="0" applyBorder="0" applyAlignment="0" applyProtection="0"/>
    <xf numFmtId="0" fontId="1" fillId="68" borderId="0" applyNumberFormat="0" applyBorder="0" applyAlignment="0" applyProtection="0"/>
    <xf numFmtId="0" fontId="1" fillId="68" borderId="0" applyNumberFormat="0" applyBorder="0" applyAlignment="0" applyProtection="0"/>
    <xf numFmtId="0" fontId="1" fillId="68" borderId="0" applyNumberFormat="0" applyBorder="0" applyAlignment="0" applyProtection="0"/>
    <xf numFmtId="0" fontId="1" fillId="68" borderId="0" applyNumberFormat="0" applyBorder="0" applyAlignment="0" applyProtection="0"/>
    <xf numFmtId="0" fontId="1" fillId="64" borderId="0" applyNumberFormat="0" applyBorder="0" applyAlignment="0" applyProtection="0"/>
    <xf numFmtId="0" fontId="1" fillId="64" borderId="0" applyNumberFormat="0" applyBorder="0" applyAlignment="0" applyProtection="0"/>
    <xf numFmtId="0" fontId="1" fillId="64" borderId="0" applyNumberFormat="0" applyBorder="0" applyAlignment="0" applyProtection="0"/>
    <xf numFmtId="0" fontId="1" fillId="64" borderId="0" applyNumberFormat="0" applyBorder="0" applyAlignment="0" applyProtection="0"/>
    <xf numFmtId="0" fontId="1" fillId="64" borderId="0" applyNumberFormat="0" applyBorder="0" applyAlignment="0" applyProtection="0"/>
    <xf numFmtId="0" fontId="1" fillId="60" borderId="0" applyNumberFormat="0" applyBorder="0" applyAlignment="0" applyProtection="0"/>
    <xf numFmtId="0" fontId="1" fillId="60" borderId="0" applyNumberFormat="0" applyBorder="0" applyAlignment="0" applyProtection="0"/>
    <xf numFmtId="0" fontId="1" fillId="60" borderId="0" applyNumberFormat="0" applyBorder="0" applyAlignment="0" applyProtection="0"/>
    <xf numFmtId="0" fontId="1" fillId="60" borderId="0" applyNumberFormat="0" applyBorder="0" applyAlignment="0" applyProtection="0"/>
    <xf numFmtId="0" fontId="1" fillId="60" borderId="0" applyNumberFormat="0" applyBorder="0" applyAlignment="0" applyProtection="0"/>
    <xf numFmtId="0" fontId="1" fillId="69" borderId="0" applyNumberFormat="0" applyBorder="0" applyAlignment="0" applyProtection="0"/>
    <xf numFmtId="0" fontId="1" fillId="69" borderId="0" applyNumberFormat="0" applyBorder="0" applyAlignment="0" applyProtection="0"/>
    <xf numFmtId="0" fontId="1" fillId="69" borderId="0" applyNumberFormat="0" applyBorder="0" applyAlignment="0" applyProtection="0"/>
    <xf numFmtId="0" fontId="1" fillId="69" borderId="0" applyNumberFormat="0" applyBorder="0" applyAlignment="0" applyProtection="0"/>
    <xf numFmtId="0" fontId="1" fillId="69" borderId="0" applyNumberFormat="0" applyBorder="0" applyAlignment="0" applyProtection="0"/>
    <xf numFmtId="0" fontId="1" fillId="73" borderId="0" applyNumberFormat="0" applyBorder="0" applyAlignment="0" applyProtection="0"/>
    <xf numFmtId="0" fontId="1" fillId="73" borderId="0" applyNumberFormat="0" applyBorder="0" applyAlignment="0" applyProtection="0"/>
    <xf numFmtId="0" fontId="1" fillId="73" borderId="0" applyNumberFormat="0" applyBorder="0" applyAlignment="0" applyProtection="0"/>
    <xf numFmtId="0" fontId="1" fillId="73" borderId="0" applyNumberFormat="0" applyBorder="0" applyAlignment="0" applyProtection="0"/>
    <xf numFmtId="0" fontId="1" fillId="73" borderId="0" applyNumberFormat="0" applyBorder="0" applyAlignment="0" applyProtection="0"/>
    <xf numFmtId="0" fontId="1" fillId="73" borderId="0" applyNumberFormat="0" applyBorder="0" applyAlignment="0" applyProtection="0"/>
    <xf numFmtId="0" fontId="1" fillId="73" borderId="0" applyNumberFormat="0" applyBorder="0" applyAlignment="0" applyProtection="0"/>
    <xf numFmtId="0" fontId="1" fillId="77" borderId="0" applyNumberFormat="0" applyBorder="0" applyAlignment="0" applyProtection="0"/>
    <xf numFmtId="0" fontId="1" fillId="77" borderId="0" applyNumberFormat="0" applyBorder="0" applyAlignment="0" applyProtection="0"/>
    <xf numFmtId="0" fontId="1" fillId="77" borderId="0" applyNumberFormat="0" applyBorder="0" applyAlignment="0" applyProtection="0"/>
    <xf numFmtId="0" fontId="1" fillId="77" borderId="0" applyNumberFormat="0" applyBorder="0" applyAlignment="0" applyProtection="0"/>
    <xf numFmtId="0" fontId="1" fillId="77" borderId="0" applyNumberFormat="0" applyBorder="0" applyAlignment="0" applyProtection="0"/>
    <xf numFmtId="0" fontId="1" fillId="77" borderId="0" applyNumberFormat="0" applyBorder="0" applyAlignment="0" applyProtection="0"/>
    <xf numFmtId="0" fontId="1" fillId="77" borderId="0" applyNumberFormat="0" applyBorder="0" applyAlignment="0" applyProtection="0"/>
    <xf numFmtId="0" fontId="1" fillId="81" borderId="0" applyNumberFormat="0" applyBorder="0" applyAlignment="0" applyProtection="0"/>
    <xf numFmtId="0" fontId="1" fillId="81" borderId="0" applyNumberFormat="0" applyBorder="0" applyAlignment="0" applyProtection="0"/>
    <xf numFmtId="0" fontId="1" fillId="81" borderId="0" applyNumberFormat="0" applyBorder="0" applyAlignment="0" applyProtection="0"/>
    <xf numFmtId="0" fontId="1" fillId="81" borderId="0" applyNumberFormat="0" applyBorder="0" applyAlignment="0" applyProtection="0"/>
    <xf numFmtId="0" fontId="1" fillId="81" borderId="0" applyNumberFormat="0" applyBorder="0" applyAlignment="0" applyProtection="0"/>
    <xf numFmtId="0" fontId="1" fillId="81" borderId="0" applyNumberFormat="0" applyBorder="0" applyAlignment="0" applyProtection="0"/>
    <xf numFmtId="0" fontId="1" fillId="81" borderId="0" applyNumberFormat="0" applyBorder="0" applyAlignment="0" applyProtection="0"/>
    <xf numFmtId="0" fontId="1" fillId="58" borderId="104" applyNumberFormat="0" applyFont="0" applyAlignment="0" applyProtection="0"/>
    <xf numFmtId="0" fontId="1" fillId="58" borderId="104" applyNumberFormat="0" applyFont="0" applyAlignment="0" applyProtection="0"/>
    <xf numFmtId="0" fontId="1" fillId="58" borderId="104" applyNumberFormat="0" applyFont="0" applyAlignment="0" applyProtection="0"/>
    <xf numFmtId="0" fontId="1" fillId="58" borderId="104" applyNumberFormat="0" applyFont="0" applyAlignment="0" applyProtection="0"/>
    <xf numFmtId="0" fontId="1" fillId="58" borderId="104" applyNumberFormat="0" applyFont="0" applyAlignment="0" applyProtection="0"/>
    <xf numFmtId="0" fontId="1" fillId="58" borderId="104" applyNumberFormat="0" applyFont="0" applyAlignment="0" applyProtection="0"/>
    <xf numFmtId="0" fontId="1" fillId="58" borderId="104" applyNumberFormat="0" applyFont="0" applyAlignment="0" applyProtection="0"/>
    <xf numFmtId="0" fontId="10" fillId="58" borderId="104" applyNumberFormat="0" applyFont="0" applyAlignment="0" applyProtection="0"/>
    <xf numFmtId="0" fontId="1" fillId="58" borderId="104" applyNumberFormat="0" applyFont="0" applyAlignment="0" applyProtection="0"/>
    <xf numFmtId="0" fontId="10" fillId="58" borderId="104" applyNumberFormat="0" applyFont="0" applyAlignment="0" applyProtection="0"/>
    <xf numFmtId="0" fontId="10" fillId="58" borderId="104" applyNumberFormat="0" applyFont="0" applyAlignment="0" applyProtection="0"/>
    <xf numFmtId="0" fontId="1" fillId="58" borderId="104" applyNumberFormat="0" applyFont="0" applyAlignment="0" applyProtection="0"/>
    <xf numFmtId="0" fontId="10" fillId="58" borderId="104" applyNumberFormat="0" applyFont="0" applyAlignment="0" applyProtection="0"/>
    <xf numFmtId="0" fontId="1" fillId="58" borderId="104" applyNumberFormat="0" applyFont="0" applyAlignment="0" applyProtection="0"/>
    <xf numFmtId="165" fontId="10"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0" fontId="120" fillId="0" borderId="0" applyNumberFormat="0" applyFill="0" applyBorder="0" applyAlignment="0" applyProtection="0"/>
    <xf numFmtId="0" fontId="251" fillId="0" borderId="0" applyNumberFormat="0" applyFill="0" applyBorder="0" applyAlignment="0" applyProtection="0"/>
    <xf numFmtId="0" fontId="120" fillId="0" borderId="0" applyNumberForma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0" fillId="0" borderId="0"/>
    <xf numFmtId="0" fontId="1" fillId="0" borderId="0"/>
    <xf numFmtId="0" fontId="1" fillId="0" borderId="0"/>
    <xf numFmtId="0" fontId="1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0" fillId="0" borderId="0"/>
    <xf numFmtId="0" fontId="1" fillId="0" borderId="0"/>
    <xf numFmtId="0" fontId="1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0" fontId="1" fillId="0" borderId="0"/>
    <xf numFmtId="0" fontId="1" fillId="0" borderId="0"/>
    <xf numFmtId="165" fontId="1" fillId="0" borderId="0" applyFont="0" applyFill="0" applyBorder="0" applyAlignment="0" applyProtection="0"/>
    <xf numFmtId="9" fontId="1" fillId="0" borderId="0" applyFont="0" applyFill="0" applyBorder="0" applyAlignment="0" applyProtection="0"/>
    <xf numFmtId="165" fontId="1" fillId="0" borderId="0" applyFont="0" applyFill="0" applyBorder="0" applyAlignment="0" applyProtection="0"/>
    <xf numFmtId="0" fontId="1" fillId="0" borderId="0"/>
    <xf numFmtId="9" fontId="1" fillId="0" borderId="0" applyFont="0" applyFill="0" applyBorder="0" applyAlignment="0" applyProtection="0"/>
    <xf numFmtId="0" fontId="1" fillId="0" borderId="0"/>
    <xf numFmtId="0" fontId="1" fillId="0" borderId="0"/>
    <xf numFmtId="0" fontId="1" fillId="0" borderId="0"/>
    <xf numFmtId="165" fontId="1" fillId="0" borderId="0" applyFont="0" applyFill="0" applyBorder="0" applyAlignment="0" applyProtection="0"/>
    <xf numFmtId="9" fontId="1" fillId="0" borderId="0" applyFont="0" applyFill="0" applyBorder="0" applyAlignment="0" applyProtection="0"/>
    <xf numFmtId="165" fontId="1" fillId="0" borderId="0" applyFont="0" applyFill="0" applyBorder="0" applyAlignment="0" applyProtection="0"/>
    <xf numFmtId="0" fontId="1" fillId="0" borderId="0"/>
    <xf numFmtId="9" fontId="1" fillId="0" borderId="0" applyFont="0" applyFill="0" applyBorder="0" applyAlignment="0" applyProtection="0"/>
    <xf numFmtId="0" fontId="1" fillId="0" borderId="0"/>
    <xf numFmtId="0" fontId="1" fillId="0" borderId="0"/>
    <xf numFmtId="0" fontId="1" fillId="0" borderId="0"/>
    <xf numFmtId="165" fontId="1" fillId="0" borderId="0" applyFont="0" applyFill="0" applyBorder="0" applyAlignment="0" applyProtection="0"/>
    <xf numFmtId="9" fontId="1" fillId="0" borderId="0" applyFont="0" applyFill="0" applyBorder="0" applyAlignment="0" applyProtection="0"/>
    <xf numFmtId="165" fontId="1" fillId="0" borderId="0" applyFont="0" applyFill="0" applyBorder="0" applyAlignment="0" applyProtection="0"/>
    <xf numFmtId="0" fontId="1" fillId="0" borderId="0"/>
    <xf numFmtId="9" fontId="1" fillId="0" borderId="0" applyFont="0" applyFill="0" applyBorder="0" applyAlignment="0" applyProtection="0"/>
    <xf numFmtId="0" fontId="1" fillId="0" borderId="0"/>
    <xf numFmtId="0" fontId="1" fillId="0" borderId="0"/>
    <xf numFmtId="0" fontId="1" fillId="0" borderId="0"/>
    <xf numFmtId="165" fontId="1" fillId="0" borderId="0" applyFont="0" applyFill="0" applyBorder="0" applyAlignment="0" applyProtection="0"/>
    <xf numFmtId="9" fontId="1" fillId="0" borderId="0" applyFont="0" applyFill="0" applyBorder="0" applyAlignment="0" applyProtection="0"/>
    <xf numFmtId="165" fontId="1" fillId="0" borderId="0" applyFont="0" applyFill="0" applyBorder="0" applyAlignment="0" applyProtection="0"/>
    <xf numFmtId="0" fontId="1" fillId="0" borderId="0"/>
    <xf numFmtId="9" fontId="1" fillId="0" borderId="0" applyFont="0" applyFill="0" applyBorder="0" applyAlignment="0" applyProtection="0"/>
    <xf numFmtId="0" fontId="1" fillId="0" borderId="0"/>
    <xf numFmtId="0" fontId="1" fillId="0" borderId="0"/>
    <xf numFmtId="0" fontId="1" fillId="0" borderId="0"/>
    <xf numFmtId="165" fontId="1" fillId="0" borderId="0" applyFont="0" applyFill="0" applyBorder="0" applyAlignment="0" applyProtection="0"/>
    <xf numFmtId="9" fontId="1" fillId="0" borderId="0" applyFont="0" applyFill="0" applyBorder="0" applyAlignment="0" applyProtection="0"/>
    <xf numFmtId="165" fontId="1" fillId="0" borderId="0" applyFont="0" applyFill="0" applyBorder="0" applyAlignment="0" applyProtection="0"/>
    <xf numFmtId="0" fontId="1" fillId="0" borderId="0"/>
    <xf numFmtId="9" fontId="1" fillId="0" borderId="0" applyFont="0" applyFill="0" applyBorder="0" applyAlignment="0" applyProtection="0"/>
    <xf numFmtId="0" fontId="1" fillId="0" borderId="0"/>
    <xf numFmtId="0" fontId="1" fillId="0" borderId="0"/>
    <xf numFmtId="0" fontId="1" fillId="0" borderId="0"/>
    <xf numFmtId="165" fontId="1" fillId="0" borderId="0" applyFont="0" applyFill="0" applyBorder="0" applyAlignment="0" applyProtection="0"/>
    <xf numFmtId="9" fontId="1" fillId="0" borderId="0" applyFont="0" applyFill="0" applyBorder="0" applyAlignment="0" applyProtection="0"/>
    <xf numFmtId="165" fontId="1" fillId="0" borderId="0" applyFont="0" applyFill="0" applyBorder="0" applyAlignment="0" applyProtection="0"/>
    <xf numFmtId="0" fontId="1" fillId="0" borderId="0"/>
    <xf numFmtId="9" fontId="1" fillId="0" borderId="0" applyFont="0" applyFill="0" applyBorder="0" applyAlignment="0" applyProtection="0"/>
    <xf numFmtId="0" fontId="1" fillId="0" borderId="0"/>
    <xf numFmtId="165" fontId="1" fillId="0" borderId="0" applyFont="0" applyFill="0" applyBorder="0" applyAlignment="0" applyProtection="0"/>
    <xf numFmtId="9" fontId="1" fillId="0" borderId="0" applyFont="0" applyFill="0" applyBorder="0" applyAlignment="0" applyProtection="0"/>
    <xf numFmtId="0" fontId="1" fillId="0" borderId="0"/>
    <xf numFmtId="165" fontId="1" fillId="0" borderId="0" applyFont="0" applyFill="0" applyBorder="0" applyAlignment="0" applyProtection="0"/>
    <xf numFmtId="9" fontId="1" fillId="0" borderId="0" applyFont="0" applyFill="0" applyBorder="0" applyAlignment="0" applyProtection="0"/>
    <xf numFmtId="0" fontId="1" fillId="0" borderId="0"/>
    <xf numFmtId="165" fontId="1" fillId="0" borderId="0" applyFont="0" applyFill="0" applyBorder="0" applyAlignment="0" applyProtection="0"/>
    <xf numFmtId="0" fontId="1" fillId="0" borderId="0"/>
    <xf numFmtId="0" fontId="1" fillId="60" borderId="0" applyNumberFormat="0" applyBorder="0" applyAlignment="0" applyProtection="0"/>
    <xf numFmtId="0" fontId="1" fillId="61" borderId="0" applyNumberFormat="0" applyBorder="0" applyAlignment="0" applyProtection="0"/>
    <xf numFmtId="0" fontId="1" fillId="64" borderId="0" applyNumberFormat="0" applyBorder="0" applyAlignment="0" applyProtection="0"/>
    <xf numFmtId="0" fontId="1" fillId="65" borderId="0" applyNumberFormat="0" applyBorder="0" applyAlignment="0" applyProtection="0"/>
    <xf numFmtId="0" fontId="1" fillId="68" borderId="0" applyNumberFormat="0" applyBorder="0" applyAlignment="0" applyProtection="0"/>
    <xf numFmtId="0" fontId="1" fillId="69" borderId="0" applyNumberFormat="0" applyBorder="0" applyAlignment="0" applyProtection="0"/>
    <xf numFmtId="0" fontId="1" fillId="72" borderId="0" applyNumberFormat="0" applyBorder="0" applyAlignment="0" applyProtection="0"/>
    <xf numFmtId="0" fontId="1" fillId="73" borderId="0" applyNumberFormat="0" applyBorder="0" applyAlignment="0" applyProtection="0"/>
    <xf numFmtId="0" fontId="1" fillId="76" borderId="0" applyNumberFormat="0" applyBorder="0" applyAlignment="0" applyProtection="0"/>
    <xf numFmtId="0" fontId="1" fillId="77" borderId="0" applyNumberFormat="0" applyBorder="0" applyAlignment="0" applyProtection="0"/>
    <xf numFmtId="0" fontId="1" fillId="80" borderId="0" applyNumberFormat="0" applyBorder="0" applyAlignment="0" applyProtection="0"/>
    <xf numFmtId="0" fontId="1" fillId="81" borderId="0" applyNumberFormat="0" applyBorder="0" applyAlignment="0" applyProtection="0"/>
    <xf numFmtId="0" fontId="1" fillId="60" borderId="0" applyNumberFormat="0" applyBorder="0" applyAlignment="0" applyProtection="0"/>
    <xf numFmtId="0" fontId="1" fillId="64" borderId="0" applyNumberFormat="0" applyBorder="0" applyAlignment="0" applyProtection="0"/>
    <xf numFmtId="0" fontId="1" fillId="60" borderId="0" applyNumberFormat="0" applyBorder="0" applyAlignment="0" applyProtection="0"/>
    <xf numFmtId="0" fontId="1" fillId="64" borderId="0" applyNumberFormat="0" applyBorder="0" applyAlignment="0" applyProtection="0"/>
    <xf numFmtId="0" fontId="1" fillId="60" borderId="0" applyNumberFormat="0" applyBorder="0" applyAlignment="0" applyProtection="0"/>
    <xf numFmtId="0" fontId="1" fillId="69" borderId="0" applyNumberFormat="0" applyBorder="0" applyAlignment="0" applyProtection="0"/>
    <xf numFmtId="0" fontId="1" fillId="69" borderId="0" applyNumberFormat="0" applyBorder="0" applyAlignment="0" applyProtection="0"/>
    <xf numFmtId="0" fontId="1" fillId="65" borderId="0" applyNumberFormat="0" applyBorder="0" applyAlignment="0" applyProtection="0"/>
    <xf numFmtId="0" fontId="1" fillId="65" borderId="0" applyNumberFormat="0" applyBorder="0" applyAlignment="0" applyProtection="0"/>
    <xf numFmtId="0" fontId="1" fillId="65" borderId="0" applyNumberFormat="0" applyBorder="0" applyAlignment="0" applyProtection="0"/>
    <xf numFmtId="0" fontId="1" fillId="65" borderId="0" applyNumberFormat="0" applyBorder="0" applyAlignment="0" applyProtection="0"/>
    <xf numFmtId="0" fontId="1" fillId="65" borderId="0" applyNumberFormat="0" applyBorder="0" applyAlignment="0" applyProtection="0"/>
    <xf numFmtId="0" fontId="1" fillId="65" borderId="0" applyNumberFormat="0" applyBorder="0" applyAlignment="0" applyProtection="0"/>
    <xf numFmtId="0" fontId="1" fillId="65" borderId="0" applyNumberFormat="0" applyBorder="0" applyAlignment="0" applyProtection="0"/>
    <xf numFmtId="0" fontId="1" fillId="61" borderId="0" applyNumberFormat="0" applyBorder="0" applyAlignment="0" applyProtection="0"/>
    <xf numFmtId="0" fontId="1" fillId="61" borderId="0" applyNumberFormat="0" applyBorder="0" applyAlignment="0" applyProtection="0"/>
    <xf numFmtId="0" fontId="1" fillId="61" borderId="0" applyNumberFormat="0" applyBorder="0" applyAlignment="0" applyProtection="0"/>
    <xf numFmtId="0" fontId="1" fillId="61" borderId="0" applyNumberFormat="0" applyBorder="0" applyAlignment="0" applyProtection="0"/>
    <xf numFmtId="0" fontId="1" fillId="61" borderId="0" applyNumberFormat="0" applyBorder="0" applyAlignment="0" applyProtection="0"/>
    <xf numFmtId="0" fontId="1" fillId="61" borderId="0" applyNumberFormat="0" applyBorder="0" applyAlignment="0" applyProtection="0"/>
    <xf numFmtId="0" fontId="1" fillId="61" borderId="0" applyNumberFormat="0" applyBorder="0" applyAlignment="0" applyProtection="0"/>
    <xf numFmtId="0" fontId="1" fillId="80" borderId="0" applyNumberFormat="0" applyBorder="0" applyAlignment="0" applyProtection="0"/>
    <xf numFmtId="0" fontId="1" fillId="80" borderId="0" applyNumberFormat="0" applyBorder="0" applyAlignment="0" applyProtection="0"/>
    <xf numFmtId="0" fontId="1" fillId="80" borderId="0" applyNumberFormat="0" applyBorder="0" applyAlignment="0" applyProtection="0"/>
    <xf numFmtId="0" fontId="1" fillId="80" borderId="0" applyNumberFormat="0" applyBorder="0" applyAlignment="0" applyProtection="0"/>
    <xf numFmtId="0" fontId="1" fillId="80" borderId="0" applyNumberFormat="0" applyBorder="0" applyAlignment="0" applyProtection="0"/>
    <xf numFmtId="0" fontId="1" fillId="80" borderId="0" applyNumberFormat="0" applyBorder="0" applyAlignment="0" applyProtection="0"/>
    <xf numFmtId="0" fontId="1" fillId="80" borderId="0" applyNumberFormat="0" applyBorder="0" applyAlignment="0" applyProtection="0"/>
    <xf numFmtId="0" fontId="1" fillId="76" borderId="0" applyNumberFormat="0" applyBorder="0" applyAlignment="0" applyProtection="0"/>
    <xf numFmtId="0" fontId="1" fillId="76" borderId="0" applyNumberFormat="0" applyBorder="0" applyAlignment="0" applyProtection="0"/>
    <xf numFmtId="0" fontId="1" fillId="76" borderId="0" applyNumberFormat="0" applyBorder="0" applyAlignment="0" applyProtection="0"/>
    <xf numFmtId="0" fontId="1" fillId="76" borderId="0" applyNumberFormat="0" applyBorder="0" applyAlignment="0" applyProtection="0"/>
    <xf numFmtId="0" fontId="1" fillId="76" borderId="0" applyNumberFormat="0" applyBorder="0" applyAlignment="0" applyProtection="0"/>
    <xf numFmtId="0" fontId="1" fillId="76" borderId="0" applyNumberFormat="0" applyBorder="0" applyAlignment="0" applyProtection="0"/>
    <xf numFmtId="0" fontId="1" fillId="76" borderId="0" applyNumberFormat="0" applyBorder="0" applyAlignment="0" applyProtection="0"/>
    <xf numFmtId="0" fontId="1" fillId="72" borderId="0" applyNumberFormat="0" applyBorder="0" applyAlignment="0" applyProtection="0"/>
    <xf numFmtId="0" fontId="1" fillId="72" borderId="0" applyNumberFormat="0" applyBorder="0" applyAlignment="0" applyProtection="0"/>
    <xf numFmtId="0" fontId="1" fillId="72" borderId="0" applyNumberFormat="0" applyBorder="0" applyAlignment="0" applyProtection="0"/>
    <xf numFmtId="0" fontId="1" fillId="72" borderId="0" applyNumberFormat="0" applyBorder="0" applyAlignment="0" applyProtection="0"/>
    <xf numFmtId="0" fontId="1" fillId="72" borderId="0" applyNumberFormat="0" applyBorder="0" applyAlignment="0" applyProtection="0"/>
    <xf numFmtId="0" fontId="1" fillId="72" borderId="0" applyNumberFormat="0" applyBorder="0" applyAlignment="0" applyProtection="0"/>
    <xf numFmtId="0" fontId="1" fillId="72" borderId="0" applyNumberFormat="0" applyBorder="0" applyAlignment="0" applyProtection="0"/>
    <xf numFmtId="0" fontId="1" fillId="68" borderId="0" applyNumberFormat="0" applyBorder="0" applyAlignment="0" applyProtection="0"/>
    <xf numFmtId="0" fontId="1" fillId="68" borderId="0" applyNumberFormat="0" applyBorder="0" applyAlignment="0" applyProtection="0"/>
    <xf numFmtId="0" fontId="1" fillId="68" borderId="0" applyNumberFormat="0" applyBorder="0" applyAlignment="0" applyProtection="0"/>
    <xf numFmtId="0" fontId="1" fillId="68" borderId="0" applyNumberFormat="0" applyBorder="0" applyAlignment="0" applyProtection="0"/>
    <xf numFmtId="0" fontId="1" fillId="68" borderId="0" applyNumberFormat="0" applyBorder="0" applyAlignment="0" applyProtection="0"/>
    <xf numFmtId="0" fontId="1" fillId="68" borderId="0" applyNumberFormat="0" applyBorder="0" applyAlignment="0" applyProtection="0"/>
    <xf numFmtId="0" fontId="1" fillId="68" borderId="0" applyNumberFormat="0" applyBorder="0" applyAlignment="0" applyProtection="0"/>
    <xf numFmtId="0" fontId="1" fillId="68" borderId="0" applyNumberFormat="0" applyBorder="0" applyAlignment="0" applyProtection="0"/>
    <xf numFmtId="0" fontId="1" fillId="64" borderId="0" applyNumberFormat="0" applyBorder="0" applyAlignment="0" applyProtection="0"/>
    <xf numFmtId="0" fontId="1" fillId="64" borderId="0" applyNumberFormat="0" applyBorder="0" applyAlignment="0" applyProtection="0"/>
    <xf numFmtId="0" fontId="1" fillId="64" borderId="0" applyNumberFormat="0" applyBorder="0" applyAlignment="0" applyProtection="0"/>
    <xf numFmtId="0" fontId="1" fillId="64" borderId="0" applyNumberFormat="0" applyBorder="0" applyAlignment="0" applyProtection="0"/>
    <xf numFmtId="0" fontId="1" fillId="64" borderId="0" applyNumberFormat="0" applyBorder="0" applyAlignment="0" applyProtection="0"/>
    <xf numFmtId="0" fontId="1" fillId="60" borderId="0" applyNumberFormat="0" applyBorder="0" applyAlignment="0" applyProtection="0"/>
    <xf numFmtId="0" fontId="1" fillId="60" borderId="0" applyNumberFormat="0" applyBorder="0" applyAlignment="0" applyProtection="0"/>
    <xf numFmtId="0" fontId="1" fillId="60" borderId="0" applyNumberFormat="0" applyBorder="0" applyAlignment="0" applyProtection="0"/>
    <xf numFmtId="0" fontId="1" fillId="60" borderId="0" applyNumberFormat="0" applyBorder="0" applyAlignment="0" applyProtection="0"/>
    <xf numFmtId="0" fontId="1" fillId="60" borderId="0" applyNumberFormat="0" applyBorder="0" applyAlignment="0" applyProtection="0"/>
    <xf numFmtId="0" fontId="1" fillId="69" borderId="0" applyNumberFormat="0" applyBorder="0" applyAlignment="0" applyProtection="0"/>
    <xf numFmtId="0" fontId="1" fillId="69" borderId="0" applyNumberFormat="0" applyBorder="0" applyAlignment="0" applyProtection="0"/>
    <xf numFmtId="0" fontId="1" fillId="69" borderId="0" applyNumberFormat="0" applyBorder="0" applyAlignment="0" applyProtection="0"/>
    <xf numFmtId="0" fontId="1" fillId="69" borderId="0" applyNumberFormat="0" applyBorder="0" applyAlignment="0" applyProtection="0"/>
    <xf numFmtId="0" fontId="1" fillId="69" borderId="0" applyNumberFormat="0" applyBorder="0" applyAlignment="0" applyProtection="0"/>
    <xf numFmtId="0" fontId="1" fillId="73" borderId="0" applyNumberFormat="0" applyBorder="0" applyAlignment="0" applyProtection="0"/>
    <xf numFmtId="0" fontId="1" fillId="73" borderId="0" applyNumberFormat="0" applyBorder="0" applyAlignment="0" applyProtection="0"/>
    <xf numFmtId="0" fontId="1" fillId="73" borderId="0" applyNumberFormat="0" applyBorder="0" applyAlignment="0" applyProtection="0"/>
    <xf numFmtId="0" fontId="1" fillId="73" borderId="0" applyNumberFormat="0" applyBorder="0" applyAlignment="0" applyProtection="0"/>
    <xf numFmtId="0" fontId="1" fillId="73" borderId="0" applyNumberFormat="0" applyBorder="0" applyAlignment="0" applyProtection="0"/>
    <xf numFmtId="0" fontId="1" fillId="73" borderId="0" applyNumberFormat="0" applyBorder="0" applyAlignment="0" applyProtection="0"/>
    <xf numFmtId="0" fontId="1" fillId="73" borderId="0" applyNumberFormat="0" applyBorder="0" applyAlignment="0" applyProtection="0"/>
    <xf numFmtId="0" fontId="1" fillId="77" borderId="0" applyNumberFormat="0" applyBorder="0" applyAlignment="0" applyProtection="0"/>
    <xf numFmtId="0" fontId="1" fillId="77" borderId="0" applyNumberFormat="0" applyBorder="0" applyAlignment="0" applyProtection="0"/>
    <xf numFmtId="0" fontId="1" fillId="77" borderId="0" applyNumberFormat="0" applyBorder="0" applyAlignment="0" applyProtection="0"/>
    <xf numFmtId="0" fontId="1" fillId="77" borderId="0" applyNumberFormat="0" applyBorder="0" applyAlignment="0" applyProtection="0"/>
    <xf numFmtId="0" fontId="1" fillId="77" borderId="0" applyNumberFormat="0" applyBorder="0" applyAlignment="0" applyProtection="0"/>
    <xf numFmtId="0" fontId="1" fillId="77" borderId="0" applyNumberFormat="0" applyBorder="0" applyAlignment="0" applyProtection="0"/>
    <xf numFmtId="0" fontId="1" fillId="77" borderId="0" applyNumberFormat="0" applyBorder="0" applyAlignment="0" applyProtection="0"/>
    <xf numFmtId="0" fontId="1" fillId="81" borderId="0" applyNumberFormat="0" applyBorder="0" applyAlignment="0" applyProtection="0"/>
    <xf numFmtId="0" fontId="1" fillId="81" borderId="0" applyNumberFormat="0" applyBorder="0" applyAlignment="0" applyProtection="0"/>
    <xf numFmtId="0" fontId="1" fillId="81" borderId="0" applyNumberFormat="0" applyBorder="0" applyAlignment="0" applyProtection="0"/>
    <xf numFmtId="0" fontId="1" fillId="81" borderId="0" applyNumberFormat="0" applyBorder="0" applyAlignment="0" applyProtection="0"/>
    <xf numFmtId="0" fontId="1" fillId="81" borderId="0" applyNumberFormat="0" applyBorder="0" applyAlignment="0" applyProtection="0"/>
    <xf numFmtId="0" fontId="1" fillId="81" borderId="0" applyNumberFormat="0" applyBorder="0" applyAlignment="0" applyProtection="0"/>
    <xf numFmtId="0" fontId="1" fillId="81" borderId="0" applyNumberFormat="0" applyBorder="0" applyAlignment="0" applyProtection="0"/>
    <xf numFmtId="0" fontId="1" fillId="58" borderId="104" applyNumberFormat="0" applyFont="0" applyAlignment="0" applyProtection="0"/>
    <xf numFmtId="0" fontId="1" fillId="58" borderId="104" applyNumberFormat="0" applyFont="0" applyAlignment="0" applyProtection="0"/>
    <xf numFmtId="0" fontId="1" fillId="58" borderId="104" applyNumberFormat="0" applyFont="0" applyAlignment="0" applyProtection="0"/>
    <xf numFmtId="0" fontId="1" fillId="58" borderId="104" applyNumberFormat="0" applyFont="0" applyAlignment="0" applyProtection="0"/>
    <xf numFmtId="0" fontId="1" fillId="58" borderId="104" applyNumberFormat="0" applyFont="0" applyAlignment="0" applyProtection="0"/>
    <xf numFmtId="0" fontId="1" fillId="58" borderId="104" applyNumberFormat="0" applyFont="0" applyAlignment="0" applyProtection="0"/>
    <xf numFmtId="0" fontId="1" fillId="58" borderId="104" applyNumberFormat="0" applyFont="0" applyAlignment="0" applyProtection="0"/>
    <xf numFmtId="0" fontId="1" fillId="58" borderId="104" applyNumberFormat="0" applyFont="0" applyAlignment="0" applyProtection="0"/>
    <xf numFmtId="0" fontId="1" fillId="58" borderId="104" applyNumberFormat="0" applyFont="0" applyAlignment="0" applyProtection="0"/>
    <xf numFmtId="0" fontId="1" fillId="58" borderId="104" applyNumberFormat="0" applyFont="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0" fontId="112" fillId="0" borderId="0"/>
    <xf numFmtId="0" fontId="120" fillId="0" borderId="0" applyNumberFormat="0" applyFill="0" applyBorder="0" applyAlignment="0" applyProtection="0">
      <alignment vertical="top"/>
      <protection locked="0"/>
    </xf>
    <xf numFmtId="9" fontId="112" fillId="0" borderId="0" applyFont="0" applyFill="0" applyBorder="0" applyAlignment="0" applyProtection="0"/>
    <xf numFmtId="0" fontId="112" fillId="0" borderId="0"/>
    <xf numFmtId="0" fontId="112" fillId="0" borderId="0"/>
    <xf numFmtId="0" fontId="112" fillId="0" borderId="0"/>
    <xf numFmtId="0" fontId="112" fillId="0" borderId="0"/>
    <xf numFmtId="0" fontId="112" fillId="0" borderId="0"/>
    <xf numFmtId="0" fontId="112" fillId="0" borderId="0"/>
    <xf numFmtId="0" fontId="112" fillId="0" borderId="0"/>
    <xf numFmtId="0" fontId="112" fillId="0" borderId="0"/>
    <xf numFmtId="0" fontId="1" fillId="0" borderId="0"/>
    <xf numFmtId="41" fontId="19" fillId="0" borderId="0" applyFont="0" applyFill="0" applyBorder="0" applyAlignment="0" applyProtection="0"/>
    <xf numFmtId="41" fontId="19" fillId="0" borderId="0" applyFont="0" applyFill="0" applyBorder="0" applyAlignment="0" applyProtection="0"/>
    <xf numFmtId="41" fontId="19" fillId="0" borderId="0" applyFont="0" applyFill="0" applyBorder="0" applyAlignment="0" applyProtection="0"/>
    <xf numFmtId="41" fontId="19" fillId="0" borderId="0" applyFont="0" applyFill="0" applyBorder="0" applyAlignment="0" applyProtection="0"/>
    <xf numFmtId="41" fontId="19" fillId="0" borderId="0" applyFont="0" applyFill="0" applyBorder="0" applyAlignment="0" applyProtection="0"/>
    <xf numFmtId="41" fontId="19" fillId="0" borderId="0" applyFont="0" applyFill="0" applyBorder="0" applyAlignment="0" applyProtection="0"/>
    <xf numFmtId="41" fontId="19" fillId="0" borderId="0" applyFont="0" applyFill="0" applyBorder="0" applyAlignment="0" applyProtection="0"/>
    <xf numFmtId="41" fontId="19" fillId="0" borderId="0" applyFont="0" applyFill="0" applyBorder="0" applyAlignment="0" applyProtection="0"/>
    <xf numFmtId="41" fontId="19" fillId="0" borderId="0" applyFont="0" applyFill="0" applyBorder="0" applyAlignment="0" applyProtection="0"/>
    <xf numFmtId="41" fontId="19" fillId="0" borderId="0" applyFont="0" applyFill="0" applyBorder="0" applyAlignment="0" applyProtection="0"/>
    <xf numFmtId="41" fontId="19" fillId="0" borderId="0" applyFont="0" applyFill="0" applyBorder="0" applyAlignment="0" applyProtection="0"/>
    <xf numFmtId="41" fontId="19" fillId="0" borderId="0" applyFont="0" applyFill="0" applyBorder="0" applyAlignment="0" applyProtection="0"/>
    <xf numFmtId="41" fontId="19" fillId="0" borderId="0" applyFont="0" applyFill="0" applyBorder="0" applyAlignment="0" applyProtection="0"/>
    <xf numFmtId="41" fontId="19" fillId="0" borderId="0" applyFont="0" applyFill="0" applyBorder="0" applyAlignment="0" applyProtection="0"/>
    <xf numFmtId="41" fontId="19" fillId="0" borderId="0" applyFont="0" applyFill="0" applyBorder="0" applyAlignment="0" applyProtection="0"/>
    <xf numFmtId="41" fontId="19" fillId="0" borderId="0" applyFont="0" applyFill="0" applyBorder="0" applyAlignment="0" applyProtection="0"/>
    <xf numFmtId="41" fontId="19" fillId="0" borderId="0" applyFont="0" applyFill="0" applyBorder="0" applyAlignment="0" applyProtection="0"/>
    <xf numFmtId="41" fontId="19" fillId="0" borderId="0" applyFont="0" applyFill="0" applyBorder="0" applyAlignment="0" applyProtection="0"/>
    <xf numFmtId="41" fontId="19" fillId="0" borderId="0" applyFont="0" applyFill="0" applyBorder="0" applyAlignment="0" applyProtection="0"/>
    <xf numFmtId="41" fontId="19" fillId="0" borderId="0" applyFont="0" applyFill="0" applyBorder="0" applyAlignment="0" applyProtection="0"/>
    <xf numFmtId="41" fontId="19" fillId="0" borderId="0" applyFont="0" applyFill="0" applyBorder="0" applyAlignment="0" applyProtection="0"/>
    <xf numFmtId="41" fontId="19" fillId="0" borderId="0" applyFont="0" applyFill="0" applyBorder="0" applyAlignment="0" applyProtection="0"/>
    <xf numFmtId="41" fontId="19" fillId="0" borderId="0" applyFont="0" applyFill="0" applyBorder="0" applyAlignment="0" applyProtection="0"/>
    <xf numFmtId="41" fontId="19" fillId="0" borderId="0" applyFont="0" applyFill="0" applyBorder="0" applyAlignment="0" applyProtection="0"/>
    <xf numFmtId="41" fontId="19" fillId="0" borderId="0" applyFont="0" applyFill="0" applyBorder="0" applyAlignment="0" applyProtection="0"/>
    <xf numFmtId="41" fontId="19" fillId="0" borderId="0" applyFont="0" applyFill="0" applyBorder="0" applyAlignment="0" applyProtection="0"/>
    <xf numFmtId="41" fontId="19" fillId="0" borderId="0" applyFont="0" applyFill="0" applyBorder="0" applyAlignment="0" applyProtection="0"/>
    <xf numFmtId="41" fontId="19" fillId="0" borderId="0" applyFont="0" applyFill="0" applyBorder="0" applyAlignment="0" applyProtection="0"/>
    <xf numFmtId="41" fontId="19" fillId="0" borderId="0" applyFont="0" applyFill="0" applyBorder="0" applyAlignment="0" applyProtection="0"/>
    <xf numFmtId="41" fontId="19" fillId="0" borderId="0" applyFont="0" applyFill="0" applyBorder="0" applyAlignment="0" applyProtection="0"/>
    <xf numFmtId="41" fontId="19" fillId="0" borderId="0" applyFont="0" applyFill="0" applyBorder="0" applyAlignment="0" applyProtection="0"/>
    <xf numFmtId="41" fontId="19" fillId="0" borderId="0" applyFont="0" applyFill="0" applyBorder="0" applyAlignment="0" applyProtection="0"/>
    <xf numFmtId="41" fontId="19" fillId="0" borderId="0" applyFont="0" applyFill="0" applyBorder="0" applyAlignment="0" applyProtection="0"/>
    <xf numFmtId="41" fontId="19" fillId="0" borderId="0" applyFont="0" applyFill="0" applyBorder="0" applyAlignment="0" applyProtection="0"/>
    <xf numFmtId="41" fontId="19" fillId="0" borderId="0" applyFont="0" applyFill="0" applyBorder="0" applyAlignment="0" applyProtection="0"/>
    <xf numFmtId="41" fontId="19" fillId="0" borderId="0" applyFont="0" applyFill="0" applyBorder="0" applyAlignment="0" applyProtection="0"/>
    <xf numFmtId="41" fontId="19" fillId="0" borderId="0" applyFont="0" applyFill="0" applyBorder="0" applyAlignment="0" applyProtection="0"/>
    <xf numFmtId="41" fontId="19" fillId="0" borderId="0" applyFont="0" applyFill="0" applyBorder="0" applyAlignment="0" applyProtection="0"/>
    <xf numFmtId="41" fontId="19" fillId="0" borderId="0" applyFont="0" applyFill="0" applyBorder="0" applyAlignment="0" applyProtection="0"/>
    <xf numFmtId="41" fontId="19" fillId="0" borderId="0" applyFont="0" applyFill="0" applyBorder="0" applyAlignment="0" applyProtection="0"/>
    <xf numFmtId="41" fontId="19" fillId="0" borderId="0" applyFont="0" applyFill="0" applyBorder="0" applyAlignment="0" applyProtection="0"/>
    <xf numFmtId="41" fontId="19" fillId="0" borderId="0" applyFont="0" applyFill="0" applyBorder="0" applyAlignment="0" applyProtection="0"/>
    <xf numFmtId="41" fontId="19" fillId="0" borderId="0" applyFont="0" applyFill="0" applyBorder="0" applyAlignment="0" applyProtection="0"/>
    <xf numFmtId="41" fontId="19" fillId="0" borderId="0" applyFont="0" applyFill="0" applyBorder="0" applyAlignment="0" applyProtection="0"/>
    <xf numFmtId="41" fontId="19" fillId="0" borderId="0" applyFont="0" applyFill="0" applyBorder="0" applyAlignment="0" applyProtection="0"/>
    <xf numFmtId="41" fontId="19" fillId="0" borderId="0" applyFont="0" applyFill="0" applyBorder="0" applyAlignment="0" applyProtection="0"/>
    <xf numFmtId="41" fontId="19" fillId="0" borderId="0" applyFont="0" applyFill="0" applyBorder="0" applyAlignment="0" applyProtection="0"/>
    <xf numFmtId="41" fontId="19" fillId="0" borderId="0" applyFont="0" applyFill="0" applyBorder="0" applyAlignment="0" applyProtection="0"/>
    <xf numFmtId="41" fontId="19" fillId="0" borderId="0" applyFont="0" applyFill="0" applyBorder="0" applyAlignment="0" applyProtection="0"/>
    <xf numFmtId="41" fontId="19" fillId="0" borderId="0" applyFont="0" applyFill="0" applyBorder="0" applyAlignment="0" applyProtection="0"/>
    <xf numFmtId="41" fontId="19" fillId="0" borderId="0" applyFont="0" applyFill="0" applyBorder="0" applyAlignment="0" applyProtection="0"/>
    <xf numFmtId="41" fontId="19" fillId="0" borderId="0" applyFont="0" applyFill="0" applyBorder="0" applyAlignment="0" applyProtection="0"/>
    <xf numFmtId="41" fontId="19" fillId="0" borderId="0" applyFont="0" applyFill="0" applyBorder="0" applyAlignment="0" applyProtection="0"/>
    <xf numFmtId="41" fontId="19" fillId="0" borderId="0" applyFont="0" applyFill="0" applyBorder="0" applyAlignment="0" applyProtection="0"/>
    <xf numFmtId="41" fontId="19" fillId="0" borderId="0" applyFont="0" applyFill="0" applyBorder="0" applyAlignment="0" applyProtection="0"/>
    <xf numFmtId="41" fontId="19" fillId="0" borderId="0" applyFont="0" applyFill="0" applyBorder="0" applyAlignment="0" applyProtection="0"/>
    <xf numFmtId="41" fontId="19" fillId="0" borderId="0" applyFont="0" applyFill="0" applyBorder="0" applyAlignment="0" applyProtection="0"/>
    <xf numFmtId="41" fontId="19"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9" fontId="1" fillId="0" borderId="0" applyFont="0" applyFill="0" applyBorder="0" applyAlignment="0" applyProtection="0"/>
    <xf numFmtId="43" fontId="1" fillId="0" borderId="0" applyFont="0" applyFill="0" applyBorder="0" applyAlignment="0" applyProtection="0"/>
    <xf numFmtId="165" fontId="1" fillId="0" borderId="0" applyFont="0" applyFill="0" applyBorder="0" applyAlignment="0" applyProtection="0"/>
    <xf numFmtId="43" fontId="1" fillId="0" borderId="0" applyFont="0" applyFill="0" applyBorder="0" applyAlignment="0" applyProtection="0"/>
    <xf numFmtId="165" fontId="45"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9" fontId="10" fillId="0" borderId="0" applyFont="0" applyFill="0" applyBorder="0" applyAlignment="0" applyProtection="0"/>
    <xf numFmtId="0" fontId="10" fillId="0" borderId="0"/>
    <xf numFmtId="165" fontId="38"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165" fontId="10"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73" fontId="10" fillId="0" borderId="0" applyFont="0" applyFill="0" applyBorder="0" applyAlignment="0" applyProtection="0"/>
    <xf numFmtId="165"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165" fontId="1" fillId="0" borderId="0" applyFont="0" applyFill="0" applyBorder="0" applyAlignment="0" applyProtection="0"/>
    <xf numFmtId="43" fontId="10" fillId="0" borderId="0" applyFont="0" applyFill="0" applyBorder="0" applyAlignment="0" applyProtection="0"/>
    <xf numFmtId="43" fontId="38"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38" fillId="0" borderId="0" applyFont="0" applyFill="0" applyBorder="0" applyAlignment="0" applyProtection="0"/>
    <xf numFmtId="43" fontId="10" fillId="0" borderId="0" applyFont="0" applyFill="0" applyBorder="0" applyAlignment="0" applyProtection="0"/>
    <xf numFmtId="43" fontId="38"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38" fillId="0" borderId="0" applyFont="0" applyFill="0" applyBorder="0" applyAlignment="0" applyProtection="0"/>
    <xf numFmtId="43" fontId="10" fillId="0" borderId="0" applyFont="0" applyFill="0" applyBorder="0" applyAlignment="0" applyProtection="0"/>
    <xf numFmtId="43" fontId="38"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38" fillId="0" borderId="0" applyFont="0" applyFill="0" applyBorder="0" applyAlignment="0" applyProtection="0"/>
    <xf numFmtId="43" fontId="10" fillId="0" borderId="0" applyFont="0" applyFill="0" applyBorder="0" applyAlignment="0" applyProtection="0"/>
    <xf numFmtId="43" fontId="38"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38" fillId="0" borderId="0" applyFont="0" applyFill="0" applyBorder="0" applyAlignment="0" applyProtection="0"/>
    <xf numFmtId="43" fontId="10" fillId="0" borderId="0" applyFont="0" applyFill="0" applyBorder="0" applyAlignment="0" applyProtection="0"/>
    <xf numFmtId="43" fontId="38"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38" fillId="0" borderId="0" applyFont="0" applyFill="0" applyBorder="0" applyAlignment="0" applyProtection="0"/>
    <xf numFmtId="43" fontId="10" fillId="0" borderId="0" applyFont="0" applyFill="0" applyBorder="0" applyAlignment="0" applyProtection="0"/>
    <xf numFmtId="43" fontId="38"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38" fillId="0" borderId="0" applyFont="0" applyFill="0" applyBorder="0" applyAlignment="0" applyProtection="0"/>
    <xf numFmtId="43" fontId="10" fillId="0" borderId="0" applyFont="0" applyFill="0" applyBorder="0" applyAlignment="0" applyProtection="0"/>
    <xf numFmtId="43" fontId="38"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38" fillId="0" borderId="0" applyFont="0" applyFill="0" applyBorder="0" applyAlignment="0" applyProtection="0"/>
    <xf numFmtId="43" fontId="10" fillId="0" borderId="0" applyFont="0" applyFill="0" applyBorder="0" applyAlignment="0" applyProtection="0"/>
    <xf numFmtId="43" fontId="38"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38" fillId="0" borderId="0" applyFont="0" applyFill="0" applyBorder="0" applyAlignment="0" applyProtection="0"/>
    <xf numFmtId="43" fontId="10" fillId="0" borderId="0" applyFont="0" applyFill="0" applyBorder="0" applyAlignment="0" applyProtection="0"/>
    <xf numFmtId="43" fontId="38"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38" fillId="0" borderId="0" applyFont="0" applyFill="0" applyBorder="0" applyAlignment="0" applyProtection="0"/>
    <xf numFmtId="43" fontId="10" fillId="0" borderId="0" applyFont="0" applyFill="0" applyBorder="0" applyAlignment="0" applyProtection="0"/>
    <xf numFmtId="43" fontId="38"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38" fillId="0" borderId="0" applyFont="0" applyFill="0" applyBorder="0" applyAlignment="0" applyProtection="0"/>
    <xf numFmtId="43" fontId="10" fillId="0" borderId="0" applyFont="0" applyFill="0" applyBorder="0" applyAlignment="0" applyProtection="0"/>
    <xf numFmtId="43" fontId="38"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38" fillId="0" borderId="0" applyFont="0" applyFill="0" applyBorder="0" applyAlignment="0" applyProtection="0"/>
    <xf numFmtId="43" fontId="10" fillId="0" borderId="0" applyFont="0" applyFill="0" applyBorder="0" applyAlignment="0" applyProtection="0"/>
    <xf numFmtId="43" fontId="38"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38" fillId="0" borderId="0" applyFont="0" applyFill="0" applyBorder="0" applyAlignment="0" applyProtection="0"/>
    <xf numFmtId="43" fontId="10" fillId="0" borderId="0" applyFont="0" applyFill="0" applyBorder="0" applyAlignment="0" applyProtection="0"/>
    <xf numFmtId="43" fontId="38"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38" fillId="0" borderId="0" applyFont="0" applyFill="0" applyBorder="0" applyAlignment="0" applyProtection="0"/>
    <xf numFmtId="43" fontId="10" fillId="0" borderId="0" applyFont="0" applyFill="0" applyBorder="0" applyAlignment="0" applyProtection="0"/>
    <xf numFmtId="43" fontId="38"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38" fillId="0" borderId="0" applyFont="0" applyFill="0" applyBorder="0" applyAlignment="0" applyProtection="0"/>
    <xf numFmtId="43" fontId="10" fillId="0" borderId="0" applyFont="0" applyFill="0" applyBorder="0" applyAlignment="0" applyProtection="0"/>
    <xf numFmtId="43" fontId="38"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38" fillId="0" borderId="0" applyFont="0" applyFill="0" applyBorder="0" applyAlignment="0" applyProtection="0"/>
    <xf numFmtId="43" fontId="10" fillId="0" borderId="0" applyFont="0" applyFill="0" applyBorder="0" applyAlignment="0" applyProtection="0"/>
    <xf numFmtId="43" fontId="38"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38" fillId="0" borderId="0" applyFont="0" applyFill="0" applyBorder="0" applyAlignment="0" applyProtection="0"/>
    <xf numFmtId="43" fontId="10" fillId="0" borderId="0" applyFont="0" applyFill="0" applyBorder="0" applyAlignment="0" applyProtection="0"/>
    <xf numFmtId="43" fontId="38"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38" fillId="0" borderId="0" applyFont="0" applyFill="0" applyBorder="0" applyAlignment="0" applyProtection="0"/>
    <xf numFmtId="43" fontId="10" fillId="0" borderId="0" applyFont="0" applyFill="0" applyBorder="0" applyAlignment="0" applyProtection="0"/>
    <xf numFmtId="43" fontId="38"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38" fillId="0" borderId="0" applyFont="0" applyFill="0" applyBorder="0" applyAlignment="0" applyProtection="0"/>
    <xf numFmtId="43" fontId="10" fillId="0" borderId="0" applyFont="0" applyFill="0" applyBorder="0" applyAlignment="0" applyProtection="0"/>
    <xf numFmtId="43" fontId="38"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38" fillId="0" borderId="0" applyFont="0" applyFill="0" applyBorder="0" applyAlignment="0" applyProtection="0"/>
    <xf numFmtId="43" fontId="10" fillId="0" borderId="0" applyFont="0" applyFill="0" applyBorder="0" applyAlignment="0" applyProtection="0"/>
    <xf numFmtId="43" fontId="38"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38" fillId="0" borderId="0" applyFont="0" applyFill="0" applyBorder="0" applyAlignment="0" applyProtection="0"/>
    <xf numFmtId="43" fontId="10" fillId="0" borderId="0" applyFont="0" applyFill="0" applyBorder="0" applyAlignment="0" applyProtection="0"/>
    <xf numFmtId="43" fontId="38"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38" fillId="0" borderId="0" applyFont="0" applyFill="0" applyBorder="0" applyAlignment="0" applyProtection="0"/>
    <xf numFmtId="43" fontId="10" fillId="0" borderId="0" applyFont="0" applyFill="0" applyBorder="0" applyAlignment="0" applyProtection="0"/>
    <xf numFmtId="43" fontId="38"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38" fillId="0" borderId="0" applyFont="0" applyFill="0" applyBorder="0" applyAlignment="0" applyProtection="0"/>
    <xf numFmtId="43" fontId="10" fillId="0" borderId="0" applyFont="0" applyFill="0" applyBorder="0" applyAlignment="0" applyProtection="0"/>
    <xf numFmtId="43" fontId="38"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38" fillId="0" borderId="0" applyFont="0" applyFill="0" applyBorder="0" applyAlignment="0" applyProtection="0"/>
    <xf numFmtId="43" fontId="10" fillId="0" borderId="0" applyFont="0" applyFill="0" applyBorder="0" applyAlignment="0" applyProtection="0"/>
    <xf numFmtId="43" fontId="38"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38" fillId="0" borderId="0" applyFont="0" applyFill="0" applyBorder="0" applyAlignment="0" applyProtection="0"/>
    <xf numFmtId="43" fontId="10" fillId="0" borderId="0" applyFont="0" applyFill="0" applyBorder="0" applyAlignment="0" applyProtection="0"/>
    <xf numFmtId="43" fontId="38"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38" fillId="0" borderId="0" applyFont="0" applyFill="0" applyBorder="0" applyAlignment="0" applyProtection="0"/>
    <xf numFmtId="43" fontId="10" fillId="0" borderId="0" applyFont="0" applyFill="0" applyBorder="0" applyAlignment="0" applyProtection="0"/>
    <xf numFmtId="43" fontId="38"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38" fillId="0" borderId="0" applyFont="0" applyFill="0" applyBorder="0" applyAlignment="0" applyProtection="0"/>
    <xf numFmtId="43" fontId="10" fillId="0" borderId="0" applyFont="0" applyFill="0" applyBorder="0" applyAlignment="0" applyProtection="0"/>
    <xf numFmtId="43" fontId="38"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38" fillId="0" borderId="0" applyFont="0" applyFill="0" applyBorder="0" applyAlignment="0" applyProtection="0"/>
    <xf numFmtId="43" fontId="10" fillId="0" borderId="0" applyFont="0" applyFill="0" applyBorder="0" applyAlignment="0" applyProtection="0"/>
    <xf numFmtId="43" fontId="38"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38" fillId="0" borderId="0" applyFont="0" applyFill="0" applyBorder="0" applyAlignment="0" applyProtection="0"/>
    <xf numFmtId="43" fontId="10" fillId="0" borderId="0" applyFont="0" applyFill="0" applyBorder="0" applyAlignment="0" applyProtection="0"/>
    <xf numFmtId="43" fontId="38"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38" fillId="0" borderId="0" applyFont="0" applyFill="0" applyBorder="0" applyAlignment="0" applyProtection="0"/>
    <xf numFmtId="43" fontId="10" fillId="0" borderId="0" applyFont="0" applyFill="0" applyBorder="0" applyAlignment="0" applyProtection="0"/>
    <xf numFmtId="43" fontId="38"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38" fillId="0" borderId="0" applyFont="0" applyFill="0" applyBorder="0" applyAlignment="0" applyProtection="0"/>
    <xf numFmtId="43" fontId="10" fillId="0" borderId="0" applyFont="0" applyFill="0" applyBorder="0" applyAlignment="0" applyProtection="0"/>
    <xf numFmtId="43" fontId="38"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38" fillId="0" borderId="0" applyFont="0" applyFill="0" applyBorder="0" applyAlignment="0" applyProtection="0"/>
    <xf numFmtId="43" fontId="10" fillId="0" borderId="0" applyFont="0" applyFill="0" applyBorder="0" applyAlignment="0" applyProtection="0"/>
    <xf numFmtId="43" fontId="38"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38" fillId="0" borderId="0" applyFont="0" applyFill="0" applyBorder="0" applyAlignment="0" applyProtection="0"/>
    <xf numFmtId="43" fontId="10" fillId="0" borderId="0" applyFont="0" applyFill="0" applyBorder="0" applyAlignment="0" applyProtection="0"/>
    <xf numFmtId="43" fontId="38"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38" fillId="0" borderId="0" applyFont="0" applyFill="0" applyBorder="0" applyAlignment="0" applyProtection="0"/>
    <xf numFmtId="43" fontId="10" fillId="0" borderId="0" applyFont="0" applyFill="0" applyBorder="0" applyAlignment="0" applyProtection="0"/>
    <xf numFmtId="43" fontId="38"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38" fillId="0" borderId="0" applyFont="0" applyFill="0" applyBorder="0" applyAlignment="0" applyProtection="0"/>
    <xf numFmtId="43" fontId="10" fillId="0" borderId="0" applyFont="0" applyFill="0" applyBorder="0" applyAlignment="0" applyProtection="0"/>
    <xf numFmtId="43" fontId="38"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38" fillId="0" borderId="0" applyFont="0" applyFill="0" applyBorder="0" applyAlignment="0" applyProtection="0"/>
    <xf numFmtId="43" fontId="10" fillId="0" borderId="0" applyFont="0" applyFill="0" applyBorder="0" applyAlignment="0" applyProtection="0"/>
    <xf numFmtId="43" fontId="38"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38" fillId="0" borderId="0" applyFont="0" applyFill="0" applyBorder="0" applyAlignment="0" applyProtection="0"/>
    <xf numFmtId="43" fontId="10" fillId="0" borderId="0" applyFont="0" applyFill="0" applyBorder="0" applyAlignment="0" applyProtection="0"/>
    <xf numFmtId="43" fontId="38"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38" fillId="0" borderId="0" applyFont="0" applyFill="0" applyBorder="0" applyAlignment="0" applyProtection="0"/>
    <xf numFmtId="43" fontId="10" fillId="0" borderId="0" applyFont="0" applyFill="0" applyBorder="0" applyAlignment="0" applyProtection="0"/>
    <xf numFmtId="43" fontId="38"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38" fillId="0" borderId="0" applyFont="0" applyFill="0" applyBorder="0" applyAlignment="0" applyProtection="0"/>
    <xf numFmtId="43" fontId="10" fillId="0" borderId="0" applyFont="0" applyFill="0" applyBorder="0" applyAlignment="0" applyProtection="0"/>
    <xf numFmtId="43" fontId="38"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38" fillId="0" borderId="0" applyFont="0" applyFill="0" applyBorder="0" applyAlignment="0" applyProtection="0"/>
    <xf numFmtId="43" fontId="10" fillId="0" borderId="0" applyFont="0" applyFill="0" applyBorder="0" applyAlignment="0" applyProtection="0"/>
    <xf numFmtId="43" fontId="38"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38" fillId="0" borderId="0" applyFont="0" applyFill="0" applyBorder="0" applyAlignment="0" applyProtection="0"/>
    <xf numFmtId="43" fontId="10" fillId="0" borderId="0" applyFont="0" applyFill="0" applyBorder="0" applyAlignment="0" applyProtection="0"/>
    <xf numFmtId="43" fontId="38"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38" fillId="0" borderId="0" applyFont="0" applyFill="0" applyBorder="0" applyAlignment="0" applyProtection="0"/>
    <xf numFmtId="43" fontId="10" fillId="0" borderId="0" applyFont="0" applyFill="0" applyBorder="0" applyAlignment="0" applyProtection="0"/>
    <xf numFmtId="43" fontId="38"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38" fillId="0" borderId="0" applyFont="0" applyFill="0" applyBorder="0" applyAlignment="0" applyProtection="0"/>
    <xf numFmtId="43" fontId="10" fillId="0" borderId="0" applyFont="0" applyFill="0" applyBorder="0" applyAlignment="0" applyProtection="0"/>
    <xf numFmtId="43" fontId="38"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38" fillId="0" borderId="0" applyFont="0" applyFill="0" applyBorder="0" applyAlignment="0" applyProtection="0"/>
    <xf numFmtId="43" fontId="10" fillId="0" borderId="0" applyFont="0" applyFill="0" applyBorder="0" applyAlignment="0" applyProtection="0"/>
    <xf numFmtId="43" fontId="38"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38" fillId="0" borderId="0" applyFont="0" applyFill="0" applyBorder="0" applyAlignment="0" applyProtection="0"/>
    <xf numFmtId="43" fontId="10" fillId="0" borderId="0" applyFont="0" applyFill="0" applyBorder="0" applyAlignment="0" applyProtection="0"/>
    <xf numFmtId="43" fontId="38"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38" fillId="0" borderId="0" applyFont="0" applyFill="0" applyBorder="0" applyAlignment="0" applyProtection="0"/>
    <xf numFmtId="43" fontId="10" fillId="0" borderId="0" applyFont="0" applyFill="0" applyBorder="0" applyAlignment="0" applyProtection="0"/>
    <xf numFmtId="43" fontId="38"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38" fillId="0" borderId="0" applyFont="0" applyFill="0" applyBorder="0" applyAlignment="0" applyProtection="0"/>
    <xf numFmtId="43" fontId="10" fillId="0" borderId="0" applyFont="0" applyFill="0" applyBorder="0" applyAlignment="0" applyProtection="0"/>
    <xf numFmtId="43" fontId="38"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38" fillId="0" borderId="0" applyFont="0" applyFill="0" applyBorder="0" applyAlignment="0" applyProtection="0"/>
    <xf numFmtId="43" fontId="10" fillId="0" borderId="0" applyFont="0" applyFill="0" applyBorder="0" applyAlignment="0" applyProtection="0"/>
    <xf numFmtId="43" fontId="38"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38" fillId="0" borderId="0" applyFont="0" applyFill="0" applyBorder="0" applyAlignment="0" applyProtection="0"/>
    <xf numFmtId="43" fontId="10" fillId="0" borderId="0" applyFont="0" applyFill="0" applyBorder="0" applyAlignment="0" applyProtection="0"/>
    <xf numFmtId="43" fontId="38"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38" fillId="0" borderId="0" applyFont="0" applyFill="0" applyBorder="0" applyAlignment="0" applyProtection="0"/>
    <xf numFmtId="43" fontId="10" fillId="0" borderId="0" applyFont="0" applyFill="0" applyBorder="0" applyAlignment="0" applyProtection="0"/>
    <xf numFmtId="43" fontId="38"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38" fillId="0" borderId="0" applyFont="0" applyFill="0" applyBorder="0" applyAlignment="0" applyProtection="0"/>
    <xf numFmtId="43" fontId="10" fillId="0" borderId="0" applyFont="0" applyFill="0" applyBorder="0" applyAlignment="0" applyProtection="0"/>
    <xf numFmtId="43" fontId="38"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38" fillId="0" borderId="0" applyFont="0" applyFill="0" applyBorder="0" applyAlignment="0" applyProtection="0"/>
    <xf numFmtId="43" fontId="10" fillId="0" borderId="0" applyFont="0" applyFill="0" applyBorder="0" applyAlignment="0" applyProtection="0"/>
    <xf numFmtId="43" fontId="38"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38" fillId="0" borderId="0" applyFont="0" applyFill="0" applyBorder="0" applyAlignment="0" applyProtection="0"/>
    <xf numFmtId="43" fontId="10" fillId="0" borderId="0" applyFont="0" applyFill="0" applyBorder="0" applyAlignment="0" applyProtection="0"/>
    <xf numFmtId="43" fontId="38"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38" fillId="0" borderId="0" applyFont="0" applyFill="0" applyBorder="0" applyAlignment="0" applyProtection="0"/>
    <xf numFmtId="43" fontId="10" fillId="0" borderId="0" applyFont="0" applyFill="0" applyBorder="0" applyAlignment="0" applyProtection="0"/>
    <xf numFmtId="43" fontId="38"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38" fillId="0" borderId="0" applyFont="0" applyFill="0" applyBorder="0" applyAlignment="0" applyProtection="0"/>
    <xf numFmtId="43" fontId="10" fillId="0" borderId="0" applyFont="0" applyFill="0" applyBorder="0" applyAlignment="0" applyProtection="0"/>
    <xf numFmtId="43" fontId="38"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38" fillId="0" borderId="0" applyFont="0" applyFill="0" applyBorder="0" applyAlignment="0" applyProtection="0"/>
    <xf numFmtId="43" fontId="10" fillId="0" borderId="0" applyFont="0" applyFill="0" applyBorder="0" applyAlignment="0" applyProtection="0"/>
    <xf numFmtId="43" fontId="38"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38" fillId="0" borderId="0" applyFont="0" applyFill="0" applyBorder="0" applyAlignment="0" applyProtection="0"/>
    <xf numFmtId="43" fontId="10" fillId="0" borderId="0" applyFont="0" applyFill="0" applyBorder="0" applyAlignment="0" applyProtection="0"/>
    <xf numFmtId="43" fontId="38"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38" fillId="0" borderId="0" applyFont="0" applyFill="0" applyBorder="0" applyAlignment="0" applyProtection="0"/>
    <xf numFmtId="43" fontId="10" fillId="0" borderId="0" applyFont="0" applyFill="0" applyBorder="0" applyAlignment="0" applyProtection="0"/>
    <xf numFmtId="43" fontId="38"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38" fillId="0" borderId="0" applyFont="0" applyFill="0" applyBorder="0" applyAlignment="0" applyProtection="0"/>
    <xf numFmtId="43" fontId="10" fillId="0" borderId="0" applyFont="0" applyFill="0" applyBorder="0" applyAlignment="0" applyProtection="0"/>
    <xf numFmtId="43" fontId="38"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38" fillId="0" borderId="0" applyFont="0" applyFill="0" applyBorder="0" applyAlignment="0" applyProtection="0"/>
    <xf numFmtId="43" fontId="10" fillId="0" borderId="0" applyFont="0" applyFill="0" applyBorder="0" applyAlignment="0" applyProtection="0"/>
    <xf numFmtId="43" fontId="38"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38" fillId="0" borderId="0" applyFont="0" applyFill="0" applyBorder="0" applyAlignment="0" applyProtection="0"/>
    <xf numFmtId="0" fontId="45" fillId="0" borderId="0"/>
    <xf numFmtId="0" fontId="1" fillId="0" borderId="0"/>
    <xf numFmtId="0" fontId="1" fillId="0" borderId="0"/>
    <xf numFmtId="0" fontId="80" fillId="0" borderId="0"/>
    <xf numFmtId="0" fontId="1" fillId="0" borderId="0"/>
    <xf numFmtId="0" fontId="1" fillId="0" borderId="0"/>
    <xf numFmtId="9" fontId="38" fillId="0" borderId="0" applyFont="0" applyFill="0" applyBorder="0" applyAlignment="0" applyProtection="0"/>
    <xf numFmtId="9" fontId="38" fillId="0" borderId="0" applyFont="0" applyFill="0" applyBorder="0" applyAlignment="0" applyProtection="0"/>
    <xf numFmtId="9" fontId="1" fillId="0" borderId="0" applyFont="0" applyFill="0" applyBorder="0" applyAlignment="0" applyProtection="0"/>
    <xf numFmtId="0" fontId="1" fillId="0" borderId="0"/>
    <xf numFmtId="165" fontId="1" fillId="0" borderId="0" applyFont="0" applyFill="0" applyBorder="0" applyAlignment="0" applyProtection="0"/>
    <xf numFmtId="41" fontId="19" fillId="0" borderId="0" applyFont="0" applyFill="0" applyBorder="0" applyAlignment="0" applyProtection="0"/>
    <xf numFmtId="41" fontId="19" fillId="0" borderId="0" applyFont="0" applyFill="0" applyBorder="0" applyAlignment="0" applyProtection="0"/>
    <xf numFmtId="41" fontId="19" fillId="0" borderId="0" applyFont="0" applyFill="0" applyBorder="0" applyAlignment="0" applyProtection="0"/>
    <xf numFmtId="41" fontId="19" fillId="0" borderId="0" applyFont="0" applyFill="0" applyBorder="0" applyAlignment="0" applyProtection="0"/>
    <xf numFmtId="41" fontId="19" fillId="0" borderId="0" applyFont="0" applyFill="0" applyBorder="0" applyAlignment="0" applyProtection="0"/>
    <xf numFmtId="41" fontId="19" fillId="0" borderId="0" applyFont="0" applyFill="0" applyBorder="0" applyAlignment="0" applyProtection="0"/>
    <xf numFmtId="41" fontId="19" fillId="0" borderId="0" applyFont="0" applyFill="0" applyBorder="0" applyAlignment="0" applyProtection="0"/>
    <xf numFmtId="41" fontId="19" fillId="0" borderId="0" applyFont="0" applyFill="0" applyBorder="0" applyAlignment="0" applyProtection="0"/>
    <xf numFmtId="41" fontId="19" fillId="0" borderId="0" applyFont="0" applyFill="0" applyBorder="0" applyAlignment="0" applyProtection="0"/>
    <xf numFmtId="41" fontId="19" fillId="0" borderId="0" applyFont="0" applyFill="0" applyBorder="0" applyAlignment="0" applyProtection="0"/>
    <xf numFmtId="41" fontId="19" fillId="0" borderId="0" applyFont="0" applyFill="0" applyBorder="0" applyAlignment="0" applyProtection="0"/>
    <xf numFmtId="41" fontId="19" fillId="0" borderId="0" applyFont="0" applyFill="0" applyBorder="0" applyAlignment="0" applyProtection="0"/>
    <xf numFmtId="41" fontId="19" fillId="0" borderId="0" applyFont="0" applyFill="0" applyBorder="0" applyAlignment="0" applyProtection="0"/>
    <xf numFmtId="41" fontId="19" fillId="0" borderId="0" applyFont="0" applyFill="0" applyBorder="0" applyAlignment="0" applyProtection="0"/>
    <xf numFmtId="41" fontId="19" fillId="0" borderId="0" applyFont="0" applyFill="0" applyBorder="0" applyAlignment="0" applyProtection="0"/>
    <xf numFmtId="41" fontId="19" fillId="0" borderId="0" applyFont="0" applyFill="0" applyBorder="0" applyAlignment="0" applyProtection="0"/>
    <xf numFmtId="41" fontId="19" fillId="0" borderId="0" applyFont="0" applyFill="0" applyBorder="0" applyAlignment="0" applyProtection="0"/>
    <xf numFmtId="41" fontId="19" fillId="0" borderId="0" applyFont="0" applyFill="0" applyBorder="0" applyAlignment="0" applyProtection="0"/>
    <xf numFmtId="41" fontId="19" fillId="0" borderId="0" applyFont="0" applyFill="0" applyBorder="0" applyAlignment="0" applyProtection="0"/>
    <xf numFmtId="41" fontId="19" fillId="0" borderId="0" applyFont="0" applyFill="0" applyBorder="0" applyAlignment="0" applyProtection="0"/>
    <xf numFmtId="41" fontId="19" fillId="0" borderId="0" applyFont="0" applyFill="0" applyBorder="0" applyAlignment="0" applyProtection="0"/>
    <xf numFmtId="41" fontId="19" fillId="0" borderId="0" applyFont="0" applyFill="0" applyBorder="0" applyAlignment="0" applyProtection="0"/>
    <xf numFmtId="41" fontId="19" fillId="0" borderId="0" applyFont="0" applyFill="0" applyBorder="0" applyAlignment="0" applyProtection="0"/>
    <xf numFmtId="41" fontId="19" fillId="0" borderId="0" applyFont="0" applyFill="0" applyBorder="0" applyAlignment="0" applyProtection="0"/>
    <xf numFmtId="41" fontId="19" fillId="0" borderId="0" applyFont="0" applyFill="0" applyBorder="0" applyAlignment="0" applyProtection="0"/>
    <xf numFmtId="41" fontId="19" fillId="0" borderId="0" applyFont="0" applyFill="0" applyBorder="0" applyAlignment="0" applyProtection="0"/>
    <xf numFmtId="41" fontId="19" fillId="0" borderId="0" applyFont="0" applyFill="0" applyBorder="0" applyAlignment="0" applyProtection="0"/>
    <xf numFmtId="41" fontId="19" fillId="0" borderId="0" applyFont="0" applyFill="0" applyBorder="0" applyAlignment="0" applyProtection="0"/>
    <xf numFmtId="41" fontId="19" fillId="0" borderId="0" applyFont="0" applyFill="0" applyBorder="0" applyAlignment="0" applyProtection="0"/>
    <xf numFmtId="41" fontId="19" fillId="0" borderId="0" applyFont="0" applyFill="0" applyBorder="0" applyAlignment="0" applyProtection="0"/>
    <xf numFmtId="41" fontId="19" fillId="0" borderId="0" applyFont="0" applyFill="0" applyBorder="0" applyAlignment="0" applyProtection="0"/>
    <xf numFmtId="41" fontId="19" fillId="0" borderId="0" applyFont="0" applyFill="0" applyBorder="0" applyAlignment="0" applyProtection="0"/>
    <xf numFmtId="41" fontId="19" fillId="0" borderId="0" applyFont="0" applyFill="0" applyBorder="0" applyAlignment="0" applyProtection="0"/>
    <xf numFmtId="41" fontId="19" fillId="0" borderId="0" applyFont="0" applyFill="0" applyBorder="0" applyAlignment="0" applyProtection="0"/>
    <xf numFmtId="41" fontId="19" fillId="0" borderId="0" applyFont="0" applyFill="0" applyBorder="0" applyAlignment="0" applyProtection="0"/>
    <xf numFmtId="41" fontId="19" fillId="0" borderId="0" applyFont="0" applyFill="0" applyBorder="0" applyAlignment="0" applyProtection="0"/>
    <xf numFmtId="41" fontId="19" fillId="0" borderId="0" applyFont="0" applyFill="0" applyBorder="0" applyAlignment="0" applyProtection="0"/>
    <xf numFmtId="41" fontId="19" fillId="0" borderId="0" applyFont="0" applyFill="0" applyBorder="0" applyAlignment="0" applyProtection="0"/>
    <xf numFmtId="41" fontId="19" fillId="0" borderId="0" applyFont="0" applyFill="0" applyBorder="0" applyAlignment="0" applyProtection="0"/>
    <xf numFmtId="41" fontId="19" fillId="0" borderId="0" applyFont="0" applyFill="0" applyBorder="0" applyAlignment="0" applyProtection="0"/>
    <xf numFmtId="41" fontId="19" fillId="0" borderId="0" applyFont="0" applyFill="0" applyBorder="0" applyAlignment="0" applyProtection="0"/>
    <xf numFmtId="41" fontId="19" fillId="0" borderId="0" applyFont="0" applyFill="0" applyBorder="0" applyAlignment="0" applyProtection="0"/>
    <xf numFmtId="41" fontId="19" fillId="0" borderId="0" applyFont="0" applyFill="0" applyBorder="0" applyAlignment="0" applyProtection="0"/>
    <xf numFmtId="41" fontId="19" fillId="0" borderId="0" applyFont="0" applyFill="0" applyBorder="0" applyAlignment="0" applyProtection="0"/>
    <xf numFmtId="41" fontId="19" fillId="0" borderId="0" applyFont="0" applyFill="0" applyBorder="0" applyAlignment="0" applyProtection="0"/>
    <xf numFmtId="41" fontId="19" fillId="0" borderId="0" applyFont="0" applyFill="0" applyBorder="0" applyAlignment="0" applyProtection="0"/>
    <xf numFmtId="41" fontId="19" fillId="0" borderId="0" applyFont="0" applyFill="0" applyBorder="0" applyAlignment="0" applyProtection="0"/>
    <xf numFmtId="41" fontId="19" fillId="0" borderId="0" applyFont="0" applyFill="0" applyBorder="0" applyAlignment="0" applyProtection="0"/>
    <xf numFmtId="41" fontId="19" fillId="0" borderId="0" applyFont="0" applyFill="0" applyBorder="0" applyAlignment="0" applyProtection="0"/>
    <xf numFmtId="41" fontId="19" fillId="0" borderId="0" applyFont="0" applyFill="0" applyBorder="0" applyAlignment="0" applyProtection="0"/>
    <xf numFmtId="41" fontId="19" fillId="0" borderId="0" applyFont="0" applyFill="0" applyBorder="0" applyAlignment="0" applyProtection="0"/>
    <xf numFmtId="41" fontId="19" fillId="0" borderId="0" applyFont="0" applyFill="0" applyBorder="0" applyAlignment="0" applyProtection="0"/>
    <xf numFmtId="41" fontId="19" fillId="0" borderId="0" applyFont="0" applyFill="0" applyBorder="0" applyAlignment="0" applyProtection="0"/>
    <xf numFmtId="41" fontId="19" fillId="0" borderId="0" applyFont="0" applyFill="0" applyBorder="0" applyAlignment="0" applyProtection="0"/>
    <xf numFmtId="41" fontId="19" fillId="0" borderId="0" applyFont="0" applyFill="0" applyBorder="0" applyAlignment="0" applyProtection="0"/>
    <xf numFmtId="41" fontId="19" fillId="0" borderId="0" applyFont="0" applyFill="0" applyBorder="0" applyAlignment="0" applyProtection="0"/>
    <xf numFmtId="41" fontId="19" fillId="0" borderId="0" applyFont="0" applyFill="0" applyBorder="0" applyAlignment="0" applyProtection="0"/>
    <xf numFmtId="41" fontId="19"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0" fontId="1" fillId="0" borderId="0"/>
    <xf numFmtId="0" fontId="1" fillId="0" borderId="0"/>
    <xf numFmtId="0" fontId="1" fillId="0" borderId="0"/>
    <xf numFmtId="0" fontId="1" fillId="0" borderId="0"/>
    <xf numFmtId="9" fontId="1" fillId="0" borderId="0" applyFont="0" applyFill="0" applyBorder="0" applyAlignment="0" applyProtection="0"/>
    <xf numFmtId="0" fontId="1" fillId="0" borderId="0"/>
    <xf numFmtId="165" fontId="1"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165" fontId="1" fillId="0" borderId="0" applyFont="0" applyFill="0" applyBorder="0" applyAlignment="0" applyProtection="0"/>
    <xf numFmtId="41" fontId="19" fillId="0" borderId="0" applyFont="0" applyFill="0" applyBorder="0" applyAlignment="0" applyProtection="0"/>
    <xf numFmtId="41" fontId="19" fillId="0" borderId="0" applyFont="0" applyFill="0" applyBorder="0" applyAlignment="0" applyProtection="0"/>
    <xf numFmtId="41" fontId="19" fillId="0" borderId="0" applyFont="0" applyFill="0" applyBorder="0" applyAlignment="0" applyProtection="0"/>
    <xf numFmtId="41" fontId="19" fillId="0" borderId="0" applyFont="0" applyFill="0" applyBorder="0" applyAlignment="0" applyProtection="0"/>
    <xf numFmtId="41" fontId="19" fillId="0" borderId="0" applyFont="0" applyFill="0" applyBorder="0" applyAlignment="0" applyProtection="0"/>
    <xf numFmtId="41" fontId="19" fillId="0" borderId="0" applyFont="0" applyFill="0" applyBorder="0" applyAlignment="0" applyProtection="0"/>
    <xf numFmtId="41" fontId="19" fillId="0" borderId="0" applyFont="0" applyFill="0" applyBorder="0" applyAlignment="0" applyProtection="0"/>
    <xf numFmtId="41" fontId="19" fillId="0" borderId="0" applyFont="0" applyFill="0" applyBorder="0" applyAlignment="0" applyProtection="0"/>
    <xf numFmtId="41" fontId="19" fillId="0" borderId="0" applyFont="0" applyFill="0" applyBorder="0" applyAlignment="0" applyProtection="0"/>
    <xf numFmtId="41" fontId="19" fillId="0" borderId="0" applyFont="0" applyFill="0" applyBorder="0" applyAlignment="0" applyProtection="0"/>
    <xf numFmtId="41" fontId="19" fillId="0" borderId="0" applyFont="0" applyFill="0" applyBorder="0" applyAlignment="0" applyProtection="0"/>
    <xf numFmtId="41" fontId="19" fillId="0" borderId="0" applyFont="0" applyFill="0" applyBorder="0" applyAlignment="0" applyProtection="0"/>
    <xf numFmtId="41" fontId="19" fillId="0" borderId="0" applyFont="0" applyFill="0" applyBorder="0" applyAlignment="0" applyProtection="0"/>
    <xf numFmtId="41" fontId="19" fillId="0" borderId="0" applyFont="0" applyFill="0" applyBorder="0" applyAlignment="0" applyProtection="0"/>
    <xf numFmtId="41" fontId="19" fillId="0" borderId="0" applyFont="0" applyFill="0" applyBorder="0" applyAlignment="0" applyProtection="0"/>
    <xf numFmtId="41" fontId="19" fillId="0" borderId="0" applyFont="0" applyFill="0" applyBorder="0" applyAlignment="0" applyProtection="0"/>
    <xf numFmtId="41" fontId="19" fillId="0" borderId="0" applyFont="0" applyFill="0" applyBorder="0" applyAlignment="0" applyProtection="0"/>
    <xf numFmtId="41" fontId="19" fillId="0" borderId="0" applyFont="0" applyFill="0" applyBorder="0" applyAlignment="0" applyProtection="0"/>
    <xf numFmtId="41" fontId="19" fillId="0" borderId="0" applyFont="0" applyFill="0" applyBorder="0" applyAlignment="0" applyProtection="0"/>
    <xf numFmtId="41" fontId="19" fillId="0" borderId="0" applyFont="0" applyFill="0" applyBorder="0" applyAlignment="0" applyProtection="0"/>
    <xf numFmtId="41" fontId="19" fillId="0" borderId="0" applyFont="0" applyFill="0" applyBorder="0" applyAlignment="0" applyProtection="0"/>
    <xf numFmtId="41" fontId="19" fillId="0" borderId="0" applyFont="0" applyFill="0" applyBorder="0" applyAlignment="0" applyProtection="0"/>
    <xf numFmtId="41" fontId="19" fillId="0" borderId="0" applyFont="0" applyFill="0" applyBorder="0" applyAlignment="0" applyProtection="0"/>
    <xf numFmtId="41" fontId="19" fillId="0" borderId="0" applyFont="0" applyFill="0" applyBorder="0" applyAlignment="0" applyProtection="0"/>
    <xf numFmtId="41" fontId="19" fillId="0" borderId="0" applyFont="0" applyFill="0" applyBorder="0" applyAlignment="0" applyProtection="0"/>
    <xf numFmtId="41" fontId="19" fillId="0" borderId="0" applyFont="0" applyFill="0" applyBorder="0" applyAlignment="0" applyProtection="0"/>
    <xf numFmtId="41" fontId="19" fillId="0" borderId="0" applyFont="0" applyFill="0" applyBorder="0" applyAlignment="0" applyProtection="0"/>
    <xf numFmtId="41" fontId="19" fillId="0" borderId="0" applyFont="0" applyFill="0" applyBorder="0" applyAlignment="0" applyProtection="0"/>
    <xf numFmtId="41" fontId="19" fillId="0" borderId="0" applyFont="0" applyFill="0" applyBorder="0" applyAlignment="0" applyProtection="0"/>
    <xf numFmtId="41" fontId="19" fillId="0" borderId="0" applyFont="0" applyFill="0" applyBorder="0" applyAlignment="0" applyProtection="0"/>
    <xf numFmtId="41" fontId="19" fillId="0" borderId="0" applyFont="0" applyFill="0" applyBorder="0" applyAlignment="0" applyProtection="0"/>
    <xf numFmtId="41" fontId="19" fillId="0" borderId="0" applyFont="0" applyFill="0" applyBorder="0" applyAlignment="0" applyProtection="0"/>
    <xf numFmtId="41" fontId="19" fillId="0" borderId="0" applyFont="0" applyFill="0" applyBorder="0" applyAlignment="0" applyProtection="0"/>
    <xf numFmtId="41" fontId="19" fillId="0" borderId="0" applyFont="0" applyFill="0" applyBorder="0" applyAlignment="0" applyProtection="0"/>
    <xf numFmtId="41" fontId="19" fillId="0" borderId="0" applyFont="0" applyFill="0" applyBorder="0" applyAlignment="0" applyProtection="0"/>
    <xf numFmtId="41" fontId="19" fillId="0" borderId="0" applyFont="0" applyFill="0" applyBorder="0" applyAlignment="0" applyProtection="0"/>
    <xf numFmtId="41" fontId="19" fillId="0" borderId="0" applyFont="0" applyFill="0" applyBorder="0" applyAlignment="0" applyProtection="0"/>
    <xf numFmtId="41" fontId="19" fillId="0" borderId="0" applyFont="0" applyFill="0" applyBorder="0" applyAlignment="0" applyProtection="0"/>
    <xf numFmtId="41" fontId="19" fillId="0" borderId="0" applyFont="0" applyFill="0" applyBorder="0" applyAlignment="0" applyProtection="0"/>
    <xf numFmtId="41" fontId="19" fillId="0" borderId="0" applyFont="0" applyFill="0" applyBorder="0" applyAlignment="0" applyProtection="0"/>
    <xf numFmtId="41" fontId="19" fillId="0" borderId="0" applyFont="0" applyFill="0" applyBorder="0" applyAlignment="0" applyProtection="0"/>
    <xf numFmtId="41" fontId="19" fillId="0" borderId="0" applyFont="0" applyFill="0" applyBorder="0" applyAlignment="0" applyProtection="0"/>
    <xf numFmtId="41" fontId="19" fillId="0" borderId="0" applyFont="0" applyFill="0" applyBorder="0" applyAlignment="0" applyProtection="0"/>
    <xf numFmtId="41" fontId="19" fillId="0" borderId="0" applyFont="0" applyFill="0" applyBorder="0" applyAlignment="0" applyProtection="0"/>
    <xf numFmtId="41" fontId="19" fillId="0" borderId="0" applyFont="0" applyFill="0" applyBorder="0" applyAlignment="0" applyProtection="0"/>
    <xf numFmtId="41" fontId="19" fillId="0" borderId="0" applyFont="0" applyFill="0" applyBorder="0" applyAlignment="0" applyProtection="0"/>
    <xf numFmtId="41" fontId="19" fillId="0" borderId="0" applyFont="0" applyFill="0" applyBorder="0" applyAlignment="0" applyProtection="0"/>
    <xf numFmtId="41" fontId="19" fillId="0" borderId="0" applyFont="0" applyFill="0" applyBorder="0" applyAlignment="0" applyProtection="0"/>
    <xf numFmtId="41" fontId="19" fillId="0" borderId="0" applyFont="0" applyFill="0" applyBorder="0" applyAlignment="0" applyProtection="0"/>
    <xf numFmtId="41" fontId="19" fillId="0" borderId="0" applyFont="0" applyFill="0" applyBorder="0" applyAlignment="0" applyProtection="0"/>
    <xf numFmtId="41" fontId="19" fillId="0" borderId="0" applyFont="0" applyFill="0" applyBorder="0" applyAlignment="0" applyProtection="0"/>
    <xf numFmtId="41" fontId="19" fillId="0" borderId="0" applyFont="0" applyFill="0" applyBorder="0" applyAlignment="0" applyProtection="0"/>
    <xf numFmtId="41" fontId="19" fillId="0" borderId="0" applyFont="0" applyFill="0" applyBorder="0" applyAlignment="0" applyProtection="0"/>
    <xf numFmtId="41" fontId="19" fillId="0" borderId="0" applyFont="0" applyFill="0" applyBorder="0" applyAlignment="0" applyProtection="0"/>
    <xf numFmtId="41" fontId="19" fillId="0" borderId="0" applyFont="0" applyFill="0" applyBorder="0" applyAlignment="0" applyProtection="0"/>
    <xf numFmtId="41" fontId="19" fillId="0" borderId="0" applyFont="0" applyFill="0" applyBorder="0" applyAlignment="0" applyProtection="0"/>
    <xf numFmtId="41" fontId="19" fillId="0" borderId="0" applyFont="0" applyFill="0" applyBorder="0" applyAlignment="0" applyProtection="0"/>
    <xf numFmtId="41" fontId="19"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38"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38"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38"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38"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38"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38"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38"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38"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38"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38"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38"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38"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38"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38"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38"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38"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38"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38"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38"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38"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38"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38"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38"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38"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38"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38"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38"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38"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38"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38"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38"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38"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38"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38"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38"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38"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38"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38"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38"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38"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38"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38"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38"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38"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38"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38"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38"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38"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38"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38"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38"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38"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38"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38"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38"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38"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38"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38"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38"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38"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38"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38"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38"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38"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38"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38"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38"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38"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38"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38"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38"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38"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38"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38"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38"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38"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38"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38"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38"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38"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38"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38"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38"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38"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38"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38"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38"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38"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38"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38"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38"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38"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38"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38"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38"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38"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38"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38"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38"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38"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38"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38"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38"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38"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38"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38"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38"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38"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38"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38"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38"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38"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38"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38"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38"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38"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38"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38"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38"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38" fillId="0" borderId="0" applyFont="0" applyFill="0" applyBorder="0" applyAlignment="0" applyProtection="0"/>
    <xf numFmtId="0" fontId="1" fillId="0" borderId="0"/>
    <xf numFmtId="0" fontId="1" fillId="0" borderId="0"/>
    <xf numFmtId="0" fontId="1" fillId="0" borderId="0"/>
    <xf numFmtId="0" fontId="1" fillId="0" borderId="0"/>
    <xf numFmtId="9" fontId="1" fillId="0" borderId="0" applyFont="0" applyFill="0" applyBorder="0" applyAlignment="0" applyProtection="0"/>
    <xf numFmtId="0" fontId="1" fillId="0" borderId="0"/>
    <xf numFmtId="165" fontId="1" fillId="0" borderId="0" applyFont="0" applyFill="0" applyBorder="0" applyAlignment="0" applyProtection="0"/>
    <xf numFmtId="41" fontId="19" fillId="0" borderId="0" applyFont="0" applyFill="0" applyBorder="0" applyAlignment="0" applyProtection="0"/>
    <xf numFmtId="41" fontId="19" fillId="0" borderId="0" applyFont="0" applyFill="0" applyBorder="0" applyAlignment="0" applyProtection="0"/>
    <xf numFmtId="41" fontId="19" fillId="0" borderId="0" applyFont="0" applyFill="0" applyBorder="0" applyAlignment="0" applyProtection="0"/>
    <xf numFmtId="41" fontId="19" fillId="0" borderId="0" applyFont="0" applyFill="0" applyBorder="0" applyAlignment="0" applyProtection="0"/>
    <xf numFmtId="41" fontId="19" fillId="0" borderId="0" applyFont="0" applyFill="0" applyBorder="0" applyAlignment="0" applyProtection="0"/>
    <xf numFmtId="41" fontId="19" fillId="0" borderId="0" applyFont="0" applyFill="0" applyBorder="0" applyAlignment="0" applyProtection="0"/>
    <xf numFmtId="41" fontId="19" fillId="0" borderId="0" applyFont="0" applyFill="0" applyBorder="0" applyAlignment="0" applyProtection="0"/>
    <xf numFmtId="41" fontId="19" fillId="0" borderId="0" applyFont="0" applyFill="0" applyBorder="0" applyAlignment="0" applyProtection="0"/>
    <xf numFmtId="41" fontId="19" fillId="0" borderId="0" applyFont="0" applyFill="0" applyBorder="0" applyAlignment="0" applyProtection="0"/>
    <xf numFmtId="41" fontId="19" fillId="0" borderId="0" applyFont="0" applyFill="0" applyBorder="0" applyAlignment="0" applyProtection="0"/>
    <xf numFmtId="41" fontId="19" fillId="0" borderId="0" applyFont="0" applyFill="0" applyBorder="0" applyAlignment="0" applyProtection="0"/>
    <xf numFmtId="41" fontId="19" fillId="0" borderId="0" applyFont="0" applyFill="0" applyBorder="0" applyAlignment="0" applyProtection="0"/>
    <xf numFmtId="41" fontId="19" fillId="0" borderId="0" applyFont="0" applyFill="0" applyBorder="0" applyAlignment="0" applyProtection="0"/>
    <xf numFmtId="41" fontId="19" fillId="0" borderId="0" applyFont="0" applyFill="0" applyBorder="0" applyAlignment="0" applyProtection="0"/>
    <xf numFmtId="41" fontId="19" fillId="0" borderId="0" applyFont="0" applyFill="0" applyBorder="0" applyAlignment="0" applyProtection="0"/>
    <xf numFmtId="41" fontId="19" fillId="0" borderId="0" applyFont="0" applyFill="0" applyBorder="0" applyAlignment="0" applyProtection="0"/>
    <xf numFmtId="41" fontId="19" fillId="0" borderId="0" applyFont="0" applyFill="0" applyBorder="0" applyAlignment="0" applyProtection="0"/>
    <xf numFmtId="41" fontId="19" fillId="0" borderId="0" applyFont="0" applyFill="0" applyBorder="0" applyAlignment="0" applyProtection="0"/>
    <xf numFmtId="41" fontId="19" fillId="0" borderId="0" applyFont="0" applyFill="0" applyBorder="0" applyAlignment="0" applyProtection="0"/>
    <xf numFmtId="41" fontId="19" fillId="0" borderId="0" applyFont="0" applyFill="0" applyBorder="0" applyAlignment="0" applyProtection="0"/>
    <xf numFmtId="41" fontId="19" fillId="0" borderId="0" applyFont="0" applyFill="0" applyBorder="0" applyAlignment="0" applyProtection="0"/>
    <xf numFmtId="41" fontId="19" fillId="0" borderId="0" applyFont="0" applyFill="0" applyBorder="0" applyAlignment="0" applyProtection="0"/>
    <xf numFmtId="41" fontId="19" fillId="0" borderId="0" applyFont="0" applyFill="0" applyBorder="0" applyAlignment="0" applyProtection="0"/>
    <xf numFmtId="41" fontId="19" fillId="0" borderId="0" applyFont="0" applyFill="0" applyBorder="0" applyAlignment="0" applyProtection="0"/>
    <xf numFmtId="41" fontId="19" fillId="0" borderId="0" applyFont="0" applyFill="0" applyBorder="0" applyAlignment="0" applyProtection="0"/>
    <xf numFmtId="41" fontId="19" fillId="0" borderId="0" applyFont="0" applyFill="0" applyBorder="0" applyAlignment="0" applyProtection="0"/>
    <xf numFmtId="41" fontId="19" fillId="0" borderId="0" applyFont="0" applyFill="0" applyBorder="0" applyAlignment="0" applyProtection="0"/>
    <xf numFmtId="41" fontId="19" fillId="0" borderId="0" applyFont="0" applyFill="0" applyBorder="0" applyAlignment="0" applyProtection="0"/>
    <xf numFmtId="41" fontId="19" fillId="0" borderId="0" applyFont="0" applyFill="0" applyBorder="0" applyAlignment="0" applyProtection="0"/>
    <xf numFmtId="41" fontId="19" fillId="0" borderId="0" applyFont="0" applyFill="0" applyBorder="0" applyAlignment="0" applyProtection="0"/>
    <xf numFmtId="41" fontId="19" fillId="0" borderId="0" applyFont="0" applyFill="0" applyBorder="0" applyAlignment="0" applyProtection="0"/>
    <xf numFmtId="41" fontId="19" fillId="0" borderId="0" applyFont="0" applyFill="0" applyBorder="0" applyAlignment="0" applyProtection="0"/>
    <xf numFmtId="41" fontId="19" fillId="0" borderId="0" applyFont="0" applyFill="0" applyBorder="0" applyAlignment="0" applyProtection="0"/>
    <xf numFmtId="41" fontId="19" fillId="0" borderId="0" applyFont="0" applyFill="0" applyBorder="0" applyAlignment="0" applyProtection="0"/>
    <xf numFmtId="41" fontId="19" fillId="0" borderId="0" applyFont="0" applyFill="0" applyBorder="0" applyAlignment="0" applyProtection="0"/>
    <xf numFmtId="41" fontId="19" fillId="0" borderId="0" applyFont="0" applyFill="0" applyBorder="0" applyAlignment="0" applyProtection="0"/>
    <xf numFmtId="41" fontId="19" fillId="0" borderId="0" applyFont="0" applyFill="0" applyBorder="0" applyAlignment="0" applyProtection="0"/>
    <xf numFmtId="41" fontId="19" fillId="0" borderId="0" applyFont="0" applyFill="0" applyBorder="0" applyAlignment="0" applyProtection="0"/>
    <xf numFmtId="41" fontId="19" fillId="0" borderId="0" applyFont="0" applyFill="0" applyBorder="0" applyAlignment="0" applyProtection="0"/>
    <xf numFmtId="41" fontId="19" fillId="0" borderId="0" applyFont="0" applyFill="0" applyBorder="0" applyAlignment="0" applyProtection="0"/>
    <xf numFmtId="41" fontId="19" fillId="0" borderId="0" applyFont="0" applyFill="0" applyBorder="0" applyAlignment="0" applyProtection="0"/>
    <xf numFmtId="41" fontId="19" fillId="0" borderId="0" applyFont="0" applyFill="0" applyBorder="0" applyAlignment="0" applyProtection="0"/>
    <xf numFmtId="41" fontId="19" fillId="0" borderId="0" applyFont="0" applyFill="0" applyBorder="0" applyAlignment="0" applyProtection="0"/>
    <xf numFmtId="41" fontId="19" fillId="0" borderId="0" applyFont="0" applyFill="0" applyBorder="0" applyAlignment="0" applyProtection="0"/>
    <xf numFmtId="41" fontId="19" fillId="0" borderId="0" applyFont="0" applyFill="0" applyBorder="0" applyAlignment="0" applyProtection="0"/>
    <xf numFmtId="41" fontId="19" fillId="0" borderId="0" applyFont="0" applyFill="0" applyBorder="0" applyAlignment="0" applyProtection="0"/>
    <xf numFmtId="41" fontId="19" fillId="0" borderId="0" applyFont="0" applyFill="0" applyBorder="0" applyAlignment="0" applyProtection="0"/>
    <xf numFmtId="41" fontId="19" fillId="0" borderId="0" applyFont="0" applyFill="0" applyBorder="0" applyAlignment="0" applyProtection="0"/>
    <xf numFmtId="41" fontId="19" fillId="0" borderId="0" applyFont="0" applyFill="0" applyBorder="0" applyAlignment="0" applyProtection="0"/>
    <xf numFmtId="41" fontId="19" fillId="0" borderId="0" applyFont="0" applyFill="0" applyBorder="0" applyAlignment="0" applyProtection="0"/>
    <xf numFmtId="41" fontId="19" fillId="0" borderId="0" applyFont="0" applyFill="0" applyBorder="0" applyAlignment="0" applyProtection="0"/>
    <xf numFmtId="41" fontId="19" fillId="0" borderId="0" applyFont="0" applyFill="0" applyBorder="0" applyAlignment="0" applyProtection="0"/>
    <xf numFmtId="41" fontId="19" fillId="0" borderId="0" applyFont="0" applyFill="0" applyBorder="0" applyAlignment="0" applyProtection="0"/>
    <xf numFmtId="41" fontId="19" fillId="0" borderId="0" applyFont="0" applyFill="0" applyBorder="0" applyAlignment="0" applyProtection="0"/>
    <xf numFmtId="41" fontId="19" fillId="0" borderId="0" applyFont="0" applyFill="0" applyBorder="0" applyAlignment="0" applyProtection="0"/>
    <xf numFmtId="41" fontId="19" fillId="0" borderId="0" applyFont="0" applyFill="0" applyBorder="0" applyAlignment="0" applyProtection="0"/>
    <xf numFmtId="41" fontId="19" fillId="0" borderId="0" applyFont="0" applyFill="0" applyBorder="0" applyAlignment="0" applyProtection="0"/>
    <xf numFmtId="41" fontId="19"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0" fontId="1" fillId="0" borderId="0"/>
    <xf numFmtId="0" fontId="1" fillId="0" borderId="0"/>
    <xf numFmtId="0" fontId="1" fillId="0" borderId="0"/>
    <xf numFmtId="0" fontId="1" fillId="0" borderId="0"/>
    <xf numFmtId="9" fontId="1" fillId="0" borderId="0" applyFont="0" applyFill="0" applyBorder="0" applyAlignment="0" applyProtection="0"/>
    <xf numFmtId="0" fontId="1" fillId="0" borderId="0"/>
    <xf numFmtId="165" fontId="1" fillId="0" borderId="0" applyFont="0" applyFill="0" applyBorder="0" applyAlignment="0" applyProtection="0"/>
    <xf numFmtId="165" fontId="197"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0" fontId="1" fillId="0" borderId="0"/>
    <xf numFmtId="0" fontId="1" fillId="0" borderId="0"/>
    <xf numFmtId="0" fontId="1" fillId="0" borderId="0"/>
    <xf numFmtId="0" fontId="1" fillId="0" borderId="0"/>
    <xf numFmtId="9" fontId="1" fillId="0" borderId="0" applyFont="0" applyFill="0" applyBorder="0" applyAlignment="0" applyProtection="0"/>
    <xf numFmtId="0" fontId="1" fillId="0" borderId="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0" fontId="1" fillId="0" borderId="0"/>
    <xf numFmtId="0" fontId="1" fillId="0" borderId="0"/>
    <xf numFmtId="0" fontId="1" fillId="0" borderId="0"/>
    <xf numFmtId="0" fontId="1" fillId="0" borderId="0"/>
    <xf numFmtId="9" fontId="1" fillId="0" borderId="0" applyFont="0" applyFill="0" applyBorder="0" applyAlignment="0" applyProtection="0"/>
    <xf numFmtId="0" fontId="1" fillId="0" borderId="0"/>
    <xf numFmtId="165" fontId="1" fillId="0" borderId="0" applyFont="0" applyFill="0" applyBorder="0" applyAlignment="0" applyProtection="0"/>
    <xf numFmtId="0" fontId="1" fillId="0" borderId="0"/>
    <xf numFmtId="9"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165"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60" borderId="0" applyNumberFormat="0" applyBorder="0" applyAlignment="0" applyProtection="0"/>
    <xf numFmtId="0" fontId="1" fillId="61" borderId="0" applyNumberFormat="0" applyBorder="0" applyAlignment="0" applyProtection="0"/>
    <xf numFmtId="0" fontId="1" fillId="64" borderId="0" applyNumberFormat="0" applyBorder="0" applyAlignment="0" applyProtection="0"/>
    <xf numFmtId="0" fontId="1" fillId="65" borderId="0" applyNumberFormat="0" applyBorder="0" applyAlignment="0" applyProtection="0"/>
    <xf numFmtId="0" fontId="1" fillId="68" borderId="0" applyNumberFormat="0" applyBorder="0" applyAlignment="0" applyProtection="0"/>
    <xf numFmtId="0" fontId="1" fillId="69" borderId="0" applyNumberFormat="0" applyBorder="0" applyAlignment="0" applyProtection="0"/>
    <xf numFmtId="0" fontId="1" fillId="72" borderId="0" applyNumberFormat="0" applyBorder="0" applyAlignment="0" applyProtection="0"/>
    <xf numFmtId="0" fontId="1" fillId="73" borderId="0" applyNumberFormat="0" applyBorder="0" applyAlignment="0" applyProtection="0"/>
    <xf numFmtId="0" fontId="1" fillId="76" borderId="0" applyNumberFormat="0" applyBorder="0" applyAlignment="0" applyProtection="0"/>
    <xf numFmtId="0" fontId="1" fillId="77" borderId="0" applyNumberFormat="0" applyBorder="0" applyAlignment="0" applyProtection="0"/>
    <xf numFmtId="0" fontId="1" fillId="80" borderId="0" applyNumberFormat="0" applyBorder="0" applyAlignment="0" applyProtection="0"/>
    <xf numFmtId="0" fontId="1" fillId="81" borderId="0" applyNumberFormat="0" applyBorder="0" applyAlignment="0" applyProtection="0"/>
    <xf numFmtId="0" fontId="1" fillId="0" borderId="0"/>
    <xf numFmtId="165" fontId="1" fillId="0" borderId="0" applyFont="0" applyFill="0" applyBorder="0" applyAlignment="0" applyProtection="0"/>
    <xf numFmtId="9" fontId="1" fillId="0" borderId="0" applyFont="0" applyFill="0" applyBorder="0" applyAlignment="0" applyProtection="0"/>
    <xf numFmtId="165" fontId="197"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0" fontId="1" fillId="0" borderId="0"/>
    <xf numFmtId="0" fontId="1" fillId="0" borderId="0"/>
    <xf numFmtId="165" fontId="1" fillId="0" borderId="0" applyFont="0" applyFill="0" applyBorder="0" applyAlignment="0" applyProtection="0"/>
    <xf numFmtId="9" fontId="1" fillId="0" borderId="0" applyFont="0" applyFill="0" applyBorder="0" applyAlignment="0" applyProtection="0"/>
    <xf numFmtId="165" fontId="197" fillId="0" borderId="0" applyFont="0" applyFill="0" applyBorder="0" applyAlignment="0" applyProtection="0"/>
    <xf numFmtId="165" fontId="197" fillId="0" borderId="0" applyFont="0" applyFill="0" applyBorder="0" applyAlignment="0" applyProtection="0"/>
    <xf numFmtId="165" fontId="197" fillId="0" borderId="0" applyFont="0" applyFill="0" applyBorder="0" applyAlignment="0" applyProtection="0"/>
    <xf numFmtId="43" fontId="13" fillId="0" borderId="0" applyFont="0" applyFill="0" applyBorder="0" applyAlignment="0" applyProtection="0"/>
    <xf numFmtId="165" fontId="197" fillId="0" borderId="0" applyFont="0" applyFill="0" applyBorder="0" applyAlignment="0" applyProtection="0"/>
    <xf numFmtId="165" fontId="197" fillId="0" borderId="0" applyFont="0" applyFill="0" applyBorder="0" applyAlignment="0" applyProtection="0"/>
    <xf numFmtId="165" fontId="197" fillId="0" borderId="0" applyFont="0" applyFill="0" applyBorder="0" applyAlignment="0" applyProtection="0"/>
    <xf numFmtId="165" fontId="1" fillId="0" borderId="0" applyFont="0" applyFill="0" applyBorder="0" applyAlignment="0" applyProtection="0"/>
    <xf numFmtId="0" fontId="1" fillId="0" borderId="0"/>
    <xf numFmtId="179" fontId="197" fillId="0" borderId="0" applyFont="0" applyFill="0" applyBorder="0" applyAlignment="0" applyProtection="0"/>
    <xf numFmtId="9" fontId="1" fillId="0" borderId="0" applyFont="0" applyFill="0" applyBorder="0" applyAlignment="0" applyProtection="0"/>
    <xf numFmtId="0" fontId="1" fillId="0" borderId="0"/>
    <xf numFmtId="0" fontId="1" fillId="0" borderId="0"/>
    <xf numFmtId="0" fontId="1" fillId="0" borderId="0"/>
    <xf numFmtId="165" fontId="1" fillId="0" borderId="0" applyFont="0" applyFill="0" applyBorder="0" applyAlignment="0" applyProtection="0"/>
    <xf numFmtId="9" fontId="1" fillId="0" borderId="0" applyFont="0" applyFill="0" applyBorder="0" applyAlignment="0" applyProtection="0"/>
    <xf numFmtId="165" fontId="1" fillId="0" borderId="0" applyFont="0" applyFill="0" applyBorder="0" applyAlignment="0" applyProtection="0"/>
    <xf numFmtId="0" fontId="1" fillId="0" borderId="0"/>
    <xf numFmtId="9" fontId="1" fillId="0" borderId="0" applyFont="0" applyFill="0" applyBorder="0" applyAlignment="0" applyProtection="0"/>
    <xf numFmtId="0" fontId="1" fillId="0" borderId="0"/>
    <xf numFmtId="0" fontId="1" fillId="0" borderId="0"/>
    <xf numFmtId="0" fontId="1" fillId="0" borderId="0"/>
    <xf numFmtId="165" fontId="1" fillId="0" borderId="0" applyFont="0" applyFill="0" applyBorder="0" applyAlignment="0" applyProtection="0"/>
    <xf numFmtId="9" fontId="1" fillId="0" borderId="0" applyFont="0" applyFill="0" applyBorder="0" applyAlignment="0" applyProtection="0"/>
    <xf numFmtId="165" fontId="1" fillId="0" borderId="0" applyFont="0" applyFill="0" applyBorder="0" applyAlignment="0" applyProtection="0"/>
    <xf numFmtId="0" fontId="1" fillId="0" borderId="0"/>
    <xf numFmtId="9" fontId="1" fillId="0" borderId="0" applyFont="0" applyFill="0" applyBorder="0" applyAlignment="0" applyProtection="0"/>
    <xf numFmtId="0" fontId="1" fillId="0" borderId="0"/>
    <xf numFmtId="0" fontId="1" fillId="0" borderId="0"/>
    <xf numFmtId="0" fontId="1" fillId="0" borderId="0"/>
    <xf numFmtId="165" fontId="1" fillId="0" borderId="0" applyFont="0" applyFill="0" applyBorder="0" applyAlignment="0" applyProtection="0"/>
    <xf numFmtId="9" fontId="1" fillId="0" borderId="0" applyFont="0" applyFill="0" applyBorder="0" applyAlignment="0" applyProtection="0"/>
    <xf numFmtId="165" fontId="1" fillId="0" borderId="0" applyFont="0" applyFill="0" applyBorder="0" applyAlignment="0" applyProtection="0"/>
    <xf numFmtId="0" fontId="1" fillId="0" borderId="0"/>
    <xf numFmtId="9" fontId="1" fillId="0" borderId="0" applyFont="0" applyFill="0" applyBorder="0" applyAlignment="0" applyProtection="0"/>
    <xf numFmtId="0" fontId="1" fillId="0" borderId="0"/>
    <xf numFmtId="0" fontId="1" fillId="0" borderId="0"/>
    <xf numFmtId="0" fontId="1" fillId="0" borderId="0"/>
    <xf numFmtId="165" fontId="1" fillId="0" borderId="0" applyFont="0" applyFill="0" applyBorder="0" applyAlignment="0" applyProtection="0"/>
    <xf numFmtId="9" fontId="1" fillId="0" borderId="0" applyFont="0" applyFill="0" applyBorder="0" applyAlignment="0" applyProtection="0"/>
    <xf numFmtId="165" fontId="1" fillId="0" borderId="0" applyFont="0" applyFill="0" applyBorder="0" applyAlignment="0" applyProtection="0"/>
    <xf numFmtId="0" fontId="1" fillId="0" borderId="0"/>
    <xf numFmtId="9" fontId="1" fillId="0" borderId="0" applyFont="0" applyFill="0" applyBorder="0" applyAlignment="0" applyProtection="0"/>
    <xf numFmtId="0" fontId="1" fillId="0" borderId="0"/>
    <xf numFmtId="0" fontId="1" fillId="0" borderId="0"/>
    <xf numFmtId="0" fontId="1" fillId="0" borderId="0"/>
    <xf numFmtId="165" fontId="1" fillId="0" borderId="0" applyFont="0" applyFill="0" applyBorder="0" applyAlignment="0" applyProtection="0"/>
    <xf numFmtId="9" fontId="1" fillId="0" borderId="0" applyFont="0" applyFill="0" applyBorder="0" applyAlignment="0" applyProtection="0"/>
    <xf numFmtId="165" fontId="1" fillId="0" borderId="0" applyFont="0" applyFill="0" applyBorder="0" applyAlignment="0" applyProtection="0"/>
    <xf numFmtId="0" fontId="1" fillId="0" borderId="0"/>
    <xf numFmtId="9" fontId="1" fillId="0" borderId="0" applyFont="0" applyFill="0" applyBorder="0" applyAlignment="0" applyProtection="0"/>
    <xf numFmtId="0" fontId="1" fillId="0" borderId="0"/>
    <xf numFmtId="165" fontId="1" fillId="0" borderId="0" applyFont="0" applyFill="0" applyBorder="0" applyAlignment="0" applyProtection="0"/>
    <xf numFmtId="9" fontId="1" fillId="0" borderId="0" applyFont="0" applyFill="0" applyBorder="0" applyAlignment="0" applyProtection="0"/>
    <xf numFmtId="0" fontId="1" fillId="0" borderId="0"/>
    <xf numFmtId="165" fontId="1" fillId="0" borderId="0" applyFont="0" applyFill="0" applyBorder="0" applyAlignment="0" applyProtection="0"/>
    <xf numFmtId="9" fontId="1" fillId="0" borderId="0" applyFont="0" applyFill="0" applyBorder="0" applyAlignment="0" applyProtection="0"/>
    <xf numFmtId="0" fontId="1" fillId="0" borderId="0"/>
    <xf numFmtId="165" fontId="1" fillId="0" borderId="0" applyFont="0" applyFill="0" applyBorder="0" applyAlignment="0" applyProtection="0"/>
    <xf numFmtId="0" fontId="1" fillId="0" borderId="0"/>
    <xf numFmtId="0" fontId="1" fillId="60" borderId="0" applyNumberFormat="0" applyBorder="0" applyAlignment="0" applyProtection="0"/>
    <xf numFmtId="0" fontId="1" fillId="64" borderId="0" applyNumberFormat="0" applyBorder="0" applyAlignment="0" applyProtection="0"/>
    <xf numFmtId="0" fontId="1" fillId="60" borderId="0" applyNumberFormat="0" applyBorder="0" applyAlignment="0" applyProtection="0"/>
    <xf numFmtId="0" fontId="1" fillId="64" borderId="0" applyNumberFormat="0" applyBorder="0" applyAlignment="0" applyProtection="0"/>
    <xf numFmtId="0" fontId="1" fillId="60" borderId="0" applyNumberFormat="0" applyBorder="0" applyAlignment="0" applyProtection="0"/>
    <xf numFmtId="0" fontId="1" fillId="69" borderId="0" applyNumberFormat="0" applyBorder="0" applyAlignment="0" applyProtection="0"/>
    <xf numFmtId="0" fontId="1" fillId="69" borderId="0" applyNumberFormat="0" applyBorder="0" applyAlignment="0" applyProtection="0"/>
    <xf numFmtId="0" fontId="1" fillId="65" borderId="0" applyNumberFormat="0" applyBorder="0" applyAlignment="0" applyProtection="0"/>
    <xf numFmtId="0" fontId="1" fillId="65" borderId="0" applyNumberFormat="0" applyBorder="0" applyAlignment="0" applyProtection="0"/>
    <xf numFmtId="0" fontId="1" fillId="65" borderId="0" applyNumberFormat="0" applyBorder="0" applyAlignment="0" applyProtection="0"/>
    <xf numFmtId="0" fontId="1" fillId="65" borderId="0" applyNumberFormat="0" applyBorder="0" applyAlignment="0" applyProtection="0"/>
    <xf numFmtId="0" fontId="1" fillId="65" borderId="0" applyNumberFormat="0" applyBorder="0" applyAlignment="0" applyProtection="0"/>
    <xf numFmtId="0" fontId="1" fillId="65" borderId="0" applyNumberFormat="0" applyBorder="0" applyAlignment="0" applyProtection="0"/>
    <xf numFmtId="0" fontId="1" fillId="65" borderId="0" applyNumberFormat="0" applyBorder="0" applyAlignment="0" applyProtection="0"/>
    <xf numFmtId="0" fontId="1" fillId="61" borderId="0" applyNumberFormat="0" applyBorder="0" applyAlignment="0" applyProtection="0"/>
    <xf numFmtId="0" fontId="1" fillId="61" borderId="0" applyNumberFormat="0" applyBorder="0" applyAlignment="0" applyProtection="0"/>
    <xf numFmtId="0" fontId="1" fillId="61" borderId="0" applyNumberFormat="0" applyBorder="0" applyAlignment="0" applyProtection="0"/>
    <xf numFmtId="0" fontId="1" fillId="61" borderId="0" applyNumberFormat="0" applyBorder="0" applyAlignment="0" applyProtection="0"/>
    <xf numFmtId="0" fontId="1" fillId="61" borderId="0" applyNumberFormat="0" applyBorder="0" applyAlignment="0" applyProtection="0"/>
    <xf numFmtId="0" fontId="1" fillId="61" borderId="0" applyNumberFormat="0" applyBorder="0" applyAlignment="0" applyProtection="0"/>
    <xf numFmtId="0" fontId="1" fillId="61" borderId="0" applyNumberFormat="0" applyBorder="0" applyAlignment="0" applyProtection="0"/>
    <xf numFmtId="0" fontId="1" fillId="80" borderId="0" applyNumberFormat="0" applyBorder="0" applyAlignment="0" applyProtection="0"/>
    <xf numFmtId="0" fontId="1" fillId="80" borderId="0" applyNumberFormat="0" applyBorder="0" applyAlignment="0" applyProtection="0"/>
    <xf numFmtId="0" fontId="1" fillId="80" borderId="0" applyNumberFormat="0" applyBorder="0" applyAlignment="0" applyProtection="0"/>
    <xf numFmtId="0" fontId="1" fillId="80" borderId="0" applyNumberFormat="0" applyBorder="0" applyAlignment="0" applyProtection="0"/>
    <xf numFmtId="0" fontId="1" fillId="80" borderId="0" applyNumberFormat="0" applyBorder="0" applyAlignment="0" applyProtection="0"/>
    <xf numFmtId="0" fontId="1" fillId="80" borderId="0" applyNumberFormat="0" applyBorder="0" applyAlignment="0" applyProtection="0"/>
    <xf numFmtId="0" fontId="1" fillId="80" borderId="0" applyNumberFormat="0" applyBorder="0" applyAlignment="0" applyProtection="0"/>
    <xf numFmtId="0" fontId="1" fillId="76" borderId="0" applyNumberFormat="0" applyBorder="0" applyAlignment="0" applyProtection="0"/>
    <xf numFmtId="0" fontId="1" fillId="76" borderId="0" applyNumberFormat="0" applyBorder="0" applyAlignment="0" applyProtection="0"/>
    <xf numFmtId="0" fontId="1" fillId="76" borderId="0" applyNumberFormat="0" applyBorder="0" applyAlignment="0" applyProtection="0"/>
    <xf numFmtId="0" fontId="1" fillId="76" borderId="0" applyNumberFormat="0" applyBorder="0" applyAlignment="0" applyProtection="0"/>
    <xf numFmtId="0" fontId="1" fillId="76" borderId="0" applyNumberFormat="0" applyBorder="0" applyAlignment="0" applyProtection="0"/>
    <xf numFmtId="0" fontId="1" fillId="76" borderId="0" applyNumberFormat="0" applyBorder="0" applyAlignment="0" applyProtection="0"/>
    <xf numFmtId="0" fontId="1" fillId="76" borderId="0" applyNumberFormat="0" applyBorder="0" applyAlignment="0" applyProtection="0"/>
    <xf numFmtId="0" fontId="1" fillId="72" borderId="0" applyNumberFormat="0" applyBorder="0" applyAlignment="0" applyProtection="0"/>
    <xf numFmtId="0" fontId="1" fillId="72" borderId="0" applyNumberFormat="0" applyBorder="0" applyAlignment="0" applyProtection="0"/>
    <xf numFmtId="0" fontId="1" fillId="72" borderId="0" applyNumberFormat="0" applyBorder="0" applyAlignment="0" applyProtection="0"/>
    <xf numFmtId="0" fontId="1" fillId="72" borderId="0" applyNumberFormat="0" applyBorder="0" applyAlignment="0" applyProtection="0"/>
    <xf numFmtId="0" fontId="1" fillId="72" borderId="0" applyNumberFormat="0" applyBorder="0" applyAlignment="0" applyProtection="0"/>
    <xf numFmtId="0" fontId="1" fillId="72" borderId="0" applyNumberFormat="0" applyBorder="0" applyAlignment="0" applyProtection="0"/>
    <xf numFmtId="0" fontId="1" fillId="72" borderId="0" applyNumberFormat="0" applyBorder="0" applyAlignment="0" applyProtection="0"/>
    <xf numFmtId="0" fontId="1" fillId="68" borderId="0" applyNumberFormat="0" applyBorder="0" applyAlignment="0" applyProtection="0"/>
    <xf numFmtId="0" fontId="1" fillId="68" borderId="0" applyNumberFormat="0" applyBorder="0" applyAlignment="0" applyProtection="0"/>
    <xf numFmtId="0" fontId="1" fillId="68" borderId="0" applyNumberFormat="0" applyBorder="0" applyAlignment="0" applyProtection="0"/>
    <xf numFmtId="0" fontId="1" fillId="68" borderId="0" applyNumberFormat="0" applyBorder="0" applyAlignment="0" applyProtection="0"/>
    <xf numFmtId="0" fontId="1" fillId="68" borderId="0" applyNumberFormat="0" applyBorder="0" applyAlignment="0" applyProtection="0"/>
    <xf numFmtId="0" fontId="1" fillId="68" borderId="0" applyNumberFormat="0" applyBorder="0" applyAlignment="0" applyProtection="0"/>
    <xf numFmtId="0" fontId="1" fillId="68" borderId="0" applyNumberFormat="0" applyBorder="0" applyAlignment="0" applyProtection="0"/>
    <xf numFmtId="0" fontId="1" fillId="68" borderId="0" applyNumberFormat="0" applyBorder="0" applyAlignment="0" applyProtection="0"/>
    <xf numFmtId="0" fontId="1" fillId="64" borderId="0" applyNumberFormat="0" applyBorder="0" applyAlignment="0" applyProtection="0"/>
    <xf numFmtId="0" fontId="1" fillId="64" borderId="0" applyNumberFormat="0" applyBorder="0" applyAlignment="0" applyProtection="0"/>
    <xf numFmtId="0" fontId="1" fillId="64" borderId="0" applyNumberFormat="0" applyBorder="0" applyAlignment="0" applyProtection="0"/>
    <xf numFmtId="0" fontId="1" fillId="64" borderId="0" applyNumberFormat="0" applyBorder="0" applyAlignment="0" applyProtection="0"/>
    <xf numFmtId="0" fontId="1" fillId="64" borderId="0" applyNumberFormat="0" applyBorder="0" applyAlignment="0" applyProtection="0"/>
    <xf numFmtId="0" fontId="1" fillId="60" borderId="0" applyNumberFormat="0" applyBorder="0" applyAlignment="0" applyProtection="0"/>
    <xf numFmtId="0" fontId="1" fillId="60" borderId="0" applyNumberFormat="0" applyBorder="0" applyAlignment="0" applyProtection="0"/>
    <xf numFmtId="0" fontId="1" fillId="60" borderId="0" applyNumberFormat="0" applyBorder="0" applyAlignment="0" applyProtection="0"/>
    <xf numFmtId="0" fontId="1" fillId="60" borderId="0" applyNumberFormat="0" applyBorder="0" applyAlignment="0" applyProtection="0"/>
    <xf numFmtId="0" fontId="1" fillId="60" borderId="0" applyNumberFormat="0" applyBorder="0" applyAlignment="0" applyProtection="0"/>
    <xf numFmtId="0" fontId="1" fillId="69" borderId="0" applyNumberFormat="0" applyBorder="0" applyAlignment="0" applyProtection="0"/>
    <xf numFmtId="0" fontId="1" fillId="69" borderId="0" applyNumberFormat="0" applyBorder="0" applyAlignment="0" applyProtection="0"/>
    <xf numFmtId="0" fontId="1" fillId="69" borderId="0" applyNumberFormat="0" applyBorder="0" applyAlignment="0" applyProtection="0"/>
    <xf numFmtId="0" fontId="1" fillId="69" borderId="0" applyNumberFormat="0" applyBorder="0" applyAlignment="0" applyProtection="0"/>
    <xf numFmtId="0" fontId="1" fillId="69" borderId="0" applyNumberFormat="0" applyBorder="0" applyAlignment="0" applyProtection="0"/>
    <xf numFmtId="0" fontId="1" fillId="73" borderId="0" applyNumberFormat="0" applyBorder="0" applyAlignment="0" applyProtection="0"/>
    <xf numFmtId="0" fontId="1" fillId="73" borderId="0" applyNumberFormat="0" applyBorder="0" applyAlignment="0" applyProtection="0"/>
    <xf numFmtId="0" fontId="1" fillId="73" borderId="0" applyNumberFormat="0" applyBorder="0" applyAlignment="0" applyProtection="0"/>
    <xf numFmtId="0" fontId="1" fillId="73" borderId="0" applyNumberFormat="0" applyBorder="0" applyAlignment="0" applyProtection="0"/>
    <xf numFmtId="0" fontId="1" fillId="73" borderId="0" applyNumberFormat="0" applyBorder="0" applyAlignment="0" applyProtection="0"/>
    <xf numFmtId="0" fontId="1" fillId="73" borderId="0" applyNumberFormat="0" applyBorder="0" applyAlignment="0" applyProtection="0"/>
    <xf numFmtId="0" fontId="1" fillId="73" borderId="0" applyNumberFormat="0" applyBorder="0" applyAlignment="0" applyProtection="0"/>
    <xf numFmtId="0" fontId="1" fillId="77" borderId="0" applyNumberFormat="0" applyBorder="0" applyAlignment="0" applyProtection="0"/>
    <xf numFmtId="0" fontId="1" fillId="77" borderId="0" applyNumberFormat="0" applyBorder="0" applyAlignment="0" applyProtection="0"/>
    <xf numFmtId="0" fontId="1" fillId="77" borderId="0" applyNumberFormat="0" applyBorder="0" applyAlignment="0" applyProtection="0"/>
    <xf numFmtId="0" fontId="1" fillId="77" borderId="0" applyNumberFormat="0" applyBorder="0" applyAlignment="0" applyProtection="0"/>
    <xf numFmtId="0" fontId="1" fillId="77" borderId="0" applyNumberFormat="0" applyBorder="0" applyAlignment="0" applyProtection="0"/>
    <xf numFmtId="0" fontId="1" fillId="77" borderId="0" applyNumberFormat="0" applyBorder="0" applyAlignment="0" applyProtection="0"/>
    <xf numFmtId="0" fontId="1" fillId="77" borderId="0" applyNumberFormat="0" applyBorder="0" applyAlignment="0" applyProtection="0"/>
    <xf numFmtId="0" fontId="1" fillId="81" borderId="0" applyNumberFormat="0" applyBorder="0" applyAlignment="0" applyProtection="0"/>
    <xf numFmtId="0" fontId="1" fillId="81" borderId="0" applyNumberFormat="0" applyBorder="0" applyAlignment="0" applyProtection="0"/>
    <xf numFmtId="0" fontId="1" fillId="81" borderId="0" applyNumberFormat="0" applyBorder="0" applyAlignment="0" applyProtection="0"/>
    <xf numFmtId="0" fontId="1" fillId="81" borderId="0" applyNumberFormat="0" applyBorder="0" applyAlignment="0" applyProtection="0"/>
    <xf numFmtId="0" fontId="1" fillId="81" borderId="0" applyNumberFormat="0" applyBorder="0" applyAlignment="0" applyProtection="0"/>
    <xf numFmtId="0" fontId="1" fillId="81" borderId="0" applyNumberFormat="0" applyBorder="0" applyAlignment="0" applyProtection="0"/>
    <xf numFmtId="0" fontId="1" fillId="81" borderId="0" applyNumberFormat="0" applyBorder="0" applyAlignment="0" applyProtection="0"/>
    <xf numFmtId="0" fontId="1" fillId="58" borderId="104" applyNumberFormat="0" applyFont="0" applyAlignment="0" applyProtection="0"/>
    <xf numFmtId="0" fontId="1" fillId="58" borderId="104" applyNumberFormat="0" applyFont="0" applyAlignment="0" applyProtection="0"/>
    <xf numFmtId="0" fontId="1" fillId="58" borderId="104" applyNumberFormat="0" applyFont="0" applyAlignment="0" applyProtection="0"/>
    <xf numFmtId="0" fontId="1" fillId="58" borderId="104" applyNumberFormat="0" applyFont="0" applyAlignment="0" applyProtection="0"/>
    <xf numFmtId="0" fontId="1" fillId="58" borderId="104" applyNumberFormat="0" applyFont="0" applyAlignment="0" applyProtection="0"/>
    <xf numFmtId="0" fontId="1" fillId="58" borderId="104" applyNumberFormat="0" applyFont="0" applyAlignment="0" applyProtection="0"/>
    <xf numFmtId="0" fontId="1" fillId="58" borderId="104" applyNumberFormat="0" applyFont="0" applyAlignment="0" applyProtection="0"/>
    <xf numFmtId="0" fontId="1" fillId="58" borderId="104" applyNumberFormat="0" applyFont="0" applyAlignment="0" applyProtection="0"/>
    <xf numFmtId="0" fontId="1" fillId="58" borderId="104" applyNumberFormat="0" applyFont="0" applyAlignment="0" applyProtection="0"/>
    <xf numFmtId="0" fontId="1" fillId="58" borderId="104" applyNumberFormat="0" applyFont="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0" fontId="1" fillId="0" borderId="0"/>
    <xf numFmtId="0" fontId="1" fillId="0" borderId="0"/>
    <xf numFmtId="165" fontId="1" fillId="0" borderId="0" applyFont="0" applyFill="0" applyBorder="0" applyAlignment="0" applyProtection="0"/>
    <xf numFmtId="9" fontId="1" fillId="0" borderId="0" applyFont="0" applyFill="0" applyBorder="0" applyAlignment="0" applyProtection="0"/>
    <xf numFmtId="165" fontId="1" fillId="0" borderId="0" applyFont="0" applyFill="0" applyBorder="0" applyAlignment="0" applyProtection="0"/>
    <xf numFmtId="0" fontId="1" fillId="0" borderId="0"/>
    <xf numFmtId="9" fontId="1" fillId="0" borderId="0" applyFont="0" applyFill="0" applyBorder="0" applyAlignment="0" applyProtection="0"/>
    <xf numFmtId="0" fontId="1" fillId="0" borderId="0"/>
    <xf numFmtId="0" fontId="1" fillId="0" borderId="0"/>
    <xf numFmtId="0" fontId="1" fillId="0" borderId="0"/>
    <xf numFmtId="165" fontId="1" fillId="0" borderId="0" applyFont="0" applyFill="0" applyBorder="0" applyAlignment="0" applyProtection="0"/>
    <xf numFmtId="9" fontId="1" fillId="0" borderId="0" applyFont="0" applyFill="0" applyBorder="0" applyAlignment="0" applyProtection="0"/>
    <xf numFmtId="165" fontId="1" fillId="0" borderId="0" applyFont="0" applyFill="0" applyBorder="0" applyAlignment="0" applyProtection="0"/>
    <xf numFmtId="0" fontId="1" fillId="0" borderId="0"/>
    <xf numFmtId="9" fontId="1" fillId="0" borderId="0" applyFont="0" applyFill="0" applyBorder="0" applyAlignment="0" applyProtection="0"/>
    <xf numFmtId="0" fontId="1" fillId="0" borderId="0"/>
    <xf numFmtId="0" fontId="1" fillId="0" borderId="0"/>
    <xf numFmtId="0" fontId="1" fillId="0" borderId="0"/>
    <xf numFmtId="165" fontId="1" fillId="0" borderId="0" applyFont="0" applyFill="0" applyBorder="0" applyAlignment="0" applyProtection="0"/>
    <xf numFmtId="9" fontId="1" fillId="0" borderId="0" applyFont="0" applyFill="0" applyBorder="0" applyAlignment="0" applyProtection="0"/>
    <xf numFmtId="165" fontId="1" fillId="0" borderId="0" applyFont="0" applyFill="0" applyBorder="0" applyAlignment="0" applyProtection="0"/>
    <xf numFmtId="0" fontId="1" fillId="0" borderId="0"/>
    <xf numFmtId="9" fontId="1" fillId="0" borderId="0" applyFont="0" applyFill="0" applyBorder="0" applyAlignment="0" applyProtection="0"/>
    <xf numFmtId="0" fontId="1" fillId="0" borderId="0"/>
    <xf numFmtId="0" fontId="1" fillId="0" borderId="0"/>
    <xf numFmtId="0" fontId="1" fillId="0" borderId="0"/>
    <xf numFmtId="165" fontId="1" fillId="0" borderId="0" applyFont="0" applyFill="0" applyBorder="0" applyAlignment="0" applyProtection="0"/>
    <xf numFmtId="9" fontId="1" fillId="0" borderId="0" applyFont="0" applyFill="0" applyBorder="0" applyAlignment="0" applyProtection="0"/>
    <xf numFmtId="165" fontId="1" fillId="0" borderId="0" applyFont="0" applyFill="0" applyBorder="0" applyAlignment="0" applyProtection="0"/>
    <xf numFmtId="0" fontId="1" fillId="0" borderId="0"/>
    <xf numFmtId="9" fontId="1" fillId="0" borderId="0" applyFont="0" applyFill="0" applyBorder="0" applyAlignment="0" applyProtection="0"/>
    <xf numFmtId="0" fontId="1" fillId="0" borderId="0"/>
    <xf numFmtId="0" fontId="1" fillId="0" borderId="0"/>
    <xf numFmtId="0" fontId="1" fillId="0" borderId="0"/>
    <xf numFmtId="165" fontId="1" fillId="0" borderId="0" applyFont="0" applyFill="0" applyBorder="0" applyAlignment="0" applyProtection="0"/>
    <xf numFmtId="9" fontId="1" fillId="0" borderId="0" applyFont="0" applyFill="0" applyBorder="0" applyAlignment="0" applyProtection="0"/>
    <xf numFmtId="165" fontId="1" fillId="0" borderId="0" applyFont="0" applyFill="0" applyBorder="0" applyAlignment="0" applyProtection="0"/>
    <xf numFmtId="0" fontId="1" fillId="0" borderId="0"/>
    <xf numFmtId="9" fontId="1" fillId="0" borderId="0" applyFont="0" applyFill="0" applyBorder="0" applyAlignment="0" applyProtection="0"/>
    <xf numFmtId="0" fontId="1" fillId="0" borderId="0"/>
    <xf numFmtId="0" fontId="1" fillId="0" borderId="0"/>
    <xf numFmtId="0" fontId="1" fillId="0" borderId="0"/>
    <xf numFmtId="165" fontId="1" fillId="0" borderId="0" applyFont="0" applyFill="0" applyBorder="0" applyAlignment="0" applyProtection="0"/>
    <xf numFmtId="9" fontId="1" fillId="0" borderId="0" applyFont="0" applyFill="0" applyBorder="0" applyAlignment="0" applyProtection="0"/>
    <xf numFmtId="165" fontId="1" fillId="0" borderId="0" applyFont="0" applyFill="0" applyBorder="0" applyAlignment="0" applyProtection="0"/>
    <xf numFmtId="0" fontId="1" fillId="0" borderId="0"/>
    <xf numFmtId="9" fontId="1" fillId="0" borderId="0" applyFont="0" applyFill="0" applyBorder="0" applyAlignment="0" applyProtection="0"/>
    <xf numFmtId="0" fontId="1" fillId="0" borderId="0"/>
    <xf numFmtId="165" fontId="1" fillId="0" borderId="0" applyFont="0" applyFill="0" applyBorder="0" applyAlignment="0" applyProtection="0"/>
    <xf numFmtId="9" fontId="1" fillId="0" borderId="0" applyFont="0" applyFill="0" applyBorder="0" applyAlignment="0" applyProtection="0"/>
    <xf numFmtId="0" fontId="1" fillId="0" borderId="0"/>
    <xf numFmtId="165" fontId="1" fillId="0" borderId="0" applyFont="0" applyFill="0" applyBorder="0" applyAlignment="0" applyProtection="0"/>
    <xf numFmtId="9" fontId="1" fillId="0" borderId="0" applyFont="0" applyFill="0" applyBorder="0" applyAlignment="0" applyProtection="0"/>
    <xf numFmtId="0" fontId="1" fillId="0" borderId="0"/>
    <xf numFmtId="165" fontId="1" fillId="0" borderId="0" applyFont="0" applyFill="0" applyBorder="0" applyAlignment="0" applyProtection="0"/>
    <xf numFmtId="0" fontId="1" fillId="0" borderId="0"/>
    <xf numFmtId="0" fontId="1" fillId="60" borderId="0" applyNumberFormat="0" applyBorder="0" applyAlignment="0" applyProtection="0"/>
    <xf numFmtId="0" fontId="1" fillId="61" borderId="0" applyNumberFormat="0" applyBorder="0" applyAlignment="0" applyProtection="0"/>
    <xf numFmtId="0" fontId="1" fillId="64" borderId="0" applyNumberFormat="0" applyBorder="0" applyAlignment="0" applyProtection="0"/>
    <xf numFmtId="0" fontId="1" fillId="65" borderId="0" applyNumberFormat="0" applyBorder="0" applyAlignment="0" applyProtection="0"/>
    <xf numFmtId="0" fontId="1" fillId="68" borderId="0" applyNumberFormat="0" applyBorder="0" applyAlignment="0" applyProtection="0"/>
    <xf numFmtId="0" fontId="1" fillId="69" borderId="0" applyNumberFormat="0" applyBorder="0" applyAlignment="0" applyProtection="0"/>
    <xf numFmtId="0" fontId="1" fillId="72" borderId="0" applyNumberFormat="0" applyBorder="0" applyAlignment="0" applyProtection="0"/>
    <xf numFmtId="0" fontId="1" fillId="73" borderId="0" applyNumberFormat="0" applyBorder="0" applyAlignment="0" applyProtection="0"/>
    <xf numFmtId="0" fontId="1" fillId="76" borderId="0" applyNumberFormat="0" applyBorder="0" applyAlignment="0" applyProtection="0"/>
    <xf numFmtId="0" fontId="1" fillId="77" borderId="0" applyNumberFormat="0" applyBorder="0" applyAlignment="0" applyProtection="0"/>
    <xf numFmtId="0" fontId="1" fillId="80" borderId="0" applyNumberFormat="0" applyBorder="0" applyAlignment="0" applyProtection="0"/>
    <xf numFmtId="0" fontId="1" fillId="81" borderId="0" applyNumberFormat="0" applyBorder="0" applyAlignment="0" applyProtection="0"/>
    <xf numFmtId="0" fontId="1" fillId="60" borderId="0" applyNumberFormat="0" applyBorder="0" applyAlignment="0" applyProtection="0"/>
    <xf numFmtId="0" fontId="1" fillId="64" borderId="0" applyNumberFormat="0" applyBorder="0" applyAlignment="0" applyProtection="0"/>
    <xf numFmtId="0" fontId="1" fillId="60" borderId="0" applyNumberFormat="0" applyBorder="0" applyAlignment="0" applyProtection="0"/>
    <xf numFmtId="0" fontId="1" fillId="64" borderId="0" applyNumberFormat="0" applyBorder="0" applyAlignment="0" applyProtection="0"/>
    <xf numFmtId="0" fontId="1" fillId="60" borderId="0" applyNumberFormat="0" applyBorder="0" applyAlignment="0" applyProtection="0"/>
    <xf numFmtId="0" fontId="1" fillId="69" borderId="0" applyNumberFormat="0" applyBorder="0" applyAlignment="0" applyProtection="0"/>
    <xf numFmtId="0" fontId="1" fillId="69" borderId="0" applyNumberFormat="0" applyBorder="0" applyAlignment="0" applyProtection="0"/>
    <xf numFmtId="0" fontId="1" fillId="65" borderId="0" applyNumberFormat="0" applyBorder="0" applyAlignment="0" applyProtection="0"/>
    <xf numFmtId="0" fontId="1" fillId="65" borderId="0" applyNumberFormat="0" applyBorder="0" applyAlignment="0" applyProtection="0"/>
    <xf numFmtId="0" fontId="1" fillId="65" borderId="0" applyNumberFormat="0" applyBorder="0" applyAlignment="0" applyProtection="0"/>
    <xf numFmtId="0" fontId="1" fillId="65" borderId="0" applyNumberFormat="0" applyBorder="0" applyAlignment="0" applyProtection="0"/>
    <xf numFmtId="0" fontId="1" fillId="65" borderId="0" applyNumberFormat="0" applyBorder="0" applyAlignment="0" applyProtection="0"/>
    <xf numFmtId="0" fontId="1" fillId="65" borderId="0" applyNumberFormat="0" applyBorder="0" applyAlignment="0" applyProtection="0"/>
    <xf numFmtId="0" fontId="1" fillId="65" borderId="0" applyNumberFormat="0" applyBorder="0" applyAlignment="0" applyProtection="0"/>
    <xf numFmtId="0" fontId="1" fillId="61" borderId="0" applyNumberFormat="0" applyBorder="0" applyAlignment="0" applyProtection="0"/>
    <xf numFmtId="0" fontId="1" fillId="61" borderId="0" applyNumberFormat="0" applyBorder="0" applyAlignment="0" applyProtection="0"/>
    <xf numFmtId="0" fontId="1" fillId="61" borderId="0" applyNumberFormat="0" applyBorder="0" applyAlignment="0" applyProtection="0"/>
    <xf numFmtId="0" fontId="1" fillId="61" borderId="0" applyNumberFormat="0" applyBorder="0" applyAlignment="0" applyProtection="0"/>
    <xf numFmtId="0" fontId="1" fillId="61" borderId="0" applyNumberFormat="0" applyBorder="0" applyAlignment="0" applyProtection="0"/>
    <xf numFmtId="0" fontId="1" fillId="61" borderId="0" applyNumberFormat="0" applyBorder="0" applyAlignment="0" applyProtection="0"/>
    <xf numFmtId="0" fontId="1" fillId="61" borderId="0" applyNumberFormat="0" applyBorder="0" applyAlignment="0" applyProtection="0"/>
    <xf numFmtId="0" fontId="1" fillId="80" borderId="0" applyNumberFormat="0" applyBorder="0" applyAlignment="0" applyProtection="0"/>
    <xf numFmtId="0" fontId="1" fillId="80" borderId="0" applyNumberFormat="0" applyBorder="0" applyAlignment="0" applyProtection="0"/>
    <xf numFmtId="0" fontId="1" fillId="80" borderId="0" applyNumberFormat="0" applyBorder="0" applyAlignment="0" applyProtection="0"/>
    <xf numFmtId="0" fontId="1" fillId="80" borderId="0" applyNumberFormat="0" applyBorder="0" applyAlignment="0" applyProtection="0"/>
    <xf numFmtId="0" fontId="1" fillId="80" borderId="0" applyNumberFormat="0" applyBorder="0" applyAlignment="0" applyProtection="0"/>
    <xf numFmtId="0" fontId="1" fillId="80" borderId="0" applyNumberFormat="0" applyBorder="0" applyAlignment="0" applyProtection="0"/>
    <xf numFmtId="0" fontId="1" fillId="80" borderId="0" applyNumberFormat="0" applyBorder="0" applyAlignment="0" applyProtection="0"/>
    <xf numFmtId="0" fontId="1" fillId="76" borderId="0" applyNumberFormat="0" applyBorder="0" applyAlignment="0" applyProtection="0"/>
    <xf numFmtId="0" fontId="1" fillId="76" borderId="0" applyNumberFormat="0" applyBorder="0" applyAlignment="0" applyProtection="0"/>
    <xf numFmtId="0" fontId="1" fillId="76" borderId="0" applyNumberFormat="0" applyBorder="0" applyAlignment="0" applyProtection="0"/>
    <xf numFmtId="0" fontId="1" fillId="76" borderId="0" applyNumberFormat="0" applyBorder="0" applyAlignment="0" applyProtection="0"/>
    <xf numFmtId="0" fontId="1" fillId="76" borderId="0" applyNumberFormat="0" applyBorder="0" applyAlignment="0" applyProtection="0"/>
    <xf numFmtId="0" fontId="1" fillId="76" borderId="0" applyNumberFormat="0" applyBorder="0" applyAlignment="0" applyProtection="0"/>
    <xf numFmtId="0" fontId="1" fillId="76" borderId="0" applyNumberFormat="0" applyBorder="0" applyAlignment="0" applyProtection="0"/>
    <xf numFmtId="0" fontId="1" fillId="72" borderId="0" applyNumberFormat="0" applyBorder="0" applyAlignment="0" applyProtection="0"/>
    <xf numFmtId="0" fontId="1" fillId="72" borderId="0" applyNumberFormat="0" applyBorder="0" applyAlignment="0" applyProtection="0"/>
    <xf numFmtId="0" fontId="1" fillId="72" borderId="0" applyNumberFormat="0" applyBorder="0" applyAlignment="0" applyProtection="0"/>
    <xf numFmtId="0" fontId="1" fillId="72" borderId="0" applyNumberFormat="0" applyBorder="0" applyAlignment="0" applyProtection="0"/>
    <xf numFmtId="0" fontId="1" fillId="72" borderId="0" applyNumberFormat="0" applyBorder="0" applyAlignment="0" applyProtection="0"/>
    <xf numFmtId="0" fontId="1" fillId="72" borderId="0" applyNumberFormat="0" applyBorder="0" applyAlignment="0" applyProtection="0"/>
    <xf numFmtId="0" fontId="1" fillId="72" borderId="0" applyNumberFormat="0" applyBorder="0" applyAlignment="0" applyProtection="0"/>
    <xf numFmtId="0" fontId="1" fillId="68" borderId="0" applyNumberFormat="0" applyBorder="0" applyAlignment="0" applyProtection="0"/>
    <xf numFmtId="0" fontId="1" fillId="68" borderId="0" applyNumberFormat="0" applyBorder="0" applyAlignment="0" applyProtection="0"/>
    <xf numFmtId="0" fontId="1" fillId="68" borderId="0" applyNumberFormat="0" applyBorder="0" applyAlignment="0" applyProtection="0"/>
    <xf numFmtId="0" fontId="1" fillId="68" borderId="0" applyNumberFormat="0" applyBorder="0" applyAlignment="0" applyProtection="0"/>
    <xf numFmtId="0" fontId="1" fillId="68" borderId="0" applyNumberFormat="0" applyBorder="0" applyAlignment="0" applyProtection="0"/>
    <xf numFmtId="0" fontId="1" fillId="68" borderId="0" applyNumberFormat="0" applyBorder="0" applyAlignment="0" applyProtection="0"/>
    <xf numFmtId="0" fontId="1" fillId="68" borderId="0" applyNumberFormat="0" applyBorder="0" applyAlignment="0" applyProtection="0"/>
    <xf numFmtId="0" fontId="1" fillId="68" borderId="0" applyNumberFormat="0" applyBorder="0" applyAlignment="0" applyProtection="0"/>
    <xf numFmtId="0" fontId="1" fillId="64" borderId="0" applyNumberFormat="0" applyBorder="0" applyAlignment="0" applyProtection="0"/>
    <xf numFmtId="0" fontId="1" fillId="64" borderId="0" applyNumberFormat="0" applyBorder="0" applyAlignment="0" applyProtection="0"/>
    <xf numFmtId="0" fontId="1" fillId="64" borderId="0" applyNumberFormat="0" applyBorder="0" applyAlignment="0" applyProtection="0"/>
    <xf numFmtId="0" fontId="1" fillId="64" borderId="0" applyNumberFormat="0" applyBorder="0" applyAlignment="0" applyProtection="0"/>
    <xf numFmtId="0" fontId="1" fillId="64" borderId="0" applyNumberFormat="0" applyBorder="0" applyAlignment="0" applyProtection="0"/>
    <xf numFmtId="0" fontId="1" fillId="60" borderId="0" applyNumberFormat="0" applyBorder="0" applyAlignment="0" applyProtection="0"/>
    <xf numFmtId="0" fontId="1" fillId="60" borderId="0" applyNumberFormat="0" applyBorder="0" applyAlignment="0" applyProtection="0"/>
    <xf numFmtId="0" fontId="1" fillId="60" borderId="0" applyNumberFormat="0" applyBorder="0" applyAlignment="0" applyProtection="0"/>
    <xf numFmtId="0" fontId="1" fillId="60" borderId="0" applyNumberFormat="0" applyBorder="0" applyAlignment="0" applyProtection="0"/>
    <xf numFmtId="0" fontId="1" fillId="60" borderId="0" applyNumberFormat="0" applyBorder="0" applyAlignment="0" applyProtection="0"/>
    <xf numFmtId="0" fontId="1" fillId="69" borderId="0" applyNumberFormat="0" applyBorder="0" applyAlignment="0" applyProtection="0"/>
    <xf numFmtId="0" fontId="1" fillId="69" borderId="0" applyNumberFormat="0" applyBorder="0" applyAlignment="0" applyProtection="0"/>
    <xf numFmtId="0" fontId="1" fillId="69" borderId="0" applyNumberFormat="0" applyBorder="0" applyAlignment="0" applyProtection="0"/>
    <xf numFmtId="0" fontId="1" fillId="69" borderId="0" applyNumberFormat="0" applyBorder="0" applyAlignment="0" applyProtection="0"/>
    <xf numFmtId="0" fontId="1" fillId="69" borderId="0" applyNumberFormat="0" applyBorder="0" applyAlignment="0" applyProtection="0"/>
    <xf numFmtId="0" fontId="1" fillId="73" borderId="0" applyNumberFormat="0" applyBorder="0" applyAlignment="0" applyProtection="0"/>
    <xf numFmtId="0" fontId="1" fillId="73" borderId="0" applyNumberFormat="0" applyBorder="0" applyAlignment="0" applyProtection="0"/>
    <xf numFmtId="0" fontId="1" fillId="73" borderId="0" applyNumberFormat="0" applyBorder="0" applyAlignment="0" applyProtection="0"/>
    <xf numFmtId="0" fontId="1" fillId="73" borderId="0" applyNumberFormat="0" applyBorder="0" applyAlignment="0" applyProtection="0"/>
    <xf numFmtId="0" fontId="1" fillId="73" borderId="0" applyNumberFormat="0" applyBorder="0" applyAlignment="0" applyProtection="0"/>
    <xf numFmtId="0" fontId="1" fillId="73" borderId="0" applyNumberFormat="0" applyBorder="0" applyAlignment="0" applyProtection="0"/>
    <xf numFmtId="0" fontId="1" fillId="73" borderId="0" applyNumberFormat="0" applyBorder="0" applyAlignment="0" applyProtection="0"/>
    <xf numFmtId="0" fontId="1" fillId="77" borderId="0" applyNumberFormat="0" applyBorder="0" applyAlignment="0" applyProtection="0"/>
    <xf numFmtId="0" fontId="1" fillId="77" borderId="0" applyNumberFormat="0" applyBorder="0" applyAlignment="0" applyProtection="0"/>
    <xf numFmtId="0" fontId="1" fillId="77" borderId="0" applyNumberFormat="0" applyBorder="0" applyAlignment="0" applyProtection="0"/>
    <xf numFmtId="0" fontId="1" fillId="77" borderId="0" applyNumberFormat="0" applyBorder="0" applyAlignment="0" applyProtection="0"/>
    <xf numFmtId="0" fontId="1" fillId="77" borderId="0" applyNumberFormat="0" applyBorder="0" applyAlignment="0" applyProtection="0"/>
    <xf numFmtId="0" fontId="1" fillId="77" borderId="0" applyNumberFormat="0" applyBorder="0" applyAlignment="0" applyProtection="0"/>
    <xf numFmtId="0" fontId="1" fillId="77" borderId="0" applyNumberFormat="0" applyBorder="0" applyAlignment="0" applyProtection="0"/>
    <xf numFmtId="0" fontId="1" fillId="81" borderId="0" applyNumberFormat="0" applyBorder="0" applyAlignment="0" applyProtection="0"/>
    <xf numFmtId="0" fontId="1" fillId="81" borderId="0" applyNumberFormat="0" applyBorder="0" applyAlignment="0" applyProtection="0"/>
    <xf numFmtId="0" fontId="1" fillId="81" borderId="0" applyNumberFormat="0" applyBorder="0" applyAlignment="0" applyProtection="0"/>
    <xf numFmtId="0" fontId="1" fillId="81" borderId="0" applyNumberFormat="0" applyBorder="0" applyAlignment="0" applyProtection="0"/>
    <xf numFmtId="0" fontId="1" fillId="81" borderId="0" applyNumberFormat="0" applyBorder="0" applyAlignment="0" applyProtection="0"/>
    <xf numFmtId="0" fontId="1" fillId="81" borderId="0" applyNumberFormat="0" applyBorder="0" applyAlignment="0" applyProtection="0"/>
    <xf numFmtId="0" fontId="1" fillId="81" borderId="0" applyNumberFormat="0" applyBorder="0" applyAlignment="0" applyProtection="0"/>
    <xf numFmtId="0" fontId="1" fillId="58" borderId="104" applyNumberFormat="0" applyFont="0" applyAlignment="0" applyProtection="0"/>
    <xf numFmtId="0" fontId="1" fillId="58" borderId="104" applyNumberFormat="0" applyFont="0" applyAlignment="0" applyProtection="0"/>
    <xf numFmtId="0" fontId="1" fillId="58" borderId="104" applyNumberFormat="0" applyFont="0" applyAlignment="0" applyProtection="0"/>
    <xf numFmtId="0" fontId="1" fillId="58" borderId="104" applyNumberFormat="0" applyFont="0" applyAlignment="0" applyProtection="0"/>
    <xf numFmtId="0" fontId="1" fillId="58" borderId="104" applyNumberFormat="0" applyFont="0" applyAlignment="0" applyProtection="0"/>
    <xf numFmtId="0" fontId="1" fillId="58" borderId="104" applyNumberFormat="0" applyFont="0" applyAlignment="0" applyProtection="0"/>
    <xf numFmtId="0" fontId="1" fillId="58" borderId="104" applyNumberFormat="0" applyFont="0" applyAlignment="0" applyProtection="0"/>
    <xf numFmtId="0" fontId="1" fillId="58" borderId="104" applyNumberFormat="0" applyFont="0" applyAlignment="0" applyProtection="0"/>
    <xf numFmtId="0" fontId="1" fillId="58" borderId="104" applyNumberFormat="0" applyFont="0" applyAlignment="0" applyProtection="0"/>
    <xf numFmtId="0" fontId="1" fillId="58" borderId="104" applyNumberFormat="0" applyFont="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0" fontId="265" fillId="0" borderId="0" applyNumberFormat="0" applyFill="0" applyBorder="0" applyAlignment="0" applyProtection="0"/>
    <xf numFmtId="0" fontId="10" fillId="0" borderId="0"/>
    <xf numFmtId="0" fontId="10" fillId="0" borderId="0"/>
  </cellStyleXfs>
  <cellXfs count="3174">
    <xf numFmtId="0" fontId="0" fillId="0" borderId="0" xfId="0"/>
    <xf numFmtId="0" fontId="0" fillId="0" borderId="0" xfId="0" applyBorder="1"/>
    <xf numFmtId="0" fontId="12" fillId="0" borderId="0" xfId="0" applyFont="1"/>
    <xf numFmtId="0" fontId="0" fillId="0" borderId="0" xfId="0" applyFill="1" applyBorder="1"/>
    <xf numFmtId="0" fontId="0" fillId="0" borderId="0" xfId="0" applyAlignment="1">
      <alignment horizontal="center"/>
    </xf>
    <xf numFmtId="0" fontId="0" fillId="0" borderId="0" xfId="0" applyBorder="1" applyAlignment="1">
      <alignment horizontal="center"/>
    </xf>
    <xf numFmtId="0" fontId="0" fillId="0" borderId="0" xfId="0" applyAlignment="1">
      <alignment horizontal="left"/>
    </xf>
    <xf numFmtId="2" fontId="12" fillId="0" borderId="0" xfId="0" applyNumberFormat="1" applyFont="1" applyAlignment="1">
      <alignment horizontal="left"/>
    </xf>
    <xf numFmtId="0" fontId="12" fillId="0" borderId="0" xfId="0" applyFont="1" applyBorder="1" applyAlignment="1">
      <alignment horizontal="left"/>
    </xf>
    <xf numFmtId="0" fontId="0" fillId="0" borderId="0" xfId="0" applyFill="1"/>
    <xf numFmtId="0" fontId="0" fillId="0" borderId="0" xfId="0" applyFill="1" applyBorder="1" applyAlignment="1">
      <alignment horizontal="left" wrapText="1"/>
    </xf>
    <xf numFmtId="0" fontId="0" fillId="0" borderId="0" xfId="0" applyFont="1"/>
    <xf numFmtId="2" fontId="0" fillId="0" borderId="0" xfId="0" applyNumberFormat="1"/>
    <xf numFmtId="0" fontId="0" fillId="0" borderId="0" xfId="0" applyAlignment="1">
      <alignment wrapText="1"/>
    </xf>
    <xf numFmtId="0" fontId="11" fillId="0" borderId="0" xfId="0" applyFont="1"/>
    <xf numFmtId="0" fontId="33" fillId="28" borderId="15" xfId="0" applyFont="1" applyFill="1" applyBorder="1" applyAlignment="1">
      <alignment horizontal="left" vertical="top" wrapText="1"/>
    </xf>
    <xf numFmtId="0" fontId="32" fillId="29" borderId="16" xfId="0" applyFont="1" applyFill="1" applyBorder="1" applyAlignment="1">
      <alignment horizontal="left" vertical="center" wrapText="1"/>
    </xf>
    <xf numFmtId="0" fontId="0" fillId="30" borderId="0" xfId="0" applyFill="1"/>
    <xf numFmtId="0" fontId="33" fillId="37" borderId="15" xfId="0" applyFont="1" applyFill="1" applyBorder="1" applyAlignment="1">
      <alignment horizontal="left" vertical="center" wrapText="1"/>
    </xf>
    <xf numFmtId="0" fontId="33" fillId="37" borderId="15" xfId="0" applyFont="1" applyFill="1" applyBorder="1" applyAlignment="1">
      <alignment horizontal="right" vertical="center" wrapText="1"/>
    </xf>
    <xf numFmtId="0" fontId="33" fillId="37" borderId="18" xfId="0" applyFont="1" applyFill="1" applyBorder="1" applyAlignment="1">
      <alignment horizontal="right" vertical="center" wrapText="1"/>
    </xf>
    <xf numFmtId="0" fontId="33" fillId="37" borderId="15" xfId="0" applyFont="1" applyFill="1" applyBorder="1" applyAlignment="1">
      <alignment horizontal="center" vertical="center" wrapText="1"/>
    </xf>
    <xf numFmtId="0" fontId="0" fillId="0" borderId="19" xfId="0" applyBorder="1"/>
    <xf numFmtId="0" fontId="0" fillId="0" borderId="20" xfId="0" applyBorder="1"/>
    <xf numFmtId="0" fontId="0" fillId="0" borderId="0" xfId="0" applyAlignment="1">
      <alignment horizontal="right"/>
    </xf>
    <xf numFmtId="0" fontId="32" fillId="29" borderId="21" xfId="0" applyFont="1" applyFill="1" applyBorder="1" applyAlignment="1">
      <alignment horizontal="left" vertical="center" wrapText="1"/>
    </xf>
    <xf numFmtId="0" fontId="32" fillId="38" borderId="21" xfId="0" applyFont="1" applyFill="1" applyBorder="1" applyAlignment="1">
      <alignment horizontal="right" vertical="center" wrapText="1"/>
    </xf>
    <xf numFmtId="0" fontId="0" fillId="0" borderId="20" xfId="0" applyFill="1" applyBorder="1"/>
    <xf numFmtId="0" fontId="32" fillId="37" borderId="16" xfId="0" applyFont="1" applyFill="1" applyBorder="1" applyAlignment="1">
      <alignment horizontal="left" vertical="center" wrapText="1"/>
    </xf>
    <xf numFmtId="0" fontId="32" fillId="39" borderId="16" xfId="0" applyFont="1" applyFill="1" applyBorder="1" applyAlignment="1">
      <alignment horizontal="left" vertical="center" wrapText="1"/>
    </xf>
    <xf numFmtId="0" fontId="0" fillId="0" borderId="16" xfId="0" applyBorder="1"/>
    <xf numFmtId="0" fontId="37" fillId="0" borderId="0" xfId="0" applyFont="1"/>
    <xf numFmtId="0" fontId="0" fillId="40" borderId="0" xfId="0" applyFill="1"/>
    <xf numFmtId="2" fontId="0" fillId="0" borderId="20" xfId="0" applyNumberFormat="1" applyBorder="1"/>
    <xf numFmtId="0" fontId="0" fillId="0" borderId="19" xfId="0" applyFill="1" applyBorder="1"/>
    <xf numFmtId="0" fontId="0" fillId="0" borderId="22" xfId="0" applyBorder="1"/>
    <xf numFmtId="171" fontId="0" fillId="0" borderId="0" xfId="0" applyNumberFormat="1"/>
    <xf numFmtId="0" fontId="83" fillId="0" borderId="0" xfId="0" applyFont="1"/>
    <xf numFmtId="0" fontId="84" fillId="0" borderId="0" xfId="0" applyFont="1"/>
    <xf numFmtId="0" fontId="81" fillId="0" borderId="0" xfId="543"/>
    <xf numFmtId="0" fontId="81" fillId="0" borderId="0" xfId="543" applyFont="1"/>
    <xf numFmtId="0" fontId="44" fillId="31" borderId="0" xfId="543" applyFont="1" applyFill="1"/>
    <xf numFmtId="0" fontId="81" fillId="30" borderId="0" xfId="543" applyFill="1"/>
    <xf numFmtId="0" fontId="81" fillId="0" borderId="0" xfId="543" applyFont="1" applyFill="1"/>
    <xf numFmtId="0" fontId="81" fillId="0" borderId="0" xfId="543" applyFont="1" applyAlignment="1">
      <alignment horizontal="right"/>
    </xf>
    <xf numFmtId="0" fontId="44" fillId="0" borderId="0" xfId="543" applyFont="1" applyFill="1"/>
    <xf numFmtId="0" fontId="32" fillId="28" borderId="25" xfId="543" applyFont="1" applyFill="1" applyBorder="1" applyAlignment="1">
      <alignment horizontal="left" wrapText="1"/>
    </xf>
    <xf numFmtId="0" fontId="32" fillId="28" borderId="25" xfId="543" applyFont="1" applyFill="1" applyBorder="1" applyAlignment="1">
      <alignment horizontal="right" wrapText="1"/>
    </xf>
    <xf numFmtId="0" fontId="32" fillId="42" borderId="0" xfId="543" applyFont="1" applyFill="1"/>
    <xf numFmtId="174" fontId="12" fillId="0" borderId="0" xfId="0" applyNumberFormat="1" applyFont="1"/>
    <xf numFmtId="174" fontId="0" fillId="0" borderId="0" xfId="0" applyNumberFormat="1"/>
    <xf numFmtId="174" fontId="32" fillId="29" borderId="16" xfId="0" applyNumberFormat="1" applyFont="1" applyFill="1" applyBorder="1" applyAlignment="1">
      <alignment horizontal="left" vertical="center" wrapText="1"/>
    </xf>
    <xf numFmtId="174" fontId="33" fillId="28" borderId="15" xfId="0" quotePrefix="1" applyNumberFormat="1" applyFont="1" applyFill="1" applyBorder="1" applyAlignment="1">
      <alignment horizontal="left" vertical="top" wrapText="1"/>
    </xf>
    <xf numFmtId="174" fontId="11" fillId="0" borderId="0" xfId="0" applyNumberFormat="1" applyFont="1" applyFill="1" applyBorder="1" applyAlignment="1">
      <alignment horizontal="left"/>
    </xf>
    <xf numFmtId="174" fontId="12" fillId="0" borderId="0" xfId="0" applyNumberFormat="1" applyFont="1" applyFill="1" applyBorder="1" applyAlignment="1">
      <alignment horizontal="left" wrapText="1"/>
    </xf>
    <xf numFmtId="174" fontId="0" fillId="0" borderId="0" xfId="0" applyNumberFormat="1" applyFill="1"/>
    <xf numFmtId="174" fontId="0" fillId="0" borderId="20" xfId="0" applyNumberFormat="1" applyBorder="1"/>
    <xf numFmtId="174" fontId="0" fillId="0" borderId="20" xfId="0" applyNumberFormat="1" applyFill="1" applyBorder="1"/>
    <xf numFmtId="174" fontId="0" fillId="0" borderId="0" xfId="0" applyNumberFormat="1" applyBorder="1"/>
    <xf numFmtId="174" fontId="0" fillId="0" borderId="0" xfId="0" applyNumberFormat="1" applyFill="1" applyBorder="1"/>
    <xf numFmtId="174" fontId="0" fillId="0" borderId="0" xfId="0" applyNumberFormat="1" applyFill="1" applyBorder="1" applyAlignment="1">
      <alignment wrapText="1"/>
    </xf>
    <xf numFmtId="174" fontId="0" fillId="0" borderId="0" xfId="0" applyNumberFormat="1" applyAlignment="1">
      <alignment horizontal="left"/>
    </xf>
    <xf numFmtId="174" fontId="0" fillId="0" borderId="0" xfId="0" applyNumberFormat="1" applyBorder="1" applyAlignment="1">
      <alignment horizontal="left"/>
    </xf>
    <xf numFmtId="174" fontId="0" fillId="0" borderId="20" xfId="0" applyNumberFormat="1" applyBorder="1" applyAlignment="1">
      <alignment horizontal="left"/>
    </xf>
    <xf numFmtId="0" fontId="81" fillId="0" borderId="0" xfId="543" applyFont="1" applyFill="1" applyAlignment="1">
      <alignment horizontal="right"/>
    </xf>
    <xf numFmtId="0" fontId="32" fillId="44" borderId="16" xfId="0" applyFont="1" applyFill="1" applyBorder="1" applyAlignment="1">
      <alignment horizontal="left" vertical="center" wrapText="1"/>
    </xf>
    <xf numFmtId="0" fontId="32" fillId="45" borderId="16" xfId="0" applyFont="1" applyFill="1" applyBorder="1" applyAlignment="1">
      <alignment horizontal="left" vertical="center" wrapText="1"/>
    </xf>
    <xf numFmtId="0" fontId="32" fillId="46" borderId="16" xfId="0" applyFont="1" applyFill="1" applyBorder="1" applyAlignment="1">
      <alignment horizontal="left" vertical="center" wrapText="1"/>
    </xf>
    <xf numFmtId="0" fontId="37" fillId="0" borderId="26" xfId="0" applyNumberFormat="1" applyFont="1" applyBorder="1"/>
    <xf numFmtId="0" fontId="0" fillId="0" borderId="27" xfId="0" applyBorder="1"/>
    <xf numFmtId="167" fontId="0" fillId="0" borderId="27" xfId="0" applyNumberFormat="1" applyBorder="1"/>
    <xf numFmtId="167" fontId="0" fillId="0" borderId="28" xfId="0" applyNumberFormat="1" applyBorder="1"/>
    <xf numFmtId="0" fontId="0" fillId="0" borderId="29" xfId="0" applyNumberFormat="1" applyBorder="1"/>
    <xf numFmtId="167" fontId="0" fillId="0" borderId="0" xfId="0" applyNumberFormat="1" applyBorder="1"/>
    <xf numFmtId="167" fontId="0" fillId="0" borderId="30" xfId="0" applyNumberFormat="1" applyBorder="1"/>
    <xf numFmtId="2" fontId="48" fillId="32" borderId="31" xfId="553" applyNumberFormat="1" applyFont="1" applyFill="1" applyBorder="1" applyAlignment="1">
      <alignment horizontal="center"/>
    </xf>
    <xf numFmtId="2" fontId="48" fillId="32" borderId="32" xfId="553" applyNumberFormat="1" applyFont="1" applyFill="1" applyBorder="1" applyAlignment="1">
      <alignment horizontal="center"/>
    </xf>
    <xf numFmtId="0" fontId="48" fillId="32" borderId="32" xfId="553" applyFont="1" applyFill="1" applyBorder="1" applyAlignment="1">
      <alignment horizontal="center"/>
    </xf>
    <xf numFmtId="0" fontId="48" fillId="32" borderId="33" xfId="553" applyFont="1" applyFill="1" applyBorder="1" applyAlignment="1">
      <alignment horizontal="center"/>
    </xf>
    <xf numFmtId="0" fontId="48" fillId="32" borderId="34" xfId="553" applyFont="1" applyFill="1" applyBorder="1" applyAlignment="1">
      <alignment horizontal="center"/>
    </xf>
    <xf numFmtId="0" fontId="48" fillId="32" borderId="35" xfId="553" applyFont="1" applyFill="1" applyBorder="1" applyAlignment="1">
      <alignment horizontal="center"/>
    </xf>
    <xf numFmtId="0" fontId="0" fillId="0" borderId="36" xfId="0" applyBorder="1"/>
    <xf numFmtId="0" fontId="0" fillId="0" borderId="37" xfId="0" applyBorder="1"/>
    <xf numFmtId="0" fontId="49" fillId="32" borderId="38" xfId="553" applyFont="1" applyFill="1" applyBorder="1" applyAlignment="1">
      <alignment horizontal="center"/>
    </xf>
    <xf numFmtId="0" fontId="49" fillId="32" borderId="39" xfId="553" applyFont="1" applyFill="1" applyBorder="1" applyAlignment="1">
      <alignment horizontal="center"/>
    </xf>
    <xf numFmtId="0" fontId="49" fillId="32" borderId="40" xfId="553" applyFont="1" applyFill="1" applyBorder="1" applyAlignment="1">
      <alignment horizontal="center"/>
    </xf>
    <xf numFmtId="0" fontId="49" fillId="32" borderId="41" xfId="553" applyFont="1" applyFill="1" applyBorder="1" applyAlignment="1">
      <alignment horizontal="center"/>
    </xf>
    <xf numFmtId="0" fontId="48" fillId="0" borderId="42" xfId="553" applyFont="1" applyFill="1" applyBorder="1" applyAlignment="1">
      <alignment wrapText="1"/>
    </xf>
    <xf numFmtId="0" fontId="48" fillId="0" borderId="43" xfId="553" applyFont="1" applyFill="1" applyBorder="1" applyAlignment="1">
      <alignment wrapText="1"/>
    </xf>
    <xf numFmtId="3" fontId="0" fillId="0" borderId="44" xfId="0" applyNumberFormat="1" applyBorder="1"/>
    <xf numFmtId="9" fontId="0" fillId="0" borderId="16" xfId="844" applyFont="1" applyBorder="1"/>
    <xf numFmtId="3" fontId="0" fillId="0" borderId="16" xfId="0" applyNumberFormat="1" applyBorder="1"/>
    <xf numFmtId="9" fontId="0" fillId="0" borderId="17" xfId="844" applyFont="1" applyBorder="1"/>
    <xf numFmtId="0" fontId="48" fillId="0" borderId="45" xfId="553" applyFont="1" applyFill="1" applyBorder="1" applyAlignment="1">
      <alignment wrapText="1"/>
    </xf>
    <xf numFmtId="0" fontId="48" fillId="0" borderId="46" xfId="553" applyFont="1" applyFill="1" applyBorder="1" applyAlignment="1">
      <alignment wrapText="1"/>
    </xf>
    <xf numFmtId="0" fontId="0" fillId="0" borderId="28" xfId="0" applyBorder="1"/>
    <xf numFmtId="175" fontId="0" fillId="0" borderId="26" xfId="35" applyNumberFormat="1" applyFont="1" applyBorder="1"/>
    <xf numFmtId="9" fontId="0" fillId="0" borderId="28" xfId="844" applyFont="1" applyBorder="1"/>
    <xf numFmtId="9" fontId="0" fillId="0" borderId="47" xfId="844" applyFont="1" applyBorder="1"/>
    <xf numFmtId="0" fontId="48" fillId="0" borderId="48" xfId="553" applyFont="1" applyFill="1" applyBorder="1" applyAlignment="1">
      <alignment wrapText="1"/>
    </xf>
    <xf numFmtId="2" fontId="48" fillId="0" borderId="11" xfId="553" applyNumberFormat="1" applyFont="1" applyFill="1" applyBorder="1" applyAlignment="1"/>
    <xf numFmtId="0" fontId="0" fillId="0" borderId="49" xfId="0" applyBorder="1"/>
    <xf numFmtId="3" fontId="48" fillId="0" borderId="19" xfId="553" applyNumberFormat="1" applyFont="1" applyFill="1" applyBorder="1" applyAlignment="1">
      <alignment horizontal="right" wrapText="1"/>
    </xf>
    <xf numFmtId="9" fontId="0" fillId="0" borderId="0" xfId="844" applyFont="1" applyBorder="1"/>
    <xf numFmtId="3" fontId="48" fillId="0" borderId="0" xfId="553" applyNumberFormat="1" applyBorder="1"/>
    <xf numFmtId="9" fontId="0" fillId="0" borderId="22" xfId="844" applyFont="1" applyBorder="1"/>
    <xf numFmtId="0" fontId="48" fillId="0" borderId="50" xfId="553" applyFont="1" applyFill="1" applyBorder="1" applyAlignment="1">
      <alignment wrapText="1"/>
    </xf>
    <xf numFmtId="0" fontId="0" fillId="0" borderId="51" xfId="0" applyBorder="1"/>
    <xf numFmtId="175" fontId="0" fillId="0" borderId="29" xfId="35" applyNumberFormat="1" applyFont="1" applyBorder="1"/>
    <xf numFmtId="9" fontId="0" fillId="0" borderId="30" xfId="844" applyFont="1" applyBorder="1"/>
    <xf numFmtId="9" fontId="0" fillId="0" borderId="52" xfId="844" applyFont="1" applyBorder="1"/>
    <xf numFmtId="3" fontId="48" fillId="0" borderId="0" xfId="553" applyNumberFormat="1" applyFont="1" applyFill="1" applyBorder="1" applyAlignment="1">
      <alignment horizontal="right" wrapText="1"/>
    </xf>
    <xf numFmtId="0" fontId="48" fillId="0" borderId="11" xfId="553" applyFont="1" applyFill="1" applyBorder="1" applyAlignment="1">
      <alignment wrapText="1"/>
    </xf>
    <xf numFmtId="0" fontId="0" fillId="0" borderId="30" xfId="0" applyBorder="1"/>
    <xf numFmtId="3" fontId="48" fillId="0" borderId="19" xfId="553" applyNumberFormat="1" applyBorder="1"/>
    <xf numFmtId="2" fontId="48" fillId="0" borderId="53" xfId="553" applyNumberFormat="1" applyFont="1" applyFill="1" applyBorder="1" applyAlignment="1"/>
    <xf numFmtId="0" fontId="0" fillId="0" borderId="54" xfId="0" applyBorder="1"/>
    <xf numFmtId="175" fontId="0" fillId="0" borderId="55" xfId="35" applyNumberFormat="1" applyFont="1" applyBorder="1"/>
    <xf numFmtId="9" fontId="0" fillId="0" borderId="56" xfId="844" applyFont="1" applyBorder="1"/>
    <xf numFmtId="9" fontId="0" fillId="0" borderId="57" xfId="844" applyFont="1" applyBorder="1"/>
    <xf numFmtId="9" fontId="0" fillId="0" borderId="0" xfId="0" applyNumberFormat="1"/>
    <xf numFmtId="175" fontId="0" fillId="0" borderId="0" xfId="0" applyNumberFormat="1"/>
    <xf numFmtId="0" fontId="48" fillId="0" borderId="28" xfId="553" applyFont="1" applyFill="1" applyBorder="1" applyAlignment="1">
      <alignment wrapText="1"/>
    </xf>
    <xf numFmtId="175" fontId="48" fillId="0" borderId="26" xfId="35" applyNumberFormat="1" applyFont="1" applyFill="1" applyBorder="1" applyAlignment="1">
      <alignment horizontal="right" wrapText="1"/>
    </xf>
    <xf numFmtId="9" fontId="48" fillId="0" borderId="28" xfId="844" applyFont="1" applyFill="1" applyBorder="1" applyAlignment="1">
      <alignment horizontal="right" wrapText="1"/>
    </xf>
    <xf numFmtId="175" fontId="48" fillId="0" borderId="27" xfId="35" applyNumberFormat="1" applyFont="1" applyFill="1" applyBorder="1" applyAlignment="1">
      <alignment horizontal="right" wrapText="1"/>
    </xf>
    <xf numFmtId="9" fontId="48" fillId="0" borderId="47" xfId="844" applyFont="1" applyFill="1" applyBorder="1" applyAlignment="1">
      <alignment horizontal="right" wrapText="1"/>
    </xf>
    <xf numFmtId="0" fontId="48" fillId="0" borderId="51" xfId="553" applyFont="1" applyFill="1" applyBorder="1" applyAlignment="1">
      <alignment wrapText="1"/>
    </xf>
    <xf numFmtId="175" fontId="48" fillId="0" borderId="29" xfId="35" applyNumberFormat="1" applyFont="1" applyFill="1" applyBorder="1" applyAlignment="1">
      <alignment horizontal="right" wrapText="1"/>
    </xf>
    <xf numFmtId="9" fontId="48" fillId="0" borderId="30" xfId="844" applyFont="1" applyFill="1" applyBorder="1" applyAlignment="1">
      <alignment horizontal="right" wrapText="1"/>
    </xf>
    <xf numFmtId="175" fontId="48" fillId="0" borderId="0" xfId="35" applyNumberFormat="1" applyFont="1" applyFill="1" applyBorder="1" applyAlignment="1">
      <alignment horizontal="right" wrapText="1"/>
    </xf>
    <xf numFmtId="9" fontId="48" fillId="0" borderId="52" xfId="844" applyFont="1" applyFill="1" applyBorder="1" applyAlignment="1">
      <alignment horizontal="right" wrapText="1"/>
    </xf>
    <xf numFmtId="0" fontId="48" fillId="0" borderId="30" xfId="553" applyFont="1" applyFill="1" applyBorder="1" applyAlignment="1">
      <alignment wrapText="1"/>
    </xf>
    <xf numFmtId="2" fontId="48" fillId="0" borderId="58" xfId="553" applyNumberFormat="1" applyFont="1" applyFill="1" applyBorder="1" applyAlignment="1"/>
    <xf numFmtId="0" fontId="48" fillId="0" borderId="59" xfId="553" applyFont="1" applyFill="1" applyBorder="1" applyAlignment="1">
      <alignment wrapText="1"/>
    </xf>
    <xf numFmtId="0" fontId="49" fillId="0" borderId="60" xfId="553" applyFont="1" applyFill="1" applyBorder="1" applyAlignment="1">
      <alignment wrapText="1"/>
    </xf>
    <xf numFmtId="0" fontId="0" fillId="0" borderId="15" xfId="0" applyBorder="1"/>
    <xf numFmtId="0" fontId="48" fillId="0" borderId="61" xfId="553" applyFont="1" applyFill="1" applyBorder="1" applyAlignment="1">
      <alignment wrapText="1"/>
    </xf>
    <xf numFmtId="175" fontId="49" fillId="0" borderId="62" xfId="35" applyNumberFormat="1" applyFont="1" applyFill="1" applyBorder="1" applyAlignment="1">
      <alignment horizontal="right" wrapText="1"/>
    </xf>
    <xf numFmtId="9" fontId="49" fillId="0" borderId="61" xfId="844" applyFont="1" applyFill="1" applyBorder="1" applyAlignment="1">
      <alignment horizontal="right" wrapText="1"/>
    </xf>
    <xf numFmtId="175" fontId="49" fillId="0" borderId="15" xfId="35" applyNumberFormat="1" applyFont="1" applyFill="1" applyBorder="1" applyAlignment="1">
      <alignment horizontal="right" wrapText="1"/>
    </xf>
    <xf numFmtId="9" fontId="49" fillId="0" borderId="63" xfId="844" applyFont="1" applyFill="1" applyBorder="1" applyAlignment="1">
      <alignment horizontal="right" wrapText="1"/>
    </xf>
    <xf numFmtId="0" fontId="48" fillId="0" borderId="64" xfId="553" applyFont="1" applyFill="1" applyBorder="1" applyAlignment="1">
      <alignment wrapText="1"/>
    </xf>
    <xf numFmtId="2" fontId="48" fillId="0" borderId="65" xfId="553" applyNumberFormat="1" applyFont="1" applyFill="1" applyBorder="1" applyAlignment="1"/>
    <xf numFmtId="0" fontId="0" fillId="0" borderId="66" xfId="0" applyBorder="1"/>
    <xf numFmtId="0" fontId="48" fillId="0" borderId="16" xfId="553" applyFont="1" applyFill="1" applyBorder="1" applyAlignment="1">
      <alignment wrapText="1"/>
    </xf>
    <xf numFmtId="3" fontId="48" fillId="0" borderId="44" xfId="553" applyNumberFormat="1" applyFont="1" applyFill="1" applyBorder="1" applyAlignment="1">
      <alignment horizontal="right" wrapText="1"/>
    </xf>
    <xf numFmtId="9" fontId="48" fillId="0" borderId="16" xfId="844" applyFont="1" applyFill="1" applyBorder="1" applyAlignment="1">
      <alignment horizontal="right" wrapText="1"/>
    </xf>
    <xf numFmtId="3" fontId="48" fillId="0" borderId="16" xfId="553" applyNumberFormat="1" applyFont="1" applyFill="1" applyBorder="1" applyAlignment="1">
      <alignment horizontal="right" wrapText="1"/>
    </xf>
    <xf numFmtId="9" fontId="48" fillId="0" borderId="17" xfId="844" applyFont="1" applyFill="1" applyBorder="1" applyAlignment="1">
      <alignment horizontal="right" wrapText="1"/>
    </xf>
    <xf numFmtId="0" fontId="48" fillId="0" borderId="49" xfId="553" applyFont="1" applyFill="1" applyBorder="1" applyAlignment="1">
      <alignment wrapText="1"/>
    </xf>
    <xf numFmtId="9" fontId="48" fillId="0" borderId="0" xfId="844" applyFont="1" applyFill="1" applyBorder="1" applyAlignment="1">
      <alignment horizontal="right" wrapText="1"/>
    </xf>
    <xf numFmtId="9" fontId="48" fillId="0" borderId="22" xfId="844" applyFont="1" applyFill="1" applyBorder="1" applyAlignment="1">
      <alignment horizontal="right" wrapText="1"/>
    </xf>
    <xf numFmtId="0" fontId="48" fillId="0" borderId="0" xfId="553" applyFont="1" applyFill="1" applyBorder="1" applyAlignment="1">
      <alignment wrapText="1"/>
    </xf>
    <xf numFmtId="0" fontId="49" fillId="0" borderId="67" xfId="553" applyFont="1" applyFill="1" applyBorder="1" applyAlignment="1">
      <alignment wrapText="1"/>
    </xf>
    <xf numFmtId="0" fontId="0" fillId="0" borderId="68" xfId="0" applyBorder="1"/>
    <xf numFmtId="0" fontId="48" fillId="0" borderId="69" xfId="553" applyFont="1" applyFill="1" applyBorder="1" applyAlignment="1">
      <alignment wrapText="1"/>
    </xf>
    <xf numFmtId="175" fontId="49" fillId="0" borderId="70" xfId="35" applyNumberFormat="1" applyFont="1" applyFill="1" applyBorder="1" applyAlignment="1">
      <alignment horizontal="right" wrapText="1"/>
    </xf>
    <xf numFmtId="9" fontId="49" fillId="0" borderId="69" xfId="844" applyFont="1" applyFill="1" applyBorder="1" applyAlignment="1">
      <alignment horizontal="right" wrapText="1"/>
    </xf>
    <xf numFmtId="175" fontId="49" fillId="0" borderId="68" xfId="35" applyNumberFormat="1" applyFont="1" applyFill="1" applyBorder="1" applyAlignment="1">
      <alignment horizontal="right" wrapText="1"/>
    </xf>
    <xf numFmtId="9" fontId="49" fillId="0" borderId="71" xfId="844" applyFont="1" applyFill="1" applyBorder="1" applyAlignment="1">
      <alignment horizontal="right" wrapText="1"/>
    </xf>
    <xf numFmtId="0" fontId="49" fillId="32" borderId="0" xfId="553" applyFont="1" applyFill="1" applyBorder="1" applyAlignment="1">
      <alignment horizontal="center"/>
    </xf>
    <xf numFmtId="0" fontId="48" fillId="0" borderId="66" xfId="553" applyFont="1" applyFill="1" applyBorder="1" applyAlignment="1">
      <alignment wrapText="1"/>
    </xf>
    <xf numFmtId="175" fontId="82" fillId="0" borderId="0" xfId="0" applyNumberFormat="1" applyFont="1"/>
    <xf numFmtId="3" fontId="0" fillId="0" borderId="19" xfId="0" applyNumberFormat="1" applyBorder="1"/>
    <xf numFmtId="3" fontId="0" fillId="0" borderId="0" xfId="0" applyNumberFormat="1" applyBorder="1"/>
    <xf numFmtId="3" fontId="48" fillId="0" borderId="24" xfId="553" applyNumberFormat="1" applyFont="1" applyFill="1" applyBorder="1" applyAlignment="1">
      <alignment horizontal="right" wrapText="1"/>
    </xf>
    <xf numFmtId="9" fontId="48" fillId="0" borderId="20" xfId="844" applyFont="1" applyFill="1" applyBorder="1" applyAlignment="1">
      <alignment horizontal="right" wrapText="1"/>
    </xf>
    <xf numFmtId="3" fontId="48" fillId="0" borderId="20" xfId="553" applyNumberFormat="1" applyFont="1" applyFill="1" applyBorder="1" applyAlignment="1">
      <alignment horizontal="right" wrapText="1"/>
    </xf>
    <xf numFmtId="9" fontId="48" fillId="0" borderId="23" xfId="844" applyFont="1" applyFill="1" applyBorder="1" applyAlignment="1">
      <alignment horizontal="right" wrapText="1"/>
    </xf>
    <xf numFmtId="3" fontId="0" fillId="0" borderId="0" xfId="0" applyNumberFormat="1"/>
    <xf numFmtId="2" fontId="48" fillId="0" borderId="29" xfId="553" applyNumberFormat="1" applyFont="1" applyFill="1" applyBorder="1" applyAlignment="1"/>
    <xf numFmtId="2" fontId="48" fillId="0" borderId="0" xfId="553" applyNumberFormat="1" applyFont="1" applyFill="1" applyBorder="1" applyAlignment="1"/>
    <xf numFmtId="0" fontId="48" fillId="0" borderId="0" xfId="553" applyNumberFormat="1" applyFont="1" applyFill="1" applyBorder="1" applyAlignment="1">
      <alignment horizontal="right"/>
    </xf>
    <xf numFmtId="167" fontId="48" fillId="0" borderId="0" xfId="553" applyNumberFormat="1" applyFont="1" applyFill="1" applyBorder="1" applyAlignment="1">
      <alignment horizontal="right"/>
    </xf>
    <xf numFmtId="167" fontId="48" fillId="0" borderId="30" xfId="553" applyNumberFormat="1" applyFont="1" applyFill="1" applyBorder="1" applyAlignment="1">
      <alignment horizontal="right"/>
    </xf>
    <xf numFmtId="0" fontId="48" fillId="0" borderId="55" xfId="553" applyFont="1" applyFill="1" applyBorder="1" applyAlignment="1">
      <alignment vertical="center"/>
    </xf>
    <xf numFmtId="0" fontId="0" fillId="0" borderId="25" xfId="0" applyBorder="1" applyAlignment="1">
      <alignment vertical="center"/>
    </xf>
    <xf numFmtId="167" fontId="0" fillId="0" borderId="25" xfId="0" applyNumberFormat="1" applyBorder="1" applyAlignment="1">
      <alignment vertical="center"/>
    </xf>
    <xf numFmtId="167" fontId="0" fillId="0" borderId="56" xfId="0" applyNumberFormat="1" applyBorder="1" applyAlignment="1">
      <alignment vertical="center"/>
    </xf>
    <xf numFmtId="0" fontId="85" fillId="0" borderId="19" xfId="0" applyFont="1" applyFill="1" applyBorder="1"/>
    <xf numFmtId="1" fontId="86" fillId="0" borderId="19" xfId="0" applyNumberFormat="1" applyFont="1" applyFill="1" applyBorder="1" applyAlignment="1">
      <alignment horizontal="center"/>
    </xf>
    <xf numFmtId="0" fontId="87" fillId="0" borderId="24" xfId="0" applyFont="1" applyFill="1" applyBorder="1"/>
    <xf numFmtId="1" fontId="82" fillId="0" borderId="24" xfId="0" applyNumberFormat="1" applyFont="1" applyFill="1" applyBorder="1" applyAlignment="1">
      <alignment horizontal="center"/>
    </xf>
    <xf numFmtId="0" fontId="38" fillId="0" borderId="0" xfId="0" applyFont="1"/>
    <xf numFmtId="0" fontId="0" fillId="0" borderId="0" xfId="0" applyFill="1" applyBorder="1" applyAlignment="1">
      <alignment horizontal="center"/>
    </xf>
    <xf numFmtId="1" fontId="86" fillId="0" borderId="72" xfId="0" applyNumberFormat="1" applyFont="1" applyFill="1" applyBorder="1" applyAlignment="1">
      <alignment horizontal="center"/>
    </xf>
    <xf numFmtId="1" fontId="82" fillId="0" borderId="3" xfId="0" applyNumberFormat="1" applyFont="1" applyFill="1" applyBorder="1" applyAlignment="1">
      <alignment horizontal="center"/>
    </xf>
    <xf numFmtId="0" fontId="87" fillId="0" borderId="73" xfId="0" applyFont="1" applyFill="1" applyBorder="1" applyAlignment="1">
      <alignment vertical="center"/>
    </xf>
    <xf numFmtId="1" fontId="82" fillId="0" borderId="73" xfId="0" applyNumberFormat="1" applyFont="1" applyFill="1" applyBorder="1" applyAlignment="1">
      <alignment horizontal="center" vertical="center"/>
    </xf>
    <xf numFmtId="0" fontId="0" fillId="0" borderId="73" xfId="0" applyBorder="1"/>
    <xf numFmtId="9" fontId="0" fillId="0" borderId="72" xfId="844" applyFont="1" applyBorder="1"/>
    <xf numFmtId="0" fontId="0" fillId="0" borderId="3" xfId="0" applyBorder="1"/>
    <xf numFmtId="0" fontId="0" fillId="0" borderId="44" xfId="0" applyBorder="1"/>
    <xf numFmtId="0" fontId="38" fillId="0" borderId="16" xfId="0" applyFont="1" applyBorder="1"/>
    <xf numFmtId="0" fontId="38" fillId="0" borderId="17" xfId="0" applyFont="1" applyBorder="1"/>
    <xf numFmtId="0" fontId="38" fillId="0" borderId="19" xfId="0" applyFont="1" applyBorder="1"/>
    <xf numFmtId="0" fontId="38" fillId="0" borderId="24" xfId="0" applyFont="1" applyBorder="1"/>
    <xf numFmtId="175" fontId="0" fillId="0" borderId="0" xfId="0" applyNumberFormat="1" applyBorder="1"/>
    <xf numFmtId="175" fontId="0" fillId="0" borderId="20" xfId="0" applyNumberFormat="1" applyBorder="1"/>
    <xf numFmtId="0" fontId="38" fillId="0" borderId="73" xfId="0" applyFont="1" applyBorder="1"/>
    <xf numFmtId="175" fontId="0" fillId="0" borderId="72" xfId="0" applyNumberFormat="1" applyBorder="1"/>
    <xf numFmtId="175" fontId="0" fillId="0" borderId="3" xfId="0" applyNumberFormat="1" applyBorder="1"/>
    <xf numFmtId="9" fontId="0" fillId="0" borderId="20" xfId="844" applyFont="1" applyBorder="1"/>
    <xf numFmtId="9" fontId="0" fillId="0" borderId="23" xfId="844" applyFont="1" applyBorder="1"/>
    <xf numFmtId="0" fontId="87" fillId="0" borderId="19" xfId="0" applyFont="1" applyFill="1" applyBorder="1"/>
    <xf numFmtId="1" fontId="82" fillId="0" borderId="19" xfId="0" applyNumberFormat="1" applyFont="1" applyFill="1" applyBorder="1" applyAlignment="1">
      <alignment horizontal="center"/>
    </xf>
    <xf numFmtId="9" fontId="0" fillId="0" borderId="73" xfId="844" applyFont="1" applyBorder="1"/>
    <xf numFmtId="0" fontId="87" fillId="0" borderId="44" xfId="223" applyFont="1" applyFill="1" applyBorder="1"/>
    <xf numFmtId="1" fontId="82" fillId="0" borderId="44" xfId="0" applyNumberFormat="1" applyFont="1" applyFill="1" applyBorder="1" applyAlignment="1">
      <alignment horizontal="center"/>
    </xf>
    <xf numFmtId="0" fontId="87" fillId="0" borderId="73" xfId="223" applyFont="1" applyFill="1" applyBorder="1" applyAlignment="1">
      <alignment vertical="center"/>
    </xf>
    <xf numFmtId="1" fontId="82" fillId="0" borderId="44" xfId="0" applyNumberFormat="1" applyFont="1" applyFill="1" applyBorder="1" applyAlignment="1">
      <alignment horizontal="center" vertical="center"/>
    </xf>
    <xf numFmtId="0" fontId="87" fillId="0" borderId="3" xfId="223" applyFont="1" applyFill="1" applyBorder="1" applyAlignment="1">
      <alignment vertical="center"/>
    </xf>
    <xf numFmtId="1" fontId="82" fillId="0" borderId="24" xfId="0" applyNumberFormat="1" applyFont="1" applyFill="1" applyBorder="1" applyAlignment="1">
      <alignment horizontal="center" vertical="center"/>
    </xf>
    <xf numFmtId="0" fontId="38" fillId="0" borderId="0" xfId="0" applyFont="1" applyAlignment="1">
      <alignment horizontal="center"/>
    </xf>
    <xf numFmtId="1" fontId="86" fillId="0" borderId="24" xfId="0" applyNumberFormat="1" applyFont="1" applyFill="1" applyBorder="1" applyAlignment="1">
      <alignment horizontal="center"/>
    </xf>
    <xf numFmtId="1" fontId="0" fillId="0" borderId="19" xfId="0" applyNumberFormat="1" applyFill="1" applyBorder="1" applyAlignment="1">
      <alignment horizontal="center"/>
    </xf>
    <xf numFmtId="1" fontId="0" fillId="0" borderId="44" xfId="0" applyNumberFormat="1" applyFill="1" applyBorder="1" applyAlignment="1">
      <alignment horizontal="center"/>
    </xf>
    <xf numFmtId="1" fontId="0" fillId="0" borderId="24" xfId="0" applyNumberFormat="1" applyFill="1" applyBorder="1" applyAlignment="1">
      <alignment horizontal="center"/>
    </xf>
    <xf numFmtId="0" fontId="88" fillId="0" borderId="44" xfId="0" applyFont="1" applyFill="1" applyBorder="1"/>
    <xf numFmtId="0" fontId="85" fillId="0" borderId="24" xfId="0" applyFont="1" applyFill="1" applyBorder="1"/>
    <xf numFmtId="0" fontId="88" fillId="0" borderId="24" xfId="0" applyFont="1" applyFill="1" applyBorder="1"/>
    <xf numFmtId="0" fontId="88" fillId="0" borderId="44" xfId="223" applyFont="1" applyFill="1" applyBorder="1"/>
    <xf numFmtId="0" fontId="88" fillId="0" borderId="19" xfId="0" applyFont="1" applyFill="1" applyBorder="1"/>
    <xf numFmtId="0" fontId="85" fillId="0" borderId="0" xfId="0" applyFont="1" applyFill="1" applyBorder="1"/>
    <xf numFmtId="9" fontId="0" fillId="0" borderId="73" xfId="0" applyNumberFormat="1" applyBorder="1"/>
    <xf numFmtId="9" fontId="0" fillId="0" borderId="3" xfId="844" applyFont="1" applyBorder="1"/>
    <xf numFmtId="9" fontId="0" fillId="0" borderId="72" xfId="0" applyNumberFormat="1" applyBorder="1"/>
    <xf numFmtId="9" fontId="89" fillId="0" borderId="0" xfId="844" applyFont="1"/>
    <xf numFmtId="0" fontId="76" fillId="0" borderId="0" xfId="533" applyFont="1" applyAlignment="1" applyProtection="1">
      <alignment horizontal="left"/>
      <protection locked="0"/>
    </xf>
    <xf numFmtId="0" fontId="76" fillId="0" borderId="0" xfId="533" applyAlignment="1" applyProtection="1">
      <alignment horizontal="right"/>
      <protection locked="0"/>
    </xf>
    <xf numFmtId="1" fontId="0" fillId="0" borderId="0" xfId="0" applyNumberFormat="1"/>
    <xf numFmtId="167" fontId="0" fillId="0" borderId="0" xfId="0" applyNumberFormat="1"/>
    <xf numFmtId="0" fontId="0" fillId="47" borderId="19" xfId="0" applyFill="1" applyBorder="1"/>
    <xf numFmtId="0" fontId="0" fillId="47" borderId="0" xfId="0" applyFill="1" applyBorder="1"/>
    <xf numFmtId="0" fontId="0" fillId="47" borderId="22" xfId="0" applyFill="1" applyBorder="1"/>
    <xf numFmtId="1" fontId="0" fillId="47" borderId="0" xfId="0" applyNumberFormat="1" applyFill="1" applyBorder="1" applyAlignment="1">
      <alignment horizontal="right"/>
    </xf>
    <xf numFmtId="1" fontId="0" fillId="47" borderId="22" xfId="0" applyNumberFormat="1" applyFill="1" applyBorder="1" applyAlignment="1">
      <alignment horizontal="right"/>
    </xf>
    <xf numFmtId="1" fontId="76" fillId="47" borderId="0" xfId="533" applyNumberFormat="1" applyFill="1" applyBorder="1" applyAlignment="1">
      <alignment horizontal="right"/>
    </xf>
    <xf numFmtId="1" fontId="76" fillId="47" borderId="0" xfId="533" applyNumberFormat="1" applyFont="1" applyFill="1" applyBorder="1" applyAlignment="1" applyProtection="1">
      <alignment horizontal="right"/>
      <protection locked="0"/>
    </xf>
    <xf numFmtId="0" fontId="76" fillId="47" borderId="0" xfId="533" applyFont="1" applyFill="1" applyBorder="1" applyAlignment="1" applyProtection="1">
      <alignment horizontal="left"/>
      <protection locked="0"/>
    </xf>
    <xf numFmtId="0" fontId="76" fillId="47" borderId="0" xfId="533" applyFill="1" applyBorder="1" applyAlignment="1" applyProtection="1">
      <alignment horizontal="right"/>
      <protection locked="0"/>
    </xf>
    <xf numFmtId="0" fontId="0" fillId="47" borderId="24" xfId="0" applyFill="1" applyBorder="1"/>
    <xf numFmtId="0" fontId="76" fillId="47" borderId="20" xfId="533" applyFill="1" applyBorder="1"/>
    <xf numFmtId="0" fontId="0" fillId="47" borderId="23" xfId="0" applyFill="1" applyBorder="1"/>
    <xf numFmtId="0" fontId="76" fillId="47" borderId="0" xfId="533" applyFill="1" applyBorder="1"/>
    <xf numFmtId="0" fontId="76" fillId="47" borderId="0" xfId="533" applyFont="1" applyFill="1" applyBorder="1" applyAlignment="1" applyProtection="1">
      <alignment horizontal="right"/>
      <protection locked="0"/>
    </xf>
    <xf numFmtId="167" fontId="0" fillId="47" borderId="22" xfId="0" applyNumberFormat="1" applyFill="1" applyBorder="1" applyAlignment="1">
      <alignment horizontal="right"/>
    </xf>
    <xf numFmtId="0" fontId="0" fillId="47" borderId="20" xfId="0" applyFill="1" applyBorder="1"/>
    <xf numFmtId="0" fontId="38" fillId="0" borderId="0" xfId="0" applyFont="1" applyFill="1" applyBorder="1"/>
    <xf numFmtId="172" fontId="0" fillId="0" borderId="0" xfId="0" applyNumberFormat="1"/>
    <xf numFmtId="0" fontId="0" fillId="0" borderId="20" xfId="0" applyBorder="1" applyAlignment="1" applyProtection="1">
      <alignment horizontal="center" vertical="center"/>
    </xf>
    <xf numFmtId="176" fontId="0" fillId="0" borderId="0" xfId="0" applyNumberFormat="1" applyBorder="1" applyAlignment="1" applyProtection="1">
      <alignment vertical="center"/>
    </xf>
    <xf numFmtId="0" fontId="0" fillId="38" borderId="0" xfId="0" applyFill="1"/>
    <xf numFmtId="0" fontId="0" fillId="38" borderId="17" xfId="0" applyFill="1" applyBorder="1"/>
    <xf numFmtId="0" fontId="0" fillId="38" borderId="0" xfId="0" applyFill="1" applyBorder="1"/>
    <xf numFmtId="0" fontId="0" fillId="38" borderId="22" xfId="0" applyFill="1" applyBorder="1"/>
    <xf numFmtId="0" fontId="0" fillId="38" borderId="19" xfId="0" applyFill="1" applyBorder="1"/>
    <xf numFmtId="0" fontId="0" fillId="38" borderId="16" xfId="0" applyFill="1" applyBorder="1"/>
    <xf numFmtId="0" fontId="0" fillId="38" borderId="24" xfId="0" applyFill="1" applyBorder="1"/>
    <xf numFmtId="0" fontId="0" fillId="47" borderId="44" xfId="0" applyFill="1" applyBorder="1"/>
    <xf numFmtId="0" fontId="38" fillId="47" borderId="19" xfId="0" applyFont="1" applyFill="1" applyBorder="1"/>
    <xf numFmtId="0" fontId="52" fillId="47" borderId="0" xfId="0" applyFont="1" applyFill="1" applyBorder="1"/>
    <xf numFmtId="0" fontId="52" fillId="47" borderId="22" xfId="0" applyFont="1" applyFill="1" applyBorder="1"/>
    <xf numFmtId="0" fontId="52" fillId="47" borderId="19" xfId="0" applyFont="1" applyFill="1" applyBorder="1"/>
    <xf numFmtId="0" fontId="52" fillId="47" borderId="24" xfId="0" applyFont="1" applyFill="1" applyBorder="1"/>
    <xf numFmtId="1" fontId="89" fillId="0" borderId="0" xfId="0" applyNumberFormat="1" applyFont="1"/>
    <xf numFmtId="9" fontId="89" fillId="0" borderId="0" xfId="0" applyNumberFormat="1" applyFont="1"/>
    <xf numFmtId="2" fontId="38" fillId="0" borderId="0" xfId="0" applyNumberFormat="1" applyFont="1" applyFill="1"/>
    <xf numFmtId="172" fontId="0" fillId="0" borderId="20" xfId="0" applyNumberFormat="1" applyBorder="1"/>
    <xf numFmtId="2" fontId="89" fillId="0" borderId="0" xfId="0" applyNumberFormat="1" applyFont="1"/>
    <xf numFmtId="0" fontId="89" fillId="0" borderId="0" xfId="0" applyFont="1"/>
    <xf numFmtId="172" fontId="0" fillId="0" borderId="0" xfId="0" applyNumberFormat="1" applyBorder="1"/>
    <xf numFmtId="0" fontId="89" fillId="0" borderId="20" xfId="0" applyFont="1" applyBorder="1"/>
    <xf numFmtId="0" fontId="89" fillId="0" borderId="0" xfId="0" applyFont="1" applyBorder="1"/>
    <xf numFmtId="172" fontId="0" fillId="0" borderId="20" xfId="0" applyNumberFormat="1" applyFill="1" applyBorder="1"/>
    <xf numFmtId="0" fontId="0" fillId="48" borderId="0" xfId="0" applyFill="1"/>
    <xf numFmtId="2" fontId="0" fillId="0" borderId="0" xfId="0" applyNumberFormat="1" applyBorder="1"/>
    <xf numFmtId="174" fontId="37" fillId="0" borderId="0" xfId="0" applyNumberFormat="1" applyFont="1" applyFill="1" applyBorder="1"/>
    <xf numFmtId="14" fontId="0" fillId="0" borderId="0" xfId="0" applyNumberFormat="1" applyFill="1" applyAlignment="1">
      <alignment horizontal="left"/>
    </xf>
    <xf numFmtId="174" fontId="0" fillId="0" borderId="0" xfId="0" applyNumberFormat="1" applyFill="1" applyBorder="1" applyAlignment="1">
      <alignment horizontal="left"/>
    </xf>
    <xf numFmtId="0" fontId="11" fillId="0" borderId="0" xfId="0" applyFont="1" applyFill="1" applyBorder="1" applyAlignment="1">
      <alignment horizontal="left"/>
    </xf>
    <xf numFmtId="0" fontId="38" fillId="0" borderId="0" xfId="0" applyFont="1" applyAlignment="1">
      <alignment horizontal="left"/>
    </xf>
    <xf numFmtId="174" fontId="38" fillId="0" borderId="0" xfId="0" applyNumberFormat="1" applyFont="1" applyFill="1" applyBorder="1" applyAlignment="1">
      <alignment horizontal="left"/>
    </xf>
    <xf numFmtId="14" fontId="38" fillId="0" borderId="0" xfId="0" applyNumberFormat="1" applyFont="1" applyAlignment="1">
      <alignment horizontal="left"/>
    </xf>
    <xf numFmtId="0" fontId="38" fillId="47" borderId="0" xfId="0" applyFont="1" applyFill="1" applyBorder="1"/>
    <xf numFmtId="0" fontId="38" fillId="47" borderId="20" xfId="0" applyFont="1" applyFill="1" applyBorder="1"/>
    <xf numFmtId="0" fontId="38" fillId="47" borderId="24" xfId="0" applyFont="1" applyFill="1" applyBorder="1"/>
    <xf numFmtId="0" fontId="0" fillId="0" borderId="0" xfId="0" applyFont="1" applyFill="1" applyBorder="1"/>
    <xf numFmtId="0" fontId="90" fillId="0" borderId="0" xfId="0" applyFont="1" applyFill="1" applyBorder="1"/>
    <xf numFmtId="0" fontId="82" fillId="0" borderId="76" xfId="0" applyFont="1" applyFill="1" applyBorder="1"/>
    <xf numFmtId="0" fontId="82" fillId="0" borderId="21" xfId="0" applyFont="1" applyFill="1" applyBorder="1"/>
    <xf numFmtId="0" fontId="82" fillId="0" borderId="77" xfId="0" applyFont="1" applyFill="1" applyBorder="1"/>
    <xf numFmtId="0" fontId="91" fillId="0" borderId="19" xfId="0" applyFont="1" applyFill="1" applyBorder="1"/>
    <xf numFmtId="3" fontId="0" fillId="40" borderId="22" xfId="0" applyNumberFormat="1" applyFont="1" applyFill="1" applyBorder="1"/>
    <xf numFmtId="0" fontId="91" fillId="0" borderId="44" xfId="0" applyFont="1" applyFill="1" applyBorder="1"/>
    <xf numFmtId="0" fontId="91" fillId="0" borderId="16" xfId="0" applyFont="1" applyFill="1" applyBorder="1"/>
    <xf numFmtId="3" fontId="82" fillId="40" borderId="73" xfId="0" applyNumberFormat="1" applyFont="1" applyFill="1" applyBorder="1"/>
    <xf numFmtId="2" fontId="0" fillId="38" borderId="0" xfId="0" applyNumberFormat="1" applyFill="1" applyBorder="1"/>
    <xf numFmtId="2" fontId="0" fillId="38" borderId="22" xfId="0" applyNumberFormat="1" applyFill="1" applyBorder="1"/>
    <xf numFmtId="2" fontId="0" fillId="38" borderId="20" xfId="0" applyNumberFormat="1" applyFill="1" applyBorder="1"/>
    <xf numFmtId="2" fontId="0" fillId="38" borderId="23" xfId="0" applyNumberFormat="1" applyFill="1" applyBorder="1"/>
    <xf numFmtId="0" fontId="53" fillId="38" borderId="19" xfId="0" applyFont="1" applyFill="1" applyBorder="1"/>
    <xf numFmtId="0" fontId="0" fillId="0" borderId="72" xfId="0" applyBorder="1"/>
    <xf numFmtId="0" fontId="0" fillId="43" borderId="0" xfId="0" applyFill="1"/>
    <xf numFmtId="0" fontId="11" fillId="43" borderId="0" xfId="0" applyFont="1" applyFill="1"/>
    <xf numFmtId="0" fontId="11" fillId="0" borderId="0" xfId="0" applyFont="1" applyFill="1"/>
    <xf numFmtId="0" fontId="89" fillId="0" borderId="0" xfId="0" applyFont="1" applyFill="1" applyBorder="1"/>
    <xf numFmtId="0" fontId="0" fillId="0" borderId="29" xfId="0" applyBorder="1"/>
    <xf numFmtId="0" fontId="38" fillId="43" borderId="0" xfId="0" applyFont="1" applyFill="1"/>
    <xf numFmtId="4" fontId="11" fillId="33" borderId="0" xfId="850" applyNumberFormat="1" applyFont="1" applyFill="1" applyBorder="1"/>
    <xf numFmtId="4" fontId="11" fillId="33" borderId="20" xfId="850" applyNumberFormat="1" applyFont="1" applyFill="1" applyBorder="1"/>
    <xf numFmtId="4" fontId="11" fillId="33" borderId="21" xfId="850" applyNumberFormat="1" applyFont="1" applyFill="1" applyBorder="1"/>
    <xf numFmtId="0" fontId="11" fillId="0" borderId="16" xfId="0" applyFont="1" applyBorder="1"/>
    <xf numFmtId="0" fontId="11" fillId="0" borderId="28" xfId="0" applyFont="1" applyBorder="1"/>
    <xf numFmtId="0" fontId="0" fillId="0" borderId="17" xfId="0" applyBorder="1"/>
    <xf numFmtId="1" fontId="0" fillId="0" borderId="22" xfId="0" applyNumberFormat="1" applyBorder="1"/>
    <xf numFmtId="1" fontId="0" fillId="0" borderId="0" xfId="0" applyNumberFormat="1" applyBorder="1"/>
    <xf numFmtId="0" fontId="32" fillId="0" borderId="0" xfId="0" applyFont="1" applyFill="1" applyBorder="1" applyAlignment="1">
      <alignment horizontal="left" vertical="center"/>
    </xf>
    <xf numFmtId="0" fontId="0" fillId="0" borderId="82" xfId="0" applyBorder="1"/>
    <xf numFmtId="0" fontId="37" fillId="47" borderId="19" xfId="0" applyFont="1" applyFill="1" applyBorder="1"/>
    <xf numFmtId="0" fontId="61" fillId="35" borderId="20" xfId="552" applyFont="1" applyFill="1" applyBorder="1"/>
    <xf numFmtId="0" fontId="62" fillId="35" borderId="20" xfId="552" applyFont="1" applyFill="1" applyBorder="1"/>
    <xf numFmtId="0" fontId="0" fillId="25" borderId="0" xfId="0" applyFill="1"/>
    <xf numFmtId="180" fontId="61" fillId="25" borderId="0" xfId="0" applyNumberFormat="1" applyFont="1" applyFill="1"/>
    <xf numFmtId="172" fontId="0" fillId="25" borderId="0" xfId="0" applyNumberFormat="1" applyFill="1"/>
    <xf numFmtId="0" fontId="63" fillId="25" borderId="0" xfId="0" applyFont="1" applyFill="1"/>
    <xf numFmtId="2" fontId="0" fillId="25" borderId="0" xfId="0" applyNumberFormat="1" applyFill="1"/>
    <xf numFmtId="2" fontId="61" fillId="25" borderId="0" xfId="0" applyNumberFormat="1" applyFont="1" applyFill="1"/>
    <xf numFmtId="2" fontId="61" fillId="25" borderId="0" xfId="850" applyNumberFormat="1" applyFont="1" applyFill="1"/>
    <xf numFmtId="2" fontId="0" fillId="25" borderId="0" xfId="850" applyNumberFormat="1" applyFont="1" applyFill="1"/>
    <xf numFmtId="9" fontId="0" fillId="25" borderId="0" xfId="850" applyFont="1" applyFill="1"/>
    <xf numFmtId="0" fontId="55" fillId="33" borderId="85" xfId="0" applyFont="1" applyFill="1" applyBorder="1"/>
    <xf numFmtId="0" fontId="54" fillId="33" borderId="86" xfId="0" applyFont="1" applyFill="1" applyBorder="1"/>
    <xf numFmtId="0" fontId="0" fillId="33" borderId="86" xfId="0" applyFill="1" applyBorder="1"/>
    <xf numFmtId="3" fontId="0" fillId="33" borderId="86" xfId="0" applyNumberFormat="1" applyFill="1" applyBorder="1"/>
    <xf numFmtId="0" fontId="0" fillId="33" borderId="87" xfId="0" applyFill="1" applyBorder="1"/>
    <xf numFmtId="0" fontId="37" fillId="33" borderId="88" xfId="0" applyFont="1" applyFill="1" applyBorder="1"/>
    <xf numFmtId="0" fontId="37" fillId="33" borderId="23" xfId="0" applyFont="1" applyFill="1" applyBorder="1"/>
    <xf numFmtId="0" fontId="54" fillId="33" borderId="20" xfId="0" applyFont="1" applyFill="1" applyBorder="1"/>
    <xf numFmtId="0" fontId="54" fillId="33" borderId="89" xfId="0" applyFont="1" applyFill="1" applyBorder="1"/>
    <xf numFmtId="0" fontId="37" fillId="33" borderId="90" xfId="0" applyFont="1" applyFill="1" applyBorder="1"/>
    <xf numFmtId="0" fontId="11" fillId="33" borderId="22" xfId="0" applyFont="1" applyFill="1" applyBorder="1"/>
    <xf numFmtId="4" fontId="56" fillId="33" borderId="0" xfId="850" applyNumberFormat="1" applyFont="1" applyFill="1" applyBorder="1"/>
    <xf numFmtId="4" fontId="56" fillId="33" borderId="30" xfId="850" applyNumberFormat="1" applyFont="1" applyFill="1" applyBorder="1"/>
    <xf numFmtId="0" fontId="11" fillId="33" borderId="90" xfId="0" applyFont="1" applyFill="1" applyBorder="1"/>
    <xf numFmtId="4" fontId="93" fillId="33" borderId="0" xfId="850" applyNumberFormat="1" applyFont="1" applyFill="1" applyBorder="1"/>
    <xf numFmtId="4" fontId="11" fillId="33" borderId="30" xfId="850" applyNumberFormat="1" applyFont="1" applyFill="1" applyBorder="1"/>
    <xf numFmtId="0" fontId="11" fillId="33" borderId="88" xfId="0" applyFont="1" applyFill="1" applyBorder="1"/>
    <xf numFmtId="0" fontId="11" fillId="33" borderId="23" xfId="0" applyFont="1" applyFill="1" applyBorder="1"/>
    <xf numFmtId="4" fontId="56" fillId="33" borderId="20" xfId="850" applyNumberFormat="1" applyFont="1" applyFill="1" applyBorder="1"/>
    <xf numFmtId="4" fontId="56" fillId="33" borderId="89" xfId="850" applyNumberFormat="1" applyFont="1" applyFill="1" applyBorder="1"/>
    <xf numFmtId="4" fontId="11" fillId="33" borderId="89" xfId="850" applyNumberFormat="1" applyFont="1" applyFill="1" applyBorder="1"/>
    <xf numFmtId="0" fontId="11" fillId="33" borderId="77" xfId="0" applyFont="1" applyFill="1" applyBorder="1"/>
    <xf numFmtId="4" fontId="11" fillId="34" borderId="20" xfId="850" applyNumberFormat="1" applyFont="1" applyFill="1" applyBorder="1"/>
    <xf numFmtId="4" fontId="93" fillId="47" borderId="20" xfId="850" applyNumberFormat="1" applyFont="1" applyFill="1" applyBorder="1"/>
    <xf numFmtId="0" fontId="37" fillId="33" borderId="1" xfId="0" applyFont="1" applyFill="1" applyBorder="1"/>
    <xf numFmtId="4" fontId="11" fillId="34" borderId="21" xfId="850" applyNumberFormat="1" applyFont="1" applyFill="1" applyBorder="1"/>
    <xf numFmtId="4" fontId="93" fillId="47" borderId="21" xfId="850" applyNumberFormat="1" applyFont="1" applyFill="1" applyBorder="1"/>
    <xf numFmtId="4" fontId="11" fillId="33" borderId="91" xfId="850" applyNumberFormat="1" applyFont="1" applyFill="1" applyBorder="1"/>
    <xf numFmtId="0" fontId="37" fillId="33" borderId="90" xfId="0" applyFont="1" applyFill="1" applyBorder="1" applyAlignment="1" applyProtection="1">
      <alignment horizontal="left"/>
    </xf>
    <xf numFmtId="0" fontId="11" fillId="33" borderId="90" xfId="0" applyFont="1" applyFill="1" applyBorder="1" applyAlignment="1" applyProtection="1">
      <alignment horizontal="left"/>
    </xf>
    <xf numFmtId="0" fontId="11" fillId="33" borderId="88" xfId="0" applyFont="1" applyFill="1" applyBorder="1" applyAlignment="1" applyProtection="1">
      <alignment horizontal="left"/>
    </xf>
    <xf numFmtId="4" fontId="93" fillId="33" borderId="0" xfId="850" applyNumberFormat="1" applyFont="1" applyFill="1" applyBorder="1" applyAlignment="1">
      <alignment horizontal="right"/>
    </xf>
    <xf numFmtId="4" fontId="11" fillId="43" borderId="0" xfId="850" applyNumberFormat="1" applyFont="1" applyFill="1" applyBorder="1"/>
    <xf numFmtId="0" fontId="37" fillId="33" borderId="88" xfId="0" applyFont="1" applyFill="1" applyBorder="1" applyAlignment="1" applyProtection="1">
      <alignment horizontal="left"/>
    </xf>
    <xf numFmtId="178" fontId="11" fillId="33" borderId="0" xfId="850" applyNumberFormat="1" applyFont="1" applyFill="1" applyBorder="1" applyAlignment="1" applyProtection="1">
      <alignment horizontal="right"/>
      <protection locked="0"/>
    </xf>
    <xf numFmtId="178" fontId="11" fillId="33" borderId="0" xfId="850" applyNumberFormat="1" applyFont="1" applyFill="1" applyBorder="1"/>
    <xf numFmtId="178" fontId="11" fillId="34" borderId="0" xfId="850" applyNumberFormat="1" applyFont="1" applyFill="1" applyBorder="1"/>
    <xf numFmtId="178" fontId="56" fillId="33" borderId="0" xfId="850" applyNumberFormat="1" applyFont="1" applyFill="1" applyBorder="1"/>
    <xf numFmtId="0" fontId="37" fillId="33" borderId="1" xfId="0" applyFont="1" applyFill="1" applyBorder="1" applyAlignment="1" applyProtection="1"/>
    <xf numFmtId="178" fontId="11" fillId="33" borderId="21" xfId="850" applyNumberFormat="1" applyFont="1" applyFill="1" applyBorder="1" applyAlignment="1" applyProtection="1">
      <alignment horizontal="right"/>
      <protection locked="0"/>
    </xf>
    <xf numFmtId="178" fontId="11" fillId="33" borderId="21" xfId="850" applyNumberFormat="1" applyFont="1" applyFill="1" applyBorder="1"/>
    <xf numFmtId="178" fontId="11" fillId="34" borderId="21" xfId="850" applyNumberFormat="1" applyFont="1" applyFill="1" applyBorder="1"/>
    <xf numFmtId="178" fontId="11" fillId="33" borderId="20" xfId="850" applyNumberFormat="1" applyFont="1" applyFill="1" applyBorder="1" applyAlignment="1" applyProtection="1">
      <alignment horizontal="right"/>
      <protection locked="0"/>
    </xf>
    <xf numFmtId="178" fontId="11" fillId="33" borderId="20" xfId="850" applyNumberFormat="1" applyFont="1" applyFill="1" applyBorder="1"/>
    <xf numFmtId="178" fontId="11" fillId="34" borderId="20" xfId="850" applyNumberFormat="1" applyFont="1" applyFill="1" applyBorder="1"/>
    <xf numFmtId="178" fontId="56" fillId="33" borderId="20" xfId="850" applyNumberFormat="1" applyFont="1" applyFill="1" applyBorder="1"/>
    <xf numFmtId="0" fontId="37" fillId="33" borderId="90" xfId="0" applyFont="1" applyFill="1" applyBorder="1" applyProtection="1"/>
    <xf numFmtId="0" fontId="37" fillId="33" borderId="88" xfId="0" applyFont="1" applyFill="1" applyBorder="1" applyProtection="1"/>
    <xf numFmtId="0" fontId="11" fillId="0" borderId="22" xfId="0" applyFont="1" applyFill="1" applyBorder="1"/>
    <xf numFmtId="0" fontId="37" fillId="33" borderId="92" xfId="0" applyFont="1" applyFill="1" applyBorder="1"/>
    <xf numFmtId="0" fontId="11" fillId="33" borderId="93" xfId="0" applyFont="1" applyFill="1" applyBorder="1"/>
    <xf numFmtId="4" fontId="56" fillId="33" borderId="25" xfId="850" applyNumberFormat="1" applyFont="1" applyFill="1" applyBorder="1"/>
    <xf numFmtId="4" fontId="56" fillId="33" borderId="56" xfId="850" applyNumberFormat="1" applyFont="1" applyFill="1" applyBorder="1"/>
    <xf numFmtId="0" fontId="31" fillId="25" borderId="0" xfId="0" applyFont="1" applyFill="1"/>
    <xf numFmtId="0" fontId="11" fillId="0" borderId="0" xfId="0" applyFont="1" applyAlignment="1">
      <alignment horizontal="left"/>
    </xf>
    <xf numFmtId="0" fontId="0" fillId="0" borderId="27" xfId="0" applyFill="1" applyBorder="1"/>
    <xf numFmtId="0" fontId="84" fillId="0" borderId="36" xfId="0" applyFont="1" applyBorder="1"/>
    <xf numFmtId="0" fontId="0" fillId="0" borderId="2" xfId="0" applyBorder="1"/>
    <xf numFmtId="0" fontId="0" fillId="0" borderId="25" xfId="0" applyBorder="1"/>
    <xf numFmtId="174" fontId="89" fillId="0" borderId="0" xfId="0" applyNumberFormat="1" applyFont="1"/>
    <xf numFmtId="174" fontId="84" fillId="0" borderId="0" xfId="0" applyNumberFormat="1" applyFont="1" applyBorder="1"/>
    <xf numFmtId="0" fontId="69" fillId="0" borderId="0" xfId="0" applyFont="1"/>
    <xf numFmtId="0" fontId="76" fillId="47" borderId="22" xfId="533" applyFill="1" applyBorder="1"/>
    <xf numFmtId="0" fontId="0" fillId="47" borderId="72" xfId="0" applyFill="1" applyBorder="1"/>
    <xf numFmtId="184" fontId="67" fillId="0" borderId="0" xfId="551" applyFont="1" applyFill="1" applyBorder="1" applyAlignment="1">
      <alignment horizontal="left" indent="1"/>
    </xf>
    <xf numFmtId="184" fontId="68" fillId="0" borderId="0" xfId="551" applyFont="1" applyFill="1" applyBorder="1" applyAlignment="1">
      <alignment horizontal="left" indent="2"/>
    </xf>
    <xf numFmtId="184" fontId="68" fillId="0" borderId="0" xfId="551" applyFont="1" applyFill="1" applyBorder="1" applyAlignment="1">
      <alignment horizontal="left" indent="3"/>
    </xf>
    <xf numFmtId="0" fontId="38" fillId="43" borderId="20" xfId="0" applyFont="1" applyFill="1" applyBorder="1"/>
    <xf numFmtId="0" fontId="0" fillId="47" borderId="16" xfId="0" applyFill="1" applyBorder="1"/>
    <xf numFmtId="0" fontId="0" fillId="47" borderId="17" xfId="0" applyFill="1" applyBorder="1"/>
    <xf numFmtId="0" fontId="76" fillId="47" borderId="20" xfId="533" applyFont="1" applyFill="1" applyBorder="1" applyAlignment="1" applyProtection="1">
      <alignment horizontal="left"/>
      <protection locked="0"/>
    </xf>
    <xf numFmtId="0" fontId="76" fillId="47" borderId="20" xfId="533" applyFill="1" applyBorder="1" applyAlignment="1" applyProtection="1">
      <alignment horizontal="right"/>
      <protection locked="0"/>
    </xf>
    <xf numFmtId="0" fontId="0" fillId="47" borderId="20" xfId="0" applyFill="1" applyBorder="1"/>
    <xf numFmtId="0" fontId="0" fillId="47" borderId="23" xfId="0" applyFill="1" applyBorder="1"/>
    <xf numFmtId="2" fontId="38" fillId="43" borderId="0" xfId="0" applyNumberFormat="1" applyFont="1" applyFill="1"/>
    <xf numFmtId="0" fontId="38" fillId="0" borderId="0" xfId="0" applyFont="1" applyFill="1"/>
    <xf numFmtId="0" fontId="76" fillId="0" borderId="0" xfId="533" applyFont="1" applyFill="1" applyAlignment="1" applyProtection="1">
      <alignment horizontal="left"/>
      <protection locked="0"/>
    </xf>
    <xf numFmtId="0" fontId="70" fillId="0" borderId="0" xfId="0" applyFont="1" applyFill="1" applyBorder="1" applyAlignment="1">
      <alignment horizontal="left" wrapText="1"/>
    </xf>
    <xf numFmtId="168" fontId="70" fillId="38" borderId="0" xfId="0" applyNumberFormat="1" applyFont="1" applyFill="1" applyAlignment="1">
      <alignment horizontal="right"/>
    </xf>
    <xf numFmtId="168" fontId="70" fillId="38" borderId="16" xfId="0" applyNumberFormat="1" applyFont="1" applyFill="1" applyBorder="1" applyAlignment="1">
      <alignment horizontal="right"/>
    </xf>
    <xf numFmtId="0" fontId="70" fillId="0" borderId="20" xfId="0" applyFont="1" applyFill="1" applyBorder="1" applyAlignment="1">
      <alignment horizontal="left" wrapText="1"/>
    </xf>
    <xf numFmtId="168" fontId="70" fillId="38" borderId="20" xfId="0" applyNumberFormat="1" applyFont="1" applyFill="1" applyBorder="1" applyAlignment="1">
      <alignment horizontal="right"/>
    </xf>
    <xf numFmtId="168" fontId="70" fillId="38" borderId="0" xfId="0" applyNumberFormat="1" applyFont="1" applyFill="1" applyBorder="1" applyAlignment="1">
      <alignment horizontal="right"/>
    </xf>
    <xf numFmtId="0" fontId="76" fillId="0" borderId="0" xfId="533"/>
    <xf numFmtId="0" fontId="76" fillId="0" borderId="0" xfId="533" applyFont="1" applyAlignment="1" applyProtection="1">
      <alignment horizontal="left"/>
      <protection locked="0"/>
    </xf>
    <xf numFmtId="0" fontId="76" fillId="0" borderId="0" xfId="533" applyAlignment="1" applyProtection="1">
      <alignment horizontal="right"/>
      <protection locked="0"/>
    </xf>
    <xf numFmtId="0" fontId="76" fillId="0" borderId="0" xfId="533"/>
    <xf numFmtId="0" fontId="76" fillId="0" borderId="0" xfId="533" applyFont="1" applyAlignment="1" applyProtection="1">
      <alignment horizontal="left"/>
      <protection locked="0"/>
    </xf>
    <xf numFmtId="0" fontId="76" fillId="0" borderId="0" xfId="533" applyAlignment="1" applyProtection="1">
      <alignment horizontal="right"/>
      <protection locked="0"/>
    </xf>
    <xf numFmtId="2" fontId="76" fillId="0" borderId="0" xfId="533" applyNumberFormat="1"/>
    <xf numFmtId="0" fontId="11" fillId="0" borderId="0" xfId="0" applyFont="1" applyBorder="1"/>
    <xf numFmtId="43" fontId="38" fillId="0" borderId="0" xfId="35" applyFont="1"/>
    <xf numFmtId="43" fontId="89" fillId="0" borderId="0" xfId="35" applyFont="1"/>
    <xf numFmtId="0" fontId="0" fillId="0" borderId="22" xfId="0" applyFill="1" applyBorder="1"/>
    <xf numFmtId="0" fontId="0" fillId="0" borderId="23" xfId="0" applyBorder="1"/>
    <xf numFmtId="0" fontId="0" fillId="0" borderId="55" xfId="0" applyBorder="1"/>
    <xf numFmtId="0" fontId="0" fillId="0" borderId="56" xfId="0" applyBorder="1"/>
    <xf numFmtId="0" fontId="0" fillId="0" borderId="26" xfId="0" applyBorder="1"/>
    <xf numFmtId="0" fontId="0" fillId="0" borderId="26" xfId="0" applyFill="1" applyBorder="1"/>
    <xf numFmtId="0" fontId="0" fillId="0" borderId="28" xfId="0" applyFill="1" applyBorder="1"/>
    <xf numFmtId="0" fontId="0" fillId="0" borderId="30" xfId="0" applyFill="1" applyBorder="1"/>
    <xf numFmtId="0" fontId="37" fillId="0" borderId="29" xfId="0" applyFont="1" applyFill="1" applyBorder="1"/>
    <xf numFmtId="0" fontId="0" fillId="0" borderId="55" xfId="0" applyFill="1" applyBorder="1"/>
    <xf numFmtId="0" fontId="0" fillId="0" borderId="56" xfId="0" applyFill="1" applyBorder="1"/>
    <xf numFmtId="0" fontId="54" fillId="0" borderId="0" xfId="0" applyFont="1" applyBorder="1"/>
    <xf numFmtId="177" fontId="0" fillId="0" borderId="0" xfId="0" applyNumberFormat="1" applyBorder="1"/>
    <xf numFmtId="43" fontId="0" fillId="0" borderId="0" xfId="0" applyNumberFormat="1"/>
    <xf numFmtId="9" fontId="0" fillId="0" borderId="0" xfId="844" applyFont="1"/>
    <xf numFmtId="0" fontId="38" fillId="43" borderId="0" xfId="0" applyFont="1" applyFill="1" applyBorder="1"/>
    <xf numFmtId="0" fontId="77" fillId="36" borderId="0" xfId="23"/>
    <xf numFmtId="0" fontId="77" fillId="36" borderId="20" xfId="23" applyBorder="1"/>
    <xf numFmtId="2" fontId="77" fillId="36" borderId="0" xfId="23" applyNumberFormat="1"/>
    <xf numFmtId="0" fontId="37" fillId="0" borderId="0" xfId="0" applyFont="1" applyFill="1" applyBorder="1"/>
    <xf numFmtId="0" fontId="11" fillId="0" borderId="2" xfId="0" applyFont="1" applyBorder="1"/>
    <xf numFmtId="172" fontId="38" fillId="0" borderId="0" xfId="0" applyNumberFormat="1" applyFont="1" applyFill="1" applyBorder="1"/>
    <xf numFmtId="0" fontId="32" fillId="38" borderId="0" xfId="0" applyFont="1" applyFill="1" applyBorder="1" applyAlignment="1">
      <alignment horizontal="center" vertical="center"/>
    </xf>
    <xf numFmtId="0" fontId="32" fillId="38" borderId="19" xfId="0" applyFont="1" applyFill="1" applyBorder="1" applyAlignment="1">
      <alignment horizontal="center" vertical="center"/>
    </xf>
    <xf numFmtId="0" fontId="32" fillId="37" borderId="20" xfId="0" applyFont="1" applyFill="1" applyBorder="1" applyAlignment="1">
      <alignment vertical="center"/>
    </xf>
    <xf numFmtId="0" fontId="32" fillId="37" borderId="20" xfId="0" applyFont="1" applyFill="1" applyBorder="1" applyAlignment="1">
      <alignment horizontal="center" vertical="center"/>
    </xf>
    <xf numFmtId="0" fontId="32" fillId="37" borderId="24" xfId="0" applyFont="1" applyFill="1" applyBorder="1" applyAlignment="1">
      <alignment vertical="center"/>
    </xf>
    <xf numFmtId="187" fontId="0" fillId="0" borderId="0" xfId="0" applyNumberFormat="1"/>
    <xf numFmtId="43" fontId="38" fillId="0" borderId="20" xfId="35" applyFont="1" applyBorder="1"/>
    <xf numFmtId="0" fontId="38" fillId="0" borderId="20" xfId="0" applyFont="1" applyFill="1" applyBorder="1"/>
    <xf numFmtId="14" fontId="11" fillId="0" borderId="0" xfId="0" applyNumberFormat="1" applyFont="1" applyAlignment="1">
      <alignment horizontal="left"/>
    </xf>
    <xf numFmtId="0" fontId="32" fillId="38" borderId="21" xfId="0" applyFont="1" applyFill="1" applyBorder="1" applyAlignment="1">
      <alignment horizontal="left" vertical="center" wrapText="1"/>
    </xf>
    <xf numFmtId="168" fontId="70" fillId="38" borderId="0" xfId="0" applyNumberFormat="1" applyFont="1" applyFill="1" applyAlignment="1">
      <alignment horizontal="left"/>
    </xf>
    <xf numFmtId="168" fontId="70" fillId="38" borderId="16" xfId="0" applyNumberFormat="1" applyFont="1" applyFill="1" applyBorder="1" applyAlignment="1">
      <alignment horizontal="left"/>
    </xf>
    <xf numFmtId="168" fontId="70" fillId="38" borderId="20" xfId="0" applyNumberFormat="1" applyFont="1" applyFill="1" applyBorder="1" applyAlignment="1">
      <alignment horizontal="left"/>
    </xf>
    <xf numFmtId="168" fontId="70" fillId="38" borderId="0" xfId="0" applyNumberFormat="1" applyFont="1" applyFill="1" applyBorder="1" applyAlignment="1">
      <alignment horizontal="left"/>
    </xf>
    <xf numFmtId="0" fontId="0" fillId="0" borderId="24" xfId="0" applyBorder="1"/>
    <xf numFmtId="174" fontId="38" fillId="0" borderId="0" xfId="0" applyNumberFormat="1" applyFont="1" applyBorder="1"/>
    <xf numFmtId="0" fontId="0" fillId="45" borderId="0" xfId="0" applyFill="1"/>
    <xf numFmtId="0" fontId="10" fillId="0" borderId="0" xfId="0" applyFont="1" applyAlignment="1">
      <alignment horizontal="left"/>
    </xf>
    <xf numFmtId="174" fontId="10" fillId="0" borderId="0" xfId="0" applyNumberFormat="1" applyFont="1" applyFill="1" applyBorder="1" applyAlignment="1">
      <alignment horizontal="left"/>
    </xf>
    <xf numFmtId="14" fontId="10" fillId="0" borderId="0" xfId="0" applyNumberFormat="1" applyFont="1" applyAlignment="1">
      <alignment horizontal="left"/>
    </xf>
    <xf numFmtId="0" fontId="10" fillId="0" borderId="0" xfId="0" applyFont="1" applyBorder="1"/>
    <xf numFmtId="0" fontId="10" fillId="0" borderId="0" xfId="0" applyFont="1"/>
    <xf numFmtId="0" fontId="0" fillId="47" borderId="16" xfId="0" applyFill="1" applyBorder="1" applyAlignment="1">
      <alignment horizontal="center"/>
    </xf>
    <xf numFmtId="0" fontId="0" fillId="47" borderId="17" xfId="0" applyFill="1" applyBorder="1" applyAlignment="1">
      <alignment horizontal="center"/>
    </xf>
    <xf numFmtId="0" fontId="10" fillId="47" borderId="19" xfId="0" applyFont="1" applyFill="1" applyBorder="1"/>
    <xf numFmtId="0" fontId="63" fillId="24" borderId="0" xfId="1166" applyFont="1" applyFill="1"/>
    <xf numFmtId="0" fontId="96" fillId="24" borderId="0" xfId="1166" applyFill="1"/>
    <xf numFmtId="0" fontId="114" fillId="25" borderId="0" xfId="0" applyFont="1" applyFill="1"/>
    <xf numFmtId="0" fontId="0" fillId="0" borderId="0" xfId="0"/>
    <xf numFmtId="0" fontId="0" fillId="33" borderId="55" xfId="0" applyFill="1" applyBorder="1"/>
    <xf numFmtId="0" fontId="0" fillId="33" borderId="0" xfId="0" applyFill="1" applyBorder="1"/>
    <xf numFmtId="0" fontId="0" fillId="33" borderId="29" xfId="0" applyFill="1" applyBorder="1"/>
    <xf numFmtId="0" fontId="0" fillId="33" borderId="107" xfId="0" applyFill="1" applyBorder="1"/>
    <xf numFmtId="0" fontId="54" fillId="33" borderId="86" xfId="0" applyFont="1" applyFill="1" applyBorder="1"/>
    <xf numFmtId="0" fontId="0" fillId="33" borderId="22" xfId="0" applyFill="1" applyBorder="1"/>
    <xf numFmtId="0" fontId="48" fillId="33" borderId="26" xfId="0" applyFont="1" applyFill="1" applyBorder="1"/>
    <xf numFmtId="0" fontId="37" fillId="33" borderId="106" xfId="0" applyFont="1" applyFill="1" applyBorder="1"/>
    <xf numFmtId="0" fontId="54" fillId="33" borderId="87" xfId="0" applyFont="1" applyFill="1" applyBorder="1"/>
    <xf numFmtId="0" fontId="10" fillId="33" borderId="55" xfId="0" applyFont="1" applyFill="1" applyBorder="1"/>
    <xf numFmtId="0" fontId="0" fillId="33" borderId="25" xfId="0" applyFill="1" applyBorder="1"/>
    <xf numFmtId="0" fontId="0" fillId="33" borderId="93" xfId="0" applyFill="1" applyBorder="1"/>
    <xf numFmtId="0" fontId="48" fillId="33" borderId="29" xfId="0" applyFont="1" applyFill="1" applyBorder="1"/>
    <xf numFmtId="0" fontId="48" fillId="33" borderId="22" xfId="0" applyFont="1" applyFill="1" applyBorder="1"/>
    <xf numFmtId="0" fontId="0" fillId="33" borderId="17" xfId="0" applyFill="1" applyBorder="1"/>
    <xf numFmtId="0" fontId="48" fillId="33" borderId="27" xfId="0" applyFont="1" applyFill="1" applyBorder="1"/>
    <xf numFmtId="0" fontId="0" fillId="0" borderId="0" xfId="0" applyBorder="1"/>
    <xf numFmtId="0" fontId="0" fillId="83" borderId="0" xfId="0" applyFill="1"/>
    <xf numFmtId="165" fontId="0" fillId="83" borderId="0" xfId="0" applyNumberFormat="1" applyFill="1"/>
    <xf numFmtId="0" fontId="109" fillId="83" borderId="0" xfId="0" applyFont="1" applyFill="1"/>
    <xf numFmtId="165" fontId="56" fillId="47" borderId="0" xfId="1164" applyNumberFormat="1" applyFont="1" applyFill="1" applyBorder="1"/>
    <xf numFmtId="179" fontId="10" fillId="83" borderId="0" xfId="1178" applyNumberFormat="1" applyFont="1" applyFill="1"/>
    <xf numFmtId="0" fontId="115" fillId="83" borderId="0" xfId="0" applyFont="1" applyFill="1"/>
    <xf numFmtId="0" fontId="56" fillId="83" borderId="0" xfId="0" applyFont="1" applyFill="1" applyAlignment="1">
      <alignment horizontal="left"/>
    </xf>
    <xf numFmtId="188" fontId="93" fillId="47" borderId="25" xfId="0" applyNumberFormat="1" applyFont="1" applyFill="1" applyBorder="1"/>
    <xf numFmtId="188" fontId="56" fillId="47" borderId="95" xfId="1164" applyNumberFormat="1" applyFont="1" applyFill="1" applyBorder="1"/>
    <xf numFmtId="188" fontId="0" fillId="47" borderId="95" xfId="0" applyNumberFormat="1" applyFill="1" applyBorder="1"/>
    <xf numFmtId="165" fontId="56" fillId="47" borderId="25" xfId="1164" applyNumberFormat="1" applyFont="1" applyFill="1" applyBorder="1"/>
    <xf numFmtId="188" fontId="56" fillId="47" borderId="0" xfId="1164" applyNumberFormat="1" applyFont="1" applyFill="1" applyBorder="1"/>
    <xf numFmtId="188" fontId="0" fillId="47" borderId="0" xfId="0" applyNumberFormat="1" applyFill="1" applyBorder="1"/>
    <xf numFmtId="0" fontId="0" fillId="47" borderId="56" xfId="0" applyFill="1" applyBorder="1"/>
    <xf numFmtId="188" fontId="0" fillId="47" borderId="25" xfId="0" applyNumberFormat="1" applyFill="1" applyBorder="1"/>
    <xf numFmtId="188" fontId="56" fillId="47" borderId="25" xfId="1164" applyNumberFormat="1" applyFont="1" applyFill="1" applyBorder="1"/>
    <xf numFmtId="2" fontId="0" fillId="25" borderId="0" xfId="0" applyNumberFormat="1" applyFill="1" applyBorder="1"/>
    <xf numFmtId="188" fontId="0" fillId="25" borderId="0" xfId="0" applyNumberFormat="1" applyFill="1" applyBorder="1"/>
    <xf numFmtId="190" fontId="56" fillId="47" borderId="0" xfId="0" applyNumberFormat="1" applyFont="1" applyFill="1" applyBorder="1"/>
    <xf numFmtId="165" fontId="56" fillId="47" borderId="27" xfId="1164" applyNumberFormat="1" applyFont="1" applyFill="1" applyBorder="1"/>
    <xf numFmtId="0" fontId="112" fillId="0" borderId="0" xfId="1180"/>
    <xf numFmtId="1" fontId="113" fillId="0" borderId="0" xfId="1180" applyNumberFormat="1" applyFont="1" applyBorder="1"/>
    <xf numFmtId="0" fontId="113" fillId="0" borderId="77" xfId="1180" applyFont="1" applyBorder="1"/>
    <xf numFmtId="0" fontId="113" fillId="0" borderId="76" xfId="1180" applyFont="1" applyBorder="1"/>
    <xf numFmtId="186" fontId="112" fillId="0" borderId="0" xfId="1181" applyNumberFormat="1" applyFont="1" applyBorder="1"/>
    <xf numFmtId="186" fontId="112" fillId="0" borderId="20" xfId="1181" applyNumberFormat="1" applyFont="1" applyBorder="1"/>
    <xf numFmtId="186" fontId="112" fillId="0" borderId="23" xfId="1181" applyNumberFormat="1" applyFont="1" applyBorder="1"/>
    <xf numFmtId="186" fontId="112" fillId="0" borderId="24" xfId="1181" applyNumberFormat="1" applyFont="1" applyBorder="1"/>
    <xf numFmtId="0" fontId="113" fillId="0" borderId="21" xfId="1180" applyFont="1" applyBorder="1"/>
    <xf numFmtId="186" fontId="113" fillId="0" borderId="76" xfId="1181" applyNumberFormat="1" applyFont="1" applyBorder="1"/>
    <xf numFmtId="186" fontId="113" fillId="0" borderId="44" xfId="1181" applyNumberFormat="1" applyFont="1" applyBorder="1"/>
    <xf numFmtId="186" fontId="112" fillId="0" borderId="19" xfId="1181" applyNumberFormat="1" applyFont="1" applyBorder="1"/>
    <xf numFmtId="186" fontId="112" fillId="0" borderId="22" xfId="1181" applyNumberFormat="1" applyFont="1" applyBorder="1"/>
    <xf numFmtId="0" fontId="113" fillId="0" borderId="20" xfId="1180" applyFont="1" applyBorder="1"/>
    <xf numFmtId="0" fontId="113" fillId="0" borderId="20" xfId="1180" applyFont="1" applyBorder="1" applyAlignment="1">
      <alignment horizontal="left" indent="1"/>
    </xf>
    <xf numFmtId="186" fontId="113" fillId="0" borderId="16" xfId="1181" applyNumberFormat="1" applyFont="1" applyBorder="1"/>
    <xf numFmtId="186" fontId="113" fillId="0" borderId="21" xfId="1181" applyNumberFormat="1" applyFont="1" applyBorder="1"/>
    <xf numFmtId="186" fontId="113" fillId="0" borderId="77" xfId="1181" applyNumberFormat="1" applyFont="1" applyBorder="1"/>
    <xf numFmtId="1" fontId="113" fillId="0" borderId="19" xfId="1180" applyNumberFormat="1" applyFont="1" applyBorder="1"/>
    <xf numFmtId="0" fontId="113" fillId="0" borderId="0" xfId="1180" applyFont="1"/>
    <xf numFmtId="186" fontId="112" fillId="0" borderId="0" xfId="1181" applyNumberFormat="1" applyFont="1" applyBorder="1"/>
    <xf numFmtId="186" fontId="112" fillId="0" borderId="20" xfId="1181" applyNumberFormat="1" applyFont="1" applyBorder="1"/>
    <xf numFmtId="0" fontId="122" fillId="54" borderId="24" xfId="1124" applyFont="1" applyBorder="1"/>
    <xf numFmtId="49" fontId="121" fillId="55" borderId="19" xfId="1125" applyNumberFormat="1" applyFont="1" applyBorder="1"/>
    <xf numFmtId="0" fontId="101" fillId="54" borderId="20" xfId="1124" applyBorder="1"/>
    <xf numFmtId="0" fontId="102" fillId="55" borderId="0" xfId="1125" applyBorder="1"/>
    <xf numFmtId="0" fontId="102" fillId="55" borderId="16" xfId="1125" applyBorder="1"/>
    <xf numFmtId="0" fontId="102" fillId="55" borderId="44" xfId="1125" applyBorder="1"/>
    <xf numFmtId="0" fontId="102" fillId="55" borderId="19" xfId="1125" applyBorder="1"/>
    <xf numFmtId="0" fontId="0" fillId="0" borderId="0" xfId="0"/>
    <xf numFmtId="0" fontId="0" fillId="0" borderId="0" xfId="0" applyBorder="1"/>
    <xf numFmtId="0" fontId="0" fillId="0" borderId="0" xfId="0" applyAlignment="1">
      <alignment horizontal="left"/>
    </xf>
    <xf numFmtId="0" fontId="0" fillId="0" borderId="0" xfId="0" applyFill="1"/>
    <xf numFmtId="0" fontId="10" fillId="0" borderId="0" xfId="0" applyFont="1"/>
    <xf numFmtId="0" fontId="0" fillId="0" borderId="30" xfId="0" applyBorder="1"/>
    <xf numFmtId="167" fontId="0" fillId="0" borderId="0" xfId="0" applyNumberFormat="1"/>
    <xf numFmtId="9" fontId="0" fillId="0" borderId="0" xfId="0" applyNumberFormat="1" applyAlignment="1">
      <alignment horizontal="left"/>
    </xf>
    <xf numFmtId="0" fontId="37" fillId="0" borderId="0" xfId="0" applyFont="1" applyAlignment="1">
      <alignment horizontal="left"/>
    </xf>
    <xf numFmtId="0" fontId="105" fillId="57" borderId="103" xfId="1128" applyAlignment="1">
      <alignment horizontal="center"/>
    </xf>
    <xf numFmtId="0" fontId="37" fillId="0" borderId="0" xfId="0" applyFont="1" applyAlignment="1">
      <alignment horizontal="center"/>
    </xf>
    <xf numFmtId="9" fontId="18" fillId="7" borderId="4" xfId="226" applyNumberFormat="1" applyAlignment="1">
      <alignment horizontal="center" vertical="center"/>
    </xf>
    <xf numFmtId="1" fontId="103" fillId="56" borderId="101" xfId="1126" applyNumberFormat="1" applyAlignment="1">
      <alignment horizontal="center"/>
    </xf>
    <xf numFmtId="0" fontId="125" fillId="0" borderId="0" xfId="1129" applyFont="1"/>
    <xf numFmtId="0" fontId="102" fillId="55" borderId="0" xfId="1125" applyBorder="1" applyAlignment="1">
      <alignment horizontal="center"/>
    </xf>
    <xf numFmtId="0" fontId="37" fillId="58" borderId="112" xfId="1516" applyFont="1" applyBorder="1"/>
    <xf numFmtId="0" fontId="0" fillId="58" borderId="113" xfId="1516" applyFont="1" applyBorder="1"/>
    <xf numFmtId="0" fontId="0" fillId="58" borderId="114" xfId="1516" applyFont="1" applyBorder="1"/>
    <xf numFmtId="0" fontId="124" fillId="0" borderId="19" xfId="223" applyFont="1" applyBorder="1"/>
    <xf numFmtId="0" fontId="37" fillId="0" borderId="0" xfId="0" applyFont="1" applyBorder="1"/>
    <xf numFmtId="0" fontId="37" fillId="0" borderId="22" xfId="0" applyFont="1" applyBorder="1"/>
    <xf numFmtId="0" fontId="79" fillId="0" borderId="19" xfId="223" applyBorder="1"/>
    <xf numFmtId="0" fontId="79" fillId="0" borderId="24" xfId="223" applyBorder="1"/>
    <xf numFmtId="0" fontId="10" fillId="0" borderId="0" xfId="0" applyFont="1" applyFill="1" applyBorder="1"/>
    <xf numFmtId="9" fontId="18" fillId="7" borderId="4" xfId="226" applyNumberFormat="1" applyAlignment="1">
      <alignment horizontal="center"/>
    </xf>
    <xf numFmtId="0" fontId="92" fillId="0" borderId="0" xfId="1129" applyFont="1"/>
    <xf numFmtId="0" fontId="37" fillId="0" borderId="0" xfId="0" applyFont="1" applyAlignment="1">
      <alignment horizontal="left"/>
    </xf>
    <xf numFmtId="0" fontId="0" fillId="0" borderId="0" xfId="0" applyAlignment="1">
      <alignment horizontal="left"/>
    </xf>
    <xf numFmtId="174" fontId="10" fillId="0" borderId="0" xfId="0" applyNumberFormat="1" applyFont="1"/>
    <xf numFmtId="174" fontId="10" fillId="0" borderId="0" xfId="0" applyNumberFormat="1" applyFont="1" applyFill="1"/>
    <xf numFmtId="174" fontId="10" fillId="0" borderId="20" xfId="0" applyNumberFormat="1" applyFont="1" applyFill="1" applyBorder="1"/>
    <xf numFmtId="174" fontId="10" fillId="0" borderId="0" xfId="0" applyNumberFormat="1" applyFont="1" applyFill="1" applyBorder="1"/>
    <xf numFmtId="0" fontId="126" fillId="0" borderId="0" xfId="1180" applyFont="1" applyBorder="1" applyAlignment="1"/>
    <xf numFmtId="0" fontId="10" fillId="38" borderId="0" xfId="0" applyFont="1" applyFill="1"/>
    <xf numFmtId="9" fontId="0" fillId="38" borderId="0" xfId="0" applyNumberFormat="1" applyFill="1" applyAlignment="1">
      <alignment horizontal="center"/>
    </xf>
    <xf numFmtId="0" fontId="10" fillId="0" borderId="20" xfId="0" applyFont="1" applyFill="1" applyBorder="1"/>
    <xf numFmtId="2" fontId="0" fillId="38" borderId="0" xfId="0" applyNumberFormat="1" applyFill="1"/>
    <xf numFmtId="0" fontId="127" fillId="38" borderId="19" xfId="0" applyFont="1" applyFill="1" applyBorder="1"/>
    <xf numFmtId="0" fontId="0" fillId="38" borderId="0" xfId="0" applyFont="1" applyFill="1" applyBorder="1"/>
    <xf numFmtId="1" fontId="0" fillId="0" borderId="0" xfId="0" applyNumberFormat="1" applyFill="1"/>
    <xf numFmtId="0" fontId="76" fillId="0" borderId="0" xfId="533" applyFill="1"/>
    <xf numFmtId="0" fontId="0" fillId="0" borderId="25" xfId="0" applyFill="1" applyBorder="1"/>
    <xf numFmtId="2" fontId="77" fillId="36" borderId="25" xfId="23" applyNumberFormat="1" applyBorder="1"/>
    <xf numFmtId="43" fontId="89" fillId="0" borderId="25" xfId="35" applyFont="1" applyBorder="1"/>
    <xf numFmtId="0" fontId="89" fillId="0" borderId="25" xfId="0" applyFont="1" applyFill="1" applyBorder="1"/>
    <xf numFmtId="0" fontId="38" fillId="43" borderId="25" xfId="0" applyFont="1" applyFill="1" applyBorder="1"/>
    <xf numFmtId="172" fontId="0" fillId="0" borderId="25" xfId="0" applyNumberFormat="1" applyBorder="1"/>
    <xf numFmtId="0" fontId="89" fillId="0" borderId="25" xfId="0" applyFont="1" applyBorder="1"/>
    <xf numFmtId="0" fontId="32" fillId="86" borderId="16" xfId="0" applyFont="1" applyFill="1" applyBorder="1" applyAlignment="1">
      <alignment horizontal="left" vertical="center" wrapText="1"/>
    </xf>
    <xf numFmtId="0" fontId="33" fillId="28" borderId="15" xfId="0" applyNumberFormat="1" applyFont="1" applyFill="1" applyBorder="1" applyAlignment="1">
      <alignment horizontal="left" vertical="top"/>
    </xf>
    <xf numFmtId="188" fontId="0" fillId="47" borderId="56" xfId="0" applyNumberFormat="1" applyFill="1" applyBorder="1"/>
    <xf numFmtId="188" fontId="0" fillId="47" borderId="96" xfId="0" applyNumberFormat="1" applyFill="1" applyBorder="1"/>
    <xf numFmtId="188" fontId="56" fillId="47" borderId="30" xfId="1164" applyNumberFormat="1" applyFont="1" applyFill="1" applyBorder="1"/>
    <xf numFmtId="167" fontId="103" fillId="56" borderId="101" xfId="1126" applyNumberFormat="1" applyBorder="1" applyAlignment="1">
      <alignment horizontal="center"/>
    </xf>
    <xf numFmtId="167" fontId="101" fillId="54" borderId="2" xfId="1124" applyNumberFormat="1" applyBorder="1" applyAlignment="1">
      <alignment horizontal="center"/>
    </xf>
    <xf numFmtId="0" fontId="102" fillId="55" borderId="17" xfId="1125" applyBorder="1" applyAlignment="1"/>
    <xf numFmtId="0" fontId="37" fillId="0" borderId="20" xfId="0" applyFont="1" applyBorder="1"/>
    <xf numFmtId="0" fontId="105" fillId="57" borderId="24" xfId="1128" applyBorder="1" applyAlignment="1">
      <alignment horizontal="left"/>
    </xf>
    <xf numFmtId="0" fontId="105" fillId="57" borderId="117" xfId="1128" applyBorder="1" applyAlignment="1">
      <alignment horizontal="center"/>
    </xf>
    <xf numFmtId="180" fontId="105" fillId="57" borderId="111" xfId="1128" applyNumberFormat="1" applyBorder="1" applyAlignment="1">
      <alignment horizontal="center"/>
    </xf>
    <xf numFmtId="1" fontId="76" fillId="47" borderId="0" xfId="533" applyNumberFormat="1" applyFill="1" applyBorder="1" applyAlignment="1" applyProtection="1">
      <alignment horizontal="right"/>
      <protection locked="0"/>
    </xf>
    <xf numFmtId="0" fontId="128" fillId="0" borderId="0" xfId="1517"/>
    <xf numFmtId="1" fontId="10" fillId="0" borderId="0" xfId="0" applyNumberFormat="1" applyFont="1"/>
    <xf numFmtId="1" fontId="0" fillId="47" borderId="0" xfId="0" applyNumberFormat="1" applyFill="1" applyBorder="1"/>
    <xf numFmtId="0" fontId="0" fillId="47" borderId="0" xfId="0" applyFont="1" applyFill="1" applyBorder="1"/>
    <xf numFmtId="0" fontId="129" fillId="0" borderId="0" xfId="0" applyFont="1" applyAlignment="1">
      <alignment horizontal="center" vertical="center" wrapText="1"/>
    </xf>
    <xf numFmtId="0" fontId="0" fillId="0" borderId="0" xfId="0" applyAlignment="1">
      <alignment vertical="center" wrapText="1"/>
    </xf>
    <xf numFmtId="1" fontId="76" fillId="0" borderId="0" xfId="533" applyNumberFormat="1" applyAlignment="1" applyProtection="1">
      <alignment horizontal="right"/>
      <protection locked="0"/>
    </xf>
    <xf numFmtId="172" fontId="10" fillId="0" borderId="0" xfId="0" applyNumberFormat="1" applyFont="1"/>
    <xf numFmtId="0" fontId="10" fillId="47" borderId="17" xfId="0" applyFont="1" applyFill="1" applyBorder="1"/>
    <xf numFmtId="0" fontId="10" fillId="47" borderId="22" xfId="0" applyFont="1" applyFill="1" applyBorder="1"/>
    <xf numFmtId="0" fontId="10" fillId="47" borderId="23" xfId="0" applyFont="1" applyFill="1" applyBorder="1"/>
    <xf numFmtId="0" fontId="10" fillId="47" borderId="77" xfId="0" applyFont="1" applyFill="1" applyBorder="1"/>
    <xf numFmtId="0" fontId="10" fillId="47" borderId="21" xfId="0" applyFont="1" applyFill="1" applyBorder="1"/>
    <xf numFmtId="0" fontId="10" fillId="47" borderId="76" xfId="0" applyFont="1" applyFill="1" applyBorder="1"/>
    <xf numFmtId="0" fontId="38" fillId="42" borderId="16" xfId="0" applyFont="1" applyFill="1" applyBorder="1"/>
    <xf numFmtId="0" fontId="0" fillId="42" borderId="16" xfId="0" applyFill="1" applyBorder="1"/>
    <xf numFmtId="0" fontId="0" fillId="42" borderId="17" xfId="0" applyFill="1" applyBorder="1"/>
    <xf numFmtId="0" fontId="0" fillId="42" borderId="19" xfId="0" applyFill="1" applyBorder="1"/>
    <xf numFmtId="1" fontId="0" fillId="42" borderId="0" xfId="0" applyNumberFormat="1" applyFill="1" applyBorder="1"/>
    <xf numFmtId="1" fontId="0" fillId="42" borderId="22" xfId="0" applyNumberFormat="1" applyFill="1" applyBorder="1"/>
    <xf numFmtId="0" fontId="10" fillId="83" borderId="16" xfId="0" applyFont="1" applyFill="1" applyBorder="1"/>
    <xf numFmtId="0" fontId="10" fillId="83" borderId="17" xfId="0" applyFont="1" applyFill="1" applyBorder="1"/>
    <xf numFmtId="0" fontId="10" fillId="83" borderId="0" xfId="0" applyFont="1" applyFill="1" applyBorder="1"/>
    <xf numFmtId="0" fontId="10" fillId="83" borderId="22" xfId="0" applyFont="1" applyFill="1" applyBorder="1"/>
    <xf numFmtId="0" fontId="10" fillId="83" borderId="20" xfId="0" applyFont="1" applyFill="1" applyBorder="1"/>
    <xf numFmtId="0" fontId="10" fillId="83" borderId="23" xfId="0" applyFont="1" applyFill="1" applyBorder="1"/>
    <xf numFmtId="0" fontId="0" fillId="47" borderId="0" xfId="0" applyFill="1"/>
    <xf numFmtId="172" fontId="10" fillId="43" borderId="16" xfId="0" applyNumberFormat="1" applyFont="1" applyFill="1" applyBorder="1"/>
    <xf numFmtId="172" fontId="10" fillId="43" borderId="17" xfId="0" applyNumberFormat="1" applyFont="1" applyFill="1" applyBorder="1"/>
    <xf numFmtId="172" fontId="10" fillId="43" borderId="0" xfId="0" applyNumberFormat="1" applyFont="1" applyFill="1" applyBorder="1"/>
    <xf numFmtId="172" fontId="10" fillId="43" borderId="22" xfId="0" applyNumberFormat="1" applyFont="1" applyFill="1" applyBorder="1"/>
    <xf numFmtId="172" fontId="10" fillId="43" borderId="20" xfId="0" applyNumberFormat="1" applyFont="1" applyFill="1" applyBorder="1"/>
    <xf numFmtId="172" fontId="10" fillId="43" borderId="23" xfId="0" applyNumberFormat="1" applyFont="1" applyFill="1" applyBorder="1"/>
    <xf numFmtId="1" fontId="0" fillId="43" borderId="16" xfId="0" applyNumberFormat="1" applyFill="1" applyBorder="1"/>
    <xf numFmtId="1" fontId="0" fillId="43" borderId="0" xfId="0" applyNumberFormat="1" applyFill="1" applyBorder="1"/>
    <xf numFmtId="2" fontId="38" fillId="43" borderId="16" xfId="0" applyNumberFormat="1" applyFont="1" applyFill="1" applyBorder="1"/>
    <xf numFmtId="2" fontId="38" fillId="43" borderId="19" xfId="0" applyNumberFormat="1" applyFont="1" applyFill="1" applyBorder="1"/>
    <xf numFmtId="2" fontId="38" fillId="43" borderId="0" xfId="0" applyNumberFormat="1" applyFont="1" applyFill="1" applyBorder="1"/>
    <xf numFmtId="0" fontId="10" fillId="50" borderId="0" xfId="0" applyFont="1" applyFill="1" applyBorder="1"/>
    <xf numFmtId="0" fontId="10" fillId="50" borderId="22" xfId="0" applyFont="1" applyFill="1" applyBorder="1"/>
    <xf numFmtId="0" fontId="10" fillId="50" borderId="21" xfId="0" applyFont="1" applyFill="1" applyBorder="1"/>
    <xf numFmtId="0" fontId="130" fillId="50" borderId="19" xfId="0" applyFont="1" applyFill="1" applyBorder="1"/>
    <xf numFmtId="0" fontId="130" fillId="50" borderId="0" xfId="0" applyFont="1" applyFill="1" applyBorder="1"/>
    <xf numFmtId="0" fontId="37" fillId="42" borderId="44" xfId="0" applyFont="1" applyFill="1" applyBorder="1"/>
    <xf numFmtId="0" fontId="10" fillId="0" borderId="74" xfId="0" applyFont="1" applyBorder="1" applyAlignment="1" applyProtection="1">
      <alignment horizontal="center" vertical="center"/>
    </xf>
    <xf numFmtId="0" fontId="10" fillId="0" borderId="75" xfId="0" applyFont="1" applyBorder="1" applyAlignment="1" applyProtection="1">
      <alignment horizontal="center" vertical="center"/>
    </xf>
    <xf numFmtId="0" fontId="89" fillId="42" borderId="19" xfId="0" applyFont="1" applyFill="1" applyBorder="1"/>
    <xf numFmtId="0" fontId="130" fillId="52" borderId="19" xfId="0" applyFont="1" applyFill="1" applyBorder="1"/>
    <xf numFmtId="0" fontId="130" fillId="52" borderId="0" xfId="0" applyFont="1" applyFill="1" applyBorder="1"/>
    <xf numFmtId="0" fontId="130" fillId="52" borderId="22" xfId="0" applyFont="1" applyFill="1" applyBorder="1"/>
    <xf numFmtId="0" fontId="54" fillId="42" borderId="76" xfId="0" applyFont="1" applyFill="1" applyBorder="1"/>
    <xf numFmtId="1" fontId="0" fillId="42" borderId="21" xfId="0" applyNumberFormat="1" applyFill="1" applyBorder="1"/>
    <xf numFmtId="1" fontId="0" fillId="42" borderId="77" xfId="0" applyNumberFormat="1" applyFill="1" applyBorder="1"/>
    <xf numFmtId="0" fontId="37" fillId="42" borderId="16" xfId="0" applyFont="1" applyFill="1" applyBorder="1"/>
    <xf numFmtId="0" fontId="37" fillId="42" borderId="17" xfId="0" applyFont="1" applyFill="1" applyBorder="1"/>
    <xf numFmtId="0" fontId="38" fillId="42" borderId="19" xfId="0" applyFont="1" applyFill="1" applyBorder="1"/>
    <xf numFmtId="1" fontId="54" fillId="42" borderId="21" xfId="0" applyNumberFormat="1" applyFont="1" applyFill="1" applyBorder="1"/>
    <xf numFmtId="1" fontId="54" fillId="42" borderId="77" xfId="0" applyNumberFormat="1" applyFont="1" applyFill="1" applyBorder="1"/>
    <xf numFmtId="0" fontId="130" fillId="88" borderId="19" xfId="0" applyFont="1" applyFill="1" applyBorder="1"/>
    <xf numFmtId="0" fontId="130" fillId="88" borderId="0" xfId="0" applyFont="1" applyFill="1" applyBorder="1"/>
    <xf numFmtId="0" fontId="130" fillId="88" borderId="22" xfId="0" applyFont="1" applyFill="1" applyBorder="1"/>
    <xf numFmtId="0" fontId="132" fillId="88" borderId="19" xfId="0" applyFont="1" applyFill="1" applyBorder="1"/>
    <xf numFmtId="0" fontId="132" fillId="88" borderId="0" xfId="0" applyFont="1" applyFill="1" applyBorder="1"/>
    <xf numFmtId="0" fontId="132" fillId="88" borderId="22" xfId="0" applyFont="1" applyFill="1" applyBorder="1"/>
    <xf numFmtId="1" fontId="54" fillId="42" borderId="22" xfId="0" applyNumberFormat="1" applyFont="1" applyFill="1" applyBorder="1"/>
    <xf numFmtId="0" fontId="133" fillId="88" borderId="22" xfId="0" applyFont="1" applyFill="1" applyBorder="1"/>
    <xf numFmtId="0" fontId="130" fillId="47" borderId="0" xfId="0" applyFont="1" applyFill="1"/>
    <xf numFmtId="0" fontId="134" fillId="47" borderId="0" xfId="1517" applyFont="1" applyFill="1"/>
    <xf numFmtId="0" fontId="37" fillId="49" borderId="44" xfId="0" applyFont="1" applyFill="1" applyBorder="1"/>
    <xf numFmtId="0" fontId="0" fillId="49" borderId="16" xfId="0" applyFill="1" applyBorder="1"/>
    <xf numFmtId="0" fontId="0" fillId="49" borderId="17" xfId="0" applyFill="1" applyBorder="1"/>
    <xf numFmtId="0" fontId="0" fillId="49" borderId="19" xfId="0" applyFill="1" applyBorder="1"/>
    <xf numFmtId="0" fontId="0" fillId="49" borderId="0" xfId="0" applyFill="1" applyBorder="1"/>
    <xf numFmtId="0" fontId="0" fillId="49" borderId="22" xfId="0" applyFill="1" applyBorder="1"/>
    <xf numFmtId="0" fontId="0" fillId="49" borderId="24" xfId="0" applyFill="1" applyBorder="1"/>
    <xf numFmtId="0" fontId="0" fillId="49" borderId="20" xfId="0" applyFill="1" applyBorder="1"/>
    <xf numFmtId="0" fontId="0" fillId="49" borderId="23" xfId="0" applyFill="1" applyBorder="1"/>
    <xf numFmtId="1" fontId="54" fillId="49" borderId="76" xfId="0" applyNumberFormat="1" applyFont="1" applyFill="1" applyBorder="1"/>
    <xf numFmtId="1" fontId="54" fillId="49" borderId="21" xfId="0" applyNumberFormat="1" applyFont="1" applyFill="1" applyBorder="1"/>
    <xf numFmtId="1" fontId="54" fillId="49" borderId="77" xfId="0" applyNumberFormat="1" applyFont="1" applyFill="1" applyBorder="1"/>
    <xf numFmtId="0" fontId="130" fillId="89" borderId="19" xfId="0" applyFont="1" applyFill="1" applyBorder="1"/>
    <xf numFmtId="0" fontId="130" fillId="89" borderId="0" xfId="0" applyFont="1" applyFill="1" applyBorder="1"/>
    <xf numFmtId="0" fontId="130" fillId="89" borderId="22" xfId="0" applyFont="1" applyFill="1" applyBorder="1"/>
    <xf numFmtId="0" fontId="38" fillId="49" borderId="19" xfId="0" applyFont="1" applyFill="1" applyBorder="1"/>
    <xf numFmtId="10" fontId="43" fillId="49" borderId="0" xfId="844" applyNumberFormat="1" applyFont="1" applyFill="1" applyBorder="1"/>
    <xf numFmtId="0" fontId="38" fillId="49" borderId="24" xfId="0" applyFont="1" applyFill="1" applyBorder="1"/>
    <xf numFmtId="10" fontId="0" fillId="49" borderId="0" xfId="0" applyNumberFormat="1" applyFill="1" applyBorder="1"/>
    <xf numFmtId="10" fontId="0" fillId="49" borderId="22" xfId="0" applyNumberFormat="1" applyFill="1" applyBorder="1"/>
    <xf numFmtId="10" fontId="43" fillId="49" borderId="20" xfId="844" applyNumberFormat="1" applyFont="1" applyFill="1" applyBorder="1"/>
    <xf numFmtId="10" fontId="0" fillId="49" borderId="20" xfId="0" applyNumberFormat="1" applyFill="1" applyBorder="1"/>
    <xf numFmtId="10" fontId="0" fillId="49" borderId="23" xfId="0" applyNumberFormat="1" applyFill="1" applyBorder="1"/>
    <xf numFmtId="0" fontId="135" fillId="89" borderId="0" xfId="0" applyFont="1" applyFill="1" applyBorder="1"/>
    <xf numFmtId="10" fontId="0" fillId="47" borderId="0" xfId="0" applyNumberFormat="1" applyFill="1"/>
    <xf numFmtId="0" fontId="79" fillId="0" borderId="0" xfId="223" applyAlignment="1"/>
    <xf numFmtId="0" fontId="10" fillId="47" borderId="0" xfId="0" applyFont="1" applyFill="1" applyBorder="1"/>
    <xf numFmtId="2" fontId="0" fillId="47" borderId="0" xfId="0" applyNumberFormat="1" applyFill="1" applyBorder="1" applyAlignment="1">
      <alignment horizontal="right"/>
    </xf>
    <xf numFmtId="2" fontId="0" fillId="47" borderId="22" xfId="0" applyNumberFormat="1" applyFill="1" applyBorder="1" applyAlignment="1">
      <alignment horizontal="right"/>
    </xf>
    <xf numFmtId="1" fontId="136" fillId="47" borderId="0" xfId="533" applyNumberFormat="1" applyFont="1" applyFill="1" applyBorder="1" applyAlignment="1">
      <alignment horizontal="right"/>
    </xf>
    <xf numFmtId="167" fontId="0" fillId="47" borderId="22" xfId="0" applyNumberFormat="1" applyFill="1" applyBorder="1"/>
    <xf numFmtId="0" fontId="0" fillId="47" borderId="17" xfId="0" applyFill="1" applyBorder="1" applyAlignment="1">
      <alignment horizontal="center"/>
    </xf>
    <xf numFmtId="0" fontId="54" fillId="47" borderId="0" xfId="0" applyFont="1" applyFill="1" applyBorder="1"/>
    <xf numFmtId="0" fontId="54" fillId="0" borderId="0" xfId="0" applyFont="1"/>
    <xf numFmtId="0" fontId="54" fillId="47" borderId="22" xfId="0" applyFont="1" applyFill="1" applyBorder="1"/>
    <xf numFmtId="0" fontId="54" fillId="47" borderId="23" xfId="0" applyFont="1" applyFill="1" applyBorder="1"/>
    <xf numFmtId="0" fontId="102" fillId="55" borderId="16" xfId="1125" applyBorder="1" applyAlignment="1">
      <alignment horizontal="center"/>
    </xf>
    <xf numFmtId="0" fontId="105" fillId="57" borderId="116" xfId="1128" applyBorder="1" applyAlignment="1">
      <alignment horizontal="left"/>
    </xf>
    <xf numFmtId="0" fontId="105" fillId="57" borderId="110" xfId="1128" applyBorder="1" applyAlignment="1">
      <alignment horizontal="left"/>
    </xf>
    <xf numFmtId="1" fontId="0" fillId="47" borderId="0" xfId="0" applyNumberFormat="1" applyFill="1"/>
    <xf numFmtId="0" fontId="54" fillId="0" borderId="22" xfId="0" applyFont="1" applyBorder="1"/>
    <xf numFmtId="0" fontId="114" fillId="42" borderId="44" xfId="0" applyFont="1" applyFill="1" applyBorder="1"/>
    <xf numFmtId="0" fontId="114" fillId="42" borderId="16" xfId="0" applyFont="1" applyFill="1" applyBorder="1"/>
    <xf numFmtId="0" fontId="114" fillId="42" borderId="17" xfId="0" applyFont="1" applyFill="1" applyBorder="1"/>
    <xf numFmtId="0" fontId="133" fillId="88" borderId="19" xfId="0" applyFont="1" applyFill="1" applyBorder="1"/>
    <xf numFmtId="0" fontId="133" fillId="88" borderId="0" xfId="0" applyFont="1" applyFill="1" applyBorder="1"/>
    <xf numFmtId="0" fontId="54" fillId="42" borderId="19" xfId="0" applyFont="1" applyFill="1" applyBorder="1"/>
    <xf numFmtId="1" fontId="54" fillId="42" borderId="0" xfId="0" applyNumberFormat="1" applyFont="1" applyFill="1" applyBorder="1"/>
    <xf numFmtId="0" fontId="54" fillId="42" borderId="24" xfId="0" applyFont="1" applyFill="1" applyBorder="1"/>
    <xf numFmtId="0" fontId="137" fillId="47" borderId="0" xfId="1517" applyFont="1" applyFill="1"/>
    <xf numFmtId="2" fontId="54" fillId="42" borderId="0" xfId="0" applyNumberFormat="1" applyFont="1" applyFill="1" applyBorder="1"/>
    <xf numFmtId="2" fontId="54" fillId="42" borderId="20" xfId="0" applyNumberFormat="1" applyFont="1" applyFill="1" applyBorder="1"/>
    <xf numFmtId="9" fontId="0" fillId="47" borderId="0" xfId="0" applyNumberFormat="1" applyFill="1"/>
    <xf numFmtId="10" fontId="0" fillId="47" borderId="16" xfId="0" applyNumberFormat="1" applyFill="1" applyBorder="1"/>
    <xf numFmtId="0" fontId="10" fillId="0" borderId="16" xfId="0" applyFont="1" applyBorder="1"/>
    <xf numFmtId="172" fontId="54" fillId="0" borderId="0" xfId="0" applyNumberFormat="1" applyFont="1"/>
    <xf numFmtId="172" fontId="10" fillId="43" borderId="19" xfId="0" applyNumberFormat="1" applyFont="1" applyFill="1" applyBorder="1"/>
    <xf numFmtId="172" fontId="10" fillId="43" borderId="24" xfId="0" applyNumberFormat="1" applyFont="1" applyFill="1" applyBorder="1"/>
    <xf numFmtId="0" fontId="10" fillId="47" borderId="16" xfId="0" applyFont="1" applyFill="1" applyBorder="1"/>
    <xf numFmtId="0" fontId="130" fillId="50" borderId="44" xfId="0" applyFont="1" applyFill="1" applyBorder="1"/>
    <xf numFmtId="0" fontId="10" fillId="50" borderId="17" xfId="0" applyFont="1" applyFill="1" applyBorder="1"/>
    <xf numFmtId="1" fontId="0" fillId="43" borderId="19" xfId="0" applyNumberFormat="1" applyFill="1" applyBorder="1"/>
    <xf numFmtId="1" fontId="0" fillId="43" borderId="44" xfId="0" applyNumberFormat="1" applyFill="1" applyBorder="1"/>
    <xf numFmtId="0" fontId="10" fillId="0" borderId="20" xfId="0" applyFont="1" applyBorder="1"/>
    <xf numFmtId="0" fontId="10" fillId="0" borderId="23" xfId="0" applyFont="1" applyBorder="1"/>
    <xf numFmtId="0" fontId="10" fillId="47" borderId="20" xfId="0" applyFont="1" applyFill="1" applyBorder="1"/>
    <xf numFmtId="165" fontId="138" fillId="47" borderId="25" xfId="1164" applyNumberFormat="1" applyFont="1" applyFill="1" applyBorder="1"/>
    <xf numFmtId="165" fontId="138" fillId="47" borderId="56" xfId="1164" applyNumberFormat="1" applyFont="1" applyFill="1" applyBorder="1"/>
    <xf numFmtId="165" fontId="138" fillId="47" borderId="27" xfId="1164" applyNumberFormat="1" applyFont="1" applyFill="1" applyBorder="1"/>
    <xf numFmtId="0" fontId="54" fillId="0" borderId="30" xfId="0" applyFont="1" applyBorder="1"/>
    <xf numFmtId="165" fontId="138" fillId="47" borderId="0" xfId="1164" applyNumberFormat="1" applyFont="1" applyFill="1" applyBorder="1"/>
    <xf numFmtId="2" fontId="54" fillId="25" borderId="0" xfId="0" applyNumberFormat="1" applyFont="1" applyFill="1"/>
    <xf numFmtId="0" fontId="114" fillId="0" borderId="0" xfId="0" applyFont="1" applyBorder="1"/>
    <xf numFmtId="1" fontId="139" fillId="56" borderId="101" xfId="1126" applyNumberFormat="1" applyFont="1" applyBorder="1"/>
    <xf numFmtId="9" fontId="139" fillId="56" borderId="101" xfId="844" applyFont="1" applyFill="1" applyBorder="1" applyAlignment="1">
      <alignment vertical="center"/>
    </xf>
    <xf numFmtId="9" fontId="139" fillId="56" borderId="101" xfId="844" applyFont="1" applyFill="1" applyBorder="1"/>
    <xf numFmtId="2" fontId="140" fillId="0" borderId="0" xfId="0" applyNumberFormat="1" applyFont="1" applyBorder="1"/>
    <xf numFmtId="0" fontId="140" fillId="0" borderId="0" xfId="0" applyFont="1" applyBorder="1"/>
    <xf numFmtId="1" fontId="139" fillId="56" borderId="115" xfId="1126" applyNumberFormat="1" applyFont="1" applyBorder="1"/>
    <xf numFmtId="0" fontId="10" fillId="0" borderId="0" xfId="1305"/>
    <xf numFmtId="186" fontId="112" fillId="0" borderId="16" xfId="1181" applyNumberFormat="1" applyFont="1" applyBorder="1"/>
    <xf numFmtId="186" fontId="112" fillId="0" borderId="17" xfId="1181" applyNumberFormat="1" applyFont="1" applyBorder="1"/>
    <xf numFmtId="0" fontId="31" fillId="0" borderId="0" xfId="1305" applyFont="1"/>
    <xf numFmtId="0" fontId="0" fillId="0" borderId="0" xfId="0"/>
    <xf numFmtId="0" fontId="31" fillId="0" borderId="0" xfId="0" applyFont="1" applyFill="1" applyBorder="1" applyAlignment="1">
      <alignment horizontal="left"/>
    </xf>
    <xf numFmtId="0" fontId="31" fillId="0" borderId="20" xfId="0" applyFont="1" applyFill="1" applyBorder="1"/>
    <xf numFmtId="0" fontId="31" fillId="0" borderId="0" xfId="0" applyFont="1" applyFill="1"/>
    <xf numFmtId="0" fontId="31" fillId="0" borderId="0" xfId="0" applyFont="1" applyFill="1" applyBorder="1"/>
    <xf numFmtId="0" fontId="71" fillId="0" borderId="0" xfId="0" applyFont="1" applyFill="1"/>
    <xf numFmtId="3" fontId="31" fillId="0" borderId="0" xfId="0" applyNumberFormat="1" applyFont="1" applyFill="1" applyBorder="1" applyAlignment="1">
      <alignment horizontal="right"/>
    </xf>
    <xf numFmtId="0" fontId="36" fillId="0" borderId="0" xfId="0" applyFont="1" applyFill="1"/>
    <xf numFmtId="3" fontId="31" fillId="0" borderId="118" xfId="0" applyNumberFormat="1" applyFont="1" applyFill="1" applyBorder="1" applyAlignment="1">
      <alignment horizontal="right"/>
    </xf>
    <xf numFmtId="3" fontId="31" fillId="0" borderId="0" xfId="0" applyNumberFormat="1" applyFont="1" applyFill="1" applyAlignment="1">
      <alignment horizontal="right"/>
    </xf>
    <xf numFmtId="0" fontId="31" fillId="0" borderId="118" xfId="0" applyFont="1" applyFill="1" applyBorder="1"/>
    <xf numFmtId="0" fontId="10" fillId="0" borderId="0" xfId="0" applyFont="1"/>
    <xf numFmtId="3" fontId="31" fillId="0" borderId="120" xfId="0" applyNumberFormat="1" applyFont="1" applyFill="1" applyBorder="1" applyAlignment="1">
      <alignment horizontal="right"/>
    </xf>
    <xf numFmtId="3" fontId="71" fillId="0" borderId="119" xfId="0" applyNumberFormat="1" applyFont="1" applyFill="1" applyBorder="1" applyAlignment="1">
      <alignment horizontal="right"/>
    </xf>
    <xf numFmtId="0" fontId="71" fillId="0" borderId="20" xfId="0" applyFont="1" applyFill="1" applyBorder="1"/>
    <xf numFmtId="0" fontId="31" fillId="0" borderId="20" xfId="0" applyFont="1" applyFill="1" applyBorder="1" applyAlignment="1">
      <alignment horizontal="right"/>
    </xf>
    <xf numFmtId="3" fontId="31" fillId="0" borderId="118" xfId="0" applyNumberFormat="1" applyFont="1" applyFill="1" applyBorder="1" applyAlignment="1">
      <alignment horizontal="right" wrapText="1"/>
    </xf>
    <xf numFmtId="0" fontId="31" fillId="0" borderId="16" xfId="0" applyFont="1" applyFill="1" applyBorder="1" applyAlignment="1">
      <alignment horizontal="left"/>
    </xf>
    <xf numFmtId="0" fontId="142" fillId="0" borderId="0" xfId="0" applyFont="1" applyFill="1"/>
    <xf numFmtId="0" fontId="31" fillId="0" borderId="0" xfId="0" applyFont="1" applyFill="1" applyBorder="1" applyAlignment="1">
      <alignment wrapText="1"/>
    </xf>
    <xf numFmtId="0" fontId="31" fillId="0" borderId="120" xfId="0" applyFont="1" applyFill="1" applyBorder="1"/>
    <xf numFmtId="0" fontId="109" fillId="0" borderId="0" xfId="0" applyFont="1" applyFill="1"/>
    <xf numFmtId="0" fontId="71" fillId="0" borderId="119" xfId="0" applyFont="1" applyFill="1" applyBorder="1" applyAlignment="1">
      <alignment horizontal="left"/>
    </xf>
    <xf numFmtId="0" fontId="145" fillId="0" borderId="0" xfId="0" applyFont="1" applyFill="1"/>
    <xf numFmtId="0" fontId="31" fillId="0" borderId="20" xfId="0" applyFont="1" applyFill="1" applyBorder="1" applyAlignment="1">
      <alignment horizontal="right" vertical="top" wrapText="1"/>
    </xf>
    <xf numFmtId="3" fontId="144" fillId="0" borderId="0" xfId="0" applyNumberFormat="1" applyFont="1" applyFill="1" applyAlignment="1">
      <alignment horizontal="right" wrapText="1"/>
    </xf>
    <xf numFmtId="0" fontId="31" fillId="0" borderId="0" xfId="0" applyFont="1" applyFill="1" applyBorder="1" applyAlignment="1">
      <alignment horizontal="right" vertical="top" wrapText="1"/>
    </xf>
    <xf numFmtId="3" fontId="31" fillId="0" borderId="120" xfId="0" applyNumberFormat="1" applyFont="1" applyFill="1" applyBorder="1" applyAlignment="1">
      <alignment horizontal="right" wrapText="1"/>
    </xf>
    <xf numFmtId="3" fontId="31" fillId="0" borderId="121" xfId="0" applyNumberFormat="1" applyFont="1" applyFill="1" applyBorder="1" applyAlignment="1">
      <alignment horizontal="right" wrapText="1"/>
    </xf>
    <xf numFmtId="0" fontId="31" fillId="0" borderId="118" xfId="0" applyFont="1" applyFill="1" applyBorder="1" applyAlignment="1">
      <alignment wrapText="1"/>
    </xf>
    <xf numFmtId="1" fontId="0" fillId="0" borderId="0" xfId="0" applyNumberFormat="1"/>
    <xf numFmtId="0" fontId="31" fillId="0" borderId="21" xfId="1305" applyFont="1" applyBorder="1"/>
    <xf numFmtId="3" fontId="31" fillId="0" borderId="0" xfId="1305" applyNumberFormat="1" applyFont="1" applyBorder="1" applyAlignment="1">
      <alignment horizontal="right"/>
    </xf>
    <xf numFmtId="0" fontId="31" fillId="0" borderId="0" xfId="1305" applyFont="1" applyBorder="1" applyAlignment="1">
      <alignment horizontal="left"/>
    </xf>
    <xf numFmtId="0" fontId="31" fillId="0" borderId="0" xfId="1305" applyFont="1" applyBorder="1"/>
    <xf numFmtId="0" fontId="31" fillId="0" borderId="20" xfId="1305" applyFont="1" applyBorder="1" applyAlignment="1">
      <alignment horizontal="right"/>
    </xf>
    <xf numFmtId="0" fontId="31" fillId="0" borderId="20" xfId="1305" applyFont="1" applyBorder="1"/>
    <xf numFmtId="3" fontId="31" fillId="0" borderId="0" xfId="1305" applyNumberFormat="1" applyFont="1" applyAlignment="1">
      <alignment horizontal="right"/>
    </xf>
    <xf numFmtId="0" fontId="71" fillId="0" borderId="0" xfId="1305" applyFont="1"/>
    <xf numFmtId="0" fontId="36" fillId="0" borderId="0" xfId="1305" applyFont="1"/>
    <xf numFmtId="0" fontId="142" fillId="0" borderId="0" xfId="1305" applyFont="1"/>
    <xf numFmtId="0" fontId="31" fillId="0" borderId="0" xfId="1305" applyFont="1" applyBorder="1" applyAlignment="1">
      <alignment wrapText="1"/>
    </xf>
    <xf numFmtId="0" fontId="109" fillId="0" borderId="0" xfId="1305" applyFont="1"/>
    <xf numFmtId="0" fontId="31" fillId="0" borderId="21" xfId="1305" applyFont="1" applyBorder="1" applyAlignment="1">
      <alignment horizontal="left"/>
    </xf>
    <xf numFmtId="0" fontId="31" fillId="0" borderId="16" xfId="1305" applyFont="1" applyBorder="1" applyAlignment="1">
      <alignment horizontal="left"/>
    </xf>
    <xf numFmtId="0" fontId="71" fillId="0" borderId="20" xfId="1305" applyFont="1" applyBorder="1"/>
    <xf numFmtId="0" fontId="31" fillId="0" borderId="124" xfId="1305" applyFont="1" applyBorder="1"/>
    <xf numFmtId="0" fontId="31" fillId="0" borderId="123" xfId="1305" applyFont="1" applyBorder="1"/>
    <xf numFmtId="0" fontId="71" fillId="0" borderId="125" xfId="1305" applyFont="1" applyBorder="1" applyAlignment="1">
      <alignment horizontal="left"/>
    </xf>
    <xf numFmtId="3" fontId="71" fillId="0" borderId="125" xfId="1305" applyNumberFormat="1" applyFont="1" applyBorder="1" applyAlignment="1">
      <alignment horizontal="right"/>
    </xf>
    <xf numFmtId="0" fontId="31" fillId="0" borderId="20" xfId="1305" applyFont="1" applyBorder="1" applyAlignment="1">
      <alignment horizontal="right" vertical="top" wrapText="1"/>
    </xf>
    <xf numFmtId="3" fontId="144" fillId="0" borderId="0" xfId="1305" applyNumberFormat="1" applyFont="1" applyBorder="1" applyAlignment="1">
      <alignment horizontal="right"/>
    </xf>
    <xf numFmtId="0" fontId="31" fillId="0" borderId="0" xfId="1305" applyFont="1" applyBorder="1" applyAlignment="1">
      <alignment horizontal="right" vertical="top" wrapText="1"/>
    </xf>
    <xf numFmtId="3" fontId="144" fillId="0" borderId="0" xfId="1305" applyNumberFormat="1" applyFont="1" applyAlignment="1">
      <alignment horizontal="right" wrapText="1"/>
    </xf>
    <xf numFmtId="3" fontId="144" fillId="0" borderId="0" xfId="1305" applyNumberFormat="1" applyFont="1" applyBorder="1" applyAlignment="1">
      <alignment horizontal="right" wrapText="1"/>
    </xf>
    <xf numFmtId="0" fontId="31" fillId="0" borderId="123" xfId="1305" applyFont="1" applyBorder="1" applyAlignment="1">
      <alignment wrapText="1"/>
    </xf>
    <xf numFmtId="3" fontId="31" fillId="0" borderId="123" xfId="1305" applyNumberFormat="1" applyFont="1" applyBorder="1" applyAlignment="1">
      <alignment horizontal="right" wrapText="1"/>
    </xf>
    <xf numFmtId="3" fontId="31" fillId="0" borderId="124" xfId="1305" applyNumberFormat="1" applyFont="1" applyBorder="1" applyAlignment="1">
      <alignment horizontal="right" wrapText="1"/>
    </xf>
    <xf numFmtId="3" fontId="31" fillId="0" borderId="122" xfId="1305" applyNumberFormat="1" applyFont="1" applyBorder="1" applyAlignment="1">
      <alignment horizontal="right" wrapText="1"/>
    </xf>
    <xf numFmtId="3" fontId="71" fillId="0" borderId="125" xfId="1305" applyNumberFormat="1" applyFont="1" applyBorder="1" applyAlignment="1">
      <alignment horizontal="right" wrapText="1"/>
    </xf>
    <xf numFmtId="190" fontId="56" fillId="47" borderId="15" xfId="0" applyNumberFormat="1" applyFont="1" applyFill="1" applyBorder="1"/>
    <xf numFmtId="190" fontId="138" fillId="47" borderId="15" xfId="0" applyNumberFormat="1" applyFont="1" applyFill="1" applyBorder="1"/>
    <xf numFmtId="190" fontId="138" fillId="47" borderId="0" xfId="0" applyNumberFormat="1" applyFont="1" applyFill="1" applyBorder="1"/>
    <xf numFmtId="0" fontId="31" fillId="0" borderId="0" xfId="1305" applyFont="1"/>
    <xf numFmtId="3" fontId="31" fillId="0" borderId="0" xfId="1305" applyNumberFormat="1" applyFont="1" applyBorder="1" applyAlignment="1">
      <alignment horizontal="right"/>
    </xf>
    <xf numFmtId="0" fontId="31" fillId="0" borderId="0" xfId="1305" applyFont="1" applyBorder="1" applyAlignment="1">
      <alignment horizontal="left"/>
    </xf>
    <xf numFmtId="0" fontId="31" fillId="0" borderId="0" xfId="1305" applyFont="1" applyBorder="1"/>
    <xf numFmtId="0" fontId="31" fillId="0" borderId="20" xfId="1305" applyFont="1" applyBorder="1" applyAlignment="1">
      <alignment horizontal="right"/>
    </xf>
    <xf numFmtId="0" fontId="31" fillId="0" borderId="20" xfId="1305" applyFont="1" applyBorder="1"/>
    <xf numFmtId="3" fontId="31" fillId="0" borderId="0" xfId="1305" applyNumberFormat="1" applyFont="1" applyAlignment="1">
      <alignment horizontal="right"/>
    </xf>
    <xf numFmtId="0" fontId="71" fillId="0" borderId="0" xfId="1305" applyFont="1"/>
    <xf numFmtId="0" fontId="145" fillId="0" borderId="0" xfId="1305" applyFont="1"/>
    <xf numFmtId="0" fontId="36" fillId="0" borderId="0" xfId="1305" applyFont="1"/>
    <xf numFmtId="0" fontId="142" fillId="0" borderId="0" xfId="1305" applyFont="1"/>
    <xf numFmtId="0" fontId="31" fillId="0" borderId="0" xfId="1305" applyFont="1" applyBorder="1" applyAlignment="1">
      <alignment wrapText="1"/>
    </xf>
    <xf numFmtId="0" fontId="109" fillId="0" borderId="0" xfId="1305" applyFont="1"/>
    <xf numFmtId="0" fontId="31" fillId="0" borderId="21" xfId="1305" applyFont="1" applyBorder="1" applyAlignment="1">
      <alignment horizontal="left"/>
    </xf>
    <xf numFmtId="0" fontId="31" fillId="0" borderId="16" xfId="1305" applyFont="1" applyBorder="1" applyAlignment="1">
      <alignment horizontal="left"/>
    </xf>
    <xf numFmtId="3" fontId="31" fillId="0" borderId="118" xfId="1305" applyNumberFormat="1" applyFont="1" applyBorder="1" applyAlignment="1">
      <alignment horizontal="right"/>
    </xf>
    <xf numFmtId="3" fontId="31" fillId="0" borderId="120" xfId="1305" applyNumberFormat="1" applyFont="1" applyBorder="1" applyAlignment="1">
      <alignment horizontal="right"/>
    </xf>
    <xf numFmtId="0" fontId="71" fillId="0" borderId="20" xfId="1305" applyFont="1" applyBorder="1"/>
    <xf numFmtId="0" fontId="31" fillId="0" borderId="120" xfId="1305" applyFont="1" applyBorder="1"/>
    <xf numFmtId="0" fontId="31" fillId="0" borderId="118" xfId="1305" applyFont="1" applyBorder="1"/>
    <xf numFmtId="0" fontId="71" fillId="0" borderId="119" xfId="1305" applyFont="1" applyBorder="1" applyAlignment="1">
      <alignment horizontal="left"/>
    </xf>
    <xf numFmtId="3" fontId="71" fillId="0" borderId="119" xfId="1305" applyNumberFormat="1" applyFont="1" applyBorder="1" applyAlignment="1">
      <alignment horizontal="right"/>
    </xf>
    <xf numFmtId="0" fontId="31" fillId="0" borderId="20" xfId="1305" applyFont="1" applyBorder="1" applyAlignment="1">
      <alignment horizontal="right" vertical="top" wrapText="1"/>
    </xf>
    <xf numFmtId="0" fontId="31" fillId="0" borderId="0" xfId="1305" applyFont="1" applyBorder="1" applyAlignment="1">
      <alignment horizontal="right" vertical="top" wrapText="1"/>
    </xf>
    <xf numFmtId="3" fontId="144" fillId="0" borderId="0" xfId="1305" applyNumberFormat="1" applyFont="1" applyAlignment="1">
      <alignment horizontal="right" wrapText="1"/>
    </xf>
    <xf numFmtId="0" fontId="31" fillId="0" borderId="118" xfId="1305" applyFont="1" applyBorder="1" applyAlignment="1">
      <alignment wrapText="1"/>
    </xf>
    <xf numFmtId="3" fontId="31" fillId="0" borderId="118" xfId="1305" applyNumberFormat="1" applyFont="1" applyBorder="1" applyAlignment="1">
      <alignment horizontal="right" wrapText="1"/>
    </xf>
    <xf numFmtId="3" fontId="31" fillId="0" borderId="120" xfId="1305" applyNumberFormat="1" applyFont="1" applyBorder="1" applyAlignment="1">
      <alignment horizontal="right" wrapText="1"/>
    </xf>
    <xf numFmtId="3" fontId="31" fillId="0" borderId="121" xfId="1305" applyNumberFormat="1" applyFont="1" applyBorder="1" applyAlignment="1">
      <alignment horizontal="right" wrapText="1"/>
    </xf>
    <xf numFmtId="165" fontId="146" fillId="47" borderId="0" xfId="1164" applyNumberFormat="1" applyFont="1" applyFill="1" applyBorder="1"/>
    <xf numFmtId="165" fontId="146" fillId="47" borderId="30" xfId="1164" applyNumberFormat="1" applyFont="1" applyFill="1" applyBorder="1"/>
    <xf numFmtId="0" fontId="146" fillId="25" borderId="26" xfId="0" applyFont="1" applyFill="1" applyBorder="1"/>
    <xf numFmtId="0" fontId="146" fillId="25" borderId="27" xfId="0" applyFont="1" applyFill="1" applyBorder="1"/>
    <xf numFmtId="0" fontId="146" fillId="25" borderId="28" xfId="0" applyFont="1" applyFill="1" applyBorder="1"/>
    <xf numFmtId="0" fontId="147" fillId="0" borderId="0" xfId="0" applyFont="1"/>
    <xf numFmtId="0" fontId="10" fillId="0" borderId="0" xfId="0" applyFont="1" applyAlignment="1">
      <alignment horizontal="right"/>
    </xf>
    <xf numFmtId="192" fontId="0" fillId="0" borderId="0" xfId="0" applyNumberFormat="1"/>
    <xf numFmtId="2" fontId="54" fillId="42" borderId="22" xfId="0" applyNumberFormat="1" applyFont="1" applyFill="1" applyBorder="1"/>
    <xf numFmtId="2" fontId="54" fillId="42" borderId="23" xfId="0" applyNumberFormat="1" applyFont="1" applyFill="1" applyBorder="1"/>
    <xf numFmtId="1" fontId="54" fillId="47" borderId="0" xfId="0" applyNumberFormat="1" applyFont="1" applyFill="1"/>
    <xf numFmtId="1" fontId="10" fillId="43" borderId="16" xfId="0" applyNumberFormat="1" applyFont="1" applyFill="1" applyBorder="1"/>
    <xf numFmtId="1" fontId="84" fillId="43" borderId="19" xfId="0" applyNumberFormat="1" applyFont="1" applyFill="1" applyBorder="1"/>
    <xf numFmtId="1" fontId="84" fillId="0" borderId="19" xfId="0" applyNumberFormat="1" applyFont="1" applyBorder="1"/>
    <xf numFmtId="1" fontId="84" fillId="43" borderId="0" xfId="0" applyNumberFormat="1" applyFont="1" applyFill="1" applyBorder="1"/>
    <xf numFmtId="1" fontId="84" fillId="0" borderId="24" xfId="0" applyNumberFormat="1" applyFont="1" applyBorder="1"/>
    <xf numFmtId="0" fontId="10" fillId="0" borderId="72" xfId="0" applyFont="1" applyBorder="1"/>
    <xf numFmtId="167" fontId="10" fillId="0" borderId="0" xfId="0" applyNumberFormat="1" applyFont="1" applyBorder="1"/>
    <xf numFmtId="0" fontId="0" fillId="0" borderId="0" xfId="0" applyAlignment="1">
      <alignment horizontal="left"/>
    </xf>
    <xf numFmtId="0" fontId="10" fillId="43" borderId="0" xfId="0" applyFont="1" applyFill="1" applyBorder="1"/>
    <xf numFmtId="0" fontId="10" fillId="43" borderId="0" xfId="0" applyFont="1" applyFill="1"/>
    <xf numFmtId="0" fontId="148" fillId="29" borderId="21" xfId="0" applyFont="1" applyFill="1" applyBorder="1" applyAlignment="1">
      <alignment horizontal="left" vertical="center" wrapText="1"/>
    </xf>
    <xf numFmtId="0" fontId="0" fillId="86" borderId="19" xfId="0" applyFill="1" applyBorder="1"/>
    <xf numFmtId="0" fontId="0" fillId="86" borderId="0" xfId="0" applyFill="1" applyBorder="1"/>
    <xf numFmtId="0" fontId="0" fillId="86" borderId="22" xfId="0" applyFill="1" applyBorder="1"/>
    <xf numFmtId="1" fontId="0" fillId="86" borderId="22" xfId="0" applyNumberFormat="1" applyFill="1" applyBorder="1"/>
    <xf numFmtId="4" fontId="93" fillId="86" borderId="0" xfId="850" applyNumberFormat="1" applyFont="1" applyFill="1" applyBorder="1"/>
    <xf numFmtId="0" fontId="0" fillId="43" borderId="0" xfId="0" applyFill="1" applyBorder="1"/>
    <xf numFmtId="0" fontId="0" fillId="43" borderId="25" xfId="0" applyFill="1" applyBorder="1"/>
    <xf numFmtId="0" fontId="149" fillId="0" borderId="0" xfId="0" applyFont="1" applyAlignment="1">
      <alignment horizontal="right"/>
    </xf>
    <xf numFmtId="0" fontId="0" fillId="0" borderId="20" xfId="0" applyBorder="1" applyAlignment="1">
      <alignment horizontal="left"/>
    </xf>
    <xf numFmtId="0" fontId="36" fillId="0" borderId="0" xfId="0" applyFont="1" applyBorder="1" applyAlignment="1">
      <alignment horizontal="right"/>
    </xf>
    <xf numFmtId="0" fontId="36" fillId="0" borderId="0" xfId="0" applyFont="1"/>
    <xf numFmtId="0" fontId="36" fillId="0" borderId="0" xfId="0" applyFont="1" applyAlignment="1">
      <alignment horizontal="left"/>
    </xf>
    <xf numFmtId="0" fontId="36" fillId="0" borderId="0" xfId="0" applyFont="1" applyBorder="1"/>
    <xf numFmtId="3" fontId="36" fillId="0" borderId="0" xfId="0" applyNumberFormat="1" applyFont="1" applyBorder="1" applyAlignment="1">
      <alignment horizontal="right"/>
    </xf>
    <xf numFmtId="193" fontId="36" fillId="0" borderId="0" xfId="0" applyNumberFormat="1" applyFont="1" applyAlignment="1">
      <alignment horizontal="left"/>
    </xf>
    <xf numFmtId="3" fontId="36" fillId="0" borderId="0" xfId="1523" applyNumberFormat="1" applyFont="1" applyBorder="1"/>
    <xf numFmtId="3" fontId="36" fillId="0" borderId="0" xfId="0" applyNumberFormat="1" applyFont="1"/>
    <xf numFmtId="193" fontId="36" fillId="0" borderId="0" xfId="0" applyNumberFormat="1" applyFont="1" applyAlignment="1">
      <alignment horizontal="left" wrapText="1"/>
    </xf>
    <xf numFmtId="3" fontId="36" fillId="0" borderId="0" xfId="1523" applyNumberFormat="1" applyFont="1" applyBorder="1" applyAlignment="1">
      <alignment wrapText="1"/>
    </xf>
    <xf numFmtId="3" fontId="36" fillId="0" borderId="0" xfId="0" applyNumberFormat="1" applyFont="1" applyAlignment="1">
      <alignment wrapText="1"/>
    </xf>
    <xf numFmtId="3" fontId="36" fillId="0" borderId="0" xfId="0" applyNumberFormat="1" applyFont="1" applyBorder="1"/>
    <xf numFmtId="193" fontId="36" fillId="0" borderId="0" xfId="0" applyNumberFormat="1" applyFont="1" applyBorder="1" applyAlignment="1">
      <alignment horizontal="left"/>
    </xf>
    <xf numFmtId="193" fontId="142" fillId="0" borderId="0" xfId="0" applyNumberFormat="1" applyFont="1" applyAlignment="1">
      <alignment horizontal="left"/>
    </xf>
    <xf numFmtId="3" fontId="142" fillId="0" borderId="0" xfId="1524" applyNumberFormat="1" applyFont="1" applyAlignment="1"/>
    <xf numFmtId="3" fontId="142" fillId="0" borderId="0" xfId="0" applyNumberFormat="1" applyFont="1"/>
    <xf numFmtId="3" fontId="142" fillId="0" borderId="0" xfId="0" applyNumberFormat="1" applyFont="1" applyBorder="1"/>
    <xf numFmtId="0" fontId="142" fillId="0" borderId="0" xfId="0" applyFont="1"/>
    <xf numFmtId="3" fontId="36" fillId="0" borderId="0" xfId="1524" applyNumberFormat="1" applyFont="1" applyAlignment="1"/>
    <xf numFmtId="193" fontId="142" fillId="0" borderId="20" xfId="0" applyNumberFormat="1" applyFont="1" applyBorder="1" applyAlignment="1">
      <alignment horizontal="left"/>
    </xf>
    <xf numFmtId="3" fontId="142" fillId="0" borderId="20" xfId="1524" applyNumberFormat="1" applyFont="1" applyBorder="1" applyAlignment="1"/>
    <xf numFmtId="3" fontId="142" fillId="0" borderId="20" xfId="0" applyNumberFormat="1" applyFont="1" applyBorder="1"/>
    <xf numFmtId="193" fontId="10" fillId="0" borderId="0" xfId="0" applyNumberFormat="1" applyFont="1" applyAlignment="1">
      <alignment horizontal="left"/>
    </xf>
    <xf numFmtId="3" fontId="151" fillId="0" borderId="0" xfId="0" applyNumberFormat="1" applyFont="1"/>
    <xf numFmtId="0" fontId="71" fillId="0" borderId="0" xfId="0" applyFont="1" applyFill="1" applyAlignment="1">
      <alignment horizontal="left"/>
    </xf>
    <xf numFmtId="0" fontId="152" fillId="0" borderId="0" xfId="0" applyFont="1" applyFill="1" applyAlignment="1">
      <alignment horizontal="left"/>
    </xf>
    <xf numFmtId="0" fontId="31" fillId="0" borderId="0" xfId="0" applyFont="1" applyFill="1" applyAlignment="1">
      <alignment horizontal="left"/>
    </xf>
    <xf numFmtId="0" fontId="153" fillId="0" borderId="0" xfId="0" applyFont="1" applyFill="1" applyAlignment="1">
      <alignment horizontal="left"/>
    </xf>
    <xf numFmtId="0" fontId="31" fillId="0" borderId="0" xfId="0" applyFont="1" applyFill="1" applyBorder="1" applyAlignment="1">
      <alignment horizontal="right"/>
    </xf>
    <xf numFmtId="0" fontId="153" fillId="0" borderId="0" xfId="0" applyFont="1" applyFill="1" applyAlignment="1">
      <alignment horizontal="left" wrapText="1"/>
    </xf>
    <xf numFmtId="0" fontId="31" fillId="0" borderId="0" xfId="0" applyFont="1" applyFill="1" applyAlignment="1">
      <alignment horizontal="left" wrapText="1"/>
    </xf>
    <xf numFmtId="3" fontId="0" fillId="0" borderId="0" xfId="0" applyNumberFormat="1" applyFill="1"/>
    <xf numFmtId="3" fontId="153" fillId="0" borderId="0" xfId="0" applyNumberFormat="1" applyFont="1" applyFill="1"/>
    <xf numFmtId="3" fontId="31" fillId="0" borderId="0" xfId="0" applyNumberFormat="1" applyFont="1" applyFill="1"/>
    <xf numFmtId="0" fontId="0" fillId="0" borderId="0" xfId="0" applyFill="1" applyAlignment="1">
      <alignment wrapText="1"/>
    </xf>
    <xf numFmtId="0" fontId="71" fillId="0" borderId="0" xfId="0" applyFont="1" applyFill="1" applyAlignment="1">
      <alignment horizontal="right"/>
    </xf>
    <xf numFmtId="0" fontId="31" fillId="0" borderId="0" xfId="0" applyFont="1" applyFill="1" applyBorder="1" applyAlignment="1">
      <alignment horizontal="right" wrapText="1"/>
    </xf>
    <xf numFmtId="0" fontId="153" fillId="0" borderId="0" xfId="0" applyFont="1" applyFill="1"/>
    <xf numFmtId="0" fontId="31" fillId="0" borderId="0" xfId="0" applyFont="1" applyFill="1" applyAlignment="1">
      <alignment horizontal="right"/>
    </xf>
    <xf numFmtId="1" fontId="31" fillId="0" borderId="0" xfId="0" applyNumberFormat="1" applyFont="1" applyFill="1" applyBorder="1" applyAlignment="1">
      <alignment horizontal="right"/>
    </xf>
    <xf numFmtId="0" fontId="71" fillId="43" borderId="0" xfId="0" applyFont="1" applyFill="1"/>
    <xf numFmtId="0" fontId="31" fillId="43" borderId="0" xfId="0" applyFont="1" applyFill="1"/>
    <xf numFmtId="0" fontId="154" fillId="0" borderId="0" xfId="0" applyFont="1" applyFill="1" applyAlignment="1" applyProtection="1">
      <alignment wrapText="1"/>
    </xf>
    <xf numFmtId="0" fontId="154" fillId="0" borderId="0" xfId="0" applyFont="1" applyFill="1" applyProtection="1"/>
    <xf numFmtId="0" fontId="0" fillId="0" borderId="0" xfId="0" applyFill="1" applyProtection="1"/>
    <xf numFmtId="1" fontId="0" fillId="0" borderId="0" xfId="0" applyNumberFormat="1" applyFill="1" applyProtection="1"/>
    <xf numFmtId="1" fontId="0" fillId="43" borderId="0" xfId="0" applyNumberFormat="1" applyFill="1" applyProtection="1"/>
    <xf numFmtId="0" fontId="36" fillId="53" borderId="0" xfId="0" applyFont="1" applyFill="1"/>
    <xf numFmtId="1" fontId="10" fillId="0" borderId="0" xfId="0" applyNumberFormat="1" applyFont="1" applyFill="1" applyProtection="1"/>
    <xf numFmtId="3" fontId="0" fillId="43" borderId="0" xfId="0" applyNumberFormat="1" applyFont="1" applyFill="1" applyBorder="1"/>
    <xf numFmtId="0" fontId="158" fillId="0" borderId="0" xfId="0" applyFont="1" applyFill="1" applyBorder="1"/>
    <xf numFmtId="193" fontId="158" fillId="0" borderId="0" xfId="0" applyNumberFormat="1" applyFont="1" applyFill="1" applyBorder="1"/>
    <xf numFmtId="3" fontId="158" fillId="0" borderId="0" xfId="0" applyNumberFormat="1" applyFont="1" applyFill="1" applyBorder="1"/>
    <xf numFmtId="2" fontId="158" fillId="91" borderId="0" xfId="0" applyNumberFormat="1" applyFont="1" applyFill="1" applyBorder="1"/>
    <xf numFmtId="2" fontId="158" fillId="0" borderId="0" xfId="0" applyNumberFormat="1" applyFont="1" applyFill="1" applyBorder="1"/>
    <xf numFmtId="0" fontId="159" fillId="0" borderId="0" xfId="0" applyFont="1" applyFill="1" applyBorder="1"/>
    <xf numFmtId="3" fontId="36" fillId="43" borderId="0" xfId="0" applyNumberFormat="1" applyFont="1" applyFill="1"/>
    <xf numFmtId="0" fontId="36" fillId="86" borderId="16" xfId="0" applyFont="1" applyFill="1" applyBorder="1" applyAlignment="1">
      <alignment horizontal="left" wrapText="1"/>
    </xf>
    <xf numFmtId="0" fontId="36" fillId="86" borderId="16" xfId="0" applyFont="1" applyFill="1" applyBorder="1" applyAlignment="1">
      <alignment horizontal="right"/>
    </xf>
    <xf numFmtId="0" fontId="36" fillId="86" borderId="16" xfId="0" applyFont="1" applyFill="1" applyBorder="1" applyAlignment="1">
      <alignment horizontal="left"/>
    </xf>
    <xf numFmtId="0" fontId="36" fillId="86" borderId="21" xfId="0" applyFont="1" applyFill="1" applyBorder="1" applyAlignment="1">
      <alignment horizontal="right"/>
    </xf>
    <xf numFmtId="0" fontId="36" fillId="86" borderId="0" xfId="0" applyFont="1" applyFill="1" applyBorder="1" applyAlignment="1">
      <alignment horizontal="left"/>
    </xf>
    <xf numFmtId="0" fontId="36" fillId="86" borderId="0" xfId="0" applyFont="1" applyFill="1" applyBorder="1"/>
    <xf numFmtId="0" fontId="36" fillId="86" borderId="0" xfId="0" applyFont="1" applyFill="1" applyBorder="1" applyAlignment="1">
      <alignment horizontal="right"/>
    </xf>
    <xf numFmtId="0" fontId="36" fillId="86" borderId="20" xfId="0" applyFont="1" applyFill="1" applyBorder="1" applyAlignment="1">
      <alignment horizontal="left"/>
    </xf>
    <xf numFmtId="0" fontId="36" fillId="86" borderId="20" xfId="0" applyFont="1" applyFill="1" applyBorder="1"/>
    <xf numFmtId="0" fontId="36" fillId="86" borderId="20" xfId="0" applyFont="1" applyFill="1" applyBorder="1" applyAlignment="1">
      <alignment horizontal="right"/>
    </xf>
    <xf numFmtId="3" fontId="36" fillId="86" borderId="20" xfId="0" applyNumberFormat="1" applyFont="1" applyFill="1" applyBorder="1" applyAlignment="1">
      <alignment horizontal="right"/>
    </xf>
    <xf numFmtId="0" fontId="158" fillId="86" borderId="16" xfId="0" applyFont="1" applyFill="1" applyBorder="1"/>
    <xf numFmtId="3" fontId="36" fillId="86" borderId="16" xfId="0" applyNumberFormat="1" applyFont="1" applyFill="1" applyBorder="1"/>
    <xf numFmtId="193" fontId="36" fillId="86" borderId="16" xfId="0" applyNumberFormat="1" applyFont="1" applyFill="1" applyBorder="1" applyAlignment="1">
      <alignment horizontal="right"/>
    </xf>
    <xf numFmtId="0" fontId="36" fillId="86" borderId="128" xfId="0" applyFont="1" applyFill="1" applyBorder="1" applyAlignment="1">
      <alignment horizontal="right"/>
    </xf>
    <xf numFmtId="0" fontId="158" fillId="86" borderId="0" xfId="0" applyFont="1" applyFill="1" applyBorder="1"/>
    <xf numFmtId="3" fontId="36" fillId="86" borderId="0" xfId="0" applyNumberFormat="1" applyFont="1" applyFill="1" applyBorder="1"/>
    <xf numFmtId="193" fontId="36" fillId="86" borderId="0" xfId="0" applyNumberFormat="1" applyFont="1" applyFill="1" applyBorder="1" applyAlignment="1">
      <alignment horizontal="right"/>
    </xf>
    <xf numFmtId="0" fontId="36" fillId="86" borderId="127" xfId="0" applyFont="1" applyFill="1" applyBorder="1" applyAlignment="1">
      <alignment horizontal="left"/>
    </xf>
    <xf numFmtId="0" fontId="36" fillId="86" borderId="127" xfId="0" applyFont="1" applyFill="1" applyBorder="1" applyAlignment="1">
      <alignment horizontal="left" wrapText="1"/>
    </xf>
    <xf numFmtId="0" fontId="158" fillId="86" borderId="20" xfId="0" applyFont="1" applyFill="1" applyBorder="1"/>
    <xf numFmtId="3" fontId="36" fillId="86" borderId="20" xfId="0" applyNumberFormat="1" applyFont="1" applyFill="1" applyBorder="1"/>
    <xf numFmtId="193" fontId="158" fillId="86" borderId="20" xfId="0" applyNumberFormat="1" applyFont="1" applyFill="1" applyBorder="1"/>
    <xf numFmtId="0" fontId="0" fillId="0" borderId="0" xfId="0" applyFill="1" applyBorder="1" applyAlignment="1"/>
    <xf numFmtId="0" fontId="0" fillId="0" borderId="0" xfId="0" applyFill="1" applyAlignment="1"/>
    <xf numFmtId="0" fontId="37" fillId="0" borderId="0" xfId="0" applyFont="1" applyFill="1" applyBorder="1" applyAlignment="1"/>
    <xf numFmtId="0" fontId="0" fillId="0" borderId="25" xfId="0" applyFill="1" applyBorder="1" applyAlignment="1"/>
    <xf numFmtId="0" fontId="10" fillId="0" borderId="0" xfId="0" applyFont="1" applyFill="1" applyAlignment="1"/>
    <xf numFmtId="0" fontId="160" fillId="33" borderId="0" xfId="0" applyFont="1" applyFill="1" applyBorder="1"/>
    <xf numFmtId="0" fontId="0" fillId="33" borderId="0" xfId="0" applyFill="1" applyBorder="1" applyAlignment="1">
      <alignment horizontal="right"/>
    </xf>
    <xf numFmtId="0" fontId="71" fillId="33" borderId="27" xfId="0" applyFont="1" applyFill="1" applyBorder="1" applyAlignment="1">
      <alignment horizontal="right" vertical="top" wrapText="1"/>
    </xf>
    <xf numFmtId="0" fontId="71" fillId="33" borderId="0" xfId="0" applyFont="1" applyFill="1" applyBorder="1" applyAlignment="1">
      <alignment horizontal="right" vertical="top" wrapText="1"/>
    </xf>
    <xf numFmtId="0" fontId="71" fillId="33" borderId="0" xfId="0" applyFont="1" applyFill="1" applyBorder="1" applyAlignment="1">
      <alignment horizontal="center" vertical="top" wrapText="1"/>
    </xf>
    <xf numFmtId="0" fontId="31" fillId="33" borderId="129" xfId="0" applyFont="1" applyFill="1" applyBorder="1" applyAlignment="1">
      <alignment horizontal="left" vertical="center"/>
    </xf>
    <xf numFmtId="0" fontId="31" fillId="33" borderId="0" xfId="0" applyFont="1" applyFill="1" applyBorder="1" applyAlignment="1">
      <alignment horizontal="left" vertical="top" wrapText="1"/>
    </xf>
    <xf numFmtId="0" fontId="164" fillId="33" borderId="0" xfId="0" applyFont="1" applyFill="1" applyBorder="1" applyAlignment="1">
      <alignment horizontal="right" wrapText="1"/>
    </xf>
    <xf numFmtId="0" fontId="31" fillId="33" borderId="0" xfId="0" applyFont="1" applyFill="1" applyBorder="1"/>
    <xf numFmtId="0" fontId="160" fillId="33" borderId="25" xfId="0" applyFont="1" applyFill="1" applyBorder="1"/>
    <xf numFmtId="0" fontId="0" fillId="33" borderId="25" xfId="0" applyFill="1" applyBorder="1" applyAlignment="1">
      <alignment horizontal="right"/>
    </xf>
    <xf numFmtId="0" fontId="0" fillId="47" borderId="0" xfId="0" applyFill="1" applyBorder="1" applyAlignment="1"/>
    <xf numFmtId="0" fontId="0" fillId="47" borderId="25" xfId="0" applyFill="1" applyBorder="1" applyAlignment="1"/>
    <xf numFmtId="0" fontId="71" fillId="47" borderId="0" xfId="0" applyFont="1" applyFill="1" applyBorder="1" applyAlignment="1">
      <alignment horizontal="left"/>
    </xf>
    <xf numFmtId="0" fontId="0" fillId="47" borderId="25" xfId="0" applyFill="1" applyBorder="1" applyAlignment="1">
      <alignment wrapText="1"/>
    </xf>
    <xf numFmtId="0" fontId="31" fillId="47" borderId="25" xfId="0" applyFont="1" applyFill="1" applyBorder="1" applyAlignment="1">
      <alignment horizontal="right" wrapText="1"/>
    </xf>
    <xf numFmtId="0" fontId="144" fillId="47" borderId="25" xfId="0" applyFont="1" applyFill="1" applyBorder="1" applyAlignment="1">
      <alignment horizontal="right" wrapText="1"/>
    </xf>
    <xf numFmtId="3" fontId="71" fillId="47" borderId="0" xfId="0" applyNumberFormat="1" applyFont="1" applyFill="1" applyBorder="1" applyAlignment="1">
      <alignment horizontal="right"/>
    </xf>
    <xf numFmtId="0" fontId="71" fillId="47" borderId="0" xfId="0" applyFont="1" applyFill="1" applyBorder="1" applyAlignment="1">
      <alignment horizontal="right"/>
    </xf>
    <xf numFmtId="0" fontId="31" fillId="47" borderId="25" xfId="0" applyFont="1" applyFill="1" applyBorder="1" applyAlignment="1">
      <alignment horizontal="right"/>
    </xf>
    <xf numFmtId="0" fontId="144" fillId="47" borderId="25" xfId="0" applyFont="1" applyFill="1" applyBorder="1" applyAlignment="1">
      <alignment horizontal="right"/>
    </xf>
    <xf numFmtId="0" fontId="10" fillId="0" borderId="27" xfId="0" applyFont="1" applyFill="1" applyBorder="1" applyAlignment="1"/>
    <xf numFmtId="0" fontId="0" fillId="0" borderId="27" xfId="0" applyFill="1" applyBorder="1" applyAlignment="1"/>
    <xf numFmtId="0" fontId="0" fillId="0" borderId="28" xfId="0" applyFill="1" applyBorder="1" applyAlignment="1"/>
    <xf numFmtId="0" fontId="10" fillId="0" borderId="0" xfId="0" applyFont="1" applyFill="1" applyBorder="1" applyAlignment="1"/>
    <xf numFmtId="0" fontId="0" fillId="0" borderId="30" xfId="0" applyFill="1" applyBorder="1" applyAlignment="1"/>
    <xf numFmtId="3" fontId="0" fillId="0" borderId="0" xfId="0" applyNumberFormat="1" applyFill="1" applyBorder="1" applyAlignment="1"/>
    <xf numFmtId="3" fontId="10" fillId="0" borderId="0" xfId="0" applyNumberFormat="1" applyFont="1" applyFill="1" applyBorder="1" applyAlignment="1"/>
    <xf numFmtId="3" fontId="37" fillId="0" borderId="25" xfId="0" applyNumberFormat="1" applyFont="1" applyFill="1" applyBorder="1" applyAlignment="1"/>
    <xf numFmtId="0" fontId="0" fillId="0" borderId="56" xfId="0" applyFill="1" applyBorder="1" applyAlignment="1"/>
    <xf numFmtId="3" fontId="36" fillId="0" borderId="0" xfId="0" applyNumberFormat="1" applyFont="1" applyBorder="1" applyAlignment="1">
      <alignment wrapText="1"/>
    </xf>
    <xf numFmtId="2" fontId="10" fillId="0" borderId="0" xfId="0" applyNumberFormat="1" applyFont="1" applyFill="1" applyBorder="1" applyAlignment="1"/>
    <xf numFmtId="3" fontId="37" fillId="0" borderId="0" xfId="0" applyNumberFormat="1" applyFont="1" applyFill="1" applyBorder="1" applyAlignment="1"/>
    <xf numFmtId="167" fontId="0" fillId="0" borderId="0" xfId="0" applyNumberFormat="1" applyFill="1" applyBorder="1" applyAlignment="1"/>
    <xf numFmtId="0" fontId="37" fillId="86" borderId="26" xfId="0" applyFont="1" applyFill="1" applyBorder="1" applyAlignment="1"/>
    <xf numFmtId="0" fontId="37" fillId="86" borderId="29" xfId="0" applyFont="1" applyFill="1" applyBorder="1" applyAlignment="1"/>
    <xf numFmtId="0" fontId="37" fillId="86" borderId="55" xfId="0" applyFont="1" applyFill="1" applyBorder="1" applyAlignment="1"/>
    <xf numFmtId="3" fontId="142" fillId="86" borderId="29" xfId="0" applyNumberFormat="1" applyFont="1" applyFill="1" applyBorder="1"/>
    <xf numFmtId="3" fontId="142" fillId="86" borderId="29" xfId="0" applyNumberFormat="1" applyFont="1" applyFill="1" applyBorder="1" applyAlignment="1">
      <alignment wrapText="1"/>
    </xf>
    <xf numFmtId="0" fontId="142" fillId="86" borderId="29" xfId="0" applyFont="1" applyFill="1" applyBorder="1"/>
    <xf numFmtId="0" fontId="0" fillId="0" borderId="0" xfId="0" applyAlignment="1">
      <alignment wrapText="1"/>
    </xf>
    <xf numFmtId="167" fontId="37" fillId="0" borderId="0" xfId="0" applyNumberFormat="1" applyFont="1" applyFill="1" applyBorder="1" applyAlignment="1"/>
    <xf numFmtId="0" fontId="0" fillId="0" borderId="26" xfId="0" applyFill="1" applyBorder="1" applyAlignment="1"/>
    <xf numFmtId="0" fontId="0" fillId="0" borderId="29" xfId="0" applyFill="1" applyBorder="1" applyAlignment="1"/>
    <xf numFmtId="0" fontId="0" fillId="0" borderId="55" xfId="0" applyFill="1" applyBorder="1" applyAlignment="1"/>
    <xf numFmtId="0" fontId="0" fillId="43" borderId="27" xfId="0" applyFill="1" applyBorder="1" applyAlignment="1"/>
    <xf numFmtId="0" fontId="0" fillId="43" borderId="28" xfId="0" applyFill="1" applyBorder="1" applyAlignment="1"/>
    <xf numFmtId="0" fontId="37" fillId="0" borderId="27" xfId="0" applyFont="1" applyFill="1" applyBorder="1" applyAlignment="1"/>
    <xf numFmtId="0" fontId="37" fillId="0" borderId="29" xfId="0" applyFont="1" applyFill="1" applyBorder="1" applyAlignment="1"/>
    <xf numFmtId="3" fontId="36" fillId="0" borderId="29" xfId="0" applyNumberFormat="1" applyFont="1" applyBorder="1"/>
    <xf numFmtId="3" fontId="36" fillId="0" borderId="29" xfId="0" applyNumberFormat="1" applyFont="1" applyBorder="1" applyAlignment="1">
      <alignment wrapText="1"/>
    </xf>
    <xf numFmtId="0" fontId="142" fillId="0" borderId="29" xfId="0" applyFont="1" applyBorder="1"/>
    <xf numFmtId="3" fontId="142" fillId="0" borderId="29" xfId="0" applyNumberFormat="1" applyFont="1" applyBorder="1"/>
    <xf numFmtId="0" fontId="142" fillId="0" borderId="0" xfId="0" applyFont="1" applyBorder="1"/>
    <xf numFmtId="1" fontId="0" fillId="0" borderId="0" xfId="0" applyNumberFormat="1" applyFill="1" applyBorder="1" applyAlignment="1"/>
    <xf numFmtId="0" fontId="37" fillId="43" borderId="26" xfId="0" applyFont="1" applyFill="1" applyBorder="1" applyAlignment="1"/>
    <xf numFmtId="0" fontId="37" fillId="43" borderId="55" xfId="0" applyFont="1" applyFill="1" applyBorder="1" applyAlignment="1"/>
    <xf numFmtId="0" fontId="0" fillId="43" borderId="25" xfId="0" applyFill="1" applyBorder="1" applyAlignment="1"/>
    <xf numFmtId="0" fontId="0" fillId="43" borderId="56" xfId="0" applyFill="1" applyBorder="1" applyAlignment="1"/>
    <xf numFmtId="0" fontId="0" fillId="43" borderId="0" xfId="0" applyFill="1" applyBorder="1" applyAlignment="1"/>
    <xf numFmtId="0" fontId="0" fillId="43" borderId="26" xfId="0" applyFill="1" applyBorder="1" applyAlignment="1"/>
    <xf numFmtId="1" fontId="37" fillId="0" borderId="0" xfId="0" applyNumberFormat="1" applyFont="1" applyFill="1" applyBorder="1" applyAlignment="1"/>
    <xf numFmtId="0" fontId="37" fillId="0" borderId="26" xfId="0" applyFont="1" applyFill="1" applyBorder="1" applyAlignment="1"/>
    <xf numFmtId="3" fontId="36" fillId="0" borderId="26" xfId="0" applyNumberFormat="1" applyFont="1" applyBorder="1"/>
    <xf numFmtId="167" fontId="31" fillId="0" borderId="0" xfId="0" applyNumberFormat="1" applyFont="1" applyAlignment="1">
      <alignment horizontal="right"/>
    </xf>
    <xf numFmtId="167" fontId="71" fillId="0" borderId="0" xfId="0" applyNumberFormat="1" applyFont="1" applyAlignment="1">
      <alignment horizontal="right"/>
    </xf>
    <xf numFmtId="180" fontId="0" fillId="0" borderId="0" xfId="0" applyNumberFormat="1"/>
    <xf numFmtId="195" fontId="0" fillId="0" borderId="0" xfId="0" applyNumberFormat="1"/>
    <xf numFmtId="196" fontId="0" fillId="0" borderId="0" xfId="0" applyNumberFormat="1"/>
    <xf numFmtId="178" fontId="0" fillId="0" borderId="0" xfId="0" applyNumberFormat="1"/>
    <xf numFmtId="0" fontId="70" fillId="0" borderId="0" xfId="0" applyFont="1"/>
    <xf numFmtId="0" fontId="37" fillId="0" borderId="0" xfId="0" applyFont="1" applyAlignment="1">
      <alignment vertical="center" wrapText="1"/>
    </xf>
    <xf numFmtId="0" fontId="10" fillId="47" borderId="0" xfId="0" applyFont="1" applyFill="1"/>
    <xf numFmtId="0" fontId="37" fillId="47" borderId="0" xfId="0" applyFont="1" applyFill="1"/>
    <xf numFmtId="0" fontId="37" fillId="86" borderId="0" xfId="0" applyFont="1" applyFill="1"/>
    <xf numFmtId="0" fontId="10" fillId="86" borderId="0" xfId="0" applyFont="1" applyFill="1"/>
    <xf numFmtId="0" fontId="0" fillId="86" borderId="0" xfId="0" applyFill="1"/>
    <xf numFmtId="167" fontId="0" fillId="86" borderId="0" xfId="0" applyNumberFormat="1" applyFill="1"/>
    <xf numFmtId="1" fontId="0" fillId="86" borderId="0" xfId="0" applyNumberFormat="1" applyFill="1"/>
    <xf numFmtId="2" fontId="0" fillId="86" borderId="0" xfId="0" applyNumberFormat="1" applyFill="1"/>
    <xf numFmtId="0" fontId="114" fillId="86" borderId="0" xfId="0" applyFont="1" applyFill="1"/>
    <xf numFmtId="172" fontId="0" fillId="0" borderId="0" xfId="0" applyNumberFormat="1" applyFill="1" applyBorder="1" applyAlignment="1"/>
    <xf numFmtId="167" fontId="37" fillId="45" borderId="0" xfId="0" applyNumberFormat="1" applyFont="1" applyFill="1" applyBorder="1" applyAlignment="1"/>
    <xf numFmtId="0" fontId="84" fillId="0" borderId="0" xfId="0" applyFont="1" applyFill="1" applyBorder="1" applyAlignment="1"/>
    <xf numFmtId="0" fontId="10" fillId="0" borderId="30" xfId="0" applyFont="1" applyFill="1" applyBorder="1" applyAlignment="1"/>
    <xf numFmtId="0" fontId="37" fillId="33" borderId="0" xfId="1159" applyFont="1" applyFill="1" applyBorder="1"/>
    <xf numFmtId="0" fontId="31" fillId="33" borderId="0" xfId="1159" applyFont="1" applyFill="1"/>
    <xf numFmtId="3" fontId="31" fillId="33" borderId="0" xfId="1159" applyNumberFormat="1" applyFont="1" applyFill="1" applyAlignment="1">
      <alignment horizontal="right"/>
    </xf>
    <xf numFmtId="4" fontId="31" fillId="33" borderId="0" xfId="1159" applyNumberFormat="1" applyFont="1" applyFill="1" applyAlignment="1">
      <alignment horizontal="right"/>
    </xf>
    <xf numFmtId="0" fontId="54" fillId="33" borderId="0" xfId="1159" applyFont="1" applyFill="1"/>
    <xf numFmtId="0" fontId="71" fillId="33" borderId="16" xfId="1159" applyFont="1" applyFill="1" applyBorder="1"/>
    <xf numFmtId="0" fontId="71" fillId="33" borderId="21" xfId="1159" applyFont="1" applyFill="1" applyBorder="1" applyAlignment="1">
      <alignment horizontal="right" wrapText="1"/>
    </xf>
    <xf numFmtId="0" fontId="71" fillId="33" borderId="16" xfId="1159" applyFont="1" applyFill="1" applyBorder="1" applyAlignment="1">
      <alignment horizontal="right" wrapText="1"/>
    </xf>
    <xf numFmtId="0" fontId="71" fillId="33" borderId="16" xfId="1159" applyFont="1" applyFill="1" applyBorder="1" applyAlignment="1">
      <alignment horizontal="right"/>
    </xf>
    <xf numFmtId="0" fontId="71" fillId="33" borderId="0" xfId="1159" applyFont="1" applyFill="1" applyBorder="1" applyAlignment="1">
      <alignment horizontal="right" wrapText="1"/>
    </xf>
    <xf numFmtId="0" fontId="31" fillId="33" borderId="16" xfId="1159" applyFont="1" applyFill="1" applyBorder="1" applyAlignment="1">
      <alignment horizontal="right"/>
    </xf>
    <xf numFmtId="0" fontId="71" fillId="0" borderId="21" xfId="1159" applyFont="1" applyFill="1" applyBorder="1" applyAlignment="1">
      <alignment horizontal="right" wrapText="1"/>
    </xf>
    <xf numFmtId="0" fontId="71" fillId="33" borderId="21" xfId="1159" applyFont="1" applyFill="1" applyBorder="1" applyAlignment="1">
      <alignment horizontal="right"/>
    </xf>
    <xf numFmtId="0" fontId="31" fillId="33" borderId="20" xfId="1159" applyFont="1" applyFill="1" applyBorder="1" applyAlignment="1">
      <alignment wrapText="1"/>
    </xf>
    <xf numFmtId="0" fontId="31" fillId="33" borderId="20" xfId="1159" applyFont="1" applyFill="1" applyBorder="1" applyAlignment="1">
      <alignment horizontal="right" vertical="top"/>
    </xf>
    <xf numFmtId="0" fontId="31" fillId="33" borderId="20" xfId="1159" applyFont="1" applyFill="1" applyBorder="1" applyAlignment="1">
      <alignment horizontal="right" wrapText="1"/>
    </xf>
    <xf numFmtId="0" fontId="31" fillId="33" borderId="20" xfId="1159" applyFont="1" applyFill="1" applyBorder="1"/>
    <xf numFmtId="0" fontId="31" fillId="33" borderId="21" xfId="1159" applyFont="1" applyFill="1" applyBorder="1" applyAlignment="1">
      <alignment wrapText="1"/>
    </xf>
    <xf numFmtId="0" fontId="31" fillId="33" borderId="21" xfId="1159" applyFont="1" applyFill="1" applyBorder="1"/>
    <xf numFmtId="0" fontId="31" fillId="33" borderId="0" xfId="1159" applyFont="1" applyFill="1" applyBorder="1" applyAlignment="1">
      <alignment wrapText="1"/>
    </xf>
    <xf numFmtId="3" fontId="31" fillId="33" borderId="0" xfId="1159" quotePrefix="1" applyNumberFormat="1" applyFont="1" applyFill="1" applyAlignment="1">
      <alignment horizontal="right"/>
    </xf>
    <xf numFmtId="3" fontId="31" fillId="33" borderId="0" xfId="1159" applyNumberFormat="1" applyFont="1" applyFill="1" applyBorder="1" applyAlignment="1">
      <alignment horizontal="right"/>
    </xf>
    <xf numFmtId="4" fontId="31" fillId="33" borderId="0" xfId="1159" quotePrefix="1" applyNumberFormat="1" applyFont="1" applyFill="1" applyBorder="1" applyAlignment="1">
      <alignment horizontal="right"/>
    </xf>
    <xf numFmtId="4" fontId="31" fillId="33" borderId="0" xfId="1159" quotePrefix="1" applyNumberFormat="1" applyFont="1" applyFill="1" applyAlignment="1">
      <alignment horizontal="right"/>
    </xf>
    <xf numFmtId="4" fontId="31" fillId="33" borderId="0" xfId="1159" applyNumberFormat="1" applyFont="1" applyFill="1" applyBorder="1" applyAlignment="1">
      <alignment horizontal="right"/>
    </xf>
    <xf numFmtId="3" fontId="31" fillId="33" borderId="20" xfId="1159" applyNumberFormat="1" applyFont="1" applyFill="1" applyBorder="1" applyAlignment="1">
      <alignment horizontal="right"/>
    </xf>
    <xf numFmtId="4" fontId="31" fillId="33" borderId="20" xfId="1159" applyNumberFormat="1" applyFont="1" applyFill="1" applyBorder="1" applyAlignment="1">
      <alignment horizontal="right"/>
    </xf>
    <xf numFmtId="0" fontId="166" fillId="47" borderId="0" xfId="1159" applyFont="1" applyFill="1"/>
    <xf numFmtId="0" fontId="54" fillId="33" borderId="0" xfId="1159" applyFont="1" applyFill="1" applyBorder="1"/>
    <xf numFmtId="0" fontId="31" fillId="33" borderId="16" xfId="1159" applyFont="1" applyFill="1" applyBorder="1"/>
    <xf numFmtId="0" fontId="71" fillId="33" borderId="21" xfId="1159" applyFont="1" applyFill="1" applyBorder="1"/>
    <xf numFmtId="0" fontId="71" fillId="47" borderId="21" xfId="1159" applyFont="1" applyFill="1" applyBorder="1"/>
    <xf numFmtId="0" fontId="31" fillId="33" borderId="21" xfId="1159" applyFont="1" applyFill="1" applyBorder="1" applyAlignment="1">
      <alignment horizontal="right"/>
    </xf>
    <xf numFmtId="0" fontId="166" fillId="47" borderId="21" xfId="1159" applyFont="1" applyFill="1" applyBorder="1" applyAlignment="1">
      <alignment wrapText="1"/>
    </xf>
    <xf numFmtId="0" fontId="31" fillId="33" borderId="21" xfId="1159" applyFont="1" applyFill="1" applyBorder="1" applyAlignment="1">
      <alignment horizontal="right" wrapText="1"/>
    </xf>
    <xf numFmtId="0" fontId="31" fillId="33" borderId="0" xfId="1159" applyFont="1" applyFill="1" applyBorder="1"/>
    <xf numFmtId="0" fontId="31" fillId="33" borderId="0" xfId="1159" applyFont="1" applyFill="1" applyAlignment="1">
      <alignment horizontal="left"/>
    </xf>
    <xf numFmtId="3" fontId="31" fillId="33" borderId="0" xfId="1159" applyNumberFormat="1" applyFont="1" applyFill="1"/>
    <xf numFmtId="0" fontId="31" fillId="33" borderId="0" xfId="1159" quotePrefix="1" applyFont="1" applyFill="1" applyAlignment="1">
      <alignment horizontal="right"/>
    </xf>
    <xf numFmtId="0" fontId="31" fillId="33" borderId="0" xfId="1159" applyFont="1" applyFill="1" applyBorder="1" applyAlignment="1">
      <alignment horizontal="left"/>
    </xf>
    <xf numFmtId="3" fontId="166" fillId="47" borderId="0" xfId="1159" applyNumberFormat="1" applyFont="1" applyFill="1" applyBorder="1" applyAlignment="1"/>
    <xf numFmtId="4" fontId="166" fillId="47" borderId="20" xfId="1159" applyNumberFormat="1" applyFont="1" applyFill="1" applyBorder="1"/>
    <xf numFmtId="0" fontId="166" fillId="47" borderId="0" xfId="1159" applyFont="1" applyFill="1" applyBorder="1" applyAlignment="1">
      <alignment horizontal="left" wrapText="1"/>
    </xf>
    <xf numFmtId="0" fontId="166" fillId="33" borderId="0" xfId="1159" applyFont="1" applyFill="1" applyBorder="1" applyAlignment="1">
      <alignment wrapText="1"/>
    </xf>
    <xf numFmtId="0" fontId="31" fillId="43" borderId="0" xfId="1159" applyFont="1" applyFill="1"/>
    <xf numFmtId="3" fontId="31" fillId="43" borderId="0" xfId="1159" applyNumberFormat="1" applyFont="1" applyFill="1" applyAlignment="1">
      <alignment horizontal="right"/>
    </xf>
    <xf numFmtId="4" fontId="31" fillId="43" borderId="0" xfId="1159" applyNumberFormat="1" applyFont="1" applyFill="1" applyAlignment="1">
      <alignment horizontal="right"/>
    </xf>
    <xf numFmtId="0" fontId="31" fillId="43" borderId="20" xfId="1159" applyFont="1" applyFill="1" applyBorder="1" applyAlignment="1">
      <alignment horizontal="left"/>
    </xf>
    <xf numFmtId="3" fontId="31" fillId="43" borderId="20" xfId="1159" applyNumberFormat="1" applyFont="1" applyFill="1" applyBorder="1" applyAlignment="1">
      <alignment horizontal="right"/>
    </xf>
    <xf numFmtId="4" fontId="166" fillId="43" borderId="20" xfId="1159" applyNumberFormat="1" applyFont="1" applyFill="1" applyBorder="1"/>
    <xf numFmtId="0" fontId="54" fillId="33" borderId="20" xfId="1526" applyFont="1" applyFill="1" applyBorder="1" applyAlignment="1">
      <alignment vertical="top"/>
    </xf>
    <xf numFmtId="0" fontId="71" fillId="33" borderId="16" xfId="1159" applyFont="1" applyFill="1" applyBorder="1" applyAlignment="1">
      <alignment horizontal="left"/>
    </xf>
    <xf numFmtId="0" fontId="71" fillId="33" borderId="21" xfId="1159" applyFont="1" applyFill="1" applyBorder="1" applyAlignment="1"/>
    <xf numFmtId="0" fontId="166" fillId="33" borderId="0" xfId="1159" applyFont="1" applyFill="1"/>
    <xf numFmtId="172" fontId="0" fillId="43" borderId="0" xfId="0" applyNumberFormat="1" applyFill="1"/>
    <xf numFmtId="0" fontId="166" fillId="47" borderId="16" xfId="1159" applyFont="1" applyFill="1" applyBorder="1" applyAlignment="1">
      <alignment horizontal="left" wrapText="1"/>
    </xf>
    <xf numFmtId="0" fontId="166" fillId="33" borderId="16" xfId="1159" applyFont="1" applyFill="1" applyBorder="1" applyAlignment="1">
      <alignment wrapText="1"/>
    </xf>
    <xf numFmtId="0" fontId="142" fillId="92" borderId="0" xfId="0" applyFont="1" applyFill="1"/>
    <xf numFmtId="0" fontId="37" fillId="0" borderId="29" xfId="0" applyFont="1" applyBorder="1"/>
    <xf numFmtId="0" fontId="37" fillId="0" borderId="26" xfId="0" applyFont="1" applyBorder="1"/>
    <xf numFmtId="0" fontId="37" fillId="0" borderId="27" xfId="0" applyFont="1" applyBorder="1"/>
    <xf numFmtId="0" fontId="10" fillId="0" borderId="29" xfId="0" applyFont="1" applyBorder="1"/>
    <xf numFmtId="1" fontId="10" fillId="0" borderId="0" xfId="0" applyNumberFormat="1" applyFont="1" applyBorder="1"/>
    <xf numFmtId="1" fontId="37" fillId="0" borderId="0" xfId="0" applyNumberFormat="1" applyFont="1" applyBorder="1"/>
    <xf numFmtId="2" fontId="0" fillId="0" borderId="28" xfId="0" applyNumberFormat="1" applyBorder="1"/>
    <xf numFmtId="2" fontId="0" fillId="0" borderId="30" xfId="0" applyNumberFormat="1" applyBorder="1"/>
    <xf numFmtId="3" fontId="37" fillId="0" borderId="0" xfId="0" applyNumberFormat="1" applyFont="1" applyBorder="1"/>
    <xf numFmtId="0" fontId="0" fillId="86" borderId="95" xfId="0" applyFill="1" applyBorder="1"/>
    <xf numFmtId="0" fontId="0" fillId="86" borderId="96" xfId="0" applyFill="1" applyBorder="1"/>
    <xf numFmtId="0" fontId="37" fillId="86" borderId="94" xfId="0" applyFont="1" applyFill="1" applyBorder="1"/>
    <xf numFmtId="2" fontId="168" fillId="0" borderId="30" xfId="0" applyNumberFormat="1" applyFont="1" applyFill="1" applyBorder="1"/>
    <xf numFmtId="0" fontId="10" fillId="0" borderId="27" xfId="0" applyFont="1" applyBorder="1"/>
    <xf numFmtId="172" fontId="0" fillId="0" borderId="30" xfId="0" applyNumberFormat="1" applyBorder="1"/>
    <xf numFmtId="0" fontId="142" fillId="0" borderId="55" xfId="0" applyFont="1" applyBorder="1"/>
    <xf numFmtId="0" fontId="142" fillId="0" borderId="25" xfId="0" applyFont="1" applyBorder="1"/>
    <xf numFmtId="0" fontId="0" fillId="43" borderId="26" xfId="0" applyFill="1" applyBorder="1"/>
    <xf numFmtId="0" fontId="0" fillId="43" borderId="27" xfId="0" applyFill="1" applyBorder="1"/>
    <xf numFmtId="0" fontId="0" fillId="43" borderId="28" xfId="0" applyFill="1" applyBorder="1"/>
    <xf numFmtId="0" fontId="37" fillId="43" borderId="29" xfId="0" applyFont="1" applyFill="1" applyBorder="1"/>
    <xf numFmtId="0" fontId="0" fillId="43" borderId="30" xfId="0" applyFill="1" applyBorder="1"/>
    <xf numFmtId="0" fontId="37" fillId="43" borderId="0" xfId="0" applyFont="1" applyFill="1" applyBorder="1"/>
    <xf numFmtId="0" fontId="0" fillId="43" borderId="55" xfId="0" applyFill="1" applyBorder="1"/>
    <xf numFmtId="167" fontId="37" fillId="43" borderId="25" xfId="0" applyNumberFormat="1" applyFont="1" applyFill="1" applyBorder="1"/>
    <xf numFmtId="0" fontId="0" fillId="43" borderId="56" xfId="0" applyFill="1" applyBorder="1"/>
    <xf numFmtId="0" fontId="37" fillId="43" borderId="28" xfId="0" applyFont="1" applyFill="1" applyBorder="1"/>
    <xf numFmtId="0" fontId="0" fillId="43" borderId="29" xfId="0" applyFill="1" applyBorder="1"/>
    <xf numFmtId="167" fontId="37" fillId="43" borderId="30" xfId="0" applyNumberFormat="1" applyFont="1" applyFill="1" applyBorder="1"/>
    <xf numFmtId="167" fontId="37" fillId="43" borderId="56" xfId="0" applyNumberFormat="1" applyFont="1" applyFill="1" applyBorder="1"/>
    <xf numFmtId="0" fontId="37" fillId="0" borderId="0" xfId="1159" applyFont="1"/>
    <xf numFmtId="0" fontId="10" fillId="0" borderId="0" xfId="1159" applyFont="1"/>
    <xf numFmtId="0" fontId="36" fillId="0" borderId="0" xfId="1159" applyFont="1"/>
    <xf numFmtId="0" fontId="71" fillId="0" borderId="0" xfId="0" applyFont="1"/>
    <xf numFmtId="0" fontId="31" fillId="0" borderId="0" xfId="0" applyFont="1"/>
    <xf numFmtId="0" fontId="31" fillId="0" borderId="20" xfId="0" applyFont="1" applyBorder="1"/>
    <xf numFmtId="3" fontId="31" fillId="0" borderId="0" xfId="0" applyNumberFormat="1" applyFont="1" applyAlignment="1">
      <alignment horizontal="center"/>
    </xf>
    <xf numFmtId="3" fontId="31" fillId="0" borderId="0" xfId="0" applyNumberFormat="1" applyFont="1" applyBorder="1" applyAlignment="1">
      <alignment horizontal="right"/>
    </xf>
    <xf numFmtId="0" fontId="31" fillId="0" borderId="0" xfId="0" applyFont="1" applyAlignment="1">
      <alignment horizontal="left"/>
    </xf>
    <xf numFmtId="0" fontId="36" fillId="0" borderId="0" xfId="1159" applyFont="1" applyFill="1"/>
    <xf numFmtId="0" fontId="31" fillId="51" borderId="0" xfId="0" applyFont="1" applyFill="1"/>
    <xf numFmtId="0" fontId="0" fillId="0" borderId="0" xfId="0" applyFont="1" applyFill="1" applyProtection="1"/>
    <xf numFmtId="167" fontId="0" fillId="86" borderId="0" xfId="0" applyNumberFormat="1" applyFill="1" applyBorder="1"/>
    <xf numFmtId="0" fontId="0" fillId="0" borderId="16" xfId="0" applyBorder="1" applyAlignment="1">
      <alignment wrapText="1"/>
    </xf>
    <xf numFmtId="0" fontId="0" fillId="0" borderId="0" xfId="0" applyAlignment="1">
      <alignment wrapText="1"/>
    </xf>
    <xf numFmtId="2" fontId="0" fillId="86" borderId="0" xfId="0" applyNumberFormat="1" applyFill="1" applyBorder="1"/>
    <xf numFmtId="0" fontId="37" fillId="43" borderId="26" xfId="0" applyFont="1" applyFill="1" applyBorder="1"/>
    <xf numFmtId="0" fontId="37" fillId="43" borderId="27" xfId="0" applyFont="1" applyFill="1" applyBorder="1"/>
    <xf numFmtId="0" fontId="37" fillId="43" borderId="30" xfId="0" applyFont="1" applyFill="1" applyBorder="1"/>
    <xf numFmtId="0" fontId="10" fillId="45" borderId="29" xfId="0" applyFont="1" applyFill="1" applyBorder="1"/>
    <xf numFmtId="0" fontId="10" fillId="45" borderId="0" xfId="0" applyFont="1" applyFill="1" applyBorder="1"/>
    <xf numFmtId="2" fontId="0" fillId="45" borderId="0" xfId="0" applyNumberFormat="1" applyFill="1" applyBorder="1"/>
    <xf numFmtId="0" fontId="0" fillId="45" borderId="29" xfId="0" applyFill="1" applyBorder="1"/>
    <xf numFmtId="0" fontId="142" fillId="45" borderId="29" xfId="0" applyFont="1" applyFill="1" applyBorder="1"/>
    <xf numFmtId="0" fontId="0" fillId="45" borderId="0" xfId="0" applyFill="1" applyBorder="1" applyAlignment="1"/>
    <xf numFmtId="1" fontId="0" fillId="45" borderId="0" xfId="0" applyNumberFormat="1" applyFill="1" applyBorder="1" applyAlignment="1"/>
    <xf numFmtId="3" fontId="142" fillId="45" borderId="29" xfId="0" applyNumberFormat="1" applyFont="1" applyFill="1" applyBorder="1"/>
    <xf numFmtId="0" fontId="10" fillId="45" borderId="0" xfId="0" applyFont="1" applyFill="1" applyBorder="1" applyAlignment="1"/>
    <xf numFmtId="0" fontId="0" fillId="45" borderId="29" xfId="0" applyFill="1" applyBorder="1" applyAlignment="1"/>
    <xf numFmtId="167" fontId="0" fillId="45" borderId="0" xfId="0" applyNumberFormat="1" applyFill="1" applyBorder="1" applyAlignment="1"/>
    <xf numFmtId="0" fontId="37" fillId="45" borderId="29" xfId="0" applyFont="1" applyFill="1" applyBorder="1" applyAlignment="1"/>
    <xf numFmtId="3" fontId="36" fillId="45" borderId="29" xfId="0" applyNumberFormat="1" applyFont="1" applyFill="1" applyBorder="1" applyAlignment="1">
      <alignment wrapText="1"/>
    </xf>
    <xf numFmtId="0" fontId="37" fillId="45" borderId="0" xfId="0" applyFont="1" applyFill="1" applyBorder="1" applyAlignment="1"/>
    <xf numFmtId="0" fontId="172" fillId="47" borderId="0" xfId="0" applyFont="1" applyFill="1" applyBorder="1" applyAlignment="1">
      <alignment vertical="center"/>
    </xf>
    <xf numFmtId="0" fontId="37" fillId="47" borderId="0" xfId="0" applyFont="1" applyFill="1" applyBorder="1" applyAlignment="1">
      <alignment vertical="center"/>
    </xf>
    <xf numFmtId="0" fontId="54" fillId="47" borderId="0" xfId="0" applyFont="1" applyFill="1" applyBorder="1" applyAlignment="1">
      <alignment vertical="center"/>
    </xf>
    <xf numFmtId="0" fontId="172" fillId="47" borderId="20" xfId="0" applyFont="1" applyFill="1" applyBorder="1" applyAlignment="1">
      <alignment vertical="center"/>
    </xf>
    <xf numFmtId="0" fontId="37" fillId="47" borderId="20" xfId="0" applyFont="1" applyFill="1" applyBorder="1" applyAlignment="1">
      <alignment vertical="center"/>
    </xf>
    <xf numFmtId="0" fontId="31" fillId="47" borderId="0" xfId="0" applyFont="1" applyFill="1" applyBorder="1" applyAlignment="1">
      <alignment horizontal="center" vertical="center" wrapText="1"/>
    </xf>
    <xf numFmtId="0" fontId="172" fillId="47" borderId="0" xfId="0" applyFont="1" applyFill="1" applyBorder="1" applyAlignment="1">
      <alignment horizontal="center" vertical="center"/>
    </xf>
    <xf numFmtId="0" fontId="10" fillId="47" borderId="0" xfId="0" applyFont="1" applyFill="1" applyBorder="1" applyAlignment="1">
      <alignment horizontal="center" vertical="center" wrapText="1"/>
    </xf>
    <xf numFmtId="0" fontId="10" fillId="47" borderId="0" xfId="0" applyFont="1" applyFill="1" applyBorder="1" applyAlignment="1">
      <alignment vertical="center"/>
    </xf>
    <xf numFmtId="0" fontId="172" fillId="47" borderId="0" xfId="0" applyFont="1" applyFill="1" applyBorder="1" applyAlignment="1">
      <alignment horizontal="center" vertical="center" wrapText="1"/>
    </xf>
    <xf numFmtId="0" fontId="31" fillId="47" borderId="0" xfId="0" applyFont="1" applyFill="1" applyBorder="1" applyAlignment="1">
      <alignment horizontal="center" vertical="center"/>
    </xf>
    <xf numFmtId="3" fontId="31" fillId="47" borderId="20" xfId="0" applyNumberFormat="1" applyFont="1" applyFill="1" applyBorder="1" applyAlignment="1">
      <alignment horizontal="right" vertical="center"/>
    </xf>
    <xf numFmtId="1" fontId="31" fillId="47" borderId="20" xfId="0" applyNumberFormat="1" applyFont="1" applyFill="1" applyBorder="1" applyAlignment="1">
      <alignment horizontal="right" vertical="center"/>
    </xf>
    <xf numFmtId="0" fontId="166" fillId="47" borderId="20" xfId="0" applyFont="1" applyFill="1" applyBorder="1" applyAlignment="1">
      <alignment horizontal="left" vertical="center" wrapText="1"/>
    </xf>
    <xf numFmtId="3" fontId="31" fillId="47" borderId="0" xfId="0" applyNumberFormat="1" applyFont="1" applyFill="1" applyBorder="1" applyAlignment="1">
      <alignment horizontal="right" vertical="center"/>
    </xf>
    <xf numFmtId="1" fontId="31" fillId="47" borderId="0" xfId="0" applyNumberFormat="1" applyFont="1" applyFill="1" applyBorder="1" applyAlignment="1">
      <alignment vertical="center"/>
    </xf>
    <xf numFmtId="0" fontId="166" fillId="47" borderId="0" xfId="0" applyFont="1" applyFill="1" applyBorder="1" applyAlignment="1">
      <alignment horizontal="left" vertical="center" wrapText="1"/>
    </xf>
    <xf numFmtId="0" fontId="166" fillId="47" borderId="0" xfId="0" applyNumberFormat="1" applyFont="1" applyFill="1" applyBorder="1" applyAlignment="1">
      <alignment horizontal="left" vertical="center" wrapText="1"/>
    </xf>
    <xf numFmtId="3" fontId="31" fillId="47" borderId="0" xfId="0" applyNumberFormat="1" applyFont="1" applyFill="1" applyBorder="1" applyAlignment="1">
      <alignment vertical="center"/>
    </xf>
    <xf numFmtId="3" fontId="166" fillId="47" borderId="0" xfId="0" applyNumberFormat="1" applyFont="1" applyFill="1" applyBorder="1" applyAlignment="1">
      <alignment horizontal="left" vertical="center"/>
    </xf>
    <xf numFmtId="0" fontId="172" fillId="47" borderId="0" xfId="0" applyFont="1" applyFill="1" applyBorder="1" applyAlignment="1"/>
    <xf numFmtId="3" fontId="31" fillId="47" borderId="0" xfId="0" applyNumberFormat="1" applyFont="1" applyFill="1" applyBorder="1" applyAlignment="1">
      <alignment horizontal="right"/>
    </xf>
    <xf numFmtId="1" fontId="31" fillId="47" borderId="0" xfId="0" applyNumberFormat="1" applyFont="1" applyFill="1" applyBorder="1" applyAlignment="1"/>
    <xf numFmtId="0" fontId="166" fillId="47" borderId="0" xfId="0" applyFont="1" applyFill="1" applyBorder="1" applyAlignment="1">
      <alignment horizontal="left" wrapText="1"/>
    </xf>
    <xf numFmtId="3" fontId="31" fillId="47" borderId="0" xfId="0" applyNumberFormat="1" applyFont="1" applyFill="1" applyBorder="1" applyAlignment="1"/>
    <xf numFmtId="3" fontId="166" fillId="47" borderId="0" xfId="0" applyNumberFormat="1" applyFont="1" applyFill="1" applyBorder="1" applyAlignment="1">
      <alignment horizontal="left"/>
    </xf>
    <xf numFmtId="0" fontId="31" fillId="47" borderId="0" xfId="0" applyFont="1" applyFill="1" applyBorder="1" applyAlignment="1">
      <alignment horizontal="left" vertical="center" wrapText="1"/>
    </xf>
    <xf numFmtId="0" fontId="31" fillId="47" borderId="0" xfId="0" applyFont="1" applyFill="1" applyBorder="1" applyAlignment="1">
      <alignment horizontal="left" wrapText="1"/>
    </xf>
    <xf numFmtId="3" fontId="164" fillId="47" borderId="0" xfId="0" applyNumberFormat="1" applyFont="1" applyFill="1" applyBorder="1" applyAlignment="1"/>
    <xf numFmtId="3" fontId="164" fillId="47" borderId="0" xfId="0" applyNumberFormat="1" applyFont="1" applyFill="1" applyBorder="1" applyAlignment="1">
      <alignment vertical="center"/>
    </xf>
    <xf numFmtId="0" fontId="109" fillId="47" borderId="0" xfId="0" applyFont="1" applyFill="1" applyBorder="1" applyAlignment="1">
      <alignment horizontal="center" vertical="center" wrapText="1"/>
    </xf>
    <xf numFmtId="0" fontId="173" fillId="47" borderId="0" xfId="0" applyFont="1" applyFill="1" applyBorder="1" applyAlignment="1">
      <alignment horizontal="center" vertical="center"/>
    </xf>
    <xf numFmtId="0" fontId="173" fillId="47" borderId="0" xfId="0" applyFont="1" applyFill="1" applyBorder="1" applyAlignment="1">
      <alignment vertical="center"/>
    </xf>
    <xf numFmtId="0" fontId="54" fillId="47" borderId="0" xfId="0" applyFont="1" applyFill="1" applyBorder="1" applyAlignment="1">
      <alignment horizontal="center" vertical="center" wrapText="1"/>
    </xf>
    <xf numFmtId="0" fontId="173" fillId="47" borderId="0" xfId="0" applyFont="1" applyFill="1" applyBorder="1" applyAlignment="1">
      <alignment horizontal="center" vertical="center" wrapText="1"/>
    </xf>
    <xf numFmtId="0" fontId="166" fillId="47" borderId="0" xfId="0" applyFont="1" applyFill="1" applyBorder="1" applyAlignment="1">
      <alignment vertical="center"/>
    </xf>
    <xf numFmtId="0" fontId="144" fillId="47" borderId="0" xfId="0" applyFont="1" applyFill="1" applyBorder="1" applyAlignment="1">
      <alignment vertical="center"/>
    </xf>
    <xf numFmtId="0" fontId="174" fillId="47" borderId="0" xfId="0" applyFont="1" applyFill="1" applyBorder="1" applyAlignment="1">
      <alignment vertical="center"/>
    </xf>
    <xf numFmtId="0" fontId="31" fillId="47" borderId="0" xfId="0" applyFont="1" applyFill="1" applyBorder="1" applyAlignment="1">
      <alignment vertical="center"/>
    </xf>
    <xf numFmtId="0" fontId="31" fillId="47" borderId="0" xfId="0" applyNumberFormat="1" applyFont="1" applyFill="1" applyBorder="1" applyAlignment="1">
      <alignment vertical="center"/>
    </xf>
    <xf numFmtId="0" fontId="109" fillId="47" borderId="0" xfId="0" applyFont="1" applyFill="1" applyBorder="1" applyAlignment="1">
      <alignment vertical="center"/>
    </xf>
    <xf numFmtId="0" fontId="175" fillId="47" borderId="0" xfId="0" applyFont="1" applyFill="1" applyBorder="1" applyAlignment="1">
      <alignment vertical="center"/>
    </xf>
    <xf numFmtId="0" fontId="176" fillId="47" borderId="0" xfId="0" applyFont="1" applyFill="1" applyBorder="1" applyAlignment="1">
      <alignment vertical="center"/>
    </xf>
    <xf numFmtId="0" fontId="177" fillId="47" borderId="0" xfId="0" applyFont="1" applyFill="1" applyBorder="1" applyAlignment="1">
      <alignment vertical="center"/>
    </xf>
    <xf numFmtId="0" fontId="109" fillId="47" borderId="0" xfId="0" applyNumberFormat="1" applyFont="1" applyFill="1" applyBorder="1" applyAlignment="1">
      <alignment vertical="center"/>
    </xf>
    <xf numFmtId="0" fontId="166" fillId="47" borderId="0" xfId="0" applyFont="1" applyFill="1" applyBorder="1" applyAlignment="1">
      <alignment horizontal="left" vertical="center"/>
    </xf>
    <xf numFmtId="3" fontId="31" fillId="43" borderId="0" xfId="0" applyNumberFormat="1" applyFont="1" applyFill="1" applyBorder="1" applyAlignment="1">
      <alignment vertical="center"/>
    </xf>
    <xf numFmtId="3" fontId="166" fillId="43" borderId="0" xfId="0" applyNumberFormat="1" applyFont="1" applyFill="1" applyBorder="1" applyAlignment="1">
      <alignment horizontal="left" vertical="center"/>
    </xf>
    <xf numFmtId="0" fontId="166" fillId="43" borderId="0" xfId="0" applyFont="1" applyFill="1" applyBorder="1" applyAlignment="1">
      <alignment horizontal="left" vertical="center" wrapText="1"/>
    </xf>
    <xf numFmtId="3" fontId="31" fillId="43" borderId="0" xfId="0" applyNumberFormat="1" applyFont="1" applyFill="1" applyBorder="1" applyAlignment="1">
      <alignment horizontal="right" vertical="center"/>
    </xf>
    <xf numFmtId="0" fontId="10" fillId="47" borderId="20" xfId="0" applyFont="1" applyFill="1" applyBorder="1" applyAlignment="1">
      <alignment vertical="center"/>
    </xf>
    <xf numFmtId="0" fontId="31" fillId="47" borderId="20" xfId="0" applyFont="1" applyFill="1" applyBorder="1" applyAlignment="1">
      <alignment horizontal="center" vertical="center"/>
    </xf>
    <xf numFmtId="0" fontId="172" fillId="47" borderId="20" xfId="0" applyFont="1" applyFill="1" applyBorder="1" applyAlignment="1">
      <alignment horizontal="center" vertical="center"/>
    </xf>
    <xf numFmtId="0" fontId="10" fillId="47" borderId="20" xfId="0" applyFont="1" applyFill="1" applyBorder="1" applyAlignment="1">
      <alignment horizontal="center" vertical="center"/>
    </xf>
    <xf numFmtId="0" fontId="31" fillId="47" borderId="0" xfId="0" applyFont="1" applyFill="1" applyBorder="1" applyAlignment="1">
      <alignment horizontal="right" vertical="center"/>
    </xf>
    <xf numFmtId="0" fontId="162" fillId="47" borderId="0" xfId="0" applyFont="1" applyFill="1" applyBorder="1" applyAlignment="1">
      <alignment vertical="center"/>
    </xf>
    <xf numFmtId="0" fontId="71" fillId="47" borderId="0" xfId="0" applyFont="1" applyFill="1" applyBorder="1" applyAlignment="1">
      <alignment vertical="center"/>
    </xf>
    <xf numFmtId="3" fontId="71" fillId="47" borderId="0" xfId="0" applyNumberFormat="1" applyFont="1" applyFill="1" applyBorder="1" applyAlignment="1">
      <alignment vertical="center"/>
    </xf>
    <xf numFmtId="3" fontId="71" fillId="47" borderId="0" xfId="0" applyNumberFormat="1" applyFont="1" applyFill="1" applyBorder="1" applyAlignment="1">
      <alignment horizontal="center" vertical="center"/>
    </xf>
    <xf numFmtId="3" fontId="170" fillId="47" borderId="0" xfId="0" applyNumberFormat="1" applyFont="1" applyFill="1" applyBorder="1" applyAlignment="1">
      <alignment horizontal="left" vertical="center"/>
    </xf>
    <xf numFmtId="3" fontId="71" fillId="47" borderId="0" xfId="0" applyNumberFormat="1" applyFont="1" applyFill="1" applyBorder="1" applyAlignment="1">
      <alignment horizontal="right" vertical="center"/>
    </xf>
    <xf numFmtId="0" fontId="31" fillId="47" borderId="0" xfId="0" quotePrefix="1" applyFont="1" applyFill="1" applyBorder="1" applyAlignment="1">
      <alignment vertical="center"/>
    </xf>
    <xf numFmtId="3" fontId="31" fillId="47" borderId="0" xfId="0" applyNumberFormat="1" applyFont="1" applyFill="1" applyBorder="1" applyAlignment="1">
      <alignment horizontal="center" vertical="center"/>
    </xf>
    <xf numFmtId="0" fontId="71" fillId="47" borderId="0" xfId="0" applyFont="1" applyFill="1" applyBorder="1" applyAlignment="1">
      <alignment horizontal="right" vertical="center"/>
    </xf>
    <xf numFmtId="0" fontId="31" fillId="47" borderId="131" xfId="0" applyFont="1" applyFill="1" applyBorder="1" applyAlignment="1">
      <alignment horizontal="center" vertical="center"/>
    </xf>
    <xf numFmtId="0" fontId="71" fillId="47" borderId="131" xfId="0" applyFont="1" applyFill="1" applyBorder="1" applyAlignment="1">
      <alignment vertical="center"/>
    </xf>
    <xf numFmtId="3" fontId="31" fillId="47" borderId="131" xfId="0" applyNumberFormat="1" applyFont="1" applyFill="1" applyBorder="1" applyAlignment="1">
      <alignment vertical="center"/>
    </xf>
    <xf numFmtId="3" fontId="31" fillId="47" borderId="131" xfId="0" applyNumberFormat="1" applyFont="1" applyFill="1" applyBorder="1" applyAlignment="1">
      <alignment horizontal="center" vertical="center"/>
    </xf>
    <xf numFmtId="3" fontId="166" fillId="47" borderId="131" xfId="0" applyNumberFormat="1" applyFont="1" applyFill="1" applyBorder="1" applyAlignment="1">
      <alignment horizontal="left" vertical="center"/>
    </xf>
    <xf numFmtId="0" fontId="31" fillId="47" borderId="131" xfId="0" applyFont="1" applyFill="1" applyBorder="1" applyAlignment="1">
      <alignment vertical="center"/>
    </xf>
    <xf numFmtId="0" fontId="31" fillId="47" borderId="131" xfId="0" applyFont="1" applyFill="1" applyBorder="1" applyAlignment="1">
      <alignment horizontal="right" vertical="center"/>
    </xf>
    <xf numFmtId="3" fontId="71" fillId="47" borderId="131" xfId="0" applyNumberFormat="1" applyFont="1" applyFill="1" applyBorder="1" applyAlignment="1">
      <alignment vertical="center"/>
    </xf>
    <xf numFmtId="3" fontId="71" fillId="47" borderId="131" xfId="0" applyNumberFormat="1" applyFont="1" applyFill="1" applyBorder="1" applyAlignment="1">
      <alignment horizontal="center" vertical="center"/>
    </xf>
    <xf numFmtId="3" fontId="170" fillId="47" borderId="131" xfId="0" applyNumberFormat="1" applyFont="1" applyFill="1" applyBorder="1" applyAlignment="1">
      <alignment horizontal="left" vertical="center"/>
    </xf>
    <xf numFmtId="0" fontId="71" fillId="47" borderId="131" xfId="0" applyFont="1" applyFill="1" applyBorder="1" applyAlignment="1">
      <alignment horizontal="right" vertical="center"/>
    </xf>
    <xf numFmtId="0" fontId="31" fillId="47" borderId="20" xfId="0" applyFont="1" applyFill="1" applyBorder="1" applyAlignment="1">
      <alignment vertical="center"/>
    </xf>
    <xf numFmtId="0" fontId="162" fillId="47" borderId="20" xfId="0" applyFont="1" applyFill="1" applyBorder="1" applyAlignment="1">
      <alignment horizontal="center" vertical="center"/>
    </xf>
    <xf numFmtId="0" fontId="31" fillId="47" borderId="0" xfId="0" applyFont="1" applyFill="1" applyBorder="1" applyAlignment="1">
      <alignment vertical="center" wrapText="1"/>
    </xf>
    <xf numFmtId="0" fontId="31" fillId="47" borderId="0" xfId="0" applyNumberFormat="1" applyFont="1" applyFill="1" applyBorder="1" applyAlignment="1">
      <alignment horizontal="right" vertical="center"/>
    </xf>
    <xf numFmtId="0" fontId="31" fillId="47" borderId="0" xfId="0" applyFont="1" applyFill="1" applyBorder="1" applyAlignment="1">
      <alignment horizontal="left" vertical="center"/>
    </xf>
    <xf numFmtId="0" fontId="31" fillId="47" borderId="131" xfId="0" applyFont="1" applyFill="1" applyBorder="1" applyAlignment="1">
      <alignment horizontal="left" vertical="center"/>
    </xf>
    <xf numFmtId="0" fontId="172" fillId="47" borderId="131" xfId="0" applyFont="1" applyFill="1" applyBorder="1" applyAlignment="1">
      <alignment vertical="center"/>
    </xf>
    <xf numFmtId="0" fontId="31" fillId="47" borderId="131" xfId="0" quotePrefix="1" applyFont="1" applyFill="1" applyBorder="1" applyAlignment="1">
      <alignment vertical="center"/>
    </xf>
    <xf numFmtId="0" fontId="31" fillId="47" borderId="131" xfId="0" applyNumberFormat="1" applyFont="1" applyFill="1" applyBorder="1" applyAlignment="1">
      <alignment horizontal="right" vertical="center"/>
    </xf>
    <xf numFmtId="3" fontId="71" fillId="47" borderId="131" xfId="0" applyNumberFormat="1" applyFont="1" applyFill="1" applyBorder="1" applyAlignment="1">
      <alignment horizontal="right" vertical="center"/>
    </xf>
    <xf numFmtId="3" fontId="10" fillId="47" borderId="0" xfId="0" applyNumberFormat="1" applyFont="1" applyFill="1" applyBorder="1" applyAlignment="1">
      <alignment vertical="center"/>
    </xf>
    <xf numFmtId="3" fontId="31" fillId="47" borderId="0" xfId="0" applyNumberFormat="1" applyFont="1" applyFill="1" applyBorder="1" applyAlignment="1">
      <alignment horizontal="left" vertical="center"/>
    </xf>
    <xf numFmtId="0" fontId="31" fillId="47" borderId="20" xfId="0" quotePrefix="1" applyFont="1" applyFill="1" applyBorder="1" applyAlignment="1">
      <alignment vertical="center"/>
    </xf>
    <xf numFmtId="0" fontId="31" fillId="47" borderId="20" xfId="0" applyNumberFormat="1" applyFont="1" applyFill="1" applyBorder="1" applyAlignment="1">
      <alignment horizontal="right" vertical="center"/>
    </xf>
    <xf numFmtId="0" fontId="31" fillId="47" borderId="20" xfId="0" applyFont="1" applyFill="1" applyBorder="1" applyAlignment="1">
      <alignment horizontal="right" vertical="center"/>
    </xf>
    <xf numFmtId="0" fontId="114" fillId="47" borderId="20" xfId="0" applyFont="1" applyFill="1" applyBorder="1" applyAlignment="1">
      <alignment vertical="center"/>
    </xf>
    <xf numFmtId="3" fontId="71" fillId="47" borderId="0" xfId="0" applyNumberFormat="1" applyFont="1" applyFill="1" applyBorder="1" applyAlignment="1">
      <alignment horizontal="left" vertical="center"/>
    </xf>
    <xf numFmtId="0" fontId="10" fillId="47" borderId="0" xfId="0" applyFont="1" applyFill="1" applyBorder="1" applyAlignment="1">
      <alignment horizontal="justify" vertical="center"/>
    </xf>
    <xf numFmtId="0" fontId="114" fillId="47" borderId="0" xfId="0" applyFont="1" applyFill="1" applyBorder="1" applyAlignment="1">
      <alignment vertical="center"/>
    </xf>
    <xf numFmtId="0" fontId="71" fillId="47" borderId="20" xfId="0" applyFont="1" applyFill="1" applyBorder="1" applyAlignment="1">
      <alignment horizontal="center" vertical="center"/>
    </xf>
    <xf numFmtId="0" fontId="178" fillId="47" borderId="20" xfId="0" applyFont="1" applyFill="1" applyBorder="1" applyAlignment="1">
      <alignment horizontal="center" vertical="center"/>
    </xf>
    <xf numFmtId="0" fontId="179" fillId="47" borderId="20" xfId="0" applyFont="1" applyFill="1" applyBorder="1" applyAlignment="1">
      <alignment vertical="center"/>
    </xf>
    <xf numFmtId="0" fontId="71" fillId="47" borderId="0" xfId="0" applyFont="1" applyFill="1" applyBorder="1" applyAlignment="1">
      <alignment horizontal="left" vertical="center"/>
    </xf>
    <xf numFmtId="3" fontId="71" fillId="47" borderId="131" xfId="0" applyNumberFormat="1" applyFont="1" applyFill="1" applyBorder="1" applyAlignment="1">
      <alignment horizontal="left" vertical="center"/>
    </xf>
    <xf numFmtId="0" fontId="71" fillId="47" borderId="131" xfId="0" applyFont="1" applyFill="1" applyBorder="1" applyAlignment="1">
      <alignment horizontal="left" vertical="center"/>
    </xf>
    <xf numFmtId="3" fontId="180" fillId="47" borderId="131" xfId="0" applyNumberFormat="1" applyFont="1" applyFill="1" applyBorder="1" applyAlignment="1">
      <alignment vertical="center"/>
    </xf>
    <xf numFmtId="3" fontId="153" fillId="47" borderId="0" xfId="0" applyNumberFormat="1" applyFont="1" applyFill="1" applyBorder="1" applyAlignment="1">
      <alignment vertical="center"/>
    </xf>
    <xf numFmtId="1" fontId="71" fillId="47" borderId="0" xfId="0" applyNumberFormat="1" applyFont="1" applyFill="1" applyBorder="1" applyAlignment="1">
      <alignment vertical="center"/>
    </xf>
    <xf numFmtId="0" fontId="56" fillId="47" borderId="0" xfId="0" applyFont="1" applyFill="1" applyBorder="1" applyAlignment="1">
      <alignment vertical="center"/>
    </xf>
    <xf numFmtId="3" fontId="31" fillId="47" borderId="19" xfId="0" applyNumberFormat="1" applyFont="1" applyFill="1" applyBorder="1" applyAlignment="1">
      <alignment vertical="center"/>
    </xf>
    <xf numFmtId="0" fontId="170" fillId="47" borderId="0" xfId="0" applyFont="1" applyFill="1" applyBorder="1" applyAlignment="1">
      <alignment horizontal="left" vertical="center"/>
    </xf>
    <xf numFmtId="0" fontId="178" fillId="47" borderId="0" xfId="0" applyFont="1" applyFill="1" applyBorder="1" applyAlignment="1">
      <alignment vertical="center"/>
    </xf>
    <xf numFmtId="3" fontId="71" fillId="47" borderId="19" xfId="0" applyNumberFormat="1" applyFont="1" applyFill="1" applyBorder="1" applyAlignment="1">
      <alignment vertical="center"/>
    </xf>
    <xf numFmtId="0" fontId="178" fillId="47" borderId="131" xfId="0" applyFont="1" applyFill="1" applyBorder="1" applyAlignment="1">
      <alignment vertical="center"/>
    </xf>
    <xf numFmtId="3" fontId="31" fillId="47" borderId="131" xfId="0" applyNumberFormat="1" applyFont="1" applyFill="1" applyBorder="1" applyAlignment="1">
      <alignment horizontal="right" vertical="center"/>
    </xf>
    <xf numFmtId="0" fontId="172" fillId="47" borderId="19" xfId="0" applyFont="1" applyFill="1" applyBorder="1" applyAlignment="1">
      <alignment vertical="center"/>
    </xf>
    <xf numFmtId="0" fontId="178" fillId="47" borderId="19" xfId="0" applyFont="1" applyFill="1" applyBorder="1" applyAlignment="1">
      <alignment vertical="center"/>
    </xf>
    <xf numFmtId="0" fontId="170" fillId="47" borderId="131" xfId="0" applyFont="1" applyFill="1" applyBorder="1" applyAlignment="1">
      <alignment horizontal="left" vertical="center"/>
    </xf>
    <xf numFmtId="0" fontId="31" fillId="0" borderId="0" xfId="0" quotePrefix="1" applyFont="1" applyFill="1" applyBorder="1" applyAlignment="1">
      <alignment vertical="center"/>
    </xf>
    <xf numFmtId="0" fontId="161" fillId="47" borderId="0" xfId="0" applyFont="1" applyFill="1" applyBorder="1" applyAlignment="1">
      <alignment vertical="center"/>
    </xf>
    <xf numFmtId="0" fontId="181" fillId="47" borderId="0" xfId="0" applyFont="1" applyFill="1" applyBorder="1" applyAlignment="1">
      <alignment vertical="center"/>
    </xf>
    <xf numFmtId="0" fontId="31" fillId="43" borderId="0" xfId="0" applyFont="1" applyFill="1" applyBorder="1" applyAlignment="1">
      <alignment vertical="center"/>
    </xf>
    <xf numFmtId="0" fontId="10" fillId="43" borderId="0" xfId="0" applyFont="1" applyFill="1" applyBorder="1" applyAlignment="1">
      <alignment vertical="center"/>
    </xf>
    <xf numFmtId="0" fontId="71" fillId="43" borderId="20" xfId="0" applyFont="1" applyFill="1" applyBorder="1" applyAlignment="1">
      <alignment horizontal="center" vertical="center"/>
    </xf>
    <xf numFmtId="0" fontId="31" fillId="43" borderId="0" xfId="0" applyFont="1" applyFill="1" applyBorder="1" applyAlignment="1">
      <alignment horizontal="right" vertical="center"/>
    </xf>
    <xf numFmtId="0" fontId="172" fillId="43" borderId="0" xfId="0" applyFont="1" applyFill="1" applyBorder="1" applyAlignment="1">
      <alignment vertical="center"/>
    </xf>
    <xf numFmtId="0" fontId="166" fillId="43" borderId="0" xfId="0" applyFont="1" applyFill="1" applyBorder="1" applyAlignment="1">
      <alignment horizontal="left" vertical="center"/>
    </xf>
    <xf numFmtId="3" fontId="71" fillId="43" borderId="0" xfId="0" applyNumberFormat="1" applyFont="1" applyFill="1" applyBorder="1" applyAlignment="1">
      <alignment vertical="center"/>
    </xf>
    <xf numFmtId="0" fontId="178" fillId="43" borderId="0" xfId="0" applyFont="1" applyFill="1" applyBorder="1" applyAlignment="1">
      <alignment vertical="center"/>
    </xf>
    <xf numFmtId="3" fontId="71" fillId="43" borderId="131" xfId="0" applyNumberFormat="1" applyFont="1" applyFill="1" applyBorder="1" applyAlignment="1">
      <alignment vertical="center"/>
    </xf>
    <xf numFmtId="0" fontId="178" fillId="43" borderId="131" xfId="0" applyFont="1" applyFill="1" applyBorder="1" applyAlignment="1">
      <alignment vertical="center"/>
    </xf>
    <xf numFmtId="0" fontId="31" fillId="43" borderId="131" xfId="0" applyFont="1" applyFill="1" applyBorder="1" applyAlignment="1">
      <alignment vertical="center"/>
    </xf>
    <xf numFmtId="3" fontId="10" fillId="43" borderId="0" xfId="0" applyNumberFormat="1" applyFont="1" applyFill="1" applyBorder="1" applyAlignment="1">
      <alignment vertical="center"/>
    </xf>
    <xf numFmtId="0" fontId="10" fillId="43" borderId="20" xfId="0" applyFont="1" applyFill="1" applyBorder="1" applyAlignment="1">
      <alignment vertical="center"/>
    </xf>
    <xf numFmtId="0" fontId="31" fillId="43" borderId="20" xfId="0" applyFont="1" applyFill="1" applyBorder="1" applyAlignment="1">
      <alignment horizontal="center" vertical="center"/>
    </xf>
    <xf numFmtId="0" fontId="31" fillId="43" borderId="20" xfId="0" applyFont="1" applyFill="1" applyBorder="1" applyAlignment="1">
      <alignment vertical="center"/>
    </xf>
    <xf numFmtId="4" fontId="31" fillId="43" borderId="0" xfId="0" applyNumberFormat="1" applyFont="1" applyFill="1" applyBorder="1" applyAlignment="1">
      <alignment vertical="center"/>
    </xf>
    <xf numFmtId="4" fontId="178" fillId="43" borderId="0" xfId="0" applyNumberFormat="1" applyFont="1" applyFill="1" applyBorder="1" applyAlignment="1">
      <alignment vertical="center"/>
    </xf>
    <xf numFmtId="0" fontId="0" fillId="0" borderId="0" xfId="0" applyAlignment="1">
      <alignment wrapText="1"/>
    </xf>
    <xf numFmtId="0" fontId="31" fillId="47" borderId="0" xfId="0" applyFont="1" applyFill="1" applyBorder="1" applyAlignment="1">
      <alignment horizontal="center" vertical="center"/>
    </xf>
    <xf numFmtId="0" fontId="10" fillId="43" borderId="20" xfId="0" applyFont="1" applyFill="1" applyBorder="1" applyAlignment="1">
      <alignment horizontal="center" vertical="center"/>
    </xf>
    <xf numFmtId="3" fontId="170" fillId="43" borderId="0" xfId="0" applyNumberFormat="1" applyFont="1" applyFill="1" applyBorder="1" applyAlignment="1">
      <alignment horizontal="left" vertical="center"/>
    </xf>
    <xf numFmtId="3" fontId="31" fillId="43" borderId="131" xfId="0" applyNumberFormat="1" applyFont="1" applyFill="1" applyBorder="1" applyAlignment="1">
      <alignment vertical="center"/>
    </xf>
    <xf numFmtId="3" fontId="166" fillId="43" borderId="131" xfId="0" applyNumberFormat="1" applyFont="1" applyFill="1" applyBorder="1" applyAlignment="1">
      <alignment horizontal="left" vertical="center"/>
    </xf>
    <xf numFmtId="3" fontId="170" fillId="43" borderId="131" xfId="0" applyNumberFormat="1" applyFont="1" applyFill="1" applyBorder="1" applyAlignment="1">
      <alignment horizontal="left" vertical="center"/>
    </xf>
    <xf numFmtId="0" fontId="71" fillId="43" borderId="0" xfId="0" applyFont="1" applyFill="1" applyBorder="1" applyAlignment="1">
      <alignment vertical="center"/>
    </xf>
    <xf numFmtId="3" fontId="71" fillId="86" borderId="0" xfId="0" applyNumberFormat="1" applyFont="1" applyFill="1" applyBorder="1" applyAlignment="1">
      <alignment vertical="center"/>
    </xf>
    <xf numFmtId="3" fontId="31" fillId="86" borderId="20" xfId="0" applyNumberFormat="1" applyFont="1" applyFill="1" applyBorder="1" applyAlignment="1">
      <alignment vertical="center"/>
    </xf>
    <xf numFmtId="0" fontId="10" fillId="0" borderId="30" xfId="0" applyFont="1" applyBorder="1"/>
    <xf numFmtId="0" fontId="37" fillId="0" borderId="30" xfId="0" applyFont="1" applyBorder="1"/>
    <xf numFmtId="0" fontId="10" fillId="0" borderId="28" xfId="0" applyFont="1" applyBorder="1"/>
    <xf numFmtId="0" fontId="178" fillId="43" borderId="20" xfId="0" applyFont="1" applyFill="1" applyBorder="1" applyAlignment="1">
      <alignment horizontal="center" vertical="center"/>
    </xf>
    <xf numFmtId="0" fontId="31" fillId="43" borderId="0" xfId="0" applyFont="1" applyFill="1" applyBorder="1" applyAlignment="1">
      <alignment horizontal="left" vertical="center"/>
    </xf>
    <xf numFmtId="0" fontId="71" fillId="43" borderId="0" xfId="0" applyFont="1" applyFill="1" applyBorder="1" applyAlignment="1">
      <alignment horizontal="left" vertical="center"/>
    </xf>
    <xf numFmtId="0" fontId="71" fillId="43" borderId="131" xfId="0" applyFont="1" applyFill="1" applyBorder="1" applyAlignment="1">
      <alignment horizontal="left" vertical="center"/>
    </xf>
    <xf numFmtId="0" fontId="71" fillId="43" borderId="0" xfId="0" applyFont="1" applyFill="1" applyBorder="1" applyAlignment="1">
      <alignment horizontal="right" vertical="center"/>
    </xf>
    <xf numFmtId="0" fontId="31" fillId="43" borderId="20" xfId="0" applyNumberFormat="1" applyFont="1" applyFill="1" applyBorder="1" applyAlignment="1">
      <alignment horizontal="right" vertical="center"/>
    </xf>
    <xf numFmtId="0" fontId="31" fillId="43" borderId="20" xfId="0" applyFont="1" applyFill="1" applyBorder="1" applyAlignment="1">
      <alignment horizontal="right" vertical="center"/>
    </xf>
    <xf numFmtId="0" fontId="31" fillId="43" borderId="0" xfId="0" applyNumberFormat="1" applyFont="1" applyFill="1" applyBorder="1" applyAlignment="1">
      <alignment horizontal="right" vertical="center"/>
    </xf>
    <xf numFmtId="0" fontId="172" fillId="43" borderId="20" xfId="0" applyFont="1" applyFill="1" applyBorder="1" applyAlignment="1">
      <alignment vertical="center"/>
    </xf>
    <xf numFmtId="1" fontId="0" fillId="43" borderId="0" xfId="0" applyNumberFormat="1" applyFill="1" applyBorder="1" applyAlignment="1"/>
    <xf numFmtId="3" fontId="0" fillId="0" borderId="29" xfId="0" applyNumberFormat="1" applyBorder="1"/>
    <xf numFmtId="2" fontId="37" fillId="0" borderId="0" xfId="0" applyNumberFormat="1" applyFont="1" applyFill="1" applyBorder="1" applyAlignment="1"/>
    <xf numFmtId="2" fontId="10" fillId="37" borderId="0" xfId="0" applyNumberFormat="1" applyFont="1" applyFill="1" applyBorder="1" applyAlignment="1"/>
    <xf numFmtId="0" fontId="10" fillId="37" borderId="30" xfId="0" applyFont="1" applyFill="1" applyBorder="1" applyAlignment="1"/>
    <xf numFmtId="167" fontId="0" fillId="43" borderId="0" xfId="0" applyNumberFormat="1" applyFill="1" applyBorder="1"/>
    <xf numFmtId="167" fontId="0" fillId="0" borderId="0" xfId="0" applyNumberFormat="1" applyFill="1" applyBorder="1"/>
    <xf numFmtId="167" fontId="37" fillId="0" borderId="25" xfId="0" applyNumberFormat="1" applyFont="1" applyFill="1" applyBorder="1"/>
    <xf numFmtId="1" fontId="37" fillId="43" borderId="0" xfId="0" applyNumberFormat="1" applyFont="1" applyFill="1"/>
    <xf numFmtId="167" fontId="0" fillId="43" borderId="0" xfId="0" applyNumberFormat="1" applyFill="1"/>
    <xf numFmtId="197" fontId="37" fillId="0" borderId="0" xfId="0" applyNumberFormat="1" applyFont="1" applyBorder="1"/>
    <xf numFmtId="197" fontId="31" fillId="0" borderId="0" xfId="0" applyNumberFormat="1" applyFont="1" applyBorder="1" applyAlignment="1">
      <alignment vertical="top"/>
    </xf>
    <xf numFmtId="197" fontId="31" fillId="0" borderId="0" xfId="0" applyNumberFormat="1" applyFont="1" applyBorder="1" applyAlignment="1">
      <alignment wrapText="1"/>
    </xf>
    <xf numFmtId="198" fontId="31" fillId="0" borderId="0" xfId="0" applyNumberFormat="1" applyFont="1" applyBorder="1"/>
    <xf numFmtId="197" fontId="37" fillId="0" borderId="0" xfId="0" applyNumberFormat="1" applyFont="1"/>
    <xf numFmtId="197" fontId="71" fillId="0" borderId="0" xfId="0" applyNumberFormat="1" applyFont="1" applyAlignment="1">
      <alignment vertical="top"/>
    </xf>
    <xf numFmtId="197" fontId="71" fillId="0" borderId="0" xfId="0" applyNumberFormat="1" applyFont="1" applyAlignment="1">
      <alignment wrapText="1"/>
    </xf>
    <xf numFmtId="197" fontId="71" fillId="0" borderId="0" xfId="0" applyNumberFormat="1" applyFont="1"/>
    <xf numFmtId="197" fontId="71" fillId="0" borderId="0" xfId="0" applyNumberFormat="1" applyFont="1" applyBorder="1"/>
    <xf numFmtId="197" fontId="36" fillId="0" borderId="0" xfId="0" applyNumberFormat="1" applyFont="1" applyAlignment="1">
      <alignment vertical="center"/>
    </xf>
    <xf numFmtId="197" fontId="71" fillId="0" borderId="21" xfId="0" applyNumberFormat="1" applyFont="1" applyBorder="1"/>
    <xf numFmtId="197" fontId="31" fillId="0" borderId="21" xfId="0" applyNumberFormat="1" applyFont="1" applyBorder="1" applyAlignment="1">
      <alignment vertical="top"/>
    </xf>
    <xf numFmtId="197" fontId="31" fillId="0" borderId="21" xfId="0" applyNumberFormat="1" applyFont="1" applyBorder="1" applyAlignment="1">
      <alignment wrapText="1"/>
    </xf>
    <xf numFmtId="199" fontId="31" fillId="0" borderId="21" xfId="0" applyNumberFormat="1" applyFont="1" applyBorder="1" applyAlignment="1"/>
    <xf numFmtId="199" fontId="31" fillId="0" borderId="0" xfId="0" applyNumberFormat="1" applyFont="1" applyBorder="1" applyAlignment="1"/>
    <xf numFmtId="197" fontId="71" fillId="0" borderId="0" xfId="0" applyNumberFormat="1" applyFont="1" applyAlignment="1"/>
    <xf numFmtId="197" fontId="162" fillId="0" borderId="0" xfId="0" applyNumberFormat="1" applyFont="1" applyAlignment="1"/>
    <xf numFmtId="197" fontId="31" fillId="0" borderId="0" xfId="0" applyNumberFormat="1" applyFont="1" applyBorder="1" applyAlignment="1"/>
    <xf numFmtId="197" fontId="31" fillId="0" borderId="0" xfId="0" applyNumberFormat="1" applyFont="1" applyAlignment="1"/>
    <xf numFmtId="197" fontId="0" fillId="0" borderId="0" xfId="0" applyNumberFormat="1" applyAlignment="1">
      <alignment wrapText="1"/>
    </xf>
    <xf numFmtId="197" fontId="109" fillId="0" borderId="0" xfId="0" applyNumberFormat="1" applyFont="1" applyAlignment="1"/>
    <xf numFmtId="197" fontId="54" fillId="0" borderId="0" xfId="0" applyNumberFormat="1" applyFont="1" applyAlignment="1">
      <alignment wrapText="1"/>
    </xf>
    <xf numFmtId="197" fontId="31" fillId="0" borderId="0" xfId="0" applyNumberFormat="1" applyFont="1" applyAlignment="1">
      <alignment horizontal="right"/>
    </xf>
    <xf numFmtId="197" fontId="31" fillId="0" borderId="0" xfId="0" applyNumberFormat="1" applyFont="1" applyBorder="1" applyAlignment="1">
      <alignment horizontal="right"/>
    </xf>
    <xf numFmtId="197" fontId="109" fillId="0" borderId="0" xfId="0" applyNumberFormat="1" applyFont="1" applyAlignment="1">
      <alignment vertical="top"/>
    </xf>
    <xf numFmtId="197" fontId="109" fillId="0" borderId="0" xfId="0" applyNumberFormat="1" applyFont="1"/>
    <xf numFmtId="197" fontId="0" fillId="0" borderId="0" xfId="0" applyNumberFormat="1" applyFont="1" applyAlignment="1">
      <alignment wrapText="1"/>
    </xf>
    <xf numFmtId="197" fontId="31" fillId="0" borderId="0" xfId="0" applyNumberFormat="1" applyFont="1"/>
    <xf numFmtId="197" fontId="31" fillId="0" borderId="0" xfId="0" applyNumberFormat="1" applyFont="1" applyBorder="1"/>
    <xf numFmtId="197" fontId="0" fillId="0" borderId="0" xfId="0" applyNumberFormat="1" applyAlignment="1">
      <alignment vertical="top"/>
    </xf>
    <xf numFmtId="197" fontId="31" fillId="0" borderId="20" xfId="0" applyNumberFormat="1" applyFont="1" applyBorder="1" applyAlignment="1"/>
    <xf numFmtId="197" fontId="0" fillId="0" borderId="20" xfId="0" applyNumberFormat="1" applyBorder="1" applyAlignment="1">
      <alignment vertical="top"/>
    </xf>
    <xf numFmtId="197" fontId="109" fillId="0" borderId="20" xfId="0" applyNumberFormat="1" applyFont="1" applyBorder="1"/>
    <xf numFmtId="197" fontId="109" fillId="0" borderId="0" xfId="0" applyNumberFormat="1" applyFont="1" applyBorder="1" applyAlignment="1"/>
    <xf numFmtId="197" fontId="0" fillId="0" borderId="21" xfId="0" applyNumberFormat="1" applyBorder="1"/>
    <xf numFmtId="200" fontId="71" fillId="0" borderId="16" xfId="0" applyNumberFormat="1" applyFont="1" applyBorder="1" applyAlignment="1">
      <alignment horizontal="right"/>
    </xf>
    <xf numFmtId="197" fontId="71" fillId="0" borderId="0" xfId="0" applyNumberFormat="1" applyFont="1" applyBorder="1" applyAlignment="1"/>
    <xf numFmtId="200" fontId="31" fillId="0" borderId="0" xfId="0" applyNumberFormat="1" applyFont="1" applyBorder="1" applyAlignment="1">
      <alignment horizontal="right"/>
    </xf>
    <xf numFmtId="197" fontId="0" fillId="0" borderId="0" xfId="0" applyNumberFormat="1" applyBorder="1"/>
    <xf numFmtId="200" fontId="31" fillId="0" borderId="20" xfId="0" applyNumberFormat="1" applyFont="1" applyBorder="1" applyAlignment="1">
      <alignment horizontal="right"/>
    </xf>
    <xf numFmtId="197" fontId="31" fillId="0" borderId="0" xfId="0" applyNumberFormat="1" applyFont="1" applyAlignment="1">
      <alignment horizontal="left"/>
    </xf>
    <xf numFmtId="197" fontId="0" fillId="0" borderId="0" xfId="0" applyNumberFormat="1"/>
    <xf numFmtId="197" fontId="0" fillId="0" borderId="0" xfId="0" applyNumberFormat="1" applyAlignment="1"/>
    <xf numFmtId="199" fontId="31" fillId="43" borderId="21" xfId="0" applyNumberFormat="1" applyFont="1" applyFill="1" applyBorder="1" applyAlignment="1"/>
    <xf numFmtId="197" fontId="71" fillId="43" borderId="0" xfId="0" applyNumberFormat="1" applyFont="1" applyFill="1" applyAlignment="1"/>
    <xf numFmtId="197" fontId="31" fillId="43" borderId="0" xfId="0" applyNumberFormat="1" applyFont="1" applyFill="1" applyAlignment="1"/>
    <xf numFmtId="197" fontId="109" fillId="43" borderId="0" xfId="0" applyNumberFormat="1" applyFont="1" applyFill="1" applyAlignment="1"/>
    <xf numFmtId="197" fontId="31" fillId="43" borderId="20" xfId="0" applyNumberFormat="1" applyFont="1" applyFill="1" applyBorder="1" applyAlignment="1"/>
    <xf numFmtId="0" fontId="0" fillId="0" borderId="0" xfId="0" applyAlignment="1"/>
    <xf numFmtId="0" fontId="183" fillId="0" borderId="0" xfId="0" applyFont="1" applyAlignment="1">
      <alignment horizontal="right" vertical="top"/>
    </xf>
    <xf numFmtId="197" fontId="183" fillId="0" borderId="0" xfId="0" applyNumberFormat="1" applyFont="1" applyBorder="1" applyAlignment="1">
      <alignment horizontal="left" vertical="top"/>
    </xf>
    <xf numFmtId="197" fontId="37" fillId="0" borderId="0" xfId="0" applyNumberFormat="1" applyFont="1" applyAlignment="1"/>
    <xf numFmtId="199" fontId="142" fillId="0" borderId="0" xfId="0" applyNumberFormat="1" applyFont="1" applyAlignment="1"/>
    <xf numFmtId="197" fontId="142" fillId="0" borderId="0" xfId="0" applyNumberFormat="1" applyFont="1" applyAlignment="1"/>
    <xf numFmtId="197" fontId="36" fillId="0" borderId="0" xfId="0" applyNumberFormat="1" applyFont="1"/>
    <xf numFmtId="197" fontId="36" fillId="0" borderId="0" xfId="0" applyNumberFormat="1" applyFont="1" applyAlignment="1"/>
    <xf numFmtId="199" fontId="36" fillId="0" borderId="0" xfId="0" applyNumberFormat="1" applyFont="1" applyAlignment="1"/>
    <xf numFmtId="197" fontId="183" fillId="0" borderId="0" xfId="0" applyNumberFormat="1" applyFont="1" applyBorder="1" applyAlignment="1">
      <alignment horizontal="left" vertical="top" wrapText="1"/>
    </xf>
    <xf numFmtId="199" fontId="31" fillId="0" borderId="20" xfId="0" applyNumberFormat="1" applyFont="1" applyBorder="1" applyAlignment="1"/>
    <xf numFmtId="197" fontId="36" fillId="0" borderId="20" xfId="0" applyNumberFormat="1" applyFont="1" applyBorder="1"/>
    <xf numFmtId="0" fontId="183" fillId="0" borderId="0" xfId="0" applyFont="1" applyBorder="1" applyAlignment="1">
      <alignment horizontal="left" vertical="top"/>
    </xf>
    <xf numFmtId="199" fontId="31" fillId="0" borderId="0" xfId="0" applyNumberFormat="1" applyFont="1" applyAlignment="1"/>
    <xf numFmtId="201" fontId="31" fillId="0" borderId="0" xfId="0" applyNumberFormat="1" applyFont="1" applyAlignment="1">
      <alignment horizontal="left"/>
    </xf>
    <xf numFmtId="0" fontId="183" fillId="0" borderId="16" xfId="0" applyFont="1" applyBorder="1" applyAlignment="1">
      <alignment horizontal="right" vertical="top"/>
    </xf>
    <xf numFmtId="201" fontId="109" fillId="0" borderId="0" xfId="0" applyNumberFormat="1" applyFont="1" applyBorder="1" applyAlignment="1">
      <alignment horizontal="left"/>
    </xf>
    <xf numFmtId="197" fontId="71" fillId="0" borderId="20" xfId="0" applyNumberFormat="1" applyFont="1" applyBorder="1" applyAlignment="1"/>
    <xf numFmtId="199" fontId="71" fillId="0" borderId="20" xfId="0" applyNumberFormat="1" applyFont="1" applyBorder="1" applyAlignment="1"/>
    <xf numFmtId="193" fontId="71" fillId="0" borderId="20" xfId="0" applyNumberFormat="1" applyFont="1" applyBorder="1" applyAlignment="1">
      <alignment horizontal="right"/>
    </xf>
    <xf numFmtId="0" fontId="183" fillId="0" borderId="20" xfId="0" applyFont="1" applyBorder="1" applyAlignment="1">
      <alignment horizontal="right" vertical="top"/>
    </xf>
    <xf numFmtId="199" fontId="36" fillId="0" borderId="0" xfId="0" applyNumberFormat="1" applyFont="1" applyBorder="1" applyAlignment="1"/>
    <xf numFmtId="197" fontId="36" fillId="0" borderId="0" xfId="0" applyNumberFormat="1" applyFont="1" applyBorder="1" applyAlignment="1"/>
    <xf numFmtId="197" fontId="36" fillId="0" borderId="0" xfId="0" applyNumberFormat="1" applyFont="1" applyBorder="1" applyAlignment="1">
      <alignment horizontal="right"/>
    </xf>
    <xf numFmtId="197" fontId="142" fillId="0" borderId="0" xfId="0" applyNumberFormat="1" applyFont="1" applyBorder="1" applyAlignment="1"/>
    <xf numFmtId="199" fontId="142" fillId="0" borderId="0" xfId="0" applyNumberFormat="1" applyFont="1" applyBorder="1" applyAlignment="1"/>
    <xf numFmtId="202" fontId="36" fillId="0" borderId="0" xfId="0" applyNumberFormat="1" applyFont="1" applyBorder="1" applyAlignment="1">
      <alignment horizontal="right"/>
    </xf>
    <xf numFmtId="197" fontId="185" fillId="0" borderId="0" xfId="0" applyNumberFormat="1" applyFont="1" applyBorder="1" applyAlignment="1">
      <alignment horizontal="left" vertical="top"/>
    </xf>
    <xf numFmtId="0" fontId="186" fillId="0" borderId="0" xfId="0" applyFont="1" applyBorder="1" applyAlignment="1">
      <alignment horizontal="left" vertical="top"/>
    </xf>
    <xf numFmtId="197" fontId="169" fillId="0" borderId="0" xfId="0" applyNumberFormat="1" applyFont="1" applyBorder="1" applyAlignment="1"/>
    <xf numFmtId="202" fontId="36" fillId="0" borderId="0" xfId="0" applyNumberFormat="1" applyFont="1" applyAlignment="1">
      <alignment horizontal="right"/>
    </xf>
    <xf numFmtId="197" fontId="142" fillId="0" borderId="0" xfId="0" applyNumberFormat="1" applyFont="1"/>
    <xf numFmtId="202" fontId="142" fillId="0" borderId="0" xfId="0" applyNumberFormat="1" applyFont="1" applyAlignment="1">
      <alignment horizontal="right"/>
    </xf>
    <xf numFmtId="203" fontId="142" fillId="0" borderId="0" xfId="0" applyNumberFormat="1" applyFont="1" applyAlignment="1">
      <alignment horizontal="right"/>
    </xf>
    <xf numFmtId="199" fontId="36" fillId="0" borderId="0" xfId="0" applyNumberFormat="1" applyFont="1" applyAlignment="1">
      <alignment horizontal="right"/>
    </xf>
    <xf numFmtId="197" fontId="142" fillId="0" borderId="0" xfId="0" applyNumberFormat="1" applyFont="1" applyBorder="1"/>
    <xf numFmtId="204" fontId="142" fillId="0" borderId="0" xfId="0" applyNumberFormat="1" applyFont="1" applyAlignment="1">
      <alignment horizontal="right"/>
    </xf>
    <xf numFmtId="202" fontId="142" fillId="0" borderId="0" xfId="0" applyNumberFormat="1" applyFont="1" applyBorder="1" applyAlignment="1">
      <alignment horizontal="right"/>
    </xf>
    <xf numFmtId="199" fontId="36" fillId="0" borderId="0" xfId="0" applyNumberFormat="1" applyFont="1" applyBorder="1" applyAlignment="1">
      <alignment horizontal="right"/>
    </xf>
    <xf numFmtId="197" fontId="142" fillId="0" borderId="20" xfId="0" applyNumberFormat="1" applyFont="1" applyBorder="1"/>
    <xf numFmtId="199" fontId="142" fillId="0" borderId="20" xfId="0" applyNumberFormat="1" applyFont="1" applyBorder="1" applyAlignment="1"/>
    <xf numFmtId="197" fontId="142" fillId="0" borderId="20" xfId="0" applyNumberFormat="1" applyFont="1" applyBorder="1" applyAlignment="1"/>
    <xf numFmtId="202" fontId="142" fillId="0" borderId="20" xfId="0" applyNumberFormat="1" applyFont="1" applyBorder="1" applyAlignment="1">
      <alignment horizontal="right"/>
    </xf>
    <xf numFmtId="0" fontId="183" fillId="0" borderId="20" xfId="0" applyFont="1" applyBorder="1" applyAlignment="1">
      <alignment horizontal="left" vertical="top"/>
    </xf>
    <xf numFmtId="199" fontId="0" fillId="0" borderId="0" xfId="0" applyNumberFormat="1" applyAlignment="1"/>
    <xf numFmtId="0" fontId="36" fillId="0" borderId="0" xfId="0" applyFont="1" applyAlignment="1">
      <alignment horizontal="justify" wrapText="1"/>
    </xf>
    <xf numFmtId="197" fontId="183" fillId="0" borderId="0" xfId="0" applyNumberFormat="1" applyFont="1" applyAlignment="1">
      <alignment horizontal="left" vertical="top"/>
    </xf>
    <xf numFmtId="197" fontId="142" fillId="0" borderId="0" xfId="0" applyNumberFormat="1" applyFont="1" applyAlignment="1">
      <alignment wrapText="1"/>
    </xf>
    <xf numFmtId="197" fontId="36" fillId="0" borderId="20" xfId="0" applyNumberFormat="1" applyFont="1" applyBorder="1" applyAlignment="1"/>
    <xf numFmtId="197" fontId="31" fillId="0" borderId="20" xfId="0" applyNumberFormat="1" applyFont="1" applyBorder="1" applyAlignment="1">
      <alignment wrapText="1"/>
    </xf>
    <xf numFmtId="197" fontId="36" fillId="0" borderId="0" xfId="0" applyNumberFormat="1" applyFont="1" applyAlignment="1">
      <alignment horizontal="right"/>
    </xf>
    <xf numFmtId="197" fontId="169" fillId="0" borderId="0" xfId="0" applyNumberFormat="1" applyFont="1" applyAlignment="1"/>
    <xf numFmtId="197" fontId="169" fillId="0" borderId="0" xfId="0" applyNumberFormat="1" applyFont="1"/>
    <xf numFmtId="199" fontId="169" fillId="0" borderId="0" xfId="0" applyNumberFormat="1" applyFont="1" applyAlignment="1">
      <alignment horizontal="right"/>
    </xf>
    <xf numFmtId="197" fontId="169" fillId="0" borderId="20" xfId="0" applyNumberFormat="1" applyFont="1" applyBorder="1" applyAlignment="1"/>
    <xf numFmtId="197" fontId="169" fillId="0" borderId="20" xfId="0" quotePrefix="1" applyNumberFormat="1" applyFont="1" applyBorder="1" applyAlignment="1">
      <alignment horizontal="right"/>
    </xf>
    <xf numFmtId="202" fontId="36" fillId="0" borderId="16" xfId="0" applyNumberFormat="1" applyFont="1" applyBorder="1" applyAlignment="1">
      <alignment horizontal="right"/>
    </xf>
    <xf numFmtId="0" fontId="183" fillId="0" borderId="0" xfId="0" applyFont="1" applyAlignment="1">
      <alignment horizontal="left" vertical="top"/>
    </xf>
    <xf numFmtId="205" fontId="36" fillId="0" borderId="0" xfId="0" applyNumberFormat="1" applyFont="1" applyAlignment="1"/>
    <xf numFmtId="205" fontId="142" fillId="0" borderId="0" xfId="0" applyNumberFormat="1" applyFont="1" applyBorder="1" applyAlignment="1"/>
    <xf numFmtId="205" fontId="142" fillId="0" borderId="20" xfId="0" applyNumberFormat="1" applyFont="1" applyBorder="1" applyAlignment="1"/>
    <xf numFmtId="206" fontId="0" fillId="0" borderId="0" xfId="0" applyNumberFormat="1"/>
    <xf numFmtId="199" fontId="37" fillId="0" borderId="0" xfId="0" applyNumberFormat="1" applyFont="1" applyAlignment="1"/>
    <xf numFmtId="199" fontId="142" fillId="0" borderId="0" xfId="0" applyNumberFormat="1" applyFont="1" applyAlignment="1">
      <alignment vertical="top"/>
    </xf>
    <xf numFmtId="0" fontId="142" fillId="0" borderId="0" xfId="0" applyFont="1" applyAlignment="1">
      <alignment wrapText="1"/>
    </xf>
    <xf numFmtId="199" fontId="31" fillId="0" borderId="16" xfId="0" applyNumberFormat="1" applyFont="1" applyBorder="1" applyAlignment="1"/>
    <xf numFmtId="199" fontId="31" fillId="0" borderId="16" xfId="0" applyNumberFormat="1" applyFont="1" applyBorder="1" applyAlignment="1">
      <alignment vertical="top"/>
    </xf>
    <xf numFmtId="0" fontId="31" fillId="0" borderId="16" xfId="0" applyFont="1" applyBorder="1" applyAlignment="1">
      <alignment wrapText="1"/>
    </xf>
    <xf numFmtId="197" fontId="31" fillId="0" borderId="21" xfId="0" applyNumberFormat="1" applyFont="1" applyBorder="1"/>
    <xf numFmtId="197" fontId="162" fillId="0" borderId="21" xfId="0" applyNumberFormat="1" applyFont="1" applyBorder="1"/>
    <xf numFmtId="197" fontId="109" fillId="0" borderId="21" xfId="0" applyNumberFormat="1" applyFont="1" applyBorder="1"/>
    <xf numFmtId="199" fontId="31" fillId="0" borderId="0" xfId="0" applyNumberFormat="1" applyFont="1" applyBorder="1" applyAlignment="1" applyProtection="1">
      <alignment vertical="top"/>
    </xf>
    <xf numFmtId="0" fontId="31" fillId="0" borderId="0" xfId="0" applyFont="1" applyBorder="1" applyAlignment="1" applyProtection="1">
      <alignment wrapText="1"/>
    </xf>
    <xf numFmtId="197" fontId="71" fillId="0" borderId="16" xfId="0" applyNumberFormat="1" applyFont="1" applyBorder="1" applyAlignment="1">
      <alignment horizontal="right"/>
    </xf>
    <xf numFmtId="197" fontId="31" fillId="0" borderId="16" xfId="0" applyNumberFormat="1" applyFont="1" applyBorder="1" applyAlignment="1">
      <alignment horizontal="right"/>
    </xf>
    <xf numFmtId="0" fontId="36" fillId="0" borderId="0" xfId="0" applyFont="1" applyBorder="1" applyProtection="1"/>
    <xf numFmtId="199" fontId="109" fillId="0" borderId="0" xfId="0" applyNumberFormat="1" applyFont="1" applyBorder="1" applyAlignment="1" applyProtection="1">
      <alignment vertical="top"/>
    </xf>
    <xf numFmtId="197" fontId="162" fillId="0" borderId="0" xfId="0" applyNumberFormat="1" applyFont="1" applyBorder="1" applyAlignment="1">
      <alignment horizontal="right"/>
    </xf>
    <xf numFmtId="197" fontId="71" fillId="0" borderId="0" xfId="0" applyNumberFormat="1" applyFont="1" applyBorder="1" applyAlignment="1">
      <alignment horizontal="right"/>
    </xf>
    <xf numFmtId="199" fontId="31" fillId="0" borderId="20" xfId="0" applyNumberFormat="1" applyFont="1" applyBorder="1" applyAlignment="1" applyProtection="1">
      <alignment vertical="top"/>
    </xf>
    <xf numFmtId="0" fontId="31" fillId="0" borderId="20" xfId="0" applyFont="1" applyBorder="1" applyAlignment="1" applyProtection="1">
      <alignment wrapText="1"/>
    </xf>
    <xf numFmtId="197" fontId="71" fillId="0" borderId="20" xfId="0" applyNumberFormat="1" applyFont="1" applyBorder="1" applyAlignment="1">
      <alignment horizontal="right"/>
    </xf>
    <xf numFmtId="197" fontId="31" fillId="0" borderId="20" xfId="0" applyNumberFormat="1" applyFont="1" applyBorder="1" applyAlignment="1">
      <alignment horizontal="right"/>
    </xf>
    <xf numFmtId="0" fontId="37" fillId="0" borderId="0" xfId="0" applyFont="1" applyAlignment="1">
      <alignment wrapText="1"/>
    </xf>
    <xf numFmtId="199" fontId="31" fillId="0" borderId="0" xfId="0" applyNumberFormat="1" applyFont="1" applyAlignment="1">
      <alignment vertical="top"/>
    </xf>
    <xf numFmtId="0" fontId="31" fillId="0" borderId="0" xfId="0" applyFont="1" applyAlignment="1">
      <alignment wrapText="1"/>
    </xf>
    <xf numFmtId="202" fontId="71" fillId="0" borderId="0" xfId="0" applyNumberFormat="1" applyFont="1" applyBorder="1" applyAlignment="1">
      <alignment horizontal="right"/>
    </xf>
    <xf numFmtId="202" fontId="31" fillId="0" borderId="0" xfId="0" applyNumberFormat="1" applyFont="1" applyBorder="1" applyAlignment="1">
      <alignment horizontal="right"/>
    </xf>
    <xf numFmtId="0" fontId="71" fillId="0" borderId="0" xfId="0" applyFont="1" applyBorder="1"/>
    <xf numFmtId="199" fontId="71" fillId="0" borderId="0" xfId="0" applyNumberFormat="1" applyFont="1" applyBorder="1" applyAlignment="1">
      <alignment vertical="top"/>
    </xf>
    <xf numFmtId="0" fontId="71" fillId="0" borderId="0" xfId="0" applyFont="1" applyBorder="1" applyAlignment="1">
      <alignment wrapText="1"/>
    </xf>
    <xf numFmtId="199" fontId="0" fillId="0" borderId="16" xfId="0" applyNumberFormat="1" applyBorder="1" applyAlignment="1"/>
    <xf numFmtId="199" fontId="0" fillId="0" borderId="16" xfId="0" applyNumberFormat="1" applyBorder="1" applyAlignment="1">
      <alignment vertical="top"/>
    </xf>
    <xf numFmtId="0" fontId="37" fillId="0" borderId="16" xfId="0" applyFont="1" applyBorder="1" applyAlignment="1">
      <alignment wrapText="1"/>
    </xf>
    <xf numFmtId="197" fontId="0" fillId="0" borderId="16" xfId="0" applyNumberFormat="1" applyBorder="1"/>
    <xf numFmtId="199" fontId="71" fillId="0" borderId="0" xfId="0" applyNumberFormat="1" applyFont="1" applyBorder="1" applyAlignment="1"/>
    <xf numFmtId="199" fontId="31" fillId="0" borderId="20" xfId="0" applyNumberFormat="1" applyFont="1" applyBorder="1" applyAlignment="1">
      <alignment vertical="top"/>
    </xf>
    <xf numFmtId="0" fontId="31" fillId="0" borderId="20" xfId="0" applyFont="1" applyBorder="1" applyAlignment="1">
      <alignment wrapText="1"/>
    </xf>
    <xf numFmtId="0" fontId="71" fillId="0" borderId="20" xfId="0" applyFont="1" applyBorder="1" applyAlignment="1">
      <alignment wrapText="1"/>
    </xf>
    <xf numFmtId="197" fontId="31" fillId="0" borderId="20" xfId="0" applyNumberFormat="1" applyFont="1" applyBorder="1"/>
    <xf numFmtId="197" fontId="71" fillId="0" borderId="20" xfId="0" applyNumberFormat="1" applyFont="1" applyBorder="1"/>
    <xf numFmtId="197" fontId="162" fillId="0" borderId="20" xfId="0" applyNumberFormat="1" applyFont="1" applyBorder="1"/>
    <xf numFmtId="0" fontId="0" fillId="0" borderId="0" xfId="0" applyBorder="1" applyAlignment="1">
      <alignment horizontal="right"/>
    </xf>
    <xf numFmtId="0" fontId="37" fillId="0" borderId="20" xfId="0" applyFont="1" applyBorder="1" applyAlignment="1">
      <alignment horizontal="right" wrapText="1"/>
    </xf>
    <xf numFmtId="197" fontId="0" fillId="0" borderId="20" xfId="0" applyNumberFormat="1" applyBorder="1" applyAlignment="1">
      <alignment horizontal="right"/>
    </xf>
    <xf numFmtId="197" fontId="0" fillId="0" borderId="0" xfId="0" applyNumberFormat="1" applyBorder="1" applyAlignment="1">
      <alignment horizontal="right"/>
    </xf>
    <xf numFmtId="0" fontId="71" fillId="0" borderId="20" xfId="0" applyFont="1" applyBorder="1"/>
    <xf numFmtId="199" fontId="71" fillId="0" borderId="20" xfId="0" applyNumberFormat="1" applyFont="1" applyBorder="1" applyAlignment="1">
      <alignment vertical="top"/>
    </xf>
    <xf numFmtId="202" fontId="71" fillId="0" borderId="20" xfId="0" applyNumberFormat="1" applyFont="1" applyBorder="1" applyAlignment="1">
      <alignment horizontal="right"/>
    </xf>
    <xf numFmtId="197" fontId="183" fillId="0" borderId="20" xfId="0" applyNumberFormat="1" applyFont="1" applyBorder="1" applyAlignment="1">
      <alignment horizontal="left" vertical="top"/>
    </xf>
    <xf numFmtId="199" fontId="0" fillId="0" borderId="0" xfId="0" applyNumberFormat="1" applyAlignment="1">
      <alignment vertical="top"/>
    </xf>
    <xf numFmtId="0" fontId="31" fillId="0" borderId="0" xfId="0" applyFont="1" applyAlignment="1">
      <alignment horizontal="left" wrapText="1"/>
    </xf>
    <xf numFmtId="199" fontId="37" fillId="0" borderId="0" xfId="0" applyNumberFormat="1" applyFont="1" applyAlignment="1">
      <alignment horizontal="left" vertical="top" wrapText="1"/>
    </xf>
    <xf numFmtId="199" fontId="36" fillId="0" borderId="20" xfId="0" applyNumberFormat="1" applyFont="1" applyBorder="1" applyAlignment="1">
      <alignment horizontal="left" wrapText="1"/>
    </xf>
    <xf numFmtId="202" fontId="0" fillId="0" borderId="0" xfId="0" applyNumberFormat="1"/>
    <xf numFmtId="197" fontId="37" fillId="0" borderId="0" xfId="0" applyNumberFormat="1" applyFont="1" applyAlignment="1">
      <alignment vertical="top"/>
    </xf>
    <xf numFmtId="197" fontId="142" fillId="0" borderId="0" xfId="0" applyNumberFormat="1" applyFont="1" applyAlignment="1">
      <alignment vertical="top"/>
    </xf>
    <xf numFmtId="197" fontId="142" fillId="0" borderId="0" xfId="0" applyNumberFormat="1" applyFont="1" applyAlignment="1">
      <alignment vertical="top" wrapText="1"/>
    </xf>
    <xf numFmtId="197" fontId="36" fillId="0" borderId="0" xfId="0" applyNumberFormat="1" applyFont="1" applyAlignment="1">
      <alignment vertical="top"/>
    </xf>
    <xf numFmtId="197" fontId="0" fillId="0" borderId="0" xfId="0" applyNumberFormat="1" applyFont="1" applyAlignment="1">
      <alignment vertical="top"/>
    </xf>
    <xf numFmtId="197" fontId="36" fillId="0" borderId="0" xfId="0" applyNumberFormat="1" applyFont="1" applyAlignment="1">
      <alignment vertical="top" wrapText="1"/>
    </xf>
    <xf numFmtId="197" fontId="31" fillId="0" borderId="16" xfId="0" applyNumberFormat="1" applyFont="1" applyBorder="1" applyAlignment="1"/>
    <xf numFmtId="197" fontId="31" fillId="0" borderId="16" xfId="0" applyNumberFormat="1" applyFont="1" applyBorder="1" applyAlignment="1">
      <alignment wrapText="1"/>
    </xf>
    <xf numFmtId="197" fontId="183" fillId="0" borderId="16" xfId="0" applyNumberFormat="1" applyFont="1" applyBorder="1" applyAlignment="1">
      <alignment horizontal="left" vertical="top"/>
    </xf>
    <xf numFmtId="197" fontId="31" fillId="0" borderId="0" xfId="0" applyNumberFormat="1" applyFont="1" applyAlignment="1">
      <alignment wrapText="1"/>
    </xf>
    <xf numFmtId="197" fontId="162" fillId="0" borderId="0" xfId="0" applyNumberFormat="1" applyFont="1" applyAlignment="1">
      <alignment horizontal="right"/>
    </xf>
    <xf numFmtId="197" fontId="71" fillId="0" borderId="0" xfId="0" applyNumberFormat="1" applyFont="1" applyAlignment="1">
      <alignment horizontal="right"/>
    </xf>
    <xf numFmtId="202" fontId="71" fillId="0" borderId="0" xfId="0" applyNumberFormat="1" applyFont="1" applyAlignment="1">
      <alignment horizontal="right"/>
    </xf>
    <xf numFmtId="202" fontId="183" fillId="0" borderId="0" xfId="0" applyNumberFormat="1" applyFont="1" applyAlignment="1">
      <alignment horizontal="left" vertical="top"/>
    </xf>
    <xf numFmtId="202" fontId="183" fillId="0" borderId="0" xfId="0" applyNumberFormat="1" applyFont="1" applyBorder="1" applyAlignment="1">
      <alignment horizontal="left" vertical="top"/>
    </xf>
    <xf numFmtId="207" fontId="31" fillId="0" borderId="0" xfId="0" applyNumberFormat="1" applyFont="1" applyAlignment="1"/>
    <xf numFmtId="3" fontId="71" fillId="0" borderId="0" xfId="0" applyNumberFormat="1" applyFont="1" applyBorder="1" applyAlignment="1">
      <alignment horizontal="right"/>
    </xf>
    <xf numFmtId="207" fontId="71" fillId="0" borderId="0" xfId="0" applyNumberFormat="1" applyFont="1" applyAlignment="1"/>
    <xf numFmtId="207" fontId="31" fillId="0" borderId="0" xfId="0" applyNumberFormat="1" applyFont="1"/>
    <xf numFmtId="197" fontId="71" fillId="0" borderId="0" xfId="0" applyNumberFormat="1" applyFont="1" applyBorder="1" applyAlignment="1">
      <alignment wrapText="1"/>
    </xf>
    <xf numFmtId="202" fontId="187" fillId="0" borderId="0" xfId="0" applyNumberFormat="1" applyFont="1" applyBorder="1" applyAlignment="1">
      <alignment horizontal="left" vertical="top"/>
    </xf>
    <xf numFmtId="202" fontId="187" fillId="0" borderId="0" xfId="0" applyNumberFormat="1" applyFont="1" applyBorder="1" applyAlignment="1">
      <alignment horizontal="left" vertical="center"/>
    </xf>
    <xf numFmtId="197" fontId="187" fillId="0" borderId="0" xfId="0" applyNumberFormat="1" applyFont="1" applyBorder="1" applyAlignment="1">
      <alignment horizontal="left" vertical="top"/>
    </xf>
    <xf numFmtId="197" fontId="37" fillId="0" borderId="20" xfId="0" applyNumberFormat="1" applyFont="1" applyBorder="1" applyAlignment="1"/>
    <xf numFmtId="197" fontId="37" fillId="0" borderId="20" xfId="0" applyNumberFormat="1" applyFont="1" applyBorder="1" applyAlignment="1">
      <alignment wrapText="1"/>
    </xf>
    <xf numFmtId="3" fontId="71" fillId="0" borderId="20" xfId="0" applyNumberFormat="1" applyFont="1" applyBorder="1" applyAlignment="1">
      <alignment horizontal="right"/>
    </xf>
    <xf numFmtId="202" fontId="187" fillId="0" borderId="20" xfId="0" applyNumberFormat="1" applyFont="1" applyBorder="1" applyAlignment="1">
      <alignment horizontal="left" vertical="top"/>
    </xf>
    <xf numFmtId="2" fontId="0" fillId="43" borderId="0" xfId="0" applyNumberFormat="1" applyFill="1"/>
    <xf numFmtId="0" fontId="0" fillId="43" borderId="0" xfId="0" applyFont="1" applyFill="1"/>
    <xf numFmtId="0" fontId="37" fillId="86" borderId="29" xfId="0" applyFont="1" applyFill="1" applyBorder="1"/>
    <xf numFmtId="0" fontId="0" fillId="86" borderId="26" xfId="0" applyFill="1" applyBorder="1"/>
    <xf numFmtId="0" fontId="0" fillId="86" borderId="27" xfId="0" applyFill="1" applyBorder="1"/>
    <xf numFmtId="0" fontId="0" fillId="86" borderId="28" xfId="0" applyFill="1" applyBorder="1"/>
    <xf numFmtId="0" fontId="0" fillId="86" borderId="29" xfId="0" applyFill="1" applyBorder="1"/>
    <xf numFmtId="0" fontId="0" fillId="86" borderId="30" xfId="0" applyFill="1" applyBorder="1"/>
    <xf numFmtId="0" fontId="0" fillId="86" borderId="55" xfId="0" applyFill="1" applyBorder="1"/>
    <xf numFmtId="2" fontId="37" fillId="0" borderId="0" xfId="0" applyNumberFormat="1" applyFont="1"/>
    <xf numFmtId="0" fontId="10" fillId="0" borderId="26" xfId="0" applyFont="1" applyBorder="1"/>
    <xf numFmtId="0" fontId="37" fillId="0" borderId="30" xfId="0" applyFont="1" applyBorder="1" applyAlignment="1">
      <alignment horizontal="center"/>
    </xf>
    <xf numFmtId="2" fontId="10" fillId="0" borderId="30" xfId="0" applyNumberFormat="1" applyFont="1" applyBorder="1"/>
    <xf numFmtId="2" fontId="37" fillId="0" borderId="30" xfId="0" applyNumberFormat="1" applyFont="1" applyBorder="1"/>
    <xf numFmtId="3" fontId="31" fillId="86" borderId="0" xfId="0" applyNumberFormat="1" applyFont="1" applyFill="1" applyBorder="1" applyAlignment="1">
      <alignment vertical="center"/>
    </xf>
    <xf numFmtId="2" fontId="10" fillId="0" borderId="0" xfId="0" applyNumberFormat="1" applyFont="1" applyBorder="1"/>
    <xf numFmtId="3" fontId="71" fillId="0" borderId="0" xfId="0" applyNumberFormat="1" applyFont="1" applyFill="1" applyBorder="1" applyAlignment="1">
      <alignment vertical="center"/>
    </xf>
    <xf numFmtId="2" fontId="10" fillId="0" borderId="0" xfId="0" applyNumberFormat="1" applyFont="1" applyBorder="1" applyAlignment="1"/>
    <xf numFmtId="3" fontId="109" fillId="0" borderId="0" xfId="0" applyNumberFormat="1" applyFont="1" applyFill="1" applyBorder="1" applyAlignment="1">
      <alignment vertical="center"/>
    </xf>
    <xf numFmtId="1" fontId="0" fillId="0" borderId="0" xfId="0" applyNumberFormat="1" applyBorder="1" applyAlignment="1"/>
    <xf numFmtId="0" fontId="37" fillId="86" borderId="44" xfId="0" applyFont="1" applyFill="1" applyBorder="1" applyAlignment="1"/>
    <xf numFmtId="0" fontId="37" fillId="86" borderId="16" xfId="0" applyFont="1" applyFill="1" applyBorder="1" applyAlignment="1"/>
    <xf numFmtId="0" fontId="0" fillId="86" borderId="17" xfId="0" applyFill="1" applyBorder="1" applyAlignment="1"/>
    <xf numFmtId="0" fontId="0" fillId="86" borderId="19" xfId="0" applyFill="1" applyBorder="1" applyAlignment="1"/>
    <xf numFmtId="0" fontId="37" fillId="86" borderId="0" xfId="0" applyFont="1" applyFill="1" applyBorder="1" applyAlignment="1"/>
    <xf numFmtId="0" fontId="37" fillId="86" borderId="22" xfId="0" applyFont="1" applyFill="1" applyBorder="1" applyAlignment="1"/>
    <xf numFmtId="1" fontId="0" fillId="0" borderId="19" xfId="0" applyNumberFormat="1" applyBorder="1" applyAlignment="1"/>
    <xf numFmtId="0" fontId="0" fillId="0" borderId="22" xfId="0" applyBorder="1" applyAlignment="1"/>
    <xf numFmtId="0" fontId="37" fillId="0" borderId="19" xfId="0" applyFont="1" applyBorder="1" applyAlignment="1"/>
    <xf numFmtId="0" fontId="37" fillId="0" borderId="0" xfId="0" applyFont="1" applyBorder="1" applyAlignment="1"/>
    <xf numFmtId="0" fontId="0" fillId="0" borderId="0" xfId="0" applyBorder="1" applyAlignment="1"/>
    <xf numFmtId="0" fontId="10" fillId="0" borderId="19" xfId="0" applyFont="1" applyFill="1" applyBorder="1"/>
    <xf numFmtId="0" fontId="10" fillId="0" borderId="24" xfId="0" applyFont="1" applyFill="1" applyBorder="1"/>
    <xf numFmtId="2" fontId="10" fillId="0" borderId="20" xfId="0" applyNumberFormat="1" applyFont="1" applyBorder="1"/>
    <xf numFmtId="1" fontId="0" fillId="0" borderId="20" xfId="0" applyNumberFormat="1" applyBorder="1" applyAlignment="1"/>
    <xf numFmtId="0" fontId="0" fillId="0" borderId="23" xfId="0" applyFill="1" applyBorder="1"/>
    <xf numFmtId="0" fontId="37" fillId="86" borderId="17" xfId="0" applyFont="1" applyFill="1" applyBorder="1" applyAlignment="1"/>
    <xf numFmtId="0" fontId="37" fillId="86" borderId="19" xfId="0" applyFont="1" applyFill="1" applyBorder="1" applyAlignment="1"/>
    <xf numFmtId="1" fontId="0" fillId="0" borderId="22" xfId="0" applyNumberFormat="1" applyBorder="1" applyAlignment="1"/>
    <xf numFmtId="167" fontId="37" fillId="0" borderId="0" xfId="0" applyNumberFormat="1" applyFont="1" applyBorder="1" applyAlignment="1"/>
    <xf numFmtId="0" fontId="37" fillId="0" borderId="22" xfId="0" applyFont="1" applyBorder="1" applyAlignment="1"/>
    <xf numFmtId="1" fontId="0" fillId="0" borderId="20" xfId="0" applyNumberFormat="1" applyFill="1" applyBorder="1" applyAlignment="1"/>
    <xf numFmtId="0" fontId="37" fillId="86" borderId="72" xfId="0" applyFont="1" applyFill="1" applyBorder="1" applyAlignment="1"/>
    <xf numFmtId="1" fontId="0" fillId="0" borderId="72" xfId="0" applyNumberFormat="1" applyBorder="1" applyAlignment="1"/>
    <xf numFmtId="0" fontId="37" fillId="0" borderId="72" xfId="0" applyFont="1" applyBorder="1" applyAlignment="1"/>
    <xf numFmtId="0" fontId="0" fillId="86" borderId="72" xfId="0" applyFill="1" applyBorder="1"/>
    <xf numFmtId="0" fontId="0" fillId="0" borderId="72" xfId="0" applyFill="1" applyBorder="1"/>
    <xf numFmtId="1" fontId="0" fillId="0" borderId="22" xfId="0" applyNumberFormat="1" applyFill="1" applyBorder="1" applyAlignment="1"/>
    <xf numFmtId="1" fontId="0" fillId="0" borderId="23" xfId="0" applyNumberFormat="1" applyFill="1" applyBorder="1" applyAlignment="1"/>
    <xf numFmtId="0" fontId="37" fillId="86" borderId="73" xfId="0" applyFont="1" applyFill="1" applyBorder="1" applyAlignment="1">
      <alignment horizontal="left"/>
    </xf>
    <xf numFmtId="0" fontId="37" fillId="86" borderId="72" xfId="0" applyFont="1" applyFill="1" applyBorder="1"/>
    <xf numFmtId="0" fontId="37" fillId="0" borderId="72" xfId="0" applyFont="1" applyBorder="1"/>
    <xf numFmtId="0" fontId="37" fillId="0" borderId="72" xfId="0" applyFont="1" applyFill="1" applyBorder="1"/>
    <xf numFmtId="0" fontId="37" fillId="0" borderId="3" xfId="0" applyFont="1" applyFill="1" applyBorder="1"/>
    <xf numFmtId="0" fontId="0" fillId="86" borderId="73" xfId="0" applyFill="1" applyBorder="1" applyAlignment="1"/>
    <xf numFmtId="0" fontId="0" fillId="0" borderId="72" xfId="0" applyBorder="1" applyAlignment="1"/>
    <xf numFmtId="0" fontId="0" fillId="0" borderId="72" xfId="0" applyFont="1" applyFill="1" applyBorder="1"/>
    <xf numFmtId="0" fontId="37" fillId="0" borderId="72" xfId="0" applyFont="1" applyFill="1" applyBorder="1" applyAlignment="1"/>
    <xf numFmtId="0" fontId="10" fillId="0" borderId="3" xfId="0" applyFont="1" applyFill="1" applyBorder="1"/>
    <xf numFmtId="1" fontId="37" fillId="0" borderId="0" xfId="0" applyNumberFormat="1" applyFont="1" applyBorder="1" applyAlignment="1"/>
    <xf numFmtId="172" fontId="37" fillId="0" borderId="22" xfId="0" applyNumberFormat="1" applyFont="1" applyBorder="1" applyAlignment="1"/>
    <xf numFmtId="0" fontId="54" fillId="86" borderId="0" xfId="0" applyFont="1" applyFill="1" applyBorder="1"/>
    <xf numFmtId="3" fontId="31" fillId="0" borderId="0" xfId="1159" applyNumberFormat="1" applyFont="1" applyFill="1" applyBorder="1" applyAlignment="1">
      <alignment horizontal="right"/>
    </xf>
    <xf numFmtId="172" fontId="37" fillId="0" borderId="22" xfId="0" applyNumberFormat="1" applyFont="1" applyFill="1" applyBorder="1" applyAlignment="1"/>
    <xf numFmtId="0" fontId="54" fillId="0" borderId="0" xfId="0" applyFont="1" applyFill="1" applyBorder="1"/>
    <xf numFmtId="3" fontId="71" fillId="0" borderId="20" xfId="0" applyNumberFormat="1" applyFont="1" applyFill="1" applyBorder="1" applyAlignment="1">
      <alignment vertical="center"/>
    </xf>
    <xf numFmtId="3" fontId="109" fillId="0" borderId="20" xfId="0" applyNumberFormat="1" applyFont="1" applyFill="1" applyBorder="1" applyAlignment="1">
      <alignment vertical="center"/>
    </xf>
    <xf numFmtId="3" fontId="31" fillId="0" borderId="20" xfId="1159" applyNumberFormat="1" applyFont="1" applyFill="1" applyBorder="1" applyAlignment="1">
      <alignment horizontal="right"/>
    </xf>
    <xf numFmtId="172" fontId="37" fillId="0" borderId="23" xfId="0" applyNumberFormat="1" applyFont="1" applyFill="1" applyBorder="1" applyAlignment="1"/>
    <xf numFmtId="0" fontId="0" fillId="0" borderId="44" xfId="0" applyFill="1" applyBorder="1"/>
    <xf numFmtId="0" fontId="0" fillId="0" borderId="16" xfId="0" applyFill="1" applyBorder="1"/>
    <xf numFmtId="0" fontId="0" fillId="0" borderId="17" xfId="0" applyFill="1" applyBorder="1"/>
    <xf numFmtId="167" fontId="37" fillId="0" borderId="20" xfId="0" applyNumberFormat="1" applyFont="1" applyBorder="1"/>
    <xf numFmtId="0" fontId="10" fillId="0" borderId="72" xfId="0" applyFont="1" applyFill="1" applyBorder="1"/>
    <xf numFmtId="0" fontId="10" fillId="0" borderId="73" xfId="0" applyFont="1" applyBorder="1"/>
    <xf numFmtId="0" fontId="0" fillId="0" borderId="73" xfId="0" applyBorder="1" applyAlignment="1"/>
    <xf numFmtId="167" fontId="0" fillId="0" borderId="16" xfId="0" applyNumberFormat="1" applyBorder="1"/>
    <xf numFmtId="1" fontId="0" fillId="0" borderId="16" xfId="0" applyNumberFormat="1" applyBorder="1" applyAlignment="1"/>
    <xf numFmtId="0" fontId="37" fillId="0" borderId="19" xfId="0" applyFont="1" applyBorder="1"/>
    <xf numFmtId="0" fontId="37" fillId="0" borderId="44" xfId="0" applyFont="1" applyBorder="1"/>
    <xf numFmtId="0" fontId="37" fillId="0" borderId="73" xfId="0" applyFont="1" applyFill="1" applyBorder="1" applyAlignment="1"/>
    <xf numFmtId="0" fontId="0" fillId="0" borderId="73" xfId="0" applyFill="1" applyBorder="1"/>
    <xf numFmtId="1" fontId="0" fillId="0" borderId="73" xfId="0" applyNumberFormat="1" applyBorder="1" applyAlignment="1"/>
    <xf numFmtId="167" fontId="0" fillId="0" borderId="20" xfId="0" applyNumberFormat="1" applyBorder="1"/>
    <xf numFmtId="172" fontId="37" fillId="0" borderId="23" xfId="0" applyNumberFormat="1" applyFont="1" applyBorder="1" applyAlignment="1"/>
    <xf numFmtId="167" fontId="0" fillId="0" borderId="0" xfId="0" applyNumberFormat="1" applyBorder="1" applyAlignment="1"/>
    <xf numFmtId="0" fontId="37" fillId="0" borderId="19" xfId="0" applyFont="1" applyFill="1" applyBorder="1"/>
    <xf numFmtId="167" fontId="0" fillId="0" borderId="22" xfId="0" applyNumberFormat="1" applyBorder="1"/>
    <xf numFmtId="167" fontId="0" fillId="0" borderId="20" xfId="0" applyNumberFormat="1" applyBorder="1" applyAlignment="1"/>
    <xf numFmtId="1" fontId="0" fillId="0" borderId="3" xfId="0" applyNumberFormat="1" applyBorder="1" applyAlignment="1"/>
    <xf numFmtId="0" fontId="37" fillId="0" borderId="24" xfId="0" applyFont="1" applyBorder="1"/>
    <xf numFmtId="0" fontId="10" fillId="0" borderId="3" xfId="0" applyFont="1" applyBorder="1"/>
    <xf numFmtId="0" fontId="10" fillId="0" borderId="44" xfId="0" applyFont="1" applyBorder="1"/>
    <xf numFmtId="2" fontId="0" fillId="0" borderId="73" xfId="0" applyNumberFormat="1" applyBorder="1"/>
    <xf numFmtId="2" fontId="0" fillId="0" borderId="72" xfId="0" applyNumberFormat="1" applyBorder="1"/>
    <xf numFmtId="2" fontId="0" fillId="0" borderId="3" xfId="0" applyNumberFormat="1" applyBorder="1"/>
    <xf numFmtId="167" fontId="0" fillId="0" borderId="3" xfId="0" applyNumberFormat="1" applyFill="1" applyBorder="1"/>
    <xf numFmtId="172" fontId="0" fillId="0" borderId="0" xfId="0" applyNumberFormat="1" applyFill="1"/>
    <xf numFmtId="0" fontId="7" fillId="43" borderId="0" xfId="533" applyFont="1" applyFill="1" applyAlignment="1" applyProtection="1">
      <alignment horizontal="left"/>
      <protection locked="0"/>
    </xf>
    <xf numFmtId="0" fontId="75" fillId="0" borderId="0" xfId="0" applyFont="1" applyBorder="1" applyAlignment="1">
      <alignment vertical="center"/>
    </xf>
    <xf numFmtId="167" fontId="38" fillId="43" borderId="0" xfId="0" applyNumberFormat="1" applyFont="1" applyFill="1"/>
    <xf numFmtId="0" fontId="7" fillId="0" borderId="0" xfId="533" applyFont="1" applyFill="1" applyBorder="1" applyAlignment="1" applyProtection="1">
      <alignment horizontal="left"/>
      <protection locked="0"/>
    </xf>
    <xf numFmtId="0" fontId="83" fillId="0" borderId="0" xfId="0" applyFont="1" applyBorder="1"/>
    <xf numFmtId="2" fontId="0" fillId="0" borderId="0" xfId="0" applyNumberFormat="1" applyFill="1" applyBorder="1" applyAlignment="1"/>
    <xf numFmtId="172" fontId="0" fillId="43" borderId="0" xfId="0" applyNumberFormat="1" applyFill="1" applyBorder="1"/>
    <xf numFmtId="167" fontId="38" fillId="43" borderId="0" xfId="0" applyNumberFormat="1" applyFont="1" applyFill="1" applyBorder="1"/>
    <xf numFmtId="167" fontId="38" fillId="43" borderId="20" xfId="0" applyNumberFormat="1" applyFont="1" applyFill="1" applyBorder="1"/>
    <xf numFmtId="167" fontId="38" fillId="43" borderId="25" xfId="0" applyNumberFormat="1" applyFont="1" applyFill="1" applyBorder="1"/>
    <xf numFmtId="0" fontId="31" fillId="47" borderId="0" xfId="0" applyFont="1" applyFill="1" applyBorder="1" applyAlignment="1">
      <alignment horizontal="center" vertical="center"/>
    </xf>
    <xf numFmtId="0" fontId="37" fillId="47" borderId="0" xfId="0" applyFont="1" applyFill="1" applyBorder="1" applyAlignment="1">
      <alignment horizontal="center" vertical="center"/>
    </xf>
    <xf numFmtId="0" fontId="162" fillId="47" borderId="20" xfId="0" applyFont="1" applyFill="1" applyBorder="1" applyAlignment="1">
      <alignment horizontal="center" vertical="center"/>
    </xf>
    <xf numFmtId="0" fontId="71" fillId="47" borderId="20" xfId="0" applyFont="1" applyFill="1" applyBorder="1" applyAlignment="1">
      <alignment horizontal="center" vertical="center"/>
    </xf>
    <xf numFmtId="0" fontId="31" fillId="47" borderId="20" xfId="0" applyFont="1" applyFill="1" applyBorder="1" applyAlignment="1">
      <alignment horizontal="center" vertical="center"/>
    </xf>
    <xf numFmtId="0" fontId="71" fillId="33" borderId="0" xfId="0" applyFont="1" applyFill="1" applyBorder="1" applyAlignment="1">
      <alignment horizontal="left" vertical="top" wrapText="1"/>
    </xf>
    <xf numFmtId="0" fontId="31" fillId="33" borderId="27" xfId="0" applyFont="1" applyFill="1" applyBorder="1" applyAlignment="1">
      <alignment horizontal="right" vertical="top" wrapText="1"/>
    </xf>
    <xf numFmtId="0" fontId="31" fillId="33" borderId="0" xfId="0" applyFont="1" applyFill="1" applyBorder="1" applyAlignment="1">
      <alignment horizontal="right" vertical="top" wrapText="1"/>
    </xf>
    <xf numFmtId="0" fontId="31" fillId="33" borderId="25" xfId="0" applyFont="1" applyFill="1" applyBorder="1" applyAlignment="1">
      <alignment horizontal="right" vertical="top" wrapText="1"/>
    </xf>
    <xf numFmtId="0" fontId="71" fillId="33" borderId="27" xfId="0" applyFont="1" applyFill="1" applyBorder="1" applyAlignment="1">
      <alignment horizontal="center" vertical="top" wrapText="1"/>
    </xf>
    <xf numFmtId="0" fontId="31" fillId="33" borderId="25" xfId="0" applyFont="1" applyFill="1" applyBorder="1" applyAlignment="1">
      <alignment horizontal="center" vertical="top" wrapText="1"/>
    </xf>
    <xf numFmtId="0" fontId="31" fillId="47" borderId="0" xfId="0" applyFont="1" applyFill="1" applyBorder="1" applyAlignment="1">
      <alignment horizontal="center" wrapText="1"/>
    </xf>
    <xf numFmtId="3" fontId="10" fillId="0" borderId="0" xfId="0" applyNumberFormat="1" applyFont="1"/>
    <xf numFmtId="167" fontId="31" fillId="0" borderId="0" xfId="0" applyNumberFormat="1" applyFont="1" applyFill="1"/>
    <xf numFmtId="2" fontId="71" fillId="0" borderId="0" xfId="0" applyNumberFormat="1" applyFont="1" applyFill="1"/>
    <xf numFmtId="0" fontId="31" fillId="0" borderId="0" xfId="1159" applyFont="1" applyFill="1" applyBorder="1" applyAlignment="1">
      <alignment wrapText="1"/>
    </xf>
    <xf numFmtId="0" fontId="31" fillId="0" borderId="0" xfId="1159" applyFont="1" applyFill="1"/>
    <xf numFmtId="3" fontId="31" fillId="0" borderId="0" xfId="1159" applyNumberFormat="1" applyFont="1" applyFill="1" applyAlignment="1">
      <alignment horizontal="right"/>
    </xf>
    <xf numFmtId="3" fontId="142" fillId="0" borderId="0" xfId="1524" applyNumberFormat="1" applyFont="1" applyFill="1" applyAlignment="1"/>
    <xf numFmtId="0" fontId="31" fillId="0" borderId="0" xfId="1159" applyFont="1" applyFill="1" applyBorder="1"/>
    <xf numFmtId="0" fontId="0" fillId="51" borderId="0" xfId="0" applyFill="1"/>
    <xf numFmtId="0" fontId="31" fillId="51" borderId="0" xfId="0" applyFont="1" applyFill="1" applyAlignment="1">
      <alignment horizontal="left"/>
    </xf>
    <xf numFmtId="10" fontId="0" fillId="0" borderId="0" xfId="844" applyNumberFormat="1" applyFont="1" applyBorder="1" applyAlignment="1">
      <alignment horizontal="left"/>
    </xf>
    <xf numFmtId="0" fontId="10" fillId="0" borderId="55" xfId="0" applyFont="1" applyBorder="1"/>
    <xf numFmtId="167" fontId="0" fillId="0" borderId="25" xfId="0" applyNumberFormat="1" applyBorder="1"/>
    <xf numFmtId="177" fontId="11" fillId="0" borderId="0" xfId="0" applyNumberFormat="1" applyFont="1" applyBorder="1"/>
    <xf numFmtId="172" fontId="38" fillId="0" borderId="0" xfId="0" applyNumberFormat="1" applyFont="1" applyBorder="1"/>
    <xf numFmtId="2" fontId="38" fillId="0" borderId="0" xfId="0" applyNumberFormat="1" applyFont="1" applyFill="1" applyBorder="1"/>
    <xf numFmtId="172" fontId="0" fillId="0" borderId="16" xfId="0" applyNumberFormat="1" applyBorder="1"/>
    <xf numFmtId="0" fontId="10" fillId="0" borderId="0" xfId="0" applyFont="1" applyFill="1" applyProtection="1"/>
    <xf numFmtId="0" fontId="63" fillId="42" borderId="0" xfId="0" applyFont="1" applyFill="1"/>
    <xf numFmtId="0" fontId="189" fillId="42" borderId="0" xfId="0" applyFont="1" applyFill="1"/>
    <xf numFmtId="0" fontId="0" fillId="42" borderId="0" xfId="0" applyFill="1"/>
    <xf numFmtId="0" fontId="63" fillId="0" borderId="0" xfId="0" applyFont="1" applyFill="1"/>
    <xf numFmtId="0" fontId="189" fillId="0" borderId="0" xfId="0" applyFont="1" applyFill="1"/>
    <xf numFmtId="0" fontId="63" fillId="43" borderId="0" xfId="0" applyFont="1" applyFill="1"/>
    <xf numFmtId="0" fontId="189" fillId="43" borderId="0" xfId="0" applyFont="1" applyFill="1"/>
    <xf numFmtId="0" fontId="37" fillId="43" borderId="19" xfId="0" applyFont="1" applyFill="1" applyBorder="1"/>
    <xf numFmtId="172" fontId="0" fillId="43" borderId="22" xfId="0" applyNumberFormat="1" applyFill="1" applyBorder="1"/>
    <xf numFmtId="0" fontId="10" fillId="37" borderId="29" xfId="0" applyFont="1" applyFill="1" applyBorder="1"/>
    <xf numFmtId="0" fontId="0" fillId="37" borderId="0" xfId="0" applyFill="1" applyBorder="1"/>
    <xf numFmtId="2" fontId="37" fillId="0" borderId="0" xfId="0" applyNumberFormat="1" applyFont="1" applyFill="1" applyBorder="1"/>
    <xf numFmtId="0" fontId="37" fillId="47" borderId="44" xfId="0" applyFont="1" applyFill="1" applyBorder="1"/>
    <xf numFmtId="0" fontId="37" fillId="47" borderId="16" xfId="0" applyFont="1" applyFill="1" applyBorder="1"/>
    <xf numFmtId="0" fontId="37" fillId="47" borderId="17" xfId="0" applyFont="1" applyFill="1" applyBorder="1"/>
    <xf numFmtId="0" fontId="37" fillId="47" borderId="0" xfId="0" applyFont="1" applyFill="1" applyBorder="1"/>
    <xf numFmtId="0" fontId="37" fillId="47" borderId="22" xfId="0" applyFont="1" applyFill="1" applyBorder="1"/>
    <xf numFmtId="0" fontId="37" fillId="47" borderId="20" xfId="0" applyFont="1" applyFill="1" applyBorder="1"/>
    <xf numFmtId="0" fontId="37" fillId="47" borderId="24" xfId="0" applyFont="1" applyFill="1" applyBorder="1"/>
    <xf numFmtId="0" fontId="37" fillId="47" borderId="23" xfId="0" applyFont="1" applyFill="1" applyBorder="1"/>
    <xf numFmtId="172" fontId="0" fillId="47" borderId="0" xfId="0" applyNumberFormat="1" applyFill="1" applyBorder="1"/>
    <xf numFmtId="167" fontId="0" fillId="47" borderId="0" xfId="0" applyNumberFormat="1" applyFill="1" applyBorder="1"/>
    <xf numFmtId="3" fontId="10" fillId="47" borderId="0" xfId="0" applyNumberFormat="1" applyFont="1" applyFill="1" applyBorder="1"/>
    <xf numFmtId="3" fontId="10" fillId="47" borderId="0" xfId="0" applyNumberFormat="1" applyFont="1" applyFill="1" applyBorder="1" applyAlignment="1">
      <alignment horizontal="right"/>
    </xf>
    <xf numFmtId="3" fontId="10" fillId="47" borderId="20" xfId="0" applyNumberFormat="1" applyFont="1" applyFill="1" applyBorder="1"/>
    <xf numFmtId="1" fontId="190" fillId="47" borderId="20" xfId="0" applyNumberFormat="1" applyFont="1" applyFill="1" applyBorder="1" applyAlignment="1">
      <alignment horizontal="left"/>
    </xf>
    <xf numFmtId="3" fontId="10" fillId="47" borderId="20" xfId="0" applyNumberFormat="1" applyFont="1" applyFill="1" applyBorder="1" applyAlignment="1">
      <alignment horizontal="right"/>
    </xf>
    <xf numFmtId="0" fontId="10" fillId="47" borderId="24" xfId="0" applyFont="1" applyFill="1" applyBorder="1"/>
    <xf numFmtId="3" fontId="10" fillId="47" borderId="22" xfId="0" applyNumberFormat="1" applyFont="1" applyFill="1" applyBorder="1" applyAlignment="1">
      <alignment horizontal="right"/>
    </xf>
    <xf numFmtId="1" fontId="190" fillId="47" borderId="0" xfId="0" applyNumberFormat="1" applyFont="1" applyFill="1" applyBorder="1" applyAlignment="1">
      <alignment horizontal="left"/>
    </xf>
    <xf numFmtId="0" fontId="10" fillId="47" borderId="0" xfId="0" applyFont="1" applyFill="1" applyBorder="1" applyAlignment="1">
      <alignment horizontal="right"/>
    </xf>
    <xf numFmtId="3" fontId="10" fillId="47" borderId="23" xfId="0" applyNumberFormat="1" applyFont="1" applyFill="1" applyBorder="1" applyAlignment="1">
      <alignment horizontal="right"/>
    </xf>
    <xf numFmtId="3" fontId="10" fillId="47" borderId="22" xfId="0" applyNumberFormat="1" applyFont="1" applyFill="1" applyBorder="1"/>
    <xf numFmtId="0" fontId="190" fillId="47" borderId="19" xfId="0" applyFont="1" applyFill="1" applyBorder="1"/>
    <xf numFmtId="0" fontId="190" fillId="47" borderId="19" xfId="0" applyFont="1" applyFill="1" applyBorder="1" applyAlignment="1">
      <alignment horizontal="left"/>
    </xf>
    <xf numFmtId="0" fontId="10" fillId="47" borderId="19" xfId="0" applyFont="1" applyFill="1" applyBorder="1" applyAlignment="1">
      <alignment horizontal="left"/>
    </xf>
    <xf numFmtId="0" fontId="31" fillId="47" borderId="24" xfId="0" applyFont="1" applyFill="1" applyBorder="1"/>
    <xf numFmtId="0" fontId="31" fillId="47" borderId="20" xfId="0" applyFont="1" applyFill="1" applyBorder="1"/>
    <xf numFmtId="0" fontId="31" fillId="47" borderId="23" xfId="0" applyFont="1" applyFill="1" applyBorder="1"/>
    <xf numFmtId="3" fontId="10" fillId="47" borderId="23" xfId="0" applyNumberFormat="1" applyFont="1" applyFill="1" applyBorder="1"/>
    <xf numFmtId="0" fontId="10" fillId="47" borderId="20" xfId="1159" applyFont="1" applyFill="1" applyBorder="1"/>
    <xf numFmtId="0" fontId="10" fillId="47" borderId="0" xfId="1159" applyFont="1" applyFill="1" applyBorder="1"/>
    <xf numFmtId="0" fontId="10" fillId="47" borderId="21" xfId="1159" applyFont="1" applyFill="1" applyBorder="1"/>
    <xf numFmtId="3" fontId="10" fillId="47" borderId="20" xfId="1159" applyNumberFormat="1" applyFont="1" applyFill="1" applyBorder="1"/>
    <xf numFmtId="3" fontId="190" fillId="47" borderId="0" xfId="1159" applyNumberFormat="1" applyFont="1" applyFill="1" applyBorder="1"/>
    <xf numFmtId="0" fontId="190" fillId="47" borderId="0" xfId="1159" applyFont="1" applyFill="1" applyBorder="1" applyAlignment="1">
      <alignment horizontal="left"/>
    </xf>
    <xf numFmtId="0" fontId="190" fillId="47" borderId="20" xfId="1159" applyFont="1" applyFill="1" applyBorder="1" applyAlignment="1">
      <alignment horizontal="left"/>
    </xf>
    <xf numFmtId="3" fontId="10" fillId="47" borderId="20" xfId="1159" applyNumberFormat="1" applyFont="1" applyFill="1" applyBorder="1" applyAlignment="1">
      <alignment horizontal="right" vertical="center"/>
    </xf>
    <xf numFmtId="3" fontId="10" fillId="47" borderId="20" xfId="1159" applyNumberFormat="1" applyFont="1" applyFill="1" applyBorder="1" applyAlignment="1">
      <alignment horizontal="center" vertical="center"/>
    </xf>
    <xf numFmtId="0" fontId="37" fillId="47" borderId="44" xfId="1159" applyFont="1" applyFill="1" applyBorder="1"/>
    <xf numFmtId="0" fontId="37" fillId="47" borderId="16" xfId="1159" applyFont="1" applyFill="1" applyBorder="1"/>
    <xf numFmtId="0" fontId="37" fillId="47" borderId="17" xfId="1159" applyFont="1" applyFill="1" applyBorder="1"/>
    <xf numFmtId="0" fontId="10" fillId="47" borderId="19" xfId="1159" applyFont="1" applyFill="1" applyBorder="1"/>
    <xf numFmtId="0" fontId="54" fillId="47" borderId="0" xfId="1159" applyFont="1" applyFill="1" applyBorder="1"/>
    <xf numFmtId="0" fontId="10" fillId="47" borderId="22" xfId="1159" applyFont="1" applyFill="1" applyBorder="1"/>
    <xf numFmtId="0" fontId="10" fillId="47" borderId="24" xfId="1159" applyFont="1" applyFill="1" applyBorder="1"/>
    <xf numFmtId="0" fontId="10" fillId="47" borderId="77" xfId="1159" applyFont="1" applyFill="1" applyBorder="1"/>
    <xf numFmtId="0" fontId="114" fillId="47" borderId="19" xfId="1159" applyFont="1" applyFill="1" applyBorder="1"/>
    <xf numFmtId="0" fontId="37" fillId="47" borderId="19" xfId="1159" applyFont="1" applyFill="1" applyBorder="1"/>
    <xf numFmtId="0" fontId="54" fillId="47" borderId="19" xfId="1159" applyFont="1" applyFill="1" applyBorder="1"/>
    <xf numFmtId="3" fontId="10" fillId="47" borderId="0" xfId="1159" applyNumberFormat="1" applyFont="1" applyFill="1" applyBorder="1"/>
    <xf numFmtId="3" fontId="10" fillId="47" borderId="22" xfId="1159" applyNumberFormat="1" applyFont="1" applyFill="1" applyBorder="1"/>
    <xf numFmtId="3" fontId="10" fillId="47" borderId="23" xfId="1159" applyNumberFormat="1" applyFont="1" applyFill="1" applyBorder="1"/>
    <xf numFmtId="0" fontId="190" fillId="47" borderId="19" xfId="1159" applyFont="1" applyFill="1" applyBorder="1"/>
    <xf numFmtId="3" fontId="10" fillId="47" borderId="0" xfId="1159" applyNumberFormat="1" applyFont="1" applyFill="1" applyBorder="1" applyAlignment="1">
      <alignment horizontal="right"/>
    </xf>
    <xf numFmtId="0" fontId="10" fillId="47" borderId="0" xfId="1159" applyFont="1" applyFill="1" applyBorder="1" applyAlignment="1">
      <alignment horizontal="right"/>
    </xf>
    <xf numFmtId="0" fontId="10" fillId="47" borderId="22" xfId="1159" applyFont="1" applyFill="1" applyBorder="1" applyAlignment="1">
      <alignment horizontal="right"/>
    </xf>
    <xf numFmtId="0" fontId="10" fillId="47" borderId="23" xfId="1159" applyFont="1" applyFill="1" applyBorder="1"/>
    <xf numFmtId="3" fontId="10" fillId="47" borderId="23" xfId="1159" applyNumberFormat="1" applyFont="1" applyFill="1" applyBorder="1" applyAlignment="1">
      <alignment horizontal="center" vertical="center"/>
    </xf>
    <xf numFmtId="0" fontId="190" fillId="47" borderId="19" xfId="1159" applyFont="1" applyFill="1" applyBorder="1" applyAlignment="1">
      <alignment horizontal="left"/>
    </xf>
    <xf numFmtId="3" fontId="190" fillId="47" borderId="0" xfId="0" applyNumberFormat="1" applyFont="1" applyFill="1" applyBorder="1" applyAlignment="1">
      <alignment horizontal="center"/>
    </xf>
    <xf numFmtId="0" fontId="190" fillId="47" borderId="0" xfId="0" applyFont="1" applyFill="1" applyBorder="1"/>
    <xf numFmtId="3" fontId="48" fillId="47" borderId="20" xfId="0" applyNumberFormat="1" applyFont="1" applyFill="1" applyBorder="1"/>
    <xf numFmtId="0" fontId="190" fillId="47" borderId="0" xfId="0" applyFont="1" applyFill="1" applyBorder="1" applyAlignment="1"/>
    <xf numFmtId="0" fontId="37" fillId="47" borderId="44" xfId="0" applyFont="1" applyFill="1" applyBorder="1" applyAlignment="1"/>
    <xf numFmtId="0" fontId="0" fillId="47" borderId="16" xfId="0" applyFill="1" applyBorder="1" applyAlignment="1"/>
    <xf numFmtId="0" fontId="0" fillId="47" borderId="17" xfId="0" applyFill="1" applyBorder="1" applyAlignment="1"/>
    <xf numFmtId="0" fontId="37" fillId="47" borderId="19" xfId="0" applyFont="1" applyFill="1" applyBorder="1" applyAlignment="1"/>
    <xf numFmtId="0" fontId="0" fillId="47" borderId="22" xfId="0" applyFill="1" applyBorder="1" applyAlignment="1"/>
    <xf numFmtId="0" fontId="54" fillId="47" borderId="130" xfId="0" applyFont="1" applyFill="1" applyBorder="1"/>
    <xf numFmtId="0" fontId="0" fillId="47" borderId="93" xfId="0" applyFill="1" applyBorder="1" applyAlignment="1"/>
    <xf numFmtId="0" fontId="160" fillId="47" borderId="130" xfId="0" applyFont="1" applyFill="1" applyBorder="1" applyAlignment="1"/>
    <xf numFmtId="0" fontId="71" fillId="47" borderId="19" xfId="0" applyFont="1" applyFill="1" applyBorder="1" applyAlignment="1">
      <alignment horizontal="left"/>
    </xf>
    <xf numFmtId="0" fontId="0" fillId="47" borderId="130" xfId="0" applyFill="1" applyBorder="1" applyAlignment="1">
      <alignment wrapText="1"/>
    </xf>
    <xf numFmtId="0" fontId="31" fillId="47" borderId="93" xfId="0" applyFont="1" applyFill="1" applyBorder="1" applyAlignment="1">
      <alignment horizontal="right" wrapText="1"/>
    </xf>
    <xf numFmtId="0" fontId="0" fillId="47" borderId="19" xfId="0" applyFill="1" applyBorder="1" applyAlignment="1">
      <alignment wrapText="1"/>
    </xf>
    <xf numFmtId="0" fontId="0" fillId="47" borderId="0" xfId="0" applyFill="1" applyBorder="1" applyAlignment="1">
      <alignment wrapText="1"/>
    </xf>
    <xf numFmtId="0" fontId="31" fillId="47" borderId="22" xfId="0" applyFont="1" applyFill="1" applyBorder="1" applyAlignment="1">
      <alignment horizontal="center" wrapText="1"/>
    </xf>
    <xf numFmtId="0" fontId="71" fillId="47" borderId="22" xfId="0" applyFont="1" applyFill="1" applyBorder="1" applyAlignment="1">
      <alignment horizontal="right"/>
    </xf>
    <xf numFmtId="0" fontId="31" fillId="47" borderId="19" xfId="0" applyFont="1" applyFill="1" applyBorder="1" applyAlignment="1">
      <alignment horizontal="right"/>
    </xf>
    <xf numFmtId="0" fontId="31" fillId="47" borderId="0" xfId="0" applyFont="1" applyFill="1" applyBorder="1" applyAlignment="1">
      <alignment horizontal="right"/>
    </xf>
    <xf numFmtId="0" fontId="144" fillId="47" borderId="0" xfId="0" applyFont="1" applyFill="1" applyBorder="1" applyAlignment="1">
      <alignment horizontal="right"/>
    </xf>
    <xf numFmtId="0" fontId="144" fillId="47" borderId="22" xfId="0" applyFont="1" applyFill="1" applyBorder="1" applyAlignment="1">
      <alignment horizontal="right"/>
    </xf>
    <xf numFmtId="0" fontId="0" fillId="47" borderId="19" xfId="0" applyFill="1" applyBorder="1" applyAlignment="1"/>
    <xf numFmtId="1" fontId="31" fillId="47" borderId="0" xfId="0" applyNumberFormat="1" applyFont="1" applyFill="1" applyBorder="1" applyAlignment="1">
      <alignment horizontal="right"/>
    </xf>
    <xf numFmtId="1" fontId="31" fillId="47" borderId="22" xfId="0" applyNumberFormat="1" applyFont="1" applyFill="1" applyBorder="1" applyAlignment="1">
      <alignment horizontal="right"/>
    </xf>
    <xf numFmtId="0" fontId="31" fillId="47" borderId="130" xfId="0" applyFont="1" applyFill="1" applyBorder="1" applyAlignment="1">
      <alignment horizontal="right"/>
    </xf>
    <xf numFmtId="0" fontId="144" fillId="47" borderId="93" xfId="0" applyFont="1" applyFill="1" applyBorder="1" applyAlignment="1">
      <alignment horizontal="right"/>
    </xf>
    <xf numFmtId="0" fontId="70" fillId="47" borderId="24" xfId="0" applyFont="1" applyFill="1" applyBorder="1" applyAlignment="1"/>
    <xf numFmtId="0" fontId="0" fillId="47" borderId="20" xfId="0" applyFill="1" applyBorder="1" applyAlignment="1"/>
    <xf numFmtId="0" fontId="0" fillId="47" borderId="23" xfId="0" applyFill="1" applyBorder="1" applyAlignment="1"/>
    <xf numFmtId="0" fontId="0" fillId="33" borderId="44" xfId="0" applyFill="1" applyBorder="1"/>
    <xf numFmtId="0" fontId="0" fillId="33" borderId="16" xfId="0" applyFill="1" applyBorder="1"/>
    <xf numFmtId="0" fontId="0" fillId="33" borderId="16" xfId="0" applyFill="1" applyBorder="1" applyAlignment="1">
      <alignment horizontal="right"/>
    </xf>
    <xf numFmtId="0" fontId="37" fillId="33" borderId="19" xfId="0" applyFont="1" applyFill="1" applyBorder="1"/>
    <xf numFmtId="0" fontId="161" fillId="33" borderId="22" xfId="0" applyFont="1" applyFill="1" applyBorder="1" applyAlignment="1"/>
    <xf numFmtId="0" fontId="54" fillId="33" borderId="19" xfId="0" applyFont="1" applyFill="1" applyBorder="1"/>
    <xf numFmtId="0" fontId="31" fillId="33" borderId="22" xfId="0" applyFont="1" applyFill="1" applyBorder="1"/>
    <xf numFmtId="3" fontId="71" fillId="33" borderId="0" xfId="0" applyNumberFormat="1" applyFont="1" applyFill="1" applyBorder="1" applyAlignment="1">
      <alignment horizontal="right" wrapText="1"/>
    </xf>
    <xf numFmtId="0" fontId="71" fillId="33" borderId="19" xfId="0" applyFont="1" applyFill="1" applyBorder="1" applyAlignment="1">
      <alignment horizontal="left" vertical="top" wrapText="1"/>
    </xf>
    <xf numFmtId="167" fontId="31" fillId="33" borderId="0" xfId="0" applyNumberFormat="1" applyFont="1" applyFill="1" applyBorder="1" applyAlignment="1">
      <alignment horizontal="right" vertical="top" wrapText="1"/>
    </xf>
    <xf numFmtId="3" fontId="31" fillId="33" borderId="0" xfId="0" applyNumberFormat="1" applyFont="1" applyFill="1" applyBorder="1" applyAlignment="1">
      <alignment horizontal="right" wrapText="1"/>
    </xf>
    <xf numFmtId="0" fontId="31" fillId="33" borderId="19" xfId="0" applyFont="1" applyFill="1" applyBorder="1"/>
    <xf numFmtId="0" fontId="31" fillId="33" borderId="132" xfId="0" applyFont="1" applyFill="1" applyBorder="1" applyAlignment="1">
      <alignment horizontal="left" vertical="center"/>
    </xf>
    <xf numFmtId="0" fontId="31" fillId="33" borderId="19" xfId="0" applyFont="1" applyFill="1" applyBorder="1" applyAlignment="1">
      <alignment horizontal="left" vertical="top" wrapText="1"/>
    </xf>
    <xf numFmtId="0" fontId="71" fillId="33" borderId="0" xfId="0" applyFont="1" applyFill="1" applyBorder="1" applyAlignment="1">
      <alignment horizontal="left" vertical="center"/>
    </xf>
    <xf numFmtId="0" fontId="71" fillId="33" borderId="22" xfId="0" applyFont="1" applyFill="1" applyBorder="1"/>
    <xf numFmtId="0" fontId="109" fillId="33" borderId="0" xfId="0" applyFont="1" applyFill="1" applyBorder="1" applyAlignment="1">
      <alignment vertical="top" wrapText="1"/>
    </xf>
    <xf numFmtId="0" fontId="162" fillId="33" borderId="0" xfId="0" applyFont="1" applyFill="1" applyBorder="1" applyAlignment="1">
      <alignment vertical="top" wrapText="1"/>
    </xf>
    <xf numFmtId="0" fontId="162" fillId="33" borderId="0" xfId="0" applyFont="1" applyFill="1" applyBorder="1" applyAlignment="1">
      <alignment horizontal="left" vertical="top" wrapText="1"/>
    </xf>
    <xf numFmtId="0" fontId="31" fillId="33" borderId="0" xfId="0" applyFont="1" applyFill="1" applyBorder="1" applyAlignment="1">
      <alignment horizontal="right" wrapText="1"/>
    </xf>
    <xf numFmtId="0" fontId="31" fillId="33" borderId="0" xfId="0" applyFont="1" applyFill="1" applyBorder="1" applyAlignment="1">
      <alignment vertical="top" wrapText="1"/>
    </xf>
    <xf numFmtId="0" fontId="31" fillId="33" borderId="0" xfId="0" applyFont="1" applyFill="1" applyBorder="1" applyAlignment="1"/>
    <xf numFmtId="0" fontId="160" fillId="33" borderId="130" xfId="0" applyFont="1" applyFill="1" applyBorder="1"/>
    <xf numFmtId="0" fontId="31" fillId="33" borderId="19" xfId="1525" applyFont="1" applyFill="1" applyBorder="1" applyAlignment="1"/>
    <xf numFmtId="0" fontId="31" fillId="33" borderId="0" xfId="0" applyFont="1" applyFill="1" applyBorder="1" applyAlignment="1">
      <alignment horizontal="right"/>
    </xf>
    <xf numFmtId="0" fontId="0" fillId="33" borderId="19" xfId="0" applyFill="1" applyBorder="1"/>
    <xf numFmtId="0" fontId="0" fillId="33" borderId="24" xfId="0" applyFill="1" applyBorder="1"/>
    <xf numFmtId="0" fontId="0" fillId="33" borderId="20" xfId="0" applyFill="1" applyBorder="1"/>
    <xf numFmtId="0" fontId="0" fillId="33" borderId="20" xfId="0" applyFill="1" applyBorder="1" applyAlignment="1">
      <alignment horizontal="right"/>
    </xf>
    <xf numFmtId="0" fontId="0" fillId="33" borderId="23" xfId="0" applyFill="1" applyBorder="1"/>
    <xf numFmtId="0" fontId="83" fillId="37" borderId="0" xfId="0" applyFont="1" applyFill="1" applyBorder="1"/>
    <xf numFmtId="0" fontId="37" fillId="47" borderId="44" xfId="0" applyFont="1" applyFill="1" applyBorder="1" applyAlignment="1">
      <alignment vertical="center"/>
    </xf>
    <xf numFmtId="0" fontId="31" fillId="47" borderId="16" xfId="0" applyFont="1" applyFill="1" applyBorder="1" applyAlignment="1">
      <alignment horizontal="center" vertical="center"/>
    </xf>
    <xf numFmtId="0" fontId="31" fillId="47" borderId="16" xfId="0" quotePrefix="1" applyFont="1" applyFill="1" applyBorder="1" applyAlignment="1">
      <alignment vertical="center"/>
    </xf>
    <xf numFmtId="0" fontId="172" fillId="47" borderId="17" xfId="0" applyFont="1" applyFill="1" applyBorder="1" applyAlignment="1">
      <alignment horizontal="center" vertical="center"/>
    </xf>
    <xf numFmtId="0" fontId="54" fillId="47" borderId="19" xfId="0" applyFont="1" applyFill="1" applyBorder="1" applyAlignment="1">
      <alignment vertical="center"/>
    </xf>
    <xf numFmtId="0" fontId="172" fillId="47" borderId="22" xfId="0" applyFont="1" applyFill="1" applyBorder="1" applyAlignment="1">
      <alignment horizontal="center" vertical="center"/>
    </xf>
    <xf numFmtId="0" fontId="10" fillId="47" borderId="19" xfId="0" applyFont="1" applyFill="1" applyBorder="1" applyAlignment="1">
      <alignment horizontal="justify" vertical="center"/>
    </xf>
    <xf numFmtId="0" fontId="172" fillId="47" borderId="22" xfId="0" applyFont="1" applyFill="1" applyBorder="1" applyAlignment="1">
      <alignment vertical="center"/>
    </xf>
    <xf numFmtId="0" fontId="114" fillId="47" borderId="24" xfId="0" applyFont="1" applyFill="1" applyBorder="1" applyAlignment="1">
      <alignment vertical="center"/>
    </xf>
    <xf numFmtId="0" fontId="172" fillId="47" borderId="23" xfId="0" applyFont="1" applyFill="1" applyBorder="1" applyAlignment="1">
      <alignment vertical="center"/>
    </xf>
    <xf numFmtId="0" fontId="114" fillId="47" borderId="19" xfId="0" applyFont="1" applyFill="1" applyBorder="1" applyAlignment="1">
      <alignment vertical="center"/>
    </xf>
    <xf numFmtId="0" fontId="162" fillId="47" borderId="24" xfId="0" applyFont="1" applyFill="1" applyBorder="1" applyAlignment="1">
      <alignment horizontal="center" vertical="center"/>
    </xf>
    <xf numFmtId="0" fontId="178" fillId="47" borderId="23" xfId="0" applyFont="1" applyFill="1" applyBorder="1" applyAlignment="1">
      <alignment horizontal="center" vertical="center"/>
    </xf>
    <xf numFmtId="0" fontId="31" fillId="47" borderId="19" xfId="0" applyFont="1" applyFill="1" applyBorder="1" applyAlignment="1">
      <alignment vertical="center"/>
    </xf>
    <xf numFmtId="0" fontId="31" fillId="47" borderId="22" xfId="0" applyFont="1" applyFill="1" applyBorder="1" applyAlignment="1">
      <alignment vertical="center"/>
    </xf>
    <xf numFmtId="0" fontId="31" fillId="47" borderId="19" xfId="0" applyFont="1" applyFill="1" applyBorder="1" applyAlignment="1">
      <alignment horizontal="center" vertical="center"/>
    </xf>
    <xf numFmtId="0" fontId="31" fillId="47" borderId="22" xfId="0" applyFont="1" applyFill="1" applyBorder="1" applyAlignment="1">
      <alignment horizontal="left" vertical="center"/>
    </xf>
    <xf numFmtId="0" fontId="71" fillId="47" borderId="22" xfId="0" applyFont="1" applyFill="1" applyBorder="1" applyAlignment="1">
      <alignment horizontal="left" vertical="center"/>
    </xf>
    <xf numFmtId="0" fontId="31" fillId="47" borderId="133" xfId="0" applyFont="1" applyFill="1" applyBorder="1" applyAlignment="1">
      <alignment horizontal="center" vertical="center"/>
    </xf>
    <xf numFmtId="0" fontId="71" fillId="47" borderId="134" xfId="0" applyFont="1" applyFill="1" applyBorder="1" applyAlignment="1">
      <alignment horizontal="left" vertical="center"/>
    </xf>
    <xf numFmtId="0" fontId="31" fillId="47" borderId="22" xfId="0" applyFont="1" applyFill="1" applyBorder="1" applyAlignment="1">
      <alignment horizontal="right" vertical="center"/>
    </xf>
    <xf numFmtId="0" fontId="71" fillId="47" borderId="22" xfId="0" applyFont="1" applyFill="1" applyBorder="1" applyAlignment="1">
      <alignment horizontal="right" vertical="center"/>
    </xf>
    <xf numFmtId="0" fontId="31" fillId="47" borderId="24" xfId="0" applyFont="1" applyFill="1" applyBorder="1" applyAlignment="1">
      <alignment horizontal="center" vertical="center"/>
    </xf>
    <xf numFmtId="0" fontId="31" fillId="47" borderId="23" xfId="0" applyFont="1" applyFill="1" applyBorder="1" applyAlignment="1">
      <alignment horizontal="right" vertical="center"/>
    </xf>
    <xf numFmtId="0" fontId="37" fillId="47" borderId="19" xfId="0" applyFont="1" applyFill="1" applyBorder="1" applyAlignment="1">
      <alignment vertical="center"/>
    </xf>
    <xf numFmtId="0" fontId="172" fillId="47" borderId="24" xfId="0" applyFont="1" applyFill="1" applyBorder="1" applyAlignment="1">
      <alignment vertical="center"/>
    </xf>
    <xf numFmtId="3" fontId="170" fillId="47" borderId="22" xfId="0" applyNumberFormat="1" applyFont="1" applyFill="1" applyBorder="1" applyAlignment="1">
      <alignment horizontal="left" vertical="center"/>
    </xf>
    <xf numFmtId="0" fontId="114" fillId="86" borderId="19" xfId="0" applyFont="1" applyFill="1" applyBorder="1"/>
    <xf numFmtId="0" fontId="37" fillId="86" borderId="0" xfId="0" applyFont="1" applyFill="1" applyBorder="1"/>
    <xf numFmtId="0" fontId="37" fillId="86" borderId="22" xfId="0" applyFont="1" applyFill="1" applyBorder="1"/>
    <xf numFmtId="0" fontId="37" fillId="86" borderId="19" xfId="0" applyFont="1" applyFill="1" applyBorder="1"/>
    <xf numFmtId="0" fontId="10" fillId="86" borderId="19" xfId="0" applyFont="1" applyFill="1" applyBorder="1"/>
    <xf numFmtId="167" fontId="0" fillId="86" borderId="22" xfId="0" applyNumberFormat="1" applyFill="1" applyBorder="1"/>
    <xf numFmtId="1" fontId="0" fillId="86" borderId="0" xfId="0" applyNumberFormat="1" applyFill="1" applyBorder="1"/>
    <xf numFmtId="1" fontId="37" fillId="43" borderId="0" xfId="0" applyNumberFormat="1" applyFont="1" applyFill="1" applyBorder="1"/>
    <xf numFmtId="0" fontId="54" fillId="47" borderId="19" xfId="0" applyFont="1" applyFill="1" applyBorder="1"/>
    <xf numFmtId="0" fontId="54" fillId="86" borderId="19" xfId="0" applyFont="1" applyFill="1" applyBorder="1"/>
    <xf numFmtId="2" fontId="0" fillId="43" borderId="0" xfId="0" applyNumberFormat="1" applyFill="1" applyBorder="1"/>
    <xf numFmtId="3" fontId="37" fillId="47" borderId="20" xfId="0" applyNumberFormat="1" applyFont="1" applyFill="1" applyBorder="1" applyAlignment="1">
      <alignment wrapText="1"/>
    </xf>
    <xf numFmtId="177" fontId="36" fillId="47" borderId="0" xfId="532" applyNumberFormat="1" applyFont="1" applyFill="1" applyBorder="1" applyAlignment="1">
      <alignment horizontal="right"/>
    </xf>
    <xf numFmtId="177" fontId="36" fillId="47" borderId="0" xfId="532" applyNumberFormat="1" applyFont="1" applyFill="1" applyBorder="1"/>
    <xf numFmtId="0" fontId="0" fillId="47" borderId="24" xfId="0" applyNumberFormat="1" applyFill="1" applyBorder="1" applyAlignment="1">
      <alignment horizontal="center" wrapText="1"/>
    </xf>
    <xf numFmtId="3" fontId="37" fillId="47" borderId="23" xfId="0" applyNumberFormat="1" applyFont="1" applyFill="1" applyBorder="1" applyAlignment="1">
      <alignment wrapText="1"/>
    </xf>
    <xf numFmtId="0" fontId="0" fillId="47" borderId="19" xfId="0" applyNumberFormat="1" applyFill="1" applyBorder="1" applyAlignment="1">
      <alignment horizontal="center"/>
    </xf>
    <xf numFmtId="178" fontId="0" fillId="47" borderId="0" xfId="0" applyNumberFormat="1" applyFill="1" applyBorder="1"/>
    <xf numFmtId="178" fontId="10" fillId="47" borderId="0" xfId="0" applyNumberFormat="1" applyFont="1" applyFill="1" applyBorder="1" applyAlignment="1">
      <alignment horizontal="center"/>
    </xf>
    <xf numFmtId="178" fontId="10" fillId="47" borderId="22" xfId="0" applyNumberFormat="1" applyFont="1" applyFill="1" applyBorder="1" applyAlignment="1">
      <alignment horizontal="center"/>
    </xf>
    <xf numFmtId="178" fontId="37" fillId="47" borderId="0" xfId="0" applyNumberFormat="1" applyFont="1" applyFill="1" applyBorder="1"/>
    <xf numFmtId="178" fontId="0" fillId="47" borderId="22" xfId="0" applyNumberFormat="1" applyFill="1" applyBorder="1"/>
    <xf numFmtId="0" fontId="70" fillId="47" borderId="19" xfId="0" quotePrefix="1" applyFont="1" applyFill="1" applyBorder="1"/>
    <xf numFmtId="3" fontId="70" fillId="47" borderId="0" xfId="0" applyNumberFormat="1" applyFont="1" applyFill="1" applyBorder="1"/>
    <xf numFmtId="0" fontId="37" fillId="47" borderId="130" xfId="0" applyFont="1" applyFill="1" applyBorder="1" applyAlignment="1">
      <alignment wrapText="1"/>
    </xf>
    <xf numFmtId="0" fontId="37" fillId="47" borderId="25" xfId="0" applyFont="1" applyFill="1" applyBorder="1" applyAlignment="1">
      <alignment wrapText="1"/>
    </xf>
    <xf numFmtId="167" fontId="31" fillId="47" borderId="19" xfId="0" applyNumberFormat="1" applyFont="1" applyFill="1" applyBorder="1" applyAlignment="1">
      <alignment horizontal="right"/>
    </xf>
    <xf numFmtId="167" fontId="31" fillId="47" borderId="0" xfId="0" applyNumberFormat="1" applyFont="1" applyFill="1" applyBorder="1" applyAlignment="1">
      <alignment horizontal="right"/>
    </xf>
    <xf numFmtId="178" fontId="31" fillId="47" borderId="0" xfId="0" applyNumberFormat="1" applyFont="1" applyFill="1" applyBorder="1" applyAlignment="1">
      <alignment horizontal="right"/>
    </xf>
    <xf numFmtId="0" fontId="31" fillId="47" borderId="22" xfId="0" applyFont="1" applyFill="1" applyBorder="1" applyAlignment="1">
      <alignment horizontal="right"/>
    </xf>
    <xf numFmtId="0" fontId="10" fillId="47" borderId="19" xfId="0" applyFont="1" applyFill="1" applyBorder="1" applyAlignment="1">
      <alignment wrapText="1"/>
    </xf>
    <xf numFmtId="0" fontId="10" fillId="47" borderId="0" xfId="0" applyFont="1" applyFill="1" applyBorder="1" applyAlignment="1">
      <alignment wrapText="1"/>
    </xf>
    <xf numFmtId="0" fontId="37" fillId="47" borderId="93" xfId="0" applyFont="1" applyFill="1" applyBorder="1" applyAlignment="1">
      <alignment wrapText="1"/>
    </xf>
    <xf numFmtId="167" fontId="71" fillId="47" borderId="0" xfId="0" applyNumberFormat="1" applyFont="1" applyFill="1" applyBorder="1" applyAlignment="1">
      <alignment horizontal="right"/>
    </xf>
    <xf numFmtId="167" fontId="31" fillId="47" borderId="22" xfId="0" applyNumberFormat="1" applyFont="1" applyFill="1" applyBorder="1" applyAlignment="1">
      <alignment horizontal="right"/>
    </xf>
    <xf numFmtId="167" fontId="71" fillId="47" borderId="22" xfId="0" applyNumberFormat="1" applyFont="1" applyFill="1" applyBorder="1" applyAlignment="1">
      <alignment horizontal="right"/>
    </xf>
    <xf numFmtId="0" fontId="166" fillId="47" borderId="0" xfId="0" applyFont="1" applyFill="1" applyBorder="1" applyAlignment="1">
      <alignment horizontal="right"/>
    </xf>
    <xf numFmtId="167" fontId="31" fillId="47" borderId="0" xfId="0" applyNumberFormat="1" applyFont="1" applyFill="1" applyBorder="1"/>
    <xf numFmtId="0" fontId="31" fillId="47" borderId="24" xfId="0" applyFont="1" applyFill="1" applyBorder="1" applyAlignment="1">
      <alignment horizontal="right"/>
    </xf>
    <xf numFmtId="0" fontId="31" fillId="47" borderId="20" xfId="0" applyFont="1" applyFill="1" applyBorder="1" applyAlignment="1">
      <alignment horizontal="right"/>
    </xf>
    <xf numFmtId="167" fontId="31" fillId="47" borderId="20" xfId="0" applyNumberFormat="1" applyFont="1" applyFill="1" applyBorder="1" applyAlignment="1"/>
    <xf numFmtId="167" fontId="31" fillId="47" borderId="20" xfId="0" applyNumberFormat="1" applyFont="1" applyFill="1" applyBorder="1" applyAlignment="1">
      <alignment horizontal="right"/>
    </xf>
    <xf numFmtId="167" fontId="71" fillId="47" borderId="20" xfId="0" applyNumberFormat="1" applyFont="1" applyFill="1" applyBorder="1" applyAlignment="1">
      <alignment horizontal="right"/>
    </xf>
    <xf numFmtId="167" fontId="31" fillId="47" borderId="20" xfId="0" applyNumberFormat="1" applyFont="1" applyFill="1" applyBorder="1"/>
    <xf numFmtId="167" fontId="71" fillId="47" borderId="23" xfId="0" applyNumberFormat="1" applyFont="1" applyFill="1" applyBorder="1" applyAlignment="1">
      <alignment horizontal="right"/>
    </xf>
    <xf numFmtId="0" fontId="37" fillId="47" borderId="22" xfId="0" applyFont="1" applyFill="1" applyBorder="1" applyAlignment="1">
      <alignment horizontal="center" vertical="center"/>
    </xf>
    <xf numFmtId="0" fontId="109" fillId="47" borderId="22" xfId="0" applyFont="1" applyFill="1" applyBorder="1" applyAlignment="1">
      <alignment horizontal="center" vertical="center"/>
    </xf>
    <xf numFmtId="0" fontId="109" fillId="47" borderId="0" xfId="0" applyFont="1" applyFill="1" applyBorder="1" applyAlignment="1">
      <alignment horizontal="center" vertical="center"/>
    </xf>
    <xf numFmtId="0" fontId="109" fillId="47" borderId="25" xfId="0" applyFont="1" applyFill="1" applyBorder="1" applyAlignment="1">
      <alignment horizontal="center" vertical="center"/>
    </xf>
    <xf numFmtId="3" fontId="0" fillId="47" borderId="0" xfId="0" applyNumberFormat="1" applyFont="1" applyFill="1" applyBorder="1"/>
    <xf numFmtId="0" fontId="82" fillId="47" borderId="44" xfId="0" applyFont="1" applyFill="1" applyBorder="1"/>
    <xf numFmtId="0" fontId="155" fillId="47" borderId="16" xfId="0" applyFont="1" applyFill="1" applyBorder="1"/>
    <xf numFmtId="0" fontId="156" fillId="47" borderId="19" xfId="0" applyFont="1" applyFill="1" applyBorder="1"/>
    <xf numFmtId="0" fontId="155" fillId="47" borderId="0" xfId="0" applyFont="1" applyFill="1" applyBorder="1"/>
    <xf numFmtId="0" fontId="37" fillId="47" borderId="72" xfId="0" applyFont="1" applyFill="1" applyBorder="1" applyAlignment="1">
      <alignment horizontal="center" vertical="center"/>
    </xf>
    <xf numFmtId="0" fontId="109" fillId="47" borderId="72" xfId="0" applyFont="1" applyFill="1" applyBorder="1" applyAlignment="1">
      <alignment horizontal="center" vertical="center"/>
    </xf>
    <xf numFmtId="0" fontId="37" fillId="47" borderId="97" xfId="0" applyFont="1" applyFill="1" applyBorder="1" applyAlignment="1">
      <alignment horizontal="center" vertical="center"/>
    </xf>
    <xf numFmtId="0" fontId="109" fillId="47" borderId="93" xfId="0" applyFont="1" applyFill="1" applyBorder="1" applyAlignment="1">
      <alignment horizontal="center" vertical="center"/>
    </xf>
    <xf numFmtId="3" fontId="0" fillId="47" borderId="22" xfId="0" applyNumberFormat="1" applyFont="1" applyFill="1" applyBorder="1"/>
    <xf numFmtId="0" fontId="0" fillId="47" borderId="72" xfId="0" applyFill="1" applyBorder="1" applyAlignment="1">
      <alignment horizontal="right"/>
    </xf>
    <xf numFmtId="0" fontId="0" fillId="47" borderId="3" xfId="0" applyFill="1" applyBorder="1" applyAlignment="1">
      <alignment horizontal="right"/>
    </xf>
    <xf numFmtId="3" fontId="0" fillId="47" borderId="20" xfId="0" applyNumberFormat="1" applyFont="1" applyFill="1" applyBorder="1"/>
    <xf numFmtId="3" fontId="0" fillId="47" borderId="23" xfId="0" applyNumberFormat="1" applyFont="1" applyFill="1" applyBorder="1"/>
    <xf numFmtId="0" fontId="31" fillId="47" borderId="0" xfId="0" applyFont="1" applyFill="1" applyBorder="1" applyAlignment="1">
      <alignment horizontal="left"/>
    </xf>
    <xf numFmtId="0" fontId="31" fillId="47" borderId="19" xfId="0" applyFont="1" applyFill="1" applyBorder="1" applyAlignment="1">
      <alignment horizontal="left"/>
    </xf>
    <xf numFmtId="0" fontId="31" fillId="47" borderId="24" xfId="0" applyFont="1" applyFill="1" applyBorder="1" applyAlignment="1">
      <alignment horizontal="left"/>
    </xf>
    <xf numFmtId="0" fontId="31" fillId="47" borderId="20" xfId="0" applyFont="1" applyFill="1" applyBorder="1" applyAlignment="1">
      <alignment horizontal="left"/>
    </xf>
    <xf numFmtId="0" fontId="31" fillId="47" borderId="21" xfId="0" applyFont="1" applyFill="1" applyBorder="1" applyAlignment="1">
      <alignment horizontal="left"/>
    </xf>
    <xf numFmtId="0" fontId="31" fillId="47" borderId="21" xfId="0" applyFont="1" applyFill="1" applyBorder="1" applyAlignment="1">
      <alignment horizontal="right" wrapText="1"/>
    </xf>
    <xf numFmtId="0" fontId="31" fillId="47" borderId="16" xfId="0" applyFont="1" applyFill="1" applyBorder="1" applyAlignment="1">
      <alignment horizontal="right" wrapText="1"/>
    </xf>
    <xf numFmtId="3" fontId="31" fillId="47" borderId="118" xfId="0" applyNumberFormat="1" applyFont="1" applyFill="1" applyBorder="1" applyAlignment="1">
      <alignment horizontal="right"/>
    </xf>
    <xf numFmtId="194" fontId="31" fillId="47" borderId="118" xfId="1197" applyNumberFormat="1" applyFont="1" applyFill="1" applyBorder="1" applyAlignment="1">
      <alignment horizontal="right"/>
    </xf>
    <xf numFmtId="3" fontId="31" fillId="47" borderId="126" xfId="0" applyNumberFormat="1" applyFont="1" applyFill="1" applyBorder="1" applyAlignment="1">
      <alignment horizontal="right"/>
    </xf>
    <xf numFmtId="194" fontId="31" fillId="47" borderId="126" xfId="1197" applyNumberFormat="1" applyFont="1" applyFill="1" applyBorder="1" applyAlignment="1">
      <alignment horizontal="right"/>
    </xf>
    <xf numFmtId="3" fontId="31" fillId="47" borderId="119" xfId="0" applyNumberFormat="1" applyFont="1" applyFill="1" applyBorder="1" applyAlignment="1">
      <alignment horizontal="right"/>
    </xf>
    <xf numFmtId="194" fontId="31" fillId="47" borderId="119" xfId="1197" applyNumberFormat="1" applyFont="1" applyFill="1" applyBorder="1" applyAlignment="1">
      <alignment horizontal="right"/>
    </xf>
    <xf numFmtId="0" fontId="145" fillId="47" borderId="44" xfId="0" applyFont="1" applyFill="1" applyBorder="1" applyAlignment="1">
      <alignment horizontal="left"/>
    </xf>
    <xf numFmtId="0" fontId="71" fillId="47" borderId="16" xfId="0" applyFont="1" applyFill="1" applyBorder="1" applyAlignment="1">
      <alignment horizontal="left"/>
    </xf>
    <xf numFmtId="0" fontId="142" fillId="47" borderId="19" xfId="0" applyFont="1" applyFill="1" applyBorder="1" applyAlignment="1">
      <alignment horizontal="left"/>
    </xf>
    <xf numFmtId="0" fontId="152" fillId="47" borderId="0" xfId="0" applyFont="1" applyFill="1" applyBorder="1" applyAlignment="1">
      <alignment horizontal="left"/>
    </xf>
    <xf numFmtId="0" fontId="36" fillId="47" borderId="19" xfId="0" applyFont="1" applyFill="1" applyBorder="1" applyAlignment="1">
      <alignment horizontal="left"/>
    </xf>
    <xf numFmtId="0" fontId="31" fillId="47" borderId="77" xfId="0" applyFont="1" applyFill="1" applyBorder="1" applyAlignment="1">
      <alignment horizontal="right" wrapText="1"/>
    </xf>
    <xf numFmtId="0" fontId="31" fillId="47" borderId="23" xfId="0" applyFont="1" applyFill="1" applyBorder="1" applyAlignment="1">
      <alignment horizontal="right"/>
    </xf>
    <xf numFmtId="0" fontId="31" fillId="47" borderId="135" xfId="0" applyFont="1" applyFill="1" applyBorder="1" applyAlignment="1">
      <alignment horizontal="left"/>
    </xf>
    <xf numFmtId="3" fontId="31" fillId="47" borderId="136" xfId="0" applyNumberFormat="1" applyFont="1" applyFill="1" applyBorder="1" applyAlignment="1">
      <alignment horizontal="right"/>
    </xf>
    <xf numFmtId="0" fontId="31" fillId="47" borderId="137" xfId="0" applyFont="1" applyFill="1" applyBorder="1" applyAlignment="1">
      <alignment horizontal="left"/>
    </xf>
    <xf numFmtId="3" fontId="31" fillId="47" borderId="138" xfId="0" applyNumberFormat="1" applyFont="1" applyFill="1" applyBorder="1" applyAlignment="1">
      <alignment horizontal="right"/>
    </xf>
    <xf numFmtId="0" fontId="31" fillId="47" borderId="139" xfId="0" applyFont="1" applyFill="1" applyBorder="1" applyAlignment="1">
      <alignment horizontal="left"/>
    </xf>
    <xf numFmtId="3" fontId="31" fillId="47" borderId="140" xfId="0" applyNumberFormat="1" applyFont="1" applyFill="1" applyBorder="1" applyAlignment="1">
      <alignment horizontal="right"/>
    </xf>
    <xf numFmtId="0" fontId="192" fillId="47" borderId="44" xfId="0" applyFont="1" applyFill="1" applyBorder="1"/>
    <xf numFmtId="0" fontId="10" fillId="47" borderId="44" xfId="0" applyFont="1" applyFill="1" applyBorder="1" applyAlignment="1">
      <alignment horizontal="left" wrapText="1"/>
    </xf>
    <xf numFmtId="0" fontId="10" fillId="47" borderId="0" xfId="0" applyFont="1" applyFill="1" applyBorder="1" applyAlignment="1">
      <alignment horizontal="right" wrapText="1"/>
    </xf>
    <xf numFmtId="0" fontId="54" fillId="47" borderId="0" xfId="0" applyFont="1" applyFill="1" applyBorder="1" applyAlignment="1">
      <alignment horizontal="right"/>
    </xf>
    <xf numFmtId="3" fontId="10" fillId="47" borderId="16" xfId="1524" applyNumberFormat="1" applyFont="1" applyFill="1" applyBorder="1" applyAlignment="1">
      <alignment horizontal="right"/>
    </xf>
    <xf numFmtId="3" fontId="10" fillId="47" borderId="0" xfId="1524" applyNumberFormat="1" applyFont="1" applyFill="1" applyBorder="1" applyAlignment="1">
      <alignment horizontal="right"/>
    </xf>
    <xf numFmtId="3" fontId="10" fillId="47" borderId="20" xfId="1524" applyNumberFormat="1" applyFont="1" applyFill="1" applyBorder="1" applyAlignment="1">
      <alignment horizontal="right"/>
    </xf>
    <xf numFmtId="0" fontId="10" fillId="47" borderId="19" xfId="0" applyFont="1" applyFill="1" applyBorder="1" applyAlignment="1"/>
    <xf numFmtId="0" fontId="10" fillId="47" borderId="24" xfId="0" applyFont="1" applyFill="1" applyBorder="1" applyAlignment="1">
      <alignment horizontal="left"/>
    </xf>
    <xf numFmtId="1" fontId="10" fillId="47" borderId="44" xfId="1523" applyNumberFormat="1" applyFont="1" applyFill="1" applyBorder="1" applyAlignment="1">
      <alignment horizontal="left"/>
    </xf>
    <xf numFmtId="3" fontId="10" fillId="47" borderId="17" xfId="1524" applyNumberFormat="1" applyFont="1" applyFill="1" applyBorder="1" applyAlignment="1">
      <alignment horizontal="right"/>
    </xf>
    <xf numFmtId="1" fontId="10" fillId="47" borderId="19" xfId="1523" applyNumberFormat="1" applyFont="1" applyFill="1" applyBorder="1" applyAlignment="1">
      <alignment horizontal="left"/>
    </xf>
    <xf numFmtId="3" fontId="10" fillId="47" borderId="22" xfId="1524" applyNumberFormat="1" applyFont="1" applyFill="1" applyBorder="1" applyAlignment="1">
      <alignment horizontal="right"/>
    </xf>
    <xf numFmtId="1" fontId="10" fillId="47" borderId="24" xfId="1523" applyNumberFormat="1" applyFont="1" applyFill="1" applyBorder="1" applyAlignment="1">
      <alignment horizontal="left"/>
    </xf>
    <xf numFmtId="3" fontId="10" fillId="47" borderId="23" xfId="1524" applyNumberFormat="1" applyFont="1" applyFill="1" applyBorder="1" applyAlignment="1">
      <alignment horizontal="right"/>
    </xf>
    <xf numFmtId="0" fontId="168" fillId="0" borderId="0" xfId="0" applyFont="1"/>
    <xf numFmtId="0" fontId="168" fillId="43" borderId="0" xfId="0" applyFont="1" applyFill="1"/>
    <xf numFmtId="0" fontId="193" fillId="0" borderId="0" xfId="0" applyFont="1"/>
    <xf numFmtId="2" fontId="168" fillId="0" borderId="0" xfId="0" applyNumberFormat="1" applyFont="1"/>
    <xf numFmtId="0" fontId="194" fillId="43" borderId="0" xfId="0" applyFont="1" applyFill="1"/>
    <xf numFmtId="0" fontId="195" fillId="43" borderId="0" xfId="0" applyFont="1" applyFill="1"/>
    <xf numFmtId="172" fontId="116" fillId="0" borderId="0" xfId="0" applyNumberFormat="1" applyFont="1"/>
    <xf numFmtId="0" fontId="168" fillId="93" borderId="0" xfId="0" applyFont="1" applyFill="1"/>
    <xf numFmtId="172" fontId="0" fillId="93" borderId="0" xfId="0" applyNumberFormat="1" applyFill="1"/>
    <xf numFmtId="0" fontId="0" fillId="93" borderId="0" xfId="0" applyFill="1"/>
    <xf numFmtId="0" fontId="196" fillId="0" borderId="0" xfId="0" applyFont="1"/>
    <xf numFmtId="0" fontId="10" fillId="93" borderId="0" xfId="0" applyFont="1" applyFill="1"/>
    <xf numFmtId="172" fontId="54" fillId="0" borderId="0" xfId="0" applyNumberFormat="1" applyFont="1" applyFill="1"/>
    <xf numFmtId="43" fontId="0" fillId="0" borderId="0" xfId="0" applyNumberFormat="1" applyBorder="1"/>
    <xf numFmtId="0" fontId="11" fillId="47" borderId="0" xfId="0" applyFont="1" applyFill="1" applyBorder="1"/>
    <xf numFmtId="4" fontId="10" fillId="47" borderId="0" xfId="0" applyNumberFormat="1" applyFont="1" applyFill="1" applyBorder="1"/>
    <xf numFmtId="43" fontId="0" fillId="47" borderId="19" xfId="0" applyNumberFormat="1" applyFill="1" applyBorder="1"/>
    <xf numFmtId="10" fontId="0" fillId="47" borderId="0" xfId="844" applyNumberFormat="1" applyFont="1" applyFill="1" applyBorder="1"/>
    <xf numFmtId="4" fontId="0" fillId="47" borderId="0" xfId="0" applyNumberFormat="1" applyFill="1" applyBorder="1"/>
    <xf numFmtId="164" fontId="0" fillId="47" borderId="19" xfId="0" applyNumberFormat="1" applyFill="1" applyBorder="1"/>
    <xf numFmtId="0" fontId="11" fillId="47" borderId="19" xfId="0" applyFont="1" applyFill="1" applyBorder="1"/>
    <xf numFmtId="43" fontId="0" fillId="47" borderId="24" xfId="0" applyNumberFormat="1" applyFill="1" applyBorder="1"/>
    <xf numFmtId="172" fontId="37" fillId="0" borderId="0" xfId="0" applyNumberFormat="1" applyFont="1"/>
    <xf numFmtId="2" fontId="84" fillId="0" borderId="0" xfId="0" applyNumberFormat="1" applyFont="1"/>
    <xf numFmtId="2" fontId="37" fillId="0" borderId="20" xfId="0" applyNumberFormat="1" applyFont="1" applyBorder="1"/>
    <xf numFmtId="0" fontId="116" fillId="47" borderId="20" xfId="1527" applyFont="1" applyFill="1" applyBorder="1" applyAlignment="1">
      <alignment horizontal="right"/>
    </xf>
    <xf numFmtId="0" fontId="116" fillId="47" borderId="20" xfId="1527" applyFont="1" applyFill="1" applyBorder="1" applyAlignment="1">
      <alignment horizontal="right" wrapText="1"/>
    </xf>
    <xf numFmtId="167" fontId="116" fillId="47" borderId="0" xfId="1527" applyNumberFormat="1" applyFont="1" applyFill="1" applyBorder="1" applyAlignment="1">
      <alignment horizontal="right"/>
    </xf>
    <xf numFmtId="167" fontId="116" fillId="47" borderId="141" xfId="1527" applyNumberFormat="1" applyFont="1" applyFill="1" applyBorder="1" applyAlignment="1">
      <alignment horizontal="right"/>
    </xf>
    <xf numFmtId="0" fontId="116" fillId="47" borderId="0" xfId="1527" applyFont="1" applyFill="1" applyBorder="1"/>
    <xf numFmtId="0" fontId="201" fillId="47" borderId="0" xfId="0" applyFont="1" applyFill="1" applyBorder="1" applyAlignment="1">
      <alignment horizontal="right"/>
    </xf>
    <xf numFmtId="0" fontId="201" fillId="47" borderId="0" xfId="0" applyFont="1" applyFill="1" applyBorder="1"/>
    <xf numFmtId="0" fontId="32" fillId="94" borderId="20" xfId="0" applyFont="1" applyFill="1" applyBorder="1" applyAlignment="1">
      <alignment horizontal="right" wrapText="1"/>
    </xf>
    <xf numFmtId="0" fontId="198" fillId="47" borderId="44" xfId="1527" applyFont="1" applyFill="1" applyBorder="1" applyAlignment="1">
      <alignment horizontal="left"/>
    </xf>
    <xf numFmtId="0" fontId="198" fillId="47" borderId="16" xfId="1527" applyFont="1" applyFill="1" applyBorder="1" applyAlignment="1">
      <alignment horizontal="left"/>
    </xf>
    <xf numFmtId="0" fontId="198" fillId="47" borderId="17" xfId="1527" applyFont="1" applyFill="1" applyBorder="1" applyAlignment="1">
      <alignment horizontal="left"/>
    </xf>
    <xf numFmtId="0" fontId="198" fillId="47" borderId="19" xfId="1527" applyFont="1" applyFill="1" applyBorder="1" applyAlignment="1">
      <alignment horizontal="left"/>
    </xf>
    <xf numFmtId="0" fontId="198" fillId="47" borderId="0" xfId="1527" applyFont="1" applyFill="1" applyBorder="1" applyAlignment="1">
      <alignment horizontal="left"/>
    </xf>
    <xf numFmtId="0" fontId="198" fillId="47" borderId="22" xfId="1527" applyFont="1" applyFill="1" applyBorder="1" applyAlignment="1">
      <alignment horizontal="left"/>
    </xf>
    <xf numFmtId="0" fontId="199" fillId="47" borderId="24" xfId="1527" applyFont="1" applyFill="1" applyBorder="1" applyAlignment="1">
      <alignment horizontal="left"/>
    </xf>
    <xf numFmtId="0" fontId="199" fillId="47" borderId="23" xfId="1527" applyFont="1" applyFill="1" applyBorder="1" applyAlignment="1">
      <alignment horizontal="right"/>
    </xf>
    <xf numFmtId="0" fontId="199" fillId="47" borderId="19" xfId="1527" applyFont="1" applyFill="1" applyBorder="1" applyAlignment="1">
      <alignment horizontal="left"/>
    </xf>
    <xf numFmtId="167" fontId="199" fillId="47" borderId="22" xfId="1527" applyNumberFormat="1" applyFont="1" applyFill="1" applyBorder="1" applyAlignment="1">
      <alignment horizontal="right"/>
    </xf>
    <xf numFmtId="0" fontId="199" fillId="47" borderId="142" xfId="1527" applyFont="1" applyFill="1" applyBorder="1" applyAlignment="1">
      <alignment horizontal="left"/>
    </xf>
    <xf numFmtId="167" fontId="199" fillId="47" borderId="143" xfId="1527" applyNumberFormat="1" applyFont="1" applyFill="1" applyBorder="1" applyAlignment="1">
      <alignment horizontal="right"/>
    </xf>
    <xf numFmtId="0" fontId="116" fillId="47" borderId="19" xfId="531" applyFont="1" applyFill="1" applyBorder="1" applyAlignment="1">
      <alignment horizontal="left"/>
    </xf>
    <xf numFmtId="0" fontId="168" fillId="47" borderId="22" xfId="0" applyFont="1" applyFill="1" applyBorder="1"/>
    <xf numFmtId="0" fontId="116" fillId="47" borderId="19" xfId="1527" applyFont="1" applyFill="1" applyBorder="1"/>
    <xf numFmtId="0" fontId="116" fillId="47" borderId="24" xfId="1527" applyFont="1" applyFill="1" applyBorder="1"/>
    <xf numFmtId="0" fontId="201" fillId="47" borderId="20" xfId="0" applyFont="1" applyFill="1" applyBorder="1" applyAlignment="1">
      <alignment horizontal="right"/>
    </xf>
    <xf numFmtId="0" fontId="201" fillId="47" borderId="20" xfId="0" applyFont="1" applyFill="1" applyBorder="1"/>
    <xf numFmtId="0" fontId="168" fillId="47" borderId="23" xfId="0" applyFont="1" applyFill="1" applyBorder="1"/>
    <xf numFmtId="0" fontId="10" fillId="43" borderId="26" xfId="0" applyFont="1" applyFill="1" applyBorder="1"/>
    <xf numFmtId="0" fontId="10" fillId="43" borderId="55" xfId="0" applyFont="1" applyFill="1" applyBorder="1"/>
    <xf numFmtId="0" fontId="0" fillId="0" borderId="0" xfId="0" applyBorder="1" applyAlignment="1" applyProtection="1">
      <alignment horizontal="center" vertical="center"/>
    </xf>
    <xf numFmtId="14" fontId="10" fillId="0" borderId="20" xfId="0" applyNumberFormat="1" applyFont="1" applyBorder="1" applyAlignment="1">
      <alignment horizontal="left"/>
    </xf>
    <xf numFmtId="174" fontId="37" fillId="0" borderId="20" xfId="0" applyNumberFormat="1" applyFont="1" applyFill="1" applyBorder="1"/>
    <xf numFmtId="0" fontId="10" fillId="47" borderId="19" xfId="0" applyFont="1" applyFill="1" applyBorder="1" applyAlignment="1">
      <alignment horizontal="center" vertical="center" textRotation="180"/>
    </xf>
    <xf numFmtId="0" fontId="79" fillId="0" borderId="0" xfId="223" applyAlignment="1">
      <alignment horizontal="left"/>
    </xf>
    <xf numFmtId="174" fontId="10" fillId="0" borderId="0" xfId="0" applyNumberFormat="1" applyFont="1" applyBorder="1"/>
    <xf numFmtId="174" fontId="38" fillId="0" borderId="0" xfId="0" applyNumberFormat="1" applyFont="1" applyFill="1" applyBorder="1"/>
    <xf numFmtId="174" fontId="0" fillId="0" borderId="25" xfId="0" applyNumberFormat="1" applyFill="1" applyBorder="1"/>
    <xf numFmtId="174" fontId="10" fillId="0" borderId="25" xfId="0" applyNumberFormat="1" applyFont="1" applyFill="1" applyBorder="1"/>
    <xf numFmtId="174" fontId="89" fillId="0" borderId="25" xfId="0" applyNumberFormat="1" applyFont="1" applyFill="1" applyBorder="1"/>
    <xf numFmtId="174" fontId="89" fillId="0" borderId="25" xfId="0" applyNumberFormat="1" applyFont="1" applyBorder="1"/>
    <xf numFmtId="174" fontId="38" fillId="0" borderId="0" xfId="0" applyNumberFormat="1" applyFont="1" applyFill="1"/>
    <xf numFmtId="174" fontId="10" fillId="0" borderId="0" xfId="35" applyNumberFormat="1" applyFont="1"/>
    <xf numFmtId="174" fontId="10" fillId="0" borderId="0" xfId="35" applyNumberFormat="1" applyFont="1" applyFill="1" applyBorder="1"/>
    <xf numFmtId="174" fontId="84" fillId="0" borderId="0" xfId="0" applyNumberFormat="1" applyFont="1" applyFill="1" applyBorder="1"/>
    <xf numFmtId="174" fontId="84" fillId="0" borderId="20" xfId="0" applyNumberFormat="1" applyFont="1" applyFill="1" applyBorder="1"/>
    <xf numFmtId="174" fontId="10" fillId="0" borderId="20" xfId="35" applyNumberFormat="1" applyFont="1" applyFill="1" applyBorder="1"/>
    <xf numFmtId="1" fontId="54" fillId="49" borderId="0" xfId="0" applyNumberFormat="1" applyFont="1" applyFill="1" applyBorder="1"/>
    <xf numFmtId="0" fontId="37" fillId="42" borderId="19" xfId="0" applyFont="1" applyFill="1" applyBorder="1"/>
    <xf numFmtId="0" fontId="37" fillId="42" borderId="0" xfId="0" applyFont="1" applyFill="1" applyBorder="1"/>
    <xf numFmtId="0" fontId="37" fillId="42" borderId="22" xfId="0" applyFont="1" applyFill="1" applyBorder="1"/>
    <xf numFmtId="0" fontId="37" fillId="49" borderId="19" xfId="0" applyFont="1" applyFill="1" applyBorder="1"/>
    <xf numFmtId="10" fontId="0" fillId="47" borderId="0" xfId="0" applyNumberFormat="1" applyFill="1" applyBorder="1"/>
    <xf numFmtId="0" fontId="114" fillId="42" borderId="19" xfId="0" applyFont="1" applyFill="1" applyBorder="1"/>
    <xf numFmtId="0" fontId="114" fillId="42" borderId="0" xfId="0" applyFont="1" applyFill="1" applyBorder="1"/>
    <xf numFmtId="1" fontId="10" fillId="43" borderId="0" xfId="0" applyNumberFormat="1" applyFont="1" applyFill="1" applyBorder="1"/>
    <xf numFmtId="176" fontId="0" fillId="0" borderId="0" xfId="0" applyNumberFormat="1"/>
    <xf numFmtId="0" fontId="0" fillId="86" borderId="25" xfId="0" applyFill="1" applyBorder="1"/>
    <xf numFmtId="0" fontId="0" fillId="86" borderId="56" xfId="0" applyFill="1" applyBorder="1"/>
    <xf numFmtId="0" fontId="10" fillId="0" borderId="2" xfId="0" applyFont="1" applyBorder="1"/>
    <xf numFmtId="0" fontId="10" fillId="0" borderId="19" xfId="0" applyFont="1" applyBorder="1"/>
    <xf numFmtId="9" fontId="103" fillId="56" borderId="101" xfId="844" applyFont="1" applyFill="1" applyBorder="1" applyAlignment="1">
      <alignment vertical="center"/>
    </xf>
    <xf numFmtId="0" fontId="10" fillId="0" borderId="24" xfId="0" applyFont="1" applyBorder="1"/>
    <xf numFmtId="0" fontId="10" fillId="0" borderId="22" xfId="0" applyFont="1" applyBorder="1"/>
    <xf numFmtId="2" fontId="0" fillId="0" borderId="16" xfId="0" applyNumberFormat="1" applyBorder="1"/>
    <xf numFmtId="1" fontId="10" fillId="0" borderId="16" xfId="0" applyNumberFormat="1" applyFont="1" applyBorder="1"/>
    <xf numFmtId="0" fontId="116" fillId="0" borderId="0" xfId="1160"/>
    <xf numFmtId="1" fontId="54" fillId="42" borderId="19" xfId="0" applyNumberFormat="1" applyFont="1" applyFill="1" applyBorder="1"/>
    <xf numFmtId="0" fontId="0" fillId="0" borderId="0" xfId="0" applyAlignment="1">
      <alignment horizontal="left"/>
    </xf>
    <xf numFmtId="0" fontId="32" fillId="44" borderId="0" xfId="0" applyFont="1" applyFill="1" applyBorder="1" applyAlignment="1">
      <alignment horizontal="left" vertical="center" wrapText="1"/>
    </xf>
    <xf numFmtId="0" fontId="33" fillId="28" borderId="16" xfId="0" applyFont="1" applyFill="1" applyBorder="1" applyAlignment="1">
      <alignment horizontal="center" vertical="center" wrapText="1"/>
    </xf>
    <xf numFmtId="0" fontId="84" fillId="0" borderId="0" xfId="0" applyFont="1" applyBorder="1"/>
    <xf numFmtId="0" fontId="10" fillId="0" borderId="16" xfId="0" applyFont="1" applyFill="1" applyBorder="1"/>
    <xf numFmtId="9" fontId="0" fillId="0" borderId="2" xfId="844" applyFont="1" applyBorder="1"/>
    <xf numFmtId="0" fontId="0" fillId="0" borderId="0" xfId="0" applyFill="1" applyAlignment="1" applyProtection="1">
      <alignment horizontal="left"/>
    </xf>
    <xf numFmtId="0" fontId="0" fillId="0" borderId="0" xfId="0" applyFill="1" applyAlignment="1" applyProtection="1">
      <alignment horizontal="right"/>
    </xf>
    <xf numFmtId="0" fontId="202" fillId="0" borderId="0" xfId="0" applyFont="1" applyFill="1" applyProtection="1"/>
    <xf numFmtId="9" fontId="0" fillId="0" borderId="2" xfId="844" applyNumberFormat="1" applyFont="1" applyFill="1" applyBorder="1"/>
    <xf numFmtId="1" fontId="0" fillId="43" borderId="0" xfId="0" applyNumberFormat="1" applyFill="1"/>
    <xf numFmtId="167" fontId="89" fillId="0" borderId="0" xfId="0" applyNumberFormat="1" applyFont="1" applyBorder="1"/>
    <xf numFmtId="1" fontId="89" fillId="0" borderId="0" xfId="0" applyNumberFormat="1" applyFont="1" applyFill="1" applyBorder="1"/>
    <xf numFmtId="1" fontId="89" fillId="0" borderId="0" xfId="0" applyNumberFormat="1" applyFont="1" applyFill="1"/>
    <xf numFmtId="1" fontId="89" fillId="0" borderId="20" xfId="0" applyNumberFormat="1" applyFont="1" applyFill="1" applyBorder="1"/>
    <xf numFmtId="1" fontId="94" fillId="37" borderId="0" xfId="0" applyNumberFormat="1" applyFont="1" applyFill="1" applyBorder="1"/>
    <xf numFmtId="0" fontId="0" fillId="0" borderId="20" xfId="0" applyFill="1" applyBorder="1" applyAlignment="1">
      <alignment horizontal="left" wrapText="1"/>
    </xf>
    <xf numFmtId="0" fontId="0" fillId="0" borderId="0" xfId="0" applyFont="1" applyFill="1" applyBorder="1" applyAlignment="1">
      <alignment horizontal="left" wrapText="1"/>
    </xf>
    <xf numFmtId="0" fontId="32" fillId="29" borderId="16" xfId="0" applyFont="1" applyFill="1" applyBorder="1" applyAlignment="1">
      <alignment horizontal="left" vertical="center"/>
    </xf>
    <xf numFmtId="0" fontId="82" fillId="0" borderId="0" xfId="1528" applyFont="1"/>
    <xf numFmtId="0" fontId="82" fillId="0" borderId="0" xfId="1529" applyFont="1"/>
    <xf numFmtId="0" fontId="82" fillId="0" borderId="0" xfId="1529" applyFont="1" applyFill="1"/>
    <xf numFmtId="0" fontId="6" fillId="0" borderId="0" xfId="1528"/>
    <xf numFmtId="0" fontId="6" fillId="0" borderId="0" xfId="1529"/>
    <xf numFmtId="3" fontId="6" fillId="0" borderId="0" xfId="1529" applyNumberFormat="1"/>
    <xf numFmtId="3" fontId="6" fillId="0" borderId="0" xfId="1529" applyNumberFormat="1" applyFill="1"/>
    <xf numFmtId="0" fontId="6" fillId="0" borderId="73" xfId="1529" applyBorder="1"/>
    <xf numFmtId="0" fontId="6" fillId="0" borderId="16" xfId="1529" applyBorder="1"/>
    <xf numFmtId="0" fontId="6" fillId="0" borderId="17" xfId="1529" applyBorder="1"/>
    <xf numFmtId="3" fontId="6" fillId="48" borderId="0" xfId="1529" applyNumberFormat="1" applyFill="1"/>
    <xf numFmtId="0" fontId="6" fillId="0" borderId="72" xfId="1529" applyBorder="1"/>
    <xf numFmtId="0" fontId="6" fillId="0" borderId="0" xfId="1529" applyBorder="1"/>
    <xf numFmtId="0" fontId="6" fillId="0" borderId="22" xfId="1529" applyBorder="1"/>
    <xf numFmtId="0" fontId="203" fillId="95" borderId="145" xfId="0" applyFont="1" applyFill="1" applyBorder="1" applyAlignment="1">
      <alignment horizontal="left" vertical="top" wrapText="1"/>
    </xf>
    <xf numFmtId="0" fontId="203" fillId="95" borderId="146" xfId="0" applyFont="1" applyFill="1" applyBorder="1" applyAlignment="1">
      <alignment horizontal="left" vertical="top" wrapText="1"/>
    </xf>
    <xf numFmtId="0" fontId="203" fillId="95" borderId="147" xfId="0" applyFont="1" applyFill="1" applyBorder="1" applyAlignment="1">
      <alignment horizontal="left" vertical="top" wrapText="1"/>
    </xf>
    <xf numFmtId="3" fontId="6" fillId="0" borderId="0" xfId="1529" applyNumberFormat="1" applyBorder="1"/>
    <xf numFmtId="3" fontId="6" fillId="0" borderId="22" xfId="1529" applyNumberFormat="1" applyBorder="1"/>
    <xf numFmtId="0" fontId="204" fillId="96" borderId="145" xfId="0" applyFont="1" applyFill="1" applyBorder="1" applyAlignment="1">
      <alignment horizontal="left" vertical="top" wrapText="1"/>
    </xf>
    <xf numFmtId="0" fontId="204" fillId="96" borderId="146" xfId="0" applyFont="1" applyFill="1" applyBorder="1" applyAlignment="1">
      <alignment horizontal="left" vertical="top" wrapText="1"/>
    </xf>
    <xf numFmtId="0" fontId="204" fillId="96" borderId="147" xfId="0" applyFont="1" applyFill="1" applyBorder="1" applyAlignment="1">
      <alignment horizontal="left" vertical="top" wrapText="1"/>
    </xf>
    <xf numFmtId="0" fontId="204" fillId="0" borderId="145" xfId="0" applyFont="1" applyBorder="1" applyAlignment="1">
      <alignment horizontal="left" vertical="top" wrapText="1"/>
    </xf>
    <xf numFmtId="0" fontId="204" fillId="0" borderId="146" xfId="0" applyFont="1" applyBorder="1" applyAlignment="1">
      <alignment horizontal="left" vertical="top" wrapText="1"/>
    </xf>
    <xf numFmtId="0" fontId="204" fillId="0" borderId="147" xfId="0" applyFont="1" applyBorder="1" applyAlignment="1">
      <alignment horizontal="left" vertical="top" wrapText="1"/>
    </xf>
    <xf numFmtId="0" fontId="6" fillId="0" borderId="44" xfId="1529" applyBorder="1"/>
    <xf numFmtId="3" fontId="6" fillId="0" borderId="16" xfId="1529" applyNumberFormat="1" applyBorder="1"/>
    <xf numFmtId="3" fontId="6" fillId="0" borderId="17" xfId="1529" applyNumberFormat="1" applyBorder="1"/>
    <xf numFmtId="0" fontId="6" fillId="0" borderId="19" xfId="1529" applyBorder="1"/>
    <xf numFmtId="0" fontId="6" fillId="0" borderId="24" xfId="1529" applyBorder="1"/>
    <xf numFmtId="3" fontId="6" fillId="0" borderId="20" xfId="1529" applyNumberFormat="1" applyBorder="1"/>
    <xf numFmtId="3" fontId="6" fillId="0" borderId="23" xfId="1529" applyNumberFormat="1" applyBorder="1"/>
    <xf numFmtId="0" fontId="6" fillId="43" borderId="44" xfId="1529" applyFill="1" applyBorder="1"/>
    <xf numFmtId="2" fontId="95" fillId="0" borderId="0" xfId="1530" applyNumberFormat="1" applyFill="1" applyAlignment="1" applyProtection="1">
      <alignment horizontal="left"/>
    </xf>
    <xf numFmtId="1" fontId="95" fillId="0" borderId="0" xfId="1530" applyNumberFormat="1" applyFill="1" applyAlignment="1" applyProtection="1">
      <alignment horizontal="right"/>
    </xf>
    <xf numFmtId="0" fontId="95" fillId="0" borderId="0" xfId="1530" applyFill="1" applyAlignment="1" applyProtection="1">
      <alignment horizontal="left"/>
    </xf>
    <xf numFmtId="0" fontId="6" fillId="43" borderId="24" xfId="1529" applyFill="1" applyBorder="1"/>
    <xf numFmtId="0" fontId="95" fillId="0" borderId="0" xfId="1530" applyFill="1" applyAlignment="1" applyProtection="1">
      <alignment horizontal="right"/>
    </xf>
    <xf numFmtId="17" fontId="10" fillId="0" borderId="0" xfId="0" applyNumberFormat="1" applyFont="1"/>
    <xf numFmtId="11" fontId="6" fillId="0" borderId="0" xfId="1529" applyNumberFormat="1"/>
    <xf numFmtId="8" fontId="0" fillId="0" borderId="0" xfId="0" applyNumberFormat="1"/>
    <xf numFmtId="0" fontId="6" fillId="0" borderId="20" xfId="1528" applyBorder="1"/>
    <xf numFmtId="0" fontId="6" fillId="0" borderId="20" xfId="1529" applyBorder="1"/>
    <xf numFmtId="3" fontId="6" fillId="0" borderId="20" xfId="1529" applyNumberFormat="1" applyFill="1" applyBorder="1"/>
    <xf numFmtId="1" fontId="84" fillId="0" borderId="0" xfId="0" applyNumberFormat="1" applyFont="1"/>
    <xf numFmtId="172" fontId="84" fillId="0" borderId="0" xfId="0" applyNumberFormat="1" applyFont="1"/>
    <xf numFmtId="0" fontId="32" fillId="45" borderId="16" xfId="1531" applyFont="1" applyFill="1" applyBorder="1" applyAlignment="1">
      <alignment horizontal="left" vertical="center"/>
    </xf>
    <xf numFmtId="174" fontId="84" fillId="0" borderId="0" xfId="35" applyNumberFormat="1" applyFont="1" applyFill="1" applyBorder="1"/>
    <xf numFmtId="0" fontId="84" fillId="0" borderId="0" xfId="0" applyFont="1" applyFill="1" applyBorder="1"/>
    <xf numFmtId="0" fontId="0" fillId="0" borderId="0" xfId="0" applyAlignment="1">
      <alignment horizontal="left"/>
    </xf>
    <xf numFmtId="0" fontId="0" fillId="0" borderId="0" xfId="0" applyAlignment="1">
      <alignment horizontal="center"/>
    </xf>
    <xf numFmtId="9" fontId="31" fillId="0" borderId="0" xfId="844" applyFont="1" applyFill="1"/>
    <xf numFmtId="177" fontId="31" fillId="0" borderId="0" xfId="0" applyNumberFormat="1" applyFont="1" applyFill="1" applyBorder="1" applyAlignment="1">
      <alignment horizontal="right"/>
    </xf>
    <xf numFmtId="2" fontId="0" fillId="0" borderId="0" xfId="0" applyNumberFormat="1" applyFill="1"/>
    <xf numFmtId="0" fontId="38" fillId="0" borderId="0" xfId="0" applyFont="1" applyBorder="1"/>
    <xf numFmtId="1" fontId="0" fillId="0" borderId="16" xfId="0" applyNumberFormat="1" applyBorder="1"/>
    <xf numFmtId="0" fontId="32" fillId="45" borderId="16" xfId="1531" applyFont="1" applyFill="1" applyBorder="1" applyAlignment="1">
      <alignment horizontal="left" vertical="center" wrapText="1"/>
    </xf>
    <xf numFmtId="168" fontId="0" fillId="0" borderId="0" xfId="0" applyNumberFormat="1"/>
    <xf numFmtId="208" fontId="32" fillId="47" borderId="0" xfId="1532" applyFill="1" applyBorder="1"/>
    <xf numFmtId="209" fontId="32" fillId="47" borderId="0" xfId="1532" applyNumberFormat="1" applyFill="1" applyBorder="1"/>
    <xf numFmtId="167" fontId="0" fillId="0" borderId="23" xfId="0" applyNumberFormat="1" applyBorder="1"/>
    <xf numFmtId="1" fontId="0" fillId="0" borderId="16" xfId="0" applyNumberFormat="1" applyFill="1" applyBorder="1"/>
    <xf numFmtId="1" fontId="0" fillId="0" borderId="0" xfId="0" applyNumberFormat="1" applyFill="1" applyBorder="1"/>
    <xf numFmtId="0" fontId="10" fillId="0" borderId="27" xfId="0" applyFont="1" applyFill="1" applyBorder="1"/>
    <xf numFmtId="0" fontId="0" fillId="0" borderId="0" xfId="0" applyAlignment="1">
      <alignment horizontal="left"/>
    </xf>
    <xf numFmtId="0" fontId="0" fillId="0" borderId="0" xfId="0" applyAlignment="1">
      <alignment horizontal="center"/>
    </xf>
    <xf numFmtId="1" fontId="5" fillId="0" borderId="0" xfId="1533" applyNumberFormat="1"/>
    <xf numFmtId="0" fontId="5" fillId="0" borderId="0" xfId="1533"/>
    <xf numFmtId="180" fontId="5" fillId="0" borderId="0" xfId="1533" applyNumberFormat="1"/>
    <xf numFmtId="183" fontId="206" fillId="0" borderId="0" xfId="1534" applyNumberFormat="1" applyFont="1" applyFill="1" applyBorder="1"/>
    <xf numFmtId="183" fontId="0" fillId="0" borderId="0" xfId="0" applyNumberFormat="1"/>
    <xf numFmtId="183" fontId="205" fillId="0" borderId="0" xfId="1534" applyNumberFormat="1" applyFont="1" applyFill="1" applyBorder="1"/>
    <xf numFmtId="1" fontId="38" fillId="0" borderId="0" xfId="0" applyNumberFormat="1" applyFont="1" applyFill="1" applyBorder="1"/>
    <xf numFmtId="2" fontId="0" fillId="0" borderId="0" xfId="0" applyNumberFormat="1" applyFill="1" applyBorder="1"/>
    <xf numFmtId="172" fontId="0" fillId="0" borderId="0" xfId="0" applyNumberFormat="1" applyFill="1" applyBorder="1"/>
    <xf numFmtId="0" fontId="10" fillId="0" borderId="0" xfId="0" applyFont="1" applyFill="1"/>
    <xf numFmtId="182" fontId="205" fillId="0" borderId="0" xfId="1534" applyNumberFormat="1" applyFont="1" applyFill="1" applyBorder="1"/>
    <xf numFmtId="182" fontId="58" fillId="0" borderId="0" xfId="1531" applyNumberFormat="1" applyFont="1" applyFill="1" applyBorder="1"/>
    <xf numFmtId="182" fontId="59" fillId="0" borderId="44" xfId="1531" applyNumberFormat="1" applyFont="1" applyFill="1" applyBorder="1"/>
    <xf numFmtId="0" fontId="10" fillId="0" borderId="17" xfId="0" applyFont="1" applyBorder="1"/>
    <xf numFmtId="167" fontId="0" fillId="43" borderId="22" xfId="0" applyNumberFormat="1" applyFill="1" applyBorder="1"/>
    <xf numFmtId="1" fontId="0" fillId="0" borderId="20" xfId="0" applyNumberFormat="1" applyBorder="1"/>
    <xf numFmtId="1" fontId="0" fillId="0" borderId="17" xfId="0" applyNumberFormat="1" applyBorder="1"/>
    <xf numFmtId="0" fontId="0" fillId="0" borderId="24" xfId="0" applyFill="1" applyBorder="1"/>
    <xf numFmtId="1" fontId="0" fillId="0" borderId="20" xfId="0" applyNumberFormat="1" applyFill="1" applyBorder="1"/>
    <xf numFmtId="1" fontId="0" fillId="0" borderId="23" xfId="0" applyNumberFormat="1" applyBorder="1"/>
    <xf numFmtId="202" fontId="142" fillId="43" borderId="0" xfId="0" applyNumberFormat="1" applyFont="1" applyFill="1" applyAlignment="1">
      <alignment horizontal="right"/>
    </xf>
    <xf numFmtId="0" fontId="36" fillId="0" borderId="0" xfId="1534" applyFont="1"/>
    <xf numFmtId="0" fontId="36" fillId="0" borderId="0" xfId="1534" applyFont="1" applyBorder="1"/>
    <xf numFmtId="0" fontId="36" fillId="0" borderId="0" xfId="0" applyFont="1" applyAlignment="1">
      <alignment horizontal="right"/>
    </xf>
    <xf numFmtId="0" fontId="10" fillId="0" borderId="16" xfId="0" applyFont="1" applyBorder="1" applyAlignment="1">
      <alignment horizontal="right"/>
    </xf>
    <xf numFmtId="0" fontId="36" fillId="0" borderId="20" xfId="0" applyFont="1" applyBorder="1" applyAlignment="1">
      <alignment horizontal="right"/>
    </xf>
    <xf numFmtId="0" fontId="10" fillId="0" borderId="20" xfId="0" applyFont="1" applyBorder="1" applyAlignment="1">
      <alignment horizontal="right"/>
    </xf>
    <xf numFmtId="0" fontId="70" fillId="0" borderId="0" xfId="0" applyFont="1" applyBorder="1"/>
    <xf numFmtId="0" fontId="36" fillId="0" borderId="20" xfId="0" applyFont="1" applyBorder="1"/>
    <xf numFmtId="3" fontId="36" fillId="0" borderId="0" xfId="0" applyNumberFormat="1" applyFont="1" applyFill="1" applyBorder="1" applyAlignment="1">
      <alignment horizontal="right"/>
    </xf>
    <xf numFmtId="0" fontId="31" fillId="0" borderId="0" xfId="0" applyFont="1" applyBorder="1"/>
    <xf numFmtId="3" fontId="36" fillId="0" borderId="0" xfId="0" applyNumberFormat="1" applyFont="1" applyBorder="1" applyAlignment="1">
      <alignment horizontal="right" vertical="center"/>
    </xf>
    <xf numFmtId="0" fontId="36" fillId="0" borderId="0" xfId="0" applyFont="1" applyBorder="1" applyAlignment="1">
      <alignment horizontal="left"/>
    </xf>
    <xf numFmtId="0" fontId="36" fillId="0" borderId="0" xfId="0" applyFont="1" applyFill="1" applyBorder="1" applyAlignment="1">
      <alignment horizontal="left"/>
    </xf>
    <xf numFmtId="0" fontId="36" fillId="0" borderId="20" xfId="0" applyFont="1" applyFill="1" applyBorder="1" applyAlignment="1">
      <alignment horizontal="left"/>
    </xf>
    <xf numFmtId="3" fontId="36" fillId="0" borderId="20" xfId="0" applyNumberFormat="1" applyFont="1" applyBorder="1"/>
    <xf numFmtId="0" fontId="41" fillId="0" borderId="0" xfId="0" applyFont="1"/>
    <xf numFmtId="0" fontId="169" fillId="0" borderId="0" xfId="0" applyFont="1"/>
    <xf numFmtId="3" fontId="10" fillId="43" borderId="0" xfId="1159" applyNumberFormat="1" applyFont="1" applyFill="1" applyBorder="1"/>
    <xf numFmtId="0" fontId="0" fillId="45" borderId="0" xfId="0" applyFill="1" applyBorder="1"/>
    <xf numFmtId="0" fontId="31" fillId="43" borderId="19" xfId="0" applyFont="1" applyFill="1" applyBorder="1" applyAlignment="1">
      <alignment horizontal="right"/>
    </xf>
    <xf numFmtId="0" fontId="31" fillId="43" borderId="22" xfId="0" applyFont="1" applyFill="1" applyBorder="1" applyAlignment="1">
      <alignment horizontal="right"/>
    </xf>
    <xf numFmtId="167" fontId="31" fillId="43" borderId="0" xfId="0" applyNumberFormat="1" applyFont="1" applyFill="1" applyBorder="1" applyAlignment="1">
      <alignment horizontal="right"/>
    </xf>
    <xf numFmtId="167" fontId="71" fillId="43" borderId="0" xfId="0" applyNumberFormat="1" applyFont="1" applyFill="1" applyBorder="1" applyAlignment="1">
      <alignment horizontal="right"/>
    </xf>
    <xf numFmtId="167" fontId="31" fillId="43" borderId="0" xfId="0" applyNumberFormat="1" applyFont="1" applyFill="1" applyBorder="1"/>
    <xf numFmtId="167" fontId="71" fillId="43" borderId="22" xfId="0" applyNumberFormat="1" applyFont="1" applyFill="1" applyBorder="1" applyAlignment="1">
      <alignment horizontal="right"/>
    </xf>
    <xf numFmtId="1" fontId="84" fillId="0" borderId="0" xfId="0" applyNumberFormat="1" applyFont="1" applyFill="1"/>
    <xf numFmtId="0" fontId="0" fillId="0" borderId="0" xfId="0" applyAlignment="1">
      <alignment horizontal="left"/>
    </xf>
    <xf numFmtId="197" fontId="36" fillId="0" borderId="0" xfId="0" applyNumberFormat="1" applyFont="1" applyBorder="1"/>
    <xf numFmtId="197" fontId="169" fillId="0" borderId="0" xfId="0" applyNumberFormat="1" applyFont="1" applyAlignment="1">
      <alignment vertical="center"/>
    </xf>
    <xf numFmtId="197" fontId="162" fillId="0" borderId="0" xfId="0" applyNumberFormat="1" applyFont="1" applyAlignment="1">
      <alignment vertical="top"/>
    </xf>
    <xf numFmtId="197" fontId="162" fillId="0" borderId="0" xfId="0" applyNumberFormat="1" applyFont="1" applyAlignment="1">
      <alignment wrapText="1"/>
    </xf>
    <xf numFmtId="197" fontId="162" fillId="0" borderId="0" xfId="0" applyNumberFormat="1" applyFont="1"/>
    <xf numFmtId="197" fontId="171" fillId="0" borderId="0" xfId="0" applyNumberFormat="1" applyFont="1"/>
    <xf numFmtId="197" fontId="171" fillId="0" borderId="0" xfId="0" applyNumberFormat="1" applyFont="1" applyBorder="1"/>
    <xf numFmtId="197" fontId="109" fillId="0" borderId="0" xfId="0" applyNumberFormat="1" applyFont="1" applyBorder="1"/>
    <xf numFmtId="197" fontId="109" fillId="0" borderId="0" xfId="0" applyNumberFormat="1" applyFont="1" applyBorder="1" applyAlignment="1">
      <alignment vertical="top"/>
    </xf>
    <xf numFmtId="197" fontId="109" fillId="0" borderId="20" xfId="0" applyNumberFormat="1" applyFont="1" applyBorder="1" applyAlignment="1">
      <alignment vertical="top"/>
    </xf>
    <xf numFmtId="197" fontId="109" fillId="0" borderId="20" xfId="0" applyNumberFormat="1" applyFont="1" applyBorder="1" applyAlignment="1"/>
    <xf numFmtId="197" fontId="109" fillId="0" borderId="0" xfId="0" applyNumberFormat="1" applyFont="1" applyAlignment="1">
      <alignment vertical="center"/>
    </xf>
    <xf numFmtId="197" fontId="162" fillId="0" borderId="0" xfId="0" applyNumberFormat="1" applyFont="1" applyBorder="1"/>
    <xf numFmtId="197" fontId="31" fillId="0" borderId="16" xfId="0" applyNumberFormat="1" applyFont="1" applyBorder="1"/>
    <xf numFmtId="202" fontId="71" fillId="0" borderId="16" xfId="0" applyNumberFormat="1" applyFont="1" applyBorder="1" applyAlignment="1">
      <alignment horizontal="right"/>
    </xf>
    <xf numFmtId="0" fontId="71" fillId="0" borderId="20" xfId="0" applyFont="1" applyBorder="1" applyAlignment="1">
      <alignment horizontal="right"/>
    </xf>
    <xf numFmtId="197" fontId="162" fillId="0" borderId="20" xfId="0" applyNumberFormat="1" applyFont="1" applyBorder="1" applyAlignment="1">
      <alignment horizontal="right"/>
    </xf>
    <xf numFmtId="197" fontId="36" fillId="0" borderId="0" xfId="0" applyNumberFormat="1" applyFont="1" applyAlignment="1">
      <alignment wrapText="1"/>
    </xf>
    <xf numFmtId="0" fontId="31" fillId="0" borderId="0" xfId="0" applyFont="1" applyBorder="1" applyAlignment="1">
      <alignment wrapText="1"/>
    </xf>
    <xf numFmtId="0" fontId="109" fillId="0" borderId="0" xfId="0" applyFont="1"/>
    <xf numFmtId="197" fontId="54" fillId="0" borderId="0" xfId="0" applyNumberFormat="1" applyFont="1" applyAlignment="1">
      <alignment vertical="top"/>
    </xf>
    <xf numFmtId="197" fontId="54" fillId="0" borderId="0" xfId="0" applyNumberFormat="1" applyFont="1"/>
    <xf numFmtId="197" fontId="54" fillId="0" borderId="0" xfId="0" applyNumberFormat="1" applyFont="1" applyBorder="1"/>
    <xf numFmtId="1" fontId="10" fillId="0" borderId="0" xfId="0" applyNumberFormat="1" applyFont="1" applyFill="1" applyBorder="1"/>
    <xf numFmtId="210" fontId="10" fillId="0" borderId="29" xfId="0" applyNumberFormat="1" applyFont="1" applyBorder="1"/>
    <xf numFmtId="0" fontId="69" fillId="0" borderId="0" xfId="0" applyFont="1" applyBorder="1"/>
    <xf numFmtId="172" fontId="10" fillId="0" borderId="0" xfId="0" applyNumberFormat="1" applyFont="1" applyBorder="1"/>
    <xf numFmtId="0" fontId="10" fillId="0" borderId="25" xfId="0" applyFont="1" applyBorder="1"/>
    <xf numFmtId="182" fontId="59" fillId="0" borderId="0" xfId="1531" applyNumberFormat="1" applyFont="1" applyFill="1" applyBorder="1"/>
    <xf numFmtId="1" fontId="57" fillId="0" borderId="0" xfId="1531" applyNumberFormat="1" applyFont="1" applyFill="1" applyBorder="1"/>
    <xf numFmtId="1" fontId="205" fillId="0" borderId="0" xfId="1534" applyNumberFormat="1" applyFont="1" applyFill="1" applyBorder="1"/>
    <xf numFmtId="2" fontId="10" fillId="0" borderId="0" xfId="0" applyNumberFormat="1" applyFont="1" applyFill="1" applyBorder="1"/>
    <xf numFmtId="182" fontId="0" fillId="0" borderId="0" xfId="0" applyNumberFormat="1" applyFill="1" applyBorder="1"/>
    <xf numFmtId="0" fontId="207" fillId="0" borderId="0" xfId="0" applyFont="1" applyFill="1" applyBorder="1" applyProtection="1"/>
    <xf numFmtId="0" fontId="0" fillId="0" borderId="0" xfId="0" applyFill="1" applyBorder="1" applyProtection="1"/>
    <xf numFmtId="0" fontId="0" fillId="0" borderId="0" xfId="0" applyFill="1" applyBorder="1" applyAlignment="1" applyProtection="1">
      <alignment horizontal="left"/>
    </xf>
    <xf numFmtId="0" fontId="5" fillId="0" borderId="0" xfId="533" applyFont="1" applyFill="1" applyBorder="1"/>
    <xf numFmtId="0" fontId="5" fillId="0" borderId="0" xfId="533" applyFont="1" applyFill="1" applyBorder="1" applyAlignment="1" applyProtection="1">
      <alignment horizontal="left"/>
      <protection locked="0"/>
    </xf>
    <xf numFmtId="0" fontId="95" fillId="0" borderId="0" xfId="1530" applyFill="1" applyBorder="1" applyAlignment="1" applyProtection="1">
      <alignment horizontal="left"/>
    </xf>
    <xf numFmtId="0" fontId="0" fillId="0" borderId="0" xfId="0" applyFill="1" applyBorder="1" applyAlignment="1" applyProtection="1">
      <alignment horizontal="right"/>
    </xf>
    <xf numFmtId="0" fontId="76" fillId="0" borderId="0" xfId="533" applyFill="1" applyBorder="1" applyAlignment="1" applyProtection="1">
      <alignment horizontal="right"/>
      <protection locked="0"/>
    </xf>
    <xf numFmtId="0" fontId="95" fillId="0" borderId="0" xfId="1530" applyFill="1" applyBorder="1" applyAlignment="1" applyProtection="1">
      <alignment horizontal="right"/>
    </xf>
    <xf numFmtId="0" fontId="76" fillId="0" borderId="0" xfId="533" applyFill="1" applyBorder="1"/>
    <xf numFmtId="1" fontId="89" fillId="0" borderId="0" xfId="0" applyNumberFormat="1" applyFont="1" applyBorder="1"/>
    <xf numFmtId="1" fontId="89" fillId="0" borderId="16" xfId="0" applyNumberFormat="1" applyFont="1" applyBorder="1"/>
    <xf numFmtId="2" fontId="89" fillId="0" borderId="20" xfId="0" applyNumberFormat="1" applyFont="1" applyBorder="1"/>
    <xf numFmtId="1" fontId="142" fillId="0" borderId="0" xfId="0" applyNumberFormat="1" applyFont="1" applyAlignment="1">
      <alignment wrapText="1"/>
    </xf>
    <xf numFmtId="211" fontId="36" fillId="0" borderId="0" xfId="0" applyNumberFormat="1" applyFont="1" applyAlignment="1">
      <alignment wrapText="1"/>
    </xf>
    <xf numFmtId="211" fontId="142" fillId="0" borderId="0" xfId="0" applyNumberFormat="1" applyFont="1" applyAlignment="1">
      <alignment wrapText="1"/>
    </xf>
    <xf numFmtId="211" fontId="36" fillId="0" borderId="0" xfId="0" applyNumberFormat="1" applyFont="1"/>
    <xf numFmtId="1" fontId="31" fillId="0" borderId="0" xfId="0" applyNumberFormat="1" applyFont="1" applyAlignment="1">
      <alignment wrapText="1"/>
    </xf>
    <xf numFmtId="211" fontId="31" fillId="0" borderId="0" xfId="0" applyNumberFormat="1" applyFont="1" applyAlignment="1"/>
    <xf numFmtId="211" fontId="31" fillId="0" borderId="0" xfId="0" applyNumberFormat="1" applyFont="1" applyAlignment="1">
      <alignment wrapText="1"/>
    </xf>
    <xf numFmtId="199" fontId="36" fillId="0" borderId="20" xfId="0" applyNumberFormat="1" applyFont="1" applyBorder="1" applyAlignment="1"/>
    <xf numFmtId="1" fontId="31" fillId="0" borderId="20" xfId="0" applyNumberFormat="1" applyFont="1" applyBorder="1" applyAlignment="1">
      <alignment wrapText="1"/>
    </xf>
    <xf numFmtId="211" fontId="31" fillId="0" borderId="20" xfId="0" applyNumberFormat="1" applyFont="1" applyBorder="1" applyAlignment="1">
      <alignment wrapText="1"/>
    </xf>
    <xf numFmtId="211" fontId="71" fillId="0" borderId="20" xfId="0" applyNumberFormat="1" applyFont="1" applyBorder="1" applyAlignment="1">
      <alignment wrapText="1"/>
    </xf>
    <xf numFmtId="211" fontId="31" fillId="0" borderId="20" xfId="0" applyNumberFormat="1" applyFont="1" applyBorder="1"/>
    <xf numFmtId="211" fontId="31" fillId="0" borderId="0" xfId="0" applyNumberFormat="1" applyFont="1" applyBorder="1" applyAlignment="1">
      <alignment horizontal="right"/>
    </xf>
    <xf numFmtId="211" fontId="109" fillId="0" borderId="0" xfId="0" applyNumberFormat="1" applyFont="1" applyBorder="1" applyAlignment="1">
      <alignment horizontal="right"/>
    </xf>
    <xf numFmtId="197" fontId="109" fillId="0" borderId="0" xfId="0" applyNumberFormat="1" applyFont="1" applyBorder="1" applyAlignment="1">
      <alignment horizontal="right"/>
    </xf>
    <xf numFmtId="199" fontId="31" fillId="0" borderId="0" xfId="0" applyNumberFormat="1" applyFont="1" applyBorder="1" applyAlignment="1">
      <alignment vertical="top"/>
    </xf>
    <xf numFmtId="1" fontId="31" fillId="0" borderId="0" xfId="0" applyNumberFormat="1" applyFont="1" applyBorder="1" applyAlignment="1">
      <alignment wrapText="1"/>
    </xf>
    <xf numFmtId="0" fontId="31" fillId="0" borderId="0" xfId="0" applyFont="1" applyBorder="1" applyAlignment="1"/>
    <xf numFmtId="0" fontId="109" fillId="0" borderId="0" xfId="0" applyFont="1" applyBorder="1" applyAlignment="1">
      <alignment horizontal="right"/>
    </xf>
    <xf numFmtId="0" fontId="31" fillId="0" borderId="20" xfId="0" applyFont="1" applyBorder="1" applyAlignment="1"/>
    <xf numFmtId="211" fontId="109" fillId="0" borderId="20" xfId="0" applyNumberFormat="1" applyFont="1" applyBorder="1" applyAlignment="1">
      <alignment horizontal="right"/>
    </xf>
    <xf numFmtId="0" fontId="109" fillId="0" borderId="20" xfId="0" applyFont="1" applyBorder="1" applyAlignment="1">
      <alignment horizontal="right"/>
    </xf>
    <xf numFmtId="211" fontId="109" fillId="0" borderId="0" xfId="0" applyNumberFormat="1" applyFont="1" applyBorder="1" applyAlignment="1"/>
    <xf numFmtId="0" fontId="109" fillId="0" borderId="0" xfId="0" applyFont="1" applyBorder="1" applyAlignment="1"/>
    <xf numFmtId="0" fontId="36" fillId="0" borderId="0" xfId="0" applyFont="1" applyAlignment="1"/>
    <xf numFmtId="207" fontId="31" fillId="0" borderId="0" xfId="0" applyNumberFormat="1" applyFont="1" applyAlignment="1">
      <alignment vertical="top"/>
    </xf>
    <xf numFmtId="211" fontId="71" fillId="0" borderId="0" xfId="0" applyNumberFormat="1" applyFont="1" applyAlignment="1">
      <alignment horizontal="right"/>
    </xf>
    <xf numFmtId="211" fontId="31" fillId="0" borderId="0" xfId="0" applyNumberFormat="1" applyFont="1" applyAlignment="1">
      <alignment horizontal="right"/>
    </xf>
    <xf numFmtId="211" fontId="71" fillId="0" borderId="0" xfId="0" applyNumberFormat="1" applyFont="1" applyBorder="1" applyAlignment="1">
      <alignment horizontal="right"/>
    </xf>
    <xf numFmtId="211" fontId="37" fillId="0" borderId="0" xfId="0" applyNumberFormat="1" applyFont="1" applyBorder="1" applyAlignment="1">
      <alignment horizontal="right" wrapText="1"/>
    </xf>
    <xf numFmtId="197" fontId="37" fillId="0" borderId="0" xfId="0" applyNumberFormat="1" applyFont="1" applyBorder="1" applyAlignment="1">
      <alignment horizontal="right"/>
    </xf>
    <xf numFmtId="207" fontId="71" fillId="0" borderId="20" xfId="0" applyNumberFormat="1" applyFont="1" applyBorder="1"/>
    <xf numFmtId="197" fontId="71" fillId="0" borderId="20" xfId="0" applyNumberFormat="1" applyFont="1" applyBorder="1" applyAlignment="1">
      <alignment wrapText="1"/>
    </xf>
    <xf numFmtId="211" fontId="37" fillId="0" borderId="20" xfId="0" applyNumberFormat="1" applyFont="1" applyBorder="1" applyAlignment="1">
      <alignment horizontal="right" wrapText="1"/>
    </xf>
    <xf numFmtId="211" fontId="71" fillId="0" borderId="20" xfId="0" applyNumberFormat="1" applyFont="1" applyBorder="1" applyAlignment="1">
      <alignment horizontal="right"/>
    </xf>
    <xf numFmtId="197" fontId="37" fillId="0" borderId="20" xfId="0" applyNumberFormat="1" applyFont="1" applyBorder="1" applyAlignment="1">
      <alignment horizontal="right"/>
    </xf>
    <xf numFmtId="207" fontId="71" fillId="0" borderId="0" xfId="0" applyNumberFormat="1" applyFont="1" applyBorder="1"/>
    <xf numFmtId="212" fontId="71" fillId="0" borderId="0" xfId="0" applyNumberFormat="1" applyFont="1" applyBorder="1" applyAlignment="1">
      <alignment horizontal="right"/>
    </xf>
    <xf numFmtId="1" fontId="0" fillId="0" borderId="0" xfId="0" applyNumberFormat="1" applyAlignment="1">
      <alignment wrapText="1"/>
    </xf>
    <xf numFmtId="211" fontId="10" fillId="0" borderId="0" xfId="0" applyNumberFormat="1" applyFont="1" applyAlignment="1">
      <alignment wrapText="1"/>
    </xf>
    <xf numFmtId="211" fontId="37" fillId="0" borderId="0" xfId="0" applyNumberFormat="1" applyFont="1" applyAlignment="1">
      <alignment wrapText="1"/>
    </xf>
    <xf numFmtId="211" fontId="0" fillId="0" borderId="0" xfId="0" applyNumberFormat="1"/>
    <xf numFmtId="1" fontId="54" fillId="0" borderId="0" xfId="0" applyNumberFormat="1" applyFont="1" applyAlignment="1">
      <alignment wrapText="1"/>
    </xf>
    <xf numFmtId="0" fontId="54" fillId="0" borderId="0" xfId="0" applyFont="1" applyAlignment="1">
      <alignment wrapText="1"/>
    </xf>
    <xf numFmtId="211" fontId="54" fillId="0" borderId="0" xfId="0" applyNumberFormat="1" applyFont="1" applyAlignment="1">
      <alignment wrapText="1"/>
    </xf>
    <xf numFmtId="211" fontId="114" fillId="0" borderId="0" xfId="0" applyNumberFormat="1" applyFont="1" applyAlignment="1">
      <alignment wrapText="1"/>
    </xf>
    <xf numFmtId="211" fontId="54" fillId="0" borderId="0" xfId="0" applyNumberFormat="1" applyFont="1"/>
    <xf numFmtId="167" fontId="37" fillId="0" borderId="0" xfId="0" applyNumberFormat="1" applyFont="1"/>
    <xf numFmtId="167" fontId="38" fillId="0" borderId="0" xfId="0" applyNumberFormat="1" applyFont="1" applyBorder="1"/>
    <xf numFmtId="167" fontId="38" fillId="0" borderId="0" xfId="0" applyNumberFormat="1" applyFont="1"/>
    <xf numFmtId="167" fontId="38" fillId="0" borderId="20" xfId="0" applyNumberFormat="1" applyFont="1" applyBorder="1"/>
    <xf numFmtId="1" fontId="38" fillId="0" borderId="0" xfId="0" applyNumberFormat="1" applyFont="1" applyBorder="1"/>
    <xf numFmtId="1" fontId="38" fillId="0" borderId="0" xfId="0" applyNumberFormat="1" applyFont="1"/>
    <xf numFmtId="167" fontId="38" fillId="0" borderId="16" xfId="0" applyNumberFormat="1" applyFont="1" applyBorder="1"/>
    <xf numFmtId="1" fontId="38" fillId="0" borderId="20" xfId="0" applyNumberFormat="1" applyFont="1" applyBorder="1"/>
    <xf numFmtId="180" fontId="89" fillId="0" borderId="0" xfId="0" applyNumberFormat="1" applyFont="1" applyBorder="1"/>
    <xf numFmtId="0" fontId="10" fillId="0" borderId="0" xfId="0" applyFont="1" applyFill="1" applyAlignment="1" applyProtection="1">
      <alignment horizontal="right"/>
    </xf>
    <xf numFmtId="1" fontId="0" fillId="0" borderId="0" xfId="0" applyNumberFormat="1" applyFill="1" applyAlignment="1" applyProtection="1">
      <alignment horizontal="right"/>
    </xf>
    <xf numFmtId="1" fontId="10" fillId="0" borderId="0" xfId="0" applyNumberFormat="1" applyFont="1" applyFill="1" applyAlignment="1" applyProtection="1">
      <alignment horizontal="right"/>
    </xf>
    <xf numFmtId="0" fontId="38" fillId="0" borderId="20" xfId="0" applyFont="1" applyBorder="1"/>
    <xf numFmtId="1" fontId="38" fillId="0" borderId="16" xfId="0" applyNumberFormat="1" applyFont="1" applyFill="1" applyBorder="1"/>
    <xf numFmtId="1" fontId="38" fillId="0" borderId="16" xfId="0" applyNumberFormat="1" applyFont="1" applyBorder="1"/>
    <xf numFmtId="172" fontId="0" fillId="0" borderId="21" xfId="0" applyNumberFormat="1" applyBorder="1"/>
    <xf numFmtId="2" fontId="0" fillId="0" borderId="22" xfId="0" applyNumberFormat="1" applyBorder="1"/>
    <xf numFmtId="167" fontId="0" fillId="0" borderId="2" xfId="0" applyNumberFormat="1" applyFill="1" applyBorder="1"/>
    <xf numFmtId="167" fontId="0" fillId="0" borderId="73" xfId="0" applyNumberFormat="1" applyBorder="1"/>
    <xf numFmtId="167" fontId="0" fillId="0" borderId="72" xfId="0" applyNumberFormat="1" applyBorder="1"/>
    <xf numFmtId="2" fontId="0" fillId="0" borderId="23" xfId="0" applyNumberFormat="1" applyBorder="1"/>
    <xf numFmtId="172" fontId="0" fillId="0" borderId="16" xfId="0" applyNumberFormat="1" applyFill="1" applyBorder="1"/>
    <xf numFmtId="0" fontId="84" fillId="0" borderId="0" xfId="0" applyFont="1" applyFill="1"/>
    <xf numFmtId="180" fontId="84" fillId="0" borderId="0" xfId="0" applyNumberFormat="1" applyFont="1" applyFill="1"/>
    <xf numFmtId="0" fontId="84" fillId="0" borderId="16" xfId="0" applyFont="1" applyFill="1" applyBorder="1"/>
    <xf numFmtId="0" fontId="0" fillId="0" borderId="77" xfId="0" applyFill="1" applyBorder="1"/>
    <xf numFmtId="3" fontId="0" fillId="0" borderId="0" xfId="0" applyNumberFormat="1" applyFill="1" applyAlignment="1"/>
    <xf numFmtId="4" fontId="0" fillId="0" borderId="0" xfId="0" applyNumberFormat="1" applyFill="1" applyAlignment="1"/>
    <xf numFmtId="0" fontId="54" fillId="33" borderId="0" xfId="0" applyFont="1" applyFill="1" applyBorder="1"/>
    <xf numFmtId="0" fontId="160" fillId="0" borderId="0" xfId="0" applyFont="1" applyFill="1" applyBorder="1" applyAlignment="1"/>
    <xf numFmtId="0" fontId="71" fillId="0" borderId="0" xfId="0" applyFont="1" applyFill="1" applyBorder="1" applyAlignment="1">
      <alignment horizontal="left"/>
    </xf>
    <xf numFmtId="0" fontId="31" fillId="0" borderId="0" xfId="0" applyFont="1" applyFill="1" applyBorder="1" applyAlignment="1">
      <alignment horizontal="center" wrapText="1"/>
    </xf>
    <xf numFmtId="0" fontId="0" fillId="0" borderId="0" xfId="0" applyFill="1" applyBorder="1" applyAlignment="1">
      <alignment wrapText="1"/>
    </xf>
    <xf numFmtId="0" fontId="144" fillId="0" borderId="0" xfId="0" applyFont="1" applyFill="1" applyBorder="1" applyAlignment="1">
      <alignment horizontal="right" wrapText="1"/>
    </xf>
    <xf numFmtId="3" fontId="71" fillId="0" borderId="0" xfId="0" applyNumberFormat="1" applyFont="1" applyFill="1" applyBorder="1" applyAlignment="1">
      <alignment horizontal="right"/>
    </xf>
    <xf numFmtId="0" fontId="71" fillId="0" borderId="0" xfId="0" applyFont="1" applyFill="1" applyBorder="1" applyAlignment="1">
      <alignment horizontal="right"/>
    </xf>
    <xf numFmtId="0" fontId="144" fillId="0" borderId="0" xfId="0" applyFont="1" applyFill="1" applyBorder="1" applyAlignment="1">
      <alignment horizontal="right"/>
    </xf>
    <xf numFmtId="0" fontId="70" fillId="0" borderId="0" xfId="0" applyFont="1" applyFill="1" applyBorder="1" applyAlignment="1"/>
    <xf numFmtId="0" fontId="37" fillId="33" borderId="0" xfId="1525" applyFont="1" applyFill="1"/>
    <xf numFmtId="0" fontId="160" fillId="33" borderId="0" xfId="1525" applyFont="1" applyFill="1"/>
    <xf numFmtId="0" fontId="31" fillId="33" borderId="0" xfId="1525" applyFill="1"/>
    <xf numFmtId="0" fontId="71" fillId="33" borderId="148" xfId="1525" applyFont="1" applyFill="1" applyBorder="1" applyAlignment="1">
      <alignment vertical="top"/>
    </xf>
    <xf numFmtId="0" fontId="71" fillId="33" borderId="148" xfId="1525" applyFont="1" applyFill="1" applyBorder="1" applyAlignment="1">
      <alignment horizontal="center"/>
    </xf>
    <xf numFmtId="0" fontId="71" fillId="33" borderId="0" xfId="1525" applyFont="1" applyFill="1" applyBorder="1" applyAlignment="1">
      <alignment vertical="top"/>
    </xf>
    <xf numFmtId="0" fontId="31" fillId="33" borderId="0" xfId="1525" applyFont="1" applyFill="1" applyBorder="1" applyAlignment="1">
      <alignment horizontal="right"/>
    </xf>
    <xf numFmtId="0" fontId="31" fillId="33" borderId="0" xfId="1525" applyFont="1" applyFill="1" applyBorder="1" applyAlignment="1">
      <alignment horizontal="left"/>
    </xf>
    <xf numFmtId="0" fontId="31" fillId="33" borderId="0" xfId="1525" applyFont="1" applyFill="1" applyBorder="1" applyAlignment="1">
      <alignment horizontal="center" vertical="top" wrapText="1"/>
    </xf>
    <xf numFmtId="0" fontId="71" fillId="33" borderId="25" xfId="1525" applyFont="1" applyFill="1" applyBorder="1" applyAlignment="1">
      <alignment vertical="top"/>
    </xf>
    <xf numFmtId="0" fontId="71" fillId="33" borderId="25" xfId="1525" applyFont="1" applyFill="1" applyBorder="1" applyAlignment="1">
      <alignment horizontal="right"/>
    </xf>
    <xf numFmtId="0" fontId="31" fillId="33" borderId="25" xfId="1525" applyFont="1" applyFill="1" applyBorder="1" applyAlignment="1">
      <alignment horizontal="left" vertical="top" wrapText="1"/>
    </xf>
    <xf numFmtId="0" fontId="31" fillId="33" borderId="25" xfId="1525" applyFont="1" applyFill="1" applyBorder="1" applyAlignment="1">
      <alignment horizontal="center" vertical="top" wrapText="1"/>
    </xf>
    <xf numFmtId="0" fontId="31" fillId="33" borderId="25" xfId="1525" applyFont="1" applyFill="1" applyBorder="1" applyAlignment="1">
      <alignment vertical="top" wrapText="1"/>
    </xf>
    <xf numFmtId="0" fontId="71" fillId="33" borderId="0" xfId="1525" applyFont="1" applyFill="1" applyBorder="1" applyAlignment="1">
      <alignment horizontal="right"/>
    </xf>
    <xf numFmtId="0" fontId="31" fillId="33" borderId="0" xfId="1525" applyFont="1" applyFill="1" applyBorder="1" applyAlignment="1">
      <alignment horizontal="right" vertical="top"/>
    </xf>
    <xf numFmtId="0" fontId="31" fillId="33" borderId="0" xfId="1525" applyFill="1" applyAlignment="1"/>
    <xf numFmtId="0" fontId="71" fillId="33" borderId="0" xfId="1525" applyFont="1" applyFill="1" applyBorder="1" applyAlignment="1">
      <alignment vertical="center"/>
    </xf>
    <xf numFmtId="3" fontId="71" fillId="33" borderId="0" xfId="1525" applyNumberFormat="1" applyFont="1" applyFill="1" applyBorder="1" applyAlignment="1">
      <alignment horizontal="right" vertical="center"/>
    </xf>
    <xf numFmtId="3" fontId="164" fillId="33" borderId="0" xfId="1525" applyNumberFormat="1" applyFont="1" applyFill="1" applyAlignment="1">
      <alignment horizontal="right" vertical="center"/>
    </xf>
    <xf numFmtId="3" fontId="31" fillId="33" borderId="0" xfId="1525" applyNumberFormat="1" applyFont="1" applyFill="1" applyAlignment="1">
      <alignment horizontal="right" vertical="center"/>
    </xf>
    <xf numFmtId="3" fontId="31" fillId="33" borderId="0" xfId="1525" applyNumberFormat="1" applyFont="1" applyFill="1" applyBorder="1" applyAlignment="1">
      <alignment horizontal="right" vertical="center"/>
    </xf>
    <xf numFmtId="0" fontId="31" fillId="33" borderId="0" xfId="1525" applyFont="1" applyFill="1" applyBorder="1" applyAlignment="1">
      <alignment vertical="center"/>
    </xf>
    <xf numFmtId="0" fontId="31" fillId="33" borderId="0" xfId="1525" applyFont="1" applyFill="1" applyAlignment="1">
      <alignment vertical="center"/>
    </xf>
    <xf numFmtId="3" fontId="31" fillId="33" borderId="150" xfId="1525" applyNumberFormat="1" applyFont="1" applyFill="1" applyBorder="1" applyAlignment="1">
      <alignment horizontal="left"/>
    </xf>
    <xf numFmtId="3" fontId="164" fillId="33" borderId="150" xfId="1525" applyNumberFormat="1" applyFont="1" applyFill="1" applyBorder="1" applyAlignment="1">
      <alignment horizontal="right"/>
    </xf>
    <xf numFmtId="0" fontId="164" fillId="33" borderId="150" xfId="1525" applyFont="1" applyFill="1" applyBorder="1" applyAlignment="1">
      <alignment horizontal="right"/>
    </xf>
    <xf numFmtId="0" fontId="31" fillId="33" borderId="150" xfId="1525" applyFont="1" applyFill="1" applyBorder="1" applyAlignment="1">
      <alignment horizontal="right"/>
    </xf>
    <xf numFmtId="0" fontId="31" fillId="33" borderId="0" xfId="1525" applyFont="1" applyFill="1" applyAlignment="1"/>
    <xf numFmtId="0" fontId="0" fillId="0" borderId="0" xfId="0" applyFont="1" applyFill="1" applyAlignment="1"/>
    <xf numFmtId="172" fontId="0" fillId="0" borderId="0" xfId="0" applyNumberFormat="1" applyFill="1" applyAlignment="1"/>
    <xf numFmtId="43" fontId="38" fillId="0" borderId="25" xfId="35" applyFont="1" applyBorder="1"/>
    <xf numFmtId="0" fontId="3" fillId="43" borderId="44" xfId="1529" applyFont="1" applyFill="1" applyBorder="1"/>
    <xf numFmtId="0" fontId="3" fillId="43" borderId="24" xfId="1529" applyFont="1" applyFill="1" applyBorder="1"/>
    <xf numFmtId="0" fontId="2" fillId="0" borderId="0" xfId="1529" applyFont="1" applyBorder="1"/>
    <xf numFmtId="0" fontId="136" fillId="0" borderId="0" xfId="1529" applyFont="1" applyBorder="1"/>
    <xf numFmtId="3" fontId="136" fillId="0" borderId="0" xfId="1529" applyNumberFormat="1" applyFont="1" applyBorder="1"/>
    <xf numFmtId="0" fontId="136" fillId="0" borderId="19" xfId="1529" applyFont="1" applyBorder="1"/>
    <xf numFmtId="3" fontId="136" fillId="0" borderId="19" xfId="1529" applyNumberFormat="1" applyFont="1" applyBorder="1"/>
    <xf numFmtId="0" fontId="54" fillId="0" borderId="19" xfId="0" applyFont="1" applyBorder="1"/>
    <xf numFmtId="167" fontId="10" fillId="0" borderId="0" xfId="0" applyNumberFormat="1" applyFont="1"/>
    <xf numFmtId="0" fontId="2" fillId="0" borderId="44" xfId="1529" applyFont="1" applyBorder="1"/>
    <xf numFmtId="0" fontId="2" fillId="0" borderId="19" xfId="1529" applyFont="1" applyBorder="1"/>
    <xf numFmtId="172" fontId="0" fillId="0" borderId="56" xfId="0" applyNumberFormat="1" applyFill="1" applyBorder="1" applyAlignment="1"/>
    <xf numFmtId="172" fontId="0" fillId="0" borderId="25" xfId="0" applyNumberFormat="1" applyFill="1" applyBorder="1" applyAlignment="1"/>
    <xf numFmtId="0" fontId="158" fillId="0" borderId="0" xfId="0" applyFont="1"/>
    <xf numFmtId="172" fontId="38" fillId="0" borderId="16" xfId="0" applyNumberFormat="1" applyFont="1" applyBorder="1"/>
    <xf numFmtId="1" fontId="57" fillId="47" borderId="83" xfId="1531" applyNumberFormat="1" applyFont="1" applyFill="1" applyBorder="1"/>
    <xf numFmtId="1" fontId="57" fillId="34" borderId="0" xfId="1531" applyNumberFormat="1" applyFont="1" applyFill="1" applyBorder="1"/>
    <xf numFmtId="1" fontId="57" fillId="34" borderId="52" xfId="1531" applyNumberFormat="1" applyFont="1" applyFill="1" applyBorder="1"/>
    <xf numFmtId="182" fontId="58" fillId="28" borderId="83" xfId="1531" applyNumberFormat="1" applyFont="1" applyFill="1" applyBorder="1"/>
    <xf numFmtId="183" fontId="60" fillId="0" borderId="0" xfId="1531" applyNumberFormat="1" applyFont="1" applyFill="1" applyBorder="1"/>
    <xf numFmtId="183" fontId="60" fillId="0" borderId="52" xfId="1531" applyNumberFormat="1" applyFont="1" applyFill="1" applyBorder="1"/>
    <xf numFmtId="182" fontId="59" fillId="0" borderId="83" xfId="1531" applyNumberFormat="1" applyFont="1" applyFill="1" applyBorder="1"/>
    <xf numFmtId="183" fontId="57" fillId="0" borderId="0" xfId="1531" applyNumberFormat="1" applyFont="1" applyBorder="1"/>
    <xf numFmtId="183" fontId="57" fillId="0" borderId="52" xfId="1531" applyNumberFormat="1" applyFont="1" applyBorder="1"/>
    <xf numFmtId="183" fontId="60" fillId="0" borderId="0" xfId="1531" applyNumberFormat="1" applyFont="1" applyBorder="1"/>
    <xf numFmtId="183" fontId="60" fillId="0" borderId="52" xfId="1531" applyNumberFormat="1" applyFont="1" applyBorder="1"/>
    <xf numFmtId="182" fontId="57" fillId="0" borderId="0" xfId="1531" applyNumberFormat="1" applyFont="1" applyFill="1" applyBorder="1"/>
    <xf numFmtId="182" fontId="57" fillId="0" borderId="52" xfId="1531" applyNumberFormat="1" applyFont="1" applyFill="1" applyBorder="1"/>
    <xf numFmtId="180" fontId="0" fillId="0" borderId="0" xfId="0" applyNumberFormat="1" applyFill="1" applyBorder="1"/>
    <xf numFmtId="182" fontId="59" fillId="0" borderId="84" xfId="1531" applyNumberFormat="1" applyFont="1" applyFill="1" applyBorder="1"/>
    <xf numFmtId="183" fontId="57" fillId="0" borderId="79" xfId="1531" applyNumberFormat="1" applyFont="1" applyBorder="1"/>
    <xf numFmtId="183" fontId="57" fillId="0" borderId="80" xfId="1531" applyNumberFormat="1" applyFont="1" applyBorder="1"/>
    <xf numFmtId="180" fontId="84" fillId="0" borderId="20" xfId="0" applyNumberFormat="1" applyFont="1" applyFill="1" applyBorder="1"/>
    <xf numFmtId="1" fontId="84" fillId="0" borderId="20" xfId="0" applyNumberFormat="1" applyFont="1" applyFill="1" applyBorder="1"/>
    <xf numFmtId="0" fontId="33" fillId="28" borderId="15" xfId="0" applyFont="1" applyFill="1" applyBorder="1" applyAlignment="1">
      <alignment horizontal="center" vertical="center" wrapText="1"/>
    </xf>
    <xf numFmtId="2" fontId="10" fillId="0" borderId="0" xfId="0" applyNumberFormat="1" applyFont="1"/>
    <xf numFmtId="2" fontId="10" fillId="0" borderId="22" xfId="0" applyNumberFormat="1" applyFont="1" applyBorder="1"/>
    <xf numFmtId="172" fontId="10" fillId="0" borderId="22" xfId="0" applyNumberFormat="1" applyFont="1" applyBorder="1"/>
    <xf numFmtId="172" fontId="10" fillId="0" borderId="16" xfId="0" applyNumberFormat="1" applyFont="1" applyBorder="1"/>
    <xf numFmtId="1" fontId="10" fillId="0" borderId="19" xfId="0" applyNumberFormat="1" applyFont="1" applyBorder="1"/>
    <xf numFmtId="1" fontId="10" fillId="0" borderId="44" xfId="0" applyNumberFormat="1" applyFont="1" applyBorder="1"/>
    <xf numFmtId="172" fontId="84" fillId="0" borderId="0" xfId="0" applyNumberFormat="1" applyFont="1" applyBorder="1"/>
    <xf numFmtId="167" fontId="84" fillId="0" borderId="0" xfId="0" applyNumberFormat="1" applyFont="1" applyBorder="1"/>
    <xf numFmtId="167" fontId="84" fillId="0" borderId="0" xfId="0" applyNumberFormat="1" applyFont="1"/>
    <xf numFmtId="1" fontId="10" fillId="0" borderId="24" xfId="0" applyNumberFormat="1" applyFont="1" applyBorder="1"/>
    <xf numFmtId="1" fontId="10" fillId="0" borderId="20" xfId="0" applyNumberFormat="1" applyFont="1" applyBorder="1"/>
    <xf numFmtId="0" fontId="84" fillId="0" borderId="20" xfId="0" applyFont="1" applyBorder="1"/>
    <xf numFmtId="2" fontId="10" fillId="0" borderId="23" xfId="0" applyNumberFormat="1" applyFont="1" applyBorder="1"/>
    <xf numFmtId="0" fontId="102" fillId="55" borderId="22" xfId="1125" applyBorder="1"/>
    <xf numFmtId="0" fontId="121" fillId="55" borderId="0" xfId="1125" applyFont="1" applyBorder="1"/>
    <xf numFmtId="167" fontId="103" fillId="56" borderId="151" xfId="1126" applyNumberFormat="1" applyFont="1" applyBorder="1" applyAlignment="1">
      <alignment horizontal="center"/>
    </xf>
    <xf numFmtId="0" fontId="102" fillId="55" borderId="23" xfId="1125" applyBorder="1"/>
    <xf numFmtId="1" fontId="105" fillId="57" borderId="152" xfId="1128" applyNumberFormat="1" applyBorder="1" applyAlignment="1">
      <alignment horizontal="center"/>
    </xf>
    <xf numFmtId="1" fontId="89" fillId="0" borderId="20" xfId="0" applyNumberFormat="1" applyFont="1" applyBorder="1"/>
    <xf numFmtId="167" fontId="38" fillId="0" borderId="0" xfId="0" applyNumberFormat="1" applyFont="1" applyFill="1" applyBorder="1"/>
    <xf numFmtId="2" fontId="84" fillId="0" borderId="0" xfId="0" applyNumberFormat="1" applyFont="1" applyAlignment="1">
      <alignment horizontal="left"/>
    </xf>
    <xf numFmtId="0" fontId="37" fillId="51" borderId="0" xfId="0" applyFont="1" applyFill="1"/>
    <xf numFmtId="0" fontId="10" fillId="51" borderId="0" xfId="0" applyFont="1" applyFill="1"/>
    <xf numFmtId="167" fontId="0" fillId="51" borderId="0" xfId="0" applyNumberFormat="1" applyFill="1"/>
    <xf numFmtId="2" fontId="38" fillId="0" borderId="20" xfId="0" applyNumberFormat="1" applyFont="1" applyFill="1" applyBorder="1"/>
    <xf numFmtId="2" fontId="0" fillId="0" borderId="16" xfId="0" applyNumberFormat="1" applyFill="1" applyBorder="1"/>
    <xf numFmtId="2" fontId="0" fillId="0" borderId="20" xfId="0" applyNumberFormat="1" applyFill="1" applyBorder="1"/>
    <xf numFmtId="0" fontId="37" fillId="0" borderId="0" xfId="0" applyFont="1" applyFill="1"/>
    <xf numFmtId="213" fontId="0" fillId="0" borderId="0" xfId="0" applyNumberFormat="1"/>
    <xf numFmtId="177" fontId="0" fillId="0" borderId="20" xfId="0" applyNumberFormat="1" applyBorder="1"/>
    <xf numFmtId="172" fontId="0" fillId="51" borderId="0" xfId="0" applyNumberFormat="1" applyFill="1"/>
    <xf numFmtId="0" fontId="0" fillId="0" borderId="0" xfId="0" applyFill="1" applyBorder="1" applyAlignment="1" applyProtection="1"/>
    <xf numFmtId="182" fontId="59" fillId="0" borderId="20" xfId="1531" applyNumberFormat="1" applyFont="1" applyFill="1" applyBorder="1"/>
    <xf numFmtId="183" fontId="205" fillId="0" borderId="20" xfId="1534" applyNumberFormat="1" applyFont="1" applyFill="1" applyBorder="1"/>
    <xf numFmtId="0" fontId="0" fillId="0" borderId="20" xfId="0" applyFill="1" applyBorder="1" applyAlignment="1" applyProtection="1"/>
    <xf numFmtId="1" fontId="0" fillId="97" borderId="0" xfId="0" applyNumberFormat="1" applyFill="1"/>
    <xf numFmtId="0" fontId="0" fillId="97" borderId="0" xfId="0" applyFill="1"/>
    <xf numFmtId="2" fontId="0" fillId="51" borderId="0" xfId="0" applyNumberFormat="1" applyFill="1"/>
    <xf numFmtId="0" fontId="10" fillId="51" borderId="20" xfId="0" applyFont="1" applyFill="1" applyBorder="1"/>
    <xf numFmtId="2" fontId="0" fillId="51" borderId="20" xfId="0" applyNumberFormat="1" applyFill="1" applyBorder="1"/>
    <xf numFmtId="0" fontId="0" fillId="51" borderId="20" xfId="0" applyFill="1" applyBorder="1"/>
    <xf numFmtId="1" fontId="0" fillId="51" borderId="20" xfId="0" applyNumberFormat="1" applyFill="1" applyBorder="1"/>
    <xf numFmtId="174" fontId="10" fillId="0" borderId="27" xfId="0" applyNumberFormat="1" applyFont="1" applyFill="1" applyBorder="1"/>
    <xf numFmtId="1" fontId="10" fillId="0" borderId="27" xfId="0" applyNumberFormat="1" applyFont="1" applyBorder="1"/>
    <xf numFmtId="0" fontId="84" fillId="0" borderId="27" xfId="0" applyFont="1" applyBorder="1"/>
    <xf numFmtId="174" fontId="10" fillId="0" borderId="16" xfId="0" applyNumberFormat="1" applyFont="1" applyFill="1" applyBorder="1"/>
    <xf numFmtId="0" fontId="84" fillId="0" borderId="16" xfId="0" applyFont="1" applyBorder="1"/>
    <xf numFmtId="0" fontId="32" fillId="44" borderId="21" xfId="0" applyFont="1" applyFill="1" applyBorder="1" applyAlignment="1">
      <alignment horizontal="left" vertical="center" wrapText="1"/>
    </xf>
    <xf numFmtId="164" fontId="0" fillId="0" borderId="0" xfId="0" applyNumberFormat="1"/>
    <xf numFmtId="214" fontId="0" fillId="0" borderId="0" xfId="0" applyNumberFormat="1"/>
    <xf numFmtId="214" fontId="0" fillId="43" borderId="0" xfId="0" applyNumberFormat="1" applyFill="1"/>
    <xf numFmtId="214" fontId="0" fillId="86" borderId="0" xfId="0" applyNumberFormat="1" applyFill="1"/>
    <xf numFmtId="214" fontId="0" fillId="0" borderId="20" xfId="0" applyNumberFormat="1" applyBorder="1"/>
    <xf numFmtId="0" fontId="10" fillId="86" borderId="0" xfId="0" applyFont="1" applyFill="1" applyBorder="1"/>
    <xf numFmtId="3" fontId="0" fillId="86" borderId="0" xfId="0" applyNumberFormat="1" applyFill="1" applyBorder="1"/>
    <xf numFmtId="1" fontId="38" fillId="0" borderId="0" xfId="0" applyNumberFormat="1" applyFont="1" applyFill="1"/>
    <xf numFmtId="0" fontId="10" fillId="86" borderId="25" xfId="0" applyFont="1" applyFill="1" applyBorder="1"/>
    <xf numFmtId="167" fontId="38" fillId="0" borderId="27" xfId="0" applyNumberFormat="1" applyFont="1" applyFill="1" applyBorder="1"/>
    <xf numFmtId="202" fontId="142" fillId="43" borderId="0" xfId="0" applyNumberFormat="1" applyFont="1" applyFill="1" applyBorder="1" applyAlignment="1">
      <alignment horizontal="right"/>
    </xf>
    <xf numFmtId="202" fontId="36" fillId="43" borderId="0" xfId="0" applyNumberFormat="1" applyFont="1" applyFill="1" applyBorder="1" applyAlignment="1">
      <alignment horizontal="right"/>
    </xf>
    <xf numFmtId="202" fontId="142" fillId="43" borderId="20" xfId="0" applyNumberFormat="1" applyFont="1" applyFill="1" applyBorder="1" applyAlignment="1">
      <alignment horizontal="right"/>
    </xf>
    <xf numFmtId="197" fontId="10" fillId="0" borderId="0" xfId="0" applyNumberFormat="1" applyFont="1"/>
    <xf numFmtId="0" fontId="10" fillId="51" borderId="0" xfId="0" applyFont="1" applyFill="1" applyBorder="1"/>
    <xf numFmtId="0" fontId="37" fillId="51" borderId="0" xfId="0" applyFont="1" applyFill="1" applyBorder="1"/>
    <xf numFmtId="0" fontId="0" fillId="51" borderId="0" xfId="0" applyFill="1" applyBorder="1"/>
    <xf numFmtId="2" fontId="0" fillId="51" borderId="0" xfId="0" applyNumberFormat="1" applyFill="1" applyBorder="1"/>
    <xf numFmtId="0" fontId="37" fillId="51" borderId="20" xfId="0" applyFont="1" applyFill="1" applyBorder="1"/>
    <xf numFmtId="2" fontId="37" fillId="51" borderId="0" xfId="0" applyNumberFormat="1" applyFont="1" applyFill="1"/>
    <xf numFmtId="0" fontId="10" fillId="42" borderId="0" xfId="0" applyFont="1" applyFill="1"/>
    <xf numFmtId="2" fontId="0" fillId="42" borderId="0" xfId="0" applyNumberFormat="1" applyFill="1"/>
    <xf numFmtId="167" fontId="0" fillId="42" borderId="0" xfId="0" applyNumberFormat="1" applyFill="1"/>
    <xf numFmtId="167" fontId="83" fillId="42" borderId="0" xfId="0" applyNumberFormat="1" applyFont="1" applyFill="1"/>
    <xf numFmtId="1" fontId="0" fillId="42" borderId="0" xfId="0" applyNumberFormat="1" applyFill="1"/>
    <xf numFmtId="213" fontId="37" fillId="0" borderId="0" xfId="0" applyNumberFormat="1" applyFont="1"/>
    <xf numFmtId="197" fontId="71" fillId="43" borderId="0" xfId="0" applyNumberFormat="1" applyFont="1" applyFill="1" applyBorder="1" applyAlignment="1">
      <alignment horizontal="right"/>
    </xf>
    <xf numFmtId="3" fontId="36" fillId="43" borderId="0" xfId="0" applyNumberFormat="1" applyFont="1" applyFill="1" applyBorder="1" applyAlignment="1">
      <alignment horizontal="right"/>
    </xf>
    <xf numFmtId="0" fontId="36" fillId="43" borderId="0" xfId="0" applyFont="1" applyFill="1" applyBorder="1"/>
    <xf numFmtId="0" fontId="31" fillId="43" borderId="0" xfId="0" applyFont="1" applyFill="1" applyBorder="1"/>
    <xf numFmtId="14" fontId="10" fillId="0" borderId="0" xfId="0" applyNumberFormat="1" applyFont="1"/>
    <xf numFmtId="0" fontId="0" fillId="0" borderId="22" xfId="0" applyBorder="1" applyAlignment="1">
      <alignment horizontal="center"/>
    </xf>
    <xf numFmtId="1" fontId="10" fillId="0" borderId="0" xfId="0" applyNumberFormat="1" applyFont="1" applyFill="1"/>
    <xf numFmtId="172" fontId="84" fillId="0" borderId="20" xfId="0" applyNumberFormat="1" applyFont="1" applyBorder="1"/>
    <xf numFmtId="0" fontId="84" fillId="0" borderId="0" xfId="0" applyFont="1" applyFill="1" applyAlignment="1">
      <alignment horizontal="right"/>
    </xf>
    <xf numFmtId="199" fontId="10" fillId="0" borderId="0" xfId="0" applyNumberFormat="1" applyFont="1" applyAlignment="1"/>
    <xf numFmtId="172" fontId="0" fillId="86" borderId="20" xfId="0" applyNumberFormat="1" applyFill="1" applyBorder="1"/>
    <xf numFmtId="1" fontId="84" fillId="0" borderId="0" xfId="0" applyNumberFormat="1" applyFont="1" applyBorder="1"/>
    <xf numFmtId="1" fontId="70" fillId="37" borderId="0" xfId="0" applyNumberFormat="1" applyFont="1" applyFill="1"/>
    <xf numFmtId="1" fontId="70" fillId="37" borderId="0" xfId="0" applyNumberFormat="1" applyFont="1" applyFill="1" applyBorder="1"/>
    <xf numFmtId="0" fontId="79" fillId="0" borderId="0" xfId="223" applyAlignment="1">
      <alignment horizontal="left"/>
    </xf>
    <xf numFmtId="0" fontId="10" fillId="47" borderId="44" xfId="0" applyFont="1" applyFill="1" applyBorder="1" applyAlignment="1">
      <alignment horizontal="center" vertical="center" textRotation="180"/>
    </xf>
    <xf numFmtId="0" fontId="10" fillId="47" borderId="19" xfId="0" applyFont="1" applyFill="1" applyBorder="1" applyAlignment="1">
      <alignment horizontal="center" vertical="center" textRotation="180"/>
    </xf>
    <xf numFmtId="0" fontId="10" fillId="47" borderId="24" xfId="0" applyFont="1" applyFill="1" applyBorder="1" applyAlignment="1">
      <alignment horizontal="center" vertical="center" textRotation="180"/>
    </xf>
    <xf numFmtId="167" fontId="0" fillId="0" borderId="0" xfId="0" applyNumberFormat="1" applyAlignment="1">
      <alignment wrapText="1"/>
    </xf>
    <xf numFmtId="0" fontId="10" fillId="0" borderId="0" xfId="0" applyFont="1" applyAlignment="1">
      <alignment wrapText="1"/>
    </xf>
    <xf numFmtId="4" fontId="71" fillId="33" borderId="0" xfId="1159" applyNumberFormat="1" applyFont="1" applyFill="1" applyAlignment="1">
      <alignment horizontal="right"/>
    </xf>
    <xf numFmtId="2" fontId="0" fillId="43" borderId="20" xfId="0" applyNumberFormat="1" applyFill="1" applyBorder="1"/>
    <xf numFmtId="2" fontId="38" fillId="43" borderId="165" xfId="0" applyNumberFormat="1" applyFont="1" applyFill="1" applyBorder="1"/>
    <xf numFmtId="0" fontId="10" fillId="83" borderId="165" xfId="0" applyFont="1" applyFill="1" applyBorder="1"/>
    <xf numFmtId="0" fontId="10" fillId="83" borderId="164" xfId="0" applyFont="1" applyFill="1" applyBorder="1"/>
    <xf numFmtId="0" fontId="10" fillId="47" borderId="165" xfId="0" applyFont="1" applyFill="1" applyBorder="1"/>
    <xf numFmtId="2" fontId="38" fillId="43" borderId="163" xfId="0" applyNumberFormat="1" applyFont="1" applyFill="1" applyBorder="1"/>
    <xf numFmtId="2" fontId="38" fillId="43" borderId="24" xfId="0" applyNumberFormat="1" applyFont="1" applyFill="1" applyBorder="1"/>
    <xf numFmtId="2" fontId="0" fillId="43" borderId="24" xfId="0" applyNumberFormat="1" applyFill="1" applyBorder="1"/>
    <xf numFmtId="2" fontId="37" fillId="43" borderId="44" xfId="0" applyNumberFormat="1" applyFont="1" applyFill="1" applyBorder="1"/>
    <xf numFmtId="2" fontId="10" fillId="43" borderId="19" xfId="0" applyNumberFormat="1" applyFont="1" applyFill="1" applyBorder="1"/>
    <xf numFmtId="2" fontId="10" fillId="43" borderId="44" xfId="0" applyNumberFormat="1" applyFont="1" applyFill="1" applyBorder="1"/>
    <xf numFmtId="2" fontId="10" fillId="43" borderId="24" xfId="0" applyNumberFormat="1" applyFont="1" applyFill="1" applyBorder="1"/>
    <xf numFmtId="0" fontId="10" fillId="47" borderId="163" xfId="0" applyFont="1" applyFill="1" applyBorder="1" applyAlignment="1">
      <alignment horizontal="center" vertical="center" textRotation="180"/>
    </xf>
    <xf numFmtId="0" fontId="0" fillId="0" borderId="24" xfId="0" applyBorder="1" applyAlignment="1"/>
    <xf numFmtId="167" fontId="0" fillId="0" borderId="165" xfId="0" applyNumberFormat="1" applyBorder="1"/>
    <xf numFmtId="0" fontId="0" fillId="0" borderId="164" xfId="0" applyBorder="1"/>
    <xf numFmtId="0" fontId="114" fillId="0" borderId="22" xfId="0" applyFont="1" applyBorder="1"/>
    <xf numFmtId="1" fontId="139" fillId="56" borderId="167" xfId="1126" applyNumberFormat="1" applyFont="1" applyBorder="1"/>
    <xf numFmtId="1" fontId="139" fillId="56" borderId="168" xfId="1126" applyNumberFormat="1" applyFont="1" applyBorder="1"/>
    <xf numFmtId="0" fontId="114" fillId="42" borderId="163" xfId="0" applyFont="1" applyFill="1" applyBorder="1"/>
    <xf numFmtId="0" fontId="114" fillId="42" borderId="165" xfId="0" applyFont="1" applyFill="1" applyBorder="1"/>
    <xf numFmtId="0" fontId="114" fillId="42" borderId="164" xfId="0" applyFont="1" applyFill="1" applyBorder="1"/>
    <xf numFmtId="0" fontId="114" fillId="42" borderId="22" xfId="0" applyFont="1" applyFill="1" applyBorder="1"/>
    <xf numFmtId="0" fontId="54" fillId="42" borderId="166" xfId="0" applyFont="1" applyFill="1" applyBorder="1"/>
    <xf numFmtId="1" fontId="54" fillId="42" borderId="169" xfId="0" applyNumberFormat="1" applyFont="1" applyFill="1" applyBorder="1"/>
    <xf numFmtId="1" fontId="54" fillId="42" borderId="170" xfId="0" applyNumberFormat="1" applyFont="1" applyFill="1" applyBorder="1"/>
    <xf numFmtId="3" fontId="0" fillId="43" borderId="22" xfId="0" applyNumberFormat="1" applyFont="1" applyFill="1" applyBorder="1"/>
    <xf numFmtId="2" fontId="10" fillId="0" borderId="78" xfId="0" applyNumberFormat="1" applyFont="1" applyBorder="1"/>
    <xf numFmtId="2" fontId="10" fillId="0" borderId="72" xfId="0" applyNumberFormat="1" applyFont="1" applyBorder="1"/>
    <xf numFmtId="2" fontId="10" fillId="0" borderId="72" xfId="0" applyNumberFormat="1" applyFont="1" applyFill="1" applyBorder="1"/>
    <xf numFmtId="2" fontId="10" fillId="0" borderId="19" xfId="0" applyNumberFormat="1" applyFont="1" applyBorder="1"/>
    <xf numFmtId="2" fontId="10" fillId="0" borderId="19" xfId="0" applyNumberFormat="1" applyFont="1" applyFill="1" applyBorder="1"/>
    <xf numFmtId="2" fontId="54" fillId="0" borderId="72" xfId="0" applyNumberFormat="1" applyFont="1" applyBorder="1"/>
    <xf numFmtId="2" fontId="54" fillId="0" borderId="3" xfId="0" applyNumberFormat="1" applyFont="1" applyBorder="1"/>
    <xf numFmtId="0" fontId="0" fillId="47" borderId="26" xfId="0" applyFill="1" applyBorder="1"/>
    <xf numFmtId="0" fontId="0" fillId="47" borderId="27" xfId="0" applyFill="1" applyBorder="1"/>
    <xf numFmtId="0" fontId="37" fillId="47" borderId="27" xfId="0" applyFont="1" applyFill="1" applyBorder="1"/>
    <xf numFmtId="0" fontId="0" fillId="47" borderId="29" xfId="0" applyFill="1" applyBorder="1"/>
    <xf numFmtId="0" fontId="37" fillId="47" borderId="30" xfId="0" applyFont="1" applyFill="1" applyBorder="1"/>
    <xf numFmtId="0" fontId="0" fillId="47" borderId="30" xfId="0" applyFill="1" applyBorder="1"/>
    <xf numFmtId="167" fontId="37" fillId="47" borderId="0" xfId="0" applyNumberFormat="1" applyFont="1" applyFill="1" applyBorder="1"/>
    <xf numFmtId="2" fontId="114" fillId="47" borderId="30" xfId="0" applyNumberFormat="1" applyFont="1" applyFill="1" applyBorder="1"/>
    <xf numFmtId="0" fontId="0" fillId="47" borderId="25" xfId="0" applyFill="1" applyBorder="1"/>
    <xf numFmtId="167" fontId="0" fillId="47" borderId="27" xfId="0" applyNumberFormat="1" applyFill="1" applyBorder="1"/>
    <xf numFmtId="1" fontId="0" fillId="47" borderId="27" xfId="0" applyNumberFormat="1" applyFill="1" applyBorder="1"/>
    <xf numFmtId="0" fontId="0" fillId="47" borderId="55" xfId="0" applyFill="1" applyBorder="1"/>
    <xf numFmtId="167" fontId="0" fillId="47" borderId="25" xfId="0" applyNumberFormat="1" applyFill="1" applyBorder="1"/>
    <xf numFmtId="1" fontId="0" fillId="47" borderId="25" xfId="0" applyNumberFormat="1" applyFill="1" applyBorder="1"/>
    <xf numFmtId="0" fontId="37" fillId="45" borderId="28" xfId="0" applyFont="1" applyFill="1" applyBorder="1"/>
    <xf numFmtId="0" fontId="37" fillId="45" borderId="30" xfId="0" applyFont="1" applyFill="1" applyBorder="1"/>
    <xf numFmtId="0" fontId="0" fillId="45" borderId="30" xfId="0" applyFill="1" applyBorder="1"/>
    <xf numFmtId="1" fontId="0" fillId="45" borderId="28" xfId="0" applyNumberFormat="1" applyFill="1" applyBorder="1"/>
    <xf numFmtId="1" fontId="0" fillId="45" borderId="30" xfId="0" applyNumberFormat="1" applyFill="1" applyBorder="1"/>
    <xf numFmtId="1" fontId="0" fillId="45" borderId="56" xfId="0" applyNumberFormat="1" applyFill="1" applyBorder="1"/>
    <xf numFmtId="0" fontId="10" fillId="0" borderId="0" xfId="1531"/>
    <xf numFmtId="3" fontId="31" fillId="0" borderId="0" xfId="1531" applyNumberFormat="1" applyFont="1" applyFill="1" applyBorder="1" applyAlignment="1">
      <alignment horizontal="center"/>
    </xf>
    <xf numFmtId="0" fontId="10" fillId="0" borderId="0" xfId="1531" applyFill="1"/>
    <xf numFmtId="0" fontId="10" fillId="0" borderId="0" xfId="1531" applyFont="1" applyFill="1" applyAlignment="1">
      <alignment horizontal="left"/>
    </xf>
    <xf numFmtId="0" fontId="37" fillId="0" borderId="0" xfId="1531" applyFont="1" applyFill="1" applyAlignment="1">
      <alignment horizontal="left"/>
    </xf>
    <xf numFmtId="0" fontId="37" fillId="0" borderId="0" xfId="1531" applyFont="1" applyFill="1" applyBorder="1" applyAlignment="1">
      <alignment horizontal="center"/>
    </xf>
    <xf numFmtId="0" fontId="37" fillId="0" borderId="0" xfId="1531" applyFont="1" applyFill="1" applyBorder="1" applyAlignment="1"/>
    <xf numFmtId="3" fontId="264" fillId="0" borderId="0" xfId="1531" applyNumberFormat="1" applyFont="1" applyFill="1" applyBorder="1" applyAlignment="1">
      <alignment horizontal="left"/>
    </xf>
    <xf numFmtId="4" fontId="10" fillId="0" borderId="0" xfId="1531" applyNumberFormat="1" applyFill="1" applyBorder="1"/>
    <xf numFmtId="2" fontId="10" fillId="0" borderId="0" xfId="1531" applyNumberFormat="1" applyFill="1" applyBorder="1" applyAlignment="1">
      <alignment horizontal="right"/>
    </xf>
    <xf numFmtId="2" fontId="10" fillId="0" borderId="0" xfId="1531" applyNumberFormat="1" applyFill="1" applyBorder="1" applyAlignment="1"/>
    <xf numFmtId="4" fontId="10" fillId="0" borderId="0" xfId="1531" applyNumberFormat="1" applyFont="1" applyFill="1" applyBorder="1" applyAlignment="1"/>
    <xf numFmtId="0" fontId="37" fillId="0" borderId="0" xfId="1531" applyFont="1" applyFill="1" applyBorder="1" applyAlignment="1">
      <alignment horizontal="left"/>
    </xf>
    <xf numFmtId="3" fontId="264" fillId="0" borderId="0" xfId="1531" applyNumberFormat="1" applyFont="1" applyFill="1" applyBorder="1" applyAlignment="1">
      <alignment horizontal="center"/>
    </xf>
    <xf numFmtId="3" fontId="37" fillId="0" borderId="0" xfId="1531" applyNumberFormat="1" applyFont="1" applyFill="1" applyBorder="1" applyAlignment="1"/>
    <xf numFmtId="0" fontId="10" fillId="0" borderId="0" xfId="1531" applyFill="1" applyBorder="1" applyAlignment="1"/>
    <xf numFmtId="0" fontId="37" fillId="0" borderId="0" xfId="1531" applyFont="1" applyFill="1" applyBorder="1"/>
    <xf numFmtId="4" fontId="37" fillId="0" borderId="0" xfId="1531" applyNumberFormat="1" applyFont="1" applyFill="1" applyBorder="1"/>
    <xf numFmtId="0" fontId="31" fillId="0" borderId="0" xfId="1531" applyFont="1" applyFill="1" applyAlignment="1">
      <alignment horizontal="left"/>
    </xf>
    <xf numFmtId="4" fontId="10" fillId="0" borderId="0" xfId="1531" applyNumberFormat="1" applyFill="1" applyBorder="1" applyAlignment="1">
      <alignment horizontal="right"/>
    </xf>
    <xf numFmtId="4" fontId="10" fillId="0" borderId="0" xfId="1531" applyNumberFormat="1" applyFont="1" applyFill="1" applyBorder="1"/>
    <xf numFmtId="2" fontId="10" fillId="0" borderId="0" xfId="1531" applyNumberFormat="1" applyFill="1" applyBorder="1" applyAlignment="1">
      <alignment horizontal="left"/>
    </xf>
    <xf numFmtId="0" fontId="31" fillId="0" borderId="0" xfId="1531" applyNumberFormat="1" applyFont="1" applyFill="1" applyAlignment="1">
      <alignment horizontal="left"/>
    </xf>
    <xf numFmtId="193" fontId="31" fillId="0" borderId="0" xfId="1531" applyNumberFormat="1" applyFont="1" applyFill="1" applyAlignment="1">
      <alignment horizontal="left"/>
    </xf>
    <xf numFmtId="3" fontId="10" fillId="0" borderId="0" xfId="1531" applyNumberFormat="1" applyFill="1" applyBorder="1" applyAlignment="1">
      <alignment horizontal="right"/>
    </xf>
    <xf numFmtId="0" fontId="10" fillId="0" borderId="0" xfId="1531" applyFill="1" applyBorder="1" applyAlignment="1">
      <alignment horizontal="right"/>
    </xf>
    <xf numFmtId="0" fontId="10" fillId="0" borderId="0" xfId="1531" quotePrefix="1" applyFill="1" applyBorder="1" applyAlignment="1">
      <alignment horizontal="right"/>
    </xf>
    <xf numFmtId="4" fontId="10" fillId="0" borderId="0" xfId="1531" quotePrefix="1" applyNumberFormat="1" applyFill="1" applyBorder="1" applyAlignment="1">
      <alignment horizontal="right"/>
    </xf>
    <xf numFmtId="4" fontId="10" fillId="0" borderId="0" xfId="1531" applyNumberFormat="1" applyFont="1" applyFill="1" applyBorder="1" applyAlignment="1">
      <alignment horizontal="right"/>
    </xf>
    <xf numFmtId="0" fontId="10" fillId="0" borderId="0" xfId="1531" applyFont="1" applyFill="1" applyBorder="1" applyAlignment="1">
      <alignment horizontal="right"/>
    </xf>
    <xf numFmtId="0" fontId="10" fillId="0" borderId="0" xfId="1531" applyFont="1" applyFill="1" applyBorder="1"/>
    <xf numFmtId="0" fontId="266" fillId="0" borderId="0" xfId="1531" applyFont="1" applyFill="1" applyBorder="1" applyAlignment="1">
      <alignment horizontal="left"/>
    </xf>
    <xf numFmtId="0" fontId="37" fillId="0" borderId="0" xfId="1531" applyFont="1" applyFill="1" applyAlignment="1">
      <alignment horizontal="center"/>
    </xf>
    <xf numFmtId="0" fontId="37" fillId="0" borderId="20" xfId="1531" applyFont="1" applyFill="1" applyBorder="1" applyAlignment="1">
      <alignment horizontal="center"/>
    </xf>
    <xf numFmtId="4" fontId="10" fillId="0" borderId="0" xfId="1531" applyNumberFormat="1" applyFill="1" applyBorder="1" applyAlignment="1">
      <alignment horizontal="center"/>
    </xf>
    <xf numFmtId="0" fontId="10" fillId="0" borderId="0" xfId="1531" applyFill="1" applyBorder="1" applyAlignment="1">
      <alignment horizontal="center"/>
    </xf>
    <xf numFmtId="2" fontId="10" fillId="0" borderId="0" xfId="1531" applyNumberFormat="1" applyFill="1" applyBorder="1" applyAlignment="1">
      <alignment horizontal="center"/>
    </xf>
    <xf numFmtId="0" fontId="10" fillId="0" borderId="0" xfId="1531" applyAlignment="1"/>
    <xf numFmtId="3" fontId="10" fillId="0" borderId="0" xfId="1531" applyNumberFormat="1" applyFill="1"/>
    <xf numFmtId="0" fontId="266" fillId="0" borderId="0" xfId="1531" applyFont="1" applyFill="1" applyBorder="1" applyAlignment="1">
      <alignment horizontal="center"/>
    </xf>
    <xf numFmtId="4" fontId="10" fillId="0" borderId="0" xfId="1531" applyNumberFormat="1" applyFill="1"/>
    <xf numFmtId="0" fontId="95" fillId="0" borderId="0" xfId="1531" applyFont="1" applyAlignment="1">
      <alignment horizontal="right" vertical="center"/>
    </xf>
    <xf numFmtId="4" fontId="37" fillId="0" borderId="0" xfId="1531" applyNumberFormat="1" applyFont="1" applyFill="1" applyBorder="1" applyAlignment="1">
      <alignment horizontal="center"/>
    </xf>
    <xf numFmtId="9" fontId="56" fillId="48" borderId="0" xfId="1164" applyNumberFormat="1" applyFont="1" applyFill="1" applyBorder="1"/>
    <xf numFmtId="9" fontId="138" fillId="48" borderId="0" xfId="1164" applyNumberFormat="1" applyFont="1" applyFill="1" applyBorder="1"/>
    <xf numFmtId="0" fontId="267" fillId="0" borderId="0" xfId="57682" applyFont="1" applyFill="1" applyBorder="1" applyAlignment="1">
      <alignment horizontal="left" vertical="top" wrapText="1"/>
    </xf>
    <xf numFmtId="0" fontId="268" fillId="0" borderId="0" xfId="57682" applyFont="1" applyFill="1" applyBorder="1" applyAlignment="1">
      <alignment horizontal="left" vertical="top" wrapText="1"/>
    </xf>
    <xf numFmtId="0" fontId="266" fillId="0" borderId="0" xfId="57682" applyFont="1" applyFill="1" applyBorder="1" applyAlignment="1">
      <alignment horizontal="left" vertical="top" wrapText="1"/>
    </xf>
    <xf numFmtId="0" fontId="214" fillId="0" borderId="0" xfId="57682" applyFont="1" applyFill="1" applyBorder="1" applyAlignment="1">
      <alignment horizontal="left" vertical="top"/>
    </xf>
    <xf numFmtId="222" fontId="214" fillId="0" borderId="0" xfId="57682" applyNumberFormat="1" applyFont="1" applyFill="1" applyBorder="1" applyAlignment="1">
      <alignment horizontal="left" vertical="top" wrapText="1"/>
    </xf>
    <xf numFmtId="0" fontId="214" fillId="0" borderId="0" xfId="57682" applyFont="1" applyFill="1" applyBorder="1" applyAlignment="1">
      <alignment horizontal="left" vertical="top" wrapText="1"/>
    </xf>
    <xf numFmtId="0" fontId="266" fillId="0" borderId="0" xfId="57682" applyFont="1" applyFill="1" applyBorder="1" applyAlignment="1">
      <alignment horizontal="left" vertical="top"/>
    </xf>
    <xf numFmtId="0" fontId="10" fillId="0" borderId="163" xfId="0" applyFont="1" applyBorder="1"/>
    <xf numFmtId="0" fontId="0" fillId="0" borderId="165" xfId="0" applyBorder="1"/>
    <xf numFmtId="177" fontId="0" fillId="0" borderId="19" xfId="0" applyNumberFormat="1" applyBorder="1"/>
    <xf numFmtId="177" fontId="0" fillId="0" borderId="24" xfId="0" applyNumberFormat="1" applyBorder="1"/>
    <xf numFmtId="172" fontId="31" fillId="0" borderId="0" xfId="0" applyNumberFormat="1" applyFont="1" applyFill="1"/>
    <xf numFmtId="0" fontId="0" fillId="51" borderId="163" xfId="0" applyFill="1" applyBorder="1"/>
    <xf numFmtId="0" fontId="0" fillId="51" borderId="165" xfId="0" applyFill="1" applyBorder="1"/>
    <xf numFmtId="0" fontId="0" fillId="51" borderId="164" xfId="0" applyFill="1" applyBorder="1"/>
    <xf numFmtId="0" fontId="31" fillId="0" borderId="19" xfId="0" applyFont="1" applyFill="1" applyBorder="1"/>
    <xf numFmtId="0" fontId="31" fillId="0" borderId="22" xfId="0" applyFont="1" applyFill="1" applyBorder="1"/>
    <xf numFmtId="1" fontId="76" fillId="0" borderId="0" xfId="533" applyNumberFormat="1"/>
    <xf numFmtId="0" fontId="32" fillId="29" borderId="165" xfId="0" applyFont="1" applyFill="1" applyBorder="1" applyAlignment="1">
      <alignment horizontal="left" vertical="center" wrapText="1"/>
    </xf>
    <xf numFmtId="0" fontId="82" fillId="0" borderId="0" xfId="0" applyFont="1" applyFill="1" applyBorder="1"/>
    <xf numFmtId="3" fontId="82" fillId="40" borderId="0" xfId="0" applyNumberFormat="1" applyFont="1" applyFill="1" applyBorder="1"/>
    <xf numFmtId="3" fontId="0" fillId="40" borderId="0" xfId="0" applyNumberFormat="1" applyFont="1" applyFill="1" applyBorder="1"/>
    <xf numFmtId="0" fontId="144" fillId="0" borderId="20" xfId="57683" applyFont="1" applyFill="1" applyBorder="1" applyAlignment="1">
      <alignment horizontal="centerContinuous" vertical="center" wrapText="1"/>
    </xf>
    <xf numFmtId="0" fontId="48" fillId="0" borderId="20" xfId="57683" applyFont="1" applyFill="1" applyBorder="1" applyAlignment="1">
      <alignment horizontal="centerContinuous" vertical="center" wrapText="1"/>
    </xf>
    <xf numFmtId="0" fontId="144" fillId="111" borderId="20" xfId="57683" applyFont="1" applyFill="1" applyBorder="1" applyAlignment="1">
      <alignment horizontal="center"/>
    </xf>
    <xf numFmtId="0" fontId="144" fillId="33" borderId="20" xfId="57683" applyFont="1" applyFill="1" applyBorder="1" applyAlignment="1">
      <alignment horizontal="center"/>
    </xf>
    <xf numFmtId="0" fontId="144" fillId="33" borderId="0" xfId="57683" applyFont="1" applyFill="1" applyAlignment="1">
      <alignment horizontal="center"/>
    </xf>
    <xf numFmtId="0" fontId="144" fillId="33" borderId="0" xfId="57683" applyFont="1" applyFill="1"/>
    <xf numFmtId="0" fontId="269" fillId="33" borderId="169" xfId="57683" applyFont="1" applyFill="1" applyBorder="1" applyAlignment="1">
      <alignment horizontal="centerContinuous" vertical="center"/>
    </xf>
    <xf numFmtId="0" fontId="269" fillId="33" borderId="169" xfId="57683" applyFont="1" applyFill="1" applyBorder="1" applyAlignment="1">
      <alignment horizontal="center" vertical="center"/>
    </xf>
    <xf numFmtId="0" fontId="269" fillId="33" borderId="169" xfId="57683" quotePrefix="1" applyFont="1" applyFill="1" applyBorder="1" applyAlignment="1">
      <alignment horizontal="center" vertical="center"/>
    </xf>
    <xf numFmtId="0" fontId="270" fillId="33" borderId="169" xfId="57683" applyFont="1" applyFill="1" applyBorder="1" applyAlignment="1">
      <alignment horizontal="center" vertical="center"/>
    </xf>
    <xf numFmtId="0" fontId="270" fillId="111" borderId="169" xfId="57683" applyFont="1" applyFill="1" applyBorder="1" applyAlignment="1">
      <alignment horizontal="center" vertical="center" wrapText="1"/>
    </xf>
    <xf numFmtId="0" fontId="270" fillId="111" borderId="166" xfId="57683" applyFont="1" applyFill="1" applyBorder="1" applyAlignment="1">
      <alignment horizontal="center" vertical="center"/>
    </xf>
    <xf numFmtId="0" fontId="270" fillId="33" borderId="169" xfId="57683" applyFont="1" applyFill="1" applyBorder="1" applyAlignment="1">
      <alignment horizontal="center" vertical="center" wrapText="1"/>
    </xf>
    <xf numFmtId="0" fontId="270" fillId="111" borderId="166" xfId="57683" applyFont="1" applyFill="1" applyBorder="1" applyAlignment="1">
      <alignment horizontal="center" vertical="center" wrapText="1"/>
    </xf>
    <xf numFmtId="0" fontId="144" fillId="33" borderId="165" xfId="57683" applyFont="1" applyFill="1" applyBorder="1"/>
    <xf numFmtId="0" fontId="271" fillId="33" borderId="165" xfId="57683" applyFont="1" applyFill="1" applyBorder="1" applyAlignment="1">
      <alignment horizontal="center"/>
    </xf>
    <xf numFmtId="0" fontId="144" fillId="111" borderId="165" xfId="57683" applyFont="1" applyFill="1" applyBorder="1" applyAlignment="1">
      <alignment horizontal="center"/>
    </xf>
    <xf numFmtId="0" fontId="144" fillId="111" borderId="163" xfId="57683" applyFont="1" applyFill="1" applyBorder="1" applyAlignment="1">
      <alignment horizontal="center"/>
    </xf>
    <xf numFmtId="0" fontId="144" fillId="33" borderId="165" xfId="57683" applyFont="1" applyFill="1" applyBorder="1" applyAlignment="1">
      <alignment horizontal="center"/>
    </xf>
    <xf numFmtId="3" fontId="144" fillId="33" borderId="165" xfId="57683" applyNumberFormat="1" applyFont="1" applyFill="1" applyBorder="1" applyAlignment="1">
      <alignment horizontal="center"/>
    </xf>
    <xf numFmtId="0" fontId="144" fillId="33" borderId="0" xfId="57683" applyFont="1" applyFill="1" applyBorder="1"/>
    <xf numFmtId="0" fontId="270" fillId="33" borderId="171" xfId="57683" applyFont="1" applyFill="1" applyBorder="1" applyAlignment="1">
      <alignment horizontal="center"/>
    </xf>
    <xf numFmtId="0" fontId="144" fillId="33" borderId="171" xfId="57683" applyFont="1" applyFill="1" applyBorder="1" applyAlignment="1">
      <alignment horizontal="left"/>
    </xf>
    <xf numFmtId="0" fontId="271" fillId="33" borderId="171" xfId="57683" applyFont="1" applyFill="1" applyBorder="1" applyAlignment="1">
      <alignment horizontal="center"/>
    </xf>
    <xf numFmtId="201" fontId="144" fillId="111" borderId="171" xfId="57683" applyNumberFormat="1" applyFont="1" applyFill="1" applyBorder="1" applyAlignment="1">
      <alignment horizontal="right"/>
    </xf>
    <xf numFmtId="201" fontId="144" fillId="111" borderId="172" xfId="57683" applyNumberFormat="1" applyFont="1" applyFill="1" applyBorder="1" applyAlignment="1">
      <alignment horizontal="right"/>
    </xf>
    <xf numFmtId="201" fontId="144" fillId="33" borderId="171" xfId="57683" applyNumberFormat="1" applyFont="1" applyFill="1" applyBorder="1" applyAlignment="1">
      <alignment horizontal="right"/>
    </xf>
    <xf numFmtId="0" fontId="270" fillId="33" borderId="173" xfId="57683" applyFont="1" applyFill="1" applyBorder="1" applyAlignment="1">
      <alignment horizontal="center"/>
    </xf>
    <xf numFmtId="0" fontId="144" fillId="33" borderId="173" xfId="57683" applyFont="1" applyFill="1" applyBorder="1" applyAlignment="1">
      <alignment horizontal="left"/>
    </xf>
    <xf numFmtId="0" fontId="271" fillId="33" borderId="173" xfId="57683" applyFont="1" applyFill="1" applyBorder="1" applyAlignment="1">
      <alignment horizontal="center"/>
    </xf>
    <xf numFmtId="201" fontId="144" fillId="111" borderId="173" xfId="57683" applyNumberFormat="1" applyFont="1" applyFill="1" applyBorder="1" applyAlignment="1">
      <alignment horizontal="right"/>
    </xf>
    <xf numFmtId="201" fontId="144" fillId="111" borderId="174" xfId="57683" applyNumberFormat="1" applyFont="1" applyFill="1" applyBorder="1" applyAlignment="1">
      <alignment horizontal="right"/>
    </xf>
    <xf numFmtId="201" fontId="144" fillId="33" borderId="173" xfId="57683" applyNumberFormat="1" applyFont="1" applyFill="1" applyBorder="1" applyAlignment="1">
      <alignment horizontal="right"/>
    </xf>
    <xf numFmtId="0" fontId="144" fillId="33" borderId="173" xfId="57683" applyFont="1" applyFill="1" applyBorder="1"/>
    <xf numFmtId="0" fontId="270" fillId="33" borderId="175" xfId="57683" applyFont="1" applyFill="1" applyBorder="1" applyAlignment="1">
      <alignment horizontal="center"/>
    </xf>
    <xf numFmtId="0" fontId="144" fillId="33" borderId="175" xfId="57683" applyFont="1" applyFill="1" applyBorder="1" applyAlignment="1">
      <alignment horizontal="left"/>
    </xf>
    <xf numFmtId="0" fontId="271" fillId="33" borderId="175" xfId="57683" applyFont="1" applyFill="1" applyBorder="1" applyAlignment="1">
      <alignment horizontal="center"/>
    </xf>
    <xf numFmtId="201" fontId="144" fillId="111" borderId="175" xfId="57683" applyNumberFormat="1" applyFont="1" applyFill="1" applyBorder="1" applyAlignment="1">
      <alignment horizontal="right"/>
    </xf>
    <xf numFmtId="201" fontId="144" fillId="111" borderId="176" xfId="57683" applyNumberFormat="1" applyFont="1" applyFill="1" applyBorder="1" applyAlignment="1">
      <alignment horizontal="right"/>
    </xf>
    <xf numFmtId="201" fontId="144" fillId="33" borderId="175" xfId="57683" applyNumberFormat="1" applyFont="1" applyFill="1" applyBorder="1" applyAlignment="1">
      <alignment horizontal="right"/>
    </xf>
    <xf numFmtId="0" fontId="270" fillId="33" borderId="20" xfId="57683" applyFont="1" applyFill="1" applyBorder="1" applyAlignment="1">
      <alignment horizontal="left"/>
    </xf>
    <xf numFmtId="0" fontId="271" fillId="33" borderId="20" xfId="57683" applyFont="1" applyFill="1" applyBorder="1" applyAlignment="1">
      <alignment horizontal="center"/>
    </xf>
    <xf numFmtId="201" fontId="270" fillId="111" borderId="20" xfId="57683" applyNumberFormat="1" applyFont="1" applyFill="1" applyBorder="1" applyAlignment="1">
      <alignment horizontal="right"/>
    </xf>
    <xf numFmtId="201" fontId="270" fillId="111" borderId="24" xfId="57683" applyNumberFormat="1" applyFont="1" applyFill="1" applyBorder="1" applyAlignment="1">
      <alignment horizontal="right"/>
    </xf>
    <xf numFmtId="201" fontId="270" fillId="33" borderId="20" xfId="57683" applyNumberFormat="1" applyFont="1" applyFill="1" applyBorder="1" applyAlignment="1">
      <alignment horizontal="right"/>
    </xf>
    <xf numFmtId="0" fontId="270" fillId="33" borderId="177" xfId="57683" applyFont="1" applyFill="1" applyBorder="1" applyAlignment="1">
      <alignment horizontal="center"/>
    </xf>
    <xf numFmtId="0" fontId="144" fillId="33" borderId="177" xfId="57683" applyFont="1" applyFill="1" applyBorder="1" applyAlignment="1">
      <alignment horizontal="left"/>
    </xf>
    <xf numFmtId="0" fontId="271" fillId="33" borderId="177" xfId="57683" applyFont="1" applyFill="1" applyBorder="1" applyAlignment="1">
      <alignment horizontal="center"/>
    </xf>
    <xf numFmtId="201" fontId="144" fillId="111" borderId="177" xfId="57683" applyNumberFormat="1" applyFont="1" applyFill="1" applyBorder="1" applyAlignment="1">
      <alignment horizontal="right"/>
    </xf>
    <xf numFmtId="201" fontId="144" fillId="111" borderId="178" xfId="57683" applyNumberFormat="1" applyFont="1" applyFill="1" applyBorder="1" applyAlignment="1">
      <alignment horizontal="right"/>
    </xf>
    <xf numFmtId="201" fontId="144" fillId="33" borderId="177" xfId="57683" applyNumberFormat="1" applyFont="1" applyFill="1" applyBorder="1" applyAlignment="1">
      <alignment horizontal="right"/>
    </xf>
    <xf numFmtId="0" fontId="270" fillId="33" borderId="169" xfId="57683" applyFont="1" applyFill="1" applyBorder="1" applyAlignment="1">
      <alignment horizontal="left"/>
    </xf>
    <xf numFmtId="0" fontId="271" fillId="33" borderId="169" xfId="57683" applyFont="1" applyFill="1" applyBorder="1" applyAlignment="1">
      <alignment horizontal="center"/>
    </xf>
    <xf numFmtId="201" fontId="270" fillId="111" borderId="169" xfId="57683" applyNumberFormat="1" applyFont="1" applyFill="1" applyBorder="1" applyAlignment="1">
      <alignment horizontal="right"/>
    </xf>
    <xf numFmtId="201" fontId="270" fillId="111" borderId="166" xfId="57683" applyNumberFormat="1" applyFont="1" applyFill="1" applyBorder="1" applyAlignment="1">
      <alignment horizontal="right"/>
    </xf>
    <xf numFmtId="201" fontId="270" fillId="33" borderId="169" xfId="57683" applyNumberFormat="1" applyFont="1" applyFill="1" applyBorder="1" applyAlignment="1">
      <alignment horizontal="right"/>
    </xf>
    <xf numFmtId="0" fontId="144" fillId="33" borderId="175" xfId="57683" applyFont="1" applyFill="1" applyBorder="1"/>
    <xf numFmtId="223" fontId="144" fillId="33" borderId="0" xfId="57683" applyNumberFormat="1" applyFont="1" applyFill="1"/>
    <xf numFmtId="0" fontId="270" fillId="33" borderId="179" xfId="57683" applyFont="1" applyFill="1" applyBorder="1" applyAlignment="1">
      <alignment horizontal="left"/>
    </xf>
    <xf numFmtId="0" fontId="271" fillId="33" borderId="179" xfId="57683" applyFont="1" applyFill="1" applyBorder="1" applyAlignment="1">
      <alignment horizontal="center"/>
    </xf>
    <xf numFmtId="201" fontId="270" fillId="111" borderId="179" xfId="57683" applyNumberFormat="1" applyFont="1" applyFill="1" applyBorder="1" applyAlignment="1">
      <alignment horizontal="right"/>
    </xf>
    <xf numFmtId="201" fontId="270" fillId="111" borderId="180" xfId="57683" applyNumberFormat="1" applyFont="1" applyFill="1" applyBorder="1" applyAlignment="1">
      <alignment horizontal="right"/>
    </xf>
    <xf numFmtId="201" fontId="270" fillId="33" borderId="179" xfId="57683" applyNumberFormat="1" applyFont="1" applyFill="1" applyBorder="1" applyAlignment="1">
      <alignment horizontal="right"/>
    </xf>
    <xf numFmtId="0" fontId="180" fillId="33" borderId="173" xfId="57683" applyFont="1" applyFill="1" applyBorder="1" applyAlignment="1">
      <alignment horizontal="center"/>
    </xf>
    <xf numFmtId="0" fontId="153" fillId="33" borderId="173" xfId="57683" applyFont="1" applyFill="1" applyBorder="1" applyAlignment="1">
      <alignment horizontal="left"/>
    </xf>
    <xf numFmtId="0" fontId="272" fillId="33" borderId="173" xfId="57683" applyFont="1" applyFill="1" applyBorder="1" applyAlignment="1">
      <alignment horizontal="center"/>
    </xf>
    <xf numFmtId="201" fontId="153" fillId="111" borderId="173" xfId="57683" applyNumberFormat="1" applyFont="1" applyFill="1" applyBorder="1" applyAlignment="1">
      <alignment horizontal="right"/>
    </xf>
    <xf numFmtId="201" fontId="153" fillId="111" borderId="174" xfId="57683" applyNumberFormat="1" applyFont="1" applyFill="1" applyBorder="1" applyAlignment="1">
      <alignment horizontal="right"/>
    </xf>
    <xf numFmtId="201" fontId="153" fillId="33" borderId="173" xfId="57683" applyNumberFormat="1" applyFont="1" applyFill="1" applyBorder="1" applyAlignment="1">
      <alignment horizontal="right"/>
    </xf>
    <xf numFmtId="0" fontId="153" fillId="33" borderId="0" xfId="57683" applyFont="1" applyFill="1"/>
    <xf numFmtId="0" fontId="273" fillId="33" borderId="173" xfId="57683" applyFont="1" applyFill="1" applyBorder="1" applyAlignment="1">
      <alignment horizontal="center"/>
    </xf>
    <xf numFmtId="0" fontId="274" fillId="33" borderId="173" xfId="57683" applyFont="1" applyFill="1" applyBorder="1" applyAlignment="1">
      <alignment horizontal="left"/>
    </xf>
    <xf numFmtId="0" fontId="275" fillId="33" borderId="173" xfId="57683" applyFont="1" applyFill="1" applyBorder="1" applyAlignment="1">
      <alignment horizontal="center"/>
    </xf>
    <xf numFmtId="201" fontId="274" fillId="111" borderId="173" xfId="57683" applyNumberFormat="1" applyFont="1" applyFill="1" applyBorder="1" applyAlignment="1">
      <alignment horizontal="right"/>
    </xf>
    <xf numFmtId="201" fontId="274" fillId="111" borderId="174" xfId="57683" applyNumberFormat="1" applyFont="1" applyFill="1" applyBorder="1" applyAlignment="1">
      <alignment horizontal="right"/>
    </xf>
    <xf numFmtId="201" fontId="274" fillId="33" borderId="173" xfId="57683" applyNumberFormat="1" applyFont="1" applyFill="1" applyBorder="1" applyAlignment="1">
      <alignment horizontal="right"/>
    </xf>
    <xf numFmtId="0" fontId="274" fillId="33" borderId="0" xfId="57683" applyFont="1" applyFill="1"/>
    <xf numFmtId="0" fontId="270" fillId="33" borderId="181" xfId="57683" applyFont="1" applyFill="1" applyBorder="1" applyAlignment="1">
      <alignment horizontal="center"/>
    </xf>
    <xf numFmtId="0" fontId="144" fillId="33" borderId="181" xfId="57683" applyFont="1" applyFill="1" applyBorder="1" applyAlignment="1">
      <alignment horizontal="left"/>
    </xf>
    <xf numFmtId="0" fontId="271" fillId="33" borderId="181" xfId="57683" applyFont="1" applyFill="1" applyBorder="1" applyAlignment="1">
      <alignment horizontal="center"/>
    </xf>
    <xf numFmtId="201" fontId="144" fillId="111" borderId="181" xfId="57683" applyNumberFormat="1" applyFont="1" applyFill="1" applyBorder="1" applyAlignment="1">
      <alignment horizontal="right"/>
    </xf>
    <xf numFmtId="201" fontId="144" fillId="111" borderId="182" xfId="57683" applyNumberFormat="1" applyFont="1" applyFill="1" applyBorder="1" applyAlignment="1">
      <alignment horizontal="right"/>
    </xf>
    <xf numFmtId="201" fontId="144" fillId="33" borderId="181" xfId="57683" applyNumberFormat="1" applyFont="1" applyFill="1" applyBorder="1" applyAlignment="1">
      <alignment horizontal="right"/>
    </xf>
    <xf numFmtId="0" fontId="144" fillId="43" borderId="0" xfId="57683" applyFont="1" applyFill="1"/>
    <xf numFmtId="0" fontId="144" fillId="43" borderId="173" xfId="57683" applyFont="1" applyFill="1" applyBorder="1"/>
    <xf numFmtId="0" fontId="270" fillId="43" borderId="173" xfId="57683" applyFont="1" applyFill="1" applyBorder="1" applyAlignment="1">
      <alignment horizontal="center"/>
    </xf>
    <xf numFmtId="0" fontId="144" fillId="43" borderId="173" xfId="57683" applyFont="1" applyFill="1" applyBorder="1" applyAlignment="1">
      <alignment horizontal="left"/>
    </xf>
    <xf numFmtId="0" fontId="271" fillId="43" borderId="173" xfId="57683" applyFont="1" applyFill="1" applyBorder="1" applyAlignment="1">
      <alignment horizontal="center"/>
    </xf>
    <xf numFmtId="201" fontId="144" fillId="43" borderId="173" xfId="57683" applyNumberFormat="1" applyFont="1" applyFill="1" applyBorder="1" applyAlignment="1">
      <alignment horizontal="right"/>
    </xf>
    <xf numFmtId="201" fontId="144" fillId="43" borderId="174" xfId="57683" applyNumberFormat="1" applyFont="1" applyFill="1" applyBorder="1" applyAlignment="1">
      <alignment horizontal="right"/>
    </xf>
    <xf numFmtId="0" fontId="271" fillId="33" borderId="0" xfId="57683" applyFont="1" applyFill="1" applyBorder="1" applyAlignment="1">
      <alignment horizontal="center"/>
    </xf>
    <xf numFmtId="3" fontId="144" fillId="33" borderId="0" xfId="57683" applyNumberFormat="1" applyFont="1" applyFill="1" applyBorder="1" applyAlignment="1">
      <alignment horizontal="right"/>
    </xf>
    <xf numFmtId="0" fontId="271" fillId="33" borderId="0" xfId="57683" applyFont="1" applyFill="1" applyAlignment="1">
      <alignment horizontal="center"/>
    </xf>
    <xf numFmtId="0" fontId="144" fillId="33" borderId="20" xfId="57683" applyFont="1" applyFill="1" applyBorder="1"/>
    <xf numFmtId="201" fontId="271" fillId="33" borderId="0" xfId="57683" applyNumberFormat="1" applyFont="1" applyFill="1" applyAlignment="1">
      <alignment horizontal="center"/>
    </xf>
    <xf numFmtId="0" fontId="270" fillId="0" borderId="177" xfId="57683" applyFont="1" applyFill="1" applyBorder="1" applyAlignment="1">
      <alignment horizontal="center"/>
    </xf>
    <xf numFmtId="0" fontId="144" fillId="0" borderId="177" xfId="57683" applyFont="1" applyFill="1" applyBorder="1" applyAlignment="1">
      <alignment horizontal="left"/>
    </xf>
    <xf numFmtId="0" fontId="271" fillId="0" borderId="177" xfId="57683" applyFont="1" applyFill="1" applyBorder="1" applyAlignment="1">
      <alignment horizontal="center"/>
    </xf>
    <xf numFmtId="201" fontId="144" fillId="0" borderId="177" xfId="57683" applyNumberFormat="1" applyFont="1" applyFill="1" applyBorder="1" applyAlignment="1">
      <alignment horizontal="right"/>
    </xf>
    <xf numFmtId="201" fontId="144" fillId="0" borderId="178" xfId="57683" applyNumberFormat="1" applyFont="1" applyFill="1" applyBorder="1" applyAlignment="1">
      <alignment horizontal="right"/>
    </xf>
    <xf numFmtId="0" fontId="144" fillId="0" borderId="0" xfId="57683" applyFont="1" applyFill="1"/>
    <xf numFmtId="0" fontId="144" fillId="0" borderId="173" xfId="57683" applyFont="1" applyFill="1" applyBorder="1"/>
    <xf numFmtId="0" fontId="270" fillId="0" borderId="173" xfId="57683" applyFont="1" applyFill="1" applyBorder="1" applyAlignment="1">
      <alignment horizontal="center"/>
    </xf>
    <xf numFmtId="0" fontId="144" fillId="0" borderId="173" xfId="57683" applyFont="1" applyFill="1" applyBorder="1" applyAlignment="1">
      <alignment horizontal="left"/>
    </xf>
    <xf numFmtId="0" fontId="271" fillId="0" borderId="173" xfId="57683" applyFont="1" applyFill="1" applyBorder="1" applyAlignment="1">
      <alignment horizontal="center"/>
    </xf>
    <xf numFmtId="201" fontId="144" fillId="0" borderId="173" xfId="57683" applyNumberFormat="1" applyFont="1" applyFill="1" applyBorder="1" applyAlignment="1">
      <alignment horizontal="right"/>
    </xf>
    <xf numFmtId="201" fontId="144" fillId="0" borderId="174" xfId="57683" applyNumberFormat="1" applyFont="1" applyFill="1" applyBorder="1" applyAlignment="1">
      <alignment horizontal="right"/>
    </xf>
    <xf numFmtId="0" fontId="144" fillId="0" borderId="175" xfId="57683" applyFont="1" applyFill="1" applyBorder="1"/>
    <xf numFmtId="0" fontId="270" fillId="0" borderId="175" xfId="57683" applyFont="1" applyFill="1" applyBorder="1" applyAlignment="1">
      <alignment horizontal="center"/>
    </xf>
    <xf numFmtId="0" fontId="144" fillId="0" borderId="175" xfId="57683" applyFont="1" applyFill="1" applyBorder="1" applyAlignment="1">
      <alignment horizontal="left"/>
    </xf>
    <xf numFmtId="0" fontId="271" fillId="0" borderId="175" xfId="57683" applyFont="1" applyFill="1" applyBorder="1" applyAlignment="1">
      <alignment horizontal="center"/>
    </xf>
    <xf numFmtId="201" fontId="144" fillId="0" borderId="175" xfId="57683" applyNumberFormat="1" applyFont="1" applyFill="1" applyBorder="1" applyAlignment="1">
      <alignment horizontal="right"/>
    </xf>
    <xf numFmtId="201" fontId="144" fillId="0" borderId="176" xfId="57683" applyNumberFormat="1" applyFont="1" applyFill="1" applyBorder="1" applyAlignment="1">
      <alignment horizontal="right"/>
    </xf>
    <xf numFmtId="0" fontId="0" fillId="112" borderId="29" xfId="0" applyFill="1" applyBorder="1"/>
    <xf numFmtId="2" fontId="116" fillId="0" borderId="0" xfId="0" applyNumberFormat="1" applyFont="1" applyFill="1" applyBorder="1"/>
    <xf numFmtId="2" fontId="116" fillId="48" borderId="0" xfId="0" applyNumberFormat="1" applyFont="1" applyFill="1" applyBorder="1"/>
    <xf numFmtId="0" fontId="193" fillId="0" borderId="0" xfId="0" applyFont="1" applyBorder="1"/>
    <xf numFmtId="2" fontId="116" fillId="0" borderId="0" xfId="0" quotePrefix="1" applyNumberFormat="1" applyFont="1" applyFill="1" applyBorder="1"/>
    <xf numFmtId="0" fontId="196" fillId="0" borderId="29" xfId="0" applyFont="1" applyFill="1" applyBorder="1"/>
    <xf numFmtId="2" fontId="196" fillId="0" borderId="0" xfId="0" applyNumberFormat="1" applyFont="1" applyBorder="1"/>
    <xf numFmtId="2" fontId="196" fillId="0" borderId="0" xfId="0" applyNumberFormat="1" applyFont="1" applyFill="1" applyBorder="1"/>
    <xf numFmtId="0" fontId="0" fillId="112" borderId="55" xfId="0" applyFill="1" applyBorder="1"/>
    <xf numFmtId="2" fontId="116" fillId="48" borderId="25" xfId="0" applyNumberFormat="1" applyFont="1" applyFill="1" applyBorder="1"/>
    <xf numFmtId="2" fontId="0" fillId="0" borderId="25" xfId="0" applyNumberFormat="1" applyBorder="1"/>
    <xf numFmtId="2" fontId="0" fillId="0" borderId="56" xfId="0" applyNumberFormat="1" applyBorder="1"/>
    <xf numFmtId="172" fontId="116" fillId="0" borderId="0" xfId="0" applyNumberFormat="1" applyFont="1" applyFill="1" applyBorder="1"/>
    <xf numFmtId="172" fontId="116" fillId="48" borderId="0" xfId="0" applyNumberFormat="1" applyFont="1" applyFill="1" applyBorder="1"/>
    <xf numFmtId="172" fontId="116" fillId="0" borderId="0" xfId="0" quotePrefix="1" applyNumberFormat="1" applyFont="1" applyFill="1" applyBorder="1"/>
    <xf numFmtId="0" fontId="276" fillId="0" borderId="0" xfId="0" applyFont="1"/>
    <xf numFmtId="0" fontId="0" fillId="0" borderId="183" xfId="0" applyBorder="1"/>
    <xf numFmtId="0" fontId="0" fillId="0" borderId="184" xfId="0" applyFill="1" applyBorder="1"/>
    <xf numFmtId="0" fontId="10" fillId="43" borderId="183" xfId="0" applyFont="1" applyFill="1" applyBorder="1"/>
    <xf numFmtId="0" fontId="0" fillId="0" borderId="166" xfId="0" applyFill="1" applyBorder="1"/>
    <xf numFmtId="0" fontId="10" fillId="43" borderId="170" xfId="0" applyFont="1" applyFill="1" applyBorder="1"/>
    <xf numFmtId="0" fontId="0" fillId="0" borderId="183" xfId="0" applyFill="1" applyBorder="1"/>
    <xf numFmtId="179" fontId="0" fillId="0" borderId="0" xfId="0" applyNumberFormat="1"/>
    <xf numFmtId="2" fontId="0" fillId="0" borderId="183" xfId="0" applyNumberFormat="1" applyBorder="1"/>
    <xf numFmtId="0" fontId="0" fillId="0" borderId="163" xfId="0" applyBorder="1"/>
    <xf numFmtId="172" fontId="0" fillId="0" borderId="19" xfId="0" applyNumberFormat="1" applyBorder="1"/>
    <xf numFmtId="0" fontId="82" fillId="0" borderId="0" xfId="1529" applyFont="1" applyFill="1" applyBorder="1"/>
    <xf numFmtId="0" fontId="10" fillId="0" borderId="183" xfId="0" applyFont="1" applyBorder="1"/>
    <xf numFmtId="2" fontId="10" fillId="0" borderId="27" xfId="0" applyNumberFormat="1" applyFont="1" applyBorder="1"/>
    <xf numFmtId="2" fontId="10" fillId="0" borderId="16" xfId="0" applyNumberFormat="1" applyFont="1" applyBorder="1"/>
    <xf numFmtId="0" fontId="33" fillId="28" borderId="165" xfId="0" applyFont="1" applyFill="1" applyBorder="1" applyAlignment="1">
      <alignment horizontal="left" vertical="top" wrapText="1"/>
    </xf>
    <xf numFmtId="0" fontId="106" fillId="0" borderId="19" xfId="1529" applyFont="1" applyBorder="1"/>
    <xf numFmtId="9" fontId="0" fillId="0" borderId="183" xfId="844" applyFont="1" applyBorder="1"/>
    <xf numFmtId="0" fontId="10" fillId="97" borderId="183" xfId="0" applyFont="1" applyFill="1" applyBorder="1"/>
    <xf numFmtId="0" fontId="0" fillId="97" borderId="183" xfId="0" applyFill="1" applyBorder="1"/>
    <xf numFmtId="2" fontId="37" fillId="43" borderId="30" xfId="0" applyNumberFormat="1" applyFont="1" applyFill="1" applyBorder="1"/>
    <xf numFmtId="213" fontId="0" fillId="48" borderId="0" xfId="0" applyNumberFormat="1" applyFill="1"/>
    <xf numFmtId="4" fontId="31" fillId="0" borderId="0" xfId="0" applyNumberFormat="1" applyFont="1" applyFill="1"/>
    <xf numFmtId="177" fontId="31" fillId="0" borderId="0" xfId="0" applyNumberFormat="1" applyFont="1" applyFill="1"/>
    <xf numFmtId="167" fontId="31" fillId="43" borderId="0" xfId="0" applyNumberFormat="1" applyFont="1" applyFill="1"/>
    <xf numFmtId="4" fontId="31" fillId="43" borderId="0" xfId="0" applyNumberFormat="1" applyFont="1" applyFill="1"/>
    <xf numFmtId="4" fontId="38" fillId="0" borderId="0" xfId="0" applyNumberFormat="1" applyFont="1" applyFill="1" applyBorder="1"/>
    <xf numFmtId="9" fontId="0" fillId="0" borderId="20" xfId="844" applyFont="1" applyFill="1" applyBorder="1"/>
    <xf numFmtId="0" fontId="0" fillId="0" borderId="184" xfId="0" applyBorder="1"/>
    <xf numFmtId="0" fontId="0" fillId="0" borderId="165" xfId="0" applyFill="1" applyBorder="1"/>
    <xf numFmtId="0" fontId="0" fillId="0" borderId="164" xfId="0" applyFill="1" applyBorder="1"/>
    <xf numFmtId="2" fontId="83" fillId="0" borderId="22" xfId="0" applyNumberFormat="1" applyFont="1" applyBorder="1"/>
    <xf numFmtId="2" fontId="83" fillId="0" borderId="23" xfId="0" applyNumberFormat="1" applyFont="1" applyBorder="1"/>
    <xf numFmtId="0" fontId="0" fillId="0" borderId="166" xfId="0" applyBorder="1"/>
    <xf numFmtId="0" fontId="10" fillId="0" borderId="169" xfId="0" applyFont="1" applyBorder="1"/>
    <xf numFmtId="0" fontId="0" fillId="0" borderId="170" xfId="0" applyBorder="1"/>
    <xf numFmtId="0" fontId="0" fillId="43" borderId="19" xfId="0" applyNumberFormat="1" applyFill="1" applyBorder="1" applyAlignment="1">
      <alignment horizontal="center"/>
    </xf>
    <xf numFmtId="178" fontId="0" fillId="43" borderId="0" xfId="0" applyNumberFormat="1" applyFill="1" applyBorder="1"/>
    <xf numFmtId="177" fontId="36" fillId="43" borderId="0" xfId="532" applyNumberFormat="1" applyFont="1" applyFill="1" applyBorder="1" applyAlignment="1">
      <alignment horizontal="right"/>
    </xf>
    <xf numFmtId="178" fontId="37" fillId="43" borderId="0" xfId="0" applyNumberFormat="1" applyFont="1" applyFill="1" applyBorder="1"/>
    <xf numFmtId="2" fontId="83" fillId="0" borderId="170" xfId="0" applyNumberFormat="1" applyFont="1" applyBorder="1"/>
    <xf numFmtId="178" fontId="37" fillId="43" borderId="22" xfId="0" applyNumberFormat="1" applyFont="1" applyFill="1" applyBorder="1"/>
    <xf numFmtId="0" fontId="10" fillId="38" borderId="163" xfId="0" applyFont="1" applyFill="1" applyBorder="1" applyAlignment="1"/>
    <xf numFmtId="0" fontId="10" fillId="38" borderId="19" xfId="0" applyFont="1" applyFill="1" applyBorder="1" applyAlignment="1"/>
    <xf numFmtId="168" fontId="10" fillId="38" borderId="19" xfId="0" applyNumberFormat="1" applyFont="1" applyFill="1" applyBorder="1" applyAlignment="1"/>
    <xf numFmtId="168" fontId="10" fillId="38" borderId="24" xfId="0" applyNumberFormat="1" applyFont="1" applyFill="1" applyBorder="1" applyAlignment="1"/>
    <xf numFmtId="168" fontId="10" fillId="38" borderId="166" xfId="0" applyNumberFormat="1" applyFont="1" applyFill="1" applyBorder="1" applyAlignment="1"/>
    <xf numFmtId="0" fontId="10" fillId="38" borderId="165" xfId="0" applyFont="1" applyFill="1" applyBorder="1" applyAlignment="1"/>
    <xf numFmtId="0" fontId="10" fillId="38" borderId="20" xfId="0" applyFont="1" applyFill="1" applyBorder="1" applyAlignment="1"/>
    <xf numFmtId="0" fontId="10" fillId="38" borderId="0" xfId="0" applyFont="1" applyFill="1" applyBorder="1" applyAlignment="1"/>
    <xf numFmtId="0" fontId="10" fillId="38" borderId="169" xfId="0" applyFont="1" applyFill="1" applyBorder="1" applyAlignment="1"/>
    <xf numFmtId="0" fontId="84" fillId="0" borderId="166" xfId="0" applyFont="1" applyBorder="1"/>
    <xf numFmtId="0" fontId="10" fillId="38" borderId="183" xfId="0" applyFont="1" applyFill="1" applyBorder="1"/>
    <xf numFmtId="2" fontId="0" fillId="86" borderId="183" xfId="0" applyNumberFormat="1" applyFill="1" applyBorder="1"/>
    <xf numFmtId="2" fontId="0" fillId="37" borderId="183" xfId="0" applyNumberFormat="1" applyFill="1" applyBorder="1"/>
    <xf numFmtId="0" fontId="32" fillId="44" borderId="184" xfId="0" applyFont="1" applyFill="1" applyBorder="1" applyAlignment="1">
      <alignment horizontal="left" vertical="center" wrapText="1"/>
    </xf>
    <xf numFmtId="1" fontId="70" fillId="43" borderId="72" xfId="0" applyNumberFormat="1" applyFont="1" applyFill="1" applyBorder="1"/>
    <xf numFmtId="1" fontId="70" fillId="43" borderId="3" xfId="0" applyNumberFormat="1" applyFont="1" applyFill="1" applyBorder="1"/>
    <xf numFmtId="1" fontId="70" fillId="113" borderId="0" xfId="0" applyNumberFormat="1" applyFont="1" applyFill="1"/>
    <xf numFmtId="1" fontId="70" fillId="113" borderId="0" xfId="0" applyNumberFormat="1" applyFont="1" applyFill="1" applyBorder="1"/>
    <xf numFmtId="172" fontId="154" fillId="114" borderId="183" xfId="0" applyNumberFormat="1" applyFont="1" applyFill="1" applyBorder="1"/>
    <xf numFmtId="172" fontId="10" fillId="0" borderId="20" xfId="0" applyNumberFormat="1" applyFont="1" applyBorder="1"/>
    <xf numFmtId="172" fontId="0" fillId="86" borderId="183" xfId="0" applyNumberFormat="1" applyFill="1" applyBorder="1"/>
    <xf numFmtId="1" fontId="10" fillId="0" borderId="183" xfId="0" applyNumberFormat="1" applyFont="1" applyBorder="1"/>
    <xf numFmtId="0" fontId="0" fillId="43" borderId="183" xfId="0" applyFill="1" applyBorder="1"/>
    <xf numFmtId="0" fontId="10" fillId="0" borderId="166" xfId="0" applyFont="1" applyFill="1" applyBorder="1"/>
    <xf numFmtId="0" fontId="10" fillId="45" borderId="0" xfId="0" applyFont="1" applyFill="1"/>
    <xf numFmtId="213" fontId="38" fillId="0" borderId="16" xfId="0" applyNumberFormat="1" applyFont="1" applyBorder="1"/>
    <xf numFmtId="180" fontId="38" fillId="0" borderId="0" xfId="0" applyNumberFormat="1" applyFont="1" applyBorder="1"/>
    <xf numFmtId="213" fontId="38" fillId="0" borderId="0" xfId="0" applyNumberFormat="1" applyFont="1" applyBorder="1"/>
    <xf numFmtId="1" fontId="10" fillId="0" borderId="16" xfId="0" applyNumberFormat="1" applyFont="1" applyFill="1" applyBorder="1"/>
    <xf numFmtId="1" fontId="10" fillId="0" borderId="20" xfId="0" applyNumberFormat="1" applyFont="1" applyFill="1" applyBorder="1"/>
    <xf numFmtId="167" fontId="10" fillId="86" borderId="0" xfId="0" applyNumberFormat="1" applyFont="1" applyFill="1"/>
    <xf numFmtId="172" fontId="0" fillId="86" borderId="0" xfId="0" applyNumberFormat="1" applyFill="1" applyBorder="1"/>
    <xf numFmtId="0" fontId="10" fillId="86" borderId="20" xfId="0" applyFont="1" applyFill="1" applyBorder="1"/>
    <xf numFmtId="0" fontId="10" fillId="45" borderId="20" xfId="0" applyFont="1" applyFill="1" applyBorder="1"/>
    <xf numFmtId="213" fontId="0" fillId="47" borderId="0" xfId="0" applyNumberFormat="1" applyFill="1"/>
    <xf numFmtId="0" fontId="84" fillId="47" borderId="0" xfId="0" applyFont="1" applyFill="1" applyBorder="1"/>
    <xf numFmtId="213" fontId="0" fillId="47" borderId="0" xfId="0" applyNumberFormat="1" applyFill="1" applyBorder="1"/>
    <xf numFmtId="0" fontId="84" fillId="47" borderId="20" xfId="0" applyFont="1" applyFill="1" applyBorder="1"/>
    <xf numFmtId="213" fontId="0" fillId="47" borderId="20" xfId="0" applyNumberFormat="1" applyFill="1" applyBorder="1"/>
    <xf numFmtId="1" fontId="10" fillId="45" borderId="0" xfId="0" applyNumberFormat="1" applyFont="1" applyFill="1"/>
    <xf numFmtId="2" fontId="0" fillId="47" borderId="0" xfId="0" applyNumberFormat="1" applyFill="1" applyBorder="1"/>
    <xf numFmtId="2" fontId="10" fillId="47" borderId="0" xfId="0" applyNumberFormat="1" applyFont="1" applyFill="1"/>
    <xf numFmtId="2" fontId="84" fillId="47" borderId="0" xfId="0" applyNumberFormat="1" applyFont="1" applyFill="1"/>
    <xf numFmtId="2" fontId="10" fillId="47" borderId="0" xfId="0" applyNumberFormat="1" applyFont="1" applyFill="1" applyBorder="1"/>
    <xf numFmtId="2" fontId="0" fillId="47" borderId="20" xfId="0" applyNumberFormat="1" applyFill="1" applyBorder="1"/>
    <xf numFmtId="2" fontId="84" fillId="47" borderId="20" xfId="0" applyNumberFormat="1" applyFont="1" applyFill="1" applyBorder="1"/>
    <xf numFmtId="0" fontId="10" fillId="47" borderId="163" xfId="0" applyFont="1" applyFill="1" applyBorder="1"/>
    <xf numFmtId="0" fontId="10" fillId="45" borderId="165" xfId="0" applyFont="1" applyFill="1" applyBorder="1"/>
    <xf numFmtId="0" fontId="0" fillId="45" borderId="164" xfId="0" applyFill="1" applyBorder="1"/>
    <xf numFmtId="0" fontId="0" fillId="86" borderId="23" xfId="0" applyFill="1" applyBorder="1"/>
    <xf numFmtId="167" fontId="10" fillId="86" borderId="20" xfId="0" applyNumberFormat="1" applyFont="1" applyFill="1" applyBorder="1"/>
    <xf numFmtId="167" fontId="0" fillId="86" borderId="20" xfId="0" applyNumberFormat="1" applyFill="1" applyBorder="1"/>
    <xf numFmtId="1" fontId="0" fillId="86" borderId="20" xfId="0" applyNumberFormat="1" applyFill="1" applyBorder="1"/>
    <xf numFmtId="1" fontId="10" fillId="45" borderId="20" xfId="0" applyNumberFormat="1" applyFont="1" applyFill="1" applyBorder="1"/>
    <xf numFmtId="202" fontId="142" fillId="0" borderId="0" xfId="0" applyNumberFormat="1" applyFont="1" applyAlignment="1">
      <alignment horizontal="justify" wrapText="1"/>
    </xf>
    <xf numFmtId="167" fontId="71" fillId="40" borderId="0" xfId="0" applyNumberFormat="1" applyFont="1" applyFill="1" applyBorder="1" applyAlignment="1">
      <alignment horizontal="right"/>
    </xf>
    <xf numFmtId="180" fontId="10" fillId="47" borderId="0" xfId="0" applyNumberFormat="1" applyFont="1" applyFill="1" applyBorder="1"/>
    <xf numFmtId="180" fontId="10" fillId="47" borderId="0" xfId="0" applyNumberFormat="1" applyFont="1" applyFill="1"/>
    <xf numFmtId="180" fontId="10" fillId="47" borderId="20" xfId="0" applyNumberFormat="1" applyFont="1" applyFill="1" applyBorder="1"/>
    <xf numFmtId="0" fontId="0" fillId="47" borderId="21" xfId="0" applyFill="1" applyBorder="1"/>
    <xf numFmtId="0" fontId="10" fillId="47" borderId="169" xfId="0" applyFont="1" applyFill="1" applyBorder="1"/>
    <xf numFmtId="2" fontId="10" fillId="47" borderId="20" xfId="0" applyNumberFormat="1" applyFont="1" applyFill="1" applyBorder="1"/>
    <xf numFmtId="2" fontId="0" fillId="47" borderId="21" xfId="0" applyNumberFormat="1" applyFill="1" applyBorder="1"/>
    <xf numFmtId="1" fontId="10" fillId="45" borderId="0" xfId="0" applyNumberFormat="1" applyFont="1" applyFill="1" applyBorder="1"/>
    <xf numFmtId="167" fontId="10" fillId="86" borderId="0" xfId="0" applyNumberFormat="1" applyFont="1" applyFill="1" applyBorder="1"/>
    <xf numFmtId="197" fontId="142" fillId="86" borderId="0" xfId="0" applyNumberFormat="1" applyFont="1" applyFill="1" applyAlignment="1"/>
    <xf numFmtId="199" fontId="36" fillId="86" borderId="0" xfId="0" applyNumberFormat="1" applyFont="1" applyFill="1" applyAlignment="1"/>
    <xf numFmtId="197" fontId="36" fillId="86" borderId="0" xfId="0" applyNumberFormat="1" applyFont="1" applyFill="1" applyAlignment="1"/>
    <xf numFmtId="197" fontId="142" fillId="86" borderId="0" xfId="0" applyNumberFormat="1" applyFont="1" applyFill="1" applyBorder="1" applyAlignment="1"/>
    <xf numFmtId="199" fontId="36" fillId="86" borderId="0" xfId="0" applyNumberFormat="1" applyFont="1" applyFill="1" applyBorder="1" applyAlignment="1"/>
    <xf numFmtId="197" fontId="36" fillId="86" borderId="0" xfId="0" applyNumberFormat="1" applyFont="1" applyFill="1" applyBorder="1" applyAlignment="1"/>
    <xf numFmtId="192" fontId="0" fillId="0" borderId="0" xfId="0" applyNumberFormat="1" applyBorder="1"/>
    <xf numFmtId="167" fontId="10" fillId="43" borderId="0" xfId="0" applyNumberFormat="1" applyFont="1" applyFill="1"/>
    <xf numFmtId="167" fontId="92" fillId="56" borderId="151" xfId="1126" applyNumberFormat="1" applyFont="1" applyBorder="1" applyAlignment="1">
      <alignment horizontal="center"/>
    </xf>
    <xf numFmtId="0" fontId="144" fillId="86" borderId="20" xfId="57683" applyFont="1" applyFill="1" applyBorder="1" applyAlignment="1">
      <alignment horizontal="center"/>
    </xf>
    <xf numFmtId="0" fontId="270" fillId="86" borderId="169" xfId="57683" applyFont="1" applyFill="1" applyBorder="1" applyAlignment="1">
      <alignment horizontal="center" vertical="center" wrapText="1"/>
    </xf>
    <xf numFmtId="3" fontId="144" fillId="86" borderId="165" xfId="57683" applyNumberFormat="1" applyFont="1" applyFill="1" applyBorder="1" applyAlignment="1">
      <alignment horizontal="center"/>
    </xf>
    <xf numFmtId="201" fontId="144" fillId="86" borderId="171" xfId="57683" applyNumberFormat="1" applyFont="1" applyFill="1" applyBorder="1" applyAlignment="1">
      <alignment horizontal="right"/>
    </xf>
    <xf numFmtId="201" fontId="144" fillId="86" borderId="173" xfId="57683" applyNumberFormat="1" applyFont="1" applyFill="1" applyBorder="1" applyAlignment="1">
      <alignment horizontal="right"/>
    </xf>
    <xf numFmtId="201" fontId="144" fillId="86" borderId="175" xfId="57683" applyNumberFormat="1" applyFont="1" applyFill="1" applyBorder="1" applyAlignment="1">
      <alignment horizontal="right"/>
    </xf>
    <xf numFmtId="201" fontId="270" fillId="86" borderId="20" xfId="57683" applyNumberFormat="1" applyFont="1" applyFill="1" applyBorder="1" applyAlignment="1">
      <alignment horizontal="right"/>
    </xf>
    <xf numFmtId="201" fontId="144" fillId="86" borderId="177" xfId="57683" applyNumberFormat="1" applyFont="1" applyFill="1" applyBorder="1" applyAlignment="1">
      <alignment horizontal="right"/>
    </xf>
    <xf numFmtId="201" fontId="270" fillId="86" borderId="169" xfId="57683" applyNumberFormat="1" applyFont="1" applyFill="1" applyBorder="1" applyAlignment="1">
      <alignment horizontal="right"/>
    </xf>
    <xf numFmtId="201" fontId="270" fillId="86" borderId="179" xfId="57683" applyNumberFormat="1" applyFont="1" applyFill="1" applyBorder="1" applyAlignment="1">
      <alignment horizontal="right"/>
    </xf>
    <xf numFmtId="201" fontId="153" fillId="86" borderId="173" xfId="57683" applyNumberFormat="1" applyFont="1" applyFill="1" applyBorder="1" applyAlignment="1">
      <alignment horizontal="right"/>
    </xf>
    <xf numFmtId="201" fontId="274" fillId="86" borderId="173" xfId="57683" applyNumberFormat="1" applyFont="1" applyFill="1" applyBorder="1" applyAlignment="1">
      <alignment horizontal="right"/>
    </xf>
    <xf numFmtId="201" fontId="144" fillId="86" borderId="181" xfId="57683" applyNumberFormat="1" applyFont="1" applyFill="1" applyBorder="1" applyAlignment="1">
      <alignment horizontal="right"/>
    </xf>
    <xf numFmtId="3" fontId="144" fillId="86" borderId="0" xfId="57683" applyNumberFormat="1" applyFont="1" applyFill="1" applyBorder="1" applyAlignment="1">
      <alignment horizontal="right"/>
    </xf>
    <xf numFmtId="0" fontId="144" fillId="86" borderId="0" xfId="57683" applyFont="1" applyFill="1"/>
    <xf numFmtId="0" fontId="144" fillId="86" borderId="20" xfId="57683" applyFont="1" applyFill="1" applyBorder="1"/>
    <xf numFmtId="0" fontId="144" fillId="86" borderId="165" xfId="57683" applyFont="1" applyFill="1" applyBorder="1" applyAlignment="1">
      <alignment horizontal="center"/>
    </xf>
    <xf numFmtId="0" fontId="144" fillId="86" borderId="0" xfId="57683" applyFont="1" applyFill="1" applyBorder="1"/>
    <xf numFmtId="3" fontId="144" fillId="86" borderId="20" xfId="57683" applyNumberFormat="1" applyFont="1" applyFill="1" applyBorder="1" applyAlignment="1">
      <alignment horizontal="right"/>
    </xf>
    <xf numFmtId="0" fontId="270" fillId="86" borderId="166" xfId="57683" applyFont="1" applyFill="1" applyBorder="1" applyAlignment="1">
      <alignment horizontal="center" vertical="center"/>
    </xf>
    <xf numFmtId="0" fontId="144" fillId="86" borderId="163" xfId="57683" applyFont="1" applyFill="1" applyBorder="1" applyAlignment="1">
      <alignment horizontal="center"/>
    </xf>
    <xf numFmtId="201" fontId="144" fillId="86" borderId="172" xfId="57683" applyNumberFormat="1" applyFont="1" applyFill="1" applyBorder="1" applyAlignment="1">
      <alignment horizontal="right"/>
    </xf>
    <xf numFmtId="201" fontId="144" fillId="86" borderId="174" xfId="57683" applyNumberFormat="1" applyFont="1" applyFill="1" applyBorder="1" applyAlignment="1">
      <alignment horizontal="right"/>
    </xf>
    <xf numFmtId="201" fontId="144" fillId="86" borderId="176" xfId="57683" applyNumberFormat="1" applyFont="1" applyFill="1" applyBorder="1" applyAlignment="1">
      <alignment horizontal="right"/>
    </xf>
    <xf numFmtId="201" fontId="270" fillId="86" borderId="24" xfId="57683" applyNumberFormat="1" applyFont="1" applyFill="1" applyBorder="1" applyAlignment="1">
      <alignment horizontal="right"/>
    </xf>
    <xf numFmtId="201" fontId="144" fillId="86" borderId="178" xfId="57683" applyNumberFormat="1" applyFont="1" applyFill="1" applyBorder="1" applyAlignment="1">
      <alignment horizontal="right"/>
    </xf>
    <xf numFmtId="201" fontId="270" fillId="86" borderId="166" xfId="57683" applyNumberFormat="1" applyFont="1" applyFill="1" applyBorder="1" applyAlignment="1">
      <alignment horizontal="right"/>
    </xf>
    <xf numFmtId="201" fontId="270" fillId="86" borderId="180" xfId="57683" applyNumberFormat="1" applyFont="1" applyFill="1" applyBorder="1" applyAlignment="1">
      <alignment horizontal="right"/>
    </xf>
    <xf numFmtId="201" fontId="153" fillId="86" borderId="174" xfId="57683" applyNumberFormat="1" applyFont="1" applyFill="1" applyBorder="1" applyAlignment="1">
      <alignment horizontal="right"/>
    </xf>
    <xf numFmtId="201" fontId="274" fillId="86" borderId="174" xfId="57683" applyNumberFormat="1" applyFont="1" applyFill="1" applyBorder="1" applyAlignment="1">
      <alignment horizontal="right"/>
    </xf>
    <xf numFmtId="201" fontId="144" fillId="86" borderId="182" xfId="57683" applyNumberFormat="1" applyFont="1" applyFill="1" applyBorder="1" applyAlignment="1">
      <alignment horizontal="right"/>
    </xf>
    <xf numFmtId="201" fontId="175" fillId="86" borderId="173" xfId="57683" applyNumberFormat="1" applyFont="1" applyFill="1" applyBorder="1" applyAlignment="1">
      <alignment horizontal="right"/>
    </xf>
    <xf numFmtId="201" fontId="175" fillId="86" borderId="174" xfId="57683" applyNumberFormat="1" applyFont="1" applyFill="1" applyBorder="1" applyAlignment="1">
      <alignment horizontal="right"/>
    </xf>
    <xf numFmtId="224" fontId="144" fillId="86" borderId="173" xfId="57683" applyNumberFormat="1" applyFont="1" applyFill="1" applyBorder="1" applyAlignment="1">
      <alignment horizontal="right"/>
    </xf>
    <xf numFmtId="167" fontId="37" fillId="51" borderId="0" xfId="0" applyNumberFormat="1" applyFont="1" applyFill="1"/>
    <xf numFmtId="225" fontId="0" fillId="0" borderId="0" xfId="0" applyNumberFormat="1"/>
    <xf numFmtId="224" fontId="0" fillId="0" borderId="0" xfId="0" applyNumberFormat="1"/>
    <xf numFmtId="0" fontId="10" fillId="0" borderId="0" xfId="0" quotePrefix="1" applyFont="1"/>
    <xf numFmtId="0" fontId="145" fillId="0" borderId="0" xfId="0" applyFont="1"/>
    <xf numFmtId="0" fontId="31" fillId="0" borderId="165" xfId="0" applyFont="1" applyBorder="1" applyAlignment="1">
      <alignment horizontal="left" wrapText="1"/>
    </xf>
    <xf numFmtId="0" fontId="31" fillId="0" borderId="0" xfId="0" applyFont="1" applyBorder="1" applyAlignment="1">
      <alignment horizontal="right" wrapText="1"/>
    </xf>
    <xf numFmtId="0" fontId="31" fillId="0" borderId="20" xfId="0" applyFont="1" applyBorder="1" applyAlignment="1">
      <alignment horizontal="right"/>
    </xf>
    <xf numFmtId="1" fontId="31" fillId="0" borderId="185" xfId="1523" applyNumberFormat="1" applyFont="1" applyBorder="1" applyAlignment="1">
      <alignment horizontal="left"/>
    </xf>
    <xf numFmtId="3" fontId="144" fillId="0" borderId="185" xfId="1524" applyNumberFormat="1" applyFont="1" applyBorder="1" applyAlignment="1">
      <alignment horizontal="right"/>
    </xf>
    <xf numFmtId="1" fontId="31" fillId="0" borderId="186" xfId="1523" applyNumberFormat="1" applyFont="1" applyBorder="1" applyAlignment="1">
      <alignment horizontal="left"/>
    </xf>
    <xf numFmtId="3" fontId="144" fillId="0" borderId="186" xfId="1524" applyNumberFormat="1" applyFont="1" applyBorder="1" applyAlignment="1">
      <alignment horizontal="right"/>
    </xf>
    <xf numFmtId="1" fontId="31" fillId="0" borderId="187" xfId="1523" applyNumberFormat="1" applyFont="1" applyBorder="1" applyAlignment="1">
      <alignment horizontal="left"/>
    </xf>
    <xf numFmtId="3" fontId="144" fillId="0" borderId="187" xfId="1524" applyNumberFormat="1" applyFont="1" applyBorder="1" applyAlignment="1">
      <alignment horizontal="right"/>
    </xf>
    <xf numFmtId="0" fontId="31" fillId="0" borderId="0" xfId="0" applyFont="1" applyBorder="1" applyAlignment="1">
      <alignment horizontal="left"/>
    </xf>
    <xf numFmtId="1" fontId="70" fillId="43" borderId="0" xfId="0" applyNumberFormat="1" applyFont="1" applyFill="1"/>
    <xf numFmtId="2" fontId="0" fillId="43" borderId="188" xfId="0" applyNumberFormat="1" applyFill="1" applyBorder="1"/>
    <xf numFmtId="2" fontId="0" fillId="43" borderId="75" xfId="0" applyNumberFormat="1" applyFill="1" applyBorder="1"/>
    <xf numFmtId="2" fontId="0" fillId="43" borderId="189" xfId="0" applyNumberFormat="1" applyFill="1" applyBorder="1"/>
    <xf numFmtId="0" fontId="0" fillId="0" borderId="163" xfId="0" applyFill="1" applyBorder="1"/>
    <xf numFmtId="0" fontId="0" fillId="43" borderId="22" xfId="0" applyFill="1" applyBorder="1"/>
    <xf numFmtId="0" fontId="0" fillId="40" borderId="22" xfId="0" applyFill="1" applyBorder="1"/>
    <xf numFmtId="0" fontId="10" fillId="43" borderId="20" xfId="0" applyFont="1" applyFill="1" applyBorder="1"/>
    <xf numFmtId="0" fontId="0" fillId="40" borderId="23" xfId="0" applyFill="1" applyBorder="1"/>
    <xf numFmtId="4" fontId="93" fillId="43" borderId="0" xfId="850" applyNumberFormat="1" applyFont="1" applyFill="1" applyBorder="1"/>
    <xf numFmtId="0" fontId="75" fillId="0" borderId="183" xfId="0" applyFont="1" applyBorder="1" applyAlignment="1">
      <alignment vertical="center"/>
    </xf>
    <xf numFmtId="4" fontId="93" fillId="0" borderId="0" xfId="850" applyNumberFormat="1" applyFont="1" applyFill="1" applyBorder="1"/>
    <xf numFmtId="4" fontId="56" fillId="0" borderId="0" xfId="850" applyNumberFormat="1" applyFont="1" applyFill="1" applyBorder="1"/>
    <xf numFmtId="4" fontId="56" fillId="0" borderId="20" xfId="850" applyNumberFormat="1" applyFont="1" applyFill="1" applyBorder="1"/>
    <xf numFmtId="4" fontId="11" fillId="0" borderId="0" xfId="850" applyNumberFormat="1" applyFont="1" applyFill="1" applyBorder="1"/>
    <xf numFmtId="4" fontId="56" fillId="43" borderId="0" xfId="850" applyNumberFormat="1" applyFont="1" applyFill="1" applyBorder="1"/>
    <xf numFmtId="4" fontId="56" fillId="43" borderId="20" xfId="850" applyNumberFormat="1" applyFont="1" applyFill="1" applyBorder="1"/>
    <xf numFmtId="4" fontId="11" fillId="43" borderId="20" xfId="850" applyNumberFormat="1" applyFont="1" applyFill="1" applyBorder="1"/>
    <xf numFmtId="167" fontId="77" fillId="36" borderId="0" xfId="23" applyNumberFormat="1"/>
    <xf numFmtId="167" fontId="77" fillId="36" borderId="20" xfId="23" applyNumberFormat="1" applyBorder="1"/>
    <xf numFmtId="0" fontId="277" fillId="0" borderId="0" xfId="0" applyFont="1"/>
    <xf numFmtId="0" fontId="31" fillId="0" borderId="169" xfId="0" applyFont="1" applyBorder="1" applyAlignment="1">
      <alignment horizontal="left"/>
    </xf>
    <xf numFmtId="0" fontId="31" fillId="0" borderId="169" xfId="0" applyFont="1" applyBorder="1" applyAlignment="1">
      <alignment horizontal="left" wrapText="1"/>
    </xf>
    <xf numFmtId="0" fontId="31" fillId="0" borderId="0" xfId="0" applyFont="1" applyBorder="1" applyAlignment="1">
      <alignment horizontal="left" wrapText="1"/>
    </xf>
    <xf numFmtId="0" fontId="31" fillId="0" borderId="169" xfId="0" applyFont="1" applyBorder="1" applyAlignment="1"/>
    <xf numFmtId="0" fontId="31" fillId="0" borderId="169" xfId="0" applyFont="1" applyBorder="1" applyAlignment="1">
      <alignment wrapText="1"/>
    </xf>
    <xf numFmtId="0" fontId="31" fillId="0" borderId="0" xfId="0" applyFont="1" applyBorder="1" applyAlignment="1">
      <alignment horizontal="right"/>
    </xf>
    <xf numFmtId="0" fontId="31" fillId="0" borderId="0" xfId="0" applyFont="1" applyAlignment="1">
      <alignment horizontal="right"/>
    </xf>
    <xf numFmtId="0" fontId="31" fillId="0" borderId="20" xfId="0" applyFont="1" applyFill="1" applyBorder="1" applyAlignment="1">
      <alignment wrapText="1"/>
    </xf>
    <xf numFmtId="0" fontId="31" fillId="0" borderId="20" xfId="0" applyFont="1" applyBorder="1" applyAlignment="1">
      <alignment horizontal="right" wrapText="1"/>
    </xf>
    <xf numFmtId="0" fontId="31" fillId="0" borderId="20" xfId="0" applyFont="1" applyBorder="1" applyAlignment="1">
      <alignment horizontal="right" vertical="top" wrapText="1"/>
    </xf>
    <xf numFmtId="0" fontId="31" fillId="0" borderId="124" xfId="0" quotePrefix="1" applyFont="1" applyBorder="1" applyAlignment="1"/>
    <xf numFmtId="3" fontId="31" fillId="0" borderId="123" xfId="0" applyNumberFormat="1" applyFont="1" applyBorder="1" applyAlignment="1">
      <alignment horizontal="right"/>
    </xf>
    <xf numFmtId="0" fontId="31" fillId="0" borderId="123" xfId="0" applyFont="1" applyBorder="1" applyAlignment="1"/>
    <xf numFmtId="0" fontId="31" fillId="0" borderId="190" xfId="0" applyFont="1" applyBorder="1" applyAlignment="1"/>
    <xf numFmtId="0" fontId="71" fillId="0" borderId="125" xfId="0" applyFont="1" applyBorder="1" applyAlignment="1">
      <alignment horizontal="left"/>
    </xf>
    <xf numFmtId="3" fontId="71" fillId="0" borderId="125" xfId="0" applyNumberFormat="1" applyFont="1" applyBorder="1" applyAlignment="1">
      <alignment horizontal="right"/>
    </xf>
    <xf numFmtId="3" fontId="31" fillId="0" borderId="0" xfId="0" applyNumberFormat="1" applyFont="1"/>
    <xf numFmtId="0" fontId="31" fillId="0" borderId="165" xfId="0" applyFont="1" applyBorder="1" applyAlignment="1">
      <alignment wrapText="1"/>
    </xf>
    <xf numFmtId="0" fontId="31" fillId="0" borderId="169" xfId="0" applyFont="1" applyBorder="1" applyAlignment="1">
      <alignment horizontal="right"/>
    </xf>
    <xf numFmtId="0" fontId="31" fillId="0" borderId="124" xfId="0" applyFont="1" applyBorder="1"/>
    <xf numFmtId="3" fontId="144" fillId="0" borderId="122" xfId="0" applyNumberFormat="1" applyFont="1" applyBorder="1" applyAlignment="1">
      <alignment horizontal="right" vertical="top"/>
    </xf>
    <xf numFmtId="3" fontId="31" fillId="0" borderId="122" xfId="0" applyNumberFormat="1" applyFont="1" applyBorder="1" applyAlignment="1">
      <alignment horizontal="right"/>
    </xf>
    <xf numFmtId="3" fontId="153" fillId="0" borderId="122" xfId="0" applyNumberFormat="1" applyFont="1" applyBorder="1" applyAlignment="1">
      <alignment horizontal="right"/>
    </xf>
    <xf numFmtId="1" fontId="31" fillId="0" borderId="0" xfId="0" applyNumberFormat="1" applyFont="1" applyBorder="1"/>
    <xf numFmtId="0" fontId="31" fillId="0" borderId="122" xfId="0" applyFont="1" applyBorder="1" applyAlignment="1">
      <alignment horizontal="left"/>
    </xf>
    <xf numFmtId="3" fontId="153" fillId="0" borderId="123" xfId="0" applyNumberFormat="1" applyFont="1" applyBorder="1" applyAlignment="1">
      <alignment horizontal="right"/>
    </xf>
    <xf numFmtId="0" fontId="31" fillId="0" borderId="123" xfId="0" applyFont="1" applyBorder="1" applyAlignment="1">
      <alignment horizontal="left"/>
    </xf>
    <xf numFmtId="3" fontId="144" fillId="0" borderId="123" xfId="0" applyNumberFormat="1" applyFont="1" applyBorder="1" applyAlignment="1">
      <alignment horizontal="right" vertical="top"/>
    </xf>
    <xf numFmtId="0" fontId="31" fillId="0" borderId="123" xfId="0" applyFont="1" applyBorder="1"/>
    <xf numFmtId="3" fontId="144" fillId="0" borderId="123" xfId="0" applyNumberFormat="1" applyFont="1" applyBorder="1" applyAlignment="1">
      <alignment horizontal="right"/>
    </xf>
    <xf numFmtId="3" fontId="31" fillId="0" borderId="0" xfId="0" applyNumberFormat="1" applyFont="1" applyBorder="1"/>
    <xf numFmtId="3" fontId="31" fillId="0" borderId="0" xfId="0" applyNumberFormat="1" applyFont="1" applyAlignment="1">
      <alignment horizontal="right"/>
    </xf>
    <xf numFmtId="3" fontId="270" fillId="0" borderId="125" xfId="0" applyNumberFormat="1" applyFont="1" applyBorder="1" applyAlignment="1">
      <alignment horizontal="right" vertical="center"/>
    </xf>
    <xf numFmtId="0" fontId="31" fillId="0" borderId="125" xfId="0" applyFont="1" applyBorder="1"/>
    <xf numFmtId="3" fontId="144" fillId="0" borderId="125" xfId="0" applyNumberFormat="1" applyFont="1" applyBorder="1" applyAlignment="1">
      <alignment horizontal="right" vertical="top"/>
    </xf>
    <xf numFmtId="3" fontId="31" fillId="0" borderId="20" xfId="0" applyNumberFormat="1" applyFont="1" applyBorder="1"/>
    <xf numFmtId="3" fontId="153" fillId="0" borderId="125" xfId="0" applyNumberFormat="1" applyFont="1" applyBorder="1"/>
    <xf numFmtId="3" fontId="31" fillId="0" borderId="125" xfId="0" applyNumberFormat="1" applyFont="1" applyBorder="1" applyAlignment="1">
      <alignment horizontal="right"/>
    </xf>
    <xf numFmtId="0" fontId="109" fillId="0" borderId="0" xfId="0" applyFont="1" applyBorder="1"/>
    <xf numFmtId="3" fontId="31" fillId="43" borderId="0" xfId="0" applyNumberFormat="1" applyFont="1" applyFill="1"/>
    <xf numFmtId="0" fontId="71" fillId="0" borderId="0" xfId="0" applyFont="1" applyAlignment="1">
      <alignment horizontal="right"/>
    </xf>
    <xf numFmtId="3" fontId="144" fillId="0" borderId="0" xfId="0" applyNumberFormat="1" applyFont="1" applyAlignment="1">
      <alignment horizontal="right"/>
    </xf>
    <xf numFmtId="3" fontId="31" fillId="0" borderId="0" xfId="0" applyNumberFormat="1" applyFont="1" applyAlignment="1">
      <alignment wrapText="1"/>
    </xf>
    <xf numFmtId="0" fontId="31" fillId="0" borderId="0" xfId="0" applyFont="1" applyBorder="1" applyAlignment="1">
      <alignment vertical="center"/>
    </xf>
    <xf numFmtId="0" fontId="71" fillId="0" borderId="0" xfId="0" applyFont="1" applyBorder="1" applyAlignment="1">
      <alignment horizontal="right"/>
    </xf>
    <xf numFmtId="0" fontId="277" fillId="0" borderId="0" xfId="0" applyFont="1" applyBorder="1"/>
    <xf numFmtId="0" fontId="31" fillId="0" borderId="165" xfId="0" applyFont="1" applyBorder="1" applyAlignment="1">
      <alignment horizontal="left"/>
    </xf>
    <xf numFmtId="0" fontId="31" fillId="0" borderId="169" xfId="0" applyFont="1" applyBorder="1"/>
    <xf numFmtId="0" fontId="31" fillId="0" borderId="0" xfId="0" applyFont="1" applyBorder="1" applyAlignment="1">
      <alignment horizontal="right" vertical="top" wrapText="1"/>
    </xf>
    <xf numFmtId="0" fontId="31" fillId="0" borderId="124" xfId="0" quotePrefix="1" applyFont="1" applyBorder="1" applyAlignment="1">
      <alignment horizontal="left"/>
    </xf>
    <xf numFmtId="3" fontId="31" fillId="0" borderId="124" xfId="0" applyNumberFormat="1" applyFont="1" applyBorder="1" applyAlignment="1">
      <alignment horizontal="right"/>
    </xf>
    <xf numFmtId="3" fontId="31" fillId="0" borderId="123" xfId="0" applyNumberFormat="1" applyFont="1" applyBorder="1" applyAlignment="1">
      <alignment horizontal="right" wrapText="1"/>
    </xf>
    <xf numFmtId="3" fontId="31" fillId="0" borderId="124" xfId="0" applyNumberFormat="1" applyFont="1" applyBorder="1" applyAlignment="1">
      <alignment horizontal="right" wrapText="1"/>
    </xf>
    <xf numFmtId="3" fontId="31" fillId="0" borderId="122" xfId="0" applyNumberFormat="1" applyFont="1" applyBorder="1" applyAlignment="1">
      <alignment horizontal="right" wrapText="1"/>
    </xf>
    <xf numFmtId="0" fontId="31" fillId="0" borderId="123" xfId="0" applyFont="1" applyBorder="1" applyAlignment="1">
      <alignment wrapText="1"/>
    </xf>
    <xf numFmtId="3" fontId="71" fillId="0" borderId="125" xfId="0" applyNumberFormat="1" applyFont="1" applyBorder="1" applyAlignment="1">
      <alignment horizontal="right" wrapText="1"/>
    </xf>
    <xf numFmtId="3" fontId="144" fillId="0" borderId="0" xfId="0" applyNumberFormat="1" applyFont="1" applyAlignment="1">
      <alignment horizontal="right" wrapText="1"/>
    </xf>
    <xf numFmtId="3" fontId="144" fillId="0" borderId="0" xfId="0" applyNumberFormat="1" applyFont="1" applyBorder="1" applyAlignment="1">
      <alignment horizontal="right" wrapText="1"/>
    </xf>
    <xf numFmtId="3" fontId="144" fillId="0" borderId="0" xfId="0" applyNumberFormat="1" applyFont="1" applyBorder="1" applyAlignment="1">
      <alignment horizontal="right"/>
    </xf>
    <xf numFmtId="0" fontId="31" fillId="0" borderId="165" xfId="0" applyFont="1" applyBorder="1" applyAlignment="1">
      <alignment horizontal="right" wrapText="1"/>
    </xf>
    <xf numFmtId="3" fontId="31" fillId="0" borderId="20" xfId="0" applyNumberFormat="1" applyFont="1" applyBorder="1" applyAlignment="1">
      <alignment horizontal="right"/>
    </xf>
    <xf numFmtId="0" fontId="31" fillId="0" borderId="122" xfId="0" quotePrefix="1" applyFont="1" applyBorder="1" applyAlignment="1">
      <alignment horizontal="left"/>
    </xf>
    <xf numFmtId="3" fontId="31" fillId="0" borderId="123" xfId="0" quotePrefix="1" applyNumberFormat="1" applyFont="1" applyBorder="1" applyAlignment="1">
      <alignment horizontal="right"/>
    </xf>
    <xf numFmtId="0" fontId="71" fillId="0" borderId="125" xfId="0" applyFont="1" applyBorder="1"/>
    <xf numFmtId="3" fontId="270" fillId="0" borderId="20" xfId="0" applyNumberFormat="1" applyFont="1" applyBorder="1" applyAlignment="1">
      <alignment horizontal="right"/>
    </xf>
    <xf numFmtId="3" fontId="270" fillId="0" borderId="125" xfId="0" applyNumberFormat="1" applyFont="1" applyBorder="1" applyAlignment="1">
      <alignment horizontal="right"/>
    </xf>
    <xf numFmtId="3" fontId="270" fillId="0" borderId="0" xfId="0" applyNumberFormat="1" applyFont="1" applyAlignment="1">
      <alignment horizontal="right"/>
    </xf>
    <xf numFmtId="3" fontId="71" fillId="0" borderId="0" xfId="0" applyNumberFormat="1" applyFont="1" applyBorder="1" applyAlignment="1">
      <alignment vertical="center"/>
    </xf>
    <xf numFmtId="3" fontId="144" fillId="0" borderId="123" xfId="0" applyNumberFormat="1" applyFont="1" applyBorder="1" applyAlignment="1">
      <alignment horizontal="right" wrapText="1"/>
    </xf>
    <xf numFmtId="0" fontId="31" fillId="0" borderId="123" xfId="0" quotePrefix="1" applyFont="1" applyBorder="1" applyAlignment="1">
      <alignment horizontal="left"/>
    </xf>
    <xf numFmtId="0" fontId="144" fillId="0" borderId="0" xfId="0" applyFont="1" applyBorder="1" applyAlignment="1">
      <alignment horizontal="right"/>
    </xf>
    <xf numFmtId="3" fontId="144" fillId="0" borderId="0" xfId="0" applyNumberFormat="1" applyFont="1" applyBorder="1" applyAlignment="1">
      <alignment horizontal="right" vertical="center"/>
    </xf>
    <xf numFmtId="0" fontId="71" fillId="0" borderId="0" xfId="0" applyFont="1" applyAlignment="1">
      <alignment horizontal="left"/>
    </xf>
    <xf numFmtId="0" fontId="31" fillId="0" borderId="124" xfId="0" applyFont="1" applyBorder="1" applyAlignment="1">
      <alignment horizontal="left"/>
    </xf>
    <xf numFmtId="3" fontId="31" fillId="0" borderId="123" xfId="0" applyNumberFormat="1" applyFont="1" applyBorder="1"/>
    <xf numFmtId="3" fontId="153" fillId="0" borderId="0" xfId="0" applyNumberFormat="1" applyFont="1" applyBorder="1"/>
    <xf numFmtId="3" fontId="180" fillId="0" borderId="0" xfId="0" applyNumberFormat="1" applyFont="1" applyBorder="1"/>
    <xf numFmtId="3" fontId="71" fillId="0" borderId="125" xfId="0" applyNumberFormat="1" applyFont="1" applyBorder="1"/>
    <xf numFmtId="3" fontId="180" fillId="0" borderId="0" xfId="0" applyNumberFormat="1" applyFont="1" applyBorder="1" applyAlignment="1">
      <alignment horizontal="right"/>
    </xf>
    <xf numFmtId="0" fontId="277" fillId="0" borderId="0" xfId="0" applyFont="1" applyAlignment="1">
      <alignment horizontal="left"/>
    </xf>
    <xf numFmtId="0" fontId="142" fillId="0" borderId="0" xfId="0" applyFont="1" applyAlignment="1">
      <alignment horizontal="left"/>
    </xf>
    <xf numFmtId="0" fontId="31" fillId="0" borderId="20" xfId="0" applyFont="1" applyBorder="1" applyAlignment="1">
      <alignment horizontal="left"/>
    </xf>
    <xf numFmtId="0" fontId="71" fillId="0" borderId="20" xfId="0" applyFont="1" applyBorder="1" applyAlignment="1">
      <alignment horizontal="left"/>
    </xf>
    <xf numFmtId="0" fontId="31" fillId="0" borderId="20" xfId="0" applyFont="1" applyFill="1" applyBorder="1" applyAlignment="1">
      <alignment horizontal="left"/>
    </xf>
    <xf numFmtId="1" fontId="31" fillId="0" borderId="0" xfId="0" applyNumberFormat="1" applyFont="1"/>
    <xf numFmtId="0" fontId="31" fillId="0" borderId="190" xfId="0" applyFont="1" applyBorder="1" applyAlignment="1">
      <alignment horizontal="left"/>
    </xf>
    <xf numFmtId="3" fontId="71" fillId="0" borderId="125" xfId="0" applyNumberFormat="1" applyFont="1" applyBorder="1" applyAlignment="1"/>
    <xf numFmtId="0" fontId="109" fillId="0" borderId="0" xfId="0" applyFont="1" applyAlignment="1">
      <alignment horizontal="left"/>
    </xf>
    <xf numFmtId="0" fontId="109" fillId="0" borderId="0" xfId="0" applyFont="1" applyFill="1" applyBorder="1" applyAlignment="1">
      <alignment horizontal="right"/>
    </xf>
    <xf numFmtId="0" fontId="31" fillId="0" borderId="165" xfId="0" applyFont="1" applyBorder="1" applyAlignment="1">
      <alignment horizontal="right"/>
    </xf>
    <xf numFmtId="3" fontId="144" fillId="0" borderId="124" xfId="0" applyNumberFormat="1" applyFont="1" applyBorder="1" applyAlignment="1">
      <alignment horizontal="right" vertical="top"/>
    </xf>
    <xf numFmtId="3" fontId="31" fillId="0" borderId="124" xfId="1523" applyNumberFormat="1" applyFont="1" applyBorder="1"/>
    <xf numFmtId="3" fontId="31" fillId="0" borderId="123" xfId="1197" applyNumberFormat="1" applyFont="1" applyBorder="1"/>
    <xf numFmtId="3" fontId="31" fillId="0" borderId="124" xfId="1197" applyNumberFormat="1" applyFont="1" applyBorder="1"/>
    <xf numFmtId="3" fontId="31" fillId="0" borderId="0" xfId="0" applyNumberFormat="1" applyFont="1" applyBorder="1" applyAlignment="1"/>
    <xf numFmtId="3" fontId="31" fillId="0" borderId="123" xfId="1523" applyNumberFormat="1" applyFont="1" applyBorder="1"/>
    <xf numFmtId="3" fontId="31" fillId="0" borderId="123" xfId="1523" applyNumberFormat="1" applyFont="1" applyBorder="1" applyAlignment="1">
      <alignment wrapText="1"/>
    </xf>
    <xf numFmtId="3" fontId="31" fillId="0" borderId="123" xfId="1197" quotePrefix="1" applyNumberFormat="1" applyFont="1" applyBorder="1" applyAlignment="1">
      <alignment horizontal="right"/>
    </xf>
    <xf numFmtId="3" fontId="31" fillId="0" borderId="123" xfId="1197" applyNumberFormat="1" applyFont="1" applyBorder="1" applyAlignment="1">
      <alignment horizontal="right"/>
    </xf>
    <xf numFmtId="3" fontId="31" fillId="0" borderId="0" xfId="0" applyNumberFormat="1" applyFont="1" applyBorder="1" applyAlignment="1">
      <alignment wrapText="1"/>
    </xf>
    <xf numFmtId="3" fontId="71" fillId="0" borderId="20" xfId="1197" applyNumberFormat="1" applyFont="1" applyBorder="1"/>
    <xf numFmtId="3" fontId="71" fillId="0" borderId="20" xfId="1197" applyNumberFormat="1" applyFont="1" applyBorder="1" applyAlignment="1">
      <alignment horizontal="right"/>
    </xf>
    <xf numFmtId="3" fontId="71" fillId="0" borderId="125" xfId="1197" applyNumberFormat="1" applyFont="1" applyBorder="1"/>
    <xf numFmtId="0" fontId="279" fillId="0" borderId="0" xfId="0" applyFont="1" applyAlignment="1">
      <alignment vertical="center"/>
    </xf>
    <xf numFmtId="0" fontId="266" fillId="0" borderId="0" xfId="0" applyFont="1"/>
    <xf numFmtId="0" fontId="57" fillId="0" borderId="0" xfId="0" applyFont="1"/>
    <xf numFmtId="226" fontId="151" fillId="0" borderId="0" xfId="0" applyNumberFormat="1" applyFont="1"/>
    <xf numFmtId="0" fontId="113" fillId="0" borderId="0" xfId="1180" applyFont="1" applyFill="1" applyBorder="1"/>
    <xf numFmtId="3" fontId="31" fillId="43" borderId="124" xfId="1305" applyNumberFormat="1" applyFont="1" applyFill="1" applyBorder="1" applyAlignment="1">
      <alignment horizontal="right" wrapText="1"/>
    </xf>
    <xf numFmtId="3" fontId="31" fillId="43" borderId="123" xfId="1305" applyNumberFormat="1" applyFont="1" applyFill="1" applyBorder="1" applyAlignment="1">
      <alignment horizontal="right" wrapText="1"/>
    </xf>
    <xf numFmtId="3" fontId="71" fillId="43" borderId="125" xfId="1305" applyNumberFormat="1" applyFont="1" applyFill="1" applyBorder="1" applyAlignment="1">
      <alignment horizontal="right" wrapText="1"/>
    </xf>
    <xf numFmtId="1" fontId="10" fillId="43" borderId="0" xfId="0" applyNumberFormat="1" applyFont="1" applyFill="1"/>
    <xf numFmtId="1" fontId="0" fillId="43" borderId="26" xfId="0" applyNumberFormat="1" applyFill="1" applyBorder="1"/>
    <xf numFmtId="1" fontId="0" fillId="43" borderId="28" xfId="0" applyNumberFormat="1" applyFill="1" applyBorder="1"/>
    <xf numFmtId="1" fontId="0" fillId="43" borderId="29" xfId="0" applyNumberFormat="1" applyFill="1" applyBorder="1"/>
    <xf numFmtId="1" fontId="0" fillId="43" borderId="30" xfId="0" applyNumberFormat="1" applyFill="1" applyBorder="1"/>
    <xf numFmtId="0" fontId="0" fillId="43" borderId="16" xfId="0" applyFill="1" applyBorder="1" applyAlignment="1">
      <alignment horizontal="center"/>
    </xf>
    <xf numFmtId="0" fontId="0" fillId="43" borderId="17" xfId="0" applyFill="1" applyBorder="1" applyAlignment="1">
      <alignment horizontal="center"/>
    </xf>
    <xf numFmtId="0" fontId="10" fillId="115" borderId="0" xfId="0" applyFont="1" applyFill="1"/>
    <xf numFmtId="0" fontId="0" fillId="115" borderId="0" xfId="0" applyFill="1"/>
    <xf numFmtId="0" fontId="37" fillId="115" borderId="0" xfId="0" applyFont="1" applyFill="1"/>
    <xf numFmtId="227" fontId="151" fillId="43" borderId="0" xfId="0" applyNumberFormat="1" applyFont="1" applyFill="1"/>
    <xf numFmtId="1" fontId="76" fillId="86" borderId="0" xfId="533" applyNumberFormat="1" applyFill="1" applyBorder="1" applyAlignment="1">
      <alignment horizontal="right"/>
    </xf>
    <xf numFmtId="1" fontId="37" fillId="43" borderId="55" xfId="0" applyNumberFormat="1" applyFont="1" applyFill="1" applyBorder="1"/>
    <xf numFmtId="1" fontId="37" fillId="43" borderId="56" xfId="0" applyNumberFormat="1" applyFont="1" applyFill="1" applyBorder="1"/>
    <xf numFmtId="2" fontId="38" fillId="0" borderId="0" xfId="0" applyNumberFormat="1" applyFont="1" applyBorder="1"/>
    <xf numFmtId="174" fontId="0" fillId="0" borderId="165" xfId="0" applyNumberFormat="1" applyFill="1" applyBorder="1"/>
    <xf numFmtId="174" fontId="0" fillId="0" borderId="165" xfId="0" applyNumberFormat="1" applyBorder="1"/>
    <xf numFmtId="174" fontId="10" fillId="0" borderId="165" xfId="0" applyNumberFormat="1" applyFont="1" applyFill="1" applyBorder="1"/>
    <xf numFmtId="172" fontId="0" fillId="0" borderId="165" xfId="0" applyNumberFormat="1" applyFill="1" applyBorder="1"/>
    <xf numFmtId="167" fontId="38" fillId="0" borderId="165" xfId="0" applyNumberFormat="1" applyFont="1" applyFill="1" applyBorder="1"/>
    <xf numFmtId="2" fontId="38" fillId="0" borderId="165" xfId="0" applyNumberFormat="1" applyFont="1" applyBorder="1"/>
    <xf numFmtId="1" fontId="38" fillId="0" borderId="165" xfId="0" applyNumberFormat="1" applyFont="1" applyFill="1" applyBorder="1"/>
    <xf numFmtId="0" fontId="38" fillId="0" borderId="165" xfId="0" applyFont="1" applyFill="1" applyBorder="1"/>
    <xf numFmtId="168" fontId="70" fillId="38" borderId="165" xfId="0" applyNumberFormat="1" applyFont="1" applyFill="1" applyBorder="1" applyAlignment="1">
      <alignment horizontal="left"/>
    </xf>
    <xf numFmtId="168" fontId="70" fillId="38" borderId="165" xfId="0" applyNumberFormat="1" applyFont="1" applyFill="1" applyBorder="1" applyAlignment="1">
      <alignment horizontal="right"/>
    </xf>
    <xf numFmtId="0" fontId="75" fillId="28" borderId="0" xfId="0" applyFont="1" applyFill="1" applyBorder="1" applyAlignment="1">
      <alignment horizontal="left" vertical="top" wrapText="1"/>
    </xf>
    <xf numFmtId="172" fontId="0" fillId="0" borderId="165" xfId="0" applyNumberFormat="1" applyBorder="1"/>
    <xf numFmtId="2" fontId="0" fillId="0" borderId="25" xfId="0" applyNumberFormat="1" applyFill="1" applyBorder="1"/>
    <xf numFmtId="0" fontId="0" fillId="0" borderId="0" xfId="0" applyAlignment="1">
      <alignment horizontal="center"/>
    </xf>
    <xf numFmtId="192" fontId="10" fillId="0" borderId="27" xfId="0" applyNumberFormat="1" applyFont="1" applyBorder="1"/>
    <xf numFmtId="192" fontId="10" fillId="0" borderId="16" xfId="0" applyNumberFormat="1" applyFont="1" applyBorder="1"/>
    <xf numFmtId="14" fontId="0" fillId="0" borderId="0" xfId="0" applyNumberFormat="1"/>
    <xf numFmtId="174" fontId="38" fillId="0" borderId="0" xfId="0" applyNumberFormat="1" applyFont="1"/>
    <xf numFmtId="174" fontId="10" fillId="0" borderId="0" xfId="5150" applyNumberFormat="1"/>
    <xf numFmtId="174" fontId="38" fillId="0" borderId="191" xfId="0" applyNumberFormat="1" applyFont="1" applyBorder="1"/>
    <xf numFmtId="174" fontId="0" fillId="0" borderId="191" xfId="0" applyNumberFormat="1" applyBorder="1"/>
    <xf numFmtId="174" fontId="10" fillId="0" borderId="191" xfId="5150" applyNumberFormat="1" applyBorder="1"/>
    <xf numFmtId="174" fontId="10" fillId="0" borderId="191" xfId="0" applyNumberFormat="1" applyFont="1" applyBorder="1"/>
    <xf numFmtId="0" fontId="32" fillId="0" borderId="0" xfId="0" applyFont="1"/>
    <xf numFmtId="0" fontId="32" fillId="29" borderId="192" xfId="0" applyFont="1" applyFill="1" applyBorder="1" applyAlignment="1">
      <alignment horizontal="left" vertical="center" wrapText="1"/>
    </xf>
    <xf numFmtId="0" fontId="32" fillId="29" borderId="193" xfId="0" applyFont="1" applyFill="1" applyBorder="1" applyAlignment="1">
      <alignment horizontal="left" vertical="center" wrapText="1"/>
    </xf>
    <xf numFmtId="0" fontId="32" fillId="29" borderId="192" xfId="0" applyFont="1" applyFill="1" applyBorder="1" applyAlignment="1">
      <alignment horizontal="center" vertical="center" wrapText="1"/>
    </xf>
    <xf numFmtId="0" fontId="0" fillId="0" borderId="81" xfId="0" applyBorder="1"/>
    <xf numFmtId="0" fontId="0" fillId="0" borderId="194" xfId="0" applyBorder="1"/>
    <xf numFmtId="10" fontId="0" fillId="0" borderId="0" xfId="0" applyNumberFormat="1"/>
    <xf numFmtId="9" fontId="0" fillId="0" borderId="0" xfId="0" applyNumberFormat="1" applyAlignment="1">
      <alignment horizontal="center"/>
    </xf>
    <xf numFmtId="0" fontId="0" fillId="0" borderId="191" xfId="0" applyBorder="1"/>
    <xf numFmtId="0" fontId="0" fillId="0" borderId="192" xfId="0" applyBorder="1"/>
    <xf numFmtId="0" fontId="0" fillId="0" borderId="195" xfId="0" applyBorder="1"/>
    <xf numFmtId="9" fontId="0" fillId="0" borderId="191" xfId="0" applyNumberFormat="1" applyBorder="1"/>
    <xf numFmtId="9" fontId="10" fillId="0" borderId="0" xfId="0" applyNumberFormat="1" applyFont="1"/>
    <xf numFmtId="0" fontId="0" fillId="0" borderId="0" xfId="844" applyNumberFormat="1" applyFont="1" applyAlignment="1">
      <alignment horizontal="center"/>
    </xf>
    <xf numFmtId="0" fontId="10" fillId="0" borderId="191" xfId="0" applyFont="1" applyBorder="1"/>
    <xf numFmtId="174" fontId="0" fillId="43" borderId="0" xfId="0" applyNumberFormat="1" applyFill="1"/>
    <xf numFmtId="174" fontId="10" fillId="43" borderId="0" xfId="0" applyNumberFormat="1" applyFont="1" applyFill="1" applyBorder="1"/>
    <xf numFmtId="174" fontId="38" fillId="43" borderId="0" xfId="0" applyNumberFormat="1" applyFont="1" applyFill="1"/>
    <xf numFmtId="174" fontId="10" fillId="0" borderId="0" xfId="0" applyNumberFormat="1" applyFont="1" applyAlignment="1">
      <alignment horizontal="left"/>
    </xf>
    <xf numFmtId="0" fontId="148" fillId="0" borderId="0" xfId="0" applyFont="1" applyFill="1" applyBorder="1" applyAlignment="1">
      <alignment horizontal="left" vertical="center" wrapText="1"/>
    </xf>
    <xf numFmtId="1" fontId="70" fillId="0" borderId="0" xfId="0" applyNumberFormat="1" applyFont="1" applyFill="1"/>
    <xf numFmtId="1" fontId="70" fillId="0" borderId="0" xfId="0" applyNumberFormat="1" applyFont="1" applyFill="1" applyBorder="1"/>
    <xf numFmtId="1" fontId="0" fillId="0" borderId="0" xfId="0" applyNumberFormat="1" applyFill="1" applyBorder="1" applyAlignment="1" applyProtection="1">
      <alignment horizontal="right"/>
    </xf>
    <xf numFmtId="0" fontId="32" fillId="29" borderId="169" xfId="543" applyFont="1" applyFill="1" applyBorder="1" applyAlignment="1">
      <alignment horizontal="left" vertical="center" wrapText="1"/>
    </xf>
    <xf numFmtId="1" fontId="32" fillId="41" borderId="169" xfId="543" applyNumberFormat="1" applyFont="1" applyFill="1" applyBorder="1" applyAlignment="1">
      <alignment horizontal="right"/>
    </xf>
    <xf numFmtId="0" fontId="79" fillId="0" borderId="0" xfId="223" applyAlignment="1">
      <alignment horizontal="left"/>
    </xf>
    <xf numFmtId="0" fontId="37" fillId="0" borderId="0" xfId="0" applyFont="1" applyAlignment="1">
      <alignment horizontal="center" wrapText="1"/>
    </xf>
    <xf numFmtId="0" fontId="37" fillId="0" borderId="109" xfId="0" applyFont="1" applyBorder="1" applyAlignment="1">
      <alignment horizontal="center" wrapText="1"/>
    </xf>
    <xf numFmtId="0" fontId="10" fillId="47" borderId="44" xfId="0" applyFont="1" applyFill="1" applyBorder="1" applyAlignment="1">
      <alignment horizontal="center" vertical="center" textRotation="180"/>
    </xf>
    <xf numFmtId="0" fontId="10" fillId="47" borderId="19" xfId="0" applyFont="1" applyFill="1" applyBorder="1" applyAlignment="1">
      <alignment horizontal="center" vertical="center" textRotation="180"/>
    </xf>
    <xf numFmtId="0" fontId="131" fillId="88" borderId="0" xfId="0" applyFont="1" applyFill="1" applyAlignment="1">
      <alignment horizontal="center"/>
    </xf>
    <xf numFmtId="0" fontId="131" fillId="89" borderId="0" xfId="0" applyFont="1" applyFill="1" applyAlignment="1">
      <alignment horizontal="center"/>
    </xf>
    <xf numFmtId="0" fontId="131" fillId="87" borderId="0" xfId="0" applyFont="1" applyFill="1" applyAlignment="1">
      <alignment horizontal="center"/>
    </xf>
    <xf numFmtId="0" fontId="116" fillId="0" borderId="0" xfId="1160"/>
    <xf numFmtId="0" fontId="11" fillId="0" borderId="20" xfId="0" applyFont="1" applyBorder="1" applyAlignment="1">
      <alignment horizontal="center"/>
    </xf>
    <xf numFmtId="0" fontId="31" fillId="0" borderId="0" xfId="0" applyFont="1" applyAlignment="1">
      <alignment horizontal="left" wrapText="1"/>
    </xf>
    <xf numFmtId="197" fontId="37" fillId="0" borderId="0" xfId="0" applyNumberFormat="1" applyFont="1" applyAlignment="1">
      <alignment vertical="top" wrapText="1"/>
    </xf>
    <xf numFmtId="0" fontId="0" fillId="0" borderId="0" xfId="0" applyAlignment="1">
      <alignment vertical="top" wrapText="1"/>
    </xf>
    <xf numFmtId="197" fontId="36" fillId="0" borderId="0" xfId="0" applyNumberFormat="1" applyFont="1" applyAlignment="1">
      <alignment vertical="top" wrapText="1"/>
    </xf>
    <xf numFmtId="0" fontId="36" fillId="0" borderId="0" xfId="0" applyFont="1" applyAlignment="1">
      <alignment vertical="top" wrapText="1"/>
    </xf>
    <xf numFmtId="197" fontId="31" fillId="0" borderId="0" xfId="0" applyNumberFormat="1" applyFont="1" applyBorder="1" applyAlignment="1">
      <alignment horizontal="left" wrapText="1"/>
    </xf>
    <xf numFmtId="0" fontId="31" fillId="0" borderId="0" xfId="0" applyFont="1" applyFill="1" applyAlignment="1">
      <alignment horizontal="left" wrapText="1"/>
    </xf>
    <xf numFmtId="0" fontId="31" fillId="33" borderId="25" xfId="0" applyFont="1" applyFill="1" applyBorder="1" applyAlignment="1">
      <alignment horizontal="center" vertical="top" wrapText="1"/>
    </xf>
    <xf numFmtId="0" fontId="71" fillId="47" borderId="20" xfId="0" applyFont="1" applyFill="1" applyBorder="1" applyAlignment="1">
      <alignment horizontal="center" wrapText="1"/>
    </xf>
    <xf numFmtId="0" fontId="71" fillId="47" borderId="23" xfId="0" applyFont="1" applyFill="1" applyBorder="1" applyAlignment="1">
      <alignment horizontal="center" wrapText="1"/>
    </xf>
    <xf numFmtId="0" fontId="31" fillId="47" borderId="16" xfId="0" applyFont="1" applyFill="1" applyBorder="1" applyAlignment="1">
      <alignment horizontal="center" wrapText="1"/>
    </xf>
    <xf numFmtId="0" fontId="31" fillId="47" borderId="20" xfId="0" applyFont="1" applyFill="1" applyBorder="1" applyAlignment="1">
      <alignment horizontal="center" wrapText="1"/>
    </xf>
    <xf numFmtId="0" fontId="31" fillId="47" borderId="0" xfId="0" applyFont="1" applyFill="1" applyBorder="1" applyAlignment="1">
      <alignment horizontal="center" wrapText="1"/>
    </xf>
    <xf numFmtId="0" fontId="31" fillId="47" borderId="22" xfId="0" applyFont="1" applyFill="1" applyBorder="1" applyAlignment="1">
      <alignment horizontal="center" wrapText="1"/>
    </xf>
    <xf numFmtId="0" fontId="31" fillId="47" borderId="23" xfId="0" applyFont="1" applyFill="1" applyBorder="1" applyAlignment="1">
      <alignment horizontal="center" wrapText="1"/>
    </xf>
    <xf numFmtId="0" fontId="71" fillId="33" borderId="19" xfId="0" applyFont="1" applyFill="1" applyBorder="1" applyAlignment="1">
      <alignment horizontal="left" vertical="top" wrapText="1"/>
    </xf>
    <xf numFmtId="0" fontId="71" fillId="33" borderId="0" xfId="0" applyFont="1" applyFill="1" applyBorder="1" applyAlignment="1">
      <alignment horizontal="left" vertical="top" wrapText="1"/>
    </xf>
    <xf numFmtId="0" fontId="31" fillId="33" borderId="0" xfId="0" applyFont="1" applyFill="1" applyBorder="1" applyAlignment="1">
      <alignment horizontal="left" vertical="top"/>
    </xf>
    <xf numFmtId="0" fontId="162" fillId="33" borderId="19" xfId="0" applyFont="1" applyFill="1" applyBorder="1" applyAlignment="1">
      <alignment horizontal="left" vertical="top" wrapText="1"/>
    </xf>
    <xf numFmtId="0" fontId="162" fillId="33" borderId="0" xfId="0" applyFont="1" applyFill="1" applyBorder="1" applyAlignment="1">
      <alignment horizontal="left" vertical="top" wrapText="1"/>
    </xf>
    <xf numFmtId="0" fontId="31" fillId="33" borderId="19" xfId="0" applyFont="1" applyFill="1" applyBorder="1" applyAlignment="1">
      <alignment horizontal="left" vertical="top" wrapText="1"/>
    </xf>
    <xf numFmtId="0" fontId="31" fillId="33" borderId="0" xfId="0" applyFont="1" applyFill="1" applyBorder="1" applyAlignment="1">
      <alignment horizontal="left" vertical="top" wrapText="1"/>
    </xf>
    <xf numFmtId="0" fontId="31" fillId="33" borderId="81" xfId="0" applyFont="1" applyFill="1" applyBorder="1" applyAlignment="1">
      <alignment horizontal="right" vertical="top" wrapText="1"/>
    </xf>
    <xf numFmtId="0" fontId="31" fillId="33" borderId="27" xfId="0" applyFont="1" applyFill="1" applyBorder="1" applyAlignment="1">
      <alignment horizontal="right" vertical="top" wrapText="1"/>
    </xf>
    <xf numFmtId="0" fontId="31" fillId="33" borderId="19" xfId="0" applyFont="1" applyFill="1" applyBorder="1" applyAlignment="1">
      <alignment horizontal="right" vertical="top" wrapText="1"/>
    </xf>
    <xf numFmtId="0" fontId="31" fillId="33" borderId="0" xfId="0" applyFont="1" applyFill="1" applyBorder="1" applyAlignment="1">
      <alignment horizontal="right" vertical="top" wrapText="1"/>
    </xf>
    <xf numFmtId="0" fontId="31" fillId="33" borderId="130" xfId="0" applyFont="1" applyFill="1" applyBorder="1" applyAlignment="1">
      <alignment horizontal="right" vertical="top" wrapText="1"/>
    </xf>
    <xf numFmtId="0" fontId="31" fillId="33" borderId="25" xfId="0" applyFont="1" applyFill="1" applyBorder="1" applyAlignment="1">
      <alignment horizontal="right" vertical="top" wrapText="1"/>
    </xf>
    <xf numFmtId="0" fontId="71" fillId="33" borderId="27" xfId="0" applyFont="1" applyFill="1" applyBorder="1" applyAlignment="1">
      <alignment horizontal="center" vertical="top" wrapText="1"/>
    </xf>
    <xf numFmtId="0" fontId="31" fillId="0" borderId="0" xfId="0" applyFont="1" applyFill="1" applyBorder="1" applyAlignment="1">
      <alignment horizontal="center" wrapText="1"/>
    </xf>
    <xf numFmtId="0" fontId="31" fillId="33" borderId="0" xfId="0" applyFont="1" applyFill="1" applyBorder="1" applyAlignment="1">
      <alignment vertical="top" wrapText="1"/>
    </xf>
    <xf numFmtId="0" fontId="71" fillId="33" borderId="149" xfId="1525" applyFont="1" applyFill="1" applyBorder="1" applyAlignment="1">
      <alignment horizontal="center"/>
    </xf>
    <xf numFmtId="0" fontId="31" fillId="33" borderId="21" xfId="1525" applyFont="1" applyFill="1" applyBorder="1" applyAlignment="1">
      <alignment horizontal="center" vertical="top" wrapText="1"/>
    </xf>
    <xf numFmtId="0" fontId="71" fillId="0" borderId="0" xfId="0" applyFont="1" applyFill="1" applyBorder="1" applyAlignment="1">
      <alignment horizontal="center" wrapText="1"/>
    </xf>
    <xf numFmtId="0" fontId="71" fillId="33" borderId="20" xfId="0" applyFont="1" applyFill="1" applyBorder="1" applyAlignment="1">
      <alignment horizontal="center" vertical="top" wrapText="1"/>
    </xf>
    <xf numFmtId="0" fontId="31" fillId="47" borderId="20" xfId="0" applyFont="1" applyFill="1" applyBorder="1" applyAlignment="1">
      <alignment horizontal="left" vertical="center" wrapText="1"/>
    </xf>
    <xf numFmtId="0" fontId="31" fillId="47" borderId="23" xfId="0" applyFont="1" applyFill="1" applyBorder="1" applyAlignment="1">
      <alignment horizontal="left" vertical="center" wrapText="1"/>
    </xf>
    <xf numFmtId="0" fontId="162" fillId="47" borderId="19" xfId="0" applyFont="1" applyFill="1" applyBorder="1" applyAlignment="1">
      <alignment horizontal="center" vertical="center"/>
    </xf>
    <xf numFmtId="0" fontId="162" fillId="47" borderId="0" xfId="0" applyFont="1" applyFill="1" applyBorder="1" applyAlignment="1">
      <alignment horizontal="center" vertical="center"/>
    </xf>
    <xf numFmtId="0" fontId="71" fillId="47" borderId="0" xfId="0" applyFont="1" applyFill="1" applyBorder="1" applyAlignment="1">
      <alignment horizontal="center" vertical="center"/>
    </xf>
    <xf numFmtId="0" fontId="178" fillId="47" borderId="22" xfId="0" applyFont="1" applyFill="1" applyBorder="1" applyAlignment="1">
      <alignment horizontal="center" vertical="center"/>
    </xf>
    <xf numFmtId="0" fontId="162" fillId="47" borderId="20" xfId="0" applyFont="1" applyFill="1" applyBorder="1" applyAlignment="1">
      <alignment horizontal="center" vertical="center"/>
    </xf>
    <xf numFmtId="0" fontId="31" fillId="43" borderId="0" xfId="0" applyFont="1" applyFill="1" applyBorder="1" applyAlignment="1">
      <alignment horizontal="center" vertical="center"/>
    </xf>
    <xf numFmtId="0" fontId="31" fillId="43" borderId="20" xfId="0" applyFont="1" applyFill="1" applyBorder="1" applyAlignment="1">
      <alignment horizontal="center" vertical="center"/>
    </xf>
    <xf numFmtId="0" fontId="31" fillId="47" borderId="0" xfId="0" applyFont="1" applyFill="1" applyBorder="1" applyAlignment="1">
      <alignment horizontal="center" vertical="center"/>
    </xf>
    <xf numFmtId="0" fontId="31" fillId="47" borderId="20" xfId="0" applyFont="1" applyFill="1" applyBorder="1" applyAlignment="1">
      <alignment horizontal="center" vertical="center"/>
    </xf>
    <xf numFmtId="0" fontId="71" fillId="47" borderId="20" xfId="0" applyFont="1" applyFill="1" applyBorder="1" applyAlignment="1">
      <alignment horizontal="center" vertical="center"/>
    </xf>
    <xf numFmtId="0" fontId="162" fillId="47" borderId="0" xfId="0" applyFont="1" applyFill="1" applyBorder="1" applyAlignment="1">
      <alignment horizontal="center" vertical="center" wrapText="1"/>
    </xf>
    <xf numFmtId="0" fontId="162" fillId="47" borderId="20" xfId="0" applyFont="1" applyFill="1" applyBorder="1" applyAlignment="1">
      <alignment horizontal="center" vertical="center" wrapText="1"/>
    </xf>
    <xf numFmtId="0" fontId="71" fillId="43" borderId="0" xfId="0" applyFont="1" applyFill="1" applyBorder="1" applyAlignment="1">
      <alignment horizontal="center" vertical="center"/>
    </xf>
    <xf numFmtId="0" fontId="71" fillId="43" borderId="20" xfId="0" applyFont="1" applyFill="1" applyBorder="1" applyAlignment="1">
      <alignment horizontal="center" vertical="center"/>
    </xf>
    <xf numFmtId="0" fontId="179" fillId="47" borderId="0" xfId="0" applyFont="1" applyFill="1" applyBorder="1" applyAlignment="1">
      <alignment vertical="center"/>
    </xf>
    <xf numFmtId="0" fontId="178" fillId="47" borderId="0" xfId="0" applyFont="1" applyFill="1" applyBorder="1" applyAlignment="1">
      <alignment horizontal="center" vertical="center"/>
    </xf>
    <xf numFmtId="0" fontId="178" fillId="43" borderId="0" xfId="0" applyFont="1" applyFill="1" applyBorder="1" applyAlignment="1">
      <alignment horizontal="center" vertical="center"/>
    </xf>
    <xf numFmtId="0" fontId="10" fillId="47" borderId="0" xfId="0" applyFont="1" applyFill="1" applyBorder="1" applyAlignment="1">
      <alignment horizontal="center" vertical="center"/>
    </xf>
    <xf numFmtId="0" fontId="172" fillId="47" borderId="0" xfId="0" applyFont="1" applyFill="1" applyBorder="1" applyAlignment="1">
      <alignment horizontal="center" vertical="center"/>
    </xf>
    <xf numFmtId="0" fontId="37" fillId="47" borderId="0" xfId="0" applyFont="1" applyFill="1" applyBorder="1" applyAlignment="1">
      <alignment horizontal="center" vertical="center"/>
    </xf>
    <xf numFmtId="0" fontId="37" fillId="43" borderId="0" xfId="0" applyFont="1" applyFill="1" applyBorder="1" applyAlignment="1">
      <alignment horizontal="center" vertical="center"/>
    </xf>
    <xf numFmtId="0" fontId="109" fillId="47" borderId="0" xfId="0" applyFont="1" applyFill="1" applyBorder="1" applyAlignment="1">
      <alignment horizontal="center" vertical="center" wrapText="1"/>
    </xf>
    <xf numFmtId="0" fontId="109" fillId="47" borderId="21" xfId="0" applyFont="1" applyFill="1" applyBorder="1" applyAlignment="1">
      <alignment horizontal="center" vertical="center" wrapText="1"/>
    </xf>
    <xf numFmtId="0" fontId="109" fillId="47" borderId="20" xfId="0" applyFont="1" applyFill="1" applyBorder="1" applyAlignment="1">
      <alignment horizontal="center" vertical="center" wrapText="1"/>
    </xf>
    <xf numFmtId="0" fontId="109" fillId="47" borderId="21" xfId="0" applyFont="1" applyFill="1" applyBorder="1" applyAlignment="1">
      <alignment horizontal="center" vertical="center"/>
    </xf>
    <xf numFmtId="0" fontId="173" fillId="47" borderId="21" xfId="0" applyFont="1" applyFill="1" applyBorder="1" applyAlignment="1">
      <alignment horizontal="center" vertical="center"/>
    </xf>
    <xf numFmtId="0" fontId="173" fillId="47" borderId="21" xfId="0" applyFont="1" applyFill="1" applyBorder="1" applyAlignment="1">
      <alignment vertical="center"/>
    </xf>
    <xf numFmtId="0" fontId="54" fillId="47" borderId="20" xfId="0" applyFont="1" applyFill="1" applyBorder="1" applyAlignment="1">
      <alignment horizontal="center" vertical="center" wrapText="1"/>
    </xf>
    <xf numFmtId="0" fontId="173" fillId="47" borderId="20" xfId="0" applyFont="1" applyFill="1" applyBorder="1" applyAlignment="1">
      <alignment horizontal="center" vertical="center" wrapText="1"/>
    </xf>
    <xf numFmtId="0" fontId="54" fillId="47" borderId="20" xfId="0" applyFont="1" applyFill="1" applyBorder="1" applyAlignment="1">
      <alignment vertical="center"/>
    </xf>
    <xf numFmtId="0" fontId="31" fillId="47" borderId="0" xfId="0" applyFont="1" applyFill="1" applyBorder="1" applyAlignment="1">
      <alignment horizontal="center" vertical="center" wrapText="1"/>
    </xf>
    <xf numFmtId="0" fontId="31" fillId="47" borderId="21" xfId="0" applyFont="1" applyFill="1" applyBorder="1" applyAlignment="1">
      <alignment horizontal="center" vertical="center" wrapText="1"/>
    </xf>
    <xf numFmtId="0" fontId="31" fillId="47" borderId="20" xfId="0" applyFont="1" applyFill="1" applyBorder="1" applyAlignment="1">
      <alignment horizontal="center" vertical="center" wrapText="1"/>
    </xf>
    <xf numFmtId="0" fontId="31" fillId="47" borderId="21" xfId="0" applyFont="1" applyFill="1" applyBorder="1" applyAlignment="1">
      <alignment horizontal="center" vertical="center"/>
    </xf>
    <xf numFmtId="0" fontId="172" fillId="47" borderId="21" xfId="0" applyFont="1" applyFill="1" applyBorder="1" applyAlignment="1">
      <alignment horizontal="center" vertical="center"/>
    </xf>
    <xf numFmtId="0" fontId="172" fillId="47" borderId="21" xfId="0" applyFont="1" applyFill="1" applyBorder="1" applyAlignment="1">
      <alignment vertical="center"/>
    </xf>
    <xf numFmtId="0" fontId="10" fillId="47" borderId="20" xfId="0" applyFont="1" applyFill="1" applyBorder="1" applyAlignment="1">
      <alignment horizontal="center" vertical="center" wrapText="1"/>
    </xf>
    <xf numFmtId="0" fontId="172" fillId="47" borderId="20" xfId="0" applyFont="1" applyFill="1" applyBorder="1" applyAlignment="1">
      <alignment horizontal="center" vertical="center" wrapText="1"/>
    </xf>
    <xf numFmtId="0" fontId="10" fillId="47" borderId="20" xfId="0" applyFont="1" applyFill="1" applyBorder="1" applyAlignment="1">
      <alignment vertical="center"/>
    </xf>
    <xf numFmtId="0" fontId="10" fillId="47" borderId="44" xfId="0" applyFont="1" applyFill="1" applyBorder="1" applyAlignment="1">
      <alignment horizontal="left"/>
    </xf>
    <xf numFmtId="0" fontId="0" fillId="47" borderId="16" xfId="0" applyFill="1" applyBorder="1" applyAlignment="1">
      <alignment horizontal="left"/>
    </xf>
    <xf numFmtId="0" fontId="10" fillId="47" borderId="44" xfId="0" applyFont="1" applyFill="1" applyBorder="1" applyAlignment="1">
      <alignment horizontal="center"/>
    </xf>
    <xf numFmtId="0" fontId="0" fillId="47" borderId="16" xfId="0" applyFill="1" applyBorder="1" applyAlignment="1">
      <alignment horizontal="center"/>
    </xf>
    <xf numFmtId="0" fontId="10" fillId="43" borderId="44" xfId="0" applyFont="1" applyFill="1" applyBorder="1" applyAlignment="1">
      <alignment horizontal="left"/>
    </xf>
    <xf numFmtId="0" fontId="0" fillId="43" borderId="16" xfId="0" applyFill="1" applyBorder="1" applyAlignment="1">
      <alignment horizontal="left"/>
    </xf>
    <xf numFmtId="0" fontId="10" fillId="43" borderId="44" xfId="0" applyFont="1" applyFill="1" applyBorder="1" applyAlignment="1">
      <alignment horizontal="center"/>
    </xf>
    <xf numFmtId="0" fontId="0" fillId="43" borderId="16" xfId="0" applyFill="1" applyBorder="1" applyAlignment="1">
      <alignment horizontal="center"/>
    </xf>
    <xf numFmtId="0" fontId="10" fillId="83" borderId="0" xfId="0" applyFont="1" applyFill="1" applyAlignment="1">
      <alignment horizontal="center" vertical="top" wrapText="1"/>
    </xf>
    <xf numFmtId="0" fontId="31" fillId="0" borderId="21" xfId="0" applyFont="1" applyFill="1" applyBorder="1" applyAlignment="1">
      <alignment horizontal="center"/>
    </xf>
    <xf numFmtId="3" fontId="266" fillId="0" borderId="20" xfId="1531" applyNumberFormat="1" applyFont="1" applyFill="1" applyBorder="1" applyAlignment="1">
      <alignment horizontal="center" wrapText="1"/>
    </xf>
    <xf numFmtId="3" fontId="266" fillId="0" borderId="20" xfId="1531" applyNumberFormat="1" applyFont="1" applyFill="1" applyBorder="1" applyAlignment="1">
      <alignment horizontal="center"/>
    </xf>
    <xf numFmtId="3" fontId="264" fillId="0" borderId="0" xfId="1531" applyNumberFormat="1" applyFont="1" applyFill="1" applyBorder="1" applyAlignment="1">
      <alignment horizontal="left" wrapText="1"/>
    </xf>
    <xf numFmtId="3" fontId="264" fillId="0" borderId="0" xfId="1531" applyNumberFormat="1" applyFont="1" applyFill="1" applyBorder="1" applyAlignment="1">
      <alignment horizontal="left"/>
    </xf>
    <xf numFmtId="0" fontId="83" fillId="0" borderId="0" xfId="1531" applyFont="1" applyFill="1" applyAlignment="1">
      <alignment wrapText="1"/>
    </xf>
    <xf numFmtId="0" fontId="166" fillId="33" borderId="16" xfId="1159" applyFont="1" applyFill="1" applyBorder="1" applyAlignment="1">
      <alignment horizontal="left" wrapText="1"/>
    </xf>
    <xf numFmtId="0" fontId="166" fillId="33" borderId="0" xfId="1159" applyFont="1" applyFill="1" applyBorder="1" applyAlignment="1">
      <alignment horizontal="left" wrapText="1"/>
    </xf>
    <xf numFmtId="0" fontId="71" fillId="33" borderId="21" xfId="1159" applyFont="1" applyFill="1" applyBorder="1" applyAlignment="1">
      <alignment horizontal="left"/>
    </xf>
    <xf numFmtId="0" fontId="3" fillId="0" borderId="72" xfId="1529" applyFont="1" applyBorder="1" applyAlignment="1">
      <alignment horizontal="center" vertical="center"/>
    </xf>
    <xf numFmtId="0" fontId="6" fillId="0" borderId="72" xfId="1529" applyBorder="1" applyAlignment="1">
      <alignment horizontal="center" vertical="center"/>
    </xf>
    <xf numFmtId="0" fontId="3" fillId="0" borderId="44" xfId="1529" applyFont="1" applyBorder="1" applyAlignment="1">
      <alignment horizontal="center" vertical="center"/>
    </xf>
    <xf numFmtId="0" fontId="6" fillId="0" borderId="19" xfId="1529" applyBorder="1" applyAlignment="1">
      <alignment horizontal="center" vertical="center"/>
    </xf>
    <xf numFmtId="0" fontId="6" fillId="0" borderId="24" xfId="1529" applyBorder="1" applyAlignment="1">
      <alignment horizontal="center" vertical="center"/>
    </xf>
    <xf numFmtId="0" fontId="3" fillId="0" borderId="73" xfId="1529" applyFont="1" applyBorder="1" applyAlignment="1">
      <alignment horizontal="center" vertical="center"/>
    </xf>
    <xf numFmtId="0" fontId="6" fillId="0" borderId="3" xfId="1529" applyBorder="1" applyAlignment="1">
      <alignment horizontal="center" vertical="center"/>
    </xf>
    <xf numFmtId="0" fontId="10" fillId="0" borderId="144" xfId="0" applyFont="1" applyBorder="1" applyAlignment="1">
      <alignment horizontal="center"/>
    </xf>
    <xf numFmtId="0" fontId="6" fillId="0" borderId="44" xfId="1529" applyBorder="1" applyAlignment="1">
      <alignment horizontal="center" vertical="center"/>
    </xf>
    <xf numFmtId="0" fontId="0" fillId="0" borderId="0" xfId="0" applyAlignment="1">
      <alignment horizontal="center"/>
    </xf>
    <xf numFmtId="0" fontId="31" fillId="47" borderId="21" xfId="0" applyFont="1" applyFill="1" applyBorder="1" applyAlignment="1">
      <alignment horizontal="center" wrapText="1"/>
    </xf>
    <xf numFmtId="0" fontId="38" fillId="47" borderId="44" xfId="0" applyFont="1" applyFill="1" applyBorder="1" applyAlignment="1">
      <alignment horizontal="center"/>
    </xf>
    <xf numFmtId="0" fontId="38" fillId="47" borderId="16" xfId="0" applyFont="1" applyFill="1" applyBorder="1" applyAlignment="1">
      <alignment horizontal="center"/>
    </xf>
    <xf numFmtId="0" fontId="38" fillId="47" borderId="17" xfId="0" applyFont="1" applyFill="1" applyBorder="1" applyAlignment="1">
      <alignment horizontal="center"/>
    </xf>
    <xf numFmtId="0" fontId="0" fillId="47" borderId="44" xfId="0" applyFill="1" applyBorder="1" applyAlignment="1">
      <alignment horizontal="center"/>
    </xf>
    <xf numFmtId="0" fontId="0" fillId="47" borderId="17" xfId="0" applyFill="1" applyBorder="1" applyAlignment="1">
      <alignment horizontal="center"/>
    </xf>
    <xf numFmtId="0" fontId="0" fillId="47" borderId="19" xfId="0" applyFill="1" applyBorder="1" applyAlignment="1">
      <alignment horizontal="left"/>
    </xf>
    <xf numFmtId="0" fontId="0" fillId="47" borderId="0" xfId="0" applyFill="1" applyBorder="1" applyAlignment="1">
      <alignment horizontal="left"/>
    </xf>
    <xf numFmtId="0" fontId="0" fillId="47" borderId="22" xfId="0" applyFill="1" applyBorder="1" applyAlignment="1">
      <alignment horizontal="left"/>
    </xf>
  </cellXfs>
  <cellStyles count="57684">
    <cellStyle name="_x000a_shell=progma 2" xfId="16744" xr:uid="{00000000-0005-0000-0000-000000000000}"/>
    <cellStyle name="_x000a_shell=progma 2 2" xfId="18013" xr:uid="{00000000-0005-0000-0000-000001000000}"/>
    <cellStyle name="1.000" xfId="16745" xr:uid="{00000000-0005-0000-0000-000002000000}"/>
    <cellStyle name="1.000 2" xfId="18014" xr:uid="{00000000-0005-0000-0000-000003000000}"/>
    <cellStyle name="20 % - Markeringsfarve1 10" xfId="1597" xr:uid="{00000000-0005-0000-0000-000004000000}"/>
    <cellStyle name="20 % - Markeringsfarve1 10 2" xfId="1598" xr:uid="{00000000-0005-0000-0000-000005000000}"/>
    <cellStyle name="20 % - Markeringsfarve1 10 2 2" xfId="7488" xr:uid="{00000000-0005-0000-0000-000006000000}"/>
    <cellStyle name="20 % - Markeringsfarve1 10 2 2 2" xfId="15389" xr:uid="{00000000-0005-0000-0000-000007000000}"/>
    <cellStyle name="20 % - Markeringsfarve1 10 2 2 2 2" xfId="31703" xr:uid="{00000000-0005-0000-0000-000008000000}"/>
    <cellStyle name="20 % - Markeringsfarve1 10 2 2 2 3" xfId="46667" xr:uid="{00000000-0005-0000-0000-000009000000}"/>
    <cellStyle name="20 % - Markeringsfarve1 10 2 2 3" xfId="24681" xr:uid="{00000000-0005-0000-0000-00000A000000}"/>
    <cellStyle name="20 % - Markeringsfarve1 10 2 2 4" xfId="39668" xr:uid="{00000000-0005-0000-0000-00000B000000}"/>
    <cellStyle name="20 % - Markeringsfarve1 10 2 3" xfId="10155" xr:uid="{00000000-0005-0000-0000-00000C000000}"/>
    <cellStyle name="20 % - Markeringsfarve1 10 2 3 2" xfId="26474" xr:uid="{00000000-0005-0000-0000-00000D000000}"/>
    <cellStyle name="20 % - Markeringsfarve1 10 2 3 3" xfId="41440" xr:uid="{00000000-0005-0000-0000-00000E000000}"/>
    <cellStyle name="20 % - Markeringsfarve1 10 2 4" xfId="19452" xr:uid="{00000000-0005-0000-0000-00000F000000}"/>
    <cellStyle name="20 % - Markeringsfarve1 10 2 5" xfId="34441" xr:uid="{00000000-0005-0000-0000-000010000000}"/>
    <cellStyle name="20 % - Markeringsfarve1 10 3" xfId="1599" xr:uid="{00000000-0005-0000-0000-000011000000}"/>
    <cellStyle name="20 % - Markeringsfarve1 10 3 2" xfId="7107" xr:uid="{00000000-0005-0000-0000-000012000000}"/>
    <cellStyle name="20 % - Markeringsfarve1 10 3 2 2" xfId="15017" xr:uid="{00000000-0005-0000-0000-000013000000}"/>
    <cellStyle name="20 % - Markeringsfarve1 10 3 2 2 2" xfId="31331" xr:uid="{00000000-0005-0000-0000-000014000000}"/>
    <cellStyle name="20 % - Markeringsfarve1 10 3 2 2 3" xfId="46295" xr:uid="{00000000-0005-0000-0000-000015000000}"/>
    <cellStyle name="20 % - Markeringsfarve1 10 3 2 3" xfId="24309" xr:uid="{00000000-0005-0000-0000-000016000000}"/>
    <cellStyle name="20 % - Markeringsfarve1 10 3 2 4" xfId="39296" xr:uid="{00000000-0005-0000-0000-000017000000}"/>
    <cellStyle name="20 % - Markeringsfarve1 10 3 3" xfId="10156" xr:uid="{00000000-0005-0000-0000-000018000000}"/>
    <cellStyle name="20 % - Markeringsfarve1 10 3 3 2" xfId="26475" xr:uid="{00000000-0005-0000-0000-000019000000}"/>
    <cellStyle name="20 % - Markeringsfarve1 10 3 3 3" xfId="41441" xr:uid="{00000000-0005-0000-0000-00001A000000}"/>
    <cellStyle name="20 % - Markeringsfarve1 10 3 4" xfId="19453" xr:uid="{00000000-0005-0000-0000-00001B000000}"/>
    <cellStyle name="20 % - Markeringsfarve1 10 3 5" xfId="34442" xr:uid="{00000000-0005-0000-0000-00001C000000}"/>
    <cellStyle name="20 % - Markeringsfarve1 10 4" xfId="5407" xr:uid="{00000000-0005-0000-0000-00001D000000}"/>
    <cellStyle name="20 % - Markeringsfarve1 10 4 2" xfId="13325" xr:uid="{00000000-0005-0000-0000-00001E000000}"/>
    <cellStyle name="20 % - Markeringsfarve1 10 4 2 2" xfId="29639" xr:uid="{00000000-0005-0000-0000-00001F000000}"/>
    <cellStyle name="20 % - Markeringsfarve1 10 4 2 3" xfId="44603" xr:uid="{00000000-0005-0000-0000-000020000000}"/>
    <cellStyle name="20 % - Markeringsfarve1 10 4 3" xfId="22617" xr:uid="{00000000-0005-0000-0000-000021000000}"/>
    <cellStyle name="20 % - Markeringsfarve1 10 4 4" xfId="37604" xr:uid="{00000000-0005-0000-0000-000022000000}"/>
    <cellStyle name="20 % - Markeringsfarve1 10 5" xfId="10154" xr:uid="{00000000-0005-0000-0000-000023000000}"/>
    <cellStyle name="20 % - Markeringsfarve1 10 5 2" xfId="26473" xr:uid="{00000000-0005-0000-0000-000024000000}"/>
    <cellStyle name="20 % - Markeringsfarve1 10 5 3" xfId="41439" xr:uid="{00000000-0005-0000-0000-000025000000}"/>
    <cellStyle name="20 % - Markeringsfarve1 10 6" xfId="19451" xr:uid="{00000000-0005-0000-0000-000026000000}"/>
    <cellStyle name="20 % - Markeringsfarve1 10 7" xfId="34440" xr:uid="{00000000-0005-0000-0000-000027000000}"/>
    <cellStyle name="20 % - Markeringsfarve1 11" xfId="1600" xr:uid="{00000000-0005-0000-0000-000028000000}"/>
    <cellStyle name="20 % - Markeringsfarve1 11 2" xfId="1601" xr:uid="{00000000-0005-0000-0000-000029000000}"/>
    <cellStyle name="20 % - Markeringsfarve1 11 2 2" xfId="8525" xr:uid="{00000000-0005-0000-0000-00002A000000}"/>
    <cellStyle name="20 % - Markeringsfarve1 11 2 2 2" xfId="16414" xr:uid="{00000000-0005-0000-0000-00002B000000}"/>
    <cellStyle name="20 % - Markeringsfarve1 11 2 2 2 2" xfId="32728" xr:uid="{00000000-0005-0000-0000-00002C000000}"/>
    <cellStyle name="20 % - Markeringsfarve1 11 2 2 2 3" xfId="47692" xr:uid="{00000000-0005-0000-0000-00002D000000}"/>
    <cellStyle name="20 % - Markeringsfarve1 11 2 2 3" xfId="25706" xr:uid="{00000000-0005-0000-0000-00002E000000}"/>
    <cellStyle name="20 % - Markeringsfarve1 11 2 2 4" xfId="40693" xr:uid="{00000000-0005-0000-0000-00002F000000}"/>
    <cellStyle name="20 % - Markeringsfarve1 11 2 3" xfId="10158" xr:uid="{00000000-0005-0000-0000-000030000000}"/>
    <cellStyle name="20 % - Markeringsfarve1 11 2 3 2" xfId="26477" xr:uid="{00000000-0005-0000-0000-000031000000}"/>
    <cellStyle name="20 % - Markeringsfarve1 11 2 3 3" xfId="41443" xr:uid="{00000000-0005-0000-0000-000032000000}"/>
    <cellStyle name="20 % - Markeringsfarve1 11 2 4" xfId="19455" xr:uid="{00000000-0005-0000-0000-000033000000}"/>
    <cellStyle name="20 % - Markeringsfarve1 11 2 5" xfId="34444" xr:uid="{00000000-0005-0000-0000-000034000000}"/>
    <cellStyle name="20 % - Markeringsfarve1 11 3" xfId="5408" xr:uid="{00000000-0005-0000-0000-000035000000}"/>
    <cellStyle name="20 % - Markeringsfarve1 11 3 2" xfId="13326" xr:uid="{00000000-0005-0000-0000-000036000000}"/>
    <cellStyle name="20 % - Markeringsfarve1 11 3 2 2" xfId="29640" xr:uid="{00000000-0005-0000-0000-000037000000}"/>
    <cellStyle name="20 % - Markeringsfarve1 11 3 2 3" xfId="44604" xr:uid="{00000000-0005-0000-0000-000038000000}"/>
    <cellStyle name="20 % - Markeringsfarve1 11 3 3" xfId="22618" xr:uid="{00000000-0005-0000-0000-000039000000}"/>
    <cellStyle name="20 % - Markeringsfarve1 11 3 4" xfId="37605" xr:uid="{00000000-0005-0000-0000-00003A000000}"/>
    <cellStyle name="20 % - Markeringsfarve1 11 4" xfId="10157" xr:uid="{00000000-0005-0000-0000-00003B000000}"/>
    <cellStyle name="20 % - Markeringsfarve1 11 4 2" xfId="26476" xr:uid="{00000000-0005-0000-0000-00003C000000}"/>
    <cellStyle name="20 % - Markeringsfarve1 11 4 3" xfId="41442" xr:uid="{00000000-0005-0000-0000-00003D000000}"/>
    <cellStyle name="20 % - Markeringsfarve1 11 5" xfId="19454" xr:uid="{00000000-0005-0000-0000-00003E000000}"/>
    <cellStyle name="20 % - Markeringsfarve1 11 6" xfId="34443" xr:uid="{00000000-0005-0000-0000-00003F000000}"/>
    <cellStyle name="20 % - Markeringsfarve1 12" xfId="1602" xr:uid="{00000000-0005-0000-0000-000040000000}"/>
    <cellStyle name="20 % - Markeringsfarve1 12 2" xfId="1603" xr:uid="{00000000-0005-0000-0000-000041000000}"/>
    <cellStyle name="20 % - Markeringsfarve1 12 2 2" xfId="7099" xr:uid="{00000000-0005-0000-0000-000042000000}"/>
    <cellStyle name="20 % - Markeringsfarve1 12 2 2 2" xfId="15009" xr:uid="{00000000-0005-0000-0000-000043000000}"/>
    <cellStyle name="20 % - Markeringsfarve1 12 2 2 2 2" xfId="31323" xr:uid="{00000000-0005-0000-0000-000044000000}"/>
    <cellStyle name="20 % - Markeringsfarve1 12 2 2 2 3" xfId="46287" xr:uid="{00000000-0005-0000-0000-000045000000}"/>
    <cellStyle name="20 % - Markeringsfarve1 12 2 2 3" xfId="24301" xr:uid="{00000000-0005-0000-0000-000046000000}"/>
    <cellStyle name="20 % - Markeringsfarve1 12 2 2 4" xfId="39288" xr:uid="{00000000-0005-0000-0000-000047000000}"/>
    <cellStyle name="20 % - Markeringsfarve1 12 2 3" xfId="10160" xr:uid="{00000000-0005-0000-0000-000048000000}"/>
    <cellStyle name="20 % - Markeringsfarve1 12 2 3 2" xfId="26479" xr:uid="{00000000-0005-0000-0000-000049000000}"/>
    <cellStyle name="20 % - Markeringsfarve1 12 2 3 3" xfId="41445" xr:uid="{00000000-0005-0000-0000-00004A000000}"/>
    <cellStyle name="20 % - Markeringsfarve1 12 2 4" xfId="19457" xr:uid="{00000000-0005-0000-0000-00004B000000}"/>
    <cellStyle name="20 % - Markeringsfarve1 12 2 5" xfId="34446" xr:uid="{00000000-0005-0000-0000-00004C000000}"/>
    <cellStyle name="20 % - Markeringsfarve1 12 3" xfId="5409" xr:uid="{00000000-0005-0000-0000-00004D000000}"/>
    <cellStyle name="20 % - Markeringsfarve1 12 3 2" xfId="13327" xr:uid="{00000000-0005-0000-0000-00004E000000}"/>
    <cellStyle name="20 % - Markeringsfarve1 12 3 2 2" xfId="29641" xr:uid="{00000000-0005-0000-0000-00004F000000}"/>
    <cellStyle name="20 % - Markeringsfarve1 12 3 2 3" xfId="44605" xr:uid="{00000000-0005-0000-0000-000050000000}"/>
    <cellStyle name="20 % - Markeringsfarve1 12 3 3" xfId="22619" xr:uid="{00000000-0005-0000-0000-000051000000}"/>
    <cellStyle name="20 % - Markeringsfarve1 12 3 4" xfId="37606" xr:uid="{00000000-0005-0000-0000-000052000000}"/>
    <cellStyle name="20 % - Markeringsfarve1 12 4" xfId="10159" xr:uid="{00000000-0005-0000-0000-000053000000}"/>
    <cellStyle name="20 % - Markeringsfarve1 12 4 2" xfId="26478" xr:uid="{00000000-0005-0000-0000-000054000000}"/>
    <cellStyle name="20 % - Markeringsfarve1 12 4 3" xfId="41444" xr:uid="{00000000-0005-0000-0000-000055000000}"/>
    <cellStyle name="20 % - Markeringsfarve1 12 5" xfId="19456" xr:uid="{00000000-0005-0000-0000-000056000000}"/>
    <cellStyle name="20 % - Markeringsfarve1 12 6" xfId="34445" xr:uid="{00000000-0005-0000-0000-000057000000}"/>
    <cellStyle name="20 % - Markeringsfarve1 13" xfId="1604" xr:uid="{00000000-0005-0000-0000-000058000000}"/>
    <cellStyle name="20 % - Markeringsfarve1 13 2" xfId="1605" xr:uid="{00000000-0005-0000-0000-000059000000}"/>
    <cellStyle name="20 % - Markeringsfarve1 13 2 2" xfId="8404" xr:uid="{00000000-0005-0000-0000-00005A000000}"/>
    <cellStyle name="20 % - Markeringsfarve1 13 2 2 2" xfId="16297" xr:uid="{00000000-0005-0000-0000-00005B000000}"/>
    <cellStyle name="20 % - Markeringsfarve1 13 2 2 2 2" xfId="32611" xr:uid="{00000000-0005-0000-0000-00005C000000}"/>
    <cellStyle name="20 % - Markeringsfarve1 13 2 2 2 3" xfId="47575" xr:uid="{00000000-0005-0000-0000-00005D000000}"/>
    <cellStyle name="20 % - Markeringsfarve1 13 2 2 3" xfId="25589" xr:uid="{00000000-0005-0000-0000-00005E000000}"/>
    <cellStyle name="20 % - Markeringsfarve1 13 2 2 4" xfId="40576" xr:uid="{00000000-0005-0000-0000-00005F000000}"/>
    <cellStyle name="20 % - Markeringsfarve1 13 2 3" xfId="10162" xr:uid="{00000000-0005-0000-0000-000060000000}"/>
    <cellStyle name="20 % - Markeringsfarve1 13 2 3 2" xfId="26481" xr:uid="{00000000-0005-0000-0000-000061000000}"/>
    <cellStyle name="20 % - Markeringsfarve1 13 2 3 3" xfId="41447" xr:uid="{00000000-0005-0000-0000-000062000000}"/>
    <cellStyle name="20 % - Markeringsfarve1 13 2 4" xfId="19459" xr:uid="{00000000-0005-0000-0000-000063000000}"/>
    <cellStyle name="20 % - Markeringsfarve1 13 2 5" xfId="34448" xr:uid="{00000000-0005-0000-0000-000064000000}"/>
    <cellStyle name="20 % - Markeringsfarve1 13 3" xfId="5406" xr:uid="{00000000-0005-0000-0000-000065000000}"/>
    <cellStyle name="20 % - Markeringsfarve1 13 3 2" xfId="13324" xr:uid="{00000000-0005-0000-0000-000066000000}"/>
    <cellStyle name="20 % - Markeringsfarve1 13 3 2 2" xfId="29638" xr:uid="{00000000-0005-0000-0000-000067000000}"/>
    <cellStyle name="20 % - Markeringsfarve1 13 3 2 3" xfId="44602" xr:uid="{00000000-0005-0000-0000-000068000000}"/>
    <cellStyle name="20 % - Markeringsfarve1 13 3 3" xfId="22616" xr:uid="{00000000-0005-0000-0000-000069000000}"/>
    <cellStyle name="20 % - Markeringsfarve1 13 3 4" xfId="37603" xr:uid="{00000000-0005-0000-0000-00006A000000}"/>
    <cellStyle name="20 % - Markeringsfarve1 13 4" xfId="10161" xr:uid="{00000000-0005-0000-0000-00006B000000}"/>
    <cellStyle name="20 % - Markeringsfarve1 13 4 2" xfId="26480" xr:uid="{00000000-0005-0000-0000-00006C000000}"/>
    <cellStyle name="20 % - Markeringsfarve1 13 4 3" xfId="41446" xr:uid="{00000000-0005-0000-0000-00006D000000}"/>
    <cellStyle name="20 % - Markeringsfarve1 13 5" xfId="19458" xr:uid="{00000000-0005-0000-0000-00006E000000}"/>
    <cellStyle name="20 % - Markeringsfarve1 13 6" xfId="34447" xr:uid="{00000000-0005-0000-0000-00006F000000}"/>
    <cellStyle name="20 % - Markeringsfarve1 14" xfId="1606" xr:uid="{00000000-0005-0000-0000-000070000000}"/>
    <cellStyle name="20 % - Markeringsfarve1 14 2" xfId="6709" xr:uid="{00000000-0005-0000-0000-000071000000}"/>
    <cellStyle name="20 % - Markeringsfarve1 14 2 2" xfId="14622" xr:uid="{00000000-0005-0000-0000-000072000000}"/>
    <cellStyle name="20 % - Markeringsfarve1 14 2 2 2" xfId="30936" xr:uid="{00000000-0005-0000-0000-000073000000}"/>
    <cellStyle name="20 % - Markeringsfarve1 14 2 2 3" xfId="45900" xr:uid="{00000000-0005-0000-0000-000074000000}"/>
    <cellStyle name="20 % - Markeringsfarve1 14 2 3" xfId="23914" xr:uid="{00000000-0005-0000-0000-000075000000}"/>
    <cellStyle name="20 % - Markeringsfarve1 14 2 4" xfId="38901" xr:uid="{00000000-0005-0000-0000-000076000000}"/>
    <cellStyle name="20 % - Markeringsfarve1 14 3" xfId="10163" xr:uid="{00000000-0005-0000-0000-000077000000}"/>
    <cellStyle name="20 % - Markeringsfarve1 14 3 2" xfId="26482" xr:uid="{00000000-0005-0000-0000-000078000000}"/>
    <cellStyle name="20 % - Markeringsfarve1 14 3 3" xfId="41448" xr:uid="{00000000-0005-0000-0000-000079000000}"/>
    <cellStyle name="20 % - Markeringsfarve1 14 4" xfId="19460" xr:uid="{00000000-0005-0000-0000-00007A000000}"/>
    <cellStyle name="20 % - Markeringsfarve1 14 5" xfId="34449" xr:uid="{00000000-0005-0000-0000-00007B000000}"/>
    <cellStyle name="20 % - Markeringsfarve1 15" xfId="1607" xr:uid="{00000000-0005-0000-0000-00007C000000}"/>
    <cellStyle name="20 % - Markeringsfarve1 15 2" xfId="8574" xr:uid="{00000000-0005-0000-0000-00007D000000}"/>
    <cellStyle name="20 % - Markeringsfarve1 15 2 2" xfId="16461" xr:uid="{00000000-0005-0000-0000-00007E000000}"/>
    <cellStyle name="20 % - Markeringsfarve1 15 2 2 2" xfId="32775" xr:uid="{00000000-0005-0000-0000-00007F000000}"/>
    <cellStyle name="20 % - Markeringsfarve1 15 2 2 3" xfId="47739" xr:uid="{00000000-0005-0000-0000-000080000000}"/>
    <cellStyle name="20 % - Markeringsfarve1 15 2 3" xfId="25753" xr:uid="{00000000-0005-0000-0000-000081000000}"/>
    <cellStyle name="20 % - Markeringsfarve1 15 2 4" xfId="40740" xr:uid="{00000000-0005-0000-0000-000082000000}"/>
    <cellStyle name="20 % - Markeringsfarve1 15 3" xfId="10164" xr:uid="{00000000-0005-0000-0000-000083000000}"/>
    <cellStyle name="20 % - Markeringsfarve1 15 3 2" xfId="26483" xr:uid="{00000000-0005-0000-0000-000084000000}"/>
    <cellStyle name="20 % - Markeringsfarve1 15 3 3" xfId="41449" xr:uid="{00000000-0005-0000-0000-000085000000}"/>
    <cellStyle name="20 % - Markeringsfarve1 15 4" xfId="19461" xr:uid="{00000000-0005-0000-0000-000086000000}"/>
    <cellStyle name="20 % - Markeringsfarve1 15 5" xfId="34450" xr:uid="{00000000-0005-0000-0000-000087000000}"/>
    <cellStyle name="20 % - Markeringsfarve1 16" xfId="1608" xr:uid="{00000000-0005-0000-0000-000088000000}"/>
    <cellStyle name="20 % - Markeringsfarve1 16 2" xfId="7115" xr:uid="{00000000-0005-0000-0000-000089000000}"/>
    <cellStyle name="20 % - Markeringsfarve1 16 2 2" xfId="15025" xr:uid="{00000000-0005-0000-0000-00008A000000}"/>
    <cellStyle name="20 % - Markeringsfarve1 16 2 2 2" xfId="31339" xr:uid="{00000000-0005-0000-0000-00008B000000}"/>
    <cellStyle name="20 % - Markeringsfarve1 16 2 2 3" xfId="46303" xr:uid="{00000000-0005-0000-0000-00008C000000}"/>
    <cellStyle name="20 % - Markeringsfarve1 16 2 3" xfId="24317" xr:uid="{00000000-0005-0000-0000-00008D000000}"/>
    <cellStyle name="20 % - Markeringsfarve1 16 2 4" xfId="39304" xr:uid="{00000000-0005-0000-0000-00008E000000}"/>
    <cellStyle name="20 % - Markeringsfarve1 16 3" xfId="10165" xr:uid="{00000000-0005-0000-0000-00008F000000}"/>
    <cellStyle name="20 % - Markeringsfarve1 16 3 2" xfId="26484" xr:uid="{00000000-0005-0000-0000-000090000000}"/>
    <cellStyle name="20 % - Markeringsfarve1 16 3 3" xfId="41450" xr:uid="{00000000-0005-0000-0000-000091000000}"/>
    <cellStyle name="20 % - Markeringsfarve1 16 4" xfId="19462" xr:uid="{00000000-0005-0000-0000-000092000000}"/>
    <cellStyle name="20 % - Markeringsfarve1 16 5" xfId="34451" xr:uid="{00000000-0005-0000-0000-000093000000}"/>
    <cellStyle name="20 % - Markeringsfarve1 17" xfId="5384" xr:uid="{00000000-0005-0000-0000-000094000000}"/>
    <cellStyle name="20 % - Markeringsfarve1 17 2" xfId="13312" xr:uid="{00000000-0005-0000-0000-000095000000}"/>
    <cellStyle name="20 % - Markeringsfarve1 17 2 2" xfId="29626" xr:uid="{00000000-0005-0000-0000-000096000000}"/>
    <cellStyle name="20 % - Markeringsfarve1 17 2 3" xfId="44590" xr:uid="{00000000-0005-0000-0000-000097000000}"/>
    <cellStyle name="20 % - Markeringsfarve1 17 3" xfId="22604" xr:uid="{00000000-0005-0000-0000-000098000000}"/>
    <cellStyle name="20 % - Markeringsfarve1 17 4" xfId="37591" xr:uid="{00000000-0005-0000-0000-000099000000}"/>
    <cellStyle name="20 % - Markeringsfarve1 18" xfId="1596" xr:uid="{00000000-0005-0000-0000-00009A000000}"/>
    <cellStyle name="20 % - Markeringsfarve1 18 2" xfId="10153" xr:uid="{00000000-0005-0000-0000-00009B000000}"/>
    <cellStyle name="20 % - Markeringsfarve1 18 2 2" xfId="26472" xr:uid="{00000000-0005-0000-0000-00009C000000}"/>
    <cellStyle name="20 % - Markeringsfarve1 18 2 3" xfId="41438" xr:uid="{00000000-0005-0000-0000-00009D000000}"/>
    <cellStyle name="20 % - Markeringsfarve1 18 3" xfId="19450" xr:uid="{00000000-0005-0000-0000-00009E000000}"/>
    <cellStyle name="20 % - Markeringsfarve1 18 4" xfId="34439" xr:uid="{00000000-0005-0000-0000-00009F000000}"/>
    <cellStyle name="20 % - Markeringsfarve1 2" xfId="1609" xr:uid="{00000000-0005-0000-0000-0000A0000000}"/>
    <cellStyle name="20 % - Markeringsfarve1 2 10" xfId="1610" xr:uid="{00000000-0005-0000-0000-0000A1000000}"/>
    <cellStyle name="20 % - Markeringsfarve1 2 10 2" xfId="6742" xr:uid="{00000000-0005-0000-0000-0000A2000000}"/>
    <cellStyle name="20 % - Markeringsfarve1 2 10 2 2" xfId="14653" xr:uid="{00000000-0005-0000-0000-0000A3000000}"/>
    <cellStyle name="20 % - Markeringsfarve1 2 10 2 2 2" xfId="30967" xr:uid="{00000000-0005-0000-0000-0000A4000000}"/>
    <cellStyle name="20 % - Markeringsfarve1 2 10 2 2 3" xfId="45931" xr:uid="{00000000-0005-0000-0000-0000A5000000}"/>
    <cellStyle name="20 % - Markeringsfarve1 2 10 2 3" xfId="23945" xr:uid="{00000000-0005-0000-0000-0000A6000000}"/>
    <cellStyle name="20 % - Markeringsfarve1 2 10 2 4" xfId="38932" xr:uid="{00000000-0005-0000-0000-0000A7000000}"/>
    <cellStyle name="20 % - Markeringsfarve1 2 10 3" xfId="10167" xr:uid="{00000000-0005-0000-0000-0000A8000000}"/>
    <cellStyle name="20 % - Markeringsfarve1 2 10 3 2" xfId="26486" xr:uid="{00000000-0005-0000-0000-0000A9000000}"/>
    <cellStyle name="20 % - Markeringsfarve1 2 10 3 3" xfId="41452" xr:uid="{00000000-0005-0000-0000-0000AA000000}"/>
    <cellStyle name="20 % - Markeringsfarve1 2 10 4" xfId="19464" xr:uid="{00000000-0005-0000-0000-0000AB000000}"/>
    <cellStyle name="20 % - Markeringsfarve1 2 10 5" xfId="34453" xr:uid="{00000000-0005-0000-0000-0000AC000000}"/>
    <cellStyle name="20 % - Markeringsfarve1 2 11" xfId="1611" xr:uid="{00000000-0005-0000-0000-0000AD000000}"/>
    <cellStyle name="20 % - Markeringsfarve1 2 11 2" xfId="7113" xr:uid="{00000000-0005-0000-0000-0000AE000000}"/>
    <cellStyle name="20 % - Markeringsfarve1 2 11 2 2" xfId="15023" xr:uid="{00000000-0005-0000-0000-0000AF000000}"/>
    <cellStyle name="20 % - Markeringsfarve1 2 11 2 2 2" xfId="31337" xr:uid="{00000000-0005-0000-0000-0000B0000000}"/>
    <cellStyle name="20 % - Markeringsfarve1 2 11 2 2 3" xfId="46301" xr:uid="{00000000-0005-0000-0000-0000B1000000}"/>
    <cellStyle name="20 % - Markeringsfarve1 2 11 2 3" xfId="24315" xr:uid="{00000000-0005-0000-0000-0000B2000000}"/>
    <cellStyle name="20 % - Markeringsfarve1 2 11 2 4" xfId="39302" xr:uid="{00000000-0005-0000-0000-0000B3000000}"/>
    <cellStyle name="20 % - Markeringsfarve1 2 11 3" xfId="10168" xr:uid="{00000000-0005-0000-0000-0000B4000000}"/>
    <cellStyle name="20 % - Markeringsfarve1 2 11 3 2" xfId="26487" xr:uid="{00000000-0005-0000-0000-0000B5000000}"/>
    <cellStyle name="20 % - Markeringsfarve1 2 11 3 3" xfId="41453" xr:uid="{00000000-0005-0000-0000-0000B6000000}"/>
    <cellStyle name="20 % - Markeringsfarve1 2 11 4" xfId="19465" xr:uid="{00000000-0005-0000-0000-0000B7000000}"/>
    <cellStyle name="20 % - Markeringsfarve1 2 11 5" xfId="34454" xr:uid="{00000000-0005-0000-0000-0000B8000000}"/>
    <cellStyle name="20 % - Markeringsfarve1 2 12" xfId="5410" xr:uid="{00000000-0005-0000-0000-0000B9000000}"/>
    <cellStyle name="20 % - Markeringsfarve1 2 12 2" xfId="13328" xr:uid="{00000000-0005-0000-0000-0000BA000000}"/>
    <cellStyle name="20 % - Markeringsfarve1 2 12 2 2" xfId="29642" xr:uid="{00000000-0005-0000-0000-0000BB000000}"/>
    <cellStyle name="20 % - Markeringsfarve1 2 12 2 3" xfId="44606" xr:uid="{00000000-0005-0000-0000-0000BC000000}"/>
    <cellStyle name="20 % - Markeringsfarve1 2 12 3" xfId="22620" xr:uid="{00000000-0005-0000-0000-0000BD000000}"/>
    <cellStyle name="20 % - Markeringsfarve1 2 12 4" xfId="37607" xr:uid="{00000000-0005-0000-0000-0000BE000000}"/>
    <cellStyle name="20 % - Markeringsfarve1 2 13" xfId="10166" xr:uid="{00000000-0005-0000-0000-0000BF000000}"/>
    <cellStyle name="20 % - Markeringsfarve1 2 13 2" xfId="26485" xr:uid="{00000000-0005-0000-0000-0000C0000000}"/>
    <cellStyle name="20 % - Markeringsfarve1 2 13 3" xfId="41451" xr:uid="{00000000-0005-0000-0000-0000C1000000}"/>
    <cellStyle name="20 % - Markeringsfarve1 2 14" xfId="19463" xr:uid="{00000000-0005-0000-0000-0000C2000000}"/>
    <cellStyle name="20 % - Markeringsfarve1 2 15" xfId="34452" xr:uid="{00000000-0005-0000-0000-0000C3000000}"/>
    <cellStyle name="20 % - Markeringsfarve1 2 16" xfId="53379" xr:uid="{00000000-0005-0000-0000-0000C4000000}"/>
    <cellStyle name="20 % - Markeringsfarve1 2 2" xfId="1612" xr:uid="{00000000-0005-0000-0000-0000C5000000}"/>
    <cellStyle name="20 % - Markeringsfarve1 2 2 10" xfId="5411" xr:uid="{00000000-0005-0000-0000-0000C6000000}"/>
    <cellStyle name="20 % - Markeringsfarve1 2 2 10 2" xfId="13329" xr:uid="{00000000-0005-0000-0000-0000C7000000}"/>
    <cellStyle name="20 % - Markeringsfarve1 2 2 10 2 2" xfId="29643" xr:uid="{00000000-0005-0000-0000-0000C8000000}"/>
    <cellStyle name="20 % - Markeringsfarve1 2 2 10 2 3" xfId="44607" xr:uid="{00000000-0005-0000-0000-0000C9000000}"/>
    <cellStyle name="20 % - Markeringsfarve1 2 2 10 3" xfId="22621" xr:uid="{00000000-0005-0000-0000-0000CA000000}"/>
    <cellStyle name="20 % - Markeringsfarve1 2 2 10 4" xfId="37608" xr:uid="{00000000-0005-0000-0000-0000CB000000}"/>
    <cellStyle name="20 % - Markeringsfarve1 2 2 11" xfId="10169" xr:uid="{00000000-0005-0000-0000-0000CC000000}"/>
    <cellStyle name="20 % - Markeringsfarve1 2 2 11 2" xfId="26488" xr:uid="{00000000-0005-0000-0000-0000CD000000}"/>
    <cellStyle name="20 % - Markeringsfarve1 2 2 11 3" xfId="41454" xr:uid="{00000000-0005-0000-0000-0000CE000000}"/>
    <cellStyle name="20 % - Markeringsfarve1 2 2 12" xfId="19466" xr:uid="{00000000-0005-0000-0000-0000CF000000}"/>
    <cellStyle name="20 % - Markeringsfarve1 2 2 13" xfId="34455" xr:uid="{00000000-0005-0000-0000-0000D0000000}"/>
    <cellStyle name="20 % - Markeringsfarve1 2 2 14" xfId="53378" xr:uid="{00000000-0005-0000-0000-0000D1000000}"/>
    <cellStyle name="20 % - Markeringsfarve1 2 2 2" xfId="1613" xr:uid="{00000000-0005-0000-0000-0000D2000000}"/>
    <cellStyle name="20 % - Markeringsfarve1 2 2 2 2" xfId="1614" xr:uid="{00000000-0005-0000-0000-0000D3000000}"/>
    <cellStyle name="20 % - Markeringsfarve1 2 2 2 2 2" xfId="1615" xr:uid="{00000000-0005-0000-0000-0000D4000000}"/>
    <cellStyle name="20 % - Markeringsfarve1 2 2 2 2 2 2" xfId="7673" xr:uid="{00000000-0005-0000-0000-0000D5000000}"/>
    <cellStyle name="20 % - Markeringsfarve1 2 2 2 2 2 2 2" xfId="15574" xr:uid="{00000000-0005-0000-0000-0000D6000000}"/>
    <cellStyle name="20 % - Markeringsfarve1 2 2 2 2 2 2 2 2" xfId="31888" xr:uid="{00000000-0005-0000-0000-0000D7000000}"/>
    <cellStyle name="20 % - Markeringsfarve1 2 2 2 2 2 2 2 3" xfId="46852" xr:uid="{00000000-0005-0000-0000-0000D8000000}"/>
    <cellStyle name="20 % - Markeringsfarve1 2 2 2 2 2 2 3" xfId="24866" xr:uid="{00000000-0005-0000-0000-0000D9000000}"/>
    <cellStyle name="20 % - Markeringsfarve1 2 2 2 2 2 2 4" xfId="39853" xr:uid="{00000000-0005-0000-0000-0000DA000000}"/>
    <cellStyle name="20 % - Markeringsfarve1 2 2 2 2 2 3" xfId="10172" xr:uid="{00000000-0005-0000-0000-0000DB000000}"/>
    <cellStyle name="20 % - Markeringsfarve1 2 2 2 2 2 3 2" xfId="26491" xr:uid="{00000000-0005-0000-0000-0000DC000000}"/>
    <cellStyle name="20 % - Markeringsfarve1 2 2 2 2 2 3 3" xfId="41457" xr:uid="{00000000-0005-0000-0000-0000DD000000}"/>
    <cellStyle name="20 % - Markeringsfarve1 2 2 2 2 2 4" xfId="19469" xr:uid="{00000000-0005-0000-0000-0000DE000000}"/>
    <cellStyle name="20 % - Markeringsfarve1 2 2 2 2 2 5" xfId="34458" xr:uid="{00000000-0005-0000-0000-0000DF000000}"/>
    <cellStyle name="20 % - Markeringsfarve1 2 2 2 2 3" xfId="6246" xr:uid="{00000000-0005-0000-0000-0000E0000000}"/>
    <cellStyle name="20 % - Markeringsfarve1 2 2 2 2 3 2" xfId="14163" xr:uid="{00000000-0005-0000-0000-0000E1000000}"/>
    <cellStyle name="20 % - Markeringsfarve1 2 2 2 2 3 2 2" xfId="30477" xr:uid="{00000000-0005-0000-0000-0000E2000000}"/>
    <cellStyle name="20 % - Markeringsfarve1 2 2 2 2 3 2 3" xfId="45441" xr:uid="{00000000-0005-0000-0000-0000E3000000}"/>
    <cellStyle name="20 % - Markeringsfarve1 2 2 2 2 3 3" xfId="23455" xr:uid="{00000000-0005-0000-0000-0000E4000000}"/>
    <cellStyle name="20 % - Markeringsfarve1 2 2 2 2 3 4" xfId="38442" xr:uid="{00000000-0005-0000-0000-0000E5000000}"/>
    <cellStyle name="20 % - Markeringsfarve1 2 2 2 2 4" xfId="10171" xr:uid="{00000000-0005-0000-0000-0000E6000000}"/>
    <cellStyle name="20 % - Markeringsfarve1 2 2 2 2 4 2" xfId="26490" xr:uid="{00000000-0005-0000-0000-0000E7000000}"/>
    <cellStyle name="20 % - Markeringsfarve1 2 2 2 2 4 3" xfId="41456" xr:uid="{00000000-0005-0000-0000-0000E8000000}"/>
    <cellStyle name="20 % - Markeringsfarve1 2 2 2 2 5" xfId="19468" xr:uid="{00000000-0005-0000-0000-0000E9000000}"/>
    <cellStyle name="20 % - Markeringsfarve1 2 2 2 2 6" xfId="34457" xr:uid="{00000000-0005-0000-0000-0000EA000000}"/>
    <cellStyle name="20 % - Markeringsfarve1 2 2 2 2 7" xfId="57182" xr:uid="{00000000-0005-0000-0000-0000EB000000}"/>
    <cellStyle name="20 % - Markeringsfarve1 2 2 2 3" xfId="1616" xr:uid="{00000000-0005-0000-0000-0000EC000000}"/>
    <cellStyle name="20 % - Markeringsfarve1 2 2 2 3 2" xfId="6903" xr:uid="{00000000-0005-0000-0000-0000ED000000}"/>
    <cellStyle name="20 % - Markeringsfarve1 2 2 2 3 2 2" xfId="14814" xr:uid="{00000000-0005-0000-0000-0000EE000000}"/>
    <cellStyle name="20 % - Markeringsfarve1 2 2 2 3 2 2 2" xfId="31128" xr:uid="{00000000-0005-0000-0000-0000EF000000}"/>
    <cellStyle name="20 % - Markeringsfarve1 2 2 2 3 2 2 3" xfId="46092" xr:uid="{00000000-0005-0000-0000-0000F0000000}"/>
    <cellStyle name="20 % - Markeringsfarve1 2 2 2 3 2 3" xfId="24106" xr:uid="{00000000-0005-0000-0000-0000F1000000}"/>
    <cellStyle name="20 % - Markeringsfarve1 2 2 2 3 2 4" xfId="39093" xr:uid="{00000000-0005-0000-0000-0000F2000000}"/>
    <cellStyle name="20 % - Markeringsfarve1 2 2 2 3 3" xfId="10173" xr:uid="{00000000-0005-0000-0000-0000F3000000}"/>
    <cellStyle name="20 % - Markeringsfarve1 2 2 2 3 3 2" xfId="26492" xr:uid="{00000000-0005-0000-0000-0000F4000000}"/>
    <cellStyle name="20 % - Markeringsfarve1 2 2 2 3 3 3" xfId="41458" xr:uid="{00000000-0005-0000-0000-0000F5000000}"/>
    <cellStyle name="20 % - Markeringsfarve1 2 2 2 3 4" xfId="19470" xr:uid="{00000000-0005-0000-0000-0000F6000000}"/>
    <cellStyle name="20 % - Markeringsfarve1 2 2 2 3 5" xfId="34459" xr:uid="{00000000-0005-0000-0000-0000F7000000}"/>
    <cellStyle name="20 % - Markeringsfarve1 2 2 2 4" xfId="1617" xr:uid="{00000000-0005-0000-0000-0000F8000000}"/>
    <cellStyle name="20 % - Markeringsfarve1 2 2 2 4 2" xfId="8381" xr:uid="{00000000-0005-0000-0000-0000F9000000}"/>
    <cellStyle name="20 % - Markeringsfarve1 2 2 2 4 2 2" xfId="16275" xr:uid="{00000000-0005-0000-0000-0000FA000000}"/>
    <cellStyle name="20 % - Markeringsfarve1 2 2 2 4 2 2 2" xfId="32589" xr:uid="{00000000-0005-0000-0000-0000FB000000}"/>
    <cellStyle name="20 % - Markeringsfarve1 2 2 2 4 2 2 3" xfId="47553" xr:uid="{00000000-0005-0000-0000-0000FC000000}"/>
    <cellStyle name="20 % - Markeringsfarve1 2 2 2 4 2 3" xfId="25567" xr:uid="{00000000-0005-0000-0000-0000FD000000}"/>
    <cellStyle name="20 % - Markeringsfarve1 2 2 2 4 2 4" xfId="40554" xr:uid="{00000000-0005-0000-0000-0000FE000000}"/>
    <cellStyle name="20 % - Markeringsfarve1 2 2 2 4 3" xfId="10174" xr:uid="{00000000-0005-0000-0000-0000FF000000}"/>
    <cellStyle name="20 % - Markeringsfarve1 2 2 2 4 3 2" xfId="26493" xr:uid="{00000000-0005-0000-0000-000000010000}"/>
    <cellStyle name="20 % - Markeringsfarve1 2 2 2 4 3 3" xfId="41459" xr:uid="{00000000-0005-0000-0000-000001010000}"/>
    <cellStyle name="20 % - Markeringsfarve1 2 2 2 4 4" xfId="19471" xr:uid="{00000000-0005-0000-0000-000002010000}"/>
    <cellStyle name="20 % - Markeringsfarve1 2 2 2 4 5" xfId="34460" xr:uid="{00000000-0005-0000-0000-000003010000}"/>
    <cellStyle name="20 % - Markeringsfarve1 2 2 2 5" xfId="5412" xr:uid="{00000000-0005-0000-0000-000004010000}"/>
    <cellStyle name="20 % - Markeringsfarve1 2 2 2 5 2" xfId="13330" xr:uid="{00000000-0005-0000-0000-000005010000}"/>
    <cellStyle name="20 % - Markeringsfarve1 2 2 2 5 2 2" xfId="29644" xr:uid="{00000000-0005-0000-0000-000006010000}"/>
    <cellStyle name="20 % - Markeringsfarve1 2 2 2 5 2 3" xfId="44608" xr:uid="{00000000-0005-0000-0000-000007010000}"/>
    <cellStyle name="20 % - Markeringsfarve1 2 2 2 5 3" xfId="22622" xr:uid="{00000000-0005-0000-0000-000008010000}"/>
    <cellStyle name="20 % - Markeringsfarve1 2 2 2 5 4" xfId="37609" xr:uid="{00000000-0005-0000-0000-000009010000}"/>
    <cellStyle name="20 % - Markeringsfarve1 2 2 2 6" xfId="10170" xr:uid="{00000000-0005-0000-0000-00000A010000}"/>
    <cellStyle name="20 % - Markeringsfarve1 2 2 2 6 2" xfId="26489" xr:uid="{00000000-0005-0000-0000-00000B010000}"/>
    <cellStyle name="20 % - Markeringsfarve1 2 2 2 6 3" xfId="41455" xr:uid="{00000000-0005-0000-0000-00000C010000}"/>
    <cellStyle name="20 % - Markeringsfarve1 2 2 2 7" xfId="19467" xr:uid="{00000000-0005-0000-0000-00000D010000}"/>
    <cellStyle name="20 % - Markeringsfarve1 2 2 2 8" xfId="34456" xr:uid="{00000000-0005-0000-0000-00000E010000}"/>
    <cellStyle name="20 % - Markeringsfarve1 2 2 2 9" xfId="54015" xr:uid="{00000000-0005-0000-0000-00000F010000}"/>
    <cellStyle name="20 % - Markeringsfarve1 2 2 3" xfId="1618" xr:uid="{00000000-0005-0000-0000-000010010000}"/>
    <cellStyle name="20 % - Markeringsfarve1 2 2 3 2" xfId="1619" xr:uid="{00000000-0005-0000-0000-000011010000}"/>
    <cellStyle name="20 % - Markeringsfarve1 2 2 3 2 2" xfId="1620" xr:uid="{00000000-0005-0000-0000-000012010000}"/>
    <cellStyle name="20 % - Markeringsfarve1 2 2 3 2 2 2" xfId="7727" xr:uid="{00000000-0005-0000-0000-000013010000}"/>
    <cellStyle name="20 % - Markeringsfarve1 2 2 3 2 2 2 2" xfId="15628" xr:uid="{00000000-0005-0000-0000-000014010000}"/>
    <cellStyle name="20 % - Markeringsfarve1 2 2 3 2 2 2 2 2" xfId="31942" xr:uid="{00000000-0005-0000-0000-000015010000}"/>
    <cellStyle name="20 % - Markeringsfarve1 2 2 3 2 2 2 2 3" xfId="46906" xr:uid="{00000000-0005-0000-0000-000016010000}"/>
    <cellStyle name="20 % - Markeringsfarve1 2 2 3 2 2 2 3" xfId="24920" xr:uid="{00000000-0005-0000-0000-000017010000}"/>
    <cellStyle name="20 % - Markeringsfarve1 2 2 3 2 2 2 4" xfId="39907" xr:uid="{00000000-0005-0000-0000-000018010000}"/>
    <cellStyle name="20 % - Markeringsfarve1 2 2 3 2 2 3" xfId="10177" xr:uid="{00000000-0005-0000-0000-000019010000}"/>
    <cellStyle name="20 % - Markeringsfarve1 2 2 3 2 2 3 2" xfId="26496" xr:uid="{00000000-0005-0000-0000-00001A010000}"/>
    <cellStyle name="20 % - Markeringsfarve1 2 2 3 2 2 3 3" xfId="41462" xr:uid="{00000000-0005-0000-0000-00001B010000}"/>
    <cellStyle name="20 % - Markeringsfarve1 2 2 3 2 2 4" xfId="19474" xr:uid="{00000000-0005-0000-0000-00001C010000}"/>
    <cellStyle name="20 % - Markeringsfarve1 2 2 3 2 2 5" xfId="34463" xr:uid="{00000000-0005-0000-0000-00001D010000}"/>
    <cellStyle name="20 % - Markeringsfarve1 2 2 3 2 3" xfId="6291" xr:uid="{00000000-0005-0000-0000-00001E010000}"/>
    <cellStyle name="20 % - Markeringsfarve1 2 2 3 2 3 2" xfId="14208" xr:uid="{00000000-0005-0000-0000-00001F010000}"/>
    <cellStyle name="20 % - Markeringsfarve1 2 2 3 2 3 2 2" xfId="30522" xr:uid="{00000000-0005-0000-0000-000020010000}"/>
    <cellStyle name="20 % - Markeringsfarve1 2 2 3 2 3 2 3" xfId="45486" xr:uid="{00000000-0005-0000-0000-000021010000}"/>
    <cellStyle name="20 % - Markeringsfarve1 2 2 3 2 3 3" xfId="23500" xr:uid="{00000000-0005-0000-0000-000022010000}"/>
    <cellStyle name="20 % - Markeringsfarve1 2 2 3 2 3 4" xfId="38487" xr:uid="{00000000-0005-0000-0000-000023010000}"/>
    <cellStyle name="20 % - Markeringsfarve1 2 2 3 2 4" xfId="10176" xr:uid="{00000000-0005-0000-0000-000024010000}"/>
    <cellStyle name="20 % - Markeringsfarve1 2 2 3 2 4 2" xfId="26495" xr:uid="{00000000-0005-0000-0000-000025010000}"/>
    <cellStyle name="20 % - Markeringsfarve1 2 2 3 2 4 3" xfId="41461" xr:uid="{00000000-0005-0000-0000-000026010000}"/>
    <cellStyle name="20 % - Markeringsfarve1 2 2 3 2 5" xfId="19473" xr:uid="{00000000-0005-0000-0000-000027010000}"/>
    <cellStyle name="20 % - Markeringsfarve1 2 2 3 2 6" xfId="34462" xr:uid="{00000000-0005-0000-0000-000028010000}"/>
    <cellStyle name="20 % - Markeringsfarve1 2 2 3 3" xfId="1621" xr:uid="{00000000-0005-0000-0000-000029010000}"/>
    <cellStyle name="20 % - Markeringsfarve1 2 2 3 3 2" xfId="6957" xr:uid="{00000000-0005-0000-0000-00002A010000}"/>
    <cellStyle name="20 % - Markeringsfarve1 2 2 3 3 2 2" xfId="14868" xr:uid="{00000000-0005-0000-0000-00002B010000}"/>
    <cellStyle name="20 % - Markeringsfarve1 2 2 3 3 2 2 2" xfId="31182" xr:uid="{00000000-0005-0000-0000-00002C010000}"/>
    <cellStyle name="20 % - Markeringsfarve1 2 2 3 3 2 2 3" xfId="46146" xr:uid="{00000000-0005-0000-0000-00002D010000}"/>
    <cellStyle name="20 % - Markeringsfarve1 2 2 3 3 2 3" xfId="24160" xr:uid="{00000000-0005-0000-0000-00002E010000}"/>
    <cellStyle name="20 % - Markeringsfarve1 2 2 3 3 2 4" xfId="39147" xr:uid="{00000000-0005-0000-0000-00002F010000}"/>
    <cellStyle name="20 % - Markeringsfarve1 2 2 3 3 3" xfId="10178" xr:uid="{00000000-0005-0000-0000-000030010000}"/>
    <cellStyle name="20 % - Markeringsfarve1 2 2 3 3 3 2" xfId="26497" xr:uid="{00000000-0005-0000-0000-000031010000}"/>
    <cellStyle name="20 % - Markeringsfarve1 2 2 3 3 3 3" xfId="41463" xr:uid="{00000000-0005-0000-0000-000032010000}"/>
    <cellStyle name="20 % - Markeringsfarve1 2 2 3 3 4" xfId="19475" xr:uid="{00000000-0005-0000-0000-000033010000}"/>
    <cellStyle name="20 % - Markeringsfarve1 2 2 3 3 5" xfId="34464" xr:uid="{00000000-0005-0000-0000-000034010000}"/>
    <cellStyle name="20 % - Markeringsfarve1 2 2 3 4" xfId="1622" xr:uid="{00000000-0005-0000-0000-000035010000}"/>
    <cellStyle name="20 % - Markeringsfarve1 2 2 3 4 2" xfId="8380" xr:uid="{00000000-0005-0000-0000-000036010000}"/>
    <cellStyle name="20 % - Markeringsfarve1 2 2 3 4 2 2" xfId="16274" xr:uid="{00000000-0005-0000-0000-000037010000}"/>
    <cellStyle name="20 % - Markeringsfarve1 2 2 3 4 2 2 2" xfId="32588" xr:uid="{00000000-0005-0000-0000-000038010000}"/>
    <cellStyle name="20 % - Markeringsfarve1 2 2 3 4 2 2 3" xfId="47552" xr:uid="{00000000-0005-0000-0000-000039010000}"/>
    <cellStyle name="20 % - Markeringsfarve1 2 2 3 4 2 3" xfId="25566" xr:uid="{00000000-0005-0000-0000-00003A010000}"/>
    <cellStyle name="20 % - Markeringsfarve1 2 2 3 4 2 4" xfId="40553" xr:uid="{00000000-0005-0000-0000-00003B010000}"/>
    <cellStyle name="20 % - Markeringsfarve1 2 2 3 4 3" xfId="10179" xr:uid="{00000000-0005-0000-0000-00003C010000}"/>
    <cellStyle name="20 % - Markeringsfarve1 2 2 3 4 3 2" xfId="26498" xr:uid="{00000000-0005-0000-0000-00003D010000}"/>
    <cellStyle name="20 % - Markeringsfarve1 2 2 3 4 3 3" xfId="41464" xr:uid="{00000000-0005-0000-0000-00003E010000}"/>
    <cellStyle name="20 % - Markeringsfarve1 2 2 3 4 4" xfId="19476" xr:uid="{00000000-0005-0000-0000-00003F010000}"/>
    <cellStyle name="20 % - Markeringsfarve1 2 2 3 4 5" xfId="34465" xr:uid="{00000000-0005-0000-0000-000040010000}"/>
    <cellStyle name="20 % - Markeringsfarve1 2 2 3 5" xfId="5413" xr:uid="{00000000-0005-0000-0000-000041010000}"/>
    <cellStyle name="20 % - Markeringsfarve1 2 2 3 5 2" xfId="13331" xr:uid="{00000000-0005-0000-0000-000042010000}"/>
    <cellStyle name="20 % - Markeringsfarve1 2 2 3 5 2 2" xfId="29645" xr:uid="{00000000-0005-0000-0000-000043010000}"/>
    <cellStyle name="20 % - Markeringsfarve1 2 2 3 5 2 3" xfId="44609" xr:uid="{00000000-0005-0000-0000-000044010000}"/>
    <cellStyle name="20 % - Markeringsfarve1 2 2 3 5 3" xfId="22623" xr:uid="{00000000-0005-0000-0000-000045010000}"/>
    <cellStyle name="20 % - Markeringsfarve1 2 2 3 5 4" xfId="37610" xr:uid="{00000000-0005-0000-0000-000046010000}"/>
    <cellStyle name="20 % - Markeringsfarve1 2 2 3 6" xfId="10175" xr:uid="{00000000-0005-0000-0000-000047010000}"/>
    <cellStyle name="20 % - Markeringsfarve1 2 2 3 6 2" xfId="26494" xr:uid="{00000000-0005-0000-0000-000048010000}"/>
    <cellStyle name="20 % - Markeringsfarve1 2 2 3 6 3" xfId="41460" xr:uid="{00000000-0005-0000-0000-000049010000}"/>
    <cellStyle name="20 % - Markeringsfarve1 2 2 3 7" xfId="19472" xr:uid="{00000000-0005-0000-0000-00004A010000}"/>
    <cellStyle name="20 % - Markeringsfarve1 2 2 3 8" xfId="34461" xr:uid="{00000000-0005-0000-0000-00004B010000}"/>
    <cellStyle name="20 % - Markeringsfarve1 2 2 3 9" xfId="56559" xr:uid="{00000000-0005-0000-0000-00004C010000}"/>
    <cellStyle name="20 % - Markeringsfarve1 2 2 4" xfId="1623" xr:uid="{00000000-0005-0000-0000-00004D010000}"/>
    <cellStyle name="20 % - Markeringsfarve1 2 2 4 2" xfId="1624" xr:uid="{00000000-0005-0000-0000-00004E010000}"/>
    <cellStyle name="20 % - Markeringsfarve1 2 2 4 2 2" xfId="1625" xr:uid="{00000000-0005-0000-0000-00004F010000}"/>
    <cellStyle name="20 % - Markeringsfarve1 2 2 4 2 2 2" xfId="7911" xr:uid="{00000000-0005-0000-0000-000050010000}"/>
    <cellStyle name="20 % - Markeringsfarve1 2 2 4 2 2 2 2" xfId="15812" xr:uid="{00000000-0005-0000-0000-000051010000}"/>
    <cellStyle name="20 % - Markeringsfarve1 2 2 4 2 2 2 2 2" xfId="32126" xr:uid="{00000000-0005-0000-0000-000052010000}"/>
    <cellStyle name="20 % - Markeringsfarve1 2 2 4 2 2 2 2 3" xfId="47090" xr:uid="{00000000-0005-0000-0000-000053010000}"/>
    <cellStyle name="20 % - Markeringsfarve1 2 2 4 2 2 2 3" xfId="25104" xr:uid="{00000000-0005-0000-0000-000054010000}"/>
    <cellStyle name="20 % - Markeringsfarve1 2 2 4 2 2 2 4" xfId="40091" xr:uid="{00000000-0005-0000-0000-000055010000}"/>
    <cellStyle name="20 % - Markeringsfarve1 2 2 4 2 2 3" xfId="10182" xr:uid="{00000000-0005-0000-0000-000056010000}"/>
    <cellStyle name="20 % - Markeringsfarve1 2 2 4 2 2 3 2" xfId="26501" xr:uid="{00000000-0005-0000-0000-000057010000}"/>
    <cellStyle name="20 % - Markeringsfarve1 2 2 4 2 2 3 3" xfId="41467" xr:uid="{00000000-0005-0000-0000-000058010000}"/>
    <cellStyle name="20 % - Markeringsfarve1 2 2 4 2 2 4" xfId="19479" xr:uid="{00000000-0005-0000-0000-000059010000}"/>
    <cellStyle name="20 % - Markeringsfarve1 2 2 4 2 2 5" xfId="34468" xr:uid="{00000000-0005-0000-0000-00005A010000}"/>
    <cellStyle name="20 % - Markeringsfarve1 2 2 4 2 3" xfId="6448" xr:uid="{00000000-0005-0000-0000-00005B010000}"/>
    <cellStyle name="20 % - Markeringsfarve1 2 2 4 2 3 2" xfId="14362" xr:uid="{00000000-0005-0000-0000-00005C010000}"/>
    <cellStyle name="20 % - Markeringsfarve1 2 2 4 2 3 2 2" xfId="30676" xr:uid="{00000000-0005-0000-0000-00005D010000}"/>
    <cellStyle name="20 % - Markeringsfarve1 2 2 4 2 3 2 3" xfId="45640" xr:uid="{00000000-0005-0000-0000-00005E010000}"/>
    <cellStyle name="20 % - Markeringsfarve1 2 2 4 2 3 3" xfId="23654" xr:uid="{00000000-0005-0000-0000-00005F010000}"/>
    <cellStyle name="20 % - Markeringsfarve1 2 2 4 2 3 4" xfId="38641" xr:uid="{00000000-0005-0000-0000-000060010000}"/>
    <cellStyle name="20 % - Markeringsfarve1 2 2 4 2 4" xfId="10181" xr:uid="{00000000-0005-0000-0000-000061010000}"/>
    <cellStyle name="20 % - Markeringsfarve1 2 2 4 2 4 2" xfId="26500" xr:uid="{00000000-0005-0000-0000-000062010000}"/>
    <cellStyle name="20 % - Markeringsfarve1 2 2 4 2 4 3" xfId="41466" xr:uid="{00000000-0005-0000-0000-000063010000}"/>
    <cellStyle name="20 % - Markeringsfarve1 2 2 4 2 5" xfId="19478" xr:uid="{00000000-0005-0000-0000-000064010000}"/>
    <cellStyle name="20 % - Markeringsfarve1 2 2 4 2 6" xfId="34467" xr:uid="{00000000-0005-0000-0000-000065010000}"/>
    <cellStyle name="20 % - Markeringsfarve1 2 2 4 3" xfId="1626" xr:uid="{00000000-0005-0000-0000-000066010000}"/>
    <cellStyle name="20 % - Markeringsfarve1 2 2 4 3 2" xfId="7187" xr:uid="{00000000-0005-0000-0000-000067010000}"/>
    <cellStyle name="20 % - Markeringsfarve1 2 2 4 3 2 2" xfId="15097" xr:uid="{00000000-0005-0000-0000-000068010000}"/>
    <cellStyle name="20 % - Markeringsfarve1 2 2 4 3 2 2 2" xfId="31411" xr:uid="{00000000-0005-0000-0000-000069010000}"/>
    <cellStyle name="20 % - Markeringsfarve1 2 2 4 3 2 2 3" xfId="46375" xr:uid="{00000000-0005-0000-0000-00006A010000}"/>
    <cellStyle name="20 % - Markeringsfarve1 2 2 4 3 2 3" xfId="24389" xr:uid="{00000000-0005-0000-0000-00006B010000}"/>
    <cellStyle name="20 % - Markeringsfarve1 2 2 4 3 2 4" xfId="39376" xr:uid="{00000000-0005-0000-0000-00006C010000}"/>
    <cellStyle name="20 % - Markeringsfarve1 2 2 4 3 3" xfId="10183" xr:uid="{00000000-0005-0000-0000-00006D010000}"/>
    <cellStyle name="20 % - Markeringsfarve1 2 2 4 3 3 2" xfId="26502" xr:uid="{00000000-0005-0000-0000-00006E010000}"/>
    <cellStyle name="20 % - Markeringsfarve1 2 2 4 3 3 3" xfId="41468" xr:uid="{00000000-0005-0000-0000-00006F010000}"/>
    <cellStyle name="20 % - Markeringsfarve1 2 2 4 3 4" xfId="19480" xr:uid="{00000000-0005-0000-0000-000070010000}"/>
    <cellStyle name="20 % - Markeringsfarve1 2 2 4 3 5" xfId="34469" xr:uid="{00000000-0005-0000-0000-000071010000}"/>
    <cellStyle name="20 % - Markeringsfarve1 2 2 4 4" xfId="1627" xr:uid="{00000000-0005-0000-0000-000072010000}"/>
    <cellStyle name="20 % - Markeringsfarve1 2 2 4 4 2" xfId="8379" xr:uid="{00000000-0005-0000-0000-000073010000}"/>
    <cellStyle name="20 % - Markeringsfarve1 2 2 4 4 2 2" xfId="16273" xr:uid="{00000000-0005-0000-0000-000074010000}"/>
    <cellStyle name="20 % - Markeringsfarve1 2 2 4 4 2 2 2" xfId="32587" xr:uid="{00000000-0005-0000-0000-000075010000}"/>
    <cellStyle name="20 % - Markeringsfarve1 2 2 4 4 2 2 3" xfId="47551" xr:uid="{00000000-0005-0000-0000-000076010000}"/>
    <cellStyle name="20 % - Markeringsfarve1 2 2 4 4 2 3" xfId="25565" xr:uid="{00000000-0005-0000-0000-000077010000}"/>
    <cellStyle name="20 % - Markeringsfarve1 2 2 4 4 2 4" xfId="40552" xr:uid="{00000000-0005-0000-0000-000078010000}"/>
    <cellStyle name="20 % - Markeringsfarve1 2 2 4 4 3" xfId="10184" xr:uid="{00000000-0005-0000-0000-000079010000}"/>
    <cellStyle name="20 % - Markeringsfarve1 2 2 4 4 3 2" xfId="26503" xr:uid="{00000000-0005-0000-0000-00007A010000}"/>
    <cellStyle name="20 % - Markeringsfarve1 2 2 4 4 3 3" xfId="41469" xr:uid="{00000000-0005-0000-0000-00007B010000}"/>
    <cellStyle name="20 % - Markeringsfarve1 2 2 4 4 4" xfId="19481" xr:uid="{00000000-0005-0000-0000-00007C010000}"/>
    <cellStyle name="20 % - Markeringsfarve1 2 2 4 4 5" xfId="34470" xr:uid="{00000000-0005-0000-0000-00007D010000}"/>
    <cellStyle name="20 % - Markeringsfarve1 2 2 4 5" xfId="5414" xr:uid="{00000000-0005-0000-0000-00007E010000}"/>
    <cellStyle name="20 % - Markeringsfarve1 2 2 4 5 2" xfId="13332" xr:uid="{00000000-0005-0000-0000-00007F010000}"/>
    <cellStyle name="20 % - Markeringsfarve1 2 2 4 5 2 2" xfId="29646" xr:uid="{00000000-0005-0000-0000-000080010000}"/>
    <cellStyle name="20 % - Markeringsfarve1 2 2 4 5 2 3" xfId="44610" xr:uid="{00000000-0005-0000-0000-000081010000}"/>
    <cellStyle name="20 % - Markeringsfarve1 2 2 4 5 3" xfId="22624" xr:uid="{00000000-0005-0000-0000-000082010000}"/>
    <cellStyle name="20 % - Markeringsfarve1 2 2 4 5 4" xfId="37611" xr:uid="{00000000-0005-0000-0000-000083010000}"/>
    <cellStyle name="20 % - Markeringsfarve1 2 2 4 6" xfId="10180" xr:uid="{00000000-0005-0000-0000-000084010000}"/>
    <cellStyle name="20 % - Markeringsfarve1 2 2 4 6 2" xfId="26499" xr:uid="{00000000-0005-0000-0000-000085010000}"/>
    <cellStyle name="20 % - Markeringsfarve1 2 2 4 6 3" xfId="41465" xr:uid="{00000000-0005-0000-0000-000086010000}"/>
    <cellStyle name="20 % - Markeringsfarve1 2 2 4 7" xfId="19477" xr:uid="{00000000-0005-0000-0000-000087010000}"/>
    <cellStyle name="20 % - Markeringsfarve1 2 2 4 8" xfId="34466" xr:uid="{00000000-0005-0000-0000-000088010000}"/>
    <cellStyle name="20 % - Markeringsfarve1 2 2 5" xfId="1628" xr:uid="{00000000-0005-0000-0000-000089010000}"/>
    <cellStyle name="20 % - Markeringsfarve1 2 2 5 2" xfId="1629" xr:uid="{00000000-0005-0000-0000-00008A010000}"/>
    <cellStyle name="20 % - Markeringsfarve1 2 2 5 2 2" xfId="1630" xr:uid="{00000000-0005-0000-0000-00008B010000}"/>
    <cellStyle name="20 % - Markeringsfarve1 2 2 5 2 2 2" xfId="8028" xr:uid="{00000000-0005-0000-0000-00008C010000}"/>
    <cellStyle name="20 % - Markeringsfarve1 2 2 5 2 2 2 2" xfId="15929" xr:uid="{00000000-0005-0000-0000-00008D010000}"/>
    <cellStyle name="20 % - Markeringsfarve1 2 2 5 2 2 2 2 2" xfId="32243" xr:uid="{00000000-0005-0000-0000-00008E010000}"/>
    <cellStyle name="20 % - Markeringsfarve1 2 2 5 2 2 2 2 3" xfId="47207" xr:uid="{00000000-0005-0000-0000-00008F010000}"/>
    <cellStyle name="20 % - Markeringsfarve1 2 2 5 2 2 2 3" xfId="25221" xr:uid="{00000000-0005-0000-0000-000090010000}"/>
    <cellStyle name="20 % - Markeringsfarve1 2 2 5 2 2 2 4" xfId="40208" xr:uid="{00000000-0005-0000-0000-000091010000}"/>
    <cellStyle name="20 % - Markeringsfarve1 2 2 5 2 2 3" xfId="10187" xr:uid="{00000000-0005-0000-0000-000092010000}"/>
    <cellStyle name="20 % - Markeringsfarve1 2 2 5 2 2 3 2" xfId="26506" xr:uid="{00000000-0005-0000-0000-000093010000}"/>
    <cellStyle name="20 % - Markeringsfarve1 2 2 5 2 2 3 3" xfId="41472" xr:uid="{00000000-0005-0000-0000-000094010000}"/>
    <cellStyle name="20 % - Markeringsfarve1 2 2 5 2 2 4" xfId="19484" xr:uid="{00000000-0005-0000-0000-000095010000}"/>
    <cellStyle name="20 % - Markeringsfarve1 2 2 5 2 2 5" xfId="34473" xr:uid="{00000000-0005-0000-0000-000096010000}"/>
    <cellStyle name="20 % - Markeringsfarve1 2 2 5 2 3" xfId="6547" xr:uid="{00000000-0005-0000-0000-000097010000}"/>
    <cellStyle name="20 % - Markeringsfarve1 2 2 5 2 3 2" xfId="14461" xr:uid="{00000000-0005-0000-0000-000098010000}"/>
    <cellStyle name="20 % - Markeringsfarve1 2 2 5 2 3 2 2" xfId="30775" xr:uid="{00000000-0005-0000-0000-000099010000}"/>
    <cellStyle name="20 % - Markeringsfarve1 2 2 5 2 3 2 3" xfId="45739" xr:uid="{00000000-0005-0000-0000-00009A010000}"/>
    <cellStyle name="20 % - Markeringsfarve1 2 2 5 2 3 3" xfId="23753" xr:uid="{00000000-0005-0000-0000-00009B010000}"/>
    <cellStyle name="20 % - Markeringsfarve1 2 2 5 2 3 4" xfId="38740" xr:uid="{00000000-0005-0000-0000-00009C010000}"/>
    <cellStyle name="20 % - Markeringsfarve1 2 2 5 2 4" xfId="10186" xr:uid="{00000000-0005-0000-0000-00009D010000}"/>
    <cellStyle name="20 % - Markeringsfarve1 2 2 5 2 4 2" xfId="26505" xr:uid="{00000000-0005-0000-0000-00009E010000}"/>
    <cellStyle name="20 % - Markeringsfarve1 2 2 5 2 4 3" xfId="41471" xr:uid="{00000000-0005-0000-0000-00009F010000}"/>
    <cellStyle name="20 % - Markeringsfarve1 2 2 5 2 5" xfId="19483" xr:uid="{00000000-0005-0000-0000-0000A0010000}"/>
    <cellStyle name="20 % - Markeringsfarve1 2 2 5 2 6" xfId="34472" xr:uid="{00000000-0005-0000-0000-0000A1010000}"/>
    <cellStyle name="20 % - Markeringsfarve1 2 2 5 3" xfId="1631" xr:uid="{00000000-0005-0000-0000-0000A2010000}"/>
    <cellStyle name="20 % - Markeringsfarve1 2 2 5 3 2" xfId="7304" xr:uid="{00000000-0005-0000-0000-0000A3010000}"/>
    <cellStyle name="20 % - Markeringsfarve1 2 2 5 3 2 2" xfId="15214" xr:uid="{00000000-0005-0000-0000-0000A4010000}"/>
    <cellStyle name="20 % - Markeringsfarve1 2 2 5 3 2 2 2" xfId="31528" xr:uid="{00000000-0005-0000-0000-0000A5010000}"/>
    <cellStyle name="20 % - Markeringsfarve1 2 2 5 3 2 2 3" xfId="46492" xr:uid="{00000000-0005-0000-0000-0000A6010000}"/>
    <cellStyle name="20 % - Markeringsfarve1 2 2 5 3 2 3" xfId="24506" xr:uid="{00000000-0005-0000-0000-0000A7010000}"/>
    <cellStyle name="20 % - Markeringsfarve1 2 2 5 3 2 4" xfId="39493" xr:uid="{00000000-0005-0000-0000-0000A8010000}"/>
    <cellStyle name="20 % - Markeringsfarve1 2 2 5 3 3" xfId="10188" xr:uid="{00000000-0005-0000-0000-0000A9010000}"/>
    <cellStyle name="20 % - Markeringsfarve1 2 2 5 3 3 2" xfId="26507" xr:uid="{00000000-0005-0000-0000-0000AA010000}"/>
    <cellStyle name="20 % - Markeringsfarve1 2 2 5 3 3 3" xfId="41473" xr:uid="{00000000-0005-0000-0000-0000AB010000}"/>
    <cellStyle name="20 % - Markeringsfarve1 2 2 5 3 4" xfId="19485" xr:uid="{00000000-0005-0000-0000-0000AC010000}"/>
    <cellStyle name="20 % - Markeringsfarve1 2 2 5 3 5" xfId="34474" xr:uid="{00000000-0005-0000-0000-0000AD010000}"/>
    <cellStyle name="20 % - Markeringsfarve1 2 2 5 4" xfId="1632" xr:uid="{00000000-0005-0000-0000-0000AE010000}"/>
    <cellStyle name="20 % - Markeringsfarve1 2 2 5 4 2" xfId="8378" xr:uid="{00000000-0005-0000-0000-0000AF010000}"/>
    <cellStyle name="20 % - Markeringsfarve1 2 2 5 4 2 2" xfId="16272" xr:uid="{00000000-0005-0000-0000-0000B0010000}"/>
    <cellStyle name="20 % - Markeringsfarve1 2 2 5 4 2 2 2" xfId="32586" xr:uid="{00000000-0005-0000-0000-0000B1010000}"/>
    <cellStyle name="20 % - Markeringsfarve1 2 2 5 4 2 2 3" xfId="47550" xr:uid="{00000000-0005-0000-0000-0000B2010000}"/>
    <cellStyle name="20 % - Markeringsfarve1 2 2 5 4 2 3" xfId="25564" xr:uid="{00000000-0005-0000-0000-0000B3010000}"/>
    <cellStyle name="20 % - Markeringsfarve1 2 2 5 4 2 4" xfId="40551" xr:uid="{00000000-0005-0000-0000-0000B4010000}"/>
    <cellStyle name="20 % - Markeringsfarve1 2 2 5 4 3" xfId="10189" xr:uid="{00000000-0005-0000-0000-0000B5010000}"/>
    <cellStyle name="20 % - Markeringsfarve1 2 2 5 4 3 2" xfId="26508" xr:uid="{00000000-0005-0000-0000-0000B6010000}"/>
    <cellStyle name="20 % - Markeringsfarve1 2 2 5 4 3 3" xfId="41474" xr:uid="{00000000-0005-0000-0000-0000B7010000}"/>
    <cellStyle name="20 % - Markeringsfarve1 2 2 5 4 4" xfId="19486" xr:uid="{00000000-0005-0000-0000-0000B8010000}"/>
    <cellStyle name="20 % - Markeringsfarve1 2 2 5 4 5" xfId="34475" xr:uid="{00000000-0005-0000-0000-0000B9010000}"/>
    <cellStyle name="20 % - Markeringsfarve1 2 2 5 5" xfId="5415" xr:uid="{00000000-0005-0000-0000-0000BA010000}"/>
    <cellStyle name="20 % - Markeringsfarve1 2 2 5 5 2" xfId="13333" xr:uid="{00000000-0005-0000-0000-0000BB010000}"/>
    <cellStyle name="20 % - Markeringsfarve1 2 2 5 5 2 2" xfId="29647" xr:uid="{00000000-0005-0000-0000-0000BC010000}"/>
    <cellStyle name="20 % - Markeringsfarve1 2 2 5 5 2 3" xfId="44611" xr:uid="{00000000-0005-0000-0000-0000BD010000}"/>
    <cellStyle name="20 % - Markeringsfarve1 2 2 5 5 3" xfId="22625" xr:uid="{00000000-0005-0000-0000-0000BE010000}"/>
    <cellStyle name="20 % - Markeringsfarve1 2 2 5 5 4" xfId="37612" xr:uid="{00000000-0005-0000-0000-0000BF010000}"/>
    <cellStyle name="20 % - Markeringsfarve1 2 2 5 6" xfId="10185" xr:uid="{00000000-0005-0000-0000-0000C0010000}"/>
    <cellStyle name="20 % - Markeringsfarve1 2 2 5 6 2" xfId="26504" xr:uid="{00000000-0005-0000-0000-0000C1010000}"/>
    <cellStyle name="20 % - Markeringsfarve1 2 2 5 6 3" xfId="41470" xr:uid="{00000000-0005-0000-0000-0000C2010000}"/>
    <cellStyle name="20 % - Markeringsfarve1 2 2 5 7" xfId="19482" xr:uid="{00000000-0005-0000-0000-0000C3010000}"/>
    <cellStyle name="20 % - Markeringsfarve1 2 2 5 8" xfId="34471" xr:uid="{00000000-0005-0000-0000-0000C4010000}"/>
    <cellStyle name="20 % - Markeringsfarve1 2 2 6" xfId="1633" xr:uid="{00000000-0005-0000-0000-0000C5010000}"/>
    <cellStyle name="20 % - Markeringsfarve1 2 2 6 2" xfId="1634" xr:uid="{00000000-0005-0000-0000-0000C6010000}"/>
    <cellStyle name="20 % - Markeringsfarve1 2 2 6 2 2" xfId="1635" xr:uid="{00000000-0005-0000-0000-0000C7010000}"/>
    <cellStyle name="20 % - Markeringsfarve1 2 2 6 2 2 2" xfId="8082" xr:uid="{00000000-0005-0000-0000-0000C8010000}"/>
    <cellStyle name="20 % - Markeringsfarve1 2 2 6 2 2 2 2" xfId="15983" xr:uid="{00000000-0005-0000-0000-0000C9010000}"/>
    <cellStyle name="20 % - Markeringsfarve1 2 2 6 2 2 2 2 2" xfId="32297" xr:uid="{00000000-0005-0000-0000-0000CA010000}"/>
    <cellStyle name="20 % - Markeringsfarve1 2 2 6 2 2 2 2 3" xfId="47261" xr:uid="{00000000-0005-0000-0000-0000CB010000}"/>
    <cellStyle name="20 % - Markeringsfarve1 2 2 6 2 2 2 3" xfId="25275" xr:uid="{00000000-0005-0000-0000-0000CC010000}"/>
    <cellStyle name="20 % - Markeringsfarve1 2 2 6 2 2 2 4" xfId="40262" xr:uid="{00000000-0005-0000-0000-0000CD010000}"/>
    <cellStyle name="20 % - Markeringsfarve1 2 2 6 2 2 3" xfId="10192" xr:uid="{00000000-0005-0000-0000-0000CE010000}"/>
    <cellStyle name="20 % - Markeringsfarve1 2 2 6 2 2 3 2" xfId="26511" xr:uid="{00000000-0005-0000-0000-0000CF010000}"/>
    <cellStyle name="20 % - Markeringsfarve1 2 2 6 2 2 3 3" xfId="41477" xr:uid="{00000000-0005-0000-0000-0000D0010000}"/>
    <cellStyle name="20 % - Markeringsfarve1 2 2 6 2 2 4" xfId="19489" xr:uid="{00000000-0005-0000-0000-0000D1010000}"/>
    <cellStyle name="20 % - Markeringsfarve1 2 2 6 2 2 5" xfId="34478" xr:uid="{00000000-0005-0000-0000-0000D2010000}"/>
    <cellStyle name="20 % - Markeringsfarve1 2 2 6 2 3" xfId="6593" xr:uid="{00000000-0005-0000-0000-0000D3010000}"/>
    <cellStyle name="20 % - Markeringsfarve1 2 2 6 2 3 2" xfId="14507" xr:uid="{00000000-0005-0000-0000-0000D4010000}"/>
    <cellStyle name="20 % - Markeringsfarve1 2 2 6 2 3 2 2" xfId="30821" xr:uid="{00000000-0005-0000-0000-0000D5010000}"/>
    <cellStyle name="20 % - Markeringsfarve1 2 2 6 2 3 2 3" xfId="45785" xr:uid="{00000000-0005-0000-0000-0000D6010000}"/>
    <cellStyle name="20 % - Markeringsfarve1 2 2 6 2 3 3" xfId="23799" xr:uid="{00000000-0005-0000-0000-0000D7010000}"/>
    <cellStyle name="20 % - Markeringsfarve1 2 2 6 2 3 4" xfId="38786" xr:uid="{00000000-0005-0000-0000-0000D8010000}"/>
    <cellStyle name="20 % - Markeringsfarve1 2 2 6 2 4" xfId="10191" xr:uid="{00000000-0005-0000-0000-0000D9010000}"/>
    <cellStyle name="20 % - Markeringsfarve1 2 2 6 2 4 2" xfId="26510" xr:uid="{00000000-0005-0000-0000-0000DA010000}"/>
    <cellStyle name="20 % - Markeringsfarve1 2 2 6 2 4 3" xfId="41476" xr:uid="{00000000-0005-0000-0000-0000DB010000}"/>
    <cellStyle name="20 % - Markeringsfarve1 2 2 6 2 5" xfId="19488" xr:uid="{00000000-0005-0000-0000-0000DC010000}"/>
    <cellStyle name="20 % - Markeringsfarve1 2 2 6 2 6" xfId="34477" xr:uid="{00000000-0005-0000-0000-0000DD010000}"/>
    <cellStyle name="20 % - Markeringsfarve1 2 2 6 3" xfId="1636" xr:uid="{00000000-0005-0000-0000-0000DE010000}"/>
    <cellStyle name="20 % - Markeringsfarve1 2 2 6 3 2" xfId="7359" xr:uid="{00000000-0005-0000-0000-0000DF010000}"/>
    <cellStyle name="20 % - Markeringsfarve1 2 2 6 3 2 2" xfId="15269" xr:uid="{00000000-0005-0000-0000-0000E0010000}"/>
    <cellStyle name="20 % - Markeringsfarve1 2 2 6 3 2 2 2" xfId="31583" xr:uid="{00000000-0005-0000-0000-0000E1010000}"/>
    <cellStyle name="20 % - Markeringsfarve1 2 2 6 3 2 2 3" xfId="46547" xr:uid="{00000000-0005-0000-0000-0000E2010000}"/>
    <cellStyle name="20 % - Markeringsfarve1 2 2 6 3 2 3" xfId="24561" xr:uid="{00000000-0005-0000-0000-0000E3010000}"/>
    <cellStyle name="20 % - Markeringsfarve1 2 2 6 3 2 4" xfId="39548" xr:uid="{00000000-0005-0000-0000-0000E4010000}"/>
    <cellStyle name="20 % - Markeringsfarve1 2 2 6 3 3" xfId="10193" xr:uid="{00000000-0005-0000-0000-0000E5010000}"/>
    <cellStyle name="20 % - Markeringsfarve1 2 2 6 3 3 2" xfId="26512" xr:uid="{00000000-0005-0000-0000-0000E6010000}"/>
    <cellStyle name="20 % - Markeringsfarve1 2 2 6 3 3 3" xfId="41478" xr:uid="{00000000-0005-0000-0000-0000E7010000}"/>
    <cellStyle name="20 % - Markeringsfarve1 2 2 6 3 4" xfId="19490" xr:uid="{00000000-0005-0000-0000-0000E8010000}"/>
    <cellStyle name="20 % - Markeringsfarve1 2 2 6 3 5" xfId="34479" xr:uid="{00000000-0005-0000-0000-0000E9010000}"/>
    <cellStyle name="20 % - Markeringsfarve1 2 2 6 4" xfId="1637" xr:uid="{00000000-0005-0000-0000-0000EA010000}"/>
    <cellStyle name="20 % - Markeringsfarve1 2 2 6 4 2" xfId="8377" xr:uid="{00000000-0005-0000-0000-0000EB010000}"/>
    <cellStyle name="20 % - Markeringsfarve1 2 2 6 4 2 2" xfId="16271" xr:uid="{00000000-0005-0000-0000-0000EC010000}"/>
    <cellStyle name="20 % - Markeringsfarve1 2 2 6 4 2 2 2" xfId="32585" xr:uid="{00000000-0005-0000-0000-0000ED010000}"/>
    <cellStyle name="20 % - Markeringsfarve1 2 2 6 4 2 2 3" xfId="47549" xr:uid="{00000000-0005-0000-0000-0000EE010000}"/>
    <cellStyle name="20 % - Markeringsfarve1 2 2 6 4 2 3" xfId="25563" xr:uid="{00000000-0005-0000-0000-0000EF010000}"/>
    <cellStyle name="20 % - Markeringsfarve1 2 2 6 4 2 4" xfId="40550" xr:uid="{00000000-0005-0000-0000-0000F0010000}"/>
    <cellStyle name="20 % - Markeringsfarve1 2 2 6 4 3" xfId="10194" xr:uid="{00000000-0005-0000-0000-0000F1010000}"/>
    <cellStyle name="20 % - Markeringsfarve1 2 2 6 4 3 2" xfId="26513" xr:uid="{00000000-0005-0000-0000-0000F2010000}"/>
    <cellStyle name="20 % - Markeringsfarve1 2 2 6 4 3 3" xfId="41479" xr:uid="{00000000-0005-0000-0000-0000F3010000}"/>
    <cellStyle name="20 % - Markeringsfarve1 2 2 6 4 4" xfId="19491" xr:uid="{00000000-0005-0000-0000-0000F4010000}"/>
    <cellStyle name="20 % - Markeringsfarve1 2 2 6 4 5" xfId="34480" xr:uid="{00000000-0005-0000-0000-0000F5010000}"/>
    <cellStyle name="20 % - Markeringsfarve1 2 2 6 5" xfId="5416" xr:uid="{00000000-0005-0000-0000-0000F6010000}"/>
    <cellStyle name="20 % - Markeringsfarve1 2 2 6 5 2" xfId="13334" xr:uid="{00000000-0005-0000-0000-0000F7010000}"/>
    <cellStyle name="20 % - Markeringsfarve1 2 2 6 5 2 2" xfId="29648" xr:uid="{00000000-0005-0000-0000-0000F8010000}"/>
    <cellStyle name="20 % - Markeringsfarve1 2 2 6 5 2 3" xfId="44612" xr:uid="{00000000-0005-0000-0000-0000F9010000}"/>
    <cellStyle name="20 % - Markeringsfarve1 2 2 6 5 3" xfId="22626" xr:uid="{00000000-0005-0000-0000-0000FA010000}"/>
    <cellStyle name="20 % - Markeringsfarve1 2 2 6 5 4" xfId="37613" xr:uid="{00000000-0005-0000-0000-0000FB010000}"/>
    <cellStyle name="20 % - Markeringsfarve1 2 2 6 6" xfId="10190" xr:uid="{00000000-0005-0000-0000-0000FC010000}"/>
    <cellStyle name="20 % - Markeringsfarve1 2 2 6 6 2" xfId="26509" xr:uid="{00000000-0005-0000-0000-0000FD010000}"/>
    <cellStyle name="20 % - Markeringsfarve1 2 2 6 6 3" xfId="41475" xr:uid="{00000000-0005-0000-0000-0000FE010000}"/>
    <cellStyle name="20 % - Markeringsfarve1 2 2 6 7" xfId="19487" xr:uid="{00000000-0005-0000-0000-0000FF010000}"/>
    <cellStyle name="20 % - Markeringsfarve1 2 2 6 8" xfId="34476" xr:uid="{00000000-0005-0000-0000-000000020000}"/>
    <cellStyle name="20 % - Markeringsfarve1 2 2 7" xfId="1638" xr:uid="{00000000-0005-0000-0000-000001020000}"/>
    <cellStyle name="20 % - Markeringsfarve1 2 2 7 2" xfId="1639" xr:uid="{00000000-0005-0000-0000-000002020000}"/>
    <cellStyle name="20 % - Markeringsfarve1 2 2 7 2 2" xfId="7554" xr:uid="{00000000-0005-0000-0000-000003020000}"/>
    <cellStyle name="20 % - Markeringsfarve1 2 2 7 2 2 2" xfId="15455" xr:uid="{00000000-0005-0000-0000-000004020000}"/>
    <cellStyle name="20 % - Markeringsfarve1 2 2 7 2 2 2 2" xfId="31769" xr:uid="{00000000-0005-0000-0000-000005020000}"/>
    <cellStyle name="20 % - Markeringsfarve1 2 2 7 2 2 2 3" xfId="46733" xr:uid="{00000000-0005-0000-0000-000006020000}"/>
    <cellStyle name="20 % - Markeringsfarve1 2 2 7 2 2 3" xfId="24747" xr:uid="{00000000-0005-0000-0000-000007020000}"/>
    <cellStyle name="20 % - Markeringsfarve1 2 2 7 2 2 4" xfId="39734" xr:uid="{00000000-0005-0000-0000-000008020000}"/>
    <cellStyle name="20 % - Markeringsfarve1 2 2 7 2 3" xfId="10196" xr:uid="{00000000-0005-0000-0000-000009020000}"/>
    <cellStyle name="20 % - Markeringsfarve1 2 2 7 2 3 2" xfId="26515" xr:uid="{00000000-0005-0000-0000-00000A020000}"/>
    <cellStyle name="20 % - Markeringsfarve1 2 2 7 2 3 3" xfId="41481" xr:uid="{00000000-0005-0000-0000-00000B020000}"/>
    <cellStyle name="20 % - Markeringsfarve1 2 2 7 2 4" xfId="19493" xr:uid="{00000000-0005-0000-0000-00000C020000}"/>
    <cellStyle name="20 % - Markeringsfarve1 2 2 7 2 5" xfId="34482" xr:uid="{00000000-0005-0000-0000-00000D020000}"/>
    <cellStyle name="20 % - Markeringsfarve1 2 2 7 3" xfId="6147" xr:uid="{00000000-0005-0000-0000-00000E020000}"/>
    <cellStyle name="20 % - Markeringsfarve1 2 2 7 3 2" xfId="14064" xr:uid="{00000000-0005-0000-0000-00000F020000}"/>
    <cellStyle name="20 % - Markeringsfarve1 2 2 7 3 2 2" xfId="30378" xr:uid="{00000000-0005-0000-0000-000010020000}"/>
    <cellStyle name="20 % - Markeringsfarve1 2 2 7 3 2 3" xfId="45342" xr:uid="{00000000-0005-0000-0000-000011020000}"/>
    <cellStyle name="20 % - Markeringsfarve1 2 2 7 3 3" xfId="23356" xr:uid="{00000000-0005-0000-0000-000012020000}"/>
    <cellStyle name="20 % - Markeringsfarve1 2 2 7 3 4" xfId="38343" xr:uid="{00000000-0005-0000-0000-000013020000}"/>
    <cellStyle name="20 % - Markeringsfarve1 2 2 7 4" xfId="10195" xr:uid="{00000000-0005-0000-0000-000014020000}"/>
    <cellStyle name="20 % - Markeringsfarve1 2 2 7 4 2" xfId="26514" xr:uid="{00000000-0005-0000-0000-000015020000}"/>
    <cellStyle name="20 % - Markeringsfarve1 2 2 7 4 3" xfId="41480" xr:uid="{00000000-0005-0000-0000-000016020000}"/>
    <cellStyle name="20 % - Markeringsfarve1 2 2 7 5" xfId="19492" xr:uid="{00000000-0005-0000-0000-000017020000}"/>
    <cellStyle name="20 % - Markeringsfarve1 2 2 7 6" xfId="34481" xr:uid="{00000000-0005-0000-0000-000018020000}"/>
    <cellStyle name="20 % - Markeringsfarve1 2 2 8" xfId="1640" xr:uid="{00000000-0005-0000-0000-000019020000}"/>
    <cellStyle name="20 % - Markeringsfarve1 2 2 8 2" xfId="6782" xr:uid="{00000000-0005-0000-0000-00001A020000}"/>
    <cellStyle name="20 % - Markeringsfarve1 2 2 8 2 2" xfId="14693" xr:uid="{00000000-0005-0000-0000-00001B020000}"/>
    <cellStyle name="20 % - Markeringsfarve1 2 2 8 2 2 2" xfId="31007" xr:uid="{00000000-0005-0000-0000-00001C020000}"/>
    <cellStyle name="20 % - Markeringsfarve1 2 2 8 2 2 3" xfId="45971" xr:uid="{00000000-0005-0000-0000-00001D020000}"/>
    <cellStyle name="20 % - Markeringsfarve1 2 2 8 2 3" xfId="23985" xr:uid="{00000000-0005-0000-0000-00001E020000}"/>
    <cellStyle name="20 % - Markeringsfarve1 2 2 8 2 4" xfId="38972" xr:uid="{00000000-0005-0000-0000-00001F020000}"/>
    <cellStyle name="20 % - Markeringsfarve1 2 2 8 3" xfId="10197" xr:uid="{00000000-0005-0000-0000-000020020000}"/>
    <cellStyle name="20 % - Markeringsfarve1 2 2 8 3 2" xfId="26516" xr:uid="{00000000-0005-0000-0000-000021020000}"/>
    <cellStyle name="20 % - Markeringsfarve1 2 2 8 3 3" xfId="41482" xr:uid="{00000000-0005-0000-0000-000022020000}"/>
    <cellStyle name="20 % - Markeringsfarve1 2 2 8 4" xfId="19494" xr:uid="{00000000-0005-0000-0000-000023020000}"/>
    <cellStyle name="20 % - Markeringsfarve1 2 2 8 5" xfId="34483" xr:uid="{00000000-0005-0000-0000-000024020000}"/>
    <cellStyle name="20 % - Markeringsfarve1 2 2 9" xfId="1641" xr:uid="{00000000-0005-0000-0000-000025020000}"/>
    <cellStyle name="20 % - Markeringsfarve1 2 2 9 2" xfId="8382" xr:uid="{00000000-0005-0000-0000-000026020000}"/>
    <cellStyle name="20 % - Markeringsfarve1 2 2 9 2 2" xfId="16276" xr:uid="{00000000-0005-0000-0000-000027020000}"/>
    <cellStyle name="20 % - Markeringsfarve1 2 2 9 2 2 2" xfId="32590" xr:uid="{00000000-0005-0000-0000-000028020000}"/>
    <cellStyle name="20 % - Markeringsfarve1 2 2 9 2 2 3" xfId="47554" xr:uid="{00000000-0005-0000-0000-000029020000}"/>
    <cellStyle name="20 % - Markeringsfarve1 2 2 9 2 3" xfId="25568" xr:uid="{00000000-0005-0000-0000-00002A020000}"/>
    <cellStyle name="20 % - Markeringsfarve1 2 2 9 2 4" xfId="40555" xr:uid="{00000000-0005-0000-0000-00002B020000}"/>
    <cellStyle name="20 % - Markeringsfarve1 2 2 9 3" xfId="10198" xr:uid="{00000000-0005-0000-0000-00002C020000}"/>
    <cellStyle name="20 % - Markeringsfarve1 2 2 9 3 2" xfId="26517" xr:uid="{00000000-0005-0000-0000-00002D020000}"/>
    <cellStyle name="20 % - Markeringsfarve1 2 2 9 3 3" xfId="41483" xr:uid="{00000000-0005-0000-0000-00002E020000}"/>
    <cellStyle name="20 % - Markeringsfarve1 2 2 9 4" xfId="19495" xr:uid="{00000000-0005-0000-0000-00002F020000}"/>
    <cellStyle name="20 % - Markeringsfarve1 2 2 9 5" xfId="34484" xr:uid="{00000000-0005-0000-0000-000030020000}"/>
    <cellStyle name="20 % - Markeringsfarve1 2 3" xfId="1642" xr:uid="{00000000-0005-0000-0000-000031020000}"/>
    <cellStyle name="20 % - Markeringsfarve1 2 3 10" xfId="5417" xr:uid="{00000000-0005-0000-0000-000032020000}"/>
    <cellStyle name="20 % - Markeringsfarve1 2 3 10 2" xfId="13335" xr:uid="{00000000-0005-0000-0000-000033020000}"/>
    <cellStyle name="20 % - Markeringsfarve1 2 3 10 2 2" xfId="29649" xr:uid="{00000000-0005-0000-0000-000034020000}"/>
    <cellStyle name="20 % - Markeringsfarve1 2 3 10 2 3" xfId="44613" xr:uid="{00000000-0005-0000-0000-000035020000}"/>
    <cellStyle name="20 % - Markeringsfarve1 2 3 10 3" xfId="22627" xr:uid="{00000000-0005-0000-0000-000036020000}"/>
    <cellStyle name="20 % - Markeringsfarve1 2 3 10 4" xfId="37614" xr:uid="{00000000-0005-0000-0000-000037020000}"/>
    <cellStyle name="20 % - Markeringsfarve1 2 3 11" xfId="10199" xr:uid="{00000000-0005-0000-0000-000038020000}"/>
    <cellStyle name="20 % - Markeringsfarve1 2 3 11 2" xfId="26518" xr:uid="{00000000-0005-0000-0000-000039020000}"/>
    <cellStyle name="20 % - Markeringsfarve1 2 3 11 3" xfId="41484" xr:uid="{00000000-0005-0000-0000-00003A020000}"/>
    <cellStyle name="20 % - Markeringsfarve1 2 3 12" xfId="19496" xr:uid="{00000000-0005-0000-0000-00003B020000}"/>
    <cellStyle name="20 % - Markeringsfarve1 2 3 13" xfId="34485" xr:uid="{00000000-0005-0000-0000-00003C020000}"/>
    <cellStyle name="20 % - Markeringsfarve1 2 3 14" xfId="53377" xr:uid="{00000000-0005-0000-0000-00003D020000}"/>
    <cellStyle name="20 % - Markeringsfarve1 2 3 2" xfId="1643" xr:uid="{00000000-0005-0000-0000-00003E020000}"/>
    <cellStyle name="20 % - Markeringsfarve1 2 3 2 2" xfId="1644" xr:uid="{00000000-0005-0000-0000-00003F020000}"/>
    <cellStyle name="20 % - Markeringsfarve1 2 3 2 2 2" xfId="1645" xr:uid="{00000000-0005-0000-0000-000040020000}"/>
    <cellStyle name="20 % - Markeringsfarve1 2 3 2 2 2 2" xfId="7712" xr:uid="{00000000-0005-0000-0000-000041020000}"/>
    <cellStyle name="20 % - Markeringsfarve1 2 3 2 2 2 2 2" xfId="15613" xr:uid="{00000000-0005-0000-0000-000042020000}"/>
    <cellStyle name="20 % - Markeringsfarve1 2 3 2 2 2 2 2 2" xfId="31927" xr:uid="{00000000-0005-0000-0000-000043020000}"/>
    <cellStyle name="20 % - Markeringsfarve1 2 3 2 2 2 2 2 3" xfId="46891" xr:uid="{00000000-0005-0000-0000-000044020000}"/>
    <cellStyle name="20 % - Markeringsfarve1 2 3 2 2 2 2 3" xfId="24905" xr:uid="{00000000-0005-0000-0000-000045020000}"/>
    <cellStyle name="20 % - Markeringsfarve1 2 3 2 2 2 2 4" xfId="39892" xr:uid="{00000000-0005-0000-0000-000046020000}"/>
    <cellStyle name="20 % - Markeringsfarve1 2 3 2 2 2 3" xfId="10202" xr:uid="{00000000-0005-0000-0000-000047020000}"/>
    <cellStyle name="20 % - Markeringsfarve1 2 3 2 2 2 3 2" xfId="26521" xr:uid="{00000000-0005-0000-0000-000048020000}"/>
    <cellStyle name="20 % - Markeringsfarve1 2 3 2 2 2 3 3" xfId="41487" xr:uid="{00000000-0005-0000-0000-000049020000}"/>
    <cellStyle name="20 % - Markeringsfarve1 2 3 2 2 2 4" xfId="19499" xr:uid="{00000000-0005-0000-0000-00004A020000}"/>
    <cellStyle name="20 % - Markeringsfarve1 2 3 2 2 2 5" xfId="34488" xr:uid="{00000000-0005-0000-0000-00004B020000}"/>
    <cellStyle name="20 % - Markeringsfarve1 2 3 2 2 3" xfId="6279" xr:uid="{00000000-0005-0000-0000-00004C020000}"/>
    <cellStyle name="20 % - Markeringsfarve1 2 3 2 2 3 2" xfId="14196" xr:uid="{00000000-0005-0000-0000-00004D020000}"/>
    <cellStyle name="20 % - Markeringsfarve1 2 3 2 2 3 2 2" xfId="30510" xr:uid="{00000000-0005-0000-0000-00004E020000}"/>
    <cellStyle name="20 % - Markeringsfarve1 2 3 2 2 3 2 3" xfId="45474" xr:uid="{00000000-0005-0000-0000-00004F020000}"/>
    <cellStyle name="20 % - Markeringsfarve1 2 3 2 2 3 3" xfId="23488" xr:uid="{00000000-0005-0000-0000-000050020000}"/>
    <cellStyle name="20 % - Markeringsfarve1 2 3 2 2 3 4" xfId="38475" xr:uid="{00000000-0005-0000-0000-000051020000}"/>
    <cellStyle name="20 % - Markeringsfarve1 2 3 2 2 4" xfId="10201" xr:uid="{00000000-0005-0000-0000-000052020000}"/>
    <cellStyle name="20 % - Markeringsfarve1 2 3 2 2 4 2" xfId="26520" xr:uid="{00000000-0005-0000-0000-000053020000}"/>
    <cellStyle name="20 % - Markeringsfarve1 2 3 2 2 4 3" xfId="41486" xr:uid="{00000000-0005-0000-0000-000054020000}"/>
    <cellStyle name="20 % - Markeringsfarve1 2 3 2 2 5" xfId="19498" xr:uid="{00000000-0005-0000-0000-000055020000}"/>
    <cellStyle name="20 % - Markeringsfarve1 2 3 2 2 6" xfId="34487" xr:uid="{00000000-0005-0000-0000-000056020000}"/>
    <cellStyle name="20 % - Markeringsfarve1 2 3 2 2 7" xfId="57181" xr:uid="{00000000-0005-0000-0000-000057020000}"/>
    <cellStyle name="20 % - Markeringsfarve1 2 3 2 3" xfId="1646" xr:uid="{00000000-0005-0000-0000-000058020000}"/>
    <cellStyle name="20 % - Markeringsfarve1 2 3 2 3 2" xfId="6942" xr:uid="{00000000-0005-0000-0000-000059020000}"/>
    <cellStyle name="20 % - Markeringsfarve1 2 3 2 3 2 2" xfId="14853" xr:uid="{00000000-0005-0000-0000-00005A020000}"/>
    <cellStyle name="20 % - Markeringsfarve1 2 3 2 3 2 2 2" xfId="31167" xr:uid="{00000000-0005-0000-0000-00005B020000}"/>
    <cellStyle name="20 % - Markeringsfarve1 2 3 2 3 2 2 3" xfId="46131" xr:uid="{00000000-0005-0000-0000-00005C020000}"/>
    <cellStyle name="20 % - Markeringsfarve1 2 3 2 3 2 3" xfId="24145" xr:uid="{00000000-0005-0000-0000-00005D020000}"/>
    <cellStyle name="20 % - Markeringsfarve1 2 3 2 3 2 4" xfId="39132" xr:uid="{00000000-0005-0000-0000-00005E020000}"/>
    <cellStyle name="20 % - Markeringsfarve1 2 3 2 3 3" xfId="10203" xr:uid="{00000000-0005-0000-0000-00005F020000}"/>
    <cellStyle name="20 % - Markeringsfarve1 2 3 2 3 3 2" xfId="26522" xr:uid="{00000000-0005-0000-0000-000060020000}"/>
    <cellStyle name="20 % - Markeringsfarve1 2 3 2 3 3 3" xfId="41488" xr:uid="{00000000-0005-0000-0000-000061020000}"/>
    <cellStyle name="20 % - Markeringsfarve1 2 3 2 3 4" xfId="19500" xr:uid="{00000000-0005-0000-0000-000062020000}"/>
    <cellStyle name="20 % - Markeringsfarve1 2 3 2 3 5" xfId="34489" xr:uid="{00000000-0005-0000-0000-000063020000}"/>
    <cellStyle name="20 % - Markeringsfarve1 2 3 2 4" xfId="1647" xr:uid="{00000000-0005-0000-0000-000064020000}"/>
    <cellStyle name="20 % - Markeringsfarve1 2 3 2 4 2" xfId="8375" xr:uid="{00000000-0005-0000-0000-000065020000}"/>
    <cellStyle name="20 % - Markeringsfarve1 2 3 2 4 2 2" xfId="16269" xr:uid="{00000000-0005-0000-0000-000066020000}"/>
    <cellStyle name="20 % - Markeringsfarve1 2 3 2 4 2 2 2" xfId="32583" xr:uid="{00000000-0005-0000-0000-000067020000}"/>
    <cellStyle name="20 % - Markeringsfarve1 2 3 2 4 2 2 3" xfId="47547" xr:uid="{00000000-0005-0000-0000-000068020000}"/>
    <cellStyle name="20 % - Markeringsfarve1 2 3 2 4 2 3" xfId="25561" xr:uid="{00000000-0005-0000-0000-000069020000}"/>
    <cellStyle name="20 % - Markeringsfarve1 2 3 2 4 2 4" xfId="40548" xr:uid="{00000000-0005-0000-0000-00006A020000}"/>
    <cellStyle name="20 % - Markeringsfarve1 2 3 2 4 3" xfId="10204" xr:uid="{00000000-0005-0000-0000-00006B020000}"/>
    <cellStyle name="20 % - Markeringsfarve1 2 3 2 4 3 2" xfId="26523" xr:uid="{00000000-0005-0000-0000-00006C020000}"/>
    <cellStyle name="20 % - Markeringsfarve1 2 3 2 4 3 3" xfId="41489" xr:uid="{00000000-0005-0000-0000-00006D020000}"/>
    <cellStyle name="20 % - Markeringsfarve1 2 3 2 4 4" xfId="19501" xr:uid="{00000000-0005-0000-0000-00006E020000}"/>
    <cellStyle name="20 % - Markeringsfarve1 2 3 2 4 5" xfId="34490" xr:uid="{00000000-0005-0000-0000-00006F020000}"/>
    <cellStyle name="20 % - Markeringsfarve1 2 3 2 5" xfId="5418" xr:uid="{00000000-0005-0000-0000-000070020000}"/>
    <cellStyle name="20 % - Markeringsfarve1 2 3 2 5 2" xfId="13336" xr:uid="{00000000-0005-0000-0000-000071020000}"/>
    <cellStyle name="20 % - Markeringsfarve1 2 3 2 5 2 2" xfId="29650" xr:uid="{00000000-0005-0000-0000-000072020000}"/>
    <cellStyle name="20 % - Markeringsfarve1 2 3 2 5 2 3" xfId="44614" xr:uid="{00000000-0005-0000-0000-000073020000}"/>
    <cellStyle name="20 % - Markeringsfarve1 2 3 2 5 3" xfId="22628" xr:uid="{00000000-0005-0000-0000-000074020000}"/>
    <cellStyle name="20 % - Markeringsfarve1 2 3 2 5 4" xfId="37615" xr:uid="{00000000-0005-0000-0000-000075020000}"/>
    <cellStyle name="20 % - Markeringsfarve1 2 3 2 6" xfId="10200" xr:uid="{00000000-0005-0000-0000-000076020000}"/>
    <cellStyle name="20 % - Markeringsfarve1 2 3 2 6 2" xfId="26519" xr:uid="{00000000-0005-0000-0000-000077020000}"/>
    <cellStyle name="20 % - Markeringsfarve1 2 3 2 6 3" xfId="41485" xr:uid="{00000000-0005-0000-0000-000078020000}"/>
    <cellStyle name="20 % - Markeringsfarve1 2 3 2 7" xfId="19497" xr:uid="{00000000-0005-0000-0000-000079020000}"/>
    <cellStyle name="20 % - Markeringsfarve1 2 3 2 8" xfId="34486" xr:uid="{00000000-0005-0000-0000-00007A020000}"/>
    <cellStyle name="20 % - Markeringsfarve1 2 3 2 9" xfId="54014" xr:uid="{00000000-0005-0000-0000-00007B020000}"/>
    <cellStyle name="20 % - Markeringsfarve1 2 3 3" xfId="1648" xr:uid="{00000000-0005-0000-0000-00007C020000}"/>
    <cellStyle name="20 % - Markeringsfarve1 2 3 3 2" xfId="1649" xr:uid="{00000000-0005-0000-0000-00007D020000}"/>
    <cellStyle name="20 % - Markeringsfarve1 2 3 3 2 2" xfId="1650" xr:uid="{00000000-0005-0000-0000-00007E020000}"/>
    <cellStyle name="20 % - Markeringsfarve1 2 3 3 2 2 2" xfId="7728" xr:uid="{00000000-0005-0000-0000-00007F020000}"/>
    <cellStyle name="20 % - Markeringsfarve1 2 3 3 2 2 2 2" xfId="15629" xr:uid="{00000000-0005-0000-0000-000080020000}"/>
    <cellStyle name="20 % - Markeringsfarve1 2 3 3 2 2 2 2 2" xfId="31943" xr:uid="{00000000-0005-0000-0000-000081020000}"/>
    <cellStyle name="20 % - Markeringsfarve1 2 3 3 2 2 2 2 3" xfId="46907" xr:uid="{00000000-0005-0000-0000-000082020000}"/>
    <cellStyle name="20 % - Markeringsfarve1 2 3 3 2 2 2 3" xfId="24921" xr:uid="{00000000-0005-0000-0000-000083020000}"/>
    <cellStyle name="20 % - Markeringsfarve1 2 3 3 2 2 2 4" xfId="39908" xr:uid="{00000000-0005-0000-0000-000084020000}"/>
    <cellStyle name="20 % - Markeringsfarve1 2 3 3 2 2 3" xfId="10207" xr:uid="{00000000-0005-0000-0000-000085020000}"/>
    <cellStyle name="20 % - Markeringsfarve1 2 3 3 2 2 3 2" xfId="26526" xr:uid="{00000000-0005-0000-0000-000086020000}"/>
    <cellStyle name="20 % - Markeringsfarve1 2 3 3 2 2 3 3" xfId="41492" xr:uid="{00000000-0005-0000-0000-000087020000}"/>
    <cellStyle name="20 % - Markeringsfarve1 2 3 3 2 2 4" xfId="19504" xr:uid="{00000000-0005-0000-0000-000088020000}"/>
    <cellStyle name="20 % - Markeringsfarve1 2 3 3 2 2 5" xfId="34493" xr:uid="{00000000-0005-0000-0000-000089020000}"/>
    <cellStyle name="20 % - Markeringsfarve1 2 3 3 2 3" xfId="6292" xr:uid="{00000000-0005-0000-0000-00008A020000}"/>
    <cellStyle name="20 % - Markeringsfarve1 2 3 3 2 3 2" xfId="14209" xr:uid="{00000000-0005-0000-0000-00008B020000}"/>
    <cellStyle name="20 % - Markeringsfarve1 2 3 3 2 3 2 2" xfId="30523" xr:uid="{00000000-0005-0000-0000-00008C020000}"/>
    <cellStyle name="20 % - Markeringsfarve1 2 3 3 2 3 2 3" xfId="45487" xr:uid="{00000000-0005-0000-0000-00008D020000}"/>
    <cellStyle name="20 % - Markeringsfarve1 2 3 3 2 3 3" xfId="23501" xr:uid="{00000000-0005-0000-0000-00008E020000}"/>
    <cellStyle name="20 % - Markeringsfarve1 2 3 3 2 3 4" xfId="38488" xr:uid="{00000000-0005-0000-0000-00008F020000}"/>
    <cellStyle name="20 % - Markeringsfarve1 2 3 3 2 4" xfId="10206" xr:uid="{00000000-0005-0000-0000-000090020000}"/>
    <cellStyle name="20 % - Markeringsfarve1 2 3 3 2 4 2" xfId="26525" xr:uid="{00000000-0005-0000-0000-000091020000}"/>
    <cellStyle name="20 % - Markeringsfarve1 2 3 3 2 4 3" xfId="41491" xr:uid="{00000000-0005-0000-0000-000092020000}"/>
    <cellStyle name="20 % - Markeringsfarve1 2 3 3 2 5" xfId="19503" xr:uid="{00000000-0005-0000-0000-000093020000}"/>
    <cellStyle name="20 % - Markeringsfarve1 2 3 3 2 6" xfId="34492" xr:uid="{00000000-0005-0000-0000-000094020000}"/>
    <cellStyle name="20 % - Markeringsfarve1 2 3 3 3" xfId="1651" xr:uid="{00000000-0005-0000-0000-000095020000}"/>
    <cellStyle name="20 % - Markeringsfarve1 2 3 3 3 2" xfId="6958" xr:uid="{00000000-0005-0000-0000-000096020000}"/>
    <cellStyle name="20 % - Markeringsfarve1 2 3 3 3 2 2" xfId="14869" xr:uid="{00000000-0005-0000-0000-000097020000}"/>
    <cellStyle name="20 % - Markeringsfarve1 2 3 3 3 2 2 2" xfId="31183" xr:uid="{00000000-0005-0000-0000-000098020000}"/>
    <cellStyle name="20 % - Markeringsfarve1 2 3 3 3 2 2 3" xfId="46147" xr:uid="{00000000-0005-0000-0000-000099020000}"/>
    <cellStyle name="20 % - Markeringsfarve1 2 3 3 3 2 3" xfId="24161" xr:uid="{00000000-0005-0000-0000-00009A020000}"/>
    <cellStyle name="20 % - Markeringsfarve1 2 3 3 3 2 4" xfId="39148" xr:uid="{00000000-0005-0000-0000-00009B020000}"/>
    <cellStyle name="20 % - Markeringsfarve1 2 3 3 3 3" xfId="10208" xr:uid="{00000000-0005-0000-0000-00009C020000}"/>
    <cellStyle name="20 % - Markeringsfarve1 2 3 3 3 3 2" xfId="26527" xr:uid="{00000000-0005-0000-0000-00009D020000}"/>
    <cellStyle name="20 % - Markeringsfarve1 2 3 3 3 3 3" xfId="41493" xr:uid="{00000000-0005-0000-0000-00009E020000}"/>
    <cellStyle name="20 % - Markeringsfarve1 2 3 3 3 4" xfId="19505" xr:uid="{00000000-0005-0000-0000-00009F020000}"/>
    <cellStyle name="20 % - Markeringsfarve1 2 3 3 3 5" xfId="34494" xr:uid="{00000000-0005-0000-0000-0000A0020000}"/>
    <cellStyle name="20 % - Markeringsfarve1 2 3 3 4" xfId="1652" xr:uid="{00000000-0005-0000-0000-0000A1020000}"/>
    <cellStyle name="20 % - Markeringsfarve1 2 3 3 4 2" xfId="8374" xr:uid="{00000000-0005-0000-0000-0000A2020000}"/>
    <cellStyle name="20 % - Markeringsfarve1 2 3 3 4 2 2" xfId="16268" xr:uid="{00000000-0005-0000-0000-0000A3020000}"/>
    <cellStyle name="20 % - Markeringsfarve1 2 3 3 4 2 2 2" xfId="32582" xr:uid="{00000000-0005-0000-0000-0000A4020000}"/>
    <cellStyle name="20 % - Markeringsfarve1 2 3 3 4 2 2 3" xfId="47546" xr:uid="{00000000-0005-0000-0000-0000A5020000}"/>
    <cellStyle name="20 % - Markeringsfarve1 2 3 3 4 2 3" xfId="25560" xr:uid="{00000000-0005-0000-0000-0000A6020000}"/>
    <cellStyle name="20 % - Markeringsfarve1 2 3 3 4 2 4" xfId="40547" xr:uid="{00000000-0005-0000-0000-0000A7020000}"/>
    <cellStyle name="20 % - Markeringsfarve1 2 3 3 4 3" xfId="10209" xr:uid="{00000000-0005-0000-0000-0000A8020000}"/>
    <cellStyle name="20 % - Markeringsfarve1 2 3 3 4 3 2" xfId="26528" xr:uid="{00000000-0005-0000-0000-0000A9020000}"/>
    <cellStyle name="20 % - Markeringsfarve1 2 3 3 4 3 3" xfId="41494" xr:uid="{00000000-0005-0000-0000-0000AA020000}"/>
    <cellStyle name="20 % - Markeringsfarve1 2 3 3 4 4" xfId="19506" xr:uid="{00000000-0005-0000-0000-0000AB020000}"/>
    <cellStyle name="20 % - Markeringsfarve1 2 3 3 4 5" xfId="34495" xr:uid="{00000000-0005-0000-0000-0000AC020000}"/>
    <cellStyle name="20 % - Markeringsfarve1 2 3 3 5" xfId="5419" xr:uid="{00000000-0005-0000-0000-0000AD020000}"/>
    <cellStyle name="20 % - Markeringsfarve1 2 3 3 5 2" xfId="13337" xr:uid="{00000000-0005-0000-0000-0000AE020000}"/>
    <cellStyle name="20 % - Markeringsfarve1 2 3 3 5 2 2" xfId="29651" xr:uid="{00000000-0005-0000-0000-0000AF020000}"/>
    <cellStyle name="20 % - Markeringsfarve1 2 3 3 5 2 3" xfId="44615" xr:uid="{00000000-0005-0000-0000-0000B0020000}"/>
    <cellStyle name="20 % - Markeringsfarve1 2 3 3 5 3" xfId="22629" xr:uid="{00000000-0005-0000-0000-0000B1020000}"/>
    <cellStyle name="20 % - Markeringsfarve1 2 3 3 5 4" xfId="37616" xr:uid="{00000000-0005-0000-0000-0000B2020000}"/>
    <cellStyle name="20 % - Markeringsfarve1 2 3 3 6" xfId="10205" xr:uid="{00000000-0005-0000-0000-0000B3020000}"/>
    <cellStyle name="20 % - Markeringsfarve1 2 3 3 6 2" xfId="26524" xr:uid="{00000000-0005-0000-0000-0000B4020000}"/>
    <cellStyle name="20 % - Markeringsfarve1 2 3 3 6 3" xfId="41490" xr:uid="{00000000-0005-0000-0000-0000B5020000}"/>
    <cellStyle name="20 % - Markeringsfarve1 2 3 3 7" xfId="19502" xr:uid="{00000000-0005-0000-0000-0000B6020000}"/>
    <cellStyle name="20 % - Markeringsfarve1 2 3 3 8" xfId="34491" xr:uid="{00000000-0005-0000-0000-0000B7020000}"/>
    <cellStyle name="20 % - Markeringsfarve1 2 3 3 9" xfId="56558" xr:uid="{00000000-0005-0000-0000-0000B8020000}"/>
    <cellStyle name="20 % - Markeringsfarve1 2 3 4" xfId="1653" xr:uid="{00000000-0005-0000-0000-0000B9020000}"/>
    <cellStyle name="20 % - Markeringsfarve1 2 3 4 2" xfId="1654" xr:uid="{00000000-0005-0000-0000-0000BA020000}"/>
    <cellStyle name="20 % - Markeringsfarve1 2 3 4 2 2" xfId="1655" xr:uid="{00000000-0005-0000-0000-0000BB020000}"/>
    <cellStyle name="20 % - Markeringsfarve1 2 3 4 2 2 2" xfId="7950" xr:uid="{00000000-0005-0000-0000-0000BC020000}"/>
    <cellStyle name="20 % - Markeringsfarve1 2 3 4 2 2 2 2" xfId="15851" xr:uid="{00000000-0005-0000-0000-0000BD020000}"/>
    <cellStyle name="20 % - Markeringsfarve1 2 3 4 2 2 2 2 2" xfId="32165" xr:uid="{00000000-0005-0000-0000-0000BE020000}"/>
    <cellStyle name="20 % - Markeringsfarve1 2 3 4 2 2 2 2 3" xfId="47129" xr:uid="{00000000-0005-0000-0000-0000BF020000}"/>
    <cellStyle name="20 % - Markeringsfarve1 2 3 4 2 2 2 3" xfId="25143" xr:uid="{00000000-0005-0000-0000-0000C0020000}"/>
    <cellStyle name="20 % - Markeringsfarve1 2 3 4 2 2 2 4" xfId="40130" xr:uid="{00000000-0005-0000-0000-0000C1020000}"/>
    <cellStyle name="20 % - Markeringsfarve1 2 3 4 2 2 3" xfId="10212" xr:uid="{00000000-0005-0000-0000-0000C2020000}"/>
    <cellStyle name="20 % - Markeringsfarve1 2 3 4 2 2 3 2" xfId="26531" xr:uid="{00000000-0005-0000-0000-0000C3020000}"/>
    <cellStyle name="20 % - Markeringsfarve1 2 3 4 2 2 3 3" xfId="41497" xr:uid="{00000000-0005-0000-0000-0000C4020000}"/>
    <cellStyle name="20 % - Markeringsfarve1 2 3 4 2 2 4" xfId="19509" xr:uid="{00000000-0005-0000-0000-0000C5020000}"/>
    <cellStyle name="20 % - Markeringsfarve1 2 3 4 2 2 5" xfId="34498" xr:uid="{00000000-0005-0000-0000-0000C6020000}"/>
    <cellStyle name="20 % - Markeringsfarve1 2 3 4 2 3" xfId="6481" xr:uid="{00000000-0005-0000-0000-0000C7020000}"/>
    <cellStyle name="20 % - Markeringsfarve1 2 3 4 2 3 2" xfId="14395" xr:uid="{00000000-0005-0000-0000-0000C8020000}"/>
    <cellStyle name="20 % - Markeringsfarve1 2 3 4 2 3 2 2" xfId="30709" xr:uid="{00000000-0005-0000-0000-0000C9020000}"/>
    <cellStyle name="20 % - Markeringsfarve1 2 3 4 2 3 2 3" xfId="45673" xr:uid="{00000000-0005-0000-0000-0000CA020000}"/>
    <cellStyle name="20 % - Markeringsfarve1 2 3 4 2 3 3" xfId="23687" xr:uid="{00000000-0005-0000-0000-0000CB020000}"/>
    <cellStyle name="20 % - Markeringsfarve1 2 3 4 2 3 4" xfId="38674" xr:uid="{00000000-0005-0000-0000-0000CC020000}"/>
    <cellStyle name="20 % - Markeringsfarve1 2 3 4 2 4" xfId="10211" xr:uid="{00000000-0005-0000-0000-0000CD020000}"/>
    <cellStyle name="20 % - Markeringsfarve1 2 3 4 2 4 2" xfId="26530" xr:uid="{00000000-0005-0000-0000-0000CE020000}"/>
    <cellStyle name="20 % - Markeringsfarve1 2 3 4 2 4 3" xfId="41496" xr:uid="{00000000-0005-0000-0000-0000CF020000}"/>
    <cellStyle name="20 % - Markeringsfarve1 2 3 4 2 5" xfId="19508" xr:uid="{00000000-0005-0000-0000-0000D0020000}"/>
    <cellStyle name="20 % - Markeringsfarve1 2 3 4 2 6" xfId="34497" xr:uid="{00000000-0005-0000-0000-0000D1020000}"/>
    <cellStyle name="20 % - Markeringsfarve1 2 3 4 3" xfId="1656" xr:uid="{00000000-0005-0000-0000-0000D2020000}"/>
    <cellStyle name="20 % - Markeringsfarve1 2 3 4 3 2" xfId="7226" xr:uid="{00000000-0005-0000-0000-0000D3020000}"/>
    <cellStyle name="20 % - Markeringsfarve1 2 3 4 3 2 2" xfId="15136" xr:uid="{00000000-0005-0000-0000-0000D4020000}"/>
    <cellStyle name="20 % - Markeringsfarve1 2 3 4 3 2 2 2" xfId="31450" xr:uid="{00000000-0005-0000-0000-0000D5020000}"/>
    <cellStyle name="20 % - Markeringsfarve1 2 3 4 3 2 2 3" xfId="46414" xr:uid="{00000000-0005-0000-0000-0000D6020000}"/>
    <cellStyle name="20 % - Markeringsfarve1 2 3 4 3 2 3" xfId="24428" xr:uid="{00000000-0005-0000-0000-0000D7020000}"/>
    <cellStyle name="20 % - Markeringsfarve1 2 3 4 3 2 4" xfId="39415" xr:uid="{00000000-0005-0000-0000-0000D8020000}"/>
    <cellStyle name="20 % - Markeringsfarve1 2 3 4 3 3" xfId="10213" xr:uid="{00000000-0005-0000-0000-0000D9020000}"/>
    <cellStyle name="20 % - Markeringsfarve1 2 3 4 3 3 2" xfId="26532" xr:uid="{00000000-0005-0000-0000-0000DA020000}"/>
    <cellStyle name="20 % - Markeringsfarve1 2 3 4 3 3 3" xfId="41498" xr:uid="{00000000-0005-0000-0000-0000DB020000}"/>
    <cellStyle name="20 % - Markeringsfarve1 2 3 4 3 4" xfId="19510" xr:uid="{00000000-0005-0000-0000-0000DC020000}"/>
    <cellStyle name="20 % - Markeringsfarve1 2 3 4 3 5" xfId="34499" xr:uid="{00000000-0005-0000-0000-0000DD020000}"/>
    <cellStyle name="20 % - Markeringsfarve1 2 3 4 4" xfId="1657" xr:uid="{00000000-0005-0000-0000-0000DE020000}"/>
    <cellStyle name="20 % - Markeringsfarve1 2 3 4 4 2" xfId="8373" xr:uid="{00000000-0005-0000-0000-0000DF020000}"/>
    <cellStyle name="20 % - Markeringsfarve1 2 3 4 4 2 2" xfId="16267" xr:uid="{00000000-0005-0000-0000-0000E0020000}"/>
    <cellStyle name="20 % - Markeringsfarve1 2 3 4 4 2 2 2" xfId="32581" xr:uid="{00000000-0005-0000-0000-0000E1020000}"/>
    <cellStyle name="20 % - Markeringsfarve1 2 3 4 4 2 2 3" xfId="47545" xr:uid="{00000000-0005-0000-0000-0000E2020000}"/>
    <cellStyle name="20 % - Markeringsfarve1 2 3 4 4 2 3" xfId="25559" xr:uid="{00000000-0005-0000-0000-0000E3020000}"/>
    <cellStyle name="20 % - Markeringsfarve1 2 3 4 4 2 4" xfId="40546" xr:uid="{00000000-0005-0000-0000-0000E4020000}"/>
    <cellStyle name="20 % - Markeringsfarve1 2 3 4 4 3" xfId="10214" xr:uid="{00000000-0005-0000-0000-0000E5020000}"/>
    <cellStyle name="20 % - Markeringsfarve1 2 3 4 4 3 2" xfId="26533" xr:uid="{00000000-0005-0000-0000-0000E6020000}"/>
    <cellStyle name="20 % - Markeringsfarve1 2 3 4 4 3 3" xfId="41499" xr:uid="{00000000-0005-0000-0000-0000E7020000}"/>
    <cellStyle name="20 % - Markeringsfarve1 2 3 4 4 4" xfId="19511" xr:uid="{00000000-0005-0000-0000-0000E8020000}"/>
    <cellStyle name="20 % - Markeringsfarve1 2 3 4 4 5" xfId="34500" xr:uid="{00000000-0005-0000-0000-0000E9020000}"/>
    <cellStyle name="20 % - Markeringsfarve1 2 3 4 5" xfId="5420" xr:uid="{00000000-0005-0000-0000-0000EA020000}"/>
    <cellStyle name="20 % - Markeringsfarve1 2 3 4 5 2" xfId="13338" xr:uid="{00000000-0005-0000-0000-0000EB020000}"/>
    <cellStyle name="20 % - Markeringsfarve1 2 3 4 5 2 2" xfId="29652" xr:uid="{00000000-0005-0000-0000-0000EC020000}"/>
    <cellStyle name="20 % - Markeringsfarve1 2 3 4 5 2 3" xfId="44616" xr:uid="{00000000-0005-0000-0000-0000ED020000}"/>
    <cellStyle name="20 % - Markeringsfarve1 2 3 4 5 3" xfId="22630" xr:uid="{00000000-0005-0000-0000-0000EE020000}"/>
    <cellStyle name="20 % - Markeringsfarve1 2 3 4 5 4" xfId="37617" xr:uid="{00000000-0005-0000-0000-0000EF020000}"/>
    <cellStyle name="20 % - Markeringsfarve1 2 3 4 6" xfId="10210" xr:uid="{00000000-0005-0000-0000-0000F0020000}"/>
    <cellStyle name="20 % - Markeringsfarve1 2 3 4 6 2" xfId="26529" xr:uid="{00000000-0005-0000-0000-0000F1020000}"/>
    <cellStyle name="20 % - Markeringsfarve1 2 3 4 6 3" xfId="41495" xr:uid="{00000000-0005-0000-0000-0000F2020000}"/>
    <cellStyle name="20 % - Markeringsfarve1 2 3 4 7" xfId="19507" xr:uid="{00000000-0005-0000-0000-0000F3020000}"/>
    <cellStyle name="20 % - Markeringsfarve1 2 3 4 8" xfId="34496" xr:uid="{00000000-0005-0000-0000-0000F4020000}"/>
    <cellStyle name="20 % - Markeringsfarve1 2 3 5" xfId="1658" xr:uid="{00000000-0005-0000-0000-0000F5020000}"/>
    <cellStyle name="20 % - Markeringsfarve1 2 3 5 2" xfId="1659" xr:uid="{00000000-0005-0000-0000-0000F6020000}"/>
    <cellStyle name="20 % - Markeringsfarve1 2 3 5 2 2" xfId="1660" xr:uid="{00000000-0005-0000-0000-0000F7020000}"/>
    <cellStyle name="20 % - Markeringsfarve1 2 3 5 2 2 2" xfId="8067" xr:uid="{00000000-0005-0000-0000-0000F8020000}"/>
    <cellStyle name="20 % - Markeringsfarve1 2 3 5 2 2 2 2" xfId="15968" xr:uid="{00000000-0005-0000-0000-0000F9020000}"/>
    <cellStyle name="20 % - Markeringsfarve1 2 3 5 2 2 2 2 2" xfId="32282" xr:uid="{00000000-0005-0000-0000-0000FA020000}"/>
    <cellStyle name="20 % - Markeringsfarve1 2 3 5 2 2 2 2 3" xfId="47246" xr:uid="{00000000-0005-0000-0000-0000FB020000}"/>
    <cellStyle name="20 % - Markeringsfarve1 2 3 5 2 2 2 3" xfId="25260" xr:uid="{00000000-0005-0000-0000-0000FC020000}"/>
    <cellStyle name="20 % - Markeringsfarve1 2 3 5 2 2 2 4" xfId="40247" xr:uid="{00000000-0005-0000-0000-0000FD020000}"/>
    <cellStyle name="20 % - Markeringsfarve1 2 3 5 2 2 3" xfId="10217" xr:uid="{00000000-0005-0000-0000-0000FE020000}"/>
    <cellStyle name="20 % - Markeringsfarve1 2 3 5 2 2 3 2" xfId="26536" xr:uid="{00000000-0005-0000-0000-0000FF020000}"/>
    <cellStyle name="20 % - Markeringsfarve1 2 3 5 2 2 3 3" xfId="41502" xr:uid="{00000000-0005-0000-0000-000000030000}"/>
    <cellStyle name="20 % - Markeringsfarve1 2 3 5 2 2 4" xfId="19514" xr:uid="{00000000-0005-0000-0000-000001030000}"/>
    <cellStyle name="20 % - Markeringsfarve1 2 3 5 2 2 5" xfId="34503" xr:uid="{00000000-0005-0000-0000-000002030000}"/>
    <cellStyle name="20 % - Markeringsfarve1 2 3 5 2 3" xfId="6580" xr:uid="{00000000-0005-0000-0000-000003030000}"/>
    <cellStyle name="20 % - Markeringsfarve1 2 3 5 2 3 2" xfId="14494" xr:uid="{00000000-0005-0000-0000-000004030000}"/>
    <cellStyle name="20 % - Markeringsfarve1 2 3 5 2 3 2 2" xfId="30808" xr:uid="{00000000-0005-0000-0000-000005030000}"/>
    <cellStyle name="20 % - Markeringsfarve1 2 3 5 2 3 2 3" xfId="45772" xr:uid="{00000000-0005-0000-0000-000006030000}"/>
    <cellStyle name="20 % - Markeringsfarve1 2 3 5 2 3 3" xfId="23786" xr:uid="{00000000-0005-0000-0000-000007030000}"/>
    <cellStyle name="20 % - Markeringsfarve1 2 3 5 2 3 4" xfId="38773" xr:uid="{00000000-0005-0000-0000-000008030000}"/>
    <cellStyle name="20 % - Markeringsfarve1 2 3 5 2 4" xfId="10216" xr:uid="{00000000-0005-0000-0000-000009030000}"/>
    <cellStyle name="20 % - Markeringsfarve1 2 3 5 2 4 2" xfId="26535" xr:uid="{00000000-0005-0000-0000-00000A030000}"/>
    <cellStyle name="20 % - Markeringsfarve1 2 3 5 2 4 3" xfId="41501" xr:uid="{00000000-0005-0000-0000-00000B030000}"/>
    <cellStyle name="20 % - Markeringsfarve1 2 3 5 2 5" xfId="19513" xr:uid="{00000000-0005-0000-0000-00000C030000}"/>
    <cellStyle name="20 % - Markeringsfarve1 2 3 5 2 6" xfId="34502" xr:uid="{00000000-0005-0000-0000-00000D030000}"/>
    <cellStyle name="20 % - Markeringsfarve1 2 3 5 3" xfId="1661" xr:uid="{00000000-0005-0000-0000-00000E030000}"/>
    <cellStyle name="20 % - Markeringsfarve1 2 3 5 3 2" xfId="7343" xr:uid="{00000000-0005-0000-0000-00000F030000}"/>
    <cellStyle name="20 % - Markeringsfarve1 2 3 5 3 2 2" xfId="15253" xr:uid="{00000000-0005-0000-0000-000010030000}"/>
    <cellStyle name="20 % - Markeringsfarve1 2 3 5 3 2 2 2" xfId="31567" xr:uid="{00000000-0005-0000-0000-000011030000}"/>
    <cellStyle name="20 % - Markeringsfarve1 2 3 5 3 2 2 3" xfId="46531" xr:uid="{00000000-0005-0000-0000-000012030000}"/>
    <cellStyle name="20 % - Markeringsfarve1 2 3 5 3 2 3" xfId="24545" xr:uid="{00000000-0005-0000-0000-000013030000}"/>
    <cellStyle name="20 % - Markeringsfarve1 2 3 5 3 2 4" xfId="39532" xr:uid="{00000000-0005-0000-0000-000014030000}"/>
    <cellStyle name="20 % - Markeringsfarve1 2 3 5 3 3" xfId="10218" xr:uid="{00000000-0005-0000-0000-000015030000}"/>
    <cellStyle name="20 % - Markeringsfarve1 2 3 5 3 3 2" xfId="26537" xr:uid="{00000000-0005-0000-0000-000016030000}"/>
    <cellStyle name="20 % - Markeringsfarve1 2 3 5 3 3 3" xfId="41503" xr:uid="{00000000-0005-0000-0000-000017030000}"/>
    <cellStyle name="20 % - Markeringsfarve1 2 3 5 3 4" xfId="19515" xr:uid="{00000000-0005-0000-0000-000018030000}"/>
    <cellStyle name="20 % - Markeringsfarve1 2 3 5 3 5" xfId="34504" xr:uid="{00000000-0005-0000-0000-000019030000}"/>
    <cellStyle name="20 % - Markeringsfarve1 2 3 5 4" xfId="1662" xr:uid="{00000000-0005-0000-0000-00001A030000}"/>
    <cellStyle name="20 % - Markeringsfarve1 2 3 5 4 2" xfId="8372" xr:uid="{00000000-0005-0000-0000-00001B030000}"/>
    <cellStyle name="20 % - Markeringsfarve1 2 3 5 4 2 2" xfId="16266" xr:uid="{00000000-0005-0000-0000-00001C030000}"/>
    <cellStyle name="20 % - Markeringsfarve1 2 3 5 4 2 2 2" xfId="32580" xr:uid="{00000000-0005-0000-0000-00001D030000}"/>
    <cellStyle name="20 % - Markeringsfarve1 2 3 5 4 2 2 3" xfId="47544" xr:uid="{00000000-0005-0000-0000-00001E030000}"/>
    <cellStyle name="20 % - Markeringsfarve1 2 3 5 4 2 3" xfId="25558" xr:uid="{00000000-0005-0000-0000-00001F030000}"/>
    <cellStyle name="20 % - Markeringsfarve1 2 3 5 4 2 4" xfId="40545" xr:uid="{00000000-0005-0000-0000-000020030000}"/>
    <cellStyle name="20 % - Markeringsfarve1 2 3 5 4 3" xfId="10219" xr:uid="{00000000-0005-0000-0000-000021030000}"/>
    <cellStyle name="20 % - Markeringsfarve1 2 3 5 4 3 2" xfId="26538" xr:uid="{00000000-0005-0000-0000-000022030000}"/>
    <cellStyle name="20 % - Markeringsfarve1 2 3 5 4 3 3" xfId="41504" xr:uid="{00000000-0005-0000-0000-000023030000}"/>
    <cellStyle name="20 % - Markeringsfarve1 2 3 5 4 4" xfId="19516" xr:uid="{00000000-0005-0000-0000-000024030000}"/>
    <cellStyle name="20 % - Markeringsfarve1 2 3 5 4 5" xfId="34505" xr:uid="{00000000-0005-0000-0000-000025030000}"/>
    <cellStyle name="20 % - Markeringsfarve1 2 3 5 5" xfId="5421" xr:uid="{00000000-0005-0000-0000-000026030000}"/>
    <cellStyle name="20 % - Markeringsfarve1 2 3 5 5 2" xfId="13339" xr:uid="{00000000-0005-0000-0000-000027030000}"/>
    <cellStyle name="20 % - Markeringsfarve1 2 3 5 5 2 2" xfId="29653" xr:uid="{00000000-0005-0000-0000-000028030000}"/>
    <cellStyle name="20 % - Markeringsfarve1 2 3 5 5 2 3" xfId="44617" xr:uid="{00000000-0005-0000-0000-000029030000}"/>
    <cellStyle name="20 % - Markeringsfarve1 2 3 5 5 3" xfId="22631" xr:uid="{00000000-0005-0000-0000-00002A030000}"/>
    <cellStyle name="20 % - Markeringsfarve1 2 3 5 5 4" xfId="37618" xr:uid="{00000000-0005-0000-0000-00002B030000}"/>
    <cellStyle name="20 % - Markeringsfarve1 2 3 5 6" xfId="10215" xr:uid="{00000000-0005-0000-0000-00002C030000}"/>
    <cellStyle name="20 % - Markeringsfarve1 2 3 5 6 2" xfId="26534" xr:uid="{00000000-0005-0000-0000-00002D030000}"/>
    <cellStyle name="20 % - Markeringsfarve1 2 3 5 6 3" xfId="41500" xr:uid="{00000000-0005-0000-0000-00002E030000}"/>
    <cellStyle name="20 % - Markeringsfarve1 2 3 5 7" xfId="19512" xr:uid="{00000000-0005-0000-0000-00002F030000}"/>
    <cellStyle name="20 % - Markeringsfarve1 2 3 5 8" xfId="34501" xr:uid="{00000000-0005-0000-0000-000030030000}"/>
    <cellStyle name="20 % - Markeringsfarve1 2 3 6" xfId="1663" xr:uid="{00000000-0005-0000-0000-000031030000}"/>
    <cellStyle name="20 % - Markeringsfarve1 2 3 6 2" xfId="1664" xr:uid="{00000000-0005-0000-0000-000032030000}"/>
    <cellStyle name="20 % - Markeringsfarve1 2 3 6 2 2" xfId="1665" xr:uid="{00000000-0005-0000-0000-000033030000}"/>
    <cellStyle name="20 % - Markeringsfarve1 2 3 6 2 2 2" xfId="8083" xr:uid="{00000000-0005-0000-0000-000034030000}"/>
    <cellStyle name="20 % - Markeringsfarve1 2 3 6 2 2 2 2" xfId="15984" xr:uid="{00000000-0005-0000-0000-000035030000}"/>
    <cellStyle name="20 % - Markeringsfarve1 2 3 6 2 2 2 2 2" xfId="32298" xr:uid="{00000000-0005-0000-0000-000036030000}"/>
    <cellStyle name="20 % - Markeringsfarve1 2 3 6 2 2 2 2 3" xfId="47262" xr:uid="{00000000-0005-0000-0000-000037030000}"/>
    <cellStyle name="20 % - Markeringsfarve1 2 3 6 2 2 2 3" xfId="25276" xr:uid="{00000000-0005-0000-0000-000038030000}"/>
    <cellStyle name="20 % - Markeringsfarve1 2 3 6 2 2 2 4" xfId="40263" xr:uid="{00000000-0005-0000-0000-000039030000}"/>
    <cellStyle name="20 % - Markeringsfarve1 2 3 6 2 2 3" xfId="10222" xr:uid="{00000000-0005-0000-0000-00003A030000}"/>
    <cellStyle name="20 % - Markeringsfarve1 2 3 6 2 2 3 2" xfId="26541" xr:uid="{00000000-0005-0000-0000-00003B030000}"/>
    <cellStyle name="20 % - Markeringsfarve1 2 3 6 2 2 3 3" xfId="41507" xr:uid="{00000000-0005-0000-0000-00003C030000}"/>
    <cellStyle name="20 % - Markeringsfarve1 2 3 6 2 2 4" xfId="19519" xr:uid="{00000000-0005-0000-0000-00003D030000}"/>
    <cellStyle name="20 % - Markeringsfarve1 2 3 6 2 2 5" xfId="34508" xr:uid="{00000000-0005-0000-0000-00003E030000}"/>
    <cellStyle name="20 % - Markeringsfarve1 2 3 6 2 3" xfId="6594" xr:uid="{00000000-0005-0000-0000-00003F030000}"/>
    <cellStyle name="20 % - Markeringsfarve1 2 3 6 2 3 2" xfId="14508" xr:uid="{00000000-0005-0000-0000-000040030000}"/>
    <cellStyle name="20 % - Markeringsfarve1 2 3 6 2 3 2 2" xfId="30822" xr:uid="{00000000-0005-0000-0000-000041030000}"/>
    <cellStyle name="20 % - Markeringsfarve1 2 3 6 2 3 2 3" xfId="45786" xr:uid="{00000000-0005-0000-0000-000042030000}"/>
    <cellStyle name="20 % - Markeringsfarve1 2 3 6 2 3 3" xfId="23800" xr:uid="{00000000-0005-0000-0000-000043030000}"/>
    <cellStyle name="20 % - Markeringsfarve1 2 3 6 2 3 4" xfId="38787" xr:uid="{00000000-0005-0000-0000-000044030000}"/>
    <cellStyle name="20 % - Markeringsfarve1 2 3 6 2 4" xfId="10221" xr:uid="{00000000-0005-0000-0000-000045030000}"/>
    <cellStyle name="20 % - Markeringsfarve1 2 3 6 2 4 2" xfId="26540" xr:uid="{00000000-0005-0000-0000-000046030000}"/>
    <cellStyle name="20 % - Markeringsfarve1 2 3 6 2 4 3" xfId="41506" xr:uid="{00000000-0005-0000-0000-000047030000}"/>
    <cellStyle name="20 % - Markeringsfarve1 2 3 6 2 5" xfId="19518" xr:uid="{00000000-0005-0000-0000-000048030000}"/>
    <cellStyle name="20 % - Markeringsfarve1 2 3 6 2 6" xfId="34507" xr:uid="{00000000-0005-0000-0000-000049030000}"/>
    <cellStyle name="20 % - Markeringsfarve1 2 3 6 3" xfId="1666" xr:uid="{00000000-0005-0000-0000-00004A030000}"/>
    <cellStyle name="20 % - Markeringsfarve1 2 3 6 3 2" xfId="7360" xr:uid="{00000000-0005-0000-0000-00004B030000}"/>
    <cellStyle name="20 % - Markeringsfarve1 2 3 6 3 2 2" xfId="15270" xr:uid="{00000000-0005-0000-0000-00004C030000}"/>
    <cellStyle name="20 % - Markeringsfarve1 2 3 6 3 2 2 2" xfId="31584" xr:uid="{00000000-0005-0000-0000-00004D030000}"/>
    <cellStyle name="20 % - Markeringsfarve1 2 3 6 3 2 2 3" xfId="46548" xr:uid="{00000000-0005-0000-0000-00004E030000}"/>
    <cellStyle name="20 % - Markeringsfarve1 2 3 6 3 2 3" xfId="24562" xr:uid="{00000000-0005-0000-0000-00004F030000}"/>
    <cellStyle name="20 % - Markeringsfarve1 2 3 6 3 2 4" xfId="39549" xr:uid="{00000000-0005-0000-0000-000050030000}"/>
    <cellStyle name="20 % - Markeringsfarve1 2 3 6 3 3" xfId="10223" xr:uid="{00000000-0005-0000-0000-000051030000}"/>
    <cellStyle name="20 % - Markeringsfarve1 2 3 6 3 3 2" xfId="26542" xr:uid="{00000000-0005-0000-0000-000052030000}"/>
    <cellStyle name="20 % - Markeringsfarve1 2 3 6 3 3 3" xfId="41508" xr:uid="{00000000-0005-0000-0000-000053030000}"/>
    <cellStyle name="20 % - Markeringsfarve1 2 3 6 3 4" xfId="19520" xr:uid="{00000000-0005-0000-0000-000054030000}"/>
    <cellStyle name="20 % - Markeringsfarve1 2 3 6 3 5" xfId="34509" xr:uid="{00000000-0005-0000-0000-000055030000}"/>
    <cellStyle name="20 % - Markeringsfarve1 2 3 6 4" xfId="1667" xr:uid="{00000000-0005-0000-0000-000056030000}"/>
    <cellStyle name="20 % - Markeringsfarve1 2 3 6 4 2" xfId="8371" xr:uid="{00000000-0005-0000-0000-000057030000}"/>
    <cellStyle name="20 % - Markeringsfarve1 2 3 6 4 2 2" xfId="16265" xr:uid="{00000000-0005-0000-0000-000058030000}"/>
    <cellStyle name="20 % - Markeringsfarve1 2 3 6 4 2 2 2" xfId="32579" xr:uid="{00000000-0005-0000-0000-000059030000}"/>
    <cellStyle name="20 % - Markeringsfarve1 2 3 6 4 2 2 3" xfId="47543" xr:uid="{00000000-0005-0000-0000-00005A030000}"/>
    <cellStyle name="20 % - Markeringsfarve1 2 3 6 4 2 3" xfId="25557" xr:uid="{00000000-0005-0000-0000-00005B030000}"/>
    <cellStyle name="20 % - Markeringsfarve1 2 3 6 4 2 4" xfId="40544" xr:uid="{00000000-0005-0000-0000-00005C030000}"/>
    <cellStyle name="20 % - Markeringsfarve1 2 3 6 4 3" xfId="10224" xr:uid="{00000000-0005-0000-0000-00005D030000}"/>
    <cellStyle name="20 % - Markeringsfarve1 2 3 6 4 3 2" xfId="26543" xr:uid="{00000000-0005-0000-0000-00005E030000}"/>
    <cellStyle name="20 % - Markeringsfarve1 2 3 6 4 3 3" xfId="41509" xr:uid="{00000000-0005-0000-0000-00005F030000}"/>
    <cellStyle name="20 % - Markeringsfarve1 2 3 6 4 4" xfId="19521" xr:uid="{00000000-0005-0000-0000-000060030000}"/>
    <cellStyle name="20 % - Markeringsfarve1 2 3 6 4 5" xfId="34510" xr:uid="{00000000-0005-0000-0000-000061030000}"/>
    <cellStyle name="20 % - Markeringsfarve1 2 3 6 5" xfId="5422" xr:uid="{00000000-0005-0000-0000-000062030000}"/>
    <cellStyle name="20 % - Markeringsfarve1 2 3 6 5 2" xfId="13340" xr:uid="{00000000-0005-0000-0000-000063030000}"/>
    <cellStyle name="20 % - Markeringsfarve1 2 3 6 5 2 2" xfId="29654" xr:uid="{00000000-0005-0000-0000-000064030000}"/>
    <cellStyle name="20 % - Markeringsfarve1 2 3 6 5 2 3" xfId="44618" xr:uid="{00000000-0005-0000-0000-000065030000}"/>
    <cellStyle name="20 % - Markeringsfarve1 2 3 6 5 3" xfId="22632" xr:uid="{00000000-0005-0000-0000-000066030000}"/>
    <cellStyle name="20 % - Markeringsfarve1 2 3 6 5 4" xfId="37619" xr:uid="{00000000-0005-0000-0000-000067030000}"/>
    <cellStyle name="20 % - Markeringsfarve1 2 3 6 6" xfId="10220" xr:uid="{00000000-0005-0000-0000-000068030000}"/>
    <cellStyle name="20 % - Markeringsfarve1 2 3 6 6 2" xfId="26539" xr:uid="{00000000-0005-0000-0000-000069030000}"/>
    <cellStyle name="20 % - Markeringsfarve1 2 3 6 6 3" xfId="41505" xr:uid="{00000000-0005-0000-0000-00006A030000}"/>
    <cellStyle name="20 % - Markeringsfarve1 2 3 6 7" xfId="19517" xr:uid="{00000000-0005-0000-0000-00006B030000}"/>
    <cellStyle name="20 % - Markeringsfarve1 2 3 6 8" xfId="34506" xr:uid="{00000000-0005-0000-0000-00006C030000}"/>
    <cellStyle name="20 % - Markeringsfarve1 2 3 7" xfId="1668" xr:uid="{00000000-0005-0000-0000-00006D030000}"/>
    <cellStyle name="20 % - Markeringsfarve1 2 3 7 2" xfId="1669" xr:uid="{00000000-0005-0000-0000-00006E030000}"/>
    <cellStyle name="20 % - Markeringsfarve1 2 3 7 2 2" xfId="7593" xr:uid="{00000000-0005-0000-0000-00006F030000}"/>
    <cellStyle name="20 % - Markeringsfarve1 2 3 7 2 2 2" xfId="15494" xr:uid="{00000000-0005-0000-0000-000070030000}"/>
    <cellStyle name="20 % - Markeringsfarve1 2 3 7 2 2 2 2" xfId="31808" xr:uid="{00000000-0005-0000-0000-000071030000}"/>
    <cellStyle name="20 % - Markeringsfarve1 2 3 7 2 2 2 3" xfId="46772" xr:uid="{00000000-0005-0000-0000-000072030000}"/>
    <cellStyle name="20 % - Markeringsfarve1 2 3 7 2 2 3" xfId="24786" xr:uid="{00000000-0005-0000-0000-000073030000}"/>
    <cellStyle name="20 % - Markeringsfarve1 2 3 7 2 2 4" xfId="39773" xr:uid="{00000000-0005-0000-0000-000074030000}"/>
    <cellStyle name="20 % - Markeringsfarve1 2 3 7 2 3" xfId="10226" xr:uid="{00000000-0005-0000-0000-000075030000}"/>
    <cellStyle name="20 % - Markeringsfarve1 2 3 7 2 3 2" xfId="26545" xr:uid="{00000000-0005-0000-0000-000076030000}"/>
    <cellStyle name="20 % - Markeringsfarve1 2 3 7 2 3 3" xfId="41511" xr:uid="{00000000-0005-0000-0000-000077030000}"/>
    <cellStyle name="20 % - Markeringsfarve1 2 3 7 2 4" xfId="19523" xr:uid="{00000000-0005-0000-0000-000078030000}"/>
    <cellStyle name="20 % - Markeringsfarve1 2 3 7 2 5" xfId="34512" xr:uid="{00000000-0005-0000-0000-000079030000}"/>
    <cellStyle name="20 % - Markeringsfarve1 2 3 7 3" xfId="6180" xr:uid="{00000000-0005-0000-0000-00007A030000}"/>
    <cellStyle name="20 % - Markeringsfarve1 2 3 7 3 2" xfId="14097" xr:uid="{00000000-0005-0000-0000-00007B030000}"/>
    <cellStyle name="20 % - Markeringsfarve1 2 3 7 3 2 2" xfId="30411" xr:uid="{00000000-0005-0000-0000-00007C030000}"/>
    <cellStyle name="20 % - Markeringsfarve1 2 3 7 3 2 3" xfId="45375" xr:uid="{00000000-0005-0000-0000-00007D030000}"/>
    <cellStyle name="20 % - Markeringsfarve1 2 3 7 3 3" xfId="23389" xr:uid="{00000000-0005-0000-0000-00007E030000}"/>
    <cellStyle name="20 % - Markeringsfarve1 2 3 7 3 4" xfId="38376" xr:uid="{00000000-0005-0000-0000-00007F030000}"/>
    <cellStyle name="20 % - Markeringsfarve1 2 3 7 4" xfId="10225" xr:uid="{00000000-0005-0000-0000-000080030000}"/>
    <cellStyle name="20 % - Markeringsfarve1 2 3 7 4 2" xfId="26544" xr:uid="{00000000-0005-0000-0000-000081030000}"/>
    <cellStyle name="20 % - Markeringsfarve1 2 3 7 4 3" xfId="41510" xr:uid="{00000000-0005-0000-0000-000082030000}"/>
    <cellStyle name="20 % - Markeringsfarve1 2 3 7 5" xfId="19522" xr:uid="{00000000-0005-0000-0000-000083030000}"/>
    <cellStyle name="20 % - Markeringsfarve1 2 3 7 6" xfId="34511" xr:uid="{00000000-0005-0000-0000-000084030000}"/>
    <cellStyle name="20 % - Markeringsfarve1 2 3 8" xfId="1670" xr:uid="{00000000-0005-0000-0000-000085030000}"/>
    <cellStyle name="20 % - Markeringsfarve1 2 3 8 2" xfId="6821" xr:uid="{00000000-0005-0000-0000-000086030000}"/>
    <cellStyle name="20 % - Markeringsfarve1 2 3 8 2 2" xfId="14732" xr:uid="{00000000-0005-0000-0000-000087030000}"/>
    <cellStyle name="20 % - Markeringsfarve1 2 3 8 2 2 2" xfId="31046" xr:uid="{00000000-0005-0000-0000-000088030000}"/>
    <cellStyle name="20 % - Markeringsfarve1 2 3 8 2 2 3" xfId="46010" xr:uid="{00000000-0005-0000-0000-000089030000}"/>
    <cellStyle name="20 % - Markeringsfarve1 2 3 8 2 3" xfId="24024" xr:uid="{00000000-0005-0000-0000-00008A030000}"/>
    <cellStyle name="20 % - Markeringsfarve1 2 3 8 2 4" xfId="39011" xr:uid="{00000000-0005-0000-0000-00008B030000}"/>
    <cellStyle name="20 % - Markeringsfarve1 2 3 8 3" xfId="10227" xr:uid="{00000000-0005-0000-0000-00008C030000}"/>
    <cellStyle name="20 % - Markeringsfarve1 2 3 8 3 2" xfId="26546" xr:uid="{00000000-0005-0000-0000-00008D030000}"/>
    <cellStyle name="20 % - Markeringsfarve1 2 3 8 3 3" xfId="41512" xr:uid="{00000000-0005-0000-0000-00008E030000}"/>
    <cellStyle name="20 % - Markeringsfarve1 2 3 8 4" xfId="19524" xr:uid="{00000000-0005-0000-0000-00008F030000}"/>
    <cellStyle name="20 % - Markeringsfarve1 2 3 8 5" xfId="34513" xr:uid="{00000000-0005-0000-0000-000090030000}"/>
    <cellStyle name="20 % - Markeringsfarve1 2 3 9" xfId="1671" xr:uid="{00000000-0005-0000-0000-000091030000}"/>
    <cellStyle name="20 % - Markeringsfarve1 2 3 9 2" xfId="8376" xr:uid="{00000000-0005-0000-0000-000092030000}"/>
    <cellStyle name="20 % - Markeringsfarve1 2 3 9 2 2" xfId="16270" xr:uid="{00000000-0005-0000-0000-000093030000}"/>
    <cellStyle name="20 % - Markeringsfarve1 2 3 9 2 2 2" xfId="32584" xr:uid="{00000000-0005-0000-0000-000094030000}"/>
    <cellStyle name="20 % - Markeringsfarve1 2 3 9 2 2 3" xfId="47548" xr:uid="{00000000-0005-0000-0000-000095030000}"/>
    <cellStyle name="20 % - Markeringsfarve1 2 3 9 2 3" xfId="25562" xr:uid="{00000000-0005-0000-0000-000096030000}"/>
    <cellStyle name="20 % - Markeringsfarve1 2 3 9 2 4" xfId="40549" xr:uid="{00000000-0005-0000-0000-000097030000}"/>
    <cellStyle name="20 % - Markeringsfarve1 2 3 9 3" xfId="10228" xr:uid="{00000000-0005-0000-0000-000098030000}"/>
    <cellStyle name="20 % - Markeringsfarve1 2 3 9 3 2" xfId="26547" xr:uid="{00000000-0005-0000-0000-000099030000}"/>
    <cellStyle name="20 % - Markeringsfarve1 2 3 9 3 3" xfId="41513" xr:uid="{00000000-0005-0000-0000-00009A030000}"/>
    <cellStyle name="20 % - Markeringsfarve1 2 3 9 4" xfId="19525" xr:uid="{00000000-0005-0000-0000-00009B030000}"/>
    <cellStyle name="20 % - Markeringsfarve1 2 3 9 5" xfId="34514" xr:uid="{00000000-0005-0000-0000-00009C030000}"/>
    <cellStyle name="20 % - Markeringsfarve1 2 4" xfId="1672" xr:uid="{00000000-0005-0000-0000-00009D030000}"/>
    <cellStyle name="20 % - Markeringsfarve1 2 4 2" xfId="1673" xr:uid="{00000000-0005-0000-0000-00009E030000}"/>
    <cellStyle name="20 % - Markeringsfarve1 2 4 2 2" xfId="1674" xr:uid="{00000000-0005-0000-0000-00009F030000}"/>
    <cellStyle name="20 % - Markeringsfarve1 2 4 2 2 2" xfId="7634" xr:uid="{00000000-0005-0000-0000-0000A0030000}"/>
    <cellStyle name="20 % - Markeringsfarve1 2 4 2 2 2 2" xfId="15535" xr:uid="{00000000-0005-0000-0000-0000A1030000}"/>
    <cellStyle name="20 % - Markeringsfarve1 2 4 2 2 2 2 2" xfId="31849" xr:uid="{00000000-0005-0000-0000-0000A2030000}"/>
    <cellStyle name="20 % - Markeringsfarve1 2 4 2 2 2 2 3" xfId="46813" xr:uid="{00000000-0005-0000-0000-0000A3030000}"/>
    <cellStyle name="20 % - Markeringsfarve1 2 4 2 2 2 3" xfId="24827" xr:uid="{00000000-0005-0000-0000-0000A4030000}"/>
    <cellStyle name="20 % - Markeringsfarve1 2 4 2 2 2 4" xfId="39814" xr:uid="{00000000-0005-0000-0000-0000A5030000}"/>
    <cellStyle name="20 % - Markeringsfarve1 2 4 2 2 3" xfId="10231" xr:uid="{00000000-0005-0000-0000-0000A6030000}"/>
    <cellStyle name="20 % - Markeringsfarve1 2 4 2 2 3 2" xfId="26550" xr:uid="{00000000-0005-0000-0000-0000A7030000}"/>
    <cellStyle name="20 % - Markeringsfarve1 2 4 2 2 3 3" xfId="41516" xr:uid="{00000000-0005-0000-0000-0000A8030000}"/>
    <cellStyle name="20 % - Markeringsfarve1 2 4 2 2 4" xfId="19528" xr:uid="{00000000-0005-0000-0000-0000A9030000}"/>
    <cellStyle name="20 % - Markeringsfarve1 2 4 2 2 5" xfId="34517" xr:uid="{00000000-0005-0000-0000-0000AA030000}"/>
    <cellStyle name="20 % - Markeringsfarve1 2 4 2 3" xfId="6213" xr:uid="{00000000-0005-0000-0000-0000AB030000}"/>
    <cellStyle name="20 % - Markeringsfarve1 2 4 2 3 2" xfId="14130" xr:uid="{00000000-0005-0000-0000-0000AC030000}"/>
    <cellStyle name="20 % - Markeringsfarve1 2 4 2 3 2 2" xfId="30444" xr:uid="{00000000-0005-0000-0000-0000AD030000}"/>
    <cellStyle name="20 % - Markeringsfarve1 2 4 2 3 2 3" xfId="45408" xr:uid="{00000000-0005-0000-0000-0000AE030000}"/>
    <cellStyle name="20 % - Markeringsfarve1 2 4 2 3 3" xfId="23422" xr:uid="{00000000-0005-0000-0000-0000AF030000}"/>
    <cellStyle name="20 % - Markeringsfarve1 2 4 2 3 4" xfId="38409" xr:uid="{00000000-0005-0000-0000-0000B0030000}"/>
    <cellStyle name="20 % - Markeringsfarve1 2 4 2 4" xfId="10230" xr:uid="{00000000-0005-0000-0000-0000B1030000}"/>
    <cellStyle name="20 % - Markeringsfarve1 2 4 2 4 2" xfId="26549" xr:uid="{00000000-0005-0000-0000-0000B2030000}"/>
    <cellStyle name="20 % - Markeringsfarve1 2 4 2 4 3" xfId="41515" xr:uid="{00000000-0005-0000-0000-0000B3030000}"/>
    <cellStyle name="20 % - Markeringsfarve1 2 4 2 5" xfId="19527" xr:uid="{00000000-0005-0000-0000-0000B4030000}"/>
    <cellStyle name="20 % - Markeringsfarve1 2 4 2 6" xfId="34516" xr:uid="{00000000-0005-0000-0000-0000B5030000}"/>
    <cellStyle name="20 % - Markeringsfarve1 2 4 2 7" xfId="57183" xr:uid="{00000000-0005-0000-0000-0000B6030000}"/>
    <cellStyle name="20 % - Markeringsfarve1 2 4 3" xfId="1675" xr:uid="{00000000-0005-0000-0000-0000B7030000}"/>
    <cellStyle name="20 % - Markeringsfarve1 2 4 3 2" xfId="6864" xr:uid="{00000000-0005-0000-0000-0000B8030000}"/>
    <cellStyle name="20 % - Markeringsfarve1 2 4 3 2 2" xfId="14775" xr:uid="{00000000-0005-0000-0000-0000B9030000}"/>
    <cellStyle name="20 % - Markeringsfarve1 2 4 3 2 2 2" xfId="31089" xr:uid="{00000000-0005-0000-0000-0000BA030000}"/>
    <cellStyle name="20 % - Markeringsfarve1 2 4 3 2 2 3" xfId="46053" xr:uid="{00000000-0005-0000-0000-0000BB030000}"/>
    <cellStyle name="20 % - Markeringsfarve1 2 4 3 2 3" xfId="24067" xr:uid="{00000000-0005-0000-0000-0000BC030000}"/>
    <cellStyle name="20 % - Markeringsfarve1 2 4 3 2 4" xfId="39054" xr:uid="{00000000-0005-0000-0000-0000BD030000}"/>
    <cellStyle name="20 % - Markeringsfarve1 2 4 3 3" xfId="10232" xr:uid="{00000000-0005-0000-0000-0000BE030000}"/>
    <cellStyle name="20 % - Markeringsfarve1 2 4 3 3 2" xfId="26551" xr:uid="{00000000-0005-0000-0000-0000BF030000}"/>
    <cellStyle name="20 % - Markeringsfarve1 2 4 3 3 3" xfId="41517" xr:uid="{00000000-0005-0000-0000-0000C0030000}"/>
    <cellStyle name="20 % - Markeringsfarve1 2 4 3 4" xfId="19529" xr:uid="{00000000-0005-0000-0000-0000C1030000}"/>
    <cellStyle name="20 % - Markeringsfarve1 2 4 3 5" xfId="34518" xr:uid="{00000000-0005-0000-0000-0000C2030000}"/>
    <cellStyle name="20 % - Markeringsfarve1 2 4 4" xfId="1676" xr:uid="{00000000-0005-0000-0000-0000C3030000}"/>
    <cellStyle name="20 % - Markeringsfarve1 2 4 4 2" xfId="8370" xr:uid="{00000000-0005-0000-0000-0000C4030000}"/>
    <cellStyle name="20 % - Markeringsfarve1 2 4 4 2 2" xfId="16264" xr:uid="{00000000-0005-0000-0000-0000C5030000}"/>
    <cellStyle name="20 % - Markeringsfarve1 2 4 4 2 2 2" xfId="32578" xr:uid="{00000000-0005-0000-0000-0000C6030000}"/>
    <cellStyle name="20 % - Markeringsfarve1 2 4 4 2 2 3" xfId="47542" xr:uid="{00000000-0005-0000-0000-0000C7030000}"/>
    <cellStyle name="20 % - Markeringsfarve1 2 4 4 2 3" xfId="25556" xr:uid="{00000000-0005-0000-0000-0000C8030000}"/>
    <cellStyle name="20 % - Markeringsfarve1 2 4 4 2 4" xfId="40543" xr:uid="{00000000-0005-0000-0000-0000C9030000}"/>
    <cellStyle name="20 % - Markeringsfarve1 2 4 4 3" xfId="10233" xr:uid="{00000000-0005-0000-0000-0000CA030000}"/>
    <cellStyle name="20 % - Markeringsfarve1 2 4 4 3 2" xfId="26552" xr:uid="{00000000-0005-0000-0000-0000CB030000}"/>
    <cellStyle name="20 % - Markeringsfarve1 2 4 4 3 3" xfId="41518" xr:uid="{00000000-0005-0000-0000-0000CC030000}"/>
    <cellStyle name="20 % - Markeringsfarve1 2 4 4 4" xfId="19530" xr:uid="{00000000-0005-0000-0000-0000CD030000}"/>
    <cellStyle name="20 % - Markeringsfarve1 2 4 4 5" xfId="34519" xr:uid="{00000000-0005-0000-0000-0000CE030000}"/>
    <cellStyle name="20 % - Markeringsfarve1 2 4 5" xfId="5423" xr:uid="{00000000-0005-0000-0000-0000CF030000}"/>
    <cellStyle name="20 % - Markeringsfarve1 2 4 5 2" xfId="13341" xr:uid="{00000000-0005-0000-0000-0000D0030000}"/>
    <cellStyle name="20 % - Markeringsfarve1 2 4 5 2 2" xfId="29655" xr:uid="{00000000-0005-0000-0000-0000D1030000}"/>
    <cellStyle name="20 % - Markeringsfarve1 2 4 5 2 3" xfId="44619" xr:uid="{00000000-0005-0000-0000-0000D2030000}"/>
    <cellStyle name="20 % - Markeringsfarve1 2 4 5 3" xfId="22633" xr:uid="{00000000-0005-0000-0000-0000D3030000}"/>
    <cellStyle name="20 % - Markeringsfarve1 2 4 5 4" xfId="37620" xr:uid="{00000000-0005-0000-0000-0000D4030000}"/>
    <cellStyle name="20 % - Markeringsfarve1 2 4 6" xfId="10229" xr:uid="{00000000-0005-0000-0000-0000D5030000}"/>
    <cellStyle name="20 % - Markeringsfarve1 2 4 6 2" xfId="26548" xr:uid="{00000000-0005-0000-0000-0000D6030000}"/>
    <cellStyle name="20 % - Markeringsfarve1 2 4 6 3" xfId="41514" xr:uid="{00000000-0005-0000-0000-0000D7030000}"/>
    <cellStyle name="20 % - Markeringsfarve1 2 4 7" xfId="19526" xr:uid="{00000000-0005-0000-0000-0000D8030000}"/>
    <cellStyle name="20 % - Markeringsfarve1 2 4 8" xfId="34515" xr:uid="{00000000-0005-0000-0000-0000D9030000}"/>
    <cellStyle name="20 % - Markeringsfarve1 2 4 9" xfId="54016" xr:uid="{00000000-0005-0000-0000-0000DA030000}"/>
    <cellStyle name="20 % - Markeringsfarve1 2 5" xfId="1677" xr:uid="{00000000-0005-0000-0000-0000DB030000}"/>
    <cellStyle name="20 % - Markeringsfarve1 2 5 2" xfId="1678" xr:uid="{00000000-0005-0000-0000-0000DC030000}"/>
    <cellStyle name="20 % - Markeringsfarve1 2 5 2 2" xfId="1679" xr:uid="{00000000-0005-0000-0000-0000DD030000}"/>
    <cellStyle name="20 % - Markeringsfarve1 2 5 2 2 2" xfId="7726" xr:uid="{00000000-0005-0000-0000-0000DE030000}"/>
    <cellStyle name="20 % - Markeringsfarve1 2 5 2 2 2 2" xfId="15627" xr:uid="{00000000-0005-0000-0000-0000DF030000}"/>
    <cellStyle name="20 % - Markeringsfarve1 2 5 2 2 2 2 2" xfId="31941" xr:uid="{00000000-0005-0000-0000-0000E0030000}"/>
    <cellStyle name="20 % - Markeringsfarve1 2 5 2 2 2 2 3" xfId="46905" xr:uid="{00000000-0005-0000-0000-0000E1030000}"/>
    <cellStyle name="20 % - Markeringsfarve1 2 5 2 2 2 3" xfId="24919" xr:uid="{00000000-0005-0000-0000-0000E2030000}"/>
    <cellStyle name="20 % - Markeringsfarve1 2 5 2 2 2 4" xfId="39906" xr:uid="{00000000-0005-0000-0000-0000E3030000}"/>
    <cellStyle name="20 % - Markeringsfarve1 2 5 2 2 3" xfId="10236" xr:uid="{00000000-0005-0000-0000-0000E4030000}"/>
    <cellStyle name="20 % - Markeringsfarve1 2 5 2 2 3 2" xfId="26555" xr:uid="{00000000-0005-0000-0000-0000E5030000}"/>
    <cellStyle name="20 % - Markeringsfarve1 2 5 2 2 3 3" xfId="41521" xr:uid="{00000000-0005-0000-0000-0000E6030000}"/>
    <cellStyle name="20 % - Markeringsfarve1 2 5 2 2 4" xfId="19533" xr:uid="{00000000-0005-0000-0000-0000E7030000}"/>
    <cellStyle name="20 % - Markeringsfarve1 2 5 2 2 5" xfId="34522" xr:uid="{00000000-0005-0000-0000-0000E8030000}"/>
    <cellStyle name="20 % - Markeringsfarve1 2 5 2 3" xfId="6290" xr:uid="{00000000-0005-0000-0000-0000E9030000}"/>
    <cellStyle name="20 % - Markeringsfarve1 2 5 2 3 2" xfId="14207" xr:uid="{00000000-0005-0000-0000-0000EA030000}"/>
    <cellStyle name="20 % - Markeringsfarve1 2 5 2 3 2 2" xfId="30521" xr:uid="{00000000-0005-0000-0000-0000EB030000}"/>
    <cellStyle name="20 % - Markeringsfarve1 2 5 2 3 2 3" xfId="45485" xr:uid="{00000000-0005-0000-0000-0000EC030000}"/>
    <cellStyle name="20 % - Markeringsfarve1 2 5 2 3 3" xfId="23499" xr:uid="{00000000-0005-0000-0000-0000ED030000}"/>
    <cellStyle name="20 % - Markeringsfarve1 2 5 2 3 4" xfId="38486" xr:uid="{00000000-0005-0000-0000-0000EE030000}"/>
    <cellStyle name="20 % - Markeringsfarve1 2 5 2 4" xfId="10235" xr:uid="{00000000-0005-0000-0000-0000EF030000}"/>
    <cellStyle name="20 % - Markeringsfarve1 2 5 2 4 2" xfId="26554" xr:uid="{00000000-0005-0000-0000-0000F0030000}"/>
    <cellStyle name="20 % - Markeringsfarve1 2 5 2 4 3" xfId="41520" xr:uid="{00000000-0005-0000-0000-0000F1030000}"/>
    <cellStyle name="20 % - Markeringsfarve1 2 5 2 5" xfId="19532" xr:uid="{00000000-0005-0000-0000-0000F2030000}"/>
    <cellStyle name="20 % - Markeringsfarve1 2 5 2 6" xfId="34521" xr:uid="{00000000-0005-0000-0000-0000F3030000}"/>
    <cellStyle name="20 % - Markeringsfarve1 2 5 3" xfId="1680" xr:uid="{00000000-0005-0000-0000-0000F4030000}"/>
    <cellStyle name="20 % - Markeringsfarve1 2 5 3 2" xfId="6956" xr:uid="{00000000-0005-0000-0000-0000F5030000}"/>
    <cellStyle name="20 % - Markeringsfarve1 2 5 3 2 2" xfId="14867" xr:uid="{00000000-0005-0000-0000-0000F6030000}"/>
    <cellStyle name="20 % - Markeringsfarve1 2 5 3 2 2 2" xfId="31181" xr:uid="{00000000-0005-0000-0000-0000F7030000}"/>
    <cellStyle name="20 % - Markeringsfarve1 2 5 3 2 2 3" xfId="46145" xr:uid="{00000000-0005-0000-0000-0000F8030000}"/>
    <cellStyle name="20 % - Markeringsfarve1 2 5 3 2 3" xfId="24159" xr:uid="{00000000-0005-0000-0000-0000F9030000}"/>
    <cellStyle name="20 % - Markeringsfarve1 2 5 3 2 4" xfId="39146" xr:uid="{00000000-0005-0000-0000-0000FA030000}"/>
    <cellStyle name="20 % - Markeringsfarve1 2 5 3 3" xfId="10237" xr:uid="{00000000-0005-0000-0000-0000FB030000}"/>
    <cellStyle name="20 % - Markeringsfarve1 2 5 3 3 2" xfId="26556" xr:uid="{00000000-0005-0000-0000-0000FC030000}"/>
    <cellStyle name="20 % - Markeringsfarve1 2 5 3 3 3" xfId="41522" xr:uid="{00000000-0005-0000-0000-0000FD030000}"/>
    <cellStyle name="20 % - Markeringsfarve1 2 5 3 4" xfId="19534" xr:uid="{00000000-0005-0000-0000-0000FE030000}"/>
    <cellStyle name="20 % - Markeringsfarve1 2 5 3 5" xfId="34523" xr:uid="{00000000-0005-0000-0000-0000FF030000}"/>
    <cellStyle name="20 % - Markeringsfarve1 2 5 4" xfId="1681" xr:uid="{00000000-0005-0000-0000-000000040000}"/>
    <cellStyle name="20 % - Markeringsfarve1 2 5 4 2" xfId="8369" xr:uid="{00000000-0005-0000-0000-000001040000}"/>
    <cellStyle name="20 % - Markeringsfarve1 2 5 4 2 2" xfId="16263" xr:uid="{00000000-0005-0000-0000-000002040000}"/>
    <cellStyle name="20 % - Markeringsfarve1 2 5 4 2 2 2" xfId="32577" xr:uid="{00000000-0005-0000-0000-000003040000}"/>
    <cellStyle name="20 % - Markeringsfarve1 2 5 4 2 2 3" xfId="47541" xr:uid="{00000000-0005-0000-0000-000004040000}"/>
    <cellStyle name="20 % - Markeringsfarve1 2 5 4 2 3" xfId="25555" xr:uid="{00000000-0005-0000-0000-000005040000}"/>
    <cellStyle name="20 % - Markeringsfarve1 2 5 4 2 4" xfId="40542" xr:uid="{00000000-0005-0000-0000-000006040000}"/>
    <cellStyle name="20 % - Markeringsfarve1 2 5 4 3" xfId="10238" xr:uid="{00000000-0005-0000-0000-000007040000}"/>
    <cellStyle name="20 % - Markeringsfarve1 2 5 4 3 2" xfId="26557" xr:uid="{00000000-0005-0000-0000-000008040000}"/>
    <cellStyle name="20 % - Markeringsfarve1 2 5 4 3 3" xfId="41523" xr:uid="{00000000-0005-0000-0000-000009040000}"/>
    <cellStyle name="20 % - Markeringsfarve1 2 5 4 4" xfId="19535" xr:uid="{00000000-0005-0000-0000-00000A040000}"/>
    <cellStyle name="20 % - Markeringsfarve1 2 5 4 5" xfId="34524" xr:uid="{00000000-0005-0000-0000-00000B040000}"/>
    <cellStyle name="20 % - Markeringsfarve1 2 5 5" xfId="5424" xr:uid="{00000000-0005-0000-0000-00000C040000}"/>
    <cellStyle name="20 % - Markeringsfarve1 2 5 5 2" xfId="13342" xr:uid="{00000000-0005-0000-0000-00000D040000}"/>
    <cellStyle name="20 % - Markeringsfarve1 2 5 5 2 2" xfId="29656" xr:uid="{00000000-0005-0000-0000-00000E040000}"/>
    <cellStyle name="20 % - Markeringsfarve1 2 5 5 2 3" xfId="44620" xr:uid="{00000000-0005-0000-0000-00000F040000}"/>
    <cellStyle name="20 % - Markeringsfarve1 2 5 5 3" xfId="22634" xr:uid="{00000000-0005-0000-0000-000010040000}"/>
    <cellStyle name="20 % - Markeringsfarve1 2 5 5 4" xfId="37621" xr:uid="{00000000-0005-0000-0000-000011040000}"/>
    <cellStyle name="20 % - Markeringsfarve1 2 5 6" xfId="10234" xr:uid="{00000000-0005-0000-0000-000012040000}"/>
    <cellStyle name="20 % - Markeringsfarve1 2 5 6 2" xfId="26553" xr:uid="{00000000-0005-0000-0000-000013040000}"/>
    <cellStyle name="20 % - Markeringsfarve1 2 5 6 3" xfId="41519" xr:uid="{00000000-0005-0000-0000-000014040000}"/>
    <cellStyle name="20 % - Markeringsfarve1 2 5 7" xfId="19531" xr:uid="{00000000-0005-0000-0000-000015040000}"/>
    <cellStyle name="20 % - Markeringsfarve1 2 5 8" xfId="34520" xr:uid="{00000000-0005-0000-0000-000016040000}"/>
    <cellStyle name="20 % - Markeringsfarve1 2 5 9" xfId="56560" xr:uid="{00000000-0005-0000-0000-000017040000}"/>
    <cellStyle name="20 % - Markeringsfarve1 2 6" xfId="1682" xr:uid="{00000000-0005-0000-0000-000018040000}"/>
    <cellStyle name="20 % - Markeringsfarve1 2 6 2" xfId="1683" xr:uid="{00000000-0005-0000-0000-000019040000}"/>
    <cellStyle name="20 % - Markeringsfarve1 2 6 2 2" xfId="1684" xr:uid="{00000000-0005-0000-0000-00001A040000}"/>
    <cellStyle name="20 % - Markeringsfarve1 2 6 2 2 2" xfId="7872" xr:uid="{00000000-0005-0000-0000-00001B040000}"/>
    <cellStyle name="20 % - Markeringsfarve1 2 6 2 2 2 2" xfId="15773" xr:uid="{00000000-0005-0000-0000-00001C040000}"/>
    <cellStyle name="20 % - Markeringsfarve1 2 6 2 2 2 2 2" xfId="32087" xr:uid="{00000000-0005-0000-0000-00001D040000}"/>
    <cellStyle name="20 % - Markeringsfarve1 2 6 2 2 2 2 3" xfId="47051" xr:uid="{00000000-0005-0000-0000-00001E040000}"/>
    <cellStyle name="20 % - Markeringsfarve1 2 6 2 2 2 3" xfId="25065" xr:uid="{00000000-0005-0000-0000-00001F040000}"/>
    <cellStyle name="20 % - Markeringsfarve1 2 6 2 2 2 4" xfId="40052" xr:uid="{00000000-0005-0000-0000-000020040000}"/>
    <cellStyle name="20 % - Markeringsfarve1 2 6 2 2 3" xfId="10241" xr:uid="{00000000-0005-0000-0000-000021040000}"/>
    <cellStyle name="20 % - Markeringsfarve1 2 6 2 2 3 2" xfId="26560" xr:uid="{00000000-0005-0000-0000-000022040000}"/>
    <cellStyle name="20 % - Markeringsfarve1 2 6 2 2 3 3" xfId="41526" xr:uid="{00000000-0005-0000-0000-000023040000}"/>
    <cellStyle name="20 % - Markeringsfarve1 2 6 2 2 4" xfId="19538" xr:uid="{00000000-0005-0000-0000-000024040000}"/>
    <cellStyle name="20 % - Markeringsfarve1 2 6 2 2 5" xfId="34527" xr:uid="{00000000-0005-0000-0000-000025040000}"/>
    <cellStyle name="20 % - Markeringsfarve1 2 6 2 3" xfId="6415" xr:uid="{00000000-0005-0000-0000-000026040000}"/>
    <cellStyle name="20 % - Markeringsfarve1 2 6 2 3 2" xfId="14329" xr:uid="{00000000-0005-0000-0000-000027040000}"/>
    <cellStyle name="20 % - Markeringsfarve1 2 6 2 3 2 2" xfId="30643" xr:uid="{00000000-0005-0000-0000-000028040000}"/>
    <cellStyle name="20 % - Markeringsfarve1 2 6 2 3 2 3" xfId="45607" xr:uid="{00000000-0005-0000-0000-000029040000}"/>
    <cellStyle name="20 % - Markeringsfarve1 2 6 2 3 3" xfId="23621" xr:uid="{00000000-0005-0000-0000-00002A040000}"/>
    <cellStyle name="20 % - Markeringsfarve1 2 6 2 3 4" xfId="38608" xr:uid="{00000000-0005-0000-0000-00002B040000}"/>
    <cellStyle name="20 % - Markeringsfarve1 2 6 2 4" xfId="10240" xr:uid="{00000000-0005-0000-0000-00002C040000}"/>
    <cellStyle name="20 % - Markeringsfarve1 2 6 2 4 2" xfId="26559" xr:uid="{00000000-0005-0000-0000-00002D040000}"/>
    <cellStyle name="20 % - Markeringsfarve1 2 6 2 4 3" xfId="41525" xr:uid="{00000000-0005-0000-0000-00002E040000}"/>
    <cellStyle name="20 % - Markeringsfarve1 2 6 2 5" xfId="19537" xr:uid="{00000000-0005-0000-0000-00002F040000}"/>
    <cellStyle name="20 % - Markeringsfarve1 2 6 2 6" xfId="34526" xr:uid="{00000000-0005-0000-0000-000030040000}"/>
    <cellStyle name="20 % - Markeringsfarve1 2 6 3" xfId="1685" xr:uid="{00000000-0005-0000-0000-000031040000}"/>
    <cellStyle name="20 % - Markeringsfarve1 2 6 3 2" xfId="7148" xr:uid="{00000000-0005-0000-0000-000032040000}"/>
    <cellStyle name="20 % - Markeringsfarve1 2 6 3 2 2" xfId="15058" xr:uid="{00000000-0005-0000-0000-000033040000}"/>
    <cellStyle name="20 % - Markeringsfarve1 2 6 3 2 2 2" xfId="31372" xr:uid="{00000000-0005-0000-0000-000034040000}"/>
    <cellStyle name="20 % - Markeringsfarve1 2 6 3 2 2 3" xfId="46336" xr:uid="{00000000-0005-0000-0000-000035040000}"/>
    <cellStyle name="20 % - Markeringsfarve1 2 6 3 2 3" xfId="24350" xr:uid="{00000000-0005-0000-0000-000036040000}"/>
    <cellStyle name="20 % - Markeringsfarve1 2 6 3 2 4" xfId="39337" xr:uid="{00000000-0005-0000-0000-000037040000}"/>
    <cellStyle name="20 % - Markeringsfarve1 2 6 3 3" xfId="10242" xr:uid="{00000000-0005-0000-0000-000038040000}"/>
    <cellStyle name="20 % - Markeringsfarve1 2 6 3 3 2" xfId="26561" xr:uid="{00000000-0005-0000-0000-000039040000}"/>
    <cellStyle name="20 % - Markeringsfarve1 2 6 3 3 3" xfId="41527" xr:uid="{00000000-0005-0000-0000-00003A040000}"/>
    <cellStyle name="20 % - Markeringsfarve1 2 6 3 4" xfId="19539" xr:uid="{00000000-0005-0000-0000-00003B040000}"/>
    <cellStyle name="20 % - Markeringsfarve1 2 6 3 5" xfId="34528" xr:uid="{00000000-0005-0000-0000-00003C040000}"/>
    <cellStyle name="20 % - Markeringsfarve1 2 6 4" xfId="1686" xr:uid="{00000000-0005-0000-0000-00003D040000}"/>
    <cellStyle name="20 % - Markeringsfarve1 2 6 4 2" xfId="8368" xr:uid="{00000000-0005-0000-0000-00003E040000}"/>
    <cellStyle name="20 % - Markeringsfarve1 2 6 4 2 2" xfId="16262" xr:uid="{00000000-0005-0000-0000-00003F040000}"/>
    <cellStyle name="20 % - Markeringsfarve1 2 6 4 2 2 2" xfId="32576" xr:uid="{00000000-0005-0000-0000-000040040000}"/>
    <cellStyle name="20 % - Markeringsfarve1 2 6 4 2 2 3" xfId="47540" xr:uid="{00000000-0005-0000-0000-000041040000}"/>
    <cellStyle name="20 % - Markeringsfarve1 2 6 4 2 3" xfId="25554" xr:uid="{00000000-0005-0000-0000-000042040000}"/>
    <cellStyle name="20 % - Markeringsfarve1 2 6 4 2 4" xfId="40541" xr:uid="{00000000-0005-0000-0000-000043040000}"/>
    <cellStyle name="20 % - Markeringsfarve1 2 6 4 3" xfId="10243" xr:uid="{00000000-0005-0000-0000-000044040000}"/>
    <cellStyle name="20 % - Markeringsfarve1 2 6 4 3 2" xfId="26562" xr:uid="{00000000-0005-0000-0000-000045040000}"/>
    <cellStyle name="20 % - Markeringsfarve1 2 6 4 3 3" xfId="41528" xr:uid="{00000000-0005-0000-0000-000046040000}"/>
    <cellStyle name="20 % - Markeringsfarve1 2 6 4 4" xfId="19540" xr:uid="{00000000-0005-0000-0000-000047040000}"/>
    <cellStyle name="20 % - Markeringsfarve1 2 6 4 5" xfId="34529" xr:uid="{00000000-0005-0000-0000-000048040000}"/>
    <cellStyle name="20 % - Markeringsfarve1 2 6 5" xfId="5425" xr:uid="{00000000-0005-0000-0000-000049040000}"/>
    <cellStyle name="20 % - Markeringsfarve1 2 6 5 2" xfId="13343" xr:uid="{00000000-0005-0000-0000-00004A040000}"/>
    <cellStyle name="20 % - Markeringsfarve1 2 6 5 2 2" xfId="29657" xr:uid="{00000000-0005-0000-0000-00004B040000}"/>
    <cellStyle name="20 % - Markeringsfarve1 2 6 5 2 3" xfId="44621" xr:uid="{00000000-0005-0000-0000-00004C040000}"/>
    <cellStyle name="20 % - Markeringsfarve1 2 6 5 3" xfId="22635" xr:uid="{00000000-0005-0000-0000-00004D040000}"/>
    <cellStyle name="20 % - Markeringsfarve1 2 6 5 4" xfId="37622" xr:uid="{00000000-0005-0000-0000-00004E040000}"/>
    <cellStyle name="20 % - Markeringsfarve1 2 6 6" xfId="10239" xr:uid="{00000000-0005-0000-0000-00004F040000}"/>
    <cellStyle name="20 % - Markeringsfarve1 2 6 6 2" xfId="26558" xr:uid="{00000000-0005-0000-0000-000050040000}"/>
    <cellStyle name="20 % - Markeringsfarve1 2 6 6 3" xfId="41524" xr:uid="{00000000-0005-0000-0000-000051040000}"/>
    <cellStyle name="20 % - Markeringsfarve1 2 6 7" xfId="19536" xr:uid="{00000000-0005-0000-0000-000052040000}"/>
    <cellStyle name="20 % - Markeringsfarve1 2 6 8" xfId="34525" xr:uid="{00000000-0005-0000-0000-000053040000}"/>
    <cellStyle name="20 % - Markeringsfarve1 2 7" xfId="1687" xr:uid="{00000000-0005-0000-0000-000054040000}"/>
    <cellStyle name="20 % - Markeringsfarve1 2 7 2" xfId="1688" xr:uid="{00000000-0005-0000-0000-000055040000}"/>
    <cellStyle name="20 % - Markeringsfarve1 2 7 2 2" xfId="1689" xr:uid="{00000000-0005-0000-0000-000056040000}"/>
    <cellStyle name="20 % - Markeringsfarve1 2 7 2 2 2" xfId="7989" xr:uid="{00000000-0005-0000-0000-000057040000}"/>
    <cellStyle name="20 % - Markeringsfarve1 2 7 2 2 2 2" xfId="15890" xr:uid="{00000000-0005-0000-0000-000058040000}"/>
    <cellStyle name="20 % - Markeringsfarve1 2 7 2 2 2 2 2" xfId="32204" xr:uid="{00000000-0005-0000-0000-000059040000}"/>
    <cellStyle name="20 % - Markeringsfarve1 2 7 2 2 2 2 3" xfId="47168" xr:uid="{00000000-0005-0000-0000-00005A040000}"/>
    <cellStyle name="20 % - Markeringsfarve1 2 7 2 2 2 3" xfId="25182" xr:uid="{00000000-0005-0000-0000-00005B040000}"/>
    <cellStyle name="20 % - Markeringsfarve1 2 7 2 2 2 4" xfId="40169" xr:uid="{00000000-0005-0000-0000-00005C040000}"/>
    <cellStyle name="20 % - Markeringsfarve1 2 7 2 2 3" xfId="10246" xr:uid="{00000000-0005-0000-0000-00005D040000}"/>
    <cellStyle name="20 % - Markeringsfarve1 2 7 2 2 3 2" xfId="26565" xr:uid="{00000000-0005-0000-0000-00005E040000}"/>
    <cellStyle name="20 % - Markeringsfarve1 2 7 2 2 3 3" xfId="41531" xr:uid="{00000000-0005-0000-0000-00005F040000}"/>
    <cellStyle name="20 % - Markeringsfarve1 2 7 2 2 4" xfId="19543" xr:uid="{00000000-0005-0000-0000-000060040000}"/>
    <cellStyle name="20 % - Markeringsfarve1 2 7 2 2 5" xfId="34532" xr:uid="{00000000-0005-0000-0000-000061040000}"/>
    <cellStyle name="20 % - Markeringsfarve1 2 7 2 3" xfId="6514" xr:uid="{00000000-0005-0000-0000-000062040000}"/>
    <cellStyle name="20 % - Markeringsfarve1 2 7 2 3 2" xfId="14428" xr:uid="{00000000-0005-0000-0000-000063040000}"/>
    <cellStyle name="20 % - Markeringsfarve1 2 7 2 3 2 2" xfId="30742" xr:uid="{00000000-0005-0000-0000-000064040000}"/>
    <cellStyle name="20 % - Markeringsfarve1 2 7 2 3 2 3" xfId="45706" xr:uid="{00000000-0005-0000-0000-000065040000}"/>
    <cellStyle name="20 % - Markeringsfarve1 2 7 2 3 3" xfId="23720" xr:uid="{00000000-0005-0000-0000-000066040000}"/>
    <cellStyle name="20 % - Markeringsfarve1 2 7 2 3 4" xfId="38707" xr:uid="{00000000-0005-0000-0000-000067040000}"/>
    <cellStyle name="20 % - Markeringsfarve1 2 7 2 4" xfId="10245" xr:uid="{00000000-0005-0000-0000-000068040000}"/>
    <cellStyle name="20 % - Markeringsfarve1 2 7 2 4 2" xfId="26564" xr:uid="{00000000-0005-0000-0000-000069040000}"/>
    <cellStyle name="20 % - Markeringsfarve1 2 7 2 4 3" xfId="41530" xr:uid="{00000000-0005-0000-0000-00006A040000}"/>
    <cellStyle name="20 % - Markeringsfarve1 2 7 2 5" xfId="19542" xr:uid="{00000000-0005-0000-0000-00006B040000}"/>
    <cellStyle name="20 % - Markeringsfarve1 2 7 2 6" xfId="34531" xr:uid="{00000000-0005-0000-0000-00006C040000}"/>
    <cellStyle name="20 % - Markeringsfarve1 2 7 3" xfId="1690" xr:uid="{00000000-0005-0000-0000-00006D040000}"/>
    <cellStyle name="20 % - Markeringsfarve1 2 7 3 2" xfId="7265" xr:uid="{00000000-0005-0000-0000-00006E040000}"/>
    <cellStyle name="20 % - Markeringsfarve1 2 7 3 2 2" xfId="15175" xr:uid="{00000000-0005-0000-0000-00006F040000}"/>
    <cellStyle name="20 % - Markeringsfarve1 2 7 3 2 2 2" xfId="31489" xr:uid="{00000000-0005-0000-0000-000070040000}"/>
    <cellStyle name="20 % - Markeringsfarve1 2 7 3 2 2 3" xfId="46453" xr:uid="{00000000-0005-0000-0000-000071040000}"/>
    <cellStyle name="20 % - Markeringsfarve1 2 7 3 2 3" xfId="24467" xr:uid="{00000000-0005-0000-0000-000072040000}"/>
    <cellStyle name="20 % - Markeringsfarve1 2 7 3 2 4" xfId="39454" xr:uid="{00000000-0005-0000-0000-000073040000}"/>
    <cellStyle name="20 % - Markeringsfarve1 2 7 3 3" xfId="10247" xr:uid="{00000000-0005-0000-0000-000074040000}"/>
    <cellStyle name="20 % - Markeringsfarve1 2 7 3 3 2" xfId="26566" xr:uid="{00000000-0005-0000-0000-000075040000}"/>
    <cellStyle name="20 % - Markeringsfarve1 2 7 3 3 3" xfId="41532" xr:uid="{00000000-0005-0000-0000-000076040000}"/>
    <cellStyle name="20 % - Markeringsfarve1 2 7 3 4" xfId="19544" xr:uid="{00000000-0005-0000-0000-000077040000}"/>
    <cellStyle name="20 % - Markeringsfarve1 2 7 3 5" xfId="34533" xr:uid="{00000000-0005-0000-0000-000078040000}"/>
    <cellStyle name="20 % - Markeringsfarve1 2 7 4" xfId="1691" xr:uid="{00000000-0005-0000-0000-000079040000}"/>
    <cellStyle name="20 % - Markeringsfarve1 2 7 4 2" xfId="8367" xr:uid="{00000000-0005-0000-0000-00007A040000}"/>
    <cellStyle name="20 % - Markeringsfarve1 2 7 4 2 2" xfId="16261" xr:uid="{00000000-0005-0000-0000-00007B040000}"/>
    <cellStyle name="20 % - Markeringsfarve1 2 7 4 2 2 2" xfId="32575" xr:uid="{00000000-0005-0000-0000-00007C040000}"/>
    <cellStyle name="20 % - Markeringsfarve1 2 7 4 2 2 3" xfId="47539" xr:uid="{00000000-0005-0000-0000-00007D040000}"/>
    <cellStyle name="20 % - Markeringsfarve1 2 7 4 2 3" xfId="25553" xr:uid="{00000000-0005-0000-0000-00007E040000}"/>
    <cellStyle name="20 % - Markeringsfarve1 2 7 4 2 4" xfId="40540" xr:uid="{00000000-0005-0000-0000-00007F040000}"/>
    <cellStyle name="20 % - Markeringsfarve1 2 7 4 3" xfId="10248" xr:uid="{00000000-0005-0000-0000-000080040000}"/>
    <cellStyle name="20 % - Markeringsfarve1 2 7 4 3 2" xfId="26567" xr:uid="{00000000-0005-0000-0000-000081040000}"/>
    <cellStyle name="20 % - Markeringsfarve1 2 7 4 3 3" xfId="41533" xr:uid="{00000000-0005-0000-0000-000082040000}"/>
    <cellStyle name="20 % - Markeringsfarve1 2 7 4 4" xfId="19545" xr:uid="{00000000-0005-0000-0000-000083040000}"/>
    <cellStyle name="20 % - Markeringsfarve1 2 7 4 5" xfId="34534" xr:uid="{00000000-0005-0000-0000-000084040000}"/>
    <cellStyle name="20 % - Markeringsfarve1 2 7 5" xfId="5426" xr:uid="{00000000-0005-0000-0000-000085040000}"/>
    <cellStyle name="20 % - Markeringsfarve1 2 7 5 2" xfId="13344" xr:uid="{00000000-0005-0000-0000-000086040000}"/>
    <cellStyle name="20 % - Markeringsfarve1 2 7 5 2 2" xfId="29658" xr:uid="{00000000-0005-0000-0000-000087040000}"/>
    <cellStyle name="20 % - Markeringsfarve1 2 7 5 2 3" xfId="44622" xr:uid="{00000000-0005-0000-0000-000088040000}"/>
    <cellStyle name="20 % - Markeringsfarve1 2 7 5 3" xfId="22636" xr:uid="{00000000-0005-0000-0000-000089040000}"/>
    <cellStyle name="20 % - Markeringsfarve1 2 7 5 4" xfId="37623" xr:uid="{00000000-0005-0000-0000-00008A040000}"/>
    <cellStyle name="20 % - Markeringsfarve1 2 7 6" xfId="10244" xr:uid="{00000000-0005-0000-0000-00008B040000}"/>
    <cellStyle name="20 % - Markeringsfarve1 2 7 6 2" xfId="26563" xr:uid="{00000000-0005-0000-0000-00008C040000}"/>
    <cellStyle name="20 % - Markeringsfarve1 2 7 6 3" xfId="41529" xr:uid="{00000000-0005-0000-0000-00008D040000}"/>
    <cellStyle name="20 % - Markeringsfarve1 2 7 7" xfId="19541" xr:uid="{00000000-0005-0000-0000-00008E040000}"/>
    <cellStyle name="20 % - Markeringsfarve1 2 7 8" xfId="34530" xr:uid="{00000000-0005-0000-0000-00008F040000}"/>
    <cellStyle name="20 % - Markeringsfarve1 2 8" xfId="1692" xr:uid="{00000000-0005-0000-0000-000090040000}"/>
    <cellStyle name="20 % - Markeringsfarve1 2 8 2" xfId="1693" xr:uid="{00000000-0005-0000-0000-000091040000}"/>
    <cellStyle name="20 % - Markeringsfarve1 2 8 2 2" xfId="1694" xr:uid="{00000000-0005-0000-0000-000092040000}"/>
    <cellStyle name="20 % - Markeringsfarve1 2 8 2 2 2" xfId="8081" xr:uid="{00000000-0005-0000-0000-000093040000}"/>
    <cellStyle name="20 % - Markeringsfarve1 2 8 2 2 2 2" xfId="15982" xr:uid="{00000000-0005-0000-0000-000094040000}"/>
    <cellStyle name="20 % - Markeringsfarve1 2 8 2 2 2 2 2" xfId="32296" xr:uid="{00000000-0005-0000-0000-000095040000}"/>
    <cellStyle name="20 % - Markeringsfarve1 2 8 2 2 2 2 3" xfId="47260" xr:uid="{00000000-0005-0000-0000-000096040000}"/>
    <cellStyle name="20 % - Markeringsfarve1 2 8 2 2 2 3" xfId="25274" xr:uid="{00000000-0005-0000-0000-000097040000}"/>
    <cellStyle name="20 % - Markeringsfarve1 2 8 2 2 2 4" xfId="40261" xr:uid="{00000000-0005-0000-0000-000098040000}"/>
    <cellStyle name="20 % - Markeringsfarve1 2 8 2 2 3" xfId="10251" xr:uid="{00000000-0005-0000-0000-000099040000}"/>
    <cellStyle name="20 % - Markeringsfarve1 2 8 2 2 3 2" xfId="26570" xr:uid="{00000000-0005-0000-0000-00009A040000}"/>
    <cellStyle name="20 % - Markeringsfarve1 2 8 2 2 3 3" xfId="41536" xr:uid="{00000000-0005-0000-0000-00009B040000}"/>
    <cellStyle name="20 % - Markeringsfarve1 2 8 2 2 4" xfId="19548" xr:uid="{00000000-0005-0000-0000-00009C040000}"/>
    <cellStyle name="20 % - Markeringsfarve1 2 8 2 2 5" xfId="34537" xr:uid="{00000000-0005-0000-0000-00009D040000}"/>
    <cellStyle name="20 % - Markeringsfarve1 2 8 2 3" xfId="6592" xr:uid="{00000000-0005-0000-0000-00009E040000}"/>
    <cellStyle name="20 % - Markeringsfarve1 2 8 2 3 2" xfId="14506" xr:uid="{00000000-0005-0000-0000-00009F040000}"/>
    <cellStyle name="20 % - Markeringsfarve1 2 8 2 3 2 2" xfId="30820" xr:uid="{00000000-0005-0000-0000-0000A0040000}"/>
    <cellStyle name="20 % - Markeringsfarve1 2 8 2 3 2 3" xfId="45784" xr:uid="{00000000-0005-0000-0000-0000A1040000}"/>
    <cellStyle name="20 % - Markeringsfarve1 2 8 2 3 3" xfId="23798" xr:uid="{00000000-0005-0000-0000-0000A2040000}"/>
    <cellStyle name="20 % - Markeringsfarve1 2 8 2 3 4" xfId="38785" xr:uid="{00000000-0005-0000-0000-0000A3040000}"/>
    <cellStyle name="20 % - Markeringsfarve1 2 8 2 4" xfId="10250" xr:uid="{00000000-0005-0000-0000-0000A4040000}"/>
    <cellStyle name="20 % - Markeringsfarve1 2 8 2 4 2" xfId="26569" xr:uid="{00000000-0005-0000-0000-0000A5040000}"/>
    <cellStyle name="20 % - Markeringsfarve1 2 8 2 4 3" xfId="41535" xr:uid="{00000000-0005-0000-0000-0000A6040000}"/>
    <cellStyle name="20 % - Markeringsfarve1 2 8 2 5" xfId="19547" xr:uid="{00000000-0005-0000-0000-0000A7040000}"/>
    <cellStyle name="20 % - Markeringsfarve1 2 8 2 6" xfId="34536" xr:uid="{00000000-0005-0000-0000-0000A8040000}"/>
    <cellStyle name="20 % - Markeringsfarve1 2 8 3" xfId="1695" xr:uid="{00000000-0005-0000-0000-0000A9040000}"/>
    <cellStyle name="20 % - Markeringsfarve1 2 8 3 2" xfId="7358" xr:uid="{00000000-0005-0000-0000-0000AA040000}"/>
    <cellStyle name="20 % - Markeringsfarve1 2 8 3 2 2" xfId="15268" xr:uid="{00000000-0005-0000-0000-0000AB040000}"/>
    <cellStyle name="20 % - Markeringsfarve1 2 8 3 2 2 2" xfId="31582" xr:uid="{00000000-0005-0000-0000-0000AC040000}"/>
    <cellStyle name="20 % - Markeringsfarve1 2 8 3 2 2 3" xfId="46546" xr:uid="{00000000-0005-0000-0000-0000AD040000}"/>
    <cellStyle name="20 % - Markeringsfarve1 2 8 3 2 3" xfId="24560" xr:uid="{00000000-0005-0000-0000-0000AE040000}"/>
    <cellStyle name="20 % - Markeringsfarve1 2 8 3 2 4" xfId="39547" xr:uid="{00000000-0005-0000-0000-0000AF040000}"/>
    <cellStyle name="20 % - Markeringsfarve1 2 8 3 3" xfId="10252" xr:uid="{00000000-0005-0000-0000-0000B0040000}"/>
    <cellStyle name="20 % - Markeringsfarve1 2 8 3 3 2" xfId="26571" xr:uid="{00000000-0005-0000-0000-0000B1040000}"/>
    <cellStyle name="20 % - Markeringsfarve1 2 8 3 3 3" xfId="41537" xr:uid="{00000000-0005-0000-0000-0000B2040000}"/>
    <cellStyle name="20 % - Markeringsfarve1 2 8 3 4" xfId="19549" xr:uid="{00000000-0005-0000-0000-0000B3040000}"/>
    <cellStyle name="20 % - Markeringsfarve1 2 8 3 5" xfId="34538" xr:uid="{00000000-0005-0000-0000-0000B4040000}"/>
    <cellStyle name="20 % - Markeringsfarve1 2 8 4" xfId="1696" xr:uid="{00000000-0005-0000-0000-0000B5040000}"/>
    <cellStyle name="20 % - Markeringsfarve1 2 8 4 2" xfId="8366" xr:uid="{00000000-0005-0000-0000-0000B6040000}"/>
    <cellStyle name="20 % - Markeringsfarve1 2 8 4 2 2" xfId="16260" xr:uid="{00000000-0005-0000-0000-0000B7040000}"/>
    <cellStyle name="20 % - Markeringsfarve1 2 8 4 2 2 2" xfId="32574" xr:uid="{00000000-0005-0000-0000-0000B8040000}"/>
    <cellStyle name="20 % - Markeringsfarve1 2 8 4 2 2 3" xfId="47538" xr:uid="{00000000-0005-0000-0000-0000B9040000}"/>
    <cellStyle name="20 % - Markeringsfarve1 2 8 4 2 3" xfId="25552" xr:uid="{00000000-0005-0000-0000-0000BA040000}"/>
    <cellStyle name="20 % - Markeringsfarve1 2 8 4 2 4" xfId="40539" xr:uid="{00000000-0005-0000-0000-0000BB040000}"/>
    <cellStyle name="20 % - Markeringsfarve1 2 8 4 3" xfId="10253" xr:uid="{00000000-0005-0000-0000-0000BC040000}"/>
    <cellStyle name="20 % - Markeringsfarve1 2 8 4 3 2" xfId="26572" xr:uid="{00000000-0005-0000-0000-0000BD040000}"/>
    <cellStyle name="20 % - Markeringsfarve1 2 8 4 3 3" xfId="41538" xr:uid="{00000000-0005-0000-0000-0000BE040000}"/>
    <cellStyle name="20 % - Markeringsfarve1 2 8 4 4" xfId="19550" xr:uid="{00000000-0005-0000-0000-0000BF040000}"/>
    <cellStyle name="20 % - Markeringsfarve1 2 8 4 5" xfId="34539" xr:uid="{00000000-0005-0000-0000-0000C0040000}"/>
    <cellStyle name="20 % - Markeringsfarve1 2 8 5" xfId="5427" xr:uid="{00000000-0005-0000-0000-0000C1040000}"/>
    <cellStyle name="20 % - Markeringsfarve1 2 8 5 2" xfId="13345" xr:uid="{00000000-0005-0000-0000-0000C2040000}"/>
    <cellStyle name="20 % - Markeringsfarve1 2 8 5 2 2" xfId="29659" xr:uid="{00000000-0005-0000-0000-0000C3040000}"/>
    <cellStyle name="20 % - Markeringsfarve1 2 8 5 2 3" xfId="44623" xr:uid="{00000000-0005-0000-0000-0000C4040000}"/>
    <cellStyle name="20 % - Markeringsfarve1 2 8 5 3" xfId="22637" xr:uid="{00000000-0005-0000-0000-0000C5040000}"/>
    <cellStyle name="20 % - Markeringsfarve1 2 8 5 4" xfId="37624" xr:uid="{00000000-0005-0000-0000-0000C6040000}"/>
    <cellStyle name="20 % - Markeringsfarve1 2 8 6" xfId="10249" xr:uid="{00000000-0005-0000-0000-0000C7040000}"/>
    <cellStyle name="20 % - Markeringsfarve1 2 8 6 2" xfId="26568" xr:uid="{00000000-0005-0000-0000-0000C8040000}"/>
    <cellStyle name="20 % - Markeringsfarve1 2 8 6 3" xfId="41534" xr:uid="{00000000-0005-0000-0000-0000C9040000}"/>
    <cellStyle name="20 % - Markeringsfarve1 2 8 7" xfId="19546" xr:uid="{00000000-0005-0000-0000-0000CA040000}"/>
    <cellStyle name="20 % - Markeringsfarve1 2 8 8" xfId="34535" xr:uid="{00000000-0005-0000-0000-0000CB040000}"/>
    <cellStyle name="20 % - Markeringsfarve1 2 9" xfId="1697" xr:uid="{00000000-0005-0000-0000-0000CC040000}"/>
    <cellStyle name="20 % - Markeringsfarve1 2 9 2" xfId="1698" xr:uid="{00000000-0005-0000-0000-0000CD040000}"/>
    <cellStyle name="20 % - Markeringsfarve1 2 9 2 2" xfId="7515" xr:uid="{00000000-0005-0000-0000-0000CE040000}"/>
    <cellStyle name="20 % - Markeringsfarve1 2 9 2 2 2" xfId="15416" xr:uid="{00000000-0005-0000-0000-0000CF040000}"/>
    <cellStyle name="20 % - Markeringsfarve1 2 9 2 2 2 2" xfId="31730" xr:uid="{00000000-0005-0000-0000-0000D0040000}"/>
    <cellStyle name="20 % - Markeringsfarve1 2 9 2 2 2 3" xfId="46694" xr:uid="{00000000-0005-0000-0000-0000D1040000}"/>
    <cellStyle name="20 % - Markeringsfarve1 2 9 2 2 3" xfId="24708" xr:uid="{00000000-0005-0000-0000-0000D2040000}"/>
    <cellStyle name="20 % - Markeringsfarve1 2 9 2 2 4" xfId="39695" xr:uid="{00000000-0005-0000-0000-0000D3040000}"/>
    <cellStyle name="20 % - Markeringsfarve1 2 9 2 3" xfId="10255" xr:uid="{00000000-0005-0000-0000-0000D4040000}"/>
    <cellStyle name="20 % - Markeringsfarve1 2 9 2 3 2" xfId="26574" xr:uid="{00000000-0005-0000-0000-0000D5040000}"/>
    <cellStyle name="20 % - Markeringsfarve1 2 9 2 3 3" xfId="41540" xr:uid="{00000000-0005-0000-0000-0000D6040000}"/>
    <cellStyle name="20 % - Markeringsfarve1 2 9 2 4" xfId="19552" xr:uid="{00000000-0005-0000-0000-0000D7040000}"/>
    <cellStyle name="20 % - Markeringsfarve1 2 9 2 5" xfId="34541" xr:uid="{00000000-0005-0000-0000-0000D8040000}"/>
    <cellStyle name="20 % - Markeringsfarve1 2 9 3" xfId="6114" xr:uid="{00000000-0005-0000-0000-0000D9040000}"/>
    <cellStyle name="20 % - Markeringsfarve1 2 9 3 2" xfId="14031" xr:uid="{00000000-0005-0000-0000-0000DA040000}"/>
    <cellStyle name="20 % - Markeringsfarve1 2 9 3 2 2" xfId="30345" xr:uid="{00000000-0005-0000-0000-0000DB040000}"/>
    <cellStyle name="20 % - Markeringsfarve1 2 9 3 2 3" xfId="45309" xr:uid="{00000000-0005-0000-0000-0000DC040000}"/>
    <cellStyle name="20 % - Markeringsfarve1 2 9 3 3" xfId="23323" xr:uid="{00000000-0005-0000-0000-0000DD040000}"/>
    <cellStyle name="20 % - Markeringsfarve1 2 9 3 4" xfId="38310" xr:uid="{00000000-0005-0000-0000-0000DE040000}"/>
    <cellStyle name="20 % - Markeringsfarve1 2 9 4" xfId="10254" xr:uid="{00000000-0005-0000-0000-0000DF040000}"/>
    <cellStyle name="20 % - Markeringsfarve1 2 9 4 2" xfId="26573" xr:uid="{00000000-0005-0000-0000-0000E0040000}"/>
    <cellStyle name="20 % - Markeringsfarve1 2 9 4 3" xfId="41539" xr:uid="{00000000-0005-0000-0000-0000E1040000}"/>
    <cellStyle name="20 % - Markeringsfarve1 2 9 5" xfId="19551" xr:uid="{00000000-0005-0000-0000-0000E2040000}"/>
    <cellStyle name="20 % - Markeringsfarve1 2 9 6" xfId="34540" xr:uid="{00000000-0005-0000-0000-0000E3040000}"/>
    <cellStyle name="20 % - Markeringsfarve1 3" xfId="1699" xr:uid="{00000000-0005-0000-0000-0000E4040000}"/>
    <cellStyle name="20 % - Markeringsfarve1 3 10" xfId="1700" xr:uid="{00000000-0005-0000-0000-0000E5040000}"/>
    <cellStyle name="20 % - Markeringsfarve1 3 10 2" xfId="6728" xr:uid="{00000000-0005-0000-0000-0000E6040000}"/>
    <cellStyle name="20 % - Markeringsfarve1 3 10 2 2" xfId="14640" xr:uid="{00000000-0005-0000-0000-0000E7040000}"/>
    <cellStyle name="20 % - Markeringsfarve1 3 10 2 2 2" xfId="30954" xr:uid="{00000000-0005-0000-0000-0000E8040000}"/>
    <cellStyle name="20 % - Markeringsfarve1 3 10 2 2 3" xfId="45918" xr:uid="{00000000-0005-0000-0000-0000E9040000}"/>
    <cellStyle name="20 % - Markeringsfarve1 3 10 2 3" xfId="23932" xr:uid="{00000000-0005-0000-0000-0000EA040000}"/>
    <cellStyle name="20 % - Markeringsfarve1 3 10 2 4" xfId="38919" xr:uid="{00000000-0005-0000-0000-0000EB040000}"/>
    <cellStyle name="20 % - Markeringsfarve1 3 10 3" xfId="10257" xr:uid="{00000000-0005-0000-0000-0000EC040000}"/>
    <cellStyle name="20 % - Markeringsfarve1 3 10 3 2" xfId="26576" xr:uid="{00000000-0005-0000-0000-0000ED040000}"/>
    <cellStyle name="20 % - Markeringsfarve1 3 10 3 3" xfId="41542" xr:uid="{00000000-0005-0000-0000-0000EE040000}"/>
    <cellStyle name="20 % - Markeringsfarve1 3 10 4" xfId="19554" xr:uid="{00000000-0005-0000-0000-0000EF040000}"/>
    <cellStyle name="20 % - Markeringsfarve1 3 10 5" xfId="34543" xr:uid="{00000000-0005-0000-0000-0000F0040000}"/>
    <cellStyle name="20 % - Markeringsfarve1 3 11" xfId="1701" xr:uid="{00000000-0005-0000-0000-0000F1040000}"/>
    <cellStyle name="20 % - Markeringsfarve1 3 11 2" xfId="8365" xr:uid="{00000000-0005-0000-0000-0000F2040000}"/>
    <cellStyle name="20 % - Markeringsfarve1 3 11 2 2" xfId="16259" xr:uid="{00000000-0005-0000-0000-0000F3040000}"/>
    <cellStyle name="20 % - Markeringsfarve1 3 11 2 2 2" xfId="32573" xr:uid="{00000000-0005-0000-0000-0000F4040000}"/>
    <cellStyle name="20 % - Markeringsfarve1 3 11 2 2 3" xfId="47537" xr:uid="{00000000-0005-0000-0000-0000F5040000}"/>
    <cellStyle name="20 % - Markeringsfarve1 3 11 2 3" xfId="25551" xr:uid="{00000000-0005-0000-0000-0000F6040000}"/>
    <cellStyle name="20 % - Markeringsfarve1 3 11 2 4" xfId="40538" xr:uid="{00000000-0005-0000-0000-0000F7040000}"/>
    <cellStyle name="20 % - Markeringsfarve1 3 11 3" xfId="10258" xr:uid="{00000000-0005-0000-0000-0000F8040000}"/>
    <cellStyle name="20 % - Markeringsfarve1 3 11 3 2" xfId="26577" xr:uid="{00000000-0005-0000-0000-0000F9040000}"/>
    <cellStyle name="20 % - Markeringsfarve1 3 11 3 3" xfId="41543" xr:uid="{00000000-0005-0000-0000-0000FA040000}"/>
    <cellStyle name="20 % - Markeringsfarve1 3 11 4" xfId="19555" xr:uid="{00000000-0005-0000-0000-0000FB040000}"/>
    <cellStyle name="20 % - Markeringsfarve1 3 11 5" xfId="34544" xr:uid="{00000000-0005-0000-0000-0000FC040000}"/>
    <cellStyle name="20 % - Markeringsfarve1 3 12" xfId="5428" xr:uid="{00000000-0005-0000-0000-0000FD040000}"/>
    <cellStyle name="20 % - Markeringsfarve1 3 12 2" xfId="13346" xr:uid="{00000000-0005-0000-0000-0000FE040000}"/>
    <cellStyle name="20 % - Markeringsfarve1 3 12 2 2" xfId="29660" xr:uid="{00000000-0005-0000-0000-0000FF040000}"/>
    <cellStyle name="20 % - Markeringsfarve1 3 12 2 3" xfId="44624" xr:uid="{00000000-0005-0000-0000-000000050000}"/>
    <cellStyle name="20 % - Markeringsfarve1 3 12 3" xfId="22638" xr:uid="{00000000-0005-0000-0000-000001050000}"/>
    <cellStyle name="20 % - Markeringsfarve1 3 12 4" xfId="37625" xr:uid="{00000000-0005-0000-0000-000002050000}"/>
    <cellStyle name="20 % - Markeringsfarve1 3 13" xfId="10256" xr:uid="{00000000-0005-0000-0000-000003050000}"/>
    <cellStyle name="20 % - Markeringsfarve1 3 13 2" xfId="26575" xr:uid="{00000000-0005-0000-0000-000004050000}"/>
    <cellStyle name="20 % - Markeringsfarve1 3 13 3" xfId="41541" xr:uid="{00000000-0005-0000-0000-000005050000}"/>
    <cellStyle name="20 % - Markeringsfarve1 3 14" xfId="19553" xr:uid="{00000000-0005-0000-0000-000006050000}"/>
    <cellStyle name="20 % - Markeringsfarve1 3 15" xfId="34542" xr:uid="{00000000-0005-0000-0000-000007050000}"/>
    <cellStyle name="20 % - Markeringsfarve1 3 16" xfId="53376" xr:uid="{00000000-0005-0000-0000-000008050000}"/>
    <cellStyle name="20 % - Markeringsfarve1 3 2" xfId="1702" xr:uid="{00000000-0005-0000-0000-000009050000}"/>
    <cellStyle name="20 % - Markeringsfarve1 3 2 10" xfId="5429" xr:uid="{00000000-0005-0000-0000-00000A050000}"/>
    <cellStyle name="20 % - Markeringsfarve1 3 2 10 2" xfId="13347" xr:uid="{00000000-0005-0000-0000-00000B050000}"/>
    <cellStyle name="20 % - Markeringsfarve1 3 2 10 2 2" xfId="29661" xr:uid="{00000000-0005-0000-0000-00000C050000}"/>
    <cellStyle name="20 % - Markeringsfarve1 3 2 10 2 3" xfId="44625" xr:uid="{00000000-0005-0000-0000-00000D050000}"/>
    <cellStyle name="20 % - Markeringsfarve1 3 2 10 3" xfId="22639" xr:uid="{00000000-0005-0000-0000-00000E050000}"/>
    <cellStyle name="20 % - Markeringsfarve1 3 2 10 4" xfId="37626" xr:uid="{00000000-0005-0000-0000-00000F050000}"/>
    <cellStyle name="20 % - Markeringsfarve1 3 2 11" xfId="10259" xr:uid="{00000000-0005-0000-0000-000010050000}"/>
    <cellStyle name="20 % - Markeringsfarve1 3 2 11 2" xfId="26578" xr:uid="{00000000-0005-0000-0000-000011050000}"/>
    <cellStyle name="20 % - Markeringsfarve1 3 2 11 3" xfId="41544" xr:uid="{00000000-0005-0000-0000-000012050000}"/>
    <cellStyle name="20 % - Markeringsfarve1 3 2 12" xfId="19556" xr:uid="{00000000-0005-0000-0000-000013050000}"/>
    <cellStyle name="20 % - Markeringsfarve1 3 2 13" xfId="34545" xr:uid="{00000000-0005-0000-0000-000014050000}"/>
    <cellStyle name="20 % - Markeringsfarve1 3 2 14" xfId="53322" xr:uid="{00000000-0005-0000-0000-000015050000}"/>
    <cellStyle name="20 % - Markeringsfarve1 3 2 2" xfId="1703" xr:uid="{00000000-0005-0000-0000-000016050000}"/>
    <cellStyle name="20 % - Markeringsfarve1 3 2 2 2" xfId="1704" xr:uid="{00000000-0005-0000-0000-000017050000}"/>
    <cellStyle name="20 % - Markeringsfarve1 3 2 2 2 2" xfId="1705" xr:uid="{00000000-0005-0000-0000-000018050000}"/>
    <cellStyle name="20 % - Markeringsfarve1 3 2 2 2 2 2" xfId="7661" xr:uid="{00000000-0005-0000-0000-000019050000}"/>
    <cellStyle name="20 % - Markeringsfarve1 3 2 2 2 2 2 2" xfId="15562" xr:uid="{00000000-0005-0000-0000-00001A050000}"/>
    <cellStyle name="20 % - Markeringsfarve1 3 2 2 2 2 2 2 2" xfId="31876" xr:uid="{00000000-0005-0000-0000-00001B050000}"/>
    <cellStyle name="20 % - Markeringsfarve1 3 2 2 2 2 2 2 3" xfId="46840" xr:uid="{00000000-0005-0000-0000-00001C050000}"/>
    <cellStyle name="20 % - Markeringsfarve1 3 2 2 2 2 2 3" xfId="24854" xr:uid="{00000000-0005-0000-0000-00001D050000}"/>
    <cellStyle name="20 % - Markeringsfarve1 3 2 2 2 2 2 4" xfId="39841" xr:uid="{00000000-0005-0000-0000-00001E050000}"/>
    <cellStyle name="20 % - Markeringsfarve1 3 2 2 2 2 3" xfId="10262" xr:uid="{00000000-0005-0000-0000-00001F050000}"/>
    <cellStyle name="20 % - Markeringsfarve1 3 2 2 2 2 3 2" xfId="26581" xr:uid="{00000000-0005-0000-0000-000020050000}"/>
    <cellStyle name="20 % - Markeringsfarve1 3 2 2 2 2 3 3" xfId="41547" xr:uid="{00000000-0005-0000-0000-000021050000}"/>
    <cellStyle name="20 % - Markeringsfarve1 3 2 2 2 2 4" xfId="19559" xr:uid="{00000000-0005-0000-0000-000022050000}"/>
    <cellStyle name="20 % - Markeringsfarve1 3 2 2 2 2 5" xfId="34548" xr:uid="{00000000-0005-0000-0000-000023050000}"/>
    <cellStyle name="20 % - Markeringsfarve1 3 2 2 2 3" xfId="6236" xr:uid="{00000000-0005-0000-0000-000024050000}"/>
    <cellStyle name="20 % - Markeringsfarve1 3 2 2 2 3 2" xfId="14153" xr:uid="{00000000-0005-0000-0000-000025050000}"/>
    <cellStyle name="20 % - Markeringsfarve1 3 2 2 2 3 2 2" xfId="30467" xr:uid="{00000000-0005-0000-0000-000026050000}"/>
    <cellStyle name="20 % - Markeringsfarve1 3 2 2 2 3 2 3" xfId="45431" xr:uid="{00000000-0005-0000-0000-000027050000}"/>
    <cellStyle name="20 % - Markeringsfarve1 3 2 2 2 3 3" xfId="23445" xr:uid="{00000000-0005-0000-0000-000028050000}"/>
    <cellStyle name="20 % - Markeringsfarve1 3 2 2 2 3 4" xfId="38432" xr:uid="{00000000-0005-0000-0000-000029050000}"/>
    <cellStyle name="20 % - Markeringsfarve1 3 2 2 2 4" xfId="10261" xr:uid="{00000000-0005-0000-0000-00002A050000}"/>
    <cellStyle name="20 % - Markeringsfarve1 3 2 2 2 4 2" xfId="26580" xr:uid="{00000000-0005-0000-0000-00002B050000}"/>
    <cellStyle name="20 % - Markeringsfarve1 3 2 2 2 4 3" xfId="41546" xr:uid="{00000000-0005-0000-0000-00002C050000}"/>
    <cellStyle name="20 % - Markeringsfarve1 3 2 2 2 5" xfId="19558" xr:uid="{00000000-0005-0000-0000-00002D050000}"/>
    <cellStyle name="20 % - Markeringsfarve1 3 2 2 2 6" xfId="34547" xr:uid="{00000000-0005-0000-0000-00002E050000}"/>
    <cellStyle name="20 % - Markeringsfarve1 3 2 2 2 7" xfId="57126" xr:uid="{00000000-0005-0000-0000-00002F050000}"/>
    <cellStyle name="20 % - Markeringsfarve1 3 2 2 3" xfId="1706" xr:uid="{00000000-0005-0000-0000-000030050000}"/>
    <cellStyle name="20 % - Markeringsfarve1 3 2 2 3 2" xfId="6891" xr:uid="{00000000-0005-0000-0000-000031050000}"/>
    <cellStyle name="20 % - Markeringsfarve1 3 2 2 3 2 2" xfId="14802" xr:uid="{00000000-0005-0000-0000-000032050000}"/>
    <cellStyle name="20 % - Markeringsfarve1 3 2 2 3 2 2 2" xfId="31116" xr:uid="{00000000-0005-0000-0000-000033050000}"/>
    <cellStyle name="20 % - Markeringsfarve1 3 2 2 3 2 2 3" xfId="46080" xr:uid="{00000000-0005-0000-0000-000034050000}"/>
    <cellStyle name="20 % - Markeringsfarve1 3 2 2 3 2 3" xfId="24094" xr:uid="{00000000-0005-0000-0000-000035050000}"/>
    <cellStyle name="20 % - Markeringsfarve1 3 2 2 3 2 4" xfId="39081" xr:uid="{00000000-0005-0000-0000-000036050000}"/>
    <cellStyle name="20 % - Markeringsfarve1 3 2 2 3 3" xfId="10263" xr:uid="{00000000-0005-0000-0000-000037050000}"/>
    <cellStyle name="20 % - Markeringsfarve1 3 2 2 3 3 2" xfId="26582" xr:uid="{00000000-0005-0000-0000-000038050000}"/>
    <cellStyle name="20 % - Markeringsfarve1 3 2 2 3 3 3" xfId="41548" xr:uid="{00000000-0005-0000-0000-000039050000}"/>
    <cellStyle name="20 % - Markeringsfarve1 3 2 2 3 4" xfId="19560" xr:uid="{00000000-0005-0000-0000-00003A050000}"/>
    <cellStyle name="20 % - Markeringsfarve1 3 2 2 3 5" xfId="34549" xr:uid="{00000000-0005-0000-0000-00003B050000}"/>
    <cellStyle name="20 % - Markeringsfarve1 3 2 2 4" xfId="1707" xr:uid="{00000000-0005-0000-0000-00003C050000}"/>
    <cellStyle name="20 % - Markeringsfarve1 3 2 2 4 2" xfId="8363" xr:uid="{00000000-0005-0000-0000-00003D050000}"/>
    <cellStyle name="20 % - Markeringsfarve1 3 2 2 4 2 2" xfId="16257" xr:uid="{00000000-0005-0000-0000-00003E050000}"/>
    <cellStyle name="20 % - Markeringsfarve1 3 2 2 4 2 2 2" xfId="32571" xr:uid="{00000000-0005-0000-0000-00003F050000}"/>
    <cellStyle name="20 % - Markeringsfarve1 3 2 2 4 2 2 3" xfId="47535" xr:uid="{00000000-0005-0000-0000-000040050000}"/>
    <cellStyle name="20 % - Markeringsfarve1 3 2 2 4 2 3" xfId="25549" xr:uid="{00000000-0005-0000-0000-000041050000}"/>
    <cellStyle name="20 % - Markeringsfarve1 3 2 2 4 2 4" xfId="40536" xr:uid="{00000000-0005-0000-0000-000042050000}"/>
    <cellStyle name="20 % - Markeringsfarve1 3 2 2 4 3" xfId="10264" xr:uid="{00000000-0005-0000-0000-000043050000}"/>
    <cellStyle name="20 % - Markeringsfarve1 3 2 2 4 3 2" xfId="26583" xr:uid="{00000000-0005-0000-0000-000044050000}"/>
    <cellStyle name="20 % - Markeringsfarve1 3 2 2 4 3 3" xfId="41549" xr:uid="{00000000-0005-0000-0000-000045050000}"/>
    <cellStyle name="20 % - Markeringsfarve1 3 2 2 4 4" xfId="19561" xr:uid="{00000000-0005-0000-0000-000046050000}"/>
    <cellStyle name="20 % - Markeringsfarve1 3 2 2 4 5" xfId="34550" xr:uid="{00000000-0005-0000-0000-000047050000}"/>
    <cellStyle name="20 % - Markeringsfarve1 3 2 2 5" xfId="5430" xr:uid="{00000000-0005-0000-0000-000048050000}"/>
    <cellStyle name="20 % - Markeringsfarve1 3 2 2 5 2" xfId="13348" xr:uid="{00000000-0005-0000-0000-000049050000}"/>
    <cellStyle name="20 % - Markeringsfarve1 3 2 2 5 2 2" xfId="29662" xr:uid="{00000000-0005-0000-0000-00004A050000}"/>
    <cellStyle name="20 % - Markeringsfarve1 3 2 2 5 2 3" xfId="44626" xr:uid="{00000000-0005-0000-0000-00004B050000}"/>
    <cellStyle name="20 % - Markeringsfarve1 3 2 2 5 3" xfId="22640" xr:uid="{00000000-0005-0000-0000-00004C050000}"/>
    <cellStyle name="20 % - Markeringsfarve1 3 2 2 5 4" xfId="37627" xr:uid="{00000000-0005-0000-0000-00004D050000}"/>
    <cellStyle name="20 % - Markeringsfarve1 3 2 2 6" xfId="10260" xr:uid="{00000000-0005-0000-0000-00004E050000}"/>
    <cellStyle name="20 % - Markeringsfarve1 3 2 2 6 2" xfId="26579" xr:uid="{00000000-0005-0000-0000-00004F050000}"/>
    <cellStyle name="20 % - Markeringsfarve1 3 2 2 6 3" xfId="41545" xr:uid="{00000000-0005-0000-0000-000050050000}"/>
    <cellStyle name="20 % - Markeringsfarve1 3 2 2 7" xfId="19557" xr:uid="{00000000-0005-0000-0000-000051050000}"/>
    <cellStyle name="20 % - Markeringsfarve1 3 2 2 8" xfId="34546" xr:uid="{00000000-0005-0000-0000-000052050000}"/>
    <cellStyle name="20 % - Markeringsfarve1 3 2 2 9" xfId="53959" xr:uid="{00000000-0005-0000-0000-000053050000}"/>
    <cellStyle name="20 % - Markeringsfarve1 3 2 3" xfId="1708" xr:uid="{00000000-0005-0000-0000-000054050000}"/>
    <cellStyle name="20 % - Markeringsfarve1 3 2 3 2" xfId="1709" xr:uid="{00000000-0005-0000-0000-000055050000}"/>
    <cellStyle name="20 % - Markeringsfarve1 3 2 3 2 2" xfId="1710" xr:uid="{00000000-0005-0000-0000-000056050000}"/>
    <cellStyle name="20 % - Markeringsfarve1 3 2 3 2 2 2" xfId="7730" xr:uid="{00000000-0005-0000-0000-000057050000}"/>
    <cellStyle name="20 % - Markeringsfarve1 3 2 3 2 2 2 2" xfId="15631" xr:uid="{00000000-0005-0000-0000-000058050000}"/>
    <cellStyle name="20 % - Markeringsfarve1 3 2 3 2 2 2 2 2" xfId="31945" xr:uid="{00000000-0005-0000-0000-000059050000}"/>
    <cellStyle name="20 % - Markeringsfarve1 3 2 3 2 2 2 2 3" xfId="46909" xr:uid="{00000000-0005-0000-0000-00005A050000}"/>
    <cellStyle name="20 % - Markeringsfarve1 3 2 3 2 2 2 3" xfId="24923" xr:uid="{00000000-0005-0000-0000-00005B050000}"/>
    <cellStyle name="20 % - Markeringsfarve1 3 2 3 2 2 2 4" xfId="39910" xr:uid="{00000000-0005-0000-0000-00005C050000}"/>
    <cellStyle name="20 % - Markeringsfarve1 3 2 3 2 2 3" xfId="10267" xr:uid="{00000000-0005-0000-0000-00005D050000}"/>
    <cellStyle name="20 % - Markeringsfarve1 3 2 3 2 2 3 2" xfId="26586" xr:uid="{00000000-0005-0000-0000-00005E050000}"/>
    <cellStyle name="20 % - Markeringsfarve1 3 2 3 2 2 3 3" xfId="41552" xr:uid="{00000000-0005-0000-0000-00005F050000}"/>
    <cellStyle name="20 % - Markeringsfarve1 3 2 3 2 2 4" xfId="19564" xr:uid="{00000000-0005-0000-0000-000060050000}"/>
    <cellStyle name="20 % - Markeringsfarve1 3 2 3 2 2 5" xfId="34553" xr:uid="{00000000-0005-0000-0000-000061050000}"/>
    <cellStyle name="20 % - Markeringsfarve1 3 2 3 2 3" xfId="6294" xr:uid="{00000000-0005-0000-0000-000062050000}"/>
    <cellStyle name="20 % - Markeringsfarve1 3 2 3 2 3 2" xfId="14211" xr:uid="{00000000-0005-0000-0000-000063050000}"/>
    <cellStyle name="20 % - Markeringsfarve1 3 2 3 2 3 2 2" xfId="30525" xr:uid="{00000000-0005-0000-0000-000064050000}"/>
    <cellStyle name="20 % - Markeringsfarve1 3 2 3 2 3 2 3" xfId="45489" xr:uid="{00000000-0005-0000-0000-000065050000}"/>
    <cellStyle name="20 % - Markeringsfarve1 3 2 3 2 3 3" xfId="23503" xr:uid="{00000000-0005-0000-0000-000066050000}"/>
    <cellStyle name="20 % - Markeringsfarve1 3 2 3 2 3 4" xfId="38490" xr:uid="{00000000-0005-0000-0000-000067050000}"/>
    <cellStyle name="20 % - Markeringsfarve1 3 2 3 2 4" xfId="10266" xr:uid="{00000000-0005-0000-0000-000068050000}"/>
    <cellStyle name="20 % - Markeringsfarve1 3 2 3 2 4 2" xfId="26585" xr:uid="{00000000-0005-0000-0000-000069050000}"/>
    <cellStyle name="20 % - Markeringsfarve1 3 2 3 2 4 3" xfId="41551" xr:uid="{00000000-0005-0000-0000-00006A050000}"/>
    <cellStyle name="20 % - Markeringsfarve1 3 2 3 2 5" xfId="19563" xr:uid="{00000000-0005-0000-0000-00006B050000}"/>
    <cellStyle name="20 % - Markeringsfarve1 3 2 3 2 6" xfId="34552" xr:uid="{00000000-0005-0000-0000-00006C050000}"/>
    <cellStyle name="20 % - Markeringsfarve1 3 2 3 3" xfId="1711" xr:uid="{00000000-0005-0000-0000-00006D050000}"/>
    <cellStyle name="20 % - Markeringsfarve1 3 2 3 3 2" xfId="6960" xr:uid="{00000000-0005-0000-0000-00006E050000}"/>
    <cellStyle name="20 % - Markeringsfarve1 3 2 3 3 2 2" xfId="14871" xr:uid="{00000000-0005-0000-0000-00006F050000}"/>
    <cellStyle name="20 % - Markeringsfarve1 3 2 3 3 2 2 2" xfId="31185" xr:uid="{00000000-0005-0000-0000-000070050000}"/>
    <cellStyle name="20 % - Markeringsfarve1 3 2 3 3 2 2 3" xfId="46149" xr:uid="{00000000-0005-0000-0000-000071050000}"/>
    <cellStyle name="20 % - Markeringsfarve1 3 2 3 3 2 3" xfId="24163" xr:uid="{00000000-0005-0000-0000-000072050000}"/>
    <cellStyle name="20 % - Markeringsfarve1 3 2 3 3 2 4" xfId="39150" xr:uid="{00000000-0005-0000-0000-000073050000}"/>
    <cellStyle name="20 % - Markeringsfarve1 3 2 3 3 3" xfId="10268" xr:uid="{00000000-0005-0000-0000-000074050000}"/>
    <cellStyle name="20 % - Markeringsfarve1 3 2 3 3 3 2" xfId="26587" xr:uid="{00000000-0005-0000-0000-000075050000}"/>
    <cellStyle name="20 % - Markeringsfarve1 3 2 3 3 3 3" xfId="41553" xr:uid="{00000000-0005-0000-0000-000076050000}"/>
    <cellStyle name="20 % - Markeringsfarve1 3 2 3 3 4" xfId="19565" xr:uid="{00000000-0005-0000-0000-000077050000}"/>
    <cellStyle name="20 % - Markeringsfarve1 3 2 3 3 5" xfId="34554" xr:uid="{00000000-0005-0000-0000-000078050000}"/>
    <cellStyle name="20 % - Markeringsfarve1 3 2 3 4" xfId="1712" xr:uid="{00000000-0005-0000-0000-000079050000}"/>
    <cellStyle name="20 % - Markeringsfarve1 3 2 3 4 2" xfId="8362" xr:uid="{00000000-0005-0000-0000-00007A050000}"/>
    <cellStyle name="20 % - Markeringsfarve1 3 2 3 4 2 2" xfId="16256" xr:uid="{00000000-0005-0000-0000-00007B050000}"/>
    <cellStyle name="20 % - Markeringsfarve1 3 2 3 4 2 2 2" xfId="32570" xr:uid="{00000000-0005-0000-0000-00007C050000}"/>
    <cellStyle name="20 % - Markeringsfarve1 3 2 3 4 2 2 3" xfId="47534" xr:uid="{00000000-0005-0000-0000-00007D050000}"/>
    <cellStyle name="20 % - Markeringsfarve1 3 2 3 4 2 3" xfId="25548" xr:uid="{00000000-0005-0000-0000-00007E050000}"/>
    <cellStyle name="20 % - Markeringsfarve1 3 2 3 4 2 4" xfId="40535" xr:uid="{00000000-0005-0000-0000-00007F050000}"/>
    <cellStyle name="20 % - Markeringsfarve1 3 2 3 4 3" xfId="10269" xr:uid="{00000000-0005-0000-0000-000080050000}"/>
    <cellStyle name="20 % - Markeringsfarve1 3 2 3 4 3 2" xfId="26588" xr:uid="{00000000-0005-0000-0000-000081050000}"/>
    <cellStyle name="20 % - Markeringsfarve1 3 2 3 4 3 3" xfId="41554" xr:uid="{00000000-0005-0000-0000-000082050000}"/>
    <cellStyle name="20 % - Markeringsfarve1 3 2 3 4 4" xfId="19566" xr:uid="{00000000-0005-0000-0000-000083050000}"/>
    <cellStyle name="20 % - Markeringsfarve1 3 2 3 4 5" xfId="34555" xr:uid="{00000000-0005-0000-0000-000084050000}"/>
    <cellStyle name="20 % - Markeringsfarve1 3 2 3 5" xfId="5431" xr:uid="{00000000-0005-0000-0000-000085050000}"/>
    <cellStyle name="20 % - Markeringsfarve1 3 2 3 5 2" xfId="13349" xr:uid="{00000000-0005-0000-0000-000086050000}"/>
    <cellStyle name="20 % - Markeringsfarve1 3 2 3 5 2 2" xfId="29663" xr:uid="{00000000-0005-0000-0000-000087050000}"/>
    <cellStyle name="20 % - Markeringsfarve1 3 2 3 5 2 3" xfId="44627" xr:uid="{00000000-0005-0000-0000-000088050000}"/>
    <cellStyle name="20 % - Markeringsfarve1 3 2 3 5 3" xfId="22641" xr:uid="{00000000-0005-0000-0000-000089050000}"/>
    <cellStyle name="20 % - Markeringsfarve1 3 2 3 5 4" xfId="37628" xr:uid="{00000000-0005-0000-0000-00008A050000}"/>
    <cellStyle name="20 % - Markeringsfarve1 3 2 3 6" xfId="10265" xr:uid="{00000000-0005-0000-0000-00008B050000}"/>
    <cellStyle name="20 % - Markeringsfarve1 3 2 3 6 2" xfId="26584" xr:uid="{00000000-0005-0000-0000-00008C050000}"/>
    <cellStyle name="20 % - Markeringsfarve1 3 2 3 6 3" xfId="41550" xr:uid="{00000000-0005-0000-0000-00008D050000}"/>
    <cellStyle name="20 % - Markeringsfarve1 3 2 3 7" xfId="19562" xr:uid="{00000000-0005-0000-0000-00008E050000}"/>
    <cellStyle name="20 % - Markeringsfarve1 3 2 3 8" xfId="34551" xr:uid="{00000000-0005-0000-0000-00008F050000}"/>
    <cellStyle name="20 % - Markeringsfarve1 3 2 3 9" xfId="56503" xr:uid="{00000000-0005-0000-0000-000090050000}"/>
    <cellStyle name="20 % - Markeringsfarve1 3 2 4" xfId="1713" xr:uid="{00000000-0005-0000-0000-000091050000}"/>
    <cellStyle name="20 % - Markeringsfarve1 3 2 4 2" xfId="1714" xr:uid="{00000000-0005-0000-0000-000092050000}"/>
    <cellStyle name="20 % - Markeringsfarve1 3 2 4 2 2" xfId="1715" xr:uid="{00000000-0005-0000-0000-000093050000}"/>
    <cellStyle name="20 % - Markeringsfarve1 3 2 4 2 2 2" xfId="7899" xr:uid="{00000000-0005-0000-0000-000094050000}"/>
    <cellStyle name="20 % - Markeringsfarve1 3 2 4 2 2 2 2" xfId="15800" xr:uid="{00000000-0005-0000-0000-000095050000}"/>
    <cellStyle name="20 % - Markeringsfarve1 3 2 4 2 2 2 2 2" xfId="32114" xr:uid="{00000000-0005-0000-0000-000096050000}"/>
    <cellStyle name="20 % - Markeringsfarve1 3 2 4 2 2 2 2 3" xfId="47078" xr:uid="{00000000-0005-0000-0000-000097050000}"/>
    <cellStyle name="20 % - Markeringsfarve1 3 2 4 2 2 2 3" xfId="25092" xr:uid="{00000000-0005-0000-0000-000098050000}"/>
    <cellStyle name="20 % - Markeringsfarve1 3 2 4 2 2 2 4" xfId="40079" xr:uid="{00000000-0005-0000-0000-000099050000}"/>
    <cellStyle name="20 % - Markeringsfarve1 3 2 4 2 2 3" xfId="10272" xr:uid="{00000000-0005-0000-0000-00009A050000}"/>
    <cellStyle name="20 % - Markeringsfarve1 3 2 4 2 2 3 2" xfId="26591" xr:uid="{00000000-0005-0000-0000-00009B050000}"/>
    <cellStyle name="20 % - Markeringsfarve1 3 2 4 2 2 3 3" xfId="41557" xr:uid="{00000000-0005-0000-0000-00009C050000}"/>
    <cellStyle name="20 % - Markeringsfarve1 3 2 4 2 2 4" xfId="19569" xr:uid="{00000000-0005-0000-0000-00009D050000}"/>
    <cellStyle name="20 % - Markeringsfarve1 3 2 4 2 2 5" xfId="34558" xr:uid="{00000000-0005-0000-0000-00009E050000}"/>
    <cellStyle name="20 % - Markeringsfarve1 3 2 4 2 3" xfId="6438" xr:uid="{00000000-0005-0000-0000-00009F050000}"/>
    <cellStyle name="20 % - Markeringsfarve1 3 2 4 2 3 2" xfId="14352" xr:uid="{00000000-0005-0000-0000-0000A0050000}"/>
    <cellStyle name="20 % - Markeringsfarve1 3 2 4 2 3 2 2" xfId="30666" xr:uid="{00000000-0005-0000-0000-0000A1050000}"/>
    <cellStyle name="20 % - Markeringsfarve1 3 2 4 2 3 2 3" xfId="45630" xr:uid="{00000000-0005-0000-0000-0000A2050000}"/>
    <cellStyle name="20 % - Markeringsfarve1 3 2 4 2 3 3" xfId="23644" xr:uid="{00000000-0005-0000-0000-0000A3050000}"/>
    <cellStyle name="20 % - Markeringsfarve1 3 2 4 2 3 4" xfId="38631" xr:uid="{00000000-0005-0000-0000-0000A4050000}"/>
    <cellStyle name="20 % - Markeringsfarve1 3 2 4 2 4" xfId="10271" xr:uid="{00000000-0005-0000-0000-0000A5050000}"/>
    <cellStyle name="20 % - Markeringsfarve1 3 2 4 2 4 2" xfId="26590" xr:uid="{00000000-0005-0000-0000-0000A6050000}"/>
    <cellStyle name="20 % - Markeringsfarve1 3 2 4 2 4 3" xfId="41556" xr:uid="{00000000-0005-0000-0000-0000A7050000}"/>
    <cellStyle name="20 % - Markeringsfarve1 3 2 4 2 5" xfId="19568" xr:uid="{00000000-0005-0000-0000-0000A8050000}"/>
    <cellStyle name="20 % - Markeringsfarve1 3 2 4 2 6" xfId="34557" xr:uid="{00000000-0005-0000-0000-0000A9050000}"/>
    <cellStyle name="20 % - Markeringsfarve1 3 2 4 3" xfId="1716" xr:uid="{00000000-0005-0000-0000-0000AA050000}"/>
    <cellStyle name="20 % - Markeringsfarve1 3 2 4 3 2" xfId="7175" xr:uid="{00000000-0005-0000-0000-0000AB050000}"/>
    <cellStyle name="20 % - Markeringsfarve1 3 2 4 3 2 2" xfId="15085" xr:uid="{00000000-0005-0000-0000-0000AC050000}"/>
    <cellStyle name="20 % - Markeringsfarve1 3 2 4 3 2 2 2" xfId="31399" xr:uid="{00000000-0005-0000-0000-0000AD050000}"/>
    <cellStyle name="20 % - Markeringsfarve1 3 2 4 3 2 2 3" xfId="46363" xr:uid="{00000000-0005-0000-0000-0000AE050000}"/>
    <cellStyle name="20 % - Markeringsfarve1 3 2 4 3 2 3" xfId="24377" xr:uid="{00000000-0005-0000-0000-0000AF050000}"/>
    <cellStyle name="20 % - Markeringsfarve1 3 2 4 3 2 4" xfId="39364" xr:uid="{00000000-0005-0000-0000-0000B0050000}"/>
    <cellStyle name="20 % - Markeringsfarve1 3 2 4 3 3" xfId="10273" xr:uid="{00000000-0005-0000-0000-0000B1050000}"/>
    <cellStyle name="20 % - Markeringsfarve1 3 2 4 3 3 2" xfId="26592" xr:uid="{00000000-0005-0000-0000-0000B2050000}"/>
    <cellStyle name="20 % - Markeringsfarve1 3 2 4 3 3 3" xfId="41558" xr:uid="{00000000-0005-0000-0000-0000B3050000}"/>
    <cellStyle name="20 % - Markeringsfarve1 3 2 4 3 4" xfId="19570" xr:uid="{00000000-0005-0000-0000-0000B4050000}"/>
    <cellStyle name="20 % - Markeringsfarve1 3 2 4 3 5" xfId="34559" xr:uid="{00000000-0005-0000-0000-0000B5050000}"/>
    <cellStyle name="20 % - Markeringsfarve1 3 2 4 4" xfId="1717" xr:uid="{00000000-0005-0000-0000-0000B6050000}"/>
    <cellStyle name="20 % - Markeringsfarve1 3 2 4 4 2" xfId="8361" xr:uid="{00000000-0005-0000-0000-0000B7050000}"/>
    <cellStyle name="20 % - Markeringsfarve1 3 2 4 4 2 2" xfId="16255" xr:uid="{00000000-0005-0000-0000-0000B8050000}"/>
    <cellStyle name="20 % - Markeringsfarve1 3 2 4 4 2 2 2" xfId="32569" xr:uid="{00000000-0005-0000-0000-0000B9050000}"/>
    <cellStyle name="20 % - Markeringsfarve1 3 2 4 4 2 2 3" xfId="47533" xr:uid="{00000000-0005-0000-0000-0000BA050000}"/>
    <cellStyle name="20 % - Markeringsfarve1 3 2 4 4 2 3" xfId="25547" xr:uid="{00000000-0005-0000-0000-0000BB050000}"/>
    <cellStyle name="20 % - Markeringsfarve1 3 2 4 4 2 4" xfId="40534" xr:uid="{00000000-0005-0000-0000-0000BC050000}"/>
    <cellStyle name="20 % - Markeringsfarve1 3 2 4 4 3" xfId="10274" xr:uid="{00000000-0005-0000-0000-0000BD050000}"/>
    <cellStyle name="20 % - Markeringsfarve1 3 2 4 4 3 2" xfId="26593" xr:uid="{00000000-0005-0000-0000-0000BE050000}"/>
    <cellStyle name="20 % - Markeringsfarve1 3 2 4 4 3 3" xfId="41559" xr:uid="{00000000-0005-0000-0000-0000BF050000}"/>
    <cellStyle name="20 % - Markeringsfarve1 3 2 4 4 4" xfId="19571" xr:uid="{00000000-0005-0000-0000-0000C0050000}"/>
    <cellStyle name="20 % - Markeringsfarve1 3 2 4 4 5" xfId="34560" xr:uid="{00000000-0005-0000-0000-0000C1050000}"/>
    <cellStyle name="20 % - Markeringsfarve1 3 2 4 5" xfId="5432" xr:uid="{00000000-0005-0000-0000-0000C2050000}"/>
    <cellStyle name="20 % - Markeringsfarve1 3 2 4 5 2" xfId="13350" xr:uid="{00000000-0005-0000-0000-0000C3050000}"/>
    <cellStyle name="20 % - Markeringsfarve1 3 2 4 5 2 2" xfId="29664" xr:uid="{00000000-0005-0000-0000-0000C4050000}"/>
    <cellStyle name="20 % - Markeringsfarve1 3 2 4 5 2 3" xfId="44628" xr:uid="{00000000-0005-0000-0000-0000C5050000}"/>
    <cellStyle name="20 % - Markeringsfarve1 3 2 4 5 3" xfId="22642" xr:uid="{00000000-0005-0000-0000-0000C6050000}"/>
    <cellStyle name="20 % - Markeringsfarve1 3 2 4 5 4" xfId="37629" xr:uid="{00000000-0005-0000-0000-0000C7050000}"/>
    <cellStyle name="20 % - Markeringsfarve1 3 2 4 6" xfId="10270" xr:uid="{00000000-0005-0000-0000-0000C8050000}"/>
    <cellStyle name="20 % - Markeringsfarve1 3 2 4 6 2" xfId="26589" xr:uid="{00000000-0005-0000-0000-0000C9050000}"/>
    <cellStyle name="20 % - Markeringsfarve1 3 2 4 6 3" xfId="41555" xr:uid="{00000000-0005-0000-0000-0000CA050000}"/>
    <cellStyle name="20 % - Markeringsfarve1 3 2 4 7" xfId="19567" xr:uid="{00000000-0005-0000-0000-0000CB050000}"/>
    <cellStyle name="20 % - Markeringsfarve1 3 2 4 8" xfId="34556" xr:uid="{00000000-0005-0000-0000-0000CC050000}"/>
    <cellStyle name="20 % - Markeringsfarve1 3 2 5" xfId="1718" xr:uid="{00000000-0005-0000-0000-0000CD050000}"/>
    <cellStyle name="20 % - Markeringsfarve1 3 2 5 2" xfId="1719" xr:uid="{00000000-0005-0000-0000-0000CE050000}"/>
    <cellStyle name="20 % - Markeringsfarve1 3 2 5 2 2" xfId="1720" xr:uid="{00000000-0005-0000-0000-0000CF050000}"/>
    <cellStyle name="20 % - Markeringsfarve1 3 2 5 2 2 2" xfId="8016" xr:uid="{00000000-0005-0000-0000-0000D0050000}"/>
    <cellStyle name="20 % - Markeringsfarve1 3 2 5 2 2 2 2" xfId="15917" xr:uid="{00000000-0005-0000-0000-0000D1050000}"/>
    <cellStyle name="20 % - Markeringsfarve1 3 2 5 2 2 2 2 2" xfId="32231" xr:uid="{00000000-0005-0000-0000-0000D2050000}"/>
    <cellStyle name="20 % - Markeringsfarve1 3 2 5 2 2 2 2 3" xfId="47195" xr:uid="{00000000-0005-0000-0000-0000D3050000}"/>
    <cellStyle name="20 % - Markeringsfarve1 3 2 5 2 2 2 3" xfId="25209" xr:uid="{00000000-0005-0000-0000-0000D4050000}"/>
    <cellStyle name="20 % - Markeringsfarve1 3 2 5 2 2 2 4" xfId="40196" xr:uid="{00000000-0005-0000-0000-0000D5050000}"/>
    <cellStyle name="20 % - Markeringsfarve1 3 2 5 2 2 3" xfId="10277" xr:uid="{00000000-0005-0000-0000-0000D6050000}"/>
    <cellStyle name="20 % - Markeringsfarve1 3 2 5 2 2 3 2" xfId="26596" xr:uid="{00000000-0005-0000-0000-0000D7050000}"/>
    <cellStyle name="20 % - Markeringsfarve1 3 2 5 2 2 3 3" xfId="41562" xr:uid="{00000000-0005-0000-0000-0000D8050000}"/>
    <cellStyle name="20 % - Markeringsfarve1 3 2 5 2 2 4" xfId="19574" xr:uid="{00000000-0005-0000-0000-0000D9050000}"/>
    <cellStyle name="20 % - Markeringsfarve1 3 2 5 2 2 5" xfId="34563" xr:uid="{00000000-0005-0000-0000-0000DA050000}"/>
    <cellStyle name="20 % - Markeringsfarve1 3 2 5 2 3" xfId="6537" xr:uid="{00000000-0005-0000-0000-0000DB050000}"/>
    <cellStyle name="20 % - Markeringsfarve1 3 2 5 2 3 2" xfId="14451" xr:uid="{00000000-0005-0000-0000-0000DC050000}"/>
    <cellStyle name="20 % - Markeringsfarve1 3 2 5 2 3 2 2" xfId="30765" xr:uid="{00000000-0005-0000-0000-0000DD050000}"/>
    <cellStyle name="20 % - Markeringsfarve1 3 2 5 2 3 2 3" xfId="45729" xr:uid="{00000000-0005-0000-0000-0000DE050000}"/>
    <cellStyle name="20 % - Markeringsfarve1 3 2 5 2 3 3" xfId="23743" xr:uid="{00000000-0005-0000-0000-0000DF050000}"/>
    <cellStyle name="20 % - Markeringsfarve1 3 2 5 2 3 4" xfId="38730" xr:uid="{00000000-0005-0000-0000-0000E0050000}"/>
    <cellStyle name="20 % - Markeringsfarve1 3 2 5 2 4" xfId="10276" xr:uid="{00000000-0005-0000-0000-0000E1050000}"/>
    <cellStyle name="20 % - Markeringsfarve1 3 2 5 2 4 2" xfId="26595" xr:uid="{00000000-0005-0000-0000-0000E2050000}"/>
    <cellStyle name="20 % - Markeringsfarve1 3 2 5 2 4 3" xfId="41561" xr:uid="{00000000-0005-0000-0000-0000E3050000}"/>
    <cellStyle name="20 % - Markeringsfarve1 3 2 5 2 5" xfId="19573" xr:uid="{00000000-0005-0000-0000-0000E4050000}"/>
    <cellStyle name="20 % - Markeringsfarve1 3 2 5 2 6" xfId="34562" xr:uid="{00000000-0005-0000-0000-0000E5050000}"/>
    <cellStyle name="20 % - Markeringsfarve1 3 2 5 3" xfId="1721" xr:uid="{00000000-0005-0000-0000-0000E6050000}"/>
    <cellStyle name="20 % - Markeringsfarve1 3 2 5 3 2" xfId="7292" xr:uid="{00000000-0005-0000-0000-0000E7050000}"/>
    <cellStyle name="20 % - Markeringsfarve1 3 2 5 3 2 2" xfId="15202" xr:uid="{00000000-0005-0000-0000-0000E8050000}"/>
    <cellStyle name="20 % - Markeringsfarve1 3 2 5 3 2 2 2" xfId="31516" xr:uid="{00000000-0005-0000-0000-0000E9050000}"/>
    <cellStyle name="20 % - Markeringsfarve1 3 2 5 3 2 2 3" xfId="46480" xr:uid="{00000000-0005-0000-0000-0000EA050000}"/>
    <cellStyle name="20 % - Markeringsfarve1 3 2 5 3 2 3" xfId="24494" xr:uid="{00000000-0005-0000-0000-0000EB050000}"/>
    <cellStyle name="20 % - Markeringsfarve1 3 2 5 3 2 4" xfId="39481" xr:uid="{00000000-0005-0000-0000-0000EC050000}"/>
    <cellStyle name="20 % - Markeringsfarve1 3 2 5 3 3" xfId="10278" xr:uid="{00000000-0005-0000-0000-0000ED050000}"/>
    <cellStyle name="20 % - Markeringsfarve1 3 2 5 3 3 2" xfId="26597" xr:uid="{00000000-0005-0000-0000-0000EE050000}"/>
    <cellStyle name="20 % - Markeringsfarve1 3 2 5 3 3 3" xfId="41563" xr:uid="{00000000-0005-0000-0000-0000EF050000}"/>
    <cellStyle name="20 % - Markeringsfarve1 3 2 5 3 4" xfId="19575" xr:uid="{00000000-0005-0000-0000-0000F0050000}"/>
    <cellStyle name="20 % - Markeringsfarve1 3 2 5 3 5" xfId="34564" xr:uid="{00000000-0005-0000-0000-0000F1050000}"/>
    <cellStyle name="20 % - Markeringsfarve1 3 2 5 4" xfId="1722" xr:uid="{00000000-0005-0000-0000-0000F2050000}"/>
    <cellStyle name="20 % - Markeringsfarve1 3 2 5 4 2" xfId="8360" xr:uid="{00000000-0005-0000-0000-0000F3050000}"/>
    <cellStyle name="20 % - Markeringsfarve1 3 2 5 4 2 2" xfId="16254" xr:uid="{00000000-0005-0000-0000-0000F4050000}"/>
    <cellStyle name="20 % - Markeringsfarve1 3 2 5 4 2 2 2" xfId="32568" xr:uid="{00000000-0005-0000-0000-0000F5050000}"/>
    <cellStyle name="20 % - Markeringsfarve1 3 2 5 4 2 2 3" xfId="47532" xr:uid="{00000000-0005-0000-0000-0000F6050000}"/>
    <cellStyle name="20 % - Markeringsfarve1 3 2 5 4 2 3" xfId="25546" xr:uid="{00000000-0005-0000-0000-0000F7050000}"/>
    <cellStyle name="20 % - Markeringsfarve1 3 2 5 4 2 4" xfId="40533" xr:uid="{00000000-0005-0000-0000-0000F8050000}"/>
    <cellStyle name="20 % - Markeringsfarve1 3 2 5 4 3" xfId="10279" xr:uid="{00000000-0005-0000-0000-0000F9050000}"/>
    <cellStyle name="20 % - Markeringsfarve1 3 2 5 4 3 2" xfId="26598" xr:uid="{00000000-0005-0000-0000-0000FA050000}"/>
    <cellStyle name="20 % - Markeringsfarve1 3 2 5 4 3 3" xfId="41564" xr:uid="{00000000-0005-0000-0000-0000FB050000}"/>
    <cellStyle name="20 % - Markeringsfarve1 3 2 5 4 4" xfId="19576" xr:uid="{00000000-0005-0000-0000-0000FC050000}"/>
    <cellStyle name="20 % - Markeringsfarve1 3 2 5 4 5" xfId="34565" xr:uid="{00000000-0005-0000-0000-0000FD050000}"/>
    <cellStyle name="20 % - Markeringsfarve1 3 2 5 5" xfId="5433" xr:uid="{00000000-0005-0000-0000-0000FE050000}"/>
    <cellStyle name="20 % - Markeringsfarve1 3 2 5 5 2" xfId="13351" xr:uid="{00000000-0005-0000-0000-0000FF050000}"/>
    <cellStyle name="20 % - Markeringsfarve1 3 2 5 5 2 2" xfId="29665" xr:uid="{00000000-0005-0000-0000-000000060000}"/>
    <cellStyle name="20 % - Markeringsfarve1 3 2 5 5 2 3" xfId="44629" xr:uid="{00000000-0005-0000-0000-000001060000}"/>
    <cellStyle name="20 % - Markeringsfarve1 3 2 5 5 3" xfId="22643" xr:uid="{00000000-0005-0000-0000-000002060000}"/>
    <cellStyle name="20 % - Markeringsfarve1 3 2 5 5 4" xfId="37630" xr:uid="{00000000-0005-0000-0000-000003060000}"/>
    <cellStyle name="20 % - Markeringsfarve1 3 2 5 6" xfId="10275" xr:uid="{00000000-0005-0000-0000-000004060000}"/>
    <cellStyle name="20 % - Markeringsfarve1 3 2 5 6 2" xfId="26594" xr:uid="{00000000-0005-0000-0000-000005060000}"/>
    <cellStyle name="20 % - Markeringsfarve1 3 2 5 6 3" xfId="41560" xr:uid="{00000000-0005-0000-0000-000006060000}"/>
    <cellStyle name="20 % - Markeringsfarve1 3 2 5 7" xfId="19572" xr:uid="{00000000-0005-0000-0000-000007060000}"/>
    <cellStyle name="20 % - Markeringsfarve1 3 2 5 8" xfId="34561" xr:uid="{00000000-0005-0000-0000-000008060000}"/>
    <cellStyle name="20 % - Markeringsfarve1 3 2 6" xfId="1723" xr:uid="{00000000-0005-0000-0000-000009060000}"/>
    <cellStyle name="20 % - Markeringsfarve1 3 2 6 2" xfId="1724" xr:uid="{00000000-0005-0000-0000-00000A060000}"/>
    <cellStyle name="20 % - Markeringsfarve1 3 2 6 2 2" xfId="1725" xr:uid="{00000000-0005-0000-0000-00000B060000}"/>
    <cellStyle name="20 % - Markeringsfarve1 3 2 6 2 2 2" xfId="8085" xr:uid="{00000000-0005-0000-0000-00000C060000}"/>
    <cellStyle name="20 % - Markeringsfarve1 3 2 6 2 2 2 2" xfId="15986" xr:uid="{00000000-0005-0000-0000-00000D060000}"/>
    <cellStyle name="20 % - Markeringsfarve1 3 2 6 2 2 2 2 2" xfId="32300" xr:uid="{00000000-0005-0000-0000-00000E060000}"/>
    <cellStyle name="20 % - Markeringsfarve1 3 2 6 2 2 2 2 3" xfId="47264" xr:uid="{00000000-0005-0000-0000-00000F060000}"/>
    <cellStyle name="20 % - Markeringsfarve1 3 2 6 2 2 2 3" xfId="25278" xr:uid="{00000000-0005-0000-0000-000010060000}"/>
    <cellStyle name="20 % - Markeringsfarve1 3 2 6 2 2 2 4" xfId="40265" xr:uid="{00000000-0005-0000-0000-000011060000}"/>
    <cellStyle name="20 % - Markeringsfarve1 3 2 6 2 2 3" xfId="10282" xr:uid="{00000000-0005-0000-0000-000012060000}"/>
    <cellStyle name="20 % - Markeringsfarve1 3 2 6 2 2 3 2" xfId="26601" xr:uid="{00000000-0005-0000-0000-000013060000}"/>
    <cellStyle name="20 % - Markeringsfarve1 3 2 6 2 2 3 3" xfId="41567" xr:uid="{00000000-0005-0000-0000-000014060000}"/>
    <cellStyle name="20 % - Markeringsfarve1 3 2 6 2 2 4" xfId="19579" xr:uid="{00000000-0005-0000-0000-000015060000}"/>
    <cellStyle name="20 % - Markeringsfarve1 3 2 6 2 2 5" xfId="34568" xr:uid="{00000000-0005-0000-0000-000016060000}"/>
    <cellStyle name="20 % - Markeringsfarve1 3 2 6 2 3" xfId="6596" xr:uid="{00000000-0005-0000-0000-000017060000}"/>
    <cellStyle name="20 % - Markeringsfarve1 3 2 6 2 3 2" xfId="14510" xr:uid="{00000000-0005-0000-0000-000018060000}"/>
    <cellStyle name="20 % - Markeringsfarve1 3 2 6 2 3 2 2" xfId="30824" xr:uid="{00000000-0005-0000-0000-000019060000}"/>
    <cellStyle name="20 % - Markeringsfarve1 3 2 6 2 3 2 3" xfId="45788" xr:uid="{00000000-0005-0000-0000-00001A060000}"/>
    <cellStyle name="20 % - Markeringsfarve1 3 2 6 2 3 3" xfId="23802" xr:uid="{00000000-0005-0000-0000-00001B060000}"/>
    <cellStyle name="20 % - Markeringsfarve1 3 2 6 2 3 4" xfId="38789" xr:uid="{00000000-0005-0000-0000-00001C060000}"/>
    <cellStyle name="20 % - Markeringsfarve1 3 2 6 2 4" xfId="10281" xr:uid="{00000000-0005-0000-0000-00001D060000}"/>
    <cellStyle name="20 % - Markeringsfarve1 3 2 6 2 4 2" xfId="26600" xr:uid="{00000000-0005-0000-0000-00001E060000}"/>
    <cellStyle name="20 % - Markeringsfarve1 3 2 6 2 4 3" xfId="41566" xr:uid="{00000000-0005-0000-0000-00001F060000}"/>
    <cellStyle name="20 % - Markeringsfarve1 3 2 6 2 5" xfId="19578" xr:uid="{00000000-0005-0000-0000-000020060000}"/>
    <cellStyle name="20 % - Markeringsfarve1 3 2 6 2 6" xfId="34567" xr:uid="{00000000-0005-0000-0000-000021060000}"/>
    <cellStyle name="20 % - Markeringsfarve1 3 2 6 3" xfId="1726" xr:uid="{00000000-0005-0000-0000-000022060000}"/>
    <cellStyle name="20 % - Markeringsfarve1 3 2 6 3 2" xfId="7362" xr:uid="{00000000-0005-0000-0000-000023060000}"/>
    <cellStyle name="20 % - Markeringsfarve1 3 2 6 3 2 2" xfId="15272" xr:uid="{00000000-0005-0000-0000-000024060000}"/>
    <cellStyle name="20 % - Markeringsfarve1 3 2 6 3 2 2 2" xfId="31586" xr:uid="{00000000-0005-0000-0000-000025060000}"/>
    <cellStyle name="20 % - Markeringsfarve1 3 2 6 3 2 2 3" xfId="46550" xr:uid="{00000000-0005-0000-0000-000026060000}"/>
    <cellStyle name="20 % - Markeringsfarve1 3 2 6 3 2 3" xfId="24564" xr:uid="{00000000-0005-0000-0000-000027060000}"/>
    <cellStyle name="20 % - Markeringsfarve1 3 2 6 3 2 4" xfId="39551" xr:uid="{00000000-0005-0000-0000-000028060000}"/>
    <cellStyle name="20 % - Markeringsfarve1 3 2 6 3 3" xfId="10283" xr:uid="{00000000-0005-0000-0000-000029060000}"/>
    <cellStyle name="20 % - Markeringsfarve1 3 2 6 3 3 2" xfId="26602" xr:uid="{00000000-0005-0000-0000-00002A060000}"/>
    <cellStyle name="20 % - Markeringsfarve1 3 2 6 3 3 3" xfId="41568" xr:uid="{00000000-0005-0000-0000-00002B060000}"/>
    <cellStyle name="20 % - Markeringsfarve1 3 2 6 3 4" xfId="19580" xr:uid="{00000000-0005-0000-0000-00002C060000}"/>
    <cellStyle name="20 % - Markeringsfarve1 3 2 6 3 5" xfId="34569" xr:uid="{00000000-0005-0000-0000-00002D060000}"/>
    <cellStyle name="20 % - Markeringsfarve1 3 2 6 4" xfId="1727" xr:uid="{00000000-0005-0000-0000-00002E060000}"/>
    <cellStyle name="20 % - Markeringsfarve1 3 2 6 4 2" xfId="8359" xr:uid="{00000000-0005-0000-0000-00002F060000}"/>
    <cellStyle name="20 % - Markeringsfarve1 3 2 6 4 2 2" xfId="16253" xr:uid="{00000000-0005-0000-0000-000030060000}"/>
    <cellStyle name="20 % - Markeringsfarve1 3 2 6 4 2 2 2" xfId="32567" xr:uid="{00000000-0005-0000-0000-000031060000}"/>
    <cellStyle name="20 % - Markeringsfarve1 3 2 6 4 2 2 3" xfId="47531" xr:uid="{00000000-0005-0000-0000-000032060000}"/>
    <cellStyle name="20 % - Markeringsfarve1 3 2 6 4 2 3" xfId="25545" xr:uid="{00000000-0005-0000-0000-000033060000}"/>
    <cellStyle name="20 % - Markeringsfarve1 3 2 6 4 2 4" xfId="40532" xr:uid="{00000000-0005-0000-0000-000034060000}"/>
    <cellStyle name="20 % - Markeringsfarve1 3 2 6 4 3" xfId="10284" xr:uid="{00000000-0005-0000-0000-000035060000}"/>
    <cellStyle name="20 % - Markeringsfarve1 3 2 6 4 3 2" xfId="26603" xr:uid="{00000000-0005-0000-0000-000036060000}"/>
    <cellStyle name="20 % - Markeringsfarve1 3 2 6 4 3 3" xfId="41569" xr:uid="{00000000-0005-0000-0000-000037060000}"/>
    <cellStyle name="20 % - Markeringsfarve1 3 2 6 4 4" xfId="19581" xr:uid="{00000000-0005-0000-0000-000038060000}"/>
    <cellStyle name="20 % - Markeringsfarve1 3 2 6 4 5" xfId="34570" xr:uid="{00000000-0005-0000-0000-000039060000}"/>
    <cellStyle name="20 % - Markeringsfarve1 3 2 6 5" xfId="5434" xr:uid="{00000000-0005-0000-0000-00003A060000}"/>
    <cellStyle name="20 % - Markeringsfarve1 3 2 6 5 2" xfId="13352" xr:uid="{00000000-0005-0000-0000-00003B060000}"/>
    <cellStyle name="20 % - Markeringsfarve1 3 2 6 5 2 2" xfId="29666" xr:uid="{00000000-0005-0000-0000-00003C060000}"/>
    <cellStyle name="20 % - Markeringsfarve1 3 2 6 5 2 3" xfId="44630" xr:uid="{00000000-0005-0000-0000-00003D060000}"/>
    <cellStyle name="20 % - Markeringsfarve1 3 2 6 5 3" xfId="22644" xr:uid="{00000000-0005-0000-0000-00003E060000}"/>
    <cellStyle name="20 % - Markeringsfarve1 3 2 6 5 4" xfId="37631" xr:uid="{00000000-0005-0000-0000-00003F060000}"/>
    <cellStyle name="20 % - Markeringsfarve1 3 2 6 6" xfId="10280" xr:uid="{00000000-0005-0000-0000-000040060000}"/>
    <cellStyle name="20 % - Markeringsfarve1 3 2 6 6 2" xfId="26599" xr:uid="{00000000-0005-0000-0000-000041060000}"/>
    <cellStyle name="20 % - Markeringsfarve1 3 2 6 6 3" xfId="41565" xr:uid="{00000000-0005-0000-0000-000042060000}"/>
    <cellStyle name="20 % - Markeringsfarve1 3 2 6 7" xfId="19577" xr:uid="{00000000-0005-0000-0000-000043060000}"/>
    <cellStyle name="20 % - Markeringsfarve1 3 2 6 8" xfId="34566" xr:uid="{00000000-0005-0000-0000-000044060000}"/>
    <cellStyle name="20 % - Markeringsfarve1 3 2 7" xfId="1728" xr:uid="{00000000-0005-0000-0000-000045060000}"/>
    <cellStyle name="20 % - Markeringsfarve1 3 2 7 2" xfId="1729" xr:uid="{00000000-0005-0000-0000-000046060000}"/>
    <cellStyle name="20 % - Markeringsfarve1 3 2 7 2 2" xfId="7542" xr:uid="{00000000-0005-0000-0000-000047060000}"/>
    <cellStyle name="20 % - Markeringsfarve1 3 2 7 2 2 2" xfId="15443" xr:uid="{00000000-0005-0000-0000-000048060000}"/>
    <cellStyle name="20 % - Markeringsfarve1 3 2 7 2 2 2 2" xfId="31757" xr:uid="{00000000-0005-0000-0000-000049060000}"/>
    <cellStyle name="20 % - Markeringsfarve1 3 2 7 2 2 2 3" xfId="46721" xr:uid="{00000000-0005-0000-0000-00004A060000}"/>
    <cellStyle name="20 % - Markeringsfarve1 3 2 7 2 2 3" xfId="24735" xr:uid="{00000000-0005-0000-0000-00004B060000}"/>
    <cellStyle name="20 % - Markeringsfarve1 3 2 7 2 2 4" xfId="39722" xr:uid="{00000000-0005-0000-0000-00004C060000}"/>
    <cellStyle name="20 % - Markeringsfarve1 3 2 7 2 3" xfId="10286" xr:uid="{00000000-0005-0000-0000-00004D060000}"/>
    <cellStyle name="20 % - Markeringsfarve1 3 2 7 2 3 2" xfId="26605" xr:uid="{00000000-0005-0000-0000-00004E060000}"/>
    <cellStyle name="20 % - Markeringsfarve1 3 2 7 2 3 3" xfId="41571" xr:uid="{00000000-0005-0000-0000-00004F060000}"/>
    <cellStyle name="20 % - Markeringsfarve1 3 2 7 2 4" xfId="19583" xr:uid="{00000000-0005-0000-0000-000050060000}"/>
    <cellStyle name="20 % - Markeringsfarve1 3 2 7 2 5" xfId="34572" xr:uid="{00000000-0005-0000-0000-000051060000}"/>
    <cellStyle name="20 % - Markeringsfarve1 3 2 7 3" xfId="6137" xr:uid="{00000000-0005-0000-0000-000052060000}"/>
    <cellStyle name="20 % - Markeringsfarve1 3 2 7 3 2" xfId="14054" xr:uid="{00000000-0005-0000-0000-000053060000}"/>
    <cellStyle name="20 % - Markeringsfarve1 3 2 7 3 2 2" xfId="30368" xr:uid="{00000000-0005-0000-0000-000054060000}"/>
    <cellStyle name="20 % - Markeringsfarve1 3 2 7 3 2 3" xfId="45332" xr:uid="{00000000-0005-0000-0000-000055060000}"/>
    <cellStyle name="20 % - Markeringsfarve1 3 2 7 3 3" xfId="23346" xr:uid="{00000000-0005-0000-0000-000056060000}"/>
    <cellStyle name="20 % - Markeringsfarve1 3 2 7 3 4" xfId="38333" xr:uid="{00000000-0005-0000-0000-000057060000}"/>
    <cellStyle name="20 % - Markeringsfarve1 3 2 7 4" xfId="10285" xr:uid="{00000000-0005-0000-0000-000058060000}"/>
    <cellStyle name="20 % - Markeringsfarve1 3 2 7 4 2" xfId="26604" xr:uid="{00000000-0005-0000-0000-000059060000}"/>
    <cellStyle name="20 % - Markeringsfarve1 3 2 7 4 3" xfId="41570" xr:uid="{00000000-0005-0000-0000-00005A060000}"/>
    <cellStyle name="20 % - Markeringsfarve1 3 2 7 5" xfId="19582" xr:uid="{00000000-0005-0000-0000-00005B060000}"/>
    <cellStyle name="20 % - Markeringsfarve1 3 2 7 6" xfId="34571" xr:uid="{00000000-0005-0000-0000-00005C060000}"/>
    <cellStyle name="20 % - Markeringsfarve1 3 2 8" xfId="1730" xr:uid="{00000000-0005-0000-0000-00005D060000}"/>
    <cellStyle name="20 % - Markeringsfarve1 3 2 8 2" xfId="6770" xr:uid="{00000000-0005-0000-0000-00005E060000}"/>
    <cellStyle name="20 % - Markeringsfarve1 3 2 8 2 2" xfId="14681" xr:uid="{00000000-0005-0000-0000-00005F060000}"/>
    <cellStyle name="20 % - Markeringsfarve1 3 2 8 2 2 2" xfId="30995" xr:uid="{00000000-0005-0000-0000-000060060000}"/>
    <cellStyle name="20 % - Markeringsfarve1 3 2 8 2 2 3" xfId="45959" xr:uid="{00000000-0005-0000-0000-000061060000}"/>
    <cellStyle name="20 % - Markeringsfarve1 3 2 8 2 3" xfId="23973" xr:uid="{00000000-0005-0000-0000-000062060000}"/>
    <cellStyle name="20 % - Markeringsfarve1 3 2 8 2 4" xfId="38960" xr:uid="{00000000-0005-0000-0000-000063060000}"/>
    <cellStyle name="20 % - Markeringsfarve1 3 2 8 3" xfId="10287" xr:uid="{00000000-0005-0000-0000-000064060000}"/>
    <cellStyle name="20 % - Markeringsfarve1 3 2 8 3 2" xfId="26606" xr:uid="{00000000-0005-0000-0000-000065060000}"/>
    <cellStyle name="20 % - Markeringsfarve1 3 2 8 3 3" xfId="41572" xr:uid="{00000000-0005-0000-0000-000066060000}"/>
    <cellStyle name="20 % - Markeringsfarve1 3 2 8 4" xfId="19584" xr:uid="{00000000-0005-0000-0000-000067060000}"/>
    <cellStyle name="20 % - Markeringsfarve1 3 2 8 5" xfId="34573" xr:uid="{00000000-0005-0000-0000-000068060000}"/>
    <cellStyle name="20 % - Markeringsfarve1 3 2 9" xfId="1731" xr:uid="{00000000-0005-0000-0000-000069060000}"/>
    <cellStyle name="20 % - Markeringsfarve1 3 2 9 2" xfId="8364" xr:uid="{00000000-0005-0000-0000-00006A060000}"/>
    <cellStyle name="20 % - Markeringsfarve1 3 2 9 2 2" xfId="16258" xr:uid="{00000000-0005-0000-0000-00006B060000}"/>
    <cellStyle name="20 % - Markeringsfarve1 3 2 9 2 2 2" xfId="32572" xr:uid="{00000000-0005-0000-0000-00006C060000}"/>
    <cellStyle name="20 % - Markeringsfarve1 3 2 9 2 2 3" xfId="47536" xr:uid="{00000000-0005-0000-0000-00006D060000}"/>
    <cellStyle name="20 % - Markeringsfarve1 3 2 9 2 3" xfId="25550" xr:uid="{00000000-0005-0000-0000-00006E060000}"/>
    <cellStyle name="20 % - Markeringsfarve1 3 2 9 2 4" xfId="40537" xr:uid="{00000000-0005-0000-0000-00006F060000}"/>
    <cellStyle name="20 % - Markeringsfarve1 3 2 9 3" xfId="10288" xr:uid="{00000000-0005-0000-0000-000070060000}"/>
    <cellStyle name="20 % - Markeringsfarve1 3 2 9 3 2" xfId="26607" xr:uid="{00000000-0005-0000-0000-000071060000}"/>
    <cellStyle name="20 % - Markeringsfarve1 3 2 9 3 3" xfId="41573" xr:uid="{00000000-0005-0000-0000-000072060000}"/>
    <cellStyle name="20 % - Markeringsfarve1 3 2 9 4" xfId="19585" xr:uid="{00000000-0005-0000-0000-000073060000}"/>
    <cellStyle name="20 % - Markeringsfarve1 3 2 9 5" xfId="34574" xr:uid="{00000000-0005-0000-0000-000074060000}"/>
    <cellStyle name="20 % - Markeringsfarve1 3 3" xfId="1732" xr:uid="{00000000-0005-0000-0000-000075060000}"/>
    <cellStyle name="20 % - Markeringsfarve1 3 3 10" xfId="5435" xr:uid="{00000000-0005-0000-0000-000076060000}"/>
    <cellStyle name="20 % - Markeringsfarve1 3 3 10 2" xfId="13353" xr:uid="{00000000-0005-0000-0000-000077060000}"/>
    <cellStyle name="20 % - Markeringsfarve1 3 3 10 2 2" xfId="29667" xr:uid="{00000000-0005-0000-0000-000078060000}"/>
    <cellStyle name="20 % - Markeringsfarve1 3 3 10 2 3" xfId="44631" xr:uid="{00000000-0005-0000-0000-000079060000}"/>
    <cellStyle name="20 % - Markeringsfarve1 3 3 10 3" xfId="22645" xr:uid="{00000000-0005-0000-0000-00007A060000}"/>
    <cellStyle name="20 % - Markeringsfarve1 3 3 10 4" xfId="37632" xr:uid="{00000000-0005-0000-0000-00007B060000}"/>
    <cellStyle name="20 % - Markeringsfarve1 3 3 11" xfId="10289" xr:uid="{00000000-0005-0000-0000-00007C060000}"/>
    <cellStyle name="20 % - Markeringsfarve1 3 3 11 2" xfId="26608" xr:uid="{00000000-0005-0000-0000-00007D060000}"/>
    <cellStyle name="20 % - Markeringsfarve1 3 3 11 3" xfId="41574" xr:uid="{00000000-0005-0000-0000-00007E060000}"/>
    <cellStyle name="20 % - Markeringsfarve1 3 3 12" xfId="19586" xr:uid="{00000000-0005-0000-0000-00007F060000}"/>
    <cellStyle name="20 % - Markeringsfarve1 3 3 13" xfId="34575" xr:uid="{00000000-0005-0000-0000-000080060000}"/>
    <cellStyle name="20 % - Markeringsfarve1 3 3 14" xfId="54013" xr:uid="{00000000-0005-0000-0000-000081060000}"/>
    <cellStyle name="20 % - Markeringsfarve1 3 3 2" xfId="1733" xr:uid="{00000000-0005-0000-0000-000082060000}"/>
    <cellStyle name="20 % - Markeringsfarve1 3 3 2 2" xfId="1734" xr:uid="{00000000-0005-0000-0000-000083060000}"/>
    <cellStyle name="20 % - Markeringsfarve1 3 3 2 2 2" xfId="1735" xr:uid="{00000000-0005-0000-0000-000084060000}"/>
    <cellStyle name="20 % - Markeringsfarve1 3 3 2 2 2 2" xfId="7700" xr:uid="{00000000-0005-0000-0000-000085060000}"/>
    <cellStyle name="20 % - Markeringsfarve1 3 3 2 2 2 2 2" xfId="15601" xr:uid="{00000000-0005-0000-0000-000086060000}"/>
    <cellStyle name="20 % - Markeringsfarve1 3 3 2 2 2 2 2 2" xfId="31915" xr:uid="{00000000-0005-0000-0000-000087060000}"/>
    <cellStyle name="20 % - Markeringsfarve1 3 3 2 2 2 2 2 3" xfId="46879" xr:uid="{00000000-0005-0000-0000-000088060000}"/>
    <cellStyle name="20 % - Markeringsfarve1 3 3 2 2 2 2 3" xfId="24893" xr:uid="{00000000-0005-0000-0000-000089060000}"/>
    <cellStyle name="20 % - Markeringsfarve1 3 3 2 2 2 2 4" xfId="39880" xr:uid="{00000000-0005-0000-0000-00008A060000}"/>
    <cellStyle name="20 % - Markeringsfarve1 3 3 2 2 2 3" xfId="10292" xr:uid="{00000000-0005-0000-0000-00008B060000}"/>
    <cellStyle name="20 % - Markeringsfarve1 3 3 2 2 2 3 2" xfId="26611" xr:uid="{00000000-0005-0000-0000-00008C060000}"/>
    <cellStyle name="20 % - Markeringsfarve1 3 3 2 2 2 3 3" xfId="41577" xr:uid="{00000000-0005-0000-0000-00008D060000}"/>
    <cellStyle name="20 % - Markeringsfarve1 3 3 2 2 2 4" xfId="19589" xr:uid="{00000000-0005-0000-0000-00008E060000}"/>
    <cellStyle name="20 % - Markeringsfarve1 3 3 2 2 2 5" xfId="34578" xr:uid="{00000000-0005-0000-0000-00008F060000}"/>
    <cellStyle name="20 % - Markeringsfarve1 3 3 2 2 3" xfId="6269" xr:uid="{00000000-0005-0000-0000-000090060000}"/>
    <cellStyle name="20 % - Markeringsfarve1 3 3 2 2 3 2" xfId="14186" xr:uid="{00000000-0005-0000-0000-000091060000}"/>
    <cellStyle name="20 % - Markeringsfarve1 3 3 2 2 3 2 2" xfId="30500" xr:uid="{00000000-0005-0000-0000-000092060000}"/>
    <cellStyle name="20 % - Markeringsfarve1 3 3 2 2 3 2 3" xfId="45464" xr:uid="{00000000-0005-0000-0000-000093060000}"/>
    <cellStyle name="20 % - Markeringsfarve1 3 3 2 2 3 3" xfId="23478" xr:uid="{00000000-0005-0000-0000-000094060000}"/>
    <cellStyle name="20 % - Markeringsfarve1 3 3 2 2 3 4" xfId="38465" xr:uid="{00000000-0005-0000-0000-000095060000}"/>
    <cellStyle name="20 % - Markeringsfarve1 3 3 2 2 4" xfId="10291" xr:uid="{00000000-0005-0000-0000-000096060000}"/>
    <cellStyle name="20 % - Markeringsfarve1 3 3 2 2 4 2" xfId="26610" xr:uid="{00000000-0005-0000-0000-000097060000}"/>
    <cellStyle name="20 % - Markeringsfarve1 3 3 2 2 4 3" xfId="41576" xr:uid="{00000000-0005-0000-0000-000098060000}"/>
    <cellStyle name="20 % - Markeringsfarve1 3 3 2 2 5" xfId="19588" xr:uid="{00000000-0005-0000-0000-000099060000}"/>
    <cellStyle name="20 % - Markeringsfarve1 3 3 2 2 6" xfId="34577" xr:uid="{00000000-0005-0000-0000-00009A060000}"/>
    <cellStyle name="20 % - Markeringsfarve1 3 3 2 3" xfId="1736" xr:uid="{00000000-0005-0000-0000-00009B060000}"/>
    <cellStyle name="20 % - Markeringsfarve1 3 3 2 3 2" xfId="6930" xr:uid="{00000000-0005-0000-0000-00009C060000}"/>
    <cellStyle name="20 % - Markeringsfarve1 3 3 2 3 2 2" xfId="14841" xr:uid="{00000000-0005-0000-0000-00009D060000}"/>
    <cellStyle name="20 % - Markeringsfarve1 3 3 2 3 2 2 2" xfId="31155" xr:uid="{00000000-0005-0000-0000-00009E060000}"/>
    <cellStyle name="20 % - Markeringsfarve1 3 3 2 3 2 2 3" xfId="46119" xr:uid="{00000000-0005-0000-0000-00009F060000}"/>
    <cellStyle name="20 % - Markeringsfarve1 3 3 2 3 2 3" xfId="24133" xr:uid="{00000000-0005-0000-0000-0000A0060000}"/>
    <cellStyle name="20 % - Markeringsfarve1 3 3 2 3 2 4" xfId="39120" xr:uid="{00000000-0005-0000-0000-0000A1060000}"/>
    <cellStyle name="20 % - Markeringsfarve1 3 3 2 3 3" xfId="10293" xr:uid="{00000000-0005-0000-0000-0000A2060000}"/>
    <cellStyle name="20 % - Markeringsfarve1 3 3 2 3 3 2" xfId="26612" xr:uid="{00000000-0005-0000-0000-0000A3060000}"/>
    <cellStyle name="20 % - Markeringsfarve1 3 3 2 3 3 3" xfId="41578" xr:uid="{00000000-0005-0000-0000-0000A4060000}"/>
    <cellStyle name="20 % - Markeringsfarve1 3 3 2 3 4" xfId="19590" xr:uid="{00000000-0005-0000-0000-0000A5060000}"/>
    <cellStyle name="20 % - Markeringsfarve1 3 3 2 3 5" xfId="34579" xr:uid="{00000000-0005-0000-0000-0000A6060000}"/>
    <cellStyle name="20 % - Markeringsfarve1 3 3 2 4" xfId="1737" xr:uid="{00000000-0005-0000-0000-0000A7060000}"/>
    <cellStyle name="20 % - Markeringsfarve1 3 3 2 4 2" xfId="8357" xr:uid="{00000000-0005-0000-0000-0000A8060000}"/>
    <cellStyle name="20 % - Markeringsfarve1 3 3 2 4 2 2" xfId="16251" xr:uid="{00000000-0005-0000-0000-0000A9060000}"/>
    <cellStyle name="20 % - Markeringsfarve1 3 3 2 4 2 2 2" xfId="32565" xr:uid="{00000000-0005-0000-0000-0000AA060000}"/>
    <cellStyle name="20 % - Markeringsfarve1 3 3 2 4 2 2 3" xfId="47529" xr:uid="{00000000-0005-0000-0000-0000AB060000}"/>
    <cellStyle name="20 % - Markeringsfarve1 3 3 2 4 2 3" xfId="25543" xr:uid="{00000000-0005-0000-0000-0000AC060000}"/>
    <cellStyle name="20 % - Markeringsfarve1 3 3 2 4 2 4" xfId="40530" xr:uid="{00000000-0005-0000-0000-0000AD060000}"/>
    <cellStyle name="20 % - Markeringsfarve1 3 3 2 4 3" xfId="10294" xr:uid="{00000000-0005-0000-0000-0000AE060000}"/>
    <cellStyle name="20 % - Markeringsfarve1 3 3 2 4 3 2" xfId="26613" xr:uid="{00000000-0005-0000-0000-0000AF060000}"/>
    <cellStyle name="20 % - Markeringsfarve1 3 3 2 4 3 3" xfId="41579" xr:uid="{00000000-0005-0000-0000-0000B0060000}"/>
    <cellStyle name="20 % - Markeringsfarve1 3 3 2 4 4" xfId="19591" xr:uid="{00000000-0005-0000-0000-0000B1060000}"/>
    <cellStyle name="20 % - Markeringsfarve1 3 3 2 4 5" xfId="34580" xr:uid="{00000000-0005-0000-0000-0000B2060000}"/>
    <cellStyle name="20 % - Markeringsfarve1 3 3 2 5" xfId="5436" xr:uid="{00000000-0005-0000-0000-0000B3060000}"/>
    <cellStyle name="20 % - Markeringsfarve1 3 3 2 5 2" xfId="13354" xr:uid="{00000000-0005-0000-0000-0000B4060000}"/>
    <cellStyle name="20 % - Markeringsfarve1 3 3 2 5 2 2" xfId="29668" xr:uid="{00000000-0005-0000-0000-0000B5060000}"/>
    <cellStyle name="20 % - Markeringsfarve1 3 3 2 5 2 3" xfId="44632" xr:uid="{00000000-0005-0000-0000-0000B6060000}"/>
    <cellStyle name="20 % - Markeringsfarve1 3 3 2 5 3" xfId="22646" xr:uid="{00000000-0005-0000-0000-0000B7060000}"/>
    <cellStyle name="20 % - Markeringsfarve1 3 3 2 5 4" xfId="37633" xr:uid="{00000000-0005-0000-0000-0000B8060000}"/>
    <cellStyle name="20 % - Markeringsfarve1 3 3 2 6" xfId="10290" xr:uid="{00000000-0005-0000-0000-0000B9060000}"/>
    <cellStyle name="20 % - Markeringsfarve1 3 3 2 6 2" xfId="26609" xr:uid="{00000000-0005-0000-0000-0000BA060000}"/>
    <cellStyle name="20 % - Markeringsfarve1 3 3 2 6 3" xfId="41575" xr:uid="{00000000-0005-0000-0000-0000BB060000}"/>
    <cellStyle name="20 % - Markeringsfarve1 3 3 2 7" xfId="19587" xr:uid="{00000000-0005-0000-0000-0000BC060000}"/>
    <cellStyle name="20 % - Markeringsfarve1 3 3 2 8" xfId="34576" xr:uid="{00000000-0005-0000-0000-0000BD060000}"/>
    <cellStyle name="20 % - Markeringsfarve1 3 3 2 9" xfId="57180" xr:uid="{00000000-0005-0000-0000-0000BE060000}"/>
    <cellStyle name="20 % - Markeringsfarve1 3 3 3" xfId="1738" xr:uid="{00000000-0005-0000-0000-0000BF060000}"/>
    <cellStyle name="20 % - Markeringsfarve1 3 3 3 2" xfId="1739" xr:uid="{00000000-0005-0000-0000-0000C0060000}"/>
    <cellStyle name="20 % - Markeringsfarve1 3 3 3 2 2" xfId="1740" xr:uid="{00000000-0005-0000-0000-0000C1060000}"/>
    <cellStyle name="20 % - Markeringsfarve1 3 3 3 2 2 2" xfId="7731" xr:uid="{00000000-0005-0000-0000-0000C2060000}"/>
    <cellStyle name="20 % - Markeringsfarve1 3 3 3 2 2 2 2" xfId="15632" xr:uid="{00000000-0005-0000-0000-0000C3060000}"/>
    <cellStyle name="20 % - Markeringsfarve1 3 3 3 2 2 2 2 2" xfId="31946" xr:uid="{00000000-0005-0000-0000-0000C4060000}"/>
    <cellStyle name="20 % - Markeringsfarve1 3 3 3 2 2 2 2 3" xfId="46910" xr:uid="{00000000-0005-0000-0000-0000C5060000}"/>
    <cellStyle name="20 % - Markeringsfarve1 3 3 3 2 2 2 3" xfId="24924" xr:uid="{00000000-0005-0000-0000-0000C6060000}"/>
    <cellStyle name="20 % - Markeringsfarve1 3 3 3 2 2 2 4" xfId="39911" xr:uid="{00000000-0005-0000-0000-0000C7060000}"/>
    <cellStyle name="20 % - Markeringsfarve1 3 3 3 2 2 3" xfId="10297" xr:uid="{00000000-0005-0000-0000-0000C8060000}"/>
    <cellStyle name="20 % - Markeringsfarve1 3 3 3 2 2 3 2" xfId="26616" xr:uid="{00000000-0005-0000-0000-0000C9060000}"/>
    <cellStyle name="20 % - Markeringsfarve1 3 3 3 2 2 3 3" xfId="41582" xr:uid="{00000000-0005-0000-0000-0000CA060000}"/>
    <cellStyle name="20 % - Markeringsfarve1 3 3 3 2 2 4" xfId="19594" xr:uid="{00000000-0005-0000-0000-0000CB060000}"/>
    <cellStyle name="20 % - Markeringsfarve1 3 3 3 2 2 5" xfId="34583" xr:uid="{00000000-0005-0000-0000-0000CC060000}"/>
    <cellStyle name="20 % - Markeringsfarve1 3 3 3 2 3" xfId="6295" xr:uid="{00000000-0005-0000-0000-0000CD060000}"/>
    <cellStyle name="20 % - Markeringsfarve1 3 3 3 2 3 2" xfId="14212" xr:uid="{00000000-0005-0000-0000-0000CE060000}"/>
    <cellStyle name="20 % - Markeringsfarve1 3 3 3 2 3 2 2" xfId="30526" xr:uid="{00000000-0005-0000-0000-0000CF060000}"/>
    <cellStyle name="20 % - Markeringsfarve1 3 3 3 2 3 2 3" xfId="45490" xr:uid="{00000000-0005-0000-0000-0000D0060000}"/>
    <cellStyle name="20 % - Markeringsfarve1 3 3 3 2 3 3" xfId="23504" xr:uid="{00000000-0005-0000-0000-0000D1060000}"/>
    <cellStyle name="20 % - Markeringsfarve1 3 3 3 2 3 4" xfId="38491" xr:uid="{00000000-0005-0000-0000-0000D2060000}"/>
    <cellStyle name="20 % - Markeringsfarve1 3 3 3 2 4" xfId="10296" xr:uid="{00000000-0005-0000-0000-0000D3060000}"/>
    <cellStyle name="20 % - Markeringsfarve1 3 3 3 2 4 2" xfId="26615" xr:uid="{00000000-0005-0000-0000-0000D4060000}"/>
    <cellStyle name="20 % - Markeringsfarve1 3 3 3 2 4 3" xfId="41581" xr:uid="{00000000-0005-0000-0000-0000D5060000}"/>
    <cellStyle name="20 % - Markeringsfarve1 3 3 3 2 5" xfId="19593" xr:uid="{00000000-0005-0000-0000-0000D6060000}"/>
    <cellStyle name="20 % - Markeringsfarve1 3 3 3 2 6" xfId="34582" xr:uid="{00000000-0005-0000-0000-0000D7060000}"/>
    <cellStyle name="20 % - Markeringsfarve1 3 3 3 3" xfId="1741" xr:uid="{00000000-0005-0000-0000-0000D8060000}"/>
    <cellStyle name="20 % - Markeringsfarve1 3 3 3 3 2" xfId="6961" xr:uid="{00000000-0005-0000-0000-0000D9060000}"/>
    <cellStyle name="20 % - Markeringsfarve1 3 3 3 3 2 2" xfId="14872" xr:uid="{00000000-0005-0000-0000-0000DA060000}"/>
    <cellStyle name="20 % - Markeringsfarve1 3 3 3 3 2 2 2" xfId="31186" xr:uid="{00000000-0005-0000-0000-0000DB060000}"/>
    <cellStyle name="20 % - Markeringsfarve1 3 3 3 3 2 2 3" xfId="46150" xr:uid="{00000000-0005-0000-0000-0000DC060000}"/>
    <cellStyle name="20 % - Markeringsfarve1 3 3 3 3 2 3" xfId="24164" xr:uid="{00000000-0005-0000-0000-0000DD060000}"/>
    <cellStyle name="20 % - Markeringsfarve1 3 3 3 3 2 4" xfId="39151" xr:uid="{00000000-0005-0000-0000-0000DE060000}"/>
    <cellStyle name="20 % - Markeringsfarve1 3 3 3 3 3" xfId="10298" xr:uid="{00000000-0005-0000-0000-0000DF060000}"/>
    <cellStyle name="20 % - Markeringsfarve1 3 3 3 3 3 2" xfId="26617" xr:uid="{00000000-0005-0000-0000-0000E0060000}"/>
    <cellStyle name="20 % - Markeringsfarve1 3 3 3 3 3 3" xfId="41583" xr:uid="{00000000-0005-0000-0000-0000E1060000}"/>
    <cellStyle name="20 % - Markeringsfarve1 3 3 3 3 4" xfId="19595" xr:uid="{00000000-0005-0000-0000-0000E2060000}"/>
    <cellStyle name="20 % - Markeringsfarve1 3 3 3 3 5" xfId="34584" xr:uid="{00000000-0005-0000-0000-0000E3060000}"/>
    <cellStyle name="20 % - Markeringsfarve1 3 3 3 4" xfId="1742" xr:uid="{00000000-0005-0000-0000-0000E4060000}"/>
    <cellStyle name="20 % - Markeringsfarve1 3 3 3 4 2" xfId="8356" xr:uid="{00000000-0005-0000-0000-0000E5060000}"/>
    <cellStyle name="20 % - Markeringsfarve1 3 3 3 4 2 2" xfId="16250" xr:uid="{00000000-0005-0000-0000-0000E6060000}"/>
    <cellStyle name="20 % - Markeringsfarve1 3 3 3 4 2 2 2" xfId="32564" xr:uid="{00000000-0005-0000-0000-0000E7060000}"/>
    <cellStyle name="20 % - Markeringsfarve1 3 3 3 4 2 2 3" xfId="47528" xr:uid="{00000000-0005-0000-0000-0000E8060000}"/>
    <cellStyle name="20 % - Markeringsfarve1 3 3 3 4 2 3" xfId="25542" xr:uid="{00000000-0005-0000-0000-0000E9060000}"/>
    <cellStyle name="20 % - Markeringsfarve1 3 3 3 4 2 4" xfId="40529" xr:uid="{00000000-0005-0000-0000-0000EA060000}"/>
    <cellStyle name="20 % - Markeringsfarve1 3 3 3 4 3" xfId="10299" xr:uid="{00000000-0005-0000-0000-0000EB060000}"/>
    <cellStyle name="20 % - Markeringsfarve1 3 3 3 4 3 2" xfId="26618" xr:uid="{00000000-0005-0000-0000-0000EC060000}"/>
    <cellStyle name="20 % - Markeringsfarve1 3 3 3 4 3 3" xfId="41584" xr:uid="{00000000-0005-0000-0000-0000ED060000}"/>
    <cellStyle name="20 % - Markeringsfarve1 3 3 3 4 4" xfId="19596" xr:uid="{00000000-0005-0000-0000-0000EE060000}"/>
    <cellStyle name="20 % - Markeringsfarve1 3 3 3 4 5" xfId="34585" xr:uid="{00000000-0005-0000-0000-0000EF060000}"/>
    <cellStyle name="20 % - Markeringsfarve1 3 3 3 5" xfId="5437" xr:uid="{00000000-0005-0000-0000-0000F0060000}"/>
    <cellStyle name="20 % - Markeringsfarve1 3 3 3 5 2" xfId="13355" xr:uid="{00000000-0005-0000-0000-0000F1060000}"/>
    <cellStyle name="20 % - Markeringsfarve1 3 3 3 5 2 2" xfId="29669" xr:uid="{00000000-0005-0000-0000-0000F2060000}"/>
    <cellStyle name="20 % - Markeringsfarve1 3 3 3 5 2 3" xfId="44633" xr:uid="{00000000-0005-0000-0000-0000F3060000}"/>
    <cellStyle name="20 % - Markeringsfarve1 3 3 3 5 3" xfId="22647" xr:uid="{00000000-0005-0000-0000-0000F4060000}"/>
    <cellStyle name="20 % - Markeringsfarve1 3 3 3 5 4" xfId="37634" xr:uid="{00000000-0005-0000-0000-0000F5060000}"/>
    <cellStyle name="20 % - Markeringsfarve1 3 3 3 6" xfId="10295" xr:uid="{00000000-0005-0000-0000-0000F6060000}"/>
    <cellStyle name="20 % - Markeringsfarve1 3 3 3 6 2" xfId="26614" xr:uid="{00000000-0005-0000-0000-0000F7060000}"/>
    <cellStyle name="20 % - Markeringsfarve1 3 3 3 6 3" xfId="41580" xr:uid="{00000000-0005-0000-0000-0000F8060000}"/>
    <cellStyle name="20 % - Markeringsfarve1 3 3 3 7" xfId="19592" xr:uid="{00000000-0005-0000-0000-0000F9060000}"/>
    <cellStyle name="20 % - Markeringsfarve1 3 3 3 8" xfId="34581" xr:uid="{00000000-0005-0000-0000-0000FA060000}"/>
    <cellStyle name="20 % - Markeringsfarve1 3 3 4" xfId="1743" xr:uid="{00000000-0005-0000-0000-0000FB060000}"/>
    <cellStyle name="20 % - Markeringsfarve1 3 3 4 2" xfId="1744" xr:uid="{00000000-0005-0000-0000-0000FC060000}"/>
    <cellStyle name="20 % - Markeringsfarve1 3 3 4 2 2" xfId="1745" xr:uid="{00000000-0005-0000-0000-0000FD060000}"/>
    <cellStyle name="20 % - Markeringsfarve1 3 3 4 2 2 2" xfId="7938" xr:uid="{00000000-0005-0000-0000-0000FE060000}"/>
    <cellStyle name="20 % - Markeringsfarve1 3 3 4 2 2 2 2" xfId="15839" xr:uid="{00000000-0005-0000-0000-0000FF060000}"/>
    <cellStyle name="20 % - Markeringsfarve1 3 3 4 2 2 2 2 2" xfId="32153" xr:uid="{00000000-0005-0000-0000-000000070000}"/>
    <cellStyle name="20 % - Markeringsfarve1 3 3 4 2 2 2 2 3" xfId="47117" xr:uid="{00000000-0005-0000-0000-000001070000}"/>
    <cellStyle name="20 % - Markeringsfarve1 3 3 4 2 2 2 3" xfId="25131" xr:uid="{00000000-0005-0000-0000-000002070000}"/>
    <cellStyle name="20 % - Markeringsfarve1 3 3 4 2 2 2 4" xfId="40118" xr:uid="{00000000-0005-0000-0000-000003070000}"/>
    <cellStyle name="20 % - Markeringsfarve1 3 3 4 2 2 3" xfId="10302" xr:uid="{00000000-0005-0000-0000-000004070000}"/>
    <cellStyle name="20 % - Markeringsfarve1 3 3 4 2 2 3 2" xfId="26621" xr:uid="{00000000-0005-0000-0000-000005070000}"/>
    <cellStyle name="20 % - Markeringsfarve1 3 3 4 2 2 3 3" xfId="41587" xr:uid="{00000000-0005-0000-0000-000006070000}"/>
    <cellStyle name="20 % - Markeringsfarve1 3 3 4 2 2 4" xfId="19599" xr:uid="{00000000-0005-0000-0000-000007070000}"/>
    <cellStyle name="20 % - Markeringsfarve1 3 3 4 2 2 5" xfId="34588" xr:uid="{00000000-0005-0000-0000-000008070000}"/>
    <cellStyle name="20 % - Markeringsfarve1 3 3 4 2 3" xfId="6471" xr:uid="{00000000-0005-0000-0000-000009070000}"/>
    <cellStyle name="20 % - Markeringsfarve1 3 3 4 2 3 2" xfId="14385" xr:uid="{00000000-0005-0000-0000-00000A070000}"/>
    <cellStyle name="20 % - Markeringsfarve1 3 3 4 2 3 2 2" xfId="30699" xr:uid="{00000000-0005-0000-0000-00000B070000}"/>
    <cellStyle name="20 % - Markeringsfarve1 3 3 4 2 3 2 3" xfId="45663" xr:uid="{00000000-0005-0000-0000-00000C070000}"/>
    <cellStyle name="20 % - Markeringsfarve1 3 3 4 2 3 3" xfId="23677" xr:uid="{00000000-0005-0000-0000-00000D070000}"/>
    <cellStyle name="20 % - Markeringsfarve1 3 3 4 2 3 4" xfId="38664" xr:uid="{00000000-0005-0000-0000-00000E070000}"/>
    <cellStyle name="20 % - Markeringsfarve1 3 3 4 2 4" xfId="10301" xr:uid="{00000000-0005-0000-0000-00000F070000}"/>
    <cellStyle name="20 % - Markeringsfarve1 3 3 4 2 4 2" xfId="26620" xr:uid="{00000000-0005-0000-0000-000010070000}"/>
    <cellStyle name="20 % - Markeringsfarve1 3 3 4 2 4 3" xfId="41586" xr:uid="{00000000-0005-0000-0000-000011070000}"/>
    <cellStyle name="20 % - Markeringsfarve1 3 3 4 2 5" xfId="19598" xr:uid="{00000000-0005-0000-0000-000012070000}"/>
    <cellStyle name="20 % - Markeringsfarve1 3 3 4 2 6" xfId="34587" xr:uid="{00000000-0005-0000-0000-000013070000}"/>
    <cellStyle name="20 % - Markeringsfarve1 3 3 4 3" xfId="1746" xr:uid="{00000000-0005-0000-0000-000014070000}"/>
    <cellStyle name="20 % - Markeringsfarve1 3 3 4 3 2" xfId="7214" xr:uid="{00000000-0005-0000-0000-000015070000}"/>
    <cellStyle name="20 % - Markeringsfarve1 3 3 4 3 2 2" xfId="15124" xr:uid="{00000000-0005-0000-0000-000016070000}"/>
    <cellStyle name="20 % - Markeringsfarve1 3 3 4 3 2 2 2" xfId="31438" xr:uid="{00000000-0005-0000-0000-000017070000}"/>
    <cellStyle name="20 % - Markeringsfarve1 3 3 4 3 2 2 3" xfId="46402" xr:uid="{00000000-0005-0000-0000-000018070000}"/>
    <cellStyle name="20 % - Markeringsfarve1 3 3 4 3 2 3" xfId="24416" xr:uid="{00000000-0005-0000-0000-000019070000}"/>
    <cellStyle name="20 % - Markeringsfarve1 3 3 4 3 2 4" xfId="39403" xr:uid="{00000000-0005-0000-0000-00001A070000}"/>
    <cellStyle name="20 % - Markeringsfarve1 3 3 4 3 3" xfId="10303" xr:uid="{00000000-0005-0000-0000-00001B070000}"/>
    <cellStyle name="20 % - Markeringsfarve1 3 3 4 3 3 2" xfId="26622" xr:uid="{00000000-0005-0000-0000-00001C070000}"/>
    <cellStyle name="20 % - Markeringsfarve1 3 3 4 3 3 3" xfId="41588" xr:uid="{00000000-0005-0000-0000-00001D070000}"/>
    <cellStyle name="20 % - Markeringsfarve1 3 3 4 3 4" xfId="19600" xr:uid="{00000000-0005-0000-0000-00001E070000}"/>
    <cellStyle name="20 % - Markeringsfarve1 3 3 4 3 5" xfId="34589" xr:uid="{00000000-0005-0000-0000-00001F070000}"/>
    <cellStyle name="20 % - Markeringsfarve1 3 3 4 4" xfId="1747" xr:uid="{00000000-0005-0000-0000-000020070000}"/>
    <cellStyle name="20 % - Markeringsfarve1 3 3 4 4 2" xfId="8355" xr:uid="{00000000-0005-0000-0000-000021070000}"/>
    <cellStyle name="20 % - Markeringsfarve1 3 3 4 4 2 2" xfId="16249" xr:uid="{00000000-0005-0000-0000-000022070000}"/>
    <cellStyle name="20 % - Markeringsfarve1 3 3 4 4 2 2 2" xfId="32563" xr:uid="{00000000-0005-0000-0000-000023070000}"/>
    <cellStyle name="20 % - Markeringsfarve1 3 3 4 4 2 2 3" xfId="47527" xr:uid="{00000000-0005-0000-0000-000024070000}"/>
    <cellStyle name="20 % - Markeringsfarve1 3 3 4 4 2 3" xfId="25541" xr:uid="{00000000-0005-0000-0000-000025070000}"/>
    <cellStyle name="20 % - Markeringsfarve1 3 3 4 4 2 4" xfId="40528" xr:uid="{00000000-0005-0000-0000-000026070000}"/>
    <cellStyle name="20 % - Markeringsfarve1 3 3 4 4 3" xfId="10304" xr:uid="{00000000-0005-0000-0000-000027070000}"/>
    <cellStyle name="20 % - Markeringsfarve1 3 3 4 4 3 2" xfId="26623" xr:uid="{00000000-0005-0000-0000-000028070000}"/>
    <cellStyle name="20 % - Markeringsfarve1 3 3 4 4 3 3" xfId="41589" xr:uid="{00000000-0005-0000-0000-000029070000}"/>
    <cellStyle name="20 % - Markeringsfarve1 3 3 4 4 4" xfId="19601" xr:uid="{00000000-0005-0000-0000-00002A070000}"/>
    <cellStyle name="20 % - Markeringsfarve1 3 3 4 4 5" xfId="34590" xr:uid="{00000000-0005-0000-0000-00002B070000}"/>
    <cellStyle name="20 % - Markeringsfarve1 3 3 4 5" xfId="5438" xr:uid="{00000000-0005-0000-0000-00002C070000}"/>
    <cellStyle name="20 % - Markeringsfarve1 3 3 4 5 2" xfId="13356" xr:uid="{00000000-0005-0000-0000-00002D070000}"/>
    <cellStyle name="20 % - Markeringsfarve1 3 3 4 5 2 2" xfId="29670" xr:uid="{00000000-0005-0000-0000-00002E070000}"/>
    <cellStyle name="20 % - Markeringsfarve1 3 3 4 5 2 3" xfId="44634" xr:uid="{00000000-0005-0000-0000-00002F070000}"/>
    <cellStyle name="20 % - Markeringsfarve1 3 3 4 5 3" xfId="22648" xr:uid="{00000000-0005-0000-0000-000030070000}"/>
    <cellStyle name="20 % - Markeringsfarve1 3 3 4 5 4" xfId="37635" xr:uid="{00000000-0005-0000-0000-000031070000}"/>
    <cellStyle name="20 % - Markeringsfarve1 3 3 4 6" xfId="10300" xr:uid="{00000000-0005-0000-0000-000032070000}"/>
    <cellStyle name="20 % - Markeringsfarve1 3 3 4 6 2" xfId="26619" xr:uid="{00000000-0005-0000-0000-000033070000}"/>
    <cellStyle name="20 % - Markeringsfarve1 3 3 4 6 3" xfId="41585" xr:uid="{00000000-0005-0000-0000-000034070000}"/>
    <cellStyle name="20 % - Markeringsfarve1 3 3 4 7" xfId="19597" xr:uid="{00000000-0005-0000-0000-000035070000}"/>
    <cellStyle name="20 % - Markeringsfarve1 3 3 4 8" xfId="34586" xr:uid="{00000000-0005-0000-0000-000036070000}"/>
    <cellStyle name="20 % - Markeringsfarve1 3 3 5" xfId="1748" xr:uid="{00000000-0005-0000-0000-000037070000}"/>
    <cellStyle name="20 % - Markeringsfarve1 3 3 5 2" xfId="1749" xr:uid="{00000000-0005-0000-0000-000038070000}"/>
    <cellStyle name="20 % - Markeringsfarve1 3 3 5 2 2" xfId="1750" xr:uid="{00000000-0005-0000-0000-000039070000}"/>
    <cellStyle name="20 % - Markeringsfarve1 3 3 5 2 2 2" xfId="8055" xr:uid="{00000000-0005-0000-0000-00003A070000}"/>
    <cellStyle name="20 % - Markeringsfarve1 3 3 5 2 2 2 2" xfId="15956" xr:uid="{00000000-0005-0000-0000-00003B070000}"/>
    <cellStyle name="20 % - Markeringsfarve1 3 3 5 2 2 2 2 2" xfId="32270" xr:uid="{00000000-0005-0000-0000-00003C070000}"/>
    <cellStyle name="20 % - Markeringsfarve1 3 3 5 2 2 2 2 3" xfId="47234" xr:uid="{00000000-0005-0000-0000-00003D070000}"/>
    <cellStyle name="20 % - Markeringsfarve1 3 3 5 2 2 2 3" xfId="25248" xr:uid="{00000000-0005-0000-0000-00003E070000}"/>
    <cellStyle name="20 % - Markeringsfarve1 3 3 5 2 2 2 4" xfId="40235" xr:uid="{00000000-0005-0000-0000-00003F070000}"/>
    <cellStyle name="20 % - Markeringsfarve1 3 3 5 2 2 3" xfId="10307" xr:uid="{00000000-0005-0000-0000-000040070000}"/>
    <cellStyle name="20 % - Markeringsfarve1 3 3 5 2 2 3 2" xfId="26626" xr:uid="{00000000-0005-0000-0000-000041070000}"/>
    <cellStyle name="20 % - Markeringsfarve1 3 3 5 2 2 3 3" xfId="41592" xr:uid="{00000000-0005-0000-0000-000042070000}"/>
    <cellStyle name="20 % - Markeringsfarve1 3 3 5 2 2 4" xfId="19604" xr:uid="{00000000-0005-0000-0000-000043070000}"/>
    <cellStyle name="20 % - Markeringsfarve1 3 3 5 2 2 5" xfId="34593" xr:uid="{00000000-0005-0000-0000-000044070000}"/>
    <cellStyle name="20 % - Markeringsfarve1 3 3 5 2 3" xfId="6570" xr:uid="{00000000-0005-0000-0000-000045070000}"/>
    <cellStyle name="20 % - Markeringsfarve1 3 3 5 2 3 2" xfId="14484" xr:uid="{00000000-0005-0000-0000-000046070000}"/>
    <cellStyle name="20 % - Markeringsfarve1 3 3 5 2 3 2 2" xfId="30798" xr:uid="{00000000-0005-0000-0000-000047070000}"/>
    <cellStyle name="20 % - Markeringsfarve1 3 3 5 2 3 2 3" xfId="45762" xr:uid="{00000000-0005-0000-0000-000048070000}"/>
    <cellStyle name="20 % - Markeringsfarve1 3 3 5 2 3 3" xfId="23776" xr:uid="{00000000-0005-0000-0000-000049070000}"/>
    <cellStyle name="20 % - Markeringsfarve1 3 3 5 2 3 4" xfId="38763" xr:uid="{00000000-0005-0000-0000-00004A070000}"/>
    <cellStyle name="20 % - Markeringsfarve1 3 3 5 2 4" xfId="10306" xr:uid="{00000000-0005-0000-0000-00004B070000}"/>
    <cellStyle name="20 % - Markeringsfarve1 3 3 5 2 4 2" xfId="26625" xr:uid="{00000000-0005-0000-0000-00004C070000}"/>
    <cellStyle name="20 % - Markeringsfarve1 3 3 5 2 4 3" xfId="41591" xr:uid="{00000000-0005-0000-0000-00004D070000}"/>
    <cellStyle name="20 % - Markeringsfarve1 3 3 5 2 5" xfId="19603" xr:uid="{00000000-0005-0000-0000-00004E070000}"/>
    <cellStyle name="20 % - Markeringsfarve1 3 3 5 2 6" xfId="34592" xr:uid="{00000000-0005-0000-0000-00004F070000}"/>
    <cellStyle name="20 % - Markeringsfarve1 3 3 5 3" xfId="1751" xr:uid="{00000000-0005-0000-0000-000050070000}"/>
    <cellStyle name="20 % - Markeringsfarve1 3 3 5 3 2" xfId="7331" xr:uid="{00000000-0005-0000-0000-000051070000}"/>
    <cellStyle name="20 % - Markeringsfarve1 3 3 5 3 2 2" xfId="15241" xr:uid="{00000000-0005-0000-0000-000052070000}"/>
    <cellStyle name="20 % - Markeringsfarve1 3 3 5 3 2 2 2" xfId="31555" xr:uid="{00000000-0005-0000-0000-000053070000}"/>
    <cellStyle name="20 % - Markeringsfarve1 3 3 5 3 2 2 3" xfId="46519" xr:uid="{00000000-0005-0000-0000-000054070000}"/>
    <cellStyle name="20 % - Markeringsfarve1 3 3 5 3 2 3" xfId="24533" xr:uid="{00000000-0005-0000-0000-000055070000}"/>
    <cellStyle name="20 % - Markeringsfarve1 3 3 5 3 2 4" xfId="39520" xr:uid="{00000000-0005-0000-0000-000056070000}"/>
    <cellStyle name="20 % - Markeringsfarve1 3 3 5 3 3" xfId="10308" xr:uid="{00000000-0005-0000-0000-000057070000}"/>
    <cellStyle name="20 % - Markeringsfarve1 3 3 5 3 3 2" xfId="26627" xr:uid="{00000000-0005-0000-0000-000058070000}"/>
    <cellStyle name="20 % - Markeringsfarve1 3 3 5 3 3 3" xfId="41593" xr:uid="{00000000-0005-0000-0000-000059070000}"/>
    <cellStyle name="20 % - Markeringsfarve1 3 3 5 3 4" xfId="19605" xr:uid="{00000000-0005-0000-0000-00005A070000}"/>
    <cellStyle name="20 % - Markeringsfarve1 3 3 5 3 5" xfId="34594" xr:uid="{00000000-0005-0000-0000-00005B070000}"/>
    <cellStyle name="20 % - Markeringsfarve1 3 3 5 4" xfId="1752" xr:uid="{00000000-0005-0000-0000-00005C070000}"/>
    <cellStyle name="20 % - Markeringsfarve1 3 3 5 4 2" xfId="8354" xr:uid="{00000000-0005-0000-0000-00005D070000}"/>
    <cellStyle name="20 % - Markeringsfarve1 3 3 5 4 2 2" xfId="16248" xr:uid="{00000000-0005-0000-0000-00005E070000}"/>
    <cellStyle name="20 % - Markeringsfarve1 3 3 5 4 2 2 2" xfId="32562" xr:uid="{00000000-0005-0000-0000-00005F070000}"/>
    <cellStyle name="20 % - Markeringsfarve1 3 3 5 4 2 2 3" xfId="47526" xr:uid="{00000000-0005-0000-0000-000060070000}"/>
    <cellStyle name="20 % - Markeringsfarve1 3 3 5 4 2 3" xfId="25540" xr:uid="{00000000-0005-0000-0000-000061070000}"/>
    <cellStyle name="20 % - Markeringsfarve1 3 3 5 4 2 4" xfId="40527" xr:uid="{00000000-0005-0000-0000-000062070000}"/>
    <cellStyle name="20 % - Markeringsfarve1 3 3 5 4 3" xfId="10309" xr:uid="{00000000-0005-0000-0000-000063070000}"/>
    <cellStyle name="20 % - Markeringsfarve1 3 3 5 4 3 2" xfId="26628" xr:uid="{00000000-0005-0000-0000-000064070000}"/>
    <cellStyle name="20 % - Markeringsfarve1 3 3 5 4 3 3" xfId="41594" xr:uid="{00000000-0005-0000-0000-000065070000}"/>
    <cellStyle name="20 % - Markeringsfarve1 3 3 5 4 4" xfId="19606" xr:uid="{00000000-0005-0000-0000-000066070000}"/>
    <cellStyle name="20 % - Markeringsfarve1 3 3 5 4 5" xfId="34595" xr:uid="{00000000-0005-0000-0000-000067070000}"/>
    <cellStyle name="20 % - Markeringsfarve1 3 3 5 5" xfId="5439" xr:uid="{00000000-0005-0000-0000-000068070000}"/>
    <cellStyle name="20 % - Markeringsfarve1 3 3 5 5 2" xfId="13357" xr:uid="{00000000-0005-0000-0000-000069070000}"/>
    <cellStyle name="20 % - Markeringsfarve1 3 3 5 5 2 2" xfId="29671" xr:uid="{00000000-0005-0000-0000-00006A070000}"/>
    <cellStyle name="20 % - Markeringsfarve1 3 3 5 5 2 3" xfId="44635" xr:uid="{00000000-0005-0000-0000-00006B070000}"/>
    <cellStyle name="20 % - Markeringsfarve1 3 3 5 5 3" xfId="22649" xr:uid="{00000000-0005-0000-0000-00006C070000}"/>
    <cellStyle name="20 % - Markeringsfarve1 3 3 5 5 4" xfId="37636" xr:uid="{00000000-0005-0000-0000-00006D070000}"/>
    <cellStyle name="20 % - Markeringsfarve1 3 3 5 6" xfId="10305" xr:uid="{00000000-0005-0000-0000-00006E070000}"/>
    <cellStyle name="20 % - Markeringsfarve1 3 3 5 6 2" xfId="26624" xr:uid="{00000000-0005-0000-0000-00006F070000}"/>
    <cellStyle name="20 % - Markeringsfarve1 3 3 5 6 3" xfId="41590" xr:uid="{00000000-0005-0000-0000-000070070000}"/>
    <cellStyle name="20 % - Markeringsfarve1 3 3 5 7" xfId="19602" xr:uid="{00000000-0005-0000-0000-000071070000}"/>
    <cellStyle name="20 % - Markeringsfarve1 3 3 5 8" xfId="34591" xr:uid="{00000000-0005-0000-0000-000072070000}"/>
    <cellStyle name="20 % - Markeringsfarve1 3 3 6" xfId="1753" xr:uid="{00000000-0005-0000-0000-000073070000}"/>
    <cellStyle name="20 % - Markeringsfarve1 3 3 6 2" xfId="1754" xr:uid="{00000000-0005-0000-0000-000074070000}"/>
    <cellStyle name="20 % - Markeringsfarve1 3 3 6 2 2" xfId="1755" xr:uid="{00000000-0005-0000-0000-000075070000}"/>
    <cellStyle name="20 % - Markeringsfarve1 3 3 6 2 2 2" xfId="8086" xr:uid="{00000000-0005-0000-0000-000076070000}"/>
    <cellStyle name="20 % - Markeringsfarve1 3 3 6 2 2 2 2" xfId="15987" xr:uid="{00000000-0005-0000-0000-000077070000}"/>
    <cellStyle name="20 % - Markeringsfarve1 3 3 6 2 2 2 2 2" xfId="32301" xr:uid="{00000000-0005-0000-0000-000078070000}"/>
    <cellStyle name="20 % - Markeringsfarve1 3 3 6 2 2 2 2 3" xfId="47265" xr:uid="{00000000-0005-0000-0000-000079070000}"/>
    <cellStyle name="20 % - Markeringsfarve1 3 3 6 2 2 2 3" xfId="25279" xr:uid="{00000000-0005-0000-0000-00007A070000}"/>
    <cellStyle name="20 % - Markeringsfarve1 3 3 6 2 2 2 4" xfId="40266" xr:uid="{00000000-0005-0000-0000-00007B070000}"/>
    <cellStyle name="20 % - Markeringsfarve1 3 3 6 2 2 3" xfId="10312" xr:uid="{00000000-0005-0000-0000-00007C070000}"/>
    <cellStyle name="20 % - Markeringsfarve1 3 3 6 2 2 3 2" xfId="26631" xr:uid="{00000000-0005-0000-0000-00007D070000}"/>
    <cellStyle name="20 % - Markeringsfarve1 3 3 6 2 2 3 3" xfId="41597" xr:uid="{00000000-0005-0000-0000-00007E070000}"/>
    <cellStyle name="20 % - Markeringsfarve1 3 3 6 2 2 4" xfId="19609" xr:uid="{00000000-0005-0000-0000-00007F070000}"/>
    <cellStyle name="20 % - Markeringsfarve1 3 3 6 2 2 5" xfId="34598" xr:uid="{00000000-0005-0000-0000-000080070000}"/>
    <cellStyle name="20 % - Markeringsfarve1 3 3 6 2 3" xfId="6597" xr:uid="{00000000-0005-0000-0000-000081070000}"/>
    <cellStyle name="20 % - Markeringsfarve1 3 3 6 2 3 2" xfId="14511" xr:uid="{00000000-0005-0000-0000-000082070000}"/>
    <cellStyle name="20 % - Markeringsfarve1 3 3 6 2 3 2 2" xfId="30825" xr:uid="{00000000-0005-0000-0000-000083070000}"/>
    <cellStyle name="20 % - Markeringsfarve1 3 3 6 2 3 2 3" xfId="45789" xr:uid="{00000000-0005-0000-0000-000084070000}"/>
    <cellStyle name="20 % - Markeringsfarve1 3 3 6 2 3 3" xfId="23803" xr:uid="{00000000-0005-0000-0000-000085070000}"/>
    <cellStyle name="20 % - Markeringsfarve1 3 3 6 2 3 4" xfId="38790" xr:uid="{00000000-0005-0000-0000-000086070000}"/>
    <cellStyle name="20 % - Markeringsfarve1 3 3 6 2 4" xfId="10311" xr:uid="{00000000-0005-0000-0000-000087070000}"/>
    <cellStyle name="20 % - Markeringsfarve1 3 3 6 2 4 2" xfId="26630" xr:uid="{00000000-0005-0000-0000-000088070000}"/>
    <cellStyle name="20 % - Markeringsfarve1 3 3 6 2 4 3" xfId="41596" xr:uid="{00000000-0005-0000-0000-000089070000}"/>
    <cellStyle name="20 % - Markeringsfarve1 3 3 6 2 5" xfId="19608" xr:uid="{00000000-0005-0000-0000-00008A070000}"/>
    <cellStyle name="20 % - Markeringsfarve1 3 3 6 2 6" xfId="34597" xr:uid="{00000000-0005-0000-0000-00008B070000}"/>
    <cellStyle name="20 % - Markeringsfarve1 3 3 6 3" xfId="1756" xr:uid="{00000000-0005-0000-0000-00008C070000}"/>
    <cellStyle name="20 % - Markeringsfarve1 3 3 6 3 2" xfId="7363" xr:uid="{00000000-0005-0000-0000-00008D070000}"/>
    <cellStyle name="20 % - Markeringsfarve1 3 3 6 3 2 2" xfId="15273" xr:uid="{00000000-0005-0000-0000-00008E070000}"/>
    <cellStyle name="20 % - Markeringsfarve1 3 3 6 3 2 2 2" xfId="31587" xr:uid="{00000000-0005-0000-0000-00008F070000}"/>
    <cellStyle name="20 % - Markeringsfarve1 3 3 6 3 2 2 3" xfId="46551" xr:uid="{00000000-0005-0000-0000-000090070000}"/>
    <cellStyle name="20 % - Markeringsfarve1 3 3 6 3 2 3" xfId="24565" xr:uid="{00000000-0005-0000-0000-000091070000}"/>
    <cellStyle name="20 % - Markeringsfarve1 3 3 6 3 2 4" xfId="39552" xr:uid="{00000000-0005-0000-0000-000092070000}"/>
    <cellStyle name="20 % - Markeringsfarve1 3 3 6 3 3" xfId="10313" xr:uid="{00000000-0005-0000-0000-000093070000}"/>
    <cellStyle name="20 % - Markeringsfarve1 3 3 6 3 3 2" xfId="26632" xr:uid="{00000000-0005-0000-0000-000094070000}"/>
    <cellStyle name="20 % - Markeringsfarve1 3 3 6 3 3 3" xfId="41598" xr:uid="{00000000-0005-0000-0000-000095070000}"/>
    <cellStyle name="20 % - Markeringsfarve1 3 3 6 3 4" xfId="19610" xr:uid="{00000000-0005-0000-0000-000096070000}"/>
    <cellStyle name="20 % - Markeringsfarve1 3 3 6 3 5" xfId="34599" xr:uid="{00000000-0005-0000-0000-000097070000}"/>
    <cellStyle name="20 % - Markeringsfarve1 3 3 6 4" xfId="1757" xr:uid="{00000000-0005-0000-0000-000098070000}"/>
    <cellStyle name="20 % - Markeringsfarve1 3 3 6 4 2" xfId="8353" xr:uid="{00000000-0005-0000-0000-000099070000}"/>
    <cellStyle name="20 % - Markeringsfarve1 3 3 6 4 2 2" xfId="16247" xr:uid="{00000000-0005-0000-0000-00009A070000}"/>
    <cellStyle name="20 % - Markeringsfarve1 3 3 6 4 2 2 2" xfId="32561" xr:uid="{00000000-0005-0000-0000-00009B070000}"/>
    <cellStyle name="20 % - Markeringsfarve1 3 3 6 4 2 2 3" xfId="47525" xr:uid="{00000000-0005-0000-0000-00009C070000}"/>
    <cellStyle name="20 % - Markeringsfarve1 3 3 6 4 2 3" xfId="25539" xr:uid="{00000000-0005-0000-0000-00009D070000}"/>
    <cellStyle name="20 % - Markeringsfarve1 3 3 6 4 2 4" xfId="40526" xr:uid="{00000000-0005-0000-0000-00009E070000}"/>
    <cellStyle name="20 % - Markeringsfarve1 3 3 6 4 3" xfId="10314" xr:uid="{00000000-0005-0000-0000-00009F070000}"/>
    <cellStyle name="20 % - Markeringsfarve1 3 3 6 4 3 2" xfId="26633" xr:uid="{00000000-0005-0000-0000-0000A0070000}"/>
    <cellStyle name="20 % - Markeringsfarve1 3 3 6 4 3 3" xfId="41599" xr:uid="{00000000-0005-0000-0000-0000A1070000}"/>
    <cellStyle name="20 % - Markeringsfarve1 3 3 6 4 4" xfId="19611" xr:uid="{00000000-0005-0000-0000-0000A2070000}"/>
    <cellStyle name="20 % - Markeringsfarve1 3 3 6 4 5" xfId="34600" xr:uid="{00000000-0005-0000-0000-0000A3070000}"/>
    <cellStyle name="20 % - Markeringsfarve1 3 3 6 5" xfId="5440" xr:uid="{00000000-0005-0000-0000-0000A4070000}"/>
    <cellStyle name="20 % - Markeringsfarve1 3 3 6 5 2" xfId="13358" xr:uid="{00000000-0005-0000-0000-0000A5070000}"/>
    <cellStyle name="20 % - Markeringsfarve1 3 3 6 5 2 2" xfId="29672" xr:uid="{00000000-0005-0000-0000-0000A6070000}"/>
    <cellStyle name="20 % - Markeringsfarve1 3 3 6 5 2 3" xfId="44636" xr:uid="{00000000-0005-0000-0000-0000A7070000}"/>
    <cellStyle name="20 % - Markeringsfarve1 3 3 6 5 3" xfId="22650" xr:uid="{00000000-0005-0000-0000-0000A8070000}"/>
    <cellStyle name="20 % - Markeringsfarve1 3 3 6 5 4" xfId="37637" xr:uid="{00000000-0005-0000-0000-0000A9070000}"/>
    <cellStyle name="20 % - Markeringsfarve1 3 3 6 6" xfId="10310" xr:uid="{00000000-0005-0000-0000-0000AA070000}"/>
    <cellStyle name="20 % - Markeringsfarve1 3 3 6 6 2" xfId="26629" xr:uid="{00000000-0005-0000-0000-0000AB070000}"/>
    <cellStyle name="20 % - Markeringsfarve1 3 3 6 6 3" xfId="41595" xr:uid="{00000000-0005-0000-0000-0000AC070000}"/>
    <cellStyle name="20 % - Markeringsfarve1 3 3 6 7" xfId="19607" xr:uid="{00000000-0005-0000-0000-0000AD070000}"/>
    <cellStyle name="20 % - Markeringsfarve1 3 3 6 8" xfId="34596" xr:uid="{00000000-0005-0000-0000-0000AE070000}"/>
    <cellStyle name="20 % - Markeringsfarve1 3 3 7" xfId="1758" xr:uid="{00000000-0005-0000-0000-0000AF070000}"/>
    <cellStyle name="20 % - Markeringsfarve1 3 3 7 2" xfId="1759" xr:uid="{00000000-0005-0000-0000-0000B0070000}"/>
    <cellStyle name="20 % - Markeringsfarve1 3 3 7 2 2" xfId="7581" xr:uid="{00000000-0005-0000-0000-0000B1070000}"/>
    <cellStyle name="20 % - Markeringsfarve1 3 3 7 2 2 2" xfId="15482" xr:uid="{00000000-0005-0000-0000-0000B2070000}"/>
    <cellStyle name="20 % - Markeringsfarve1 3 3 7 2 2 2 2" xfId="31796" xr:uid="{00000000-0005-0000-0000-0000B3070000}"/>
    <cellStyle name="20 % - Markeringsfarve1 3 3 7 2 2 2 3" xfId="46760" xr:uid="{00000000-0005-0000-0000-0000B4070000}"/>
    <cellStyle name="20 % - Markeringsfarve1 3 3 7 2 2 3" xfId="24774" xr:uid="{00000000-0005-0000-0000-0000B5070000}"/>
    <cellStyle name="20 % - Markeringsfarve1 3 3 7 2 2 4" xfId="39761" xr:uid="{00000000-0005-0000-0000-0000B6070000}"/>
    <cellStyle name="20 % - Markeringsfarve1 3 3 7 2 3" xfId="10316" xr:uid="{00000000-0005-0000-0000-0000B7070000}"/>
    <cellStyle name="20 % - Markeringsfarve1 3 3 7 2 3 2" xfId="26635" xr:uid="{00000000-0005-0000-0000-0000B8070000}"/>
    <cellStyle name="20 % - Markeringsfarve1 3 3 7 2 3 3" xfId="41601" xr:uid="{00000000-0005-0000-0000-0000B9070000}"/>
    <cellStyle name="20 % - Markeringsfarve1 3 3 7 2 4" xfId="19613" xr:uid="{00000000-0005-0000-0000-0000BA070000}"/>
    <cellStyle name="20 % - Markeringsfarve1 3 3 7 2 5" xfId="34602" xr:uid="{00000000-0005-0000-0000-0000BB070000}"/>
    <cellStyle name="20 % - Markeringsfarve1 3 3 7 3" xfId="6170" xr:uid="{00000000-0005-0000-0000-0000BC070000}"/>
    <cellStyle name="20 % - Markeringsfarve1 3 3 7 3 2" xfId="14087" xr:uid="{00000000-0005-0000-0000-0000BD070000}"/>
    <cellStyle name="20 % - Markeringsfarve1 3 3 7 3 2 2" xfId="30401" xr:uid="{00000000-0005-0000-0000-0000BE070000}"/>
    <cellStyle name="20 % - Markeringsfarve1 3 3 7 3 2 3" xfId="45365" xr:uid="{00000000-0005-0000-0000-0000BF070000}"/>
    <cellStyle name="20 % - Markeringsfarve1 3 3 7 3 3" xfId="23379" xr:uid="{00000000-0005-0000-0000-0000C0070000}"/>
    <cellStyle name="20 % - Markeringsfarve1 3 3 7 3 4" xfId="38366" xr:uid="{00000000-0005-0000-0000-0000C1070000}"/>
    <cellStyle name="20 % - Markeringsfarve1 3 3 7 4" xfId="10315" xr:uid="{00000000-0005-0000-0000-0000C2070000}"/>
    <cellStyle name="20 % - Markeringsfarve1 3 3 7 4 2" xfId="26634" xr:uid="{00000000-0005-0000-0000-0000C3070000}"/>
    <cellStyle name="20 % - Markeringsfarve1 3 3 7 4 3" xfId="41600" xr:uid="{00000000-0005-0000-0000-0000C4070000}"/>
    <cellStyle name="20 % - Markeringsfarve1 3 3 7 5" xfId="19612" xr:uid="{00000000-0005-0000-0000-0000C5070000}"/>
    <cellStyle name="20 % - Markeringsfarve1 3 3 7 6" xfId="34601" xr:uid="{00000000-0005-0000-0000-0000C6070000}"/>
    <cellStyle name="20 % - Markeringsfarve1 3 3 8" xfId="1760" xr:uid="{00000000-0005-0000-0000-0000C7070000}"/>
    <cellStyle name="20 % - Markeringsfarve1 3 3 8 2" xfId="6809" xr:uid="{00000000-0005-0000-0000-0000C8070000}"/>
    <cellStyle name="20 % - Markeringsfarve1 3 3 8 2 2" xfId="14720" xr:uid="{00000000-0005-0000-0000-0000C9070000}"/>
    <cellStyle name="20 % - Markeringsfarve1 3 3 8 2 2 2" xfId="31034" xr:uid="{00000000-0005-0000-0000-0000CA070000}"/>
    <cellStyle name="20 % - Markeringsfarve1 3 3 8 2 2 3" xfId="45998" xr:uid="{00000000-0005-0000-0000-0000CB070000}"/>
    <cellStyle name="20 % - Markeringsfarve1 3 3 8 2 3" xfId="24012" xr:uid="{00000000-0005-0000-0000-0000CC070000}"/>
    <cellStyle name="20 % - Markeringsfarve1 3 3 8 2 4" xfId="38999" xr:uid="{00000000-0005-0000-0000-0000CD070000}"/>
    <cellStyle name="20 % - Markeringsfarve1 3 3 8 3" xfId="10317" xr:uid="{00000000-0005-0000-0000-0000CE070000}"/>
    <cellStyle name="20 % - Markeringsfarve1 3 3 8 3 2" xfId="26636" xr:uid="{00000000-0005-0000-0000-0000CF070000}"/>
    <cellStyle name="20 % - Markeringsfarve1 3 3 8 3 3" xfId="41602" xr:uid="{00000000-0005-0000-0000-0000D0070000}"/>
    <cellStyle name="20 % - Markeringsfarve1 3 3 8 4" xfId="19614" xr:uid="{00000000-0005-0000-0000-0000D1070000}"/>
    <cellStyle name="20 % - Markeringsfarve1 3 3 8 5" xfId="34603" xr:uid="{00000000-0005-0000-0000-0000D2070000}"/>
    <cellStyle name="20 % - Markeringsfarve1 3 3 9" xfId="1761" xr:uid="{00000000-0005-0000-0000-0000D3070000}"/>
    <cellStyle name="20 % - Markeringsfarve1 3 3 9 2" xfId="8358" xr:uid="{00000000-0005-0000-0000-0000D4070000}"/>
    <cellStyle name="20 % - Markeringsfarve1 3 3 9 2 2" xfId="16252" xr:uid="{00000000-0005-0000-0000-0000D5070000}"/>
    <cellStyle name="20 % - Markeringsfarve1 3 3 9 2 2 2" xfId="32566" xr:uid="{00000000-0005-0000-0000-0000D6070000}"/>
    <cellStyle name="20 % - Markeringsfarve1 3 3 9 2 2 3" xfId="47530" xr:uid="{00000000-0005-0000-0000-0000D7070000}"/>
    <cellStyle name="20 % - Markeringsfarve1 3 3 9 2 3" xfId="25544" xr:uid="{00000000-0005-0000-0000-0000D8070000}"/>
    <cellStyle name="20 % - Markeringsfarve1 3 3 9 2 4" xfId="40531" xr:uid="{00000000-0005-0000-0000-0000D9070000}"/>
    <cellStyle name="20 % - Markeringsfarve1 3 3 9 3" xfId="10318" xr:uid="{00000000-0005-0000-0000-0000DA070000}"/>
    <cellStyle name="20 % - Markeringsfarve1 3 3 9 3 2" xfId="26637" xr:uid="{00000000-0005-0000-0000-0000DB070000}"/>
    <cellStyle name="20 % - Markeringsfarve1 3 3 9 3 3" xfId="41603" xr:uid="{00000000-0005-0000-0000-0000DC070000}"/>
    <cellStyle name="20 % - Markeringsfarve1 3 3 9 4" xfId="19615" xr:uid="{00000000-0005-0000-0000-0000DD070000}"/>
    <cellStyle name="20 % - Markeringsfarve1 3 3 9 5" xfId="34604" xr:uid="{00000000-0005-0000-0000-0000DE070000}"/>
    <cellStyle name="20 % - Markeringsfarve1 3 4" xfId="1762" xr:uid="{00000000-0005-0000-0000-0000DF070000}"/>
    <cellStyle name="20 % - Markeringsfarve1 3 4 2" xfId="1763" xr:uid="{00000000-0005-0000-0000-0000E0070000}"/>
    <cellStyle name="20 % - Markeringsfarve1 3 4 2 2" xfId="1764" xr:uid="{00000000-0005-0000-0000-0000E1070000}"/>
    <cellStyle name="20 % - Markeringsfarve1 3 4 2 2 2" xfId="7622" xr:uid="{00000000-0005-0000-0000-0000E2070000}"/>
    <cellStyle name="20 % - Markeringsfarve1 3 4 2 2 2 2" xfId="15523" xr:uid="{00000000-0005-0000-0000-0000E3070000}"/>
    <cellStyle name="20 % - Markeringsfarve1 3 4 2 2 2 2 2" xfId="31837" xr:uid="{00000000-0005-0000-0000-0000E4070000}"/>
    <cellStyle name="20 % - Markeringsfarve1 3 4 2 2 2 2 3" xfId="46801" xr:uid="{00000000-0005-0000-0000-0000E5070000}"/>
    <cellStyle name="20 % - Markeringsfarve1 3 4 2 2 2 3" xfId="24815" xr:uid="{00000000-0005-0000-0000-0000E6070000}"/>
    <cellStyle name="20 % - Markeringsfarve1 3 4 2 2 2 4" xfId="39802" xr:uid="{00000000-0005-0000-0000-0000E7070000}"/>
    <cellStyle name="20 % - Markeringsfarve1 3 4 2 2 3" xfId="10321" xr:uid="{00000000-0005-0000-0000-0000E8070000}"/>
    <cellStyle name="20 % - Markeringsfarve1 3 4 2 2 3 2" xfId="26640" xr:uid="{00000000-0005-0000-0000-0000E9070000}"/>
    <cellStyle name="20 % - Markeringsfarve1 3 4 2 2 3 3" xfId="41606" xr:uid="{00000000-0005-0000-0000-0000EA070000}"/>
    <cellStyle name="20 % - Markeringsfarve1 3 4 2 2 4" xfId="19618" xr:uid="{00000000-0005-0000-0000-0000EB070000}"/>
    <cellStyle name="20 % - Markeringsfarve1 3 4 2 2 5" xfId="34607" xr:uid="{00000000-0005-0000-0000-0000EC070000}"/>
    <cellStyle name="20 % - Markeringsfarve1 3 4 2 3" xfId="6203" xr:uid="{00000000-0005-0000-0000-0000ED070000}"/>
    <cellStyle name="20 % - Markeringsfarve1 3 4 2 3 2" xfId="14120" xr:uid="{00000000-0005-0000-0000-0000EE070000}"/>
    <cellStyle name="20 % - Markeringsfarve1 3 4 2 3 2 2" xfId="30434" xr:uid="{00000000-0005-0000-0000-0000EF070000}"/>
    <cellStyle name="20 % - Markeringsfarve1 3 4 2 3 2 3" xfId="45398" xr:uid="{00000000-0005-0000-0000-0000F0070000}"/>
    <cellStyle name="20 % - Markeringsfarve1 3 4 2 3 3" xfId="23412" xr:uid="{00000000-0005-0000-0000-0000F1070000}"/>
    <cellStyle name="20 % - Markeringsfarve1 3 4 2 3 4" xfId="38399" xr:uid="{00000000-0005-0000-0000-0000F2070000}"/>
    <cellStyle name="20 % - Markeringsfarve1 3 4 2 4" xfId="10320" xr:uid="{00000000-0005-0000-0000-0000F3070000}"/>
    <cellStyle name="20 % - Markeringsfarve1 3 4 2 4 2" xfId="26639" xr:uid="{00000000-0005-0000-0000-0000F4070000}"/>
    <cellStyle name="20 % - Markeringsfarve1 3 4 2 4 3" xfId="41605" xr:uid="{00000000-0005-0000-0000-0000F5070000}"/>
    <cellStyle name="20 % - Markeringsfarve1 3 4 2 5" xfId="19617" xr:uid="{00000000-0005-0000-0000-0000F6070000}"/>
    <cellStyle name="20 % - Markeringsfarve1 3 4 2 6" xfId="34606" xr:uid="{00000000-0005-0000-0000-0000F7070000}"/>
    <cellStyle name="20 % - Markeringsfarve1 3 4 3" xfId="1765" xr:uid="{00000000-0005-0000-0000-0000F8070000}"/>
    <cellStyle name="20 % - Markeringsfarve1 3 4 3 2" xfId="6852" xr:uid="{00000000-0005-0000-0000-0000F9070000}"/>
    <cellStyle name="20 % - Markeringsfarve1 3 4 3 2 2" xfId="14763" xr:uid="{00000000-0005-0000-0000-0000FA070000}"/>
    <cellStyle name="20 % - Markeringsfarve1 3 4 3 2 2 2" xfId="31077" xr:uid="{00000000-0005-0000-0000-0000FB070000}"/>
    <cellStyle name="20 % - Markeringsfarve1 3 4 3 2 2 3" xfId="46041" xr:uid="{00000000-0005-0000-0000-0000FC070000}"/>
    <cellStyle name="20 % - Markeringsfarve1 3 4 3 2 3" xfId="24055" xr:uid="{00000000-0005-0000-0000-0000FD070000}"/>
    <cellStyle name="20 % - Markeringsfarve1 3 4 3 2 4" xfId="39042" xr:uid="{00000000-0005-0000-0000-0000FE070000}"/>
    <cellStyle name="20 % - Markeringsfarve1 3 4 3 3" xfId="10322" xr:uid="{00000000-0005-0000-0000-0000FF070000}"/>
    <cellStyle name="20 % - Markeringsfarve1 3 4 3 3 2" xfId="26641" xr:uid="{00000000-0005-0000-0000-000000080000}"/>
    <cellStyle name="20 % - Markeringsfarve1 3 4 3 3 3" xfId="41607" xr:uid="{00000000-0005-0000-0000-000001080000}"/>
    <cellStyle name="20 % - Markeringsfarve1 3 4 3 4" xfId="19619" xr:uid="{00000000-0005-0000-0000-000002080000}"/>
    <cellStyle name="20 % - Markeringsfarve1 3 4 3 5" xfId="34608" xr:uid="{00000000-0005-0000-0000-000003080000}"/>
    <cellStyle name="20 % - Markeringsfarve1 3 4 4" xfId="1766" xr:uid="{00000000-0005-0000-0000-000004080000}"/>
    <cellStyle name="20 % - Markeringsfarve1 3 4 4 2" xfId="8352" xr:uid="{00000000-0005-0000-0000-000005080000}"/>
    <cellStyle name="20 % - Markeringsfarve1 3 4 4 2 2" xfId="16246" xr:uid="{00000000-0005-0000-0000-000006080000}"/>
    <cellStyle name="20 % - Markeringsfarve1 3 4 4 2 2 2" xfId="32560" xr:uid="{00000000-0005-0000-0000-000007080000}"/>
    <cellStyle name="20 % - Markeringsfarve1 3 4 4 2 2 3" xfId="47524" xr:uid="{00000000-0005-0000-0000-000008080000}"/>
    <cellStyle name="20 % - Markeringsfarve1 3 4 4 2 3" xfId="25538" xr:uid="{00000000-0005-0000-0000-000009080000}"/>
    <cellStyle name="20 % - Markeringsfarve1 3 4 4 2 4" xfId="40525" xr:uid="{00000000-0005-0000-0000-00000A080000}"/>
    <cellStyle name="20 % - Markeringsfarve1 3 4 4 3" xfId="10323" xr:uid="{00000000-0005-0000-0000-00000B080000}"/>
    <cellStyle name="20 % - Markeringsfarve1 3 4 4 3 2" xfId="26642" xr:uid="{00000000-0005-0000-0000-00000C080000}"/>
    <cellStyle name="20 % - Markeringsfarve1 3 4 4 3 3" xfId="41608" xr:uid="{00000000-0005-0000-0000-00000D080000}"/>
    <cellStyle name="20 % - Markeringsfarve1 3 4 4 4" xfId="19620" xr:uid="{00000000-0005-0000-0000-00000E080000}"/>
    <cellStyle name="20 % - Markeringsfarve1 3 4 4 5" xfId="34609" xr:uid="{00000000-0005-0000-0000-00000F080000}"/>
    <cellStyle name="20 % - Markeringsfarve1 3 4 5" xfId="5441" xr:uid="{00000000-0005-0000-0000-000010080000}"/>
    <cellStyle name="20 % - Markeringsfarve1 3 4 5 2" xfId="13359" xr:uid="{00000000-0005-0000-0000-000011080000}"/>
    <cellStyle name="20 % - Markeringsfarve1 3 4 5 2 2" xfId="29673" xr:uid="{00000000-0005-0000-0000-000012080000}"/>
    <cellStyle name="20 % - Markeringsfarve1 3 4 5 2 3" xfId="44637" xr:uid="{00000000-0005-0000-0000-000013080000}"/>
    <cellStyle name="20 % - Markeringsfarve1 3 4 5 3" xfId="22651" xr:uid="{00000000-0005-0000-0000-000014080000}"/>
    <cellStyle name="20 % - Markeringsfarve1 3 4 5 4" xfId="37638" xr:uid="{00000000-0005-0000-0000-000015080000}"/>
    <cellStyle name="20 % - Markeringsfarve1 3 4 6" xfId="10319" xr:uid="{00000000-0005-0000-0000-000016080000}"/>
    <cellStyle name="20 % - Markeringsfarve1 3 4 6 2" xfId="26638" xr:uid="{00000000-0005-0000-0000-000017080000}"/>
    <cellStyle name="20 % - Markeringsfarve1 3 4 6 3" xfId="41604" xr:uid="{00000000-0005-0000-0000-000018080000}"/>
    <cellStyle name="20 % - Markeringsfarve1 3 4 7" xfId="19616" xr:uid="{00000000-0005-0000-0000-000019080000}"/>
    <cellStyle name="20 % - Markeringsfarve1 3 4 8" xfId="34605" xr:uid="{00000000-0005-0000-0000-00001A080000}"/>
    <cellStyle name="20 % - Markeringsfarve1 3 4 9" xfId="56557" xr:uid="{00000000-0005-0000-0000-00001B080000}"/>
    <cellStyle name="20 % - Markeringsfarve1 3 5" xfId="1767" xr:uid="{00000000-0005-0000-0000-00001C080000}"/>
    <cellStyle name="20 % - Markeringsfarve1 3 5 2" xfId="1768" xr:uid="{00000000-0005-0000-0000-00001D080000}"/>
    <cellStyle name="20 % - Markeringsfarve1 3 5 2 2" xfId="1769" xr:uid="{00000000-0005-0000-0000-00001E080000}"/>
    <cellStyle name="20 % - Markeringsfarve1 3 5 2 2 2" xfId="7729" xr:uid="{00000000-0005-0000-0000-00001F080000}"/>
    <cellStyle name="20 % - Markeringsfarve1 3 5 2 2 2 2" xfId="15630" xr:uid="{00000000-0005-0000-0000-000020080000}"/>
    <cellStyle name="20 % - Markeringsfarve1 3 5 2 2 2 2 2" xfId="31944" xr:uid="{00000000-0005-0000-0000-000021080000}"/>
    <cellStyle name="20 % - Markeringsfarve1 3 5 2 2 2 2 3" xfId="46908" xr:uid="{00000000-0005-0000-0000-000022080000}"/>
    <cellStyle name="20 % - Markeringsfarve1 3 5 2 2 2 3" xfId="24922" xr:uid="{00000000-0005-0000-0000-000023080000}"/>
    <cellStyle name="20 % - Markeringsfarve1 3 5 2 2 2 4" xfId="39909" xr:uid="{00000000-0005-0000-0000-000024080000}"/>
    <cellStyle name="20 % - Markeringsfarve1 3 5 2 2 3" xfId="10326" xr:uid="{00000000-0005-0000-0000-000025080000}"/>
    <cellStyle name="20 % - Markeringsfarve1 3 5 2 2 3 2" xfId="26645" xr:uid="{00000000-0005-0000-0000-000026080000}"/>
    <cellStyle name="20 % - Markeringsfarve1 3 5 2 2 3 3" xfId="41611" xr:uid="{00000000-0005-0000-0000-000027080000}"/>
    <cellStyle name="20 % - Markeringsfarve1 3 5 2 2 4" xfId="19623" xr:uid="{00000000-0005-0000-0000-000028080000}"/>
    <cellStyle name="20 % - Markeringsfarve1 3 5 2 2 5" xfId="34612" xr:uid="{00000000-0005-0000-0000-000029080000}"/>
    <cellStyle name="20 % - Markeringsfarve1 3 5 2 3" xfId="6293" xr:uid="{00000000-0005-0000-0000-00002A080000}"/>
    <cellStyle name="20 % - Markeringsfarve1 3 5 2 3 2" xfId="14210" xr:uid="{00000000-0005-0000-0000-00002B080000}"/>
    <cellStyle name="20 % - Markeringsfarve1 3 5 2 3 2 2" xfId="30524" xr:uid="{00000000-0005-0000-0000-00002C080000}"/>
    <cellStyle name="20 % - Markeringsfarve1 3 5 2 3 2 3" xfId="45488" xr:uid="{00000000-0005-0000-0000-00002D080000}"/>
    <cellStyle name="20 % - Markeringsfarve1 3 5 2 3 3" xfId="23502" xr:uid="{00000000-0005-0000-0000-00002E080000}"/>
    <cellStyle name="20 % - Markeringsfarve1 3 5 2 3 4" xfId="38489" xr:uid="{00000000-0005-0000-0000-00002F080000}"/>
    <cellStyle name="20 % - Markeringsfarve1 3 5 2 4" xfId="10325" xr:uid="{00000000-0005-0000-0000-000030080000}"/>
    <cellStyle name="20 % - Markeringsfarve1 3 5 2 4 2" xfId="26644" xr:uid="{00000000-0005-0000-0000-000031080000}"/>
    <cellStyle name="20 % - Markeringsfarve1 3 5 2 4 3" xfId="41610" xr:uid="{00000000-0005-0000-0000-000032080000}"/>
    <cellStyle name="20 % - Markeringsfarve1 3 5 2 5" xfId="19622" xr:uid="{00000000-0005-0000-0000-000033080000}"/>
    <cellStyle name="20 % - Markeringsfarve1 3 5 2 6" xfId="34611" xr:uid="{00000000-0005-0000-0000-000034080000}"/>
    <cellStyle name="20 % - Markeringsfarve1 3 5 3" xfId="1770" xr:uid="{00000000-0005-0000-0000-000035080000}"/>
    <cellStyle name="20 % - Markeringsfarve1 3 5 3 2" xfId="6959" xr:uid="{00000000-0005-0000-0000-000036080000}"/>
    <cellStyle name="20 % - Markeringsfarve1 3 5 3 2 2" xfId="14870" xr:uid="{00000000-0005-0000-0000-000037080000}"/>
    <cellStyle name="20 % - Markeringsfarve1 3 5 3 2 2 2" xfId="31184" xr:uid="{00000000-0005-0000-0000-000038080000}"/>
    <cellStyle name="20 % - Markeringsfarve1 3 5 3 2 2 3" xfId="46148" xr:uid="{00000000-0005-0000-0000-000039080000}"/>
    <cellStyle name="20 % - Markeringsfarve1 3 5 3 2 3" xfId="24162" xr:uid="{00000000-0005-0000-0000-00003A080000}"/>
    <cellStyle name="20 % - Markeringsfarve1 3 5 3 2 4" xfId="39149" xr:uid="{00000000-0005-0000-0000-00003B080000}"/>
    <cellStyle name="20 % - Markeringsfarve1 3 5 3 3" xfId="10327" xr:uid="{00000000-0005-0000-0000-00003C080000}"/>
    <cellStyle name="20 % - Markeringsfarve1 3 5 3 3 2" xfId="26646" xr:uid="{00000000-0005-0000-0000-00003D080000}"/>
    <cellStyle name="20 % - Markeringsfarve1 3 5 3 3 3" xfId="41612" xr:uid="{00000000-0005-0000-0000-00003E080000}"/>
    <cellStyle name="20 % - Markeringsfarve1 3 5 3 4" xfId="19624" xr:uid="{00000000-0005-0000-0000-00003F080000}"/>
    <cellStyle name="20 % - Markeringsfarve1 3 5 3 5" xfId="34613" xr:uid="{00000000-0005-0000-0000-000040080000}"/>
    <cellStyle name="20 % - Markeringsfarve1 3 5 4" xfId="1771" xr:uid="{00000000-0005-0000-0000-000041080000}"/>
    <cellStyle name="20 % - Markeringsfarve1 3 5 4 2" xfId="8351" xr:uid="{00000000-0005-0000-0000-000042080000}"/>
    <cellStyle name="20 % - Markeringsfarve1 3 5 4 2 2" xfId="16245" xr:uid="{00000000-0005-0000-0000-000043080000}"/>
    <cellStyle name="20 % - Markeringsfarve1 3 5 4 2 2 2" xfId="32559" xr:uid="{00000000-0005-0000-0000-000044080000}"/>
    <cellStyle name="20 % - Markeringsfarve1 3 5 4 2 2 3" xfId="47523" xr:uid="{00000000-0005-0000-0000-000045080000}"/>
    <cellStyle name="20 % - Markeringsfarve1 3 5 4 2 3" xfId="25537" xr:uid="{00000000-0005-0000-0000-000046080000}"/>
    <cellStyle name="20 % - Markeringsfarve1 3 5 4 2 4" xfId="40524" xr:uid="{00000000-0005-0000-0000-000047080000}"/>
    <cellStyle name="20 % - Markeringsfarve1 3 5 4 3" xfId="10328" xr:uid="{00000000-0005-0000-0000-000048080000}"/>
    <cellStyle name="20 % - Markeringsfarve1 3 5 4 3 2" xfId="26647" xr:uid="{00000000-0005-0000-0000-000049080000}"/>
    <cellStyle name="20 % - Markeringsfarve1 3 5 4 3 3" xfId="41613" xr:uid="{00000000-0005-0000-0000-00004A080000}"/>
    <cellStyle name="20 % - Markeringsfarve1 3 5 4 4" xfId="19625" xr:uid="{00000000-0005-0000-0000-00004B080000}"/>
    <cellStyle name="20 % - Markeringsfarve1 3 5 4 5" xfId="34614" xr:uid="{00000000-0005-0000-0000-00004C080000}"/>
    <cellStyle name="20 % - Markeringsfarve1 3 5 5" xfId="5442" xr:uid="{00000000-0005-0000-0000-00004D080000}"/>
    <cellStyle name="20 % - Markeringsfarve1 3 5 5 2" xfId="13360" xr:uid="{00000000-0005-0000-0000-00004E080000}"/>
    <cellStyle name="20 % - Markeringsfarve1 3 5 5 2 2" xfId="29674" xr:uid="{00000000-0005-0000-0000-00004F080000}"/>
    <cellStyle name="20 % - Markeringsfarve1 3 5 5 2 3" xfId="44638" xr:uid="{00000000-0005-0000-0000-000050080000}"/>
    <cellStyle name="20 % - Markeringsfarve1 3 5 5 3" xfId="22652" xr:uid="{00000000-0005-0000-0000-000051080000}"/>
    <cellStyle name="20 % - Markeringsfarve1 3 5 5 4" xfId="37639" xr:uid="{00000000-0005-0000-0000-000052080000}"/>
    <cellStyle name="20 % - Markeringsfarve1 3 5 6" xfId="10324" xr:uid="{00000000-0005-0000-0000-000053080000}"/>
    <cellStyle name="20 % - Markeringsfarve1 3 5 6 2" xfId="26643" xr:uid="{00000000-0005-0000-0000-000054080000}"/>
    <cellStyle name="20 % - Markeringsfarve1 3 5 6 3" xfId="41609" xr:uid="{00000000-0005-0000-0000-000055080000}"/>
    <cellStyle name="20 % - Markeringsfarve1 3 5 7" xfId="19621" xr:uid="{00000000-0005-0000-0000-000056080000}"/>
    <cellStyle name="20 % - Markeringsfarve1 3 5 8" xfId="34610" xr:uid="{00000000-0005-0000-0000-000057080000}"/>
    <cellStyle name="20 % - Markeringsfarve1 3 6" xfId="1772" xr:uid="{00000000-0005-0000-0000-000058080000}"/>
    <cellStyle name="20 % - Markeringsfarve1 3 6 2" xfId="1773" xr:uid="{00000000-0005-0000-0000-000059080000}"/>
    <cellStyle name="20 % - Markeringsfarve1 3 6 2 2" xfId="1774" xr:uid="{00000000-0005-0000-0000-00005A080000}"/>
    <cellStyle name="20 % - Markeringsfarve1 3 6 2 2 2" xfId="7860" xr:uid="{00000000-0005-0000-0000-00005B080000}"/>
    <cellStyle name="20 % - Markeringsfarve1 3 6 2 2 2 2" xfId="15761" xr:uid="{00000000-0005-0000-0000-00005C080000}"/>
    <cellStyle name="20 % - Markeringsfarve1 3 6 2 2 2 2 2" xfId="32075" xr:uid="{00000000-0005-0000-0000-00005D080000}"/>
    <cellStyle name="20 % - Markeringsfarve1 3 6 2 2 2 2 3" xfId="47039" xr:uid="{00000000-0005-0000-0000-00005E080000}"/>
    <cellStyle name="20 % - Markeringsfarve1 3 6 2 2 2 3" xfId="25053" xr:uid="{00000000-0005-0000-0000-00005F080000}"/>
    <cellStyle name="20 % - Markeringsfarve1 3 6 2 2 2 4" xfId="40040" xr:uid="{00000000-0005-0000-0000-000060080000}"/>
    <cellStyle name="20 % - Markeringsfarve1 3 6 2 2 3" xfId="10331" xr:uid="{00000000-0005-0000-0000-000061080000}"/>
    <cellStyle name="20 % - Markeringsfarve1 3 6 2 2 3 2" xfId="26650" xr:uid="{00000000-0005-0000-0000-000062080000}"/>
    <cellStyle name="20 % - Markeringsfarve1 3 6 2 2 3 3" xfId="41616" xr:uid="{00000000-0005-0000-0000-000063080000}"/>
    <cellStyle name="20 % - Markeringsfarve1 3 6 2 2 4" xfId="19628" xr:uid="{00000000-0005-0000-0000-000064080000}"/>
    <cellStyle name="20 % - Markeringsfarve1 3 6 2 2 5" xfId="34617" xr:uid="{00000000-0005-0000-0000-000065080000}"/>
    <cellStyle name="20 % - Markeringsfarve1 3 6 2 3" xfId="6405" xr:uid="{00000000-0005-0000-0000-000066080000}"/>
    <cellStyle name="20 % - Markeringsfarve1 3 6 2 3 2" xfId="14319" xr:uid="{00000000-0005-0000-0000-000067080000}"/>
    <cellStyle name="20 % - Markeringsfarve1 3 6 2 3 2 2" xfId="30633" xr:uid="{00000000-0005-0000-0000-000068080000}"/>
    <cellStyle name="20 % - Markeringsfarve1 3 6 2 3 2 3" xfId="45597" xr:uid="{00000000-0005-0000-0000-000069080000}"/>
    <cellStyle name="20 % - Markeringsfarve1 3 6 2 3 3" xfId="23611" xr:uid="{00000000-0005-0000-0000-00006A080000}"/>
    <cellStyle name="20 % - Markeringsfarve1 3 6 2 3 4" xfId="38598" xr:uid="{00000000-0005-0000-0000-00006B080000}"/>
    <cellStyle name="20 % - Markeringsfarve1 3 6 2 4" xfId="10330" xr:uid="{00000000-0005-0000-0000-00006C080000}"/>
    <cellStyle name="20 % - Markeringsfarve1 3 6 2 4 2" xfId="26649" xr:uid="{00000000-0005-0000-0000-00006D080000}"/>
    <cellStyle name="20 % - Markeringsfarve1 3 6 2 4 3" xfId="41615" xr:uid="{00000000-0005-0000-0000-00006E080000}"/>
    <cellStyle name="20 % - Markeringsfarve1 3 6 2 5" xfId="19627" xr:uid="{00000000-0005-0000-0000-00006F080000}"/>
    <cellStyle name="20 % - Markeringsfarve1 3 6 2 6" xfId="34616" xr:uid="{00000000-0005-0000-0000-000070080000}"/>
    <cellStyle name="20 % - Markeringsfarve1 3 6 3" xfId="1775" xr:uid="{00000000-0005-0000-0000-000071080000}"/>
    <cellStyle name="20 % - Markeringsfarve1 3 6 3 2" xfId="7136" xr:uid="{00000000-0005-0000-0000-000072080000}"/>
    <cellStyle name="20 % - Markeringsfarve1 3 6 3 2 2" xfId="15046" xr:uid="{00000000-0005-0000-0000-000073080000}"/>
    <cellStyle name="20 % - Markeringsfarve1 3 6 3 2 2 2" xfId="31360" xr:uid="{00000000-0005-0000-0000-000074080000}"/>
    <cellStyle name="20 % - Markeringsfarve1 3 6 3 2 2 3" xfId="46324" xr:uid="{00000000-0005-0000-0000-000075080000}"/>
    <cellStyle name="20 % - Markeringsfarve1 3 6 3 2 3" xfId="24338" xr:uid="{00000000-0005-0000-0000-000076080000}"/>
    <cellStyle name="20 % - Markeringsfarve1 3 6 3 2 4" xfId="39325" xr:uid="{00000000-0005-0000-0000-000077080000}"/>
    <cellStyle name="20 % - Markeringsfarve1 3 6 3 3" xfId="10332" xr:uid="{00000000-0005-0000-0000-000078080000}"/>
    <cellStyle name="20 % - Markeringsfarve1 3 6 3 3 2" xfId="26651" xr:uid="{00000000-0005-0000-0000-000079080000}"/>
    <cellStyle name="20 % - Markeringsfarve1 3 6 3 3 3" xfId="41617" xr:uid="{00000000-0005-0000-0000-00007A080000}"/>
    <cellStyle name="20 % - Markeringsfarve1 3 6 3 4" xfId="19629" xr:uid="{00000000-0005-0000-0000-00007B080000}"/>
    <cellStyle name="20 % - Markeringsfarve1 3 6 3 5" xfId="34618" xr:uid="{00000000-0005-0000-0000-00007C080000}"/>
    <cellStyle name="20 % - Markeringsfarve1 3 6 4" xfId="1776" xr:uid="{00000000-0005-0000-0000-00007D080000}"/>
    <cellStyle name="20 % - Markeringsfarve1 3 6 4 2" xfId="8350" xr:uid="{00000000-0005-0000-0000-00007E080000}"/>
    <cellStyle name="20 % - Markeringsfarve1 3 6 4 2 2" xfId="16244" xr:uid="{00000000-0005-0000-0000-00007F080000}"/>
    <cellStyle name="20 % - Markeringsfarve1 3 6 4 2 2 2" xfId="32558" xr:uid="{00000000-0005-0000-0000-000080080000}"/>
    <cellStyle name="20 % - Markeringsfarve1 3 6 4 2 2 3" xfId="47522" xr:uid="{00000000-0005-0000-0000-000081080000}"/>
    <cellStyle name="20 % - Markeringsfarve1 3 6 4 2 3" xfId="25536" xr:uid="{00000000-0005-0000-0000-000082080000}"/>
    <cellStyle name="20 % - Markeringsfarve1 3 6 4 2 4" xfId="40523" xr:uid="{00000000-0005-0000-0000-000083080000}"/>
    <cellStyle name="20 % - Markeringsfarve1 3 6 4 3" xfId="10333" xr:uid="{00000000-0005-0000-0000-000084080000}"/>
    <cellStyle name="20 % - Markeringsfarve1 3 6 4 3 2" xfId="26652" xr:uid="{00000000-0005-0000-0000-000085080000}"/>
    <cellStyle name="20 % - Markeringsfarve1 3 6 4 3 3" xfId="41618" xr:uid="{00000000-0005-0000-0000-000086080000}"/>
    <cellStyle name="20 % - Markeringsfarve1 3 6 4 4" xfId="19630" xr:uid="{00000000-0005-0000-0000-000087080000}"/>
    <cellStyle name="20 % - Markeringsfarve1 3 6 4 5" xfId="34619" xr:uid="{00000000-0005-0000-0000-000088080000}"/>
    <cellStyle name="20 % - Markeringsfarve1 3 6 5" xfId="5443" xr:uid="{00000000-0005-0000-0000-000089080000}"/>
    <cellStyle name="20 % - Markeringsfarve1 3 6 5 2" xfId="13361" xr:uid="{00000000-0005-0000-0000-00008A080000}"/>
    <cellStyle name="20 % - Markeringsfarve1 3 6 5 2 2" xfId="29675" xr:uid="{00000000-0005-0000-0000-00008B080000}"/>
    <cellStyle name="20 % - Markeringsfarve1 3 6 5 2 3" xfId="44639" xr:uid="{00000000-0005-0000-0000-00008C080000}"/>
    <cellStyle name="20 % - Markeringsfarve1 3 6 5 3" xfId="22653" xr:uid="{00000000-0005-0000-0000-00008D080000}"/>
    <cellStyle name="20 % - Markeringsfarve1 3 6 5 4" xfId="37640" xr:uid="{00000000-0005-0000-0000-00008E080000}"/>
    <cellStyle name="20 % - Markeringsfarve1 3 6 6" xfId="10329" xr:uid="{00000000-0005-0000-0000-00008F080000}"/>
    <cellStyle name="20 % - Markeringsfarve1 3 6 6 2" xfId="26648" xr:uid="{00000000-0005-0000-0000-000090080000}"/>
    <cellStyle name="20 % - Markeringsfarve1 3 6 6 3" xfId="41614" xr:uid="{00000000-0005-0000-0000-000091080000}"/>
    <cellStyle name="20 % - Markeringsfarve1 3 6 7" xfId="19626" xr:uid="{00000000-0005-0000-0000-000092080000}"/>
    <cellStyle name="20 % - Markeringsfarve1 3 6 8" xfId="34615" xr:uid="{00000000-0005-0000-0000-000093080000}"/>
    <cellStyle name="20 % - Markeringsfarve1 3 7" xfId="1777" xr:uid="{00000000-0005-0000-0000-000094080000}"/>
    <cellStyle name="20 % - Markeringsfarve1 3 7 2" xfId="1778" xr:uid="{00000000-0005-0000-0000-000095080000}"/>
    <cellStyle name="20 % - Markeringsfarve1 3 7 2 2" xfId="1779" xr:uid="{00000000-0005-0000-0000-000096080000}"/>
    <cellStyle name="20 % - Markeringsfarve1 3 7 2 2 2" xfId="7977" xr:uid="{00000000-0005-0000-0000-000097080000}"/>
    <cellStyle name="20 % - Markeringsfarve1 3 7 2 2 2 2" xfId="15878" xr:uid="{00000000-0005-0000-0000-000098080000}"/>
    <cellStyle name="20 % - Markeringsfarve1 3 7 2 2 2 2 2" xfId="32192" xr:uid="{00000000-0005-0000-0000-000099080000}"/>
    <cellStyle name="20 % - Markeringsfarve1 3 7 2 2 2 2 3" xfId="47156" xr:uid="{00000000-0005-0000-0000-00009A080000}"/>
    <cellStyle name="20 % - Markeringsfarve1 3 7 2 2 2 3" xfId="25170" xr:uid="{00000000-0005-0000-0000-00009B080000}"/>
    <cellStyle name="20 % - Markeringsfarve1 3 7 2 2 2 4" xfId="40157" xr:uid="{00000000-0005-0000-0000-00009C080000}"/>
    <cellStyle name="20 % - Markeringsfarve1 3 7 2 2 3" xfId="10336" xr:uid="{00000000-0005-0000-0000-00009D080000}"/>
    <cellStyle name="20 % - Markeringsfarve1 3 7 2 2 3 2" xfId="26655" xr:uid="{00000000-0005-0000-0000-00009E080000}"/>
    <cellStyle name="20 % - Markeringsfarve1 3 7 2 2 3 3" xfId="41621" xr:uid="{00000000-0005-0000-0000-00009F080000}"/>
    <cellStyle name="20 % - Markeringsfarve1 3 7 2 2 4" xfId="19633" xr:uid="{00000000-0005-0000-0000-0000A0080000}"/>
    <cellStyle name="20 % - Markeringsfarve1 3 7 2 2 5" xfId="34622" xr:uid="{00000000-0005-0000-0000-0000A1080000}"/>
    <cellStyle name="20 % - Markeringsfarve1 3 7 2 3" xfId="6504" xr:uid="{00000000-0005-0000-0000-0000A2080000}"/>
    <cellStyle name="20 % - Markeringsfarve1 3 7 2 3 2" xfId="14418" xr:uid="{00000000-0005-0000-0000-0000A3080000}"/>
    <cellStyle name="20 % - Markeringsfarve1 3 7 2 3 2 2" xfId="30732" xr:uid="{00000000-0005-0000-0000-0000A4080000}"/>
    <cellStyle name="20 % - Markeringsfarve1 3 7 2 3 2 3" xfId="45696" xr:uid="{00000000-0005-0000-0000-0000A5080000}"/>
    <cellStyle name="20 % - Markeringsfarve1 3 7 2 3 3" xfId="23710" xr:uid="{00000000-0005-0000-0000-0000A6080000}"/>
    <cellStyle name="20 % - Markeringsfarve1 3 7 2 3 4" xfId="38697" xr:uid="{00000000-0005-0000-0000-0000A7080000}"/>
    <cellStyle name="20 % - Markeringsfarve1 3 7 2 4" xfId="10335" xr:uid="{00000000-0005-0000-0000-0000A8080000}"/>
    <cellStyle name="20 % - Markeringsfarve1 3 7 2 4 2" xfId="26654" xr:uid="{00000000-0005-0000-0000-0000A9080000}"/>
    <cellStyle name="20 % - Markeringsfarve1 3 7 2 4 3" xfId="41620" xr:uid="{00000000-0005-0000-0000-0000AA080000}"/>
    <cellStyle name="20 % - Markeringsfarve1 3 7 2 5" xfId="19632" xr:uid="{00000000-0005-0000-0000-0000AB080000}"/>
    <cellStyle name="20 % - Markeringsfarve1 3 7 2 6" xfId="34621" xr:uid="{00000000-0005-0000-0000-0000AC080000}"/>
    <cellStyle name="20 % - Markeringsfarve1 3 7 3" xfId="1780" xr:uid="{00000000-0005-0000-0000-0000AD080000}"/>
    <cellStyle name="20 % - Markeringsfarve1 3 7 3 2" xfId="7253" xr:uid="{00000000-0005-0000-0000-0000AE080000}"/>
    <cellStyle name="20 % - Markeringsfarve1 3 7 3 2 2" xfId="15163" xr:uid="{00000000-0005-0000-0000-0000AF080000}"/>
    <cellStyle name="20 % - Markeringsfarve1 3 7 3 2 2 2" xfId="31477" xr:uid="{00000000-0005-0000-0000-0000B0080000}"/>
    <cellStyle name="20 % - Markeringsfarve1 3 7 3 2 2 3" xfId="46441" xr:uid="{00000000-0005-0000-0000-0000B1080000}"/>
    <cellStyle name="20 % - Markeringsfarve1 3 7 3 2 3" xfId="24455" xr:uid="{00000000-0005-0000-0000-0000B2080000}"/>
    <cellStyle name="20 % - Markeringsfarve1 3 7 3 2 4" xfId="39442" xr:uid="{00000000-0005-0000-0000-0000B3080000}"/>
    <cellStyle name="20 % - Markeringsfarve1 3 7 3 3" xfId="10337" xr:uid="{00000000-0005-0000-0000-0000B4080000}"/>
    <cellStyle name="20 % - Markeringsfarve1 3 7 3 3 2" xfId="26656" xr:uid="{00000000-0005-0000-0000-0000B5080000}"/>
    <cellStyle name="20 % - Markeringsfarve1 3 7 3 3 3" xfId="41622" xr:uid="{00000000-0005-0000-0000-0000B6080000}"/>
    <cellStyle name="20 % - Markeringsfarve1 3 7 3 4" xfId="19634" xr:uid="{00000000-0005-0000-0000-0000B7080000}"/>
    <cellStyle name="20 % - Markeringsfarve1 3 7 3 5" xfId="34623" xr:uid="{00000000-0005-0000-0000-0000B8080000}"/>
    <cellStyle name="20 % - Markeringsfarve1 3 7 4" xfId="1781" xr:uid="{00000000-0005-0000-0000-0000B9080000}"/>
    <cellStyle name="20 % - Markeringsfarve1 3 7 4 2" xfId="8349" xr:uid="{00000000-0005-0000-0000-0000BA080000}"/>
    <cellStyle name="20 % - Markeringsfarve1 3 7 4 2 2" xfId="16243" xr:uid="{00000000-0005-0000-0000-0000BB080000}"/>
    <cellStyle name="20 % - Markeringsfarve1 3 7 4 2 2 2" xfId="32557" xr:uid="{00000000-0005-0000-0000-0000BC080000}"/>
    <cellStyle name="20 % - Markeringsfarve1 3 7 4 2 2 3" xfId="47521" xr:uid="{00000000-0005-0000-0000-0000BD080000}"/>
    <cellStyle name="20 % - Markeringsfarve1 3 7 4 2 3" xfId="25535" xr:uid="{00000000-0005-0000-0000-0000BE080000}"/>
    <cellStyle name="20 % - Markeringsfarve1 3 7 4 2 4" xfId="40522" xr:uid="{00000000-0005-0000-0000-0000BF080000}"/>
    <cellStyle name="20 % - Markeringsfarve1 3 7 4 3" xfId="10338" xr:uid="{00000000-0005-0000-0000-0000C0080000}"/>
    <cellStyle name="20 % - Markeringsfarve1 3 7 4 3 2" xfId="26657" xr:uid="{00000000-0005-0000-0000-0000C1080000}"/>
    <cellStyle name="20 % - Markeringsfarve1 3 7 4 3 3" xfId="41623" xr:uid="{00000000-0005-0000-0000-0000C2080000}"/>
    <cellStyle name="20 % - Markeringsfarve1 3 7 4 4" xfId="19635" xr:uid="{00000000-0005-0000-0000-0000C3080000}"/>
    <cellStyle name="20 % - Markeringsfarve1 3 7 4 5" xfId="34624" xr:uid="{00000000-0005-0000-0000-0000C4080000}"/>
    <cellStyle name="20 % - Markeringsfarve1 3 7 5" xfId="5444" xr:uid="{00000000-0005-0000-0000-0000C5080000}"/>
    <cellStyle name="20 % - Markeringsfarve1 3 7 5 2" xfId="13362" xr:uid="{00000000-0005-0000-0000-0000C6080000}"/>
    <cellStyle name="20 % - Markeringsfarve1 3 7 5 2 2" xfId="29676" xr:uid="{00000000-0005-0000-0000-0000C7080000}"/>
    <cellStyle name="20 % - Markeringsfarve1 3 7 5 2 3" xfId="44640" xr:uid="{00000000-0005-0000-0000-0000C8080000}"/>
    <cellStyle name="20 % - Markeringsfarve1 3 7 5 3" xfId="22654" xr:uid="{00000000-0005-0000-0000-0000C9080000}"/>
    <cellStyle name="20 % - Markeringsfarve1 3 7 5 4" xfId="37641" xr:uid="{00000000-0005-0000-0000-0000CA080000}"/>
    <cellStyle name="20 % - Markeringsfarve1 3 7 6" xfId="10334" xr:uid="{00000000-0005-0000-0000-0000CB080000}"/>
    <cellStyle name="20 % - Markeringsfarve1 3 7 6 2" xfId="26653" xr:uid="{00000000-0005-0000-0000-0000CC080000}"/>
    <cellStyle name="20 % - Markeringsfarve1 3 7 6 3" xfId="41619" xr:uid="{00000000-0005-0000-0000-0000CD080000}"/>
    <cellStyle name="20 % - Markeringsfarve1 3 7 7" xfId="19631" xr:uid="{00000000-0005-0000-0000-0000CE080000}"/>
    <cellStyle name="20 % - Markeringsfarve1 3 7 8" xfId="34620" xr:uid="{00000000-0005-0000-0000-0000CF080000}"/>
    <cellStyle name="20 % - Markeringsfarve1 3 8" xfId="1782" xr:uid="{00000000-0005-0000-0000-0000D0080000}"/>
    <cellStyle name="20 % - Markeringsfarve1 3 8 2" xfId="1783" xr:uid="{00000000-0005-0000-0000-0000D1080000}"/>
    <cellStyle name="20 % - Markeringsfarve1 3 8 2 2" xfId="1784" xr:uid="{00000000-0005-0000-0000-0000D2080000}"/>
    <cellStyle name="20 % - Markeringsfarve1 3 8 2 2 2" xfId="8084" xr:uid="{00000000-0005-0000-0000-0000D3080000}"/>
    <cellStyle name="20 % - Markeringsfarve1 3 8 2 2 2 2" xfId="15985" xr:uid="{00000000-0005-0000-0000-0000D4080000}"/>
    <cellStyle name="20 % - Markeringsfarve1 3 8 2 2 2 2 2" xfId="32299" xr:uid="{00000000-0005-0000-0000-0000D5080000}"/>
    <cellStyle name="20 % - Markeringsfarve1 3 8 2 2 2 2 3" xfId="47263" xr:uid="{00000000-0005-0000-0000-0000D6080000}"/>
    <cellStyle name="20 % - Markeringsfarve1 3 8 2 2 2 3" xfId="25277" xr:uid="{00000000-0005-0000-0000-0000D7080000}"/>
    <cellStyle name="20 % - Markeringsfarve1 3 8 2 2 2 4" xfId="40264" xr:uid="{00000000-0005-0000-0000-0000D8080000}"/>
    <cellStyle name="20 % - Markeringsfarve1 3 8 2 2 3" xfId="10341" xr:uid="{00000000-0005-0000-0000-0000D9080000}"/>
    <cellStyle name="20 % - Markeringsfarve1 3 8 2 2 3 2" xfId="26660" xr:uid="{00000000-0005-0000-0000-0000DA080000}"/>
    <cellStyle name="20 % - Markeringsfarve1 3 8 2 2 3 3" xfId="41626" xr:uid="{00000000-0005-0000-0000-0000DB080000}"/>
    <cellStyle name="20 % - Markeringsfarve1 3 8 2 2 4" xfId="19638" xr:uid="{00000000-0005-0000-0000-0000DC080000}"/>
    <cellStyle name="20 % - Markeringsfarve1 3 8 2 2 5" xfId="34627" xr:uid="{00000000-0005-0000-0000-0000DD080000}"/>
    <cellStyle name="20 % - Markeringsfarve1 3 8 2 3" xfId="6595" xr:uid="{00000000-0005-0000-0000-0000DE080000}"/>
    <cellStyle name="20 % - Markeringsfarve1 3 8 2 3 2" xfId="14509" xr:uid="{00000000-0005-0000-0000-0000DF080000}"/>
    <cellStyle name="20 % - Markeringsfarve1 3 8 2 3 2 2" xfId="30823" xr:uid="{00000000-0005-0000-0000-0000E0080000}"/>
    <cellStyle name="20 % - Markeringsfarve1 3 8 2 3 2 3" xfId="45787" xr:uid="{00000000-0005-0000-0000-0000E1080000}"/>
    <cellStyle name="20 % - Markeringsfarve1 3 8 2 3 3" xfId="23801" xr:uid="{00000000-0005-0000-0000-0000E2080000}"/>
    <cellStyle name="20 % - Markeringsfarve1 3 8 2 3 4" xfId="38788" xr:uid="{00000000-0005-0000-0000-0000E3080000}"/>
    <cellStyle name="20 % - Markeringsfarve1 3 8 2 4" xfId="10340" xr:uid="{00000000-0005-0000-0000-0000E4080000}"/>
    <cellStyle name="20 % - Markeringsfarve1 3 8 2 4 2" xfId="26659" xr:uid="{00000000-0005-0000-0000-0000E5080000}"/>
    <cellStyle name="20 % - Markeringsfarve1 3 8 2 4 3" xfId="41625" xr:uid="{00000000-0005-0000-0000-0000E6080000}"/>
    <cellStyle name="20 % - Markeringsfarve1 3 8 2 5" xfId="19637" xr:uid="{00000000-0005-0000-0000-0000E7080000}"/>
    <cellStyle name="20 % - Markeringsfarve1 3 8 2 6" xfId="34626" xr:uid="{00000000-0005-0000-0000-0000E8080000}"/>
    <cellStyle name="20 % - Markeringsfarve1 3 8 3" xfId="1785" xr:uid="{00000000-0005-0000-0000-0000E9080000}"/>
    <cellStyle name="20 % - Markeringsfarve1 3 8 3 2" xfId="7361" xr:uid="{00000000-0005-0000-0000-0000EA080000}"/>
    <cellStyle name="20 % - Markeringsfarve1 3 8 3 2 2" xfId="15271" xr:uid="{00000000-0005-0000-0000-0000EB080000}"/>
    <cellStyle name="20 % - Markeringsfarve1 3 8 3 2 2 2" xfId="31585" xr:uid="{00000000-0005-0000-0000-0000EC080000}"/>
    <cellStyle name="20 % - Markeringsfarve1 3 8 3 2 2 3" xfId="46549" xr:uid="{00000000-0005-0000-0000-0000ED080000}"/>
    <cellStyle name="20 % - Markeringsfarve1 3 8 3 2 3" xfId="24563" xr:uid="{00000000-0005-0000-0000-0000EE080000}"/>
    <cellStyle name="20 % - Markeringsfarve1 3 8 3 2 4" xfId="39550" xr:uid="{00000000-0005-0000-0000-0000EF080000}"/>
    <cellStyle name="20 % - Markeringsfarve1 3 8 3 3" xfId="10342" xr:uid="{00000000-0005-0000-0000-0000F0080000}"/>
    <cellStyle name="20 % - Markeringsfarve1 3 8 3 3 2" xfId="26661" xr:uid="{00000000-0005-0000-0000-0000F1080000}"/>
    <cellStyle name="20 % - Markeringsfarve1 3 8 3 3 3" xfId="41627" xr:uid="{00000000-0005-0000-0000-0000F2080000}"/>
    <cellStyle name="20 % - Markeringsfarve1 3 8 3 4" xfId="19639" xr:uid="{00000000-0005-0000-0000-0000F3080000}"/>
    <cellStyle name="20 % - Markeringsfarve1 3 8 3 5" xfId="34628" xr:uid="{00000000-0005-0000-0000-0000F4080000}"/>
    <cellStyle name="20 % - Markeringsfarve1 3 8 4" xfId="1786" xr:uid="{00000000-0005-0000-0000-0000F5080000}"/>
    <cellStyle name="20 % - Markeringsfarve1 3 8 4 2" xfId="8348" xr:uid="{00000000-0005-0000-0000-0000F6080000}"/>
    <cellStyle name="20 % - Markeringsfarve1 3 8 4 2 2" xfId="16242" xr:uid="{00000000-0005-0000-0000-0000F7080000}"/>
    <cellStyle name="20 % - Markeringsfarve1 3 8 4 2 2 2" xfId="32556" xr:uid="{00000000-0005-0000-0000-0000F8080000}"/>
    <cellStyle name="20 % - Markeringsfarve1 3 8 4 2 2 3" xfId="47520" xr:uid="{00000000-0005-0000-0000-0000F9080000}"/>
    <cellStyle name="20 % - Markeringsfarve1 3 8 4 2 3" xfId="25534" xr:uid="{00000000-0005-0000-0000-0000FA080000}"/>
    <cellStyle name="20 % - Markeringsfarve1 3 8 4 2 4" xfId="40521" xr:uid="{00000000-0005-0000-0000-0000FB080000}"/>
    <cellStyle name="20 % - Markeringsfarve1 3 8 4 3" xfId="10343" xr:uid="{00000000-0005-0000-0000-0000FC080000}"/>
    <cellStyle name="20 % - Markeringsfarve1 3 8 4 3 2" xfId="26662" xr:uid="{00000000-0005-0000-0000-0000FD080000}"/>
    <cellStyle name="20 % - Markeringsfarve1 3 8 4 3 3" xfId="41628" xr:uid="{00000000-0005-0000-0000-0000FE080000}"/>
    <cellStyle name="20 % - Markeringsfarve1 3 8 4 4" xfId="19640" xr:uid="{00000000-0005-0000-0000-0000FF080000}"/>
    <cellStyle name="20 % - Markeringsfarve1 3 8 4 5" xfId="34629" xr:uid="{00000000-0005-0000-0000-000000090000}"/>
    <cellStyle name="20 % - Markeringsfarve1 3 8 5" xfId="5445" xr:uid="{00000000-0005-0000-0000-000001090000}"/>
    <cellStyle name="20 % - Markeringsfarve1 3 8 5 2" xfId="13363" xr:uid="{00000000-0005-0000-0000-000002090000}"/>
    <cellStyle name="20 % - Markeringsfarve1 3 8 5 2 2" xfId="29677" xr:uid="{00000000-0005-0000-0000-000003090000}"/>
    <cellStyle name="20 % - Markeringsfarve1 3 8 5 2 3" xfId="44641" xr:uid="{00000000-0005-0000-0000-000004090000}"/>
    <cellStyle name="20 % - Markeringsfarve1 3 8 5 3" xfId="22655" xr:uid="{00000000-0005-0000-0000-000005090000}"/>
    <cellStyle name="20 % - Markeringsfarve1 3 8 5 4" xfId="37642" xr:uid="{00000000-0005-0000-0000-000006090000}"/>
    <cellStyle name="20 % - Markeringsfarve1 3 8 6" xfId="10339" xr:uid="{00000000-0005-0000-0000-000007090000}"/>
    <cellStyle name="20 % - Markeringsfarve1 3 8 6 2" xfId="26658" xr:uid="{00000000-0005-0000-0000-000008090000}"/>
    <cellStyle name="20 % - Markeringsfarve1 3 8 6 3" xfId="41624" xr:uid="{00000000-0005-0000-0000-000009090000}"/>
    <cellStyle name="20 % - Markeringsfarve1 3 8 7" xfId="19636" xr:uid="{00000000-0005-0000-0000-00000A090000}"/>
    <cellStyle name="20 % - Markeringsfarve1 3 8 8" xfId="34625" xr:uid="{00000000-0005-0000-0000-00000B090000}"/>
    <cellStyle name="20 % - Markeringsfarve1 3 9" xfId="1787" xr:uid="{00000000-0005-0000-0000-00000C090000}"/>
    <cellStyle name="20 % - Markeringsfarve1 3 9 2" xfId="1788" xr:uid="{00000000-0005-0000-0000-00000D090000}"/>
    <cellStyle name="20 % - Markeringsfarve1 3 9 2 2" xfId="7503" xr:uid="{00000000-0005-0000-0000-00000E090000}"/>
    <cellStyle name="20 % - Markeringsfarve1 3 9 2 2 2" xfId="15404" xr:uid="{00000000-0005-0000-0000-00000F090000}"/>
    <cellStyle name="20 % - Markeringsfarve1 3 9 2 2 2 2" xfId="31718" xr:uid="{00000000-0005-0000-0000-000010090000}"/>
    <cellStyle name="20 % - Markeringsfarve1 3 9 2 2 2 3" xfId="46682" xr:uid="{00000000-0005-0000-0000-000011090000}"/>
    <cellStyle name="20 % - Markeringsfarve1 3 9 2 2 3" xfId="24696" xr:uid="{00000000-0005-0000-0000-000012090000}"/>
    <cellStyle name="20 % - Markeringsfarve1 3 9 2 2 4" xfId="39683" xr:uid="{00000000-0005-0000-0000-000013090000}"/>
    <cellStyle name="20 % - Markeringsfarve1 3 9 2 3" xfId="10345" xr:uid="{00000000-0005-0000-0000-000014090000}"/>
    <cellStyle name="20 % - Markeringsfarve1 3 9 2 3 2" xfId="26664" xr:uid="{00000000-0005-0000-0000-000015090000}"/>
    <cellStyle name="20 % - Markeringsfarve1 3 9 2 3 3" xfId="41630" xr:uid="{00000000-0005-0000-0000-000016090000}"/>
    <cellStyle name="20 % - Markeringsfarve1 3 9 2 4" xfId="19642" xr:uid="{00000000-0005-0000-0000-000017090000}"/>
    <cellStyle name="20 % - Markeringsfarve1 3 9 2 5" xfId="34631" xr:uid="{00000000-0005-0000-0000-000018090000}"/>
    <cellStyle name="20 % - Markeringsfarve1 3 9 3" xfId="6104" xr:uid="{00000000-0005-0000-0000-000019090000}"/>
    <cellStyle name="20 % - Markeringsfarve1 3 9 3 2" xfId="14021" xr:uid="{00000000-0005-0000-0000-00001A090000}"/>
    <cellStyle name="20 % - Markeringsfarve1 3 9 3 2 2" xfId="30335" xr:uid="{00000000-0005-0000-0000-00001B090000}"/>
    <cellStyle name="20 % - Markeringsfarve1 3 9 3 2 3" xfId="45299" xr:uid="{00000000-0005-0000-0000-00001C090000}"/>
    <cellStyle name="20 % - Markeringsfarve1 3 9 3 3" xfId="23313" xr:uid="{00000000-0005-0000-0000-00001D090000}"/>
    <cellStyle name="20 % - Markeringsfarve1 3 9 3 4" xfId="38300" xr:uid="{00000000-0005-0000-0000-00001E090000}"/>
    <cellStyle name="20 % - Markeringsfarve1 3 9 4" xfId="10344" xr:uid="{00000000-0005-0000-0000-00001F090000}"/>
    <cellStyle name="20 % - Markeringsfarve1 3 9 4 2" xfId="26663" xr:uid="{00000000-0005-0000-0000-000020090000}"/>
    <cellStyle name="20 % - Markeringsfarve1 3 9 4 3" xfId="41629" xr:uid="{00000000-0005-0000-0000-000021090000}"/>
    <cellStyle name="20 % - Markeringsfarve1 3 9 5" xfId="19641" xr:uid="{00000000-0005-0000-0000-000022090000}"/>
    <cellStyle name="20 % - Markeringsfarve1 3 9 6" xfId="34630" xr:uid="{00000000-0005-0000-0000-000023090000}"/>
    <cellStyle name="20 % - Markeringsfarve1 4" xfId="1789" xr:uid="{00000000-0005-0000-0000-000024090000}"/>
    <cellStyle name="20 % - Markeringsfarve1 4 10" xfId="5446" xr:uid="{00000000-0005-0000-0000-000025090000}"/>
    <cellStyle name="20 % - Markeringsfarve1 4 10 2" xfId="13364" xr:uid="{00000000-0005-0000-0000-000026090000}"/>
    <cellStyle name="20 % - Markeringsfarve1 4 10 2 2" xfId="29678" xr:uid="{00000000-0005-0000-0000-000027090000}"/>
    <cellStyle name="20 % - Markeringsfarve1 4 10 2 3" xfId="44642" xr:uid="{00000000-0005-0000-0000-000028090000}"/>
    <cellStyle name="20 % - Markeringsfarve1 4 10 3" xfId="22656" xr:uid="{00000000-0005-0000-0000-000029090000}"/>
    <cellStyle name="20 % - Markeringsfarve1 4 10 4" xfId="37643" xr:uid="{00000000-0005-0000-0000-00002A090000}"/>
    <cellStyle name="20 % - Markeringsfarve1 4 11" xfId="10346" xr:uid="{00000000-0005-0000-0000-00002B090000}"/>
    <cellStyle name="20 % - Markeringsfarve1 4 11 2" xfId="26665" xr:uid="{00000000-0005-0000-0000-00002C090000}"/>
    <cellStyle name="20 % - Markeringsfarve1 4 11 3" xfId="41631" xr:uid="{00000000-0005-0000-0000-00002D090000}"/>
    <cellStyle name="20 % - Markeringsfarve1 4 12" xfId="19643" xr:uid="{00000000-0005-0000-0000-00002E090000}"/>
    <cellStyle name="20 % - Markeringsfarve1 4 13" xfId="34632" xr:uid="{00000000-0005-0000-0000-00002F090000}"/>
    <cellStyle name="20 % - Markeringsfarve1 4 14" xfId="53375" xr:uid="{00000000-0005-0000-0000-000030090000}"/>
    <cellStyle name="20 % - Markeringsfarve1 4 2" xfId="1790" xr:uid="{00000000-0005-0000-0000-000031090000}"/>
    <cellStyle name="20 % - Markeringsfarve1 4 2 2" xfId="1791" xr:uid="{00000000-0005-0000-0000-000032090000}"/>
    <cellStyle name="20 % - Markeringsfarve1 4 2 2 2" xfId="1792" xr:uid="{00000000-0005-0000-0000-000033090000}"/>
    <cellStyle name="20 % - Markeringsfarve1 4 2 2 2 2" xfId="7647" xr:uid="{00000000-0005-0000-0000-000034090000}"/>
    <cellStyle name="20 % - Markeringsfarve1 4 2 2 2 2 2" xfId="15548" xr:uid="{00000000-0005-0000-0000-000035090000}"/>
    <cellStyle name="20 % - Markeringsfarve1 4 2 2 2 2 2 2" xfId="31862" xr:uid="{00000000-0005-0000-0000-000036090000}"/>
    <cellStyle name="20 % - Markeringsfarve1 4 2 2 2 2 2 3" xfId="46826" xr:uid="{00000000-0005-0000-0000-000037090000}"/>
    <cellStyle name="20 % - Markeringsfarve1 4 2 2 2 2 3" xfId="24840" xr:uid="{00000000-0005-0000-0000-000038090000}"/>
    <cellStyle name="20 % - Markeringsfarve1 4 2 2 2 2 4" xfId="39827" xr:uid="{00000000-0005-0000-0000-000039090000}"/>
    <cellStyle name="20 % - Markeringsfarve1 4 2 2 2 3" xfId="10349" xr:uid="{00000000-0005-0000-0000-00003A090000}"/>
    <cellStyle name="20 % - Markeringsfarve1 4 2 2 2 3 2" xfId="26668" xr:uid="{00000000-0005-0000-0000-00003B090000}"/>
    <cellStyle name="20 % - Markeringsfarve1 4 2 2 2 3 3" xfId="41634" xr:uid="{00000000-0005-0000-0000-00003C090000}"/>
    <cellStyle name="20 % - Markeringsfarve1 4 2 2 2 4" xfId="19646" xr:uid="{00000000-0005-0000-0000-00003D090000}"/>
    <cellStyle name="20 % - Markeringsfarve1 4 2 2 2 5" xfId="34635" xr:uid="{00000000-0005-0000-0000-00003E090000}"/>
    <cellStyle name="20 % - Markeringsfarve1 4 2 2 3" xfId="6224" xr:uid="{00000000-0005-0000-0000-00003F090000}"/>
    <cellStyle name="20 % - Markeringsfarve1 4 2 2 3 2" xfId="14141" xr:uid="{00000000-0005-0000-0000-000040090000}"/>
    <cellStyle name="20 % - Markeringsfarve1 4 2 2 3 2 2" xfId="30455" xr:uid="{00000000-0005-0000-0000-000041090000}"/>
    <cellStyle name="20 % - Markeringsfarve1 4 2 2 3 2 3" xfId="45419" xr:uid="{00000000-0005-0000-0000-000042090000}"/>
    <cellStyle name="20 % - Markeringsfarve1 4 2 2 3 3" xfId="23433" xr:uid="{00000000-0005-0000-0000-000043090000}"/>
    <cellStyle name="20 % - Markeringsfarve1 4 2 2 3 4" xfId="38420" xr:uid="{00000000-0005-0000-0000-000044090000}"/>
    <cellStyle name="20 % - Markeringsfarve1 4 2 2 4" xfId="10348" xr:uid="{00000000-0005-0000-0000-000045090000}"/>
    <cellStyle name="20 % - Markeringsfarve1 4 2 2 4 2" xfId="26667" xr:uid="{00000000-0005-0000-0000-000046090000}"/>
    <cellStyle name="20 % - Markeringsfarve1 4 2 2 4 3" xfId="41633" xr:uid="{00000000-0005-0000-0000-000047090000}"/>
    <cellStyle name="20 % - Markeringsfarve1 4 2 2 5" xfId="19645" xr:uid="{00000000-0005-0000-0000-000048090000}"/>
    <cellStyle name="20 % - Markeringsfarve1 4 2 2 6" xfId="34634" xr:uid="{00000000-0005-0000-0000-000049090000}"/>
    <cellStyle name="20 % - Markeringsfarve1 4 2 2 7" xfId="57179" xr:uid="{00000000-0005-0000-0000-00004A090000}"/>
    <cellStyle name="20 % - Markeringsfarve1 4 2 3" xfId="1793" xr:uid="{00000000-0005-0000-0000-00004B090000}"/>
    <cellStyle name="20 % - Markeringsfarve1 4 2 3 2" xfId="6877" xr:uid="{00000000-0005-0000-0000-00004C090000}"/>
    <cellStyle name="20 % - Markeringsfarve1 4 2 3 2 2" xfId="14788" xr:uid="{00000000-0005-0000-0000-00004D090000}"/>
    <cellStyle name="20 % - Markeringsfarve1 4 2 3 2 2 2" xfId="31102" xr:uid="{00000000-0005-0000-0000-00004E090000}"/>
    <cellStyle name="20 % - Markeringsfarve1 4 2 3 2 2 3" xfId="46066" xr:uid="{00000000-0005-0000-0000-00004F090000}"/>
    <cellStyle name="20 % - Markeringsfarve1 4 2 3 2 3" xfId="24080" xr:uid="{00000000-0005-0000-0000-000050090000}"/>
    <cellStyle name="20 % - Markeringsfarve1 4 2 3 2 4" xfId="39067" xr:uid="{00000000-0005-0000-0000-000051090000}"/>
    <cellStyle name="20 % - Markeringsfarve1 4 2 3 3" xfId="10350" xr:uid="{00000000-0005-0000-0000-000052090000}"/>
    <cellStyle name="20 % - Markeringsfarve1 4 2 3 3 2" xfId="26669" xr:uid="{00000000-0005-0000-0000-000053090000}"/>
    <cellStyle name="20 % - Markeringsfarve1 4 2 3 3 3" xfId="41635" xr:uid="{00000000-0005-0000-0000-000054090000}"/>
    <cellStyle name="20 % - Markeringsfarve1 4 2 3 4" xfId="19647" xr:uid="{00000000-0005-0000-0000-000055090000}"/>
    <cellStyle name="20 % - Markeringsfarve1 4 2 3 5" xfId="34636" xr:uid="{00000000-0005-0000-0000-000056090000}"/>
    <cellStyle name="20 % - Markeringsfarve1 4 2 4" xfId="1794" xr:uid="{00000000-0005-0000-0000-000057090000}"/>
    <cellStyle name="20 % - Markeringsfarve1 4 2 4 2" xfId="8346" xr:uid="{00000000-0005-0000-0000-000058090000}"/>
    <cellStyle name="20 % - Markeringsfarve1 4 2 4 2 2" xfId="16240" xr:uid="{00000000-0005-0000-0000-000059090000}"/>
    <cellStyle name="20 % - Markeringsfarve1 4 2 4 2 2 2" xfId="32554" xr:uid="{00000000-0005-0000-0000-00005A090000}"/>
    <cellStyle name="20 % - Markeringsfarve1 4 2 4 2 2 3" xfId="47518" xr:uid="{00000000-0005-0000-0000-00005B090000}"/>
    <cellStyle name="20 % - Markeringsfarve1 4 2 4 2 3" xfId="25532" xr:uid="{00000000-0005-0000-0000-00005C090000}"/>
    <cellStyle name="20 % - Markeringsfarve1 4 2 4 2 4" xfId="40519" xr:uid="{00000000-0005-0000-0000-00005D090000}"/>
    <cellStyle name="20 % - Markeringsfarve1 4 2 4 3" xfId="10351" xr:uid="{00000000-0005-0000-0000-00005E090000}"/>
    <cellStyle name="20 % - Markeringsfarve1 4 2 4 3 2" xfId="26670" xr:uid="{00000000-0005-0000-0000-00005F090000}"/>
    <cellStyle name="20 % - Markeringsfarve1 4 2 4 3 3" xfId="41636" xr:uid="{00000000-0005-0000-0000-000060090000}"/>
    <cellStyle name="20 % - Markeringsfarve1 4 2 4 4" xfId="19648" xr:uid="{00000000-0005-0000-0000-000061090000}"/>
    <cellStyle name="20 % - Markeringsfarve1 4 2 4 5" xfId="34637" xr:uid="{00000000-0005-0000-0000-000062090000}"/>
    <cellStyle name="20 % - Markeringsfarve1 4 2 5" xfId="5447" xr:uid="{00000000-0005-0000-0000-000063090000}"/>
    <cellStyle name="20 % - Markeringsfarve1 4 2 5 2" xfId="13365" xr:uid="{00000000-0005-0000-0000-000064090000}"/>
    <cellStyle name="20 % - Markeringsfarve1 4 2 5 2 2" xfId="29679" xr:uid="{00000000-0005-0000-0000-000065090000}"/>
    <cellStyle name="20 % - Markeringsfarve1 4 2 5 2 3" xfId="44643" xr:uid="{00000000-0005-0000-0000-000066090000}"/>
    <cellStyle name="20 % - Markeringsfarve1 4 2 5 3" xfId="22657" xr:uid="{00000000-0005-0000-0000-000067090000}"/>
    <cellStyle name="20 % - Markeringsfarve1 4 2 5 4" xfId="37644" xr:uid="{00000000-0005-0000-0000-000068090000}"/>
    <cellStyle name="20 % - Markeringsfarve1 4 2 6" xfId="10347" xr:uid="{00000000-0005-0000-0000-000069090000}"/>
    <cellStyle name="20 % - Markeringsfarve1 4 2 6 2" xfId="26666" xr:uid="{00000000-0005-0000-0000-00006A090000}"/>
    <cellStyle name="20 % - Markeringsfarve1 4 2 6 3" xfId="41632" xr:uid="{00000000-0005-0000-0000-00006B090000}"/>
    <cellStyle name="20 % - Markeringsfarve1 4 2 7" xfId="19644" xr:uid="{00000000-0005-0000-0000-00006C090000}"/>
    <cellStyle name="20 % - Markeringsfarve1 4 2 8" xfId="34633" xr:uid="{00000000-0005-0000-0000-00006D090000}"/>
    <cellStyle name="20 % - Markeringsfarve1 4 2 9" xfId="54012" xr:uid="{00000000-0005-0000-0000-00006E090000}"/>
    <cellStyle name="20 % - Markeringsfarve1 4 3" xfId="1795" xr:uid="{00000000-0005-0000-0000-00006F090000}"/>
    <cellStyle name="20 % - Markeringsfarve1 4 3 2" xfId="1796" xr:uid="{00000000-0005-0000-0000-000070090000}"/>
    <cellStyle name="20 % - Markeringsfarve1 4 3 2 2" xfId="1797" xr:uid="{00000000-0005-0000-0000-000071090000}"/>
    <cellStyle name="20 % - Markeringsfarve1 4 3 2 2 2" xfId="7732" xr:uid="{00000000-0005-0000-0000-000072090000}"/>
    <cellStyle name="20 % - Markeringsfarve1 4 3 2 2 2 2" xfId="15633" xr:uid="{00000000-0005-0000-0000-000073090000}"/>
    <cellStyle name="20 % - Markeringsfarve1 4 3 2 2 2 2 2" xfId="31947" xr:uid="{00000000-0005-0000-0000-000074090000}"/>
    <cellStyle name="20 % - Markeringsfarve1 4 3 2 2 2 2 3" xfId="46911" xr:uid="{00000000-0005-0000-0000-000075090000}"/>
    <cellStyle name="20 % - Markeringsfarve1 4 3 2 2 2 3" xfId="24925" xr:uid="{00000000-0005-0000-0000-000076090000}"/>
    <cellStyle name="20 % - Markeringsfarve1 4 3 2 2 2 4" xfId="39912" xr:uid="{00000000-0005-0000-0000-000077090000}"/>
    <cellStyle name="20 % - Markeringsfarve1 4 3 2 2 3" xfId="10354" xr:uid="{00000000-0005-0000-0000-000078090000}"/>
    <cellStyle name="20 % - Markeringsfarve1 4 3 2 2 3 2" xfId="26673" xr:uid="{00000000-0005-0000-0000-000079090000}"/>
    <cellStyle name="20 % - Markeringsfarve1 4 3 2 2 3 3" xfId="41639" xr:uid="{00000000-0005-0000-0000-00007A090000}"/>
    <cellStyle name="20 % - Markeringsfarve1 4 3 2 2 4" xfId="19651" xr:uid="{00000000-0005-0000-0000-00007B090000}"/>
    <cellStyle name="20 % - Markeringsfarve1 4 3 2 2 5" xfId="34640" xr:uid="{00000000-0005-0000-0000-00007C090000}"/>
    <cellStyle name="20 % - Markeringsfarve1 4 3 2 3" xfId="6296" xr:uid="{00000000-0005-0000-0000-00007D090000}"/>
    <cellStyle name="20 % - Markeringsfarve1 4 3 2 3 2" xfId="14213" xr:uid="{00000000-0005-0000-0000-00007E090000}"/>
    <cellStyle name="20 % - Markeringsfarve1 4 3 2 3 2 2" xfId="30527" xr:uid="{00000000-0005-0000-0000-00007F090000}"/>
    <cellStyle name="20 % - Markeringsfarve1 4 3 2 3 2 3" xfId="45491" xr:uid="{00000000-0005-0000-0000-000080090000}"/>
    <cellStyle name="20 % - Markeringsfarve1 4 3 2 3 3" xfId="23505" xr:uid="{00000000-0005-0000-0000-000081090000}"/>
    <cellStyle name="20 % - Markeringsfarve1 4 3 2 3 4" xfId="38492" xr:uid="{00000000-0005-0000-0000-000082090000}"/>
    <cellStyle name="20 % - Markeringsfarve1 4 3 2 4" xfId="10353" xr:uid="{00000000-0005-0000-0000-000083090000}"/>
    <cellStyle name="20 % - Markeringsfarve1 4 3 2 4 2" xfId="26672" xr:uid="{00000000-0005-0000-0000-000084090000}"/>
    <cellStyle name="20 % - Markeringsfarve1 4 3 2 4 3" xfId="41638" xr:uid="{00000000-0005-0000-0000-000085090000}"/>
    <cellStyle name="20 % - Markeringsfarve1 4 3 2 5" xfId="19650" xr:uid="{00000000-0005-0000-0000-000086090000}"/>
    <cellStyle name="20 % - Markeringsfarve1 4 3 2 6" xfId="34639" xr:uid="{00000000-0005-0000-0000-000087090000}"/>
    <cellStyle name="20 % - Markeringsfarve1 4 3 3" xfId="1798" xr:uid="{00000000-0005-0000-0000-000088090000}"/>
    <cellStyle name="20 % - Markeringsfarve1 4 3 3 2" xfId="6962" xr:uid="{00000000-0005-0000-0000-000089090000}"/>
    <cellStyle name="20 % - Markeringsfarve1 4 3 3 2 2" xfId="14873" xr:uid="{00000000-0005-0000-0000-00008A090000}"/>
    <cellStyle name="20 % - Markeringsfarve1 4 3 3 2 2 2" xfId="31187" xr:uid="{00000000-0005-0000-0000-00008B090000}"/>
    <cellStyle name="20 % - Markeringsfarve1 4 3 3 2 2 3" xfId="46151" xr:uid="{00000000-0005-0000-0000-00008C090000}"/>
    <cellStyle name="20 % - Markeringsfarve1 4 3 3 2 3" xfId="24165" xr:uid="{00000000-0005-0000-0000-00008D090000}"/>
    <cellStyle name="20 % - Markeringsfarve1 4 3 3 2 4" xfId="39152" xr:uid="{00000000-0005-0000-0000-00008E090000}"/>
    <cellStyle name="20 % - Markeringsfarve1 4 3 3 3" xfId="10355" xr:uid="{00000000-0005-0000-0000-00008F090000}"/>
    <cellStyle name="20 % - Markeringsfarve1 4 3 3 3 2" xfId="26674" xr:uid="{00000000-0005-0000-0000-000090090000}"/>
    <cellStyle name="20 % - Markeringsfarve1 4 3 3 3 3" xfId="41640" xr:uid="{00000000-0005-0000-0000-000091090000}"/>
    <cellStyle name="20 % - Markeringsfarve1 4 3 3 4" xfId="19652" xr:uid="{00000000-0005-0000-0000-000092090000}"/>
    <cellStyle name="20 % - Markeringsfarve1 4 3 3 5" xfId="34641" xr:uid="{00000000-0005-0000-0000-000093090000}"/>
    <cellStyle name="20 % - Markeringsfarve1 4 3 4" xfId="1799" xr:uid="{00000000-0005-0000-0000-000094090000}"/>
    <cellStyle name="20 % - Markeringsfarve1 4 3 4 2" xfId="8345" xr:uid="{00000000-0005-0000-0000-000095090000}"/>
    <cellStyle name="20 % - Markeringsfarve1 4 3 4 2 2" xfId="16239" xr:uid="{00000000-0005-0000-0000-000096090000}"/>
    <cellStyle name="20 % - Markeringsfarve1 4 3 4 2 2 2" xfId="32553" xr:uid="{00000000-0005-0000-0000-000097090000}"/>
    <cellStyle name="20 % - Markeringsfarve1 4 3 4 2 2 3" xfId="47517" xr:uid="{00000000-0005-0000-0000-000098090000}"/>
    <cellStyle name="20 % - Markeringsfarve1 4 3 4 2 3" xfId="25531" xr:uid="{00000000-0005-0000-0000-000099090000}"/>
    <cellStyle name="20 % - Markeringsfarve1 4 3 4 2 4" xfId="40518" xr:uid="{00000000-0005-0000-0000-00009A090000}"/>
    <cellStyle name="20 % - Markeringsfarve1 4 3 4 3" xfId="10356" xr:uid="{00000000-0005-0000-0000-00009B090000}"/>
    <cellStyle name="20 % - Markeringsfarve1 4 3 4 3 2" xfId="26675" xr:uid="{00000000-0005-0000-0000-00009C090000}"/>
    <cellStyle name="20 % - Markeringsfarve1 4 3 4 3 3" xfId="41641" xr:uid="{00000000-0005-0000-0000-00009D090000}"/>
    <cellStyle name="20 % - Markeringsfarve1 4 3 4 4" xfId="19653" xr:uid="{00000000-0005-0000-0000-00009E090000}"/>
    <cellStyle name="20 % - Markeringsfarve1 4 3 4 5" xfId="34642" xr:uid="{00000000-0005-0000-0000-00009F090000}"/>
    <cellStyle name="20 % - Markeringsfarve1 4 3 5" xfId="5448" xr:uid="{00000000-0005-0000-0000-0000A0090000}"/>
    <cellStyle name="20 % - Markeringsfarve1 4 3 5 2" xfId="13366" xr:uid="{00000000-0005-0000-0000-0000A1090000}"/>
    <cellStyle name="20 % - Markeringsfarve1 4 3 5 2 2" xfId="29680" xr:uid="{00000000-0005-0000-0000-0000A2090000}"/>
    <cellStyle name="20 % - Markeringsfarve1 4 3 5 2 3" xfId="44644" xr:uid="{00000000-0005-0000-0000-0000A3090000}"/>
    <cellStyle name="20 % - Markeringsfarve1 4 3 5 3" xfId="22658" xr:uid="{00000000-0005-0000-0000-0000A4090000}"/>
    <cellStyle name="20 % - Markeringsfarve1 4 3 5 4" xfId="37645" xr:uid="{00000000-0005-0000-0000-0000A5090000}"/>
    <cellStyle name="20 % - Markeringsfarve1 4 3 6" xfId="10352" xr:uid="{00000000-0005-0000-0000-0000A6090000}"/>
    <cellStyle name="20 % - Markeringsfarve1 4 3 6 2" xfId="26671" xr:uid="{00000000-0005-0000-0000-0000A7090000}"/>
    <cellStyle name="20 % - Markeringsfarve1 4 3 6 3" xfId="41637" xr:uid="{00000000-0005-0000-0000-0000A8090000}"/>
    <cellStyle name="20 % - Markeringsfarve1 4 3 7" xfId="19649" xr:uid="{00000000-0005-0000-0000-0000A9090000}"/>
    <cellStyle name="20 % - Markeringsfarve1 4 3 8" xfId="34638" xr:uid="{00000000-0005-0000-0000-0000AA090000}"/>
    <cellStyle name="20 % - Markeringsfarve1 4 3 9" xfId="56556" xr:uid="{00000000-0005-0000-0000-0000AB090000}"/>
    <cellStyle name="20 % - Markeringsfarve1 4 4" xfId="1800" xr:uid="{00000000-0005-0000-0000-0000AC090000}"/>
    <cellStyle name="20 % - Markeringsfarve1 4 4 2" xfId="1801" xr:uid="{00000000-0005-0000-0000-0000AD090000}"/>
    <cellStyle name="20 % - Markeringsfarve1 4 4 2 2" xfId="1802" xr:uid="{00000000-0005-0000-0000-0000AE090000}"/>
    <cellStyle name="20 % - Markeringsfarve1 4 4 2 2 2" xfId="7885" xr:uid="{00000000-0005-0000-0000-0000AF090000}"/>
    <cellStyle name="20 % - Markeringsfarve1 4 4 2 2 2 2" xfId="15786" xr:uid="{00000000-0005-0000-0000-0000B0090000}"/>
    <cellStyle name="20 % - Markeringsfarve1 4 4 2 2 2 2 2" xfId="32100" xr:uid="{00000000-0005-0000-0000-0000B1090000}"/>
    <cellStyle name="20 % - Markeringsfarve1 4 4 2 2 2 2 3" xfId="47064" xr:uid="{00000000-0005-0000-0000-0000B2090000}"/>
    <cellStyle name="20 % - Markeringsfarve1 4 4 2 2 2 3" xfId="25078" xr:uid="{00000000-0005-0000-0000-0000B3090000}"/>
    <cellStyle name="20 % - Markeringsfarve1 4 4 2 2 2 4" xfId="40065" xr:uid="{00000000-0005-0000-0000-0000B4090000}"/>
    <cellStyle name="20 % - Markeringsfarve1 4 4 2 2 3" xfId="10359" xr:uid="{00000000-0005-0000-0000-0000B5090000}"/>
    <cellStyle name="20 % - Markeringsfarve1 4 4 2 2 3 2" xfId="26678" xr:uid="{00000000-0005-0000-0000-0000B6090000}"/>
    <cellStyle name="20 % - Markeringsfarve1 4 4 2 2 3 3" xfId="41644" xr:uid="{00000000-0005-0000-0000-0000B7090000}"/>
    <cellStyle name="20 % - Markeringsfarve1 4 4 2 2 4" xfId="19656" xr:uid="{00000000-0005-0000-0000-0000B8090000}"/>
    <cellStyle name="20 % - Markeringsfarve1 4 4 2 2 5" xfId="34645" xr:uid="{00000000-0005-0000-0000-0000B9090000}"/>
    <cellStyle name="20 % - Markeringsfarve1 4 4 2 3" xfId="6426" xr:uid="{00000000-0005-0000-0000-0000BA090000}"/>
    <cellStyle name="20 % - Markeringsfarve1 4 4 2 3 2" xfId="14340" xr:uid="{00000000-0005-0000-0000-0000BB090000}"/>
    <cellStyle name="20 % - Markeringsfarve1 4 4 2 3 2 2" xfId="30654" xr:uid="{00000000-0005-0000-0000-0000BC090000}"/>
    <cellStyle name="20 % - Markeringsfarve1 4 4 2 3 2 3" xfId="45618" xr:uid="{00000000-0005-0000-0000-0000BD090000}"/>
    <cellStyle name="20 % - Markeringsfarve1 4 4 2 3 3" xfId="23632" xr:uid="{00000000-0005-0000-0000-0000BE090000}"/>
    <cellStyle name="20 % - Markeringsfarve1 4 4 2 3 4" xfId="38619" xr:uid="{00000000-0005-0000-0000-0000BF090000}"/>
    <cellStyle name="20 % - Markeringsfarve1 4 4 2 4" xfId="10358" xr:uid="{00000000-0005-0000-0000-0000C0090000}"/>
    <cellStyle name="20 % - Markeringsfarve1 4 4 2 4 2" xfId="26677" xr:uid="{00000000-0005-0000-0000-0000C1090000}"/>
    <cellStyle name="20 % - Markeringsfarve1 4 4 2 4 3" xfId="41643" xr:uid="{00000000-0005-0000-0000-0000C2090000}"/>
    <cellStyle name="20 % - Markeringsfarve1 4 4 2 5" xfId="19655" xr:uid="{00000000-0005-0000-0000-0000C3090000}"/>
    <cellStyle name="20 % - Markeringsfarve1 4 4 2 6" xfId="34644" xr:uid="{00000000-0005-0000-0000-0000C4090000}"/>
    <cellStyle name="20 % - Markeringsfarve1 4 4 3" xfId="1803" xr:uid="{00000000-0005-0000-0000-0000C5090000}"/>
    <cellStyle name="20 % - Markeringsfarve1 4 4 3 2" xfId="7161" xr:uid="{00000000-0005-0000-0000-0000C6090000}"/>
    <cellStyle name="20 % - Markeringsfarve1 4 4 3 2 2" xfId="15071" xr:uid="{00000000-0005-0000-0000-0000C7090000}"/>
    <cellStyle name="20 % - Markeringsfarve1 4 4 3 2 2 2" xfId="31385" xr:uid="{00000000-0005-0000-0000-0000C8090000}"/>
    <cellStyle name="20 % - Markeringsfarve1 4 4 3 2 2 3" xfId="46349" xr:uid="{00000000-0005-0000-0000-0000C9090000}"/>
    <cellStyle name="20 % - Markeringsfarve1 4 4 3 2 3" xfId="24363" xr:uid="{00000000-0005-0000-0000-0000CA090000}"/>
    <cellStyle name="20 % - Markeringsfarve1 4 4 3 2 4" xfId="39350" xr:uid="{00000000-0005-0000-0000-0000CB090000}"/>
    <cellStyle name="20 % - Markeringsfarve1 4 4 3 3" xfId="10360" xr:uid="{00000000-0005-0000-0000-0000CC090000}"/>
    <cellStyle name="20 % - Markeringsfarve1 4 4 3 3 2" xfId="26679" xr:uid="{00000000-0005-0000-0000-0000CD090000}"/>
    <cellStyle name="20 % - Markeringsfarve1 4 4 3 3 3" xfId="41645" xr:uid="{00000000-0005-0000-0000-0000CE090000}"/>
    <cellStyle name="20 % - Markeringsfarve1 4 4 3 4" xfId="19657" xr:uid="{00000000-0005-0000-0000-0000CF090000}"/>
    <cellStyle name="20 % - Markeringsfarve1 4 4 3 5" xfId="34646" xr:uid="{00000000-0005-0000-0000-0000D0090000}"/>
    <cellStyle name="20 % - Markeringsfarve1 4 4 4" xfId="1804" xr:uid="{00000000-0005-0000-0000-0000D1090000}"/>
    <cellStyle name="20 % - Markeringsfarve1 4 4 4 2" xfId="8344" xr:uid="{00000000-0005-0000-0000-0000D2090000}"/>
    <cellStyle name="20 % - Markeringsfarve1 4 4 4 2 2" xfId="16238" xr:uid="{00000000-0005-0000-0000-0000D3090000}"/>
    <cellStyle name="20 % - Markeringsfarve1 4 4 4 2 2 2" xfId="32552" xr:uid="{00000000-0005-0000-0000-0000D4090000}"/>
    <cellStyle name="20 % - Markeringsfarve1 4 4 4 2 2 3" xfId="47516" xr:uid="{00000000-0005-0000-0000-0000D5090000}"/>
    <cellStyle name="20 % - Markeringsfarve1 4 4 4 2 3" xfId="25530" xr:uid="{00000000-0005-0000-0000-0000D6090000}"/>
    <cellStyle name="20 % - Markeringsfarve1 4 4 4 2 4" xfId="40517" xr:uid="{00000000-0005-0000-0000-0000D7090000}"/>
    <cellStyle name="20 % - Markeringsfarve1 4 4 4 3" xfId="10361" xr:uid="{00000000-0005-0000-0000-0000D8090000}"/>
    <cellStyle name="20 % - Markeringsfarve1 4 4 4 3 2" xfId="26680" xr:uid="{00000000-0005-0000-0000-0000D9090000}"/>
    <cellStyle name="20 % - Markeringsfarve1 4 4 4 3 3" xfId="41646" xr:uid="{00000000-0005-0000-0000-0000DA090000}"/>
    <cellStyle name="20 % - Markeringsfarve1 4 4 4 4" xfId="19658" xr:uid="{00000000-0005-0000-0000-0000DB090000}"/>
    <cellStyle name="20 % - Markeringsfarve1 4 4 4 5" xfId="34647" xr:uid="{00000000-0005-0000-0000-0000DC090000}"/>
    <cellStyle name="20 % - Markeringsfarve1 4 4 5" xfId="5449" xr:uid="{00000000-0005-0000-0000-0000DD090000}"/>
    <cellStyle name="20 % - Markeringsfarve1 4 4 5 2" xfId="13367" xr:uid="{00000000-0005-0000-0000-0000DE090000}"/>
    <cellStyle name="20 % - Markeringsfarve1 4 4 5 2 2" xfId="29681" xr:uid="{00000000-0005-0000-0000-0000DF090000}"/>
    <cellStyle name="20 % - Markeringsfarve1 4 4 5 2 3" xfId="44645" xr:uid="{00000000-0005-0000-0000-0000E0090000}"/>
    <cellStyle name="20 % - Markeringsfarve1 4 4 5 3" xfId="22659" xr:uid="{00000000-0005-0000-0000-0000E1090000}"/>
    <cellStyle name="20 % - Markeringsfarve1 4 4 5 4" xfId="37646" xr:uid="{00000000-0005-0000-0000-0000E2090000}"/>
    <cellStyle name="20 % - Markeringsfarve1 4 4 6" xfId="10357" xr:uid="{00000000-0005-0000-0000-0000E3090000}"/>
    <cellStyle name="20 % - Markeringsfarve1 4 4 6 2" xfId="26676" xr:uid="{00000000-0005-0000-0000-0000E4090000}"/>
    <cellStyle name="20 % - Markeringsfarve1 4 4 6 3" xfId="41642" xr:uid="{00000000-0005-0000-0000-0000E5090000}"/>
    <cellStyle name="20 % - Markeringsfarve1 4 4 7" xfId="19654" xr:uid="{00000000-0005-0000-0000-0000E6090000}"/>
    <cellStyle name="20 % - Markeringsfarve1 4 4 8" xfId="34643" xr:uid="{00000000-0005-0000-0000-0000E7090000}"/>
    <cellStyle name="20 % - Markeringsfarve1 4 5" xfId="1805" xr:uid="{00000000-0005-0000-0000-0000E8090000}"/>
    <cellStyle name="20 % - Markeringsfarve1 4 5 2" xfId="1806" xr:uid="{00000000-0005-0000-0000-0000E9090000}"/>
    <cellStyle name="20 % - Markeringsfarve1 4 5 2 2" xfId="1807" xr:uid="{00000000-0005-0000-0000-0000EA090000}"/>
    <cellStyle name="20 % - Markeringsfarve1 4 5 2 2 2" xfId="8002" xr:uid="{00000000-0005-0000-0000-0000EB090000}"/>
    <cellStyle name="20 % - Markeringsfarve1 4 5 2 2 2 2" xfId="15903" xr:uid="{00000000-0005-0000-0000-0000EC090000}"/>
    <cellStyle name="20 % - Markeringsfarve1 4 5 2 2 2 2 2" xfId="32217" xr:uid="{00000000-0005-0000-0000-0000ED090000}"/>
    <cellStyle name="20 % - Markeringsfarve1 4 5 2 2 2 2 3" xfId="47181" xr:uid="{00000000-0005-0000-0000-0000EE090000}"/>
    <cellStyle name="20 % - Markeringsfarve1 4 5 2 2 2 3" xfId="25195" xr:uid="{00000000-0005-0000-0000-0000EF090000}"/>
    <cellStyle name="20 % - Markeringsfarve1 4 5 2 2 2 4" xfId="40182" xr:uid="{00000000-0005-0000-0000-0000F0090000}"/>
    <cellStyle name="20 % - Markeringsfarve1 4 5 2 2 3" xfId="10364" xr:uid="{00000000-0005-0000-0000-0000F1090000}"/>
    <cellStyle name="20 % - Markeringsfarve1 4 5 2 2 3 2" xfId="26683" xr:uid="{00000000-0005-0000-0000-0000F2090000}"/>
    <cellStyle name="20 % - Markeringsfarve1 4 5 2 2 3 3" xfId="41649" xr:uid="{00000000-0005-0000-0000-0000F3090000}"/>
    <cellStyle name="20 % - Markeringsfarve1 4 5 2 2 4" xfId="19661" xr:uid="{00000000-0005-0000-0000-0000F4090000}"/>
    <cellStyle name="20 % - Markeringsfarve1 4 5 2 2 5" xfId="34650" xr:uid="{00000000-0005-0000-0000-0000F5090000}"/>
    <cellStyle name="20 % - Markeringsfarve1 4 5 2 3" xfId="6525" xr:uid="{00000000-0005-0000-0000-0000F6090000}"/>
    <cellStyle name="20 % - Markeringsfarve1 4 5 2 3 2" xfId="14439" xr:uid="{00000000-0005-0000-0000-0000F7090000}"/>
    <cellStyle name="20 % - Markeringsfarve1 4 5 2 3 2 2" xfId="30753" xr:uid="{00000000-0005-0000-0000-0000F8090000}"/>
    <cellStyle name="20 % - Markeringsfarve1 4 5 2 3 2 3" xfId="45717" xr:uid="{00000000-0005-0000-0000-0000F9090000}"/>
    <cellStyle name="20 % - Markeringsfarve1 4 5 2 3 3" xfId="23731" xr:uid="{00000000-0005-0000-0000-0000FA090000}"/>
    <cellStyle name="20 % - Markeringsfarve1 4 5 2 3 4" xfId="38718" xr:uid="{00000000-0005-0000-0000-0000FB090000}"/>
    <cellStyle name="20 % - Markeringsfarve1 4 5 2 4" xfId="10363" xr:uid="{00000000-0005-0000-0000-0000FC090000}"/>
    <cellStyle name="20 % - Markeringsfarve1 4 5 2 4 2" xfId="26682" xr:uid="{00000000-0005-0000-0000-0000FD090000}"/>
    <cellStyle name="20 % - Markeringsfarve1 4 5 2 4 3" xfId="41648" xr:uid="{00000000-0005-0000-0000-0000FE090000}"/>
    <cellStyle name="20 % - Markeringsfarve1 4 5 2 5" xfId="19660" xr:uid="{00000000-0005-0000-0000-0000FF090000}"/>
    <cellStyle name="20 % - Markeringsfarve1 4 5 2 6" xfId="34649" xr:uid="{00000000-0005-0000-0000-0000000A0000}"/>
    <cellStyle name="20 % - Markeringsfarve1 4 5 3" xfId="1808" xr:uid="{00000000-0005-0000-0000-0000010A0000}"/>
    <cellStyle name="20 % - Markeringsfarve1 4 5 3 2" xfId="7278" xr:uid="{00000000-0005-0000-0000-0000020A0000}"/>
    <cellStyle name="20 % - Markeringsfarve1 4 5 3 2 2" xfId="15188" xr:uid="{00000000-0005-0000-0000-0000030A0000}"/>
    <cellStyle name="20 % - Markeringsfarve1 4 5 3 2 2 2" xfId="31502" xr:uid="{00000000-0005-0000-0000-0000040A0000}"/>
    <cellStyle name="20 % - Markeringsfarve1 4 5 3 2 2 3" xfId="46466" xr:uid="{00000000-0005-0000-0000-0000050A0000}"/>
    <cellStyle name="20 % - Markeringsfarve1 4 5 3 2 3" xfId="24480" xr:uid="{00000000-0005-0000-0000-0000060A0000}"/>
    <cellStyle name="20 % - Markeringsfarve1 4 5 3 2 4" xfId="39467" xr:uid="{00000000-0005-0000-0000-0000070A0000}"/>
    <cellStyle name="20 % - Markeringsfarve1 4 5 3 3" xfId="10365" xr:uid="{00000000-0005-0000-0000-0000080A0000}"/>
    <cellStyle name="20 % - Markeringsfarve1 4 5 3 3 2" xfId="26684" xr:uid="{00000000-0005-0000-0000-0000090A0000}"/>
    <cellStyle name="20 % - Markeringsfarve1 4 5 3 3 3" xfId="41650" xr:uid="{00000000-0005-0000-0000-00000A0A0000}"/>
    <cellStyle name="20 % - Markeringsfarve1 4 5 3 4" xfId="19662" xr:uid="{00000000-0005-0000-0000-00000B0A0000}"/>
    <cellStyle name="20 % - Markeringsfarve1 4 5 3 5" xfId="34651" xr:uid="{00000000-0005-0000-0000-00000C0A0000}"/>
    <cellStyle name="20 % - Markeringsfarve1 4 5 4" xfId="1809" xr:uid="{00000000-0005-0000-0000-00000D0A0000}"/>
    <cellStyle name="20 % - Markeringsfarve1 4 5 4 2" xfId="8343" xr:uid="{00000000-0005-0000-0000-00000E0A0000}"/>
    <cellStyle name="20 % - Markeringsfarve1 4 5 4 2 2" xfId="16237" xr:uid="{00000000-0005-0000-0000-00000F0A0000}"/>
    <cellStyle name="20 % - Markeringsfarve1 4 5 4 2 2 2" xfId="32551" xr:uid="{00000000-0005-0000-0000-0000100A0000}"/>
    <cellStyle name="20 % - Markeringsfarve1 4 5 4 2 2 3" xfId="47515" xr:uid="{00000000-0005-0000-0000-0000110A0000}"/>
    <cellStyle name="20 % - Markeringsfarve1 4 5 4 2 3" xfId="25529" xr:uid="{00000000-0005-0000-0000-0000120A0000}"/>
    <cellStyle name="20 % - Markeringsfarve1 4 5 4 2 4" xfId="40516" xr:uid="{00000000-0005-0000-0000-0000130A0000}"/>
    <cellStyle name="20 % - Markeringsfarve1 4 5 4 3" xfId="10366" xr:uid="{00000000-0005-0000-0000-0000140A0000}"/>
    <cellStyle name="20 % - Markeringsfarve1 4 5 4 3 2" xfId="26685" xr:uid="{00000000-0005-0000-0000-0000150A0000}"/>
    <cellStyle name="20 % - Markeringsfarve1 4 5 4 3 3" xfId="41651" xr:uid="{00000000-0005-0000-0000-0000160A0000}"/>
    <cellStyle name="20 % - Markeringsfarve1 4 5 4 4" xfId="19663" xr:uid="{00000000-0005-0000-0000-0000170A0000}"/>
    <cellStyle name="20 % - Markeringsfarve1 4 5 4 5" xfId="34652" xr:uid="{00000000-0005-0000-0000-0000180A0000}"/>
    <cellStyle name="20 % - Markeringsfarve1 4 5 5" xfId="5450" xr:uid="{00000000-0005-0000-0000-0000190A0000}"/>
    <cellStyle name="20 % - Markeringsfarve1 4 5 5 2" xfId="13368" xr:uid="{00000000-0005-0000-0000-00001A0A0000}"/>
    <cellStyle name="20 % - Markeringsfarve1 4 5 5 2 2" xfId="29682" xr:uid="{00000000-0005-0000-0000-00001B0A0000}"/>
    <cellStyle name="20 % - Markeringsfarve1 4 5 5 2 3" xfId="44646" xr:uid="{00000000-0005-0000-0000-00001C0A0000}"/>
    <cellStyle name="20 % - Markeringsfarve1 4 5 5 3" xfId="22660" xr:uid="{00000000-0005-0000-0000-00001D0A0000}"/>
    <cellStyle name="20 % - Markeringsfarve1 4 5 5 4" xfId="37647" xr:uid="{00000000-0005-0000-0000-00001E0A0000}"/>
    <cellStyle name="20 % - Markeringsfarve1 4 5 6" xfId="10362" xr:uid="{00000000-0005-0000-0000-00001F0A0000}"/>
    <cellStyle name="20 % - Markeringsfarve1 4 5 6 2" xfId="26681" xr:uid="{00000000-0005-0000-0000-0000200A0000}"/>
    <cellStyle name="20 % - Markeringsfarve1 4 5 6 3" xfId="41647" xr:uid="{00000000-0005-0000-0000-0000210A0000}"/>
    <cellStyle name="20 % - Markeringsfarve1 4 5 7" xfId="19659" xr:uid="{00000000-0005-0000-0000-0000220A0000}"/>
    <cellStyle name="20 % - Markeringsfarve1 4 5 8" xfId="34648" xr:uid="{00000000-0005-0000-0000-0000230A0000}"/>
    <cellStyle name="20 % - Markeringsfarve1 4 6" xfId="1810" xr:uid="{00000000-0005-0000-0000-0000240A0000}"/>
    <cellStyle name="20 % - Markeringsfarve1 4 6 2" xfId="1811" xr:uid="{00000000-0005-0000-0000-0000250A0000}"/>
    <cellStyle name="20 % - Markeringsfarve1 4 6 2 2" xfId="1812" xr:uid="{00000000-0005-0000-0000-0000260A0000}"/>
    <cellStyle name="20 % - Markeringsfarve1 4 6 2 2 2" xfId="8087" xr:uid="{00000000-0005-0000-0000-0000270A0000}"/>
    <cellStyle name="20 % - Markeringsfarve1 4 6 2 2 2 2" xfId="15988" xr:uid="{00000000-0005-0000-0000-0000280A0000}"/>
    <cellStyle name="20 % - Markeringsfarve1 4 6 2 2 2 2 2" xfId="32302" xr:uid="{00000000-0005-0000-0000-0000290A0000}"/>
    <cellStyle name="20 % - Markeringsfarve1 4 6 2 2 2 2 3" xfId="47266" xr:uid="{00000000-0005-0000-0000-00002A0A0000}"/>
    <cellStyle name="20 % - Markeringsfarve1 4 6 2 2 2 3" xfId="25280" xr:uid="{00000000-0005-0000-0000-00002B0A0000}"/>
    <cellStyle name="20 % - Markeringsfarve1 4 6 2 2 2 4" xfId="40267" xr:uid="{00000000-0005-0000-0000-00002C0A0000}"/>
    <cellStyle name="20 % - Markeringsfarve1 4 6 2 2 3" xfId="10369" xr:uid="{00000000-0005-0000-0000-00002D0A0000}"/>
    <cellStyle name="20 % - Markeringsfarve1 4 6 2 2 3 2" xfId="26688" xr:uid="{00000000-0005-0000-0000-00002E0A0000}"/>
    <cellStyle name="20 % - Markeringsfarve1 4 6 2 2 3 3" xfId="41654" xr:uid="{00000000-0005-0000-0000-00002F0A0000}"/>
    <cellStyle name="20 % - Markeringsfarve1 4 6 2 2 4" xfId="19666" xr:uid="{00000000-0005-0000-0000-0000300A0000}"/>
    <cellStyle name="20 % - Markeringsfarve1 4 6 2 2 5" xfId="34655" xr:uid="{00000000-0005-0000-0000-0000310A0000}"/>
    <cellStyle name="20 % - Markeringsfarve1 4 6 2 3" xfId="6598" xr:uid="{00000000-0005-0000-0000-0000320A0000}"/>
    <cellStyle name="20 % - Markeringsfarve1 4 6 2 3 2" xfId="14512" xr:uid="{00000000-0005-0000-0000-0000330A0000}"/>
    <cellStyle name="20 % - Markeringsfarve1 4 6 2 3 2 2" xfId="30826" xr:uid="{00000000-0005-0000-0000-0000340A0000}"/>
    <cellStyle name="20 % - Markeringsfarve1 4 6 2 3 2 3" xfId="45790" xr:uid="{00000000-0005-0000-0000-0000350A0000}"/>
    <cellStyle name="20 % - Markeringsfarve1 4 6 2 3 3" xfId="23804" xr:uid="{00000000-0005-0000-0000-0000360A0000}"/>
    <cellStyle name="20 % - Markeringsfarve1 4 6 2 3 4" xfId="38791" xr:uid="{00000000-0005-0000-0000-0000370A0000}"/>
    <cellStyle name="20 % - Markeringsfarve1 4 6 2 4" xfId="10368" xr:uid="{00000000-0005-0000-0000-0000380A0000}"/>
    <cellStyle name="20 % - Markeringsfarve1 4 6 2 4 2" xfId="26687" xr:uid="{00000000-0005-0000-0000-0000390A0000}"/>
    <cellStyle name="20 % - Markeringsfarve1 4 6 2 4 3" xfId="41653" xr:uid="{00000000-0005-0000-0000-00003A0A0000}"/>
    <cellStyle name="20 % - Markeringsfarve1 4 6 2 5" xfId="19665" xr:uid="{00000000-0005-0000-0000-00003B0A0000}"/>
    <cellStyle name="20 % - Markeringsfarve1 4 6 2 6" xfId="34654" xr:uid="{00000000-0005-0000-0000-00003C0A0000}"/>
    <cellStyle name="20 % - Markeringsfarve1 4 6 3" xfId="1813" xr:uid="{00000000-0005-0000-0000-00003D0A0000}"/>
    <cellStyle name="20 % - Markeringsfarve1 4 6 3 2" xfId="7364" xr:uid="{00000000-0005-0000-0000-00003E0A0000}"/>
    <cellStyle name="20 % - Markeringsfarve1 4 6 3 2 2" xfId="15274" xr:uid="{00000000-0005-0000-0000-00003F0A0000}"/>
    <cellStyle name="20 % - Markeringsfarve1 4 6 3 2 2 2" xfId="31588" xr:uid="{00000000-0005-0000-0000-0000400A0000}"/>
    <cellStyle name="20 % - Markeringsfarve1 4 6 3 2 2 3" xfId="46552" xr:uid="{00000000-0005-0000-0000-0000410A0000}"/>
    <cellStyle name="20 % - Markeringsfarve1 4 6 3 2 3" xfId="24566" xr:uid="{00000000-0005-0000-0000-0000420A0000}"/>
    <cellStyle name="20 % - Markeringsfarve1 4 6 3 2 4" xfId="39553" xr:uid="{00000000-0005-0000-0000-0000430A0000}"/>
    <cellStyle name="20 % - Markeringsfarve1 4 6 3 3" xfId="10370" xr:uid="{00000000-0005-0000-0000-0000440A0000}"/>
    <cellStyle name="20 % - Markeringsfarve1 4 6 3 3 2" xfId="26689" xr:uid="{00000000-0005-0000-0000-0000450A0000}"/>
    <cellStyle name="20 % - Markeringsfarve1 4 6 3 3 3" xfId="41655" xr:uid="{00000000-0005-0000-0000-0000460A0000}"/>
    <cellStyle name="20 % - Markeringsfarve1 4 6 3 4" xfId="19667" xr:uid="{00000000-0005-0000-0000-0000470A0000}"/>
    <cellStyle name="20 % - Markeringsfarve1 4 6 3 5" xfId="34656" xr:uid="{00000000-0005-0000-0000-0000480A0000}"/>
    <cellStyle name="20 % - Markeringsfarve1 4 6 4" xfId="1814" xr:uid="{00000000-0005-0000-0000-0000490A0000}"/>
    <cellStyle name="20 % - Markeringsfarve1 4 6 4 2" xfId="8342" xr:uid="{00000000-0005-0000-0000-00004A0A0000}"/>
    <cellStyle name="20 % - Markeringsfarve1 4 6 4 2 2" xfId="16236" xr:uid="{00000000-0005-0000-0000-00004B0A0000}"/>
    <cellStyle name="20 % - Markeringsfarve1 4 6 4 2 2 2" xfId="32550" xr:uid="{00000000-0005-0000-0000-00004C0A0000}"/>
    <cellStyle name="20 % - Markeringsfarve1 4 6 4 2 2 3" xfId="47514" xr:uid="{00000000-0005-0000-0000-00004D0A0000}"/>
    <cellStyle name="20 % - Markeringsfarve1 4 6 4 2 3" xfId="25528" xr:uid="{00000000-0005-0000-0000-00004E0A0000}"/>
    <cellStyle name="20 % - Markeringsfarve1 4 6 4 2 4" xfId="40515" xr:uid="{00000000-0005-0000-0000-00004F0A0000}"/>
    <cellStyle name="20 % - Markeringsfarve1 4 6 4 3" xfId="10371" xr:uid="{00000000-0005-0000-0000-0000500A0000}"/>
    <cellStyle name="20 % - Markeringsfarve1 4 6 4 3 2" xfId="26690" xr:uid="{00000000-0005-0000-0000-0000510A0000}"/>
    <cellStyle name="20 % - Markeringsfarve1 4 6 4 3 3" xfId="41656" xr:uid="{00000000-0005-0000-0000-0000520A0000}"/>
    <cellStyle name="20 % - Markeringsfarve1 4 6 4 4" xfId="19668" xr:uid="{00000000-0005-0000-0000-0000530A0000}"/>
    <cellStyle name="20 % - Markeringsfarve1 4 6 4 5" xfId="34657" xr:uid="{00000000-0005-0000-0000-0000540A0000}"/>
    <cellStyle name="20 % - Markeringsfarve1 4 6 5" xfId="5451" xr:uid="{00000000-0005-0000-0000-0000550A0000}"/>
    <cellStyle name="20 % - Markeringsfarve1 4 6 5 2" xfId="13369" xr:uid="{00000000-0005-0000-0000-0000560A0000}"/>
    <cellStyle name="20 % - Markeringsfarve1 4 6 5 2 2" xfId="29683" xr:uid="{00000000-0005-0000-0000-0000570A0000}"/>
    <cellStyle name="20 % - Markeringsfarve1 4 6 5 2 3" xfId="44647" xr:uid="{00000000-0005-0000-0000-0000580A0000}"/>
    <cellStyle name="20 % - Markeringsfarve1 4 6 5 3" xfId="22661" xr:uid="{00000000-0005-0000-0000-0000590A0000}"/>
    <cellStyle name="20 % - Markeringsfarve1 4 6 5 4" xfId="37648" xr:uid="{00000000-0005-0000-0000-00005A0A0000}"/>
    <cellStyle name="20 % - Markeringsfarve1 4 6 6" xfId="10367" xr:uid="{00000000-0005-0000-0000-00005B0A0000}"/>
    <cellStyle name="20 % - Markeringsfarve1 4 6 6 2" xfId="26686" xr:uid="{00000000-0005-0000-0000-00005C0A0000}"/>
    <cellStyle name="20 % - Markeringsfarve1 4 6 6 3" xfId="41652" xr:uid="{00000000-0005-0000-0000-00005D0A0000}"/>
    <cellStyle name="20 % - Markeringsfarve1 4 6 7" xfId="19664" xr:uid="{00000000-0005-0000-0000-00005E0A0000}"/>
    <cellStyle name="20 % - Markeringsfarve1 4 6 8" xfId="34653" xr:uid="{00000000-0005-0000-0000-00005F0A0000}"/>
    <cellStyle name="20 % - Markeringsfarve1 4 7" xfId="1815" xr:uid="{00000000-0005-0000-0000-0000600A0000}"/>
    <cellStyle name="20 % - Markeringsfarve1 4 7 2" xfId="1816" xr:uid="{00000000-0005-0000-0000-0000610A0000}"/>
    <cellStyle name="20 % - Markeringsfarve1 4 7 2 2" xfId="7528" xr:uid="{00000000-0005-0000-0000-0000620A0000}"/>
    <cellStyle name="20 % - Markeringsfarve1 4 7 2 2 2" xfId="15429" xr:uid="{00000000-0005-0000-0000-0000630A0000}"/>
    <cellStyle name="20 % - Markeringsfarve1 4 7 2 2 2 2" xfId="31743" xr:uid="{00000000-0005-0000-0000-0000640A0000}"/>
    <cellStyle name="20 % - Markeringsfarve1 4 7 2 2 2 3" xfId="46707" xr:uid="{00000000-0005-0000-0000-0000650A0000}"/>
    <cellStyle name="20 % - Markeringsfarve1 4 7 2 2 3" xfId="24721" xr:uid="{00000000-0005-0000-0000-0000660A0000}"/>
    <cellStyle name="20 % - Markeringsfarve1 4 7 2 2 4" xfId="39708" xr:uid="{00000000-0005-0000-0000-0000670A0000}"/>
    <cellStyle name="20 % - Markeringsfarve1 4 7 2 3" xfId="10373" xr:uid="{00000000-0005-0000-0000-0000680A0000}"/>
    <cellStyle name="20 % - Markeringsfarve1 4 7 2 3 2" xfId="26692" xr:uid="{00000000-0005-0000-0000-0000690A0000}"/>
    <cellStyle name="20 % - Markeringsfarve1 4 7 2 3 3" xfId="41658" xr:uid="{00000000-0005-0000-0000-00006A0A0000}"/>
    <cellStyle name="20 % - Markeringsfarve1 4 7 2 4" xfId="19670" xr:uid="{00000000-0005-0000-0000-00006B0A0000}"/>
    <cellStyle name="20 % - Markeringsfarve1 4 7 2 5" xfId="34659" xr:uid="{00000000-0005-0000-0000-00006C0A0000}"/>
    <cellStyle name="20 % - Markeringsfarve1 4 7 3" xfId="6125" xr:uid="{00000000-0005-0000-0000-00006D0A0000}"/>
    <cellStyle name="20 % - Markeringsfarve1 4 7 3 2" xfId="14042" xr:uid="{00000000-0005-0000-0000-00006E0A0000}"/>
    <cellStyle name="20 % - Markeringsfarve1 4 7 3 2 2" xfId="30356" xr:uid="{00000000-0005-0000-0000-00006F0A0000}"/>
    <cellStyle name="20 % - Markeringsfarve1 4 7 3 2 3" xfId="45320" xr:uid="{00000000-0005-0000-0000-0000700A0000}"/>
    <cellStyle name="20 % - Markeringsfarve1 4 7 3 3" xfId="23334" xr:uid="{00000000-0005-0000-0000-0000710A0000}"/>
    <cellStyle name="20 % - Markeringsfarve1 4 7 3 4" xfId="38321" xr:uid="{00000000-0005-0000-0000-0000720A0000}"/>
    <cellStyle name="20 % - Markeringsfarve1 4 7 4" xfId="10372" xr:uid="{00000000-0005-0000-0000-0000730A0000}"/>
    <cellStyle name="20 % - Markeringsfarve1 4 7 4 2" xfId="26691" xr:uid="{00000000-0005-0000-0000-0000740A0000}"/>
    <cellStyle name="20 % - Markeringsfarve1 4 7 4 3" xfId="41657" xr:uid="{00000000-0005-0000-0000-0000750A0000}"/>
    <cellStyle name="20 % - Markeringsfarve1 4 7 5" xfId="19669" xr:uid="{00000000-0005-0000-0000-0000760A0000}"/>
    <cellStyle name="20 % - Markeringsfarve1 4 7 6" xfId="34658" xr:uid="{00000000-0005-0000-0000-0000770A0000}"/>
    <cellStyle name="20 % - Markeringsfarve1 4 8" xfId="1817" xr:uid="{00000000-0005-0000-0000-0000780A0000}"/>
    <cellStyle name="20 % - Markeringsfarve1 4 8 2" xfId="6756" xr:uid="{00000000-0005-0000-0000-0000790A0000}"/>
    <cellStyle name="20 % - Markeringsfarve1 4 8 2 2" xfId="14667" xr:uid="{00000000-0005-0000-0000-00007A0A0000}"/>
    <cellStyle name="20 % - Markeringsfarve1 4 8 2 2 2" xfId="30981" xr:uid="{00000000-0005-0000-0000-00007B0A0000}"/>
    <cellStyle name="20 % - Markeringsfarve1 4 8 2 2 3" xfId="45945" xr:uid="{00000000-0005-0000-0000-00007C0A0000}"/>
    <cellStyle name="20 % - Markeringsfarve1 4 8 2 3" xfId="23959" xr:uid="{00000000-0005-0000-0000-00007D0A0000}"/>
    <cellStyle name="20 % - Markeringsfarve1 4 8 2 4" xfId="38946" xr:uid="{00000000-0005-0000-0000-00007E0A0000}"/>
    <cellStyle name="20 % - Markeringsfarve1 4 8 3" xfId="10374" xr:uid="{00000000-0005-0000-0000-00007F0A0000}"/>
    <cellStyle name="20 % - Markeringsfarve1 4 8 3 2" xfId="26693" xr:uid="{00000000-0005-0000-0000-0000800A0000}"/>
    <cellStyle name="20 % - Markeringsfarve1 4 8 3 3" xfId="41659" xr:uid="{00000000-0005-0000-0000-0000810A0000}"/>
    <cellStyle name="20 % - Markeringsfarve1 4 8 4" xfId="19671" xr:uid="{00000000-0005-0000-0000-0000820A0000}"/>
    <cellStyle name="20 % - Markeringsfarve1 4 8 5" xfId="34660" xr:uid="{00000000-0005-0000-0000-0000830A0000}"/>
    <cellStyle name="20 % - Markeringsfarve1 4 9" xfId="1818" xr:uid="{00000000-0005-0000-0000-0000840A0000}"/>
    <cellStyle name="20 % - Markeringsfarve1 4 9 2" xfId="8347" xr:uid="{00000000-0005-0000-0000-0000850A0000}"/>
    <cellStyle name="20 % - Markeringsfarve1 4 9 2 2" xfId="16241" xr:uid="{00000000-0005-0000-0000-0000860A0000}"/>
    <cellStyle name="20 % - Markeringsfarve1 4 9 2 2 2" xfId="32555" xr:uid="{00000000-0005-0000-0000-0000870A0000}"/>
    <cellStyle name="20 % - Markeringsfarve1 4 9 2 2 3" xfId="47519" xr:uid="{00000000-0005-0000-0000-0000880A0000}"/>
    <cellStyle name="20 % - Markeringsfarve1 4 9 2 3" xfId="25533" xr:uid="{00000000-0005-0000-0000-0000890A0000}"/>
    <cellStyle name="20 % - Markeringsfarve1 4 9 2 4" xfId="40520" xr:uid="{00000000-0005-0000-0000-00008A0A0000}"/>
    <cellStyle name="20 % - Markeringsfarve1 4 9 3" xfId="10375" xr:uid="{00000000-0005-0000-0000-00008B0A0000}"/>
    <cellStyle name="20 % - Markeringsfarve1 4 9 3 2" xfId="26694" xr:uid="{00000000-0005-0000-0000-00008C0A0000}"/>
    <cellStyle name="20 % - Markeringsfarve1 4 9 3 3" xfId="41660" xr:uid="{00000000-0005-0000-0000-00008D0A0000}"/>
    <cellStyle name="20 % - Markeringsfarve1 4 9 4" xfId="19672" xr:uid="{00000000-0005-0000-0000-00008E0A0000}"/>
    <cellStyle name="20 % - Markeringsfarve1 4 9 5" xfId="34661" xr:uid="{00000000-0005-0000-0000-00008F0A0000}"/>
    <cellStyle name="20 % - Markeringsfarve1 5" xfId="1819" xr:uid="{00000000-0005-0000-0000-0000900A0000}"/>
    <cellStyle name="20 % - Markeringsfarve1 5 10" xfId="5452" xr:uid="{00000000-0005-0000-0000-0000910A0000}"/>
    <cellStyle name="20 % - Markeringsfarve1 5 10 2" xfId="13370" xr:uid="{00000000-0005-0000-0000-0000920A0000}"/>
    <cellStyle name="20 % - Markeringsfarve1 5 10 2 2" xfId="29684" xr:uid="{00000000-0005-0000-0000-0000930A0000}"/>
    <cellStyle name="20 % - Markeringsfarve1 5 10 2 3" xfId="44648" xr:uid="{00000000-0005-0000-0000-0000940A0000}"/>
    <cellStyle name="20 % - Markeringsfarve1 5 10 3" xfId="22662" xr:uid="{00000000-0005-0000-0000-0000950A0000}"/>
    <cellStyle name="20 % - Markeringsfarve1 5 10 4" xfId="37649" xr:uid="{00000000-0005-0000-0000-0000960A0000}"/>
    <cellStyle name="20 % - Markeringsfarve1 5 11" xfId="10376" xr:uid="{00000000-0005-0000-0000-0000970A0000}"/>
    <cellStyle name="20 % - Markeringsfarve1 5 11 2" xfId="26695" xr:uid="{00000000-0005-0000-0000-0000980A0000}"/>
    <cellStyle name="20 % - Markeringsfarve1 5 11 3" xfId="41661" xr:uid="{00000000-0005-0000-0000-0000990A0000}"/>
    <cellStyle name="20 % - Markeringsfarve1 5 12" xfId="19673" xr:uid="{00000000-0005-0000-0000-00009A0A0000}"/>
    <cellStyle name="20 % - Markeringsfarve1 5 13" xfId="34662" xr:uid="{00000000-0005-0000-0000-00009B0A0000}"/>
    <cellStyle name="20 % - Markeringsfarve1 5 14" xfId="53324" xr:uid="{00000000-0005-0000-0000-00009C0A0000}"/>
    <cellStyle name="20 % - Markeringsfarve1 5 2" xfId="1820" xr:uid="{00000000-0005-0000-0000-00009D0A0000}"/>
    <cellStyle name="20 % - Markeringsfarve1 5 2 2" xfId="1821" xr:uid="{00000000-0005-0000-0000-00009E0A0000}"/>
    <cellStyle name="20 % - Markeringsfarve1 5 2 2 2" xfId="1822" xr:uid="{00000000-0005-0000-0000-00009F0A0000}"/>
    <cellStyle name="20 % - Markeringsfarve1 5 2 2 2 2" xfId="7686" xr:uid="{00000000-0005-0000-0000-0000A00A0000}"/>
    <cellStyle name="20 % - Markeringsfarve1 5 2 2 2 2 2" xfId="15587" xr:uid="{00000000-0005-0000-0000-0000A10A0000}"/>
    <cellStyle name="20 % - Markeringsfarve1 5 2 2 2 2 2 2" xfId="31901" xr:uid="{00000000-0005-0000-0000-0000A20A0000}"/>
    <cellStyle name="20 % - Markeringsfarve1 5 2 2 2 2 2 3" xfId="46865" xr:uid="{00000000-0005-0000-0000-0000A30A0000}"/>
    <cellStyle name="20 % - Markeringsfarve1 5 2 2 2 2 3" xfId="24879" xr:uid="{00000000-0005-0000-0000-0000A40A0000}"/>
    <cellStyle name="20 % - Markeringsfarve1 5 2 2 2 2 4" xfId="39866" xr:uid="{00000000-0005-0000-0000-0000A50A0000}"/>
    <cellStyle name="20 % - Markeringsfarve1 5 2 2 2 3" xfId="10379" xr:uid="{00000000-0005-0000-0000-0000A60A0000}"/>
    <cellStyle name="20 % - Markeringsfarve1 5 2 2 2 3 2" xfId="26698" xr:uid="{00000000-0005-0000-0000-0000A70A0000}"/>
    <cellStyle name="20 % - Markeringsfarve1 5 2 2 2 3 3" xfId="41664" xr:uid="{00000000-0005-0000-0000-0000A80A0000}"/>
    <cellStyle name="20 % - Markeringsfarve1 5 2 2 2 4" xfId="19676" xr:uid="{00000000-0005-0000-0000-0000A90A0000}"/>
    <cellStyle name="20 % - Markeringsfarve1 5 2 2 2 5" xfId="34665" xr:uid="{00000000-0005-0000-0000-0000AA0A0000}"/>
    <cellStyle name="20 % - Markeringsfarve1 5 2 2 3" xfId="6257" xr:uid="{00000000-0005-0000-0000-0000AB0A0000}"/>
    <cellStyle name="20 % - Markeringsfarve1 5 2 2 3 2" xfId="14174" xr:uid="{00000000-0005-0000-0000-0000AC0A0000}"/>
    <cellStyle name="20 % - Markeringsfarve1 5 2 2 3 2 2" xfId="30488" xr:uid="{00000000-0005-0000-0000-0000AD0A0000}"/>
    <cellStyle name="20 % - Markeringsfarve1 5 2 2 3 2 3" xfId="45452" xr:uid="{00000000-0005-0000-0000-0000AE0A0000}"/>
    <cellStyle name="20 % - Markeringsfarve1 5 2 2 3 3" xfId="23466" xr:uid="{00000000-0005-0000-0000-0000AF0A0000}"/>
    <cellStyle name="20 % - Markeringsfarve1 5 2 2 3 4" xfId="38453" xr:uid="{00000000-0005-0000-0000-0000B00A0000}"/>
    <cellStyle name="20 % - Markeringsfarve1 5 2 2 4" xfId="10378" xr:uid="{00000000-0005-0000-0000-0000B10A0000}"/>
    <cellStyle name="20 % - Markeringsfarve1 5 2 2 4 2" xfId="26697" xr:uid="{00000000-0005-0000-0000-0000B20A0000}"/>
    <cellStyle name="20 % - Markeringsfarve1 5 2 2 4 3" xfId="41663" xr:uid="{00000000-0005-0000-0000-0000B30A0000}"/>
    <cellStyle name="20 % - Markeringsfarve1 5 2 2 5" xfId="19675" xr:uid="{00000000-0005-0000-0000-0000B40A0000}"/>
    <cellStyle name="20 % - Markeringsfarve1 5 2 2 6" xfId="34664" xr:uid="{00000000-0005-0000-0000-0000B50A0000}"/>
    <cellStyle name="20 % - Markeringsfarve1 5 2 2 7" xfId="57128" xr:uid="{00000000-0005-0000-0000-0000B60A0000}"/>
    <cellStyle name="20 % - Markeringsfarve1 5 2 3" xfId="1823" xr:uid="{00000000-0005-0000-0000-0000B70A0000}"/>
    <cellStyle name="20 % - Markeringsfarve1 5 2 3 2" xfId="6916" xr:uid="{00000000-0005-0000-0000-0000B80A0000}"/>
    <cellStyle name="20 % - Markeringsfarve1 5 2 3 2 2" xfId="14827" xr:uid="{00000000-0005-0000-0000-0000B90A0000}"/>
    <cellStyle name="20 % - Markeringsfarve1 5 2 3 2 2 2" xfId="31141" xr:uid="{00000000-0005-0000-0000-0000BA0A0000}"/>
    <cellStyle name="20 % - Markeringsfarve1 5 2 3 2 2 3" xfId="46105" xr:uid="{00000000-0005-0000-0000-0000BB0A0000}"/>
    <cellStyle name="20 % - Markeringsfarve1 5 2 3 2 3" xfId="24119" xr:uid="{00000000-0005-0000-0000-0000BC0A0000}"/>
    <cellStyle name="20 % - Markeringsfarve1 5 2 3 2 4" xfId="39106" xr:uid="{00000000-0005-0000-0000-0000BD0A0000}"/>
    <cellStyle name="20 % - Markeringsfarve1 5 2 3 3" xfId="10380" xr:uid="{00000000-0005-0000-0000-0000BE0A0000}"/>
    <cellStyle name="20 % - Markeringsfarve1 5 2 3 3 2" xfId="26699" xr:uid="{00000000-0005-0000-0000-0000BF0A0000}"/>
    <cellStyle name="20 % - Markeringsfarve1 5 2 3 3 3" xfId="41665" xr:uid="{00000000-0005-0000-0000-0000C00A0000}"/>
    <cellStyle name="20 % - Markeringsfarve1 5 2 3 4" xfId="19677" xr:uid="{00000000-0005-0000-0000-0000C10A0000}"/>
    <cellStyle name="20 % - Markeringsfarve1 5 2 3 5" xfId="34666" xr:uid="{00000000-0005-0000-0000-0000C20A0000}"/>
    <cellStyle name="20 % - Markeringsfarve1 5 2 4" xfId="1824" xr:uid="{00000000-0005-0000-0000-0000C30A0000}"/>
    <cellStyle name="20 % - Markeringsfarve1 5 2 4 2" xfId="8340" xr:uid="{00000000-0005-0000-0000-0000C40A0000}"/>
    <cellStyle name="20 % - Markeringsfarve1 5 2 4 2 2" xfId="16234" xr:uid="{00000000-0005-0000-0000-0000C50A0000}"/>
    <cellStyle name="20 % - Markeringsfarve1 5 2 4 2 2 2" xfId="32548" xr:uid="{00000000-0005-0000-0000-0000C60A0000}"/>
    <cellStyle name="20 % - Markeringsfarve1 5 2 4 2 2 3" xfId="47512" xr:uid="{00000000-0005-0000-0000-0000C70A0000}"/>
    <cellStyle name="20 % - Markeringsfarve1 5 2 4 2 3" xfId="25526" xr:uid="{00000000-0005-0000-0000-0000C80A0000}"/>
    <cellStyle name="20 % - Markeringsfarve1 5 2 4 2 4" xfId="40513" xr:uid="{00000000-0005-0000-0000-0000C90A0000}"/>
    <cellStyle name="20 % - Markeringsfarve1 5 2 4 3" xfId="10381" xr:uid="{00000000-0005-0000-0000-0000CA0A0000}"/>
    <cellStyle name="20 % - Markeringsfarve1 5 2 4 3 2" xfId="26700" xr:uid="{00000000-0005-0000-0000-0000CB0A0000}"/>
    <cellStyle name="20 % - Markeringsfarve1 5 2 4 3 3" xfId="41666" xr:uid="{00000000-0005-0000-0000-0000CC0A0000}"/>
    <cellStyle name="20 % - Markeringsfarve1 5 2 4 4" xfId="19678" xr:uid="{00000000-0005-0000-0000-0000CD0A0000}"/>
    <cellStyle name="20 % - Markeringsfarve1 5 2 4 5" xfId="34667" xr:uid="{00000000-0005-0000-0000-0000CE0A0000}"/>
    <cellStyle name="20 % - Markeringsfarve1 5 2 5" xfId="5453" xr:uid="{00000000-0005-0000-0000-0000CF0A0000}"/>
    <cellStyle name="20 % - Markeringsfarve1 5 2 5 2" xfId="13371" xr:uid="{00000000-0005-0000-0000-0000D00A0000}"/>
    <cellStyle name="20 % - Markeringsfarve1 5 2 5 2 2" xfId="29685" xr:uid="{00000000-0005-0000-0000-0000D10A0000}"/>
    <cellStyle name="20 % - Markeringsfarve1 5 2 5 2 3" xfId="44649" xr:uid="{00000000-0005-0000-0000-0000D20A0000}"/>
    <cellStyle name="20 % - Markeringsfarve1 5 2 5 3" xfId="22663" xr:uid="{00000000-0005-0000-0000-0000D30A0000}"/>
    <cellStyle name="20 % - Markeringsfarve1 5 2 5 4" xfId="37650" xr:uid="{00000000-0005-0000-0000-0000D40A0000}"/>
    <cellStyle name="20 % - Markeringsfarve1 5 2 6" xfId="10377" xr:uid="{00000000-0005-0000-0000-0000D50A0000}"/>
    <cellStyle name="20 % - Markeringsfarve1 5 2 6 2" xfId="26696" xr:uid="{00000000-0005-0000-0000-0000D60A0000}"/>
    <cellStyle name="20 % - Markeringsfarve1 5 2 6 3" xfId="41662" xr:uid="{00000000-0005-0000-0000-0000D70A0000}"/>
    <cellStyle name="20 % - Markeringsfarve1 5 2 7" xfId="19674" xr:uid="{00000000-0005-0000-0000-0000D80A0000}"/>
    <cellStyle name="20 % - Markeringsfarve1 5 2 8" xfId="34663" xr:uid="{00000000-0005-0000-0000-0000D90A0000}"/>
    <cellStyle name="20 % - Markeringsfarve1 5 2 9" xfId="53961" xr:uid="{00000000-0005-0000-0000-0000DA0A0000}"/>
    <cellStyle name="20 % - Markeringsfarve1 5 3" xfId="1825" xr:uid="{00000000-0005-0000-0000-0000DB0A0000}"/>
    <cellStyle name="20 % - Markeringsfarve1 5 3 2" xfId="1826" xr:uid="{00000000-0005-0000-0000-0000DC0A0000}"/>
    <cellStyle name="20 % - Markeringsfarve1 5 3 2 2" xfId="1827" xr:uid="{00000000-0005-0000-0000-0000DD0A0000}"/>
    <cellStyle name="20 % - Markeringsfarve1 5 3 2 2 2" xfId="7733" xr:uid="{00000000-0005-0000-0000-0000DE0A0000}"/>
    <cellStyle name="20 % - Markeringsfarve1 5 3 2 2 2 2" xfId="15634" xr:uid="{00000000-0005-0000-0000-0000DF0A0000}"/>
    <cellStyle name="20 % - Markeringsfarve1 5 3 2 2 2 2 2" xfId="31948" xr:uid="{00000000-0005-0000-0000-0000E00A0000}"/>
    <cellStyle name="20 % - Markeringsfarve1 5 3 2 2 2 2 3" xfId="46912" xr:uid="{00000000-0005-0000-0000-0000E10A0000}"/>
    <cellStyle name="20 % - Markeringsfarve1 5 3 2 2 2 3" xfId="24926" xr:uid="{00000000-0005-0000-0000-0000E20A0000}"/>
    <cellStyle name="20 % - Markeringsfarve1 5 3 2 2 2 4" xfId="39913" xr:uid="{00000000-0005-0000-0000-0000E30A0000}"/>
    <cellStyle name="20 % - Markeringsfarve1 5 3 2 2 3" xfId="10384" xr:uid="{00000000-0005-0000-0000-0000E40A0000}"/>
    <cellStyle name="20 % - Markeringsfarve1 5 3 2 2 3 2" xfId="26703" xr:uid="{00000000-0005-0000-0000-0000E50A0000}"/>
    <cellStyle name="20 % - Markeringsfarve1 5 3 2 2 3 3" xfId="41669" xr:uid="{00000000-0005-0000-0000-0000E60A0000}"/>
    <cellStyle name="20 % - Markeringsfarve1 5 3 2 2 4" xfId="19681" xr:uid="{00000000-0005-0000-0000-0000E70A0000}"/>
    <cellStyle name="20 % - Markeringsfarve1 5 3 2 2 5" xfId="34670" xr:uid="{00000000-0005-0000-0000-0000E80A0000}"/>
    <cellStyle name="20 % - Markeringsfarve1 5 3 2 3" xfId="6297" xr:uid="{00000000-0005-0000-0000-0000E90A0000}"/>
    <cellStyle name="20 % - Markeringsfarve1 5 3 2 3 2" xfId="14214" xr:uid="{00000000-0005-0000-0000-0000EA0A0000}"/>
    <cellStyle name="20 % - Markeringsfarve1 5 3 2 3 2 2" xfId="30528" xr:uid="{00000000-0005-0000-0000-0000EB0A0000}"/>
    <cellStyle name="20 % - Markeringsfarve1 5 3 2 3 2 3" xfId="45492" xr:uid="{00000000-0005-0000-0000-0000EC0A0000}"/>
    <cellStyle name="20 % - Markeringsfarve1 5 3 2 3 3" xfId="23506" xr:uid="{00000000-0005-0000-0000-0000ED0A0000}"/>
    <cellStyle name="20 % - Markeringsfarve1 5 3 2 3 4" xfId="38493" xr:uid="{00000000-0005-0000-0000-0000EE0A0000}"/>
    <cellStyle name="20 % - Markeringsfarve1 5 3 2 4" xfId="10383" xr:uid="{00000000-0005-0000-0000-0000EF0A0000}"/>
    <cellStyle name="20 % - Markeringsfarve1 5 3 2 4 2" xfId="26702" xr:uid="{00000000-0005-0000-0000-0000F00A0000}"/>
    <cellStyle name="20 % - Markeringsfarve1 5 3 2 4 3" xfId="41668" xr:uid="{00000000-0005-0000-0000-0000F10A0000}"/>
    <cellStyle name="20 % - Markeringsfarve1 5 3 2 5" xfId="19680" xr:uid="{00000000-0005-0000-0000-0000F20A0000}"/>
    <cellStyle name="20 % - Markeringsfarve1 5 3 2 6" xfId="34669" xr:uid="{00000000-0005-0000-0000-0000F30A0000}"/>
    <cellStyle name="20 % - Markeringsfarve1 5 3 3" xfId="1828" xr:uid="{00000000-0005-0000-0000-0000F40A0000}"/>
    <cellStyle name="20 % - Markeringsfarve1 5 3 3 2" xfId="6963" xr:uid="{00000000-0005-0000-0000-0000F50A0000}"/>
    <cellStyle name="20 % - Markeringsfarve1 5 3 3 2 2" xfId="14874" xr:uid="{00000000-0005-0000-0000-0000F60A0000}"/>
    <cellStyle name="20 % - Markeringsfarve1 5 3 3 2 2 2" xfId="31188" xr:uid="{00000000-0005-0000-0000-0000F70A0000}"/>
    <cellStyle name="20 % - Markeringsfarve1 5 3 3 2 2 3" xfId="46152" xr:uid="{00000000-0005-0000-0000-0000F80A0000}"/>
    <cellStyle name="20 % - Markeringsfarve1 5 3 3 2 3" xfId="24166" xr:uid="{00000000-0005-0000-0000-0000F90A0000}"/>
    <cellStyle name="20 % - Markeringsfarve1 5 3 3 2 4" xfId="39153" xr:uid="{00000000-0005-0000-0000-0000FA0A0000}"/>
    <cellStyle name="20 % - Markeringsfarve1 5 3 3 3" xfId="10385" xr:uid="{00000000-0005-0000-0000-0000FB0A0000}"/>
    <cellStyle name="20 % - Markeringsfarve1 5 3 3 3 2" xfId="26704" xr:uid="{00000000-0005-0000-0000-0000FC0A0000}"/>
    <cellStyle name="20 % - Markeringsfarve1 5 3 3 3 3" xfId="41670" xr:uid="{00000000-0005-0000-0000-0000FD0A0000}"/>
    <cellStyle name="20 % - Markeringsfarve1 5 3 3 4" xfId="19682" xr:uid="{00000000-0005-0000-0000-0000FE0A0000}"/>
    <cellStyle name="20 % - Markeringsfarve1 5 3 3 5" xfId="34671" xr:uid="{00000000-0005-0000-0000-0000FF0A0000}"/>
    <cellStyle name="20 % - Markeringsfarve1 5 3 4" xfId="1829" xr:uid="{00000000-0005-0000-0000-0000000B0000}"/>
    <cellStyle name="20 % - Markeringsfarve1 5 3 4 2" xfId="8339" xr:uid="{00000000-0005-0000-0000-0000010B0000}"/>
    <cellStyle name="20 % - Markeringsfarve1 5 3 4 2 2" xfId="16233" xr:uid="{00000000-0005-0000-0000-0000020B0000}"/>
    <cellStyle name="20 % - Markeringsfarve1 5 3 4 2 2 2" xfId="32547" xr:uid="{00000000-0005-0000-0000-0000030B0000}"/>
    <cellStyle name="20 % - Markeringsfarve1 5 3 4 2 2 3" xfId="47511" xr:uid="{00000000-0005-0000-0000-0000040B0000}"/>
    <cellStyle name="20 % - Markeringsfarve1 5 3 4 2 3" xfId="25525" xr:uid="{00000000-0005-0000-0000-0000050B0000}"/>
    <cellStyle name="20 % - Markeringsfarve1 5 3 4 2 4" xfId="40512" xr:uid="{00000000-0005-0000-0000-0000060B0000}"/>
    <cellStyle name="20 % - Markeringsfarve1 5 3 4 3" xfId="10386" xr:uid="{00000000-0005-0000-0000-0000070B0000}"/>
    <cellStyle name="20 % - Markeringsfarve1 5 3 4 3 2" xfId="26705" xr:uid="{00000000-0005-0000-0000-0000080B0000}"/>
    <cellStyle name="20 % - Markeringsfarve1 5 3 4 3 3" xfId="41671" xr:uid="{00000000-0005-0000-0000-0000090B0000}"/>
    <cellStyle name="20 % - Markeringsfarve1 5 3 4 4" xfId="19683" xr:uid="{00000000-0005-0000-0000-00000A0B0000}"/>
    <cellStyle name="20 % - Markeringsfarve1 5 3 4 5" xfId="34672" xr:uid="{00000000-0005-0000-0000-00000B0B0000}"/>
    <cellStyle name="20 % - Markeringsfarve1 5 3 5" xfId="5454" xr:uid="{00000000-0005-0000-0000-00000C0B0000}"/>
    <cellStyle name="20 % - Markeringsfarve1 5 3 5 2" xfId="13372" xr:uid="{00000000-0005-0000-0000-00000D0B0000}"/>
    <cellStyle name="20 % - Markeringsfarve1 5 3 5 2 2" xfId="29686" xr:uid="{00000000-0005-0000-0000-00000E0B0000}"/>
    <cellStyle name="20 % - Markeringsfarve1 5 3 5 2 3" xfId="44650" xr:uid="{00000000-0005-0000-0000-00000F0B0000}"/>
    <cellStyle name="20 % - Markeringsfarve1 5 3 5 3" xfId="22664" xr:uid="{00000000-0005-0000-0000-0000100B0000}"/>
    <cellStyle name="20 % - Markeringsfarve1 5 3 5 4" xfId="37651" xr:uid="{00000000-0005-0000-0000-0000110B0000}"/>
    <cellStyle name="20 % - Markeringsfarve1 5 3 6" xfId="10382" xr:uid="{00000000-0005-0000-0000-0000120B0000}"/>
    <cellStyle name="20 % - Markeringsfarve1 5 3 6 2" xfId="26701" xr:uid="{00000000-0005-0000-0000-0000130B0000}"/>
    <cellStyle name="20 % - Markeringsfarve1 5 3 6 3" xfId="41667" xr:uid="{00000000-0005-0000-0000-0000140B0000}"/>
    <cellStyle name="20 % - Markeringsfarve1 5 3 7" xfId="19679" xr:uid="{00000000-0005-0000-0000-0000150B0000}"/>
    <cellStyle name="20 % - Markeringsfarve1 5 3 8" xfId="34668" xr:uid="{00000000-0005-0000-0000-0000160B0000}"/>
    <cellStyle name="20 % - Markeringsfarve1 5 3 9" xfId="56505" xr:uid="{00000000-0005-0000-0000-0000170B0000}"/>
    <cellStyle name="20 % - Markeringsfarve1 5 4" xfId="1830" xr:uid="{00000000-0005-0000-0000-0000180B0000}"/>
    <cellStyle name="20 % - Markeringsfarve1 5 4 2" xfId="1831" xr:uid="{00000000-0005-0000-0000-0000190B0000}"/>
    <cellStyle name="20 % - Markeringsfarve1 5 4 2 2" xfId="1832" xr:uid="{00000000-0005-0000-0000-00001A0B0000}"/>
    <cellStyle name="20 % - Markeringsfarve1 5 4 2 2 2" xfId="7924" xr:uid="{00000000-0005-0000-0000-00001B0B0000}"/>
    <cellStyle name="20 % - Markeringsfarve1 5 4 2 2 2 2" xfId="15825" xr:uid="{00000000-0005-0000-0000-00001C0B0000}"/>
    <cellStyle name="20 % - Markeringsfarve1 5 4 2 2 2 2 2" xfId="32139" xr:uid="{00000000-0005-0000-0000-00001D0B0000}"/>
    <cellStyle name="20 % - Markeringsfarve1 5 4 2 2 2 2 3" xfId="47103" xr:uid="{00000000-0005-0000-0000-00001E0B0000}"/>
    <cellStyle name="20 % - Markeringsfarve1 5 4 2 2 2 3" xfId="25117" xr:uid="{00000000-0005-0000-0000-00001F0B0000}"/>
    <cellStyle name="20 % - Markeringsfarve1 5 4 2 2 2 4" xfId="40104" xr:uid="{00000000-0005-0000-0000-0000200B0000}"/>
    <cellStyle name="20 % - Markeringsfarve1 5 4 2 2 3" xfId="10389" xr:uid="{00000000-0005-0000-0000-0000210B0000}"/>
    <cellStyle name="20 % - Markeringsfarve1 5 4 2 2 3 2" xfId="26708" xr:uid="{00000000-0005-0000-0000-0000220B0000}"/>
    <cellStyle name="20 % - Markeringsfarve1 5 4 2 2 3 3" xfId="41674" xr:uid="{00000000-0005-0000-0000-0000230B0000}"/>
    <cellStyle name="20 % - Markeringsfarve1 5 4 2 2 4" xfId="19686" xr:uid="{00000000-0005-0000-0000-0000240B0000}"/>
    <cellStyle name="20 % - Markeringsfarve1 5 4 2 2 5" xfId="34675" xr:uid="{00000000-0005-0000-0000-0000250B0000}"/>
    <cellStyle name="20 % - Markeringsfarve1 5 4 2 3" xfId="6459" xr:uid="{00000000-0005-0000-0000-0000260B0000}"/>
    <cellStyle name="20 % - Markeringsfarve1 5 4 2 3 2" xfId="14373" xr:uid="{00000000-0005-0000-0000-0000270B0000}"/>
    <cellStyle name="20 % - Markeringsfarve1 5 4 2 3 2 2" xfId="30687" xr:uid="{00000000-0005-0000-0000-0000280B0000}"/>
    <cellStyle name="20 % - Markeringsfarve1 5 4 2 3 2 3" xfId="45651" xr:uid="{00000000-0005-0000-0000-0000290B0000}"/>
    <cellStyle name="20 % - Markeringsfarve1 5 4 2 3 3" xfId="23665" xr:uid="{00000000-0005-0000-0000-00002A0B0000}"/>
    <cellStyle name="20 % - Markeringsfarve1 5 4 2 3 4" xfId="38652" xr:uid="{00000000-0005-0000-0000-00002B0B0000}"/>
    <cellStyle name="20 % - Markeringsfarve1 5 4 2 4" xfId="10388" xr:uid="{00000000-0005-0000-0000-00002C0B0000}"/>
    <cellStyle name="20 % - Markeringsfarve1 5 4 2 4 2" xfId="26707" xr:uid="{00000000-0005-0000-0000-00002D0B0000}"/>
    <cellStyle name="20 % - Markeringsfarve1 5 4 2 4 3" xfId="41673" xr:uid="{00000000-0005-0000-0000-00002E0B0000}"/>
    <cellStyle name="20 % - Markeringsfarve1 5 4 2 5" xfId="19685" xr:uid="{00000000-0005-0000-0000-00002F0B0000}"/>
    <cellStyle name="20 % - Markeringsfarve1 5 4 2 6" xfId="34674" xr:uid="{00000000-0005-0000-0000-0000300B0000}"/>
    <cellStyle name="20 % - Markeringsfarve1 5 4 3" xfId="1833" xr:uid="{00000000-0005-0000-0000-0000310B0000}"/>
    <cellStyle name="20 % - Markeringsfarve1 5 4 3 2" xfId="7200" xr:uid="{00000000-0005-0000-0000-0000320B0000}"/>
    <cellStyle name="20 % - Markeringsfarve1 5 4 3 2 2" xfId="15110" xr:uid="{00000000-0005-0000-0000-0000330B0000}"/>
    <cellStyle name="20 % - Markeringsfarve1 5 4 3 2 2 2" xfId="31424" xr:uid="{00000000-0005-0000-0000-0000340B0000}"/>
    <cellStyle name="20 % - Markeringsfarve1 5 4 3 2 2 3" xfId="46388" xr:uid="{00000000-0005-0000-0000-0000350B0000}"/>
    <cellStyle name="20 % - Markeringsfarve1 5 4 3 2 3" xfId="24402" xr:uid="{00000000-0005-0000-0000-0000360B0000}"/>
    <cellStyle name="20 % - Markeringsfarve1 5 4 3 2 4" xfId="39389" xr:uid="{00000000-0005-0000-0000-0000370B0000}"/>
    <cellStyle name="20 % - Markeringsfarve1 5 4 3 3" xfId="10390" xr:uid="{00000000-0005-0000-0000-0000380B0000}"/>
    <cellStyle name="20 % - Markeringsfarve1 5 4 3 3 2" xfId="26709" xr:uid="{00000000-0005-0000-0000-0000390B0000}"/>
    <cellStyle name="20 % - Markeringsfarve1 5 4 3 3 3" xfId="41675" xr:uid="{00000000-0005-0000-0000-00003A0B0000}"/>
    <cellStyle name="20 % - Markeringsfarve1 5 4 3 4" xfId="19687" xr:uid="{00000000-0005-0000-0000-00003B0B0000}"/>
    <cellStyle name="20 % - Markeringsfarve1 5 4 3 5" xfId="34676" xr:uid="{00000000-0005-0000-0000-00003C0B0000}"/>
    <cellStyle name="20 % - Markeringsfarve1 5 4 4" xfId="1834" xr:uid="{00000000-0005-0000-0000-00003D0B0000}"/>
    <cellStyle name="20 % - Markeringsfarve1 5 4 4 2" xfId="8338" xr:uid="{00000000-0005-0000-0000-00003E0B0000}"/>
    <cellStyle name="20 % - Markeringsfarve1 5 4 4 2 2" xfId="16232" xr:uid="{00000000-0005-0000-0000-00003F0B0000}"/>
    <cellStyle name="20 % - Markeringsfarve1 5 4 4 2 2 2" xfId="32546" xr:uid="{00000000-0005-0000-0000-0000400B0000}"/>
    <cellStyle name="20 % - Markeringsfarve1 5 4 4 2 2 3" xfId="47510" xr:uid="{00000000-0005-0000-0000-0000410B0000}"/>
    <cellStyle name="20 % - Markeringsfarve1 5 4 4 2 3" xfId="25524" xr:uid="{00000000-0005-0000-0000-0000420B0000}"/>
    <cellStyle name="20 % - Markeringsfarve1 5 4 4 2 4" xfId="40511" xr:uid="{00000000-0005-0000-0000-0000430B0000}"/>
    <cellStyle name="20 % - Markeringsfarve1 5 4 4 3" xfId="10391" xr:uid="{00000000-0005-0000-0000-0000440B0000}"/>
    <cellStyle name="20 % - Markeringsfarve1 5 4 4 3 2" xfId="26710" xr:uid="{00000000-0005-0000-0000-0000450B0000}"/>
    <cellStyle name="20 % - Markeringsfarve1 5 4 4 3 3" xfId="41676" xr:uid="{00000000-0005-0000-0000-0000460B0000}"/>
    <cellStyle name="20 % - Markeringsfarve1 5 4 4 4" xfId="19688" xr:uid="{00000000-0005-0000-0000-0000470B0000}"/>
    <cellStyle name="20 % - Markeringsfarve1 5 4 4 5" xfId="34677" xr:uid="{00000000-0005-0000-0000-0000480B0000}"/>
    <cellStyle name="20 % - Markeringsfarve1 5 4 5" xfId="5455" xr:uid="{00000000-0005-0000-0000-0000490B0000}"/>
    <cellStyle name="20 % - Markeringsfarve1 5 4 5 2" xfId="13373" xr:uid="{00000000-0005-0000-0000-00004A0B0000}"/>
    <cellStyle name="20 % - Markeringsfarve1 5 4 5 2 2" xfId="29687" xr:uid="{00000000-0005-0000-0000-00004B0B0000}"/>
    <cellStyle name="20 % - Markeringsfarve1 5 4 5 2 3" xfId="44651" xr:uid="{00000000-0005-0000-0000-00004C0B0000}"/>
    <cellStyle name="20 % - Markeringsfarve1 5 4 5 3" xfId="22665" xr:uid="{00000000-0005-0000-0000-00004D0B0000}"/>
    <cellStyle name="20 % - Markeringsfarve1 5 4 5 4" xfId="37652" xr:uid="{00000000-0005-0000-0000-00004E0B0000}"/>
    <cellStyle name="20 % - Markeringsfarve1 5 4 6" xfId="10387" xr:uid="{00000000-0005-0000-0000-00004F0B0000}"/>
    <cellStyle name="20 % - Markeringsfarve1 5 4 6 2" xfId="26706" xr:uid="{00000000-0005-0000-0000-0000500B0000}"/>
    <cellStyle name="20 % - Markeringsfarve1 5 4 6 3" xfId="41672" xr:uid="{00000000-0005-0000-0000-0000510B0000}"/>
    <cellStyle name="20 % - Markeringsfarve1 5 4 7" xfId="19684" xr:uid="{00000000-0005-0000-0000-0000520B0000}"/>
    <cellStyle name="20 % - Markeringsfarve1 5 4 8" xfId="34673" xr:uid="{00000000-0005-0000-0000-0000530B0000}"/>
    <cellStyle name="20 % - Markeringsfarve1 5 5" xfId="1835" xr:uid="{00000000-0005-0000-0000-0000540B0000}"/>
    <cellStyle name="20 % - Markeringsfarve1 5 5 2" xfId="1836" xr:uid="{00000000-0005-0000-0000-0000550B0000}"/>
    <cellStyle name="20 % - Markeringsfarve1 5 5 2 2" xfId="1837" xr:uid="{00000000-0005-0000-0000-0000560B0000}"/>
    <cellStyle name="20 % - Markeringsfarve1 5 5 2 2 2" xfId="8041" xr:uid="{00000000-0005-0000-0000-0000570B0000}"/>
    <cellStyle name="20 % - Markeringsfarve1 5 5 2 2 2 2" xfId="15942" xr:uid="{00000000-0005-0000-0000-0000580B0000}"/>
    <cellStyle name="20 % - Markeringsfarve1 5 5 2 2 2 2 2" xfId="32256" xr:uid="{00000000-0005-0000-0000-0000590B0000}"/>
    <cellStyle name="20 % - Markeringsfarve1 5 5 2 2 2 2 3" xfId="47220" xr:uid="{00000000-0005-0000-0000-00005A0B0000}"/>
    <cellStyle name="20 % - Markeringsfarve1 5 5 2 2 2 3" xfId="25234" xr:uid="{00000000-0005-0000-0000-00005B0B0000}"/>
    <cellStyle name="20 % - Markeringsfarve1 5 5 2 2 2 4" xfId="40221" xr:uid="{00000000-0005-0000-0000-00005C0B0000}"/>
    <cellStyle name="20 % - Markeringsfarve1 5 5 2 2 3" xfId="10394" xr:uid="{00000000-0005-0000-0000-00005D0B0000}"/>
    <cellStyle name="20 % - Markeringsfarve1 5 5 2 2 3 2" xfId="26713" xr:uid="{00000000-0005-0000-0000-00005E0B0000}"/>
    <cellStyle name="20 % - Markeringsfarve1 5 5 2 2 3 3" xfId="41679" xr:uid="{00000000-0005-0000-0000-00005F0B0000}"/>
    <cellStyle name="20 % - Markeringsfarve1 5 5 2 2 4" xfId="19691" xr:uid="{00000000-0005-0000-0000-0000600B0000}"/>
    <cellStyle name="20 % - Markeringsfarve1 5 5 2 2 5" xfId="34680" xr:uid="{00000000-0005-0000-0000-0000610B0000}"/>
    <cellStyle name="20 % - Markeringsfarve1 5 5 2 3" xfId="6558" xr:uid="{00000000-0005-0000-0000-0000620B0000}"/>
    <cellStyle name="20 % - Markeringsfarve1 5 5 2 3 2" xfId="14472" xr:uid="{00000000-0005-0000-0000-0000630B0000}"/>
    <cellStyle name="20 % - Markeringsfarve1 5 5 2 3 2 2" xfId="30786" xr:uid="{00000000-0005-0000-0000-0000640B0000}"/>
    <cellStyle name="20 % - Markeringsfarve1 5 5 2 3 2 3" xfId="45750" xr:uid="{00000000-0005-0000-0000-0000650B0000}"/>
    <cellStyle name="20 % - Markeringsfarve1 5 5 2 3 3" xfId="23764" xr:uid="{00000000-0005-0000-0000-0000660B0000}"/>
    <cellStyle name="20 % - Markeringsfarve1 5 5 2 3 4" xfId="38751" xr:uid="{00000000-0005-0000-0000-0000670B0000}"/>
    <cellStyle name="20 % - Markeringsfarve1 5 5 2 4" xfId="10393" xr:uid="{00000000-0005-0000-0000-0000680B0000}"/>
    <cellStyle name="20 % - Markeringsfarve1 5 5 2 4 2" xfId="26712" xr:uid="{00000000-0005-0000-0000-0000690B0000}"/>
    <cellStyle name="20 % - Markeringsfarve1 5 5 2 4 3" xfId="41678" xr:uid="{00000000-0005-0000-0000-00006A0B0000}"/>
    <cellStyle name="20 % - Markeringsfarve1 5 5 2 5" xfId="19690" xr:uid="{00000000-0005-0000-0000-00006B0B0000}"/>
    <cellStyle name="20 % - Markeringsfarve1 5 5 2 6" xfId="34679" xr:uid="{00000000-0005-0000-0000-00006C0B0000}"/>
    <cellStyle name="20 % - Markeringsfarve1 5 5 3" xfId="1838" xr:uid="{00000000-0005-0000-0000-00006D0B0000}"/>
    <cellStyle name="20 % - Markeringsfarve1 5 5 3 2" xfId="7317" xr:uid="{00000000-0005-0000-0000-00006E0B0000}"/>
    <cellStyle name="20 % - Markeringsfarve1 5 5 3 2 2" xfId="15227" xr:uid="{00000000-0005-0000-0000-00006F0B0000}"/>
    <cellStyle name="20 % - Markeringsfarve1 5 5 3 2 2 2" xfId="31541" xr:uid="{00000000-0005-0000-0000-0000700B0000}"/>
    <cellStyle name="20 % - Markeringsfarve1 5 5 3 2 2 3" xfId="46505" xr:uid="{00000000-0005-0000-0000-0000710B0000}"/>
    <cellStyle name="20 % - Markeringsfarve1 5 5 3 2 3" xfId="24519" xr:uid="{00000000-0005-0000-0000-0000720B0000}"/>
    <cellStyle name="20 % - Markeringsfarve1 5 5 3 2 4" xfId="39506" xr:uid="{00000000-0005-0000-0000-0000730B0000}"/>
    <cellStyle name="20 % - Markeringsfarve1 5 5 3 3" xfId="10395" xr:uid="{00000000-0005-0000-0000-0000740B0000}"/>
    <cellStyle name="20 % - Markeringsfarve1 5 5 3 3 2" xfId="26714" xr:uid="{00000000-0005-0000-0000-0000750B0000}"/>
    <cellStyle name="20 % - Markeringsfarve1 5 5 3 3 3" xfId="41680" xr:uid="{00000000-0005-0000-0000-0000760B0000}"/>
    <cellStyle name="20 % - Markeringsfarve1 5 5 3 4" xfId="19692" xr:uid="{00000000-0005-0000-0000-0000770B0000}"/>
    <cellStyle name="20 % - Markeringsfarve1 5 5 3 5" xfId="34681" xr:uid="{00000000-0005-0000-0000-0000780B0000}"/>
    <cellStyle name="20 % - Markeringsfarve1 5 5 4" xfId="1839" xr:uid="{00000000-0005-0000-0000-0000790B0000}"/>
    <cellStyle name="20 % - Markeringsfarve1 5 5 4 2" xfId="8337" xr:uid="{00000000-0005-0000-0000-00007A0B0000}"/>
    <cellStyle name="20 % - Markeringsfarve1 5 5 4 2 2" xfId="16231" xr:uid="{00000000-0005-0000-0000-00007B0B0000}"/>
    <cellStyle name="20 % - Markeringsfarve1 5 5 4 2 2 2" xfId="32545" xr:uid="{00000000-0005-0000-0000-00007C0B0000}"/>
    <cellStyle name="20 % - Markeringsfarve1 5 5 4 2 2 3" xfId="47509" xr:uid="{00000000-0005-0000-0000-00007D0B0000}"/>
    <cellStyle name="20 % - Markeringsfarve1 5 5 4 2 3" xfId="25523" xr:uid="{00000000-0005-0000-0000-00007E0B0000}"/>
    <cellStyle name="20 % - Markeringsfarve1 5 5 4 2 4" xfId="40510" xr:uid="{00000000-0005-0000-0000-00007F0B0000}"/>
    <cellStyle name="20 % - Markeringsfarve1 5 5 4 3" xfId="10396" xr:uid="{00000000-0005-0000-0000-0000800B0000}"/>
    <cellStyle name="20 % - Markeringsfarve1 5 5 4 3 2" xfId="26715" xr:uid="{00000000-0005-0000-0000-0000810B0000}"/>
    <cellStyle name="20 % - Markeringsfarve1 5 5 4 3 3" xfId="41681" xr:uid="{00000000-0005-0000-0000-0000820B0000}"/>
    <cellStyle name="20 % - Markeringsfarve1 5 5 4 4" xfId="19693" xr:uid="{00000000-0005-0000-0000-0000830B0000}"/>
    <cellStyle name="20 % - Markeringsfarve1 5 5 4 5" xfId="34682" xr:uid="{00000000-0005-0000-0000-0000840B0000}"/>
    <cellStyle name="20 % - Markeringsfarve1 5 5 5" xfId="5456" xr:uid="{00000000-0005-0000-0000-0000850B0000}"/>
    <cellStyle name="20 % - Markeringsfarve1 5 5 5 2" xfId="13374" xr:uid="{00000000-0005-0000-0000-0000860B0000}"/>
    <cellStyle name="20 % - Markeringsfarve1 5 5 5 2 2" xfId="29688" xr:uid="{00000000-0005-0000-0000-0000870B0000}"/>
    <cellStyle name="20 % - Markeringsfarve1 5 5 5 2 3" xfId="44652" xr:uid="{00000000-0005-0000-0000-0000880B0000}"/>
    <cellStyle name="20 % - Markeringsfarve1 5 5 5 3" xfId="22666" xr:uid="{00000000-0005-0000-0000-0000890B0000}"/>
    <cellStyle name="20 % - Markeringsfarve1 5 5 5 4" xfId="37653" xr:uid="{00000000-0005-0000-0000-00008A0B0000}"/>
    <cellStyle name="20 % - Markeringsfarve1 5 5 6" xfId="10392" xr:uid="{00000000-0005-0000-0000-00008B0B0000}"/>
    <cellStyle name="20 % - Markeringsfarve1 5 5 6 2" xfId="26711" xr:uid="{00000000-0005-0000-0000-00008C0B0000}"/>
    <cellStyle name="20 % - Markeringsfarve1 5 5 6 3" xfId="41677" xr:uid="{00000000-0005-0000-0000-00008D0B0000}"/>
    <cellStyle name="20 % - Markeringsfarve1 5 5 7" xfId="19689" xr:uid="{00000000-0005-0000-0000-00008E0B0000}"/>
    <cellStyle name="20 % - Markeringsfarve1 5 5 8" xfId="34678" xr:uid="{00000000-0005-0000-0000-00008F0B0000}"/>
    <cellStyle name="20 % - Markeringsfarve1 5 6" xfId="1840" xr:uid="{00000000-0005-0000-0000-0000900B0000}"/>
    <cellStyle name="20 % - Markeringsfarve1 5 6 2" xfId="1841" xr:uid="{00000000-0005-0000-0000-0000910B0000}"/>
    <cellStyle name="20 % - Markeringsfarve1 5 6 2 2" xfId="1842" xr:uid="{00000000-0005-0000-0000-0000920B0000}"/>
    <cellStyle name="20 % - Markeringsfarve1 5 6 2 2 2" xfId="8088" xr:uid="{00000000-0005-0000-0000-0000930B0000}"/>
    <cellStyle name="20 % - Markeringsfarve1 5 6 2 2 2 2" xfId="15989" xr:uid="{00000000-0005-0000-0000-0000940B0000}"/>
    <cellStyle name="20 % - Markeringsfarve1 5 6 2 2 2 2 2" xfId="32303" xr:uid="{00000000-0005-0000-0000-0000950B0000}"/>
    <cellStyle name="20 % - Markeringsfarve1 5 6 2 2 2 2 3" xfId="47267" xr:uid="{00000000-0005-0000-0000-0000960B0000}"/>
    <cellStyle name="20 % - Markeringsfarve1 5 6 2 2 2 3" xfId="25281" xr:uid="{00000000-0005-0000-0000-0000970B0000}"/>
    <cellStyle name="20 % - Markeringsfarve1 5 6 2 2 2 4" xfId="40268" xr:uid="{00000000-0005-0000-0000-0000980B0000}"/>
    <cellStyle name="20 % - Markeringsfarve1 5 6 2 2 3" xfId="10399" xr:uid="{00000000-0005-0000-0000-0000990B0000}"/>
    <cellStyle name="20 % - Markeringsfarve1 5 6 2 2 3 2" xfId="26718" xr:uid="{00000000-0005-0000-0000-00009A0B0000}"/>
    <cellStyle name="20 % - Markeringsfarve1 5 6 2 2 3 3" xfId="41684" xr:uid="{00000000-0005-0000-0000-00009B0B0000}"/>
    <cellStyle name="20 % - Markeringsfarve1 5 6 2 2 4" xfId="19696" xr:uid="{00000000-0005-0000-0000-00009C0B0000}"/>
    <cellStyle name="20 % - Markeringsfarve1 5 6 2 2 5" xfId="34685" xr:uid="{00000000-0005-0000-0000-00009D0B0000}"/>
    <cellStyle name="20 % - Markeringsfarve1 5 6 2 3" xfId="6599" xr:uid="{00000000-0005-0000-0000-00009E0B0000}"/>
    <cellStyle name="20 % - Markeringsfarve1 5 6 2 3 2" xfId="14513" xr:uid="{00000000-0005-0000-0000-00009F0B0000}"/>
    <cellStyle name="20 % - Markeringsfarve1 5 6 2 3 2 2" xfId="30827" xr:uid="{00000000-0005-0000-0000-0000A00B0000}"/>
    <cellStyle name="20 % - Markeringsfarve1 5 6 2 3 2 3" xfId="45791" xr:uid="{00000000-0005-0000-0000-0000A10B0000}"/>
    <cellStyle name="20 % - Markeringsfarve1 5 6 2 3 3" xfId="23805" xr:uid="{00000000-0005-0000-0000-0000A20B0000}"/>
    <cellStyle name="20 % - Markeringsfarve1 5 6 2 3 4" xfId="38792" xr:uid="{00000000-0005-0000-0000-0000A30B0000}"/>
    <cellStyle name="20 % - Markeringsfarve1 5 6 2 4" xfId="10398" xr:uid="{00000000-0005-0000-0000-0000A40B0000}"/>
    <cellStyle name="20 % - Markeringsfarve1 5 6 2 4 2" xfId="26717" xr:uid="{00000000-0005-0000-0000-0000A50B0000}"/>
    <cellStyle name="20 % - Markeringsfarve1 5 6 2 4 3" xfId="41683" xr:uid="{00000000-0005-0000-0000-0000A60B0000}"/>
    <cellStyle name="20 % - Markeringsfarve1 5 6 2 5" xfId="19695" xr:uid="{00000000-0005-0000-0000-0000A70B0000}"/>
    <cellStyle name="20 % - Markeringsfarve1 5 6 2 6" xfId="34684" xr:uid="{00000000-0005-0000-0000-0000A80B0000}"/>
    <cellStyle name="20 % - Markeringsfarve1 5 6 3" xfId="1843" xr:uid="{00000000-0005-0000-0000-0000A90B0000}"/>
    <cellStyle name="20 % - Markeringsfarve1 5 6 3 2" xfId="7365" xr:uid="{00000000-0005-0000-0000-0000AA0B0000}"/>
    <cellStyle name="20 % - Markeringsfarve1 5 6 3 2 2" xfId="15275" xr:uid="{00000000-0005-0000-0000-0000AB0B0000}"/>
    <cellStyle name="20 % - Markeringsfarve1 5 6 3 2 2 2" xfId="31589" xr:uid="{00000000-0005-0000-0000-0000AC0B0000}"/>
    <cellStyle name="20 % - Markeringsfarve1 5 6 3 2 2 3" xfId="46553" xr:uid="{00000000-0005-0000-0000-0000AD0B0000}"/>
    <cellStyle name="20 % - Markeringsfarve1 5 6 3 2 3" xfId="24567" xr:uid="{00000000-0005-0000-0000-0000AE0B0000}"/>
    <cellStyle name="20 % - Markeringsfarve1 5 6 3 2 4" xfId="39554" xr:uid="{00000000-0005-0000-0000-0000AF0B0000}"/>
    <cellStyle name="20 % - Markeringsfarve1 5 6 3 3" xfId="10400" xr:uid="{00000000-0005-0000-0000-0000B00B0000}"/>
    <cellStyle name="20 % - Markeringsfarve1 5 6 3 3 2" xfId="26719" xr:uid="{00000000-0005-0000-0000-0000B10B0000}"/>
    <cellStyle name="20 % - Markeringsfarve1 5 6 3 3 3" xfId="41685" xr:uid="{00000000-0005-0000-0000-0000B20B0000}"/>
    <cellStyle name="20 % - Markeringsfarve1 5 6 3 4" xfId="19697" xr:uid="{00000000-0005-0000-0000-0000B30B0000}"/>
    <cellStyle name="20 % - Markeringsfarve1 5 6 3 5" xfId="34686" xr:uid="{00000000-0005-0000-0000-0000B40B0000}"/>
    <cellStyle name="20 % - Markeringsfarve1 5 6 4" xfId="1844" xr:uid="{00000000-0005-0000-0000-0000B50B0000}"/>
    <cellStyle name="20 % - Markeringsfarve1 5 6 4 2" xfId="8336" xr:uid="{00000000-0005-0000-0000-0000B60B0000}"/>
    <cellStyle name="20 % - Markeringsfarve1 5 6 4 2 2" xfId="16230" xr:uid="{00000000-0005-0000-0000-0000B70B0000}"/>
    <cellStyle name="20 % - Markeringsfarve1 5 6 4 2 2 2" xfId="32544" xr:uid="{00000000-0005-0000-0000-0000B80B0000}"/>
    <cellStyle name="20 % - Markeringsfarve1 5 6 4 2 2 3" xfId="47508" xr:uid="{00000000-0005-0000-0000-0000B90B0000}"/>
    <cellStyle name="20 % - Markeringsfarve1 5 6 4 2 3" xfId="25522" xr:uid="{00000000-0005-0000-0000-0000BA0B0000}"/>
    <cellStyle name="20 % - Markeringsfarve1 5 6 4 2 4" xfId="40509" xr:uid="{00000000-0005-0000-0000-0000BB0B0000}"/>
    <cellStyle name="20 % - Markeringsfarve1 5 6 4 3" xfId="10401" xr:uid="{00000000-0005-0000-0000-0000BC0B0000}"/>
    <cellStyle name="20 % - Markeringsfarve1 5 6 4 3 2" xfId="26720" xr:uid="{00000000-0005-0000-0000-0000BD0B0000}"/>
    <cellStyle name="20 % - Markeringsfarve1 5 6 4 3 3" xfId="41686" xr:uid="{00000000-0005-0000-0000-0000BE0B0000}"/>
    <cellStyle name="20 % - Markeringsfarve1 5 6 4 4" xfId="19698" xr:uid="{00000000-0005-0000-0000-0000BF0B0000}"/>
    <cellStyle name="20 % - Markeringsfarve1 5 6 4 5" xfId="34687" xr:uid="{00000000-0005-0000-0000-0000C00B0000}"/>
    <cellStyle name="20 % - Markeringsfarve1 5 6 5" xfId="5457" xr:uid="{00000000-0005-0000-0000-0000C10B0000}"/>
    <cellStyle name="20 % - Markeringsfarve1 5 6 5 2" xfId="13375" xr:uid="{00000000-0005-0000-0000-0000C20B0000}"/>
    <cellStyle name="20 % - Markeringsfarve1 5 6 5 2 2" xfId="29689" xr:uid="{00000000-0005-0000-0000-0000C30B0000}"/>
    <cellStyle name="20 % - Markeringsfarve1 5 6 5 2 3" xfId="44653" xr:uid="{00000000-0005-0000-0000-0000C40B0000}"/>
    <cellStyle name="20 % - Markeringsfarve1 5 6 5 3" xfId="22667" xr:uid="{00000000-0005-0000-0000-0000C50B0000}"/>
    <cellStyle name="20 % - Markeringsfarve1 5 6 5 4" xfId="37654" xr:uid="{00000000-0005-0000-0000-0000C60B0000}"/>
    <cellStyle name="20 % - Markeringsfarve1 5 6 6" xfId="10397" xr:uid="{00000000-0005-0000-0000-0000C70B0000}"/>
    <cellStyle name="20 % - Markeringsfarve1 5 6 6 2" xfId="26716" xr:uid="{00000000-0005-0000-0000-0000C80B0000}"/>
    <cellStyle name="20 % - Markeringsfarve1 5 6 6 3" xfId="41682" xr:uid="{00000000-0005-0000-0000-0000C90B0000}"/>
    <cellStyle name="20 % - Markeringsfarve1 5 6 7" xfId="19694" xr:uid="{00000000-0005-0000-0000-0000CA0B0000}"/>
    <cellStyle name="20 % - Markeringsfarve1 5 6 8" xfId="34683" xr:uid="{00000000-0005-0000-0000-0000CB0B0000}"/>
    <cellStyle name="20 % - Markeringsfarve1 5 7" xfId="1845" xr:uid="{00000000-0005-0000-0000-0000CC0B0000}"/>
    <cellStyle name="20 % - Markeringsfarve1 5 7 2" xfId="1846" xr:uid="{00000000-0005-0000-0000-0000CD0B0000}"/>
    <cellStyle name="20 % - Markeringsfarve1 5 7 2 2" xfId="7567" xr:uid="{00000000-0005-0000-0000-0000CE0B0000}"/>
    <cellStyle name="20 % - Markeringsfarve1 5 7 2 2 2" xfId="15468" xr:uid="{00000000-0005-0000-0000-0000CF0B0000}"/>
    <cellStyle name="20 % - Markeringsfarve1 5 7 2 2 2 2" xfId="31782" xr:uid="{00000000-0005-0000-0000-0000D00B0000}"/>
    <cellStyle name="20 % - Markeringsfarve1 5 7 2 2 2 3" xfId="46746" xr:uid="{00000000-0005-0000-0000-0000D10B0000}"/>
    <cellStyle name="20 % - Markeringsfarve1 5 7 2 2 3" xfId="24760" xr:uid="{00000000-0005-0000-0000-0000D20B0000}"/>
    <cellStyle name="20 % - Markeringsfarve1 5 7 2 2 4" xfId="39747" xr:uid="{00000000-0005-0000-0000-0000D30B0000}"/>
    <cellStyle name="20 % - Markeringsfarve1 5 7 2 3" xfId="10403" xr:uid="{00000000-0005-0000-0000-0000D40B0000}"/>
    <cellStyle name="20 % - Markeringsfarve1 5 7 2 3 2" xfId="26722" xr:uid="{00000000-0005-0000-0000-0000D50B0000}"/>
    <cellStyle name="20 % - Markeringsfarve1 5 7 2 3 3" xfId="41688" xr:uid="{00000000-0005-0000-0000-0000D60B0000}"/>
    <cellStyle name="20 % - Markeringsfarve1 5 7 2 4" xfId="19700" xr:uid="{00000000-0005-0000-0000-0000D70B0000}"/>
    <cellStyle name="20 % - Markeringsfarve1 5 7 2 5" xfId="34689" xr:uid="{00000000-0005-0000-0000-0000D80B0000}"/>
    <cellStyle name="20 % - Markeringsfarve1 5 7 3" xfId="6158" xr:uid="{00000000-0005-0000-0000-0000D90B0000}"/>
    <cellStyle name="20 % - Markeringsfarve1 5 7 3 2" xfId="14075" xr:uid="{00000000-0005-0000-0000-0000DA0B0000}"/>
    <cellStyle name="20 % - Markeringsfarve1 5 7 3 2 2" xfId="30389" xr:uid="{00000000-0005-0000-0000-0000DB0B0000}"/>
    <cellStyle name="20 % - Markeringsfarve1 5 7 3 2 3" xfId="45353" xr:uid="{00000000-0005-0000-0000-0000DC0B0000}"/>
    <cellStyle name="20 % - Markeringsfarve1 5 7 3 3" xfId="23367" xr:uid="{00000000-0005-0000-0000-0000DD0B0000}"/>
    <cellStyle name="20 % - Markeringsfarve1 5 7 3 4" xfId="38354" xr:uid="{00000000-0005-0000-0000-0000DE0B0000}"/>
    <cellStyle name="20 % - Markeringsfarve1 5 7 4" xfId="10402" xr:uid="{00000000-0005-0000-0000-0000DF0B0000}"/>
    <cellStyle name="20 % - Markeringsfarve1 5 7 4 2" xfId="26721" xr:uid="{00000000-0005-0000-0000-0000E00B0000}"/>
    <cellStyle name="20 % - Markeringsfarve1 5 7 4 3" xfId="41687" xr:uid="{00000000-0005-0000-0000-0000E10B0000}"/>
    <cellStyle name="20 % - Markeringsfarve1 5 7 5" xfId="19699" xr:uid="{00000000-0005-0000-0000-0000E20B0000}"/>
    <cellStyle name="20 % - Markeringsfarve1 5 7 6" xfId="34688" xr:uid="{00000000-0005-0000-0000-0000E30B0000}"/>
    <cellStyle name="20 % - Markeringsfarve1 5 8" xfId="1847" xr:uid="{00000000-0005-0000-0000-0000E40B0000}"/>
    <cellStyle name="20 % - Markeringsfarve1 5 8 2" xfId="6795" xr:uid="{00000000-0005-0000-0000-0000E50B0000}"/>
    <cellStyle name="20 % - Markeringsfarve1 5 8 2 2" xfId="14706" xr:uid="{00000000-0005-0000-0000-0000E60B0000}"/>
    <cellStyle name="20 % - Markeringsfarve1 5 8 2 2 2" xfId="31020" xr:uid="{00000000-0005-0000-0000-0000E70B0000}"/>
    <cellStyle name="20 % - Markeringsfarve1 5 8 2 2 3" xfId="45984" xr:uid="{00000000-0005-0000-0000-0000E80B0000}"/>
    <cellStyle name="20 % - Markeringsfarve1 5 8 2 3" xfId="23998" xr:uid="{00000000-0005-0000-0000-0000E90B0000}"/>
    <cellStyle name="20 % - Markeringsfarve1 5 8 2 4" xfId="38985" xr:uid="{00000000-0005-0000-0000-0000EA0B0000}"/>
    <cellStyle name="20 % - Markeringsfarve1 5 8 3" xfId="10404" xr:uid="{00000000-0005-0000-0000-0000EB0B0000}"/>
    <cellStyle name="20 % - Markeringsfarve1 5 8 3 2" xfId="26723" xr:uid="{00000000-0005-0000-0000-0000EC0B0000}"/>
    <cellStyle name="20 % - Markeringsfarve1 5 8 3 3" xfId="41689" xr:uid="{00000000-0005-0000-0000-0000ED0B0000}"/>
    <cellStyle name="20 % - Markeringsfarve1 5 8 4" xfId="19701" xr:uid="{00000000-0005-0000-0000-0000EE0B0000}"/>
    <cellStyle name="20 % - Markeringsfarve1 5 8 5" xfId="34690" xr:uid="{00000000-0005-0000-0000-0000EF0B0000}"/>
    <cellStyle name="20 % - Markeringsfarve1 5 9" xfId="1848" xr:uid="{00000000-0005-0000-0000-0000F00B0000}"/>
    <cellStyle name="20 % - Markeringsfarve1 5 9 2" xfId="8341" xr:uid="{00000000-0005-0000-0000-0000F10B0000}"/>
    <cellStyle name="20 % - Markeringsfarve1 5 9 2 2" xfId="16235" xr:uid="{00000000-0005-0000-0000-0000F20B0000}"/>
    <cellStyle name="20 % - Markeringsfarve1 5 9 2 2 2" xfId="32549" xr:uid="{00000000-0005-0000-0000-0000F30B0000}"/>
    <cellStyle name="20 % - Markeringsfarve1 5 9 2 2 3" xfId="47513" xr:uid="{00000000-0005-0000-0000-0000F40B0000}"/>
    <cellStyle name="20 % - Markeringsfarve1 5 9 2 3" xfId="25527" xr:uid="{00000000-0005-0000-0000-0000F50B0000}"/>
    <cellStyle name="20 % - Markeringsfarve1 5 9 2 4" xfId="40514" xr:uid="{00000000-0005-0000-0000-0000F60B0000}"/>
    <cellStyle name="20 % - Markeringsfarve1 5 9 3" xfId="10405" xr:uid="{00000000-0005-0000-0000-0000F70B0000}"/>
    <cellStyle name="20 % - Markeringsfarve1 5 9 3 2" xfId="26724" xr:uid="{00000000-0005-0000-0000-0000F80B0000}"/>
    <cellStyle name="20 % - Markeringsfarve1 5 9 3 3" xfId="41690" xr:uid="{00000000-0005-0000-0000-0000F90B0000}"/>
    <cellStyle name="20 % - Markeringsfarve1 5 9 4" xfId="19702" xr:uid="{00000000-0005-0000-0000-0000FA0B0000}"/>
    <cellStyle name="20 % - Markeringsfarve1 5 9 5" xfId="34691" xr:uid="{00000000-0005-0000-0000-0000FB0B0000}"/>
    <cellStyle name="20 % - Markeringsfarve1 6" xfId="1849" xr:uid="{00000000-0005-0000-0000-0000FC0B0000}"/>
    <cellStyle name="20 % - Markeringsfarve1 6 10" xfId="53320" xr:uid="{00000000-0005-0000-0000-0000FD0B0000}"/>
    <cellStyle name="20 % - Markeringsfarve1 6 2" xfId="1850" xr:uid="{00000000-0005-0000-0000-0000FE0B0000}"/>
    <cellStyle name="20 % - Markeringsfarve1 6 2 2" xfId="1851" xr:uid="{00000000-0005-0000-0000-0000FF0B0000}"/>
    <cellStyle name="20 % - Markeringsfarve1 6 2 2 2" xfId="1852" xr:uid="{00000000-0005-0000-0000-0000000C0000}"/>
    <cellStyle name="20 % - Markeringsfarve1 6 2 2 2 2" xfId="7734" xr:uid="{00000000-0005-0000-0000-0000010C0000}"/>
    <cellStyle name="20 % - Markeringsfarve1 6 2 2 2 2 2" xfId="15635" xr:uid="{00000000-0005-0000-0000-0000020C0000}"/>
    <cellStyle name="20 % - Markeringsfarve1 6 2 2 2 2 2 2" xfId="31949" xr:uid="{00000000-0005-0000-0000-0000030C0000}"/>
    <cellStyle name="20 % - Markeringsfarve1 6 2 2 2 2 2 3" xfId="46913" xr:uid="{00000000-0005-0000-0000-0000040C0000}"/>
    <cellStyle name="20 % - Markeringsfarve1 6 2 2 2 2 3" xfId="24927" xr:uid="{00000000-0005-0000-0000-0000050C0000}"/>
    <cellStyle name="20 % - Markeringsfarve1 6 2 2 2 2 4" xfId="39914" xr:uid="{00000000-0005-0000-0000-0000060C0000}"/>
    <cellStyle name="20 % - Markeringsfarve1 6 2 2 2 3" xfId="10409" xr:uid="{00000000-0005-0000-0000-0000070C0000}"/>
    <cellStyle name="20 % - Markeringsfarve1 6 2 2 2 3 2" xfId="26728" xr:uid="{00000000-0005-0000-0000-0000080C0000}"/>
    <cellStyle name="20 % - Markeringsfarve1 6 2 2 2 3 3" xfId="41694" xr:uid="{00000000-0005-0000-0000-0000090C0000}"/>
    <cellStyle name="20 % - Markeringsfarve1 6 2 2 2 4" xfId="19706" xr:uid="{00000000-0005-0000-0000-00000A0C0000}"/>
    <cellStyle name="20 % - Markeringsfarve1 6 2 2 2 5" xfId="34695" xr:uid="{00000000-0005-0000-0000-00000B0C0000}"/>
    <cellStyle name="20 % - Markeringsfarve1 6 2 2 3" xfId="6298" xr:uid="{00000000-0005-0000-0000-00000C0C0000}"/>
    <cellStyle name="20 % - Markeringsfarve1 6 2 2 3 2" xfId="14215" xr:uid="{00000000-0005-0000-0000-00000D0C0000}"/>
    <cellStyle name="20 % - Markeringsfarve1 6 2 2 3 2 2" xfId="30529" xr:uid="{00000000-0005-0000-0000-00000E0C0000}"/>
    <cellStyle name="20 % - Markeringsfarve1 6 2 2 3 2 3" xfId="45493" xr:uid="{00000000-0005-0000-0000-00000F0C0000}"/>
    <cellStyle name="20 % - Markeringsfarve1 6 2 2 3 3" xfId="23507" xr:uid="{00000000-0005-0000-0000-0000100C0000}"/>
    <cellStyle name="20 % - Markeringsfarve1 6 2 2 3 4" xfId="38494" xr:uid="{00000000-0005-0000-0000-0000110C0000}"/>
    <cellStyle name="20 % - Markeringsfarve1 6 2 2 4" xfId="10408" xr:uid="{00000000-0005-0000-0000-0000120C0000}"/>
    <cellStyle name="20 % - Markeringsfarve1 6 2 2 4 2" xfId="26727" xr:uid="{00000000-0005-0000-0000-0000130C0000}"/>
    <cellStyle name="20 % - Markeringsfarve1 6 2 2 4 3" xfId="41693" xr:uid="{00000000-0005-0000-0000-0000140C0000}"/>
    <cellStyle name="20 % - Markeringsfarve1 6 2 2 5" xfId="19705" xr:uid="{00000000-0005-0000-0000-0000150C0000}"/>
    <cellStyle name="20 % - Markeringsfarve1 6 2 2 6" xfId="34694" xr:uid="{00000000-0005-0000-0000-0000160C0000}"/>
    <cellStyle name="20 % - Markeringsfarve1 6 2 2 7" xfId="57124" xr:uid="{00000000-0005-0000-0000-0000170C0000}"/>
    <cellStyle name="20 % - Markeringsfarve1 6 2 3" xfId="1853" xr:uid="{00000000-0005-0000-0000-0000180C0000}"/>
    <cellStyle name="20 % - Markeringsfarve1 6 2 3 2" xfId="6964" xr:uid="{00000000-0005-0000-0000-0000190C0000}"/>
    <cellStyle name="20 % - Markeringsfarve1 6 2 3 2 2" xfId="14875" xr:uid="{00000000-0005-0000-0000-00001A0C0000}"/>
    <cellStyle name="20 % - Markeringsfarve1 6 2 3 2 2 2" xfId="31189" xr:uid="{00000000-0005-0000-0000-00001B0C0000}"/>
    <cellStyle name="20 % - Markeringsfarve1 6 2 3 2 2 3" xfId="46153" xr:uid="{00000000-0005-0000-0000-00001C0C0000}"/>
    <cellStyle name="20 % - Markeringsfarve1 6 2 3 2 3" xfId="24167" xr:uid="{00000000-0005-0000-0000-00001D0C0000}"/>
    <cellStyle name="20 % - Markeringsfarve1 6 2 3 2 4" xfId="39154" xr:uid="{00000000-0005-0000-0000-00001E0C0000}"/>
    <cellStyle name="20 % - Markeringsfarve1 6 2 3 3" xfId="10410" xr:uid="{00000000-0005-0000-0000-00001F0C0000}"/>
    <cellStyle name="20 % - Markeringsfarve1 6 2 3 3 2" xfId="26729" xr:uid="{00000000-0005-0000-0000-0000200C0000}"/>
    <cellStyle name="20 % - Markeringsfarve1 6 2 3 3 3" xfId="41695" xr:uid="{00000000-0005-0000-0000-0000210C0000}"/>
    <cellStyle name="20 % - Markeringsfarve1 6 2 3 4" xfId="19707" xr:uid="{00000000-0005-0000-0000-0000220C0000}"/>
    <cellStyle name="20 % - Markeringsfarve1 6 2 3 5" xfId="34696" xr:uid="{00000000-0005-0000-0000-0000230C0000}"/>
    <cellStyle name="20 % - Markeringsfarve1 6 2 4" xfId="1854" xr:uid="{00000000-0005-0000-0000-0000240C0000}"/>
    <cellStyle name="20 % - Markeringsfarve1 6 2 4 2" xfId="8532" xr:uid="{00000000-0005-0000-0000-0000250C0000}"/>
    <cellStyle name="20 % - Markeringsfarve1 6 2 4 2 2" xfId="16420" xr:uid="{00000000-0005-0000-0000-0000260C0000}"/>
    <cellStyle name="20 % - Markeringsfarve1 6 2 4 2 2 2" xfId="32734" xr:uid="{00000000-0005-0000-0000-0000270C0000}"/>
    <cellStyle name="20 % - Markeringsfarve1 6 2 4 2 2 3" xfId="47698" xr:uid="{00000000-0005-0000-0000-0000280C0000}"/>
    <cellStyle name="20 % - Markeringsfarve1 6 2 4 2 3" xfId="25712" xr:uid="{00000000-0005-0000-0000-0000290C0000}"/>
    <cellStyle name="20 % - Markeringsfarve1 6 2 4 2 4" xfId="40699" xr:uid="{00000000-0005-0000-0000-00002A0C0000}"/>
    <cellStyle name="20 % - Markeringsfarve1 6 2 4 3" xfId="10411" xr:uid="{00000000-0005-0000-0000-00002B0C0000}"/>
    <cellStyle name="20 % - Markeringsfarve1 6 2 4 3 2" xfId="26730" xr:uid="{00000000-0005-0000-0000-00002C0C0000}"/>
    <cellStyle name="20 % - Markeringsfarve1 6 2 4 3 3" xfId="41696" xr:uid="{00000000-0005-0000-0000-00002D0C0000}"/>
    <cellStyle name="20 % - Markeringsfarve1 6 2 4 4" xfId="19708" xr:uid="{00000000-0005-0000-0000-00002E0C0000}"/>
    <cellStyle name="20 % - Markeringsfarve1 6 2 4 5" xfId="34697" xr:uid="{00000000-0005-0000-0000-00002F0C0000}"/>
    <cellStyle name="20 % - Markeringsfarve1 6 2 5" xfId="5459" xr:uid="{00000000-0005-0000-0000-0000300C0000}"/>
    <cellStyle name="20 % - Markeringsfarve1 6 2 5 2" xfId="13377" xr:uid="{00000000-0005-0000-0000-0000310C0000}"/>
    <cellStyle name="20 % - Markeringsfarve1 6 2 5 2 2" xfId="29691" xr:uid="{00000000-0005-0000-0000-0000320C0000}"/>
    <cellStyle name="20 % - Markeringsfarve1 6 2 5 2 3" xfId="44655" xr:uid="{00000000-0005-0000-0000-0000330C0000}"/>
    <cellStyle name="20 % - Markeringsfarve1 6 2 5 3" xfId="22669" xr:uid="{00000000-0005-0000-0000-0000340C0000}"/>
    <cellStyle name="20 % - Markeringsfarve1 6 2 5 4" xfId="37656" xr:uid="{00000000-0005-0000-0000-0000350C0000}"/>
    <cellStyle name="20 % - Markeringsfarve1 6 2 6" xfId="10407" xr:uid="{00000000-0005-0000-0000-0000360C0000}"/>
    <cellStyle name="20 % - Markeringsfarve1 6 2 6 2" xfId="26726" xr:uid="{00000000-0005-0000-0000-0000370C0000}"/>
    <cellStyle name="20 % - Markeringsfarve1 6 2 6 3" xfId="41692" xr:uid="{00000000-0005-0000-0000-0000380C0000}"/>
    <cellStyle name="20 % - Markeringsfarve1 6 2 7" xfId="19704" xr:uid="{00000000-0005-0000-0000-0000390C0000}"/>
    <cellStyle name="20 % - Markeringsfarve1 6 2 8" xfId="34693" xr:uid="{00000000-0005-0000-0000-00003A0C0000}"/>
    <cellStyle name="20 % - Markeringsfarve1 6 2 9" xfId="53957" xr:uid="{00000000-0005-0000-0000-00003B0C0000}"/>
    <cellStyle name="20 % - Markeringsfarve1 6 3" xfId="1855" xr:uid="{00000000-0005-0000-0000-00003C0C0000}"/>
    <cellStyle name="20 % - Markeringsfarve1 6 3 2" xfId="1856" xr:uid="{00000000-0005-0000-0000-00003D0C0000}"/>
    <cellStyle name="20 % - Markeringsfarve1 6 3 2 2" xfId="7608" xr:uid="{00000000-0005-0000-0000-00003E0C0000}"/>
    <cellStyle name="20 % - Markeringsfarve1 6 3 2 2 2" xfId="15509" xr:uid="{00000000-0005-0000-0000-00003F0C0000}"/>
    <cellStyle name="20 % - Markeringsfarve1 6 3 2 2 2 2" xfId="31823" xr:uid="{00000000-0005-0000-0000-0000400C0000}"/>
    <cellStyle name="20 % - Markeringsfarve1 6 3 2 2 2 3" xfId="46787" xr:uid="{00000000-0005-0000-0000-0000410C0000}"/>
    <cellStyle name="20 % - Markeringsfarve1 6 3 2 2 3" xfId="24801" xr:uid="{00000000-0005-0000-0000-0000420C0000}"/>
    <cellStyle name="20 % - Markeringsfarve1 6 3 2 2 4" xfId="39788" xr:uid="{00000000-0005-0000-0000-0000430C0000}"/>
    <cellStyle name="20 % - Markeringsfarve1 6 3 2 3" xfId="10413" xr:uid="{00000000-0005-0000-0000-0000440C0000}"/>
    <cellStyle name="20 % - Markeringsfarve1 6 3 2 3 2" xfId="26732" xr:uid="{00000000-0005-0000-0000-0000450C0000}"/>
    <cellStyle name="20 % - Markeringsfarve1 6 3 2 3 3" xfId="41698" xr:uid="{00000000-0005-0000-0000-0000460C0000}"/>
    <cellStyle name="20 % - Markeringsfarve1 6 3 2 4" xfId="19710" xr:uid="{00000000-0005-0000-0000-0000470C0000}"/>
    <cellStyle name="20 % - Markeringsfarve1 6 3 2 5" xfId="34699" xr:uid="{00000000-0005-0000-0000-0000480C0000}"/>
    <cellStyle name="20 % - Markeringsfarve1 6 3 3" xfId="6191" xr:uid="{00000000-0005-0000-0000-0000490C0000}"/>
    <cellStyle name="20 % - Markeringsfarve1 6 3 3 2" xfId="14108" xr:uid="{00000000-0005-0000-0000-00004A0C0000}"/>
    <cellStyle name="20 % - Markeringsfarve1 6 3 3 2 2" xfId="30422" xr:uid="{00000000-0005-0000-0000-00004B0C0000}"/>
    <cellStyle name="20 % - Markeringsfarve1 6 3 3 2 3" xfId="45386" xr:uid="{00000000-0005-0000-0000-00004C0C0000}"/>
    <cellStyle name="20 % - Markeringsfarve1 6 3 3 3" xfId="23400" xr:uid="{00000000-0005-0000-0000-00004D0C0000}"/>
    <cellStyle name="20 % - Markeringsfarve1 6 3 3 4" xfId="38387" xr:uid="{00000000-0005-0000-0000-00004E0C0000}"/>
    <cellStyle name="20 % - Markeringsfarve1 6 3 4" xfId="10412" xr:uid="{00000000-0005-0000-0000-00004F0C0000}"/>
    <cellStyle name="20 % - Markeringsfarve1 6 3 4 2" xfId="26731" xr:uid="{00000000-0005-0000-0000-0000500C0000}"/>
    <cellStyle name="20 % - Markeringsfarve1 6 3 4 3" xfId="41697" xr:uid="{00000000-0005-0000-0000-0000510C0000}"/>
    <cellStyle name="20 % - Markeringsfarve1 6 3 5" xfId="19709" xr:uid="{00000000-0005-0000-0000-0000520C0000}"/>
    <cellStyle name="20 % - Markeringsfarve1 6 3 6" xfId="34698" xr:uid="{00000000-0005-0000-0000-0000530C0000}"/>
    <cellStyle name="20 % - Markeringsfarve1 6 3 7" xfId="56501" xr:uid="{00000000-0005-0000-0000-0000540C0000}"/>
    <cellStyle name="20 % - Markeringsfarve1 6 4" xfId="1857" xr:uid="{00000000-0005-0000-0000-0000550C0000}"/>
    <cellStyle name="20 % - Markeringsfarve1 6 4 2" xfId="6838" xr:uid="{00000000-0005-0000-0000-0000560C0000}"/>
    <cellStyle name="20 % - Markeringsfarve1 6 4 2 2" xfId="14749" xr:uid="{00000000-0005-0000-0000-0000570C0000}"/>
    <cellStyle name="20 % - Markeringsfarve1 6 4 2 2 2" xfId="31063" xr:uid="{00000000-0005-0000-0000-0000580C0000}"/>
    <cellStyle name="20 % - Markeringsfarve1 6 4 2 2 3" xfId="46027" xr:uid="{00000000-0005-0000-0000-0000590C0000}"/>
    <cellStyle name="20 % - Markeringsfarve1 6 4 2 3" xfId="24041" xr:uid="{00000000-0005-0000-0000-00005A0C0000}"/>
    <cellStyle name="20 % - Markeringsfarve1 6 4 2 4" xfId="39028" xr:uid="{00000000-0005-0000-0000-00005B0C0000}"/>
    <cellStyle name="20 % - Markeringsfarve1 6 4 3" xfId="10414" xr:uid="{00000000-0005-0000-0000-00005C0C0000}"/>
    <cellStyle name="20 % - Markeringsfarve1 6 4 3 2" xfId="26733" xr:uid="{00000000-0005-0000-0000-00005D0C0000}"/>
    <cellStyle name="20 % - Markeringsfarve1 6 4 3 3" xfId="41699" xr:uid="{00000000-0005-0000-0000-00005E0C0000}"/>
    <cellStyle name="20 % - Markeringsfarve1 6 4 4" xfId="19711" xr:uid="{00000000-0005-0000-0000-00005F0C0000}"/>
    <cellStyle name="20 % - Markeringsfarve1 6 4 5" xfId="34700" xr:uid="{00000000-0005-0000-0000-0000600C0000}"/>
    <cellStyle name="20 % - Markeringsfarve1 6 5" xfId="1858" xr:uid="{00000000-0005-0000-0000-0000610C0000}"/>
    <cellStyle name="20 % - Markeringsfarve1 6 5 2" xfId="7102" xr:uid="{00000000-0005-0000-0000-0000620C0000}"/>
    <cellStyle name="20 % - Markeringsfarve1 6 5 2 2" xfId="15012" xr:uid="{00000000-0005-0000-0000-0000630C0000}"/>
    <cellStyle name="20 % - Markeringsfarve1 6 5 2 2 2" xfId="31326" xr:uid="{00000000-0005-0000-0000-0000640C0000}"/>
    <cellStyle name="20 % - Markeringsfarve1 6 5 2 2 3" xfId="46290" xr:uid="{00000000-0005-0000-0000-0000650C0000}"/>
    <cellStyle name="20 % - Markeringsfarve1 6 5 2 3" xfId="24304" xr:uid="{00000000-0005-0000-0000-0000660C0000}"/>
    <cellStyle name="20 % - Markeringsfarve1 6 5 2 4" xfId="39291" xr:uid="{00000000-0005-0000-0000-0000670C0000}"/>
    <cellStyle name="20 % - Markeringsfarve1 6 5 3" xfId="10415" xr:uid="{00000000-0005-0000-0000-0000680C0000}"/>
    <cellStyle name="20 % - Markeringsfarve1 6 5 3 2" xfId="26734" xr:uid="{00000000-0005-0000-0000-0000690C0000}"/>
    <cellStyle name="20 % - Markeringsfarve1 6 5 3 3" xfId="41700" xr:uid="{00000000-0005-0000-0000-00006A0C0000}"/>
    <cellStyle name="20 % - Markeringsfarve1 6 5 4" xfId="19712" xr:uid="{00000000-0005-0000-0000-00006B0C0000}"/>
    <cellStyle name="20 % - Markeringsfarve1 6 5 5" xfId="34701" xr:uid="{00000000-0005-0000-0000-00006C0C0000}"/>
    <cellStyle name="20 % - Markeringsfarve1 6 6" xfId="5458" xr:uid="{00000000-0005-0000-0000-00006D0C0000}"/>
    <cellStyle name="20 % - Markeringsfarve1 6 6 2" xfId="13376" xr:uid="{00000000-0005-0000-0000-00006E0C0000}"/>
    <cellStyle name="20 % - Markeringsfarve1 6 6 2 2" xfId="29690" xr:uid="{00000000-0005-0000-0000-00006F0C0000}"/>
    <cellStyle name="20 % - Markeringsfarve1 6 6 2 3" xfId="44654" xr:uid="{00000000-0005-0000-0000-0000700C0000}"/>
    <cellStyle name="20 % - Markeringsfarve1 6 6 3" xfId="22668" xr:uid="{00000000-0005-0000-0000-0000710C0000}"/>
    <cellStyle name="20 % - Markeringsfarve1 6 6 4" xfId="37655" xr:uid="{00000000-0005-0000-0000-0000720C0000}"/>
    <cellStyle name="20 % - Markeringsfarve1 6 7" xfId="10406" xr:uid="{00000000-0005-0000-0000-0000730C0000}"/>
    <cellStyle name="20 % - Markeringsfarve1 6 7 2" xfId="26725" xr:uid="{00000000-0005-0000-0000-0000740C0000}"/>
    <cellStyle name="20 % - Markeringsfarve1 6 7 3" xfId="41691" xr:uid="{00000000-0005-0000-0000-0000750C0000}"/>
    <cellStyle name="20 % - Markeringsfarve1 6 8" xfId="19703" xr:uid="{00000000-0005-0000-0000-0000760C0000}"/>
    <cellStyle name="20 % - Markeringsfarve1 6 9" xfId="34692" xr:uid="{00000000-0005-0000-0000-0000770C0000}"/>
    <cellStyle name="20 % - Markeringsfarve1 7" xfId="1859" xr:uid="{00000000-0005-0000-0000-0000780C0000}"/>
    <cellStyle name="20 % - Markeringsfarve1 7 2" xfId="1860" xr:uid="{00000000-0005-0000-0000-0000790C0000}"/>
    <cellStyle name="20 % - Markeringsfarve1 7 2 2" xfId="1861" xr:uid="{00000000-0005-0000-0000-00007A0C0000}"/>
    <cellStyle name="20 % - Markeringsfarve1 7 2 2 2" xfId="7846" xr:uid="{00000000-0005-0000-0000-00007B0C0000}"/>
    <cellStyle name="20 % - Markeringsfarve1 7 2 2 2 2" xfId="15747" xr:uid="{00000000-0005-0000-0000-00007C0C0000}"/>
    <cellStyle name="20 % - Markeringsfarve1 7 2 2 2 2 2" xfId="32061" xr:uid="{00000000-0005-0000-0000-00007D0C0000}"/>
    <cellStyle name="20 % - Markeringsfarve1 7 2 2 2 2 3" xfId="47025" xr:uid="{00000000-0005-0000-0000-00007E0C0000}"/>
    <cellStyle name="20 % - Markeringsfarve1 7 2 2 2 3" xfId="25039" xr:uid="{00000000-0005-0000-0000-00007F0C0000}"/>
    <cellStyle name="20 % - Markeringsfarve1 7 2 2 2 4" xfId="40026" xr:uid="{00000000-0005-0000-0000-0000800C0000}"/>
    <cellStyle name="20 % - Markeringsfarve1 7 2 2 3" xfId="10418" xr:uid="{00000000-0005-0000-0000-0000810C0000}"/>
    <cellStyle name="20 % - Markeringsfarve1 7 2 2 3 2" xfId="26737" xr:uid="{00000000-0005-0000-0000-0000820C0000}"/>
    <cellStyle name="20 % - Markeringsfarve1 7 2 2 3 3" xfId="41703" xr:uid="{00000000-0005-0000-0000-0000830C0000}"/>
    <cellStyle name="20 % - Markeringsfarve1 7 2 2 4" xfId="19715" xr:uid="{00000000-0005-0000-0000-0000840C0000}"/>
    <cellStyle name="20 % - Markeringsfarve1 7 2 2 5" xfId="34704" xr:uid="{00000000-0005-0000-0000-0000850C0000}"/>
    <cellStyle name="20 % - Markeringsfarve1 7 2 3" xfId="6393" xr:uid="{00000000-0005-0000-0000-0000860C0000}"/>
    <cellStyle name="20 % - Markeringsfarve1 7 2 3 2" xfId="14307" xr:uid="{00000000-0005-0000-0000-0000870C0000}"/>
    <cellStyle name="20 % - Markeringsfarve1 7 2 3 2 2" xfId="30621" xr:uid="{00000000-0005-0000-0000-0000880C0000}"/>
    <cellStyle name="20 % - Markeringsfarve1 7 2 3 2 3" xfId="45585" xr:uid="{00000000-0005-0000-0000-0000890C0000}"/>
    <cellStyle name="20 % - Markeringsfarve1 7 2 3 3" xfId="23599" xr:uid="{00000000-0005-0000-0000-00008A0C0000}"/>
    <cellStyle name="20 % - Markeringsfarve1 7 2 3 4" xfId="38586" xr:uid="{00000000-0005-0000-0000-00008B0C0000}"/>
    <cellStyle name="20 % - Markeringsfarve1 7 2 4" xfId="10417" xr:uid="{00000000-0005-0000-0000-00008C0C0000}"/>
    <cellStyle name="20 % - Markeringsfarve1 7 2 4 2" xfId="26736" xr:uid="{00000000-0005-0000-0000-00008D0C0000}"/>
    <cellStyle name="20 % - Markeringsfarve1 7 2 4 3" xfId="41702" xr:uid="{00000000-0005-0000-0000-00008E0C0000}"/>
    <cellStyle name="20 % - Markeringsfarve1 7 2 5" xfId="19714" xr:uid="{00000000-0005-0000-0000-00008F0C0000}"/>
    <cellStyle name="20 % - Markeringsfarve1 7 2 6" xfId="34703" xr:uid="{00000000-0005-0000-0000-0000900C0000}"/>
    <cellStyle name="20 % - Markeringsfarve1 7 2 7" xfId="57112" xr:uid="{00000000-0005-0000-0000-0000910C0000}"/>
    <cellStyle name="20 % - Markeringsfarve1 7 3" xfId="1862" xr:uid="{00000000-0005-0000-0000-0000920C0000}"/>
    <cellStyle name="20 % - Markeringsfarve1 7 3 2" xfId="7122" xr:uid="{00000000-0005-0000-0000-0000930C0000}"/>
    <cellStyle name="20 % - Markeringsfarve1 7 3 2 2" xfId="15032" xr:uid="{00000000-0005-0000-0000-0000940C0000}"/>
    <cellStyle name="20 % - Markeringsfarve1 7 3 2 2 2" xfId="31346" xr:uid="{00000000-0005-0000-0000-0000950C0000}"/>
    <cellStyle name="20 % - Markeringsfarve1 7 3 2 2 3" xfId="46310" xr:uid="{00000000-0005-0000-0000-0000960C0000}"/>
    <cellStyle name="20 % - Markeringsfarve1 7 3 2 3" xfId="24324" xr:uid="{00000000-0005-0000-0000-0000970C0000}"/>
    <cellStyle name="20 % - Markeringsfarve1 7 3 2 4" xfId="39311" xr:uid="{00000000-0005-0000-0000-0000980C0000}"/>
    <cellStyle name="20 % - Markeringsfarve1 7 3 3" xfId="10419" xr:uid="{00000000-0005-0000-0000-0000990C0000}"/>
    <cellStyle name="20 % - Markeringsfarve1 7 3 3 2" xfId="26738" xr:uid="{00000000-0005-0000-0000-00009A0C0000}"/>
    <cellStyle name="20 % - Markeringsfarve1 7 3 3 3" xfId="41704" xr:uid="{00000000-0005-0000-0000-00009B0C0000}"/>
    <cellStyle name="20 % - Markeringsfarve1 7 3 4" xfId="19716" xr:uid="{00000000-0005-0000-0000-00009C0C0000}"/>
    <cellStyle name="20 % - Markeringsfarve1 7 3 5" xfId="34705" xr:uid="{00000000-0005-0000-0000-00009D0C0000}"/>
    <cellStyle name="20 % - Markeringsfarve1 7 4" xfId="1863" xr:uid="{00000000-0005-0000-0000-00009E0C0000}"/>
    <cellStyle name="20 % - Markeringsfarve1 7 4 2" xfId="8524" xr:uid="{00000000-0005-0000-0000-00009F0C0000}"/>
    <cellStyle name="20 % - Markeringsfarve1 7 4 2 2" xfId="16413" xr:uid="{00000000-0005-0000-0000-0000A00C0000}"/>
    <cellStyle name="20 % - Markeringsfarve1 7 4 2 2 2" xfId="32727" xr:uid="{00000000-0005-0000-0000-0000A10C0000}"/>
    <cellStyle name="20 % - Markeringsfarve1 7 4 2 2 3" xfId="47691" xr:uid="{00000000-0005-0000-0000-0000A20C0000}"/>
    <cellStyle name="20 % - Markeringsfarve1 7 4 2 3" xfId="25705" xr:uid="{00000000-0005-0000-0000-0000A30C0000}"/>
    <cellStyle name="20 % - Markeringsfarve1 7 4 2 4" xfId="40692" xr:uid="{00000000-0005-0000-0000-0000A40C0000}"/>
    <cellStyle name="20 % - Markeringsfarve1 7 4 3" xfId="10420" xr:uid="{00000000-0005-0000-0000-0000A50C0000}"/>
    <cellStyle name="20 % - Markeringsfarve1 7 4 3 2" xfId="26739" xr:uid="{00000000-0005-0000-0000-0000A60C0000}"/>
    <cellStyle name="20 % - Markeringsfarve1 7 4 3 3" xfId="41705" xr:uid="{00000000-0005-0000-0000-0000A70C0000}"/>
    <cellStyle name="20 % - Markeringsfarve1 7 4 4" xfId="19717" xr:uid="{00000000-0005-0000-0000-0000A80C0000}"/>
    <cellStyle name="20 % - Markeringsfarve1 7 4 5" xfId="34706" xr:uid="{00000000-0005-0000-0000-0000A90C0000}"/>
    <cellStyle name="20 % - Markeringsfarve1 7 5" xfId="5460" xr:uid="{00000000-0005-0000-0000-0000AA0C0000}"/>
    <cellStyle name="20 % - Markeringsfarve1 7 5 2" xfId="13378" xr:uid="{00000000-0005-0000-0000-0000AB0C0000}"/>
    <cellStyle name="20 % - Markeringsfarve1 7 5 2 2" xfId="29692" xr:uid="{00000000-0005-0000-0000-0000AC0C0000}"/>
    <cellStyle name="20 % - Markeringsfarve1 7 5 2 3" xfId="44656" xr:uid="{00000000-0005-0000-0000-0000AD0C0000}"/>
    <cellStyle name="20 % - Markeringsfarve1 7 5 3" xfId="22670" xr:uid="{00000000-0005-0000-0000-0000AE0C0000}"/>
    <cellStyle name="20 % - Markeringsfarve1 7 5 4" xfId="37657" xr:uid="{00000000-0005-0000-0000-0000AF0C0000}"/>
    <cellStyle name="20 % - Markeringsfarve1 7 6" xfId="10416" xr:uid="{00000000-0005-0000-0000-0000B00C0000}"/>
    <cellStyle name="20 % - Markeringsfarve1 7 6 2" xfId="26735" xr:uid="{00000000-0005-0000-0000-0000B10C0000}"/>
    <cellStyle name="20 % - Markeringsfarve1 7 6 3" xfId="41701" xr:uid="{00000000-0005-0000-0000-0000B20C0000}"/>
    <cellStyle name="20 % - Markeringsfarve1 7 7" xfId="19713" xr:uid="{00000000-0005-0000-0000-0000B30C0000}"/>
    <cellStyle name="20 % - Markeringsfarve1 7 8" xfId="34702" xr:uid="{00000000-0005-0000-0000-0000B40C0000}"/>
    <cellStyle name="20 % - Markeringsfarve1 7 9" xfId="53945" xr:uid="{00000000-0005-0000-0000-0000B50C0000}"/>
    <cellStyle name="20 % - Markeringsfarve1 8" xfId="1864" xr:uid="{00000000-0005-0000-0000-0000B60C0000}"/>
    <cellStyle name="20 % - Markeringsfarve1 8 2" xfId="1865" xr:uid="{00000000-0005-0000-0000-0000B70C0000}"/>
    <cellStyle name="20 % - Markeringsfarve1 8 2 2" xfId="1866" xr:uid="{00000000-0005-0000-0000-0000B80C0000}"/>
    <cellStyle name="20 % - Markeringsfarve1 8 2 2 2" xfId="7963" xr:uid="{00000000-0005-0000-0000-0000B90C0000}"/>
    <cellStyle name="20 % - Markeringsfarve1 8 2 2 2 2" xfId="15864" xr:uid="{00000000-0005-0000-0000-0000BA0C0000}"/>
    <cellStyle name="20 % - Markeringsfarve1 8 2 2 2 2 2" xfId="32178" xr:uid="{00000000-0005-0000-0000-0000BB0C0000}"/>
    <cellStyle name="20 % - Markeringsfarve1 8 2 2 2 2 3" xfId="47142" xr:uid="{00000000-0005-0000-0000-0000BC0C0000}"/>
    <cellStyle name="20 % - Markeringsfarve1 8 2 2 2 3" xfId="25156" xr:uid="{00000000-0005-0000-0000-0000BD0C0000}"/>
    <cellStyle name="20 % - Markeringsfarve1 8 2 2 2 4" xfId="40143" xr:uid="{00000000-0005-0000-0000-0000BE0C0000}"/>
    <cellStyle name="20 % - Markeringsfarve1 8 2 2 3" xfId="10423" xr:uid="{00000000-0005-0000-0000-0000BF0C0000}"/>
    <cellStyle name="20 % - Markeringsfarve1 8 2 2 3 2" xfId="26742" xr:uid="{00000000-0005-0000-0000-0000C00C0000}"/>
    <cellStyle name="20 % - Markeringsfarve1 8 2 2 3 3" xfId="41708" xr:uid="{00000000-0005-0000-0000-0000C10C0000}"/>
    <cellStyle name="20 % - Markeringsfarve1 8 2 2 4" xfId="19720" xr:uid="{00000000-0005-0000-0000-0000C20C0000}"/>
    <cellStyle name="20 % - Markeringsfarve1 8 2 2 5" xfId="34709" xr:uid="{00000000-0005-0000-0000-0000C30C0000}"/>
    <cellStyle name="20 % - Markeringsfarve1 8 2 3" xfId="6492" xr:uid="{00000000-0005-0000-0000-0000C40C0000}"/>
    <cellStyle name="20 % - Markeringsfarve1 8 2 3 2" xfId="14406" xr:uid="{00000000-0005-0000-0000-0000C50C0000}"/>
    <cellStyle name="20 % - Markeringsfarve1 8 2 3 2 2" xfId="30720" xr:uid="{00000000-0005-0000-0000-0000C60C0000}"/>
    <cellStyle name="20 % - Markeringsfarve1 8 2 3 2 3" xfId="45684" xr:uid="{00000000-0005-0000-0000-0000C70C0000}"/>
    <cellStyle name="20 % - Markeringsfarve1 8 2 3 3" xfId="23698" xr:uid="{00000000-0005-0000-0000-0000C80C0000}"/>
    <cellStyle name="20 % - Markeringsfarve1 8 2 3 4" xfId="38685" xr:uid="{00000000-0005-0000-0000-0000C90C0000}"/>
    <cellStyle name="20 % - Markeringsfarve1 8 2 4" xfId="10422" xr:uid="{00000000-0005-0000-0000-0000CA0C0000}"/>
    <cellStyle name="20 % - Markeringsfarve1 8 2 4 2" xfId="26741" xr:uid="{00000000-0005-0000-0000-0000CB0C0000}"/>
    <cellStyle name="20 % - Markeringsfarve1 8 2 4 3" xfId="41707" xr:uid="{00000000-0005-0000-0000-0000CC0C0000}"/>
    <cellStyle name="20 % - Markeringsfarve1 8 2 5" xfId="19719" xr:uid="{00000000-0005-0000-0000-0000CD0C0000}"/>
    <cellStyle name="20 % - Markeringsfarve1 8 2 6" xfId="34708" xr:uid="{00000000-0005-0000-0000-0000CE0C0000}"/>
    <cellStyle name="20 % - Markeringsfarve1 8 3" xfId="1867" xr:uid="{00000000-0005-0000-0000-0000CF0C0000}"/>
    <cellStyle name="20 % - Markeringsfarve1 8 3 2" xfId="7239" xr:uid="{00000000-0005-0000-0000-0000D00C0000}"/>
    <cellStyle name="20 % - Markeringsfarve1 8 3 2 2" xfId="15149" xr:uid="{00000000-0005-0000-0000-0000D10C0000}"/>
    <cellStyle name="20 % - Markeringsfarve1 8 3 2 2 2" xfId="31463" xr:uid="{00000000-0005-0000-0000-0000D20C0000}"/>
    <cellStyle name="20 % - Markeringsfarve1 8 3 2 2 3" xfId="46427" xr:uid="{00000000-0005-0000-0000-0000D30C0000}"/>
    <cellStyle name="20 % - Markeringsfarve1 8 3 2 3" xfId="24441" xr:uid="{00000000-0005-0000-0000-0000D40C0000}"/>
    <cellStyle name="20 % - Markeringsfarve1 8 3 2 4" xfId="39428" xr:uid="{00000000-0005-0000-0000-0000D50C0000}"/>
    <cellStyle name="20 % - Markeringsfarve1 8 3 3" xfId="10424" xr:uid="{00000000-0005-0000-0000-0000D60C0000}"/>
    <cellStyle name="20 % - Markeringsfarve1 8 3 3 2" xfId="26743" xr:uid="{00000000-0005-0000-0000-0000D70C0000}"/>
    <cellStyle name="20 % - Markeringsfarve1 8 3 3 3" xfId="41709" xr:uid="{00000000-0005-0000-0000-0000D80C0000}"/>
    <cellStyle name="20 % - Markeringsfarve1 8 3 4" xfId="19721" xr:uid="{00000000-0005-0000-0000-0000D90C0000}"/>
    <cellStyle name="20 % - Markeringsfarve1 8 3 5" xfId="34710" xr:uid="{00000000-0005-0000-0000-0000DA0C0000}"/>
    <cellStyle name="20 % - Markeringsfarve1 8 4" xfId="1868" xr:uid="{00000000-0005-0000-0000-0000DB0C0000}"/>
    <cellStyle name="20 % - Markeringsfarve1 8 4 2" xfId="8661" xr:uid="{00000000-0005-0000-0000-0000DC0C0000}"/>
    <cellStyle name="20 % - Markeringsfarve1 8 4 2 2" xfId="16544" xr:uid="{00000000-0005-0000-0000-0000DD0C0000}"/>
    <cellStyle name="20 % - Markeringsfarve1 8 4 2 2 2" xfId="32858" xr:uid="{00000000-0005-0000-0000-0000DE0C0000}"/>
    <cellStyle name="20 % - Markeringsfarve1 8 4 2 2 3" xfId="47822" xr:uid="{00000000-0005-0000-0000-0000DF0C0000}"/>
    <cellStyle name="20 % - Markeringsfarve1 8 4 2 3" xfId="25836" xr:uid="{00000000-0005-0000-0000-0000E00C0000}"/>
    <cellStyle name="20 % - Markeringsfarve1 8 4 2 4" xfId="40823" xr:uid="{00000000-0005-0000-0000-0000E10C0000}"/>
    <cellStyle name="20 % - Markeringsfarve1 8 4 3" xfId="10425" xr:uid="{00000000-0005-0000-0000-0000E20C0000}"/>
    <cellStyle name="20 % - Markeringsfarve1 8 4 3 2" xfId="26744" xr:uid="{00000000-0005-0000-0000-0000E30C0000}"/>
    <cellStyle name="20 % - Markeringsfarve1 8 4 3 3" xfId="41710" xr:uid="{00000000-0005-0000-0000-0000E40C0000}"/>
    <cellStyle name="20 % - Markeringsfarve1 8 4 4" xfId="19722" xr:uid="{00000000-0005-0000-0000-0000E50C0000}"/>
    <cellStyle name="20 % - Markeringsfarve1 8 4 5" xfId="34711" xr:uid="{00000000-0005-0000-0000-0000E60C0000}"/>
    <cellStyle name="20 % - Markeringsfarve1 8 5" xfId="5461" xr:uid="{00000000-0005-0000-0000-0000E70C0000}"/>
    <cellStyle name="20 % - Markeringsfarve1 8 5 2" xfId="13379" xr:uid="{00000000-0005-0000-0000-0000E80C0000}"/>
    <cellStyle name="20 % - Markeringsfarve1 8 5 2 2" xfId="29693" xr:uid="{00000000-0005-0000-0000-0000E90C0000}"/>
    <cellStyle name="20 % - Markeringsfarve1 8 5 2 3" xfId="44657" xr:uid="{00000000-0005-0000-0000-0000EA0C0000}"/>
    <cellStyle name="20 % - Markeringsfarve1 8 5 3" xfId="22671" xr:uid="{00000000-0005-0000-0000-0000EB0C0000}"/>
    <cellStyle name="20 % - Markeringsfarve1 8 5 4" xfId="37658" xr:uid="{00000000-0005-0000-0000-0000EC0C0000}"/>
    <cellStyle name="20 % - Markeringsfarve1 8 6" xfId="10421" xr:uid="{00000000-0005-0000-0000-0000ED0C0000}"/>
    <cellStyle name="20 % - Markeringsfarve1 8 6 2" xfId="26740" xr:uid="{00000000-0005-0000-0000-0000EE0C0000}"/>
    <cellStyle name="20 % - Markeringsfarve1 8 6 3" xfId="41706" xr:uid="{00000000-0005-0000-0000-0000EF0C0000}"/>
    <cellStyle name="20 % - Markeringsfarve1 8 7" xfId="19718" xr:uid="{00000000-0005-0000-0000-0000F00C0000}"/>
    <cellStyle name="20 % - Markeringsfarve1 8 8" xfId="34707" xr:uid="{00000000-0005-0000-0000-0000F10C0000}"/>
    <cellStyle name="20 % - Markeringsfarve1 9" xfId="1869" xr:uid="{00000000-0005-0000-0000-0000F20C0000}"/>
    <cellStyle name="20 % - Markeringsfarve1 9 2" xfId="1870" xr:uid="{00000000-0005-0000-0000-0000F30C0000}"/>
    <cellStyle name="20 % - Markeringsfarve1 9 2 2" xfId="1871" xr:uid="{00000000-0005-0000-0000-0000F40C0000}"/>
    <cellStyle name="20 % - Markeringsfarve1 9 2 2 2" xfId="8080" xr:uid="{00000000-0005-0000-0000-0000F50C0000}"/>
    <cellStyle name="20 % - Markeringsfarve1 9 2 2 2 2" xfId="15981" xr:uid="{00000000-0005-0000-0000-0000F60C0000}"/>
    <cellStyle name="20 % - Markeringsfarve1 9 2 2 2 2 2" xfId="32295" xr:uid="{00000000-0005-0000-0000-0000F70C0000}"/>
    <cellStyle name="20 % - Markeringsfarve1 9 2 2 2 2 3" xfId="47259" xr:uid="{00000000-0005-0000-0000-0000F80C0000}"/>
    <cellStyle name="20 % - Markeringsfarve1 9 2 2 2 3" xfId="25273" xr:uid="{00000000-0005-0000-0000-0000F90C0000}"/>
    <cellStyle name="20 % - Markeringsfarve1 9 2 2 2 4" xfId="40260" xr:uid="{00000000-0005-0000-0000-0000FA0C0000}"/>
    <cellStyle name="20 % - Markeringsfarve1 9 2 2 3" xfId="10428" xr:uid="{00000000-0005-0000-0000-0000FB0C0000}"/>
    <cellStyle name="20 % - Markeringsfarve1 9 2 2 3 2" xfId="26747" xr:uid="{00000000-0005-0000-0000-0000FC0C0000}"/>
    <cellStyle name="20 % - Markeringsfarve1 9 2 2 3 3" xfId="41713" xr:uid="{00000000-0005-0000-0000-0000FD0C0000}"/>
    <cellStyle name="20 % - Markeringsfarve1 9 2 2 4" xfId="19725" xr:uid="{00000000-0005-0000-0000-0000FE0C0000}"/>
    <cellStyle name="20 % - Markeringsfarve1 9 2 2 5" xfId="34714" xr:uid="{00000000-0005-0000-0000-0000FF0C0000}"/>
    <cellStyle name="20 % - Markeringsfarve1 9 2 3" xfId="6591" xr:uid="{00000000-0005-0000-0000-0000000D0000}"/>
    <cellStyle name="20 % - Markeringsfarve1 9 2 3 2" xfId="14505" xr:uid="{00000000-0005-0000-0000-0000010D0000}"/>
    <cellStyle name="20 % - Markeringsfarve1 9 2 3 2 2" xfId="30819" xr:uid="{00000000-0005-0000-0000-0000020D0000}"/>
    <cellStyle name="20 % - Markeringsfarve1 9 2 3 2 3" xfId="45783" xr:uid="{00000000-0005-0000-0000-0000030D0000}"/>
    <cellStyle name="20 % - Markeringsfarve1 9 2 3 3" xfId="23797" xr:uid="{00000000-0005-0000-0000-0000040D0000}"/>
    <cellStyle name="20 % - Markeringsfarve1 9 2 3 4" xfId="38784" xr:uid="{00000000-0005-0000-0000-0000050D0000}"/>
    <cellStyle name="20 % - Markeringsfarve1 9 2 4" xfId="10427" xr:uid="{00000000-0005-0000-0000-0000060D0000}"/>
    <cellStyle name="20 % - Markeringsfarve1 9 2 4 2" xfId="26746" xr:uid="{00000000-0005-0000-0000-0000070D0000}"/>
    <cellStyle name="20 % - Markeringsfarve1 9 2 4 3" xfId="41712" xr:uid="{00000000-0005-0000-0000-0000080D0000}"/>
    <cellStyle name="20 % - Markeringsfarve1 9 2 5" xfId="19724" xr:uid="{00000000-0005-0000-0000-0000090D0000}"/>
    <cellStyle name="20 % - Markeringsfarve1 9 2 6" xfId="34713" xr:uid="{00000000-0005-0000-0000-00000A0D0000}"/>
    <cellStyle name="20 % - Markeringsfarve1 9 3" xfId="1872" xr:uid="{00000000-0005-0000-0000-00000B0D0000}"/>
    <cellStyle name="20 % - Markeringsfarve1 9 3 2" xfId="7357" xr:uid="{00000000-0005-0000-0000-00000C0D0000}"/>
    <cellStyle name="20 % - Markeringsfarve1 9 3 2 2" xfId="15267" xr:uid="{00000000-0005-0000-0000-00000D0D0000}"/>
    <cellStyle name="20 % - Markeringsfarve1 9 3 2 2 2" xfId="31581" xr:uid="{00000000-0005-0000-0000-00000E0D0000}"/>
    <cellStyle name="20 % - Markeringsfarve1 9 3 2 2 3" xfId="46545" xr:uid="{00000000-0005-0000-0000-00000F0D0000}"/>
    <cellStyle name="20 % - Markeringsfarve1 9 3 2 3" xfId="24559" xr:uid="{00000000-0005-0000-0000-0000100D0000}"/>
    <cellStyle name="20 % - Markeringsfarve1 9 3 2 4" xfId="39546" xr:uid="{00000000-0005-0000-0000-0000110D0000}"/>
    <cellStyle name="20 % - Markeringsfarve1 9 3 3" xfId="10429" xr:uid="{00000000-0005-0000-0000-0000120D0000}"/>
    <cellStyle name="20 % - Markeringsfarve1 9 3 3 2" xfId="26748" xr:uid="{00000000-0005-0000-0000-0000130D0000}"/>
    <cellStyle name="20 % - Markeringsfarve1 9 3 3 3" xfId="41714" xr:uid="{00000000-0005-0000-0000-0000140D0000}"/>
    <cellStyle name="20 % - Markeringsfarve1 9 3 4" xfId="19726" xr:uid="{00000000-0005-0000-0000-0000150D0000}"/>
    <cellStyle name="20 % - Markeringsfarve1 9 3 5" xfId="34715" xr:uid="{00000000-0005-0000-0000-0000160D0000}"/>
    <cellStyle name="20 % - Markeringsfarve1 9 4" xfId="1873" xr:uid="{00000000-0005-0000-0000-0000170D0000}"/>
    <cellStyle name="20 % - Markeringsfarve1 9 4 2" xfId="8383" xr:uid="{00000000-0005-0000-0000-0000180D0000}"/>
    <cellStyle name="20 % - Markeringsfarve1 9 4 2 2" xfId="16277" xr:uid="{00000000-0005-0000-0000-0000190D0000}"/>
    <cellStyle name="20 % - Markeringsfarve1 9 4 2 2 2" xfId="32591" xr:uid="{00000000-0005-0000-0000-00001A0D0000}"/>
    <cellStyle name="20 % - Markeringsfarve1 9 4 2 2 3" xfId="47555" xr:uid="{00000000-0005-0000-0000-00001B0D0000}"/>
    <cellStyle name="20 % - Markeringsfarve1 9 4 2 3" xfId="25569" xr:uid="{00000000-0005-0000-0000-00001C0D0000}"/>
    <cellStyle name="20 % - Markeringsfarve1 9 4 2 4" xfId="40556" xr:uid="{00000000-0005-0000-0000-00001D0D0000}"/>
    <cellStyle name="20 % - Markeringsfarve1 9 4 3" xfId="10430" xr:uid="{00000000-0005-0000-0000-00001E0D0000}"/>
    <cellStyle name="20 % - Markeringsfarve1 9 4 3 2" xfId="26749" xr:uid="{00000000-0005-0000-0000-00001F0D0000}"/>
    <cellStyle name="20 % - Markeringsfarve1 9 4 3 3" xfId="41715" xr:uid="{00000000-0005-0000-0000-0000200D0000}"/>
    <cellStyle name="20 % - Markeringsfarve1 9 4 4" xfId="19727" xr:uid="{00000000-0005-0000-0000-0000210D0000}"/>
    <cellStyle name="20 % - Markeringsfarve1 9 4 5" xfId="34716" xr:uid="{00000000-0005-0000-0000-0000220D0000}"/>
    <cellStyle name="20 % - Markeringsfarve1 9 5" xfId="5462" xr:uid="{00000000-0005-0000-0000-0000230D0000}"/>
    <cellStyle name="20 % - Markeringsfarve1 9 5 2" xfId="13380" xr:uid="{00000000-0005-0000-0000-0000240D0000}"/>
    <cellStyle name="20 % - Markeringsfarve1 9 5 2 2" xfId="29694" xr:uid="{00000000-0005-0000-0000-0000250D0000}"/>
    <cellStyle name="20 % - Markeringsfarve1 9 5 2 3" xfId="44658" xr:uid="{00000000-0005-0000-0000-0000260D0000}"/>
    <cellStyle name="20 % - Markeringsfarve1 9 5 3" xfId="22672" xr:uid="{00000000-0005-0000-0000-0000270D0000}"/>
    <cellStyle name="20 % - Markeringsfarve1 9 5 4" xfId="37659" xr:uid="{00000000-0005-0000-0000-0000280D0000}"/>
    <cellStyle name="20 % - Markeringsfarve1 9 6" xfId="10426" xr:uid="{00000000-0005-0000-0000-0000290D0000}"/>
    <cellStyle name="20 % - Markeringsfarve1 9 6 2" xfId="26745" xr:uid="{00000000-0005-0000-0000-00002A0D0000}"/>
    <cellStyle name="20 % - Markeringsfarve1 9 6 3" xfId="41711" xr:uid="{00000000-0005-0000-0000-00002B0D0000}"/>
    <cellStyle name="20 % - Markeringsfarve1 9 7" xfId="19723" xr:uid="{00000000-0005-0000-0000-00002C0D0000}"/>
    <cellStyle name="20 % - Markeringsfarve1 9 8" xfId="34712" xr:uid="{00000000-0005-0000-0000-00002D0D0000}"/>
    <cellStyle name="20 % - Markeringsfarve2 10" xfId="1875" xr:uid="{00000000-0005-0000-0000-00002E0D0000}"/>
    <cellStyle name="20 % - Markeringsfarve2 10 2" xfId="1876" xr:uid="{00000000-0005-0000-0000-00002F0D0000}"/>
    <cellStyle name="20 % - Markeringsfarve2 10 2 2" xfId="7490" xr:uid="{00000000-0005-0000-0000-0000300D0000}"/>
    <cellStyle name="20 % - Markeringsfarve2 10 2 2 2" xfId="15391" xr:uid="{00000000-0005-0000-0000-0000310D0000}"/>
    <cellStyle name="20 % - Markeringsfarve2 10 2 2 2 2" xfId="31705" xr:uid="{00000000-0005-0000-0000-0000320D0000}"/>
    <cellStyle name="20 % - Markeringsfarve2 10 2 2 2 3" xfId="46669" xr:uid="{00000000-0005-0000-0000-0000330D0000}"/>
    <cellStyle name="20 % - Markeringsfarve2 10 2 2 3" xfId="24683" xr:uid="{00000000-0005-0000-0000-0000340D0000}"/>
    <cellStyle name="20 % - Markeringsfarve2 10 2 2 4" xfId="39670" xr:uid="{00000000-0005-0000-0000-0000350D0000}"/>
    <cellStyle name="20 % - Markeringsfarve2 10 2 3" xfId="10433" xr:uid="{00000000-0005-0000-0000-0000360D0000}"/>
    <cellStyle name="20 % - Markeringsfarve2 10 2 3 2" xfId="26752" xr:uid="{00000000-0005-0000-0000-0000370D0000}"/>
    <cellStyle name="20 % - Markeringsfarve2 10 2 3 3" xfId="41718" xr:uid="{00000000-0005-0000-0000-0000380D0000}"/>
    <cellStyle name="20 % - Markeringsfarve2 10 2 4" xfId="19730" xr:uid="{00000000-0005-0000-0000-0000390D0000}"/>
    <cellStyle name="20 % - Markeringsfarve2 10 2 5" xfId="34719" xr:uid="{00000000-0005-0000-0000-00003A0D0000}"/>
    <cellStyle name="20 % - Markeringsfarve2 10 3" xfId="1877" xr:uid="{00000000-0005-0000-0000-00003B0D0000}"/>
    <cellStyle name="20 % - Markeringsfarve2 10 3 2" xfId="8335" xr:uid="{00000000-0005-0000-0000-00003C0D0000}"/>
    <cellStyle name="20 % - Markeringsfarve2 10 3 2 2" xfId="16229" xr:uid="{00000000-0005-0000-0000-00003D0D0000}"/>
    <cellStyle name="20 % - Markeringsfarve2 10 3 2 2 2" xfId="32543" xr:uid="{00000000-0005-0000-0000-00003E0D0000}"/>
    <cellStyle name="20 % - Markeringsfarve2 10 3 2 2 3" xfId="47507" xr:uid="{00000000-0005-0000-0000-00003F0D0000}"/>
    <cellStyle name="20 % - Markeringsfarve2 10 3 2 3" xfId="25521" xr:uid="{00000000-0005-0000-0000-0000400D0000}"/>
    <cellStyle name="20 % - Markeringsfarve2 10 3 2 4" xfId="40508" xr:uid="{00000000-0005-0000-0000-0000410D0000}"/>
    <cellStyle name="20 % - Markeringsfarve2 10 3 3" xfId="10434" xr:uid="{00000000-0005-0000-0000-0000420D0000}"/>
    <cellStyle name="20 % - Markeringsfarve2 10 3 3 2" xfId="26753" xr:uid="{00000000-0005-0000-0000-0000430D0000}"/>
    <cellStyle name="20 % - Markeringsfarve2 10 3 3 3" xfId="41719" xr:uid="{00000000-0005-0000-0000-0000440D0000}"/>
    <cellStyle name="20 % - Markeringsfarve2 10 3 4" xfId="19731" xr:uid="{00000000-0005-0000-0000-0000450D0000}"/>
    <cellStyle name="20 % - Markeringsfarve2 10 3 5" xfId="34720" xr:uid="{00000000-0005-0000-0000-0000460D0000}"/>
    <cellStyle name="20 % - Markeringsfarve2 10 4" xfId="5464" xr:uid="{00000000-0005-0000-0000-0000470D0000}"/>
    <cellStyle name="20 % - Markeringsfarve2 10 4 2" xfId="13382" xr:uid="{00000000-0005-0000-0000-0000480D0000}"/>
    <cellStyle name="20 % - Markeringsfarve2 10 4 2 2" xfId="29696" xr:uid="{00000000-0005-0000-0000-0000490D0000}"/>
    <cellStyle name="20 % - Markeringsfarve2 10 4 2 3" xfId="44660" xr:uid="{00000000-0005-0000-0000-00004A0D0000}"/>
    <cellStyle name="20 % - Markeringsfarve2 10 4 3" xfId="22674" xr:uid="{00000000-0005-0000-0000-00004B0D0000}"/>
    <cellStyle name="20 % - Markeringsfarve2 10 4 4" xfId="37661" xr:uid="{00000000-0005-0000-0000-00004C0D0000}"/>
    <cellStyle name="20 % - Markeringsfarve2 10 5" xfId="10432" xr:uid="{00000000-0005-0000-0000-00004D0D0000}"/>
    <cellStyle name="20 % - Markeringsfarve2 10 5 2" xfId="26751" xr:uid="{00000000-0005-0000-0000-00004E0D0000}"/>
    <cellStyle name="20 % - Markeringsfarve2 10 5 3" xfId="41717" xr:uid="{00000000-0005-0000-0000-00004F0D0000}"/>
    <cellStyle name="20 % - Markeringsfarve2 10 6" xfId="19729" xr:uid="{00000000-0005-0000-0000-0000500D0000}"/>
    <cellStyle name="20 % - Markeringsfarve2 10 7" xfId="34718" xr:uid="{00000000-0005-0000-0000-0000510D0000}"/>
    <cellStyle name="20 % - Markeringsfarve2 11" xfId="1878" xr:uid="{00000000-0005-0000-0000-0000520D0000}"/>
    <cellStyle name="20 % - Markeringsfarve2 11 2" xfId="1879" xr:uid="{00000000-0005-0000-0000-0000530D0000}"/>
    <cellStyle name="20 % - Markeringsfarve2 11 2 2" xfId="8660" xr:uid="{00000000-0005-0000-0000-0000540D0000}"/>
    <cellStyle name="20 % - Markeringsfarve2 11 2 2 2" xfId="16543" xr:uid="{00000000-0005-0000-0000-0000550D0000}"/>
    <cellStyle name="20 % - Markeringsfarve2 11 2 2 2 2" xfId="32857" xr:uid="{00000000-0005-0000-0000-0000560D0000}"/>
    <cellStyle name="20 % - Markeringsfarve2 11 2 2 2 3" xfId="47821" xr:uid="{00000000-0005-0000-0000-0000570D0000}"/>
    <cellStyle name="20 % - Markeringsfarve2 11 2 2 3" xfId="25835" xr:uid="{00000000-0005-0000-0000-0000580D0000}"/>
    <cellStyle name="20 % - Markeringsfarve2 11 2 2 4" xfId="40822" xr:uid="{00000000-0005-0000-0000-0000590D0000}"/>
    <cellStyle name="20 % - Markeringsfarve2 11 2 3" xfId="10436" xr:uid="{00000000-0005-0000-0000-00005A0D0000}"/>
    <cellStyle name="20 % - Markeringsfarve2 11 2 3 2" xfId="26755" xr:uid="{00000000-0005-0000-0000-00005B0D0000}"/>
    <cellStyle name="20 % - Markeringsfarve2 11 2 3 3" xfId="41721" xr:uid="{00000000-0005-0000-0000-00005C0D0000}"/>
    <cellStyle name="20 % - Markeringsfarve2 11 2 4" xfId="19733" xr:uid="{00000000-0005-0000-0000-00005D0D0000}"/>
    <cellStyle name="20 % - Markeringsfarve2 11 2 5" xfId="34722" xr:uid="{00000000-0005-0000-0000-00005E0D0000}"/>
    <cellStyle name="20 % - Markeringsfarve2 11 3" xfId="5465" xr:uid="{00000000-0005-0000-0000-00005F0D0000}"/>
    <cellStyle name="20 % - Markeringsfarve2 11 3 2" xfId="13383" xr:uid="{00000000-0005-0000-0000-0000600D0000}"/>
    <cellStyle name="20 % - Markeringsfarve2 11 3 2 2" xfId="29697" xr:uid="{00000000-0005-0000-0000-0000610D0000}"/>
    <cellStyle name="20 % - Markeringsfarve2 11 3 2 3" xfId="44661" xr:uid="{00000000-0005-0000-0000-0000620D0000}"/>
    <cellStyle name="20 % - Markeringsfarve2 11 3 3" xfId="22675" xr:uid="{00000000-0005-0000-0000-0000630D0000}"/>
    <cellStyle name="20 % - Markeringsfarve2 11 3 4" xfId="37662" xr:uid="{00000000-0005-0000-0000-0000640D0000}"/>
    <cellStyle name="20 % - Markeringsfarve2 11 4" xfId="10435" xr:uid="{00000000-0005-0000-0000-0000650D0000}"/>
    <cellStyle name="20 % - Markeringsfarve2 11 4 2" xfId="26754" xr:uid="{00000000-0005-0000-0000-0000660D0000}"/>
    <cellStyle name="20 % - Markeringsfarve2 11 4 3" xfId="41720" xr:uid="{00000000-0005-0000-0000-0000670D0000}"/>
    <cellStyle name="20 % - Markeringsfarve2 11 5" xfId="19732" xr:uid="{00000000-0005-0000-0000-0000680D0000}"/>
    <cellStyle name="20 % - Markeringsfarve2 11 6" xfId="34721" xr:uid="{00000000-0005-0000-0000-0000690D0000}"/>
    <cellStyle name="20 % - Markeringsfarve2 12" xfId="1880" xr:uid="{00000000-0005-0000-0000-00006A0D0000}"/>
    <cellStyle name="20 % - Markeringsfarve2 12 2" xfId="1881" xr:uid="{00000000-0005-0000-0000-00006B0D0000}"/>
    <cellStyle name="20 % - Markeringsfarve2 12 2 2" xfId="8334" xr:uid="{00000000-0005-0000-0000-00006C0D0000}"/>
    <cellStyle name="20 % - Markeringsfarve2 12 2 2 2" xfId="16228" xr:uid="{00000000-0005-0000-0000-00006D0D0000}"/>
    <cellStyle name="20 % - Markeringsfarve2 12 2 2 2 2" xfId="32542" xr:uid="{00000000-0005-0000-0000-00006E0D0000}"/>
    <cellStyle name="20 % - Markeringsfarve2 12 2 2 2 3" xfId="47506" xr:uid="{00000000-0005-0000-0000-00006F0D0000}"/>
    <cellStyle name="20 % - Markeringsfarve2 12 2 2 3" xfId="25520" xr:uid="{00000000-0005-0000-0000-0000700D0000}"/>
    <cellStyle name="20 % - Markeringsfarve2 12 2 2 4" xfId="40507" xr:uid="{00000000-0005-0000-0000-0000710D0000}"/>
    <cellStyle name="20 % - Markeringsfarve2 12 2 3" xfId="10438" xr:uid="{00000000-0005-0000-0000-0000720D0000}"/>
    <cellStyle name="20 % - Markeringsfarve2 12 2 3 2" xfId="26757" xr:uid="{00000000-0005-0000-0000-0000730D0000}"/>
    <cellStyle name="20 % - Markeringsfarve2 12 2 3 3" xfId="41723" xr:uid="{00000000-0005-0000-0000-0000740D0000}"/>
    <cellStyle name="20 % - Markeringsfarve2 12 2 4" xfId="19735" xr:uid="{00000000-0005-0000-0000-0000750D0000}"/>
    <cellStyle name="20 % - Markeringsfarve2 12 2 5" xfId="34724" xr:uid="{00000000-0005-0000-0000-0000760D0000}"/>
    <cellStyle name="20 % - Markeringsfarve2 12 3" xfId="5466" xr:uid="{00000000-0005-0000-0000-0000770D0000}"/>
    <cellStyle name="20 % - Markeringsfarve2 12 3 2" xfId="13384" xr:uid="{00000000-0005-0000-0000-0000780D0000}"/>
    <cellStyle name="20 % - Markeringsfarve2 12 3 2 2" xfId="29698" xr:uid="{00000000-0005-0000-0000-0000790D0000}"/>
    <cellStyle name="20 % - Markeringsfarve2 12 3 2 3" xfId="44662" xr:uid="{00000000-0005-0000-0000-00007A0D0000}"/>
    <cellStyle name="20 % - Markeringsfarve2 12 3 3" xfId="22676" xr:uid="{00000000-0005-0000-0000-00007B0D0000}"/>
    <cellStyle name="20 % - Markeringsfarve2 12 3 4" xfId="37663" xr:uid="{00000000-0005-0000-0000-00007C0D0000}"/>
    <cellStyle name="20 % - Markeringsfarve2 12 4" xfId="10437" xr:uid="{00000000-0005-0000-0000-00007D0D0000}"/>
    <cellStyle name="20 % - Markeringsfarve2 12 4 2" xfId="26756" xr:uid="{00000000-0005-0000-0000-00007E0D0000}"/>
    <cellStyle name="20 % - Markeringsfarve2 12 4 3" xfId="41722" xr:uid="{00000000-0005-0000-0000-00007F0D0000}"/>
    <cellStyle name="20 % - Markeringsfarve2 12 5" xfId="19734" xr:uid="{00000000-0005-0000-0000-0000800D0000}"/>
    <cellStyle name="20 % - Markeringsfarve2 12 6" xfId="34723" xr:uid="{00000000-0005-0000-0000-0000810D0000}"/>
    <cellStyle name="20 % - Markeringsfarve2 13" xfId="1882" xr:uid="{00000000-0005-0000-0000-0000820D0000}"/>
    <cellStyle name="20 % - Markeringsfarve2 13 2" xfId="1883" xr:uid="{00000000-0005-0000-0000-0000830D0000}"/>
    <cellStyle name="20 % - Markeringsfarve2 13 2 2" xfId="8617" xr:uid="{00000000-0005-0000-0000-0000840D0000}"/>
    <cellStyle name="20 % - Markeringsfarve2 13 2 2 2" xfId="16502" xr:uid="{00000000-0005-0000-0000-0000850D0000}"/>
    <cellStyle name="20 % - Markeringsfarve2 13 2 2 2 2" xfId="32816" xr:uid="{00000000-0005-0000-0000-0000860D0000}"/>
    <cellStyle name="20 % - Markeringsfarve2 13 2 2 2 3" xfId="47780" xr:uid="{00000000-0005-0000-0000-0000870D0000}"/>
    <cellStyle name="20 % - Markeringsfarve2 13 2 2 3" xfId="25794" xr:uid="{00000000-0005-0000-0000-0000880D0000}"/>
    <cellStyle name="20 % - Markeringsfarve2 13 2 2 4" xfId="40781" xr:uid="{00000000-0005-0000-0000-0000890D0000}"/>
    <cellStyle name="20 % - Markeringsfarve2 13 2 3" xfId="10440" xr:uid="{00000000-0005-0000-0000-00008A0D0000}"/>
    <cellStyle name="20 % - Markeringsfarve2 13 2 3 2" xfId="26759" xr:uid="{00000000-0005-0000-0000-00008B0D0000}"/>
    <cellStyle name="20 % - Markeringsfarve2 13 2 3 3" xfId="41725" xr:uid="{00000000-0005-0000-0000-00008C0D0000}"/>
    <cellStyle name="20 % - Markeringsfarve2 13 2 4" xfId="19737" xr:uid="{00000000-0005-0000-0000-00008D0D0000}"/>
    <cellStyle name="20 % - Markeringsfarve2 13 2 5" xfId="34726" xr:uid="{00000000-0005-0000-0000-00008E0D0000}"/>
    <cellStyle name="20 % - Markeringsfarve2 13 3" xfId="5463" xr:uid="{00000000-0005-0000-0000-00008F0D0000}"/>
    <cellStyle name="20 % - Markeringsfarve2 13 3 2" xfId="13381" xr:uid="{00000000-0005-0000-0000-0000900D0000}"/>
    <cellStyle name="20 % - Markeringsfarve2 13 3 2 2" xfId="29695" xr:uid="{00000000-0005-0000-0000-0000910D0000}"/>
    <cellStyle name="20 % - Markeringsfarve2 13 3 2 3" xfId="44659" xr:uid="{00000000-0005-0000-0000-0000920D0000}"/>
    <cellStyle name="20 % - Markeringsfarve2 13 3 3" xfId="22673" xr:uid="{00000000-0005-0000-0000-0000930D0000}"/>
    <cellStyle name="20 % - Markeringsfarve2 13 3 4" xfId="37660" xr:uid="{00000000-0005-0000-0000-0000940D0000}"/>
    <cellStyle name="20 % - Markeringsfarve2 13 4" xfId="10439" xr:uid="{00000000-0005-0000-0000-0000950D0000}"/>
    <cellStyle name="20 % - Markeringsfarve2 13 4 2" xfId="26758" xr:uid="{00000000-0005-0000-0000-0000960D0000}"/>
    <cellStyle name="20 % - Markeringsfarve2 13 4 3" xfId="41724" xr:uid="{00000000-0005-0000-0000-0000970D0000}"/>
    <cellStyle name="20 % - Markeringsfarve2 13 5" xfId="19736" xr:uid="{00000000-0005-0000-0000-0000980D0000}"/>
    <cellStyle name="20 % - Markeringsfarve2 13 6" xfId="34725" xr:uid="{00000000-0005-0000-0000-0000990D0000}"/>
    <cellStyle name="20 % - Markeringsfarve2 14" xfId="1884" xr:uid="{00000000-0005-0000-0000-00009A0D0000}"/>
    <cellStyle name="20 % - Markeringsfarve2 14 2" xfId="6712" xr:uid="{00000000-0005-0000-0000-00009B0D0000}"/>
    <cellStyle name="20 % - Markeringsfarve2 14 2 2" xfId="14625" xr:uid="{00000000-0005-0000-0000-00009C0D0000}"/>
    <cellStyle name="20 % - Markeringsfarve2 14 2 2 2" xfId="30939" xr:uid="{00000000-0005-0000-0000-00009D0D0000}"/>
    <cellStyle name="20 % - Markeringsfarve2 14 2 2 3" xfId="45903" xr:uid="{00000000-0005-0000-0000-00009E0D0000}"/>
    <cellStyle name="20 % - Markeringsfarve2 14 2 3" xfId="23917" xr:uid="{00000000-0005-0000-0000-00009F0D0000}"/>
    <cellStyle name="20 % - Markeringsfarve2 14 2 4" xfId="38904" xr:uid="{00000000-0005-0000-0000-0000A00D0000}"/>
    <cellStyle name="20 % - Markeringsfarve2 14 3" xfId="10441" xr:uid="{00000000-0005-0000-0000-0000A10D0000}"/>
    <cellStyle name="20 % - Markeringsfarve2 14 3 2" xfId="26760" xr:uid="{00000000-0005-0000-0000-0000A20D0000}"/>
    <cellStyle name="20 % - Markeringsfarve2 14 3 3" xfId="41726" xr:uid="{00000000-0005-0000-0000-0000A30D0000}"/>
    <cellStyle name="20 % - Markeringsfarve2 14 4" xfId="19738" xr:uid="{00000000-0005-0000-0000-0000A40D0000}"/>
    <cellStyle name="20 % - Markeringsfarve2 14 5" xfId="34727" xr:uid="{00000000-0005-0000-0000-0000A50D0000}"/>
    <cellStyle name="20 % - Markeringsfarve2 15" xfId="1885" xr:uid="{00000000-0005-0000-0000-0000A60D0000}"/>
    <cellStyle name="20 % - Markeringsfarve2 15 2" xfId="8474" xr:uid="{00000000-0005-0000-0000-0000A70D0000}"/>
    <cellStyle name="20 % - Markeringsfarve2 15 2 2" xfId="16364" xr:uid="{00000000-0005-0000-0000-0000A80D0000}"/>
    <cellStyle name="20 % - Markeringsfarve2 15 2 2 2" xfId="32678" xr:uid="{00000000-0005-0000-0000-0000A90D0000}"/>
    <cellStyle name="20 % - Markeringsfarve2 15 2 2 3" xfId="47642" xr:uid="{00000000-0005-0000-0000-0000AA0D0000}"/>
    <cellStyle name="20 % - Markeringsfarve2 15 2 3" xfId="25656" xr:uid="{00000000-0005-0000-0000-0000AB0D0000}"/>
    <cellStyle name="20 % - Markeringsfarve2 15 2 4" xfId="40643" xr:uid="{00000000-0005-0000-0000-0000AC0D0000}"/>
    <cellStyle name="20 % - Markeringsfarve2 15 3" xfId="10442" xr:uid="{00000000-0005-0000-0000-0000AD0D0000}"/>
    <cellStyle name="20 % - Markeringsfarve2 15 3 2" xfId="26761" xr:uid="{00000000-0005-0000-0000-0000AE0D0000}"/>
    <cellStyle name="20 % - Markeringsfarve2 15 3 3" xfId="41727" xr:uid="{00000000-0005-0000-0000-0000AF0D0000}"/>
    <cellStyle name="20 % - Markeringsfarve2 15 4" xfId="19739" xr:uid="{00000000-0005-0000-0000-0000B00D0000}"/>
    <cellStyle name="20 % - Markeringsfarve2 15 5" xfId="34728" xr:uid="{00000000-0005-0000-0000-0000B10D0000}"/>
    <cellStyle name="20 % - Markeringsfarve2 16" xfId="1886" xr:uid="{00000000-0005-0000-0000-0000B20D0000}"/>
    <cellStyle name="20 % - Markeringsfarve2 16 2" xfId="8330" xr:uid="{00000000-0005-0000-0000-0000B30D0000}"/>
    <cellStyle name="20 % - Markeringsfarve2 16 2 2" xfId="16224" xr:uid="{00000000-0005-0000-0000-0000B40D0000}"/>
    <cellStyle name="20 % - Markeringsfarve2 16 2 2 2" xfId="32538" xr:uid="{00000000-0005-0000-0000-0000B50D0000}"/>
    <cellStyle name="20 % - Markeringsfarve2 16 2 2 3" xfId="47502" xr:uid="{00000000-0005-0000-0000-0000B60D0000}"/>
    <cellStyle name="20 % - Markeringsfarve2 16 2 3" xfId="25516" xr:uid="{00000000-0005-0000-0000-0000B70D0000}"/>
    <cellStyle name="20 % - Markeringsfarve2 16 2 4" xfId="40503" xr:uid="{00000000-0005-0000-0000-0000B80D0000}"/>
    <cellStyle name="20 % - Markeringsfarve2 16 3" xfId="10443" xr:uid="{00000000-0005-0000-0000-0000B90D0000}"/>
    <cellStyle name="20 % - Markeringsfarve2 16 3 2" xfId="26762" xr:uid="{00000000-0005-0000-0000-0000BA0D0000}"/>
    <cellStyle name="20 % - Markeringsfarve2 16 3 3" xfId="41728" xr:uid="{00000000-0005-0000-0000-0000BB0D0000}"/>
    <cellStyle name="20 % - Markeringsfarve2 16 4" xfId="19740" xr:uid="{00000000-0005-0000-0000-0000BC0D0000}"/>
    <cellStyle name="20 % - Markeringsfarve2 16 5" xfId="34729" xr:uid="{00000000-0005-0000-0000-0000BD0D0000}"/>
    <cellStyle name="20 % - Markeringsfarve2 17" xfId="5388" xr:uid="{00000000-0005-0000-0000-0000BE0D0000}"/>
    <cellStyle name="20 % - Markeringsfarve2 17 2" xfId="13314" xr:uid="{00000000-0005-0000-0000-0000BF0D0000}"/>
    <cellStyle name="20 % - Markeringsfarve2 17 2 2" xfId="29628" xr:uid="{00000000-0005-0000-0000-0000C00D0000}"/>
    <cellStyle name="20 % - Markeringsfarve2 17 2 3" xfId="44592" xr:uid="{00000000-0005-0000-0000-0000C10D0000}"/>
    <cellStyle name="20 % - Markeringsfarve2 17 3" xfId="22606" xr:uid="{00000000-0005-0000-0000-0000C20D0000}"/>
    <cellStyle name="20 % - Markeringsfarve2 17 4" xfId="37593" xr:uid="{00000000-0005-0000-0000-0000C30D0000}"/>
    <cellStyle name="20 % - Markeringsfarve2 18" xfId="1874" xr:uid="{00000000-0005-0000-0000-0000C40D0000}"/>
    <cellStyle name="20 % - Markeringsfarve2 18 2" xfId="10431" xr:uid="{00000000-0005-0000-0000-0000C50D0000}"/>
    <cellStyle name="20 % - Markeringsfarve2 18 2 2" xfId="26750" xr:uid="{00000000-0005-0000-0000-0000C60D0000}"/>
    <cellStyle name="20 % - Markeringsfarve2 18 2 3" xfId="41716" xr:uid="{00000000-0005-0000-0000-0000C70D0000}"/>
    <cellStyle name="20 % - Markeringsfarve2 18 3" xfId="19728" xr:uid="{00000000-0005-0000-0000-0000C80D0000}"/>
    <cellStyle name="20 % - Markeringsfarve2 18 4" xfId="34717" xr:uid="{00000000-0005-0000-0000-0000C90D0000}"/>
    <cellStyle name="20 % - Markeringsfarve2 2" xfId="1887" xr:uid="{00000000-0005-0000-0000-0000CA0D0000}"/>
    <cellStyle name="20 % - Markeringsfarve2 2 10" xfId="1888" xr:uid="{00000000-0005-0000-0000-0000CB0D0000}"/>
    <cellStyle name="20 % - Markeringsfarve2 2 10 2" xfId="6744" xr:uid="{00000000-0005-0000-0000-0000CC0D0000}"/>
    <cellStyle name="20 % - Markeringsfarve2 2 10 2 2" xfId="14655" xr:uid="{00000000-0005-0000-0000-0000CD0D0000}"/>
    <cellStyle name="20 % - Markeringsfarve2 2 10 2 2 2" xfId="30969" xr:uid="{00000000-0005-0000-0000-0000CE0D0000}"/>
    <cellStyle name="20 % - Markeringsfarve2 2 10 2 2 3" xfId="45933" xr:uid="{00000000-0005-0000-0000-0000CF0D0000}"/>
    <cellStyle name="20 % - Markeringsfarve2 2 10 2 3" xfId="23947" xr:uid="{00000000-0005-0000-0000-0000D00D0000}"/>
    <cellStyle name="20 % - Markeringsfarve2 2 10 2 4" xfId="38934" xr:uid="{00000000-0005-0000-0000-0000D10D0000}"/>
    <cellStyle name="20 % - Markeringsfarve2 2 10 3" xfId="10445" xr:uid="{00000000-0005-0000-0000-0000D20D0000}"/>
    <cellStyle name="20 % - Markeringsfarve2 2 10 3 2" xfId="26764" xr:uid="{00000000-0005-0000-0000-0000D30D0000}"/>
    <cellStyle name="20 % - Markeringsfarve2 2 10 3 3" xfId="41730" xr:uid="{00000000-0005-0000-0000-0000D40D0000}"/>
    <cellStyle name="20 % - Markeringsfarve2 2 10 4" xfId="19742" xr:uid="{00000000-0005-0000-0000-0000D50D0000}"/>
    <cellStyle name="20 % - Markeringsfarve2 2 10 5" xfId="34731" xr:uid="{00000000-0005-0000-0000-0000D60D0000}"/>
    <cellStyle name="20 % - Markeringsfarve2 2 11" xfId="1889" xr:uid="{00000000-0005-0000-0000-0000D70D0000}"/>
    <cellStyle name="20 % - Markeringsfarve2 2 11 2" xfId="8333" xr:uid="{00000000-0005-0000-0000-0000D80D0000}"/>
    <cellStyle name="20 % - Markeringsfarve2 2 11 2 2" xfId="16227" xr:uid="{00000000-0005-0000-0000-0000D90D0000}"/>
    <cellStyle name="20 % - Markeringsfarve2 2 11 2 2 2" xfId="32541" xr:uid="{00000000-0005-0000-0000-0000DA0D0000}"/>
    <cellStyle name="20 % - Markeringsfarve2 2 11 2 2 3" xfId="47505" xr:uid="{00000000-0005-0000-0000-0000DB0D0000}"/>
    <cellStyle name="20 % - Markeringsfarve2 2 11 2 3" xfId="25519" xr:uid="{00000000-0005-0000-0000-0000DC0D0000}"/>
    <cellStyle name="20 % - Markeringsfarve2 2 11 2 4" xfId="40506" xr:uid="{00000000-0005-0000-0000-0000DD0D0000}"/>
    <cellStyle name="20 % - Markeringsfarve2 2 11 3" xfId="10446" xr:uid="{00000000-0005-0000-0000-0000DE0D0000}"/>
    <cellStyle name="20 % - Markeringsfarve2 2 11 3 2" xfId="26765" xr:uid="{00000000-0005-0000-0000-0000DF0D0000}"/>
    <cellStyle name="20 % - Markeringsfarve2 2 11 3 3" xfId="41731" xr:uid="{00000000-0005-0000-0000-0000E00D0000}"/>
    <cellStyle name="20 % - Markeringsfarve2 2 11 4" xfId="19743" xr:uid="{00000000-0005-0000-0000-0000E10D0000}"/>
    <cellStyle name="20 % - Markeringsfarve2 2 11 5" xfId="34732" xr:uid="{00000000-0005-0000-0000-0000E20D0000}"/>
    <cellStyle name="20 % - Markeringsfarve2 2 12" xfId="5467" xr:uid="{00000000-0005-0000-0000-0000E30D0000}"/>
    <cellStyle name="20 % - Markeringsfarve2 2 12 2" xfId="13385" xr:uid="{00000000-0005-0000-0000-0000E40D0000}"/>
    <cellStyle name="20 % - Markeringsfarve2 2 12 2 2" xfId="29699" xr:uid="{00000000-0005-0000-0000-0000E50D0000}"/>
    <cellStyle name="20 % - Markeringsfarve2 2 12 2 3" xfId="44663" xr:uid="{00000000-0005-0000-0000-0000E60D0000}"/>
    <cellStyle name="20 % - Markeringsfarve2 2 12 3" xfId="22677" xr:uid="{00000000-0005-0000-0000-0000E70D0000}"/>
    <cellStyle name="20 % - Markeringsfarve2 2 12 4" xfId="37664" xr:uid="{00000000-0005-0000-0000-0000E80D0000}"/>
    <cellStyle name="20 % - Markeringsfarve2 2 13" xfId="10444" xr:uid="{00000000-0005-0000-0000-0000E90D0000}"/>
    <cellStyle name="20 % - Markeringsfarve2 2 13 2" xfId="26763" xr:uid="{00000000-0005-0000-0000-0000EA0D0000}"/>
    <cellStyle name="20 % - Markeringsfarve2 2 13 3" xfId="41729" xr:uid="{00000000-0005-0000-0000-0000EB0D0000}"/>
    <cellStyle name="20 % - Markeringsfarve2 2 14" xfId="19741" xr:uid="{00000000-0005-0000-0000-0000EC0D0000}"/>
    <cellStyle name="20 % - Markeringsfarve2 2 15" xfId="34730" xr:uid="{00000000-0005-0000-0000-0000ED0D0000}"/>
    <cellStyle name="20 % - Markeringsfarve2 2 16" xfId="53374" xr:uid="{00000000-0005-0000-0000-0000EE0D0000}"/>
    <cellStyle name="20 % - Markeringsfarve2 2 2" xfId="1890" xr:uid="{00000000-0005-0000-0000-0000EF0D0000}"/>
    <cellStyle name="20 % - Markeringsfarve2 2 2 10" xfId="5468" xr:uid="{00000000-0005-0000-0000-0000F00D0000}"/>
    <cellStyle name="20 % - Markeringsfarve2 2 2 10 2" xfId="13386" xr:uid="{00000000-0005-0000-0000-0000F10D0000}"/>
    <cellStyle name="20 % - Markeringsfarve2 2 2 10 2 2" xfId="29700" xr:uid="{00000000-0005-0000-0000-0000F20D0000}"/>
    <cellStyle name="20 % - Markeringsfarve2 2 2 10 2 3" xfId="44664" xr:uid="{00000000-0005-0000-0000-0000F30D0000}"/>
    <cellStyle name="20 % - Markeringsfarve2 2 2 10 3" xfId="22678" xr:uid="{00000000-0005-0000-0000-0000F40D0000}"/>
    <cellStyle name="20 % - Markeringsfarve2 2 2 10 4" xfId="37665" xr:uid="{00000000-0005-0000-0000-0000F50D0000}"/>
    <cellStyle name="20 % - Markeringsfarve2 2 2 11" xfId="10447" xr:uid="{00000000-0005-0000-0000-0000F60D0000}"/>
    <cellStyle name="20 % - Markeringsfarve2 2 2 11 2" xfId="26766" xr:uid="{00000000-0005-0000-0000-0000F70D0000}"/>
    <cellStyle name="20 % - Markeringsfarve2 2 2 11 3" xfId="41732" xr:uid="{00000000-0005-0000-0000-0000F80D0000}"/>
    <cellStyle name="20 % - Markeringsfarve2 2 2 12" xfId="19744" xr:uid="{00000000-0005-0000-0000-0000F90D0000}"/>
    <cellStyle name="20 % - Markeringsfarve2 2 2 13" xfId="34733" xr:uid="{00000000-0005-0000-0000-0000FA0D0000}"/>
    <cellStyle name="20 % - Markeringsfarve2 2 2 14" xfId="53323" xr:uid="{00000000-0005-0000-0000-0000FB0D0000}"/>
    <cellStyle name="20 % - Markeringsfarve2 2 2 2" xfId="1891" xr:uid="{00000000-0005-0000-0000-0000FC0D0000}"/>
    <cellStyle name="20 % - Markeringsfarve2 2 2 2 2" xfId="1892" xr:uid="{00000000-0005-0000-0000-0000FD0D0000}"/>
    <cellStyle name="20 % - Markeringsfarve2 2 2 2 2 2" xfId="1893" xr:uid="{00000000-0005-0000-0000-0000FE0D0000}"/>
    <cellStyle name="20 % - Markeringsfarve2 2 2 2 2 2 2" xfId="7675" xr:uid="{00000000-0005-0000-0000-0000FF0D0000}"/>
    <cellStyle name="20 % - Markeringsfarve2 2 2 2 2 2 2 2" xfId="15576" xr:uid="{00000000-0005-0000-0000-0000000E0000}"/>
    <cellStyle name="20 % - Markeringsfarve2 2 2 2 2 2 2 2 2" xfId="31890" xr:uid="{00000000-0005-0000-0000-0000010E0000}"/>
    <cellStyle name="20 % - Markeringsfarve2 2 2 2 2 2 2 2 3" xfId="46854" xr:uid="{00000000-0005-0000-0000-0000020E0000}"/>
    <cellStyle name="20 % - Markeringsfarve2 2 2 2 2 2 2 3" xfId="24868" xr:uid="{00000000-0005-0000-0000-0000030E0000}"/>
    <cellStyle name="20 % - Markeringsfarve2 2 2 2 2 2 2 4" xfId="39855" xr:uid="{00000000-0005-0000-0000-0000040E0000}"/>
    <cellStyle name="20 % - Markeringsfarve2 2 2 2 2 2 3" xfId="10450" xr:uid="{00000000-0005-0000-0000-0000050E0000}"/>
    <cellStyle name="20 % - Markeringsfarve2 2 2 2 2 2 3 2" xfId="26769" xr:uid="{00000000-0005-0000-0000-0000060E0000}"/>
    <cellStyle name="20 % - Markeringsfarve2 2 2 2 2 2 3 3" xfId="41735" xr:uid="{00000000-0005-0000-0000-0000070E0000}"/>
    <cellStyle name="20 % - Markeringsfarve2 2 2 2 2 2 4" xfId="19747" xr:uid="{00000000-0005-0000-0000-0000080E0000}"/>
    <cellStyle name="20 % - Markeringsfarve2 2 2 2 2 2 5" xfId="34736" xr:uid="{00000000-0005-0000-0000-0000090E0000}"/>
    <cellStyle name="20 % - Markeringsfarve2 2 2 2 2 3" xfId="6248" xr:uid="{00000000-0005-0000-0000-00000A0E0000}"/>
    <cellStyle name="20 % - Markeringsfarve2 2 2 2 2 3 2" xfId="14165" xr:uid="{00000000-0005-0000-0000-00000B0E0000}"/>
    <cellStyle name="20 % - Markeringsfarve2 2 2 2 2 3 2 2" xfId="30479" xr:uid="{00000000-0005-0000-0000-00000C0E0000}"/>
    <cellStyle name="20 % - Markeringsfarve2 2 2 2 2 3 2 3" xfId="45443" xr:uid="{00000000-0005-0000-0000-00000D0E0000}"/>
    <cellStyle name="20 % - Markeringsfarve2 2 2 2 2 3 3" xfId="23457" xr:uid="{00000000-0005-0000-0000-00000E0E0000}"/>
    <cellStyle name="20 % - Markeringsfarve2 2 2 2 2 3 4" xfId="38444" xr:uid="{00000000-0005-0000-0000-00000F0E0000}"/>
    <cellStyle name="20 % - Markeringsfarve2 2 2 2 2 4" xfId="10449" xr:uid="{00000000-0005-0000-0000-0000100E0000}"/>
    <cellStyle name="20 % - Markeringsfarve2 2 2 2 2 4 2" xfId="26768" xr:uid="{00000000-0005-0000-0000-0000110E0000}"/>
    <cellStyle name="20 % - Markeringsfarve2 2 2 2 2 4 3" xfId="41734" xr:uid="{00000000-0005-0000-0000-0000120E0000}"/>
    <cellStyle name="20 % - Markeringsfarve2 2 2 2 2 5" xfId="19746" xr:uid="{00000000-0005-0000-0000-0000130E0000}"/>
    <cellStyle name="20 % - Markeringsfarve2 2 2 2 2 6" xfId="34735" xr:uid="{00000000-0005-0000-0000-0000140E0000}"/>
    <cellStyle name="20 % - Markeringsfarve2 2 2 2 2 7" xfId="57127" xr:uid="{00000000-0005-0000-0000-0000150E0000}"/>
    <cellStyle name="20 % - Markeringsfarve2 2 2 2 3" xfId="1894" xr:uid="{00000000-0005-0000-0000-0000160E0000}"/>
    <cellStyle name="20 % - Markeringsfarve2 2 2 2 3 2" xfId="6905" xr:uid="{00000000-0005-0000-0000-0000170E0000}"/>
    <cellStyle name="20 % - Markeringsfarve2 2 2 2 3 2 2" xfId="14816" xr:uid="{00000000-0005-0000-0000-0000180E0000}"/>
    <cellStyle name="20 % - Markeringsfarve2 2 2 2 3 2 2 2" xfId="31130" xr:uid="{00000000-0005-0000-0000-0000190E0000}"/>
    <cellStyle name="20 % - Markeringsfarve2 2 2 2 3 2 2 3" xfId="46094" xr:uid="{00000000-0005-0000-0000-00001A0E0000}"/>
    <cellStyle name="20 % - Markeringsfarve2 2 2 2 3 2 3" xfId="24108" xr:uid="{00000000-0005-0000-0000-00001B0E0000}"/>
    <cellStyle name="20 % - Markeringsfarve2 2 2 2 3 2 4" xfId="39095" xr:uid="{00000000-0005-0000-0000-00001C0E0000}"/>
    <cellStyle name="20 % - Markeringsfarve2 2 2 2 3 3" xfId="10451" xr:uid="{00000000-0005-0000-0000-00001D0E0000}"/>
    <cellStyle name="20 % - Markeringsfarve2 2 2 2 3 3 2" xfId="26770" xr:uid="{00000000-0005-0000-0000-00001E0E0000}"/>
    <cellStyle name="20 % - Markeringsfarve2 2 2 2 3 3 3" xfId="41736" xr:uid="{00000000-0005-0000-0000-00001F0E0000}"/>
    <cellStyle name="20 % - Markeringsfarve2 2 2 2 3 4" xfId="19748" xr:uid="{00000000-0005-0000-0000-0000200E0000}"/>
    <cellStyle name="20 % - Markeringsfarve2 2 2 2 3 5" xfId="34737" xr:uid="{00000000-0005-0000-0000-0000210E0000}"/>
    <cellStyle name="20 % - Markeringsfarve2 2 2 2 4" xfId="1895" xr:uid="{00000000-0005-0000-0000-0000220E0000}"/>
    <cellStyle name="20 % - Markeringsfarve2 2 2 2 4 2" xfId="8331" xr:uid="{00000000-0005-0000-0000-0000230E0000}"/>
    <cellStyle name="20 % - Markeringsfarve2 2 2 2 4 2 2" xfId="16225" xr:uid="{00000000-0005-0000-0000-0000240E0000}"/>
    <cellStyle name="20 % - Markeringsfarve2 2 2 2 4 2 2 2" xfId="32539" xr:uid="{00000000-0005-0000-0000-0000250E0000}"/>
    <cellStyle name="20 % - Markeringsfarve2 2 2 2 4 2 2 3" xfId="47503" xr:uid="{00000000-0005-0000-0000-0000260E0000}"/>
    <cellStyle name="20 % - Markeringsfarve2 2 2 2 4 2 3" xfId="25517" xr:uid="{00000000-0005-0000-0000-0000270E0000}"/>
    <cellStyle name="20 % - Markeringsfarve2 2 2 2 4 2 4" xfId="40504" xr:uid="{00000000-0005-0000-0000-0000280E0000}"/>
    <cellStyle name="20 % - Markeringsfarve2 2 2 2 4 3" xfId="10452" xr:uid="{00000000-0005-0000-0000-0000290E0000}"/>
    <cellStyle name="20 % - Markeringsfarve2 2 2 2 4 3 2" xfId="26771" xr:uid="{00000000-0005-0000-0000-00002A0E0000}"/>
    <cellStyle name="20 % - Markeringsfarve2 2 2 2 4 3 3" xfId="41737" xr:uid="{00000000-0005-0000-0000-00002B0E0000}"/>
    <cellStyle name="20 % - Markeringsfarve2 2 2 2 4 4" xfId="19749" xr:uid="{00000000-0005-0000-0000-00002C0E0000}"/>
    <cellStyle name="20 % - Markeringsfarve2 2 2 2 4 5" xfId="34738" xr:uid="{00000000-0005-0000-0000-00002D0E0000}"/>
    <cellStyle name="20 % - Markeringsfarve2 2 2 2 5" xfId="5469" xr:uid="{00000000-0005-0000-0000-00002E0E0000}"/>
    <cellStyle name="20 % - Markeringsfarve2 2 2 2 5 2" xfId="13387" xr:uid="{00000000-0005-0000-0000-00002F0E0000}"/>
    <cellStyle name="20 % - Markeringsfarve2 2 2 2 5 2 2" xfId="29701" xr:uid="{00000000-0005-0000-0000-0000300E0000}"/>
    <cellStyle name="20 % - Markeringsfarve2 2 2 2 5 2 3" xfId="44665" xr:uid="{00000000-0005-0000-0000-0000310E0000}"/>
    <cellStyle name="20 % - Markeringsfarve2 2 2 2 5 3" xfId="22679" xr:uid="{00000000-0005-0000-0000-0000320E0000}"/>
    <cellStyle name="20 % - Markeringsfarve2 2 2 2 5 4" xfId="37666" xr:uid="{00000000-0005-0000-0000-0000330E0000}"/>
    <cellStyle name="20 % - Markeringsfarve2 2 2 2 6" xfId="10448" xr:uid="{00000000-0005-0000-0000-0000340E0000}"/>
    <cellStyle name="20 % - Markeringsfarve2 2 2 2 6 2" xfId="26767" xr:uid="{00000000-0005-0000-0000-0000350E0000}"/>
    <cellStyle name="20 % - Markeringsfarve2 2 2 2 6 3" xfId="41733" xr:uid="{00000000-0005-0000-0000-0000360E0000}"/>
    <cellStyle name="20 % - Markeringsfarve2 2 2 2 7" xfId="19745" xr:uid="{00000000-0005-0000-0000-0000370E0000}"/>
    <cellStyle name="20 % - Markeringsfarve2 2 2 2 8" xfId="34734" xr:uid="{00000000-0005-0000-0000-0000380E0000}"/>
    <cellStyle name="20 % - Markeringsfarve2 2 2 2 9" xfId="53960" xr:uid="{00000000-0005-0000-0000-0000390E0000}"/>
    <cellStyle name="20 % - Markeringsfarve2 2 2 3" xfId="1896" xr:uid="{00000000-0005-0000-0000-00003A0E0000}"/>
    <cellStyle name="20 % - Markeringsfarve2 2 2 3 2" xfId="1897" xr:uid="{00000000-0005-0000-0000-00003B0E0000}"/>
    <cellStyle name="20 % - Markeringsfarve2 2 2 3 2 2" xfId="1898" xr:uid="{00000000-0005-0000-0000-00003C0E0000}"/>
    <cellStyle name="20 % - Markeringsfarve2 2 2 3 2 2 2" xfId="7736" xr:uid="{00000000-0005-0000-0000-00003D0E0000}"/>
    <cellStyle name="20 % - Markeringsfarve2 2 2 3 2 2 2 2" xfId="15637" xr:uid="{00000000-0005-0000-0000-00003E0E0000}"/>
    <cellStyle name="20 % - Markeringsfarve2 2 2 3 2 2 2 2 2" xfId="31951" xr:uid="{00000000-0005-0000-0000-00003F0E0000}"/>
    <cellStyle name="20 % - Markeringsfarve2 2 2 3 2 2 2 2 3" xfId="46915" xr:uid="{00000000-0005-0000-0000-0000400E0000}"/>
    <cellStyle name="20 % - Markeringsfarve2 2 2 3 2 2 2 3" xfId="24929" xr:uid="{00000000-0005-0000-0000-0000410E0000}"/>
    <cellStyle name="20 % - Markeringsfarve2 2 2 3 2 2 2 4" xfId="39916" xr:uid="{00000000-0005-0000-0000-0000420E0000}"/>
    <cellStyle name="20 % - Markeringsfarve2 2 2 3 2 2 3" xfId="10455" xr:uid="{00000000-0005-0000-0000-0000430E0000}"/>
    <cellStyle name="20 % - Markeringsfarve2 2 2 3 2 2 3 2" xfId="26774" xr:uid="{00000000-0005-0000-0000-0000440E0000}"/>
    <cellStyle name="20 % - Markeringsfarve2 2 2 3 2 2 3 3" xfId="41740" xr:uid="{00000000-0005-0000-0000-0000450E0000}"/>
    <cellStyle name="20 % - Markeringsfarve2 2 2 3 2 2 4" xfId="19752" xr:uid="{00000000-0005-0000-0000-0000460E0000}"/>
    <cellStyle name="20 % - Markeringsfarve2 2 2 3 2 2 5" xfId="34741" xr:uid="{00000000-0005-0000-0000-0000470E0000}"/>
    <cellStyle name="20 % - Markeringsfarve2 2 2 3 2 3" xfId="6300" xr:uid="{00000000-0005-0000-0000-0000480E0000}"/>
    <cellStyle name="20 % - Markeringsfarve2 2 2 3 2 3 2" xfId="14217" xr:uid="{00000000-0005-0000-0000-0000490E0000}"/>
    <cellStyle name="20 % - Markeringsfarve2 2 2 3 2 3 2 2" xfId="30531" xr:uid="{00000000-0005-0000-0000-00004A0E0000}"/>
    <cellStyle name="20 % - Markeringsfarve2 2 2 3 2 3 2 3" xfId="45495" xr:uid="{00000000-0005-0000-0000-00004B0E0000}"/>
    <cellStyle name="20 % - Markeringsfarve2 2 2 3 2 3 3" xfId="23509" xr:uid="{00000000-0005-0000-0000-00004C0E0000}"/>
    <cellStyle name="20 % - Markeringsfarve2 2 2 3 2 3 4" xfId="38496" xr:uid="{00000000-0005-0000-0000-00004D0E0000}"/>
    <cellStyle name="20 % - Markeringsfarve2 2 2 3 2 4" xfId="10454" xr:uid="{00000000-0005-0000-0000-00004E0E0000}"/>
    <cellStyle name="20 % - Markeringsfarve2 2 2 3 2 4 2" xfId="26773" xr:uid="{00000000-0005-0000-0000-00004F0E0000}"/>
    <cellStyle name="20 % - Markeringsfarve2 2 2 3 2 4 3" xfId="41739" xr:uid="{00000000-0005-0000-0000-0000500E0000}"/>
    <cellStyle name="20 % - Markeringsfarve2 2 2 3 2 5" xfId="19751" xr:uid="{00000000-0005-0000-0000-0000510E0000}"/>
    <cellStyle name="20 % - Markeringsfarve2 2 2 3 2 6" xfId="34740" xr:uid="{00000000-0005-0000-0000-0000520E0000}"/>
    <cellStyle name="20 % - Markeringsfarve2 2 2 3 3" xfId="1899" xr:uid="{00000000-0005-0000-0000-0000530E0000}"/>
    <cellStyle name="20 % - Markeringsfarve2 2 2 3 3 2" xfId="6966" xr:uid="{00000000-0005-0000-0000-0000540E0000}"/>
    <cellStyle name="20 % - Markeringsfarve2 2 2 3 3 2 2" xfId="14877" xr:uid="{00000000-0005-0000-0000-0000550E0000}"/>
    <cellStyle name="20 % - Markeringsfarve2 2 2 3 3 2 2 2" xfId="31191" xr:uid="{00000000-0005-0000-0000-0000560E0000}"/>
    <cellStyle name="20 % - Markeringsfarve2 2 2 3 3 2 2 3" xfId="46155" xr:uid="{00000000-0005-0000-0000-0000570E0000}"/>
    <cellStyle name="20 % - Markeringsfarve2 2 2 3 3 2 3" xfId="24169" xr:uid="{00000000-0005-0000-0000-0000580E0000}"/>
    <cellStyle name="20 % - Markeringsfarve2 2 2 3 3 2 4" xfId="39156" xr:uid="{00000000-0005-0000-0000-0000590E0000}"/>
    <cellStyle name="20 % - Markeringsfarve2 2 2 3 3 3" xfId="10456" xr:uid="{00000000-0005-0000-0000-00005A0E0000}"/>
    <cellStyle name="20 % - Markeringsfarve2 2 2 3 3 3 2" xfId="26775" xr:uid="{00000000-0005-0000-0000-00005B0E0000}"/>
    <cellStyle name="20 % - Markeringsfarve2 2 2 3 3 3 3" xfId="41741" xr:uid="{00000000-0005-0000-0000-00005C0E0000}"/>
    <cellStyle name="20 % - Markeringsfarve2 2 2 3 3 4" xfId="19753" xr:uid="{00000000-0005-0000-0000-00005D0E0000}"/>
    <cellStyle name="20 % - Markeringsfarve2 2 2 3 3 5" xfId="34742" xr:uid="{00000000-0005-0000-0000-00005E0E0000}"/>
    <cellStyle name="20 % - Markeringsfarve2 2 2 3 4" xfId="1900" xr:uid="{00000000-0005-0000-0000-00005F0E0000}"/>
    <cellStyle name="20 % - Markeringsfarve2 2 2 3 4 2" xfId="7082" xr:uid="{00000000-0005-0000-0000-0000600E0000}"/>
    <cellStyle name="20 % - Markeringsfarve2 2 2 3 4 2 2" xfId="14993" xr:uid="{00000000-0005-0000-0000-0000610E0000}"/>
    <cellStyle name="20 % - Markeringsfarve2 2 2 3 4 2 2 2" xfId="31307" xr:uid="{00000000-0005-0000-0000-0000620E0000}"/>
    <cellStyle name="20 % - Markeringsfarve2 2 2 3 4 2 2 3" xfId="46271" xr:uid="{00000000-0005-0000-0000-0000630E0000}"/>
    <cellStyle name="20 % - Markeringsfarve2 2 2 3 4 2 3" xfId="24285" xr:uid="{00000000-0005-0000-0000-0000640E0000}"/>
    <cellStyle name="20 % - Markeringsfarve2 2 2 3 4 2 4" xfId="39272" xr:uid="{00000000-0005-0000-0000-0000650E0000}"/>
    <cellStyle name="20 % - Markeringsfarve2 2 2 3 4 3" xfId="10457" xr:uid="{00000000-0005-0000-0000-0000660E0000}"/>
    <cellStyle name="20 % - Markeringsfarve2 2 2 3 4 3 2" xfId="26776" xr:uid="{00000000-0005-0000-0000-0000670E0000}"/>
    <cellStyle name="20 % - Markeringsfarve2 2 2 3 4 3 3" xfId="41742" xr:uid="{00000000-0005-0000-0000-0000680E0000}"/>
    <cellStyle name="20 % - Markeringsfarve2 2 2 3 4 4" xfId="19754" xr:uid="{00000000-0005-0000-0000-0000690E0000}"/>
    <cellStyle name="20 % - Markeringsfarve2 2 2 3 4 5" xfId="34743" xr:uid="{00000000-0005-0000-0000-00006A0E0000}"/>
    <cellStyle name="20 % - Markeringsfarve2 2 2 3 5" xfId="5470" xr:uid="{00000000-0005-0000-0000-00006B0E0000}"/>
    <cellStyle name="20 % - Markeringsfarve2 2 2 3 5 2" xfId="13388" xr:uid="{00000000-0005-0000-0000-00006C0E0000}"/>
    <cellStyle name="20 % - Markeringsfarve2 2 2 3 5 2 2" xfId="29702" xr:uid="{00000000-0005-0000-0000-00006D0E0000}"/>
    <cellStyle name="20 % - Markeringsfarve2 2 2 3 5 2 3" xfId="44666" xr:uid="{00000000-0005-0000-0000-00006E0E0000}"/>
    <cellStyle name="20 % - Markeringsfarve2 2 2 3 5 3" xfId="22680" xr:uid="{00000000-0005-0000-0000-00006F0E0000}"/>
    <cellStyle name="20 % - Markeringsfarve2 2 2 3 5 4" xfId="37667" xr:uid="{00000000-0005-0000-0000-0000700E0000}"/>
    <cellStyle name="20 % - Markeringsfarve2 2 2 3 6" xfId="10453" xr:uid="{00000000-0005-0000-0000-0000710E0000}"/>
    <cellStyle name="20 % - Markeringsfarve2 2 2 3 6 2" xfId="26772" xr:uid="{00000000-0005-0000-0000-0000720E0000}"/>
    <cellStyle name="20 % - Markeringsfarve2 2 2 3 6 3" xfId="41738" xr:uid="{00000000-0005-0000-0000-0000730E0000}"/>
    <cellStyle name="20 % - Markeringsfarve2 2 2 3 7" xfId="19750" xr:uid="{00000000-0005-0000-0000-0000740E0000}"/>
    <cellStyle name="20 % - Markeringsfarve2 2 2 3 8" xfId="34739" xr:uid="{00000000-0005-0000-0000-0000750E0000}"/>
    <cellStyle name="20 % - Markeringsfarve2 2 2 3 9" xfId="56504" xr:uid="{00000000-0005-0000-0000-0000760E0000}"/>
    <cellStyle name="20 % - Markeringsfarve2 2 2 4" xfId="1901" xr:uid="{00000000-0005-0000-0000-0000770E0000}"/>
    <cellStyle name="20 % - Markeringsfarve2 2 2 4 2" xfId="1902" xr:uid="{00000000-0005-0000-0000-0000780E0000}"/>
    <cellStyle name="20 % - Markeringsfarve2 2 2 4 2 2" xfId="1903" xr:uid="{00000000-0005-0000-0000-0000790E0000}"/>
    <cellStyle name="20 % - Markeringsfarve2 2 2 4 2 2 2" xfId="7913" xr:uid="{00000000-0005-0000-0000-00007A0E0000}"/>
    <cellStyle name="20 % - Markeringsfarve2 2 2 4 2 2 2 2" xfId="15814" xr:uid="{00000000-0005-0000-0000-00007B0E0000}"/>
    <cellStyle name="20 % - Markeringsfarve2 2 2 4 2 2 2 2 2" xfId="32128" xr:uid="{00000000-0005-0000-0000-00007C0E0000}"/>
    <cellStyle name="20 % - Markeringsfarve2 2 2 4 2 2 2 2 3" xfId="47092" xr:uid="{00000000-0005-0000-0000-00007D0E0000}"/>
    <cellStyle name="20 % - Markeringsfarve2 2 2 4 2 2 2 3" xfId="25106" xr:uid="{00000000-0005-0000-0000-00007E0E0000}"/>
    <cellStyle name="20 % - Markeringsfarve2 2 2 4 2 2 2 4" xfId="40093" xr:uid="{00000000-0005-0000-0000-00007F0E0000}"/>
    <cellStyle name="20 % - Markeringsfarve2 2 2 4 2 2 3" xfId="10460" xr:uid="{00000000-0005-0000-0000-0000800E0000}"/>
    <cellStyle name="20 % - Markeringsfarve2 2 2 4 2 2 3 2" xfId="26779" xr:uid="{00000000-0005-0000-0000-0000810E0000}"/>
    <cellStyle name="20 % - Markeringsfarve2 2 2 4 2 2 3 3" xfId="41745" xr:uid="{00000000-0005-0000-0000-0000820E0000}"/>
    <cellStyle name="20 % - Markeringsfarve2 2 2 4 2 2 4" xfId="19757" xr:uid="{00000000-0005-0000-0000-0000830E0000}"/>
    <cellStyle name="20 % - Markeringsfarve2 2 2 4 2 2 5" xfId="34746" xr:uid="{00000000-0005-0000-0000-0000840E0000}"/>
    <cellStyle name="20 % - Markeringsfarve2 2 2 4 2 3" xfId="6450" xr:uid="{00000000-0005-0000-0000-0000850E0000}"/>
    <cellStyle name="20 % - Markeringsfarve2 2 2 4 2 3 2" xfId="14364" xr:uid="{00000000-0005-0000-0000-0000860E0000}"/>
    <cellStyle name="20 % - Markeringsfarve2 2 2 4 2 3 2 2" xfId="30678" xr:uid="{00000000-0005-0000-0000-0000870E0000}"/>
    <cellStyle name="20 % - Markeringsfarve2 2 2 4 2 3 2 3" xfId="45642" xr:uid="{00000000-0005-0000-0000-0000880E0000}"/>
    <cellStyle name="20 % - Markeringsfarve2 2 2 4 2 3 3" xfId="23656" xr:uid="{00000000-0005-0000-0000-0000890E0000}"/>
    <cellStyle name="20 % - Markeringsfarve2 2 2 4 2 3 4" xfId="38643" xr:uid="{00000000-0005-0000-0000-00008A0E0000}"/>
    <cellStyle name="20 % - Markeringsfarve2 2 2 4 2 4" xfId="10459" xr:uid="{00000000-0005-0000-0000-00008B0E0000}"/>
    <cellStyle name="20 % - Markeringsfarve2 2 2 4 2 4 2" xfId="26778" xr:uid="{00000000-0005-0000-0000-00008C0E0000}"/>
    <cellStyle name="20 % - Markeringsfarve2 2 2 4 2 4 3" xfId="41744" xr:uid="{00000000-0005-0000-0000-00008D0E0000}"/>
    <cellStyle name="20 % - Markeringsfarve2 2 2 4 2 5" xfId="19756" xr:uid="{00000000-0005-0000-0000-00008E0E0000}"/>
    <cellStyle name="20 % - Markeringsfarve2 2 2 4 2 6" xfId="34745" xr:uid="{00000000-0005-0000-0000-00008F0E0000}"/>
    <cellStyle name="20 % - Markeringsfarve2 2 2 4 3" xfId="1904" xr:uid="{00000000-0005-0000-0000-0000900E0000}"/>
    <cellStyle name="20 % - Markeringsfarve2 2 2 4 3 2" xfId="7189" xr:uid="{00000000-0005-0000-0000-0000910E0000}"/>
    <cellStyle name="20 % - Markeringsfarve2 2 2 4 3 2 2" xfId="15099" xr:uid="{00000000-0005-0000-0000-0000920E0000}"/>
    <cellStyle name="20 % - Markeringsfarve2 2 2 4 3 2 2 2" xfId="31413" xr:uid="{00000000-0005-0000-0000-0000930E0000}"/>
    <cellStyle name="20 % - Markeringsfarve2 2 2 4 3 2 2 3" xfId="46377" xr:uid="{00000000-0005-0000-0000-0000940E0000}"/>
    <cellStyle name="20 % - Markeringsfarve2 2 2 4 3 2 3" xfId="24391" xr:uid="{00000000-0005-0000-0000-0000950E0000}"/>
    <cellStyle name="20 % - Markeringsfarve2 2 2 4 3 2 4" xfId="39378" xr:uid="{00000000-0005-0000-0000-0000960E0000}"/>
    <cellStyle name="20 % - Markeringsfarve2 2 2 4 3 3" xfId="10461" xr:uid="{00000000-0005-0000-0000-0000970E0000}"/>
    <cellStyle name="20 % - Markeringsfarve2 2 2 4 3 3 2" xfId="26780" xr:uid="{00000000-0005-0000-0000-0000980E0000}"/>
    <cellStyle name="20 % - Markeringsfarve2 2 2 4 3 3 3" xfId="41746" xr:uid="{00000000-0005-0000-0000-0000990E0000}"/>
    <cellStyle name="20 % - Markeringsfarve2 2 2 4 3 4" xfId="19758" xr:uid="{00000000-0005-0000-0000-00009A0E0000}"/>
    <cellStyle name="20 % - Markeringsfarve2 2 2 4 3 5" xfId="34747" xr:uid="{00000000-0005-0000-0000-00009B0E0000}"/>
    <cellStyle name="20 % - Markeringsfarve2 2 2 4 4" xfId="1905" xr:uid="{00000000-0005-0000-0000-00009C0E0000}"/>
    <cellStyle name="20 % - Markeringsfarve2 2 2 4 4 2" xfId="7116" xr:uid="{00000000-0005-0000-0000-00009D0E0000}"/>
    <cellStyle name="20 % - Markeringsfarve2 2 2 4 4 2 2" xfId="15026" xr:uid="{00000000-0005-0000-0000-00009E0E0000}"/>
    <cellStyle name="20 % - Markeringsfarve2 2 2 4 4 2 2 2" xfId="31340" xr:uid="{00000000-0005-0000-0000-00009F0E0000}"/>
    <cellStyle name="20 % - Markeringsfarve2 2 2 4 4 2 2 3" xfId="46304" xr:uid="{00000000-0005-0000-0000-0000A00E0000}"/>
    <cellStyle name="20 % - Markeringsfarve2 2 2 4 4 2 3" xfId="24318" xr:uid="{00000000-0005-0000-0000-0000A10E0000}"/>
    <cellStyle name="20 % - Markeringsfarve2 2 2 4 4 2 4" xfId="39305" xr:uid="{00000000-0005-0000-0000-0000A20E0000}"/>
    <cellStyle name="20 % - Markeringsfarve2 2 2 4 4 3" xfId="10462" xr:uid="{00000000-0005-0000-0000-0000A30E0000}"/>
    <cellStyle name="20 % - Markeringsfarve2 2 2 4 4 3 2" xfId="26781" xr:uid="{00000000-0005-0000-0000-0000A40E0000}"/>
    <cellStyle name="20 % - Markeringsfarve2 2 2 4 4 3 3" xfId="41747" xr:uid="{00000000-0005-0000-0000-0000A50E0000}"/>
    <cellStyle name="20 % - Markeringsfarve2 2 2 4 4 4" xfId="19759" xr:uid="{00000000-0005-0000-0000-0000A60E0000}"/>
    <cellStyle name="20 % - Markeringsfarve2 2 2 4 4 5" xfId="34748" xr:uid="{00000000-0005-0000-0000-0000A70E0000}"/>
    <cellStyle name="20 % - Markeringsfarve2 2 2 4 5" xfId="5471" xr:uid="{00000000-0005-0000-0000-0000A80E0000}"/>
    <cellStyle name="20 % - Markeringsfarve2 2 2 4 5 2" xfId="13389" xr:uid="{00000000-0005-0000-0000-0000A90E0000}"/>
    <cellStyle name="20 % - Markeringsfarve2 2 2 4 5 2 2" xfId="29703" xr:uid="{00000000-0005-0000-0000-0000AA0E0000}"/>
    <cellStyle name="20 % - Markeringsfarve2 2 2 4 5 2 3" xfId="44667" xr:uid="{00000000-0005-0000-0000-0000AB0E0000}"/>
    <cellStyle name="20 % - Markeringsfarve2 2 2 4 5 3" xfId="22681" xr:uid="{00000000-0005-0000-0000-0000AC0E0000}"/>
    <cellStyle name="20 % - Markeringsfarve2 2 2 4 5 4" xfId="37668" xr:uid="{00000000-0005-0000-0000-0000AD0E0000}"/>
    <cellStyle name="20 % - Markeringsfarve2 2 2 4 6" xfId="10458" xr:uid="{00000000-0005-0000-0000-0000AE0E0000}"/>
    <cellStyle name="20 % - Markeringsfarve2 2 2 4 6 2" xfId="26777" xr:uid="{00000000-0005-0000-0000-0000AF0E0000}"/>
    <cellStyle name="20 % - Markeringsfarve2 2 2 4 6 3" xfId="41743" xr:uid="{00000000-0005-0000-0000-0000B00E0000}"/>
    <cellStyle name="20 % - Markeringsfarve2 2 2 4 7" xfId="19755" xr:uid="{00000000-0005-0000-0000-0000B10E0000}"/>
    <cellStyle name="20 % - Markeringsfarve2 2 2 4 8" xfId="34744" xr:uid="{00000000-0005-0000-0000-0000B20E0000}"/>
    <cellStyle name="20 % - Markeringsfarve2 2 2 5" xfId="1906" xr:uid="{00000000-0005-0000-0000-0000B30E0000}"/>
    <cellStyle name="20 % - Markeringsfarve2 2 2 5 2" xfId="1907" xr:uid="{00000000-0005-0000-0000-0000B40E0000}"/>
    <cellStyle name="20 % - Markeringsfarve2 2 2 5 2 2" xfId="1908" xr:uid="{00000000-0005-0000-0000-0000B50E0000}"/>
    <cellStyle name="20 % - Markeringsfarve2 2 2 5 2 2 2" xfId="8030" xr:uid="{00000000-0005-0000-0000-0000B60E0000}"/>
    <cellStyle name="20 % - Markeringsfarve2 2 2 5 2 2 2 2" xfId="15931" xr:uid="{00000000-0005-0000-0000-0000B70E0000}"/>
    <cellStyle name="20 % - Markeringsfarve2 2 2 5 2 2 2 2 2" xfId="32245" xr:uid="{00000000-0005-0000-0000-0000B80E0000}"/>
    <cellStyle name="20 % - Markeringsfarve2 2 2 5 2 2 2 2 3" xfId="47209" xr:uid="{00000000-0005-0000-0000-0000B90E0000}"/>
    <cellStyle name="20 % - Markeringsfarve2 2 2 5 2 2 2 3" xfId="25223" xr:uid="{00000000-0005-0000-0000-0000BA0E0000}"/>
    <cellStyle name="20 % - Markeringsfarve2 2 2 5 2 2 2 4" xfId="40210" xr:uid="{00000000-0005-0000-0000-0000BB0E0000}"/>
    <cellStyle name="20 % - Markeringsfarve2 2 2 5 2 2 3" xfId="10465" xr:uid="{00000000-0005-0000-0000-0000BC0E0000}"/>
    <cellStyle name="20 % - Markeringsfarve2 2 2 5 2 2 3 2" xfId="26784" xr:uid="{00000000-0005-0000-0000-0000BD0E0000}"/>
    <cellStyle name="20 % - Markeringsfarve2 2 2 5 2 2 3 3" xfId="41750" xr:uid="{00000000-0005-0000-0000-0000BE0E0000}"/>
    <cellStyle name="20 % - Markeringsfarve2 2 2 5 2 2 4" xfId="19762" xr:uid="{00000000-0005-0000-0000-0000BF0E0000}"/>
    <cellStyle name="20 % - Markeringsfarve2 2 2 5 2 2 5" xfId="34751" xr:uid="{00000000-0005-0000-0000-0000C00E0000}"/>
    <cellStyle name="20 % - Markeringsfarve2 2 2 5 2 3" xfId="6549" xr:uid="{00000000-0005-0000-0000-0000C10E0000}"/>
    <cellStyle name="20 % - Markeringsfarve2 2 2 5 2 3 2" xfId="14463" xr:uid="{00000000-0005-0000-0000-0000C20E0000}"/>
    <cellStyle name="20 % - Markeringsfarve2 2 2 5 2 3 2 2" xfId="30777" xr:uid="{00000000-0005-0000-0000-0000C30E0000}"/>
    <cellStyle name="20 % - Markeringsfarve2 2 2 5 2 3 2 3" xfId="45741" xr:uid="{00000000-0005-0000-0000-0000C40E0000}"/>
    <cellStyle name="20 % - Markeringsfarve2 2 2 5 2 3 3" xfId="23755" xr:uid="{00000000-0005-0000-0000-0000C50E0000}"/>
    <cellStyle name="20 % - Markeringsfarve2 2 2 5 2 3 4" xfId="38742" xr:uid="{00000000-0005-0000-0000-0000C60E0000}"/>
    <cellStyle name="20 % - Markeringsfarve2 2 2 5 2 4" xfId="10464" xr:uid="{00000000-0005-0000-0000-0000C70E0000}"/>
    <cellStyle name="20 % - Markeringsfarve2 2 2 5 2 4 2" xfId="26783" xr:uid="{00000000-0005-0000-0000-0000C80E0000}"/>
    <cellStyle name="20 % - Markeringsfarve2 2 2 5 2 4 3" xfId="41749" xr:uid="{00000000-0005-0000-0000-0000C90E0000}"/>
    <cellStyle name="20 % - Markeringsfarve2 2 2 5 2 5" xfId="19761" xr:uid="{00000000-0005-0000-0000-0000CA0E0000}"/>
    <cellStyle name="20 % - Markeringsfarve2 2 2 5 2 6" xfId="34750" xr:uid="{00000000-0005-0000-0000-0000CB0E0000}"/>
    <cellStyle name="20 % - Markeringsfarve2 2 2 5 3" xfId="1909" xr:uid="{00000000-0005-0000-0000-0000CC0E0000}"/>
    <cellStyle name="20 % - Markeringsfarve2 2 2 5 3 2" xfId="7306" xr:uid="{00000000-0005-0000-0000-0000CD0E0000}"/>
    <cellStyle name="20 % - Markeringsfarve2 2 2 5 3 2 2" xfId="15216" xr:uid="{00000000-0005-0000-0000-0000CE0E0000}"/>
    <cellStyle name="20 % - Markeringsfarve2 2 2 5 3 2 2 2" xfId="31530" xr:uid="{00000000-0005-0000-0000-0000CF0E0000}"/>
    <cellStyle name="20 % - Markeringsfarve2 2 2 5 3 2 2 3" xfId="46494" xr:uid="{00000000-0005-0000-0000-0000D00E0000}"/>
    <cellStyle name="20 % - Markeringsfarve2 2 2 5 3 2 3" xfId="24508" xr:uid="{00000000-0005-0000-0000-0000D10E0000}"/>
    <cellStyle name="20 % - Markeringsfarve2 2 2 5 3 2 4" xfId="39495" xr:uid="{00000000-0005-0000-0000-0000D20E0000}"/>
    <cellStyle name="20 % - Markeringsfarve2 2 2 5 3 3" xfId="10466" xr:uid="{00000000-0005-0000-0000-0000D30E0000}"/>
    <cellStyle name="20 % - Markeringsfarve2 2 2 5 3 3 2" xfId="26785" xr:uid="{00000000-0005-0000-0000-0000D40E0000}"/>
    <cellStyle name="20 % - Markeringsfarve2 2 2 5 3 3 3" xfId="41751" xr:uid="{00000000-0005-0000-0000-0000D50E0000}"/>
    <cellStyle name="20 % - Markeringsfarve2 2 2 5 3 4" xfId="19763" xr:uid="{00000000-0005-0000-0000-0000D60E0000}"/>
    <cellStyle name="20 % - Markeringsfarve2 2 2 5 3 5" xfId="34752" xr:uid="{00000000-0005-0000-0000-0000D70E0000}"/>
    <cellStyle name="20 % - Markeringsfarve2 2 2 5 4" xfId="1910" xr:uid="{00000000-0005-0000-0000-0000D80E0000}"/>
    <cellStyle name="20 % - Markeringsfarve2 2 2 5 4 2" xfId="8329" xr:uid="{00000000-0005-0000-0000-0000D90E0000}"/>
    <cellStyle name="20 % - Markeringsfarve2 2 2 5 4 2 2" xfId="16223" xr:uid="{00000000-0005-0000-0000-0000DA0E0000}"/>
    <cellStyle name="20 % - Markeringsfarve2 2 2 5 4 2 2 2" xfId="32537" xr:uid="{00000000-0005-0000-0000-0000DB0E0000}"/>
    <cellStyle name="20 % - Markeringsfarve2 2 2 5 4 2 2 3" xfId="47501" xr:uid="{00000000-0005-0000-0000-0000DC0E0000}"/>
    <cellStyle name="20 % - Markeringsfarve2 2 2 5 4 2 3" xfId="25515" xr:uid="{00000000-0005-0000-0000-0000DD0E0000}"/>
    <cellStyle name="20 % - Markeringsfarve2 2 2 5 4 2 4" xfId="40502" xr:uid="{00000000-0005-0000-0000-0000DE0E0000}"/>
    <cellStyle name="20 % - Markeringsfarve2 2 2 5 4 3" xfId="10467" xr:uid="{00000000-0005-0000-0000-0000DF0E0000}"/>
    <cellStyle name="20 % - Markeringsfarve2 2 2 5 4 3 2" xfId="26786" xr:uid="{00000000-0005-0000-0000-0000E00E0000}"/>
    <cellStyle name="20 % - Markeringsfarve2 2 2 5 4 3 3" xfId="41752" xr:uid="{00000000-0005-0000-0000-0000E10E0000}"/>
    <cellStyle name="20 % - Markeringsfarve2 2 2 5 4 4" xfId="19764" xr:uid="{00000000-0005-0000-0000-0000E20E0000}"/>
    <cellStyle name="20 % - Markeringsfarve2 2 2 5 4 5" xfId="34753" xr:uid="{00000000-0005-0000-0000-0000E30E0000}"/>
    <cellStyle name="20 % - Markeringsfarve2 2 2 5 5" xfId="5472" xr:uid="{00000000-0005-0000-0000-0000E40E0000}"/>
    <cellStyle name="20 % - Markeringsfarve2 2 2 5 5 2" xfId="13390" xr:uid="{00000000-0005-0000-0000-0000E50E0000}"/>
    <cellStyle name="20 % - Markeringsfarve2 2 2 5 5 2 2" xfId="29704" xr:uid="{00000000-0005-0000-0000-0000E60E0000}"/>
    <cellStyle name="20 % - Markeringsfarve2 2 2 5 5 2 3" xfId="44668" xr:uid="{00000000-0005-0000-0000-0000E70E0000}"/>
    <cellStyle name="20 % - Markeringsfarve2 2 2 5 5 3" xfId="22682" xr:uid="{00000000-0005-0000-0000-0000E80E0000}"/>
    <cellStyle name="20 % - Markeringsfarve2 2 2 5 5 4" xfId="37669" xr:uid="{00000000-0005-0000-0000-0000E90E0000}"/>
    <cellStyle name="20 % - Markeringsfarve2 2 2 5 6" xfId="10463" xr:uid="{00000000-0005-0000-0000-0000EA0E0000}"/>
    <cellStyle name="20 % - Markeringsfarve2 2 2 5 6 2" xfId="26782" xr:uid="{00000000-0005-0000-0000-0000EB0E0000}"/>
    <cellStyle name="20 % - Markeringsfarve2 2 2 5 6 3" xfId="41748" xr:uid="{00000000-0005-0000-0000-0000EC0E0000}"/>
    <cellStyle name="20 % - Markeringsfarve2 2 2 5 7" xfId="19760" xr:uid="{00000000-0005-0000-0000-0000ED0E0000}"/>
    <cellStyle name="20 % - Markeringsfarve2 2 2 5 8" xfId="34749" xr:uid="{00000000-0005-0000-0000-0000EE0E0000}"/>
    <cellStyle name="20 % - Markeringsfarve2 2 2 6" xfId="1911" xr:uid="{00000000-0005-0000-0000-0000EF0E0000}"/>
    <cellStyle name="20 % - Markeringsfarve2 2 2 6 2" xfId="1912" xr:uid="{00000000-0005-0000-0000-0000F00E0000}"/>
    <cellStyle name="20 % - Markeringsfarve2 2 2 6 2 2" xfId="1913" xr:uid="{00000000-0005-0000-0000-0000F10E0000}"/>
    <cellStyle name="20 % - Markeringsfarve2 2 2 6 2 2 2" xfId="8091" xr:uid="{00000000-0005-0000-0000-0000F20E0000}"/>
    <cellStyle name="20 % - Markeringsfarve2 2 2 6 2 2 2 2" xfId="15992" xr:uid="{00000000-0005-0000-0000-0000F30E0000}"/>
    <cellStyle name="20 % - Markeringsfarve2 2 2 6 2 2 2 2 2" xfId="32306" xr:uid="{00000000-0005-0000-0000-0000F40E0000}"/>
    <cellStyle name="20 % - Markeringsfarve2 2 2 6 2 2 2 2 3" xfId="47270" xr:uid="{00000000-0005-0000-0000-0000F50E0000}"/>
    <cellStyle name="20 % - Markeringsfarve2 2 2 6 2 2 2 3" xfId="25284" xr:uid="{00000000-0005-0000-0000-0000F60E0000}"/>
    <cellStyle name="20 % - Markeringsfarve2 2 2 6 2 2 2 4" xfId="40271" xr:uid="{00000000-0005-0000-0000-0000F70E0000}"/>
    <cellStyle name="20 % - Markeringsfarve2 2 2 6 2 2 3" xfId="10470" xr:uid="{00000000-0005-0000-0000-0000F80E0000}"/>
    <cellStyle name="20 % - Markeringsfarve2 2 2 6 2 2 3 2" xfId="26789" xr:uid="{00000000-0005-0000-0000-0000F90E0000}"/>
    <cellStyle name="20 % - Markeringsfarve2 2 2 6 2 2 3 3" xfId="41755" xr:uid="{00000000-0005-0000-0000-0000FA0E0000}"/>
    <cellStyle name="20 % - Markeringsfarve2 2 2 6 2 2 4" xfId="19767" xr:uid="{00000000-0005-0000-0000-0000FB0E0000}"/>
    <cellStyle name="20 % - Markeringsfarve2 2 2 6 2 2 5" xfId="34756" xr:uid="{00000000-0005-0000-0000-0000FC0E0000}"/>
    <cellStyle name="20 % - Markeringsfarve2 2 2 6 2 3" xfId="6602" xr:uid="{00000000-0005-0000-0000-0000FD0E0000}"/>
    <cellStyle name="20 % - Markeringsfarve2 2 2 6 2 3 2" xfId="14516" xr:uid="{00000000-0005-0000-0000-0000FE0E0000}"/>
    <cellStyle name="20 % - Markeringsfarve2 2 2 6 2 3 2 2" xfId="30830" xr:uid="{00000000-0005-0000-0000-0000FF0E0000}"/>
    <cellStyle name="20 % - Markeringsfarve2 2 2 6 2 3 2 3" xfId="45794" xr:uid="{00000000-0005-0000-0000-0000000F0000}"/>
    <cellStyle name="20 % - Markeringsfarve2 2 2 6 2 3 3" xfId="23808" xr:uid="{00000000-0005-0000-0000-0000010F0000}"/>
    <cellStyle name="20 % - Markeringsfarve2 2 2 6 2 3 4" xfId="38795" xr:uid="{00000000-0005-0000-0000-0000020F0000}"/>
    <cellStyle name="20 % - Markeringsfarve2 2 2 6 2 4" xfId="10469" xr:uid="{00000000-0005-0000-0000-0000030F0000}"/>
    <cellStyle name="20 % - Markeringsfarve2 2 2 6 2 4 2" xfId="26788" xr:uid="{00000000-0005-0000-0000-0000040F0000}"/>
    <cellStyle name="20 % - Markeringsfarve2 2 2 6 2 4 3" xfId="41754" xr:uid="{00000000-0005-0000-0000-0000050F0000}"/>
    <cellStyle name="20 % - Markeringsfarve2 2 2 6 2 5" xfId="19766" xr:uid="{00000000-0005-0000-0000-0000060F0000}"/>
    <cellStyle name="20 % - Markeringsfarve2 2 2 6 2 6" xfId="34755" xr:uid="{00000000-0005-0000-0000-0000070F0000}"/>
    <cellStyle name="20 % - Markeringsfarve2 2 2 6 3" xfId="1914" xr:uid="{00000000-0005-0000-0000-0000080F0000}"/>
    <cellStyle name="20 % - Markeringsfarve2 2 2 6 3 2" xfId="7368" xr:uid="{00000000-0005-0000-0000-0000090F0000}"/>
    <cellStyle name="20 % - Markeringsfarve2 2 2 6 3 2 2" xfId="15278" xr:uid="{00000000-0005-0000-0000-00000A0F0000}"/>
    <cellStyle name="20 % - Markeringsfarve2 2 2 6 3 2 2 2" xfId="31592" xr:uid="{00000000-0005-0000-0000-00000B0F0000}"/>
    <cellStyle name="20 % - Markeringsfarve2 2 2 6 3 2 2 3" xfId="46556" xr:uid="{00000000-0005-0000-0000-00000C0F0000}"/>
    <cellStyle name="20 % - Markeringsfarve2 2 2 6 3 2 3" xfId="24570" xr:uid="{00000000-0005-0000-0000-00000D0F0000}"/>
    <cellStyle name="20 % - Markeringsfarve2 2 2 6 3 2 4" xfId="39557" xr:uid="{00000000-0005-0000-0000-00000E0F0000}"/>
    <cellStyle name="20 % - Markeringsfarve2 2 2 6 3 3" xfId="10471" xr:uid="{00000000-0005-0000-0000-00000F0F0000}"/>
    <cellStyle name="20 % - Markeringsfarve2 2 2 6 3 3 2" xfId="26790" xr:uid="{00000000-0005-0000-0000-0000100F0000}"/>
    <cellStyle name="20 % - Markeringsfarve2 2 2 6 3 3 3" xfId="41756" xr:uid="{00000000-0005-0000-0000-0000110F0000}"/>
    <cellStyle name="20 % - Markeringsfarve2 2 2 6 3 4" xfId="19768" xr:uid="{00000000-0005-0000-0000-0000120F0000}"/>
    <cellStyle name="20 % - Markeringsfarve2 2 2 6 3 5" xfId="34757" xr:uid="{00000000-0005-0000-0000-0000130F0000}"/>
    <cellStyle name="20 % - Markeringsfarve2 2 2 6 4" xfId="1915" xr:uid="{00000000-0005-0000-0000-0000140F0000}"/>
    <cellStyle name="20 % - Markeringsfarve2 2 2 6 4 2" xfId="7109" xr:uid="{00000000-0005-0000-0000-0000150F0000}"/>
    <cellStyle name="20 % - Markeringsfarve2 2 2 6 4 2 2" xfId="15019" xr:uid="{00000000-0005-0000-0000-0000160F0000}"/>
    <cellStyle name="20 % - Markeringsfarve2 2 2 6 4 2 2 2" xfId="31333" xr:uid="{00000000-0005-0000-0000-0000170F0000}"/>
    <cellStyle name="20 % - Markeringsfarve2 2 2 6 4 2 2 3" xfId="46297" xr:uid="{00000000-0005-0000-0000-0000180F0000}"/>
    <cellStyle name="20 % - Markeringsfarve2 2 2 6 4 2 3" xfId="24311" xr:uid="{00000000-0005-0000-0000-0000190F0000}"/>
    <cellStyle name="20 % - Markeringsfarve2 2 2 6 4 2 4" xfId="39298" xr:uid="{00000000-0005-0000-0000-00001A0F0000}"/>
    <cellStyle name="20 % - Markeringsfarve2 2 2 6 4 3" xfId="10472" xr:uid="{00000000-0005-0000-0000-00001B0F0000}"/>
    <cellStyle name="20 % - Markeringsfarve2 2 2 6 4 3 2" xfId="26791" xr:uid="{00000000-0005-0000-0000-00001C0F0000}"/>
    <cellStyle name="20 % - Markeringsfarve2 2 2 6 4 3 3" xfId="41757" xr:uid="{00000000-0005-0000-0000-00001D0F0000}"/>
    <cellStyle name="20 % - Markeringsfarve2 2 2 6 4 4" xfId="19769" xr:uid="{00000000-0005-0000-0000-00001E0F0000}"/>
    <cellStyle name="20 % - Markeringsfarve2 2 2 6 4 5" xfId="34758" xr:uid="{00000000-0005-0000-0000-00001F0F0000}"/>
    <cellStyle name="20 % - Markeringsfarve2 2 2 6 5" xfId="5473" xr:uid="{00000000-0005-0000-0000-0000200F0000}"/>
    <cellStyle name="20 % - Markeringsfarve2 2 2 6 5 2" xfId="13391" xr:uid="{00000000-0005-0000-0000-0000210F0000}"/>
    <cellStyle name="20 % - Markeringsfarve2 2 2 6 5 2 2" xfId="29705" xr:uid="{00000000-0005-0000-0000-0000220F0000}"/>
    <cellStyle name="20 % - Markeringsfarve2 2 2 6 5 2 3" xfId="44669" xr:uid="{00000000-0005-0000-0000-0000230F0000}"/>
    <cellStyle name="20 % - Markeringsfarve2 2 2 6 5 3" xfId="22683" xr:uid="{00000000-0005-0000-0000-0000240F0000}"/>
    <cellStyle name="20 % - Markeringsfarve2 2 2 6 5 4" xfId="37670" xr:uid="{00000000-0005-0000-0000-0000250F0000}"/>
    <cellStyle name="20 % - Markeringsfarve2 2 2 6 6" xfId="10468" xr:uid="{00000000-0005-0000-0000-0000260F0000}"/>
    <cellStyle name="20 % - Markeringsfarve2 2 2 6 6 2" xfId="26787" xr:uid="{00000000-0005-0000-0000-0000270F0000}"/>
    <cellStyle name="20 % - Markeringsfarve2 2 2 6 6 3" xfId="41753" xr:uid="{00000000-0005-0000-0000-0000280F0000}"/>
    <cellStyle name="20 % - Markeringsfarve2 2 2 6 7" xfId="19765" xr:uid="{00000000-0005-0000-0000-0000290F0000}"/>
    <cellStyle name="20 % - Markeringsfarve2 2 2 6 8" xfId="34754" xr:uid="{00000000-0005-0000-0000-00002A0F0000}"/>
    <cellStyle name="20 % - Markeringsfarve2 2 2 7" xfId="1916" xr:uid="{00000000-0005-0000-0000-00002B0F0000}"/>
    <cellStyle name="20 % - Markeringsfarve2 2 2 7 2" xfId="1917" xr:uid="{00000000-0005-0000-0000-00002C0F0000}"/>
    <cellStyle name="20 % - Markeringsfarve2 2 2 7 2 2" xfId="7556" xr:uid="{00000000-0005-0000-0000-00002D0F0000}"/>
    <cellStyle name="20 % - Markeringsfarve2 2 2 7 2 2 2" xfId="15457" xr:uid="{00000000-0005-0000-0000-00002E0F0000}"/>
    <cellStyle name="20 % - Markeringsfarve2 2 2 7 2 2 2 2" xfId="31771" xr:uid="{00000000-0005-0000-0000-00002F0F0000}"/>
    <cellStyle name="20 % - Markeringsfarve2 2 2 7 2 2 2 3" xfId="46735" xr:uid="{00000000-0005-0000-0000-0000300F0000}"/>
    <cellStyle name="20 % - Markeringsfarve2 2 2 7 2 2 3" xfId="24749" xr:uid="{00000000-0005-0000-0000-0000310F0000}"/>
    <cellStyle name="20 % - Markeringsfarve2 2 2 7 2 2 4" xfId="39736" xr:uid="{00000000-0005-0000-0000-0000320F0000}"/>
    <cellStyle name="20 % - Markeringsfarve2 2 2 7 2 3" xfId="10474" xr:uid="{00000000-0005-0000-0000-0000330F0000}"/>
    <cellStyle name="20 % - Markeringsfarve2 2 2 7 2 3 2" xfId="26793" xr:uid="{00000000-0005-0000-0000-0000340F0000}"/>
    <cellStyle name="20 % - Markeringsfarve2 2 2 7 2 3 3" xfId="41759" xr:uid="{00000000-0005-0000-0000-0000350F0000}"/>
    <cellStyle name="20 % - Markeringsfarve2 2 2 7 2 4" xfId="19771" xr:uid="{00000000-0005-0000-0000-0000360F0000}"/>
    <cellStyle name="20 % - Markeringsfarve2 2 2 7 2 5" xfId="34760" xr:uid="{00000000-0005-0000-0000-0000370F0000}"/>
    <cellStyle name="20 % - Markeringsfarve2 2 2 7 3" xfId="6149" xr:uid="{00000000-0005-0000-0000-0000380F0000}"/>
    <cellStyle name="20 % - Markeringsfarve2 2 2 7 3 2" xfId="14066" xr:uid="{00000000-0005-0000-0000-0000390F0000}"/>
    <cellStyle name="20 % - Markeringsfarve2 2 2 7 3 2 2" xfId="30380" xr:uid="{00000000-0005-0000-0000-00003A0F0000}"/>
    <cellStyle name="20 % - Markeringsfarve2 2 2 7 3 2 3" xfId="45344" xr:uid="{00000000-0005-0000-0000-00003B0F0000}"/>
    <cellStyle name="20 % - Markeringsfarve2 2 2 7 3 3" xfId="23358" xr:uid="{00000000-0005-0000-0000-00003C0F0000}"/>
    <cellStyle name="20 % - Markeringsfarve2 2 2 7 3 4" xfId="38345" xr:uid="{00000000-0005-0000-0000-00003D0F0000}"/>
    <cellStyle name="20 % - Markeringsfarve2 2 2 7 4" xfId="10473" xr:uid="{00000000-0005-0000-0000-00003E0F0000}"/>
    <cellStyle name="20 % - Markeringsfarve2 2 2 7 4 2" xfId="26792" xr:uid="{00000000-0005-0000-0000-00003F0F0000}"/>
    <cellStyle name="20 % - Markeringsfarve2 2 2 7 4 3" xfId="41758" xr:uid="{00000000-0005-0000-0000-0000400F0000}"/>
    <cellStyle name="20 % - Markeringsfarve2 2 2 7 5" xfId="19770" xr:uid="{00000000-0005-0000-0000-0000410F0000}"/>
    <cellStyle name="20 % - Markeringsfarve2 2 2 7 6" xfId="34759" xr:uid="{00000000-0005-0000-0000-0000420F0000}"/>
    <cellStyle name="20 % - Markeringsfarve2 2 2 8" xfId="1918" xr:uid="{00000000-0005-0000-0000-0000430F0000}"/>
    <cellStyle name="20 % - Markeringsfarve2 2 2 8 2" xfId="6784" xr:uid="{00000000-0005-0000-0000-0000440F0000}"/>
    <cellStyle name="20 % - Markeringsfarve2 2 2 8 2 2" xfId="14695" xr:uid="{00000000-0005-0000-0000-0000450F0000}"/>
    <cellStyle name="20 % - Markeringsfarve2 2 2 8 2 2 2" xfId="31009" xr:uid="{00000000-0005-0000-0000-0000460F0000}"/>
    <cellStyle name="20 % - Markeringsfarve2 2 2 8 2 2 3" xfId="45973" xr:uid="{00000000-0005-0000-0000-0000470F0000}"/>
    <cellStyle name="20 % - Markeringsfarve2 2 2 8 2 3" xfId="23987" xr:uid="{00000000-0005-0000-0000-0000480F0000}"/>
    <cellStyle name="20 % - Markeringsfarve2 2 2 8 2 4" xfId="38974" xr:uid="{00000000-0005-0000-0000-0000490F0000}"/>
    <cellStyle name="20 % - Markeringsfarve2 2 2 8 3" xfId="10475" xr:uid="{00000000-0005-0000-0000-00004A0F0000}"/>
    <cellStyle name="20 % - Markeringsfarve2 2 2 8 3 2" xfId="26794" xr:uid="{00000000-0005-0000-0000-00004B0F0000}"/>
    <cellStyle name="20 % - Markeringsfarve2 2 2 8 3 3" xfId="41760" xr:uid="{00000000-0005-0000-0000-00004C0F0000}"/>
    <cellStyle name="20 % - Markeringsfarve2 2 2 8 4" xfId="19772" xr:uid="{00000000-0005-0000-0000-00004D0F0000}"/>
    <cellStyle name="20 % - Markeringsfarve2 2 2 8 5" xfId="34761" xr:uid="{00000000-0005-0000-0000-00004E0F0000}"/>
    <cellStyle name="20 % - Markeringsfarve2 2 2 9" xfId="1919" xr:uid="{00000000-0005-0000-0000-00004F0F0000}"/>
    <cellStyle name="20 % - Markeringsfarve2 2 2 9 2" xfId="8332" xr:uid="{00000000-0005-0000-0000-0000500F0000}"/>
    <cellStyle name="20 % - Markeringsfarve2 2 2 9 2 2" xfId="16226" xr:uid="{00000000-0005-0000-0000-0000510F0000}"/>
    <cellStyle name="20 % - Markeringsfarve2 2 2 9 2 2 2" xfId="32540" xr:uid="{00000000-0005-0000-0000-0000520F0000}"/>
    <cellStyle name="20 % - Markeringsfarve2 2 2 9 2 2 3" xfId="47504" xr:uid="{00000000-0005-0000-0000-0000530F0000}"/>
    <cellStyle name="20 % - Markeringsfarve2 2 2 9 2 3" xfId="25518" xr:uid="{00000000-0005-0000-0000-0000540F0000}"/>
    <cellStyle name="20 % - Markeringsfarve2 2 2 9 2 4" xfId="40505" xr:uid="{00000000-0005-0000-0000-0000550F0000}"/>
    <cellStyle name="20 % - Markeringsfarve2 2 2 9 3" xfId="10476" xr:uid="{00000000-0005-0000-0000-0000560F0000}"/>
    <cellStyle name="20 % - Markeringsfarve2 2 2 9 3 2" xfId="26795" xr:uid="{00000000-0005-0000-0000-0000570F0000}"/>
    <cellStyle name="20 % - Markeringsfarve2 2 2 9 3 3" xfId="41761" xr:uid="{00000000-0005-0000-0000-0000580F0000}"/>
    <cellStyle name="20 % - Markeringsfarve2 2 2 9 4" xfId="19773" xr:uid="{00000000-0005-0000-0000-0000590F0000}"/>
    <cellStyle name="20 % - Markeringsfarve2 2 2 9 5" xfId="34762" xr:uid="{00000000-0005-0000-0000-00005A0F0000}"/>
    <cellStyle name="20 % - Markeringsfarve2 2 3" xfId="1920" xr:uid="{00000000-0005-0000-0000-00005B0F0000}"/>
    <cellStyle name="20 % - Markeringsfarve2 2 3 10" xfId="5474" xr:uid="{00000000-0005-0000-0000-00005C0F0000}"/>
    <cellStyle name="20 % - Markeringsfarve2 2 3 10 2" xfId="13392" xr:uid="{00000000-0005-0000-0000-00005D0F0000}"/>
    <cellStyle name="20 % - Markeringsfarve2 2 3 10 2 2" xfId="29706" xr:uid="{00000000-0005-0000-0000-00005E0F0000}"/>
    <cellStyle name="20 % - Markeringsfarve2 2 3 10 2 3" xfId="44670" xr:uid="{00000000-0005-0000-0000-00005F0F0000}"/>
    <cellStyle name="20 % - Markeringsfarve2 2 3 10 3" xfId="22684" xr:uid="{00000000-0005-0000-0000-0000600F0000}"/>
    <cellStyle name="20 % - Markeringsfarve2 2 3 10 4" xfId="37671" xr:uid="{00000000-0005-0000-0000-0000610F0000}"/>
    <cellStyle name="20 % - Markeringsfarve2 2 3 11" xfId="10477" xr:uid="{00000000-0005-0000-0000-0000620F0000}"/>
    <cellStyle name="20 % - Markeringsfarve2 2 3 11 2" xfId="26796" xr:uid="{00000000-0005-0000-0000-0000630F0000}"/>
    <cellStyle name="20 % - Markeringsfarve2 2 3 11 3" xfId="41762" xr:uid="{00000000-0005-0000-0000-0000640F0000}"/>
    <cellStyle name="20 % - Markeringsfarve2 2 3 12" xfId="19774" xr:uid="{00000000-0005-0000-0000-0000650F0000}"/>
    <cellStyle name="20 % - Markeringsfarve2 2 3 13" xfId="34763" xr:uid="{00000000-0005-0000-0000-0000660F0000}"/>
    <cellStyle name="20 % - Markeringsfarve2 2 3 14" xfId="53321" xr:uid="{00000000-0005-0000-0000-0000670F0000}"/>
    <cellStyle name="20 % - Markeringsfarve2 2 3 2" xfId="1921" xr:uid="{00000000-0005-0000-0000-0000680F0000}"/>
    <cellStyle name="20 % - Markeringsfarve2 2 3 2 2" xfId="1922" xr:uid="{00000000-0005-0000-0000-0000690F0000}"/>
    <cellStyle name="20 % - Markeringsfarve2 2 3 2 2 2" xfId="1923" xr:uid="{00000000-0005-0000-0000-00006A0F0000}"/>
    <cellStyle name="20 % - Markeringsfarve2 2 3 2 2 2 2" xfId="7714" xr:uid="{00000000-0005-0000-0000-00006B0F0000}"/>
    <cellStyle name="20 % - Markeringsfarve2 2 3 2 2 2 2 2" xfId="15615" xr:uid="{00000000-0005-0000-0000-00006C0F0000}"/>
    <cellStyle name="20 % - Markeringsfarve2 2 3 2 2 2 2 2 2" xfId="31929" xr:uid="{00000000-0005-0000-0000-00006D0F0000}"/>
    <cellStyle name="20 % - Markeringsfarve2 2 3 2 2 2 2 2 3" xfId="46893" xr:uid="{00000000-0005-0000-0000-00006E0F0000}"/>
    <cellStyle name="20 % - Markeringsfarve2 2 3 2 2 2 2 3" xfId="24907" xr:uid="{00000000-0005-0000-0000-00006F0F0000}"/>
    <cellStyle name="20 % - Markeringsfarve2 2 3 2 2 2 2 4" xfId="39894" xr:uid="{00000000-0005-0000-0000-0000700F0000}"/>
    <cellStyle name="20 % - Markeringsfarve2 2 3 2 2 2 3" xfId="10480" xr:uid="{00000000-0005-0000-0000-0000710F0000}"/>
    <cellStyle name="20 % - Markeringsfarve2 2 3 2 2 2 3 2" xfId="26799" xr:uid="{00000000-0005-0000-0000-0000720F0000}"/>
    <cellStyle name="20 % - Markeringsfarve2 2 3 2 2 2 3 3" xfId="41765" xr:uid="{00000000-0005-0000-0000-0000730F0000}"/>
    <cellStyle name="20 % - Markeringsfarve2 2 3 2 2 2 4" xfId="19777" xr:uid="{00000000-0005-0000-0000-0000740F0000}"/>
    <cellStyle name="20 % - Markeringsfarve2 2 3 2 2 2 5" xfId="34766" xr:uid="{00000000-0005-0000-0000-0000750F0000}"/>
    <cellStyle name="20 % - Markeringsfarve2 2 3 2 2 3" xfId="6281" xr:uid="{00000000-0005-0000-0000-0000760F0000}"/>
    <cellStyle name="20 % - Markeringsfarve2 2 3 2 2 3 2" xfId="14198" xr:uid="{00000000-0005-0000-0000-0000770F0000}"/>
    <cellStyle name="20 % - Markeringsfarve2 2 3 2 2 3 2 2" xfId="30512" xr:uid="{00000000-0005-0000-0000-0000780F0000}"/>
    <cellStyle name="20 % - Markeringsfarve2 2 3 2 2 3 2 3" xfId="45476" xr:uid="{00000000-0005-0000-0000-0000790F0000}"/>
    <cellStyle name="20 % - Markeringsfarve2 2 3 2 2 3 3" xfId="23490" xr:uid="{00000000-0005-0000-0000-00007A0F0000}"/>
    <cellStyle name="20 % - Markeringsfarve2 2 3 2 2 3 4" xfId="38477" xr:uid="{00000000-0005-0000-0000-00007B0F0000}"/>
    <cellStyle name="20 % - Markeringsfarve2 2 3 2 2 4" xfId="10479" xr:uid="{00000000-0005-0000-0000-00007C0F0000}"/>
    <cellStyle name="20 % - Markeringsfarve2 2 3 2 2 4 2" xfId="26798" xr:uid="{00000000-0005-0000-0000-00007D0F0000}"/>
    <cellStyle name="20 % - Markeringsfarve2 2 3 2 2 4 3" xfId="41764" xr:uid="{00000000-0005-0000-0000-00007E0F0000}"/>
    <cellStyle name="20 % - Markeringsfarve2 2 3 2 2 5" xfId="19776" xr:uid="{00000000-0005-0000-0000-00007F0F0000}"/>
    <cellStyle name="20 % - Markeringsfarve2 2 3 2 2 6" xfId="34765" xr:uid="{00000000-0005-0000-0000-0000800F0000}"/>
    <cellStyle name="20 % - Markeringsfarve2 2 3 2 2 7" xfId="57125" xr:uid="{00000000-0005-0000-0000-0000810F0000}"/>
    <cellStyle name="20 % - Markeringsfarve2 2 3 2 3" xfId="1924" xr:uid="{00000000-0005-0000-0000-0000820F0000}"/>
    <cellStyle name="20 % - Markeringsfarve2 2 3 2 3 2" xfId="6944" xr:uid="{00000000-0005-0000-0000-0000830F0000}"/>
    <cellStyle name="20 % - Markeringsfarve2 2 3 2 3 2 2" xfId="14855" xr:uid="{00000000-0005-0000-0000-0000840F0000}"/>
    <cellStyle name="20 % - Markeringsfarve2 2 3 2 3 2 2 2" xfId="31169" xr:uid="{00000000-0005-0000-0000-0000850F0000}"/>
    <cellStyle name="20 % - Markeringsfarve2 2 3 2 3 2 2 3" xfId="46133" xr:uid="{00000000-0005-0000-0000-0000860F0000}"/>
    <cellStyle name="20 % - Markeringsfarve2 2 3 2 3 2 3" xfId="24147" xr:uid="{00000000-0005-0000-0000-0000870F0000}"/>
    <cellStyle name="20 % - Markeringsfarve2 2 3 2 3 2 4" xfId="39134" xr:uid="{00000000-0005-0000-0000-0000880F0000}"/>
    <cellStyle name="20 % - Markeringsfarve2 2 3 2 3 3" xfId="10481" xr:uid="{00000000-0005-0000-0000-0000890F0000}"/>
    <cellStyle name="20 % - Markeringsfarve2 2 3 2 3 3 2" xfId="26800" xr:uid="{00000000-0005-0000-0000-00008A0F0000}"/>
    <cellStyle name="20 % - Markeringsfarve2 2 3 2 3 3 3" xfId="41766" xr:uid="{00000000-0005-0000-0000-00008B0F0000}"/>
    <cellStyle name="20 % - Markeringsfarve2 2 3 2 3 4" xfId="19778" xr:uid="{00000000-0005-0000-0000-00008C0F0000}"/>
    <cellStyle name="20 % - Markeringsfarve2 2 3 2 3 5" xfId="34767" xr:uid="{00000000-0005-0000-0000-00008D0F0000}"/>
    <cellStyle name="20 % - Markeringsfarve2 2 3 2 4" xfId="1925" xr:uid="{00000000-0005-0000-0000-00008E0F0000}"/>
    <cellStyle name="20 % - Markeringsfarve2 2 3 2 4 2" xfId="7111" xr:uid="{00000000-0005-0000-0000-00008F0F0000}"/>
    <cellStyle name="20 % - Markeringsfarve2 2 3 2 4 2 2" xfId="15021" xr:uid="{00000000-0005-0000-0000-0000900F0000}"/>
    <cellStyle name="20 % - Markeringsfarve2 2 3 2 4 2 2 2" xfId="31335" xr:uid="{00000000-0005-0000-0000-0000910F0000}"/>
    <cellStyle name="20 % - Markeringsfarve2 2 3 2 4 2 2 3" xfId="46299" xr:uid="{00000000-0005-0000-0000-0000920F0000}"/>
    <cellStyle name="20 % - Markeringsfarve2 2 3 2 4 2 3" xfId="24313" xr:uid="{00000000-0005-0000-0000-0000930F0000}"/>
    <cellStyle name="20 % - Markeringsfarve2 2 3 2 4 2 4" xfId="39300" xr:uid="{00000000-0005-0000-0000-0000940F0000}"/>
    <cellStyle name="20 % - Markeringsfarve2 2 3 2 4 3" xfId="10482" xr:uid="{00000000-0005-0000-0000-0000950F0000}"/>
    <cellStyle name="20 % - Markeringsfarve2 2 3 2 4 3 2" xfId="26801" xr:uid="{00000000-0005-0000-0000-0000960F0000}"/>
    <cellStyle name="20 % - Markeringsfarve2 2 3 2 4 3 3" xfId="41767" xr:uid="{00000000-0005-0000-0000-0000970F0000}"/>
    <cellStyle name="20 % - Markeringsfarve2 2 3 2 4 4" xfId="19779" xr:uid="{00000000-0005-0000-0000-0000980F0000}"/>
    <cellStyle name="20 % - Markeringsfarve2 2 3 2 4 5" xfId="34768" xr:uid="{00000000-0005-0000-0000-0000990F0000}"/>
    <cellStyle name="20 % - Markeringsfarve2 2 3 2 5" xfId="5475" xr:uid="{00000000-0005-0000-0000-00009A0F0000}"/>
    <cellStyle name="20 % - Markeringsfarve2 2 3 2 5 2" xfId="13393" xr:uid="{00000000-0005-0000-0000-00009B0F0000}"/>
    <cellStyle name="20 % - Markeringsfarve2 2 3 2 5 2 2" xfId="29707" xr:uid="{00000000-0005-0000-0000-00009C0F0000}"/>
    <cellStyle name="20 % - Markeringsfarve2 2 3 2 5 2 3" xfId="44671" xr:uid="{00000000-0005-0000-0000-00009D0F0000}"/>
    <cellStyle name="20 % - Markeringsfarve2 2 3 2 5 3" xfId="22685" xr:uid="{00000000-0005-0000-0000-00009E0F0000}"/>
    <cellStyle name="20 % - Markeringsfarve2 2 3 2 5 4" xfId="37672" xr:uid="{00000000-0005-0000-0000-00009F0F0000}"/>
    <cellStyle name="20 % - Markeringsfarve2 2 3 2 6" xfId="10478" xr:uid="{00000000-0005-0000-0000-0000A00F0000}"/>
    <cellStyle name="20 % - Markeringsfarve2 2 3 2 6 2" xfId="26797" xr:uid="{00000000-0005-0000-0000-0000A10F0000}"/>
    <cellStyle name="20 % - Markeringsfarve2 2 3 2 6 3" xfId="41763" xr:uid="{00000000-0005-0000-0000-0000A20F0000}"/>
    <cellStyle name="20 % - Markeringsfarve2 2 3 2 7" xfId="19775" xr:uid="{00000000-0005-0000-0000-0000A30F0000}"/>
    <cellStyle name="20 % - Markeringsfarve2 2 3 2 8" xfId="34764" xr:uid="{00000000-0005-0000-0000-0000A40F0000}"/>
    <cellStyle name="20 % - Markeringsfarve2 2 3 2 9" xfId="53958" xr:uid="{00000000-0005-0000-0000-0000A50F0000}"/>
    <cellStyle name="20 % - Markeringsfarve2 2 3 3" xfId="1926" xr:uid="{00000000-0005-0000-0000-0000A60F0000}"/>
    <cellStyle name="20 % - Markeringsfarve2 2 3 3 2" xfId="1927" xr:uid="{00000000-0005-0000-0000-0000A70F0000}"/>
    <cellStyle name="20 % - Markeringsfarve2 2 3 3 2 2" xfId="1928" xr:uid="{00000000-0005-0000-0000-0000A80F0000}"/>
    <cellStyle name="20 % - Markeringsfarve2 2 3 3 2 2 2" xfId="7737" xr:uid="{00000000-0005-0000-0000-0000A90F0000}"/>
    <cellStyle name="20 % - Markeringsfarve2 2 3 3 2 2 2 2" xfId="15638" xr:uid="{00000000-0005-0000-0000-0000AA0F0000}"/>
    <cellStyle name="20 % - Markeringsfarve2 2 3 3 2 2 2 2 2" xfId="31952" xr:uid="{00000000-0005-0000-0000-0000AB0F0000}"/>
    <cellStyle name="20 % - Markeringsfarve2 2 3 3 2 2 2 2 3" xfId="46916" xr:uid="{00000000-0005-0000-0000-0000AC0F0000}"/>
    <cellStyle name="20 % - Markeringsfarve2 2 3 3 2 2 2 3" xfId="24930" xr:uid="{00000000-0005-0000-0000-0000AD0F0000}"/>
    <cellStyle name="20 % - Markeringsfarve2 2 3 3 2 2 2 4" xfId="39917" xr:uid="{00000000-0005-0000-0000-0000AE0F0000}"/>
    <cellStyle name="20 % - Markeringsfarve2 2 3 3 2 2 3" xfId="10485" xr:uid="{00000000-0005-0000-0000-0000AF0F0000}"/>
    <cellStyle name="20 % - Markeringsfarve2 2 3 3 2 2 3 2" xfId="26804" xr:uid="{00000000-0005-0000-0000-0000B00F0000}"/>
    <cellStyle name="20 % - Markeringsfarve2 2 3 3 2 2 3 3" xfId="41770" xr:uid="{00000000-0005-0000-0000-0000B10F0000}"/>
    <cellStyle name="20 % - Markeringsfarve2 2 3 3 2 2 4" xfId="19782" xr:uid="{00000000-0005-0000-0000-0000B20F0000}"/>
    <cellStyle name="20 % - Markeringsfarve2 2 3 3 2 2 5" xfId="34771" xr:uid="{00000000-0005-0000-0000-0000B30F0000}"/>
    <cellStyle name="20 % - Markeringsfarve2 2 3 3 2 3" xfId="6301" xr:uid="{00000000-0005-0000-0000-0000B40F0000}"/>
    <cellStyle name="20 % - Markeringsfarve2 2 3 3 2 3 2" xfId="14218" xr:uid="{00000000-0005-0000-0000-0000B50F0000}"/>
    <cellStyle name="20 % - Markeringsfarve2 2 3 3 2 3 2 2" xfId="30532" xr:uid="{00000000-0005-0000-0000-0000B60F0000}"/>
    <cellStyle name="20 % - Markeringsfarve2 2 3 3 2 3 2 3" xfId="45496" xr:uid="{00000000-0005-0000-0000-0000B70F0000}"/>
    <cellStyle name="20 % - Markeringsfarve2 2 3 3 2 3 3" xfId="23510" xr:uid="{00000000-0005-0000-0000-0000B80F0000}"/>
    <cellStyle name="20 % - Markeringsfarve2 2 3 3 2 3 4" xfId="38497" xr:uid="{00000000-0005-0000-0000-0000B90F0000}"/>
    <cellStyle name="20 % - Markeringsfarve2 2 3 3 2 4" xfId="10484" xr:uid="{00000000-0005-0000-0000-0000BA0F0000}"/>
    <cellStyle name="20 % - Markeringsfarve2 2 3 3 2 4 2" xfId="26803" xr:uid="{00000000-0005-0000-0000-0000BB0F0000}"/>
    <cellStyle name="20 % - Markeringsfarve2 2 3 3 2 4 3" xfId="41769" xr:uid="{00000000-0005-0000-0000-0000BC0F0000}"/>
    <cellStyle name="20 % - Markeringsfarve2 2 3 3 2 5" xfId="19781" xr:uid="{00000000-0005-0000-0000-0000BD0F0000}"/>
    <cellStyle name="20 % - Markeringsfarve2 2 3 3 2 6" xfId="34770" xr:uid="{00000000-0005-0000-0000-0000BE0F0000}"/>
    <cellStyle name="20 % - Markeringsfarve2 2 3 3 3" xfId="1929" xr:uid="{00000000-0005-0000-0000-0000BF0F0000}"/>
    <cellStyle name="20 % - Markeringsfarve2 2 3 3 3 2" xfId="6967" xr:uid="{00000000-0005-0000-0000-0000C00F0000}"/>
    <cellStyle name="20 % - Markeringsfarve2 2 3 3 3 2 2" xfId="14878" xr:uid="{00000000-0005-0000-0000-0000C10F0000}"/>
    <cellStyle name="20 % - Markeringsfarve2 2 3 3 3 2 2 2" xfId="31192" xr:uid="{00000000-0005-0000-0000-0000C20F0000}"/>
    <cellStyle name="20 % - Markeringsfarve2 2 3 3 3 2 2 3" xfId="46156" xr:uid="{00000000-0005-0000-0000-0000C30F0000}"/>
    <cellStyle name="20 % - Markeringsfarve2 2 3 3 3 2 3" xfId="24170" xr:uid="{00000000-0005-0000-0000-0000C40F0000}"/>
    <cellStyle name="20 % - Markeringsfarve2 2 3 3 3 2 4" xfId="39157" xr:uid="{00000000-0005-0000-0000-0000C50F0000}"/>
    <cellStyle name="20 % - Markeringsfarve2 2 3 3 3 3" xfId="10486" xr:uid="{00000000-0005-0000-0000-0000C60F0000}"/>
    <cellStyle name="20 % - Markeringsfarve2 2 3 3 3 3 2" xfId="26805" xr:uid="{00000000-0005-0000-0000-0000C70F0000}"/>
    <cellStyle name="20 % - Markeringsfarve2 2 3 3 3 3 3" xfId="41771" xr:uid="{00000000-0005-0000-0000-0000C80F0000}"/>
    <cellStyle name="20 % - Markeringsfarve2 2 3 3 3 4" xfId="19783" xr:uid="{00000000-0005-0000-0000-0000C90F0000}"/>
    <cellStyle name="20 % - Markeringsfarve2 2 3 3 3 5" xfId="34772" xr:uid="{00000000-0005-0000-0000-0000CA0F0000}"/>
    <cellStyle name="20 % - Markeringsfarve2 2 3 3 4" xfId="1930" xr:uid="{00000000-0005-0000-0000-0000CB0F0000}"/>
    <cellStyle name="20 % - Markeringsfarve2 2 3 3 4 2" xfId="7112" xr:uid="{00000000-0005-0000-0000-0000CC0F0000}"/>
    <cellStyle name="20 % - Markeringsfarve2 2 3 3 4 2 2" xfId="15022" xr:uid="{00000000-0005-0000-0000-0000CD0F0000}"/>
    <cellStyle name="20 % - Markeringsfarve2 2 3 3 4 2 2 2" xfId="31336" xr:uid="{00000000-0005-0000-0000-0000CE0F0000}"/>
    <cellStyle name="20 % - Markeringsfarve2 2 3 3 4 2 2 3" xfId="46300" xr:uid="{00000000-0005-0000-0000-0000CF0F0000}"/>
    <cellStyle name="20 % - Markeringsfarve2 2 3 3 4 2 3" xfId="24314" xr:uid="{00000000-0005-0000-0000-0000D00F0000}"/>
    <cellStyle name="20 % - Markeringsfarve2 2 3 3 4 2 4" xfId="39301" xr:uid="{00000000-0005-0000-0000-0000D10F0000}"/>
    <cellStyle name="20 % - Markeringsfarve2 2 3 3 4 3" xfId="10487" xr:uid="{00000000-0005-0000-0000-0000D20F0000}"/>
    <cellStyle name="20 % - Markeringsfarve2 2 3 3 4 3 2" xfId="26806" xr:uid="{00000000-0005-0000-0000-0000D30F0000}"/>
    <cellStyle name="20 % - Markeringsfarve2 2 3 3 4 3 3" xfId="41772" xr:uid="{00000000-0005-0000-0000-0000D40F0000}"/>
    <cellStyle name="20 % - Markeringsfarve2 2 3 3 4 4" xfId="19784" xr:uid="{00000000-0005-0000-0000-0000D50F0000}"/>
    <cellStyle name="20 % - Markeringsfarve2 2 3 3 4 5" xfId="34773" xr:uid="{00000000-0005-0000-0000-0000D60F0000}"/>
    <cellStyle name="20 % - Markeringsfarve2 2 3 3 5" xfId="5476" xr:uid="{00000000-0005-0000-0000-0000D70F0000}"/>
    <cellStyle name="20 % - Markeringsfarve2 2 3 3 5 2" xfId="13394" xr:uid="{00000000-0005-0000-0000-0000D80F0000}"/>
    <cellStyle name="20 % - Markeringsfarve2 2 3 3 5 2 2" xfId="29708" xr:uid="{00000000-0005-0000-0000-0000D90F0000}"/>
    <cellStyle name="20 % - Markeringsfarve2 2 3 3 5 2 3" xfId="44672" xr:uid="{00000000-0005-0000-0000-0000DA0F0000}"/>
    <cellStyle name="20 % - Markeringsfarve2 2 3 3 5 3" xfId="22686" xr:uid="{00000000-0005-0000-0000-0000DB0F0000}"/>
    <cellStyle name="20 % - Markeringsfarve2 2 3 3 5 4" xfId="37673" xr:uid="{00000000-0005-0000-0000-0000DC0F0000}"/>
    <cellStyle name="20 % - Markeringsfarve2 2 3 3 6" xfId="10483" xr:uid="{00000000-0005-0000-0000-0000DD0F0000}"/>
    <cellStyle name="20 % - Markeringsfarve2 2 3 3 6 2" xfId="26802" xr:uid="{00000000-0005-0000-0000-0000DE0F0000}"/>
    <cellStyle name="20 % - Markeringsfarve2 2 3 3 6 3" xfId="41768" xr:uid="{00000000-0005-0000-0000-0000DF0F0000}"/>
    <cellStyle name="20 % - Markeringsfarve2 2 3 3 7" xfId="19780" xr:uid="{00000000-0005-0000-0000-0000E00F0000}"/>
    <cellStyle name="20 % - Markeringsfarve2 2 3 3 8" xfId="34769" xr:uid="{00000000-0005-0000-0000-0000E10F0000}"/>
    <cellStyle name="20 % - Markeringsfarve2 2 3 3 9" xfId="56502" xr:uid="{00000000-0005-0000-0000-0000E20F0000}"/>
    <cellStyle name="20 % - Markeringsfarve2 2 3 4" xfId="1931" xr:uid="{00000000-0005-0000-0000-0000E30F0000}"/>
    <cellStyle name="20 % - Markeringsfarve2 2 3 4 2" xfId="1932" xr:uid="{00000000-0005-0000-0000-0000E40F0000}"/>
    <cellStyle name="20 % - Markeringsfarve2 2 3 4 2 2" xfId="1933" xr:uid="{00000000-0005-0000-0000-0000E50F0000}"/>
    <cellStyle name="20 % - Markeringsfarve2 2 3 4 2 2 2" xfId="7952" xr:uid="{00000000-0005-0000-0000-0000E60F0000}"/>
    <cellStyle name="20 % - Markeringsfarve2 2 3 4 2 2 2 2" xfId="15853" xr:uid="{00000000-0005-0000-0000-0000E70F0000}"/>
    <cellStyle name="20 % - Markeringsfarve2 2 3 4 2 2 2 2 2" xfId="32167" xr:uid="{00000000-0005-0000-0000-0000E80F0000}"/>
    <cellStyle name="20 % - Markeringsfarve2 2 3 4 2 2 2 2 3" xfId="47131" xr:uid="{00000000-0005-0000-0000-0000E90F0000}"/>
    <cellStyle name="20 % - Markeringsfarve2 2 3 4 2 2 2 3" xfId="25145" xr:uid="{00000000-0005-0000-0000-0000EA0F0000}"/>
    <cellStyle name="20 % - Markeringsfarve2 2 3 4 2 2 2 4" xfId="40132" xr:uid="{00000000-0005-0000-0000-0000EB0F0000}"/>
    <cellStyle name="20 % - Markeringsfarve2 2 3 4 2 2 3" xfId="10490" xr:uid="{00000000-0005-0000-0000-0000EC0F0000}"/>
    <cellStyle name="20 % - Markeringsfarve2 2 3 4 2 2 3 2" xfId="26809" xr:uid="{00000000-0005-0000-0000-0000ED0F0000}"/>
    <cellStyle name="20 % - Markeringsfarve2 2 3 4 2 2 3 3" xfId="41775" xr:uid="{00000000-0005-0000-0000-0000EE0F0000}"/>
    <cellStyle name="20 % - Markeringsfarve2 2 3 4 2 2 4" xfId="19787" xr:uid="{00000000-0005-0000-0000-0000EF0F0000}"/>
    <cellStyle name="20 % - Markeringsfarve2 2 3 4 2 2 5" xfId="34776" xr:uid="{00000000-0005-0000-0000-0000F00F0000}"/>
    <cellStyle name="20 % - Markeringsfarve2 2 3 4 2 3" xfId="6483" xr:uid="{00000000-0005-0000-0000-0000F10F0000}"/>
    <cellStyle name="20 % - Markeringsfarve2 2 3 4 2 3 2" xfId="14397" xr:uid="{00000000-0005-0000-0000-0000F20F0000}"/>
    <cellStyle name="20 % - Markeringsfarve2 2 3 4 2 3 2 2" xfId="30711" xr:uid="{00000000-0005-0000-0000-0000F30F0000}"/>
    <cellStyle name="20 % - Markeringsfarve2 2 3 4 2 3 2 3" xfId="45675" xr:uid="{00000000-0005-0000-0000-0000F40F0000}"/>
    <cellStyle name="20 % - Markeringsfarve2 2 3 4 2 3 3" xfId="23689" xr:uid="{00000000-0005-0000-0000-0000F50F0000}"/>
    <cellStyle name="20 % - Markeringsfarve2 2 3 4 2 3 4" xfId="38676" xr:uid="{00000000-0005-0000-0000-0000F60F0000}"/>
    <cellStyle name="20 % - Markeringsfarve2 2 3 4 2 4" xfId="10489" xr:uid="{00000000-0005-0000-0000-0000F70F0000}"/>
    <cellStyle name="20 % - Markeringsfarve2 2 3 4 2 4 2" xfId="26808" xr:uid="{00000000-0005-0000-0000-0000F80F0000}"/>
    <cellStyle name="20 % - Markeringsfarve2 2 3 4 2 4 3" xfId="41774" xr:uid="{00000000-0005-0000-0000-0000F90F0000}"/>
    <cellStyle name="20 % - Markeringsfarve2 2 3 4 2 5" xfId="19786" xr:uid="{00000000-0005-0000-0000-0000FA0F0000}"/>
    <cellStyle name="20 % - Markeringsfarve2 2 3 4 2 6" xfId="34775" xr:uid="{00000000-0005-0000-0000-0000FB0F0000}"/>
    <cellStyle name="20 % - Markeringsfarve2 2 3 4 3" xfId="1934" xr:uid="{00000000-0005-0000-0000-0000FC0F0000}"/>
    <cellStyle name="20 % - Markeringsfarve2 2 3 4 3 2" xfId="7228" xr:uid="{00000000-0005-0000-0000-0000FD0F0000}"/>
    <cellStyle name="20 % - Markeringsfarve2 2 3 4 3 2 2" xfId="15138" xr:uid="{00000000-0005-0000-0000-0000FE0F0000}"/>
    <cellStyle name="20 % - Markeringsfarve2 2 3 4 3 2 2 2" xfId="31452" xr:uid="{00000000-0005-0000-0000-0000FF0F0000}"/>
    <cellStyle name="20 % - Markeringsfarve2 2 3 4 3 2 2 3" xfId="46416" xr:uid="{00000000-0005-0000-0000-000000100000}"/>
    <cellStyle name="20 % - Markeringsfarve2 2 3 4 3 2 3" xfId="24430" xr:uid="{00000000-0005-0000-0000-000001100000}"/>
    <cellStyle name="20 % - Markeringsfarve2 2 3 4 3 2 4" xfId="39417" xr:uid="{00000000-0005-0000-0000-000002100000}"/>
    <cellStyle name="20 % - Markeringsfarve2 2 3 4 3 3" xfId="10491" xr:uid="{00000000-0005-0000-0000-000003100000}"/>
    <cellStyle name="20 % - Markeringsfarve2 2 3 4 3 3 2" xfId="26810" xr:uid="{00000000-0005-0000-0000-000004100000}"/>
    <cellStyle name="20 % - Markeringsfarve2 2 3 4 3 3 3" xfId="41776" xr:uid="{00000000-0005-0000-0000-000005100000}"/>
    <cellStyle name="20 % - Markeringsfarve2 2 3 4 3 4" xfId="19788" xr:uid="{00000000-0005-0000-0000-000006100000}"/>
    <cellStyle name="20 % - Markeringsfarve2 2 3 4 3 5" xfId="34777" xr:uid="{00000000-0005-0000-0000-000007100000}"/>
    <cellStyle name="20 % - Markeringsfarve2 2 3 4 4" xfId="1935" xr:uid="{00000000-0005-0000-0000-000008100000}"/>
    <cellStyle name="20 % - Markeringsfarve2 2 3 4 4 2" xfId="7104" xr:uid="{00000000-0005-0000-0000-000009100000}"/>
    <cellStyle name="20 % - Markeringsfarve2 2 3 4 4 2 2" xfId="15014" xr:uid="{00000000-0005-0000-0000-00000A100000}"/>
    <cellStyle name="20 % - Markeringsfarve2 2 3 4 4 2 2 2" xfId="31328" xr:uid="{00000000-0005-0000-0000-00000B100000}"/>
    <cellStyle name="20 % - Markeringsfarve2 2 3 4 4 2 2 3" xfId="46292" xr:uid="{00000000-0005-0000-0000-00000C100000}"/>
    <cellStyle name="20 % - Markeringsfarve2 2 3 4 4 2 3" xfId="24306" xr:uid="{00000000-0005-0000-0000-00000D100000}"/>
    <cellStyle name="20 % - Markeringsfarve2 2 3 4 4 2 4" xfId="39293" xr:uid="{00000000-0005-0000-0000-00000E100000}"/>
    <cellStyle name="20 % - Markeringsfarve2 2 3 4 4 3" xfId="10492" xr:uid="{00000000-0005-0000-0000-00000F100000}"/>
    <cellStyle name="20 % - Markeringsfarve2 2 3 4 4 3 2" xfId="26811" xr:uid="{00000000-0005-0000-0000-000010100000}"/>
    <cellStyle name="20 % - Markeringsfarve2 2 3 4 4 3 3" xfId="41777" xr:uid="{00000000-0005-0000-0000-000011100000}"/>
    <cellStyle name="20 % - Markeringsfarve2 2 3 4 4 4" xfId="19789" xr:uid="{00000000-0005-0000-0000-000012100000}"/>
    <cellStyle name="20 % - Markeringsfarve2 2 3 4 4 5" xfId="34778" xr:uid="{00000000-0005-0000-0000-000013100000}"/>
    <cellStyle name="20 % - Markeringsfarve2 2 3 4 5" xfId="5477" xr:uid="{00000000-0005-0000-0000-000014100000}"/>
    <cellStyle name="20 % - Markeringsfarve2 2 3 4 5 2" xfId="13395" xr:uid="{00000000-0005-0000-0000-000015100000}"/>
    <cellStyle name="20 % - Markeringsfarve2 2 3 4 5 2 2" xfId="29709" xr:uid="{00000000-0005-0000-0000-000016100000}"/>
    <cellStyle name="20 % - Markeringsfarve2 2 3 4 5 2 3" xfId="44673" xr:uid="{00000000-0005-0000-0000-000017100000}"/>
    <cellStyle name="20 % - Markeringsfarve2 2 3 4 5 3" xfId="22687" xr:uid="{00000000-0005-0000-0000-000018100000}"/>
    <cellStyle name="20 % - Markeringsfarve2 2 3 4 5 4" xfId="37674" xr:uid="{00000000-0005-0000-0000-000019100000}"/>
    <cellStyle name="20 % - Markeringsfarve2 2 3 4 6" xfId="10488" xr:uid="{00000000-0005-0000-0000-00001A100000}"/>
    <cellStyle name="20 % - Markeringsfarve2 2 3 4 6 2" xfId="26807" xr:uid="{00000000-0005-0000-0000-00001B100000}"/>
    <cellStyle name="20 % - Markeringsfarve2 2 3 4 6 3" xfId="41773" xr:uid="{00000000-0005-0000-0000-00001C100000}"/>
    <cellStyle name="20 % - Markeringsfarve2 2 3 4 7" xfId="19785" xr:uid="{00000000-0005-0000-0000-00001D100000}"/>
    <cellStyle name="20 % - Markeringsfarve2 2 3 4 8" xfId="34774" xr:uid="{00000000-0005-0000-0000-00001E100000}"/>
    <cellStyle name="20 % - Markeringsfarve2 2 3 5" xfId="1936" xr:uid="{00000000-0005-0000-0000-00001F100000}"/>
    <cellStyle name="20 % - Markeringsfarve2 2 3 5 2" xfId="1937" xr:uid="{00000000-0005-0000-0000-000020100000}"/>
    <cellStyle name="20 % - Markeringsfarve2 2 3 5 2 2" xfId="1938" xr:uid="{00000000-0005-0000-0000-000021100000}"/>
    <cellStyle name="20 % - Markeringsfarve2 2 3 5 2 2 2" xfId="8069" xr:uid="{00000000-0005-0000-0000-000022100000}"/>
    <cellStyle name="20 % - Markeringsfarve2 2 3 5 2 2 2 2" xfId="15970" xr:uid="{00000000-0005-0000-0000-000023100000}"/>
    <cellStyle name="20 % - Markeringsfarve2 2 3 5 2 2 2 2 2" xfId="32284" xr:uid="{00000000-0005-0000-0000-000024100000}"/>
    <cellStyle name="20 % - Markeringsfarve2 2 3 5 2 2 2 2 3" xfId="47248" xr:uid="{00000000-0005-0000-0000-000025100000}"/>
    <cellStyle name="20 % - Markeringsfarve2 2 3 5 2 2 2 3" xfId="25262" xr:uid="{00000000-0005-0000-0000-000026100000}"/>
    <cellStyle name="20 % - Markeringsfarve2 2 3 5 2 2 2 4" xfId="40249" xr:uid="{00000000-0005-0000-0000-000027100000}"/>
    <cellStyle name="20 % - Markeringsfarve2 2 3 5 2 2 3" xfId="10495" xr:uid="{00000000-0005-0000-0000-000028100000}"/>
    <cellStyle name="20 % - Markeringsfarve2 2 3 5 2 2 3 2" xfId="26814" xr:uid="{00000000-0005-0000-0000-000029100000}"/>
    <cellStyle name="20 % - Markeringsfarve2 2 3 5 2 2 3 3" xfId="41780" xr:uid="{00000000-0005-0000-0000-00002A100000}"/>
    <cellStyle name="20 % - Markeringsfarve2 2 3 5 2 2 4" xfId="19792" xr:uid="{00000000-0005-0000-0000-00002B100000}"/>
    <cellStyle name="20 % - Markeringsfarve2 2 3 5 2 2 5" xfId="34781" xr:uid="{00000000-0005-0000-0000-00002C100000}"/>
    <cellStyle name="20 % - Markeringsfarve2 2 3 5 2 3" xfId="6582" xr:uid="{00000000-0005-0000-0000-00002D100000}"/>
    <cellStyle name="20 % - Markeringsfarve2 2 3 5 2 3 2" xfId="14496" xr:uid="{00000000-0005-0000-0000-00002E100000}"/>
    <cellStyle name="20 % - Markeringsfarve2 2 3 5 2 3 2 2" xfId="30810" xr:uid="{00000000-0005-0000-0000-00002F100000}"/>
    <cellStyle name="20 % - Markeringsfarve2 2 3 5 2 3 2 3" xfId="45774" xr:uid="{00000000-0005-0000-0000-000030100000}"/>
    <cellStyle name="20 % - Markeringsfarve2 2 3 5 2 3 3" xfId="23788" xr:uid="{00000000-0005-0000-0000-000031100000}"/>
    <cellStyle name="20 % - Markeringsfarve2 2 3 5 2 3 4" xfId="38775" xr:uid="{00000000-0005-0000-0000-000032100000}"/>
    <cellStyle name="20 % - Markeringsfarve2 2 3 5 2 4" xfId="10494" xr:uid="{00000000-0005-0000-0000-000033100000}"/>
    <cellStyle name="20 % - Markeringsfarve2 2 3 5 2 4 2" xfId="26813" xr:uid="{00000000-0005-0000-0000-000034100000}"/>
    <cellStyle name="20 % - Markeringsfarve2 2 3 5 2 4 3" xfId="41779" xr:uid="{00000000-0005-0000-0000-000035100000}"/>
    <cellStyle name="20 % - Markeringsfarve2 2 3 5 2 5" xfId="19791" xr:uid="{00000000-0005-0000-0000-000036100000}"/>
    <cellStyle name="20 % - Markeringsfarve2 2 3 5 2 6" xfId="34780" xr:uid="{00000000-0005-0000-0000-000037100000}"/>
    <cellStyle name="20 % - Markeringsfarve2 2 3 5 3" xfId="1939" xr:uid="{00000000-0005-0000-0000-000038100000}"/>
    <cellStyle name="20 % - Markeringsfarve2 2 3 5 3 2" xfId="7345" xr:uid="{00000000-0005-0000-0000-000039100000}"/>
    <cellStyle name="20 % - Markeringsfarve2 2 3 5 3 2 2" xfId="15255" xr:uid="{00000000-0005-0000-0000-00003A100000}"/>
    <cellStyle name="20 % - Markeringsfarve2 2 3 5 3 2 2 2" xfId="31569" xr:uid="{00000000-0005-0000-0000-00003B100000}"/>
    <cellStyle name="20 % - Markeringsfarve2 2 3 5 3 2 2 3" xfId="46533" xr:uid="{00000000-0005-0000-0000-00003C100000}"/>
    <cellStyle name="20 % - Markeringsfarve2 2 3 5 3 2 3" xfId="24547" xr:uid="{00000000-0005-0000-0000-00003D100000}"/>
    <cellStyle name="20 % - Markeringsfarve2 2 3 5 3 2 4" xfId="39534" xr:uid="{00000000-0005-0000-0000-00003E100000}"/>
    <cellStyle name="20 % - Markeringsfarve2 2 3 5 3 3" xfId="10496" xr:uid="{00000000-0005-0000-0000-00003F100000}"/>
    <cellStyle name="20 % - Markeringsfarve2 2 3 5 3 3 2" xfId="26815" xr:uid="{00000000-0005-0000-0000-000040100000}"/>
    <cellStyle name="20 % - Markeringsfarve2 2 3 5 3 3 3" xfId="41781" xr:uid="{00000000-0005-0000-0000-000041100000}"/>
    <cellStyle name="20 % - Markeringsfarve2 2 3 5 3 4" xfId="19793" xr:uid="{00000000-0005-0000-0000-000042100000}"/>
    <cellStyle name="20 % - Markeringsfarve2 2 3 5 3 5" xfId="34782" xr:uid="{00000000-0005-0000-0000-000043100000}"/>
    <cellStyle name="20 % - Markeringsfarve2 2 3 5 4" xfId="1940" xr:uid="{00000000-0005-0000-0000-000044100000}"/>
    <cellStyle name="20 % - Markeringsfarve2 2 3 5 4 2" xfId="7117" xr:uid="{00000000-0005-0000-0000-000045100000}"/>
    <cellStyle name="20 % - Markeringsfarve2 2 3 5 4 2 2" xfId="15027" xr:uid="{00000000-0005-0000-0000-000046100000}"/>
    <cellStyle name="20 % - Markeringsfarve2 2 3 5 4 2 2 2" xfId="31341" xr:uid="{00000000-0005-0000-0000-000047100000}"/>
    <cellStyle name="20 % - Markeringsfarve2 2 3 5 4 2 2 3" xfId="46305" xr:uid="{00000000-0005-0000-0000-000048100000}"/>
    <cellStyle name="20 % - Markeringsfarve2 2 3 5 4 2 3" xfId="24319" xr:uid="{00000000-0005-0000-0000-000049100000}"/>
    <cellStyle name="20 % - Markeringsfarve2 2 3 5 4 2 4" xfId="39306" xr:uid="{00000000-0005-0000-0000-00004A100000}"/>
    <cellStyle name="20 % - Markeringsfarve2 2 3 5 4 3" xfId="10497" xr:uid="{00000000-0005-0000-0000-00004B100000}"/>
    <cellStyle name="20 % - Markeringsfarve2 2 3 5 4 3 2" xfId="26816" xr:uid="{00000000-0005-0000-0000-00004C100000}"/>
    <cellStyle name="20 % - Markeringsfarve2 2 3 5 4 3 3" xfId="41782" xr:uid="{00000000-0005-0000-0000-00004D100000}"/>
    <cellStyle name="20 % - Markeringsfarve2 2 3 5 4 4" xfId="19794" xr:uid="{00000000-0005-0000-0000-00004E100000}"/>
    <cellStyle name="20 % - Markeringsfarve2 2 3 5 4 5" xfId="34783" xr:uid="{00000000-0005-0000-0000-00004F100000}"/>
    <cellStyle name="20 % - Markeringsfarve2 2 3 5 5" xfId="5478" xr:uid="{00000000-0005-0000-0000-000050100000}"/>
    <cellStyle name="20 % - Markeringsfarve2 2 3 5 5 2" xfId="13396" xr:uid="{00000000-0005-0000-0000-000051100000}"/>
    <cellStyle name="20 % - Markeringsfarve2 2 3 5 5 2 2" xfId="29710" xr:uid="{00000000-0005-0000-0000-000052100000}"/>
    <cellStyle name="20 % - Markeringsfarve2 2 3 5 5 2 3" xfId="44674" xr:uid="{00000000-0005-0000-0000-000053100000}"/>
    <cellStyle name="20 % - Markeringsfarve2 2 3 5 5 3" xfId="22688" xr:uid="{00000000-0005-0000-0000-000054100000}"/>
    <cellStyle name="20 % - Markeringsfarve2 2 3 5 5 4" xfId="37675" xr:uid="{00000000-0005-0000-0000-000055100000}"/>
    <cellStyle name="20 % - Markeringsfarve2 2 3 5 6" xfId="10493" xr:uid="{00000000-0005-0000-0000-000056100000}"/>
    <cellStyle name="20 % - Markeringsfarve2 2 3 5 6 2" xfId="26812" xr:uid="{00000000-0005-0000-0000-000057100000}"/>
    <cellStyle name="20 % - Markeringsfarve2 2 3 5 6 3" xfId="41778" xr:uid="{00000000-0005-0000-0000-000058100000}"/>
    <cellStyle name="20 % - Markeringsfarve2 2 3 5 7" xfId="19790" xr:uid="{00000000-0005-0000-0000-000059100000}"/>
    <cellStyle name="20 % - Markeringsfarve2 2 3 5 8" xfId="34779" xr:uid="{00000000-0005-0000-0000-00005A100000}"/>
    <cellStyle name="20 % - Markeringsfarve2 2 3 6" xfId="1941" xr:uid="{00000000-0005-0000-0000-00005B100000}"/>
    <cellStyle name="20 % - Markeringsfarve2 2 3 6 2" xfId="1942" xr:uid="{00000000-0005-0000-0000-00005C100000}"/>
    <cellStyle name="20 % - Markeringsfarve2 2 3 6 2 2" xfId="1943" xr:uid="{00000000-0005-0000-0000-00005D100000}"/>
    <cellStyle name="20 % - Markeringsfarve2 2 3 6 2 2 2" xfId="8092" xr:uid="{00000000-0005-0000-0000-00005E100000}"/>
    <cellStyle name="20 % - Markeringsfarve2 2 3 6 2 2 2 2" xfId="15993" xr:uid="{00000000-0005-0000-0000-00005F100000}"/>
    <cellStyle name="20 % - Markeringsfarve2 2 3 6 2 2 2 2 2" xfId="32307" xr:uid="{00000000-0005-0000-0000-000060100000}"/>
    <cellStyle name="20 % - Markeringsfarve2 2 3 6 2 2 2 2 3" xfId="47271" xr:uid="{00000000-0005-0000-0000-000061100000}"/>
    <cellStyle name="20 % - Markeringsfarve2 2 3 6 2 2 2 3" xfId="25285" xr:uid="{00000000-0005-0000-0000-000062100000}"/>
    <cellStyle name="20 % - Markeringsfarve2 2 3 6 2 2 2 4" xfId="40272" xr:uid="{00000000-0005-0000-0000-000063100000}"/>
    <cellStyle name="20 % - Markeringsfarve2 2 3 6 2 2 3" xfId="10500" xr:uid="{00000000-0005-0000-0000-000064100000}"/>
    <cellStyle name="20 % - Markeringsfarve2 2 3 6 2 2 3 2" xfId="26819" xr:uid="{00000000-0005-0000-0000-000065100000}"/>
    <cellStyle name="20 % - Markeringsfarve2 2 3 6 2 2 3 3" xfId="41785" xr:uid="{00000000-0005-0000-0000-000066100000}"/>
    <cellStyle name="20 % - Markeringsfarve2 2 3 6 2 2 4" xfId="19797" xr:uid="{00000000-0005-0000-0000-000067100000}"/>
    <cellStyle name="20 % - Markeringsfarve2 2 3 6 2 2 5" xfId="34786" xr:uid="{00000000-0005-0000-0000-000068100000}"/>
    <cellStyle name="20 % - Markeringsfarve2 2 3 6 2 3" xfId="6603" xr:uid="{00000000-0005-0000-0000-000069100000}"/>
    <cellStyle name="20 % - Markeringsfarve2 2 3 6 2 3 2" xfId="14517" xr:uid="{00000000-0005-0000-0000-00006A100000}"/>
    <cellStyle name="20 % - Markeringsfarve2 2 3 6 2 3 2 2" xfId="30831" xr:uid="{00000000-0005-0000-0000-00006B100000}"/>
    <cellStyle name="20 % - Markeringsfarve2 2 3 6 2 3 2 3" xfId="45795" xr:uid="{00000000-0005-0000-0000-00006C100000}"/>
    <cellStyle name="20 % - Markeringsfarve2 2 3 6 2 3 3" xfId="23809" xr:uid="{00000000-0005-0000-0000-00006D100000}"/>
    <cellStyle name="20 % - Markeringsfarve2 2 3 6 2 3 4" xfId="38796" xr:uid="{00000000-0005-0000-0000-00006E100000}"/>
    <cellStyle name="20 % - Markeringsfarve2 2 3 6 2 4" xfId="10499" xr:uid="{00000000-0005-0000-0000-00006F100000}"/>
    <cellStyle name="20 % - Markeringsfarve2 2 3 6 2 4 2" xfId="26818" xr:uid="{00000000-0005-0000-0000-000070100000}"/>
    <cellStyle name="20 % - Markeringsfarve2 2 3 6 2 4 3" xfId="41784" xr:uid="{00000000-0005-0000-0000-000071100000}"/>
    <cellStyle name="20 % - Markeringsfarve2 2 3 6 2 5" xfId="19796" xr:uid="{00000000-0005-0000-0000-000072100000}"/>
    <cellStyle name="20 % - Markeringsfarve2 2 3 6 2 6" xfId="34785" xr:uid="{00000000-0005-0000-0000-000073100000}"/>
    <cellStyle name="20 % - Markeringsfarve2 2 3 6 3" xfId="1944" xr:uid="{00000000-0005-0000-0000-000074100000}"/>
    <cellStyle name="20 % - Markeringsfarve2 2 3 6 3 2" xfId="7369" xr:uid="{00000000-0005-0000-0000-000075100000}"/>
    <cellStyle name="20 % - Markeringsfarve2 2 3 6 3 2 2" xfId="15279" xr:uid="{00000000-0005-0000-0000-000076100000}"/>
    <cellStyle name="20 % - Markeringsfarve2 2 3 6 3 2 2 2" xfId="31593" xr:uid="{00000000-0005-0000-0000-000077100000}"/>
    <cellStyle name="20 % - Markeringsfarve2 2 3 6 3 2 2 3" xfId="46557" xr:uid="{00000000-0005-0000-0000-000078100000}"/>
    <cellStyle name="20 % - Markeringsfarve2 2 3 6 3 2 3" xfId="24571" xr:uid="{00000000-0005-0000-0000-000079100000}"/>
    <cellStyle name="20 % - Markeringsfarve2 2 3 6 3 2 4" xfId="39558" xr:uid="{00000000-0005-0000-0000-00007A100000}"/>
    <cellStyle name="20 % - Markeringsfarve2 2 3 6 3 3" xfId="10501" xr:uid="{00000000-0005-0000-0000-00007B100000}"/>
    <cellStyle name="20 % - Markeringsfarve2 2 3 6 3 3 2" xfId="26820" xr:uid="{00000000-0005-0000-0000-00007C100000}"/>
    <cellStyle name="20 % - Markeringsfarve2 2 3 6 3 3 3" xfId="41786" xr:uid="{00000000-0005-0000-0000-00007D100000}"/>
    <cellStyle name="20 % - Markeringsfarve2 2 3 6 3 4" xfId="19798" xr:uid="{00000000-0005-0000-0000-00007E100000}"/>
    <cellStyle name="20 % - Markeringsfarve2 2 3 6 3 5" xfId="34787" xr:uid="{00000000-0005-0000-0000-00007F100000}"/>
    <cellStyle name="20 % - Markeringsfarve2 2 3 6 4" xfId="1945" xr:uid="{00000000-0005-0000-0000-000080100000}"/>
    <cellStyle name="20 % - Markeringsfarve2 2 3 6 4 2" xfId="7118" xr:uid="{00000000-0005-0000-0000-000081100000}"/>
    <cellStyle name="20 % - Markeringsfarve2 2 3 6 4 2 2" xfId="15028" xr:uid="{00000000-0005-0000-0000-000082100000}"/>
    <cellStyle name="20 % - Markeringsfarve2 2 3 6 4 2 2 2" xfId="31342" xr:uid="{00000000-0005-0000-0000-000083100000}"/>
    <cellStyle name="20 % - Markeringsfarve2 2 3 6 4 2 2 3" xfId="46306" xr:uid="{00000000-0005-0000-0000-000084100000}"/>
    <cellStyle name="20 % - Markeringsfarve2 2 3 6 4 2 3" xfId="24320" xr:uid="{00000000-0005-0000-0000-000085100000}"/>
    <cellStyle name="20 % - Markeringsfarve2 2 3 6 4 2 4" xfId="39307" xr:uid="{00000000-0005-0000-0000-000086100000}"/>
    <cellStyle name="20 % - Markeringsfarve2 2 3 6 4 3" xfId="10502" xr:uid="{00000000-0005-0000-0000-000087100000}"/>
    <cellStyle name="20 % - Markeringsfarve2 2 3 6 4 3 2" xfId="26821" xr:uid="{00000000-0005-0000-0000-000088100000}"/>
    <cellStyle name="20 % - Markeringsfarve2 2 3 6 4 3 3" xfId="41787" xr:uid="{00000000-0005-0000-0000-000089100000}"/>
    <cellStyle name="20 % - Markeringsfarve2 2 3 6 4 4" xfId="19799" xr:uid="{00000000-0005-0000-0000-00008A100000}"/>
    <cellStyle name="20 % - Markeringsfarve2 2 3 6 4 5" xfId="34788" xr:uid="{00000000-0005-0000-0000-00008B100000}"/>
    <cellStyle name="20 % - Markeringsfarve2 2 3 6 5" xfId="5479" xr:uid="{00000000-0005-0000-0000-00008C100000}"/>
    <cellStyle name="20 % - Markeringsfarve2 2 3 6 5 2" xfId="13397" xr:uid="{00000000-0005-0000-0000-00008D100000}"/>
    <cellStyle name="20 % - Markeringsfarve2 2 3 6 5 2 2" xfId="29711" xr:uid="{00000000-0005-0000-0000-00008E100000}"/>
    <cellStyle name="20 % - Markeringsfarve2 2 3 6 5 2 3" xfId="44675" xr:uid="{00000000-0005-0000-0000-00008F100000}"/>
    <cellStyle name="20 % - Markeringsfarve2 2 3 6 5 3" xfId="22689" xr:uid="{00000000-0005-0000-0000-000090100000}"/>
    <cellStyle name="20 % - Markeringsfarve2 2 3 6 5 4" xfId="37676" xr:uid="{00000000-0005-0000-0000-000091100000}"/>
    <cellStyle name="20 % - Markeringsfarve2 2 3 6 6" xfId="10498" xr:uid="{00000000-0005-0000-0000-000092100000}"/>
    <cellStyle name="20 % - Markeringsfarve2 2 3 6 6 2" xfId="26817" xr:uid="{00000000-0005-0000-0000-000093100000}"/>
    <cellStyle name="20 % - Markeringsfarve2 2 3 6 6 3" xfId="41783" xr:uid="{00000000-0005-0000-0000-000094100000}"/>
    <cellStyle name="20 % - Markeringsfarve2 2 3 6 7" xfId="19795" xr:uid="{00000000-0005-0000-0000-000095100000}"/>
    <cellStyle name="20 % - Markeringsfarve2 2 3 6 8" xfId="34784" xr:uid="{00000000-0005-0000-0000-000096100000}"/>
    <cellStyle name="20 % - Markeringsfarve2 2 3 7" xfId="1946" xr:uid="{00000000-0005-0000-0000-000097100000}"/>
    <cellStyle name="20 % - Markeringsfarve2 2 3 7 2" xfId="1947" xr:uid="{00000000-0005-0000-0000-000098100000}"/>
    <cellStyle name="20 % - Markeringsfarve2 2 3 7 2 2" xfId="7595" xr:uid="{00000000-0005-0000-0000-000099100000}"/>
    <cellStyle name="20 % - Markeringsfarve2 2 3 7 2 2 2" xfId="15496" xr:uid="{00000000-0005-0000-0000-00009A100000}"/>
    <cellStyle name="20 % - Markeringsfarve2 2 3 7 2 2 2 2" xfId="31810" xr:uid="{00000000-0005-0000-0000-00009B100000}"/>
    <cellStyle name="20 % - Markeringsfarve2 2 3 7 2 2 2 3" xfId="46774" xr:uid="{00000000-0005-0000-0000-00009C100000}"/>
    <cellStyle name="20 % - Markeringsfarve2 2 3 7 2 2 3" xfId="24788" xr:uid="{00000000-0005-0000-0000-00009D100000}"/>
    <cellStyle name="20 % - Markeringsfarve2 2 3 7 2 2 4" xfId="39775" xr:uid="{00000000-0005-0000-0000-00009E100000}"/>
    <cellStyle name="20 % - Markeringsfarve2 2 3 7 2 3" xfId="10504" xr:uid="{00000000-0005-0000-0000-00009F100000}"/>
    <cellStyle name="20 % - Markeringsfarve2 2 3 7 2 3 2" xfId="26823" xr:uid="{00000000-0005-0000-0000-0000A0100000}"/>
    <cellStyle name="20 % - Markeringsfarve2 2 3 7 2 3 3" xfId="41789" xr:uid="{00000000-0005-0000-0000-0000A1100000}"/>
    <cellStyle name="20 % - Markeringsfarve2 2 3 7 2 4" xfId="19801" xr:uid="{00000000-0005-0000-0000-0000A2100000}"/>
    <cellStyle name="20 % - Markeringsfarve2 2 3 7 2 5" xfId="34790" xr:uid="{00000000-0005-0000-0000-0000A3100000}"/>
    <cellStyle name="20 % - Markeringsfarve2 2 3 7 3" xfId="6182" xr:uid="{00000000-0005-0000-0000-0000A4100000}"/>
    <cellStyle name="20 % - Markeringsfarve2 2 3 7 3 2" xfId="14099" xr:uid="{00000000-0005-0000-0000-0000A5100000}"/>
    <cellStyle name="20 % - Markeringsfarve2 2 3 7 3 2 2" xfId="30413" xr:uid="{00000000-0005-0000-0000-0000A6100000}"/>
    <cellStyle name="20 % - Markeringsfarve2 2 3 7 3 2 3" xfId="45377" xr:uid="{00000000-0005-0000-0000-0000A7100000}"/>
    <cellStyle name="20 % - Markeringsfarve2 2 3 7 3 3" xfId="23391" xr:uid="{00000000-0005-0000-0000-0000A8100000}"/>
    <cellStyle name="20 % - Markeringsfarve2 2 3 7 3 4" xfId="38378" xr:uid="{00000000-0005-0000-0000-0000A9100000}"/>
    <cellStyle name="20 % - Markeringsfarve2 2 3 7 4" xfId="10503" xr:uid="{00000000-0005-0000-0000-0000AA100000}"/>
    <cellStyle name="20 % - Markeringsfarve2 2 3 7 4 2" xfId="26822" xr:uid="{00000000-0005-0000-0000-0000AB100000}"/>
    <cellStyle name="20 % - Markeringsfarve2 2 3 7 4 3" xfId="41788" xr:uid="{00000000-0005-0000-0000-0000AC100000}"/>
    <cellStyle name="20 % - Markeringsfarve2 2 3 7 5" xfId="19800" xr:uid="{00000000-0005-0000-0000-0000AD100000}"/>
    <cellStyle name="20 % - Markeringsfarve2 2 3 7 6" xfId="34789" xr:uid="{00000000-0005-0000-0000-0000AE100000}"/>
    <cellStyle name="20 % - Markeringsfarve2 2 3 8" xfId="1948" xr:uid="{00000000-0005-0000-0000-0000AF100000}"/>
    <cellStyle name="20 % - Markeringsfarve2 2 3 8 2" xfId="6823" xr:uid="{00000000-0005-0000-0000-0000B0100000}"/>
    <cellStyle name="20 % - Markeringsfarve2 2 3 8 2 2" xfId="14734" xr:uid="{00000000-0005-0000-0000-0000B1100000}"/>
    <cellStyle name="20 % - Markeringsfarve2 2 3 8 2 2 2" xfId="31048" xr:uid="{00000000-0005-0000-0000-0000B2100000}"/>
    <cellStyle name="20 % - Markeringsfarve2 2 3 8 2 2 3" xfId="46012" xr:uid="{00000000-0005-0000-0000-0000B3100000}"/>
    <cellStyle name="20 % - Markeringsfarve2 2 3 8 2 3" xfId="24026" xr:uid="{00000000-0005-0000-0000-0000B4100000}"/>
    <cellStyle name="20 % - Markeringsfarve2 2 3 8 2 4" xfId="39013" xr:uid="{00000000-0005-0000-0000-0000B5100000}"/>
    <cellStyle name="20 % - Markeringsfarve2 2 3 8 3" xfId="10505" xr:uid="{00000000-0005-0000-0000-0000B6100000}"/>
    <cellStyle name="20 % - Markeringsfarve2 2 3 8 3 2" xfId="26824" xr:uid="{00000000-0005-0000-0000-0000B7100000}"/>
    <cellStyle name="20 % - Markeringsfarve2 2 3 8 3 3" xfId="41790" xr:uid="{00000000-0005-0000-0000-0000B8100000}"/>
    <cellStyle name="20 % - Markeringsfarve2 2 3 8 4" xfId="19802" xr:uid="{00000000-0005-0000-0000-0000B9100000}"/>
    <cellStyle name="20 % - Markeringsfarve2 2 3 8 5" xfId="34791" xr:uid="{00000000-0005-0000-0000-0000BA100000}"/>
    <cellStyle name="20 % - Markeringsfarve2 2 3 9" xfId="1949" xr:uid="{00000000-0005-0000-0000-0000BB100000}"/>
    <cellStyle name="20 % - Markeringsfarve2 2 3 9 2" xfId="7110" xr:uid="{00000000-0005-0000-0000-0000BC100000}"/>
    <cellStyle name="20 % - Markeringsfarve2 2 3 9 2 2" xfId="15020" xr:uid="{00000000-0005-0000-0000-0000BD100000}"/>
    <cellStyle name="20 % - Markeringsfarve2 2 3 9 2 2 2" xfId="31334" xr:uid="{00000000-0005-0000-0000-0000BE100000}"/>
    <cellStyle name="20 % - Markeringsfarve2 2 3 9 2 2 3" xfId="46298" xr:uid="{00000000-0005-0000-0000-0000BF100000}"/>
    <cellStyle name="20 % - Markeringsfarve2 2 3 9 2 3" xfId="24312" xr:uid="{00000000-0005-0000-0000-0000C0100000}"/>
    <cellStyle name="20 % - Markeringsfarve2 2 3 9 2 4" xfId="39299" xr:uid="{00000000-0005-0000-0000-0000C1100000}"/>
    <cellStyle name="20 % - Markeringsfarve2 2 3 9 3" xfId="10506" xr:uid="{00000000-0005-0000-0000-0000C2100000}"/>
    <cellStyle name="20 % - Markeringsfarve2 2 3 9 3 2" xfId="26825" xr:uid="{00000000-0005-0000-0000-0000C3100000}"/>
    <cellStyle name="20 % - Markeringsfarve2 2 3 9 3 3" xfId="41791" xr:uid="{00000000-0005-0000-0000-0000C4100000}"/>
    <cellStyle name="20 % - Markeringsfarve2 2 3 9 4" xfId="19803" xr:uid="{00000000-0005-0000-0000-0000C5100000}"/>
    <cellStyle name="20 % - Markeringsfarve2 2 3 9 5" xfId="34792" xr:uid="{00000000-0005-0000-0000-0000C6100000}"/>
    <cellStyle name="20 % - Markeringsfarve2 2 4" xfId="1950" xr:uid="{00000000-0005-0000-0000-0000C7100000}"/>
    <cellStyle name="20 % - Markeringsfarve2 2 4 2" xfId="1951" xr:uid="{00000000-0005-0000-0000-0000C8100000}"/>
    <cellStyle name="20 % - Markeringsfarve2 2 4 2 2" xfId="1952" xr:uid="{00000000-0005-0000-0000-0000C9100000}"/>
    <cellStyle name="20 % - Markeringsfarve2 2 4 2 2 2" xfId="7636" xr:uid="{00000000-0005-0000-0000-0000CA100000}"/>
    <cellStyle name="20 % - Markeringsfarve2 2 4 2 2 2 2" xfId="15537" xr:uid="{00000000-0005-0000-0000-0000CB100000}"/>
    <cellStyle name="20 % - Markeringsfarve2 2 4 2 2 2 2 2" xfId="31851" xr:uid="{00000000-0005-0000-0000-0000CC100000}"/>
    <cellStyle name="20 % - Markeringsfarve2 2 4 2 2 2 2 3" xfId="46815" xr:uid="{00000000-0005-0000-0000-0000CD100000}"/>
    <cellStyle name="20 % - Markeringsfarve2 2 4 2 2 2 3" xfId="24829" xr:uid="{00000000-0005-0000-0000-0000CE100000}"/>
    <cellStyle name="20 % - Markeringsfarve2 2 4 2 2 2 4" xfId="39816" xr:uid="{00000000-0005-0000-0000-0000CF100000}"/>
    <cellStyle name="20 % - Markeringsfarve2 2 4 2 2 3" xfId="10509" xr:uid="{00000000-0005-0000-0000-0000D0100000}"/>
    <cellStyle name="20 % - Markeringsfarve2 2 4 2 2 3 2" xfId="26828" xr:uid="{00000000-0005-0000-0000-0000D1100000}"/>
    <cellStyle name="20 % - Markeringsfarve2 2 4 2 2 3 3" xfId="41794" xr:uid="{00000000-0005-0000-0000-0000D2100000}"/>
    <cellStyle name="20 % - Markeringsfarve2 2 4 2 2 4" xfId="19806" xr:uid="{00000000-0005-0000-0000-0000D3100000}"/>
    <cellStyle name="20 % - Markeringsfarve2 2 4 2 2 5" xfId="34795" xr:uid="{00000000-0005-0000-0000-0000D4100000}"/>
    <cellStyle name="20 % - Markeringsfarve2 2 4 2 3" xfId="6215" xr:uid="{00000000-0005-0000-0000-0000D5100000}"/>
    <cellStyle name="20 % - Markeringsfarve2 2 4 2 3 2" xfId="14132" xr:uid="{00000000-0005-0000-0000-0000D6100000}"/>
    <cellStyle name="20 % - Markeringsfarve2 2 4 2 3 2 2" xfId="30446" xr:uid="{00000000-0005-0000-0000-0000D7100000}"/>
    <cellStyle name="20 % - Markeringsfarve2 2 4 2 3 2 3" xfId="45410" xr:uid="{00000000-0005-0000-0000-0000D8100000}"/>
    <cellStyle name="20 % - Markeringsfarve2 2 4 2 3 3" xfId="23424" xr:uid="{00000000-0005-0000-0000-0000D9100000}"/>
    <cellStyle name="20 % - Markeringsfarve2 2 4 2 3 4" xfId="38411" xr:uid="{00000000-0005-0000-0000-0000DA100000}"/>
    <cellStyle name="20 % - Markeringsfarve2 2 4 2 4" xfId="10508" xr:uid="{00000000-0005-0000-0000-0000DB100000}"/>
    <cellStyle name="20 % - Markeringsfarve2 2 4 2 4 2" xfId="26827" xr:uid="{00000000-0005-0000-0000-0000DC100000}"/>
    <cellStyle name="20 % - Markeringsfarve2 2 4 2 4 3" xfId="41793" xr:uid="{00000000-0005-0000-0000-0000DD100000}"/>
    <cellStyle name="20 % - Markeringsfarve2 2 4 2 5" xfId="19805" xr:uid="{00000000-0005-0000-0000-0000DE100000}"/>
    <cellStyle name="20 % - Markeringsfarve2 2 4 2 6" xfId="34794" xr:uid="{00000000-0005-0000-0000-0000DF100000}"/>
    <cellStyle name="20 % - Markeringsfarve2 2 4 2 7" xfId="57178" xr:uid="{00000000-0005-0000-0000-0000E0100000}"/>
    <cellStyle name="20 % - Markeringsfarve2 2 4 3" xfId="1953" xr:uid="{00000000-0005-0000-0000-0000E1100000}"/>
    <cellStyle name="20 % - Markeringsfarve2 2 4 3 2" xfId="6866" xr:uid="{00000000-0005-0000-0000-0000E2100000}"/>
    <cellStyle name="20 % - Markeringsfarve2 2 4 3 2 2" xfId="14777" xr:uid="{00000000-0005-0000-0000-0000E3100000}"/>
    <cellStyle name="20 % - Markeringsfarve2 2 4 3 2 2 2" xfId="31091" xr:uid="{00000000-0005-0000-0000-0000E4100000}"/>
    <cellStyle name="20 % - Markeringsfarve2 2 4 3 2 2 3" xfId="46055" xr:uid="{00000000-0005-0000-0000-0000E5100000}"/>
    <cellStyle name="20 % - Markeringsfarve2 2 4 3 2 3" xfId="24069" xr:uid="{00000000-0005-0000-0000-0000E6100000}"/>
    <cellStyle name="20 % - Markeringsfarve2 2 4 3 2 4" xfId="39056" xr:uid="{00000000-0005-0000-0000-0000E7100000}"/>
    <cellStyle name="20 % - Markeringsfarve2 2 4 3 3" xfId="10510" xr:uid="{00000000-0005-0000-0000-0000E8100000}"/>
    <cellStyle name="20 % - Markeringsfarve2 2 4 3 3 2" xfId="26829" xr:uid="{00000000-0005-0000-0000-0000E9100000}"/>
    <cellStyle name="20 % - Markeringsfarve2 2 4 3 3 3" xfId="41795" xr:uid="{00000000-0005-0000-0000-0000EA100000}"/>
    <cellStyle name="20 % - Markeringsfarve2 2 4 3 4" xfId="19807" xr:uid="{00000000-0005-0000-0000-0000EB100000}"/>
    <cellStyle name="20 % - Markeringsfarve2 2 4 3 5" xfId="34796" xr:uid="{00000000-0005-0000-0000-0000EC100000}"/>
    <cellStyle name="20 % - Markeringsfarve2 2 4 4" xfId="1954" xr:uid="{00000000-0005-0000-0000-0000ED100000}"/>
    <cellStyle name="20 % - Markeringsfarve2 2 4 4 2" xfId="7119" xr:uid="{00000000-0005-0000-0000-0000EE100000}"/>
    <cellStyle name="20 % - Markeringsfarve2 2 4 4 2 2" xfId="15029" xr:uid="{00000000-0005-0000-0000-0000EF100000}"/>
    <cellStyle name="20 % - Markeringsfarve2 2 4 4 2 2 2" xfId="31343" xr:uid="{00000000-0005-0000-0000-0000F0100000}"/>
    <cellStyle name="20 % - Markeringsfarve2 2 4 4 2 2 3" xfId="46307" xr:uid="{00000000-0005-0000-0000-0000F1100000}"/>
    <cellStyle name="20 % - Markeringsfarve2 2 4 4 2 3" xfId="24321" xr:uid="{00000000-0005-0000-0000-0000F2100000}"/>
    <cellStyle name="20 % - Markeringsfarve2 2 4 4 2 4" xfId="39308" xr:uid="{00000000-0005-0000-0000-0000F3100000}"/>
    <cellStyle name="20 % - Markeringsfarve2 2 4 4 3" xfId="10511" xr:uid="{00000000-0005-0000-0000-0000F4100000}"/>
    <cellStyle name="20 % - Markeringsfarve2 2 4 4 3 2" xfId="26830" xr:uid="{00000000-0005-0000-0000-0000F5100000}"/>
    <cellStyle name="20 % - Markeringsfarve2 2 4 4 3 3" xfId="41796" xr:uid="{00000000-0005-0000-0000-0000F6100000}"/>
    <cellStyle name="20 % - Markeringsfarve2 2 4 4 4" xfId="19808" xr:uid="{00000000-0005-0000-0000-0000F7100000}"/>
    <cellStyle name="20 % - Markeringsfarve2 2 4 4 5" xfId="34797" xr:uid="{00000000-0005-0000-0000-0000F8100000}"/>
    <cellStyle name="20 % - Markeringsfarve2 2 4 5" xfId="5480" xr:uid="{00000000-0005-0000-0000-0000F9100000}"/>
    <cellStyle name="20 % - Markeringsfarve2 2 4 5 2" xfId="13398" xr:uid="{00000000-0005-0000-0000-0000FA100000}"/>
    <cellStyle name="20 % - Markeringsfarve2 2 4 5 2 2" xfId="29712" xr:uid="{00000000-0005-0000-0000-0000FB100000}"/>
    <cellStyle name="20 % - Markeringsfarve2 2 4 5 2 3" xfId="44676" xr:uid="{00000000-0005-0000-0000-0000FC100000}"/>
    <cellStyle name="20 % - Markeringsfarve2 2 4 5 3" xfId="22690" xr:uid="{00000000-0005-0000-0000-0000FD100000}"/>
    <cellStyle name="20 % - Markeringsfarve2 2 4 5 4" xfId="37677" xr:uid="{00000000-0005-0000-0000-0000FE100000}"/>
    <cellStyle name="20 % - Markeringsfarve2 2 4 6" xfId="10507" xr:uid="{00000000-0005-0000-0000-0000FF100000}"/>
    <cellStyle name="20 % - Markeringsfarve2 2 4 6 2" xfId="26826" xr:uid="{00000000-0005-0000-0000-000000110000}"/>
    <cellStyle name="20 % - Markeringsfarve2 2 4 6 3" xfId="41792" xr:uid="{00000000-0005-0000-0000-000001110000}"/>
    <cellStyle name="20 % - Markeringsfarve2 2 4 7" xfId="19804" xr:uid="{00000000-0005-0000-0000-000002110000}"/>
    <cellStyle name="20 % - Markeringsfarve2 2 4 8" xfId="34793" xr:uid="{00000000-0005-0000-0000-000003110000}"/>
    <cellStyle name="20 % - Markeringsfarve2 2 4 9" xfId="54011" xr:uid="{00000000-0005-0000-0000-000004110000}"/>
    <cellStyle name="20 % - Markeringsfarve2 2 5" xfId="1955" xr:uid="{00000000-0005-0000-0000-000005110000}"/>
    <cellStyle name="20 % - Markeringsfarve2 2 5 2" xfId="1956" xr:uid="{00000000-0005-0000-0000-000006110000}"/>
    <cellStyle name="20 % - Markeringsfarve2 2 5 2 2" xfId="1957" xr:uid="{00000000-0005-0000-0000-000007110000}"/>
    <cellStyle name="20 % - Markeringsfarve2 2 5 2 2 2" xfId="7735" xr:uid="{00000000-0005-0000-0000-000008110000}"/>
    <cellStyle name="20 % - Markeringsfarve2 2 5 2 2 2 2" xfId="15636" xr:uid="{00000000-0005-0000-0000-000009110000}"/>
    <cellStyle name="20 % - Markeringsfarve2 2 5 2 2 2 2 2" xfId="31950" xr:uid="{00000000-0005-0000-0000-00000A110000}"/>
    <cellStyle name="20 % - Markeringsfarve2 2 5 2 2 2 2 3" xfId="46914" xr:uid="{00000000-0005-0000-0000-00000B110000}"/>
    <cellStyle name="20 % - Markeringsfarve2 2 5 2 2 2 3" xfId="24928" xr:uid="{00000000-0005-0000-0000-00000C110000}"/>
    <cellStyle name="20 % - Markeringsfarve2 2 5 2 2 2 4" xfId="39915" xr:uid="{00000000-0005-0000-0000-00000D110000}"/>
    <cellStyle name="20 % - Markeringsfarve2 2 5 2 2 3" xfId="10514" xr:uid="{00000000-0005-0000-0000-00000E110000}"/>
    <cellStyle name="20 % - Markeringsfarve2 2 5 2 2 3 2" xfId="26833" xr:uid="{00000000-0005-0000-0000-00000F110000}"/>
    <cellStyle name="20 % - Markeringsfarve2 2 5 2 2 3 3" xfId="41799" xr:uid="{00000000-0005-0000-0000-000010110000}"/>
    <cellStyle name="20 % - Markeringsfarve2 2 5 2 2 4" xfId="19811" xr:uid="{00000000-0005-0000-0000-000011110000}"/>
    <cellStyle name="20 % - Markeringsfarve2 2 5 2 2 5" xfId="34800" xr:uid="{00000000-0005-0000-0000-000012110000}"/>
    <cellStyle name="20 % - Markeringsfarve2 2 5 2 3" xfId="6299" xr:uid="{00000000-0005-0000-0000-000013110000}"/>
    <cellStyle name="20 % - Markeringsfarve2 2 5 2 3 2" xfId="14216" xr:uid="{00000000-0005-0000-0000-000014110000}"/>
    <cellStyle name="20 % - Markeringsfarve2 2 5 2 3 2 2" xfId="30530" xr:uid="{00000000-0005-0000-0000-000015110000}"/>
    <cellStyle name="20 % - Markeringsfarve2 2 5 2 3 2 3" xfId="45494" xr:uid="{00000000-0005-0000-0000-000016110000}"/>
    <cellStyle name="20 % - Markeringsfarve2 2 5 2 3 3" xfId="23508" xr:uid="{00000000-0005-0000-0000-000017110000}"/>
    <cellStyle name="20 % - Markeringsfarve2 2 5 2 3 4" xfId="38495" xr:uid="{00000000-0005-0000-0000-000018110000}"/>
    <cellStyle name="20 % - Markeringsfarve2 2 5 2 4" xfId="10513" xr:uid="{00000000-0005-0000-0000-000019110000}"/>
    <cellStyle name="20 % - Markeringsfarve2 2 5 2 4 2" xfId="26832" xr:uid="{00000000-0005-0000-0000-00001A110000}"/>
    <cellStyle name="20 % - Markeringsfarve2 2 5 2 4 3" xfId="41798" xr:uid="{00000000-0005-0000-0000-00001B110000}"/>
    <cellStyle name="20 % - Markeringsfarve2 2 5 2 5" xfId="19810" xr:uid="{00000000-0005-0000-0000-00001C110000}"/>
    <cellStyle name="20 % - Markeringsfarve2 2 5 2 6" xfId="34799" xr:uid="{00000000-0005-0000-0000-00001D110000}"/>
    <cellStyle name="20 % - Markeringsfarve2 2 5 3" xfId="1958" xr:uid="{00000000-0005-0000-0000-00001E110000}"/>
    <cellStyle name="20 % - Markeringsfarve2 2 5 3 2" xfId="6965" xr:uid="{00000000-0005-0000-0000-00001F110000}"/>
    <cellStyle name="20 % - Markeringsfarve2 2 5 3 2 2" xfId="14876" xr:uid="{00000000-0005-0000-0000-000020110000}"/>
    <cellStyle name="20 % - Markeringsfarve2 2 5 3 2 2 2" xfId="31190" xr:uid="{00000000-0005-0000-0000-000021110000}"/>
    <cellStyle name="20 % - Markeringsfarve2 2 5 3 2 2 3" xfId="46154" xr:uid="{00000000-0005-0000-0000-000022110000}"/>
    <cellStyle name="20 % - Markeringsfarve2 2 5 3 2 3" xfId="24168" xr:uid="{00000000-0005-0000-0000-000023110000}"/>
    <cellStyle name="20 % - Markeringsfarve2 2 5 3 2 4" xfId="39155" xr:uid="{00000000-0005-0000-0000-000024110000}"/>
    <cellStyle name="20 % - Markeringsfarve2 2 5 3 3" xfId="10515" xr:uid="{00000000-0005-0000-0000-000025110000}"/>
    <cellStyle name="20 % - Markeringsfarve2 2 5 3 3 2" xfId="26834" xr:uid="{00000000-0005-0000-0000-000026110000}"/>
    <cellStyle name="20 % - Markeringsfarve2 2 5 3 3 3" xfId="41800" xr:uid="{00000000-0005-0000-0000-000027110000}"/>
    <cellStyle name="20 % - Markeringsfarve2 2 5 3 4" xfId="19812" xr:uid="{00000000-0005-0000-0000-000028110000}"/>
    <cellStyle name="20 % - Markeringsfarve2 2 5 3 5" xfId="34801" xr:uid="{00000000-0005-0000-0000-000029110000}"/>
    <cellStyle name="20 % - Markeringsfarve2 2 5 4" xfId="1959" xr:uid="{00000000-0005-0000-0000-00002A110000}"/>
    <cellStyle name="20 % - Markeringsfarve2 2 5 4 2" xfId="7120" xr:uid="{00000000-0005-0000-0000-00002B110000}"/>
    <cellStyle name="20 % - Markeringsfarve2 2 5 4 2 2" xfId="15030" xr:uid="{00000000-0005-0000-0000-00002C110000}"/>
    <cellStyle name="20 % - Markeringsfarve2 2 5 4 2 2 2" xfId="31344" xr:uid="{00000000-0005-0000-0000-00002D110000}"/>
    <cellStyle name="20 % - Markeringsfarve2 2 5 4 2 2 3" xfId="46308" xr:uid="{00000000-0005-0000-0000-00002E110000}"/>
    <cellStyle name="20 % - Markeringsfarve2 2 5 4 2 3" xfId="24322" xr:uid="{00000000-0005-0000-0000-00002F110000}"/>
    <cellStyle name="20 % - Markeringsfarve2 2 5 4 2 4" xfId="39309" xr:uid="{00000000-0005-0000-0000-000030110000}"/>
    <cellStyle name="20 % - Markeringsfarve2 2 5 4 3" xfId="10516" xr:uid="{00000000-0005-0000-0000-000031110000}"/>
    <cellStyle name="20 % - Markeringsfarve2 2 5 4 3 2" xfId="26835" xr:uid="{00000000-0005-0000-0000-000032110000}"/>
    <cellStyle name="20 % - Markeringsfarve2 2 5 4 3 3" xfId="41801" xr:uid="{00000000-0005-0000-0000-000033110000}"/>
    <cellStyle name="20 % - Markeringsfarve2 2 5 4 4" xfId="19813" xr:uid="{00000000-0005-0000-0000-000034110000}"/>
    <cellStyle name="20 % - Markeringsfarve2 2 5 4 5" xfId="34802" xr:uid="{00000000-0005-0000-0000-000035110000}"/>
    <cellStyle name="20 % - Markeringsfarve2 2 5 5" xfId="5481" xr:uid="{00000000-0005-0000-0000-000036110000}"/>
    <cellStyle name="20 % - Markeringsfarve2 2 5 5 2" xfId="13399" xr:uid="{00000000-0005-0000-0000-000037110000}"/>
    <cellStyle name="20 % - Markeringsfarve2 2 5 5 2 2" xfId="29713" xr:uid="{00000000-0005-0000-0000-000038110000}"/>
    <cellStyle name="20 % - Markeringsfarve2 2 5 5 2 3" xfId="44677" xr:uid="{00000000-0005-0000-0000-000039110000}"/>
    <cellStyle name="20 % - Markeringsfarve2 2 5 5 3" xfId="22691" xr:uid="{00000000-0005-0000-0000-00003A110000}"/>
    <cellStyle name="20 % - Markeringsfarve2 2 5 5 4" xfId="37678" xr:uid="{00000000-0005-0000-0000-00003B110000}"/>
    <cellStyle name="20 % - Markeringsfarve2 2 5 6" xfId="10512" xr:uid="{00000000-0005-0000-0000-00003C110000}"/>
    <cellStyle name="20 % - Markeringsfarve2 2 5 6 2" xfId="26831" xr:uid="{00000000-0005-0000-0000-00003D110000}"/>
    <cellStyle name="20 % - Markeringsfarve2 2 5 6 3" xfId="41797" xr:uid="{00000000-0005-0000-0000-00003E110000}"/>
    <cellStyle name="20 % - Markeringsfarve2 2 5 7" xfId="19809" xr:uid="{00000000-0005-0000-0000-00003F110000}"/>
    <cellStyle name="20 % - Markeringsfarve2 2 5 8" xfId="34798" xr:uid="{00000000-0005-0000-0000-000040110000}"/>
    <cellStyle name="20 % - Markeringsfarve2 2 5 9" xfId="56555" xr:uid="{00000000-0005-0000-0000-000041110000}"/>
    <cellStyle name="20 % - Markeringsfarve2 2 6" xfId="1960" xr:uid="{00000000-0005-0000-0000-000042110000}"/>
    <cellStyle name="20 % - Markeringsfarve2 2 6 2" xfId="1961" xr:uid="{00000000-0005-0000-0000-000043110000}"/>
    <cellStyle name="20 % - Markeringsfarve2 2 6 2 2" xfId="1962" xr:uid="{00000000-0005-0000-0000-000044110000}"/>
    <cellStyle name="20 % - Markeringsfarve2 2 6 2 2 2" xfId="7874" xr:uid="{00000000-0005-0000-0000-000045110000}"/>
    <cellStyle name="20 % - Markeringsfarve2 2 6 2 2 2 2" xfId="15775" xr:uid="{00000000-0005-0000-0000-000046110000}"/>
    <cellStyle name="20 % - Markeringsfarve2 2 6 2 2 2 2 2" xfId="32089" xr:uid="{00000000-0005-0000-0000-000047110000}"/>
    <cellStyle name="20 % - Markeringsfarve2 2 6 2 2 2 2 3" xfId="47053" xr:uid="{00000000-0005-0000-0000-000048110000}"/>
    <cellStyle name="20 % - Markeringsfarve2 2 6 2 2 2 3" xfId="25067" xr:uid="{00000000-0005-0000-0000-000049110000}"/>
    <cellStyle name="20 % - Markeringsfarve2 2 6 2 2 2 4" xfId="40054" xr:uid="{00000000-0005-0000-0000-00004A110000}"/>
    <cellStyle name="20 % - Markeringsfarve2 2 6 2 2 3" xfId="10519" xr:uid="{00000000-0005-0000-0000-00004B110000}"/>
    <cellStyle name="20 % - Markeringsfarve2 2 6 2 2 3 2" xfId="26838" xr:uid="{00000000-0005-0000-0000-00004C110000}"/>
    <cellStyle name="20 % - Markeringsfarve2 2 6 2 2 3 3" xfId="41804" xr:uid="{00000000-0005-0000-0000-00004D110000}"/>
    <cellStyle name="20 % - Markeringsfarve2 2 6 2 2 4" xfId="19816" xr:uid="{00000000-0005-0000-0000-00004E110000}"/>
    <cellStyle name="20 % - Markeringsfarve2 2 6 2 2 5" xfId="34805" xr:uid="{00000000-0005-0000-0000-00004F110000}"/>
    <cellStyle name="20 % - Markeringsfarve2 2 6 2 3" xfId="6417" xr:uid="{00000000-0005-0000-0000-000050110000}"/>
    <cellStyle name="20 % - Markeringsfarve2 2 6 2 3 2" xfId="14331" xr:uid="{00000000-0005-0000-0000-000051110000}"/>
    <cellStyle name="20 % - Markeringsfarve2 2 6 2 3 2 2" xfId="30645" xr:uid="{00000000-0005-0000-0000-000052110000}"/>
    <cellStyle name="20 % - Markeringsfarve2 2 6 2 3 2 3" xfId="45609" xr:uid="{00000000-0005-0000-0000-000053110000}"/>
    <cellStyle name="20 % - Markeringsfarve2 2 6 2 3 3" xfId="23623" xr:uid="{00000000-0005-0000-0000-000054110000}"/>
    <cellStyle name="20 % - Markeringsfarve2 2 6 2 3 4" xfId="38610" xr:uid="{00000000-0005-0000-0000-000055110000}"/>
    <cellStyle name="20 % - Markeringsfarve2 2 6 2 4" xfId="10518" xr:uid="{00000000-0005-0000-0000-000056110000}"/>
    <cellStyle name="20 % - Markeringsfarve2 2 6 2 4 2" xfId="26837" xr:uid="{00000000-0005-0000-0000-000057110000}"/>
    <cellStyle name="20 % - Markeringsfarve2 2 6 2 4 3" xfId="41803" xr:uid="{00000000-0005-0000-0000-000058110000}"/>
    <cellStyle name="20 % - Markeringsfarve2 2 6 2 5" xfId="19815" xr:uid="{00000000-0005-0000-0000-000059110000}"/>
    <cellStyle name="20 % - Markeringsfarve2 2 6 2 6" xfId="34804" xr:uid="{00000000-0005-0000-0000-00005A110000}"/>
    <cellStyle name="20 % - Markeringsfarve2 2 6 3" xfId="1963" xr:uid="{00000000-0005-0000-0000-00005B110000}"/>
    <cellStyle name="20 % - Markeringsfarve2 2 6 3 2" xfId="7150" xr:uid="{00000000-0005-0000-0000-00005C110000}"/>
    <cellStyle name="20 % - Markeringsfarve2 2 6 3 2 2" xfId="15060" xr:uid="{00000000-0005-0000-0000-00005D110000}"/>
    <cellStyle name="20 % - Markeringsfarve2 2 6 3 2 2 2" xfId="31374" xr:uid="{00000000-0005-0000-0000-00005E110000}"/>
    <cellStyle name="20 % - Markeringsfarve2 2 6 3 2 2 3" xfId="46338" xr:uid="{00000000-0005-0000-0000-00005F110000}"/>
    <cellStyle name="20 % - Markeringsfarve2 2 6 3 2 3" xfId="24352" xr:uid="{00000000-0005-0000-0000-000060110000}"/>
    <cellStyle name="20 % - Markeringsfarve2 2 6 3 2 4" xfId="39339" xr:uid="{00000000-0005-0000-0000-000061110000}"/>
    <cellStyle name="20 % - Markeringsfarve2 2 6 3 3" xfId="10520" xr:uid="{00000000-0005-0000-0000-000062110000}"/>
    <cellStyle name="20 % - Markeringsfarve2 2 6 3 3 2" xfId="26839" xr:uid="{00000000-0005-0000-0000-000063110000}"/>
    <cellStyle name="20 % - Markeringsfarve2 2 6 3 3 3" xfId="41805" xr:uid="{00000000-0005-0000-0000-000064110000}"/>
    <cellStyle name="20 % - Markeringsfarve2 2 6 3 4" xfId="19817" xr:uid="{00000000-0005-0000-0000-000065110000}"/>
    <cellStyle name="20 % - Markeringsfarve2 2 6 3 5" xfId="34806" xr:uid="{00000000-0005-0000-0000-000066110000}"/>
    <cellStyle name="20 % - Markeringsfarve2 2 6 4" xfId="1964" xr:uid="{00000000-0005-0000-0000-000067110000}"/>
    <cellStyle name="20 % - Markeringsfarve2 2 6 4 2" xfId="7121" xr:uid="{00000000-0005-0000-0000-000068110000}"/>
    <cellStyle name="20 % - Markeringsfarve2 2 6 4 2 2" xfId="15031" xr:uid="{00000000-0005-0000-0000-000069110000}"/>
    <cellStyle name="20 % - Markeringsfarve2 2 6 4 2 2 2" xfId="31345" xr:uid="{00000000-0005-0000-0000-00006A110000}"/>
    <cellStyle name="20 % - Markeringsfarve2 2 6 4 2 2 3" xfId="46309" xr:uid="{00000000-0005-0000-0000-00006B110000}"/>
    <cellStyle name="20 % - Markeringsfarve2 2 6 4 2 3" xfId="24323" xr:uid="{00000000-0005-0000-0000-00006C110000}"/>
    <cellStyle name="20 % - Markeringsfarve2 2 6 4 2 4" xfId="39310" xr:uid="{00000000-0005-0000-0000-00006D110000}"/>
    <cellStyle name="20 % - Markeringsfarve2 2 6 4 3" xfId="10521" xr:uid="{00000000-0005-0000-0000-00006E110000}"/>
    <cellStyle name="20 % - Markeringsfarve2 2 6 4 3 2" xfId="26840" xr:uid="{00000000-0005-0000-0000-00006F110000}"/>
    <cellStyle name="20 % - Markeringsfarve2 2 6 4 3 3" xfId="41806" xr:uid="{00000000-0005-0000-0000-000070110000}"/>
    <cellStyle name="20 % - Markeringsfarve2 2 6 4 4" xfId="19818" xr:uid="{00000000-0005-0000-0000-000071110000}"/>
    <cellStyle name="20 % - Markeringsfarve2 2 6 4 5" xfId="34807" xr:uid="{00000000-0005-0000-0000-000072110000}"/>
    <cellStyle name="20 % - Markeringsfarve2 2 6 5" xfId="5482" xr:uid="{00000000-0005-0000-0000-000073110000}"/>
    <cellStyle name="20 % - Markeringsfarve2 2 6 5 2" xfId="13400" xr:uid="{00000000-0005-0000-0000-000074110000}"/>
    <cellStyle name="20 % - Markeringsfarve2 2 6 5 2 2" xfId="29714" xr:uid="{00000000-0005-0000-0000-000075110000}"/>
    <cellStyle name="20 % - Markeringsfarve2 2 6 5 2 3" xfId="44678" xr:uid="{00000000-0005-0000-0000-000076110000}"/>
    <cellStyle name="20 % - Markeringsfarve2 2 6 5 3" xfId="22692" xr:uid="{00000000-0005-0000-0000-000077110000}"/>
    <cellStyle name="20 % - Markeringsfarve2 2 6 5 4" xfId="37679" xr:uid="{00000000-0005-0000-0000-000078110000}"/>
    <cellStyle name="20 % - Markeringsfarve2 2 6 6" xfId="10517" xr:uid="{00000000-0005-0000-0000-000079110000}"/>
    <cellStyle name="20 % - Markeringsfarve2 2 6 6 2" xfId="26836" xr:uid="{00000000-0005-0000-0000-00007A110000}"/>
    <cellStyle name="20 % - Markeringsfarve2 2 6 6 3" xfId="41802" xr:uid="{00000000-0005-0000-0000-00007B110000}"/>
    <cellStyle name="20 % - Markeringsfarve2 2 6 7" xfId="19814" xr:uid="{00000000-0005-0000-0000-00007C110000}"/>
    <cellStyle name="20 % - Markeringsfarve2 2 6 8" xfId="34803" xr:uid="{00000000-0005-0000-0000-00007D110000}"/>
    <cellStyle name="20 % - Markeringsfarve2 2 7" xfId="1965" xr:uid="{00000000-0005-0000-0000-00007E110000}"/>
    <cellStyle name="20 % - Markeringsfarve2 2 7 2" xfId="1966" xr:uid="{00000000-0005-0000-0000-00007F110000}"/>
    <cellStyle name="20 % - Markeringsfarve2 2 7 2 2" xfId="1967" xr:uid="{00000000-0005-0000-0000-000080110000}"/>
    <cellStyle name="20 % - Markeringsfarve2 2 7 2 2 2" xfId="7991" xr:uid="{00000000-0005-0000-0000-000081110000}"/>
    <cellStyle name="20 % - Markeringsfarve2 2 7 2 2 2 2" xfId="15892" xr:uid="{00000000-0005-0000-0000-000082110000}"/>
    <cellStyle name="20 % - Markeringsfarve2 2 7 2 2 2 2 2" xfId="32206" xr:uid="{00000000-0005-0000-0000-000083110000}"/>
    <cellStyle name="20 % - Markeringsfarve2 2 7 2 2 2 2 3" xfId="47170" xr:uid="{00000000-0005-0000-0000-000084110000}"/>
    <cellStyle name="20 % - Markeringsfarve2 2 7 2 2 2 3" xfId="25184" xr:uid="{00000000-0005-0000-0000-000085110000}"/>
    <cellStyle name="20 % - Markeringsfarve2 2 7 2 2 2 4" xfId="40171" xr:uid="{00000000-0005-0000-0000-000086110000}"/>
    <cellStyle name="20 % - Markeringsfarve2 2 7 2 2 3" xfId="10524" xr:uid="{00000000-0005-0000-0000-000087110000}"/>
    <cellStyle name="20 % - Markeringsfarve2 2 7 2 2 3 2" xfId="26843" xr:uid="{00000000-0005-0000-0000-000088110000}"/>
    <cellStyle name="20 % - Markeringsfarve2 2 7 2 2 3 3" xfId="41809" xr:uid="{00000000-0005-0000-0000-000089110000}"/>
    <cellStyle name="20 % - Markeringsfarve2 2 7 2 2 4" xfId="19821" xr:uid="{00000000-0005-0000-0000-00008A110000}"/>
    <cellStyle name="20 % - Markeringsfarve2 2 7 2 2 5" xfId="34810" xr:uid="{00000000-0005-0000-0000-00008B110000}"/>
    <cellStyle name="20 % - Markeringsfarve2 2 7 2 3" xfId="6516" xr:uid="{00000000-0005-0000-0000-00008C110000}"/>
    <cellStyle name="20 % - Markeringsfarve2 2 7 2 3 2" xfId="14430" xr:uid="{00000000-0005-0000-0000-00008D110000}"/>
    <cellStyle name="20 % - Markeringsfarve2 2 7 2 3 2 2" xfId="30744" xr:uid="{00000000-0005-0000-0000-00008E110000}"/>
    <cellStyle name="20 % - Markeringsfarve2 2 7 2 3 2 3" xfId="45708" xr:uid="{00000000-0005-0000-0000-00008F110000}"/>
    <cellStyle name="20 % - Markeringsfarve2 2 7 2 3 3" xfId="23722" xr:uid="{00000000-0005-0000-0000-000090110000}"/>
    <cellStyle name="20 % - Markeringsfarve2 2 7 2 3 4" xfId="38709" xr:uid="{00000000-0005-0000-0000-000091110000}"/>
    <cellStyle name="20 % - Markeringsfarve2 2 7 2 4" xfId="10523" xr:uid="{00000000-0005-0000-0000-000092110000}"/>
    <cellStyle name="20 % - Markeringsfarve2 2 7 2 4 2" xfId="26842" xr:uid="{00000000-0005-0000-0000-000093110000}"/>
    <cellStyle name="20 % - Markeringsfarve2 2 7 2 4 3" xfId="41808" xr:uid="{00000000-0005-0000-0000-000094110000}"/>
    <cellStyle name="20 % - Markeringsfarve2 2 7 2 5" xfId="19820" xr:uid="{00000000-0005-0000-0000-000095110000}"/>
    <cellStyle name="20 % - Markeringsfarve2 2 7 2 6" xfId="34809" xr:uid="{00000000-0005-0000-0000-000096110000}"/>
    <cellStyle name="20 % - Markeringsfarve2 2 7 3" xfId="1968" xr:uid="{00000000-0005-0000-0000-000097110000}"/>
    <cellStyle name="20 % - Markeringsfarve2 2 7 3 2" xfId="7267" xr:uid="{00000000-0005-0000-0000-000098110000}"/>
    <cellStyle name="20 % - Markeringsfarve2 2 7 3 2 2" xfId="15177" xr:uid="{00000000-0005-0000-0000-000099110000}"/>
    <cellStyle name="20 % - Markeringsfarve2 2 7 3 2 2 2" xfId="31491" xr:uid="{00000000-0005-0000-0000-00009A110000}"/>
    <cellStyle name="20 % - Markeringsfarve2 2 7 3 2 2 3" xfId="46455" xr:uid="{00000000-0005-0000-0000-00009B110000}"/>
    <cellStyle name="20 % - Markeringsfarve2 2 7 3 2 3" xfId="24469" xr:uid="{00000000-0005-0000-0000-00009C110000}"/>
    <cellStyle name="20 % - Markeringsfarve2 2 7 3 2 4" xfId="39456" xr:uid="{00000000-0005-0000-0000-00009D110000}"/>
    <cellStyle name="20 % - Markeringsfarve2 2 7 3 3" xfId="10525" xr:uid="{00000000-0005-0000-0000-00009E110000}"/>
    <cellStyle name="20 % - Markeringsfarve2 2 7 3 3 2" xfId="26844" xr:uid="{00000000-0005-0000-0000-00009F110000}"/>
    <cellStyle name="20 % - Markeringsfarve2 2 7 3 3 3" xfId="41810" xr:uid="{00000000-0005-0000-0000-0000A0110000}"/>
    <cellStyle name="20 % - Markeringsfarve2 2 7 3 4" xfId="19822" xr:uid="{00000000-0005-0000-0000-0000A1110000}"/>
    <cellStyle name="20 % - Markeringsfarve2 2 7 3 5" xfId="34811" xr:uid="{00000000-0005-0000-0000-0000A2110000}"/>
    <cellStyle name="20 % - Markeringsfarve2 2 7 4" xfId="1969" xr:uid="{00000000-0005-0000-0000-0000A3110000}"/>
    <cellStyle name="20 % - Markeringsfarve2 2 7 4 2" xfId="6696" xr:uid="{00000000-0005-0000-0000-0000A4110000}"/>
    <cellStyle name="20 % - Markeringsfarve2 2 7 4 2 2" xfId="14609" xr:uid="{00000000-0005-0000-0000-0000A5110000}"/>
    <cellStyle name="20 % - Markeringsfarve2 2 7 4 2 2 2" xfId="30923" xr:uid="{00000000-0005-0000-0000-0000A6110000}"/>
    <cellStyle name="20 % - Markeringsfarve2 2 7 4 2 2 3" xfId="45887" xr:uid="{00000000-0005-0000-0000-0000A7110000}"/>
    <cellStyle name="20 % - Markeringsfarve2 2 7 4 2 3" xfId="23901" xr:uid="{00000000-0005-0000-0000-0000A8110000}"/>
    <cellStyle name="20 % - Markeringsfarve2 2 7 4 2 4" xfId="38888" xr:uid="{00000000-0005-0000-0000-0000A9110000}"/>
    <cellStyle name="20 % - Markeringsfarve2 2 7 4 3" xfId="10526" xr:uid="{00000000-0005-0000-0000-0000AA110000}"/>
    <cellStyle name="20 % - Markeringsfarve2 2 7 4 3 2" xfId="26845" xr:uid="{00000000-0005-0000-0000-0000AB110000}"/>
    <cellStyle name="20 % - Markeringsfarve2 2 7 4 3 3" xfId="41811" xr:uid="{00000000-0005-0000-0000-0000AC110000}"/>
    <cellStyle name="20 % - Markeringsfarve2 2 7 4 4" xfId="19823" xr:uid="{00000000-0005-0000-0000-0000AD110000}"/>
    <cellStyle name="20 % - Markeringsfarve2 2 7 4 5" xfId="34812" xr:uid="{00000000-0005-0000-0000-0000AE110000}"/>
    <cellStyle name="20 % - Markeringsfarve2 2 7 5" xfId="5483" xr:uid="{00000000-0005-0000-0000-0000AF110000}"/>
    <cellStyle name="20 % - Markeringsfarve2 2 7 5 2" xfId="13401" xr:uid="{00000000-0005-0000-0000-0000B0110000}"/>
    <cellStyle name="20 % - Markeringsfarve2 2 7 5 2 2" xfId="29715" xr:uid="{00000000-0005-0000-0000-0000B1110000}"/>
    <cellStyle name="20 % - Markeringsfarve2 2 7 5 2 3" xfId="44679" xr:uid="{00000000-0005-0000-0000-0000B2110000}"/>
    <cellStyle name="20 % - Markeringsfarve2 2 7 5 3" xfId="22693" xr:uid="{00000000-0005-0000-0000-0000B3110000}"/>
    <cellStyle name="20 % - Markeringsfarve2 2 7 5 4" xfId="37680" xr:uid="{00000000-0005-0000-0000-0000B4110000}"/>
    <cellStyle name="20 % - Markeringsfarve2 2 7 6" xfId="10522" xr:uid="{00000000-0005-0000-0000-0000B5110000}"/>
    <cellStyle name="20 % - Markeringsfarve2 2 7 6 2" xfId="26841" xr:uid="{00000000-0005-0000-0000-0000B6110000}"/>
    <cellStyle name="20 % - Markeringsfarve2 2 7 6 3" xfId="41807" xr:uid="{00000000-0005-0000-0000-0000B7110000}"/>
    <cellStyle name="20 % - Markeringsfarve2 2 7 7" xfId="19819" xr:uid="{00000000-0005-0000-0000-0000B8110000}"/>
    <cellStyle name="20 % - Markeringsfarve2 2 7 8" xfId="34808" xr:uid="{00000000-0005-0000-0000-0000B9110000}"/>
    <cellStyle name="20 % - Markeringsfarve2 2 8" xfId="1970" xr:uid="{00000000-0005-0000-0000-0000BA110000}"/>
    <cellStyle name="20 % - Markeringsfarve2 2 8 2" xfId="1971" xr:uid="{00000000-0005-0000-0000-0000BB110000}"/>
    <cellStyle name="20 % - Markeringsfarve2 2 8 2 2" xfId="1972" xr:uid="{00000000-0005-0000-0000-0000BC110000}"/>
    <cellStyle name="20 % - Markeringsfarve2 2 8 2 2 2" xfId="8090" xr:uid="{00000000-0005-0000-0000-0000BD110000}"/>
    <cellStyle name="20 % - Markeringsfarve2 2 8 2 2 2 2" xfId="15991" xr:uid="{00000000-0005-0000-0000-0000BE110000}"/>
    <cellStyle name="20 % - Markeringsfarve2 2 8 2 2 2 2 2" xfId="32305" xr:uid="{00000000-0005-0000-0000-0000BF110000}"/>
    <cellStyle name="20 % - Markeringsfarve2 2 8 2 2 2 2 3" xfId="47269" xr:uid="{00000000-0005-0000-0000-0000C0110000}"/>
    <cellStyle name="20 % - Markeringsfarve2 2 8 2 2 2 3" xfId="25283" xr:uid="{00000000-0005-0000-0000-0000C1110000}"/>
    <cellStyle name="20 % - Markeringsfarve2 2 8 2 2 2 4" xfId="40270" xr:uid="{00000000-0005-0000-0000-0000C2110000}"/>
    <cellStyle name="20 % - Markeringsfarve2 2 8 2 2 3" xfId="10529" xr:uid="{00000000-0005-0000-0000-0000C3110000}"/>
    <cellStyle name="20 % - Markeringsfarve2 2 8 2 2 3 2" xfId="26848" xr:uid="{00000000-0005-0000-0000-0000C4110000}"/>
    <cellStyle name="20 % - Markeringsfarve2 2 8 2 2 3 3" xfId="41814" xr:uid="{00000000-0005-0000-0000-0000C5110000}"/>
    <cellStyle name="20 % - Markeringsfarve2 2 8 2 2 4" xfId="19826" xr:uid="{00000000-0005-0000-0000-0000C6110000}"/>
    <cellStyle name="20 % - Markeringsfarve2 2 8 2 2 5" xfId="34815" xr:uid="{00000000-0005-0000-0000-0000C7110000}"/>
    <cellStyle name="20 % - Markeringsfarve2 2 8 2 3" xfId="6601" xr:uid="{00000000-0005-0000-0000-0000C8110000}"/>
    <cellStyle name="20 % - Markeringsfarve2 2 8 2 3 2" xfId="14515" xr:uid="{00000000-0005-0000-0000-0000C9110000}"/>
    <cellStyle name="20 % - Markeringsfarve2 2 8 2 3 2 2" xfId="30829" xr:uid="{00000000-0005-0000-0000-0000CA110000}"/>
    <cellStyle name="20 % - Markeringsfarve2 2 8 2 3 2 3" xfId="45793" xr:uid="{00000000-0005-0000-0000-0000CB110000}"/>
    <cellStyle name="20 % - Markeringsfarve2 2 8 2 3 3" xfId="23807" xr:uid="{00000000-0005-0000-0000-0000CC110000}"/>
    <cellStyle name="20 % - Markeringsfarve2 2 8 2 3 4" xfId="38794" xr:uid="{00000000-0005-0000-0000-0000CD110000}"/>
    <cellStyle name="20 % - Markeringsfarve2 2 8 2 4" xfId="10528" xr:uid="{00000000-0005-0000-0000-0000CE110000}"/>
    <cellStyle name="20 % - Markeringsfarve2 2 8 2 4 2" xfId="26847" xr:uid="{00000000-0005-0000-0000-0000CF110000}"/>
    <cellStyle name="20 % - Markeringsfarve2 2 8 2 4 3" xfId="41813" xr:uid="{00000000-0005-0000-0000-0000D0110000}"/>
    <cellStyle name="20 % - Markeringsfarve2 2 8 2 5" xfId="19825" xr:uid="{00000000-0005-0000-0000-0000D1110000}"/>
    <cellStyle name="20 % - Markeringsfarve2 2 8 2 6" xfId="34814" xr:uid="{00000000-0005-0000-0000-0000D2110000}"/>
    <cellStyle name="20 % - Markeringsfarve2 2 8 3" xfId="1973" xr:uid="{00000000-0005-0000-0000-0000D3110000}"/>
    <cellStyle name="20 % - Markeringsfarve2 2 8 3 2" xfId="7367" xr:uid="{00000000-0005-0000-0000-0000D4110000}"/>
    <cellStyle name="20 % - Markeringsfarve2 2 8 3 2 2" xfId="15277" xr:uid="{00000000-0005-0000-0000-0000D5110000}"/>
    <cellStyle name="20 % - Markeringsfarve2 2 8 3 2 2 2" xfId="31591" xr:uid="{00000000-0005-0000-0000-0000D6110000}"/>
    <cellStyle name="20 % - Markeringsfarve2 2 8 3 2 2 3" xfId="46555" xr:uid="{00000000-0005-0000-0000-0000D7110000}"/>
    <cellStyle name="20 % - Markeringsfarve2 2 8 3 2 3" xfId="24569" xr:uid="{00000000-0005-0000-0000-0000D8110000}"/>
    <cellStyle name="20 % - Markeringsfarve2 2 8 3 2 4" xfId="39556" xr:uid="{00000000-0005-0000-0000-0000D9110000}"/>
    <cellStyle name="20 % - Markeringsfarve2 2 8 3 3" xfId="10530" xr:uid="{00000000-0005-0000-0000-0000DA110000}"/>
    <cellStyle name="20 % - Markeringsfarve2 2 8 3 3 2" xfId="26849" xr:uid="{00000000-0005-0000-0000-0000DB110000}"/>
    <cellStyle name="20 % - Markeringsfarve2 2 8 3 3 3" xfId="41815" xr:uid="{00000000-0005-0000-0000-0000DC110000}"/>
    <cellStyle name="20 % - Markeringsfarve2 2 8 3 4" xfId="19827" xr:uid="{00000000-0005-0000-0000-0000DD110000}"/>
    <cellStyle name="20 % - Markeringsfarve2 2 8 3 5" xfId="34816" xr:uid="{00000000-0005-0000-0000-0000DE110000}"/>
    <cellStyle name="20 % - Markeringsfarve2 2 8 4" xfId="1974" xr:uid="{00000000-0005-0000-0000-0000DF110000}"/>
    <cellStyle name="20 % - Markeringsfarve2 2 8 4 2" xfId="6707" xr:uid="{00000000-0005-0000-0000-0000E0110000}"/>
    <cellStyle name="20 % - Markeringsfarve2 2 8 4 2 2" xfId="14620" xr:uid="{00000000-0005-0000-0000-0000E1110000}"/>
    <cellStyle name="20 % - Markeringsfarve2 2 8 4 2 2 2" xfId="30934" xr:uid="{00000000-0005-0000-0000-0000E2110000}"/>
    <cellStyle name="20 % - Markeringsfarve2 2 8 4 2 2 3" xfId="45898" xr:uid="{00000000-0005-0000-0000-0000E3110000}"/>
    <cellStyle name="20 % - Markeringsfarve2 2 8 4 2 3" xfId="23912" xr:uid="{00000000-0005-0000-0000-0000E4110000}"/>
    <cellStyle name="20 % - Markeringsfarve2 2 8 4 2 4" xfId="38899" xr:uid="{00000000-0005-0000-0000-0000E5110000}"/>
    <cellStyle name="20 % - Markeringsfarve2 2 8 4 3" xfId="10531" xr:uid="{00000000-0005-0000-0000-0000E6110000}"/>
    <cellStyle name="20 % - Markeringsfarve2 2 8 4 3 2" xfId="26850" xr:uid="{00000000-0005-0000-0000-0000E7110000}"/>
    <cellStyle name="20 % - Markeringsfarve2 2 8 4 3 3" xfId="41816" xr:uid="{00000000-0005-0000-0000-0000E8110000}"/>
    <cellStyle name="20 % - Markeringsfarve2 2 8 4 4" xfId="19828" xr:uid="{00000000-0005-0000-0000-0000E9110000}"/>
    <cellStyle name="20 % - Markeringsfarve2 2 8 4 5" xfId="34817" xr:uid="{00000000-0005-0000-0000-0000EA110000}"/>
    <cellStyle name="20 % - Markeringsfarve2 2 8 5" xfId="5484" xr:uid="{00000000-0005-0000-0000-0000EB110000}"/>
    <cellStyle name="20 % - Markeringsfarve2 2 8 5 2" xfId="13402" xr:uid="{00000000-0005-0000-0000-0000EC110000}"/>
    <cellStyle name="20 % - Markeringsfarve2 2 8 5 2 2" xfId="29716" xr:uid="{00000000-0005-0000-0000-0000ED110000}"/>
    <cellStyle name="20 % - Markeringsfarve2 2 8 5 2 3" xfId="44680" xr:uid="{00000000-0005-0000-0000-0000EE110000}"/>
    <cellStyle name="20 % - Markeringsfarve2 2 8 5 3" xfId="22694" xr:uid="{00000000-0005-0000-0000-0000EF110000}"/>
    <cellStyle name="20 % - Markeringsfarve2 2 8 5 4" xfId="37681" xr:uid="{00000000-0005-0000-0000-0000F0110000}"/>
    <cellStyle name="20 % - Markeringsfarve2 2 8 6" xfId="10527" xr:uid="{00000000-0005-0000-0000-0000F1110000}"/>
    <cellStyle name="20 % - Markeringsfarve2 2 8 6 2" xfId="26846" xr:uid="{00000000-0005-0000-0000-0000F2110000}"/>
    <cellStyle name="20 % - Markeringsfarve2 2 8 6 3" xfId="41812" xr:uid="{00000000-0005-0000-0000-0000F3110000}"/>
    <cellStyle name="20 % - Markeringsfarve2 2 8 7" xfId="19824" xr:uid="{00000000-0005-0000-0000-0000F4110000}"/>
    <cellStyle name="20 % - Markeringsfarve2 2 8 8" xfId="34813" xr:uid="{00000000-0005-0000-0000-0000F5110000}"/>
    <cellStyle name="20 % - Markeringsfarve2 2 9" xfId="1975" xr:uid="{00000000-0005-0000-0000-0000F6110000}"/>
    <cellStyle name="20 % - Markeringsfarve2 2 9 2" xfId="1976" xr:uid="{00000000-0005-0000-0000-0000F7110000}"/>
    <cellStyle name="20 % - Markeringsfarve2 2 9 2 2" xfId="7517" xr:uid="{00000000-0005-0000-0000-0000F8110000}"/>
    <cellStyle name="20 % - Markeringsfarve2 2 9 2 2 2" xfId="15418" xr:uid="{00000000-0005-0000-0000-0000F9110000}"/>
    <cellStyle name="20 % - Markeringsfarve2 2 9 2 2 2 2" xfId="31732" xr:uid="{00000000-0005-0000-0000-0000FA110000}"/>
    <cellStyle name="20 % - Markeringsfarve2 2 9 2 2 2 3" xfId="46696" xr:uid="{00000000-0005-0000-0000-0000FB110000}"/>
    <cellStyle name="20 % - Markeringsfarve2 2 9 2 2 3" xfId="24710" xr:uid="{00000000-0005-0000-0000-0000FC110000}"/>
    <cellStyle name="20 % - Markeringsfarve2 2 9 2 2 4" xfId="39697" xr:uid="{00000000-0005-0000-0000-0000FD110000}"/>
    <cellStyle name="20 % - Markeringsfarve2 2 9 2 3" xfId="10533" xr:uid="{00000000-0005-0000-0000-0000FE110000}"/>
    <cellStyle name="20 % - Markeringsfarve2 2 9 2 3 2" xfId="26852" xr:uid="{00000000-0005-0000-0000-0000FF110000}"/>
    <cellStyle name="20 % - Markeringsfarve2 2 9 2 3 3" xfId="41818" xr:uid="{00000000-0005-0000-0000-000000120000}"/>
    <cellStyle name="20 % - Markeringsfarve2 2 9 2 4" xfId="19830" xr:uid="{00000000-0005-0000-0000-000001120000}"/>
    <cellStyle name="20 % - Markeringsfarve2 2 9 2 5" xfId="34819" xr:uid="{00000000-0005-0000-0000-000002120000}"/>
    <cellStyle name="20 % - Markeringsfarve2 2 9 3" xfId="6116" xr:uid="{00000000-0005-0000-0000-000003120000}"/>
    <cellStyle name="20 % - Markeringsfarve2 2 9 3 2" xfId="14033" xr:uid="{00000000-0005-0000-0000-000004120000}"/>
    <cellStyle name="20 % - Markeringsfarve2 2 9 3 2 2" xfId="30347" xr:uid="{00000000-0005-0000-0000-000005120000}"/>
    <cellStyle name="20 % - Markeringsfarve2 2 9 3 2 3" xfId="45311" xr:uid="{00000000-0005-0000-0000-000006120000}"/>
    <cellStyle name="20 % - Markeringsfarve2 2 9 3 3" xfId="23325" xr:uid="{00000000-0005-0000-0000-000007120000}"/>
    <cellStyle name="20 % - Markeringsfarve2 2 9 3 4" xfId="38312" xr:uid="{00000000-0005-0000-0000-000008120000}"/>
    <cellStyle name="20 % - Markeringsfarve2 2 9 4" xfId="10532" xr:uid="{00000000-0005-0000-0000-000009120000}"/>
    <cellStyle name="20 % - Markeringsfarve2 2 9 4 2" xfId="26851" xr:uid="{00000000-0005-0000-0000-00000A120000}"/>
    <cellStyle name="20 % - Markeringsfarve2 2 9 4 3" xfId="41817" xr:uid="{00000000-0005-0000-0000-00000B120000}"/>
    <cellStyle name="20 % - Markeringsfarve2 2 9 5" xfId="19829" xr:uid="{00000000-0005-0000-0000-00000C120000}"/>
    <cellStyle name="20 % - Markeringsfarve2 2 9 6" xfId="34818" xr:uid="{00000000-0005-0000-0000-00000D120000}"/>
    <cellStyle name="20 % - Markeringsfarve2 3" xfId="1977" xr:uid="{00000000-0005-0000-0000-00000E120000}"/>
    <cellStyle name="20 % - Markeringsfarve2 3 10" xfId="1978" xr:uid="{00000000-0005-0000-0000-00000F120000}"/>
    <cellStyle name="20 % - Markeringsfarve2 3 10 2" xfId="6730" xr:uid="{00000000-0005-0000-0000-000010120000}"/>
    <cellStyle name="20 % - Markeringsfarve2 3 10 2 2" xfId="14642" xr:uid="{00000000-0005-0000-0000-000011120000}"/>
    <cellStyle name="20 % - Markeringsfarve2 3 10 2 2 2" xfId="30956" xr:uid="{00000000-0005-0000-0000-000012120000}"/>
    <cellStyle name="20 % - Markeringsfarve2 3 10 2 2 3" xfId="45920" xr:uid="{00000000-0005-0000-0000-000013120000}"/>
    <cellStyle name="20 % - Markeringsfarve2 3 10 2 3" xfId="23934" xr:uid="{00000000-0005-0000-0000-000014120000}"/>
    <cellStyle name="20 % - Markeringsfarve2 3 10 2 4" xfId="38921" xr:uid="{00000000-0005-0000-0000-000015120000}"/>
    <cellStyle name="20 % - Markeringsfarve2 3 10 3" xfId="10535" xr:uid="{00000000-0005-0000-0000-000016120000}"/>
    <cellStyle name="20 % - Markeringsfarve2 3 10 3 2" xfId="26854" xr:uid="{00000000-0005-0000-0000-000017120000}"/>
    <cellStyle name="20 % - Markeringsfarve2 3 10 3 3" xfId="41820" xr:uid="{00000000-0005-0000-0000-000018120000}"/>
    <cellStyle name="20 % - Markeringsfarve2 3 10 4" xfId="19832" xr:uid="{00000000-0005-0000-0000-000019120000}"/>
    <cellStyle name="20 % - Markeringsfarve2 3 10 5" xfId="34821" xr:uid="{00000000-0005-0000-0000-00001A120000}"/>
    <cellStyle name="20 % - Markeringsfarve2 3 11" xfId="1979" xr:uid="{00000000-0005-0000-0000-00001B120000}"/>
    <cellStyle name="20 % - Markeringsfarve2 3 11 2" xfId="6699" xr:uid="{00000000-0005-0000-0000-00001C120000}"/>
    <cellStyle name="20 % - Markeringsfarve2 3 11 2 2" xfId="14612" xr:uid="{00000000-0005-0000-0000-00001D120000}"/>
    <cellStyle name="20 % - Markeringsfarve2 3 11 2 2 2" xfId="30926" xr:uid="{00000000-0005-0000-0000-00001E120000}"/>
    <cellStyle name="20 % - Markeringsfarve2 3 11 2 2 3" xfId="45890" xr:uid="{00000000-0005-0000-0000-00001F120000}"/>
    <cellStyle name="20 % - Markeringsfarve2 3 11 2 3" xfId="23904" xr:uid="{00000000-0005-0000-0000-000020120000}"/>
    <cellStyle name="20 % - Markeringsfarve2 3 11 2 4" xfId="38891" xr:uid="{00000000-0005-0000-0000-000021120000}"/>
    <cellStyle name="20 % - Markeringsfarve2 3 11 3" xfId="10536" xr:uid="{00000000-0005-0000-0000-000022120000}"/>
    <cellStyle name="20 % - Markeringsfarve2 3 11 3 2" xfId="26855" xr:uid="{00000000-0005-0000-0000-000023120000}"/>
    <cellStyle name="20 % - Markeringsfarve2 3 11 3 3" xfId="41821" xr:uid="{00000000-0005-0000-0000-000024120000}"/>
    <cellStyle name="20 % - Markeringsfarve2 3 11 4" xfId="19833" xr:uid="{00000000-0005-0000-0000-000025120000}"/>
    <cellStyle name="20 % - Markeringsfarve2 3 11 5" xfId="34822" xr:uid="{00000000-0005-0000-0000-000026120000}"/>
    <cellStyle name="20 % - Markeringsfarve2 3 12" xfId="5485" xr:uid="{00000000-0005-0000-0000-000027120000}"/>
    <cellStyle name="20 % - Markeringsfarve2 3 12 2" xfId="13403" xr:uid="{00000000-0005-0000-0000-000028120000}"/>
    <cellStyle name="20 % - Markeringsfarve2 3 12 2 2" xfId="29717" xr:uid="{00000000-0005-0000-0000-000029120000}"/>
    <cellStyle name="20 % - Markeringsfarve2 3 12 2 3" xfId="44681" xr:uid="{00000000-0005-0000-0000-00002A120000}"/>
    <cellStyle name="20 % - Markeringsfarve2 3 12 3" xfId="22695" xr:uid="{00000000-0005-0000-0000-00002B120000}"/>
    <cellStyle name="20 % - Markeringsfarve2 3 12 4" xfId="37682" xr:uid="{00000000-0005-0000-0000-00002C120000}"/>
    <cellStyle name="20 % - Markeringsfarve2 3 13" xfId="10534" xr:uid="{00000000-0005-0000-0000-00002D120000}"/>
    <cellStyle name="20 % - Markeringsfarve2 3 13 2" xfId="26853" xr:uid="{00000000-0005-0000-0000-00002E120000}"/>
    <cellStyle name="20 % - Markeringsfarve2 3 13 3" xfId="41819" xr:uid="{00000000-0005-0000-0000-00002F120000}"/>
    <cellStyle name="20 % - Markeringsfarve2 3 14" xfId="19831" xr:uid="{00000000-0005-0000-0000-000030120000}"/>
    <cellStyle name="20 % - Markeringsfarve2 3 15" xfId="34820" xr:uid="{00000000-0005-0000-0000-000031120000}"/>
    <cellStyle name="20 % - Markeringsfarve2 3 16" xfId="53373" xr:uid="{00000000-0005-0000-0000-000032120000}"/>
    <cellStyle name="20 % - Markeringsfarve2 3 2" xfId="1980" xr:uid="{00000000-0005-0000-0000-000033120000}"/>
    <cellStyle name="20 % - Markeringsfarve2 3 2 10" xfId="5486" xr:uid="{00000000-0005-0000-0000-000034120000}"/>
    <cellStyle name="20 % - Markeringsfarve2 3 2 10 2" xfId="13404" xr:uid="{00000000-0005-0000-0000-000035120000}"/>
    <cellStyle name="20 % - Markeringsfarve2 3 2 10 2 2" xfId="29718" xr:uid="{00000000-0005-0000-0000-000036120000}"/>
    <cellStyle name="20 % - Markeringsfarve2 3 2 10 2 3" xfId="44682" xr:uid="{00000000-0005-0000-0000-000037120000}"/>
    <cellStyle name="20 % - Markeringsfarve2 3 2 10 3" xfId="22696" xr:uid="{00000000-0005-0000-0000-000038120000}"/>
    <cellStyle name="20 % - Markeringsfarve2 3 2 10 4" xfId="37683" xr:uid="{00000000-0005-0000-0000-000039120000}"/>
    <cellStyle name="20 % - Markeringsfarve2 3 2 11" xfId="10537" xr:uid="{00000000-0005-0000-0000-00003A120000}"/>
    <cellStyle name="20 % - Markeringsfarve2 3 2 11 2" xfId="26856" xr:uid="{00000000-0005-0000-0000-00003B120000}"/>
    <cellStyle name="20 % - Markeringsfarve2 3 2 11 3" xfId="41822" xr:uid="{00000000-0005-0000-0000-00003C120000}"/>
    <cellStyle name="20 % - Markeringsfarve2 3 2 12" xfId="19834" xr:uid="{00000000-0005-0000-0000-00003D120000}"/>
    <cellStyle name="20 % - Markeringsfarve2 3 2 13" xfId="34823" xr:uid="{00000000-0005-0000-0000-00003E120000}"/>
    <cellStyle name="20 % - Markeringsfarve2 3 2 14" xfId="54010" xr:uid="{00000000-0005-0000-0000-00003F120000}"/>
    <cellStyle name="20 % - Markeringsfarve2 3 2 2" xfId="1981" xr:uid="{00000000-0005-0000-0000-000040120000}"/>
    <cellStyle name="20 % - Markeringsfarve2 3 2 2 2" xfId="1982" xr:uid="{00000000-0005-0000-0000-000041120000}"/>
    <cellStyle name="20 % - Markeringsfarve2 3 2 2 2 2" xfId="1983" xr:uid="{00000000-0005-0000-0000-000042120000}"/>
    <cellStyle name="20 % - Markeringsfarve2 3 2 2 2 2 2" xfId="7663" xr:uid="{00000000-0005-0000-0000-000043120000}"/>
    <cellStyle name="20 % - Markeringsfarve2 3 2 2 2 2 2 2" xfId="15564" xr:uid="{00000000-0005-0000-0000-000044120000}"/>
    <cellStyle name="20 % - Markeringsfarve2 3 2 2 2 2 2 2 2" xfId="31878" xr:uid="{00000000-0005-0000-0000-000045120000}"/>
    <cellStyle name="20 % - Markeringsfarve2 3 2 2 2 2 2 2 3" xfId="46842" xr:uid="{00000000-0005-0000-0000-000046120000}"/>
    <cellStyle name="20 % - Markeringsfarve2 3 2 2 2 2 2 3" xfId="24856" xr:uid="{00000000-0005-0000-0000-000047120000}"/>
    <cellStyle name="20 % - Markeringsfarve2 3 2 2 2 2 2 4" xfId="39843" xr:uid="{00000000-0005-0000-0000-000048120000}"/>
    <cellStyle name="20 % - Markeringsfarve2 3 2 2 2 2 3" xfId="10540" xr:uid="{00000000-0005-0000-0000-000049120000}"/>
    <cellStyle name="20 % - Markeringsfarve2 3 2 2 2 2 3 2" xfId="26859" xr:uid="{00000000-0005-0000-0000-00004A120000}"/>
    <cellStyle name="20 % - Markeringsfarve2 3 2 2 2 2 3 3" xfId="41825" xr:uid="{00000000-0005-0000-0000-00004B120000}"/>
    <cellStyle name="20 % - Markeringsfarve2 3 2 2 2 2 4" xfId="19837" xr:uid="{00000000-0005-0000-0000-00004C120000}"/>
    <cellStyle name="20 % - Markeringsfarve2 3 2 2 2 2 5" xfId="34826" xr:uid="{00000000-0005-0000-0000-00004D120000}"/>
    <cellStyle name="20 % - Markeringsfarve2 3 2 2 2 3" xfId="6238" xr:uid="{00000000-0005-0000-0000-00004E120000}"/>
    <cellStyle name="20 % - Markeringsfarve2 3 2 2 2 3 2" xfId="14155" xr:uid="{00000000-0005-0000-0000-00004F120000}"/>
    <cellStyle name="20 % - Markeringsfarve2 3 2 2 2 3 2 2" xfId="30469" xr:uid="{00000000-0005-0000-0000-000050120000}"/>
    <cellStyle name="20 % - Markeringsfarve2 3 2 2 2 3 2 3" xfId="45433" xr:uid="{00000000-0005-0000-0000-000051120000}"/>
    <cellStyle name="20 % - Markeringsfarve2 3 2 2 2 3 3" xfId="23447" xr:uid="{00000000-0005-0000-0000-000052120000}"/>
    <cellStyle name="20 % - Markeringsfarve2 3 2 2 2 3 4" xfId="38434" xr:uid="{00000000-0005-0000-0000-000053120000}"/>
    <cellStyle name="20 % - Markeringsfarve2 3 2 2 2 4" xfId="10539" xr:uid="{00000000-0005-0000-0000-000054120000}"/>
    <cellStyle name="20 % - Markeringsfarve2 3 2 2 2 4 2" xfId="26858" xr:uid="{00000000-0005-0000-0000-000055120000}"/>
    <cellStyle name="20 % - Markeringsfarve2 3 2 2 2 4 3" xfId="41824" xr:uid="{00000000-0005-0000-0000-000056120000}"/>
    <cellStyle name="20 % - Markeringsfarve2 3 2 2 2 5" xfId="19836" xr:uid="{00000000-0005-0000-0000-000057120000}"/>
    <cellStyle name="20 % - Markeringsfarve2 3 2 2 2 6" xfId="34825" xr:uid="{00000000-0005-0000-0000-000058120000}"/>
    <cellStyle name="20 % - Markeringsfarve2 3 2 2 3" xfId="1984" xr:uid="{00000000-0005-0000-0000-000059120000}"/>
    <cellStyle name="20 % - Markeringsfarve2 3 2 2 3 2" xfId="6893" xr:uid="{00000000-0005-0000-0000-00005A120000}"/>
    <cellStyle name="20 % - Markeringsfarve2 3 2 2 3 2 2" xfId="14804" xr:uid="{00000000-0005-0000-0000-00005B120000}"/>
    <cellStyle name="20 % - Markeringsfarve2 3 2 2 3 2 2 2" xfId="31118" xr:uid="{00000000-0005-0000-0000-00005C120000}"/>
    <cellStyle name="20 % - Markeringsfarve2 3 2 2 3 2 2 3" xfId="46082" xr:uid="{00000000-0005-0000-0000-00005D120000}"/>
    <cellStyle name="20 % - Markeringsfarve2 3 2 2 3 2 3" xfId="24096" xr:uid="{00000000-0005-0000-0000-00005E120000}"/>
    <cellStyle name="20 % - Markeringsfarve2 3 2 2 3 2 4" xfId="39083" xr:uid="{00000000-0005-0000-0000-00005F120000}"/>
    <cellStyle name="20 % - Markeringsfarve2 3 2 2 3 3" xfId="10541" xr:uid="{00000000-0005-0000-0000-000060120000}"/>
    <cellStyle name="20 % - Markeringsfarve2 3 2 2 3 3 2" xfId="26860" xr:uid="{00000000-0005-0000-0000-000061120000}"/>
    <cellStyle name="20 % - Markeringsfarve2 3 2 2 3 3 3" xfId="41826" xr:uid="{00000000-0005-0000-0000-000062120000}"/>
    <cellStyle name="20 % - Markeringsfarve2 3 2 2 3 4" xfId="19838" xr:uid="{00000000-0005-0000-0000-000063120000}"/>
    <cellStyle name="20 % - Markeringsfarve2 3 2 2 3 5" xfId="34827" xr:uid="{00000000-0005-0000-0000-000064120000}"/>
    <cellStyle name="20 % - Markeringsfarve2 3 2 2 4" xfId="1985" xr:uid="{00000000-0005-0000-0000-000065120000}"/>
    <cellStyle name="20 % - Markeringsfarve2 3 2 2 4 2" xfId="8326" xr:uid="{00000000-0005-0000-0000-000066120000}"/>
    <cellStyle name="20 % - Markeringsfarve2 3 2 2 4 2 2" xfId="16220" xr:uid="{00000000-0005-0000-0000-000067120000}"/>
    <cellStyle name="20 % - Markeringsfarve2 3 2 2 4 2 2 2" xfId="32534" xr:uid="{00000000-0005-0000-0000-000068120000}"/>
    <cellStyle name="20 % - Markeringsfarve2 3 2 2 4 2 2 3" xfId="47498" xr:uid="{00000000-0005-0000-0000-000069120000}"/>
    <cellStyle name="20 % - Markeringsfarve2 3 2 2 4 2 3" xfId="25512" xr:uid="{00000000-0005-0000-0000-00006A120000}"/>
    <cellStyle name="20 % - Markeringsfarve2 3 2 2 4 2 4" xfId="40499" xr:uid="{00000000-0005-0000-0000-00006B120000}"/>
    <cellStyle name="20 % - Markeringsfarve2 3 2 2 4 3" xfId="10542" xr:uid="{00000000-0005-0000-0000-00006C120000}"/>
    <cellStyle name="20 % - Markeringsfarve2 3 2 2 4 3 2" xfId="26861" xr:uid="{00000000-0005-0000-0000-00006D120000}"/>
    <cellStyle name="20 % - Markeringsfarve2 3 2 2 4 3 3" xfId="41827" xr:uid="{00000000-0005-0000-0000-00006E120000}"/>
    <cellStyle name="20 % - Markeringsfarve2 3 2 2 4 4" xfId="19839" xr:uid="{00000000-0005-0000-0000-00006F120000}"/>
    <cellStyle name="20 % - Markeringsfarve2 3 2 2 4 5" xfId="34828" xr:uid="{00000000-0005-0000-0000-000070120000}"/>
    <cellStyle name="20 % - Markeringsfarve2 3 2 2 5" xfId="5487" xr:uid="{00000000-0005-0000-0000-000071120000}"/>
    <cellStyle name="20 % - Markeringsfarve2 3 2 2 5 2" xfId="13405" xr:uid="{00000000-0005-0000-0000-000072120000}"/>
    <cellStyle name="20 % - Markeringsfarve2 3 2 2 5 2 2" xfId="29719" xr:uid="{00000000-0005-0000-0000-000073120000}"/>
    <cellStyle name="20 % - Markeringsfarve2 3 2 2 5 2 3" xfId="44683" xr:uid="{00000000-0005-0000-0000-000074120000}"/>
    <cellStyle name="20 % - Markeringsfarve2 3 2 2 5 3" xfId="22697" xr:uid="{00000000-0005-0000-0000-000075120000}"/>
    <cellStyle name="20 % - Markeringsfarve2 3 2 2 5 4" xfId="37684" xr:uid="{00000000-0005-0000-0000-000076120000}"/>
    <cellStyle name="20 % - Markeringsfarve2 3 2 2 6" xfId="10538" xr:uid="{00000000-0005-0000-0000-000077120000}"/>
    <cellStyle name="20 % - Markeringsfarve2 3 2 2 6 2" xfId="26857" xr:uid="{00000000-0005-0000-0000-000078120000}"/>
    <cellStyle name="20 % - Markeringsfarve2 3 2 2 6 3" xfId="41823" xr:uid="{00000000-0005-0000-0000-000079120000}"/>
    <cellStyle name="20 % - Markeringsfarve2 3 2 2 7" xfId="19835" xr:uid="{00000000-0005-0000-0000-00007A120000}"/>
    <cellStyle name="20 % - Markeringsfarve2 3 2 2 8" xfId="34824" xr:uid="{00000000-0005-0000-0000-00007B120000}"/>
    <cellStyle name="20 % - Markeringsfarve2 3 2 2 9" xfId="57177" xr:uid="{00000000-0005-0000-0000-00007C120000}"/>
    <cellStyle name="20 % - Markeringsfarve2 3 2 3" xfId="1986" xr:uid="{00000000-0005-0000-0000-00007D120000}"/>
    <cellStyle name="20 % - Markeringsfarve2 3 2 3 2" xfId="1987" xr:uid="{00000000-0005-0000-0000-00007E120000}"/>
    <cellStyle name="20 % - Markeringsfarve2 3 2 3 2 2" xfId="1988" xr:uid="{00000000-0005-0000-0000-00007F120000}"/>
    <cellStyle name="20 % - Markeringsfarve2 3 2 3 2 2 2" xfId="7739" xr:uid="{00000000-0005-0000-0000-000080120000}"/>
    <cellStyle name="20 % - Markeringsfarve2 3 2 3 2 2 2 2" xfId="15640" xr:uid="{00000000-0005-0000-0000-000081120000}"/>
    <cellStyle name="20 % - Markeringsfarve2 3 2 3 2 2 2 2 2" xfId="31954" xr:uid="{00000000-0005-0000-0000-000082120000}"/>
    <cellStyle name="20 % - Markeringsfarve2 3 2 3 2 2 2 2 3" xfId="46918" xr:uid="{00000000-0005-0000-0000-000083120000}"/>
    <cellStyle name="20 % - Markeringsfarve2 3 2 3 2 2 2 3" xfId="24932" xr:uid="{00000000-0005-0000-0000-000084120000}"/>
    <cellStyle name="20 % - Markeringsfarve2 3 2 3 2 2 2 4" xfId="39919" xr:uid="{00000000-0005-0000-0000-000085120000}"/>
    <cellStyle name="20 % - Markeringsfarve2 3 2 3 2 2 3" xfId="10545" xr:uid="{00000000-0005-0000-0000-000086120000}"/>
    <cellStyle name="20 % - Markeringsfarve2 3 2 3 2 2 3 2" xfId="26864" xr:uid="{00000000-0005-0000-0000-000087120000}"/>
    <cellStyle name="20 % - Markeringsfarve2 3 2 3 2 2 3 3" xfId="41830" xr:uid="{00000000-0005-0000-0000-000088120000}"/>
    <cellStyle name="20 % - Markeringsfarve2 3 2 3 2 2 4" xfId="19842" xr:uid="{00000000-0005-0000-0000-000089120000}"/>
    <cellStyle name="20 % - Markeringsfarve2 3 2 3 2 2 5" xfId="34831" xr:uid="{00000000-0005-0000-0000-00008A120000}"/>
    <cellStyle name="20 % - Markeringsfarve2 3 2 3 2 3" xfId="6303" xr:uid="{00000000-0005-0000-0000-00008B120000}"/>
    <cellStyle name="20 % - Markeringsfarve2 3 2 3 2 3 2" xfId="14220" xr:uid="{00000000-0005-0000-0000-00008C120000}"/>
    <cellStyle name="20 % - Markeringsfarve2 3 2 3 2 3 2 2" xfId="30534" xr:uid="{00000000-0005-0000-0000-00008D120000}"/>
    <cellStyle name="20 % - Markeringsfarve2 3 2 3 2 3 2 3" xfId="45498" xr:uid="{00000000-0005-0000-0000-00008E120000}"/>
    <cellStyle name="20 % - Markeringsfarve2 3 2 3 2 3 3" xfId="23512" xr:uid="{00000000-0005-0000-0000-00008F120000}"/>
    <cellStyle name="20 % - Markeringsfarve2 3 2 3 2 3 4" xfId="38499" xr:uid="{00000000-0005-0000-0000-000090120000}"/>
    <cellStyle name="20 % - Markeringsfarve2 3 2 3 2 4" xfId="10544" xr:uid="{00000000-0005-0000-0000-000091120000}"/>
    <cellStyle name="20 % - Markeringsfarve2 3 2 3 2 4 2" xfId="26863" xr:uid="{00000000-0005-0000-0000-000092120000}"/>
    <cellStyle name="20 % - Markeringsfarve2 3 2 3 2 4 3" xfId="41829" xr:uid="{00000000-0005-0000-0000-000093120000}"/>
    <cellStyle name="20 % - Markeringsfarve2 3 2 3 2 5" xfId="19841" xr:uid="{00000000-0005-0000-0000-000094120000}"/>
    <cellStyle name="20 % - Markeringsfarve2 3 2 3 2 6" xfId="34830" xr:uid="{00000000-0005-0000-0000-000095120000}"/>
    <cellStyle name="20 % - Markeringsfarve2 3 2 3 3" xfId="1989" xr:uid="{00000000-0005-0000-0000-000096120000}"/>
    <cellStyle name="20 % - Markeringsfarve2 3 2 3 3 2" xfId="6969" xr:uid="{00000000-0005-0000-0000-000097120000}"/>
    <cellStyle name="20 % - Markeringsfarve2 3 2 3 3 2 2" xfId="14880" xr:uid="{00000000-0005-0000-0000-000098120000}"/>
    <cellStyle name="20 % - Markeringsfarve2 3 2 3 3 2 2 2" xfId="31194" xr:uid="{00000000-0005-0000-0000-000099120000}"/>
    <cellStyle name="20 % - Markeringsfarve2 3 2 3 3 2 2 3" xfId="46158" xr:uid="{00000000-0005-0000-0000-00009A120000}"/>
    <cellStyle name="20 % - Markeringsfarve2 3 2 3 3 2 3" xfId="24172" xr:uid="{00000000-0005-0000-0000-00009B120000}"/>
    <cellStyle name="20 % - Markeringsfarve2 3 2 3 3 2 4" xfId="39159" xr:uid="{00000000-0005-0000-0000-00009C120000}"/>
    <cellStyle name="20 % - Markeringsfarve2 3 2 3 3 3" xfId="10546" xr:uid="{00000000-0005-0000-0000-00009D120000}"/>
    <cellStyle name="20 % - Markeringsfarve2 3 2 3 3 3 2" xfId="26865" xr:uid="{00000000-0005-0000-0000-00009E120000}"/>
    <cellStyle name="20 % - Markeringsfarve2 3 2 3 3 3 3" xfId="41831" xr:uid="{00000000-0005-0000-0000-00009F120000}"/>
    <cellStyle name="20 % - Markeringsfarve2 3 2 3 3 4" xfId="19843" xr:uid="{00000000-0005-0000-0000-0000A0120000}"/>
    <cellStyle name="20 % - Markeringsfarve2 3 2 3 3 5" xfId="34832" xr:uid="{00000000-0005-0000-0000-0000A1120000}"/>
    <cellStyle name="20 % - Markeringsfarve2 3 2 3 4" xfId="1990" xr:uid="{00000000-0005-0000-0000-0000A2120000}"/>
    <cellStyle name="20 % - Markeringsfarve2 3 2 3 4 2" xfId="8327" xr:uid="{00000000-0005-0000-0000-0000A3120000}"/>
    <cellStyle name="20 % - Markeringsfarve2 3 2 3 4 2 2" xfId="16221" xr:uid="{00000000-0005-0000-0000-0000A4120000}"/>
    <cellStyle name="20 % - Markeringsfarve2 3 2 3 4 2 2 2" xfId="32535" xr:uid="{00000000-0005-0000-0000-0000A5120000}"/>
    <cellStyle name="20 % - Markeringsfarve2 3 2 3 4 2 2 3" xfId="47499" xr:uid="{00000000-0005-0000-0000-0000A6120000}"/>
    <cellStyle name="20 % - Markeringsfarve2 3 2 3 4 2 3" xfId="25513" xr:uid="{00000000-0005-0000-0000-0000A7120000}"/>
    <cellStyle name="20 % - Markeringsfarve2 3 2 3 4 2 4" xfId="40500" xr:uid="{00000000-0005-0000-0000-0000A8120000}"/>
    <cellStyle name="20 % - Markeringsfarve2 3 2 3 4 3" xfId="10547" xr:uid="{00000000-0005-0000-0000-0000A9120000}"/>
    <cellStyle name="20 % - Markeringsfarve2 3 2 3 4 3 2" xfId="26866" xr:uid="{00000000-0005-0000-0000-0000AA120000}"/>
    <cellStyle name="20 % - Markeringsfarve2 3 2 3 4 3 3" xfId="41832" xr:uid="{00000000-0005-0000-0000-0000AB120000}"/>
    <cellStyle name="20 % - Markeringsfarve2 3 2 3 4 4" xfId="19844" xr:uid="{00000000-0005-0000-0000-0000AC120000}"/>
    <cellStyle name="20 % - Markeringsfarve2 3 2 3 4 5" xfId="34833" xr:uid="{00000000-0005-0000-0000-0000AD120000}"/>
    <cellStyle name="20 % - Markeringsfarve2 3 2 3 5" xfId="5488" xr:uid="{00000000-0005-0000-0000-0000AE120000}"/>
    <cellStyle name="20 % - Markeringsfarve2 3 2 3 5 2" xfId="13406" xr:uid="{00000000-0005-0000-0000-0000AF120000}"/>
    <cellStyle name="20 % - Markeringsfarve2 3 2 3 5 2 2" xfId="29720" xr:uid="{00000000-0005-0000-0000-0000B0120000}"/>
    <cellStyle name="20 % - Markeringsfarve2 3 2 3 5 2 3" xfId="44684" xr:uid="{00000000-0005-0000-0000-0000B1120000}"/>
    <cellStyle name="20 % - Markeringsfarve2 3 2 3 5 3" xfId="22698" xr:uid="{00000000-0005-0000-0000-0000B2120000}"/>
    <cellStyle name="20 % - Markeringsfarve2 3 2 3 5 4" xfId="37685" xr:uid="{00000000-0005-0000-0000-0000B3120000}"/>
    <cellStyle name="20 % - Markeringsfarve2 3 2 3 6" xfId="10543" xr:uid="{00000000-0005-0000-0000-0000B4120000}"/>
    <cellStyle name="20 % - Markeringsfarve2 3 2 3 6 2" xfId="26862" xr:uid="{00000000-0005-0000-0000-0000B5120000}"/>
    <cellStyle name="20 % - Markeringsfarve2 3 2 3 6 3" xfId="41828" xr:uid="{00000000-0005-0000-0000-0000B6120000}"/>
    <cellStyle name="20 % - Markeringsfarve2 3 2 3 7" xfId="19840" xr:uid="{00000000-0005-0000-0000-0000B7120000}"/>
    <cellStyle name="20 % - Markeringsfarve2 3 2 3 8" xfId="34829" xr:uid="{00000000-0005-0000-0000-0000B8120000}"/>
    <cellStyle name="20 % - Markeringsfarve2 3 2 4" xfId="1991" xr:uid="{00000000-0005-0000-0000-0000B9120000}"/>
    <cellStyle name="20 % - Markeringsfarve2 3 2 4 2" xfId="1992" xr:uid="{00000000-0005-0000-0000-0000BA120000}"/>
    <cellStyle name="20 % - Markeringsfarve2 3 2 4 2 2" xfId="1993" xr:uid="{00000000-0005-0000-0000-0000BB120000}"/>
    <cellStyle name="20 % - Markeringsfarve2 3 2 4 2 2 2" xfId="7901" xr:uid="{00000000-0005-0000-0000-0000BC120000}"/>
    <cellStyle name="20 % - Markeringsfarve2 3 2 4 2 2 2 2" xfId="15802" xr:uid="{00000000-0005-0000-0000-0000BD120000}"/>
    <cellStyle name="20 % - Markeringsfarve2 3 2 4 2 2 2 2 2" xfId="32116" xr:uid="{00000000-0005-0000-0000-0000BE120000}"/>
    <cellStyle name="20 % - Markeringsfarve2 3 2 4 2 2 2 2 3" xfId="47080" xr:uid="{00000000-0005-0000-0000-0000BF120000}"/>
    <cellStyle name="20 % - Markeringsfarve2 3 2 4 2 2 2 3" xfId="25094" xr:uid="{00000000-0005-0000-0000-0000C0120000}"/>
    <cellStyle name="20 % - Markeringsfarve2 3 2 4 2 2 2 4" xfId="40081" xr:uid="{00000000-0005-0000-0000-0000C1120000}"/>
    <cellStyle name="20 % - Markeringsfarve2 3 2 4 2 2 3" xfId="10550" xr:uid="{00000000-0005-0000-0000-0000C2120000}"/>
    <cellStyle name="20 % - Markeringsfarve2 3 2 4 2 2 3 2" xfId="26869" xr:uid="{00000000-0005-0000-0000-0000C3120000}"/>
    <cellStyle name="20 % - Markeringsfarve2 3 2 4 2 2 3 3" xfId="41835" xr:uid="{00000000-0005-0000-0000-0000C4120000}"/>
    <cellStyle name="20 % - Markeringsfarve2 3 2 4 2 2 4" xfId="19847" xr:uid="{00000000-0005-0000-0000-0000C5120000}"/>
    <cellStyle name="20 % - Markeringsfarve2 3 2 4 2 2 5" xfId="34836" xr:uid="{00000000-0005-0000-0000-0000C6120000}"/>
    <cellStyle name="20 % - Markeringsfarve2 3 2 4 2 3" xfId="6440" xr:uid="{00000000-0005-0000-0000-0000C7120000}"/>
    <cellStyle name="20 % - Markeringsfarve2 3 2 4 2 3 2" xfId="14354" xr:uid="{00000000-0005-0000-0000-0000C8120000}"/>
    <cellStyle name="20 % - Markeringsfarve2 3 2 4 2 3 2 2" xfId="30668" xr:uid="{00000000-0005-0000-0000-0000C9120000}"/>
    <cellStyle name="20 % - Markeringsfarve2 3 2 4 2 3 2 3" xfId="45632" xr:uid="{00000000-0005-0000-0000-0000CA120000}"/>
    <cellStyle name="20 % - Markeringsfarve2 3 2 4 2 3 3" xfId="23646" xr:uid="{00000000-0005-0000-0000-0000CB120000}"/>
    <cellStyle name="20 % - Markeringsfarve2 3 2 4 2 3 4" xfId="38633" xr:uid="{00000000-0005-0000-0000-0000CC120000}"/>
    <cellStyle name="20 % - Markeringsfarve2 3 2 4 2 4" xfId="10549" xr:uid="{00000000-0005-0000-0000-0000CD120000}"/>
    <cellStyle name="20 % - Markeringsfarve2 3 2 4 2 4 2" xfId="26868" xr:uid="{00000000-0005-0000-0000-0000CE120000}"/>
    <cellStyle name="20 % - Markeringsfarve2 3 2 4 2 4 3" xfId="41834" xr:uid="{00000000-0005-0000-0000-0000CF120000}"/>
    <cellStyle name="20 % - Markeringsfarve2 3 2 4 2 5" xfId="19846" xr:uid="{00000000-0005-0000-0000-0000D0120000}"/>
    <cellStyle name="20 % - Markeringsfarve2 3 2 4 2 6" xfId="34835" xr:uid="{00000000-0005-0000-0000-0000D1120000}"/>
    <cellStyle name="20 % - Markeringsfarve2 3 2 4 3" xfId="1994" xr:uid="{00000000-0005-0000-0000-0000D2120000}"/>
    <cellStyle name="20 % - Markeringsfarve2 3 2 4 3 2" xfId="7177" xr:uid="{00000000-0005-0000-0000-0000D3120000}"/>
    <cellStyle name="20 % - Markeringsfarve2 3 2 4 3 2 2" xfId="15087" xr:uid="{00000000-0005-0000-0000-0000D4120000}"/>
    <cellStyle name="20 % - Markeringsfarve2 3 2 4 3 2 2 2" xfId="31401" xr:uid="{00000000-0005-0000-0000-0000D5120000}"/>
    <cellStyle name="20 % - Markeringsfarve2 3 2 4 3 2 2 3" xfId="46365" xr:uid="{00000000-0005-0000-0000-0000D6120000}"/>
    <cellStyle name="20 % - Markeringsfarve2 3 2 4 3 2 3" xfId="24379" xr:uid="{00000000-0005-0000-0000-0000D7120000}"/>
    <cellStyle name="20 % - Markeringsfarve2 3 2 4 3 2 4" xfId="39366" xr:uid="{00000000-0005-0000-0000-0000D8120000}"/>
    <cellStyle name="20 % - Markeringsfarve2 3 2 4 3 3" xfId="10551" xr:uid="{00000000-0005-0000-0000-0000D9120000}"/>
    <cellStyle name="20 % - Markeringsfarve2 3 2 4 3 3 2" xfId="26870" xr:uid="{00000000-0005-0000-0000-0000DA120000}"/>
    <cellStyle name="20 % - Markeringsfarve2 3 2 4 3 3 3" xfId="41836" xr:uid="{00000000-0005-0000-0000-0000DB120000}"/>
    <cellStyle name="20 % - Markeringsfarve2 3 2 4 3 4" xfId="19848" xr:uid="{00000000-0005-0000-0000-0000DC120000}"/>
    <cellStyle name="20 % - Markeringsfarve2 3 2 4 3 5" xfId="34837" xr:uid="{00000000-0005-0000-0000-0000DD120000}"/>
    <cellStyle name="20 % - Markeringsfarve2 3 2 4 4" xfId="1995" xr:uid="{00000000-0005-0000-0000-0000DE120000}"/>
    <cellStyle name="20 % - Markeringsfarve2 3 2 4 4 2" xfId="8219" xr:uid="{00000000-0005-0000-0000-0000DF120000}"/>
    <cellStyle name="20 % - Markeringsfarve2 3 2 4 4 2 2" xfId="16116" xr:uid="{00000000-0005-0000-0000-0000E0120000}"/>
    <cellStyle name="20 % - Markeringsfarve2 3 2 4 4 2 2 2" xfId="32430" xr:uid="{00000000-0005-0000-0000-0000E1120000}"/>
    <cellStyle name="20 % - Markeringsfarve2 3 2 4 4 2 2 3" xfId="47394" xr:uid="{00000000-0005-0000-0000-0000E2120000}"/>
    <cellStyle name="20 % - Markeringsfarve2 3 2 4 4 2 3" xfId="25408" xr:uid="{00000000-0005-0000-0000-0000E3120000}"/>
    <cellStyle name="20 % - Markeringsfarve2 3 2 4 4 2 4" xfId="40395" xr:uid="{00000000-0005-0000-0000-0000E4120000}"/>
    <cellStyle name="20 % - Markeringsfarve2 3 2 4 4 3" xfId="10552" xr:uid="{00000000-0005-0000-0000-0000E5120000}"/>
    <cellStyle name="20 % - Markeringsfarve2 3 2 4 4 3 2" xfId="26871" xr:uid="{00000000-0005-0000-0000-0000E6120000}"/>
    <cellStyle name="20 % - Markeringsfarve2 3 2 4 4 3 3" xfId="41837" xr:uid="{00000000-0005-0000-0000-0000E7120000}"/>
    <cellStyle name="20 % - Markeringsfarve2 3 2 4 4 4" xfId="19849" xr:uid="{00000000-0005-0000-0000-0000E8120000}"/>
    <cellStyle name="20 % - Markeringsfarve2 3 2 4 4 5" xfId="34838" xr:uid="{00000000-0005-0000-0000-0000E9120000}"/>
    <cellStyle name="20 % - Markeringsfarve2 3 2 4 5" xfId="5489" xr:uid="{00000000-0005-0000-0000-0000EA120000}"/>
    <cellStyle name="20 % - Markeringsfarve2 3 2 4 5 2" xfId="13407" xr:uid="{00000000-0005-0000-0000-0000EB120000}"/>
    <cellStyle name="20 % - Markeringsfarve2 3 2 4 5 2 2" xfId="29721" xr:uid="{00000000-0005-0000-0000-0000EC120000}"/>
    <cellStyle name="20 % - Markeringsfarve2 3 2 4 5 2 3" xfId="44685" xr:uid="{00000000-0005-0000-0000-0000ED120000}"/>
    <cellStyle name="20 % - Markeringsfarve2 3 2 4 5 3" xfId="22699" xr:uid="{00000000-0005-0000-0000-0000EE120000}"/>
    <cellStyle name="20 % - Markeringsfarve2 3 2 4 5 4" xfId="37686" xr:uid="{00000000-0005-0000-0000-0000EF120000}"/>
    <cellStyle name="20 % - Markeringsfarve2 3 2 4 6" xfId="10548" xr:uid="{00000000-0005-0000-0000-0000F0120000}"/>
    <cellStyle name="20 % - Markeringsfarve2 3 2 4 6 2" xfId="26867" xr:uid="{00000000-0005-0000-0000-0000F1120000}"/>
    <cellStyle name="20 % - Markeringsfarve2 3 2 4 6 3" xfId="41833" xr:uid="{00000000-0005-0000-0000-0000F2120000}"/>
    <cellStyle name="20 % - Markeringsfarve2 3 2 4 7" xfId="19845" xr:uid="{00000000-0005-0000-0000-0000F3120000}"/>
    <cellStyle name="20 % - Markeringsfarve2 3 2 4 8" xfId="34834" xr:uid="{00000000-0005-0000-0000-0000F4120000}"/>
    <cellStyle name="20 % - Markeringsfarve2 3 2 5" xfId="1996" xr:uid="{00000000-0005-0000-0000-0000F5120000}"/>
    <cellStyle name="20 % - Markeringsfarve2 3 2 5 2" xfId="1997" xr:uid="{00000000-0005-0000-0000-0000F6120000}"/>
    <cellStyle name="20 % - Markeringsfarve2 3 2 5 2 2" xfId="1998" xr:uid="{00000000-0005-0000-0000-0000F7120000}"/>
    <cellStyle name="20 % - Markeringsfarve2 3 2 5 2 2 2" xfId="8018" xr:uid="{00000000-0005-0000-0000-0000F8120000}"/>
    <cellStyle name="20 % - Markeringsfarve2 3 2 5 2 2 2 2" xfId="15919" xr:uid="{00000000-0005-0000-0000-0000F9120000}"/>
    <cellStyle name="20 % - Markeringsfarve2 3 2 5 2 2 2 2 2" xfId="32233" xr:uid="{00000000-0005-0000-0000-0000FA120000}"/>
    <cellStyle name="20 % - Markeringsfarve2 3 2 5 2 2 2 2 3" xfId="47197" xr:uid="{00000000-0005-0000-0000-0000FB120000}"/>
    <cellStyle name="20 % - Markeringsfarve2 3 2 5 2 2 2 3" xfId="25211" xr:uid="{00000000-0005-0000-0000-0000FC120000}"/>
    <cellStyle name="20 % - Markeringsfarve2 3 2 5 2 2 2 4" xfId="40198" xr:uid="{00000000-0005-0000-0000-0000FD120000}"/>
    <cellStyle name="20 % - Markeringsfarve2 3 2 5 2 2 3" xfId="10555" xr:uid="{00000000-0005-0000-0000-0000FE120000}"/>
    <cellStyle name="20 % - Markeringsfarve2 3 2 5 2 2 3 2" xfId="26874" xr:uid="{00000000-0005-0000-0000-0000FF120000}"/>
    <cellStyle name="20 % - Markeringsfarve2 3 2 5 2 2 3 3" xfId="41840" xr:uid="{00000000-0005-0000-0000-000000130000}"/>
    <cellStyle name="20 % - Markeringsfarve2 3 2 5 2 2 4" xfId="19852" xr:uid="{00000000-0005-0000-0000-000001130000}"/>
    <cellStyle name="20 % - Markeringsfarve2 3 2 5 2 2 5" xfId="34841" xr:uid="{00000000-0005-0000-0000-000002130000}"/>
    <cellStyle name="20 % - Markeringsfarve2 3 2 5 2 3" xfId="6539" xr:uid="{00000000-0005-0000-0000-000003130000}"/>
    <cellStyle name="20 % - Markeringsfarve2 3 2 5 2 3 2" xfId="14453" xr:uid="{00000000-0005-0000-0000-000004130000}"/>
    <cellStyle name="20 % - Markeringsfarve2 3 2 5 2 3 2 2" xfId="30767" xr:uid="{00000000-0005-0000-0000-000005130000}"/>
    <cellStyle name="20 % - Markeringsfarve2 3 2 5 2 3 2 3" xfId="45731" xr:uid="{00000000-0005-0000-0000-000006130000}"/>
    <cellStyle name="20 % - Markeringsfarve2 3 2 5 2 3 3" xfId="23745" xr:uid="{00000000-0005-0000-0000-000007130000}"/>
    <cellStyle name="20 % - Markeringsfarve2 3 2 5 2 3 4" xfId="38732" xr:uid="{00000000-0005-0000-0000-000008130000}"/>
    <cellStyle name="20 % - Markeringsfarve2 3 2 5 2 4" xfId="10554" xr:uid="{00000000-0005-0000-0000-000009130000}"/>
    <cellStyle name="20 % - Markeringsfarve2 3 2 5 2 4 2" xfId="26873" xr:uid="{00000000-0005-0000-0000-00000A130000}"/>
    <cellStyle name="20 % - Markeringsfarve2 3 2 5 2 4 3" xfId="41839" xr:uid="{00000000-0005-0000-0000-00000B130000}"/>
    <cellStyle name="20 % - Markeringsfarve2 3 2 5 2 5" xfId="19851" xr:uid="{00000000-0005-0000-0000-00000C130000}"/>
    <cellStyle name="20 % - Markeringsfarve2 3 2 5 2 6" xfId="34840" xr:uid="{00000000-0005-0000-0000-00000D130000}"/>
    <cellStyle name="20 % - Markeringsfarve2 3 2 5 3" xfId="1999" xr:uid="{00000000-0005-0000-0000-00000E130000}"/>
    <cellStyle name="20 % - Markeringsfarve2 3 2 5 3 2" xfId="7294" xr:uid="{00000000-0005-0000-0000-00000F130000}"/>
    <cellStyle name="20 % - Markeringsfarve2 3 2 5 3 2 2" xfId="15204" xr:uid="{00000000-0005-0000-0000-000010130000}"/>
    <cellStyle name="20 % - Markeringsfarve2 3 2 5 3 2 2 2" xfId="31518" xr:uid="{00000000-0005-0000-0000-000011130000}"/>
    <cellStyle name="20 % - Markeringsfarve2 3 2 5 3 2 2 3" xfId="46482" xr:uid="{00000000-0005-0000-0000-000012130000}"/>
    <cellStyle name="20 % - Markeringsfarve2 3 2 5 3 2 3" xfId="24496" xr:uid="{00000000-0005-0000-0000-000013130000}"/>
    <cellStyle name="20 % - Markeringsfarve2 3 2 5 3 2 4" xfId="39483" xr:uid="{00000000-0005-0000-0000-000014130000}"/>
    <cellStyle name="20 % - Markeringsfarve2 3 2 5 3 3" xfId="10556" xr:uid="{00000000-0005-0000-0000-000015130000}"/>
    <cellStyle name="20 % - Markeringsfarve2 3 2 5 3 3 2" xfId="26875" xr:uid="{00000000-0005-0000-0000-000016130000}"/>
    <cellStyle name="20 % - Markeringsfarve2 3 2 5 3 3 3" xfId="41841" xr:uid="{00000000-0005-0000-0000-000017130000}"/>
    <cellStyle name="20 % - Markeringsfarve2 3 2 5 3 4" xfId="19853" xr:uid="{00000000-0005-0000-0000-000018130000}"/>
    <cellStyle name="20 % - Markeringsfarve2 3 2 5 3 5" xfId="34842" xr:uid="{00000000-0005-0000-0000-000019130000}"/>
    <cellStyle name="20 % - Markeringsfarve2 3 2 5 4" xfId="2000" xr:uid="{00000000-0005-0000-0000-00001A130000}"/>
    <cellStyle name="20 % - Markeringsfarve2 3 2 5 4 2" xfId="8325" xr:uid="{00000000-0005-0000-0000-00001B130000}"/>
    <cellStyle name="20 % - Markeringsfarve2 3 2 5 4 2 2" xfId="16219" xr:uid="{00000000-0005-0000-0000-00001C130000}"/>
    <cellStyle name="20 % - Markeringsfarve2 3 2 5 4 2 2 2" xfId="32533" xr:uid="{00000000-0005-0000-0000-00001D130000}"/>
    <cellStyle name="20 % - Markeringsfarve2 3 2 5 4 2 2 3" xfId="47497" xr:uid="{00000000-0005-0000-0000-00001E130000}"/>
    <cellStyle name="20 % - Markeringsfarve2 3 2 5 4 2 3" xfId="25511" xr:uid="{00000000-0005-0000-0000-00001F130000}"/>
    <cellStyle name="20 % - Markeringsfarve2 3 2 5 4 2 4" xfId="40498" xr:uid="{00000000-0005-0000-0000-000020130000}"/>
    <cellStyle name="20 % - Markeringsfarve2 3 2 5 4 3" xfId="10557" xr:uid="{00000000-0005-0000-0000-000021130000}"/>
    <cellStyle name="20 % - Markeringsfarve2 3 2 5 4 3 2" xfId="26876" xr:uid="{00000000-0005-0000-0000-000022130000}"/>
    <cellStyle name="20 % - Markeringsfarve2 3 2 5 4 3 3" xfId="41842" xr:uid="{00000000-0005-0000-0000-000023130000}"/>
    <cellStyle name="20 % - Markeringsfarve2 3 2 5 4 4" xfId="19854" xr:uid="{00000000-0005-0000-0000-000024130000}"/>
    <cellStyle name="20 % - Markeringsfarve2 3 2 5 4 5" xfId="34843" xr:uid="{00000000-0005-0000-0000-000025130000}"/>
    <cellStyle name="20 % - Markeringsfarve2 3 2 5 5" xfId="5490" xr:uid="{00000000-0005-0000-0000-000026130000}"/>
    <cellStyle name="20 % - Markeringsfarve2 3 2 5 5 2" xfId="13408" xr:uid="{00000000-0005-0000-0000-000027130000}"/>
    <cellStyle name="20 % - Markeringsfarve2 3 2 5 5 2 2" xfId="29722" xr:uid="{00000000-0005-0000-0000-000028130000}"/>
    <cellStyle name="20 % - Markeringsfarve2 3 2 5 5 2 3" xfId="44686" xr:uid="{00000000-0005-0000-0000-000029130000}"/>
    <cellStyle name="20 % - Markeringsfarve2 3 2 5 5 3" xfId="22700" xr:uid="{00000000-0005-0000-0000-00002A130000}"/>
    <cellStyle name="20 % - Markeringsfarve2 3 2 5 5 4" xfId="37687" xr:uid="{00000000-0005-0000-0000-00002B130000}"/>
    <cellStyle name="20 % - Markeringsfarve2 3 2 5 6" xfId="10553" xr:uid="{00000000-0005-0000-0000-00002C130000}"/>
    <cellStyle name="20 % - Markeringsfarve2 3 2 5 6 2" xfId="26872" xr:uid="{00000000-0005-0000-0000-00002D130000}"/>
    <cellStyle name="20 % - Markeringsfarve2 3 2 5 6 3" xfId="41838" xr:uid="{00000000-0005-0000-0000-00002E130000}"/>
    <cellStyle name="20 % - Markeringsfarve2 3 2 5 7" xfId="19850" xr:uid="{00000000-0005-0000-0000-00002F130000}"/>
    <cellStyle name="20 % - Markeringsfarve2 3 2 5 8" xfId="34839" xr:uid="{00000000-0005-0000-0000-000030130000}"/>
    <cellStyle name="20 % - Markeringsfarve2 3 2 6" xfId="2001" xr:uid="{00000000-0005-0000-0000-000031130000}"/>
    <cellStyle name="20 % - Markeringsfarve2 3 2 6 2" xfId="2002" xr:uid="{00000000-0005-0000-0000-000032130000}"/>
    <cellStyle name="20 % - Markeringsfarve2 3 2 6 2 2" xfId="2003" xr:uid="{00000000-0005-0000-0000-000033130000}"/>
    <cellStyle name="20 % - Markeringsfarve2 3 2 6 2 2 2" xfId="8094" xr:uid="{00000000-0005-0000-0000-000034130000}"/>
    <cellStyle name="20 % - Markeringsfarve2 3 2 6 2 2 2 2" xfId="15995" xr:uid="{00000000-0005-0000-0000-000035130000}"/>
    <cellStyle name="20 % - Markeringsfarve2 3 2 6 2 2 2 2 2" xfId="32309" xr:uid="{00000000-0005-0000-0000-000036130000}"/>
    <cellStyle name="20 % - Markeringsfarve2 3 2 6 2 2 2 2 3" xfId="47273" xr:uid="{00000000-0005-0000-0000-000037130000}"/>
    <cellStyle name="20 % - Markeringsfarve2 3 2 6 2 2 2 3" xfId="25287" xr:uid="{00000000-0005-0000-0000-000038130000}"/>
    <cellStyle name="20 % - Markeringsfarve2 3 2 6 2 2 2 4" xfId="40274" xr:uid="{00000000-0005-0000-0000-000039130000}"/>
    <cellStyle name="20 % - Markeringsfarve2 3 2 6 2 2 3" xfId="10560" xr:uid="{00000000-0005-0000-0000-00003A130000}"/>
    <cellStyle name="20 % - Markeringsfarve2 3 2 6 2 2 3 2" xfId="26879" xr:uid="{00000000-0005-0000-0000-00003B130000}"/>
    <cellStyle name="20 % - Markeringsfarve2 3 2 6 2 2 3 3" xfId="41845" xr:uid="{00000000-0005-0000-0000-00003C130000}"/>
    <cellStyle name="20 % - Markeringsfarve2 3 2 6 2 2 4" xfId="19857" xr:uid="{00000000-0005-0000-0000-00003D130000}"/>
    <cellStyle name="20 % - Markeringsfarve2 3 2 6 2 2 5" xfId="34846" xr:uid="{00000000-0005-0000-0000-00003E130000}"/>
    <cellStyle name="20 % - Markeringsfarve2 3 2 6 2 3" xfId="6605" xr:uid="{00000000-0005-0000-0000-00003F130000}"/>
    <cellStyle name="20 % - Markeringsfarve2 3 2 6 2 3 2" xfId="14519" xr:uid="{00000000-0005-0000-0000-000040130000}"/>
    <cellStyle name="20 % - Markeringsfarve2 3 2 6 2 3 2 2" xfId="30833" xr:uid="{00000000-0005-0000-0000-000041130000}"/>
    <cellStyle name="20 % - Markeringsfarve2 3 2 6 2 3 2 3" xfId="45797" xr:uid="{00000000-0005-0000-0000-000042130000}"/>
    <cellStyle name="20 % - Markeringsfarve2 3 2 6 2 3 3" xfId="23811" xr:uid="{00000000-0005-0000-0000-000043130000}"/>
    <cellStyle name="20 % - Markeringsfarve2 3 2 6 2 3 4" xfId="38798" xr:uid="{00000000-0005-0000-0000-000044130000}"/>
    <cellStyle name="20 % - Markeringsfarve2 3 2 6 2 4" xfId="10559" xr:uid="{00000000-0005-0000-0000-000045130000}"/>
    <cellStyle name="20 % - Markeringsfarve2 3 2 6 2 4 2" xfId="26878" xr:uid="{00000000-0005-0000-0000-000046130000}"/>
    <cellStyle name="20 % - Markeringsfarve2 3 2 6 2 4 3" xfId="41844" xr:uid="{00000000-0005-0000-0000-000047130000}"/>
    <cellStyle name="20 % - Markeringsfarve2 3 2 6 2 5" xfId="19856" xr:uid="{00000000-0005-0000-0000-000048130000}"/>
    <cellStyle name="20 % - Markeringsfarve2 3 2 6 2 6" xfId="34845" xr:uid="{00000000-0005-0000-0000-000049130000}"/>
    <cellStyle name="20 % - Markeringsfarve2 3 2 6 3" xfId="2004" xr:uid="{00000000-0005-0000-0000-00004A130000}"/>
    <cellStyle name="20 % - Markeringsfarve2 3 2 6 3 2" xfId="7371" xr:uid="{00000000-0005-0000-0000-00004B130000}"/>
    <cellStyle name="20 % - Markeringsfarve2 3 2 6 3 2 2" xfId="15281" xr:uid="{00000000-0005-0000-0000-00004C130000}"/>
    <cellStyle name="20 % - Markeringsfarve2 3 2 6 3 2 2 2" xfId="31595" xr:uid="{00000000-0005-0000-0000-00004D130000}"/>
    <cellStyle name="20 % - Markeringsfarve2 3 2 6 3 2 2 3" xfId="46559" xr:uid="{00000000-0005-0000-0000-00004E130000}"/>
    <cellStyle name="20 % - Markeringsfarve2 3 2 6 3 2 3" xfId="24573" xr:uid="{00000000-0005-0000-0000-00004F130000}"/>
    <cellStyle name="20 % - Markeringsfarve2 3 2 6 3 2 4" xfId="39560" xr:uid="{00000000-0005-0000-0000-000050130000}"/>
    <cellStyle name="20 % - Markeringsfarve2 3 2 6 3 3" xfId="10561" xr:uid="{00000000-0005-0000-0000-000051130000}"/>
    <cellStyle name="20 % - Markeringsfarve2 3 2 6 3 3 2" xfId="26880" xr:uid="{00000000-0005-0000-0000-000052130000}"/>
    <cellStyle name="20 % - Markeringsfarve2 3 2 6 3 3 3" xfId="41846" xr:uid="{00000000-0005-0000-0000-000053130000}"/>
    <cellStyle name="20 % - Markeringsfarve2 3 2 6 3 4" xfId="19858" xr:uid="{00000000-0005-0000-0000-000054130000}"/>
    <cellStyle name="20 % - Markeringsfarve2 3 2 6 3 5" xfId="34847" xr:uid="{00000000-0005-0000-0000-000055130000}"/>
    <cellStyle name="20 % - Markeringsfarve2 3 2 6 4" xfId="2005" xr:uid="{00000000-0005-0000-0000-000056130000}"/>
    <cellStyle name="20 % - Markeringsfarve2 3 2 6 4 2" xfId="8218" xr:uid="{00000000-0005-0000-0000-000057130000}"/>
    <cellStyle name="20 % - Markeringsfarve2 3 2 6 4 2 2" xfId="16115" xr:uid="{00000000-0005-0000-0000-000058130000}"/>
    <cellStyle name="20 % - Markeringsfarve2 3 2 6 4 2 2 2" xfId="32429" xr:uid="{00000000-0005-0000-0000-000059130000}"/>
    <cellStyle name="20 % - Markeringsfarve2 3 2 6 4 2 2 3" xfId="47393" xr:uid="{00000000-0005-0000-0000-00005A130000}"/>
    <cellStyle name="20 % - Markeringsfarve2 3 2 6 4 2 3" xfId="25407" xr:uid="{00000000-0005-0000-0000-00005B130000}"/>
    <cellStyle name="20 % - Markeringsfarve2 3 2 6 4 2 4" xfId="40394" xr:uid="{00000000-0005-0000-0000-00005C130000}"/>
    <cellStyle name="20 % - Markeringsfarve2 3 2 6 4 3" xfId="10562" xr:uid="{00000000-0005-0000-0000-00005D130000}"/>
    <cellStyle name="20 % - Markeringsfarve2 3 2 6 4 3 2" xfId="26881" xr:uid="{00000000-0005-0000-0000-00005E130000}"/>
    <cellStyle name="20 % - Markeringsfarve2 3 2 6 4 3 3" xfId="41847" xr:uid="{00000000-0005-0000-0000-00005F130000}"/>
    <cellStyle name="20 % - Markeringsfarve2 3 2 6 4 4" xfId="19859" xr:uid="{00000000-0005-0000-0000-000060130000}"/>
    <cellStyle name="20 % - Markeringsfarve2 3 2 6 4 5" xfId="34848" xr:uid="{00000000-0005-0000-0000-000061130000}"/>
    <cellStyle name="20 % - Markeringsfarve2 3 2 6 5" xfId="5491" xr:uid="{00000000-0005-0000-0000-000062130000}"/>
    <cellStyle name="20 % - Markeringsfarve2 3 2 6 5 2" xfId="13409" xr:uid="{00000000-0005-0000-0000-000063130000}"/>
    <cellStyle name="20 % - Markeringsfarve2 3 2 6 5 2 2" xfId="29723" xr:uid="{00000000-0005-0000-0000-000064130000}"/>
    <cellStyle name="20 % - Markeringsfarve2 3 2 6 5 2 3" xfId="44687" xr:uid="{00000000-0005-0000-0000-000065130000}"/>
    <cellStyle name="20 % - Markeringsfarve2 3 2 6 5 3" xfId="22701" xr:uid="{00000000-0005-0000-0000-000066130000}"/>
    <cellStyle name="20 % - Markeringsfarve2 3 2 6 5 4" xfId="37688" xr:uid="{00000000-0005-0000-0000-000067130000}"/>
    <cellStyle name="20 % - Markeringsfarve2 3 2 6 6" xfId="10558" xr:uid="{00000000-0005-0000-0000-000068130000}"/>
    <cellStyle name="20 % - Markeringsfarve2 3 2 6 6 2" xfId="26877" xr:uid="{00000000-0005-0000-0000-000069130000}"/>
    <cellStyle name="20 % - Markeringsfarve2 3 2 6 6 3" xfId="41843" xr:uid="{00000000-0005-0000-0000-00006A130000}"/>
    <cellStyle name="20 % - Markeringsfarve2 3 2 6 7" xfId="19855" xr:uid="{00000000-0005-0000-0000-00006B130000}"/>
    <cellStyle name="20 % - Markeringsfarve2 3 2 6 8" xfId="34844" xr:uid="{00000000-0005-0000-0000-00006C130000}"/>
    <cellStyle name="20 % - Markeringsfarve2 3 2 7" xfId="2006" xr:uid="{00000000-0005-0000-0000-00006D130000}"/>
    <cellStyle name="20 % - Markeringsfarve2 3 2 7 2" xfId="2007" xr:uid="{00000000-0005-0000-0000-00006E130000}"/>
    <cellStyle name="20 % - Markeringsfarve2 3 2 7 2 2" xfId="7544" xr:uid="{00000000-0005-0000-0000-00006F130000}"/>
    <cellStyle name="20 % - Markeringsfarve2 3 2 7 2 2 2" xfId="15445" xr:uid="{00000000-0005-0000-0000-000070130000}"/>
    <cellStyle name="20 % - Markeringsfarve2 3 2 7 2 2 2 2" xfId="31759" xr:uid="{00000000-0005-0000-0000-000071130000}"/>
    <cellStyle name="20 % - Markeringsfarve2 3 2 7 2 2 2 3" xfId="46723" xr:uid="{00000000-0005-0000-0000-000072130000}"/>
    <cellStyle name="20 % - Markeringsfarve2 3 2 7 2 2 3" xfId="24737" xr:uid="{00000000-0005-0000-0000-000073130000}"/>
    <cellStyle name="20 % - Markeringsfarve2 3 2 7 2 2 4" xfId="39724" xr:uid="{00000000-0005-0000-0000-000074130000}"/>
    <cellStyle name="20 % - Markeringsfarve2 3 2 7 2 3" xfId="10564" xr:uid="{00000000-0005-0000-0000-000075130000}"/>
    <cellStyle name="20 % - Markeringsfarve2 3 2 7 2 3 2" xfId="26883" xr:uid="{00000000-0005-0000-0000-000076130000}"/>
    <cellStyle name="20 % - Markeringsfarve2 3 2 7 2 3 3" xfId="41849" xr:uid="{00000000-0005-0000-0000-000077130000}"/>
    <cellStyle name="20 % - Markeringsfarve2 3 2 7 2 4" xfId="19861" xr:uid="{00000000-0005-0000-0000-000078130000}"/>
    <cellStyle name="20 % - Markeringsfarve2 3 2 7 2 5" xfId="34850" xr:uid="{00000000-0005-0000-0000-000079130000}"/>
    <cellStyle name="20 % - Markeringsfarve2 3 2 7 3" xfId="6139" xr:uid="{00000000-0005-0000-0000-00007A130000}"/>
    <cellStyle name="20 % - Markeringsfarve2 3 2 7 3 2" xfId="14056" xr:uid="{00000000-0005-0000-0000-00007B130000}"/>
    <cellStyle name="20 % - Markeringsfarve2 3 2 7 3 2 2" xfId="30370" xr:uid="{00000000-0005-0000-0000-00007C130000}"/>
    <cellStyle name="20 % - Markeringsfarve2 3 2 7 3 2 3" xfId="45334" xr:uid="{00000000-0005-0000-0000-00007D130000}"/>
    <cellStyle name="20 % - Markeringsfarve2 3 2 7 3 3" xfId="23348" xr:uid="{00000000-0005-0000-0000-00007E130000}"/>
    <cellStyle name="20 % - Markeringsfarve2 3 2 7 3 4" xfId="38335" xr:uid="{00000000-0005-0000-0000-00007F130000}"/>
    <cellStyle name="20 % - Markeringsfarve2 3 2 7 4" xfId="10563" xr:uid="{00000000-0005-0000-0000-000080130000}"/>
    <cellStyle name="20 % - Markeringsfarve2 3 2 7 4 2" xfId="26882" xr:uid="{00000000-0005-0000-0000-000081130000}"/>
    <cellStyle name="20 % - Markeringsfarve2 3 2 7 4 3" xfId="41848" xr:uid="{00000000-0005-0000-0000-000082130000}"/>
    <cellStyle name="20 % - Markeringsfarve2 3 2 7 5" xfId="19860" xr:uid="{00000000-0005-0000-0000-000083130000}"/>
    <cellStyle name="20 % - Markeringsfarve2 3 2 7 6" xfId="34849" xr:uid="{00000000-0005-0000-0000-000084130000}"/>
    <cellStyle name="20 % - Markeringsfarve2 3 2 8" xfId="2008" xr:uid="{00000000-0005-0000-0000-000085130000}"/>
    <cellStyle name="20 % - Markeringsfarve2 3 2 8 2" xfId="6772" xr:uid="{00000000-0005-0000-0000-000086130000}"/>
    <cellStyle name="20 % - Markeringsfarve2 3 2 8 2 2" xfId="14683" xr:uid="{00000000-0005-0000-0000-000087130000}"/>
    <cellStyle name="20 % - Markeringsfarve2 3 2 8 2 2 2" xfId="30997" xr:uid="{00000000-0005-0000-0000-000088130000}"/>
    <cellStyle name="20 % - Markeringsfarve2 3 2 8 2 2 3" xfId="45961" xr:uid="{00000000-0005-0000-0000-000089130000}"/>
    <cellStyle name="20 % - Markeringsfarve2 3 2 8 2 3" xfId="23975" xr:uid="{00000000-0005-0000-0000-00008A130000}"/>
    <cellStyle name="20 % - Markeringsfarve2 3 2 8 2 4" xfId="38962" xr:uid="{00000000-0005-0000-0000-00008B130000}"/>
    <cellStyle name="20 % - Markeringsfarve2 3 2 8 3" xfId="10565" xr:uid="{00000000-0005-0000-0000-00008C130000}"/>
    <cellStyle name="20 % - Markeringsfarve2 3 2 8 3 2" xfId="26884" xr:uid="{00000000-0005-0000-0000-00008D130000}"/>
    <cellStyle name="20 % - Markeringsfarve2 3 2 8 3 3" xfId="41850" xr:uid="{00000000-0005-0000-0000-00008E130000}"/>
    <cellStyle name="20 % - Markeringsfarve2 3 2 8 4" xfId="19862" xr:uid="{00000000-0005-0000-0000-00008F130000}"/>
    <cellStyle name="20 % - Markeringsfarve2 3 2 8 5" xfId="34851" xr:uid="{00000000-0005-0000-0000-000090130000}"/>
    <cellStyle name="20 % - Markeringsfarve2 3 2 9" xfId="2009" xr:uid="{00000000-0005-0000-0000-000091130000}"/>
    <cellStyle name="20 % - Markeringsfarve2 3 2 9 2" xfId="8328" xr:uid="{00000000-0005-0000-0000-000092130000}"/>
    <cellStyle name="20 % - Markeringsfarve2 3 2 9 2 2" xfId="16222" xr:uid="{00000000-0005-0000-0000-000093130000}"/>
    <cellStyle name="20 % - Markeringsfarve2 3 2 9 2 2 2" xfId="32536" xr:uid="{00000000-0005-0000-0000-000094130000}"/>
    <cellStyle name="20 % - Markeringsfarve2 3 2 9 2 2 3" xfId="47500" xr:uid="{00000000-0005-0000-0000-000095130000}"/>
    <cellStyle name="20 % - Markeringsfarve2 3 2 9 2 3" xfId="25514" xr:uid="{00000000-0005-0000-0000-000096130000}"/>
    <cellStyle name="20 % - Markeringsfarve2 3 2 9 2 4" xfId="40501" xr:uid="{00000000-0005-0000-0000-000097130000}"/>
    <cellStyle name="20 % - Markeringsfarve2 3 2 9 3" xfId="10566" xr:uid="{00000000-0005-0000-0000-000098130000}"/>
    <cellStyle name="20 % - Markeringsfarve2 3 2 9 3 2" xfId="26885" xr:uid="{00000000-0005-0000-0000-000099130000}"/>
    <cellStyle name="20 % - Markeringsfarve2 3 2 9 3 3" xfId="41851" xr:uid="{00000000-0005-0000-0000-00009A130000}"/>
    <cellStyle name="20 % - Markeringsfarve2 3 2 9 4" xfId="19863" xr:uid="{00000000-0005-0000-0000-00009B130000}"/>
    <cellStyle name="20 % - Markeringsfarve2 3 2 9 5" xfId="34852" xr:uid="{00000000-0005-0000-0000-00009C130000}"/>
    <cellStyle name="20 % - Markeringsfarve2 3 3" xfId="2010" xr:uid="{00000000-0005-0000-0000-00009D130000}"/>
    <cellStyle name="20 % - Markeringsfarve2 3 3 10" xfId="5492" xr:uid="{00000000-0005-0000-0000-00009E130000}"/>
    <cellStyle name="20 % - Markeringsfarve2 3 3 10 2" xfId="13410" xr:uid="{00000000-0005-0000-0000-00009F130000}"/>
    <cellStyle name="20 % - Markeringsfarve2 3 3 10 2 2" xfId="29724" xr:uid="{00000000-0005-0000-0000-0000A0130000}"/>
    <cellStyle name="20 % - Markeringsfarve2 3 3 10 2 3" xfId="44688" xr:uid="{00000000-0005-0000-0000-0000A1130000}"/>
    <cellStyle name="20 % - Markeringsfarve2 3 3 10 3" xfId="22702" xr:uid="{00000000-0005-0000-0000-0000A2130000}"/>
    <cellStyle name="20 % - Markeringsfarve2 3 3 10 4" xfId="37689" xr:uid="{00000000-0005-0000-0000-0000A3130000}"/>
    <cellStyle name="20 % - Markeringsfarve2 3 3 11" xfId="10567" xr:uid="{00000000-0005-0000-0000-0000A4130000}"/>
    <cellStyle name="20 % - Markeringsfarve2 3 3 11 2" xfId="26886" xr:uid="{00000000-0005-0000-0000-0000A5130000}"/>
    <cellStyle name="20 % - Markeringsfarve2 3 3 11 3" xfId="41852" xr:uid="{00000000-0005-0000-0000-0000A6130000}"/>
    <cellStyle name="20 % - Markeringsfarve2 3 3 12" xfId="19864" xr:uid="{00000000-0005-0000-0000-0000A7130000}"/>
    <cellStyle name="20 % - Markeringsfarve2 3 3 13" xfId="34853" xr:uid="{00000000-0005-0000-0000-0000A8130000}"/>
    <cellStyle name="20 % - Markeringsfarve2 3 3 14" xfId="56554" xr:uid="{00000000-0005-0000-0000-0000A9130000}"/>
    <cellStyle name="20 % - Markeringsfarve2 3 3 2" xfId="2011" xr:uid="{00000000-0005-0000-0000-0000AA130000}"/>
    <cellStyle name="20 % - Markeringsfarve2 3 3 2 2" xfId="2012" xr:uid="{00000000-0005-0000-0000-0000AB130000}"/>
    <cellStyle name="20 % - Markeringsfarve2 3 3 2 2 2" xfId="2013" xr:uid="{00000000-0005-0000-0000-0000AC130000}"/>
    <cellStyle name="20 % - Markeringsfarve2 3 3 2 2 2 2" xfId="7702" xr:uid="{00000000-0005-0000-0000-0000AD130000}"/>
    <cellStyle name="20 % - Markeringsfarve2 3 3 2 2 2 2 2" xfId="15603" xr:uid="{00000000-0005-0000-0000-0000AE130000}"/>
    <cellStyle name="20 % - Markeringsfarve2 3 3 2 2 2 2 2 2" xfId="31917" xr:uid="{00000000-0005-0000-0000-0000AF130000}"/>
    <cellStyle name="20 % - Markeringsfarve2 3 3 2 2 2 2 2 3" xfId="46881" xr:uid="{00000000-0005-0000-0000-0000B0130000}"/>
    <cellStyle name="20 % - Markeringsfarve2 3 3 2 2 2 2 3" xfId="24895" xr:uid="{00000000-0005-0000-0000-0000B1130000}"/>
    <cellStyle name="20 % - Markeringsfarve2 3 3 2 2 2 2 4" xfId="39882" xr:uid="{00000000-0005-0000-0000-0000B2130000}"/>
    <cellStyle name="20 % - Markeringsfarve2 3 3 2 2 2 3" xfId="10570" xr:uid="{00000000-0005-0000-0000-0000B3130000}"/>
    <cellStyle name="20 % - Markeringsfarve2 3 3 2 2 2 3 2" xfId="26889" xr:uid="{00000000-0005-0000-0000-0000B4130000}"/>
    <cellStyle name="20 % - Markeringsfarve2 3 3 2 2 2 3 3" xfId="41855" xr:uid="{00000000-0005-0000-0000-0000B5130000}"/>
    <cellStyle name="20 % - Markeringsfarve2 3 3 2 2 2 4" xfId="19867" xr:uid="{00000000-0005-0000-0000-0000B6130000}"/>
    <cellStyle name="20 % - Markeringsfarve2 3 3 2 2 2 5" xfId="34856" xr:uid="{00000000-0005-0000-0000-0000B7130000}"/>
    <cellStyle name="20 % - Markeringsfarve2 3 3 2 2 3" xfId="6271" xr:uid="{00000000-0005-0000-0000-0000B8130000}"/>
    <cellStyle name="20 % - Markeringsfarve2 3 3 2 2 3 2" xfId="14188" xr:uid="{00000000-0005-0000-0000-0000B9130000}"/>
    <cellStyle name="20 % - Markeringsfarve2 3 3 2 2 3 2 2" xfId="30502" xr:uid="{00000000-0005-0000-0000-0000BA130000}"/>
    <cellStyle name="20 % - Markeringsfarve2 3 3 2 2 3 2 3" xfId="45466" xr:uid="{00000000-0005-0000-0000-0000BB130000}"/>
    <cellStyle name="20 % - Markeringsfarve2 3 3 2 2 3 3" xfId="23480" xr:uid="{00000000-0005-0000-0000-0000BC130000}"/>
    <cellStyle name="20 % - Markeringsfarve2 3 3 2 2 3 4" xfId="38467" xr:uid="{00000000-0005-0000-0000-0000BD130000}"/>
    <cellStyle name="20 % - Markeringsfarve2 3 3 2 2 4" xfId="10569" xr:uid="{00000000-0005-0000-0000-0000BE130000}"/>
    <cellStyle name="20 % - Markeringsfarve2 3 3 2 2 4 2" xfId="26888" xr:uid="{00000000-0005-0000-0000-0000BF130000}"/>
    <cellStyle name="20 % - Markeringsfarve2 3 3 2 2 4 3" xfId="41854" xr:uid="{00000000-0005-0000-0000-0000C0130000}"/>
    <cellStyle name="20 % - Markeringsfarve2 3 3 2 2 5" xfId="19866" xr:uid="{00000000-0005-0000-0000-0000C1130000}"/>
    <cellStyle name="20 % - Markeringsfarve2 3 3 2 2 6" xfId="34855" xr:uid="{00000000-0005-0000-0000-0000C2130000}"/>
    <cellStyle name="20 % - Markeringsfarve2 3 3 2 3" xfId="2014" xr:uid="{00000000-0005-0000-0000-0000C3130000}"/>
    <cellStyle name="20 % - Markeringsfarve2 3 3 2 3 2" xfId="6932" xr:uid="{00000000-0005-0000-0000-0000C4130000}"/>
    <cellStyle name="20 % - Markeringsfarve2 3 3 2 3 2 2" xfId="14843" xr:uid="{00000000-0005-0000-0000-0000C5130000}"/>
    <cellStyle name="20 % - Markeringsfarve2 3 3 2 3 2 2 2" xfId="31157" xr:uid="{00000000-0005-0000-0000-0000C6130000}"/>
    <cellStyle name="20 % - Markeringsfarve2 3 3 2 3 2 2 3" xfId="46121" xr:uid="{00000000-0005-0000-0000-0000C7130000}"/>
    <cellStyle name="20 % - Markeringsfarve2 3 3 2 3 2 3" xfId="24135" xr:uid="{00000000-0005-0000-0000-0000C8130000}"/>
    <cellStyle name="20 % - Markeringsfarve2 3 3 2 3 2 4" xfId="39122" xr:uid="{00000000-0005-0000-0000-0000C9130000}"/>
    <cellStyle name="20 % - Markeringsfarve2 3 3 2 3 3" xfId="10571" xr:uid="{00000000-0005-0000-0000-0000CA130000}"/>
    <cellStyle name="20 % - Markeringsfarve2 3 3 2 3 3 2" xfId="26890" xr:uid="{00000000-0005-0000-0000-0000CB130000}"/>
    <cellStyle name="20 % - Markeringsfarve2 3 3 2 3 3 3" xfId="41856" xr:uid="{00000000-0005-0000-0000-0000CC130000}"/>
    <cellStyle name="20 % - Markeringsfarve2 3 3 2 3 4" xfId="19868" xr:uid="{00000000-0005-0000-0000-0000CD130000}"/>
    <cellStyle name="20 % - Markeringsfarve2 3 3 2 3 5" xfId="34857" xr:uid="{00000000-0005-0000-0000-0000CE130000}"/>
    <cellStyle name="20 % - Markeringsfarve2 3 3 2 4" xfId="2015" xr:uid="{00000000-0005-0000-0000-0000CF130000}"/>
    <cellStyle name="20 % - Markeringsfarve2 3 3 2 4 2" xfId="8791" xr:uid="{00000000-0005-0000-0000-0000D0130000}"/>
    <cellStyle name="20 % - Markeringsfarve2 3 3 2 4 2 2" xfId="16667" xr:uid="{00000000-0005-0000-0000-0000D1130000}"/>
    <cellStyle name="20 % - Markeringsfarve2 3 3 2 4 2 2 2" xfId="32981" xr:uid="{00000000-0005-0000-0000-0000D2130000}"/>
    <cellStyle name="20 % - Markeringsfarve2 3 3 2 4 2 2 3" xfId="47945" xr:uid="{00000000-0005-0000-0000-0000D3130000}"/>
    <cellStyle name="20 % - Markeringsfarve2 3 3 2 4 2 3" xfId="25959" xr:uid="{00000000-0005-0000-0000-0000D4130000}"/>
    <cellStyle name="20 % - Markeringsfarve2 3 3 2 4 2 4" xfId="40946" xr:uid="{00000000-0005-0000-0000-0000D5130000}"/>
    <cellStyle name="20 % - Markeringsfarve2 3 3 2 4 3" xfId="10572" xr:uid="{00000000-0005-0000-0000-0000D6130000}"/>
    <cellStyle name="20 % - Markeringsfarve2 3 3 2 4 3 2" xfId="26891" xr:uid="{00000000-0005-0000-0000-0000D7130000}"/>
    <cellStyle name="20 % - Markeringsfarve2 3 3 2 4 3 3" xfId="41857" xr:uid="{00000000-0005-0000-0000-0000D8130000}"/>
    <cellStyle name="20 % - Markeringsfarve2 3 3 2 4 4" xfId="19869" xr:uid="{00000000-0005-0000-0000-0000D9130000}"/>
    <cellStyle name="20 % - Markeringsfarve2 3 3 2 4 5" xfId="34858" xr:uid="{00000000-0005-0000-0000-0000DA130000}"/>
    <cellStyle name="20 % - Markeringsfarve2 3 3 2 5" xfId="5493" xr:uid="{00000000-0005-0000-0000-0000DB130000}"/>
    <cellStyle name="20 % - Markeringsfarve2 3 3 2 5 2" xfId="13411" xr:uid="{00000000-0005-0000-0000-0000DC130000}"/>
    <cellStyle name="20 % - Markeringsfarve2 3 3 2 5 2 2" xfId="29725" xr:uid="{00000000-0005-0000-0000-0000DD130000}"/>
    <cellStyle name="20 % - Markeringsfarve2 3 3 2 5 2 3" xfId="44689" xr:uid="{00000000-0005-0000-0000-0000DE130000}"/>
    <cellStyle name="20 % - Markeringsfarve2 3 3 2 5 3" xfId="22703" xr:uid="{00000000-0005-0000-0000-0000DF130000}"/>
    <cellStyle name="20 % - Markeringsfarve2 3 3 2 5 4" xfId="37690" xr:uid="{00000000-0005-0000-0000-0000E0130000}"/>
    <cellStyle name="20 % - Markeringsfarve2 3 3 2 6" xfId="10568" xr:uid="{00000000-0005-0000-0000-0000E1130000}"/>
    <cellStyle name="20 % - Markeringsfarve2 3 3 2 6 2" xfId="26887" xr:uid="{00000000-0005-0000-0000-0000E2130000}"/>
    <cellStyle name="20 % - Markeringsfarve2 3 3 2 6 3" xfId="41853" xr:uid="{00000000-0005-0000-0000-0000E3130000}"/>
    <cellStyle name="20 % - Markeringsfarve2 3 3 2 7" xfId="19865" xr:uid="{00000000-0005-0000-0000-0000E4130000}"/>
    <cellStyle name="20 % - Markeringsfarve2 3 3 2 8" xfId="34854" xr:uid="{00000000-0005-0000-0000-0000E5130000}"/>
    <cellStyle name="20 % - Markeringsfarve2 3 3 3" xfId="2016" xr:uid="{00000000-0005-0000-0000-0000E6130000}"/>
    <cellStyle name="20 % - Markeringsfarve2 3 3 3 2" xfId="2017" xr:uid="{00000000-0005-0000-0000-0000E7130000}"/>
    <cellStyle name="20 % - Markeringsfarve2 3 3 3 2 2" xfId="2018" xr:uid="{00000000-0005-0000-0000-0000E8130000}"/>
    <cellStyle name="20 % - Markeringsfarve2 3 3 3 2 2 2" xfId="7740" xr:uid="{00000000-0005-0000-0000-0000E9130000}"/>
    <cellStyle name="20 % - Markeringsfarve2 3 3 3 2 2 2 2" xfId="15641" xr:uid="{00000000-0005-0000-0000-0000EA130000}"/>
    <cellStyle name="20 % - Markeringsfarve2 3 3 3 2 2 2 2 2" xfId="31955" xr:uid="{00000000-0005-0000-0000-0000EB130000}"/>
    <cellStyle name="20 % - Markeringsfarve2 3 3 3 2 2 2 2 3" xfId="46919" xr:uid="{00000000-0005-0000-0000-0000EC130000}"/>
    <cellStyle name="20 % - Markeringsfarve2 3 3 3 2 2 2 3" xfId="24933" xr:uid="{00000000-0005-0000-0000-0000ED130000}"/>
    <cellStyle name="20 % - Markeringsfarve2 3 3 3 2 2 2 4" xfId="39920" xr:uid="{00000000-0005-0000-0000-0000EE130000}"/>
    <cellStyle name="20 % - Markeringsfarve2 3 3 3 2 2 3" xfId="10575" xr:uid="{00000000-0005-0000-0000-0000EF130000}"/>
    <cellStyle name="20 % - Markeringsfarve2 3 3 3 2 2 3 2" xfId="26894" xr:uid="{00000000-0005-0000-0000-0000F0130000}"/>
    <cellStyle name="20 % - Markeringsfarve2 3 3 3 2 2 3 3" xfId="41860" xr:uid="{00000000-0005-0000-0000-0000F1130000}"/>
    <cellStyle name="20 % - Markeringsfarve2 3 3 3 2 2 4" xfId="19872" xr:uid="{00000000-0005-0000-0000-0000F2130000}"/>
    <cellStyle name="20 % - Markeringsfarve2 3 3 3 2 2 5" xfId="34861" xr:uid="{00000000-0005-0000-0000-0000F3130000}"/>
    <cellStyle name="20 % - Markeringsfarve2 3 3 3 2 3" xfId="6304" xr:uid="{00000000-0005-0000-0000-0000F4130000}"/>
    <cellStyle name="20 % - Markeringsfarve2 3 3 3 2 3 2" xfId="14221" xr:uid="{00000000-0005-0000-0000-0000F5130000}"/>
    <cellStyle name="20 % - Markeringsfarve2 3 3 3 2 3 2 2" xfId="30535" xr:uid="{00000000-0005-0000-0000-0000F6130000}"/>
    <cellStyle name="20 % - Markeringsfarve2 3 3 3 2 3 2 3" xfId="45499" xr:uid="{00000000-0005-0000-0000-0000F7130000}"/>
    <cellStyle name="20 % - Markeringsfarve2 3 3 3 2 3 3" xfId="23513" xr:uid="{00000000-0005-0000-0000-0000F8130000}"/>
    <cellStyle name="20 % - Markeringsfarve2 3 3 3 2 3 4" xfId="38500" xr:uid="{00000000-0005-0000-0000-0000F9130000}"/>
    <cellStyle name="20 % - Markeringsfarve2 3 3 3 2 4" xfId="10574" xr:uid="{00000000-0005-0000-0000-0000FA130000}"/>
    <cellStyle name="20 % - Markeringsfarve2 3 3 3 2 4 2" xfId="26893" xr:uid="{00000000-0005-0000-0000-0000FB130000}"/>
    <cellStyle name="20 % - Markeringsfarve2 3 3 3 2 4 3" xfId="41859" xr:uid="{00000000-0005-0000-0000-0000FC130000}"/>
    <cellStyle name="20 % - Markeringsfarve2 3 3 3 2 5" xfId="19871" xr:uid="{00000000-0005-0000-0000-0000FD130000}"/>
    <cellStyle name="20 % - Markeringsfarve2 3 3 3 2 6" xfId="34860" xr:uid="{00000000-0005-0000-0000-0000FE130000}"/>
    <cellStyle name="20 % - Markeringsfarve2 3 3 3 3" xfId="2019" xr:uid="{00000000-0005-0000-0000-0000FF130000}"/>
    <cellStyle name="20 % - Markeringsfarve2 3 3 3 3 2" xfId="6970" xr:uid="{00000000-0005-0000-0000-000000140000}"/>
    <cellStyle name="20 % - Markeringsfarve2 3 3 3 3 2 2" xfId="14881" xr:uid="{00000000-0005-0000-0000-000001140000}"/>
    <cellStyle name="20 % - Markeringsfarve2 3 3 3 3 2 2 2" xfId="31195" xr:uid="{00000000-0005-0000-0000-000002140000}"/>
    <cellStyle name="20 % - Markeringsfarve2 3 3 3 3 2 2 3" xfId="46159" xr:uid="{00000000-0005-0000-0000-000003140000}"/>
    <cellStyle name="20 % - Markeringsfarve2 3 3 3 3 2 3" xfId="24173" xr:uid="{00000000-0005-0000-0000-000004140000}"/>
    <cellStyle name="20 % - Markeringsfarve2 3 3 3 3 2 4" xfId="39160" xr:uid="{00000000-0005-0000-0000-000005140000}"/>
    <cellStyle name="20 % - Markeringsfarve2 3 3 3 3 3" xfId="10576" xr:uid="{00000000-0005-0000-0000-000006140000}"/>
    <cellStyle name="20 % - Markeringsfarve2 3 3 3 3 3 2" xfId="26895" xr:uid="{00000000-0005-0000-0000-000007140000}"/>
    <cellStyle name="20 % - Markeringsfarve2 3 3 3 3 3 3" xfId="41861" xr:uid="{00000000-0005-0000-0000-000008140000}"/>
    <cellStyle name="20 % - Markeringsfarve2 3 3 3 3 4" xfId="19873" xr:uid="{00000000-0005-0000-0000-000009140000}"/>
    <cellStyle name="20 % - Markeringsfarve2 3 3 3 3 5" xfId="34862" xr:uid="{00000000-0005-0000-0000-00000A140000}"/>
    <cellStyle name="20 % - Markeringsfarve2 3 3 3 4" xfId="2020" xr:uid="{00000000-0005-0000-0000-00000B140000}"/>
    <cellStyle name="20 % - Markeringsfarve2 3 3 3 4 2" xfId="8511" xr:uid="{00000000-0005-0000-0000-00000C140000}"/>
    <cellStyle name="20 % - Markeringsfarve2 3 3 3 4 2 2" xfId="16400" xr:uid="{00000000-0005-0000-0000-00000D140000}"/>
    <cellStyle name="20 % - Markeringsfarve2 3 3 3 4 2 2 2" xfId="32714" xr:uid="{00000000-0005-0000-0000-00000E140000}"/>
    <cellStyle name="20 % - Markeringsfarve2 3 3 3 4 2 2 3" xfId="47678" xr:uid="{00000000-0005-0000-0000-00000F140000}"/>
    <cellStyle name="20 % - Markeringsfarve2 3 3 3 4 2 3" xfId="25692" xr:uid="{00000000-0005-0000-0000-000010140000}"/>
    <cellStyle name="20 % - Markeringsfarve2 3 3 3 4 2 4" xfId="40679" xr:uid="{00000000-0005-0000-0000-000011140000}"/>
    <cellStyle name="20 % - Markeringsfarve2 3 3 3 4 3" xfId="10577" xr:uid="{00000000-0005-0000-0000-000012140000}"/>
    <cellStyle name="20 % - Markeringsfarve2 3 3 3 4 3 2" xfId="26896" xr:uid="{00000000-0005-0000-0000-000013140000}"/>
    <cellStyle name="20 % - Markeringsfarve2 3 3 3 4 3 3" xfId="41862" xr:uid="{00000000-0005-0000-0000-000014140000}"/>
    <cellStyle name="20 % - Markeringsfarve2 3 3 3 4 4" xfId="19874" xr:uid="{00000000-0005-0000-0000-000015140000}"/>
    <cellStyle name="20 % - Markeringsfarve2 3 3 3 4 5" xfId="34863" xr:uid="{00000000-0005-0000-0000-000016140000}"/>
    <cellStyle name="20 % - Markeringsfarve2 3 3 3 5" xfId="5494" xr:uid="{00000000-0005-0000-0000-000017140000}"/>
    <cellStyle name="20 % - Markeringsfarve2 3 3 3 5 2" xfId="13412" xr:uid="{00000000-0005-0000-0000-000018140000}"/>
    <cellStyle name="20 % - Markeringsfarve2 3 3 3 5 2 2" xfId="29726" xr:uid="{00000000-0005-0000-0000-000019140000}"/>
    <cellStyle name="20 % - Markeringsfarve2 3 3 3 5 2 3" xfId="44690" xr:uid="{00000000-0005-0000-0000-00001A140000}"/>
    <cellStyle name="20 % - Markeringsfarve2 3 3 3 5 3" xfId="22704" xr:uid="{00000000-0005-0000-0000-00001B140000}"/>
    <cellStyle name="20 % - Markeringsfarve2 3 3 3 5 4" xfId="37691" xr:uid="{00000000-0005-0000-0000-00001C140000}"/>
    <cellStyle name="20 % - Markeringsfarve2 3 3 3 6" xfId="10573" xr:uid="{00000000-0005-0000-0000-00001D140000}"/>
    <cellStyle name="20 % - Markeringsfarve2 3 3 3 6 2" xfId="26892" xr:uid="{00000000-0005-0000-0000-00001E140000}"/>
    <cellStyle name="20 % - Markeringsfarve2 3 3 3 6 3" xfId="41858" xr:uid="{00000000-0005-0000-0000-00001F140000}"/>
    <cellStyle name="20 % - Markeringsfarve2 3 3 3 7" xfId="19870" xr:uid="{00000000-0005-0000-0000-000020140000}"/>
    <cellStyle name="20 % - Markeringsfarve2 3 3 3 8" xfId="34859" xr:uid="{00000000-0005-0000-0000-000021140000}"/>
    <cellStyle name="20 % - Markeringsfarve2 3 3 4" xfId="2021" xr:uid="{00000000-0005-0000-0000-000022140000}"/>
    <cellStyle name="20 % - Markeringsfarve2 3 3 4 2" xfId="2022" xr:uid="{00000000-0005-0000-0000-000023140000}"/>
    <cellStyle name="20 % - Markeringsfarve2 3 3 4 2 2" xfId="2023" xr:uid="{00000000-0005-0000-0000-000024140000}"/>
    <cellStyle name="20 % - Markeringsfarve2 3 3 4 2 2 2" xfId="7940" xr:uid="{00000000-0005-0000-0000-000025140000}"/>
    <cellStyle name="20 % - Markeringsfarve2 3 3 4 2 2 2 2" xfId="15841" xr:uid="{00000000-0005-0000-0000-000026140000}"/>
    <cellStyle name="20 % - Markeringsfarve2 3 3 4 2 2 2 2 2" xfId="32155" xr:uid="{00000000-0005-0000-0000-000027140000}"/>
    <cellStyle name="20 % - Markeringsfarve2 3 3 4 2 2 2 2 3" xfId="47119" xr:uid="{00000000-0005-0000-0000-000028140000}"/>
    <cellStyle name="20 % - Markeringsfarve2 3 3 4 2 2 2 3" xfId="25133" xr:uid="{00000000-0005-0000-0000-000029140000}"/>
    <cellStyle name="20 % - Markeringsfarve2 3 3 4 2 2 2 4" xfId="40120" xr:uid="{00000000-0005-0000-0000-00002A140000}"/>
    <cellStyle name="20 % - Markeringsfarve2 3 3 4 2 2 3" xfId="10580" xr:uid="{00000000-0005-0000-0000-00002B140000}"/>
    <cellStyle name="20 % - Markeringsfarve2 3 3 4 2 2 3 2" xfId="26899" xr:uid="{00000000-0005-0000-0000-00002C140000}"/>
    <cellStyle name="20 % - Markeringsfarve2 3 3 4 2 2 3 3" xfId="41865" xr:uid="{00000000-0005-0000-0000-00002D140000}"/>
    <cellStyle name="20 % - Markeringsfarve2 3 3 4 2 2 4" xfId="19877" xr:uid="{00000000-0005-0000-0000-00002E140000}"/>
    <cellStyle name="20 % - Markeringsfarve2 3 3 4 2 2 5" xfId="34866" xr:uid="{00000000-0005-0000-0000-00002F140000}"/>
    <cellStyle name="20 % - Markeringsfarve2 3 3 4 2 3" xfId="6473" xr:uid="{00000000-0005-0000-0000-000030140000}"/>
    <cellStyle name="20 % - Markeringsfarve2 3 3 4 2 3 2" xfId="14387" xr:uid="{00000000-0005-0000-0000-000031140000}"/>
    <cellStyle name="20 % - Markeringsfarve2 3 3 4 2 3 2 2" xfId="30701" xr:uid="{00000000-0005-0000-0000-000032140000}"/>
    <cellStyle name="20 % - Markeringsfarve2 3 3 4 2 3 2 3" xfId="45665" xr:uid="{00000000-0005-0000-0000-000033140000}"/>
    <cellStyle name="20 % - Markeringsfarve2 3 3 4 2 3 3" xfId="23679" xr:uid="{00000000-0005-0000-0000-000034140000}"/>
    <cellStyle name="20 % - Markeringsfarve2 3 3 4 2 3 4" xfId="38666" xr:uid="{00000000-0005-0000-0000-000035140000}"/>
    <cellStyle name="20 % - Markeringsfarve2 3 3 4 2 4" xfId="10579" xr:uid="{00000000-0005-0000-0000-000036140000}"/>
    <cellStyle name="20 % - Markeringsfarve2 3 3 4 2 4 2" xfId="26898" xr:uid="{00000000-0005-0000-0000-000037140000}"/>
    <cellStyle name="20 % - Markeringsfarve2 3 3 4 2 4 3" xfId="41864" xr:uid="{00000000-0005-0000-0000-000038140000}"/>
    <cellStyle name="20 % - Markeringsfarve2 3 3 4 2 5" xfId="19876" xr:uid="{00000000-0005-0000-0000-000039140000}"/>
    <cellStyle name="20 % - Markeringsfarve2 3 3 4 2 6" xfId="34865" xr:uid="{00000000-0005-0000-0000-00003A140000}"/>
    <cellStyle name="20 % - Markeringsfarve2 3 3 4 3" xfId="2024" xr:uid="{00000000-0005-0000-0000-00003B140000}"/>
    <cellStyle name="20 % - Markeringsfarve2 3 3 4 3 2" xfId="7216" xr:uid="{00000000-0005-0000-0000-00003C140000}"/>
    <cellStyle name="20 % - Markeringsfarve2 3 3 4 3 2 2" xfId="15126" xr:uid="{00000000-0005-0000-0000-00003D140000}"/>
    <cellStyle name="20 % - Markeringsfarve2 3 3 4 3 2 2 2" xfId="31440" xr:uid="{00000000-0005-0000-0000-00003E140000}"/>
    <cellStyle name="20 % - Markeringsfarve2 3 3 4 3 2 2 3" xfId="46404" xr:uid="{00000000-0005-0000-0000-00003F140000}"/>
    <cellStyle name="20 % - Markeringsfarve2 3 3 4 3 2 3" xfId="24418" xr:uid="{00000000-0005-0000-0000-000040140000}"/>
    <cellStyle name="20 % - Markeringsfarve2 3 3 4 3 2 4" xfId="39405" xr:uid="{00000000-0005-0000-0000-000041140000}"/>
    <cellStyle name="20 % - Markeringsfarve2 3 3 4 3 3" xfId="10581" xr:uid="{00000000-0005-0000-0000-000042140000}"/>
    <cellStyle name="20 % - Markeringsfarve2 3 3 4 3 3 2" xfId="26900" xr:uid="{00000000-0005-0000-0000-000043140000}"/>
    <cellStyle name="20 % - Markeringsfarve2 3 3 4 3 3 3" xfId="41866" xr:uid="{00000000-0005-0000-0000-000044140000}"/>
    <cellStyle name="20 % - Markeringsfarve2 3 3 4 3 4" xfId="19878" xr:uid="{00000000-0005-0000-0000-000045140000}"/>
    <cellStyle name="20 % - Markeringsfarve2 3 3 4 3 5" xfId="34867" xr:uid="{00000000-0005-0000-0000-000046140000}"/>
    <cellStyle name="20 % - Markeringsfarve2 3 3 4 4" xfId="2025" xr:uid="{00000000-0005-0000-0000-000047140000}"/>
    <cellStyle name="20 % - Markeringsfarve2 3 3 4 4 2" xfId="8659" xr:uid="{00000000-0005-0000-0000-000048140000}"/>
    <cellStyle name="20 % - Markeringsfarve2 3 3 4 4 2 2" xfId="16542" xr:uid="{00000000-0005-0000-0000-000049140000}"/>
    <cellStyle name="20 % - Markeringsfarve2 3 3 4 4 2 2 2" xfId="32856" xr:uid="{00000000-0005-0000-0000-00004A140000}"/>
    <cellStyle name="20 % - Markeringsfarve2 3 3 4 4 2 2 3" xfId="47820" xr:uid="{00000000-0005-0000-0000-00004B140000}"/>
    <cellStyle name="20 % - Markeringsfarve2 3 3 4 4 2 3" xfId="25834" xr:uid="{00000000-0005-0000-0000-00004C140000}"/>
    <cellStyle name="20 % - Markeringsfarve2 3 3 4 4 2 4" xfId="40821" xr:uid="{00000000-0005-0000-0000-00004D140000}"/>
    <cellStyle name="20 % - Markeringsfarve2 3 3 4 4 3" xfId="10582" xr:uid="{00000000-0005-0000-0000-00004E140000}"/>
    <cellStyle name="20 % - Markeringsfarve2 3 3 4 4 3 2" xfId="26901" xr:uid="{00000000-0005-0000-0000-00004F140000}"/>
    <cellStyle name="20 % - Markeringsfarve2 3 3 4 4 3 3" xfId="41867" xr:uid="{00000000-0005-0000-0000-000050140000}"/>
    <cellStyle name="20 % - Markeringsfarve2 3 3 4 4 4" xfId="19879" xr:uid="{00000000-0005-0000-0000-000051140000}"/>
    <cellStyle name="20 % - Markeringsfarve2 3 3 4 4 5" xfId="34868" xr:uid="{00000000-0005-0000-0000-000052140000}"/>
    <cellStyle name="20 % - Markeringsfarve2 3 3 4 5" xfId="5495" xr:uid="{00000000-0005-0000-0000-000053140000}"/>
    <cellStyle name="20 % - Markeringsfarve2 3 3 4 5 2" xfId="13413" xr:uid="{00000000-0005-0000-0000-000054140000}"/>
    <cellStyle name="20 % - Markeringsfarve2 3 3 4 5 2 2" xfId="29727" xr:uid="{00000000-0005-0000-0000-000055140000}"/>
    <cellStyle name="20 % - Markeringsfarve2 3 3 4 5 2 3" xfId="44691" xr:uid="{00000000-0005-0000-0000-000056140000}"/>
    <cellStyle name="20 % - Markeringsfarve2 3 3 4 5 3" xfId="22705" xr:uid="{00000000-0005-0000-0000-000057140000}"/>
    <cellStyle name="20 % - Markeringsfarve2 3 3 4 5 4" xfId="37692" xr:uid="{00000000-0005-0000-0000-000058140000}"/>
    <cellStyle name="20 % - Markeringsfarve2 3 3 4 6" xfId="10578" xr:uid="{00000000-0005-0000-0000-000059140000}"/>
    <cellStyle name="20 % - Markeringsfarve2 3 3 4 6 2" xfId="26897" xr:uid="{00000000-0005-0000-0000-00005A140000}"/>
    <cellStyle name="20 % - Markeringsfarve2 3 3 4 6 3" xfId="41863" xr:uid="{00000000-0005-0000-0000-00005B140000}"/>
    <cellStyle name="20 % - Markeringsfarve2 3 3 4 7" xfId="19875" xr:uid="{00000000-0005-0000-0000-00005C140000}"/>
    <cellStyle name="20 % - Markeringsfarve2 3 3 4 8" xfId="34864" xr:uid="{00000000-0005-0000-0000-00005D140000}"/>
    <cellStyle name="20 % - Markeringsfarve2 3 3 5" xfId="2026" xr:uid="{00000000-0005-0000-0000-00005E140000}"/>
    <cellStyle name="20 % - Markeringsfarve2 3 3 5 2" xfId="2027" xr:uid="{00000000-0005-0000-0000-00005F140000}"/>
    <cellStyle name="20 % - Markeringsfarve2 3 3 5 2 2" xfId="2028" xr:uid="{00000000-0005-0000-0000-000060140000}"/>
    <cellStyle name="20 % - Markeringsfarve2 3 3 5 2 2 2" xfId="8057" xr:uid="{00000000-0005-0000-0000-000061140000}"/>
    <cellStyle name="20 % - Markeringsfarve2 3 3 5 2 2 2 2" xfId="15958" xr:uid="{00000000-0005-0000-0000-000062140000}"/>
    <cellStyle name="20 % - Markeringsfarve2 3 3 5 2 2 2 2 2" xfId="32272" xr:uid="{00000000-0005-0000-0000-000063140000}"/>
    <cellStyle name="20 % - Markeringsfarve2 3 3 5 2 2 2 2 3" xfId="47236" xr:uid="{00000000-0005-0000-0000-000064140000}"/>
    <cellStyle name="20 % - Markeringsfarve2 3 3 5 2 2 2 3" xfId="25250" xr:uid="{00000000-0005-0000-0000-000065140000}"/>
    <cellStyle name="20 % - Markeringsfarve2 3 3 5 2 2 2 4" xfId="40237" xr:uid="{00000000-0005-0000-0000-000066140000}"/>
    <cellStyle name="20 % - Markeringsfarve2 3 3 5 2 2 3" xfId="10585" xr:uid="{00000000-0005-0000-0000-000067140000}"/>
    <cellStyle name="20 % - Markeringsfarve2 3 3 5 2 2 3 2" xfId="26904" xr:uid="{00000000-0005-0000-0000-000068140000}"/>
    <cellStyle name="20 % - Markeringsfarve2 3 3 5 2 2 3 3" xfId="41870" xr:uid="{00000000-0005-0000-0000-000069140000}"/>
    <cellStyle name="20 % - Markeringsfarve2 3 3 5 2 2 4" xfId="19882" xr:uid="{00000000-0005-0000-0000-00006A140000}"/>
    <cellStyle name="20 % - Markeringsfarve2 3 3 5 2 2 5" xfId="34871" xr:uid="{00000000-0005-0000-0000-00006B140000}"/>
    <cellStyle name="20 % - Markeringsfarve2 3 3 5 2 3" xfId="6572" xr:uid="{00000000-0005-0000-0000-00006C140000}"/>
    <cellStyle name="20 % - Markeringsfarve2 3 3 5 2 3 2" xfId="14486" xr:uid="{00000000-0005-0000-0000-00006D140000}"/>
    <cellStyle name="20 % - Markeringsfarve2 3 3 5 2 3 2 2" xfId="30800" xr:uid="{00000000-0005-0000-0000-00006E140000}"/>
    <cellStyle name="20 % - Markeringsfarve2 3 3 5 2 3 2 3" xfId="45764" xr:uid="{00000000-0005-0000-0000-00006F140000}"/>
    <cellStyle name="20 % - Markeringsfarve2 3 3 5 2 3 3" xfId="23778" xr:uid="{00000000-0005-0000-0000-000070140000}"/>
    <cellStyle name="20 % - Markeringsfarve2 3 3 5 2 3 4" xfId="38765" xr:uid="{00000000-0005-0000-0000-000071140000}"/>
    <cellStyle name="20 % - Markeringsfarve2 3 3 5 2 4" xfId="10584" xr:uid="{00000000-0005-0000-0000-000072140000}"/>
    <cellStyle name="20 % - Markeringsfarve2 3 3 5 2 4 2" xfId="26903" xr:uid="{00000000-0005-0000-0000-000073140000}"/>
    <cellStyle name="20 % - Markeringsfarve2 3 3 5 2 4 3" xfId="41869" xr:uid="{00000000-0005-0000-0000-000074140000}"/>
    <cellStyle name="20 % - Markeringsfarve2 3 3 5 2 5" xfId="19881" xr:uid="{00000000-0005-0000-0000-000075140000}"/>
    <cellStyle name="20 % - Markeringsfarve2 3 3 5 2 6" xfId="34870" xr:uid="{00000000-0005-0000-0000-000076140000}"/>
    <cellStyle name="20 % - Markeringsfarve2 3 3 5 3" xfId="2029" xr:uid="{00000000-0005-0000-0000-000077140000}"/>
    <cellStyle name="20 % - Markeringsfarve2 3 3 5 3 2" xfId="7333" xr:uid="{00000000-0005-0000-0000-000078140000}"/>
    <cellStyle name="20 % - Markeringsfarve2 3 3 5 3 2 2" xfId="15243" xr:uid="{00000000-0005-0000-0000-000079140000}"/>
    <cellStyle name="20 % - Markeringsfarve2 3 3 5 3 2 2 2" xfId="31557" xr:uid="{00000000-0005-0000-0000-00007A140000}"/>
    <cellStyle name="20 % - Markeringsfarve2 3 3 5 3 2 2 3" xfId="46521" xr:uid="{00000000-0005-0000-0000-00007B140000}"/>
    <cellStyle name="20 % - Markeringsfarve2 3 3 5 3 2 3" xfId="24535" xr:uid="{00000000-0005-0000-0000-00007C140000}"/>
    <cellStyle name="20 % - Markeringsfarve2 3 3 5 3 2 4" xfId="39522" xr:uid="{00000000-0005-0000-0000-00007D140000}"/>
    <cellStyle name="20 % - Markeringsfarve2 3 3 5 3 3" xfId="10586" xr:uid="{00000000-0005-0000-0000-00007E140000}"/>
    <cellStyle name="20 % - Markeringsfarve2 3 3 5 3 3 2" xfId="26905" xr:uid="{00000000-0005-0000-0000-00007F140000}"/>
    <cellStyle name="20 % - Markeringsfarve2 3 3 5 3 3 3" xfId="41871" xr:uid="{00000000-0005-0000-0000-000080140000}"/>
    <cellStyle name="20 % - Markeringsfarve2 3 3 5 3 4" xfId="19883" xr:uid="{00000000-0005-0000-0000-000081140000}"/>
    <cellStyle name="20 % - Markeringsfarve2 3 3 5 3 5" xfId="34872" xr:uid="{00000000-0005-0000-0000-000082140000}"/>
    <cellStyle name="20 % - Markeringsfarve2 3 3 5 4" xfId="2030" xr:uid="{00000000-0005-0000-0000-000083140000}"/>
    <cellStyle name="20 % - Markeringsfarve2 3 3 5 4 2" xfId="8324" xr:uid="{00000000-0005-0000-0000-000084140000}"/>
    <cellStyle name="20 % - Markeringsfarve2 3 3 5 4 2 2" xfId="16218" xr:uid="{00000000-0005-0000-0000-000085140000}"/>
    <cellStyle name="20 % - Markeringsfarve2 3 3 5 4 2 2 2" xfId="32532" xr:uid="{00000000-0005-0000-0000-000086140000}"/>
    <cellStyle name="20 % - Markeringsfarve2 3 3 5 4 2 2 3" xfId="47496" xr:uid="{00000000-0005-0000-0000-000087140000}"/>
    <cellStyle name="20 % - Markeringsfarve2 3 3 5 4 2 3" xfId="25510" xr:uid="{00000000-0005-0000-0000-000088140000}"/>
    <cellStyle name="20 % - Markeringsfarve2 3 3 5 4 2 4" xfId="40497" xr:uid="{00000000-0005-0000-0000-000089140000}"/>
    <cellStyle name="20 % - Markeringsfarve2 3 3 5 4 3" xfId="10587" xr:uid="{00000000-0005-0000-0000-00008A140000}"/>
    <cellStyle name="20 % - Markeringsfarve2 3 3 5 4 3 2" xfId="26906" xr:uid="{00000000-0005-0000-0000-00008B140000}"/>
    <cellStyle name="20 % - Markeringsfarve2 3 3 5 4 3 3" xfId="41872" xr:uid="{00000000-0005-0000-0000-00008C140000}"/>
    <cellStyle name="20 % - Markeringsfarve2 3 3 5 4 4" xfId="19884" xr:uid="{00000000-0005-0000-0000-00008D140000}"/>
    <cellStyle name="20 % - Markeringsfarve2 3 3 5 4 5" xfId="34873" xr:uid="{00000000-0005-0000-0000-00008E140000}"/>
    <cellStyle name="20 % - Markeringsfarve2 3 3 5 5" xfId="5496" xr:uid="{00000000-0005-0000-0000-00008F140000}"/>
    <cellStyle name="20 % - Markeringsfarve2 3 3 5 5 2" xfId="13414" xr:uid="{00000000-0005-0000-0000-000090140000}"/>
    <cellStyle name="20 % - Markeringsfarve2 3 3 5 5 2 2" xfId="29728" xr:uid="{00000000-0005-0000-0000-000091140000}"/>
    <cellStyle name="20 % - Markeringsfarve2 3 3 5 5 2 3" xfId="44692" xr:uid="{00000000-0005-0000-0000-000092140000}"/>
    <cellStyle name="20 % - Markeringsfarve2 3 3 5 5 3" xfId="22706" xr:uid="{00000000-0005-0000-0000-000093140000}"/>
    <cellStyle name="20 % - Markeringsfarve2 3 3 5 5 4" xfId="37693" xr:uid="{00000000-0005-0000-0000-000094140000}"/>
    <cellStyle name="20 % - Markeringsfarve2 3 3 5 6" xfId="10583" xr:uid="{00000000-0005-0000-0000-000095140000}"/>
    <cellStyle name="20 % - Markeringsfarve2 3 3 5 6 2" xfId="26902" xr:uid="{00000000-0005-0000-0000-000096140000}"/>
    <cellStyle name="20 % - Markeringsfarve2 3 3 5 6 3" xfId="41868" xr:uid="{00000000-0005-0000-0000-000097140000}"/>
    <cellStyle name="20 % - Markeringsfarve2 3 3 5 7" xfId="19880" xr:uid="{00000000-0005-0000-0000-000098140000}"/>
    <cellStyle name="20 % - Markeringsfarve2 3 3 5 8" xfId="34869" xr:uid="{00000000-0005-0000-0000-000099140000}"/>
    <cellStyle name="20 % - Markeringsfarve2 3 3 6" xfId="2031" xr:uid="{00000000-0005-0000-0000-00009A140000}"/>
    <cellStyle name="20 % - Markeringsfarve2 3 3 6 2" xfId="2032" xr:uid="{00000000-0005-0000-0000-00009B140000}"/>
    <cellStyle name="20 % - Markeringsfarve2 3 3 6 2 2" xfId="2033" xr:uid="{00000000-0005-0000-0000-00009C140000}"/>
    <cellStyle name="20 % - Markeringsfarve2 3 3 6 2 2 2" xfId="8095" xr:uid="{00000000-0005-0000-0000-00009D140000}"/>
    <cellStyle name="20 % - Markeringsfarve2 3 3 6 2 2 2 2" xfId="15996" xr:uid="{00000000-0005-0000-0000-00009E140000}"/>
    <cellStyle name="20 % - Markeringsfarve2 3 3 6 2 2 2 2 2" xfId="32310" xr:uid="{00000000-0005-0000-0000-00009F140000}"/>
    <cellStyle name="20 % - Markeringsfarve2 3 3 6 2 2 2 2 3" xfId="47274" xr:uid="{00000000-0005-0000-0000-0000A0140000}"/>
    <cellStyle name="20 % - Markeringsfarve2 3 3 6 2 2 2 3" xfId="25288" xr:uid="{00000000-0005-0000-0000-0000A1140000}"/>
    <cellStyle name="20 % - Markeringsfarve2 3 3 6 2 2 2 4" xfId="40275" xr:uid="{00000000-0005-0000-0000-0000A2140000}"/>
    <cellStyle name="20 % - Markeringsfarve2 3 3 6 2 2 3" xfId="10590" xr:uid="{00000000-0005-0000-0000-0000A3140000}"/>
    <cellStyle name="20 % - Markeringsfarve2 3 3 6 2 2 3 2" xfId="26909" xr:uid="{00000000-0005-0000-0000-0000A4140000}"/>
    <cellStyle name="20 % - Markeringsfarve2 3 3 6 2 2 3 3" xfId="41875" xr:uid="{00000000-0005-0000-0000-0000A5140000}"/>
    <cellStyle name="20 % - Markeringsfarve2 3 3 6 2 2 4" xfId="19887" xr:uid="{00000000-0005-0000-0000-0000A6140000}"/>
    <cellStyle name="20 % - Markeringsfarve2 3 3 6 2 2 5" xfId="34876" xr:uid="{00000000-0005-0000-0000-0000A7140000}"/>
    <cellStyle name="20 % - Markeringsfarve2 3 3 6 2 3" xfId="6606" xr:uid="{00000000-0005-0000-0000-0000A8140000}"/>
    <cellStyle name="20 % - Markeringsfarve2 3 3 6 2 3 2" xfId="14520" xr:uid="{00000000-0005-0000-0000-0000A9140000}"/>
    <cellStyle name="20 % - Markeringsfarve2 3 3 6 2 3 2 2" xfId="30834" xr:uid="{00000000-0005-0000-0000-0000AA140000}"/>
    <cellStyle name="20 % - Markeringsfarve2 3 3 6 2 3 2 3" xfId="45798" xr:uid="{00000000-0005-0000-0000-0000AB140000}"/>
    <cellStyle name="20 % - Markeringsfarve2 3 3 6 2 3 3" xfId="23812" xr:uid="{00000000-0005-0000-0000-0000AC140000}"/>
    <cellStyle name="20 % - Markeringsfarve2 3 3 6 2 3 4" xfId="38799" xr:uid="{00000000-0005-0000-0000-0000AD140000}"/>
    <cellStyle name="20 % - Markeringsfarve2 3 3 6 2 4" xfId="10589" xr:uid="{00000000-0005-0000-0000-0000AE140000}"/>
    <cellStyle name="20 % - Markeringsfarve2 3 3 6 2 4 2" xfId="26908" xr:uid="{00000000-0005-0000-0000-0000AF140000}"/>
    <cellStyle name="20 % - Markeringsfarve2 3 3 6 2 4 3" xfId="41874" xr:uid="{00000000-0005-0000-0000-0000B0140000}"/>
    <cellStyle name="20 % - Markeringsfarve2 3 3 6 2 5" xfId="19886" xr:uid="{00000000-0005-0000-0000-0000B1140000}"/>
    <cellStyle name="20 % - Markeringsfarve2 3 3 6 2 6" xfId="34875" xr:uid="{00000000-0005-0000-0000-0000B2140000}"/>
    <cellStyle name="20 % - Markeringsfarve2 3 3 6 3" xfId="2034" xr:uid="{00000000-0005-0000-0000-0000B3140000}"/>
    <cellStyle name="20 % - Markeringsfarve2 3 3 6 3 2" xfId="7372" xr:uid="{00000000-0005-0000-0000-0000B4140000}"/>
    <cellStyle name="20 % - Markeringsfarve2 3 3 6 3 2 2" xfId="15282" xr:uid="{00000000-0005-0000-0000-0000B5140000}"/>
    <cellStyle name="20 % - Markeringsfarve2 3 3 6 3 2 2 2" xfId="31596" xr:uid="{00000000-0005-0000-0000-0000B6140000}"/>
    <cellStyle name="20 % - Markeringsfarve2 3 3 6 3 2 2 3" xfId="46560" xr:uid="{00000000-0005-0000-0000-0000B7140000}"/>
    <cellStyle name="20 % - Markeringsfarve2 3 3 6 3 2 3" xfId="24574" xr:uid="{00000000-0005-0000-0000-0000B8140000}"/>
    <cellStyle name="20 % - Markeringsfarve2 3 3 6 3 2 4" xfId="39561" xr:uid="{00000000-0005-0000-0000-0000B9140000}"/>
    <cellStyle name="20 % - Markeringsfarve2 3 3 6 3 3" xfId="10591" xr:uid="{00000000-0005-0000-0000-0000BA140000}"/>
    <cellStyle name="20 % - Markeringsfarve2 3 3 6 3 3 2" xfId="26910" xr:uid="{00000000-0005-0000-0000-0000BB140000}"/>
    <cellStyle name="20 % - Markeringsfarve2 3 3 6 3 3 3" xfId="41876" xr:uid="{00000000-0005-0000-0000-0000BC140000}"/>
    <cellStyle name="20 % - Markeringsfarve2 3 3 6 3 4" xfId="19888" xr:uid="{00000000-0005-0000-0000-0000BD140000}"/>
    <cellStyle name="20 % - Markeringsfarve2 3 3 6 3 5" xfId="34877" xr:uid="{00000000-0005-0000-0000-0000BE140000}"/>
    <cellStyle name="20 % - Markeringsfarve2 3 3 6 4" xfId="2035" xr:uid="{00000000-0005-0000-0000-0000BF140000}"/>
    <cellStyle name="20 % - Markeringsfarve2 3 3 6 4 2" xfId="8217" xr:uid="{00000000-0005-0000-0000-0000C0140000}"/>
    <cellStyle name="20 % - Markeringsfarve2 3 3 6 4 2 2" xfId="16114" xr:uid="{00000000-0005-0000-0000-0000C1140000}"/>
    <cellStyle name="20 % - Markeringsfarve2 3 3 6 4 2 2 2" xfId="32428" xr:uid="{00000000-0005-0000-0000-0000C2140000}"/>
    <cellStyle name="20 % - Markeringsfarve2 3 3 6 4 2 2 3" xfId="47392" xr:uid="{00000000-0005-0000-0000-0000C3140000}"/>
    <cellStyle name="20 % - Markeringsfarve2 3 3 6 4 2 3" xfId="25406" xr:uid="{00000000-0005-0000-0000-0000C4140000}"/>
    <cellStyle name="20 % - Markeringsfarve2 3 3 6 4 2 4" xfId="40393" xr:uid="{00000000-0005-0000-0000-0000C5140000}"/>
    <cellStyle name="20 % - Markeringsfarve2 3 3 6 4 3" xfId="10592" xr:uid="{00000000-0005-0000-0000-0000C6140000}"/>
    <cellStyle name="20 % - Markeringsfarve2 3 3 6 4 3 2" xfId="26911" xr:uid="{00000000-0005-0000-0000-0000C7140000}"/>
    <cellStyle name="20 % - Markeringsfarve2 3 3 6 4 3 3" xfId="41877" xr:uid="{00000000-0005-0000-0000-0000C8140000}"/>
    <cellStyle name="20 % - Markeringsfarve2 3 3 6 4 4" xfId="19889" xr:uid="{00000000-0005-0000-0000-0000C9140000}"/>
    <cellStyle name="20 % - Markeringsfarve2 3 3 6 4 5" xfId="34878" xr:uid="{00000000-0005-0000-0000-0000CA140000}"/>
    <cellStyle name="20 % - Markeringsfarve2 3 3 6 5" xfId="5497" xr:uid="{00000000-0005-0000-0000-0000CB140000}"/>
    <cellStyle name="20 % - Markeringsfarve2 3 3 6 5 2" xfId="13415" xr:uid="{00000000-0005-0000-0000-0000CC140000}"/>
    <cellStyle name="20 % - Markeringsfarve2 3 3 6 5 2 2" xfId="29729" xr:uid="{00000000-0005-0000-0000-0000CD140000}"/>
    <cellStyle name="20 % - Markeringsfarve2 3 3 6 5 2 3" xfId="44693" xr:uid="{00000000-0005-0000-0000-0000CE140000}"/>
    <cellStyle name="20 % - Markeringsfarve2 3 3 6 5 3" xfId="22707" xr:uid="{00000000-0005-0000-0000-0000CF140000}"/>
    <cellStyle name="20 % - Markeringsfarve2 3 3 6 5 4" xfId="37694" xr:uid="{00000000-0005-0000-0000-0000D0140000}"/>
    <cellStyle name="20 % - Markeringsfarve2 3 3 6 6" xfId="10588" xr:uid="{00000000-0005-0000-0000-0000D1140000}"/>
    <cellStyle name="20 % - Markeringsfarve2 3 3 6 6 2" xfId="26907" xr:uid="{00000000-0005-0000-0000-0000D2140000}"/>
    <cellStyle name="20 % - Markeringsfarve2 3 3 6 6 3" xfId="41873" xr:uid="{00000000-0005-0000-0000-0000D3140000}"/>
    <cellStyle name="20 % - Markeringsfarve2 3 3 6 7" xfId="19885" xr:uid="{00000000-0005-0000-0000-0000D4140000}"/>
    <cellStyle name="20 % - Markeringsfarve2 3 3 6 8" xfId="34874" xr:uid="{00000000-0005-0000-0000-0000D5140000}"/>
    <cellStyle name="20 % - Markeringsfarve2 3 3 7" xfId="2036" xr:uid="{00000000-0005-0000-0000-0000D6140000}"/>
    <cellStyle name="20 % - Markeringsfarve2 3 3 7 2" xfId="2037" xr:uid="{00000000-0005-0000-0000-0000D7140000}"/>
    <cellStyle name="20 % - Markeringsfarve2 3 3 7 2 2" xfId="7583" xr:uid="{00000000-0005-0000-0000-0000D8140000}"/>
    <cellStyle name="20 % - Markeringsfarve2 3 3 7 2 2 2" xfId="15484" xr:uid="{00000000-0005-0000-0000-0000D9140000}"/>
    <cellStyle name="20 % - Markeringsfarve2 3 3 7 2 2 2 2" xfId="31798" xr:uid="{00000000-0005-0000-0000-0000DA140000}"/>
    <cellStyle name="20 % - Markeringsfarve2 3 3 7 2 2 2 3" xfId="46762" xr:uid="{00000000-0005-0000-0000-0000DB140000}"/>
    <cellStyle name="20 % - Markeringsfarve2 3 3 7 2 2 3" xfId="24776" xr:uid="{00000000-0005-0000-0000-0000DC140000}"/>
    <cellStyle name="20 % - Markeringsfarve2 3 3 7 2 2 4" xfId="39763" xr:uid="{00000000-0005-0000-0000-0000DD140000}"/>
    <cellStyle name="20 % - Markeringsfarve2 3 3 7 2 3" xfId="10594" xr:uid="{00000000-0005-0000-0000-0000DE140000}"/>
    <cellStyle name="20 % - Markeringsfarve2 3 3 7 2 3 2" xfId="26913" xr:uid="{00000000-0005-0000-0000-0000DF140000}"/>
    <cellStyle name="20 % - Markeringsfarve2 3 3 7 2 3 3" xfId="41879" xr:uid="{00000000-0005-0000-0000-0000E0140000}"/>
    <cellStyle name="20 % - Markeringsfarve2 3 3 7 2 4" xfId="19891" xr:uid="{00000000-0005-0000-0000-0000E1140000}"/>
    <cellStyle name="20 % - Markeringsfarve2 3 3 7 2 5" xfId="34880" xr:uid="{00000000-0005-0000-0000-0000E2140000}"/>
    <cellStyle name="20 % - Markeringsfarve2 3 3 7 3" xfId="6172" xr:uid="{00000000-0005-0000-0000-0000E3140000}"/>
    <cellStyle name="20 % - Markeringsfarve2 3 3 7 3 2" xfId="14089" xr:uid="{00000000-0005-0000-0000-0000E4140000}"/>
    <cellStyle name="20 % - Markeringsfarve2 3 3 7 3 2 2" xfId="30403" xr:uid="{00000000-0005-0000-0000-0000E5140000}"/>
    <cellStyle name="20 % - Markeringsfarve2 3 3 7 3 2 3" xfId="45367" xr:uid="{00000000-0005-0000-0000-0000E6140000}"/>
    <cellStyle name="20 % - Markeringsfarve2 3 3 7 3 3" xfId="23381" xr:uid="{00000000-0005-0000-0000-0000E7140000}"/>
    <cellStyle name="20 % - Markeringsfarve2 3 3 7 3 4" xfId="38368" xr:uid="{00000000-0005-0000-0000-0000E8140000}"/>
    <cellStyle name="20 % - Markeringsfarve2 3 3 7 4" xfId="10593" xr:uid="{00000000-0005-0000-0000-0000E9140000}"/>
    <cellStyle name="20 % - Markeringsfarve2 3 3 7 4 2" xfId="26912" xr:uid="{00000000-0005-0000-0000-0000EA140000}"/>
    <cellStyle name="20 % - Markeringsfarve2 3 3 7 4 3" xfId="41878" xr:uid="{00000000-0005-0000-0000-0000EB140000}"/>
    <cellStyle name="20 % - Markeringsfarve2 3 3 7 5" xfId="19890" xr:uid="{00000000-0005-0000-0000-0000EC140000}"/>
    <cellStyle name="20 % - Markeringsfarve2 3 3 7 6" xfId="34879" xr:uid="{00000000-0005-0000-0000-0000ED140000}"/>
    <cellStyle name="20 % - Markeringsfarve2 3 3 8" xfId="2038" xr:uid="{00000000-0005-0000-0000-0000EE140000}"/>
    <cellStyle name="20 % - Markeringsfarve2 3 3 8 2" xfId="6811" xr:uid="{00000000-0005-0000-0000-0000EF140000}"/>
    <cellStyle name="20 % - Markeringsfarve2 3 3 8 2 2" xfId="14722" xr:uid="{00000000-0005-0000-0000-0000F0140000}"/>
    <cellStyle name="20 % - Markeringsfarve2 3 3 8 2 2 2" xfId="31036" xr:uid="{00000000-0005-0000-0000-0000F1140000}"/>
    <cellStyle name="20 % - Markeringsfarve2 3 3 8 2 2 3" xfId="46000" xr:uid="{00000000-0005-0000-0000-0000F2140000}"/>
    <cellStyle name="20 % - Markeringsfarve2 3 3 8 2 3" xfId="24014" xr:uid="{00000000-0005-0000-0000-0000F3140000}"/>
    <cellStyle name="20 % - Markeringsfarve2 3 3 8 2 4" xfId="39001" xr:uid="{00000000-0005-0000-0000-0000F4140000}"/>
    <cellStyle name="20 % - Markeringsfarve2 3 3 8 3" xfId="10595" xr:uid="{00000000-0005-0000-0000-0000F5140000}"/>
    <cellStyle name="20 % - Markeringsfarve2 3 3 8 3 2" xfId="26914" xr:uid="{00000000-0005-0000-0000-0000F6140000}"/>
    <cellStyle name="20 % - Markeringsfarve2 3 3 8 3 3" xfId="41880" xr:uid="{00000000-0005-0000-0000-0000F7140000}"/>
    <cellStyle name="20 % - Markeringsfarve2 3 3 8 4" xfId="19892" xr:uid="{00000000-0005-0000-0000-0000F8140000}"/>
    <cellStyle name="20 % - Markeringsfarve2 3 3 8 5" xfId="34881" xr:uid="{00000000-0005-0000-0000-0000F9140000}"/>
    <cellStyle name="20 % - Markeringsfarve2 3 3 9" xfId="2039" xr:uid="{00000000-0005-0000-0000-0000FA140000}"/>
    <cellStyle name="20 % - Markeringsfarve2 3 3 9 2" xfId="8570" xr:uid="{00000000-0005-0000-0000-0000FB140000}"/>
    <cellStyle name="20 % - Markeringsfarve2 3 3 9 2 2" xfId="16457" xr:uid="{00000000-0005-0000-0000-0000FC140000}"/>
    <cellStyle name="20 % - Markeringsfarve2 3 3 9 2 2 2" xfId="32771" xr:uid="{00000000-0005-0000-0000-0000FD140000}"/>
    <cellStyle name="20 % - Markeringsfarve2 3 3 9 2 2 3" xfId="47735" xr:uid="{00000000-0005-0000-0000-0000FE140000}"/>
    <cellStyle name="20 % - Markeringsfarve2 3 3 9 2 3" xfId="25749" xr:uid="{00000000-0005-0000-0000-0000FF140000}"/>
    <cellStyle name="20 % - Markeringsfarve2 3 3 9 2 4" xfId="40736" xr:uid="{00000000-0005-0000-0000-000000150000}"/>
    <cellStyle name="20 % - Markeringsfarve2 3 3 9 3" xfId="10596" xr:uid="{00000000-0005-0000-0000-000001150000}"/>
    <cellStyle name="20 % - Markeringsfarve2 3 3 9 3 2" xfId="26915" xr:uid="{00000000-0005-0000-0000-000002150000}"/>
    <cellStyle name="20 % - Markeringsfarve2 3 3 9 3 3" xfId="41881" xr:uid="{00000000-0005-0000-0000-000003150000}"/>
    <cellStyle name="20 % - Markeringsfarve2 3 3 9 4" xfId="19893" xr:uid="{00000000-0005-0000-0000-000004150000}"/>
    <cellStyle name="20 % - Markeringsfarve2 3 3 9 5" xfId="34882" xr:uid="{00000000-0005-0000-0000-000005150000}"/>
    <cellStyle name="20 % - Markeringsfarve2 3 4" xfId="2040" xr:uid="{00000000-0005-0000-0000-000006150000}"/>
    <cellStyle name="20 % - Markeringsfarve2 3 4 2" xfId="2041" xr:uid="{00000000-0005-0000-0000-000007150000}"/>
    <cellStyle name="20 % - Markeringsfarve2 3 4 2 2" xfId="2042" xr:uid="{00000000-0005-0000-0000-000008150000}"/>
    <cellStyle name="20 % - Markeringsfarve2 3 4 2 2 2" xfId="7624" xr:uid="{00000000-0005-0000-0000-000009150000}"/>
    <cellStyle name="20 % - Markeringsfarve2 3 4 2 2 2 2" xfId="15525" xr:uid="{00000000-0005-0000-0000-00000A150000}"/>
    <cellStyle name="20 % - Markeringsfarve2 3 4 2 2 2 2 2" xfId="31839" xr:uid="{00000000-0005-0000-0000-00000B150000}"/>
    <cellStyle name="20 % - Markeringsfarve2 3 4 2 2 2 2 3" xfId="46803" xr:uid="{00000000-0005-0000-0000-00000C150000}"/>
    <cellStyle name="20 % - Markeringsfarve2 3 4 2 2 2 3" xfId="24817" xr:uid="{00000000-0005-0000-0000-00000D150000}"/>
    <cellStyle name="20 % - Markeringsfarve2 3 4 2 2 2 4" xfId="39804" xr:uid="{00000000-0005-0000-0000-00000E150000}"/>
    <cellStyle name="20 % - Markeringsfarve2 3 4 2 2 3" xfId="10599" xr:uid="{00000000-0005-0000-0000-00000F150000}"/>
    <cellStyle name="20 % - Markeringsfarve2 3 4 2 2 3 2" xfId="26918" xr:uid="{00000000-0005-0000-0000-000010150000}"/>
    <cellStyle name="20 % - Markeringsfarve2 3 4 2 2 3 3" xfId="41884" xr:uid="{00000000-0005-0000-0000-000011150000}"/>
    <cellStyle name="20 % - Markeringsfarve2 3 4 2 2 4" xfId="19896" xr:uid="{00000000-0005-0000-0000-000012150000}"/>
    <cellStyle name="20 % - Markeringsfarve2 3 4 2 2 5" xfId="34885" xr:uid="{00000000-0005-0000-0000-000013150000}"/>
    <cellStyle name="20 % - Markeringsfarve2 3 4 2 3" xfId="6205" xr:uid="{00000000-0005-0000-0000-000014150000}"/>
    <cellStyle name="20 % - Markeringsfarve2 3 4 2 3 2" xfId="14122" xr:uid="{00000000-0005-0000-0000-000015150000}"/>
    <cellStyle name="20 % - Markeringsfarve2 3 4 2 3 2 2" xfId="30436" xr:uid="{00000000-0005-0000-0000-000016150000}"/>
    <cellStyle name="20 % - Markeringsfarve2 3 4 2 3 2 3" xfId="45400" xr:uid="{00000000-0005-0000-0000-000017150000}"/>
    <cellStyle name="20 % - Markeringsfarve2 3 4 2 3 3" xfId="23414" xr:uid="{00000000-0005-0000-0000-000018150000}"/>
    <cellStyle name="20 % - Markeringsfarve2 3 4 2 3 4" xfId="38401" xr:uid="{00000000-0005-0000-0000-000019150000}"/>
    <cellStyle name="20 % - Markeringsfarve2 3 4 2 4" xfId="10598" xr:uid="{00000000-0005-0000-0000-00001A150000}"/>
    <cellStyle name="20 % - Markeringsfarve2 3 4 2 4 2" xfId="26917" xr:uid="{00000000-0005-0000-0000-00001B150000}"/>
    <cellStyle name="20 % - Markeringsfarve2 3 4 2 4 3" xfId="41883" xr:uid="{00000000-0005-0000-0000-00001C150000}"/>
    <cellStyle name="20 % - Markeringsfarve2 3 4 2 5" xfId="19895" xr:uid="{00000000-0005-0000-0000-00001D150000}"/>
    <cellStyle name="20 % - Markeringsfarve2 3 4 2 6" xfId="34884" xr:uid="{00000000-0005-0000-0000-00001E150000}"/>
    <cellStyle name="20 % - Markeringsfarve2 3 4 3" xfId="2043" xr:uid="{00000000-0005-0000-0000-00001F150000}"/>
    <cellStyle name="20 % - Markeringsfarve2 3 4 3 2" xfId="6854" xr:uid="{00000000-0005-0000-0000-000020150000}"/>
    <cellStyle name="20 % - Markeringsfarve2 3 4 3 2 2" xfId="14765" xr:uid="{00000000-0005-0000-0000-000021150000}"/>
    <cellStyle name="20 % - Markeringsfarve2 3 4 3 2 2 2" xfId="31079" xr:uid="{00000000-0005-0000-0000-000022150000}"/>
    <cellStyle name="20 % - Markeringsfarve2 3 4 3 2 2 3" xfId="46043" xr:uid="{00000000-0005-0000-0000-000023150000}"/>
    <cellStyle name="20 % - Markeringsfarve2 3 4 3 2 3" xfId="24057" xr:uid="{00000000-0005-0000-0000-000024150000}"/>
    <cellStyle name="20 % - Markeringsfarve2 3 4 3 2 4" xfId="39044" xr:uid="{00000000-0005-0000-0000-000025150000}"/>
    <cellStyle name="20 % - Markeringsfarve2 3 4 3 3" xfId="10600" xr:uid="{00000000-0005-0000-0000-000026150000}"/>
    <cellStyle name="20 % - Markeringsfarve2 3 4 3 3 2" xfId="26919" xr:uid="{00000000-0005-0000-0000-000027150000}"/>
    <cellStyle name="20 % - Markeringsfarve2 3 4 3 3 3" xfId="41885" xr:uid="{00000000-0005-0000-0000-000028150000}"/>
    <cellStyle name="20 % - Markeringsfarve2 3 4 3 4" xfId="19897" xr:uid="{00000000-0005-0000-0000-000029150000}"/>
    <cellStyle name="20 % - Markeringsfarve2 3 4 3 5" xfId="34886" xr:uid="{00000000-0005-0000-0000-00002A150000}"/>
    <cellStyle name="20 % - Markeringsfarve2 3 4 4" xfId="2044" xr:uid="{00000000-0005-0000-0000-00002B150000}"/>
    <cellStyle name="20 % - Markeringsfarve2 3 4 4 2" xfId="6719" xr:uid="{00000000-0005-0000-0000-00002C150000}"/>
    <cellStyle name="20 % - Markeringsfarve2 3 4 4 2 2" xfId="14632" xr:uid="{00000000-0005-0000-0000-00002D150000}"/>
    <cellStyle name="20 % - Markeringsfarve2 3 4 4 2 2 2" xfId="30946" xr:uid="{00000000-0005-0000-0000-00002E150000}"/>
    <cellStyle name="20 % - Markeringsfarve2 3 4 4 2 2 3" xfId="45910" xr:uid="{00000000-0005-0000-0000-00002F150000}"/>
    <cellStyle name="20 % - Markeringsfarve2 3 4 4 2 3" xfId="23924" xr:uid="{00000000-0005-0000-0000-000030150000}"/>
    <cellStyle name="20 % - Markeringsfarve2 3 4 4 2 4" xfId="38911" xr:uid="{00000000-0005-0000-0000-000031150000}"/>
    <cellStyle name="20 % - Markeringsfarve2 3 4 4 3" xfId="10601" xr:uid="{00000000-0005-0000-0000-000032150000}"/>
    <cellStyle name="20 % - Markeringsfarve2 3 4 4 3 2" xfId="26920" xr:uid="{00000000-0005-0000-0000-000033150000}"/>
    <cellStyle name="20 % - Markeringsfarve2 3 4 4 3 3" xfId="41886" xr:uid="{00000000-0005-0000-0000-000034150000}"/>
    <cellStyle name="20 % - Markeringsfarve2 3 4 4 4" xfId="19898" xr:uid="{00000000-0005-0000-0000-000035150000}"/>
    <cellStyle name="20 % - Markeringsfarve2 3 4 4 5" xfId="34887" xr:uid="{00000000-0005-0000-0000-000036150000}"/>
    <cellStyle name="20 % - Markeringsfarve2 3 4 5" xfId="5498" xr:uid="{00000000-0005-0000-0000-000037150000}"/>
    <cellStyle name="20 % - Markeringsfarve2 3 4 5 2" xfId="13416" xr:uid="{00000000-0005-0000-0000-000038150000}"/>
    <cellStyle name="20 % - Markeringsfarve2 3 4 5 2 2" xfId="29730" xr:uid="{00000000-0005-0000-0000-000039150000}"/>
    <cellStyle name="20 % - Markeringsfarve2 3 4 5 2 3" xfId="44694" xr:uid="{00000000-0005-0000-0000-00003A150000}"/>
    <cellStyle name="20 % - Markeringsfarve2 3 4 5 3" xfId="22708" xr:uid="{00000000-0005-0000-0000-00003B150000}"/>
    <cellStyle name="20 % - Markeringsfarve2 3 4 5 4" xfId="37695" xr:uid="{00000000-0005-0000-0000-00003C150000}"/>
    <cellStyle name="20 % - Markeringsfarve2 3 4 6" xfId="10597" xr:uid="{00000000-0005-0000-0000-00003D150000}"/>
    <cellStyle name="20 % - Markeringsfarve2 3 4 6 2" xfId="26916" xr:uid="{00000000-0005-0000-0000-00003E150000}"/>
    <cellStyle name="20 % - Markeringsfarve2 3 4 6 3" xfId="41882" xr:uid="{00000000-0005-0000-0000-00003F150000}"/>
    <cellStyle name="20 % - Markeringsfarve2 3 4 7" xfId="19894" xr:uid="{00000000-0005-0000-0000-000040150000}"/>
    <cellStyle name="20 % - Markeringsfarve2 3 4 8" xfId="34883" xr:uid="{00000000-0005-0000-0000-000041150000}"/>
    <cellStyle name="20 % - Markeringsfarve2 3 5" xfId="2045" xr:uid="{00000000-0005-0000-0000-000042150000}"/>
    <cellStyle name="20 % - Markeringsfarve2 3 5 2" xfId="2046" xr:uid="{00000000-0005-0000-0000-000043150000}"/>
    <cellStyle name="20 % - Markeringsfarve2 3 5 2 2" xfId="2047" xr:uid="{00000000-0005-0000-0000-000044150000}"/>
    <cellStyle name="20 % - Markeringsfarve2 3 5 2 2 2" xfId="7738" xr:uid="{00000000-0005-0000-0000-000045150000}"/>
    <cellStyle name="20 % - Markeringsfarve2 3 5 2 2 2 2" xfId="15639" xr:uid="{00000000-0005-0000-0000-000046150000}"/>
    <cellStyle name="20 % - Markeringsfarve2 3 5 2 2 2 2 2" xfId="31953" xr:uid="{00000000-0005-0000-0000-000047150000}"/>
    <cellStyle name="20 % - Markeringsfarve2 3 5 2 2 2 2 3" xfId="46917" xr:uid="{00000000-0005-0000-0000-000048150000}"/>
    <cellStyle name="20 % - Markeringsfarve2 3 5 2 2 2 3" xfId="24931" xr:uid="{00000000-0005-0000-0000-000049150000}"/>
    <cellStyle name="20 % - Markeringsfarve2 3 5 2 2 2 4" xfId="39918" xr:uid="{00000000-0005-0000-0000-00004A150000}"/>
    <cellStyle name="20 % - Markeringsfarve2 3 5 2 2 3" xfId="10604" xr:uid="{00000000-0005-0000-0000-00004B150000}"/>
    <cellStyle name="20 % - Markeringsfarve2 3 5 2 2 3 2" xfId="26923" xr:uid="{00000000-0005-0000-0000-00004C150000}"/>
    <cellStyle name="20 % - Markeringsfarve2 3 5 2 2 3 3" xfId="41889" xr:uid="{00000000-0005-0000-0000-00004D150000}"/>
    <cellStyle name="20 % - Markeringsfarve2 3 5 2 2 4" xfId="19901" xr:uid="{00000000-0005-0000-0000-00004E150000}"/>
    <cellStyle name="20 % - Markeringsfarve2 3 5 2 2 5" xfId="34890" xr:uid="{00000000-0005-0000-0000-00004F150000}"/>
    <cellStyle name="20 % - Markeringsfarve2 3 5 2 3" xfId="6302" xr:uid="{00000000-0005-0000-0000-000050150000}"/>
    <cellStyle name="20 % - Markeringsfarve2 3 5 2 3 2" xfId="14219" xr:uid="{00000000-0005-0000-0000-000051150000}"/>
    <cellStyle name="20 % - Markeringsfarve2 3 5 2 3 2 2" xfId="30533" xr:uid="{00000000-0005-0000-0000-000052150000}"/>
    <cellStyle name="20 % - Markeringsfarve2 3 5 2 3 2 3" xfId="45497" xr:uid="{00000000-0005-0000-0000-000053150000}"/>
    <cellStyle name="20 % - Markeringsfarve2 3 5 2 3 3" xfId="23511" xr:uid="{00000000-0005-0000-0000-000054150000}"/>
    <cellStyle name="20 % - Markeringsfarve2 3 5 2 3 4" xfId="38498" xr:uid="{00000000-0005-0000-0000-000055150000}"/>
    <cellStyle name="20 % - Markeringsfarve2 3 5 2 4" xfId="10603" xr:uid="{00000000-0005-0000-0000-000056150000}"/>
    <cellStyle name="20 % - Markeringsfarve2 3 5 2 4 2" xfId="26922" xr:uid="{00000000-0005-0000-0000-000057150000}"/>
    <cellStyle name="20 % - Markeringsfarve2 3 5 2 4 3" xfId="41888" xr:uid="{00000000-0005-0000-0000-000058150000}"/>
    <cellStyle name="20 % - Markeringsfarve2 3 5 2 5" xfId="19900" xr:uid="{00000000-0005-0000-0000-000059150000}"/>
    <cellStyle name="20 % - Markeringsfarve2 3 5 2 6" xfId="34889" xr:uid="{00000000-0005-0000-0000-00005A150000}"/>
    <cellStyle name="20 % - Markeringsfarve2 3 5 3" xfId="2048" xr:uid="{00000000-0005-0000-0000-00005B150000}"/>
    <cellStyle name="20 % - Markeringsfarve2 3 5 3 2" xfId="6968" xr:uid="{00000000-0005-0000-0000-00005C150000}"/>
    <cellStyle name="20 % - Markeringsfarve2 3 5 3 2 2" xfId="14879" xr:uid="{00000000-0005-0000-0000-00005D150000}"/>
    <cellStyle name="20 % - Markeringsfarve2 3 5 3 2 2 2" xfId="31193" xr:uid="{00000000-0005-0000-0000-00005E150000}"/>
    <cellStyle name="20 % - Markeringsfarve2 3 5 3 2 2 3" xfId="46157" xr:uid="{00000000-0005-0000-0000-00005F150000}"/>
    <cellStyle name="20 % - Markeringsfarve2 3 5 3 2 3" xfId="24171" xr:uid="{00000000-0005-0000-0000-000060150000}"/>
    <cellStyle name="20 % - Markeringsfarve2 3 5 3 2 4" xfId="39158" xr:uid="{00000000-0005-0000-0000-000061150000}"/>
    <cellStyle name="20 % - Markeringsfarve2 3 5 3 3" xfId="10605" xr:uid="{00000000-0005-0000-0000-000062150000}"/>
    <cellStyle name="20 % - Markeringsfarve2 3 5 3 3 2" xfId="26924" xr:uid="{00000000-0005-0000-0000-000063150000}"/>
    <cellStyle name="20 % - Markeringsfarve2 3 5 3 3 3" xfId="41890" xr:uid="{00000000-0005-0000-0000-000064150000}"/>
    <cellStyle name="20 % - Markeringsfarve2 3 5 3 4" xfId="19902" xr:uid="{00000000-0005-0000-0000-000065150000}"/>
    <cellStyle name="20 % - Markeringsfarve2 3 5 3 5" xfId="34891" xr:uid="{00000000-0005-0000-0000-000066150000}"/>
    <cellStyle name="20 % - Markeringsfarve2 3 5 4" xfId="2049" xr:uid="{00000000-0005-0000-0000-000067150000}"/>
    <cellStyle name="20 % - Markeringsfarve2 3 5 4 2" xfId="7725" xr:uid="{00000000-0005-0000-0000-000068150000}"/>
    <cellStyle name="20 % - Markeringsfarve2 3 5 4 2 2" xfId="15626" xr:uid="{00000000-0005-0000-0000-000069150000}"/>
    <cellStyle name="20 % - Markeringsfarve2 3 5 4 2 2 2" xfId="31940" xr:uid="{00000000-0005-0000-0000-00006A150000}"/>
    <cellStyle name="20 % - Markeringsfarve2 3 5 4 2 2 3" xfId="46904" xr:uid="{00000000-0005-0000-0000-00006B150000}"/>
    <cellStyle name="20 % - Markeringsfarve2 3 5 4 2 3" xfId="24918" xr:uid="{00000000-0005-0000-0000-00006C150000}"/>
    <cellStyle name="20 % - Markeringsfarve2 3 5 4 2 4" xfId="39905" xr:uid="{00000000-0005-0000-0000-00006D150000}"/>
    <cellStyle name="20 % - Markeringsfarve2 3 5 4 3" xfId="10606" xr:uid="{00000000-0005-0000-0000-00006E150000}"/>
    <cellStyle name="20 % - Markeringsfarve2 3 5 4 3 2" xfId="26925" xr:uid="{00000000-0005-0000-0000-00006F150000}"/>
    <cellStyle name="20 % - Markeringsfarve2 3 5 4 3 3" xfId="41891" xr:uid="{00000000-0005-0000-0000-000070150000}"/>
    <cellStyle name="20 % - Markeringsfarve2 3 5 4 4" xfId="19903" xr:uid="{00000000-0005-0000-0000-000071150000}"/>
    <cellStyle name="20 % - Markeringsfarve2 3 5 4 5" xfId="34892" xr:uid="{00000000-0005-0000-0000-000072150000}"/>
    <cellStyle name="20 % - Markeringsfarve2 3 5 5" xfId="5499" xr:uid="{00000000-0005-0000-0000-000073150000}"/>
    <cellStyle name="20 % - Markeringsfarve2 3 5 5 2" xfId="13417" xr:uid="{00000000-0005-0000-0000-000074150000}"/>
    <cellStyle name="20 % - Markeringsfarve2 3 5 5 2 2" xfId="29731" xr:uid="{00000000-0005-0000-0000-000075150000}"/>
    <cellStyle name="20 % - Markeringsfarve2 3 5 5 2 3" xfId="44695" xr:uid="{00000000-0005-0000-0000-000076150000}"/>
    <cellStyle name="20 % - Markeringsfarve2 3 5 5 3" xfId="22709" xr:uid="{00000000-0005-0000-0000-000077150000}"/>
    <cellStyle name="20 % - Markeringsfarve2 3 5 5 4" xfId="37696" xr:uid="{00000000-0005-0000-0000-000078150000}"/>
    <cellStyle name="20 % - Markeringsfarve2 3 5 6" xfId="10602" xr:uid="{00000000-0005-0000-0000-000079150000}"/>
    <cellStyle name="20 % - Markeringsfarve2 3 5 6 2" xfId="26921" xr:uid="{00000000-0005-0000-0000-00007A150000}"/>
    <cellStyle name="20 % - Markeringsfarve2 3 5 6 3" xfId="41887" xr:uid="{00000000-0005-0000-0000-00007B150000}"/>
    <cellStyle name="20 % - Markeringsfarve2 3 5 7" xfId="19899" xr:uid="{00000000-0005-0000-0000-00007C150000}"/>
    <cellStyle name="20 % - Markeringsfarve2 3 5 8" xfId="34888" xr:uid="{00000000-0005-0000-0000-00007D150000}"/>
    <cellStyle name="20 % - Markeringsfarve2 3 6" xfId="2050" xr:uid="{00000000-0005-0000-0000-00007E150000}"/>
    <cellStyle name="20 % - Markeringsfarve2 3 6 2" xfId="2051" xr:uid="{00000000-0005-0000-0000-00007F150000}"/>
    <cellStyle name="20 % - Markeringsfarve2 3 6 2 2" xfId="2052" xr:uid="{00000000-0005-0000-0000-000080150000}"/>
    <cellStyle name="20 % - Markeringsfarve2 3 6 2 2 2" xfId="7862" xr:uid="{00000000-0005-0000-0000-000081150000}"/>
    <cellStyle name="20 % - Markeringsfarve2 3 6 2 2 2 2" xfId="15763" xr:uid="{00000000-0005-0000-0000-000082150000}"/>
    <cellStyle name="20 % - Markeringsfarve2 3 6 2 2 2 2 2" xfId="32077" xr:uid="{00000000-0005-0000-0000-000083150000}"/>
    <cellStyle name="20 % - Markeringsfarve2 3 6 2 2 2 2 3" xfId="47041" xr:uid="{00000000-0005-0000-0000-000084150000}"/>
    <cellStyle name="20 % - Markeringsfarve2 3 6 2 2 2 3" xfId="25055" xr:uid="{00000000-0005-0000-0000-000085150000}"/>
    <cellStyle name="20 % - Markeringsfarve2 3 6 2 2 2 4" xfId="40042" xr:uid="{00000000-0005-0000-0000-000086150000}"/>
    <cellStyle name="20 % - Markeringsfarve2 3 6 2 2 3" xfId="10609" xr:uid="{00000000-0005-0000-0000-000087150000}"/>
    <cellStyle name="20 % - Markeringsfarve2 3 6 2 2 3 2" xfId="26928" xr:uid="{00000000-0005-0000-0000-000088150000}"/>
    <cellStyle name="20 % - Markeringsfarve2 3 6 2 2 3 3" xfId="41894" xr:uid="{00000000-0005-0000-0000-000089150000}"/>
    <cellStyle name="20 % - Markeringsfarve2 3 6 2 2 4" xfId="19906" xr:uid="{00000000-0005-0000-0000-00008A150000}"/>
    <cellStyle name="20 % - Markeringsfarve2 3 6 2 2 5" xfId="34895" xr:uid="{00000000-0005-0000-0000-00008B150000}"/>
    <cellStyle name="20 % - Markeringsfarve2 3 6 2 3" xfId="6407" xr:uid="{00000000-0005-0000-0000-00008C150000}"/>
    <cellStyle name="20 % - Markeringsfarve2 3 6 2 3 2" xfId="14321" xr:uid="{00000000-0005-0000-0000-00008D150000}"/>
    <cellStyle name="20 % - Markeringsfarve2 3 6 2 3 2 2" xfId="30635" xr:uid="{00000000-0005-0000-0000-00008E150000}"/>
    <cellStyle name="20 % - Markeringsfarve2 3 6 2 3 2 3" xfId="45599" xr:uid="{00000000-0005-0000-0000-00008F150000}"/>
    <cellStyle name="20 % - Markeringsfarve2 3 6 2 3 3" xfId="23613" xr:uid="{00000000-0005-0000-0000-000090150000}"/>
    <cellStyle name="20 % - Markeringsfarve2 3 6 2 3 4" xfId="38600" xr:uid="{00000000-0005-0000-0000-000091150000}"/>
    <cellStyle name="20 % - Markeringsfarve2 3 6 2 4" xfId="10608" xr:uid="{00000000-0005-0000-0000-000092150000}"/>
    <cellStyle name="20 % - Markeringsfarve2 3 6 2 4 2" xfId="26927" xr:uid="{00000000-0005-0000-0000-000093150000}"/>
    <cellStyle name="20 % - Markeringsfarve2 3 6 2 4 3" xfId="41893" xr:uid="{00000000-0005-0000-0000-000094150000}"/>
    <cellStyle name="20 % - Markeringsfarve2 3 6 2 5" xfId="19905" xr:uid="{00000000-0005-0000-0000-000095150000}"/>
    <cellStyle name="20 % - Markeringsfarve2 3 6 2 6" xfId="34894" xr:uid="{00000000-0005-0000-0000-000096150000}"/>
    <cellStyle name="20 % - Markeringsfarve2 3 6 3" xfId="2053" xr:uid="{00000000-0005-0000-0000-000097150000}"/>
    <cellStyle name="20 % - Markeringsfarve2 3 6 3 2" xfId="7138" xr:uid="{00000000-0005-0000-0000-000098150000}"/>
    <cellStyle name="20 % - Markeringsfarve2 3 6 3 2 2" xfId="15048" xr:uid="{00000000-0005-0000-0000-000099150000}"/>
    <cellStyle name="20 % - Markeringsfarve2 3 6 3 2 2 2" xfId="31362" xr:uid="{00000000-0005-0000-0000-00009A150000}"/>
    <cellStyle name="20 % - Markeringsfarve2 3 6 3 2 2 3" xfId="46326" xr:uid="{00000000-0005-0000-0000-00009B150000}"/>
    <cellStyle name="20 % - Markeringsfarve2 3 6 3 2 3" xfId="24340" xr:uid="{00000000-0005-0000-0000-00009C150000}"/>
    <cellStyle name="20 % - Markeringsfarve2 3 6 3 2 4" xfId="39327" xr:uid="{00000000-0005-0000-0000-00009D150000}"/>
    <cellStyle name="20 % - Markeringsfarve2 3 6 3 3" xfId="10610" xr:uid="{00000000-0005-0000-0000-00009E150000}"/>
    <cellStyle name="20 % - Markeringsfarve2 3 6 3 3 2" xfId="26929" xr:uid="{00000000-0005-0000-0000-00009F150000}"/>
    <cellStyle name="20 % - Markeringsfarve2 3 6 3 3 3" xfId="41895" xr:uid="{00000000-0005-0000-0000-0000A0150000}"/>
    <cellStyle name="20 % - Markeringsfarve2 3 6 3 4" xfId="19907" xr:uid="{00000000-0005-0000-0000-0000A1150000}"/>
    <cellStyle name="20 % - Markeringsfarve2 3 6 3 5" xfId="34896" xr:uid="{00000000-0005-0000-0000-0000A2150000}"/>
    <cellStyle name="20 % - Markeringsfarve2 3 6 4" xfId="2054" xr:uid="{00000000-0005-0000-0000-0000A3150000}"/>
    <cellStyle name="20 % - Markeringsfarve2 3 6 4 2" xfId="8323" xr:uid="{00000000-0005-0000-0000-0000A4150000}"/>
    <cellStyle name="20 % - Markeringsfarve2 3 6 4 2 2" xfId="16217" xr:uid="{00000000-0005-0000-0000-0000A5150000}"/>
    <cellStyle name="20 % - Markeringsfarve2 3 6 4 2 2 2" xfId="32531" xr:uid="{00000000-0005-0000-0000-0000A6150000}"/>
    <cellStyle name="20 % - Markeringsfarve2 3 6 4 2 2 3" xfId="47495" xr:uid="{00000000-0005-0000-0000-0000A7150000}"/>
    <cellStyle name="20 % - Markeringsfarve2 3 6 4 2 3" xfId="25509" xr:uid="{00000000-0005-0000-0000-0000A8150000}"/>
    <cellStyle name="20 % - Markeringsfarve2 3 6 4 2 4" xfId="40496" xr:uid="{00000000-0005-0000-0000-0000A9150000}"/>
    <cellStyle name="20 % - Markeringsfarve2 3 6 4 3" xfId="10611" xr:uid="{00000000-0005-0000-0000-0000AA150000}"/>
    <cellStyle name="20 % - Markeringsfarve2 3 6 4 3 2" xfId="26930" xr:uid="{00000000-0005-0000-0000-0000AB150000}"/>
    <cellStyle name="20 % - Markeringsfarve2 3 6 4 3 3" xfId="41896" xr:uid="{00000000-0005-0000-0000-0000AC150000}"/>
    <cellStyle name="20 % - Markeringsfarve2 3 6 4 4" xfId="19908" xr:uid="{00000000-0005-0000-0000-0000AD150000}"/>
    <cellStyle name="20 % - Markeringsfarve2 3 6 4 5" xfId="34897" xr:uid="{00000000-0005-0000-0000-0000AE150000}"/>
    <cellStyle name="20 % - Markeringsfarve2 3 6 5" xfId="5500" xr:uid="{00000000-0005-0000-0000-0000AF150000}"/>
    <cellStyle name="20 % - Markeringsfarve2 3 6 5 2" xfId="13418" xr:uid="{00000000-0005-0000-0000-0000B0150000}"/>
    <cellStyle name="20 % - Markeringsfarve2 3 6 5 2 2" xfId="29732" xr:uid="{00000000-0005-0000-0000-0000B1150000}"/>
    <cellStyle name="20 % - Markeringsfarve2 3 6 5 2 3" xfId="44696" xr:uid="{00000000-0005-0000-0000-0000B2150000}"/>
    <cellStyle name="20 % - Markeringsfarve2 3 6 5 3" xfId="22710" xr:uid="{00000000-0005-0000-0000-0000B3150000}"/>
    <cellStyle name="20 % - Markeringsfarve2 3 6 5 4" xfId="37697" xr:uid="{00000000-0005-0000-0000-0000B4150000}"/>
    <cellStyle name="20 % - Markeringsfarve2 3 6 6" xfId="10607" xr:uid="{00000000-0005-0000-0000-0000B5150000}"/>
    <cellStyle name="20 % - Markeringsfarve2 3 6 6 2" xfId="26926" xr:uid="{00000000-0005-0000-0000-0000B6150000}"/>
    <cellStyle name="20 % - Markeringsfarve2 3 6 6 3" xfId="41892" xr:uid="{00000000-0005-0000-0000-0000B7150000}"/>
    <cellStyle name="20 % - Markeringsfarve2 3 6 7" xfId="19904" xr:uid="{00000000-0005-0000-0000-0000B8150000}"/>
    <cellStyle name="20 % - Markeringsfarve2 3 6 8" xfId="34893" xr:uid="{00000000-0005-0000-0000-0000B9150000}"/>
    <cellStyle name="20 % - Markeringsfarve2 3 7" xfId="2055" xr:uid="{00000000-0005-0000-0000-0000BA150000}"/>
    <cellStyle name="20 % - Markeringsfarve2 3 7 2" xfId="2056" xr:uid="{00000000-0005-0000-0000-0000BB150000}"/>
    <cellStyle name="20 % - Markeringsfarve2 3 7 2 2" xfId="2057" xr:uid="{00000000-0005-0000-0000-0000BC150000}"/>
    <cellStyle name="20 % - Markeringsfarve2 3 7 2 2 2" xfId="7979" xr:uid="{00000000-0005-0000-0000-0000BD150000}"/>
    <cellStyle name="20 % - Markeringsfarve2 3 7 2 2 2 2" xfId="15880" xr:uid="{00000000-0005-0000-0000-0000BE150000}"/>
    <cellStyle name="20 % - Markeringsfarve2 3 7 2 2 2 2 2" xfId="32194" xr:uid="{00000000-0005-0000-0000-0000BF150000}"/>
    <cellStyle name="20 % - Markeringsfarve2 3 7 2 2 2 2 3" xfId="47158" xr:uid="{00000000-0005-0000-0000-0000C0150000}"/>
    <cellStyle name="20 % - Markeringsfarve2 3 7 2 2 2 3" xfId="25172" xr:uid="{00000000-0005-0000-0000-0000C1150000}"/>
    <cellStyle name="20 % - Markeringsfarve2 3 7 2 2 2 4" xfId="40159" xr:uid="{00000000-0005-0000-0000-0000C2150000}"/>
    <cellStyle name="20 % - Markeringsfarve2 3 7 2 2 3" xfId="10614" xr:uid="{00000000-0005-0000-0000-0000C3150000}"/>
    <cellStyle name="20 % - Markeringsfarve2 3 7 2 2 3 2" xfId="26933" xr:uid="{00000000-0005-0000-0000-0000C4150000}"/>
    <cellStyle name="20 % - Markeringsfarve2 3 7 2 2 3 3" xfId="41899" xr:uid="{00000000-0005-0000-0000-0000C5150000}"/>
    <cellStyle name="20 % - Markeringsfarve2 3 7 2 2 4" xfId="19911" xr:uid="{00000000-0005-0000-0000-0000C6150000}"/>
    <cellStyle name="20 % - Markeringsfarve2 3 7 2 2 5" xfId="34900" xr:uid="{00000000-0005-0000-0000-0000C7150000}"/>
    <cellStyle name="20 % - Markeringsfarve2 3 7 2 3" xfId="6506" xr:uid="{00000000-0005-0000-0000-0000C8150000}"/>
    <cellStyle name="20 % - Markeringsfarve2 3 7 2 3 2" xfId="14420" xr:uid="{00000000-0005-0000-0000-0000C9150000}"/>
    <cellStyle name="20 % - Markeringsfarve2 3 7 2 3 2 2" xfId="30734" xr:uid="{00000000-0005-0000-0000-0000CA150000}"/>
    <cellStyle name="20 % - Markeringsfarve2 3 7 2 3 2 3" xfId="45698" xr:uid="{00000000-0005-0000-0000-0000CB150000}"/>
    <cellStyle name="20 % - Markeringsfarve2 3 7 2 3 3" xfId="23712" xr:uid="{00000000-0005-0000-0000-0000CC150000}"/>
    <cellStyle name="20 % - Markeringsfarve2 3 7 2 3 4" xfId="38699" xr:uid="{00000000-0005-0000-0000-0000CD150000}"/>
    <cellStyle name="20 % - Markeringsfarve2 3 7 2 4" xfId="10613" xr:uid="{00000000-0005-0000-0000-0000CE150000}"/>
    <cellStyle name="20 % - Markeringsfarve2 3 7 2 4 2" xfId="26932" xr:uid="{00000000-0005-0000-0000-0000CF150000}"/>
    <cellStyle name="20 % - Markeringsfarve2 3 7 2 4 3" xfId="41898" xr:uid="{00000000-0005-0000-0000-0000D0150000}"/>
    <cellStyle name="20 % - Markeringsfarve2 3 7 2 5" xfId="19910" xr:uid="{00000000-0005-0000-0000-0000D1150000}"/>
    <cellStyle name="20 % - Markeringsfarve2 3 7 2 6" xfId="34899" xr:uid="{00000000-0005-0000-0000-0000D2150000}"/>
    <cellStyle name="20 % - Markeringsfarve2 3 7 3" xfId="2058" xr:uid="{00000000-0005-0000-0000-0000D3150000}"/>
    <cellStyle name="20 % - Markeringsfarve2 3 7 3 2" xfId="7255" xr:uid="{00000000-0005-0000-0000-0000D4150000}"/>
    <cellStyle name="20 % - Markeringsfarve2 3 7 3 2 2" xfId="15165" xr:uid="{00000000-0005-0000-0000-0000D5150000}"/>
    <cellStyle name="20 % - Markeringsfarve2 3 7 3 2 2 2" xfId="31479" xr:uid="{00000000-0005-0000-0000-0000D6150000}"/>
    <cellStyle name="20 % - Markeringsfarve2 3 7 3 2 2 3" xfId="46443" xr:uid="{00000000-0005-0000-0000-0000D7150000}"/>
    <cellStyle name="20 % - Markeringsfarve2 3 7 3 2 3" xfId="24457" xr:uid="{00000000-0005-0000-0000-0000D8150000}"/>
    <cellStyle name="20 % - Markeringsfarve2 3 7 3 2 4" xfId="39444" xr:uid="{00000000-0005-0000-0000-0000D9150000}"/>
    <cellStyle name="20 % - Markeringsfarve2 3 7 3 3" xfId="10615" xr:uid="{00000000-0005-0000-0000-0000DA150000}"/>
    <cellStyle name="20 % - Markeringsfarve2 3 7 3 3 2" xfId="26934" xr:uid="{00000000-0005-0000-0000-0000DB150000}"/>
    <cellStyle name="20 % - Markeringsfarve2 3 7 3 3 3" xfId="41900" xr:uid="{00000000-0005-0000-0000-0000DC150000}"/>
    <cellStyle name="20 % - Markeringsfarve2 3 7 3 4" xfId="19912" xr:uid="{00000000-0005-0000-0000-0000DD150000}"/>
    <cellStyle name="20 % - Markeringsfarve2 3 7 3 5" xfId="34901" xr:uid="{00000000-0005-0000-0000-0000DE150000}"/>
    <cellStyle name="20 % - Markeringsfarve2 3 7 4" xfId="2059" xr:uid="{00000000-0005-0000-0000-0000DF150000}"/>
    <cellStyle name="20 % - Markeringsfarve2 3 7 4 2" xfId="7084" xr:uid="{00000000-0005-0000-0000-0000E0150000}"/>
    <cellStyle name="20 % - Markeringsfarve2 3 7 4 2 2" xfId="14995" xr:uid="{00000000-0005-0000-0000-0000E1150000}"/>
    <cellStyle name="20 % - Markeringsfarve2 3 7 4 2 2 2" xfId="31309" xr:uid="{00000000-0005-0000-0000-0000E2150000}"/>
    <cellStyle name="20 % - Markeringsfarve2 3 7 4 2 2 3" xfId="46273" xr:uid="{00000000-0005-0000-0000-0000E3150000}"/>
    <cellStyle name="20 % - Markeringsfarve2 3 7 4 2 3" xfId="24287" xr:uid="{00000000-0005-0000-0000-0000E4150000}"/>
    <cellStyle name="20 % - Markeringsfarve2 3 7 4 2 4" xfId="39274" xr:uid="{00000000-0005-0000-0000-0000E5150000}"/>
    <cellStyle name="20 % - Markeringsfarve2 3 7 4 3" xfId="10616" xr:uid="{00000000-0005-0000-0000-0000E6150000}"/>
    <cellStyle name="20 % - Markeringsfarve2 3 7 4 3 2" xfId="26935" xr:uid="{00000000-0005-0000-0000-0000E7150000}"/>
    <cellStyle name="20 % - Markeringsfarve2 3 7 4 3 3" xfId="41901" xr:uid="{00000000-0005-0000-0000-0000E8150000}"/>
    <cellStyle name="20 % - Markeringsfarve2 3 7 4 4" xfId="19913" xr:uid="{00000000-0005-0000-0000-0000E9150000}"/>
    <cellStyle name="20 % - Markeringsfarve2 3 7 4 5" xfId="34902" xr:uid="{00000000-0005-0000-0000-0000EA150000}"/>
    <cellStyle name="20 % - Markeringsfarve2 3 7 5" xfId="5501" xr:uid="{00000000-0005-0000-0000-0000EB150000}"/>
    <cellStyle name="20 % - Markeringsfarve2 3 7 5 2" xfId="13419" xr:uid="{00000000-0005-0000-0000-0000EC150000}"/>
    <cellStyle name="20 % - Markeringsfarve2 3 7 5 2 2" xfId="29733" xr:uid="{00000000-0005-0000-0000-0000ED150000}"/>
    <cellStyle name="20 % - Markeringsfarve2 3 7 5 2 3" xfId="44697" xr:uid="{00000000-0005-0000-0000-0000EE150000}"/>
    <cellStyle name="20 % - Markeringsfarve2 3 7 5 3" xfId="22711" xr:uid="{00000000-0005-0000-0000-0000EF150000}"/>
    <cellStyle name="20 % - Markeringsfarve2 3 7 5 4" xfId="37698" xr:uid="{00000000-0005-0000-0000-0000F0150000}"/>
    <cellStyle name="20 % - Markeringsfarve2 3 7 6" xfId="10612" xr:uid="{00000000-0005-0000-0000-0000F1150000}"/>
    <cellStyle name="20 % - Markeringsfarve2 3 7 6 2" xfId="26931" xr:uid="{00000000-0005-0000-0000-0000F2150000}"/>
    <cellStyle name="20 % - Markeringsfarve2 3 7 6 3" xfId="41897" xr:uid="{00000000-0005-0000-0000-0000F3150000}"/>
    <cellStyle name="20 % - Markeringsfarve2 3 7 7" xfId="19909" xr:uid="{00000000-0005-0000-0000-0000F4150000}"/>
    <cellStyle name="20 % - Markeringsfarve2 3 7 8" xfId="34898" xr:uid="{00000000-0005-0000-0000-0000F5150000}"/>
    <cellStyle name="20 % - Markeringsfarve2 3 8" xfId="2060" xr:uid="{00000000-0005-0000-0000-0000F6150000}"/>
    <cellStyle name="20 % - Markeringsfarve2 3 8 2" xfId="2061" xr:uid="{00000000-0005-0000-0000-0000F7150000}"/>
    <cellStyle name="20 % - Markeringsfarve2 3 8 2 2" xfId="2062" xr:uid="{00000000-0005-0000-0000-0000F8150000}"/>
    <cellStyle name="20 % - Markeringsfarve2 3 8 2 2 2" xfId="8093" xr:uid="{00000000-0005-0000-0000-0000F9150000}"/>
    <cellStyle name="20 % - Markeringsfarve2 3 8 2 2 2 2" xfId="15994" xr:uid="{00000000-0005-0000-0000-0000FA150000}"/>
    <cellStyle name="20 % - Markeringsfarve2 3 8 2 2 2 2 2" xfId="32308" xr:uid="{00000000-0005-0000-0000-0000FB150000}"/>
    <cellStyle name="20 % - Markeringsfarve2 3 8 2 2 2 2 3" xfId="47272" xr:uid="{00000000-0005-0000-0000-0000FC150000}"/>
    <cellStyle name="20 % - Markeringsfarve2 3 8 2 2 2 3" xfId="25286" xr:uid="{00000000-0005-0000-0000-0000FD150000}"/>
    <cellStyle name="20 % - Markeringsfarve2 3 8 2 2 2 4" xfId="40273" xr:uid="{00000000-0005-0000-0000-0000FE150000}"/>
    <cellStyle name="20 % - Markeringsfarve2 3 8 2 2 3" xfId="10619" xr:uid="{00000000-0005-0000-0000-0000FF150000}"/>
    <cellStyle name="20 % - Markeringsfarve2 3 8 2 2 3 2" xfId="26938" xr:uid="{00000000-0005-0000-0000-000000160000}"/>
    <cellStyle name="20 % - Markeringsfarve2 3 8 2 2 3 3" xfId="41904" xr:uid="{00000000-0005-0000-0000-000001160000}"/>
    <cellStyle name="20 % - Markeringsfarve2 3 8 2 2 4" xfId="19916" xr:uid="{00000000-0005-0000-0000-000002160000}"/>
    <cellStyle name="20 % - Markeringsfarve2 3 8 2 2 5" xfId="34905" xr:uid="{00000000-0005-0000-0000-000003160000}"/>
    <cellStyle name="20 % - Markeringsfarve2 3 8 2 3" xfId="6604" xr:uid="{00000000-0005-0000-0000-000004160000}"/>
    <cellStyle name="20 % - Markeringsfarve2 3 8 2 3 2" xfId="14518" xr:uid="{00000000-0005-0000-0000-000005160000}"/>
    <cellStyle name="20 % - Markeringsfarve2 3 8 2 3 2 2" xfId="30832" xr:uid="{00000000-0005-0000-0000-000006160000}"/>
    <cellStyle name="20 % - Markeringsfarve2 3 8 2 3 2 3" xfId="45796" xr:uid="{00000000-0005-0000-0000-000007160000}"/>
    <cellStyle name="20 % - Markeringsfarve2 3 8 2 3 3" xfId="23810" xr:uid="{00000000-0005-0000-0000-000008160000}"/>
    <cellStyle name="20 % - Markeringsfarve2 3 8 2 3 4" xfId="38797" xr:uid="{00000000-0005-0000-0000-000009160000}"/>
    <cellStyle name="20 % - Markeringsfarve2 3 8 2 4" xfId="10618" xr:uid="{00000000-0005-0000-0000-00000A160000}"/>
    <cellStyle name="20 % - Markeringsfarve2 3 8 2 4 2" xfId="26937" xr:uid="{00000000-0005-0000-0000-00000B160000}"/>
    <cellStyle name="20 % - Markeringsfarve2 3 8 2 4 3" xfId="41903" xr:uid="{00000000-0005-0000-0000-00000C160000}"/>
    <cellStyle name="20 % - Markeringsfarve2 3 8 2 5" xfId="19915" xr:uid="{00000000-0005-0000-0000-00000D160000}"/>
    <cellStyle name="20 % - Markeringsfarve2 3 8 2 6" xfId="34904" xr:uid="{00000000-0005-0000-0000-00000E160000}"/>
    <cellStyle name="20 % - Markeringsfarve2 3 8 3" xfId="2063" xr:uid="{00000000-0005-0000-0000-00000F160000}"/>
    <cellStyle name="20 % - Markeringsfarve2 3 8 3 2" xfId="7370" xr:uid="{00000000-0005-0000-0000-000010160000}"/>
    <cellStyle name="20 % - Markeringsfarve2 3 8 3 2 2" xfId="15280" xr:uid="{00000000-0005-0000-0000-000011160000}"/>
    <cellStyle name="20 % - Markeringsfarve2 3 8 3 2 2 2" xfId="31594" xr:uid="{00000000-0005-0000-0000-000012160000}"/>
    <cellStyle name="20 % - Markeringsfarve2 3 8 3 2 2 3" xfId="46558" xr:uid="{00000000-0005-0000-0000-000013160000}"/>
    <cellStyle name="20 % - Markeringsfarve2 3 8 3 2 3" xfId="24572" xr:uid="{00000000-0005-0000-0000-000014160000}"/>
    <cellStyle name="20 % - Markeringsfarve2 3 8 3 2 4" xfId="39559" xr:uid="{00000000-0005-0000-0000-000015160000}"/>
    <cellStyle name="20 % - Markeringsfarve2 3 8 3 3" xfId="10620" xr:uid="{00000000-0005-0000-0000-000016160000}"/>
    <cellStyle name="20 % - Markeringsfarve2 3 8 3 3 2" xfId="26939" xr:uid="{00000000-0005-0000-0000-000017160000}"/>
    <cellStyle name="20 % - Markeringsfarve2 3 8 3 3 3" xfId="41905" xr:uid="{00000000-0005-0000-0000-000018160000}"/>
    <cellStyle name="20 % - Markeringsfarve2 3 8 3 4" xfId="19917" xr:uid="{00000000-0005-0000-0000-000019160000}"/>
    <cellStyle name="20 % - Markeringsfarve2 3 8 3 5" xfId="34906" xr:uid="{00000000-0005-0000-0000-00001A160000}"/>
    <cellStyle name="20 % - Markeringsfarve2 3 8 4" xfId="2064" xr:uid="{00000000-0005-0000-0000-00001B160000}"/>
    <cellStyle name="20 % - Markeringsfarve2 3 8 4 2" xfId="7085" xr:uid="{00000000-0005-0000-0000-00001C160000}"/>
    <cellStyle name="20 % - Markeringsfarve2 3 8 4 2 2" xfId="14996" xr:uid="{00000000-0005-0000-0000-00001D160000}"/>
    <cellStyle name="20 % - Markeringsfarve2 3 8 4 2 2 2" xfId="31310" xr:uid="{00000000-0005-0000-0000-00001E160000}"/>
    <cellStyle name="20 % - Markeringsfarve2 3 8 4 2 2 3" xfId="46274" xr:uid="{00000000-0005-0000-0000-00001F160000}"/>
    <cellStyle name="20 % - Markeringsfarve2 3 8 4 2 3" xfId="24288" xr:uid="{00000000-0005-0000-0000-000020160000}"/>
    <cellStyle name="20 % - Markeringsfarve2 3 8 4 2 4" xfId="39275" xr:uid="{00000000-0005-0000-0000-000021160000}"/>
    <cellStyle name="20 % - Markeringsfarve2 3 8 4 3" xfId="10621" xr:uid="{00000000-0005-0000-0000-000022160000}"/>
    <cellStyle name="20 % - Markeringsfarve2 3 8 4 3 2" xfId="26940" xr:uid="{00000000-0005-0000-0000-000023160000}"/>
    <cellStyle name="20 % - Markeringsfarve2 3 8 4 3 3" xfId="41906" xr:uid="{00000000-0005-0000-0000-000024160000}"/>
    <cellStyle name="20 % - Markeringsfarve2 3 8 4 4" xfId="19918" xr:uid="{00000000-0005-0000-0000-000025160000}"/>
    <cellStyle name="20 % - Markeringsfarve2 3 8 4 5" xfId="34907" xr:uid="{00000000-0005-0000-0000-000026160000}"/>
    <cellStyle name="20 % - Markeringsfarve2 3 8 5" xfId="5502" xr:uid="{00000000-0005-0000-0000-000027160000}"/>
    <cellStyle name="20 % - Markeringsfarve2 3 8 5 2" xfId="13420" xr:uid="{00000000-0005-0000-0000-000028160000}"/>
    <cellStyle name="20 % - Markeringsfarve2 3 8 5 2 2" xfId="29734" xr:uid="{00000000-0005-0000-0000-000029160000}"/>
    <cellStyle name="20 % - Markeringsfarve2 3 8 5 2 3" xfId="44698" xr:uid="{00000000-0005-0000-0000-00002A160000}"/>
    <cellStyle name="20 % - Markeringsfarve2 3 8 5 3" xfId="22712" xr:uid="{00000000-0005-0000-0000-00002B160000}"/>
    <cellStyle name="20 % - Markeringsfarve2 3 8 5 4" xfId="37699" xr:uid="{00000000-0005-0000-0000-00002C160000}"/>
    <cellStyle name="20 % - Markeringsfarve2 3 8 6" xfId="10617" xr:uid="{00000000-0005-0000-0000-00002D160000}"/>
    <cellStyle name="20 % - Markeringsfarve2 3 8 6 2" xfId="26936" xr:uid="{00000000-0005-0000-0000-00002E160000}"/>
    <cellStyle name="20 % - Markeringsfarve2 3 8 6 3" xfId="41902" xr:uid="{00000000-0005-0000-0000-00002F160000}"/>
    <cellStyle name="20 % - Markeringsfarve2 3 8 7" xfId="19914" xr:uid="{00000000-0005-0000-0000-000030160000}"/>
    <cellStyle name="20 % - Markeringsfarve2 3 8 8" xfId="34903" xr:uid="{00000000-0005-0000-0000-000031160000}"/>
    <cellStyle name="20 % - Markeringsfarve2 3 9" xfId="2065" xr:uid="{00000000-0005-0000-0000-000032160000}"/>
    <cellStyle name="20 % - Markeringsfarve2 3 9 2" xfId="2066" xr:uid="{00000000-0005-0000-0000-000033160000}"/>
    <cellStyle name="20 % - Markeringsfarve2 3 9 2 2" xfId="7505" xr:uid="{00000000-0005-0000-0000-000034160000}"/>
    <cellStyle name="20 % - Markeringsfarve2 3 9 2 2 2" xfId="15406" xr:uid="{00000000-0005-0000-0000-000035160000}"/>
    <cellStyle name="20 % - Markeringsfarve2 3 9 2 2 2 2" xfId="31720" xr:uid="{00000000-0005-0000-0000-000036160000}"/>
    <cellStyle name="20 % - Markeringsfarve2 3 9 2 2 2 3" xfId="46684" xr:uid="{00000000-0005-0000-0000-000037160000}"/>
    <cellStyle name="20 % - Markeringsfarve2 3 9 2 2 3" xfId="24698" xr:uid="{00000000-0005-0000-0000-000038160000}"/>
    <cellStyle name="20 % - Markeringsfarve2 3 9 2 2 4" xfId="39685" xr:uid="{00000000-0005-0000-0000-000039160000}"/>
    <cellStyle name="20 % - Markeringsfarve2 3 9 2 3" xfId="10623" xr:uid="{00000000-0005-0000-0000-00003A160000}"/>
    <cellStyle name="20 % - Markeringsfarve2 3 9 2 3 2" xfId="26942" xr:uid="{00000000-0005-0000-0000-00003B160000}"/>
    <cellStyle name="20 % - Markeringsfarve2 3 9 2 3 3" xfId="41908" xr:uid="{00000000-0005-0000-0000-00003C160000}"/>
    <cellStyle name="20 % - Markeringsfarve2 3 9 2 4" xfId="19920" xr:uid="{00000000-0005-0000-0000-00003D160000}"/>
    <cellStyle name="20 % - Markeringsfarve2 3 9 2 5" xfId="34909" xr:uid="{00000000-0005-0000-0000-00003E160000}"/>
    <cellStyle name="20 % - Markeringsfarve2 3 9 3" xfId="6106" xr:uid="{00000000-0005-0000-0000-00003F160000}"/>
    <cellStyle name="20 % - Markeringsfarve2 3 9 3 2" xfId="14023" xr:uid="{00000000-0005-0000-0000-000040160000}"/>
    <cellStyle name="20 % - Markeringsfarve2 3 9 3 2 2" xfId="30337" xr:uid="{00000000-0005-0000-0000-000041160000}"/>
    <cellStyle name="20 % - Markeringsfarve2 3 9 3 2 3" xfId="45301" xr:uid="{00000000-0005-0000-0000-000042160000}"/>
    <cellStyle name="20 % - Markeringsfarve2 3 9 3 3" xfId="23315" xr:uid="{00000000-0005-0000-0000-000043160000}"/>
    <cellStyle name="20 % - Markeringsfarve2 3 9 3 4" xfId="38302" xr:uid="{00000000-0005-0000-0000-000044160000}"/>
    <cellStyle name="20 % - Markeringsfarve2 3 9 4" xfId="10622" xr:uid="{00000000-0005-0000-0000-000045160000}"/>
    <cellStyle name="20 % - Markeringsfarve2 3 9 4 2" xfId="26941" xr:uid="{00000000-0005-0000-0000-000046160000}"/>
    <cellStyle name="20 % - Markeringsfarve2 3 9 4 3" xfId="41907" xr:uid="{00000000-0005-0000-0000-000047160000}"/>
    <cellStyle name="20 % - Markeringsfarve2 3 9 5" xfId="19919" xr:uid="{00000000-0005-0000-0000-000048160000}"/>
    <cellStyle name="20 % - Markeringsfarve2 3 9 6" xfId="34908" xr:uid="{00000000-0005-0000-0000-000049160000}"/>
    <cellStyle name="20 % - Markeringsfarve2 4" xfId="2067" xr:uid="{00000000-0005-0000-0000-00004A160000}"/>
    <cellStyle name="20 % - Markeringsfarve2 4 10" xfId="5503" xr:uid="{00000000-0005-0000-0000-00004B160000}"/>
    <cellStyle name="20 % - Markeringsfarve2 4 10 2" xfId="13421" xr:uid="{00000000-0005-0000-0000-00004C160000}"/>
    <cellStyle name="20 % - Markeringsfarve2 4 10 2 2" xfId="29735" xr:uid="{00000000-0005-0000-0000-00004D160000}"/>
    <cellStyle name="20 % - Markeringsfarve2 4 10 2 3" xfId="44699" xr:uid="{00000000-0005-0000-0000-00004E160000}"/>
    <cellStyle name="20 % - Markeringsfarve2 4 10 3" xfId="22713" xr:uid="{00000000-0005-0000-0000-00004F160000}"/>
    <cellStyle name="20 % - Markeringsfarve2 4 10 4" xfId="37700" xr:uid="{00000000-0005-0000-0000-000050160000}"/>
    <cellStyle name="20 % - Markeringsfarve2 4 11" xfId="10624" xr:uid="{00000000-0005-0000-0000-000051160000}"/>
    <cellStyle name="20 % - Markeringsfarve2 4 11 2" xfId="26943" xr:uid="{00000000-0005-0000-0000-000052160000}"/>
    <cellStyle name="20 % - Markeringsfarve2 4 11 3" xfId="41909" xr:uid="{00000000-0005-0000-0000-000053160000}"/>
    <cellStyle name="20 % - Markeringsfarve2 4 12" xfId="19921" xr:uid="{00000000-0005-0000-0000-000054160000}"/>
    <cellStyle name="20 % - Markeringsfarve2 4 13" xfId="34910" xr:uid="{00000000-0005-0000-0000-000055160000}"/>
    <cellStyle name="20 % - Markeringsfarve2 4 14" xfId="53372" xr:uid="{00000000-0005-0000-0000-000056160000}"/>
    <cellStyle name="20 % - Markeringsfarve2 4 2" xfId="2068" xr:uid="{00000000-0005-0000-0000-000057160000}"/>
    <cellStyle name="20 % - Markeringsfarve2 4 2 2" xfId="2069" xr:uid="{00000000-0005-0000-0000-000058160000}"/>
    <cellStyle name="20 % - Markeringsfarve2 4 2 2 2" xfId="2070" xr:uid="{00000000-0005-0000-0000-000059160000}"/>
    <cellStyle name="20 % - Markeringsfarve2 4 2 2 2 2" xfId="7649" xr:uid="{00000000-0005-0000-0000-00005A160000}"/>
    <cellStyle name="20 % - Markeringsfarve2 4 2 2 2 2 2" xfId="15550" xr:uid="{00000000-0005-0000-0000-00005B160000}"/>
    <cellStyle name="20 % - Markeringsfarve2 4 2 2 2 2 2 2" xfId="31864" xr:uid="{00000000-0005-0000-0000-00005C160000}"/>
    <cellStyle name="20 % - Markeringsfarve2 4 2 2 2 2 2 3" xfId="46828" xr:uid="{00000000-0005-0000-0000-00005D160000}"/>
    <cellStyle name="20 % - Markeringsfarve2 4 2 2 2 2 3" xfId="24842" xr:uid="{00000000-0005-0000-0000-00005E160000}"/>
    <cellStyle name="20 % - Markeringsfarve2 4 2 2 2 2 4" xfId="39829" xr:uid="{00000000-0005-0000-0000-00005F160000}"/>
    <cellStyle name="20 % - Markeringsfarve2 4 2 2 2 3" xfId="10627" xr:uid="{00000000-0005-0000-0000-000060160000}"/>
    <cellStyle name="20 % - Markeringsfarve2 4 2 2 2 3 2" xfId="26946" xr:uid="{00000000-0005-0000-0000-000061160000}"/>
    <cellStyle name="20 % - Markeringsfarve2 4 2 2 2 3 3" xfId="41912" xr:uid="{00000000-0005-0000-0000-000062160000}"/>
    <cellStyle name="20 % - Markeringsfarve2 4 2 2 2 4" xfId="19924" xr:uid="{00000000-0005-0000-0000-000063160000}"/>
    <cellStyle name="20 % - Markeringsfarve2 4 2 2 2 5" xfId="34913" xr:uid="{00000000-0005-0000-0000-000064160000}"/>
    <cellStyle name="20 % - Markeringsfarve2 4 2 2 3" xfId="6226" xr:uid="{00000000-0005-0000-0000-000065160000}"/>
    <cellStyle name="20 % - Markeringsfarve2 4 2 2 3 2" xfId="14143" xr:uid="{00000000-0005-0000-0000-000066160000}"/>
    <cellStyle name="20 % - Markeringsfarve2 4 2 2 3 2 2" xfId="30457" xr:uid="{00000000-0005-0000-0000-000067160000}"/>
    <cellStyle name="20 % - Markeringsfarve2 4 2 2 3 2 3" xfId="45421" xr:uid="{00000000-0005-0000-0000-000068160000}"/>
    <cellStyle name="20 % - Markeringsfarve2 4 2 2 3 3" xfId="23435" xr:uid="{00000000-0005-0000-0000-000069160000}"/>
    <cellStyle name="20 % - Markeringsfarve2 4 2 2 3 4" xfId="38422" xr:uid="{00000000-0005-0000-0000-00006A160000}"/>
    <cellStyle name="20 % - Markeringsfarve2 4 2 2 4" xfId="10626" xr:uid="{00000000-0005-0000-0000-00006B160000}"/>
    <cellStyle name="20 % - Markeringsfarve2 4 2 2 4 2" xfId="26945" xr:uid="{00000000-0005-0000-0000-00006C160000}"/>
    <cellStyle name="20 % - Markeringsfarve2 4 2 2 4 3" xfId="41911" xr:uid="{00000000-0005-0000-0000-00006D160000}"/>
    <cellStyle name="20 % - Markeringsfarve2 4 2 2 5" xfId="19923" xr:uid="{00000000-0005-0000-0000-00006E160000}"/>
    <cellStyle name="20 % - Markeringsfarve2 4 2 2 6" xfId="34912" xr:uid="{00000000-0005-0000-0000-00006F160000}"/>
    <cellStyle name="20 % - Markeringsfarve2 4 2 2 7" xfId="57176" xr:uid="{00000000-0005-0000-0000-000070160000}"/>
    <cellStyle name="20 % - Markeringsfarve2 4 2 3" xfId="2071" xr:uid="{00000000-0005-0000-0000-000071160000}"/>
    <cellStyle name="20 % - Markeringsfarve2 4 2 3 2" xfId="6879" xr:uid="{00000000-0005-0000-0000-000072160000}"/>
    <cellStyle name="20 % - Markeringsfarve2 4 2 3 2 2" xfId="14790" xr:uid="{00000000-0005-0000-0000-000073160000}"/>
    <cellStyle name="20 % - Markeringsfarve2 4 2 3 2 2 2" xfId="31104" xr:uid="{00000000-0005-0000-0000-000074160000}"/>
    <cellStyle name="20 % - Markeringsfarve2 4 2 3 2 2 3" xfId="46068" xr:uid="{00000000-0005-0000-0000-000075160000}"/>
    <cellStyle name="20 % - Markeringsfarve2 4 2 3 2 3" xfId="24082" xr:uid="{00000000-0005-0000-0000-000076160000}"/>
    <cellStyle name="20 % - Markeringsfarve2 4 2 3 2 4" xfId="39069" xr:uid="{00000000-0005-0000-0000-000077160000}"/>
    <cellStyle name="20 % - Markeringsfarve2 4 2 3 3" xfId="10628" xr:uid="{00000000-0005-0000-0000-000078160000}"/>
    <cellStyle name="20 % - Markeringsfarve2 4 2 3 3 2" xfId="26947" xr:uid="{00000000-0005-0000-0000-000079160000}"/>
    <cellStyle name="20 % - Markeringsfarve2 4 2 3 3 3" xfId="41913" xr:uid="{00000000-0005-0000-0000-00007A160000}"/>
    <cellStyle name="20 % - Markeringsfarve2 4 2 3 4" xfId="19925" xr:uid="{00000000-0005-0000-0000-00007B160000}"/>
    <cellStyle name="20 % - Markeringsfarve2 4 2 3 5" xfId="34914" xr:uid="{00000000-0005-0000-0000-00007C160000}"/>
    <cellStyle name="20 % - Markeringsfarve2 4 2 4" xfId="2072" xr:uid="{00000000-0005-0000-0000-00007D160000}"/>
    <cellStyle name="20 % - Markeringsfarve2 4 2 4 2" xfId="8512" xr:uid="{00000000-0005-0000-0000-00007E160000}"/>
    <cellStyle name="20 % - Markeringsfarve2 4 2 4 2 2" xfId="16401" xr:uid="{00000000-0005-0000-0000-00007F160000}"/>
    <cellStyle name="20 % - Markeringsfarve2 4 2 4 2 2 2" xfId="32715" xr:uid="{00000000-0005-0000-0000-000080160000}"/>
    <cellStyle name="20 % - Markeringsfarve2 4 2 4 2 2 3" xfId="47679" xr:uid="{00000000-0005-0000-0000-000081160000}"/>
    <cellStyle name="20 % - Markeringsfarve2 4 2 4 2 3" xfId="25693" xr:uid="{00000000-0005-0000-0000-000082160000}"/>
    <cellStyle name="20 % - Markeringsfarve2 4 2 4 2 4" xfId="40680" xr:uid="{00000000-0005-0000-0000-000083160000}"/>
    <cellStyle name="20 % - Markeringsfarve2 4 2 4 3" xfId="10629" xr:uid="{00000000-0005-0000-0000-000084160000}"/>
    <cellStyle name="20 % - Markeringsfarve2 4 2 4 3 2" xfId="26948" xr:uid="{00000000-0005-0000-0000-000085160000}"/>
    <cellStyle name="20 % - Markeringsfarve2 4 2 4 3 3" xfId="41914" xr:uid="{00000000-0005-0000-0000-000086160000}"/>
    <cellStyle name="20 % - Markeringsfarve2 4 2 4 4" xfId="19926" xr:uid="{00000000-0005-0000-0000-000087160000}"/>
    <cellStyle name="20 % - Markeringsfarve2 4 2 4 5" xfId="34915" xr:uid="{00000000-0005-0000-0000-000088160000}"/>
    <cellStyle name="20 % - Markeringsfarve2 4 2 5" xfId="5504" xr:uid="{00000000-0005-0000-0000-000089160000}"/>
    <cellStyle name="20 % - Markeringsfarve2 4 2 5 2" xfId="13422" xr:uid="{00000000-0005-0000-0000-00008A160000}"/>
    <cellStyle name="20 % - Markeringsfarve2 4 2 5 2 2" xfId="29736" xr:uid="{00000000-0005-0000-0000-00008B160000}"/>
    <cellStyle name="20 % - Markeringsfarve2 4 2 5 2 3" xfId="44700" xr:uid="{00000000-0005-0000-0000-00008C160000}"/>
    <cellStyle name="20 % - Markeringsfarve2 4 2 5 3" xfId="22714" xr:uid="{00000000-0005-0000-0000-00008D160000}"/>
    <cellStyle name="20 % - Markeringsfarve2 4 2 5 4" xfId="37701" xr:uid="{00000000-0005-0000-0000-00008E160000}"/>
    <cellStyle name="20 % - Markeringsfarve2 4 2 6" xfId="10625" xr:uid="{00000000-0005-0000-0000-00008F160000}"/>
    <cellStyle name="20 % - Markeringsfarve2 4 2 6 2" xfId="26944" xr:uid="{00000000-0005-0000-0000-000090160000}"/>
    <cellStyle name="20 % - Markeringsfarve2 4 2 6 3" xfId="41910" xr:uid="{00000000-0005-0000-0000-000091160000}"/>
    <cellStyle name="20 % - Markeringsfarve2 4 2 7" xfId="19922" xr:uid="{00000000-0005-0000-0000-000092160000}"/>
    <cellStyle name="20 % - Markeringsfarve2 4 2 8" xfId="34911" xr:uid="{00000000-0005-0000-0000-000093160000}"/>
    <cellStyle name="20 % - Markeringsfarve2 4 2 9" xfId="54009" xr:uid="{00000000-0005-0000-0000-000094160000}"/>
    <cellStyle name="20 % - Markeringsfarve2 4 3" xfId="2073" xr:uid="{00000000-0005-0000-0000-000095160000}"/>
    <cellStyle name="20 % - Markeringsfarve2 4 3 2" xfId="2074" xr:uid="{00000000-0005-0000-0000-000096160000}"/>
    <cellStyle name="20 % - Markeringsfarve2 4 3 2 2" xfId="2075" xr:uid="{00000000-0005-0000-0000-000097160000}"/>
    <cellStyle name="20 % - Markeringsfarve2 4 3 2 2 2" xfId="7741" xr:uid="{00000000-0005-0000-0000-000098160000}"/>
    <cellStyle name="20 % - Markeringsfarve2 4 3 2 2 2 2" xfId="15642" xr:uid="{00000000-0005-0000-0000-000099160000}"/>
    <cellStyle name="20 % - Markeringsfarve2 4 3 2 2 2 2 2" xfId="31956" xr:uid="{00000000-0005-0000-0000-00009A160000}"/>
    <cellStyle name="20 % - Markeringsfarve2 4 3 2 2 2 2 3" xfId="46920" xr:uid="{00000000-0005-0000-0000-00009B160000}"/>
    <cellStyle name="20 % - Markeringsfarve2 4 3 2 2 2 3" xfId="24934" xr:uid="{00000000-0005-0000-0000-00009C160000}"/>
    <cellStyle name="20 % - Markeringsfarve2 4 3 2 2 2 4" xfId="39921" xr:uid="{00000000-0005-0000-0000-00009D160000}"/>
    <cellStyle name="20 % - Markeringsfarve2 4 3 2 2 3" xfId="10632" xr:uid="{00000000-0005-0000-0000-00009E160000}"/>
    <cellStyle name="20 % - Markeringsfarve2 4 3 2 2 3 2" xfId="26951" xr:uid="{00000000-0005-0000-0000-00009F160000}"/>
    <cellStyle name="20 % - Markeringsfarve2 4 3 2 2 3 3" xfId="41917" xr:uid="{00000000-0005-0000-0000-0000A0160000}"/>
    <cellStyle name="20 % - Markeringsfarve2 4 3 2 2 4" xfId="19929" xr:uid="{00000000-0005-0000-0000-0000A1160000}"/>
    <cellStyle name="20 % - Markeringsfarve2 4 3 2 2 5" xfId="34918" xr:uid="{00000000-0005-0000-0000-0000A2160000}"/>
    <cellStyle name="20 % - Markeringsfarve2 4 3 2 3" xfId="6305" xr:uid="{00000000-0005-0000-0000-0000A3160000}"/>
    <cellStyle name="20 % - Markeringsfarve2 4 3 2 3 2" xfId="14222" xr:uid="{00000000-0005-0000-0000-0000A4160000}"/>
    <cellStyle name="20 % - Markeringsfarve2 4 3 2 3 2 2" xfId="30536" xr:uid="{00000000-0005-0000-0000-0000A5160000}"/>
    <cellStyle name="20 % - Markeringsfarve2 4 3 2 3 2 3" xfId="45500" xr:uid="{00000000-0005-0000-0000-0000A6160000}"/>
    <cellStyle name="20 % - Markeringsfarve2 4 3 2 3 3" xfId="23514" xr:uid="{00000000-0005-0000-0000-0000A7160000}"/>
    <cellStyle name="20 % - Markeringsfarve2 4 3 2 3 4" xfId="38501" xr:uid="{00000000-0005-0000-0000-0000A8160000}"/>
    <cellStyle name="20 % - Markeringsfarve2 4 3 2 4" xfId="10631" xr:uid="{00000000-0005-0000-0000-0000A9160000}"/>
    <cellStyle name="20 % - Markeringsfarve2 4 3 2 4 2" xfId="26950" xr:uid="{00000000-0005-0000-0000-0000AA160000}"/>
    <cellStyle name="20 % - Markeringsfarve2 4 3 2 4 3" xfId="41916" xr:uid="{00000000-0005-0000-0000-0000AB160000}"/>
    <cellStyle name="20 % - Markeringsfarve2 4 3 2 5" xfId="19928" xr:uid="{00000000-0005-0000-0000-0000AC160000}"/>
    <cellStyle name="20 % - Markeringsfarve2 4 3 2 6" xfId="34917" xr:uid="{00000000-0005-0000-0000-0000AD160000}"/>
    <cellStyle name="20 % - Markeringsfarve2 4 3 3" xfId="2076" xr:uid="{00000000-0005-0000-0000-0000AE160000}"/>
    <cellStyle name="20 % - Markeringsfarve2 4 3 3 2" xfId="6971" xr:uid="{00000000-0005-0000-0000-0000AF160000}"/>
    <cellStyle name="20 % - Markeringsfarve2 4 3 3 2 2" xfId="14882" xr:uid="{00000000-0005-0000-0000-0000B0160000}"/>
    <cellStyle name="20 % - Markeringsfarve2 4 3 3 2 2 2" xfId="31196" xr:uid="{00000000-0005-0000-0000-0000B1160000}"/>
    <cellStyle name="20 % - Markeringsfarve2 4 3 3 2 2 3" xfId="46160" xr:uid="{00000000-0005-0000-0000-0000B2160000}"/>
    <cellStyle name="20 % - Markeringsfarve2 4 3 3 2 3" xfId="24174" xr:uid="{00000000-0005-0000-0000-0000B3160000}"/>
    <cellStyle name="20 % - Markeringsfarve2 4 3 3 2 4" xfId="39161" xr:uid="{00000000-0005-0000-0000-0000B4160000}"/>
    <cellStyle name="20 % - Markeringsfarve2 4 3 3 3" xfId="10633" xr:uid="{00000000-0005-0000-0000-0000B5160000}"/>
    <cellStyle name="20 % - Markeringsfarve2 4 3 3 3 2" xfId="26952" xr:uid="{00000000-0005-0000-0000-0000B6160000}"/>
    <cellStyle name="20 % - Markeringsfarve2 4 3 3 3 3" xfId="41918" xr:uid="{00000000-0005-0000-0000-0000B7160000}"/>
    <cellStyle name="20 % - Markeringsfarve2 4 3 3 4" xfId="19930" xr:uid="{00000000-0005-0000-0000-0000B8160000}"/>
    <cellStyle name="20 % - Markeringsfarve2 4 3 3 5" xfId="34919" xr:uid="{00000000-0005-0000-0000-0000B9160000}"/>
    <cellStyle name="20 % - Markeringsfarve2 4 3 4" xfId="2077" xr:uid="{00000000-0005-0000-0000-0000BA160000}"/>
    <cellStyle name="20 % - Markeringsfarve2 4 3 4 2" xfId="8571" xr:uid="{00000000-0005-0000-0000-0000BB160000}"/>
    <cellStyle name="20 % - Markeringsfarve2 4 3 4 2 2" xfId="16458" xr:uid="{00000000-0005-0000-0000-0000BC160000}"/>
    <cellStyle name="20 % - Markeringsfarve2 4 3 4 2 2 2" xfId="32772" xr:uid="{00000000-0005-0000-0000-0000BD160000}"/>
    <cellStyle name="20 % - Markeringsfarve2 4 3 4 2 2 3" xfId="47736" xr:uid="{00000000-0005-0000-0000-0000BE160000}"/>
    <cellStyle name="20 % - Markeringsfarve2 4 3 4 2 3" xfId="25750" xr:uid="{00000000-0005-0000-0000-0000BF160000}"/>
    <cellStyle name="20 % - Markeringsfarve2 4 3 4 2 4" xfId="40737" xr:uid="{00000000-0005-0000-0000-0000C0160000}"/>
    <cellStyle name="20 % - Markeringsfarve2 4 3 4 3" xfId="10634" xr:uid="{00000000-0005-0000-0000-0000C1160000}"/>
    <cellStyle name="20 % - Markeringsfarve2 4 3 4 3 2" xfId="26953" xr:uid="{00000000-0005-0000-0000-0000C2160000}"/>
    <cellStyle name="20 % - Markeringsfarve2 4 3 4 3 3" xfId="41919" xr:uid="{00000000-0005-0000-0000-0000C3160000}"/>
    <cellStyle name="20 % - Markeringsfarve2 4 3 4 4" xfId="19931" xr:uid="{00000000-0005-0000-0000-0000C4160000}"/>
    <cellStyle name="20 % - Markeringsfarve2 4 3 4 5" xfId="34920" xr:uid="{00000000-0005-0000-0000-0000C5160000}"/>
    <cellStyle name="20 % - Markeringsfarve2 4 3 5" xfId="5505" xr:uid="{00000000-0005-0000-0000-0000C6160000}"/>
    <cellStyle name="20 % - Markeringsfarve2 4 3 5 2" xfId="13423" xr:uid="{00000000-0005-0000-0000-0000C7160000}"/>
    <cellStyle name="20 % - Markeringsfarve2 4 3 5 2 2" xfId="29737" xr:uid="{00000000-0005-0000-0000-0000C8160000}"/>
    <cellStyle name="20 % - Markeringsfarve2 4 3 5 2 3" xfId="44701" xr:uid="{00000000-0005-0000-0000-0000C9160000}"/>
    <cellStyle name="20 % - Markeringsfarve2 4 3 5 3" xfId="22715" xr:uid="{00000000-0005-0000-0000-0000CA160000}"/>
    <cellStyle name="20 % - Markeringsfarve2 4 3 5 4" xfId="37702" xr:uid="{00000000-0005-0000-0000-0000CB160000}"/>
    <cellStyle name="20 % - Markeringsfarve2 4 3 6" xfId="10630" xr:uid="{00000000-0005-0000-0000-0000CC160000}"/>
    <cellStyle name="20 % - Markeringsfarve2 4 3 6 2" xfId="26949" xr:uid="{00000000-0005-0000-0000-0000CD160000}"/>
    <cellStyle name="20 % - Markeringsfarve2 4 3 6 3" xfId="41915" xr:uid="{00000000-0005-0000-0000-0000CE160000}"/>
    <cellStyle name="20 % - Markeringsfarve2 4 3 7" xfId="19927" xr:uid="{00000000-0005-0000-0000-0000CF160000}"/>
    <cellStyle name="20 % - Markeringsfarve2 4 3 8" xfId="34916" xr:uid="{00000000-0005-0000-0000-0000D0160000}"/>
    <cellStyle name="20 % - Markeringsfarve2 4 3 9" xfId="56553" xr:uid="{00000000-0005-0000-0000-0000D1160000}"/>
    <cellStyle name="20 % - Markeringsfarve2 4 4" xfId="2078" xr:uid="{00000000-0005-0000-0000-0000D2160000}"/>
    <cellStyle name="20 % - Markeringsfarve2 4 4 2" xfId="2079" xr:uid="{00000000-0005-0000-0000-0000D3160000}"/>
    <cellStyle name="20 % - Markeringsfarve2 4 4 2 2" xfId="2080" xr:uid="{00000000-0005-0000-0000-0000D4160000}"/>
    <cellStyle name="20 % - Markeringsfarve2 4 4 2 2 2" xfId="7887" xr:uid="{00000000-0005-0000-0000-0000D5160000}"/>
    <cellStyle name="20 % - Markeringsfarve2 4 4 2 2 2 2" xfId="15788" xr:uid="{00000000-0005-0000-0000-0000D6160000}"/>
    <cellStyle name="20 % - Markeringsfarve2 4 4 2 2 2 2 2" xfId="32102" xr:uid="{00000000-0005-0000-0000-0000D7160000}"/>
    <cellStyle name="20 % - Markeringsfarve2 4 4 2 2 2 2 3" xfId="47066" xr:uid="{00000000-0005-0000-0000-0000D8160000}"/>
    <cellStyle name="20 % - Markeringsfarve2 4 4 2 2 2 3" xfId="25080" xr:uid="{00000000-0005-0000-0000-0000D9160000}"/>
    <cellStyle name="20 % - Markeringsfarve2 4 4 2 2 2 4" xfId="40067" xr:uid="{00000000-0005-0000-0000-0000DA160000}"/>
    <cellStyle name="20 % - Markeringsfarve2 4 4 2 2 3" xfId="10637" xr:uid="{00000000-0005-0000-0000-0000DB160000}"/>
    <cellStyle name="20 % - Markeringsfarve2 4 4 2 2 3 2" xfId="26956" xr:uid="{00000000-0005-0000-0000-0000DC160000}"/>
    <cellStyle name="20 % - Markeringsfarve2 4 4 2 2 3 3" xfId="41922" xr:uid="{00000000-0005-0000-0000-0000DD160000}"/>
    <cellStyle name="20 % - Markeringsfarve2 4 4 2 2 4" xfId="19934" xr:uid="{00000000-0005-0000-0000-0000DE160000}"/>
    <cellStyle name="20 % - Markeringsfarve2 4 4 2 2 5" xfId="34923" xr:uid="{00000000-0005-0000-0000-0000DF160000}"/>
    <cellStyle name="20 % - Markeringsfarve2 4 4 2 3" xfId="6428" xr:uid="{00000000-0005-0000-0000-0000E0160000}"/>
    <cellStyle name="20 % - Markeringsfarve2 4 4 2 3 2" xfId="14342" xr:uid="{00000000-0005-0000-0000-0000E1160000}"/>
    <cellStyle name="20 % - Markeringsfarve2 4 4 2 3 2 2" xfId="30656" xr:uid="{00000000-0005-0000-0000-0000E2160000}"/>
    <cellStyle name="20 % - Markeringsfarve2 4 4 2 3 2 3" xfId="45620" xr:uid="{00000000-0005-0000-0000-0000E3160000}"/>
    <cellStyle name="20 % - Markeringsfarve2 4 4 2 3 3" xfId="23634" xr:uid="{00000000-0005-0000-0000-0000E4160000}"/>
    <cellStyle name="20 % - Markeringsfarve2 4 4 2 3 4" xfId="38621" xr:uid="{00000000-0005-0000-0000-0000E5160000}"/>
    <cellStyle name="20 % - Markeringsfarve2 4 4 2 4" xfId="10636" xr:uid="{00000000-0005-0000-0000-0000E6160000}"/>
    <cellStyle name="20 % - Markeringsfarve2 4 4 2 4 2" xfId="26955" xr:uid="{00000000-0005-0000-0000-0000E7160000}"/>
    <cellStyle name="20 % - Markeringsfarve2 4 4 2 4 3" xfId="41921" xr:uid="{00000000-0005-0000-0000-0000E8160000}"/>
    <cellStyle name="20 % - Markeringsfarve2 4 4 2 5" xfId="19933" xr:uid="{00000000-0005-0000-0000-0000E9160000}"/>
    <cellStyle name="20 % - Markeringsfarve2 4 4 2 6" xfId="34922" xr:uid="{00000000-0005-0000-0000-0000EA160000}"/>
    <cellStyle name="20 % - Markeringsfarve2 4 4 3" xfId="2081" xr:uid="{00000000-0005-0000-0000-0000EB160000}"/>
    <cellStyle name="20 % - Markeringsfarve2 4 4 3 2" xfId="7163" xr:uid="{00000000-0005-0000-0000-0000EC160000}"/>
    <cellStyle name="20 % - Markeringsfarve2 4 4 3 2 2" xfId="15073" xr:uid="{00000000-0005-0000-0000-0000ED160000}"/>
    <cellStyle name="20 % - Markeringsfarve2 4 4 3 2 2 2" xfId="31387" xr:uid="{00000000-0005-0000-0000-0000EE160000}"/>
    <cellStyle name="20 % - Markeringsfarve2 4 4 3 2 2 3" xfId="46351" xr:uid="{00000000-0005-0000-0000-0000EF160000}"/>
    <cellStyle name="20 % - Markeringsfarve2 4 4 3 2 3" xfId="24365" xr:uid="{00000000-0005-0000-0000-0000F0160000}"/>
    <cellStyle name="20 % - Markeringsfarve2 4 4 3 2 4" xfId="39352" xr:uid="{00000000-0005-0000-0000-0000F1160000}"/>
    <cellStyle name="20 % - Markeringsfarve2 4 4 3 3" xfId="10638" xr:uid="{00000000-0005-0000-0000-0000F2160000}"/>
    <cellStyle name="20 % - Markeringsfarve2 4 4 3 3 2" xfId="26957" xr:uid="{00000000-0005-0000-0000-0000F3160000}"/>
    <cellStyle name="20 % - Markeringsfarve2 4 4 3 3 3" xfId="41923" xr:uid="{00000000-0005-0000-0000-0000F4160000}"/>
    <cellStyle name="20 % - Markeringsfarve2 4 4 3 4" xfId="19935" xr:uid="{00000000-0005-0000-0000-0000F5160000}"/>
    <cellStyle name="20 % - Markeringsfarve2 4 4 3 5" xfId="34924" xr:uid="{00000000-0005-0000-0000-0000F6160000}"/>
    <cellStyle name="20 % - Markeringsfarve2 4 4 4" xfId="2082" xr:uid="{00000000-0005-0000-0000-0000F7160000}"/>
    <cellStyle name="20 % - Markeringsfarve2 4 4 4 2" xfId="8658" xr:uid="{00000000-0005-0000-0000-0000F8160000}"/>
    <cellStyle name="20 % - Markeringsfarve2 4 4 4 2 2" xfId="16541" xr:uid="{00000000-0005-0000-0000-0000F9160000}"/>
    <cellStyle name="20 % - Markeringsfarve2 4 4 4 2 2 2" xfId="32855" xr:uid="{00000000-0005-0000-0000-0000FA160000}"/>
    <cellStyle name="20 % - Markeringsfarve2 4 4 4 2 2 3" xfId="47819" xr:uid="{00000000-0005-0000-0000-0000FB160000}"/>
    <cellStyle name="20 % - Markeringsfarve2 4 4 4 2 3" xfId="25833" xr:uid="{00000000-0005-0000-0000-0000FC160000}"/>
    <cellStyle name="20 % - Markeringsfarve2 4 4 4 2 4" xfId="40820" xr:uid="{00000000-0005-0000-0000-0000FD160000}"/>
    <cellStyle name="20 % - Markeringsfarve2 4 4 4 3" xfId="10639" xr:uid="{00000000-0005-0000-0000-0000FE160000}"/>
    <cellStyle name="20 % - Markeringsfarve2 4 4 4 3 2" xfId="26958" xr:uid="{00000000-0005-0000-0000-0000FF160000}"/>
    <cellStyle name="20 % - Markeringsfarve2 4 4 4 3 3" xfId="41924" xr:uid="{00000000-0005-0000-0000-000000170000}"/>
    <cellStyle name="20 % - Markeringsfarve2 4 4 4 4" xfId="19936" xr:uid="{00000000-0005-0000-0000-000001170000}"/>
    <cellStyle name="20 % - Markeringsfarve2 4 4 4 5" xfId="34925" xr:uid="{00000000-0005-0000-0000-000002170000}"/>
    <cellStyle name="20 % - Markeringsfarve2 4 4 5" xfId="5506" xr:uid="{00000000-0005-0000-0000-000003170000}"/>
    <cellStyle name="20 % - Markeringsfarve2 4 4 5 2" xfId="13424" xr:uid="{00000000-0005-0000-0000-000004170000}"/>
    <cellStyle name="20 % - Markeringsfarve2 4 4 5 2 2" xfId="29738" xr:uid="{00000000-0005-0000-0000-000005170000}"/>
    <cellStyle name="20 % - Markeringsfarve2 4 4 5 2 3" xfId="44702" xr:uid="{00000000-0005-0000-0000-000006170000}"/>
    <cellStyle name="20 % - Markeringsfarve2 4 4 5 3" xfId="22716" xr:uid="{00000000-0005-0000-0000-000007170000}"/>
    <cellStyle name="20 % - Markeringsfarve2 4 4 5 4" xfId="37703" xr:uid="{00000000-0005-0000-0000-000008170000}"/>
    <cellStyle name="20 % - Markeringsfarve2 4 4 6" xfId="10635" xr:uid="{00000000-0005-0000-0000-000009170000}"/>
    <cellStyle name="20 % - Markeringsfarve2 4 4 6 2" xfId="26954" xr:uid="{00000000-0005-0000-0000-00000A170000}"/>
    <cellStyle name="20 % - Markeringsfarve2 4 4 6 3" xfId="41920" xr:uid="{00000000-0005-0000-0000-00000B170000}"/>
    <cellStyle name="20 % - Markeringsfarve2 4 4 7" xfId="19932" xr:uid="{00000000-0005-0000-0000-00000C170000}"/>
    <cellStyle name="20 % - Markeringsfarve2 4 4 8" xfId="34921" xr:uid="{00000000-0005-0000-0000-00000D170000}"/>
    <cellStyle name="20 % - Markeringsfarve2 4 5" xfId="2083" xr:uid="{00000000-0005-0000-0000-00000E170000}"/>
    <cellStyle name="20 % - Markeringsfarve2 4 5 2" xfId="2084" xr:uid="{00000000-0005-0000-0000-00000F170000}"/>
    <cellStyle name="20 % - Markeringsfarve2 4 5 2 2" xfId="2085" xr:uid="{00000000-0005-0000-0000-000010170000}"/>
    <cellStyle name="20 % - Markeringsfarve2 4 5 2 2 2" xfId="8004" xr:uid="{00000000-0005-0000-0000-000011170000}"/>
    <cellStyle name="20 % - Markeringsfarve2 4 5 2 2 2 2" xfId="15905" xr:uid="{00000000-0005-0000-0000-000012170000}"/>
    <cellStyle name="20 % - Markeringsfarve2 4 5 2 2 2 2 2" xfId="32219" xr:uid="{00000000-0005-0000-0000-000013170000}"/>
    <cellStyle name="20 % - Markeringsfarve2 4 5 2 2 2 2 3" xfId="47183" xr:uid="{00000000-0005-0000-0000-000014170000}"/>
    <cellStyle name="20 % - Markeringsfarve2 4 5 2 2 2 3" xfId="25197" xr:uid="{00000000-0005-0000-0000-000015170000}"/>
    <cellStyle name="20 % - Markeringsfarve2 4 5 2 2 2 4" xfId="40184" xr:uid="{00000000-0005-0000-0000-000016170000}"/>
    <cellStyle name="20 % - Markeringsfarve2 4 5 2 2 3" xfId="10642" xr:uid="{00000000-0005-0000-0000-000017170000}"/>
    <cellStyle name="20 % - Markeringsfarve2 4 5 2 2 3 2" xfId="26961" xr:uid="{00000000-0005-0000-0000-000018170000}"/>
    <cellStyle name="20 % - Markeringsfarve2 4 5 2 2 3 3" xfId="41927" xr:uid="{00000000-0005-0000-0000-000019170000}"/>
    <cellStyle name="20 % - Markeringsfarve2 4 5 2 2 4" xfId="19939" xr:uid="{00000000-0005-0000-0000-00001A170000}"/>
    <cellStyle name="20 % - Markeringsfarve2 4 5 2 2 5" xfId="34928" xr:uid="{00000000-0005-0000-0000-00001B170000}"/>
    <cellStyle name="20 % - Markeringsfarve2 4 5 2 3" xfId="6527" xr:uid="{00000000-0005-0000-0000-00001C170000}"/>
    <cellStyle name="20 % - Markeringsfarve2 4 5 2 3 2" xfId="14441" xr:uid="{00000000-0005-0000-0000-00001D170000}"/>
    <cellStyle name="20 % - Markeringsfarve2 4 5 2 3 2 2" xfId="30755" xr:uid="{00000000-0005-0000-0000-00001E170000}"/>
    <cellStyle name="20 % - Markeringsfarve2 4 5 2 3 2 3" xfId="45719" xr:uid="{00000000-0005-0000-0000-00001F170000}"/>
    <cellStyle name="20 % - Markeringsfarve2 4 5 2 3 3" xfId="23733" xr:uid="{00000000-0005-0000-0000-000020170000}"/>
    <cellStyle name="20 % - Markeringsfarve2 4 5 2 3 4" xfId="38720" xr:uid="{00000000-0005-0000-0000-000021170000}"/>
    <cellStyle name="20 % - Markeringsfarve2 4 5 2 4" xfId="10641" xr:uid="{00000000-0005-0000-0000-000022170000}"/>
    <cellStyle name="20 % - Markeringsfarve2 4 5 2 4 2" xfId="26960" xr:uid="{00000000-0005-0000-0000-000023170000}"/>
    <cellStyle name="20 % - Markeringsfarve2 4 5 2 4 3" xfId="41926" xr:uid="{00000000-0005-0000-0000-000024170000}"/>
    <cellStyle name="20 % - Markeringsfarve2 4 5 2 5" xfId="19938" xr:uid="{00000000-0005-0000-0000-000025170000}"/>
    <cellStyle name="20 % - Markeringsfarve2 4 5 2 6" xfId="34927" xr:uid="{00000000-0005-0000-0000-000026170000}"/>
    <cellStyle name="20 % - Markeringsfarve2 4 5 3" xfId="2086" xr:uid="{00000000-0005-0000-0000-000027170000}"/>
    <cellStyle name="20 % - Markeringsfarve2 4 5 3 2" xfId="7280" xr:uid="{00000000-0005-0000-0000-000028170000}"/>
    <cellStyle name="20 % - Markeringsfarve2 4 5 3 2 2" xfId="15190" xr:uid="{00000000-0005-0000-0000-000029170000}"/>
    <cellStyle name="20 % - Markeringsfarve2 4 5 3 2 2 2" xfId="31504" xr:uid="{00000000-0005-0000-0000-00002A170000}"/>
    <cellStyle name="20 % - Markeringsfarve2 4 5 3 2 2 3" xfId="46468" xr:uid="{00000000-0005-0000-0000-00002B170000}"/>
    <cellStyle name="20 % - Markeringsfarve2 4 5 3 2 3" xfId="24482" xr:uid="{00000000-0005-0000-0000-00002C170000}"/>
    <cellStyle name="20 % - Markeringsfarve2 4 5 3 2 4" xfId="39469" xr:uid="{00000000-0005-0000-0000-00002D170000}"/>
    <cellStyle name="20 % - Markeringsfarve2 4 5 3 3" xfId="10643" xr:uid="{00000000-0005-0000-0000-00002E170000}"/>
    <cellStyle name="20 % - Markeringsfarve2 4 5 3 3 2" xfId="26962" xr:uid="{00000000-0005-0000-0000-00002F170000}"/>
    <cellStyle name="20 % - Markeringsfarve2 4 5 3 3 3" xfId="41928" xr:uid="{00000000-0005-0000-0000-000030170000}"/>
    <cellStyle name="20 % - Markeringsfarve2 4 5 3 4" xfId="19940" xr:uid="{00000000-0005-0000-0000-000031170000}"/>
    <cellStyle name="20 % - Markeringsfarve2 4 5 3 5" xfId="34929" xr:uid="{00000000-0005-0000-0000-000032170000}"/>
    <cellStyle name="20 % - Markeringsfarve2 4 5 4" xfId="2087" xr:uid="{00000000-0005-0000-0000-000033170000}"/>
    <cellStyle name="20 % - Markeringsfarve2 4 5 4 2" xfId="8322" xr:uid="{00000000-0005-0000-0000-000034170000}"/>
    <cellStyle name="20 % - Markeringsfarve2 4 5 4 2 2" xfId="16216" xr:uid="{00000000-0005-0000-0000-000035170000}"/>
    <cellStyle name="20 % - Markeringsfarve2 4 5 4 2 2 2" xfId="32530" xr:uid="{00000000-0005-0000-0000-000036170000}"/>
    <cellStyle name="20 % - Markeringsfarve2 4 5 4 2 2 3" xfId="47494" xr:uid="{00000000-0005-0000-0000-000037170000}"/>
    <cellStyle name="20 % - Markeringsfarve2 4 5 4 2 3" xfId="25508" xr:uid="{00000000-0005-0000-0000-000038170000}"/>
    <cellStyle name="20 % - Markeringsfarve2 4 5 4 2 4" xfId="40495" xr:uid="{00000000-0005-0000-0000-000039170000}"/>
    <cellStyle name="20 % - Markeringsfarve2 4 5 4 3" xfId="10644" xr:uid="{00000000-0005-0000-0000-00003A170000}"/>
    <cellStyle name="20 % - Markeringsfarve2 4 5 4 3 2" xfId="26963" xr:uid="{00000000-0005-0000-0000-00003B170000}"/>
    <cellStyle name="20 % - Markeringsfarve2 4 5 4 3 3" xfId="41929" xr:uid="{00000000-0005-0000-0000-00003C170000}"/>
    <cellStyle name="20 % - Markeringsfarve2 4 5 4 4" xfId="19941" xr:uid="{00000000-0005-0000-0000-00003D170000}"/>
    <cellStyle name="20 % - Markeringsfarve2 4 5 4 5" xfId="34930" xr:uid="{00000000-0005-0000-0000-00003E170000}"/>
    <cellStyle name="20 % - Markeringsfarve2 4 5 5" xfId="5507" xr:uid="{00000000-0005-0000-0000-00003F170000}"/>
    <cellStyle name="20 % - Markeringsfarve2 4 5 5 2" xfId="13425" xr:uid="{00000000-0005-0000-0000-000040170000}"/>
    <cellStyle name="20 % - Markeringsfarve2 4 5 5 2 2" xfId="29739" xr:uid="{00000000-0005-0000-0000-000041170000}"/>
    <cellStyle name="20 % - Markeringsfarve2 4 5 5 2 3" xfId="44703" xr:uid="{00000000-0005-0000-0000-000042170000}"/>
    <cellStyle name="20 % - Markeringsfarve2 4 5 5 3" xfId="22717" xr:uid="{00000000-0005-0000-0000-000043170000}"/>
    <cellStyle name="20 % - Markeringsfarve2 4 5 5 4" xfId="37704" xr:uid="{00000000-0005-0000-0000-000044170000}"/>
    <cellStyle name="20 % - Markeringsfarve2 4 5 6" xfId="10640" xr:uid="{00000000-0005-0000-0000-000045170000}"/>
    <cellStyle name="20 % - Markeringsfarve2 4 5 6 2" xfId="26959" xr:uid="{00000000-0005-0000-0000-000046170000}"/>
    <cellStyle name="20 % - Markeringsfarve2 4 5 6 3" xfId="41925" xr:uid="{00000000-0005-0000-0000-000047170000}"/>
    <cellStyle name="20 % - Markeringsfarve2 4 5 7" xfId="19937" xr:uid="{00000000-0005-0000-0000-000048170000}"/>
    <cellStyle name="20 % - Markeringsfarve2 4 5 8" xfId="34926" xr:uid="{00000000-0005-0000-0000-000049170000}"/>
    <cellStyle name="20 % - Markeringsfarve2 4 6" xfId="2088" xr:uid="{00000000-0005-0000-0000-00004A170000}"/>
    <cellStyle name="20 % - Markeringsfarve2 4 6 2" xfId="2089" xr:uid="{00000000-0005-0000-0000-00004B170000}"/>
    <cellStyle name="20 % - Markeringsfarve2 4 6 2 2" xfId="2090" xr:uid="{00000000-0005-0000-0000-00004C170000}"/>
    <cellStyle name="20 % - Markeringsfarve2 4 6 2 2 2" xfId="8096" xr:uid="{00000000-0005-0000-0000-00004D170000}"/>
    <cellStyle name="20 % - Markeringsfarve2 4 6 2 2 2 2" xfId="15997" xr:uid="{00000000-0005-0000-0000-00004E170000}"/>
    <cellStyle name="20 % - Markeringsfarve2 4 6 2 2 2 2 2" xfId="32311" xr:uid="{00000000-0005-0000-0000-00004F170000}"/>
    <cellStyle name="20 % - Markeringsfarve2 4 6 2 2 2 2 3" xfId="47275" xr:uid="{00000000-0005-0000-0000-000050170000}"/>
    <cellStyle name="20 % - Markeringsfarve2 4 6 2 2 2 3" xfId="25289" xr:uid="{00000000-0005-0000-0000-000051170000}"/>
    <cellStyle name="20 % - Markeringsfarve2 4 6 2 2 2 4" xfId="40276" xr:uid="{00000000-0005-0000-0000-000052170000}"/>
    <cellStyle name="20 % - Markeringsfarve2 4 6 2 2 3" xfId="10647" xr:uid="{00000000-0005-0000-0000-000053170000}"/>
    <cellStyle name="20 % - Markeringsfarve2 4 6 2 2 3 2" xfId="26966" xr:uid="{00000000-0005-0000-0000-000054170000}"/>
    <cellStyle name="20 % - Markeringsfarve2 4 6 2 2 3 3" xfId="41932" xr:uid="{00000000-0005-0000-0000-000055170000}"/>
    <cellStyle name="20 % - Markeringsfarve2 4 6 2 2 4" xfId="19944" xr:uid="{00000000-0005-0000-0000-000056170000}"/>
    <cellStyle name="20 % - Markeringsfarve2 4 6 2 2 5" xfId="34933" xr:uid="{00000000-0005-0000-0000-000057170000}"/>
    <cellStyle name="20 % - Markeringsfarve2 4 6 2 3" xfId="6607" xr:uid="{00000000-0005-0000-0000-000058170000}"/>
    <cellStyle name="20 % - Markeringsfarve2 4 6 2 3 2" xfId="14521" xr:uid="{00000000-0005-0000-0000-000059170000}"/>
    <cellStyle name="20 % - Markeringsfarve2 4 6 2 3 2 2" xfId="30835" xr:uid="{00000000-0005-0000-0000-00005A170000}"/>
    <cellStyle name="20 % - Markeringsfarve2 4 6 2 3 2 3" xfId="45799" xr:uid="{00000000-0005-0000-0000-00005B170000}"/>
    <cellStyle name="20 % - Markeringsfarve2 4 6 2 3 3" xfId="23813" xr:uid="{00000000-0005-0000-0000-00005C170000}"/>
    <cellStyle name="20 % - Markeringsfarve2 4 6 2 3 4" xfId="38800" xr:uid="{00000000-0005-0000-0000-00005D170000}"/>
    <cellStyle name="20 % - Markeringsfarve2 4 6 2 4" xfId="10646" xr:uid="{00000000-0005-0000-0000-00005E170000}"/>
    <cellStyle name="20 % - Markeringsfarve2 4 6 2 4 2" xfId="26965" xr:uid="{00000000-0005-0000-0000-00005F170000}"/>
    <cellStyle name="20 % - Markeringsfarve2 4 6 2 4 3" xfId="41931" xr:uid="{00000000-0005-0000-0000-000060170000}"/>
    <cellStyle name="20 % - Markeringsfarve2 4 6 2 5" xfId="19943" xr:uid="{00000000-0005-0000-0000-000061170000}"/>
    <cellStyle name="20 % - Markeringsfarve2 4 6 2 6" xfId="34932" xr:uid="{00000000-0005-0000-0000-000062170000}"/>
    <cellStyle name="20 % - Markeringsfarve2 4 6 3" xfId="2091" xr:uid="{00000000-0005-0000-0000-000063170000}"/>
    <cellStyle name="20 % - Markeringsfarve2 4 6 3 2" xfId="7373" xr:uid="{00000000-0005-0000-0000-000064170000}"/>
    <cellStyle name="20 % - Markeringsfarve2 4 6 3 2 2" xfId="15283" xr:uid="{00000000-0005-0000-0000-000065170000}"/>
    <cellStyle name="20 % - Markeringsfarve2 4 6 3 2 2 2" xfId="31597" xr:uid="{00000000-0005-0000-0000-000066170000}"/>
    <cellStyle name="20 % - Markeringsfarve2 4 6 3 2 2 3" xfId="46561" xr:uid="{00000000-0005-0000-0000-000067170000}"/>
    <cellStyle name="20 % - Markeringsfarve2 4 6 3 2 3" xfId="24575" xr:uid="{00000000-0005-0000-0000-000068170000}"/>
    <cellStyle name="20 % - Markeringsfarve2 4 6 3 2 4" xfId="39562" xr:uid="{00000000-0005-0000-0000-000069170000}"/>
    <cellStyle name="20 % - Markeringsfarve2 4 6 3 3" xfId="10648" xr:uid="{00000000-0005-0000-0000-00006A170000}"/>
    <cellStyle name="20 % - Markeringsfarve2 4 6 3 3 2" xfId="26967" xr:uid="{00000000-0005-0000-0000-00006B170000}"/>
    <cellStyle name="20 % - Markeringsfarve2 4 6 3 3 3" xfId="41933" xr:uid="{00000000-0005-0000-0000-00006C170000}"/>
    <cellStyle name="20 % - Markeringsfarve2 4 6 3 4" xfId="19945" xr:uid="{00000000-0005-0000-0000-00006D170000}"/>
    <cellStyle name="20 % - Markeringsfarve2 4 6 3 5" xfId="34934" xr:uid="{00000000-0005-0000-0000-00006E170000}"/>
    <cellStyle name="20 % - Markeringsfarve2 4 6 4" xfId="2092" xr:uid="{00000000-0005-0000-0000-00006F170000}"/>
    <cellStyle name="20 % - Markeringsfarve2 4 6 4 2" xfId="8220" xr:uid="{00000000-0005-0000-0000-000070170000}"/>
    <cellStyle name="20 % - Markeringsfarve2 4 6 4 2 2" xfId="16117" xr:uid="{00000000-0005-0000-0000-000071170000}"/>
    <cellStyle name="20 % - Markeringsfarve2 4 6 4 2 2 2" xfId="32431" xr:uid="{00000000-0005-0000-0000-000072170000}"/>
    <cellStyle name="20 % - Markeringsfarve2 4 6 4 2 2 3" xfId="47395" xr:uid="{00000000-0005-0000-0000-000073170000}"/>
    <cellStyle name="20 % - Markeringsfarve2 4 6 4 2 3" xfId="25409" xr:uid="{00000000-0005-0000-0000-000074170000}"/>
    <cellStyle name="20 % - Markeringsfarve2 4 6 4 2 4" xfId="40396" xr:uid="{00000000-0005-0000-0000-000075170000}"/>
    <cellStyle name="20 % - Markeringsfarve2 4 6 4 3" xfId="10649" xr:uid="{00000000-0005-0000-0000-000076170000}"/>
    <cellStyle name="20 % - Markeringsfarve2 4 6 4 3 2" xfId="26968" xr:uid="{00000000-0005-0000-0000-000077170000}"/>
    <cellStyle name="20 % - Markeringsfarve2 4 6 4 3 3" xfId="41934" xr:uid="{00000000-0005-0000-0000-000078170000}"/>
    <cellStyle name="20 % - Markeringsfarve2 4 6 4 4" xfId="19946" xr:uid="{00000000-0005-0000-0000-000079170000}"/>
    <cellStyle name="20 % - Markeringsfarve2 4 6 4 5" xfId="34935" xr:uid="{00000000-0005-0000-0000-00007A170000}"/>
    <cellStyle name="20 % - Markeringsfarve2 4 6 5" xfId="5508" xr:uid="{00000000-0005-0000-0000-00007B170000}"/>
    <cellStyle name="20 % - Markeringsfarve2 4 6 5 2" xfId="13426" xr:uid="{00000000-0005-0000-0000-00007C170000}"/>
    <cellStyle name="20 % - Markeringsfarve2 4 6 5 2 2" xfId="29740" xr:uid="{00000000-0005-0000-0000-00007D170000}"/>
    <cellStyle name="20 % - Markeringsfarve2 4 6 5 2 3" xfId="44704" xr:uid="{00000000-0005-0000-0000-00007E170000}"/>
    <cellStyle name="20 % - Markeringsfarve2 4 6 5 3" xfId="22718" xr:uid="{00000000-0005-0000-0000-00007F170000}"/>
    <cellStyle name="20 % - Markeringsfarve2 4 6 5 4" xfId="37705" xr:uid="{00000000-0005-0000-0000-000080170000}"/>
    <cellStyle name="20 % - Markeringsfarve2 4 6 6" xfId="10645" xr:uid="{00000000-0005-0000-0000-000081170000}"/>
    <cellStyle name="20 % - Markeringsfarve2 4 6 6 2" xfId="26964" xr:uid="{00000000-0005-0000-0000-000082170000}"/>
    <cellStyle name="20 % - Markeringsfarve2 4 6 6 3" xfId="41930" xr:uid="{00000000-0005-0000-0000-000083170000}"/>
    <cellStyle name="20 % - Markeringsfarve2 4 6 7" xfId="19942" xr:uid="{00000000-0005-0000-0000-000084170000}"/>
    <cellStyle name="20 % - Markeringsfarve2 4 6 8" xfId="34931" xr:uid="{00000000-0005-0000-0000-000085170000}"/>
    <cellStyle name="20 % - Markeringsfarve2 4 7" xfId="2093" xr:uid="{00000000-0005-0000-0000-000086170000}"/>
    <cellStyle name="20 % - Markeringsfarve2 4 7 2" xfId="2094" xr:uid="{00000000-0005-0000-0000-000087170000}"/>
    <cellStyle name="20 % - Markeringsfarve2 4 7 2 2" xfId="7530" xr:uid="{00000000-0005-0000-0000-000088170000}"/>
    <cellStyle name="20 % - Markeringsfarve2 4 7 2 2 2" xfId="15431" xr:uid="{00000000-0005-0000-0000-000089170000}"/>
    <cellStyle name="20 % - Markeringsfarve2 4 7 2 2 2 2" xfId="31745" xr:uid="{00000000-0005-0000-0000-00008A170000}"/>
    <cellStyle name="20 % - Markeringsfarve2 4 7 2 2 2 3" xfId="46709" xr:uid="{00000000-0005-0000-0000-00008B170000}"/>
    <cellStyle name="20 % - Markeringsfarve2 4 7 2 2 3" xfId="24723" xr:uid="{00000000-0005-0000-0000-00008C170000}"/>
    <cellStyle name="20 % - Markeringsfarve2 4 7 2 2 4" xfId="39710" xr:uid="{00000000-0005-0000-0000-00008D170000}"/>
    <cellStyle name="20 % - Markeringsfarve2 4 7 2 3" xfId="10651" xr:uid="{00000000-0005-0000-0000-00008E170000}"/>
    <cellStyle name="20 % - Markeringsfarve2 4 7 2 3 2" xfId="26970" xr:uid="{00000000-0005-0000-0000-00008F170000}"/>
    <cellStyle name="20 % - Markeringsfarve2 4 7 2 3 3" xfId="41936" xr:uid="{00000000-0005-0000-0000-000090170000}"/>
    <cellStyle name="20 % - Markeringsfarve2 4 7 2 4" xfId="19948" xr:uid="{00000000-0005-0000-0000-000091170000}"/>
    <cellStyle name="20 % - Markeringsfarve2 4 7 2 5" xfId="34937" xr:uid="{00000000-0005-0000-0000-000092170000}"/>
    <cellStyle name="20 % - Markeringsfarve2 4 7 3" xfId="6127" xr:uid="{00000000-0005-0000-0000-000093170000}"/>
    <cellStyle name="20 % - Markeringsfarve2 4 7 3 2" xfId="14044" xr:uid="{00000000-0005-0000-0000-000094170000}"/>
    <cellStyle name="20 % - Markeringsfarve2 4 7 3 2 2" xfId="30358" xr:uid="{00000000-0005-0000-0000-000095170000}"/>
    <cellStyle name="20 % - Markeringsfarve2 4 7 3 2 3" xfId="45322" xr:uid="{00000000-0005-0000-0000-000096170000}"/>
    <cellStyle name="20 % - Markeringsfarve2 4 7 3 3" xfId="23336" xr:uid="{00000000-0005-0000-0000-000097170000}"/>
    <cellStyle name="20 % - Markeringsfarve2 4 7 3 4" xfId="38323" xr:uid="{00000000-0005-0000-0000-000098170000}"/>
    <cellStyle name="20 % - Markeringsfarve2 4 7 4" xfId="10650" xr:uid="{00000000-0005-0000-0000-000099170000}"/>
    <cellStyle name="20 % - Markeringsfarve2 4 7 4 2" xfId="26969" xr:uid="{00000000-0005-0000-0000-00009A170000}"/>
    <cellStyle name="20 % - Markeringsfarve2 4 7 4 3" xfId="41935" xr:uid="{00000000-0005-0000-0000-00009B170000}"/>
    <cellStyle name="20 % - Markeringsfarve2 4 7 5" xfId="19947" xr:uid="{00000000-0005-0000-0000-00009C170000}"/>
    <cellStyle name="20 % - Markeringsfarve2 4 7 6" xfId="34936" xr:uid="{00000000-0005-0000-0000-00009D170000}"/>
    <cellStyle name="20 % - Markeringsfarve2 4 8" xfId="2095" xr:uid="{00000000-0005-0000-0000-00009E170000}"/>
    <cellStyle name="20 % - Markeringsfarve2 4 8 2" xfId="6758" xr:uid="{00000000-0005-0000-0000-00009F170000}"/>
    <cellStyle name="20 % - Markeringsfarve2 4 8 2 2" xfId="14669" xr:uid="{00000000-0005-0000-0000-0000A0170000}"/>
    <cellStyle name="20 % - Markeringsfarve2 4 8 2 2 2" xfId="30983" xr:uid="{00000000-0005-0000-0000-0000A1170000}"/>
    <cellStyle name="20 % - Markeringsfarve2 4 8 2 2 3" xfId="45947" xr:uid="{00000000-0005-0000-0000-0000A2170000}"/>
    <cellStyle name="20 % - Markeringsfarve2 4 8 2 3" xfId="23961" xr:uid="{00000000-0005-0000-0000-0000A3170000}"/>
    <cellStyle name="20 % - Markeringsfarve2 4 8 2 4" xfId="38948" xr:uid="{00000000-0005-0000-0000-0000A4170000}"/>
    <cellStyle name="20 % - Markeringsfarve2 4 8 3" xfId="10652" xr:uid="{00000000-0005-0000-0000-0000A5170000}"/>
    <cellStyle name="20 % - Markeringsfarve2 4 8 3 2" xfId="26971" xr:uid="{00000000-0005-0000-0000-0000A6170000}"/>
    <cellStyle name="20 % - Markeringsfarve2 4 8 3 3" xfId="41937" xr:uid="{00000000-0005-0000-0000-0000A7170000}"/>
    <cellStyle name="20 % - Markeringsfarve2 4 8 4" xfId="19949" xr:uid="{00000000-0005-0000-0000-0000A8170000}"/>
    <cellStyle name="20 % - Markeringsfarve2 4 8 5" xfId="34938" xr:uid="{00000000-0005-0000-0000-0000A9170000}"/>
    <cellStyle name="20 % - Markeringsfarve2 4 9" xfId="2096" xr:uid="{00000000-0005-0000-0000-0000AA170000}"/>
    <cellStyle name="20 % - Markeringsfarve2 4 9 2" xfId="8792" xr:uid="{00000000-0005-0000-0000-0000AB170000}"/>
    <cellStyle name="20 % - Markeringsfarve2 4 9 2 2" xfId="16668" xr:uid="{00000000-0005-0000-0000-0000AC170000}"/>
    <cellStyle name="20 % - Markeringsfarve2 4 9 2 2 2" xfId="32982" xr:uid="{00000000-0005-0000-0000-0000AD170000}"/>
    <cellStyle name="20 % - Markeringsfarve2 4 9 2 2 3" xfId="47946" xr:uid="{00000000-0005-0000-0000-0000AE170000}"/>
    <cellStyle name="20 % - Markeringsfarve2 4 9 2 3" xfId="25960" xr:uid="{00000000-0005-0000-0000-0000AF170000}"/>
    <cellStyle name="20 % - Markeringsfarve2 4 9 2 4" xfId="40947" xr:uid="{00000000-0005-0000-0000-0000B0170000}"/>
    <cellStyle name="20 % - Markeringsfarve2 4 9 3" xfId="10653" xr:uid="{00000000-0005-0000-0000-0000B1170000}"/>
    <cellStyle name="20 % - Markeringsfarve2 4 9 3 2" xfId="26972" xr:uid="{00000000-0005-0000-0000-0000B2170000}"/>
    <cellStyle name="20 % - Markeringsfarve2 4 9 3 3" xfId="41938" xr:uid="{00000000-0005-0000-0000-0000B3170000}"/>
    <cellStyle name="20 % - Markeringsfarve2 4 9 4" xfId="19950" xr:uid="{00000000-0005-0000-0000-0000B4170000}"/>
    <cellStyle name="20 % - Markeringsfarve2 4 9 5" xfId="34939" xr:uid="{00000000-0005-0000-0000-0000B5170000}"/>
    <cellStyle name="20 % - Markeringsfarve2 5" xfId="2097" xr:uid="{00000000-0005-0000-0000-0000B6170000}"/>
    <cellStyle name="20 % - Markeringsfarve2 5 10" xfId="5509" xr:uid="{00000000-0005-0000-0000-0000B7170000}"/>
    <cellStyle name="20 % - Markeringsfarve2 5 10 2" xfId="13427" xr:uid="{00000000-0005-0000-0000-0000B8170000}"/>
    <cellStyle name="20 % - Markeringsfarve2 5 10 2 2" xfId="29741" xr:uid="{00000000-0005-0000-0000-0000B9170000}"/>
    <cellStyle name="20 % - Markeringsfarve2 5 10 2 3" xfId="44705" xr:uid="{00000000-0005-0000-0000-0000BA170000}"/>
    <cellStyle name="20 % - Markeringsfarve2 5 10 3" xfId="22719" xr:uid="{00000000-0005-0000-0000-0000BB170000}"/>
    <cellStyle name="20 % - Markeringsfarve2 5 10 4" xfId="37706" xr:uid="{00000000-0005-0000-0000-0000BC170000}"/>
    <cellStyle name="20 % - Markeringsfarve2 5 11" xfId="10654" xr:uid="{00000000-0005-0000-0000-0000BD170000}"/>
    <cellStyle name="20 % - Markeringsfarve2 5 11 2" xfId="26973" xr:uid="{00000000-0005-0000-0000-0000BE170000}"/>
    <cellStyle name="20 % - Markeringsfarve2 5 11 3" xfId="41939" xr:uid="{00000000-0005-0000-0000-0000BF170000}"/>
    <cellStyle name="20 % - Markeringsfarve2 5 12" xfId="19951" xr:uid="{00000000-0005-0000-0000-0000C0170000}"/>
    <cellStyle name="20 % - Markeringsfarve2 5 13" xfId="34940" xr:uid="{00000000-0005-0000-0000-0000C1170000}"/>
    <cellStyle name="20 % - Markeringsfarve2 5 14" xfId="53371" xr:uid="{00000000-0005-0000-0000-0000C2170000}"/>
    <cellStyle name="20 % - Markeringsfarve2 5 2" xfId="2098" xr:uid="{00000000-0005-0000-0000-0000C3170000}"/>
    <cellStyle name="20 % - Markeringsfarve2 5 2 2" xfId="2099" xr:uid="{00000000-0005-0000-0000-0000C4170000}"/>
    <cellStyle name="20 % - Markeringsfarve2 5 2 2 2" xfId="2100" xr:uid="{00000000-0005-0000-0000-0000C5170000}"/>
    <cellStyle name="20 % - Markeringsfarve2 5 2 2 2 2" xfId="7688" xr:uid="{00000000-0005-0000-0000-0000C6170000}"/>
    <cellStyle name="20 % - Markeringsfarve2 5 2 2 2 2 2" xfId="15589" xr:uid="{00000000-0005-0000-0000-0000C7170000}"/>
    <cellStyle name="20 % - Markeringsfarve2 5 2 2 2 2 2 2" xfId="31903" xr:uid="{00000000-0005-0000-0000-0000C8170000}"/>
    <cellStyle name="20 % - Markeringsfarve2 5 2 2 2 2 2 3" xfId="46867" xr:uid="{00000000-0005-0000-0000-0000C9170000}"/>
    <cellStyle name="20 % - Markeringsfarve2 5 2 2 2 2 3" xfId="24881" xr:uid="{00000000-0005-0000-0000-0000CA170000}"/>
    <cellStyle name="20 % - Markeringsfarve2 5 2 2 2 2 4" xfId="39868" xr:uid="{00000000-0005-0000-0000-0000CB170000}"/>
    <cellStyle name="20 % - Markeringsfarve2 5 2 2 2 3" xfId="10657" xr:uid="{00000000-0005-0000-0000-0000CC170000}"/>
    <cellStyle name="20 % - Markeringsfarve2 5 2 2 2 3 2" xfId="26976" xr:uid="{00000000-0005-0000-0000-0000CD170000}"/>
    <cellStyle name="20 % - Markeringsfarve2 5 2 2 2 3 3" xfId="41942" xr:uid="{00000000-0005-0000-0000-0000CE170000}"/>
    <cellStyle name="20 % - Markeringsfarve2 5 2 2 2 4" xfId="19954" xr:uid="{00000000-0005-0000-0000-0000CF170000}"/>
    <cellStyle name="20 % - Markeringsfarve2 5 2 2 2 5" xfId="34943" xr:uid="{00000000-0005-0000-0000-0000D0170000}"/>
    <cellStyle name="20 % - Markeringsfarve2 5 2 2 3" xfId="6259" xr:uid="{00000000-0005-0000-0000-0000D1170000}"/>
    <cellStyle name="20 % - Markeringsfarve2 5 2 2 3 2" xfId="14176" xr:uid="{00000000-0005-0000-0000-0000D2170000}"/>
    <cellStyle name="20 % - Markeringsfarve2 5 2 2 3 2 2" xfId="30490" xr:uid="{00000000-0005-0000-0000-0000D3170000}"/>
    <cellStyle name="20 % - Markeringsfarve2 5 2 2 3 2 3" xfId="45454" xr:uid="{00000000-0005-0000-0000-0000D4170000}"/>
    <cellStyle name="20 % - Markeringsfarve2 5 2 2 3 3" xfId="23468" xr:uid="{00000000-0005-0000-0000-0000D5170000}"/>
    <cellStyle name="20 % - Markeringsfarve2 5 2 2 3 4" xfId="38455" xr:uid="{00000000-0005-0000-0000-0000D6170000}"/>
    <cellStyle name="20 % - Markeringsfarve2 5 2 2 4" xfId="10656" xr:uid="{00000000-0005-0000-0000-0000D7170000}"/>
    <cellStyle name="20 % - Markeringsfarve2 5 2 2 4 2" xfId="26975" xr:uid="{00000000-0005-0000-0000-0000D8170000}"/>
    <cellStyle name="20 % - Markeringsfarve2 5 2 2 4 3" xfId="41941" xr:uid="{00000000-0005-0000-0000-0000D9170000}"/>
    <cellStyle name="20 % - Markeringsfarve2 5 2 2 5" xfId="19953" xr:uid="{00000000-0005-0000-0000-0000DA170000}"/>
    <cellStyle name="20 % - Markeringsfarve2 5 2 2 6" xfId="34942" xr:uid="{00000000-0005-0000-0000-0000DB170000}"/>
    <cellStyle name="20 % - Markeringsfarve2 5 2 2 7" xfId="57175" xr:uid="{00000000-0005-0000-0000-0000DC170000}"/>
    <cellStyle name="20 % - Markeringsfarve2 5 2 3" xfId="2101" xr:uid="{00000000-0005-0000-0000-0000DD170000}"/>
    <cellStyle name="20 % - Markeringsfarve2 5 2 3 2" xfId="6918" xr:uid="{00000000-0005-0000-0000-0000DE170000}"/>
    <cellStyle name="20 % - Markeringsfarve2 5 2 3 2 2" xfId="14829" xr:uid="{00000000-0005-0000-0000-0000DF170000}"/>
    <cellStyle name="20 % - Markeringsfarve2 5 2 3 2 2 2" xfId="31143" xr:uid="{00000000-0005-0000-0000-0000E0170000}"/>
    <cellStyle name="20 % - Markeringsfarve2 5 2 3 2 2 3" xfId="46107" xr:uid="{00000000-0005-0000-0000-0000E1170000}"/>
    <cellStyle name="20 % - Markeringsfarve2 5 2 3 2 3" xfId="24121" xr:uid="{00000000-0005-0000-0000-0000E2170000}"/>
    <cellStyle name="20 % - Markeringsfarve2 5 2 3 2 4" xfId="39108" xr:uid="{00000000-0005-0000-0000-0000E3170000}"/>
    <cellStyle name="20 % - Markeringsfarve2 5 2 3 3" xfId="10658" xr:uid="{00000000-0005-0000-0000-0000E4170000}"/>
    <cellStyle name="20 % - Markeringsfarve2 5 2 3 3 2" xfId="26977" xr:uid="{00000000-0005-0000-0000-0000E5170000}"/>
    <cellStyle name="20 % - Markeringsfarve2 5 2 3 3 3" xfId="41943" xr:uid="{00000000-0005-0000-0000-0000E6170000}"/>
    <cellStyle name="20 % - Markeringsfarve2 5 2 3 4" xfId="19955" xr:uid="{00000000-0005-0000-0000-0000E7170000}"/>
    <cellStyle name="20 % - Markeringsfarve2 5 2 3 5" xfId="34944" xr:uid="{00000000-0005-0000-0000-0000E8170000}"/>
    <cellStyle name="20 % - Markeringsfarve2 5 2 4" xfId="2102" xr:uid="{00000000-0005-0000-0000-0000E9170000}"/>
    <cellStyle name="20 % - Markeringsfarve2 5 2 4 2" xfId="8321" xr:uid="{00000000-0005-0000-0000-0000EA170000}"/>
    <cellStyle name="20 % - Markeringsfarve2 5 2 4 2 2" xfId="16215" xr:uid="{00000000-0005-0000-0000-0000EB170000}"/>
    <cellStyle name="20 % - Markeringsfarve2 5 2 4 2 2 2" xfId="32529" xr:uid="{00000000-0005-0000-0000-0000EC170000}"/>
    <cellStyle name="20 % - Markeringsfarve2 5 2 4 2 2 3" xfId="47493" xr:uid="{00000000-0005-0000-0000-0000ED170000}"/>
    <cellStyle name="20 % - Markeringsfarve2 5 2 4 2 3" xfId="25507" xr:uid="{00000000-0005-0000-0000-0000EE170000}"/>
    <cellStyle name="20 % - Markeringsfarve2 5 2 4 2 4" xfId="40494" xr:uid="{00000000-0005-0000-0000-0000EF170000}"/>
    <cellStyle name="20 % - Markeringsfarve2 5 2 4 3" xfId="10659" xr:uid="{00000000-0005-0000-0000-0000F0170000}"/>
    <cellStyle name="20 % - Markeringsfarve2 5 2 4 3 2" xfId="26978" xr:uid="{00000000-0005-0000-0000-0000F1170000}"/>
    <cellStyle name="20 % - Markeringsfarve2 5 2 4 3 3" xfId="41944" xr:uid="{00000000-0005-0000-0000-0000F2170000}"/>
    <cellStyle name="20 % - Markeringsfarve2 5 2 4 4" xfId="19956" xr:uid="{00000000-0005-0000-0000-0000F3170000}"/>
    <cellStyle name="20 % - Markeringsfarve2 5 2 4 5" xfId="34945" xr:uid="{00000000-0005-0000-0000-0000F4170000}"/>
    <cellStyle name="20 % - Markeringsfarve2 5 2 5" xfId="5510" xr:uid="{00000000-0005-0000-0000-0000F5170000}"/>
    <cellStyle name="20 % - Markeringsfarve2 5 2 5 2" xfId="13428" xr:uid="{00000000-0005-0000-0000-0000F6170000}"/>
    <cellStyle name="20 % - Markeringsfarve2 5 2 5 2 2" xfId="29742" xr:uid="{00000000-0005-0000-0000-0000F7170000}"/>
    <cellStyle name="20 % - Markeringsfarve2 5 2 5 2 3" xfId="44706" xr:uid="{00000000-0005-0000-0000-0000F8170000}"/>
    <cellStyle name="20 % - Markeringsfarve2 5 2 5 3" xfId="22720" xr:uid="{00000000-0005-0000-0000-0000F9170000}"/>
    <cellStyle name="20 % - Markeringsfarve2 5 2 5 4" xfId="37707" xr:uid="{00000000-0005-0000-0000-0000FA170000}"/>
    <cellStyle name="20 % - Markeringsfarve2 5 2 6" xfId="10655" xr:uid="{00000000-0005-0000-0000-0000FB170000}"/>
    <cellStyle name="20 % - Markeringsfarve2 5 2 6 2" xfId="26974" xr:uid="{00000000-0005-0000-0000-0000FC170000}"/>
    <cellStyle name="20 % - Markeringsfarve2 5 2 6 3" xfId="41940" xr:uid="{00000000-0005-0000-0000-0000FD170000}"/>
    <cellStyle name="20 % - Markeringsfarve2 5 2 7" xfId="19952" xr:uid="{00000000-0005-0000-0000-0000FE170000}"/>
    <cellStyle name="20 % - Markeringsfarve2 5 2 8" xfId="34941" xr:uid="{00000000-0005-0000-0000-0000FF170000}"/>
    <cellStyle name="20 % - Markeringsfarve2 5 2 9" xfId="54008" xr:uid="{00000000-0005-0000-0000-000000180000}"/>
    <cellStyle name="20 % - Markeringsfarve2 5 3" xfId="2103" xr:uid="{00000000-0005-0000-0000-000001180000}"/>
    <cellStyle name="20 % - Markeringsfarve2 5 3 2" xfId="2104" xr:uid="{00000000-0005-0000-0000-000002180000}"/>
    <cellStyle name="20 % - Markeringsfarve2 5 3 2 2" xfId="2105" xr:uid="{00000000-0005-0000-0000-000003180000}"/>
    <cellStyle name="20 % - Markeringsfarve2 5 3 2 2 2" xfId="7742" xr:uid="{00000000-0005-0000-0000-000004180000}"/>
    <cellStyle name="20 % - Markeringsfarve2 5 3 2 2 2 2" xfId="15643" xr:uid="{00000000-0005-0000-0000-000005180000}"/>
    <cellStyle name="20 % - Markeringsfarve2 5 3 2 2 2 2 2" xfId="31957" xr:uid="{00000000-0005-0000-0000-000006180000}"/>
    <cellStyle name="20 % - Markeringsfarve2 5 3 2 2 2 2 3" xfId="46921" xr:uid="{00000000-0005-0000-0000-000007180000}"/>
    <cellStyle name="20 % - Markeringsfarve2 5 3 2 2 2 3" xfId="24935" xr:uid="{00000000-0005-0000-0000-000008180000}"/>
    <cellStyle name="20 % - Markeringsfarve2 5 3 2 2 2 4" xfId="39922" xr:uid="{00000000-0005-0000-0000-000009180000}"/>
    <cellStyle name="20 % - Markeringsfarve2 5 3 2 2 3" xfId="10662" xr:uid="{00000000-0005-0000-0000-00000A180000}"/>
    <cellStyle name="20 % - Markeringsfarve2 5 3 2 2 3 2" xfId="26981" xr:uid="{00000000-0005-0000-0000-00000B180000}"/>
    <cellStyle name="20 % - Markeringsfarve2 5 3 2 2 3 3" xfId="41947" xr:uid="{00000000-0005-0000-0000-00000C180000}"/>
    <cellStyle name="20 % - Markeringsfarve2 5 3 2 2 4" xfId="19959" xr:uid="{00000000-0005-0000-0000-00000D180000}"/>
    <cellStyle name="20 % - Markeringsfarve2 5 3 2 2 5" xfId="34948" xr:uid="{00000000-0005-0000-0000-00000E180000}"/>
    <cellStyle name="20 % - Markeringsfarve2 5 3 2 3" xfId="6306" xr:uid="{00000000-0005-0000-0000-00000F180000}"/>
    <cellStyle name="20 % - Markeringsfarve2 5 3 2 3 2" xfId="14223" xr:uid="{00000000-0005-0000-0000-000010180000}"/>
    <cellStyle name="20 % - Markeringsfarve2 5 3 2 3 2 2" xfId="30537" xr:uid="{00000000-0005-0000-0000-000011180000}"/>
    <cellStyle name="20 % - Markeringsfarve2 5 3 2 3 2 3" xfId="45501" xr:uid="{00000000-0005-0000-0000-000012180000}"/>
    <cellStyle name="20 % - Markeringsfarve2 5 3 2 3 3" xfId="23515" xr:uid="{00000000-0005-0000-0000-000013180000}"/>
    <cellStyle name="20 % - Markeringsfarve2 5 3 2 3 4" xfId="38502" xr:uid="{00000000-0005-0000-0000-000014180000}"/>
    <cellStyle name="20 % - Markeringsfarve2 5 3 2 4" xfId="10661" xr:uid="{00000000-0005-0000-0000-000015180000}"/>
    <cellStyle name="20 % - Markeringsfarve2 5 3 2 4 2" xfId="26980" xr:uid="{00000000-0005-0000-0000-000016180000}"/>
    <cellStyle name="20 % - Markeringsfarve2 5 3 2 4 3" xfId="41946" xr:uid="{00000000-0005-0000-0000-000017180000}"/>
    <cellStyle name="20 % - Markeringsfarve2 5 3 2 5" xfId="19958" xr:uid="{00000000-0005-0000-0000-000018180000}"/>
    <cellStyle name="20 % - Markeringsfarve2 5 3 2 6" xfId="34947" xr:uid="{00000000-0005-0000-0000-000019180000}"/>
    <cellStyle name="20 % - Markeringsfarve2 5 3 3" xfId="2106" xr:uid="{00000000-0005-0000-0000-00001A180000}"/>
    <cellStyle name="20 % - Markeringsfarve2 5 3 3 2" xfId="6972" xr:uid="{00000000-0005-0000-0000-00001B180000}"/>
    <cellStyle name="20 % - Markeringsfarve2 5 3 3 2 2" xfId="14883" xr:uid="{00000000-0005-0000-0000-00001C180000}"/>
    <cellStyle name="20 % - Markeringsfarve2 5 3 3 2 2 2" xfId="31197" xr:uid="{00000000-0005-0000-0000-00001D180000}"/>
    <cellStyle name="20 % - Markeringsfarve2 5 3 3 2 2 3" xfId="46161" xr:uid="{00000000-0005-0000-0000-00001E180000}"/>
    <cellStyle name="20 % - Markeringsfarve2 5 3 3 2 3" xfId="24175" xr:uid="{00000000-0005-0000-0000-00001F180000}"/>
    <cellStyle name="20 % - Markeringsfarve2 5 3 3 2 4" xfId="39162" xr:uid="{00000000-0005-0000-0000-000020180000}"/>
    <cellStyle name="20 % - Markeringsfarve2 5 3 3 3" xfId="10663" xr:uid="{00000000-0005-0000-0000-000021180000}"/>
    <cellStyle name="20 % - Markeringsfarve2 5 3 3 3 2" xfId="26982" xr:uid="{00000000-0005-0000-0000-000022180000}"/>
    <cellStyle name="20 % - Markeringsfarve2 5 3 3 3 3" xfId="41948" xr:uid="{00000000-0005-0000-0000-000023180000}"/>
    <cellStyle name="20 % - Markeringsfarve2 5 3 3 4" xfId="19960" xr:uid="{00000000-0005-0000-0000-000024180000}"/>
    <cellStyle name="20 % - Markeringsfarve2 5 3 3 5" xfId="34949" xr:uid="{00000000-0005-0000-0000-000025180000}"/>
    <cellStyle name="20 % - Markeringsfarve2 5 3 4" xfId="2107" xr:uid="{00000000-0005-0000-0000-000026180000}"/>
    <cellStyle name="20 % - Markeringsfarve2 5 3 4 2" xfId="8320" xr:uid="{00000000-0005-0000-0000-000027180000}"/>
    <cellStyle name="20 % - Markeringsfarve2 5 3 4 2 2" xfId="16214" xr:uid="{00000000-0005-0000-0000-000028180000}"/>
    <cellStyle name="20 % - Markeringsfarve2 5 3 4 2 2 2" xfId="32528" xr:uid="{00000000-0005-0000-0000-000029180000}"/>
    <cellStyle name="20 % - Markeringsfarve2 5 3 4 2 2 3" xfId="47492" xr:uid="{00000000-0005-0000-0000-00002A180000}"/>
    <cellStyle name="20 % - Markeringsfarve2 5 3 4 2 3" xfId="25506" xr:uid="{00000000-0005-0000-0000-00002B180000}"/>
    <cellStyle name="20 % - Markeringsfarve2 5 3 4 2 4" xfId="40493" xr:uid="{00000000-0005-0000-0000-00002C180000}"/>
    <cellStyle name="20 % - Markeringsfarve2 5 3 4 3" xfId="10664" xr:uid="{00000000-0005-0000-0000-00002D180000}"/>
    <cellStyle name="20 % - Markeringsfarve2 5 3 4 3 2" xfId="26983" xr:uid="{00000000-0005-0000-0000-00002E180000}"/>
    <cellStyle name="20 % - Markeringsfarve2 5 3 4 3 3" xfId="41949" xr:uid="{00000000-0005-0000-0000-00002F180000}"/>
    <cellStyle name="20 % - Markeringsfarve2 5 3 4 4" xfId="19961" xr:uid="{00000000-0005-0000-0000-000030180000}"/>
    <cellStyle name="20 % - Markeringsfarve2 5 3 4 5" xfId="34950" xr:uid="{00000000-0005-0000-0000-000031180000}"/>
    <cellStyle name="20 % - Markeringsfarve2 5 3 5" xfId="5511" xr:uid="{00000000-0005-0000-0000-000032180000}"/>
    <cellStyle name="20 % - Markeringsfarve2 5 3 5 2" xfId="13429" xr:uid="{00000000-0005-0000-0000-000033180000}"/>
    <cellStyle name="20 % - Markeringsfarve2 5 3 5 2 2" xfId="29743" xr:uid="{00000000-0005-0000-0000-000034180000}"/>
    <cellStyle name="20 % - Markeringsfarve2 5 3 5 2 3" xfId="44707" xr:uid="{00000000-0005-0000-0000-000035180000}"/>
    <cellStyle name="20 % - Markeringsfarve2 5 3 5 3" xfId="22721" xr:uid="{00000000-0005-0000-0000-000036180000}"/>
    <cellStyle name="20 % - Markeringsfarve2 5 3 5 4" xfId="37708" xr:uid="{00000000-0005-0000-0000-000037180000}"/>
    <cellStyle name="20 % - Markeringsfarve2 5 3 6" xfId="10660" xr:uid="{00000000-0005-0000-0000-000038180000}"/>
    <cellStyle name="20 % - Markeringsfarve2 5 3 6 2" xfId="26979" xr:uid="{00000000-0005-0000-0000-000039180000}"/>
    <cellStyle name="20 % - Markeringsfarve2 5 3 6 3" xfId="41945" xr:uid="{00000000-0005-0000-0000-00003A180000}"/>
    <cellStyle name="20 % - Markeringsfarve2 5 3 7" xfId="19957" xr:uid="{00000000-0005-0000-0000-00003B180000}"/>
    <cellStyle name="20 % - Markeringsfarve2 5 3 8" xfId="34946" xr:uid="{00000000-0005-0000-0000-00003C180000}"/>
    <cellStyle name="20 % - Markeringsfarve2 5 3 9" xfId="56552" xr:uid="{00000000-0005-0000-0000-00003D180000}"/>
    <cellStyle name="20 % - Markeringsfarve2 5 4" xfId="2108" xr:uid="{00000000-0005-0000-0000-00003E180000}"/>
    <cellStyle name="20 % - Markeringsfarve2 5 4 2" xfId="2109" xr:uid="{00000000-0005-0000-0000-00003F180000}"/>
    <cellStyle name="20 % - Markeringsfarve2 5 4 2 2" xfId="2110" xr:uid="{00000000-0005-0000-0000-000040180000}"/>
    <cellStyle name="20 % - Markeringsfarve2 5 4 2 2 2" xfId="7926" xr:uid="{00000000-0005-0000-0000-000041180000}"/>
    <cellStyle name="20 % - Markeringsfarve2 5 4 2 2 2 2" xfId="15827" xr:uid="{00000000-0005-0000-0000-000042180000}"/>
    <cellStyle name="20 % - Markeringsfarve2 5 4 2 2 2 2 2" xfId="32141" xr:uid="{00000000-0005-0000-0000-000043180000}"/>
    <cellStyle name="20 % - Markeringsfarve2 5 4 2 2 2 2 3" xfId="47105" xr:uid="{00000000-0005-0000-0000-000044180000}"/>
    <cellStyle name="20 % - Markeringsfarve2 5 4 2 2 2 3" xfId="25119" xr:uid="{00000000-0005-0000-0000-000045180000}"/>
    <cellStyle name="20 % - Markeringsfarve2 5 4 2 2 2 4" xfId="40106" xr:uid="{00000000-0005-0000-0000-000046180000}"/>
    <cellStyle name="20 % - Markeringsfarve2 5 4 2 2 3" xfId="10667" xr:uid="{00000000-0005-0000-0000-000047180000}"/>
    <cellStyle name="20 % - Markeringsfarve2 5 4 2 2 3 2" xfId="26986" xr:uid="{00000000-0005-0000-0000-000048180000}"/>
    <cellStyle name="20 % - Markeringsfarve2 5 4 2 2 3 3" xfId="41952" xr:uid="{00000000-0005-0000-0000-000049180000}"/>
    <cellStyle name="20 % - Markeringsfarve2 5 4 2 2 4" xfId="19964" xr:uid="{00000000-0005-0000-0000-00004A180000}"/>
    <cellStyle name="20 % - Markeringsfarve2 5 4 2 2 5" xfId="34953" xr:uid="{00000000-0005-0000-0000-00004B180000}"/>
    <cellStyle name="20 % - Markeringsfarve2 5 4 2 3" xfId="6461" xr:uid="{00000000-0005-0000-0000-00004C180000}"/>
    <cellStyle name="20 % - Markeringsfarve2 5 4 2 3 2" xfId="14375" xr:uid="{00000000-0005-0000-0000-00004D180000}"/>
    <cellStyle name="20 % - Markeringsfarve2 5 4 2 3 2 2" xfId="30689" xr:uid="{00000000-0005-0000-0000-00004E180000}"/>
    <cellStyle name="20 % - Markeringsfarve2 5 4 2 3 2 3" xfId="45653" xr:uid="{00000000-0005-0000-0000-00004F180000}"/>
    <cellStyle name="20 % - Markeringsfarve2 5 4 2 3 3" xfId="23667" xr:uid="{00000000-0005-0000-0000-000050180000}"/>
    <cellStyle name="20 % - Markeringsfarve2 5 4 2 3 4" xfId="38654" xr:uid="{00000000-0005-0000-0000-000051180000}"/>
    <cellStyle name="20 % - Markeringsfarve2 5 4 2 4" xfId="10666" xr:uid="{00000000-0005-0000-0000-000052180000}"/>
    <cellStyle name="20 % - Markeringsfarve2 5 4 2 4 2" xfId="26985" xr:uid="{00000000-0005-0000-0000-000053180000}"/>
    <cellStyle name="20 % - Markeringsfarve2 5 4 2 4 3" xfId="41951" xr:uid="{00000000-0005-0000-0000-000054180000}"/>
    <cellStyle name="20 % - Markeringsfarve2 5 4 2 5" xfId="19963" xr:uid="{00000000-0005-0000-0000-000055180000}"/>
    <cellStyle name="20 % - Markeringsfarve2 5 4 2 6" xfId="34952" xr:uid="{00000000-0005-0000-0000-000056180000}"/>
    <cellStyle name="20 % - Markeringsfarve2 5 4 3" xfId="2111" xr:uid="{00000000-0005-0000-0000-000057180000}"/>
    <cellStyle name="20 % - Markeringsfarve2 5 4 3 2" xfId="7202" xr:uid="{00000000-0005-0000-0000-000058180000}"/>
    <cellStyle name="20 % - Markeringsfarve2 5 4 3 2 2" xfId="15112" xr:uid="{00000000-0005-0000-0000-000059180000}"/>
    <cellStyle name="20 % - Markeringsfarve2 5 4 3 2 2 2" xfId="31426" xr:uid="{00000000-0005-0000-0000-00005A180000}"/>
    <cellStyle name="20 % - Markeringsfarve2 5 4 3 2 2 3" xfId="46390" xr:uid="{00000000-0005-0000-0000-00005B180000}"/>
    <cellStyle name="20 % - Markeringsfarve2 5 4 3 2 3" xfId="24404" xr:uid="{00000000-0005-0000-0000-00005C180000}"/>
    <cellStyle name="20 % - Markeringsfarve2 5 4 3 2 4" xfId="39391" xr:uid="{00000000-0005-0000-0000-00005D180000}"/>
    <cellStyle name="20 % - Markeringsfarve2 5 4 3 3" xfId="10668" xr:uid="{00000000-0005-0000-0000-00005E180000}"/>
    <cellStyle name="20 % - Markeringsfarve2 5 4 3 3 2" xfId="26987" xr:uid="{00000000-0005-0000-0000-00005F180000}"/>
    <cellStyle name="20 % - Markeringsfarve2 5 4 3 3 3" xfId="41953" xr:uid="{00000000-0005-0000-0000-000060180000}"/>
    <cellStyle name="20 % - Markeringsfarve2 5 4 3 4" xfId="19965" xr:uid="{00000000-0005-0000-0000-000061180000}"/>
    <cellStyle name="20 % - Markeringsfarve2 5 4 3 5" xfId="34954" xr:uid="{00000000-0005-0000-0000-000062180000}"/>
    <cellStyle name="20 % - Markeringsfarve2 5 4 4" xfId="2112" xr:uid="{00000000-0005-0000-0000-000063180000}"/>
    <cellStyle name="20 % - Markeringsfarve2 5 4 4 2" xfId="8319" xr:uid="{00000000-0005-0000-0000-000064180000}"/>
    <cellStyle name="20 % - Markeringsfarve2 5 4 4 2 2" xfId="16213" xr:uid="{00000000-0005-0000-0000-000065180000}"/>
    <cellStyle name="20 % - Markeringsfarve2 5 4 4 2 2 2" xfId="32527" xr:uid="{00000000-0005-0000-0000-000066180000}"/>
    <cellStyle name="20 % - Markeringsfarve2 5 4 4 2 2 3" xfId="47491" xr:uid="{00000000-0005-0000-0000-000067180000}"/>
    <cellStyle name="20 % - Markeringsfarve2 5 4 4 2 3" xfId="25505" xr:uid="{00000000-0005-0000-0000-000068180000}"/>
    <cellStyle name="20 % - Markeringsfarve2 5 4 4 2 4" xfId="40492" xr:uid="{00000000-0005-0000-0000-000069180000}"/>
    <cellStyle name="20 % - Markeringsfarve2 5 4 4 3" xfId="10669" xr:uid="{00000000-0005-0000-0000-00006A180000}"/>
    <cellStyle name="20 % - Markeringsfarve2 5 4 4 3 2" xfId="26988" xr:uid="{00000000-0005-0000-0000-00006B180000}"/>
    <cellStyle name="20 % - Markeringsfarve2 5 4 4 3 3" xfId="41954" xr:uid="{00000000-0005-0000-0000-00006C180000}"/>
    <cellStyle name="20 % - Markeringsfarve2 5 4 4 4" xfId="19966" xr:uid="{00000000-0005-0000-0000-00006D180000}"/>
    <cellStyle name="20 % - Markeringsfarve2 5 4 4 5" xfId="34955" xr:uid="{00000000-0005-0000-0000-00006E180000}"/>
    <cellStyle name="20 % - Markeringsfarve2 5 4 5" xfId="5512" xr:uid="{00000000-0005-0000-0000-00006F180000}"/>
    <cellStyle name="20 % - Markeringsfarve2 5 4 5 2" xfId="13430" xr:uid="{00000000-0005-0000-0000-000070180000}"/>
    <cellStyle name="20 % - Markeringsfarve2 5 4 5 2 2" xfId="29744" xr:uid="{00000000-0005-0000-0000-000071180000}"/>
    <cellStyle name="20 % - Markeringsfarve2 5 4 5 2 3" xfId="44708" xr:uid="{00000000-0005-0000-0000-000072180000}"/>
    <cellStyle name="20 % - Markeringsfarve2 5 4 5 3" xfId="22722" xr:uid="{00000000-0005-0000-0000-000073180000}"/>
    <cellStyle name="20 % - Markeringsfarve2 5 4 5 4" xfId="37709" xr:uid="{00000000-0005-0000-0000-000074180000}"/>
    <cellStyle name="20 % - Markeringsfarve2 5 4 6" xfId="10665" xr:uid="{00000000-0005-0000-0000-000075180000}"/>
    <cellStyle name="20 % - Markeringsfarve2 5 4 6 2" xfId="26984" xr:uid="{00000000-0005-0000-0000-000076180000}"/>
    <cellStyle name="20 % - Markeringsfarve2 5 4 6 3" xfId="41950" xr:uid="{00000000-0005-0000-0000-000077180000}"/>
    <cellStyle name="20 % - Markeringsfarve2 5 4 7" xfId="19962" xr:uid="{00000000-0005-0000-0000-000078180000}"/>
    <cellStyle name="20 % - Markeringsfarve2 5 4 8" xfId="34951" xr:uid="{00000000-0005-0000-0000-000079180000}"/>
    <cellStyle name="20 % - Markeringsfarve2 5 5" xfId="2113" xr:uid="{00000000-0005-0000-0000-00007A180000}"/>
    <cellStyle name="20 % - Markeringsfarve2 5 5 2" xfId="2114" xr:uid="{00000000-0005-0000-0000-00007B180000}"/>
    <cellStyle name="20 % - Markeringsfarve2 5 5 2 2" xfId="2115" xr:uid="{00000000-0005-0000-0000-00007C180000}"/>
    <cellStyle name="20 % - Markeringsfarve2 5 5 2 2 2" xfId="8043" xr:uid="{00000000-0005-0000-0000-00007D180000}"/>
    <cellStyle name="20 % - Markeringsfarve2 5 5 2 2 2 2" xfId="15944" xr:uid="{00000000-0005-0000-0000-00007E180000}"/>
    <cellStyle name="20 % - Markeringsfarve2 5 5 2 2 2 2 2" xfId="32258" xr:uid="{00000000-0005-0000-0000-00007F180000}"/>
    <cellStyle name="20 % - Markeringsfarve2 5 5 2 2 2 2 3" xfId="47222" xr:uid="{00000000-0005-0000-0000-000080180000}"/>
    <cellStyle name="20 % - Markeringsfarve2 5 5 2 2 2 3" xfId="25236" xr:uid="{00000000-0005-0000-0000-000081180000}"/>
    <cellStyle name="20 % - Markeringsfarve2 5 5 2 2 2 4" xfId="40223" xr:uid="{00000000-0005-0000-0000-000082180000}"/>
    <cellStyle name="20 % - Markeringsfarve2 5 5 2 2 3" xfId="10672" xr:uid="{00000000-0005-0000-0000-000083180000}"/>
    <cellStyle name="20 % - Markeringsfarve2 5 5 2 2 3 2" xfId="26991" xr:uid="{00000000-0005-0000-0000-000084180000}"/>
    <cellStyle name="20 % - Markeringsfarve2 5 5 2 2 3 3" xfId="41957" xr:uid="{00000000-0005-0000-0000-000085180000}"/>
    <cellStyle name="20 % - Markeringsfarve2 5 5 2 2 4" xfId="19969" xr:uid="{00000000-0005-0000-0000-000086180000}"/>
    <cellStyle name="20 % - Markeringsfarve2 5 5 2 2 5" xfId="34958" xr:uid="{00000000-0005-0000-0000-000087180000}"/>
    <cellStyle name="20 % - Markeringsfarve2 5 5 2 3" xfId="6560" xr:uid="{00000000-0005-0000-0000-000088180000}"/>
    <cellStyle name="20 % - Markeringsfarve2 5 5 2 3 2" xfId="14474" xr:uid="{00000000-0005-0000-0000-000089180000}"/>
    <cellStyle name="20 % - Markeringsfarve2 5 5 2 3 2 2" xfId="30788" xr:uid="{00000000-0005-0000-0000-00008A180000}"/>
    <cellStyle name="20 % - Markeringsfarve2 5 5 2 3 2 3" xfId="45752" xr:uid="{00000000-0005-0000-0000-00008B180000}"/>
    <cellStyle name="20 % - Markeringsfarve2 5 5 2 3 3" xfId="23766" xr:uid="{00000000-0005-0000-0000-00008C180000}"/>
    <cellStyle name="20 % - Markeringsfarve2 5 5 2 3 4" xfId="38753" xr:uid="{00000000-0005-0000-0000-00008D180000}"/>
    <cellStyle name="20 % - Markeringsfarve2 5 5 2 4" xfId="10671" xr:uid="{00000000-0005-0000-0000-00008E180000}"/>
    <cellStyle name="20 % - Markeringsfarve2 5 5 2 4 2" xfId="26990" xr:uid="{00000000-0005-0000-0000-00008F180000}"/>
    <cellStyle name="20 % - Markeringsfarve2 5 5 2 4 3" xfId="41956" xr:uid="{00000000-0005-0000-0000-000090180000}"/>
    <cellStyle name="20 % - Markeringsfarve2 5 5 2 5" xfId="19968" xr:uid="{00000000-0005-0000-0000-000091180000}"/>
    <cellStyle name="20 % - Markeringsfarve2 5 5 2 6" xfId="34957" xr:uid="{00000000-0005-0000-0000-000092180000}"/>
    <cellStyle name="20 % - Markeringsfarve2 5 5 3" xfId="2116" xr:uid="{00000000-0005-0000-0000-000093180000}"/>
    <cellStyle name="20 % - Markeringsfarve2 5 5 3 2" xfId="7319" xr:uid="{00000000-0005-0000-0000-000094180000}"/>
    <cellStyle name="20 % - Markeringsfarve2 5 5 3 2 2" xfId="15229" xr:uid="{00000000-0005-0000-0000-000095180000}"/>
    <cellStyle name="20 % - Markeringsfarve2 5 5 3 2 2 2" xfId="31543" xr:uid="{00000000-0005-0000-0000-000096180000}"/>
    <cellStyle name="20 % - Markeringsfarve2 5 5 3 2 2 3" xfId="46507" xr:uid="{00000000-0005-0000-0000-000097180000}"/>
    <cellStyle name="20 % - Markeringsfarve2 5 5 3 2 3" xfId="24521" xr:uid="{00000000-0005-0000-0000-000098180000}"/>
    <cellStyle name="20 % - Markeringsfarve2 5 5 3 2 4" xfId="39508" xr:uid="{00000000-0005-0000-0000-000099180000}"/>
    <cellStyle name="20 % - Markeringsfarve2 5 5 3 3" xfId="10673" xr:uid="{00000000-0005-0000-0000-00009A180000}"/>
    <cellStyle name="20 % - Markeringsfarve2 5 5 3 3 2" xfId="26992" xr:uid="{00000000-0005-0000-0000-00009B180000}"/>
    <cellStyle name="20 % - Markeringsfarve2 5 5 3 3 3" xfId="41958" xr:uid="{00000000-0005-0000-0000-00009C180000}"/>
    <cellStyle name="20 % - Markeringsfarve2 5 5 3 4" xfId="19970" xr:uid="{00000000-0005-0000-0000-00009D180000}"/>
    <cellStyle name="20 % - Markeringsfarve2 5 5 3 5" xfId="34959" xr:uid="{00000000-0005-0000-0000-00009E180000}"/>
    <cellStyle name="20 % - Markeringsfarve2 5 5 4" xfId="2117" xr:uid="{00000000-0005-0000-0000-00009F180000}"/>
    <cellStyle name="20 % - Markeringsfarve2 5 5 4 2" xfId="6836" xr:uid="{00000000-0005-0000-0000-0000A0180000}"/>
    <cellStyle name="20 % - Markeringsfarve2 5 5 4 2 2" xfId="14747" xr:uid="{00000000-0005-0000-0000-0000A1180000}"/>
    <cellStyle name="20 % - Markeringsfarve2 5 5 4 2 2 2" xfId="31061" xr:uid="{00000000-0005-0000-0000-0000A2180000}"/>
    <cellStyle name="20 % - Markeringsfarve2 5 5 4 2 2 3" xfId="46025" xr:uid="{00000000-0005-0000-0000-0000A3180000}"/>
    <cellStyle name="20 % - Markeringsfarve2 5 5 4 2 3" xfId="24039" xr:uid="{00000000-0005-0000-0000-0000A4180000}"/>
    <cellStyle name="20 % - Markeringsfarve2 5 5 4 2 4" xfId="39026" xr:uid="{00000000-0005-0000-0000-0000A5180000}"/>
    <cellStyle name="20 % - Markeringsfarve2 5 5 4 3" xfId="10674" xr:uid="{00000000-0005-0000-0000-0000A6180000}"/>
    <cellStyle name="20 % - Markeringsfarve2 5 5 4 3 2" xfId="26993" xr:uid="{00000000-0005-0000-0000-0000A7180000}"/>
    <cellStyle name="20 % - Markeringsfarve2 5 5 4 3 3" xfId="41959" xr:uid="{00000000-0005-0000-0000-0000A8180000}"/>
    <cellStyle name="20 % - Markeringsfarve2 5 5 4 4" xfId="19971" xr:uid="{00000000-0005-0000-0000-0000A9180000}"/>
    <cellStyle name="20 % - Markeringsfarve2 5 5 4 5" xfId="34960" xr:uid="{00000000-0005-0000-0000-0000AA180000}"/>
    <cellStyle name="20 % - Markeringsfarve2 5 5 5" xfId="5513" xr:uid="{00000000-0005-0000-0000-0000AB180000}"/>
    <cellStyle name="20 % - Markeringsfarve2 5 5 5 2" xfId="13431" xr:uid="{00000000-0005-0000-0000-0000AC180000}"/>
    <cellStyle name="20 % - Markeringsfarve2 5 5 5 2 2" xfId="29745" xr:uid="{00000000-0005-0000-0000-0000AD180000}"/>
    <cellStyle name="20 % - Markeringsfarve2 5 5 5 2 3" xfId="44709" xr:uid="{00000000-0005-0000-0000-0000AE180000}"/>
    <cellStyle name="20 % - Markeringsfarve2 5 5 5 3" xfId="22723" xr:uid="{00000000-0005-0000-0000-0000AF180000}"/>
    <cellStyle name="20 % - Markeringsfarve2 5 5 5 4" xfId="37710" xr:uid="{00000000-0005-0000-0000-0000B0180000}"/>
    <cellStyle name="20 % - Markeringsfarve2 5 5 6" xfId="10670" xr:uid="{00000000-0005-0000-0000-0000B1180000}"/>
    <cellStyle name="20 % - Markeringsfarve2 5 5 6 2" xfId="26989" xr:uid="{00000000-0005-0000-0000-0000B2180000}"/>
    <cellStyle name="20 % - Markeringsfarve2 5 5 6 3" xfId="41955" xr:uid="{00000000-0005-0000-0000-0000B3180000}"/>
    <cellStyle name="20 % - Markeringsfarve2 5 5 7" xfId="19967" xr:uid="{00000000-0005-0000-0000-0000B4180000}"/>
    <cellStyle name="20 % - Markeringsfarve2 5 5 8" xfId="34956" xr:uid="{00000000-0005-0000-0000-0000B5180000}"/>
    <cellStyle name="20 % - Markeringsfarve2 5 6" xfId="2118" xr:uid="{00000000-0005-0000-0000-0000B6180000}"/>
    <cellStyle name="20 % - Markeringsfarve2 5 6 2" xfId="2119" xr:uid="{00000000-0005-0000-0000-0000B7180000}"/>
    <cellStyle name="20 % - Markeringsfarve2 5 6 2 2" xfId="2120" xr:uid="{00000000-0005-0000-0000-0000B8180000}"/>
    <cellStyle name="20 % - Markeringsfarve2 5 6 2 2 2" xfId="8097" xr:uid="{00000000-0005-0000-0000-0000B9180000}"/>
    <cellStyle name="20 % - Markeringsfarve2 5 6 2 2 2 2" xfId="15998" xr:uid="{00000000-0005-0000-0000-0000BA180000}"/>
    <cellStyle name="20 % - Markeringsfarve2 5 6 2 2 2 2 2" xfId="32312" xr:uid="{00000000-0005-0000-0000-0000BB180000}"/>
    <cellStyle name="20 % - Markeringsfarve2 5 6 2 2 2 2 3" xfId="47276" xr:uid="{00000000-0005-0000-0000-0000BC180000}"/>
    <cellStyle name="20 % - Markeringsfarve2 5 6 2 2 2 3" xfId="25290" xr:uid="{00000000-0005-0000-0000-0000BD180000}"/>
    <cellStyle name="20 % - Markeringsfarve2 5 6 2 2 2 4" xfId="40277" xr:uid="{00000000-0005-0000-0000-0000BE180000}"/>
    <cellStyle name="20 % - Markeringsfarve2 5 6 2 2 3" xfId="10677" xr:uid="{00000000-0005-0000-0000-0000BF180000}"/>
    <cellStyle name="20 % - Markeringsfarve2 5 6 2 2 3 2" xfId="26996" xr:uid="{00000000-0005-0000-0000-0000C0180000}"/>
    <cellStyle name="20 % - Markeringsfarve2 5 6 2 2 3 3" xfId="41962" xr:uid="{00000000-0005-0000-0000-0000C1180000}"/>
    <cellStyle name="20 % - Markeringsfarve2 5 6 2 2 4" xfId="19974" xr:uid="{00000000-0005-0000-0000-0000C2180000}"/>
    <cellStyle name="20 % - Markeringsfarve2 5 6 2 2 5" xfId="34963" xr:uid="{00000000-0005-0000-0000-0000C3180000}"/>
    <cellStyle name="20 % - Markeringsfarve2 5 6 2 3" xfId="6608" xr:uid="{00000000-0005-0000-0000-0000C4180000}"/>
    <cellStyle name="20 % - Markeringsfarve2 5 6 2 3 2" xfId="14522" xr:uid="{00000000-0005-0000-0000-0000C5180000}"/>
    <cellStyle name="20 % - Markeringsfarve2 5 6 2 3 2 2" xfId="30836" xr:uid="{00000000-0005-0000-0000-0000C6180000}"/>
    <cellStyle name="20 % - Markeringsfarve2 5 6 2 3 2 3" xfId="45800" xr:uid="{00000000-0005-0000-0000-0000C7180000}"/>
    <cellStyle name="20 % - Markeringsfarve2 5 6 2 3 3" xfId="23814" xr:uid="{00000000-0005-0000-0000-0000C8180000}"/>
    <cellStyle name="20 % - Markeringsfarve2 5 6 2 3 4" xfId="38801" xr:uid="{00000000-0005-0000-0000-0000C9180000}"/>
    <cellStyle name="20 % - Markeringsfarve2 5 6 2 4" xfId="10676" xr:uid="{00000000-0005-0000-0000-0000CA180000}"/>
    <cellStyle name="20 % - Markeringsfarve2 5 6 2 4 2" xfId="26995" xr:uid="{00000000-0005-0000-0000-0000CB180000}"/>
    <cellStyle name="20 % - Markeringsfarve2 5 6 2 4 3" xfId="41961" xr:uid="{00000000-0005-0000-0000-0000CC180000}"/>
    <cellStyle name="20 % - Markeringsfarve2 5 6 2 5" xfId="19973" xr:uid="{00000000-0005-0000-0000-0000CD180000}"/>
    <cellStyle name="20 % - Markeringsfarve2 5 6 2 6" xfId="34962" xr:uid="{00000000-0005-0000-0000-0000CE180000}"/>
    <cellStyle name="20 % - Markeringsfarve2 5 6 3" xfId="2121" xr:uid="{00000000-0005-0000-0000-0000CF180000}"/>
    <cellStyle name="20 % - Markeringsfarve2 5 6 3 2" xfId="7374" xr:uid="{00000000-0005-0000-0000-0000D0180000}"/>
    <cellStyle name="20 % - Markeringsfarve2 5 6 3 2 2" xfId="15284" xr:uid="{00000000-0005-0000-0000-0000D1180000}"/>
    <cellStyle name="20 % - Markeringsfarve2 5 6 3 2 2 2" xfId="31598" xr:uid="{00000000-0005-0000-0000-0000D2180000}"/>
    <cellStyle name="20 % - Markeringsfarve2 5 6 3 2 2 3" xfId="46562" xr:uid="{00000000-0005-0000-0000-0000D3180000}"/>
    <cellStyle name="20 % - Markeringsfarve2 5 6 3 2 3" xfId="24576" xr:uid="{00000000-0005-0000-0000-0000D4180000}"/>
    <cellStyle name="20 % - Markeringsfarve2 5 6 3 2 4" xfId="39563" xr:uid="{00000000-0005-0000-0000-0000D5180000}"/>
    <cellStyle name="20 % - Markeringsfarve2 5 6 3 3" xfId="10678" xr:uid="{00000000-0005-0000-0000-0000D6180000}"/>
    <cellStyle name="20 % - Markeringsfarve2 5 6 3 3 2" xfId="26997" xr:uid="{00000000-0005-0000-0000-0000D7180000}"/>
    <cellStyle name="20 % - Markeringsfarve2 5 6 3 3 3" xfId="41963" xr:uid="{00000000-0005-0000-0000-0000D8180000}"/>
    <cellStyle name="20 % - Markeringsfarve2 5 6 3 4" xfId="19975" xr:uid="{00000000-0005-0000-0000-0000D9180000}"/>
    <cellStyle name="20 % - Markeringsfarve2 5 6 3 5" xfId="34964" xr:uid="{00000000-0005-0000-0000-0000DA180000}"/>
    <cellStyle name="20 % - Markeringsfarve2 5 6 4" xfId="2122" xr:uid="{00000000-0005-0000-0000-0000DB180000}"/>
    <cellStyle name="20 % - Markeringsfarve2 5 6 4 2" xfId="6694" xr:uid="{00000000-0005-0000-0000-0000DC180000}"/>
    <cellStyle name="20 % - Markeringsfarve2 5 6 4 2 2" xfId="14607" xr:uid="{00000000-0005-0000-0000-0000DD180000}"/>
    <cellStyle name="20 % - Markeringsfarve2 5 6 4 2 2 2" xfId="30921" xr:uid="{00000000-0005-0000-0000-0000DE180000}"/>
    <cellStyle name="20 % - Markeringsfarve2 5 6 4 2 2 3" xfId="45885" xr:uid="{00000000-0005-0000-0000-0000DF180000}"/>
    <cellStyle name="20 % - Markeringsfarve2 5 6 4 2 3" xfId="23899" xr:uid="{00000000-0005-0000-0000-0000E0180000}"/>
    <cellStyle name="20 % - Markeringsfarve2 5 6 4 2 4" xfId="38886" xr:uid="{00000000-0005-0000-0000-0000E1180000}"/>
    <cellStyle name="20 % - Markeringsfarve2 5 6 4 3" xfId="10679" xr:uid="{00000000-0005-0000-0000-0000E2180000}"/>
    <cellStyle name="20 % - Markeringsfarve2 5 6 4 3 2" xfId="26998" xr:uid="{00000000-0005-0000-0000-0000E3180000}"/>
    <cellStyle name="20 % - Markeringsfarve2 5 6 4 3 3" xfId="41964" xr:uid="{00000000-0005-0000-0000-0000E4180000}"/>
    <cellStyle name="20 % - Markeringsfarve2 5 6 4 4" xfId="19976" xr:uid="{00000000-0005-0000-0000-0000E5180000}"/>
    <cellStyle name="20 % - Markeringsfarve2 5 6 4 5" xfId="34965" xr:uid="{00000000-0005-0000-0000-0000E6180000}"/>
    <cellStyle name="20 % - Markeringsfarve2 5 6 5" xfId="5514" xr:uid="{00000000-0005-0000-0000-0000E7180000}"/>
    <cellStyle name="20 % - Markeringsfarve2 5 6 5 2" xfId="13432" xr:uid="{00000000-0005-0000-0000-0000E8180000}"/>
    <cellStyle name="20 % - Markeringsfarve2 5 6 5 2 2" xfId="29746" xr:uid="{00000000-0005-0000-0000-0000E9180000}"/>
    <cellStyle name="20 % - Markeringsfarve2 5 6 5 2 3" xfId="44710" xr:uid="{00000000-0005-0000-0000-0000EA180000}"/>
    <cellStyle name="20 % - Markeringsfarve2 5 6 5 3" xfId="22724" xr:uid="{00000000-0005-0000-0000-0000EB180000}"/>
    <cellStyle name="20 % - Markeringsfarve2 5 6 5 4" xfId="37711" xr:uid="{00000000-0005-0000-0000-0000EC180000}"/>
    <cellStyle name="20 % - Markeringsfarve2 5 6 6" xfId="10675" xr:uid="{00000000-0005-0000-0000-0000ED180000}"/>
    <cellStyle name="20 % - Markeringsfarve2 5 6 6 2" xfId="26994" xr:uid="{00000000-0005-0000-0000-0000EE180000}"/>
    <cellStyle name="20 % - Markeringsfarve2 5 6 6 3" xfId="41960" xr:uid="{00000000-0005-0000-0000-0000EF180000}"/>
    <cellStyle name="20 % - Markeringsfarve2 5 6 7" xfId="19972" xr:uid="{00000000-0005-0000-0000-0000F0180000}"/>
    <cellStyle name="20 % - Markeringsfarve2 5 6 8" xfId="34961" xr:uid="{00000000-0005-0000-0000-0000F1180000}"/>
    <cellStyle name="20 % - Markeringsfarve2 5 7" xfId="2123" xr:uid="{00000000-0005-0000-0000-0000F2180000}"/>
    <cellStyle name="20 % - Markeringsfarve2 5 7 2" xfId="2124" xr:uid="{00000000-0005-0000-0000-0000F3180000}"/>
    <cellStyle name="20 % - Markeringsfarve2 5 7 2 2" xfId="7569" xr:uid="{00000000-0005-0000-0000-0000F4180000}"/>
    <cellStyle name="20 % - Markeringsfarve2 5 7 2 2 2" xfId="15470" xr:uid="{00000000-0005-0000-0000-0000F5180000}"/>
    <cellStyle name="20 % - Markeringsfarve2 5 7 2 2 2 2" xfId="31784" xr:uid="{00000000-0005-0000-0000-0000F6180000}"/>
    <cellStyle name="20 % - Markeringsfarve2 5 7 2 2 2 3" xfId="46748" xr:uid="{00000000-0005-0000-0000-0000F7180000}"/>
    <cellStyle name="20 % - Markeringsfarve2 5 7 2 2 3" xfId="24762" xr:uid="{00000000-0005-0000-0000-0000F8180000}"/>
    <cellStyle name="20 % - Markeringsfarve2 5 7 2 2 4" xfId="39749" xr:uid="{00000000-0005-0000-0000-0000F9180000}"/>
    <cellStyle name="20 % - Markeringsfarve2 5 7 2 3" xfId="10681" xr:uid="{00000000-0005-0000-0000-0000FA180000}"/>
    <cellStyle name="20 % - Markeringsfarve2 5 7 2 3 2" xfId="27000" xr:uid="{00000000-0005-0000-0000-0000FB180000}"/>
    <cellStyle name="20 % - Markeringsfarve2 5 7 2 3 3" xfId="41966" xr:uid="{00000000-0005-0000-0000-0000FC180000}"/>
    <cellStyle name="20 % - Markeringsfarve2 5 7 2 4" xfId="19978" xr:uid="{00000000-0005-0000-0000-0000FD180000}"/>
    <cellStyle name="20 % - Markeringsfarve2 5 7 2 5" xfId="34967" xr:uid="{00000000-0005-0000-0000-0000FE180000}"/>
    <cellStyle name="20 % - Markeringsfarve2 5 7 3" xfId="6160" xr:uid="{00000000-0005-0000-0000-0000FF180000}"/>
    <cellStyle name="20 % - Markeringsfarve2 5 7 3 2" xfId="14077" xr:uid="{00000000-0005-0000-0000-000000190000}"/>
    <cellStyle name="20 % - Markeringsfarve2 5 7 3 2 2" xfId="30391" xr:uid="{00000000-0005-0000-0000-000001190000}"/>
    <cellStyle name="20 % - Markeringsfarve2 5 7 3 2 3" xfId="45355" xr:uid="{00000000-0005-0000-0000-000002190000}"/>
    <cellStyle name="20 % - Markeringsfarve2 5 7 3 3" xfId="23369" xr:uid="{00000000-0005-0000-0000-000003190000}"/>
    <cellStyle name="20 % - Markeringsfarve2 5 7 3 4" xfId="38356" xr:uid="{00000000-0005-0000-0000-000004190000}"/>
    <cellStyle name="20 % - Markeringsfarve2 5 7 4" xfId="10680" xr:uid="{00000000-0005-0000-0000-000005190000}"/>
    <cellStyle name="20 % - Markeringsfarve2 5 7 4 2" xfId="26999" xr:uid="{00000000-0005-0000-0000-000006190000}"/>
    <cellStyle name="20 % - Markeringsfarve2 5 7 4 3" xfId="41965" xr:uid="{00000000-0005-0000-0000-000007190000}"/>
    <cellStyle name="20 % - Markeringsfarve2 5 7 5" xfId="19977" xr:uid="{00000000-0005-0000-0000-000008190000}"/>
    <cellStyle name="20 % - Markeringsfarve2 5 7 6" xfId="34966" xr:uid="{00000000-0005-0000-0000-000009190000}"/>
    <cellStyle name="20 % - Markeringsfarve2 5 8" xfId="2125" xr:uid="{00000000-0005-0000-0000-00000A190000}"/>
    <cellStyle name="20 % - Markeringsfarve2 5 8 2" xfId="6797" xr:uid="{00000000-0005-0000-0000-00000B190000}"/>
    <cellStyle name="20 % - Markeringsfarve2 5 8 2 2" xfId="14708" xr:uid="{00000000-0005-0000-0000-00000C190000}"/>
    <cellStyle name="20 % - Markeringsfarve2 5 8 2 2 2" xfId="31022" xr:uid="{00000000-0005-0000-0000-00000D190000}"/>
    <cellStyle name="20 % - Markeringsfarve2 5 8 2 2 3" xfId="45986" xr:uid="{00000000-0005-0000-0000-00000E190000}"/>
    <cellStyle name="20 % - Markeringsfarve2 5 8 2 3" xfId="24000" xr:uid="{00000000-0005-0000-0000-00000F190000}"/>
    <cellStyle name="20 % - Markeringsfarve2 5 8 2 4" xfId="38987" xr:uid="{00000000-0005-0000-0000-000010190000}"/>
    <cellStyle name="20 % - Markeringsfarve2 5 8 3" xfId="10682" xr:uid="{00000000-0005-0000-0000-000011190000}"/>
    <cellStyle name="20 % - Markeringsfarve2 5 8 3 2" xfId="27001" xr:uid="{00000000-0005-0000-0000-000012190000}"/>
    <cellStyle name="20 % - Markeringsfarve2 5 8 3 3" xfId="41967" xr:uid="{00000000-0005-0000-0000-000013190000}"/>
    <cellStyle name="20 % - Markeringsfarve2 5 8 4" xfId="19979" xr:uid="{00000000-0005-0000-0000-000014190000}"/>
    <cellStyle name="20 % - Markeringsfarve2 5 8 5" xfId="34968" xr:uid="{00000000-0005-0000-0000-000015190000}"/>
    <cellStyle name="20 % - Markeringsfarve2 5 9" xfId="2126" xr:uid="{00000000-0005-0000-0000-000016190000}"/>
    <cellStyle name="20 % - Markeringsfarve2 5 9 2" xfId="8657" xr:uid="{00000000-0005-0000-0000-000017190000}"/>
    <cellStyle name="20 % - Markeringsfarve2 5 9 2 2" xfId="16540" xr:uid="{00000000-0005-0000-0000-000018190000}"/>
    <cellStyle name="20 % - Markeringsfarve2 5 9 2 2 2" xfId="32854" xr:uid="{00000000-0005-0000-0000-000019190000}"/>
    <cellStyle name="20 % - Markeringsfarve2 5 9 2 2 3" xfId="47818" xr:uid="{00000000-0005-0000-0000-00001A190000}"/>
    <cellStyle name="20 % - Markeringsfarve2 5 9 2 3" xfId="25832" xr:uid="{00000000-0005-0000-0000-00001B190000}"/>
    <cellStyle name="20 % - Markeringsfarve2 5 9 2 4" xfId="40819" xr:uid="{00000000-0005-0000-0000-00001C190000}"/>
    <cellStyle name="20 % - Markeringsfarve2 5 9 3" xfId="10683" xr:uid="{00000000-0005-0000-0000-00001D190000}"/>
    <cellStyle name="20 % - Markeringsfarve2 5 9 3 2" xfId="27002" xr:uid="{00000000-0005-0000-0000-00001E190000}"/>
    <cellStyle name="20 % - Markeringsfarve2 5 9 3 3" xfId="41968" xr:uid="{00000000-0005-0000-0000-00001F190000}"/>
    <cellStyle name="20 % - Markeringsfarve2 5 9 4" xfId="19980" xr:uid="{00000000-0005-0000-0000-000020190000}"/>
    <cellStyle name="20 % - Markeringsfarve2 5 9 5" xfId="34969" xr:uid="{00000000-0005-0000-0000-000021190000}"/>
    <cellStyle name="20 % - Markeringsfarve2 6" xfId="2127" xr:uid="{00000000-0005-0000-0000-000022190000}"/>
    <cellStyle name="20 % - Markeringsfarve2 6 10" xfId="53370" xr:uid="{00000000-0005-0000-0000-000023190000}"/>
    <cellStyle name="20 % - Markeringsfarve2 6 2" xfId="2128" xr:uid="{00000000-0005-0000-0000-000024190000}"/>
    <cellStyle name="20 % - Markeringsfarve2 6 2 2" xfId="2129" xr:uid="{00000000-0005-0000-0000-000025190000}"/>
    <cellStyle name="20 % - Markeringsfarve2 6 2 2 2" xfId="2130" xr:uid="{00000000-0005-0000-0000-000026190000}"/>
    <cellStyle name="20 % - Markeringsfarve2 6 2 2 2 2" xfId="7743" xr:uid="{00000000-0005-0000-0000-000027190000}"/>
    <cellStyle name="20 % - Markeringsfarve2 6 2 2 2 2 2" xfId="15644" xr:uid="{00000000-0005-0000-0000-000028190000}"/>
    <cellStyle name="20 % - Markeringsfarve2 6 2 2 2 2 2 2" xfId="31958" xr:uid="{00000000-0005-0000-0000-000029190000}"/>
    <cellStyle name="20 % - Markeringsfarve2 6 2 2 2 2 2 3" xfId="46922" xr:uid="{00000000-0005-0000-0000-00002A190000}"/>
    <cellStyle name="20 % - Markeringsfarve2 6 2 2 2 2 3" xfId="24936" xr:uid="{00000000-0005-0000-0000-00002B190000}"/>
    <cellStyle name="20 % - Markeringsfarve2 6 2 2 2 2 4" xfId="39923" xr:uid="{00000000-0005-0000-0000-00002C190000}"/>
    <cellStyle name="20 % - Markeringsfarve2 6 2 2 2 3" xfId="10687" xr:uid="{00000000-0005-0000-0000-00002D190000}"/>
    <cellStyle name="20 % - Markeringsfarve2 6 2 2 2 3 2" xfId="27006" xr:uid="{00000000-0005-0000-0000-00002E190000}"/>
    <cellStyle name="20 % - Markeringsfarve2 6 2 2 2 3 3" xfId="41972" xr:uid="{00000000-0005-0000-0000-00002F190000}"/>
    <cellStyle name="20 % - Markeringsfarve2 6 2 2 2 4" xfId="19984" xr:uid="{00000000-0005-0000-0000-000030190000}"/>
    <cellStyle name="20 % - Markeringsfarve2 6 2 2 2 5" xfId="34973" xr:uid="{00000000-0005-0000-0000-000031190000}"/>
    <cellStyle name="20 % - Markeringsfarve2 6 2 2 3" xfId="6307" xr:uid="{00000000-0005-0000-0000-000032190000}"/>
    <cellStyle name="20 % - Markeringsfarve2 6 2 2 3 2" xfId="14224" xr:uid="{00000000-0005-0000-0000-000033190000}"/>
    <cellStyle name="20 % - Markeringsfarve2 6 2 2 3 2 2" xfId="30538" xr:uid="{00000000-0005-0000-0000-000034190000}"/>
    <cellStyle name="20 % - Markeringsfarve2 6 2 2 3 2 3" xfId="45502" xr:uid="{00000000-0005-0000-0000-000035190000}"/>
    <cellStyle name="20 % - Markeringsfarve2 6 2 2 3 3" xfId="23516" xr:uid="{00000000-0005-0000-0000-000036190000}"/>
    <cellStyle name="20 % - Markeringsfarve2 6 2 2 3 4" xfId="38503" xr:uid="{00000000-0005-0000-0000-000037190000}"/>
    <cellStyle name="20 % - Markeringsfarve2 6 2 2 4" xfId="10686" xr:uid="{00000000-0005-0000-0000-000038190000}"/>
    <cellStyle name="20 % - Markeringsfarve2 6 2 2 4 2" xfId="27005" xr:uid="{00000000-0005-0000-0000-000039190000}"/>
    <cellStyle name="20 % - Markeringsfarve2 6 2 2 4 3" xfId="41971" xr:uid="{00000000-0005-0000-0000-00003A190000}"/>
    <cellStyle name="20 % - Markeringsfarve2 6 2 2 5" xfId="19983" xr:uid="{00000000-0005-0000-0000-00003B190000}"/>
    <cellStyle name="20 % - Markeringsfarve2 6 2 2 6" xfId="34972" xr:uid="{00000000-0005-0000-0000-00003C190000}"/>
    <cellStyle name="20 % - Markeringsfarve2 6 2 2 7" xfId="57174" xr:uid="{00000000-0005-0000-0000-00003D190000}"/>
    <cellStyle name="20 % - Markeringsfarve2 6 2 3" xfId="2131" xr:uid="{00000000-0005-0000-0000-00003E190000}"/>
    <cellStyle name="20 % - Markeringsfarve2 6 2 3 2" xfId="6973" xr:uid="{00000000-0005-0000-0000-00003F190000}"/>
    <cellStyle name="20 % - Markeringsfarve2 6 2 3 2 2" xfId="14884" xr:uid="{00000000-0005-0000-0000-000040190000}"/>
    <cellStyle name="20 % - Markeringsfarve2 6 2 3 2 2 2" xfId="31198" xr:uid="{00000000-0005-0000-0000-000041190000}"/>
    <cellStyle name="20 % - Markeringsfarve2 6 2 3 2 2 3" xfId="46162" xr:uid="{00000000-0005-0000-0000-000042190000}"/>
    <cellStyle name="20 % - Markeringsfarve2 6 2 3 2 3" xfId="24176" xr:uid="{00000000-0005-0000-0000-000043190000}"/>
    <cellStyle name="20 % - Markeringsfarve2 6 2 3 2 4" xfId="39163" xr:uid="{00000000-0005-0000-0000-000044190000}"/>
    <cellStyle name="20 % - Markeringsfarve2 6 2 3 3" xfId="10688" xr:uid="{00000000-0005-0000-0000-000045190000}"/>
    <cellStyle name="20 % - Markeringsfarve2 6 2 3 3 2" xfId="27007" xr:uid="{00000000-0005-0000-0000-000046190000}"/>
    <cellStyle name="20 % - Markeringsfarve2 6 2 3 3 3" xfId="41973" xr:uid="{00000000-0005-0000-0000-000047190000}"/>
    <cellStyle name="20 % - Markeringsfarve2 6 2 3 4" xfId="19985" xr:uid="{00000000-0005-0000-0000-000048190000}"/>
    <cellStyle name="20 % - Markeringsfarve2 6 2 3 5" xfId="34974" xr:uid="{00000000-0005-0000-0000-000049190000}"/>
    <cellStyle name="20 % - Markeringsfarve2 6 2 4" xfId="2132" xr:uid="{00000000-0005-0000-0000-00004A190000}"/>
    <cellStyle name="20 % - Markeringsfarve2 6 2 4 2" xfId="8531" xr:uid="{00000000-0005-0000-0000-00004B190000}"/>
    <cellStyle name="20 % - Markeringsfarve2 6 2 4 2 2" xfId="16419" xr:uid="{00000000-0005-0000-0000-00004C190000}"/>
    <cellStyle name="20 % - Markeringsfarve2 6 2 4 2 2 2" xfId="32733" xr:uid="{00000000-0005-0000-0000-00004D190000}"/>
    <cellStyle name="20 % - Markeringsfarve2 6 2 4 2 2 3" xfId="47697" xr:uid="{00000000-0005-0000-0000-00004E190000}"/>
    <cellStyle name="20 % - Markeringsfarve2 6 2 4 2 3" xfId="25711" xr:uid="{00000000-0005-0000-0000-00004F190000}"/>
    <cellStyle name="20 % - Markeringsfarve2 6 2 4 2 4" xfId="40698" xr:uid="{00000000-0005-0000-0000-000050190000}"/>
    <cellStyle name="20 % - Markeringsfarve2 6 2 4 3" xfId="10689" xr:uid="{00000000-0005-0000-0000-000051190000}"/>
    <cellStyle name="20 % - Markeringsfarve2 6 2 4 3 2" xfId="27008" xr:uid="{00000000-0005-0000-0000-000052190000}"/>
    <cellStyle name="20 % - Markeringsfarve2 6 2 4 3 3" xfId="41974" xr:uid="{00000000-0005-0000-0000-000053190000}"/>
    <cellStyle name="20 % - Markeringsfarve2 6 2 4 4" xfId="19986" xr:uid="{00000000-0005-0000-0000-000054190000}"/>
    <cellStyle name="20 % - Markeringsfarve2 6 2 4 5" xfId="34975" xr:uid="{00000000-0005-0000-0000-000055190000}"/>
    <cellStyle name="20 % - Markeringsfarve2 6 2 5" xfId="5516" xr:uid="{00000000-0005-0000-0000-000056190000}"/>
    <cellStyle name="20 % - Markeringsfarve2 6 2 5 2" xfId="13434" xr:uid="{00000000-0005-0000-0000-000057190000}"/>
    <cellStyle name="20 % - Markeringsfarve2 6 2 5 2 2" xfId="29748" xr:uid="{00000000-0005-0000-0000-000058190000}"/>
    <cellStyle name="20 % - Markeringsfarve2 6 2 5 2 3" xfId="44712" xr:uid="{00000000-0005-0000-0000-000059190000}"/>
    <cellStyle name="20 % - Markeringsfarve2 6 2 5 3" xfId="22726" xr:uid="{00000000-0005-0000-0000-00005A190000}"/>
    <cellStyle name="20 % - Markeringsfarve2 6 2 5 4" xfId="37713" xr:uid="{00000000-0005-0000-0000-00005B190000}"/>
    <cellStyle name="20 % - Markeringsfarve2 6 2 6" xfId="10685" xr:uid="{00000000-0005-0000-0000-00005C190000}"/>
    <cellStyle name="20 % - Markeringsfarve2 6 2 6 2" xfId="27004" xr:uid="{00000000-0005-0000-0000-00005D190000}"/>
    <cellStyle name="20 % - Markeringsfarve2 6 2 6 3" xfId="41970" xr:uid="{00000000-0005-0000-0000-00005E190000}"/>
    <cellStyle name="20 % - Markeringsfarve2 6 2 7" xfId="19982" xr:uid="{00000000-0005-0000-0000-00005F190000}"/>
    <cellStyle name="20 % - Markeringsfarve2 6 2 8" xfId="34971" xr:uid="{00000000-0005-0000-0000-000060190000}"/>
    <cellStyle name="20 % - Markeringsfarve2 6 2 9" xfId="54007" xr:uid="{00000000-0005-0000-0000-000061190000}"/>
    <cellStyle name="20 % - Markeringsfarve2 6 3" xfId="2133" xr:uid="{00000000-0005-0000-0000-000062190000}"/>
    <cellStyle name="20 % - Markeringsfarve2 6 3 2" xfId="2134" xr:uid="{00000000-0005-0000-0000-000063190000}"/>
    <cellStyle name="20 % - Markeringsfarve2 6 3 2 2" xfId="7610" xr:uid="{00000000-0005-0000-0000-000064190000}"/>
    <cellStyle name="20 % - Markeringsfarve2 6 3 2 2 2" xfId="15511" xr:uid="{00000000-0005-0000-0000-000065190000}"/>
    <cellStyle name="20 % - Markeringsfarve2 6 3 2 2 2 2" xfId="31825" xr:uid="{00000000-0005-0000-0000-000066190000}"/>
    <cellStyle name="20 % - Markeringsfarve2 6 3 2 2 2 3" xfId="46789" xr:uid="{00000000-0005-0000-0000-000067190000}"/>
    <cellStyle name="20 % - Markeringsfarve2 6 3 2 2 3" xfId="24803" xr:uid="{00000000-0005-0000-0000-000068190000}"/>
    <cellStyle name="20 % - Markeringsfarve2 6 3 2 2 4" xfId="39790" xr:uid="{00000000-0005-0000-0000-000069190000}"/>
    <cellStyle name="20 % - Markeringsfarve2 6 3 2 3" xfId="10691" xr:uid="{00000000-0005-0000-0000-00006A190000}"/>
    <cellStyle name="20 % - Markeringsfarve2 6 3 2 3 2" xfId="27010" xr:uid="{00000000-0005-0000-0000-00006B190000}"/>
    <cellStyle name="20 % - Markeringsfarve2 6 3 2 3 3" xfId="41976" xr:uid="{00000000-0005-0000-0000-00006C190000}"/>
    <cellStyle name="20 % - Markeringsfarve2 6 3 2 4" xfId="19988" xr:uid="{00000000-0005-0000-0000-00006D190000}"/>
    <cellStyle name="20 % - Markeringsfarve2 6 3 2 5" xfId="34977" xr:uid="{00000000-0005-0000-0000-00006E190000}"/>
    <cellStyle name="20 % - Markeringsfarve2 6 3 3" xfId="6193" xr:uid="{00000000-0005-0000-0000-00006F190000}"/>
    <cellStyle name="20 % - Markeringsfarve2 6 3 3 2" xfId="14110" xr:uid="{00000000-0005-0000-0000-000070190000}"/>
    <cellStyle name="20 % - Markeringsfarve2 6 3 3 2 2" xfId="30424" xr:uid="{00000000-0005-0000-0000-000071190000}"/>
    <cellStyle name="20 % - Markeringsfarve2 6 3 3 2 3" xfId="45388" xr:uid="{00000000-0005-0000-0000-000072190000}"/>
    <cellStyle name="20 % - Markeringsfarve2 6 3 3 3" xfId="23402" xr:uid="{00000000-0005-0000-0000-000073190000}"/>
    <cellStyle name="20 % - Markeringsfarve2 6 3 3 4" xfId="38389" xr:uid="{00000000-0005-0000-0000-000074190000}"/>
    <cellStyle name="20 % - Markeringsfarve2 6 3 4" xfId="10690" xr:uid="{00000000-0005-0000-0000-000075190000}"/>
    <cellStyle name="20 % - Markeringsfarve2 6 3 4 2" xfId="27009" xr:uid="{00000000-0005-0000-0000-000076190000}"/>
    <cellStyle name="20 % - Markeringsfarve2 6 3 4 3" xfId="41975" xr:uid="{00000000-0005-0000-0000-000077190000}"/>
    <cellStyle name="20 % - Markeringsfarve2 6 3 5" xfId="19987" xr:uid="{00000000-0005-0000-0000-000078190000}"/>
    <cellStyle name="20 % - Markeringsfarve2 6 3 6" xfId="34976" xr:uid="{00000000-0005-0000-0000-000079190000}"/>
    <cellStyle name="20 % - Markeringsfarve2 6 3 7" xfId="56551" xr:uid="{00000000-0005-0000-0000-00007A190000}"/>
    <cellStyle name="20 % - Markeringsfarve2 6 4" xfId="2135" xr:uid="{00000000-0005-0000-0000-00007B190000}"/>
    <cellStyle name="20 % - Markeringsfarve2 6 4 2" xfId="6840" xr:uid="{00000000-0005-0000-0000-00007C190000}"/>
    <cellStyle name="20 % - Markeringsfarve2 6 4 2 2" xfId="14751" xr:uid="{00000000-0005-0000-0000-00007D190000}"/>
    <cellStyle name="20 % - Markeringsfarve2 6 4 2 2 2" xfId="31065" xr:uid="{00000000-0005-0000-0000-00007E190000}"/>
    <cellStyle name="20 % - Markeringsfarve2 6 4 2 2 3" xfId="46029" xr:uid="{00000000-0005-0000-0000-00007F190000}"/>
    <cellStyle name="20 % - Markeringsfarve2 6 4 2 3" xfId="24043" xr:uid="{00000000-0005-0000-0000-000080190000}"/>
    <cellStyle name="20 % - Markeringsfarve2 6 4 2 4" xfId="39030" xr:uid="{00000000-0005-0000-0000-000081190000}"/>
    <cellStyle name="20 % - Markeringsfarve2 6 4 3" xfId="10692" xr:uid="{00000000-0005-0000-0000-000082190000}"/>
    <cellStyle name="20 % - Markeringsfarve2 6 4 3 2" xfId="27011" xr:uid="{00000000-0005-0000-0000-000083190000}"/>
    <cellStyle name="20 % - Markeringsfarve2 6 4 3 3" xfId="41977" xr:uid="{00000000-0005-0000-0000-000084190000}"/>
    <cellStyle name="20 % - Markeringsfarve2 6 4 4" xfId="19989" xr:uid="{00000000-0005-0000-0000-000085190000}"/>
    <cellStyle name="20 % - Markeringsfarve2 6 4 5" xfId="34978" xr:uid="{00000000-0005-0000-0000-000086190000}"/>
    <cellStyle name="20 % - Markeringsfarve2 6 5" xfId="2136" xr:uid="{00000000-0005-0000-0000-000087190000}"/>
    <cellStyle name="20 % - Markeringsfarve2 6 5 2" xfId="8526" xr:uid="{00000000-0005-0000-0000-000088190000}"/>
    <cellStyle name="20 % - Markeringsfarve2 6 5 2 2" xfId="16415" xr:uid="{00000000-0005-0000-0000-000089190000}"/>
    <cellStyle name="20 % - Markeringsfarve2 6 5 2 2 2" xfId="32729" xr:uid="{00000000-0005-0000-0000-00008A190000}"/>
    <cellStyle name="20 % - Markeringsfarve2 6 5 2 2 3" xfId="47693" xr:uid="{00000000-0005-0000-0000-00008B190000}"/>
    <cellStyle name="20 % - Markeringsfarve2 6 5 2 3" xfId="25707" xr:uid="{00000000-0005-0000-0000-00008C190000}"/>
    <cellStyle name="20 % - Markeringsfarve2 6 5 2 4" xfId="40694" xr:uid="{00000000-0005-0000-0000-00008D190000}"/>
    <cellStyle name="20 % - Markeringsfarve2 6 5 3" xfId="10693" xr:uid="{00000000-0005-0000-0000-00008E190000}"/>
    <cellStyle name="20 % - Markeringsfarve2 6 5 3 2" xfId="27012" xr:uid="{00000000-0005-0000-0000-00008F190000}"/>
    <cellStyle name="20 % - Markeringsfarve2 6 5 3 3" xfId="41978" xr:uid="{00000000-0005-0000-0000-000090190000}"/>
    <cellStyle name="20 % - Markeringsfarve2 6 5 4" xfId="19990" xr:uid="{00000000-0005-0000-0000-000091190000}"/>
    <cellStyle name="20 % - Markeringsfarve2 6 5 5" xfId="34979" xr:uid="{00000000-0005-0000-0000-000092190000}"/>
    <cellStyle name="20 % - Markeringsfarve2 6 6" xfId="5515" xr:uid="{00000000-0005-0000-0000-000093190000}"/>
    <cellStyle name="20 % - Markeringsfarve2 6 6 2" xfId="13433" xr:uid="{00000000-0005-0000-0000-000094190000}"/>
    <cellStyle name="20 % - Markeringsfarve2 6 6 2 2" xfId="29747" xr:uid="{00000000-0005-0000-0000-000095190000}"/>
    <cellStyle name="20 % - Markeringsfarve2 6 6 2 3" xfId="44711" xr:uid="{00000000-0005-0000-0000-000096190000}"/>
    <cellStyle name="20 % - Markeringsfarve2 6 6 3" xfId="22725" xr:uid="{00000000-0005-0000-0000-000097190000}"/>
    <cellStyle name="20 % - Markeringsfarve2 6 6 4" xfId="37712" xr:uid="{00000000-0005-0000-0000-000098190000}"/>
    <cellStyle name="20 % - Markeringsfarve2 6 7" xfId="10684" xr:uid="{00000000-0005-0000-0000-000099190000}"/>
    <cellStyle name="20 % - Markeringsfarve2 6 7 2" xfId="27003" xr:uid="{00000000-0005-0000-0000-00009A190000}"/>
    <cellStyle name="20 % - Markeringsfarve2 6 7 3" xfId="41969" xr:uid="{00000000-0005-0000-0000-00009B190000}"/>
    <cellStyle name="20 % - Markeringsfarve2 6 8" xfId="19981" xr:uid="{00000000-0005-0000-0000-00009C190000}"/>
    <cellStyle name="20 % - Markeringsfarve2 6 9" xfId="34970" xr:uid="{00000000-0005-0000-0000-00009D190000}"/>
    <cellStyle name="20 % - Markeringsfarve2 7" xfId="2137" xr:uid="{00000000-0005-0000-0000-00009E190000}"/>
    <cellStyle name="20 % - Markeringsfarve2 7 2" xfId="2138" xr:uid="{00000000-0005-0000-0000-00009F190000}"/>
    <cellStyle name="20 % - Markeringsfarve2 7 2 2" xfId="2139" xr:uid="{00000000-0005-0000-0000-0000A0190000}"/>
    <cellStyle name="20 % - Markeringsfarve2 7 2 2 2" xfId="7848" xr:uid="{00000000-0005-0000-0000-0000A1190000}"/>
    <cellStyle name="20 % - Markeringsfarve2 7 2 2 2 2" xfId="15749" xr:uid="{00000000-0005-0000-0000-0000A2190000}"/>
    <cellStyle name="20 % - Markeringsfarve2 7 2 2 2 2 2" xfId="32063" xr:uid="{00000000-0005-0000-0000-0000A3190000}"/>
    <cellStyle name="20 % - Markeringsfarve2 7 2 2 2 2 3" xfId="47027" xr:uid="{00000000-0005-0000-0000-0000A4190000}"/>
    <cellStyle name="20 % - Markeringsfarve2 7 2 2 2 3" xfId="25041" xr:uid="{00000000-0005-0000-0000-0000A5190000}"/>
    <cellStyle name="20 % - Markeringsfarve2 7 2 2 2 4" xfId="40028" xr:uid="{00000000-0005-0000-0000-0000A6190000}"/>
    <cellStyle name="20 % - Markeringsfarve2 7 2 2 3" xfId="10696" xr:uid="{00000000-0005-0000-0000-0000A7190000}"/>
    <cellStyle name="20 % - Markeringsfarve2 7 2 2 3 2" xfId="27015" xr:uid="{00000000-0005-0000-0000-0000A8190000}"/>
    <cellStyle name="20 % - Markeringsfarve2 7 2 2 3 3" xfId="41981" xr:uid="{00000000-0005-0000-0000-0000A9190000}"/>
    <cellStyle name="20 % - Markeringsfarve2 7 2 2 4" xfId="19993" xr:uid="{00000000-0005-0000-0000-0000AA190000}"/>
    <cellStyle name="20 % - Markeringsfarve2 7 2 2 5" xfId="34982" xr:uid="{00000000-0005-0000-0000-0000AB190000}"/>
    <cellStyle name="20 % - Markeringsfarve2 7 2 3" xfId="6395" xr:uid="{00000000-0005-0000-0000-0000AC190000}"/>
    <cellStyle name="20 % - Markeringsfarve2 7 2 3 2" xfId="14309" xr:uid="{00000000-0005-0000-0000-0000AD190000}"/>
    <cellStyle name="20 % - Markeringsfarve2 7 2 3 2 2" xfId="30623" xr:uid="{00000000-0005-0000-0000-0000AE190000}"/>
    <cellStyle name="20 % - Markeringsfarve2 7 2 3 2 3" xfId="45587" xr:uid="{00000000-0005-0000-0000-0000AF190000}"/>
    <cellStyle name="20 % - Markeringsfarve2 7 2 3 3" xfId="23601" xr:uid="{00000000-0005-0000-0000-0000B0190000}"/>
    <cellStyle name="20 % - Markeringsfarve2 7 2 3 4" xfId="38588" xr:uid="{00000000-0005-0000-0000-0000B1190000}"/>
    <cellStyle name="20 % - Markeringsfarve2 7 2 4" xfId="10695" xr:uid="{00000000-0005-0000-0000-0000B2190000}"/>
    <cellStyle name="20 % - Markeringsfarve2 7 2 4 2" xfId="27014" xr:uid="{00000000-0005-0000-0000-0000B3190000}"/>
    <cellStyle name="20 % - Markeringsfarve2 7 2 4 3" xfId="41980" xr:uid="{00000000-0005-0000-0000-0000B4190000}"/>
    <cellStyle name="20 % - Markeringsfarve2 7 2 5" xfId="19992" xr:uid="{00000000-0005-0000-0000-0000B5190000}"/>
    <cellStyle name="20 % - Markeringsfarve2 7 2 6" xfId="34981" xr:uid="{00000000-0005-0000-0000-0000B6190000}"/>
    <cellStyle name="20 % - Markeringsfarve2 7 2 7" xfId="57114" xr:uid="{00000000-0005-0000-0000-0000B7190000}"/>
    <cellStyle name="20 % - Markeringsfarve2 7 3" xfId="2140" xr:uid="{00000000-0005-0000-0000-0000B8190000}"/>
    <cellStyle name="20 % - Markeringsfarve2 7 3 2" xfId="7124" xr:uid="{00000000-0005-0000-0000-0000B9190000}"/>
    <cellStyle name="20 % - Markeringsfarve2 7 3 2 2" xfId="15034" xr:uid="{00000000-0005-0000-0000-0000BA190000}"/>
    <cellStyle name="20 % - Markeringsfarve2 7 3 2 2 2" xfId="31348" xr:uid="{00000000-0005-0000-0000-0000BB190000}"/>
    <cellStyle name="20 % - Markeringsfarve2 7 3 2 2 3" xfId="46312" xr:uid="{00000000-0005-0000-0000-0000BC190000}"/>
    <cellStyle name="20 % - Markeringsfarve2 7 3 2 3" xfId="24326" xr:uid="{00000000-0005-0000-0000-0000BD190000}"/>
    <cellStyle name="20 % - Markeringsfarve2 7 3 2 4" xfId="39313" xr:uid="{00000000-0005-0000-0000-0000BE190000}"/>
    <cellStyle name="20 % - Markeringsfarve2 7 3 3" xfId="10697" xr:uid="{00000000-0005-0000-0000-0000BF190000}"/>
    <cellStyle name="20 % - Markeringsfarve2 7 3 3 2" xfId="27016" xr:uid="{00000000-0005-0000-0000-0000C0190000}"/>
    <cellStyle name="20 % - Markeringsfarve2 7 3 3 3" xfId="41982" xr:uid="{00000000-0005-0000-0000-0000C1190000}"/>
    <cellStyle name="20 % - Markeringsfarve2 7 3 4" xfId="19994" xr:uid="{00000000-0005-0000-0000-0000C2190000}"/>
    <cellStyle name="20 % - Markeringsfarve2 7 3 5" xfId="34983" xr:uid="{00000000-0005-0000-0000-0000C3190000}"/>
    <cellStyle name="20 % - Markeringsfarve2 7 4" xfId="2141" xr:uid="{00000000-0005-0000-0000-0000C4190000}"/>
    <cellStyle name="20 % - Markeringsfarve2 7 4 2" xfId="8796" xr:uid="{00000000-0005-0000-0000-0000C5190000}"/>
    <cellStyle name="20 % - Markeringsfarve2 7 4 2 2" xfId="16672" xr:uid="{00000000-0005-0000-0000-0000C6190000}"/>
    <cellStyle name="20 % - Markeringsfarve2 7 4 2 2 2" xfId="32986" xr:uid="{00000000-0005-0000-0000-0000C7190000}"/>
    <cellStyle name="20 % - Markeringsfarve2 7 4 2 2 3" xfId="47950" xr:uid="{00000000-0005-0000-0000-0000C8190000}"/>
    <cellStyle name="20 % - Markeringsfarve2 7 4 2 3" xfId="25964" xr:uid="{00000000-0005-0000-0000-0000C9190000}"/>
    <cellStyle name="20 % - Markeringsfarve2 7 4 2 4" xfId="40951" xr:uid="{00000000-0005-0000-0000-0000CA190000}"/>
    <cellStyle name="20 % - Markeringsfarve2 7 4 3" xfId="10698" xr:uid="{00000000-0005-0000-0000-0000CB190000}"/>
    <cellStyle name="20 % - Markeringsfarve2 7 4 3 2" xfId="27017" xr:uid="{00000000-0005-0000-0000-0000CC190000}"/>
    <cellStyle name="20 % - Markeringsfarve2 7 4 3 3" xfId="41983" xr:uid="{00000000-0005-0000-0000-0000CD190000}"/>
    <cellStyle name="20 % - Markeringsfarve2 7 4 4" xfId="19995" xr:uid="{00000000-0005-0000-0000-0000CE190000}"/>
    <cellStyle name="20 % - Markeringsfarve2 7 4 5" xfId="34984" xr:uid="{00000000-0005-0000-0000-0000CF190000}"/>
    <cellStyle name="20 % - Markeringsfarve2 7 5" xfId="5517" xr:uid="{00000000-0005-0000-0000-0000D0190000}"/>
    <cellStyle name="20 % - Markeringsfarve2 7 5 2" xfId="13435" xr:uid="{00000000-0005-0000-0000-0000D1190000}"/>
    <cellStyle name="20 % - Markeringsfarve2 7 5 2 2" xfId="29749" xr:uid="{00000000-0005-0000-0000-0000D2190000}"/>
    <cellStyle name="20 % - Markeringsfarve2 7 5 2 3" xfId="44713" xr:uid="{00000000-0005-0000-0000-0000D3190000}"/>
    <cellStyle name="20 % - Markeringsfarve2 7 5 3" xfId="22727" xr:uid="{00000000-0005-0000-0000-0000D4190000}"/>
    <cellStyle name="20 % - Markeringsfarve2 7 5 4" xfId="37714" xr:uid="{00000000-0005-0000-0000-0000D5190000}"/>
    <cellStyle name="20 % - Markeringsfarve2 7 6" xfId="10694" xr:uid="{00000000-0005-0000-0000-0000D6190000}"/>
    <cellStyle name="20 % - Markeringsfarve2 7 6 2" xfId="27013" xr:uid="{00000000-0005-0000-0000-0000D7190000}"/>
    <cellStyle name="20 % - Markeringsfarve2 7 6 3" xfId="41979" xr:uid="{00000000-0005-0000-0000-0000D8190000}"/>
    <cellStyle name="20 % - Markeringsfarve2 7 7" xfId="19991" xr:uid="{00000000-0005-0000-0000-0000D9190000}"/>
    <cellStyle name="20 % - Markeringsfarve2 7 8" xfId="34980" xr:uid="{00000000-0005-0000-0000-0000DA190000}"/>
    <cellStyle name="20 % - Markeringsfarve2 7 9" xfId="53947" xr:uid="{00000000-0005-0000-0000-0000DB190000}"/>
    <cellStyle name="20 % - Markeringsfarve2 8" xfId="2142" xr:uid="{00000000-0005-0000-0000-0000DC190000}"/>
    <cellStyle name="20 % - Markeringsfarve2 8 2" xfId="2143" xr:uid="{00000000-0005-0000-0000-0000DD190000}"/>
    <cellStyle name="20 % - Markeringsfarve2 8 2 2" xfId="2144" xr:uid="{00000000-0005-0000-0000-0000DE190000}"/>
    <cellStyle name="20 % - Markeringsfarve2 8 2 2 2" xfId="7965" xr:uid="{00000000-0005-0000-0000-0000DF190000}"/>
    <cellStyle name="20 % - Markeringsfarve2 8 2 2 2 2" xfId="15866" xr:uid="{00000000-0005-0000-0000-0000E0190000}"/>
    <cellStyle name="20 % - Markeringsfarve2 8 2 2 2 2 2" xfId="32180" xr:uid="{00000000-0005-0000-0000-0000E1190000}"/>
    <cellStyle name="20 % - Markeringsfarve2 8 2 2 2 2 3" xfId="47144" xr:uid="{00000000-0005-0000-0000-0000E2190000}"/>
    <cellStyle name="20 % - Markeringsfarve2 8 2 2 2 3" xfId="25158" xr:uid="{00000000-0005-0000-0000-0000E3190000}"/>
    <cellStyle name="20 % - Markeringsfarve2 8 2 2 2 4" xfId="40145" xr:uid="{00000000-0005-0000-0000-0000E4190000}"/>
    <cellStyle name="20 % - Markeringsfarve2 8 2 2 3" xfId="10701" xr:uid="{00000000-0005-0000-0000-0000E5190000}"/>
    <cellStyle name="20 % - Markeringsfarve2 8 2 2 3 2" xfId="27020" xr:uid="{00000000-0005-0000-0000-0000E6190000}"/>
    <cellStyle name="20 % - Markeringsfarve2 8 2 2 3 3" xfId="41986" xr:uid="{00000000-0005-0000-0000-0000E7190000}"/>
    <cellStyle name="20 % - Markeringsfarve2 8 2 2 4" xfId="19998" xr:uid="{00000000-0005-0000-0000-0000E8190000}"/>
    <cellStyle name="20 % - Markeringsfarve2 8 2 2 5" xfId="34987" xr:uid="{00000000-0005-0000-0000-0000E9190000}"/>
    <cellStyle name="20 % - Markeringsfarve2 8 2 3" xfId="6494" xr:uid="{00000000-0005-0000-0000-0000EA190000}"/>
    <cellStyle name="20 % - Markeringsfarve2 8 2 3 2" xfId="14408" xr:uid="{00000000-0005-0000-0000-0000EB190000}"/>
    <cellStyle name="20 % - Markeringsfarve2 8 2 3 2 2" xfId="30722" xr:uid="{00000000-0005-0000-0000-0000EC190000}"/>
    <cellStyle name="20 % - Markeringsfarve2 8 2 3 2 3" xfId="45686" xr:uid="{00000000-0005-0000-0000-0000ED190000}"/>
    <cellStyle name="20 % - Markeringsfarve2 8 2 3 3" xfId="23700" xr:uid="{00000000-0005-0000-0000-0000EE190000}"/>
    <cellStyle name="20 % - Markeringsfarve2 8 2 3 4" xfId="38687" xr:uid="{00000000-0005-0000-0000-0000EF190000}"/>
    <cellStyle name="20 % - Markeringsfarve2 8 2 4" xfId="10700" xr:uid="{00000000-0005-0000-0000-0000F0190000}"/>
    <cellStyle name="20 % - Markeringsfarve2 8 2 4 2" xfId="27019" xr:uid="{00000000-0005-0000-0000-0000F1190000}"/>
    <cellStyle name="20 % - Markeringsfarve2 8 2 4 3" xfId="41985" xr:uid="{00000000-0005-0000-0000-0000F2190000}"/>
    <cellStyle name="20 % - Markeringsfarve2 8 2 5" xfId="19997" xr:uid="{00000000-0005-0000-0000-0000F3190000}"/>
    <cellStyle name="20 % - Markeringsfarve2 8 2 6" xfId="34986" xr:uid="{00000000-0005-0000-0000-0000F4190000}"/>
    <cellStyle name="20 % - Markeringsfarve2 8 3" xfId="2145" xr:uid="{00000000-0005-0000-0000-0000F5190000}"/>
    <cellStyle name="20 % - Markeringsfarve2 8 3 2" xfId="7241" xr:uid="{00000000-0005-0000-0000-0000F6190000}"/>
    <cellStyle name="20 % - Markeringsfarve2 8 3 2 2" xfId="15151" xr:uid="{00000000-0005-0000-0000-0000F7190000}"/>
    <cellStyle name="20 % - Markeringsfarve2 8 3 2 2 2" xfId="31465" xr:uid="{00000000-0005-0000-0000-0000F8190000}"/>
    <cellStyle name="20 % - Markeringsfarve2 8 3 2 2 3" xfId="46429" xr:uid="{00000000-0005-0000-0000-0000F9190000}"/>
    <cellStyle name="20 % - Markeringsfarve2 8 3 2 3" xfId="24443" xr:uid="{00000000-0005-0000-0000-0000FA190000}"/>
    <cellStyle name="20 % - Markeringsfarve2 8 3 2 4" xfId="39430" xr:uid="{00000000-0005-0000-0000-0000FB190000}"/>
    <cellStyle name="20 % - Markeringsfarve2 8 3 3" xfId="10702" xr:uid="{00000000-0005-0000-0000-0000FC190000}"/>
    <cellStyle name="20 % - Markeringsfarve2 8 3 3 2" xfId="27021" xr:uid="{00000000-0005-0000-0000-0000FD190000}"/>
    <cellStyle name="20 % - Markeringsfarve2 8 3 3 3" xfId="41987" xr:uid="{00000000-0005-0000-0000-0000FE190000}"/>
    <cellStyle name="20 % - Markeringsfarve2 8 3 4" xfId="19999" xr:uid="{00000000-0005-0000-0000-0000FF190000}"/>
    <cellStyle name="20 % - Markeringsfarve2 8 3 5" xfId="34988" xr:uid="{00000000-0005-0000-0000-0000001A0000}"/>
    <cellStyle name="20 % - Markeringsfarve2 8 4" xfId="2146" xr:uid="{00000000-0005-0000-0000-0000011A0000}"/>
    <cellStyle name="20 % - Markeringsfarve2 8 4 2" xfId="8517" xr:uid="{00000000-0005-0000-0000-0000021A0000}"/>
    <cellStyle name="20 % - Markeringsfarve2 8 4 2 2" xfId="16406" xr:uid="{00000000-0005-0000-0000-0000031A0000}"/>
    <cellStyle name="20 % - Markeringsfarve2 8 4 2 2 2" xfId="32720" xr:uid="{00000000-0005-0000-0000-0000041A0000}"/>
    <cellStyle name="20 % - Markeringsfarve2 8 4 2 2 3" xfId="47684" xr:uid="{00000000-0005-0000-0000-0000051A0000}"/>
    <cellStyle name="20 % - Markeringsfarve2 8 4 2 3" xfId="25698" xr:uid="{00000000-0005-0000-0000-0000061A0000}"/>
    <cellStyle name="20 % - Markeringsfarve2 8 4 2 4" xfId="40685" xr:uid="{00000000-0005-0000-0000-0000071A0000}"/>
    <cellStyle name="20 % - Markeringsfarve2 8 4 3" xfId="10703" xr:uid="{00000000-0005-0000-0000-0000081A0000}"/>
    <cellStyle name="20 % - Markeringsfarve2 8 4 3 2" xfId="27022" xr:uid="{00000000-0005-0000-0000-0000091A0000}"/>
    <cellStyle name="20 % - Markeringsfarve2 8 4 3 3" xfId="41988" xr:uid="{00000000-0005-0000-0000-00000A1A0000}"/>
    <cellStyle name="20 % - Markeringsfarve2 8 4 4" xfId="20000" xr:uid="{00000000-0005-0000-0000-00000B1A0000}"/>
    <cellStyle name="20 % - Markeringsfarve2 8 4 5" xfId="34989" xr:uid="{00000000-0005-0000-0000-00000C1A0000}"/>
    <cellStyle name="20 % - Markeringsfarve2 8 5" xfId="5518" xr:uid="{00000000-0005-0000-0000-00000D1A0000}"/>
    <cellStyle name="20 % - Markeringsfarve2 8 5 2" xfId="13436" xr:uid="{00000000-0005-0000-0000-00000E1A0000}"/>
    <cellStyle name="20 % - Markeringsfarve2 8 5 2 2" xfId="29750" xr:uid="{00000000-0005-0000-0000-00000F1A0000}"/>
    <cellStyle name="20 % - Markeringsfarve2 8 5 2 3" xfId="44714" xr:uid="{00000000-0005-0000-0000-0000101A0000}"/>
    <cellStyle name="20 % - Markeringsfarve2 8 5 3" xfId="22728" xr:uid="{00000000-0005-0000-0000-0000111A0000}"/>
    <cellStyle name="20 % - Markeringsfarve2 8 5 4" xfId="37715" xr:uid="{00000000-0005-0000-0000-0000121A0000}"/>
    <cellStyle name="20 % - Markeringsfarve2 8 6" xfId="10699" xr:uid="{00000000-0005-0000-0000-0000131A0000}"/>
    <cellStyle name="20 % - Markeringsfarve2 8 6 2" xfId="27018" xr:uid="{00000000-0005-0000-0000-0000141A0000}"/>
    <cellStyle name="20 % - Markeringsfarve2 8 6 3" xfId="41984" xr:uid="{00000000-0005-0000-0000-0000151A0000}"/>
    <cellStyle name="20 % - Markeringsfarve2 8 7" xfId="19996" xr:uid="{00000000-0005-0000-0000-0000161A0000}"/>
    <cellStyle name="20 % - Markeringsfarve2 8 8" xfId="34985" xr:uid="{00000000-0005-0000-0000-0000171A0000}"/>
    <cellStyle name="20 % - Markeringsfarve2 9" xfId="2147" xr:uid="{00000000-0005-0000-0000-0000181A0000}"/>
    <cellStyle name="20 % - Markeringsfarve2 9 2" xfId="2148" xr:uid="{00000000-0005-0000-0000-0000191A0000}"/>
    <cellStyle name="20 % - Markeringsfarve2 9 2 2" xfId="2149" xr:uid="{00000000-0005-0000-0000-00001A1A0000}"/>
    <cellStyle name="20 % - Markeringsfarve2 9 2 2 2" xfId="8089" xr:uid="{00000000-0005-0000-0000-00001B1A0000}"/>
    <cellStyle name="20 % - Markeringsfarve2 9 2 2 2 2" xfId="15990" xr:uid="{00000000-0005-0000-0000-00001C1A0000}"/>
    <cellStyle name="20 % - Markeringsfarve2 9 2 2 2 2 2" xfId="32304" xr:uid="{00000000-0005-0000-0000-00001D1A0000}"/>
    <cellStyle name="20 % - Markeringsfarve2 9 2 2 2 2 3" xfId="47268" xr:uid="{00000000-0005-0000-0000-00001E1A0000}"/>
    <cellStyle name="20 % - Markeringsfarve2 9 2 2 2 3" xfId="25282" xr:uid="{00000000-0005-0000-0000-00001F1A0000}"/>
    <cellStyle name="20 % - Markeringsfarve2 9 2 2 2 4" xfId="40269" xr:uid="{00000000-0005-0000-0000-0000201A0000}"/>
    <cellStyle name="20 % - Markeringsfarve2 9 2 2 3" xfId="10706" xr:uid="{00000000-0005-0000-0000-0000211A0000}"/>
    <cellStyle name="20 % - Markeringsfarve2 9 2 2 3 2" xfId="27025" xr:uid="{00000000-0005-0000-0000-0000221A0000}"/>
    <cellStyle name="20 % - Markeringsfarve2 9 2 2 3 3" xfId="41991" xr:uid="{00000000-0005-0000-0000-0000231A0000}"/>
    <cellStyle name="20 % - Markeringsfarve2 9 2 2 4" xfId="20003" xr:uid="{00000000-0005-0000-0000-0000241A0000}"/>
    <cellStyle name="20 % - Markeringsfarve2 9 2 2 5" xfId="34992" xr:uid="{00000000-0005-0000-0000-0000251A0000}"/>
    <cellStyle name="20 % - Markeringsfarve2 9 2 3" xfId="6600" xr:uid="{00000000-0005-0000-0000-0000261A0000}"/>
    <cellStyle name="20 % - Markeringsfarve2 9 2 3 2" xfId="14514" xr:uid="{00000000-0005-0000-0000-0000271A0000}"/>
    <cellStyle name="20 % - Markeringsfarve2 9 2 3 2 2" xfId="30828" xr:uid="{00000000-0005-0000-0000-0000281A0000}"/>
    <cellStyle name="20 % - Markeringsfarve2 9 2 3 2 3" xfId="45792" xr:uid="{00000000-0005-0000-0000-0000291A0000}"/>
    <cellStyle name="20 % - Markeringsfarve2 9 2 3 3" xfId="23806" xr:uid="{00000000-0005-0000-0000-00002A1A0000}"/>
    <cellStyle name="20 % - Markeringsfarve2 9 2 3 4" xfId="38793" xr:uid="{00000000-0005-0000-0000-00002B1A0000}"/>
    <cellStyle name="20 % - Markeringsfarve2 9 2 4" xfId="10705" xr:uid="{00000000-0005-0000-0000-00002C1A0000}"/>
    <cellStyle name="20 % - Markeringsfarve2 9 2 4 2" xfId="27024" xr:uid="{00000000-0005-0000-0000-00002D1A0000}"/>
    <cellStyle name="20 % - Markeringsfarve2 9 2 4 3" xfId="41990" xr:uid="{00000000-0005-0000-0000-00002E1A0000}"/>
    <cellStyle name="20 % - Markeringsfarve2 9 2 5" xfId="20002" xr:uid="{00000000-0005-0000-0000-00002F1A0000}"/>
    <cellStyle name="20 % - Markeringsfarve2 9 2 6" xfId="34991" xr:uid="{00000000-0005-0000-0000-0000301A0000}"/>
    <cellStyle name="20 % - Markeringsfarve2 9 3" xfId="2150" xr:uid="{00000000-0005-0000-0000-0000311A0000}"/>
    <cellStyle name="20 % - Markeringsfarve2 9 3 2" xfId="7366" xr:uid="{00000000-0005-0000-0000-0000321A0000}"/>
    <cellStyle name="20 % - Markeringsfarve2 9 3 2 2" xfId="15276" xr:uid="{00000000-0005-0000-0000-0000331A0000}"/>
    <cellStyle name="20 % - Markeringsfarve2 9 3 2 2 2" xfId="31590" xr:uid="{00000000-0005-0000-0000-0000341A0000}"/>
    <cellStyle name="20 % - Markeringsfarve2 9 3 2 2 3" xfId="46554" xr:uid="{00000000-0005-0000-0000-0000351A0000}"/>
    <cellStyle name="20 % - Markeringsfarve2 9 3 2 3" xfId="24568" xr:uid="{00000000-0005-0000-0000-0000361A0000}"/>
    <cellStyle name="20 % - Markeringsfarve2 9 3 2 4" xfId="39555" xr:uid="{00000000-0005-0000-0000-0000371A0000}"/>
    <cellStyle name="20 % - Markeringsfarve2 9 3 3" xfId="10707" xr:uid="{00000000-0005-0000-0000-0000381A0000}"/>
    <cellStyle name="20 % - Markeringsfarve2 9 3 3 2" xfId="27026" xr:uid="{00000000-0005-0000-0000-0000391A0000}"/>
    <cellStyle name="20 % - Markeringsfarve2 9 3 3 3" xfId="41992" xr:uid="{00000000-0005-0000-0000-00003A1A0000}"/>
    <cellStyle name="20 % - Markeringsfarve2 9 3 4" xfId="20004" xr:uid="{00000000-0005-0000-0000-00003B1A0000}"/>
    <cellStyle name="20 % - Markeringsfarve2 9 3 5" xfId="34993" xr:uid="{00000000-0005-0000-0000-00003C1A0000}"/>
    <cellStyle name="20 % - Markeringsfarve2 9 4" xfId="2151" xr:uid="{00000000-0005-0000-0000-00003D1A0000}"/>
    <cellStyle name="20 % - Markeringsfarve2 9 4 2" xfId="8795" xr:uid="{00000000-0005-0000-0000-00003E1A0000}"/>
    <cellStyle name="20 % - Markeringsfarve2 9 4 2 2" xfId="16671" xr:uid="{00000000-0005-0000-0000-00003F1A0000}"/>
    <cellStyle name="20 % - Markeringsfarve2 9 4 2 2 2" xfId="32985" xr:uid="{00000000-0005-0000-0000-0000401A0000}"/>
    <cellStyle name="20 % - Markeringsfarve2 9 4 2 2 3" xfId="47949" xr:uid="{00000000-0005-0000-0000-0000411A0000}"/>
    <cellStyle name="20 % - Markeringsfarve2 9 4 2 3" xfId="25963" xr:uid="{00000000-0005-0000-0000-0000421A0000}"/>
    <cellStyle name="20 % - Markeringsfarve2 9 4 2 4" xfId="40950" xr:uid="{00000000-0005-0000-0000-0000431A0000}"/>
    <cellStyle name="20 % - Markeringsfarve2 9 4 3" xfId="10708" xr:uid="{00000000-0005-0000-0000-0000441A0000}"/>
    <cellStyle name="20 % - Markeringsfarve2 9 4 3 2" xfId="27027" xr:uid="{00000000-0005-0000-0000-0000451A0000}"/>
    <cellStyle name="20 % - Markeringsfarve2 9 4 3 3" xfId="41993" xr:uid="{00000000-0005-0000-0000-0000461A0000}"/>
    <cellStyle name="20 % - Markeringsfarve2 9 4 4" xfId="20005" xr:uid="{00000000-0005-0000-0000-0000471A0000}"/>
    <cellStyle name="20 % - Markeringsfarve2 9 4 5" xfId="34994" xr:uid="{00000000-0005-0000-0000-0000481A0000}"/>
    <cellStyle name="20 % - Markeringsfarve2 9 5" xfId="5519" xr:uid="{00000000-0005-0000-0000-0000491A0000}"/>
    <cellStyle name="20 % - Markeringsfarve2 9 5 2" xfId="13437" xr:uid="{00000000-0005-0000-0000-00004A1A0000}"/>
    <cellStyle name="20 % - Markeringsfarve2 9 5 2 2" xfId="29751" xr:uid="{00000000-0005-0000-0000-00004B1A0000}"/>
    <cellStyle name="20 % - Markeringsfarve2 9 5 2 3" xfId="44715" xr:uid="{00000000-0005-0000-0000-00004C1A0000}"/>
    <cellStyle name="20 % - Markeringsfarve2 9 5 3" xfId="22729" xr:uid="{00000000-0005-0000-0000-00004D1A0000}"/>
    <cellStyle name="20 % - Markeringsfarve2 9 5 4" xfId="37716" xr:uid="{00000000-0005-0000-0000-00004E1A0000}"/>
    <cellStyle name="20 % - Markeringsfarve2 9 6" xfId="10704" xr:uid="{00000000-0005-0000-0000-00004F1A0000}"/>
    <cellStyle name="20 % - Markeringsfarve2 9 6 2" xfId="27023" xr:uid="{00000000-0005-0000-0000-0000501A0000}"/>
    <cellStyle name="20 % - Markeringsfarve2 9 6 3" xfId="41989" xr:uid="{00000000-0005-0000-0000-0000511A0000}"/>
    <cellStyle name="20 % - Markeringsfarve2 9 7" xfId="20001" xr:uid="{00000000-0005-0000-0000-0000521A0000}"/>
    <cellStyle name="20 % - Markeringsfarve2 9 8" xfId="34990" xr:uid="{00000000-0005-0000-0000-0000531A0000}"/>
    <cellStyle name="20 % - Markeringsfarve3 10" xfId="2153" xr:uid="{00000000-0005-0000-0000-0000541A0000}"/>
    <cellStyle name="20 % - Markeringsfarve3 10 2" xfId="2154" xr:uid="{00000000-0005-0000-0000-0000551A0000}"/>
    <cellStyle name="20 % - Markeringsfarve3 10 2 2" xfId="7492" xr:uid="{00000000-0005-0000-0000-0000561A0000}"/>
    <cellStyle name="20 % - Markeringsfarve3 10 2 2 2" xfId="15393" xr:uid="{00000000-0005-0000-0000-0000571A0000}"/>
    <cellStyle name="20 % - Markeringsfarve3 10 2 2 2 2" xfId="31707" xr:uid="{00000000-0005-0000-0000-0000581A0000}"/>
    <cellStyle name="20 % - Markeringsfarve3 10 2 2 2 3" xfId="46671" xr:uid="{00000000-0005-0000-0000-0000591A0000}"/>
    <cellStyle name="20 % - Markeringsfarve3 10 2 2 3" xfId="24685" xr:uid="{00000000-0005-0000-0000-00005A1A0000}"/>
    <cellStyle name="20 % - Markeringsfarve3 10 2 2 4" xfId="39672" xr:uid="{00000000-0005-0000-0000-00005B1A0000}"/>
    <cellStyle name="20 % - Markeringsfarve3 10 2 3" xfId="10711" xr:uid="{00000000-0005-0000-0000-00005C1A0000}"/>
    <cellStyle name="20 % - Markeringsfarve3 10 2 3 2" xfId="27030" xr:uid="{00000000-0005-0000-0000-00005D1A0000}"/>
    <cellStyle name="20 % - Markeringsfarve3 10 2 3 3" xfId="41996" xr:uid="{00000000-0005-0000-0000-00005E1A0000}"/>
    <cellStyle name="20 % - Markeringsfarve3 10 2 4" xfId="20008" xr:uid="{00000000-0005-0000-0000-00005F1A0000}"/>
    <cellStyle name="20 % - Markeringsfarve3 10 2 5" xfId="34997" xr:uid="{00000000-0005-0000-0000-0000601A0000}"/>
    <cellStyle name="20 % - Markeringsfarve3 10 3" xfId="2155" xr:uid="{00000000-0005-0000-0000-0000611A0000}"/>
    <cellStyle name="20 % - Markeringsfarve3 10 3 2" xfId="8794" xr:uid="{00000000-0005-0000-0000-0000621A0000}"/>
    <cellStyle name="20 % - Markeringsfarve3 10 3 2 2" xfId="16670" xr:uid="{00000000-0005-0000-0000-0000631A0000}"/>
    <cellStyle name="20 % - Markeringsfarve3 10 3 2 2 2" xfId="32984" xr:uid="{00000000-0005-0000-0000-0000641A0000}"/>
    <cellStyle name="20 % - Markeringsfarve3 10 3 2 2 3" xfId="47948" xr:uid="{00000000-0005-0000-0000-0000651A0000}"/>
    <cellStyle name="20 % - Markeringsfarve3 10 3 2 3" xfId="25962" xr:uid="{00000000-0005-0000-0000-0000661A0000}"/>
    <cellStyle name="20 % - Markeringsfarve3 10 3 2 4" xfId="40949" xr:uid="{00000000-0005-0000-0000-0000671A0000}"/>
    <cellStyle name="20 % - Markeringsfarve3 10 3 3" xfId="10712" xr:uid="{00000000-0005-0000-0000-0000681A0000}"/>
    <cellStyle name="20 % - Markeringsfarve3 10 3 3 2" xfId="27031" xr:uid="{00000000-0005-0000-0000-0000691A0000}"/>
    <cellStyle name="20 % - Markeringsfarve3 10 3 3 3" xfId="41997" xr:uid="{00000000-0005-0000-0000-00006A1A0000}"/>
    <cellStyle name="20 % - Markeringsfarve3 10 3 4" xfId="20009" xr:uid="{00000000-0005-0000-0000-00006B1A0000}"/>
    <cellStyle name="20 % - Markeringsfarve3 10 3 5" xfId="34998" xr:uid="{00000000-0005-0000-0000-00006C1A0000}"/>
    <cellStyle name="20 % - Markeringsfarve3 10 4" xfId="5521" xr:uid="{00000000-0005-0000-0000-00006D1A0000}"/>
    <cellStyle name="20 % - Markeringsfarve3 10 4 2" xfId="13439" xr:uid="{00000000-0005-0000-0000-00006E1A0000}"/>
    <cellStyle name="20 % - Markeringsfarve3 10 4 2 2" xfId="29753" xr:uid="{00000000-0005-0000-0000-00006F1A0000}"/>
    <cellStyle name="20 % - Markeringsfarve3 10 4 2 3" xfId="44717" xr:uid="{00000000-0005-0000-0000-0000701A0000}"/>
    <cellStyle name="20 % - Markeringsfarve3 10 4 3" xfId="22731" xr:uid="{00000000-0005-0000-0000-0000711A0000}"/>
    <cellStyle name="20 % - Markeringsfarve3 10 4 4" xfId="37718" xr:uid="{00000000-0005-0000-0000-0000721A0000}"/>
    <cellStyle name="20 % - Markeringsfarve3 10 5" xfId="10710" xr:uid="{00000000-0005-0000-0000-0000731A0000}"/>
    <cellStyle name="20 % - Markeringsfarve3 10 5 2" xfId="27029" xr:uid="{00000000-0005-0000-0000-0000741A0000}"/>
    <cellStyle name="20 % - Markeringsfarve3 10 5 3" xfId="41995" xr:uid="{00000000-0005-0000-0000-0000751A0000}"/>
    <cellStyle name="20 % - Markeringsfarve3 10 6" xfId="20007" xr:uid="{00000000-0005-0000-0000-0000761A0000}"/>
    <cellStyle name="20 % - Markeringsfarve3 10 7" xfId="34996" xr:uid="{00000000-0005-0000-0000-0000771A0000}"/>
    <cellStyle name="20 % - Markeringsfarve3 11" xfId="2156" xr:uid="{00000000-0005-0000-0000-0000781A0000}"/>
    <cellStyle name="20 % - Markeringsfarve3 11 2" xfId="2157" xr:uid="{00000000-0005-0000-0000-0000791A0000}"/>
    <cellStyle name="20 % - Markeringsfarve3 11 2 2" xfId="8515" xr:uid="{00000000-0005-0000-0000-00007A1A0000}"/>
    <cellStyle name="20 % - Markeringsfarve3 11 2 2 2" xfId="16404" xr:uid="{00000000-0005-0000-0000-00007B1A0000}"/>
    <cellStyle name="20 % - Markeringsfarve3 11 2 2 2 2" xfId="32718" xr:uid="{00000000-0005-0000-0000-00007C1A0000}"/>
    <cellStyle name="20 % - Markeringsfarve3 11 2 2 2 3" xfId="47682" xr:uid="{00000000-0005-0000-0000-00007D1A0000}"/>
    <cellStyle name="20 % - Markeringsfarve3 11 2 2 3" xfId="25696" xr:uid="{00000000-0005-0000-0000-00007E1A0000}"/>
    <cellStyle name="20 % - Markeringsfarve3 11 2 2 4" xfId="40683" xr:uid="{00000000-0005-0000-0000-00007F1A0000}"/>
    <cellStyle name="20 % - Markeringsfarve3 11 2 3" xfId="10714" xr:uid="{00000000-0005-0000-0000-0000801A0000}"/>
    <cellStyle name="20 % - Markeringsfarve3 11 2 3 2" xfId="27033" xr:uid="{00000000-0005-0000-0000-0000811A0000}"/>
    <cellStyle name="20 % - Markeringsfarve3 11 2 3 3" xfId="41999" xr:uid="{00000000-0005-0000-0000-0000821A0000}"/>
    <cellStyle name="20 % - Markeringsfarve3 11 2 4" xfId="20011" xr:uid="{00000000-0005-0000-0000-0000831A0000}"/>
    <cellStyle name="20 % - Markeringsfarve3 11 2 5" xfId="35000" xr:uid="{00000000-0005-0000-0000-0000841A0000}"/>
    <cellStyle name="20 % - Markeringsfarve3 11 3" xfId="5522" xr:uid="{00000000-0005-0000-0000-0000851A0000}"/>
    <cellStyle name="20 % - Markeringsfarve3 11 3 2" xfId="13440" xr:uid="{00000000-0005-0000-0000-0000861A0000}"/>
    <cellStyle name="20 % - Markeringsfarve3 11 3 2 2" xfId="29754" xr:uid="{00000000-0005-0000-0000-0000871A0000}"/>
    <cellStyle name="20 % - Markeringsfarve3 11 3 2 3" xfId="44718" xr:uid="{00000000-0005-0000-0000-0000881A0000}"/>
    <cellStyle name="20 % - Markeringsfarve3 11 3 3" xfId="22732" xr:uid="{00000000-0005-0000-0000-0000891A0000}"/>
    <cellStyle name="20 % - Markeringsfarve3 11 3 4" xfId="37719" xr:uid="{00000000-0005-0000-0000-00008A1A0000}"/>
    <cellStyle name="20 % - Markeringsfarve3 11 4" xfId="10713" xr:uid="{00000000-0005-0000-0000-00008B1A0000}"/>
    <cellStyle name="20 % - Markeringsfarve3 11 4 2" xfId="27032" xr:uid="{00000000-0005-0000-0000-00008C1A0000}"/>
    <cellStyle name="20 % - Markeringsfarve3 11 4 3" xfId="41998" xr:uid="{00000000-0005-0000-0000-00008D1A0000}"/>
    <cellStyle name="20 % - Markeringsfarve3 11 5" xfId="20010" xr:uid="{00000000-0005-0000-0000-00008E1A0000}"/>
    <cellStyle name="20 % - Markeringsfarve3 11 6" xfId="34999" xr:uid="{00000000-0005-0000-0000-00008F1A0000}"/>
    <cellStyle name="20 % - Markeringsfarve3 12" xfId="2158" xr:uid="{00000000-0005-0000-0000-0000901A0000}"/>
    <cellStyle name="20 % - Markeringsfarve3 12 2" xfId="2159" xr:uid="{00000000-0005-0000-0000-0000911A0000}"/>
    <cellStyle name="20 % - Markeringsfarve3 12 2 2" xfId="8744" xr:uid="{00000000-0005-0000-0000-0000921A0000}"/>
    <cellStyle name="20 % - Markeringsfarve3 12 2 2 2" xfId="16623" xr:uid="{00000000-0005-0000-0000-0000931A0000}"/>
    <cellStyle name="20 % - Markeringsfarve3 12 2 2 2 2" xfId="32937" xr:uid="{00000000-0005-0000-0000-0000941A0000}"/>
    <cellStyle name="20 % - Markeringsfarve3 12 2 2 2 3" xfId="47901" xr:uid="{00000000-0005-0000-0000-0000951A0000}"/>
    <cellStyle name="20 % - Markeringsfarve3 12 2 2 3" xfId="25915" xr:uid="{00000000-0005-0000-0000-0000961A0000}"/>
    <cellStyle name="20 % - Markeringsfarve3 12 2 2 4" xfId="40902" xr:uid="{00000000-0005-0000-0000-0000971A0000}"/>
    <cellStyle name="20 % - Markeringsfarve3 12 2 3" xfId="10716" xr:uid="{00000000-0005-0000-0000-0000981A0000}"/>
    <cellStyle name="20 % - Markeringsfarve3 12 2 3 2" xfId="27035" xr:uid="{00000000-0005-0000-0000-0000991A0000}"/>
    <cellStyle name="20 % - Markeringsfarve3 12 2 3 3" xfId="42001" xr:uid="{00000000-0005-0000-0000-00009A1A0000}"/>
    <cellStyle name="20 % - Markeringsfarve3 12 2 4" xfId="20013" xr:uid="{00000000-0005-0000-0000-00009B1A0000}"/>
    <cellStyle name="20 % - Markeringsfarve3 12 2 5" xfId="35002" xr:uid="{00000000-0005-0000-0000-00009C1A0000}"/>
    <cellStyle name="20 % - Markeringsfarve3 12 3" xfId="5523" xr:uid="{00000000-0005-0000-0000-00009D1A0000}"/>
    <cellStyle name="20 % - Markeringsfarve3 12 3 2" xfId="13441" xr:uid="{00000000-0005-0000-0000-00009E1A0000}"/>
    <cellStyle name="20 % - Markeringsfarve3 12 3 2 2" xfId="29755" xr:uid="{00000000-0005-0000-0000-00009F1A0000}"/>
    <cellStyle name="20 % - Markeringsfarve3 12 3 2 3" xfId="44719" xr:uid="{00000000-0005-0000-0000-0000A01A0000}"/>
    <cellStyle name="20 % - Markeringsfarve3 12 3 3" xfId="22733" xr:uid="{00000000-0005-0000-0000-0000A11A0000}"/>
    <cellStyle name="20 % - Markeringsfarve3 12 3 4" xfId="37720" xr:uid="{00000000-0005-0000-0000-0000A21A0000}"/>
    <cellStyle name="20 % - Markeringsfarve3 12 4" xfId="10715" xr:uid="{00000000-0005-0000-0000-0000A31A0000}"/>
    <cellStyle name="20 % - Markeringsfarve3 12 4 2" xfId="27034" xr:uid="{00000000-0005-0000-0000-0000A41A0000}"/>
    <cellStyle name="20 % - Markeringsfarve3 12 4 3" xfId="42000" xr:uid="{00000000-0005-0000-0000-0000A51A0000}"/>
    <cellStyle name="20 % - Markeringsfarve3 12 5" xfId="20012" xr:uid="{00000000-0005-0000-0000-0000A61A0000}"/>
    <cellStyle name="20 % - Markeringsfarve3 12 6" xfId="35001" xr:uid="{00000000-0005-0000-0000-0000A71A0000}"/>
    <cellStyle name="20 % - Markeringsfarve3 13" xfId="2160" xr:uid="{00000000-0005-0000-0000-0000A81A0000}"/>
    <cellStyle name="20 % - Markeringsfarve3 13 2" xfId="2161" xr:uid="{00000000-0005-0000-0000-0000A91A0000}"/>
    <cellStyle name="20 % - Markeringsfarve3 13 2 2" xfId="8269" xr:uid="{00000000-0005-0000-0000-0000AA1A0000}"/>
    <cellStyle name="20 % - Markeringsfarve3 13 2 2 2" xfId="16164" xr:uid="{00000000-0005-0000-0000-0000AB1A0000}"/>
    <cellStyle name="20 % - Markeringsfarve3 13 2 2 2 2" xfId="32478" xr:uid="{00000000-0005-0000-0000-0000AC1A0000}"/>
    <cellStyle name="20 % - Markeringsfarve3 13 2 2 2 3" xfId="47442" xr:uid="{00000000-0005-0000-0000-0000AD1A0000}"/>
    <cellStyle name="20 % - Markeringsfarve3 13 2 2 3" xfId="25456" xr:uid="{00000000-0005-0000-0000-0000AE1A0000}"/>
    <cellStyle name="20 % - Markeringsfarve3 13 2 2 4" xfId="40443" xr:uid="{00000000-0005-0000-0000-0000AF1A0000}"/>
    <cellStyle name="20 % - Markeringsfarve3 13 2 3" xfId="10718" xr:uid="{00000000-0005-0000-0000-0000B01A0000}"/>
    <cellStyle name="20 % - Markeringsfarve3 13 2 3 2" xfId="27037" xr:uid="{00000000-0005-0000-0000-0000B11A0000}"/>
    <cellStyle name="20 % - Markeringsfarve3 13 2 3 3" xfId="42003" xr:uid="{00000000-0005-0000-0000-0000B21A0000}"/>
    <cellStyle name="20 % - Markeringsfarve3 13 2 4" xfId="20015" xr:uid="{00000000-0005-0000-0000-0000B31A0000}"/>
    <cellStyle name="20 % - Markeringsfarve3 13 2 5" xfId="35004" xr:uid="{00000000-0005-0000-0000-0000B41A0000}"/>
    <cellStyle name="20 % - Markeringsfarve3 13 3" xfId="5520" xr:uid="{00000000-0005-0000-0000-0000B51A0000}"/>
    <cellStyle name="20 % - Markeringsfarve3 13 3 2" xfId="13438" xr:uid="{00000000-0005-0000-0000-0000B61A0000}"/>
    <cellStyle name="20 % - Markeringsfarve3 13 3 2 2" xfId="29752" xr:uid="{00000000-0005-0000-0000-0000B71A0000}"/>
    <cellStyle name="20 % - Markeringsfarve3 13 3 2 3" xfId="44716" xr:uid="{00000000-0005-0000-0000-0000B81A0000}"/>
    <cellStyle name="20 % - Markeringsfarve3 13 3 3" xfId="22730" xr:uid="{00000000-0005-0000-0000-0000B91A0000}"/>
    <cellStyle name="20 % - Markeringsfarve3 13 3 4" xfId="37717" xr:uid="{00000000-0005-0000-0000-0000BA1A0000}"/>
    <cellStyle name="20 % - Markeringsfarve3 13 4" xfId="10717" xr:uid="{00000000-0005-0000-0000-0000BB1A0000}"/>
    <cellStyle name="20 % - Markeringsfarve3 13 4 2" xfId="27036" xr:uid="{00000000-0005-0000-0000-0000BC1A0000}"/>
    <cellStyle name="20 % - Markeringsfarve3 13 4 3" xfId="42002" xr:uid="{00000000-0005-0000-0000-0000BD1A0000}"/>
    <cellStyle name="20 % - Markeringsfarve3 13 5" xfId="20014" xr:uid="{00000000-0005-0000-0000-0000BE1A0000}"/>
    <cellStyle name="20 % - Markeringsfarve3 13 6" xfId="35003" xr:uid="{00000000-0005-0000-0000-0000BF1A0000}"/>
    <cellStyle name="20 % - Markeringsfarve3 14" xfId="2162" xr:uid="{00000000-0005-0000-0000-0000C01A0000}"/>
    <cellStyle name="20 % - Markeringsfarve3 14 2" xfId="6714" xr:uid="{00000000-0005-0000-0000-0000C11A0000}"/>
    <cellStyle name="20 % - Markeringsfarve3 14 2 2" xfId="14627" xr:uid="{00000000-0005-0000-0000-0000C21A0000}"/>
    <cellStyle name="20 % - Markeringsfarve3 14 2 2 2" xfId="30941" xr:uid="{00000000-0005-0000-0000-0000C31A0000}"/>
    <cellStyle name="20 % - Markeringsfarve3 14 2 2 3" xfId="45905" xr:uid="{00000000-0005-0000-0000-0000C41A0000}"/>
    <cellStyle name="20 % - Markeringsfarve3 14 2 3" xfId="23919" xr:uid="{00000000-0005-0000-0000-0000C51A0000}"/>
    <cellStyle name="20 % - Markeringsfarve3 14 2 4" xfId="38906" xr:uid="{00000000-0005-0000-0000-0000C61A0000}"/>
    <cellStyle name="20 % - Markeringsfarve3 14 3" xfId="10719" xr:uid="{00000000-0005-0000-0000-0000C71A0000}"/>
    <cellStyle name="20 % - Markeringsfarve3 14 3 2" xfId="27038" xr:uid="{00000000-0005-0000-0000-0000C81A0000}"/>
    <cellStyle name="20 % - Markeringsfarve3 14 3 3" xfId="42004" xr:uid="{00000000-0005-0000-0000-0000C91A0000}"/>
    <cellStyle name="20 % - Markeringsfarve3 14 4" xfId="20016" xr:uid="{00000000-0005-0000-0000-0000CA1A0000}"/>
    <cellStyle name="20 % - Markeringsfarve3 14 5" xfId="35005" xr:uid="{00000000-0005-0000-0000-0000CB1A0000}"/>
    <cellStyle name="20 % - Markeringsfarve3 15" xfId="2163" xr:uid="{00000000-0005-0000-0000-0000CC1A0000}"/>
    <cellStyle name="20 % - Markeringsfarve3 15 2" xfId="8692" xr:uid="{00000000-0005-0000-0000-0000CD1A0000}"/>
    <cellStyle name="20 % - Markeringsfarve3 15 2 2" xfId="16573" xr:uid="{00000000-0005-0000-0000-0000CE1A0000}"/>
    <cellStyle name="20 % - Markeringsfarve3 15 2 2 2" xfId="32887" xr:uid="{00000000-0005-0000-0000-0000CF1A0000}"/>
    <cellStyle name="20 % - Markeringsfarve3 15 2 2 3" xfId="47851" xr:uid="{00000000-0005-0000-0000-0000D01A0000}"/>
    <cellStyle name="20 % - Markeringsfarve3 15 2 3" xfId="25865" xr:uid="{00000000-0005-0000-0000-0000D11A0000}"/>
    <cellStyle name="20 % - Markeringsfarve3 15 2 4" xfId="40852" xr:uid="{00000000-0005-0000-0000-0000D21A0000}"/>
    <cellStyle name="20 % - Markeringsfarve3 15 3" xfId="10720" xr:uid="{00000000-0005-0000-0000-0000D31A0000}"/>
    <cellStyle name="20 % - Markeringsfarve3 15 3 2" xfId="27039" xr:uid="{00000000-0005-0000-0000-0000D41A0000}"/>
    <cellStyle name="20 % - Markeringsfarve3 15 3 3" xfId="42005" xr:uid="{00000000-0005-0000-0000-0000D51A0000}"/>
    <cellStyle name="20 % - Markeringsfarve3 15 4" xfId="20017" xr:uid="{00000000-0005-0000-0000-0000D61A0000}"/>
    <cellStyle name="20 % - Markeringsfarve3 15 5" xfId="35006" xr:uid="{00000000-0005-0000-0000-0000D71A0000}"/>
    <cellStyle name="20 % - Markeringsfarve3 16" xfId="2164" xr:uid="{00000000-0005-0000-0000-0000D81A0000}"/>
    <cellStyle name="20 % - Markeringsfarve3 16 2" xfId="8516" xr:uid="{00000000-0005-0000-0000-0000D91A0000}"/>
    <cellStyle name="20 % - Markeringsfarve3 16 2 2" xfId="16405" xr:uid="{00000000-0005-0000-0000-0000DA1A0000}"/>
    <cellStyle name="20 % - Markeringsfarve3 16 2 2 2" xfId="32719" xr:uid="{00000000-0005-0000-0000-0000DB1A0000}"/>
    <cellStyle name="20 % - Markeringsfarve3 16 2 2 3" xfId="47683" xr:uid="{00000000-0005-0000-0000-0000DC1A0000}"/>
    <cellStyle name="20 % - Markeringsfarve3 16 2 3" xfId="25697" xr:uid="{00000000-0005-0000-0000-0000DD1A0000}"/>
    <cellStyle name="20 % - Markeringsfarve3 16 2 4" xfId="40684" xr:uid="{00000000-0005-0000-0000-0000DE1A0000}"/>
    <cellStyle name="20 % - Markeringsfarve3 16 3" xfId="10721" xr:uid="{00000000-0005-0000-0000-0000DF1A0000}"/>
    <cellStyle name="20 % - Markeringsfarve3 16 3 2" xfId="27040" xr:uid="{00000000-0005-0000-0000-0000E01A0000}"/>
    <cellStyle name="20 % - Markeringsfarve3 16 3 3" xfId="42006" xr:uid="{00000000-0005-0000-0000-0000E11A0000}"/>
    <cellStyle name="20 % - Markeringsfarve3 16 4" xfId="20018" xr:uid="{00000000-0005-0000-0000-0000E21A0000}"/>
    <cellStyle name="20 % - Markeringsfarve3 16 5" xfId="35007" xr:uid="{00000000-0005-0000-0000-0000E31A0000}"/>
    <cellStyle name="20 % - Markeringsfarve3 17" xfId="5392" xr:uid="{00000000-0005-0000-0000-0000E41A0000}"/>
    <cellStyle name="20 % - Markeringsfarve3 17 2" xfId="13316" xr:uid="{00000000-0005-0000-0000-0000E51A0000}"/>
    <cellStyle name="20 % - Markeringsfarve3 17 2 2" xfId="29630" xr:uid="{00000000-0005-0000-0000-0000E61A0000}"/>
    <cellStyle name="20 % - Markeringsfarve3 17 2 3" xfId="44594" xr:uid="{00000000-0005-0000-0000-0000E71A0000}"/>
    <cellStyle name="20 % - Markeringsfarve3 17 3" xfId="22608" xr:uid="{00000000-0005-0000-0000-0000E81A0000}"/>
    <cellStyle name="20 % - Markeringsfarve3 17 4" xfId="37595" xr:uid="{00000000-0005-0000-0000-0000E91A0000}"/>
    <cellStyle name="20 % - Markeringsfarve3 18" xfId="2152" xr:uid="{00000000-0005-0000-0000-0000EA1A0000}"/>
    <cellStyle name="20 % - Markeringsfarve3 18 2" xfId="10709" xr:uid="{00000000-0005-0000-0000-0000EB1A0000}"/>
    <cellStyle name="20 % - Markeringsfarve3 18 2 2" xfId="27028" xr:uid="{00000000-0005-0000-0000-0000EC1A0000}"/>
    <cellStyle name="20 % - Markeringsfarve3 18 2 3" xfId="41994" xr:uid="{00000000-0005-0000-0000-0000ED1A0000}"/>
    <cellStyle name="20 % - Markeringsfarve3 18 3" xfId="20006" xr:uid="{00000000-0005-0000-0000-0000EE1A0000}"/>
    <cellStyle name="20 % - Markeringsfarve3 18 4" xfId="34995" xr:uid="{00000000-0005-0000-0000-0000EF1A0000}"/>
    <cellStyle name="20 % - Markeringsfarve3 2" xfId="2165" xr:uid="{00000000-0005-0000-0000-0000F01A0000}"/>
    <cellStyle name="20 % - Markeringsfarve3 2 10" xfId="2166" xr:uid="{00000000-0005-0000-0000-0000F11A0000}"/>
    <cellStyle name="20 % - Markeringsfarve3 2 10 2" xfId="6746" xr:uid="{00000000-0005-0000-0000-0000F21A0000}"/>
    <cellStyle name="20 % - Markeringsfarve3 2 10 2 2" xfId="14657" xr:uid="{00000000-0005-0000-0000-0000F31A0000}"/>
    <cellStyle name="20 % - Markeringsfarve3 2 10 2 2 2" xfId="30971" xr:uid="{00000000-0005-0000-0000-0000F41A0000}"/>
    <cellStyle name="20 % - Markeringsfarve3 2 10 2 2 3" xfId="45935" xr:uid="{00000000-0005-0000-0000-0000F51A0000}"/>
    <cellStyle name="20 % - Markeringsfarve3 2 10 2 3" xfId="23949" xr:uid="{00000000-0005-0000-0000-0000F61A0000}"/>
    <cellStyle name="20 % - Markeringsfarve3 2 10 2 4" xfId="38936" xr:uid="{00000000-0005-0000-0000-0000F71A0000}"/>
    <cellStyle name="20 % - Markeringsfarve3 2 10 3" xfId="10723" xr:uid="{00000000-0005-0000-0000-0000F81A0000}"/>
    <cellStyle name="20 % - Markeringsfarve3 2 10 3 2" xfId="27042" xr:uid="{00000000-0005-0000-0000-0000F91A0000}"/>
    <cellStyle name="20 % - Markeringsfarve3 2 10 3 3" xfId="42008" xr:uid="{00000000-0005-0000-0000-0000FA1A0000}"/>
    <cellStyle name="20 % - Markeringsfarve3 2 10 4" xfId="20020" xr:uid="{00000000-0005-0000-0000-0000FB1A0000}"/>
    <cellStyle name="20 % - Markeringsfarve3 2 10 5" xfId="35009" xr:uid="{00000000-0005-0000-0000-0000FC1A0000}"/>
    <cellStyle name="20 % - Markeringsfarve3 2 11" xfId="2167" xr:uid="{00000000-0005-0000-0000-0000FD1A0000}"/>
    <cellStyle name="20 % - Markeringsfarve3 2 11 2" xfId="8468" xr:uid="{00000000-0005-0000-0000-0000FE1A0000}"/>
    <cellStyle name="20 % - Markeringsfarve3 2 11 2 2" xfId="16359" xr:uid="{00000000-0005-0000-0000-0000FF1A0000}"/>
    <cellStyle name="20 % - Markeringsfarve3 2 11 2 2 2" xfId="32673" xr:uid="{00000000-0005-0000-0000-0000001B0000}"/>
    <cellStyle name="20 % - Markeringsfarve3 2 11 2 2 3" xfId="47637" xr:uid="{00000000-0005-0000-0000-0000011B0000}"/>
    <cellStyle name="20 % - Markeringsfarve3 2 11 2 3" xfId="25651" xr:uid="{00000000-0005-0000-0000-0000021B0000}"/>
    <cellStyle name="20 % - Markeringsfarve3 2 11 2 4" xfId="40638" xr:uid="{00000000-0005-0000-0000-0000031B0000}"/>
    <cellStyle name="20 % - Markeringsfarve3 2 11 3" xfId="10724" xr:uid="{00000000-0005-0000-0000-0000041B0000}"/>
    <cellStyle name="20 % - Markeringsfarve3 2 11 3 2" xfId="27043" xr:uid="{00000000-0005-0000-0000-0000051B0000}"/>
    <cellStyle name="20 % - Markeringsfarve3 2 11 3 3" xfId="42009" xr:uid="{00000000-0005-0000-0000-0000061B0000}"/>
    <cellStyle name="20 % - Markeringsfarve3 2 11 4" xfId="20021" xr:uid="{00000000-0005-0000-0000-0000071B0000}"/>
    <cellStyle name="20 % - Markeringsfarve3 2 11 5" xfId="35010" xr:uid="{00000000-0005-0000-0000-0000081B0000}"/>
    <cellStyle name="20 % - Markeringsfarve3 2 12" xfId="5524" xr:uid="{00000000-0005-0000-0000-0000091B0000}"/>
    <cellStyle name="20 % - Markeringsfarve3 2 12 2" xfId="13442" xr:uid="{00000000-0005-0000-0000-00000A1B0000}"/>
    <cellStyle name="20 % - Markeringsfarve3 2 12 2 2" xfId="29756" xr:uid="{00000000-0005-0000-0000-00000B1B0000}"/>
    <cellStyle name="20 % - Markeringsfarve3 2 12 2 3" xfId="44720" xr:uid="{00000000-0005-0000-0000-00000C1B0000}"/>
    <cellStyle name="20 % - Markeringsfarve3 2 12 3" xfId="22734" xr:uid="{00000000-0005-0000-0000-00000D1B0000}"/>
    <cellStyle name="20 % - Markeringsfarve3 2 12 4" xfId="37721" xr:uid="{00000000-0005-0000-0000-00000E1B0000}"/>
    <cellStyle name="20 % - Markeringsfarve3 2 13" xfId="10722" xr:uid="{00000000-0005-0000-0000-00000F1B0000}"/>
    <cellStyle name="20 % - Markeringsfarve3 2 13 2" xfId="27041" xr:uid="{00000000-0005-0000-0000-0000101B0000}"/>
    <cellStyle name="20 % - Markeringsfarve3 2 13 3" xfId="42007" xr:uid="{00000000-0005-0000-0000-0000111B0000}"/>
    <cellStyle name="20 % - Markeringsfarve3 2 14" xfId="20019" xr:uid="{00000000-0005-0000-0000-0000121B0000}"/>
    <cellStyle name="20 % - Markeringsfarve3 2 15" xfId="35008" xr:uid="{00000000-0005-0000-0000-0000131B0000}"/>
    <cellStyle name="20 % - Markeringsfarve3 2 16" xfId="53369" xr:uid="{00000000-0005-0000-0000-0000141B0000}"/>
    <cellStyle name="20 % - Markeringsfarve3 2 2" xfId="2168" xr:uid="{00000000-0005-0000-0000-0000151B0000}"/>
    <cellStyle name="20 % - Markeringsfarve3 2 2 10" xfId="5525" xr:uid="{00000000-0005-0000-0000-0000161B0000}"/>
    <cellStyle name="20 % - Markeringsfarve3 2 2 10 2" xfId="13443" xr:uid="{00000000-0005-0000-0000-0000171B0000}"/>
    <cellStyle name="20 % - Markeringsfarve3 2 2 10 2 2" xfId="29757" xr:uid="{00000000-0005-0000-0000-0000181B0000}"/>
    <cellStyle name="20 % - Markeringsfarve3 2 2 10 2 3" xfId="44721" xr:uid="{00000000-0005-0000-0000-0000191B0000}"/>
    <cellStyle name="20 % - Markeringsfarve3 2 2 10 3" xfId="22735" xr:uid="{00000000-0005-0000-0000-00001A1B0000}"/>
    <cellStyle name="20 % - Markeringsfarve3 2 2 10 4" xfId="37722" xr:uid="{00000000-0005-0000-0000-00001B1B0000}"/>
    <cellStyle name="20 % - Markeringsfarve3 2 2 11" xfId="10725" xr:uid="{00000000-0005-0000-0000-00001C1B0000}"/>
    <cellStyle name="20 % - Markeringsfarve3 2 2 11 2" xfId="27044" xr:uid="{00000000-0005-0000-0000-00001D1B0000}"/>
    <cellStyle name="20 % - Markeringsfarve3 2 2 11 3" xfId="42010" xr:uid="{00000000-0005-0000-0000-00001E1B0000}"/>
    <cellStyle name="20 % - Markeringsfarve3 2 2 12" xfId="20022" xr:uid="{00000000-0005-0000-0000-00001F1B0000}"/>
    <cellStyle name="20 % - Markeringsfarve3 2 2 13" xfId="35011" xr:uid="{00000000-0005-0000-0000-0000201B0000}"/>
    <cellStyle name="20 % - Markeringsfarve3 2 2 14" xfId="53368" xr:uid="{00000000-0005-0000-0000-0000211B0000}"/>
    <cellStyle name="20 % - Markeringsfarve3 2 2 2" xfId="2169" xr:uid="{00000000-0005-0000-0000-0000221B0000}"/>
    <cellStyle name="20 % - Markeringsfarve3 2 2 2 2" xfId="2170" xr:uid="{00000000-0005-0000-0000-0000231B0000}"/>
    <cellStyle name="20 % - Markeringsfarve3 2 2 2 2 2" xfId="2171" xr:uid="{00000000-0005-0000-0000-0000241B0000}"/>
    <cellStyle name="20 % - Markeringsfarve3 2 2 2 2 2 2" xfId="7677" xr:uid="{00000000-0005-0000-0000-0000251B0000}"/>
    <cellStyle name="20 % - Markeringsfarve3 2 2 2 2 2 2 2" xfId="15578" xr:uid="{00000000-0005-0000-0000-0000261B0000}"/>
    <cellStyle name="20 % - Markeringsfarve3 2 2 2 2 2 2 2 2" xfId="31892" xr:uid="{00000000-0005-0000-0000-0000271B0000}"/>
    <cellStyle name="20 % - Markeringsfarve3 2 2 2 2 2 2 2 3" xfId="46856" xr:uid="{00000000-0005-0000-0000-0000281B0000}"/>
    <cellStyle name="20 % - Markeringsfarve3 2 2 2 2 2 2 3" xfId="24870" xr:uid="{00000000-0005-0000-0000-0000291B0000}"/>
    <cellStyle name="20 % - Markeringsfarve3 2 2 2 2 2 2 4" xfId="39857" xr:uid="{00000000-0005-0000-0000-00002A1B0000}"/>
    <cellStyle name="20 % - Markeringsfarve3 2 2 2 2 2 3" xfId="10728" xr:uid="{00000000-0005-0000-0000-00002B1B0000}"/>
    <cellStyle name="20 % - Markeringsfarve3 2 2 2 2 2 3 2" xfId="27047" xr:uid="{00000000-0005-0000-0000-00002C1B0000}"/>
    <cellStyle name="20 % - Markeringsfarve3 2 2 2 2 2 3 3" xfId="42013" xr:uid="{00000000-0005-0000-0000-00002D1B0000}"/>
    <cellStyle name="20 % - Markeringsfarve3 2 2 2 2 2 4" xfId="20025" xr:uid="{00000000-0005-0000-0000-00002E1B0000}"/>
    <cellStyle name="20 % - Markeringsfarve3 2 2 2 2 2 5" xfId="35014" xr:uid="{00000000-0005-0000-0000-00002F1B0000}"/>
    <cellStyle name="20 % - Markeringsfarve3 2 2 2 2 3" xfId="6249" xr:uid="{00000000-0005-0000-0000-0000301B0000}"/>
    <cellStyle name="20 % - Markeringsfarve3 2 2 2 2 3 2" xfId="14166" xr:uid="{00000000-0005-0000-0000-0000311B0000}"/>
    <cellStyle name="20 % - Markeringsfarve3 2 2 2 2 3 2 2" xfId="30480" xr:uid="{00000000-0005-0000-0000-0000321B0000}"/>
    <cellStyle name="20 % - Markeringsfarve3 2 2 2 2 3 2 3" xfId="45444" xr:uid="{00000000-0005-0000-0000-0000331B0000}"/>
    <cellStyle name="20 % - Markeringsfarve3 2 2 2 2 3 3" xfId="23458" xr:uid="{00000000-0005-0000-0000-0000341B0000}"/>
    <cellStyle name="20 % - Markeringsfarve3 2 2 2 2 3 4" xfId="38445" xr:uid="{00000000-0005-0000-0000-0000351B0000}"/>
    <cellStyle name="20 % - Markeringsfarve3 2 2 2 2 4" xfId="10727" xr:uid="{00000000-0005-0000-0000-0000361B0000}"/>
    <cellStyle name="20 % - Markeringsfarve3 2 2 2 2 4 2" xfId="27046" xr:uid="{00000000-0005-0000-0000-0000371B0000}"/>
    <cellStyle name="20 % - Markeringsfarve3 2 2 2 2 4 3" xfId="42012" xr:uid="{00000000-0005-0000-0000-0000381B0000}"/>
    <cellStyle name="20 % - Markeringsfarve3 2 2 2 2 5" xfId="20024" xr:uid="{00000000-0005-0000-0000-0000391B0000}"/>
    <cellStyle name="20 % - Markeringsfarve3 2 2 2 2 6" xfId="35013" xr:uid="{00000000-0005-0000-0000-00003A1B0000}"/>
    <cellStyle name="20 % - Markeringsfarve3 2 2 2 2 7" xfId="57172" xr:uid="{00000000-0005-0000-0000-00003B1B0000}"/>
    <cellStyle name="20 % - Markeringsfarve3 2 2 2 3" xfId="2172" xr:uid="{00000000-0005-0000-0000-00003C1B0000}"/>
    <cellStyle name="20 % - Markeringsfarve3 2 2 2 3 2" xfId="6907" xr:uid="{00000000-0005-0000-0000-00003D1B0000}"/>
    <cellStyle name="20 % - Markeringsfarve3 2 2 2 3 2 2" xfId="14818" xr:uid="{00000000-0005-0000-0000-00003E1B0000}"/>
    <cellStyle name="20 % - Markeringsfarve3 2 2 2 3 2 2 2" xfId="31132" xr:uid="{00000000-0005-0000-0000-00003F1B0000}"/>
    <cellStyle name="20 % - Markeringsfarve3 2 2 2 3 2 2 3" xfId="46096" xr:uid="{00000000-0005-0000-0000-0000401B0000}"/>
    <cellStyle name="20 % - Markeringsfarve3 2 2 2 3 2 3" xfId="24110" xr:uid="{00000000-0005-0000-0000-0000411B0000}"/>
    <cellStyle name="20 % - Markeringsfarve3 2 2 2 3 2 4" xfId="39097" xr:uid="{00000000-0005-0000-0000-0000421B0000}"/>
    <cellStyle name="20 % - Markeringsfarve3 2 2 2 3 3" xfId="10729" xr:uid="{00000000-0005-0000-0000-0000431B0000}"/>
    <cellStyle name="20 % - Markeringsfarve3 2 2 2 3 3 2" xfId="27048" xr:uid="{00000000-0005-0000-0000-0000441B0000}"/>
    <cellStyle name="20 % - Markeringsfarve3 2 2 2 3 3 3" xfId="42014" xr:uid="{00000000-0005-0000-0000-0000451B0000}"/>
    <cellStyle name="20 % - Markeringsfarve3 2 2 2 3 4" xfId="20026" xr:uid="{00000000-0005-0000-0000-0000461B0000}"/>
    <cellStyle name="20 % - Markeringsfarve3 2 2 2 3 5" xfId="35015" xr:uid="{00000000-0005-0000-0000-0000471B0000}"/>
    <cellStyle name="20 % - Markeringsfarve3 2 2 2 4" xfId="2173" xr:uid="{00000000-0005-0000-0000-0000481B0000}"/>
    <cellStyle name="20 % - Markeringsfarve3 2 2 2 4 2" xfId="8264" xr:uid="{00000000-0005-0000-0000-0000491B0000}"/>
    <cellStyle name="20 % - Markeringsfarve3 2 2 2 4 2 2" xfId="16160" xr:uid="{00000000-0005-0000-0000-00004A1B0000}"/>
    <cellStyle name="20 % - Markeringsfarve3 2 2 2 4 2 2 2" xfId="32474" xr:uid="{00000000-0005-0000-0000-00004B1B0000}"/>
    <cellStyle name="20 % - Markeringsfarve3 2 2 2 4 2 2 3" xfId="47438" xr:uid="{00000000-0005-0000-0000-00004C1B0000}"/>
    <cellStyle name="20 % - Markeringsfarve3 2 2 2 4 2 3" xfId="25452" xr:uid="{00000000-0005-0000-0000-00004D1B0000}"/>
    <cellStyle name="20 % - Markeringsfarve3 2 2 2 4 2 4" xfId="40439" xr:uid="{00000000-0005-0000-0000-00004E1B0000}"/>
    <cellStyle name="20 % - Markeringsfarve3 2 2 2 4 3" xfId="10730" xr:uid="{00000000-0005-0000-0000-00004F1B0000}"/>
    <cellStyle name="20 % - Markeringsfarve3 2 2 2 4 3 2" xfId="27049" xr:uid="{00000000-0005-0000-0000-0000501B0000}"/>
    <cellStyle name="20 % - Markeringsfarve3 2 2 2 4 3 3" xfId="42015" xr:uid="{00000000-0005-0000-0000-0000511B0000}"/>
    <cellStyle name="20 % - Markeringsfarve3 2 2 2 4 4" xfId="20027" xr:uid="{00000000-0005-0000-0000-0000521B0000}"/>
    <cellStyle name="20 % - Markeringsfarve3 2 2 2 4 5" xfId="35016" xr:uid="{00000000-0005-0000-0000-0000531B0000}"/>
    <cellStyle name="20 % - Markeringsfarve3 2 2 2 5" xfId="5526" xr:uid="{00000000-0005-0000-0000-0000541B0000}"/>
    <cellStyle name="20 % - Markeringsfarve3 2 2 2 5 2" xfId="13444" xr:uid="{00000000-0005-0000-0000-0000551B0000}"/>
    <cellStyle name="20 % - Markeringsfarve3 2 2 2 5 2 2" xfId="29758" xr:uid="{00000000-0005-0000-0000-0000561B0000}"/>
    <cellStyle name="20 % - Markeringsfarve3 2 2 2 5 2 3" xfId="44722" xr:uid="{00000000-0005-0000-0000-0000571B0000}"/>
    <cellStyle name="20 % - Markeringsfarve3 2 2 2 5 3" xfId="22736" xr:uid="{00000000-0005-0000-0000-0000581B0000}"/>
    <cellStyle name="20 % - Markeringsfarve3 2 2 2 5 4" xfId="37723" xr:uid="{00000000-0005-0000-0000-0000591B0000}"/>
    <cellStyle name="20 % - Markeringsfarve3 2 2 2 6" xfId="10726" xr:uid="{00000000-0005-0000-0000-00005A1B0000}"/>
    <cellStyle name="20 % - Markeringsfarve3 2 2 2 6 2" xfId="27045" xr:uid="{00000000-0005-0000-0000-00005B1B0000}"/>
    <cellStyle name="20 % - Markeringsfarve3 2 2 2 6 3" xfId="42011" xr:uid="{00000000-0005-0000-0000-00005C1B0000}"/>
    <cellStyle name="20 % - Markeringsfarve3 2 2 2 7" xfId="20023" xr:uid="{00000000-0005-0000-0000-00005D1B0000}"/>
    <cellStyle name="20 % - Markeringsfarve3 2 2 2 8" xfId="35012" xr:uid="{00000000-0005-0000-0000-00005E1B0000}"/>
    <cellStyle name="20 % - Markeringsfarve3 2 2 2 9" xfId="54005" xr:uid="{00000000-0005-0000-0000-00005F1B0000}"/>
    <cellStyle name="20 % - Markeringsfarve3 2 2 3" xfId="2174" xr:uid="{00000000-0005-0000-0000-0000601B0000}"/>
    <cellStyle name="20 % - Markeringsfarve3 2 2 3 2" xfId="2175" xr:uid="{00000000-0005-0000-0000-0000611B0000}"/>
    <cellStyle name="20 % - Markeringsfarve3 2 2 3 2 2" xfId="2176" xr:uid="{00000000-0005-0000-0000-0000621B0000}"/>
    <cellStyle name="20 % - Markeringsfarve3 2 2 3 2 2 2" xfId="7745" xr:uid="{00000000-0005-0000-0000-0000631B0000}"/>
    <cellStyle name="20 % - Markeringsfarve3 2 2 3 2 2 2 2" xfId="15646" xr:uid="{00000000-0005-0000-0000-0000641B0000}"/>
    <cellStyle name="20 % - Markeringsfarve3 2 2 3 2 2 2 2 2" xfId="31960" xr:uid="{00000000-0005-0000-0000-0000651B0000}"/>
    <cellStyle name="20 % - Markeringsfarve3 2 2 3 2 2 2 2 3" xfId="46924" xr:uid="{00000000-0005-0000-0000-0000661B0000}"/>
    <cellStyle name="20 % - Markeringsfarve3 2 2 3 2 2 2 3" xfId="24938" xr:uid="{00000000-0005-0000-0000-0000671B0000}"/>
    <cellStyle name="20 % - Markeringsfarve3 2 2 3 2 2 2 4" xfId="39925" xr:uid="{00000000-0005-0000-0000-0000681B0000}"/>
    <cellStyle name="20 % - Markeringsfarve3 2 2 3 2 2 3" xfId="10733" xr:uid="{00000000-0005-0000-0000-0000691B0000}"/>
    <cellStyle name="20 % - Markeringsfarve3 2 2 3 2 2 3 2" xfId="27052" xr:uid="{00000000-0005-0000-0000-00006A1B0000}"/>
    <cellStyle name="20 % - Markeringsfarve3 2 2 3 2 2 3 3" xfId="42018" xr:uid="{00000000-0005-0000-0000-00006B1B0000}"/>
    <cellStyle name="20 % - Markeringsfarve3 2 2 3 2 2 4" xfId="20030" xr:uid="{00000000-0005-0000-0000-00006C1B0000}"/>
    <cellStyle name="20 % - Markeringsfarve3 2 2 3 2 2 5" xfId="35019" xr:uid="{00000000-0005-0000-0000-00006D1B0000}"/>
    <cellStyle name="20 % - Markeringsfarve3 2 2 3 2 3" xfId="6309" xr:uid="{00000000-0005-0000-0000-00006E1B0000}"/>
    <cellStyle name="20 % - Markeringsfarve3 2 2 3 2 3 2" xfId="14226" xr:uid="{00000000-0005-0000-0000-00006F1B0000}"/>
    <cellStyle name="20 % - Markeringsfarve3 2 2 3 2 3 2 2" xfId="30540" xr:uid="{00000000-0005-0000-0000-0000701B0000}"/>
    <cellStyle name="20 % - Markeringsfarve3 2 2 3 2 3 2 3" xfId="45504" xr:uid="{00000000-0005-0000-0000-0000711B0000}"/>
    <cellStyle name="20 % - Markeringsfarve3 2 2 3 2 3 3" xfId="23518" xr:uid="{00000000-0005-0000-0000-0000721B0000}"/>
    <cellStyle name="20 % - Markeringsfarve3 2 2 3 2 3 4" xfId="38505" xr:uid="{00000000-0005-0000-0000-0000731B0000}"/>
    <cellStyle name="20 % - Markeringsfarve3 2 2 3 2 4" xfId="10732" xr:uid="{00000000-0005-0000-0000-0000741B0000}"/>
    <cellStyle name="20 % - Markeringsfarve3 2 2 3 2 4 2" xfId="27051" xr:uid="{00000000-0005-0000-0000-0000751B0000}"/>
    <cellStyle name="20 % - Markeringsfarve3 2 2 3 2 4 3" xfId="42017" xr:uid="{00000000-0005-0000-0000-0000761B0000}"/>
    <cellStyle name="20 % - Markeringsfarve3 2 2 3 2 5" xfId="20029" xr:uid="{00000000-0005-0000-0000-0000771B0000}"/>
    <cellStyle name="20 % - Markeringsfarve3 2 2 3 2 6" xfId="35018" xr:uid="{00000000-0005-0000-0000-0000781B0000}"/>
    <cellStyle name="20 % - Markeringsfarve3 2 2 3 3" xfId="2177" xr:uid="{00000000-0005-0000-0000-0000791B0000}"/>
    <cellStyle name="20 % - Markeringsfarve3 2 2 3 3 2" xfId="6975" xr:uid="{00000000-0005-0000-0000-00007A1B0000}"/>
    <cellStyle name="20 % - Markeringsfarve3 2 2 3 3 2 2" xfId="14886" xr:uid="{00000000-0005-0000-0000-00007B1B0000}"/>
    <cellStyle name="20 % - Markeringsfarve3 2 2 3 3 2 2 2" xfId="31200" xr:uid="{00000000-0005-0000-0000-00007C1B0000}"/>
    <cellStyle name="20 % - Markeringsfarve3 2 2 3 3 2 2 3" xfId="46164" xr:uid="{00000000-0005-0000-0000-00007D1B0000}"/>
    <cellStyle name="20 % - Markeringsfarve3 2 2 3 3 2 3" xfId="24178" xr:uid="{00000000-0005-0000-0000-00007E1B0000}"/>
    <cellStyle name="20 % - Markeringsfarve3 2 2 3 3 2 4" xfId="39165" xr:uid="{00000000-0005-0000-0000-00007F1B0000}"/>
    <cellStyle name="20 % - Markeringsfarve3 2 2 3 3 3" xfId="10734" xr:uid="{00000000-0005-0000-0000-0000801B0000}"/>
    <cellStyle name="20 % - Markeringsfarve3 2 2 3 3 3 2" xfId="27053" xr:uid="{00000000-0005-0000-0000-0000811B0000}"/>
    <cellStyle name="20 % - Markeringsfarve3 2 2 3 3 3 3" xfId="42019" xr:uid="{00000000-0005-0000-0000-0000821B0000}"/>
    <cellStyle name="20 % - Markeringsfarve3 2 2 3 3 4" xfId="20031" xr:uid="{00000000-0005-0000-0000-0000831B0000}"/>
    <cellStyle name="20 % - Markeringsfarve3 2 2 3 3 5" xfId="35020" xr:uid="{00000000-0005-0000-0000-0000841B0000}"/>
    <cellStyle name="20 % - Markeringsfarve3 2 2 3 4" xfId="2178" xr:uid="{00000000-0005-0000-0000-0000851B0000}"/>
    <cellStyle name="20 % - Markeringsfarve3 2 2 3 4 2" xfId="8656" xr:uid="{00000000-0005-0000-0000-0000861B0000}"/>
    <cellStyle name="20 % - Markeringsfarve3 2 2 3 4 2 2" xfId="16539" xr:uid="{00000000-0005-0000-0000-0000871B0000}"/>
    <cellStyle name="20 % - Markeringsfarve3 2 2 3 4 2 2 2" xfId="32853" xr:uid="{00000000-0005-0000-0000-0000881B0000}"/>
    <cellStyle name="20 % - Markeringsfarve3 2 2 3 4 2 2 3" xfId="47817" xr:uid="{00000000-0005-0000-0000-0000891B0000}"/>
    <cellStyle name="20 % - Markeringsfarve3 2 2 3 4 2 3" xfId="25831" xr:uid="{00000000-0005-0000-0000-00008A1B0000}"/>
    <cellStyle name="20 % - Markeringsfarve3 2 2 3 4 2 4" xfId="40818" xr:uid="{00000000-0005-0000-0000-00008B1B0000}"/>
    <cellStyle name="20 % - Markeringsfarve3 2 2 3 4 3" xfId="10735" xr:uid="{00000000-0005-0000-0000-00008C1B0000}"/>
    <cellStyle name="20 % - Markeringsfarve3 2 2 3 4 3 2" xfId="27054" xr:uid="{00000000-0005-0000-0000-00008D1B0000}"/>
    <cellStyle name="20 % - Markeringsfarve3 2 2 3 4 3 3" xfId="42020" xr:uid="{00000000-0005-0000-0000-00008E1B0000}"/>
    <cellStyle name="20 % - Markeringsfarve3 2 2 3 4 4" xfId="20032" xr:uid="{00000000-0005-0000-0000-00008F1B0000}"/>
    <cellStyle name="20 % - Markeringsfarve3 2 2 3 4 5" xfId="35021" xr:uid="{00000000-0005-0000-0000-0000901B0000}"/>
    <cellStyle name="20 % - Markeringsfarve3 2 2 3 5" xfId="5527" xr:uid="{00000000-0005-0000-0000-0000911B0000}"/>
    <cellStyle name="20 % - Markeringsfarve3 2 2 3 5 2" xfId="13445" xr:uid="{00000000-0005-0000-0000-0000921B0000}"/>
    <cellStyle name="20 % - Markeringsfarve3 2 2 3 5 2 2" xfId="29759" xr:uid="{00000000-0005-0000-0000-0000931B0000}"/>
    <cellStyle name="20 % - Markeringsfarve3 2 2 3 5 2 3" xfId="44723" xr:uid="{00000000-0005-0000-0000-0000941B0000}"/>
    <cellStyle name="20 % - Markeringsfarve3 2 2 3 5 3" xfId="22737" xr:uid="{00000000-0005-0000-0000-0000951B0000}"/>
    <cellStyle name="20 % - Markeringsfarve3 2 2 3 5 4" xfId="37724" xr:uid="{00000000-0005-0000-0000-0000961B0000}"/>
    <cellStyle name="20 % - Markeringsfarve3 2 2 3 6" xfId="10731" xr:uid="{00000000-0005-0000-0000-0000971B0000}"/>
    <cellStyle name="20 % - Markeringsfarve3 2 2 3 6 2" xfId="27050" xr:uid="{00000000-0005-0000-0000-0000981B0000}"/>
    <cellStyle name="20 % - Markeringsfarve3 2 2 3 6 3" xfId="42016" xr:uid="{00000000-0005-0000-0000-0000991B0000}"/>
    <cellStyle name="20 % - Markeringsfarve3 2 2 3 7" xfId="20028" xr:uid="{00000000-0005-0000-0000-00009A1B0000}"/>
    <cellStyle name="20 % - Markeringsfarve3 2 2 3 8" xfId="35017" xr:uid="{00000000-0005-0000-0000-00009B1B0000}"/>
    <cellStyle name="20 % - Markeringsfarve3 2 2 3 9" xfId="56549" xr:uid="{00000000-0005-0000-0000-00009C1B0000}"/>
    <cellStyle name="20 % - Markeringsfarve3 2 2 4" xfId="2179" xr:uid="{00000000-0005-0000-0000-00009D1B0000}"/>
    <cellStyle name="20 % - Markeringsfarve3 2 2 4 2" xfId="2180" xr:uid="{00000000-0005-0000-0000-00009E1B0000}"/>
    <cellStyle name="20 % - Markeringsfarve3 2 2 4 2 2" xfId="2181" xr:uid="{00000000-0005-0000-0000-00009F1B0000}"/>
    <cellStyle name="20 % - Markeringsfarve3 2 2 4 2 2 2" xfId="7915" xr:uid="{00000000-0005-0000-0000-0000A01B0000}"/>
    <cellStyle name="20 % - Markeringsfarve3 2 2 4 2 2 2 2" xfId="15816" xr:uid="{00000000-0005-0000-0000-0000A11B0000}"/>
    <cellStyle name="20 % - Markeringsfarve3 2 2 4 2 2 2 2 2" xfId="32130" xr:uid="{00000000-0005-0000-0000-0000A21B0000}"/>
    <cellStyle name="20 % - Markeringsfarve3 2 2 4 2 2 2 2 3" xfId="47094" xr:uid="{00000000-0005-0000-0000-0000A31B0000}"/>
    <cellStyle name="20 % - Markeringsfarve3 2 2 4 2 2 2 3" xfId="25108" xr:uid="{00000000-0005-0000-0000-0000A41B0000}"/>
    <cellStyle name="20 % - Markeringsfarve3 2 2 4 2 2 2 4" xfId="40095" xr:uid="{00000000-0005-0000-0000-0000A51B0000}"/>
    <cellStyle name="20 % - Markeringsfarve3 2 2 4 2 2 3" xfId="10738" xr:uid="{00000000-0005-0000-0000-0000A61B0000}"/>
    <cellStyle name="20 % - Markeringsfarve3 2 2 4 2 2 3 2" xfId="27057" xr:uid="{00000000-0005-0000-0000-0000A71B0000}"/>
    <cellStyle name="20 % - Markeringsfarve3 2 2 4 2 2 3 3" xfId="42023" xr:uid="{00000000-0005-0000-0000-0000A81B0000}"/>
    <cellStyle name="20 % - Markeringsfarve3 2 2 4 2 2 4" xfId="20035" xr:uid="{00000000-0005-0000-0000-0000A91B0000}"/>
    <cellStyle name="20 % - Markeringsfarve3 2 2 4 2 2 5" xfId="35024" xr:uid="{00000000-0005-0000-0000-0000AA1B0000}"/>
    <cellStyle name="20 % - Markeringsfarve3 2 2 4 2 3" xfId="6451" xr:uid="{00000000-0005-0000-0000-0000AB1B0000}"/>
    <cellStyle name="20 % - Markeringsfarve3 2 2 4 2 3 2" xfId="14365" xr:uid="{00000000-0005-0000-0000-0000AC1B0000}"/>
    <cellStyle name="20 % - Markeringsfarve3 2 2 4 2 3 2 2" xfId="30679" xr:uid="{00000000-0005-0000-0000-0000AD1B0000}"/>
    <cellStyle name="20 % - Markeringsfarve3 2 2 4 2 3 2 3" xfId="45643" xr:uid="{00000000-0005-0000-0000-0000AE1B0000}"/>
    <cellStyle name="20 % - Markeringsfarve3 2 2 4 2 3 3" xfId="23657" xr:uid="{00000000-0005-0000-0000-0000AF1B0000}"/>
    <cellStyle name="20 % - Markeringsfarve3 2 2 4 2 3 4" xfId="38644" xr:uid="{00000000-0005-0000-0000-0000B01B0000}"/>
    <cellStyle name="20 % - Markeringsfarve3 2 2 4 2 4" xfId="10737" xr:uid="{00000000-0005-0000-0000-0000B11B0000}"/>
    <cellStyle name="20 % - Markeringsfarve3 2 2 4 2 4 2" xfId="27056" xr:uid="{00000000-0005-0000-0000-0000B21B0000}"/>
    <cellStyle name="20 % - Markeringsfarve3 2 2 4 2 4 3" xfId="42022" xr:uid="{00000000-0005-0000-0000-0000B31B0000}"/>
    <cellStyle name="20 % - Markeringsfarve3 2 2 4 2 5" xfId="20034" xr:uid="{00000000-0005-0000-0000-0000B41B0000}"/>
    <cellStyle name="20 % - Markeringsfarve3 2 2 4 2 6" xfId="35023" xr:uid="{00000000-0005-0000-0000-0000B51B0000}"/>
    <cellStyle name="20 % - Markeringsfarve3 2 2 4 3" xfId="2182" xr:uid="{00000000-0005-0000-0000-0000B61B0000}"/>
    <cellStyle name="20 % - Markeringsfarve3 2 2 4 3 2" xfId="7191" xr:uid="{00000000-0005-0000-0000-0000B71B0000}"/>
    <cellStyle name="20 % - Markeringsfarve3 2 2 4 3 2 2" xfId="15101" xr:uid="{00000000-0005-0000-0000-0000B81B0000}"/>
    <cellStyle name="20 % - Markeringsfarve3 2 2 4 3 2 2 2" xfId="31415" xr:uid="{00000000-0005-0000-0000-0000B91B0000}"/>
    <cellStyle name="20 % - Markeringsfarve3 2 2 4 3 2 2 3" xfId="46379" xr:uid="{00000000-0005-0000-0000-0000BA1B0000}"/>
    <cellStyle name="20 % - Markeringsfarve3 2 2 4 3 2 3" xfId="24393" xr:uid="{00000000-0005-0000-0000-0000BB1B0000}"/>
    <cellStyle name="20 % - Markeringsfarve3 2 2 4 3 2 4" xfId="39380" xr:uid="{00000000-0005-0000-0000-0000BC1B0000}"/>
    <cellStyle name="20 % - Markeringsfarve3 2 2 4 3 3" xfId="10739" xr:uid="{00000000-0005-0000-0000-0000BD1B0000}"/>
    <cellStyle name="20 % - Markeringsfarve3 2 2 4 3 3 2" xfId="27058" xr:uid="{00000000-0005-0000-0000-0000BE1B0000}"/>
    <cellStyle name="20 % - Markeringsfarve3 2 2 4 3 3 3" xfId="42024" xr:uid="{00000000-0005-0000-0000-0000BF1B0000}"/>
    <cellStyle name="20 % - Markeringsfarve3 2 2 4 3 4" xfId="20036" xr:uid="{00000000-0005-0000-0000-0000C01B0000}"/>
    <cellStyle name="20 % - Markeringsfarve3 2 2 4 3 5" xfId="35025" xr:uid="{00000000-0005-0000-0000-0000C11B0000}"/>
    <cellStyle name="20 % - Markeringsfarve3 2 2 4 4" xfId="2183" xr:uid="{00000000-0005-0000-0000-0000C21B0000}"/>
    <cellStyle name="20 % - Markeringsfarve3 2 2 4 4 2" xfId="8318" xr:uid="{00000000-0005-0000-0000-0000C31B0000}"/>
    <cellStyle name="20 % - Markeringsfarve3 2 2 4 4 2 2" xfId="16212" xr:uid="{00000000-0005-0000-0000-0000C41B0000}"/>
    <cellStyle name="20 % - Markeringsfarve3 2 2 4 4 2 2 2" xfId="32526" xr:uid="{00000000-0005-0000-0000-0000C51B0000}"/>
    <cellStyle name="20 % - Markeringsfarve3 2 2 4 4 2 2 3" xfId="47490" xr:uid="{00000000-0005-0000-0000-0000C61B0000}"/>
    <cellStyle name="20 % - Markeringsfarve3 2 2 4 4 2 3" xfId="25504" xr:uid="{00000000-0005-0000-0000-0000C71B0000}"/>
    <cellStyle name="20 % - Markeringsfarve3 2 2 4 4 2 4" xfId="40491" xr:uid="{00000000-0005-0000-0000-0000C81B0000}"/>
    <cellStyle name="20 % - Markeringsfarve3 2 2 4 4 3" xfId="10740" xr:uid="{00000000-0005-0000-0000-0000C91B0000}"/>
    <cellStyle name="20 % - Markeringsfarve3 2 2 4 4 3 2" xfId="27059" xr:uid="{00000000-0005-0000-0000-0000CA1B0000}"/>
    <cellStyle name="20 % - Markeringsfarve3 2 2 4 4 3 3" xfId="42025" xr:uid="{00000000-0005-0000-0000-0000CB1B0000}"/>
    <cellStyle name="20 % - Markeringsfarve3 2 2 4 4 4" xfId="20037" xr:uid="{00000000-0005-0000-0000-0000CC1B0000}"/>
    <cellStyle name="20 % - Markeringsfarve3 2 2 4 4 5" xfId="35026" xr:uid="{00000000-0005-0000-0000-0000CD1B0000}"/>
    <cellStyle name="20 % - Markeringsfarve3 2 2 4 5" xfId="5528" xr:uid="{00000000-0005-0000-0000-0000CE1B0000}"/>
    <cellStyle name="20 % - Markeringsfarve3 2 2 4 5 2" xfId="13446" xr:uid="{00000000-0005-0000-0000-0000CF1B0000}"/>
    <cellStyle name="20 % - Markeringsfarve3 2 2 4 5 2 2" xfId="29760" xr:uid="{00000000-0005-0000-0000-0000D01B0000}"/>
    <cellStyle name="20 % - Markeringsfarve3 2 2 4 5 2 3" xfId="44724" xr:uid="{00000000-0005-0000-0000-0000D11B0000}"/>
    <cellStyle name="20 % - Markeringsfarve3 2 2 4 5 3" xfId="22738" xr:uid="{00000000-0005-0000-0000-0000D21B0000}"/>
    <cellStyle name="20 % - Markeringsfarve3 2 2 4 5 4" xfId="37725" xr:uid="{00000000-0005-0000-0000-0000D31B0000}"/>
    <cellStyle name="20 % - Markeringsfarve3 2 2 4 6" xfId="10736" xr:uid="{00000000-0005-0000-0000-0000D41B0000}"/>
    <cellStyle name="20 % - Markeringsfarve3 2 2 4 6 2" xfId="27055" xr:uid="{00000000-0005-0000-0000-0000D51B0000}"/>
    <cellStyle name="20 % - Markeringsfarve3 2 2 4 6 3" xfId="42021" xr:uid="{00000000-0005-0000-0000-0000D61B0000}"/>
    <cellStyle name="20 % - Markeringsfarve3 2 2 4 7" xfId="20033" xr:uid="{00000000-0005-0000-0000-0000D71B0000}"/>
    <cellStyle name="20 % - Markeringsfarve3 2 2 4 8" xfId="35022" xr:uid="{00000000-0005-0000-0000-0000D81B0000}"/>
    <cellStyle name="20 % - Markeringsfarve3 2 2 5" xfId="2184" xr:uid="{00000000-0005-0000-0000-0000D91B0000}"/>
    <cellStyle name="20 % - Markeringsfarve3 2 2 5 2" xfId="2185" xr:uid="{00000000-0005-0000-0000-0000DA1B0000}"/>
    <cellStyle name="20 % - Markeringsfarve3 2 2 5 2 2" xfId="2186" xr:uid="{00000000-0005-0000-0000-0000DB1B0000}"/>
    <cellStyle name="20 % - Markeringsfarve3 2 2 5 2 2 2" xfId="8032" xr:uid="{00000000-0005-0000-0000-0000DC1B0000}"/>
    <cellStyle name="20 % - Markeringsfarve3 2 2 5 2 2 2 2" xfId="15933" xr:uid="{00000000-0005-0000-0000-0000DD1B0000}"/>
    <cellStyle name="20 % - Markeringsfarve3 2 2 5 2 2 2 2 2" xfId="32247" xr:uid="{00000000-0005-0000-0000-0000DE1B0000}"/>
    <cellStyle name="20 % - Markeringsfarve3 2 2 5 2 2 2 2 3" xfId="47211" xr:uid="{00000000-0005-0000-0000-0000DF1B0000}"/>
    <cellStyle name="20 % - Markeringsfarve3 2 2 5 2 2 2 3" xfId="25225" xr:uid="{00000000-0005-0000-0000-0000E01B0000}"/>
    <cellStyle name="20 % - Markeringsfarve3 2 2 5 2 2 2 4" xfId="40212" xr:uid="{00000000-0005-0000-0000-0000E11B0000}"/>
    <cellStyle name="20 % - Markeringsfarve3 2 2 5 2 2 3" xfId="10743" xr:uid="{00000000-0005-0000-0000-0000E21B0000}"/>
    <cellStyle name="20 % - Markeringsfarve3 2 2 5 2 2 3 2" xfId="27062" xr:uid="{00000000-0005-0000-0000-0000E31B0000}"/>
    <cellStyle name="20 % - Markeringsfarve3 2 2 5 2 2 3 3" xfId="42028" xr:uid="{00000000-0005-0000-0000-0000E41B0000}"/>
    <cellStyle name="20 % - Markeringsfarve3 2 2 5 2 2 4" xfId="20040" xr:uid="{00000000-0005-0000-0000-0000E51B0000}"/>
    <cellStyle name="20 % - Markeringsfarve3 2 2 5 2 2 5" xfId="35029" xr:uid="{00000000-0005-0000-0000-0000E61B0000}"/>
    <cellStyle name="20 % - Markeringsfarve3 2 2 5 2 3" xfId="6550" xr:uid="{00000000-0005-0000-0000-0000E71B0000}"/>
    <cellStyle name="20 % - Markeringsfarve3 2 2 5 2 3 2" xfId="14464" xr:uid="{00000000-0005-0000-0000-0000E81B0000}"/>
    <cellStyle name="20 % - Markeringsfarve3 2 2 5 2 3 2 2" xfId="30778" xr:uid="{00000000-0005-0000-0000-0000E91B0000}"/>
    <cellStyle name="20 % - Markeringsfarve3 2 2 5 2 3 2 3" xfId="45742" xr:uid="{00000000-0005-0000-0000-0000EA1B0000}"/>
    <cellStyle name="20 % - Markeringsfarve3 2 2 5 2 3 3" xfId="23756" xr:uid="{00000000-0005-0000-0000-0000EB1B0000}"/>
    <cellStyle name="20 % - Markeringsfarve3 2 2 5 2 3 4" xfId="38743" xr:uid="{00000000-0005-0000-0000-0000EC1B0000}"/>
    <cellStyle name="20 % - Markeringsfarve3 2 2 5 2 4" xfId="10742" xr:uid="{00000000-0005-0000-0000-0000ED1B0000}"/>
    <cellStyle name="20 % - Markeringsfarve3 2 2 5 2 4 2" xfId="27061" xr:uid="{00000000-0005-0000-0000-0000EE1B0000}"/>
    <cellStyle name="20 % - Markeringsfarve3 2 2 5 2 4 3" xfId="42027" xr:uid="{00000000-0005-0000-0000-0000EF1B0000}"/>
    <cellStyle name="20 % - Markeringsfarve3 2 2 5 2 5" xfId="20039" xr:uid="{00000000-0005-0000-0000-0000F01B0000}"/>
    <cellStyle name="20 % - Markeringsfarve3 2 2 5 2 6" xfId="35028" xr:uid="{00000000-0005-0000-0000-0000F11B0000}"/>
    <cellStyle name="20 % - Markeringsfarve3 2 2 5 3" xfId="2187" xr:uid="{00000000-0005-0000-0000-0000F21B0000}"/>
    <cellStyle name="20 % - Markeringsfarve3 2 2 5 3 2" xfId="7308" xr:uid="{00000000-0005-0000-0000-0000F31B0000}"/>
    <cellStyle name="20 % - Markeringsfarve3 2 2 5 3 2 2" xfId="15218" xr:uid="{00000000-0005-0000-0000-0000F41B0000}"/>
    <cellStyle name="20 % - Markeringsfarve3 2 2 5 3 2 2 2" xfId="31532" xr:uid="{00000000-0005-0000-0000-0000F51B0000}"/>
    <cellStyle name="20 % - Markeringsfarve3 2 2 5 3 2 2 3" xfId="46496" xr:uid="{00000000-0005-0000-0000-0000F61B0000}"/>
    <cellStyle name="20 % - Markeringsfarve3 2 2 5 3 2 3" xfId="24510" xr:uid="{00000000-0005-0000-0000-0000F71B0000}"/>
    <cellStyle name="20 % - Markeringsfarve3 2 2 5 3 2 4" xfId="39497" xr:uid="{00000000-0005-0000-0000-0000F81B0000}"/>
    <cellStyle name="20 % - Markeringsfarve3 2 2 5 3 3" xfId="10744" xr:uid="{00000000-0005-0000-0000-0000F91B0000}"/>
    <cellStyle name="20 % - Markeringsfarve3 2 2 5 3 3 2" xfId="27063" xr:uid="{00000000-0005-0000-0000-0000FA1B0000}"/>
    <cellStyle name="20 % - Markeringsfarve3 2 2 5 3 3 3" xfId="42029" xr:uid="{00000000-0005-0000-0000-0000FB1B0000}"/>
    <cellStyle name="20 % - Markeringsfarve3 2 2 5 3 4" xfId="20041" xr:uid="{00000000-0005-0000-0000-0000FC1B0000}"/>
    <cellStyle name="20 % - Markeringsfarve3 2 2 5 3 5" xfId="35030" xr:uid="{00000000-0005-0000-0000-0000FD1B0000}"/>
    <cellStyle name="20 % - Markeringsfarve3 2 2 5 4" xfId="2188" xr:uid="{00000000-0005-0000-0000-0000FE1B0000}"/>
    <cellStyle name="20 % - Markeringsfarve3 2 2 5 4 2" xfId="6695" xr:uid="{00000000-0005-0000-0000-0000FF1B0000}"/>
    <cellStyle name="20 % - Markeringsfarve3 2 2 5 4 2 2" xfId="14608" xr:uid="{00000000-0005-0000-0000-0000001C0000}"/>
    <cellStyle name="20 % - Markeringsfarve3 2 2 5 4 2 2 2" xfId="30922" xr:uid="{00000000-0005-0000-0000-0000011C0000}"/>
    <cellStyle name="20 % - Markeringsfarve3 2 2 5 4 2 2 3" xfId="45886" xr:uid="{00000000-0005-0000-0000-0000021C0000}"/>
    <cellStyle name="20 % - Markeringsfarve3 2 2 5 4 2 3" xfId="23900" xr:uid="{00000000-0005-0000-0000-0000031C0000}"/>
    <cellStyle name="20 % - Markeringsfarve3 2 2 5 4 2 4" xfId="38887" xr:uid="{00000000-0005-0000-0000-0000041C0000}"/>
    <cellStyle name="20 % - Markeringsfarve3 2 2 5 4 3" xfId="10745" xr:uid="{00000000-0005-0000-0000-0000051C0000}"/>
    <cellStyle name="20 % - Markeringsfarve3 2 2 5 4 3 2" xfId="27064" xr:uid="{00000000-0005-0000-0000-0000061C0000}"/>
    <cellStyle name="20 % - Markeringsfarve3 2 2 5 4 3 3" xfId="42030" xr:uid="{00000000-0005-0000-0000-0000071C0000}"/>
    <cellStyle name="20 % - Markeringsfarve3 2 2 5 4 4" xfId="20042" xr:uid="{00000000-0005-0000-0000-0000081C0000}"/>
    <cellStyle name="20 % - Markeringsfarve3 2 2 5 4 5" xfId="35031" xr:uid="{00000000-0005-0000-0000-0000091C0000}"/>
    <cellStyle name="20 % - Markeringsfarve3 2 2 5 5" xfId="5529" xr:uid="{00000000-0005-0000-0000-00000A1C0000}"/>
    <cellStyle name="20 % - Markeringsfarve3 2 2 5 5 2" xfId="13447" xr:uid="{00000000-0005-0000-0000-00000B1C0000}"/>
    <cellStyle name="20 % - Markeringsfarve3 2 2 5 5 2 2" xfId="29761" xr:uid="{00000000-0005-0000-0000-00000C1C0000}"/>
    <cellStyle name="20 % - Markeringsfarve3 2 2 5 5 2 3" xfId="44725" xr:uid="{00000000-0005-0000-0000-00000D1C0000}"/>
    <cellStyle name="20 % - Markeringsfarve3 2 2 5 5 3" xfId="22739" xr:uid="{00000000-0005-0000-0000-00000E1C0000}"/>
    <cellStyle name="20 % - Markeringsfarve3 2 2 5 5 4" xfId="37726" xr:uid="{00000000-0005-0000-0000-00000F1C0000}"/>
    <cellStyle name="20 % - Markeringsfarve3 2 2 5 6" xfId="10741" xr:uid="{00000000-0005-0000-0000-0000101C0000}"/>
    <cellStyle name="20 % - Markeringsfarve3 2 2 5 6 2" xfId="27060" xr:uid="{00000000-0005-0000-0000-0000111C0000}"/>
    <cellStyle name="20 % - Markeringsfarve3 2 2 5 6 3" xfId="42026" xr:uid="{00000000-0005-0000-0000-0000121C0000}"/>
    <cellStyle name="20 % - Markeringsfarve3 2 2 5 7" xfId="20038" xr:uid="{00000000-0005-0000-0000-0000131C0000}"/>
    <cellStyle name="20 % - Markeringsfarve3 2 2 5 8" xfId="35027" xr:uid="{00000000-0005-0000-0000-0000141C0000}"/>
    <cellStyle name="20 % - Markeringsfarve3 2 2 6" xfId="2189" xr:uid="{00000000-0005-0000-0000-0000151C0000}"/>
    <cellStyle name="20 % - Markeringsfarve3 2 2 6 2" xfId="2190" xr:uid="{00000000-0005-0000-0000-0000161C0000}"/>
    <cellStyle name="20 % - Markeringsfarve3 2 2 6 2 2" xfId="2191" xr:uid="{00000000-0005-0000-0000-0000171C0000}"/>
    <cellStyle name="20 % - Markeringsfarve3 2 2 6 2 2 2" xfId="8100" xr:uid="{00000000-0005-0000-0000-0000181C0000}"/>
    <cellStyle name="20 % - Markeringsfarve3 2 2 6 2 2 2 2" xfId="16001" xr:uid="{00000000-0005-0000-0000-0000191C0000}"/>
    <cellStyle name="20 % - Markeringsfarve3 2 2 6 2 2 2 2 2" xfId="32315" xr:uid="{00000000-0005-0000-0000-00001A1C0000}"/>
    <cellStyle name="20 % - Markeringsfarve3 2 2 6 2 2 2 2 3" xfId="47279" xr:uid="{00000000-0005-0000-0000-00001B1C0000}"/>
    <cellStyle name="20 % - Markeringsfarve3 2 2 6 2 2 2 3" xfId="25293" xr:uid="{00000000-0005-0000-0000-00001C1C0000}"/>
    <cellStyle name="20 % - Markeringsfarve3 2 2 6 2 2 2 4" xfId="40280" xr:uid="{00000000-0005-0000-0000-00001D1C0000}"/>
    <cellStyle name="20 % - Markeringsfarve3 2 2 6 2 2 3" xfId="10748" xr:uid="{00000000-0005-0000-0000-00001E1C0000}"/>
    <cellStyle name="20 % - Markeringsfarve3 2 2 6 2 2 3 2" xfId="27067" xr:uid="{00000000-0005-0000-0000-00001F1C0000}"/>
    <cellStyle name="20 % - Markeringsfarve3 2 2 6 2 2 3 3" xfId="42033" xr:uid="{00000000-0005-0000-0000-0000201C0000}"/>
    <cellStyle name="20 % - Markeringsfarve3 2 2 6 2 2 4" xfId="20045" xr:uid="{00000000-0005-0000-0000-0000211C0000}"/>
    <cellStyle name="20 % - Markeringsfarve3 2 2 6 2 2 5" xfId="35034" xr:uid="{00000000-0005-0000-0000-0000221C0000}"/>
    <cellStyle name="20 % - Markeringsfarve3 2 2 6 2 3" xfId="6611" xr:uid="{00000000-0005-0000-0000-0000231C0000}"/>
    <cellStyle name="20 % - Markeringsfarve3 2 2 6 2 3 2" xfId="14525" xr:uid="{00000000-0005-0000-0000-0000241C0000}"/>
    <cellStyle name="20 % - Markeringsfarve3 2 2 6 2 3 2 2" xfId="30839" xr:uid="{00000000-0005-0000-0000-0000251C0000}"/>
    <cellStyle name="20 % - Markeringsfarve3 2 2 6 2 3 2 3" xfId="45803" xr:uid="{00000000-0005-0000-0000-0000261C0000}"/>
    <cellStyle name="20 % - Markeringsfarve3 2 2 6 2 3 3" xfId="23817" xr:uid="{00000000-0005-0000-0000-0000271C0000}"/>
    <cellStyle name="20 % - Markeringsfarve3 2 2 6 2 3 4" xfId="38804" xr:uid="{00000000-0005-0000-0000-0000281C0000}"/>
    <cellStyle name="20 % - Markeringsfarve3 2 2 6 2 4" xfId="10747" xr:uid="{00000000-0005-0000-0000-0000291C0000}"/>
    <cellStyle name="20 % - Markeringsfarve3 2 2 6 2 4 2" xfId="27066" xr:uid="{00000000-0005-0000-0000-00002A1C0000}"/>
    <cellStyle name="20 % - Markeringsfarve3 2 2 6 2 4 3" xfId="42032" xr:uid="{00000000-0005-0000-0000-00002B1C0000}"/>
    <cellStyle name="20 % - Markeringsfarve3 2 2 6 2 5" xfId="20044" xr:uid="{00000000-0005-0000-0000-00002C1C0000}"/>
    <cellStyle name="20 % - Markeringsfarve3 2 2 6 2 6" xfId="35033" xr:uid="{00000000-0005-0000-0000-00002D1C0000}"/>
    <cellStyle name="20 % - Markeringsfarve3 2 2 6 3" xfId="2192" xr:uid="{00000000-0005-0000-0000-00002E1C0000}"/>
    <cellStyle name="20 % - Markeringsfarve3 2 2 6 3 2" xfId="7377" xr:uid="{00000000-0005-0000-0000-00002F1C0000}"/>
    <cellStyle name="20 % - Markeringsfarve3 2 2 6 3 2 2" xfId="15287" xr:uid="{00000000-0005-0000-0000-0000301C0000}"/>
    <cellStyle name="20 % - Markeringsfarve3 2 2 6 3 2 2 2" xfId="31601" xr:uid="{00000000-0005-0000-0000-0000311C0000}"/>
    <cellStyle name="20 % - Markeringsfarve3 2 2 6 3 2 2 3" xfId="46565" xr:uid="{00000000-0005-0000-0000-0000321C0000}"/>
    <cellStyle name="20 % - Markeringsfarve3 2 2 6 3 2 3" xfId="24579" xr:uid="{00000000-0005-0000-0000-0000331C0000}"/>
    <cellStyle name="20 % - Markeringsfarve3 2 2 6 3 2 4" xfId="39566" xr:uid="{00000000-0005-0000-0000-0000341C0000}"/>
    <cellStyle name="20 % - Markeringsfarve3 2 2 6 3 3" xfId="10749" xr:uid="{00000000-0005-0000-0000-0000351C0000}"/>
    <cellStyle name="20 % - Markeringsfarve3 2 2 6 3 3 2" xfId="27068" xr:uid="{00000000-0005-0000-0000-0000361C0000}"/>
    <cellStyle name="20 % - Markeringsfarve3 2 2 6 3 3 3" xfId="42034" xr:uid="{00000000-0005-0000-0000-0000371C0000}"/>
    <cellStyle name="20 % - Markeringsfarve3 2 2 6 3 4" xfId="20046" xr:uid="{00000000-0005-0000-0000-0000381C0000}"/>
    <cellStyle name="20 % - Markeringsfarve3 2 2 6 3 5" xfId="35035" xr:uid="{00000000-0005-0000-0000-0000391C0000}"/>
    <cellStyle name="20 % - Markeringsfarve3 2 2 6 4" xfId="2193" xr:uid="{00000000-0005-0000-0000-00003A1C0000}"/>
    <cellStyle name="20 % - Markeringsfarve3 2 2 6 4 2" xfId="7106" xr:uid="{00000000-0005-0000-0000-00003B1C0000}"/>
    <cellStyle name="20 % - Markeringsfarve3 2 2 6 4 2 2" xfId="15016" xr:uid="{00000000-0005-0000-0000-00003C1C0000}"/>
    <cellStyle name="20 % - Markeringsfarve3 2 2 6 4 2 2 2" xfId="31330" xr:uid="{00000000-0005-0000-0000-00003D1C0000}"/>
    <cellStyle name="20 % - Markeringsfarve3 2 2 6 4 2 2 3" xfId="46294" xr:uid="{00000000-0005-0000-0000-00003E1C0000}"/>
    <cellStyle name="20 % - Markeringsfarve3 2 2 6 4 2 3" xfId="24308" xr:uid="{00000000-0005-0000-0000-00003F1C0000}"/>
    <cellStyle name="20 % - Markeringsfarve3 2 2 6 4 2 4" xfId="39295" xr:uid="{00000000-0005-0000-0000-0000401C0000}"/>
    <cellStyle name="20 % - Markeringsfarve3 2 2 6 4 3" xfId="10750" xr:uid="{00000000-0005-0000-0000-0000411C0000}"/>
    <cellStyle name="20 % - Markeringsfarve3 2 2 6 4 3 2" xfId="27069" xr:uid="{00000000-0005-0000-0000-0000421C0000}"/>
    <cellStyle name="20 % - Markeringsfarve3 2 2 6 4 3 3" xfId="42035" xr:uid="{00000000-0005-0000-0000-0000431C0000}"/>
    <cellStyle name="20 % - Markeringsfarve3 2 2 6 4 4" xfId="20047" xr:uid="{00000000-0005-0000-0000-0000441C0000}"/>
    <cellStyle name="20 % - Markeringsfarve3 2 2 6 4 5" xfId="35036" xr:uid="{00000000-0005-0000-0000-0000451C0000}"/>
    <cellStyle name="20 % - Markeringsfarve3 2 2 6 5" xfId="5530" xr:uid="{00000000-0005-0000-0000-0000461C0000}"/>
    <cellStyle name="20 % - Markeringsfarve3 2 2 6 5 2" xfId="13448" xr:uid="{00000000-0005-0000-0000-0000471C0000}"/>
    <cellStyle name="20 % - Markeringsfarve3 2 2 6 5 2 2" xfId="29762" xr:uid="{00000000-0005-0000-0000-0000481C0000}"/>
    <cellStyle name="20 % - Markeringsfarve3 2 2 6 5 2 3" xfId="44726" xr:uid="{00000000-0005-0000-0000-0000491C0000}"/>
    <cellStyle name="20 % - Markeringsfarve3 2 2 6 5 3" xfId="22740" xr:uid="{00000000-0005-0000-0000-00004A1C0000}"/>
    <cellStyle name="20 % - Markeringsfarve3 2 2 6 5 4" xfId="37727" xr:uid="{00000000-0005-0000-0000-00004B1C0000}"/>
    <cellStyle name="20 % - Markeringsfarve3 2 2 6 6" xfId="10746" xr:uid="{00000000-0005-0000-0000-00004C1C0000}"/>
    <cellStyle name="20 % - Markeringsfarve3 2 2 6 6 2" xfId="27065" xr:uid="{00000000-0005-0000-0000-00004D1C0000}"/>
    <cellStyle name="20 % - Markeringsfarve3 2 2 6 6 3" xfId="42031" xr:uid="{00000000-0005-0000-0000-00004E1C0000}"/>
    <cellStyle name="20 % - Markeringsfarve3 2 2 6 7" xfId="20043" xr:uid="{00000000-0005-0000-0000-00004F1C0000}"/>
    <cellStyle name="20 % - Markeringsfarve3 2 2 6 8" xfId="35032" xr:uid="{00000000-0005-0000-0000-0000501C0000}"/>
    <cellStyle name="20 % - Markeringsfarve3 2 2 7" xfId="2194" xr:uid="{00000000-0005-0000-0000-0000511C0000}"/>
    <cellStyle name="20 % - Markeringsfarve3 2 2 7 2" xfId="2195" xr:uid="{00000000-0005-0000-0000-0000521C0000}"/>
    <cellStyle name="20 % - Markeringsfarve3 2 2 7 2 2" xfId="7558" xr:uid="{00000000-0005-0000-0000-0000531C0000}"/>
    <cellStyle name="20 % - Markeringsfarve3 2 2 7 2 2 2" xfId="15459" xr:uid="{00000000-0005-0000-0000-0000541C0000}"/>
    <cellStyle name="20 % - Markeringsfarve3 2 2 7 2 2 2 2" xfId="31773" xr:uid="{00000000-0005-0000-0000-0000551C0000}"/>
    <cellStyle name="20 % - Markeringsfarve3 2 2 7 2 2 2 3" xfId="46737" xr:uid="{00000000-0005-0000-0000-0000561C0000}"/>
    <cellStyle name="20 % - Markeringsfarve3 2 2 7 2 2 3" xfId="24751" xr:uid="{00000000-0005-0000-0000-0000571C0000}"/>
    <cellStyle name="20 % - Markeringsfarve3 2 2 7 2 2 4" xfId="39738" xr:uid="{00000000-0005-0000-0000-0000581C0000}"/>
    <cellStyle name="20 % - Markeringsfarve3 2 2 7 2 3" xfId="10752" xr:uid="{00000000-0005-0000-0000-0000591C0000}"/>
    <cellStyle name="20 % - Markeringsfarve3 2 2 7 2 3 2" xfId="27071" xr:uid="{00000000-0005-0000-0000-00005A1C0000}"/>
    <cellStyle name="20 % - Markeringsfarve3 2 2 7 2 3 3" xfId="42037" xr:uid="{00000000-0005-0000-0000-00005B1C0000}"/>
    <cellStyle name="20 % - Markeringsfarve3 2 2 7 2 4" xfId="20049" xr:uid="{00000000-0005-0000-0000-00005C1C0000}"/>
    <cellStyle name="20 % - Markeringsfarve3 2 2 7 2 5" xfId="35038" xr:uid="{00000000-0005-0000-0000-00005D1C0000}"/>
    <cellStyle name="20 % - Markeringsfarve3 2 2 7 3" xfId="6150" xr:uid="{00000000-0005-0000-0000-00005E1C0000}"/>
    <cellStyle name="20 % - Markeringsfarve3 2 2 7 3 2" xfId="14067" xr:uid="{00000000-0005-0000-0000-00005F1C0000}"/>
    <cellStyle name="20 % - Markeringsfarve3 2 2 7 3 2 2" xfId="30381" xr:uid="{00000000-0005-0000-0000-0000601C0000}"/>
    <cellStyle name="20 % - Markeringsfarve3 2 2 7 3 2 3" xfId="45345" xr:uid="{00000000-0005-0000-0000-0000611C0000}"/>
    <cellStyle name="20 % - Markeringsfarve3 2 2 7 3 3" xfId="23359" xr:uid="{00000000-0005-0000-0000-0000621C0000}"/>
    <cellStyle name="20 % - Markeringsfarve3 2 2 7 3 4" xfId="38346" xr:uid="{00000000-0005-0000-0000-0000631C0000}"/>
    <cellStyle name="20 % - Markeringsfarve3 2 2 7 4" xfId="10751" xr:uid="{00000000-0005-0000-0000-0000641C0000}"/>
    <cellStyle name="20 % - Markeringsfarve3 2 2 7 4 2" xfId="27070" xr:uid="{00000000-0005-0000-0000-0000651C0000}"/>
    <cellStyle name="20 % - Markeringsfarve3 2 2 7 4 3" xfId="42036" xr:uid="{00000000-0005-0000-0000-0000661C0000}"/>
    <cellStyle name="20 % - Markeringsfarve3 2 2 7 5" xfId="20048" xr:uid="{00000000-0005-0000-0000-0000671C0000}"/>
    <cellStyle name="20 % - Markeringsfarve3 2 2 7 6" xfId="35037" xr:uid="{00000000-0005-0000-0000-0000681C0000}"/>
    <cellStyle name="20 % - Markeringsfarve3 2 2 8" xfId="2196" xr:uid="{00000000-0005-0000-0000-0000691C0000}"/>
    <cellStyle name="20 % - Markeringsfarve3 2 2 8 2" xfId="6786" xr:uid="{00000000-0005-0000-0000-00006A1C0000}"/>
    <cellStyle name="20 % - Markeringsfarve3 2 2 8 2 2" xfId="14697" xr:uid="{00000000-0005-0000-0000-00006B1C0000}"/>
    <cellStyle name="20 % - Markeringsfarve3 2 2 8 2 2 2" xfId="31011" xr:uid="{00000000-0005-0000-0000-00006C1C0000}"/>
    <cellStyle name="20 % - Markeringsfarve3 2 2 8 2 2 3" xfId="45975" xr:uid="{00000000-0005-0000-0000-00006D1C0000}"/>
    <cellStyle name="20 % - Markeringsfarve3 2 2 8 2 3" xfId="23989" xr:uid="{00000000-0005-0000-0000-00006E1C0000}"/>
    <cellStyle name="20 % - Markeringsfarve3 2 2 8 2 4" xfId="38976" xr:uid="{00000000-0005-0000-0000-00006F1C0000}"/>
    <cellStyle name="20 % - Markeringsfarve3 2 2 8 3" xfId="10753" xr:uid="{00000000-0005-0000-0000-0000701C0000}"/>
    <cellStyle name="20 % - Markeringsfarve3 2 2 8 3 2" xfId="27072" xr:uid="{00000000-0005-0000-0000-0000711C0000}"/>
    <cellStyle name="20 % - Markeringsfarve3 2 2 8 3 3" xfId="42038" xr:uid="{00000000-0005-0000-0000-0000721C0000}"/>
    <cellStyle name="20 % - Markeringsfarve3 2 2 8 4" xfId="20050" xr:uid="{00000000-0005-0000-0000-0000731C0000}"/>
    <cellStyle name="20 % - Markeringsfarve3 2 2 8 5" xfId="35039" xr:uid="{00000000-0005-0000-0000-0000741C0000}"/>
    <cellStyle name="20 % - Markeringsfarve3 2 2 9" xfId="2197" xr:uid="{00000000-0005-0000-0000-0000751C0000}"/>
    <cellStyle name="20 % - Markeringsfarve3 2 2 9 2" xfId="8613" xr:uid="{00000000-0005-0000-0000-0000761C0000}"/>
    <cellStyle name="20 % - Markeringsfarve3 2 2 9 2 2" xfId="16499" xr:uid="{00000000-0005-0000-0000-0000771C0000}"/>
    <cellStyle name="20 % - Markeringsfarve3 2 2 9 2 2 2" xfId="32813" xr:uid="{00000000-0005-0000-0000-0000781C0000}"/>
    <cellStyle name="20 % - Markeringsfarve3 2 2 9 2 2 3" xfId="47777" xr:uid="{00000000-0005-0000-0000-0000791C0000}"/>
    <cellStyle name="20 % - Markeringsfarve3 2 2 9 2 3" xfId="25791" xr:uid="{00000000-0005-0000-0000-00007A1C0000}"/>
    <cellStyle name="20 % - Markeringsfarve3 2 2 9 2 4" xfId="40778" xr:uid="{00000000-0005-0000-0000-00007B1C0000}"/>
    <cellStyle name="20 % - Markeringsfarve3 2 2 9 3" xfId="10754" xr:uid="{00000000-0005-0000-0000-00007C1C0000}"/>
    <cellStyle name="20 % - Markeringsfarve3 2 2 9 3 2" xfId="27073" xr:uid="{00000000-0005-0000-0000-00007D1C0000}"/>
    <cellStyle name="20 % - Markeringsfarve3 2 2 9 3 3" xfId="42039" xr:uid="{00000000-0005-0000-0000-00007E1C0000}"/>
    <cellStyle name="20 % - Markeringsfarve3 2 2 9 4" xfId="20051" xr:uid="{00000000-0005-0000-0000-00007F1C0000}"/>
    <cellStyle name="20 % - Markeringsfarve3 2 2 9 5" xfId="35040" xr:uid="{00000000-0005-0000-0000-0000801C0000}"/>
    <cellStyle name="20 % - Markeringsfarve3 2 3" xfId="2198" xr:uid="{00000000-0005-0000-0000-0000811C0000}"/>
    <cellStyle name="20 % - Markeringsfarve3 2 3 10" xfId="5531" xr:uid="{00000000-0005-0000-0000-0000821C0000}"/>
    <cellStyle name="20 % - Markeringsfarve3 2 3 10 2" xfId="13449" xr:uid="{00000000-0005-0000-0000-0000831C0000}"/>
    <cellStyle name="20 % - Markeringsfarve3 2 3 10 2 2" xfId="29763" xr:uid="{00000000-0005-0000-0000-0000841C0000}"/>
    <cellStyle name="20 % - Markeringsfarve3 2 3 10 2 3" xfId="44727" xr:uid="{00000000-0005-0000-0000-0000851C0000}"/>
    <cellStyle name="20 % - Markeringsfarve3 2 3 10 3" xfId="22741" xr:uid="{00000000-0005-0000-0000-0000861C0000}"/>
    <cellStyle name="20 % - Markeringsfarve3 2 3 10 4" xfId="37728" xr:uid="{00000000-0005-0000-0000-0000871C0000}"/>
    <cellStyle name="20 % - Markeringsfarve3 2 3 11" xfId="10755" xr:uid="{00000000-0005-0000-0000-0000881C0000}"/>
    <cellStyle name="20 % - Markeringsfarve3 2 3 11 2" xfId="27074" xr:uid="{00000000-0005-0000-0000-0000891C0000}"/>
    <cellStyle name="20 % - Markeringsfarve3 2 3 11 3" xfId="42040" xr:uid="{00000000-0005-0000-0000-00008A1C0000}"/>
    <cellStyle name="20 % - Markeringsfarve3 2 3 12" xfId="20052" xr:uid="{00000000-0005-0000-0000-00008B1C0000}"/>
    <cellStyle name="20 % - Markeringsfarve3 2 3 13" xfId="35041" xr:uid="{00000000-0005-0000-0000-00008C1C0000}"/>
    <cellStyle name="20 % - Markeringsfarve3 2 3 14" xfId="53367" xr:uid="{00000000-0005-0000-0000-00008D1C0000}"/>
    <cellStyle name="20 % - Markeringsfarve3 2 3 2" xfId="2199" xr:uid="{00000000-0005-0000-0000-00008E1C0000}"/>
    <cellStyle name="20 % - Markeringsfarve3 2 3 2 2" xfId="2200" xr:uid="{00000000-0005-0000-0000-00008F1C0000}"/>
    <cellStyle name="20 % - Markeringsfarve3 2 3 2 2 2" xfId="2201" xr:uid="{00000000-0005-0000-0000-0000901C0000}"/>
    <cellStyle name="20 % - Markeringsfarve3 2 3 2 2 2 2" xfId="7716" xr:uid="{00000000-0005-0000-0000-0000911C0000}"/>
    <cellStyle name="20 % - Markeringsfarve3 2 3 2 2 2 2 2" xfId="15617" xr:uid="{00000000-0005-0000-0000-0000921C0000}"/>
    <cellStyle name="20 % - Markeringsfarve3 2 3 2 2 2 2 2 2" xfId="31931" xr:uid="{00000000-0005-0000-0000-0000931C0000}"/>
    <cellStyle name="20 % - Markeringsfarve3 2 3 2 2 2 2 2 3" xfId="46895" xr:uid="{00000000-0005-0000-0000-0000941C0000}"/>
    <cellStyle name="20 % - Markeringsfarve3 2 3 2 2 2 2 3" xfId="24909" xr:uid="{00000000-0005-0000-0000-0000951C0000}"/>
    <cellStyle name="20 % - Markeringsfarve3 2 3 2 2 2 2 4" xfId="39896" xr:uid="{00000000-0005-0000-0000-0000961C0000}"/>
    <cellStyle name="20 % - Markeringsfarve3 2 3 2 2 2 3" xfId="10758" xr:uid="{00000000-0005-0000-0000-0000971C0000}"/>
    <cellStyle name="20 % - Markeringsfarve3 2 3 2 2 2 3 2" xfId="27077" xr:uid="{00000000-0005-0000-0000-0000981C0000}"/>
    <cellStyle name="20 % - Markeringsfarve3 2 3 2 2 2 3 3" xfId="42043" xr:uid="{00000000-0005-0000-0000-0000991C0000}"/>
    <cellStyle name="20 % - Markeringsfarve3 2 3 2 2 2 4" xfId="20055" xr:uid="{00000000-0005-0000-0000-00009A1C0000}"/>
    <cellStyle name="20 % - Markeringsfarve3 2 3 2 2 2 5" xfId="35044" xr:uid="{00000000-0005-0000-0000-00009B1C0000}"/>
    <cellStyle name="20 % - Markeringsfarve3 2 3 2 2 3" xfId="6282" xr:uid="{00000000-0005-0000-0000-00009C1C0000}"/>
    <cellStyle name="20 % - Markeringsfarve3 2 3 2 2 3 2" xfId="14199" xr:uid="{00000000-0005-0000-0000-00009D1C0000}"/>
    <cellStyle name="20 % - Markeringsfarve3 2 3 2 2 3 2 2" xfId="30513" xr:uid="{00000000-0005-0000-0000-00009E1C0000}"/>
    <cellStyle name="20 % - Markeringsfarve3 2 3 2 2 3 2 3" xfId="45477" xr:uid="{00000000-0005-0000-0000-00009F1C0000}"/>
    <cellStyle name="20 % - Markeringsfarve3 2 3 2 2 3 3" xfId="23491" xr:uid="{00000000-0005-0000-0000-0000A01C0000}"/>
    <cellStyle name="20 % - Markeringsfarve3 2 3 2 2 3 4" xfId="38478" xr:uid="{00000000-0005-0000-0000-0000A11C0000}"/>
    <cellStyle name="20 % - Markeringsfarve3 2 3 2 2 4" xfId="10757" xr:uid="{00000000-0005-0000-0000-0000A21C0000}"/>
    <cellStyle name="20 % - Markeringsfarve3 2 3 2 2 4 2" xfId="27076" xr:uid="{00000000-0005-0000-0000-0000A31C0000}"/>
    <cellStyle name="20 % - Markeringsfarve3 2 3 2 2 4 3" xfId="42042" xr:uid="{00000000-0005-0000-0000-0000A41C0000}"/>
    <cellStyle name="20 % - Markeringsfarve3 2 3 2 2 5" xfId="20054" xr:uid="{00000000-0005-0000-0000-0000A51C0000}"/>
    <cellStyle name="20 % - Markeringsfarve3 2 3 2 2 6" xfId="35043" xr:uid="{00000000-0005-0000-0000-0000A61C0000}"/>
    <cellStyle name="20 % - Markeringsfarve3 2 3 2 2 7" xfId="57171" xr:uid="{00000000-0005-0000-0000-0000A71C0000}"/>
    <cellStyle name="20 % - Markeringsfarve3 2 3 2 3" xfId="2202" xr:uid="{00000000-0005-0000-0000-0000A81C0000}"/>
    <cellStyle name="20 % - Markeringsfarve3 2 3 2 3 2" xfId="6946" xr:uid="{00000000-0005-0000-0000-0000A91C0000}"/>
    <cellStyle name="20 % - Markeringsfarve3 2 3 2 3 2 2" xfId="14857" xr:uid="{00000000-0005-0000-0000-0000AA1C0000}"/>
    <cellStyle name="20 % - Markeringsfarve3 2 3 2 3 2 2 2" xfId="31171" xr:uid="{00000000-0005-0000-0000-0000AB1C0000}"/>
    <cellStyle name="20 % - Markeringsfarve3 2 3 2 3 2 2 3" xfId="46135" xr:uid="{00000000-0005-0000-0000-0000AC1C0000}"/>
    <cellStyle name="20 % - Markeringsfarve3 2 3 2 3 2 3" xfId="24149" xr:uid="{00000000-0005-0000-0000-0000AD1C0000}"/>
    <cellStyle name="20 % - Markeringsfarve3 2 3 2 3 2 4" xfId="39136" xr:uid="{00000000-0005-0000-0000-0000AE1C0000}"/>
    <cellStyle name="20 % - Markeringsfarve3 2 3 2 3 3" xfId="10759" xr:uid="{00000000-0005-0000-0000-0000AF1C0000}"/>
    <cellStyle name="20 % - Markeringsfarve3 2 3 2 3 3 2" xfId="27078" xr:uid="{00000000-0005-0000-0000-0000B01C0000}"/>
    <cellStyle name="20 % - Markeringsfarve3 2 3 2 3 3 3" xfId="42044" xr:uid="{00000000-0005-0000-0000-0000B11C0000}"/>
    <cellStyle name="20 % - Markeringsfarve3 2 3 2 3 4" xfId="20056" xr:uid="{00000000-0005-0000-0000-0000B21C0000}"/>
    <cellStyle name="20 % - Markeringsfarve3 2 3 2 3 5" xfId="35045" xr:uid="{00000000-0005-0000-0000-0000B31C0000}"/>
    <cellStyle name="20 % - Markeringsfarve3 2 3 2 4" xfId="2203" xr:uid="{00000000-0005-0000-0000-0000B41C0000}"/>
    <cellStyle name="20 % - Markeringsfarve3 2 3 2 4 2" xfId="7091" xr:uid="{00000000-0005-0000-0000-0000B51C0000}"/>
    <cellStyle name="20 % - Markeringsfarve3 2 3 2 4 2 2" xfId="15001" xr:uid="{00000000-0005-0000-0000-0000B61C0000}"/>
    <cellStyle name="20 % - Markeringsfarve3 2 3 2 4 2 2 2" xfId="31315" xr:uid="{00000000-0005-0000-0000-0000B71C0000}"/>
    <cellStyle name="20 % - Markeringsfarve3 2 3 2 4 2 2 3" xfId="46279" xr:uid="{00000000-0005-0000-0000-0000B81C0000}"/>
    <cellStyle name="20 % - Markeringsfarve3 2 3 2 4 2 3" xfId="24293" xr:uid="{00000000-0005-0000-0000-0000B91C0000}"/>
    <cellStyle name="20 % - Markeringsfarve3 2 3 2 4 2 4" xfId="39280" xr:uid="{00000000-0005-0000-0000-0000BA1C0000}"/>
    <cellStyle name="20 % - Markeringsfarve3 2 3 2 4 3" xfId="10760" xr:uid="{00000000-0005-0000-0000-0000BB1C0000}"/>
    <cellStyle name="20 % - Markeringsfarve3 2 3 2 4 3 2" xfId="27079" xr:uid="{00000000-0005-0000-0000-0000BC1C0000}"/>
    <cellStyle name="20 % - Markeringsfarve3 2 3 2 4 3 3" xfId="42045" xr:uid="{00000000-0005-0000-0000-0000BD1C0000}"/>
    <cellStyle name="20 % - Markeringsfarve3 2 3 2 4 4" xfId="20057" xr:uid="{00000000-0005-0000-0000-0000BE1C0000}"/>
    <cellStyle name="20 % - Markeringsfarve3 2 3 2 4 5" xfId="35046" xr:uid="{00000000-0005-0000-0000-0000BF1C0000}"/>
    <cellStyle name="20 % - Markeringsfarve3 2 3 2 5" xfId="5532" xr:uid="{00000000-0005-0000-0000-0000C01C0000}"/>
    <cellStyle name="20 % - Markeringsfarve3 2 3 2 5 2" xfId="13450" xr:uid="{00000000-0005-0000-0000-0000C11C0000}"/>
    <cellStyle name="20 % - Markeringsfarve3 2 3 2 5 2 2" xfId="29764" xr:uid="{00000000-0005-0000-0000-0000C21C0000}"/>
    <cellStyle name="20 % - Markeringsfarve3 2 3 2 5 2 3" xfId="44728" xr:uid="{00000000-0005-0000-0000-0000C31C0000}"/>
    <cellStyle name="20 % - Markeringsfarve3 2 3 2 5 3" xfId="22742" xr:uid="{00000000-0005-0000-0000-0000C41C0000}"/>
    <cellStyle name="20 % - Markeringsfarve3 2 3 2 5 4" xfId="37729" xr:uid="{00000000-0005-0000-0000-0000C51C0000}"/>
    <cellStyle name="20 % - Markeringsfarve3 2 3 2 6" xfId="10756" xr:uid="{00000000-0005-0000-0000-0000C61C0000}"/>
    <cellStyle name="20 % - Markeringsfarve3 2 3 2 6 2" xfId="27075" xr:uid="{00000000-0005-0000-0000-0000C71C0000}"/>
    <cellStyle name="20 % - Markeringsfarve3 2 3 2 6 3" xfId="42041" xr:uid="{00000000-0005-0000-0000-0000C81C0000}"/>
    <cellStyle name="20 % - Markeringsfarve3 2 3 2 7" xfId="20053" xr:uid="{00000000-0005-0000-0000-0000C91C0000}"/>
    <cellStyle name="20 % - Markeringsfarve3 2 3 2 8" xfId="35042" xr:uid="{00000000-0005-0000-0000-0000CA1C0000}"/>
    <cellStyle name="20 % - Markeringsfarve3 2 3 2 9" xfId="54004" xr:uid="{00000000-0005-0000-0000-0000CB1C0000}"/>
    <cellStyle name="20 % - Markeringsfarve3 2 3 3" xfId="2204" xr:uid="{00000000-0005-0000-0000-0000CC1C0000}"/>
    <cellStyle name="20 % - Markeringsfarve3 2 3 3 2" xfId="2205" xr:uid="{00000000-0005-0000-0000-0000CD1C0000}"/>
    <cellStyle name="20 % - Markeringsfarve3 2 3 3 2 2" xfId="2206" xr:uid="{00000000-0005-0000-0000-0000CE1C0000}"/>
    <cellStyle name="20 % - Markeringsfarve3 2 3 3 2 2 2" xfId="7746" xr:uid="{00000000-0005-0000-0000-0000CF1C0000}"/>
    <cellStyle name="20 % - Markeringsfarve3 2 3 3 2 2 2 2" xfId="15647" xr:uid="{00000000-0005-0000-0000-0000D01C0000}"/>
    <cellStyle name="20 % - Markeringsfarve3 2 3 3 2 2 2 2 2" xfId="31961" xr:uid="{00000000-0005-0000-0000-0000D11C0000}"/>
    <cellStyle name="20 % - Markeringsfarve3 2 3 3 2 2 2 2 3" xfId="46925" xr:uid="{00000000-0005-0000-0000-0000D21C0000}"/>
    <cellStyle name="20 % - Markeringsfarve3 2 3 3 2 2 2 3" xfId="24939" xr:uid="{00000000-0005-0000-0000-0000D31C0000}"/>
    <cellStyle name="20 % - Markeringsfarve3 2 3 3 2 2 2 4" xfId="39926" xr:uid="{00000000-0005-0000-0000-0000D41C0000}"/>
    <cellStyle name="20 % - Markeringsfarve3 2 3 3 2 2 3" xfId="10763" xr:uid="{00000000-0005-0000-0000-0000D51C0000}"/>
    <cellStyle name="20 % - Markeringsfarve3 2 3 3 2 2 3 2" xfId="27082" xr:uid="{00000000-0005-0000-0000-0000D61C0000}"/>
    <cellStyle name="20 % - Markeringsfarve3 2 3 3 2 2 3 3" xfId="42048" xr:uid="{00000000-0005-0000-0000-0000D71C0000}"/>
    <cellStyle name="20 % - Markeringsfarve3 2 3 3 2 2 4" xfId="20060" xr:uid="{00000000-0005-0000-0000-0000D81C0000}"/>
    <cellStyle name="20 % - Markeringsfarve3 2 3 3 2 2 5" xfId="35049" xr:uid="{00000000-0005-0000-0000-0000D91C0000}"/>
    <cellStyle name="20 % - Markeringsfarve3 2 3 3 2 3" xfId="6310" xr:uid="{00000000-0005-0000-0000-0000DA1C0000}"/>
    <cellStyle name="20 % - Markeringsfarve3 2 3 3 2 3 2" xfId="14227" xr:uid="{00000000-0005-0000-0000-0000DB1C0000}"/>
    <cellStyle name="20 % - Markeringsfarve3 2 3 3 2 3 2 2" xfId="30541" xr:uid="{00000000-0005-0000-0000-0000DC1C0000}"/>
    <cellStyle name="20 % - Markeringsfarve3 2 3 3 2 3 2 3" xfId="45505" xr:uid="{00000000-0005-0000-0000-0000DD1C0000}"/>
    <cellStyle name="20 % - Markeringsfarve3 2 3 3 2 3 3" xfId="23519" xr:uid="{00000000-0005-0000-0000-0000DE1C0000}"/>
    <cellStyle name="20 % - Markeringsfarve3 2 3 3 2 3 4" xfId="38506" xr:uid="{00000000-0005-0000-0000-0000DF1C0000}"/>
    <cellStyle name="20 % - Markeringsfarve3 2 3 3 2 4" xfId="10762" xr:uid="{00000000-0005-0000-0000-0000E01C0000}"/>
    <cellStyle name="20 % - Markeringsfarve3 2 3 3 2 4 2" xfId="27081" xr:uid="{00000000-0005-0000-0000-0000E11C0000}"/>
    <cellStyle name="20 % - Markeringsfarve3 2 3 3 2 4 3" xfId="42047" xr:uid="{00000000-0005-0000-0000-0000E21C0000}"/>
    <cellStyle name="20 % - Markeringsfarve3 2 3 3 2 5" xfId="20059" xr:uid="{00000000-0005-0000-0000-0000E31C0000}"/>
    <cellStyle name="20 % - Markeringsfarve3 2 3 3 2 6" xfId="35048" xr:uid="{00000000-0005-0000-0000-0000E41C0000}"/>
    <cellStyle name="20 % - Markeringsfarve3 2 3 3 3" xfId="2207" xr:uid="{00000000-0005-0000-0000-0000E51C0000}"/>
    <cellStyle name="20 % - Markeringsfarve3 2 3 3 3 2" xfId="6976" xr:uid="{00000000-0005-0000-0000-0000E61C0000}"/>
    <cellStyle name="20 % - Markeringsfarve3 2 3 3 3 2 2" xfId="14887" xr:uid="{00000000-0005-0000-0000-0000E71C0000}"/>
    <cellStyle name="20 % - Markeringsfarve3 2 3 3 3 2 2 2" xfId="31201" xr:uid="{00000000-0005-0000-0000-0000E81C0000}"/>
    <cellStyle name="20 % - Markeringsfarve3 2 3 3 3 2 2 3" xfId="46165" xr:uid="{00000000-0005-0000-0000-0000E91C0000}"/>
    <cellStyle name="20 % - Markeringsfarve3 2 3 3 3 2 3" xfId="24179" xr:uid="{00000000-0005-0000-0000-0000EA1C0000}"/>
    <cellStyle name="20 % - Markeringsfarve3 2 3 3 3 2 4" xfId="39166" xr:uid="{00000000-0005-0000-0000-0000EB1C0000}"/>
    <cellStyle name="20 % - Markeringsfarve3 2 3 3 3 3" xfId="10764" xr:uid="{00000000-0005-0000-0000-0000EC1C0000}"/>
    <cellStyle name="20 % - Markeringsfarve3 2 3 3 3 3 2" xfId="27083" xr:uid="{00000000-0005-0000-0000-0000ED1C0000}"/>
    <cellStyle name="20 % - Markeringsfarve3 2 3 3 3 3 3" xfId="42049" xr:uid="{00000000-0005-0000-0000-0000EE1C0000}"/>
    <cellStyle name="20 % - Markeringsfarve3 2 3 3 3 4" xfId="20061" xr:uid="{00000000-0005-0000-0000-0000EF1C0000}"/>
    <cellStyle name="20 % - Markeringsfarve3 2 3 3 3 5" xfId="35050" xr:uid="{00000000-0005-0000-0000-0000F01C0000}"/>
    <cellStyle name="20 % - Markeringsfarve3 2 3 3 4" xfId="2208" xr:uid="{00000000-0005-0000-0000-0000F11C0000}"/>
    <cellStyle name="20 % - Markeringsfarve3 2 3 3 4 2" xfId="7093" xr:uid="{00000000-0005-0000-0000-0000F21C0000}"/>
    <cellStyle name="20 % - Markeringsfarve3 2 3 3 4 2 2" xfId="15003" xr:uid="{00000000-0005-0000-0000-0000F31C0000}"/>
    <cellStyle name="20 % - Markeringsfarve3 2 3 3 4 2 2 2" xfId="31317" xr:uid="{00000000-0005-0000-0000-0000F41C0000}"/>
    <cellStyle name="20 % - Markeringsfarve3 2 3 3 4 2 2 3" xfId="46281" xr:uid="{00000000-0005-0000-0000-0000F51C0000}"/>
    <cellStyle name="20 % - Markeringsfarve3 2 3 3 4 2 3" xfId="24295" xr:uid="{00000000-0005-0000-0000-0000F61C0000}"/>
    <cellStyle name="20 % - Markeringsfarve3 2 3 3 4 2 4" xfId="39282" xr:uid="{00000000-0005-0000-0000-0000F71C0000}"/>
    <cellStyle name="20 % - Markeringsfarve3 2 3 3 4 3" xfId="10765" xr:uid="{00000000-0005-0000-0000-0000F81C0000}"/>
    <cellStyle name="20 % - Markeringsfarve3 2 3 3 4 3 2" xfId="27084" xr:uid="{00000000-0005-0000-0000-0000F91C0000}"/>
    <cellStyle name="20 % - Markeringsfarve3 2 3 3 4 3 3" xfId="42050" xr:uid="{00000000-0005-0000-0000-0000FA1C0000}"/>
    <cellStyle name="20 % - Markeringsfarve3 2 3 3 4 4" xfId="20062" xr:uid="{00000000-0005-0000-0000-0000FB1C0000}"/>
    <cellStyle name="20 % - Markeringsfarve3 2 3 3 4 5" xfId="35051" xr:uid="{00000000-0005-0000-0000-0000FC1C0000}"/>
    <cellStyle name="20 % - Markeringsfarve3 2 3 3 5" xfId="5533" xr:uid="{00000000-0005-0000-0000-0000FD1C0000}"/>
    <cellStyle name="20 % - Markeringsfarve3 2 3 3 5 2" xfId="13451" xr:uid="{00000000-0005-0000-0000-0000FE1C0000}"/>
    <cellStyle name="20 % - Markeringsfarve3 2 3 3 5 2 2" xfId="29765" xr:uid="{00000000-0005-0000-0000-0000FF1C0000}"/>
    <cellStyle name="20 % - Markeringsfarve3 2 3 3 5 2 3" xfId="44729" xr:uid="{00000000-0005-0000-0000-0000001D0000}"/>
    <cellStyle name="20 % - Markeringsfarve3 2 3 3 5 3" xfId="22743" xr:uid="{00000000-0005-0000-0000-0000011D0000}"/>
    <cellStyle name="20 % - Markeringsfarve3 2 3 3 5 4" xfId="37730" xr:uid="{00000000-0005-0000-0000-0000021D0000}"/>
    <cellStyle name="20 % - Markeringsfarve3 2 3 3 6" xfId="10761" xr:uid="{00000000-0005-0000-0000-0000031D0000}"/>
    <cellStyle name="20 % - Markeringsfarve3 2 3 3 6 2" xfId="27080" xr:uid="{00000000-0005-0000-0000-0000041D0000}"/>
    <cellStyle name="20 % - Markeringsfarve3 2 3 3 6 3" xfId="42046" xr:uid="{00000000-0005-0000-0000-0000051D0000}"/>
    <cellStyle name="20 % - Markeringsfarve3 2 3 3 7" xfId="20058" xr:uid="{00000000-0005-0000-0000-0000061D0000}"/>
    <cellStyle name="20 % - Markeringsfarve3 2 3 3 8" xfId="35047" xr:uid="{00000000-0005-0000-0000-0000071D0000}"/>
    <cellStyle name="20 % - Markeringsfarve3 2 3 3 9" xfId="56548" xr:uid="{00000000-0005-0000-0000-0000081D0000}"/>
    <cellStyle name="20 % - Markeringsfarve3 2 3 4" xfId="2209" xr:uid="{00000000-0005-0000-0000-0000091D0000}"/>
    <cellStyle name="20 % - Markeringsfarve3 2 3 4 2" xfId="2210" xr:uid="{00000000-0005-0000-0000-00000A1D0000}"/>
    <cellStyle name="20 % - Markeringsfarve3 2 3 4 2 2" xfId="2211" xr:uid="{00000000-0005-0000-0000-00000B1D0000}"/>
    <cellStyle name="20 % - Markeringsfarve3 2 3 4 2 2 2" xfId="7954" xr:uid="{00000000-0005-0000-0000-00000C1D0000}"/>
    <cellStyle name="20 % - Markeringsfarve3 2 3 4 2 2 2 2" xfId="15855" xr:uid="{00000000-0005-0000-0000-00000D1D0000}"/>
    <cellStyle name="20 % - Markeringsfarve3 2 3 4 2 2 2 2 2" xfId="32169" xr:uid="{00000000-0005-0000-0000-00000E1D0000}"/>
    <cellStyle name="20 % - Markeringsfarve3 2 3 4 2 2 2 2 3" xfId="47133" xr:uid="{00000000-0005-0000-0000-00000F1D0000}"/>
    <cellStyle name="20 % - Markeringsfarve3 2 3 4 2 2 2 3" xfId="25147" xr:uid="{00000000-0005-0000-0000-0000101D0000}"/>
    <cellStyle name="20 % - Markeringsfarve3 2 3 4 2 2 2 4" xfId="40134" xr:uid="{00000000-0005-0000-0000-0000111D0000}"/>
    <cellStyle name="20 % - Markeringsfarve3 2 3 4 2 2 3" xfId="10768" xr:uid="{00000000-0005-0000-0000-0000121D0000}"/>
    <cellStyle name="20 % - Markeringsfarve3 2 3 4 2 2 3 2" xfId="27087" xr:uid="{00000000-0005-0000-0000-0000131D0000}"/>
    <cellStyle name="20 % - Markeringsfarve3 2 3 4 2 2 3 3" xfId="42053" xr:uid="{00000000-0005-0000-0000-0000141D0000}"/>
    <cellStyle name="20 % - Markeringsfarve3 2 3 4 2 2 4" xfId="20065" xr:uid="{00000000-0005-0000-0000-0000151D0000}"/>
    <cellStyle name="20 % - Markeringsfarve3 2 3 4 2 2 5" xfId="35054" xr:uid="{00000000-0005-0000-0000-0000161D0000}"/>
    <cellStyle name="20 % - Markeringsfarve3 2 3 4 2 3" xfId="6484" xr:uid="{00000000-0005-0000-0000-0000171D0000}"/>
    <cellStyle name="20 % - Markeringsfarve3 2 3 4 2 3 2" xfId="14398" xr:uid="{00000000-0005-0000-0000-0000181D0000}"/>
    <cellStyle name="20 % - Markeringsfarve3 2 3 4 2 3 2 2" xfId="30712" xr:uid="{00000000-0005-0000-0000-0000191D0000}"/>
    <cellStyle name="20 % - Markeringsfarve3 2 3 4 2 3 2 3" xfId="45676" xr:uid="{00000000-0005-0000-0000-00001A1D0000}"/>
    <cellStyle name="20 % - Markeringsfarve3 2 3 4 2 3 3" xfId="23690" xr:uid="{00000000-0005-0000-0000-00001B1D0000}"/>
    <cellStyle name="20 % - Markeringsfarve3 2 3 4 2 3 4" xfId="38677" xr:uid="{00000000-0005-0000-0000-00001C1D0000}"/>
    <cellStyle name="20 % - Markeringsfarve3 2 3 4 2 4" xfId="10767" xr:uid="{00000000-0005-0000-0000-00001D1D0000}"/>
    <cellStyle name="20 % - Markeringsfarve3 2 3 4 2 4 2" xfId="27086" xr:uid="{00000000-0005-0000-0000-00001E1D0000}"/>
    <cellStyle name="20 % - Markeringsfarve3 2 3 4 2 4 3" xfId="42052" xr:uid="{00000000-0005-0000-0000-00001F1D0000}"/>
    <cellStyle name="20 % - Markeringsfarve3 2 3 4 2 5" xfId="20064" xr:uid="{00000000-0005-0000-0000-0000201D0000}"/>
    <cellStyle name="20 % - Markeringsfarve3 2 3 4 2 6" xfId="35053" xr:uid="{00000000-0005-0000-0000-0000211D0000}"/>
    <cellStyle name="20 % - Markeringsfarve3 2 3 4 3" xfId="2212" xr:uid="{00000000-0005-0000-0000-0000221D0000}"/>
    <cellStyle name="20 % - Markeringsfarve3 2 3 4 3 2" xfId="7230" xr:uid="{00000000-0005-0000-0000-0000231D0000}"/>
    <cellStyle name="20 % - Markeringsfarve3 2 3 4 3 2 2" xfId="15140" xr:uid="{00000000-0005-0000-0000-0000241D0000}"/>
    <cellStyle name="20 % - Markeringsfarve3 2 3 4 3 2 2 2" xfId="31454" xr:uid="{00000000-0005-0000-0000-0000251D0000}"/>
    <cellStyle name="20 % - Markeringsfarve3 2 3 4 3 2 2 3" xfId="46418" xr:uid="{00000000-0005-0000-0000-0000261D0000}"/>
    <cellStyle name="20 % - Markeringsfarve3 2 3 4 3 2 3" xfId="24432" xr:uid="{00000000-0005-0000-0000-0000271D0000}"/>
    <cellStyle name="20 % - Markeringsfarve3 2 3 4 3 2 4" xfId="39419" xr:uid="{00000000-0005-0000-0000-0000281D0000}"/>
    <cellStyle name="20 % - Markeringsfarve3 2 3 4 3 3" xfId="10769" xr:uid="{00000000-0005-0000-0000-0000291D0000}"/>
    <cellStyle name="20 % - Markeringsfarve3 2 3 4 3 3 2" xfId="27088" xr:uid="{00000000-0005-0000-0000-00002A1D0000}"/>
    <cellStyle name="20 % - Markeringsfarve3 2 3 4 3 3 3" xfId="42054" xr:uid="{00000000-0005-0000-0000-00002B1D0000}"/>
    <cellStyle name="20 % - Markeringsfarve3 2 3 4 3 4" xfId="20066" xr:uid="{00000000-0005-0000-0000-00002C1D0000}"/>
    <cellStyle name="20 % - Markeringsfarve3 2 3 4 3 5" xfId="35055" xr:uid="{00000000-0005-0000-0000-00002D1D0000}"/>
    <cellStyle name="20 % - Markeringsfarve3 2 3 4 4" xfId="2213" xr:uid="{00000000-0005-0000-0000-00002E1D0000}"/>
    <cellStyle name="20 % - Markeringsfarve3 2 3 4 4 2" xfId="7094" xr:uid="{00000000-0005-0000-0000-00002F1D0000}"/>
    <cellStyle name="20 % - Markeringsfarve3 2 3 4 4 2 2" xfId="15004" xr:uid="{00000000-0005-0000-0000-0000301D0000}"/>
    <cellStyle name="20 % - Markeringsfarve3 2 3 4 4 2 2 2" xfId="31318" xr:uid="{00000000-0005-0000-0000-0000311D0000}"/>
    <cellStyle name="20 % - Markeringsfarve3 2 3 4 4 2 2 3" xfId="46282" xr:uid="{00000000-0005-0000-0000-0000321D0000}"/>
    <cellStyle name="20 % - Markeringsfarve3 2 3 4 4 2 3" xfId="24296" xr:uid="{00000000-0005-0000-0000-0000331D0000}"/>
    <cellStyle name="20 % - Markeringsfarve3 2 3 4 4 2 4" xfId="39283" xr:uid="{00000000-0005-0000-0000-0000341D0000}"/>
    <cellStyle name="20 % - Markeringsfarve3 2 3 4 4 3" xfId="10770" xr:uid="{00000000-0005-0000-0000-0000351D0000}"/>
    <cellStyle name="20 % - Markeringsfarve3 2 3 4 4 3 2" xfId="27089" xr:uid="{00000000-0005-0000-0000-0000361D0000}"/>
    <cellStyle name="20 % - Markeringsfarve3 2 3 4 4 3 3" xfId="42055" xr:uid="{00000000-0005-0000-0000-0000371D0000}"/>
    <cellStyle name="20 % - Markeringsfarve3 2 3 4 4 4" xfId="20067" xr:uid="{00000000-0005-0000-0000-0000381D0000}"/>
    <cellStyle name="20 % - Markeringsfarve3 2 3 4 4 5" xfId="35056" xr:uid="{00000000-0005-0000-0000-0000391D0000}"/>
    <cellStyle name="20 % - Markeringsfarve3 2 3 4 5" xfId="5534" xr:uid="{00000000-0005-0000-0000-00003A1D0000}"/>
    <cellStyle name="20 % - Markeringsfarve3 2 3 4 5 2" xfId="13452" xr:uid="{00000000-0005-0000-0000-00003B1D0000}"/>
    <cellStyle name="20 % - Markeringsfarve3 2 3 4 5 2 2" xfId="29766" xr:uid="{00000000-0005-0000-0000-00003C1D0000}"/>
    <cellStyle name="20 % - Markeringsfarve3 2 3 4 5 2 3" xfId="44730" xr:uid="{00000000-0005-0000-0000-00003D1D0000}"/>
    <cellStyle name="20 % - Markeringsfarve3 2 3 4 5 3" xfId="22744" xr:uid="{00000000-0005-0000-0000-00003E1D0000}"/>
    <cellStyle name="20 % - Markeringsfarve3 2 3 4 5 4" xfId="37731" xr:uid="{00000000-0005-0000-0000-00003F1D0000}"/>
    <cellStyle name="20 % - Markeringsfarve3 2 3 4 6" xfId="10766" xr:uid="{00000000-0005-0000-0000-0000401D0000}"/>
    <cellStyle name="20 % - Markeringsfarve3 2 3 4 6 2" xfId="27085" xr:uid="{00000000-0005-0000-0000-0000411D0000}"/>
    <cellStyle name="20 % - Markeringsfarve3 2 3 4 6 3" xfId="42051" xr:uid="{00000000-0005-0000-0000-0000421D0000}"/>
    <cellStyle name="20 % - Markeringsfarve3 2 3 4 7" xfId="20063" xr:uid="{00000000-0005-0000-0000-0000431D0000}"/>
    <cellStyle name="20 % - Markeringsfarve3 2 3 4 8" xfId="35052" xr:uid="{00000000-0005-0000-0000-0000441D0000}"/>
    <cellStyle name="20 % - Markeringsfarve3 2 3 5" xfId="2214" xr:uid="{00000000-0005-0000-0000-0000451D0000}"/>
    <cellStyle name="20 % - Markeringsfarve3 2 3 5 2" xfId="2215" xr:uid="{00000000-0005-0000-0000-0000461D0000}"/>
    <cellStyle name="20 % - Markeringsfarve3 2 3 5 2 2" xfId="2216" xr:uid="{00000000-0005-0000-0000-0000471D0000}"/>
    <cellStyle name="20 % - Markeringsfarve3 2 3 5 2 2 2" xfId="8071" xr:uid="{00000000-0005-0000-0000-0000481D0000}"/>
    <cellStyle name="20 % - Markeringsfarve3 2 3 5 2 2 2 2" xfId="15972" xr:uid="{00000000-0005-0000-0000-0000491D0000}"/>
    <cellStyle name="20 % - Markeringsfarve3 2 3 5 2 2 2 2 2" xfId="32286" xr:uid="{00000000-0005-0000-0000-00004A1D0000}"/>
    <cellStyle name="20 % - Markeringsfarve3 2 3 5 2 2 2 2 3" xfId="47250" xr:uid="{00000000-0005-0000-0000-00004B1D0000}"/>
    <cellStyle name="20 % - Markeringsfarve3 2 3 5 2 2 2 3" xfId="25264" xr:uid="{00000000-0005-0000-0000-00004C1D0000}"/>
    <cellStyle name="20 % - Markeringsfarve3 2 3 5 2 2 2 4" xfId="40251" xr:uid="{00000000-0005-0000-0000-00004D1D0000}"/>
    <cellStyle name="20 % - Markeringsfarve3 2 3 5 2 2 3" xfId="10773" xr:uid="{00000000-0005-0000-0000-00004E1D0000}"/>
    <cellStyle name="20 % - Markeringsfarve3 2 3 5 2 2 3 2" xfId="27092" xr:uid="{00000000-0005-0000-0000-00004F1D0000}"/>
    <cellStyle name="20 % - Markeringsfarve3 2 3 5 2 2 3 3" xfId="42058" xr:uid="{00000000-0005-0000-0000-0000501D0000}"/>
    <cellStyle name="20 % - Markeringsfarve3 2 3 5 2 2 4" xfId="20070" xr:uid="{00000000-0005-0000-0000-0000511D0000}"/>
    <cellStyle name="20 % - Markeringsfarve3 2 3 5 2 2 5" xfId="35059" xr:uid="{00000000-0005-0000-0000-0000521D0000}"/>
    <cellStyle name="20 % - Markeringsfarve3 2 3 5 2 3" xfId="6583" xr:uid="{00000000-0005-0000-0000-0000531D0000}"/>
    <cellStyle name="20 % - Markeringsfarve3 2 3 5 2 3 2" xfId="14497" xr:uid="{00000000-0005-0000-0000-0000541D0000}"/>
    <cellStyle name="20 % - Markeringsfarve3 2 3 5 2 3 2 2" xfId="30811" xr:uid="{00000000-0005-0000-0000-0000551D0000}"/>
    <cellStyle name="20 % - Markeringsfarve3 2 3 5 2 3 2 3" xfId="45775" xr:uid="{00000000-0005-0000-0000-0000561D0000}"/>
    <cellStyle name="20 % - Markeringsfarve3 2 3 5 2 3 3" xfId="23789" xr:uid="{00000000-0005-0000-0000-0000571D0000}"/>
    <cellStyle name="20 % - Markeringsfarve3 2 3 5 2 3 4" xfId="38776" xr:uid="{00000000-0005-0000-0000-0000581D0000}"/>
    <cellStyle name="20 % - Markeringsfarve3 2 3 5 2 4" xfId="10772" xr:uid="{00000000-0005-0000-0000-0000591D0000}"/>
    <cellStyle name="20 % - Markeringsfarve3 2 3 5 2 4 2" xfId="27091" xr:uid="{00000000-0005-0000-0000-00005A1D0000}"/>
    <cellStyle name="20 % - Markeringsfarve3 2 3 5 2 4 3" xfId="42057" xr:uid="{00000000-0005-0000-0000-00005B1D0000}"/>
    <cellStyle name="20 % - Markeringsfarve3 2 3 5 2 5" xfId="20069" xr:uid="{00000000-0005-0000-0000-00005C1D0000}"/>
    <cellStyle name="20 % - Markeringsfarve3 2 3 5 2 6" xfId="35058" xr:uid="{00000000-0005-0000-0000-00005D1D0000}"/>
    <cellStyle name="20 % - Markeringsfarve3 2 3 5 3" xfId="2217" xr:uid="{00000000-0005-0000-0000-00005E1D0000}"/>
    <cellStyle name="20 % - Markeringsfarve3 2 3 5 3 2" xfId="7347" xr:uid="{00000000-0005-0000-0000-00005F1D0000}"/>
    <cellStyle name="20 % - Markeringsfarve3 2 3 5 3 2 2" xfId="15257" xr:uid="{00000000-0005-0000-0000-0000601D0000}"/>
    <cellStyle name="20 % - Markeringsfarve3 2 3 5 3 2 2 2" xfId="31571" xr:uid="{00000000-0005-0000-0000-0000611D0000}"/>
    <cellStyle name="20 % - Markeringsfarve3 2 3 5 3 2 2 3" xfId="46535" xr:uid="{00000000-0005-0000-0000-0000621D0000}"/>
    <cellStyle name="20 % - Markeringsfarve3 2 3 5 3 2 3" xfId="24549" xr:uid="{00000000-0005-0000-0000-0000631D0000}"/>
    <cellStyle name="20 % - Markeringsfarve3 2 3 5 3 2 4" xfId="39536" xr:uid="{00000000-0005-0000-0000-0000641D0000}"/>
    <cellStyle name="20 % - Markeringsfarve3 2 3 5 3 3" xfId="10774" xr:uid="{00000000-0005-0000-0000-0000651D0000}"/>
    <cellStyle name="20 % - Markeringsfarve3 2 3 5 3 3 2" xfId="27093" xr:uid="{00000000-0005-0000-0000-0000661D0000}"/>
    <cellStyle name="20 % - Markeringsfarve3 2 3 5 3 3 3" xfId="42059" xr:uid="{00000000-0005-0000-0000-0000671D0000}"/>
    <cellStyle name="20 % - Markeringsfarve3 2 3 5 3 4" xfId="20071" xr:uid="{00000000-0005-0000-0000-0000681D0000}"/>
    <cellStyle name="20 % - Markeringsfarve3 2 3 5 3 5" xfId="35060" xr:uid="{00000000-0005-0000-0000-0000691D0000}"/>
    <cellStyle name="20 % - Markeringsfarve3 2 3 5 4" xfId="2218" xr:uid="{00000000-0005-0000-0000-00006A1D0000}"/>
    <cellStyle name="20 % - Markeringsfarve3 2 3 5 4 2" xfId="7096" xr:uid="{00000000-0005-0000-0000-00006B1D0000}"/>
    <cellStyle name="20 % - Markeringsfarve3 2 3 5 4 2 2" xfId="15006" xr:uid="{00000000-0005-0000-0000-00006C1D0000}"/>
    <cellStyle name="20 % - Markeringsfarve3 2 3 5 4 2 2 2" xfId="31320" xr:uid="{00000000-0005-0000-0000-00006D1D0000}"/>
    <cellStyle name="20 % - Markeringsfarve3 2 3 5 4 2 2 3" xfId="46284" xr:uid="{00000000-0005-0000-0000-00006E1D0000}"/>
    <cellStyle name="20 % - Markeringsfarve3 2 3 5 4 2 3" xfId="24298" xr:uid="{00000000-0005-0000-0000-00006F1D0000}"/>
    <cellStyle name="20 % - Markeringsfarve3 2 3 5 4 2 4" xfId="39285" xr:uid="{00000000-0005-0000-0000-0000701D0000}"/>
    <cellStyle name="20 % - Markeringsfarve3 2 3 5 4 3" xfId="10775" xr:uid="{00000000-0005-0000-0000-0000711D0000}"/>
    <cellStyle name="20 % - Markeringsfarve3 2 3 5 4 3 2" xfId="27094" xr:uid="{00000000-0005-0000-0000-0000721D0000}"/>
    <cellStyle name="20 % - Markeringsfarve3 2 3 5 4 3 3" xfId="42060" xr:uid="{00000000-0005-0000-0000-0000731D0000}"/>
    <cellStyle name="20 % - Markeringsfarve3 2 3 5 4 4" xfId="20072" xr:uid="{00000000-0005-0000-0000-0000741D0000}"/>
    <cellStyle name="20 % - Markeringsfarve3 2 3 5 4 5" xfId="35061" xr:uid="{00000000-0005-0000-0000-0000751D0000}"/>
    <cellStyle name="20 % - Markeringsfarve3 2 3 5 5" xfId="5535" xr:uid="{00000000-0005-0000-0000-0000761D0000}"/>
    <cellStyle name="20 % - Markeringsfarve3 2 3 5 5 2" xfId="13453" xr:uid="{00000000-0005-0000-0000-0000771D0000}"/>
    <cellStyle name="20 % - Markeringsfarve3 2 3 5 5 2 2" xfId="29767" xr:uid="{00000000-0005-0000-0000-0000781D0000}"/>
    <cellStyle name="20 % - Markeringsfarve3 2 3 5 5 2 3" xfId="44731" xr:uid="{00000000-0005-0000-0000-0000791D0000}"/>
    <cellStyle name="20 % - Markeringsfarve3 2 3 5 5 3" xfId="22745" xr:uid="{00000000-0005-0000-0000-00007A1D0000}"/>
    <cellStyle name="20 % - Markeringsfarve3 2 3 5 5 4" xfId="37732" xr:uid="{00000000-0005-0000-0000-00007B1D0000}"/>
    <cellStyle name="20 % - Markeringsfarve3 2 3 5 6" xfId="10771" xr:uid="{00000000-0005-0000-0000-00007C1D0000}"/>
    <cellStyle name="20 % - Markeringsfarve3 2 3 5 6 2" xfId="27090" xr:uid="{00000000-0005-0000-0000-00007D1D0000}"/>
    <cellStyle name="20 % - Markeringsfarve3 2 3 5 6 3" xfId="42056" xr:uid="{00000000-0005-0000-0000-00007E1D0000}"/>
    <cellStyle name="20 % - Markeringsfarve3 2 3 5 7" xfId="20068" xr:uid="{00000000-0005-0000-0000-00007F1D0000}"/>
    <cellStyle name="20 % - Markeringsfarve3 2 3 5 8" xfId="35057" xr:uid="{00000000-0005-0000-0000-0000801D0000}"/>
    <cellStyle name="20 % - Markeringsfarve3 2 3 6" xfId="2219" xr:uid="{00000000-0005-0000-0000-0000811D0000}"/>
    <cellStyle name="20 % - Markeringsfarve3 2 3 6 2" xfId="2220" xr:uid="{00000000-0005-0000-0000-0000821D0000}"/>
    <cellStyle name="20 % - Markeringsfarve3 2 3 6 2 2" xfId="2221" xr:uid="{00000000-0005-0000-0000-0000831D0000}"/>
    <cellStyle name="20 % - Markeringsfarve3 2 3 6 2 2 2" xfId="8101" xr:uid="{00000000-0005-0000-0000-0000841D0000}"/>
    <cellStyle name="20 % - Markeringsfarve3 2 3 6 2 2 2 2" xfId="16002" xr:uid="{00000000-0005-0000-0000-0000851D0000}"/>
    <cellStyle name="20 % - Markeringsfarve3 2 3 6 2 2 2 2 2" xfId="32316" xr:uid="{00000000-0005-0000-0000-0000861D0000}"/>
    <cellStyle name="20 % - Markeringsfarve3 2 3 6 2 2 2 2 3" xfId="47280" xr:uid="{00000000-0005-0000-0000-0000871D0000}"/>
    <cellStyle name="20 % - Markeringsfarve3 2 3 6 2 2 2 3" xfId="25294" xr:uid="{00000000-0005-0000-0000-0000881D0000}"/>
    <cellStyle name="20 % - Markeringsfarve3 2 3 6 2 2 2 4" xfId="40281" xr:uid="{00000000-0005-0000-0000-0000891D0000}"/>
    <cellStyle name="20 % - Markeringsfarve3 2 3 6 2 2 3" xfId="10778" xr:uid="{00000000-0005-0000-0000-00008A1D0000}"/>
    <cellStyle name="20 % - Markeringsfarve3 2 3 6 2 2 3 2" xfId="27097" xr:uid="{00000000-0005-0000-0000-00008B1D0000}"/>
    <cellStyle name="20 % - Markeringsfarve3 2 3 6 2 2 3 3" xfId="42063" xr:uid="{00000000-0005-0000-0000-00008C1D0000}"/>
    <cellStyle name="20 % - Markeringsfarve3 2 3 6 2 2 4" xfId="20075" xr:uid="{00000000-0005-0000-0000-00008D1D0000}"/>
    <cellStyle name="20 % - Markeringsfarve3 2 3 6 2 2 5" xfId="35064" xr:uid="{00000000-0005-0000-0000-00008E1D0000}"/>
    <cellStyle name="20 % - Markeringsfarve3 2 3 6 2 3" xfId="6612" xr:uid="{00000000-0005-0000-0000-00008F1D0000}"/>
    <cellStyle name="20 % - Markeringsfarve3 2 3 6 2 3 2" xfId="14526" xr:uid="{00000000-0005-0000-0000-0000901D0000}"/>
    <cellStyle name="20 % - Markeringsfarve3 2 3 6 2 3 2 2" xfId="30840" xr:uid="{00000000-0005-0000-0000-0000911D0000}"/>
    <cellStyle name="20 % - Markeringsfarve3 2 3 6 2 3 2 3" xfId="45804" xr:uid="{00000000-0005-0000-0000-0000921D0000}"/>
    <cellStyle name="20 % - Markeringsfarve3 2 3 6 2 3 3" xfId="23818" xr:uid="{00000000-0005-0000-0000-0000931D0000}"/>
    <cellStyle name="20 % - Markeringsfarve3 2 3 6 2 3 4" xfId="38805" xr:uid="{00000000-0005-0000-0000-0000941D0000}"/>
    <cellStyle name="20 % - Markeringsfarve3 2 3 6 2 4" xfId="10777" xr:uid="{00000000-0005-0000-0000-0000951D0000}"/>
    <cellStyle name="20 % - Markeringsfarve3 2 3 6 2 4 2" xfId="27096" xr:uid="{00000000-0005-0000-0000-0000961D0000}"/>
    <cellStyle name="20 % - Markeringsfarve3 2 3 6 2 4 3" xfId="42062" xr:uid="{00000000-0005-0000-0000-0000971D0000}"/>
    <cellStyle name="20 % - Markeringsfarve3 2 3 6 2 5" xfId="20074" xr:uid="{00000000-0005-0000-0000-0000981D0000}"/>
    <cellStyle name="20 % - Markeringsfarve3 2 3 6 2 6" xfId="35063" xr:uid="{00000000-0005-0000-0000-0000991D0000}"/>
    <cellStyle name="20 % - Markeringsfarve3 2 3 6 3" xfId="2222" xr:uid="{00000000-0005-0000-0000-00009A1D0000}"/>
    <cellStyle name="20 % - Markeringsfarve3 2 3 6 3 2" xfId="7378" xr:uid="{00000000-0005-0000-0000-00009B1D0000}"/>
    <cellStyle name="20 % - Markeringsfarve3 2 3 6 3 2 2" xfId="15288" xr:uid="{00000000-0005-0000-0000-00009C1D0000}"/>
    <cellStyle name="20 % - Markeringsfarve3 2 3 6 3 2 2 2" xfId="31602" xr:uid="{00000000-0005-0000-0000-00009D1D0000}"/>
    <cellStyle name="20 % - Markeringsfarve3 2 3 6 3 2 2 3" xfId="46566" xr:uid="{00000000-0005-0000-0000-00009E1D0000}"/>
    <cellStyle name="20 % - Markeringsfarve3 2 3 6 3 2 3" xfId="24580" xr:uid="{00000000-0005-0000-0000-00009F1D0000}"/>
    <cellStyle name="20 % - Markeringsfarve3 2 3 6 3 2 4" xfId="39567" xr:uid="{00000000-0005-0000-0000-0000A01D0000}"/>
    <cellStyle name="20 % - Markeringsfarve3 2 3 6 3 3" xfId="10779" xr:uid="{00000000-0005-0000-0000-0000A11D0000}"/>
    <cellStyle name="20 % - Markeringsfarve3 2 3 6 3 3 2" xfId="27098" xr:uid="{00000000-0005-0000-0000-0000A21D0000}"/>
    <cellStyle name="20 % - Markeringsfarve3 2 3 6 3 3 3" xfId="42064" xr:uid="{00000000-0005-0000-0000-0000A31D0000}"/>
    <cellStyle name="20 % - Markeringsfarve3 2 3 6 3 4" xfId="20076" xr:uid="{00000000-0005-0000-0000-0000A41D0000}"/>
    <cellStyle name="20 % - Markeringsfarve3 2 3 6 3 5" xfId="35065" xr:uid="{00000000-0005-0000-0000-0000A51D0000}"/>
    <cellStyle name="20 % - Markeringsfarve3 2 3 6 4" xfId="2223" xr:uid="{00000000-0005-0000-0000-0000A61D0000}"/>
    <cellStyle name="20 % - Markeringsfarve3 2 3 6 4 2" xfId="7098" xr:uid="{00000000-0005-0000-0000-0000A71D0000}"/>
    <cellStyle name="20 % - Markeringsfarve3 2 3 6 4 2 2" xfId="15008" xr:uid="{00000000-0005-0000-0000-0000A81D0000}"/>
    <cellStyle name="20 % - Markeringsfarve3 2 3 6 4 2 2 2" xfId="31322" xr:uid="{00000000-0005-0000-0000-0000A91D0000}"/>
    <cellStyle name="20 % - Markeringsfarve3 2 3 6 4 2 2 3" xfId="46286" xr:uid="{00000000-0005-0000-0000-0000AA1D0000}"/>
    <cellStyle name="20 % - Markeringsfarve3 2 3 6 4 2 3" xfId="24300" xr:uid="{00000000-0005-0000-0000-0000AB1D0000}"/>
    <cellStyle name="20 % - Markeringsfarve3 2 3 6 4 2 4" xfId="39287" xr:uid="{00000000-0005-0000-0000-0000AC1D0000}"/>
    <cellStyle name="20 % - Markeringsfarve3 2 3 6 4 3" xfId="10780" xr:uid="{00000000-0005-0000-0000-0000AD1D0000}"/>
    <cellStyle name="20 % - Markeringsfarve3 2 3 6 4 3 2" xfId="27099" xr:uid="{00000000-0005-0000-0000-0000AE1D0000}"/>
    <cellStyle name="20 % - Markeringsfarve3 2 3 6 4 3 3" xfId="42065" xr:uid="{00000000-0005-0000-0000-0000AF1D0000}"/>
    <cellStyle name="20 % - Markeringsfarve3 2 3 6 4 4" xfId="20077" xr:uid="{00000000-0005-0000-0000-0000B01D0000}"/>
    <cellStyle name="20 % - Markeringsfarve3 2 3 6 4 5" xfId="35066" xr:uid="{00000000-0005-0000-0000-0000B11D0000}"/>
    <cellStyle name="20 % - Markeringsfarve3 2 3 6 5" xfId="5536" xr:uid="{00000000-0005-0000-0000-0000B21D0000}"/>
    <cellStyle name="20 % - Markeringsfarve3 2 3 6 5 2" xfId="13454" xr:uid="{00000000-0005-0000-0000-0000B31D0000}"/>
    <cellStyle name="20 % - Markeringsfarve3 2 3 6 5 2 2" xfId="29768" xr:uid="{00000000-0005-0000-0000-0000B41D0000}"/>
    <cellStyle name="20 % - Markeringsfarve3 2 3 6 5 2 3" xfId="44732" xr:uid="{00000000-0005-0000-0000-0000B51D0000}"/>
    <cellStyle name="20 % - Markeringsfarve3 2 3 6 5 3" xfId="22746" xr:uid="{00000000-0005-0000-0000-0000B61D0000}"/>
    <cellStyle name="20 % - Markeringsfarve3 2 3 6 5 4" xfId="37733" xr:uid="{00000000-0005-0000-0000-0000B71D0000}"/>
    <cellStyle name="20 % - Markeringsfarve3 2 3 6 6" xfId="10776" xr:uid="{00000000-0005-0000-0000-0000B81D0000}"/>
    <cellStyle name="20 % - Markeringsfarve3 2 3 6 6 2" xfId="27095" xr:uid="{00000000-0005-0000-0000-0000B91D0000}"/>
    <cellStyle name="20 % - Markeringsfarve3 2 3 6 6 3" xfId="42061" xr:uid="{00000000-0005-0000-0000-0000BA1D0000}"/>
    <cellStyle name="20 % - Markeringsfarve3 2 3 6 7" xfId="20073" xr:uid="{00000000-0005-0000-0000-0000BB1D0000}"/>
    <cellStyle name="20 % - Markeringsfarve3 2 3 6 8" xfId="35062" xr:uid="{00000000-0005-0000-0000-0000BC1D0000}"/>
    <cellStyle name="20 % - Markeringsfarve3 2 3 7" xfId="2224" xr:uid="{00000000-0005-0000-0000-0000BD1D0000}"/>
    <cellStyle name="20 % - Markeringsfarve3 2 3 7 2" xfId="2225" xr:uid="{00000000-0005-0000-0000-0000BE1D0000}"/>
    <cellStyle name="20 % - Markeringsfarve3 2 3 7 2 2" xfId="7597" xr:uid="{00000000-0005-0000-0000-0000BF1D0000}"/>
    <cellStyle name="20 % - Markeringsfarve3 2 3 7 2 2 2" xfId="15498" xr:uid="{00000000-0005-0000-0000-0000C01D0000}"/>
    <cellStyle name="20 % - Markeringsfarve3 2 3 7 2 2 2 2" xfId="31812" xr:uid="{00000000-0005-0000-0000-0000C11D0000}"/>
    <cellStyle name="20 % - Markeringsfarve3 2 3 7 2 2 2 3" xfId="46776" xr:uid="{00000000-0005-0000-0000-0000C21D0000}"/>
    <cellStyle name="20 % - Markeringsfarve3 2 3 7 2 2 3" xfId="24790" xr:uid="{00000000-0005-0000-0000-0000C31D0000}"/>
    <cellStyle name="20 % - Markeringsfarve3 2 3 7 2 2 4" xfId="39777" xr:uid="{00000000-0005-0000-0000-0000C41D0000}"/>
    <cellStyle name="20 % - Markeringsfarve3 2 3 7 2 3" xfId="10782" xr:uid="{00000000-0005-0000-0000-0000C51D0000}"/>
    <cellStyle name="20 % - Markeringsfarve3 2 3 7 2 3 2" xfId="27101" xr:uid="{00000000-0005-0000-0000-0000C61D0000}"/>
    <cellStyle name="20 % - Markeringsfarve3 2 3 7 2 3 3" xfId="42067" xr:uid="{00000000-0005-0000-0000-0000C71D0000}"/>
    <cellStyle name="20 % - Markeringsfarve3 2 3 7 2 4" xfId="20079" xr:uid="{00000000-0005-0000-0000-0000C81D0000}"/>
    <cellStyle name="20 % - Markeringsfarve3 2 3 7 2 5" xfId="35068" xr:uid="{00000000-0005-0000-0000-0000C91D0000}"/>
    <cellStyle name="20 % - Markeringsfarve3 2 3 7 3" xfId="6183" xr:uid="{00000000-0005-0000-0000-0000CA1D0000}"/>
    <cellStyle name="20 % - Markeringsfarve3 2 3 7 3 2" xfId="14100" xr:uid="{00000000-0005-0000-0000-0000CB1D0000}"/>
    <cellStyle name="20 % - Markeringsfarve3 2 3 7 3 2 2" xfId="30414" xr:uid="{00000000-0005-0000-0000-0000CC1D0000}"/>
    <cellStyle name="20 % - Markeringsfarve3 2 3 7 3 2 3" xfId="45378" xr:uid="{00000000-0005-0000-0000-0000CD1D0000}"/>
    <cellStyle name="20 % - Markeringsfarve3 2 3 7 3 3" xfId="23392" xr:uid="{00000000-0005-0000-0000-0000CE1D0000}"/>
    <cellStyle name="20 % - Markeringsfarve3 2 3 7 3 4" xfId="38379" xr:uid="{00000000-0005-0000-0000-0000CF1D0000}"/>
    <cellStyle name="20 % - Markeringsfarve3 2 3 7 4" xfId="10781" xr:uid="{00000000-0005-0000-0000-0000D01D0000}"/>
    <cellStyle name="20 % - Markeringsfarve3 2 3 7 4 2" xfId="27100" xr:uid="{00000000-0005-0000-0000-0000D11D0000}"/>
    <cellStyle name="20 % - Markeringsfarve3 2 3 7 4 3" xfId="42066" xr:uid="{00000000-0005-0000-0000-0000D21D0000}"/>
    <cellStyle name="20 % - Markeringsfarve3 2 3 7 5" xfId="20078" xr:uid="{00000000-0005-0000-0000-0000D31D0000}"/>
    <cellStyle name="20 % - Markeringsfarve3 2 3 7 6" xfId="35067" xr:uid="{00000000-0005-0000-0000-0000D41D0000}"/>
    <cellStyle name="20 % - Markeringsfarve3 2 3 8" xfId="2226" xr:uid="{00000000-0005-0000-0000-0000D51D0000}"/>
    <cellStyle name="20 % - Markeringsfarve3 2 3 8 2" xfId="6825" xr:uid="{00000000-0005-0000-0000-0000D61D0000}"/>
    <cellStyle name="20 % - Markeringsfarve3 2 3 8 2 2" xfId="14736" xr:uid="{00000000-0005-0000-0000-0000D71D0000}"/>
    <cellStyle name="20 % - Markeringsfarve3 2 3 8 2 2 2" xfId="31050" xr:uid="{00000000-0005-0000-0000-0000D81D0000}"/>
    <cellStyle name="20 % - Markeringsfarve3 2 3 8 2 2 3" xfId="46014" xr:uid="{00000000-0005-0000-0000-0000D91D0000}"/>
    <cellStyle name="20 % - Markeringsfarve3 2 3 8 2 3" xfId="24028" xr:uid="{00000000-0005-0000-0000-0000DA1D0000}"/>
    <cellStyle name="20 % - Markeringsfarve3 2 3 8 2 4" xfId="39015" xr:uid="{00000000-0005-0000-0000-0000DB1D0000}"/>
    <cellStyle name="20 % - Markeringsfarve3 2 3 8 3" xfId="10783" xr:uid="{00000000-0005-0000-0000-0000DC1D0000}"/>
    <cellStyle name="20 % - Markeringsfarve3 2 3 8 3 2" xfId="27102" xr:uid="{00000000-0005-0000-0000-0000DD1D0000}"/>
    <cellStyle name="20 % - Markeringsfarve3 2 3 8 3 3" xfId="42068" xr:uid="{00000000-0005-0000-0000-0000DE1D0000}"/>
    <cellStyle name="20 % - Markeringsfarve3 2 3 8 4" xfId="20080" xr:uid="{00000000-0005-0000-0000-0000DF1D0000}"/>
    <cellStyle name="20 % - Markeringsfarve3 2 3 8 5" xfId="35069" xr:uid="{00000000-0005-0000-0000-0000E01D0000}"/>
    <cellStyle name="20 % - Markeringsfarve3 2 3 9" xfId="2227" xr:uid="{00000000-0005-0000-0000-0000E11D0000}"/>
    <cellStyle name="20 % - Markeringsfarve3 2 3 9 2" xfId="7089" xr:uid="{00000000-0005-0000-0000-0000E21D0000}"/>
    <cellStyle name="20 % - Markeringsfarve3 2 3 9 2 2" xfId="14999" xr:uid="{00000000-0005-0000-0000-0000E31D0000}"/>
    <cellStyle name="20 % - Markeringsfarve3 2 3 9 2 2 2" xfId="31313" xr:uid="{00000000-0005-0000-0000-0000E41D0000}"/>
    <cellStyle name="20 % - Markeringsfarve3 2 3 9 2 2 3" xfId="46277" xr:uid="{00000000-0005-0000-0000-0000E51D0000}"/>
    <cellStyle name="20 % - Markeringsfarve3 2 3 9 2 3" xfId="24291" xr:uid="{00000000-0005-0000-0000-0000E61D0000}"/>
    <cellStyle name="20 % - Markeringsfarve3 2 3 9 2 4" xfId="39278" xr:uid="{00000000-0005-0000-0000-0000E71D0000}"/>
    <cellStyle name="20 % - Markeringsfarve3 2 3 9 3" xfId="10784" xr:uid="{00000000-0005-0000-0000-0000E81D0000}"/>
    <cellStyle name="20 % - Markeringsfarve3 2 3 9 3 2" xfId="27103" xr:uid="{00000000-0005-0000-0000-0000E91D0000}"/>
    <cellStyle name="20 % - Markeringsfarve3 2 3 9 3 3" xfId="42069" xr:uid="{00000000-0005-0000-0000-0000EA1D0000}"/>
    <cellStyle name="20 % - Markeringsfarve3 2 3 9 4" xfId="20081" xr:uid="{00000000-0005-0000-0000-0000EB1D0000}"/>
    <cellStyle name="20 % - Markeringsfarve3 2 3 9 5" xfId="35070" xr:uid="{00000000-0005-0000-0000-0000EC1D0000}"/>
    <cellStyle name="20 % - Markeringsfarve3 2 4" xfId="2228" xr:uid="{00000000-0005-0000-0000-0000ED1D0000}"/>
    <cellStyle name="20 % - Markeringsfarve3 2 4 2" xfId="2229" xr:uid="{00000000-0005-0000-0000-0000EE1D0000}"/>
    <cellStyle name="20 % - Markeringsfarve3 2 4 2 2" xfId="2230" xr:uid="{00000000-0005-0000-0000-0000EF1D0000}"/>
    <cellStyle name="20 % - Markeringsfarve3 2 4 2 2 2" xfId="7638" xr:uid="{00000000-0005-0000-0000-0000F01D0000}"/>
    <cellStyle name="20 % - Markeringsfarve3 2 4 2 2 2 2" xfId="15539" xr:uid="{00000000-0005-0000-0000-0000F11D0000}"/>
    <cellStyle name="20 % - Markeringsfarve3 2 4 2 2 2 2 2" xfId="31853" xr:uid="{00000000-0005-0000-0000-0000F21D0000}"/>
    <cellStyle name="20 % - Markeringsfarve3 2 4 2 2 2 2 3" xfId="46817" xr:uid="{00000000-0005-0000-0000-0000F31D0000}"/>
    <cellStyle name="20 % - Markeringsfarve3 2 4 2 2 2 3" xfId="24831" xr:uid="{00000000-0005-0000-0000-0000F41D0000}"/>
    <cellStyle name="20 % - Markeringsfarve3 2 4 2 2 2 4" xfId="39818" xr:uid="{00000000-0005-0000-0000-0000F51D0000}"/>
    <cellStyle name="20 % - Markeringsfarve3 2 4 2 2 3" xfId="10787" xr:uid="{00000000-0005-0000-0000-0000F61D0000}"/>
    <cellStyle name="20 % - Markeringsfarve3 2 4 2 2 3 2" xfId="27106" xr:uid="{00000000-0005-0000-0000-0000F71D0000}"/>
    <cellStyle name="20 % - Markeringsfarve3 2 4 2 2 3 3" xfId="42072" xr:uid="{00000000-0005-0000-0000-0000F81D0000}"/>
    <cellStyle name="20 % - Markeringsfarve3 2 4 2 2 4" xfId="20084" xr:uid="{00000000-0005-0000-0000-0000F91D0000}"/>
    <cellStyle name="20 % - Markeringsfarve3 2 4 2 2 5" xfId="35073" xr:uid="{00000000-0005-0000-0000-0000FA1D0000}"/>
    <cellStyle name="20 % - Markeringsfarve3 2 4 2 2 6" xfId="57170" xr:uid="{00000000-0005-0000-0000-0000FB1D0000}"/>
    <cellStyle name="20 % - Markeringsfarve3 2 4 2 3" xfId="6216" xr:uid="{00000000-0005-0000-0000-0000FC1D0000}"/>
    <cellStyle name="20 % - Markeringsfarve3 2 4 2 3 2" xfId="14133" xr:uid="{00000000-0005-0000-0000-0000FD1D0000}"/>
    <cellStyle name="20 % - Markeringsfarve3 2 4 2 3 2 2" xfId="30447" xr:uid="{00000000-0005-0000-0000-0000FE1D0000}"/>
    <cellStyle name="20 % - Markeringsfarve3 2 4 2 3 2 3" xfId="45411" xr:uid="{00000000-0005-0000-0000-0000FF1D0000}"/>
    <cellStyle name="20 % - Markeringsfarve3 2 4 2 3 3" xfId="23425" xr:uid="{00000000-0005-0000-0000-0000001E0000}"/>
    <cellStyle name="20 % - Markeringsfarve3 2 4 2 3 4" xfId="38412" xr:uid="{00000000-0005-0000-0000-0000011E0000}"/>
    <cellStyle name="20 % - Markeringsfarve3 2 4 2 4" xfId="10786" xr:uid="{00000000-0005-0000-0000-0000021E0000}"/>
    <cellStyle name="20 % - Markeringsfarve3 2 4 2 4 2" xfId="27105" xr:uid="{00000000-0005-0000-0000-0000031E0000}"/>
    <cellStyle name="20 % - Markeringsfarve3 2 4 2 4 3" xfId="42071" xr:uid="{00000000-0005-0000-0000-0000041E0000}"/>
    <cellStyle name="20 % - Markeringsfarve3 2 4 2 5" xfId="20083" xr:uid="{00000000-0005-0000-0000-0000051E0000}"/>
    <cellStyle name="20 % - Markeringsfarve3 2 4 2 6" xfId="35072" xr:uid="{00000000-0005-0000-0000-0000061E0000}"/>
    <cellStyle name="20 % - Markeringsfarve3 2 4 2 7" xfId="54003" xr:uid="{00000000-0005-0000-0000-0000071E0000}"/>
    <cellStyle name="20 % - Markeringsfarve3 2 4 3" xfId="2231" xr:uid="{00000000-0005-0000-0000-0000081E0000}"/>
    <cellStyle name="20 % - Markeringsfarve3 2 4 3 2" xfId="6868" xr:uid="{00000000-0005-0000-0000-0000091E0000}"/>
    <cellStyle name="20 % - Markeringsfarve3 2 4 3 2 2" xfId="14779" xr:uid="{00000000-0005-0000-0000-00000A1E0000}"/>
    <cellStyle name="20 % - Markeringsfarve3 2 4 3 2 2 2" xfId="31093" xr:uid="{00000000-0005-0000-0000-00000B1E0000}"/>
    <cellStyle name="20 % - Markeringsfarve3 2 4 3 2 2 3" xfId="46057" xr:uid="{00000000-0005-0000-0000-00000C1E0000}"/>
    <cellStyle name="20 % - Markeringsfarve3 2 4 3 2 3" xfId="24071" xr:uid="{00000000-0005-0000-0000-00000D1E0000}"/>
    <cellStyle name="20 % - Markeringsfarve3 2 4 3 2 4" xfId="39058" xr:uid="{00000000-0005-0000-0000-00000E1E0000}"/>
    <cellStyle name="20 % - Markeringsfarve3 2 4 3 3" xfId="10788" xr:uid="{00000000-0005-0000-0000-00000F1E0000}"/>
    <cellStyle name="20 % - Markeringsfarve3 2 4 3 3 2" xfId="27107" xr:uid="{00000000-0005-0000-0000-0000101E0000}"/>
    <cellStyle name="20 % - Markeringsfarve3 2 4 3 3 3" xfId="42073" xr:uid="{00000000-0005-0000-0000-0000111E0000}"/>
    <cellStyle name="20 % - Markeringsfarve3 2 4 3 4" xfId="20085" xr:uid="{00000000-0005-0000-0000-0000121E0000}"/>
    <cellStyle name="20 % - Markeringsfarve3 2 4 3 5" xfId="35074" xr:uid="{00000000-0005-0000-0000-0000131E0000}"/>
    <cellStyle name="20 % - Markeringsfarve3 2 4 3 6" xfId="56547" xr:uid="{00000000-0005-0000-0000-0000141E0000}"/>
    <cellStyle name="20 % - Markeringsfarve3 2 4 4" xfId="2232" xr:uid="{00000000-0005-0000-0000-0000151E0000}"/>
    <cellStyle name="20 % - Markeringsfarve3 2 4 4 2" xfId="8317" xr:uid="{00000000-0005-0000-0000-0000161E0000}"/>
    <cellStyle name="20 % - Markeringsfarve3 2 4 4 2 2" xfId="16211" xr:uid="{00000000-0005-0000-0000-0000171E0000}"/>
    <cellStyle name="20 % - Markeringsfarve3 2 4 4 2 2 2" xfId="32525" xr:uid="{00000000-0005-0000-0000-0000181E0000}"/>
    <cellStyle name="20 % - Markeringsfarve3 2 4 4 2 2 3" xfId="47489" xr:uid="{00000000-0005-0000-0000-0000191E0000}"/>
    <cellStyle name="20 % - Markeringsfarve3 2 4 4 2 3" xfId="25503" xr:uid="{00000000-0005-0000-0000-00001A1E0000}"/>
    <cellStyle name="20 % - Markeringsfarve3 2 4 4 2 4" xfId="40490" xr:uid="{00000000-0005-0000-0000-00001B1E0000}"/>
    <cellStyle name="20 % - Markeringsfarve3 2 4 4 3" xfId="10789" xr:uid="{00000000-0005-0000-0000-00001C1E0000}"/>
    <cellStyle name="20 % - Markeringsfarve3 2 4 4 3 2" xfId="27108" xr:uid="{00000000-0005-0000-0000-00001D1E0000}"/>
    <cellStyle name="20 % - Markeringsfarve3 2 4 4 3 3" xfId="42074" xr:uid="{00000000-0005-0000-0000-00001E1E0000}"/>
    <cellStyle name="20 % - Markeringsfarve3 2 4 4 4" xfId="20086" xr:uid="{00000000-0005-0000-0000-00001F1E0000}"/>
    <cellStyle name="20 % - Markeringsfarve3 2 4 4 5" xfId="35075" xr:uid="{00000000-0005-0000-0000-0000201E0000}"/>
    <cellStyle name="20 % - Markeringsfarve3 2 4 5" xfId="5537" xr:uid="{00000000-0005-0000-0000-0000211E0000}"/>
    <cellStyle name="20 % - Markeringsfarve3 2 4 5 2" xfId="13455" xr:uid="{00000000-0005-0000-0000-0000221E0000}"/>
    <cellStyle name="20 % - Markeringsfarve3 2 4 5 2 2" xfId="29769" xr:uid="{00000000-0005-0000-0000-0000231E0000}"/>
    <cellStyle name="20 % - Markeringsfarve3 2 4 5 2 3" xfId="44733" xr:uid="{00000000-0005-0000-0000-0000241E0000}"/>
    <cellStyle name="20 % - Markeringsfarve3 2 4 5 3" xfId="22747" xr:uid="{00000000-0005-0000-0000-0000251E0000}"/>
    <cellStyle name="20 % - Markeringsfarve3 2 4 5 4" xfId="37734" xr:uid="{00000000-0005-0000-0000-0000261E0000}"/>
    <cellStyle name="20 % - Markeringsfarve3 2 4 6" xfId="10785" xr:uid="{00000000-0005-0000-0000-0000271E0000}"/>
    <cellStyle name="20 % - Markeringsfarve3 2 4 6 2" xfId="27104" xr:uid="{00000000-0005-0000-0000-0000281E0000}"/>
    <cellStyle name="20 % - Markeringsfarve3 2 4 6 3" xfId="42070" xr:uid="{00000000-0005-0000-0000-0000291E0000}"/>
    <cellStyle name="20 % - Markeringsfarve3 2 4 7" xfId="20082" xr:uid="{00000000-0005-0000-0000-00002A1E0000}"/>
    <cellStyle name="20 % - Markeringsfarve3 2 4 8" xfId="35071" xr:uid="{00000000-0005-0000-0000-00002B1E0000}"/>
    <cellStyle name="20 % - Markeringsfarve3 2 4 9" xfId="53366" xr:uid="{00000000-0005-0000-0000-00002C1E0000}"/>
    <cellStyle name="20 % - Markeringsfarve3 2 5" xfId="2233" xr:uid="{00000000-0005-0000-0000-00002D1E0000}"/>
    <cellStyle name="20 % - Markeringsfarve3 2 5 2" xfId="2234" xr:uid="{00000000-0005-0000-0000-00002E1E0000}"/>
    <cellStyle name="20 % - Markeringsfarve3 2 5 2 2" xfId="2235" xr:uid="{00000000-0005-0000-0000-00002F1E0000}"/>
    <cellStyle name="20 % - Markeringsfarve3 2 5 2 2 2" xfId="7744" xr:uid="{00000000-0005-0000-0000-0000301E0000}"/>
    <cellStyle name="20 % - Markeringsfarve3 2 5 2 2 2 2" xfId="15645" xr:uid="{00000000-0005-0000-0000-0000311E0000}"/>
    <cellStyle name="20 % - Markeringsfarve3 2 5 2 2 2 2 2" xfId="31959" xr:uid="{00000000-0005-0000-0000-0000321E0000}"/>
    <cellStyle name="20 % - Markeringsfarve3 2 5 2 2 2 2 3" xfId="46923" xr:uid="{00000000-0005-0000-0000-0000331E0000}"/>
    <cellStyle name="20 % - Markeringsfarve3 2 5 2 2 2 3" xfId="24937" xr:uid="{00000000-0005-0000-0000-0000341E0000}"/>
    <cellStyle name="20 % - Markeringsfarve3 2 5 2 2 2 4" xfId="39924" xr:uid="{00000000-0005-0000-0000-0000351E0000}"/>
    <cellStyle name="20 % - Markeringsfarve3 2 5 2 2 3" xfId="10792" xr:uid="{00000000-0005-0000-0000-0000361E0000}"/>
    <cellStyle name="20 % - Markeringsfarve3 2 5 2 2 3 2" xfId="27111" xr:uid="{00000000-0005-0000-0000-0000371E0000}"/>
    <cellStyle name="20 % - Markeringsfarve3 2 5 2 2 3 3" xfId="42077" xr:uid="{00000000-0005-0000-0000-0000381E0000}"/>
    <cellStyle name="20 % - Markeringsfarve3 2 5 2 2 4" xfId="20089" xr:uid="{00000000-0005-0000-0000-0000391E0000}"/>
    <cellStyle name="20 % - Markeringsfarve3 2 5 2 2 5" xfId="35078" xr:uid="{00000000-0005-0000-0000-00003A1E0000}"/>
    <cellStyle name="20 % - Markeringsfarve3 2 5 2 3" xfId="6308" xr:uid="{00000000-0005-0000-0000-00003B1E0000}"/>
    <cellStyle name="20 % - Markeringsfarve3 2 5 2 3 2" xfId="14225" xr:uid="{00000000-0005-0000-0000-00003C1E0000}"/>
    <cellStyle name="20 % - Markeringsfarve3 2 5 2 3 2 2" xfId="30539" xr:uid="{00000000-0005-0000-0000-00003D1E0000}"/>
    <cellStyle name="20 % - Markeringsfarve3 2 5 2 3 2 3" xfId="45503" xr:uid="{00000000-0005-0000-0000-00003E1E0000}"/>
    <cellStyle name="20 % - Markeringsfarve3 2 5 2 3 3" xfId="23517" xr:uid="{00000000-0005-0000-0000-00003F1E0000}"/>
    <cellStyle name="20 % - Markeringsfarve3 2 5 2 3 4" xfId="38504" xr:uid="{00000000-0005-0000-0000-0000401E0000}"/>
    <cellStyle name="20 % - Markeringsfarve3 2 5 2 4" xfId="10791" xr:uid="{00000000-0005-0000-0000-0000411E0000}"/>
    <cellStyle name="20 % - Markeringsfarve3 2 5 2 4 2" xfId="27110" xr:uid="{00000000-0005-0000-0000-0000421E0000}"/>
    <cellStyle name="20 % - Markeringsfarve3 2 5 2 4 3" xfId="42076" xr:uid="{00000000-0005-0000-0000-0000431E0000}"/>
    <cellStyle name="20 % - Markeringsfarve3 2 5 2 5" xfId="20088" xr:uid="{00000000-0005-0000-0000-0000441E0000}"/>
    <cellStyle name="20 % - Markeringsfarve3 2 5 2 6" xfId="35077" xr:uid="{00000000-0005-0000-0000-0000451E0000}"/>
    <cellStyle name="20 % - Markeringsfarve3 2 5 2 7" xfId="57173" xr:uid="{00000000-0005-0000-0000-0000461E0000}"/>
    <cellStyle name="20 % - Markeringsfarve3 2 5 3" xfId="2236" xr:uid="{00000000-0005-0000-0000-0000471E0000}"/>
    <cellStyle name="20 % - Markeringsfarve3 2 5 3 2" xfId="6974" xr:uid="{00000000-0005-0000-0000-0000481E0000}"/>
    <cellStyle name="20 % - Markeringsfarve3 2 5 3 2 2" xfId="14885" xr:uid="{00000000-0005-0000-0000-0000491E0000}"/>
    <cellStyle name="20 % - Markeringsfarve3 2 5 3 2 2 2" xfId="31199" xr:uid="{00000000-0005-0000-0000-00004A1E0000}"/>
    <cellStyle name="20 % - Markeringsfarve3 2 5 3 2 2 3" xfId="46163" xr:uid="{00000000-0005-0000-0000-00004B1E0000}"/>
    <cellStyle name="20 % - Markeringsfarve3 2 5 3 2 3" xfId="24177" xr:uid="{00000000-0005-0000-0000-00004C1E0000}"/>
    <cellStyle name="20 % - Markeringsfarve3 2 5 3 2 4" xfId="39164" xr:uid="{00000000-0005-0000-0000-00004D1E0000}"/>
    <cellStyle name="20 % - Markeringsfarve3 2 5 3 3" xfId="10793" xr:uid="{00000000-0005-0000-0000-00004E1E0000}"/>
    <cellStyle name="20 % - Markeringsfarve3 2 5 3 3 2" xfId="27112" xr:uid="{00000000-0005-0000-0000-00004F1E0000}"/>
    <cellStyle name="20 % - Markeringsfarve3 2 5 3 3 3" xfId="42078" xr:uid="{00000000-0005-0000-0000-0000501E0000}"/>
    <cellStyle name="20 % - Markeringsfarve3 2 5 3 4" xfId="20090" xr:uid="{00000000-0005-0000-0000-0000511E0000}"/>
    <cellStyle name="20 % - Markeringsfarve3 2 5 3 5" xfId="35079" xr:uid="{00000000-0005-0000-0000-0000521E0000}"/>
    <cellStyle name="20 % - Markeringsfarve3 2 5 4" xfId="2237" xr:uid="{00000000-0005-0000-0000-0000531E0000}"/>
    <cellStyle name="20 % - Markeringsfarve3 2 5 4 2" xfId="6955" xr:uid="{00000000-0005-0000-0000-0000541E0000}"/>
    <cellStyle name="20 % - Markeringsfarve3 2 5 4 2 2" xfId="14866" xr:uid="{00000000-0005-0000-0000-0000551E0000}"/>
    <cellStyle name="20 % - Markeringsfarve3 2 5 4 2 2 2" xfId="31180" xr:uid="{00000000-0005-0000-0000-0000561E0000}"/>
    <cellStyle name="20 % - Markeringsfarve3 2 5 4 2 2 3" xfId="46144" xr:uid="{00000000-0005-0000-0000-0000571E0000}"/>
    <cellStyle name="20 % - Markeringsfarve3 2 5 4 2 3" xfId="24158" xr:uid="{00000000-0005-0000-0000-0000581E0000}"/>
    <cellStyle name="20 % - Markeringsfarve3 2 5 4 2 4" xfId="39145" xr:uid="{00000000-0005-0000-0000-0000591E0000}"/>
    <cellStyle name="20 % - Markeringsfarve3 2 5 4 3" xfId="10794" xr:uid="{00000000-0005-0000-0000-00005A1E0000}"/>
    <cellStyle name="20 % - Markeringsfarve3 2 5 4 3 2" xfId="27113" xr:uid="{00000000-0005-0000-0000-00005B1E0000}"/>
    <cellStyle name="20 % - Markeringsfarve3 2 5 4 3 3" xfId="42079" xr:uid="{00000000-0005-0000-0000-00005C1E0000}"/>
    <cellStyle name="20 % - Markeringsfarve3 2 5 4 4" xfId="20091" xr:uid="{00000000-0005-0000-0000-00005D1E0000}"/>
    <cellStyle name="20 % - Markeringsfarve3 2 5 4 5" xfId="35080" xr:uid="{00000000-0005-0000-0000-00005E1E0000}"/>
    <cellStyle name="20 % - Markeringsfarve3 2 5 5" xfId="5538" xr:uid="{00000000-0005-0000-0000-00005F1E0000}"/>
    <cellStyle name="20 % - Markeringsfarve3 2 5 5 2" xfId="13456" xr:uid="{00000000-0005-0000-0000-0000601E0000}"/>
    <cellStyle name="20 % - Markeringsfarve3 2 5 5 2 2" xfId="29770" xr:uid="{00000000-0005-0000-0000-0000611E0000}"/>
    <cellStyle name="20 % - Markeringsfarve3 2 5 5 2 3" xfId="44734" xr:uid="{00000000-0005-0000-0000-0000621E0000}"/>
    <cellStyle name="20 % - Markeringsfarve3 2 5 5 3" xfId="22748" xr:uid="{00000000-0005-0000-0000-0000631E0000}"/>
    <cellStyle name="20 % - Markeringsfarve3 2 5 5 4" xfId="37735" xr:uid="{00000000-0005-0000-0000-0000641E0000}"/>
    <cellStyle name="20 % - Markeringsfarve3 2 5 6" xfId="10790" xr:uid="{00000000-0005-0000-0000-0000651E0000}"/>
    <cellStyle name="20 % - Markeringsfarve3 2 5 6 2" xfId="27109" xr:uid="{00000000-0005-0000-0000-0000661E0000}"/>
    <cellStyle name="20 % - Markeringsfarve3 2 5 6 3" xfId="42075" xr:uid="{00000000-0005-0000-0000-0000671E0000}"/>
    <cellStyle name="20 % - Markeringsfarve3 2 5 7" xfId="20087" xr:uid="{00000000-0005-0000-0000-0000681E0000}"/>
    <cellStyle name="20 % - Markeringsfarve3 2 5 8" xfId="35076" xr:uid="{00000000-0005-0000-0000-0000691E0000}"/>
    <cellStyle name="20 % - Markeringsfarve3 2 5 9" xfId="54006" xr:uid="{00000000-0005-0000-0000-00006A1E0000}"/>
    <cellStyle name="20 % - Markeringsfarve3 2 6" xfId="2238" xr:uid="{00000000-0005-0000-0000-00006B1E0000}"/>
    <cellStyle name="20 % - Markeringsfarve3 2 6 2" xfId="2239" xr:uid="{00000000-0005-0000-0000-00006C1E0000}"/>
    <cellStyle name="20 % - Markeringsfarve3 2 6 2 2" xfId="2240" xr:uid="{00000000-0005-0000-0000-00006D1E0000}"/>
    <cellStyle name="20 % - Markeringsfarve3 2 6 2 2 2" xfId="7876" xr:uid="{00000000-0005-0000-0000-00006E1E0000}"/>
    <cellStyle name="20 % - Markeringsfarve3 2 6 2 2 2 2" xfId="15777" xr:uid="{00000000-0005-0000-0000-00006F1E0000}"/>
    <cellStyle name="20 % - Markeringsfarve3 2 6 2 2 2 2 2" xfId="32091" xr:uid="{00000000-0005-0000-0000-0000701E0000}"/>
    <cellStyle name="20 % - Markeringsfarve3 2 6 2 2 2 2 3" xfId="47055" xr:uid="{00000000-0005-0000-0000-0000711E0000}"/>
    <cellStyle name="20 % - Markeringsfarve3 2 6 2 2 2 3" xfId="25069" xr:uid="{00000000-0005-0000-0000-0000721E0000}"/>
    <cellStyle name="20 % - Markeringsfarve3 2 6 2 2 2 4" xfId="40056" xr:uid="{00000000-0005-0000-0000-0000731E0000}"/>
    <cellStyle name="20 % - Markeringsfarve3 2 6 2 2 3" xfId="10797" xr:uid="{00000000-0005-0000-0000-0000741E0000}"/>
    <cellStyle name="20 % - Markeringsfarve3 2 6 2 2 3 2" xfId="27116" xr:uid="{00000000-0005-0000-0000-0000751E0000}"/>
    <cellStyle name="20 % - Markeringsfarve3 2 6 2 2 3 3" xfId="42082" xr:uid="{00000000-0005-0000-0000-0000761E0000}"/>
    <cellStyle name="20 % - Markeringsfarve3 2 6 2 2 4" xfId="20094" xr:uid="{00000000-0005-0000-0000-0000771E0000}"/>
    <cellStyle name="20 % - Markeringsfarve3 2 6 2 2 5" xfId="35083" xr:uid="{00000000-0005-0000-0000-0000781E0000}"/>
    <cellStyle name="20 % - Markeringsfarve3 2 6 2 3" xfId="6418" xr:uid="{00000000-0005-0000-0000-0000791E0000}"/>
    <cellStyle name="20 % - Markeringsfarve3 2 6 2 3 2" xfId="14332" xr:uid="{00000000-0005-0000-0000-00007A1E0000}"/>
    <cellStyle name="20 % - Markeringsfarve3 2 6 2 3 2 2" xfId="30646" xr:uid="{00000000-0005-0000-0000-00007B1E0000}"/>
    <cellStyle name="20 % - Markeringsfarve3 2 6 2 3 2 3" xfId="45610" xr:uid="{00000000-0005-0000-0000-00007C1E0000}"/>
    <cellStyle name="20 % - Markeringsfarve3 2 6 2 3 3" xfId="23624" xr:uid="{00000000-0005-0000-0000-00007D1E0000}"/>
    <cellStyle name="20 % - Markeringsfarve3 2 6 2 3 4" xfId="38611" xr:uid="{00000000-0005-0000-0000-00007E1E0000}"/>
    <cellStyle name="20 % - Markeringsfarve3 2 6 2 4" xfId="10796" xr:uid="{00000000-0005-0000-0000-00007F1E0000}"/>
    <cellStyle name="20 % - Markeringsfarve3 2 6 2 4 2" xfId="27115" xr:uid="{00000000-0005-0000-0000-0000801E0000}"/>
    <cellStyle name="20 % - Markeringsfarve3 2 6 2 4 3" xfId="42081" xr:uid="{00000000-0005-0000-0000-0000811E0000}"/>
    <cellStyle name="20 % - Markeringsfarve3 2 6 2 5" xfId="20093" xr:uid="{00000000-0005-0000-0000-0000821E0000}"/>
    <cellStyle name="20 % - Markeringsfarve3 2 6 2 6" xfId="35082" xr:uid="{00000000-0005-0000-0000-0000831E0000}"/>
    <cellStyle name="20 % - Markeringsfarve3 2 6 3" xfId="2241" xr:uid="{00000000-0005-0000-0000-0000841E0000}"/>
    <cellStyle name="20 % - Markeringsfarve3 2 6 3 2" xfId="7152" xr:uid="{00000000-0005-0000-0000-0000851E0000}"/>
    <cellStyle name="20 % - Markeringsfarve3 2 6 3 2 2" xfId="15062" xr:uid="{00000000-0005-0000-0000-0000861E0000}"/>
    <cellStyle name="20 % - Markeringsfarve3 2 6 3 2 2 2" xfId="31376" xr:uid="{00000000-0005-0000-0000-0000871E0000}"/>
    <cellStyle name="20 % - Markeringsfarve3 2 6 3 2 2 3" xfId="46340" xr:uid="{00000000-0005-0000-0000-0000881E0000}"/>
    <cellStyle name="20 % - Markeringsfarve3 2 6 3 2 3" xfId="24354" xr:uid="{00000000-0005-0000-0000-0000891E0000}"/>
    <cellStyle name="20 % - Markeringsfarve3 2 6 3 2 4" xfId="39341" xr:uid="{00000000-0005-0000-0000-00008A1E0000}"/>
    <cellStyle name="20 % - Markeringsfarve3 2 6 3 3" xfId="10798" xr:uid="{00000000-0005-0000-0000-00008B1E0000}"/>
    <cellStyle name="20 % - Markeringsfarve3 2 6 3 3 2" xfId="27117" xr:uid="{00000000-0005-0000-0000-00008C1E0000}"/>
    <cellStyle name="20 % - Markeringsfarve3 2 6 3 3 3" xfId="42083" xr:uid="{00000000-0005-0000-0000-00008D1E0000}"/>
    <cellStyle name="20 % - Markeringsfarve3 2 6 3 4" xfId="20095" xr:uid="{00000000-0005-0000-0000-00008E1E0000}"/>
    <cellStyle name="20 % - Markeringsfarve3 2 6 3 5" xfId="35084" xr:uid="{00000000-0005-0000-0000-00008F1E0000}"/>
    <cellStyle name="20 % - Markeringsfarve3 2 6 4" xfId="2242" xr:uid="{00000000-0005-0000-0000-0000901E0000}"/>
    <cellStyle name="20 % - Markeringsfarve3 2 6 4 2" xfId="7356" xr:uid="{00000000-0005-0000-0000-0000911E0000}"/>
    <cellStyle name="20 % - Markeringsfarve3 2 6 4 2 2" xfId="15266" xr:uid="{00000000-0005-0000-0000-0000921E0000}"/>
    <cellStyle name="20 % - Markeringsfarve3 2 6 4 2 2 2" xfId="31580" xr:uid="{00000000-0005-0000-0000-0000931E0000}"/>
    <cellStyle name="20 % - Markeringsfarve3 2 6 4 2 2 3" xfId="46544" xr:uid="{00000000-0005-0000-0000-0000941E0000}"/>
    <cellStyle name="20 % - Markeringsfarve3 2 6 4 2 3" xfId="24558" xr:uid="{00000000-0005-0000-0000-0000951E0000}"/>
    <cellStyle name="20 % - Markeringsfarve3 2 6 4 2 4" xfId="39545" xr:uid="{00000000-0005-0000-0000-0000961E0000}"/>
    <cellStyle name="20 % - Markeringsfarve3 2 6 4 3" xfId="10799" xr:uid="{00000000-0005-0000-0000-0000971E0000}"/>
    <cellStyle name="20 % - Markeringsfarve3 2 6 4 3 2" xfId="27118" xr:uid="{00000000-0005-0000-0000-0000981E0000}"/>
    <cellStyle name="20 % - Markeringsfarve3 2 6 4 3 3" xfId="42084" xr:uid="{00000000-0005-0000-0000-0000991E0000}"/>
    <cellStyle name="20 % - Markeringsfarve3 2 6 4 4" xfId="20096" xr:uid="{00000000-0005-0000-0000-00009A1E0000}"/>
    <cellStyle name="20 % - Markeringsfarve3 2 6 4 5" xfId="35085" xr:uid="{00000000-0005-0000-0000-00009B1E0000}"/>
    <cellStyle name="20 % - Markeringsfarve3 2 6 5" xfId="5539" xr:uid="{00000000-0005-0000-0000-00009C1E0000}"/>
    <cellStyle name="20 % - Markeringsfarve3 2 6 5 2" xfId="13457" xr:uid="{00000000-0005-0000-0000-00009D1E0000}"/>
    <cellStyle name="20 % - Markeringsfarve3 2 6 5 2 2" xfId="29771" xr:uid="{00000000-0005-0000-0000-00009E1E0000}"/>
    <cellStyle name="20 % - Markeringsfarve3 2 6 5 2 3" xfId="44735" xr:uid="{00000000-0005-0000-0000-00009F1E0000}"/>
    <cellStyle name="20 % - Markeringsfarve3 2 6 5 3" xfId="22749" xr:uid="{00000000-0005-0000-0000-0000A01E0000}"/>
    <cellStyle name="20 % - Markeringsfarve3 2 6 5 4" xfId="37736" xr:uid="{00000000-0005-0000-0000-0000A11E0000}"/>
    <cellStyle name="20 % - Markeringsfarve3 2 6 6" xfId="10795" xr:uid="{00000000-0005-0000-0000-0000A21E0000}"/>
    <cellStyle name="20 % - Markeringsfarve3 2 6 6 2" xfId="27114" xr:uid="{00000000-0005-0000-0000-0000A31E0000}"/>
    <cellStyle name="20 % - Markeringsfarve3 2 6 6 3" xfId="42080" xr:uid="{00000000-0005-0000-0000-0000A41E0000}"/>
    <cellStyle name="20 % - Markeringsfarve3 2 6 7" xfId="20092" xr:uid="{00000000-0005-0000-0000-0000A51E0000}"/>
    <cellStyle name="20 % - Markeringsfarve3 2 6 8" xfId="35081" xr:uid="{00000000-0005-0000-0000-0000A61E0000}"/>
    <cellStyle name="20 % - Markeringsfarve3 2 6 9" xfId="56550" xr:uid="{00000000-0005-0000-0000-0000A71E0000}"/>
    <cellStyle name="20 % - Markeringsfarve3 2 7" xfId="2243" xr:uid="{00000000-0005-0000-0000-0000A81E0000}"/>
    <cellStyle name="20 % - Markeringsfarve3 2 7 2" xfId="2244" xr:uid="{00000000-0005-0000-0000-0000A91E0000}"/>
    <cellStyle name="20 % - Markeringsfarve3 2 7 2 2" xfId="2245" xr:uid="{00000000-0005-0000-0000-0000AA1E0000}"/>
    <cellStyle name="20 % - Markeringsfarve3 2 7 2 2 2" xfId="7993" xr:uid="{00000000-0005-0000-0000-0000AB1E0000}"/>
    <cellStyle name="20 % - Markeringsfarve3 2 7 2 2 2 2" xfId="15894" xr:uid="{00000000-0005-0000-0000-0000AC1E0000}"/>
    <cellStyle name="20 % - Markeringsfarve3 2 7 2 2 2 2 2" xfId="32208" xr:uid="{00000000-0005-0000-0000-0000AD1E0000}"/>
    <cellStyle name="20 % - Markeringsfarve3 2 7 2 2 2 2 3" xfId="47172" xr:uid="{00000000-0005-0000-0000-0000AE1E0000}"/>
    <cellStyle name="20 % - Markeringsfarve3 2 7 2 2 2 3" xfId="25186" xr:uid="{00000000-0005-0000-0000-0000AF1E0000}"/>
    <cellStyle name="20 % - Markeringsfarve3 2 7 2 2 2 4" xfId="40173" xr:uid="{00000000-0005-0000-0000-0000B01E0000}"/>
    <cellStyle name="20 % - Markeringsfarve3 2 7 2 2 3" xfId="10802" xr:uid="{00000000-0005-0000-0000-0000B11E0000}"/>
    <cellStyle name="20 % - Markeringsfarve3 2 7 2 2 3 2" xfId="27121" xr:uid="{00000000-0005-0000-0000-0000B21E0000}"/>
    <cellStyle name="20 % - Markeringsfarve3 2 7 2 2 3 3" xfId="42087" xr:uid="{00000000-0005-0000-0000-0000B31E0000}"/>
    <cellStyle name="20 % - Markeringsfarve3 2 7 2 2 4" xfId="20099" xr:uid="{00000000-0005-0000-0000-0000B41E0000}"/>
    <cellStyle name="20 % - Markeringsfarve3 2 7 2 2 5" xfId="35088" xr:uid="{00000000-0005-0000-0000-0000B51E0000}"/>
    <cellStyle name="20 % - Markeringsfarve3 2 7 2 3" xfId="6517" xr:uid="{00000000-0005-0000-0000-0000B61E0000}"/>
    <cellStyle name="20 % - Markeringsfarve3 2 7 2 3 2" xfId="14431" xr:uid="{00000000-0005-0000-0000-0000B71E0000}"/>
    <cellStyle name="20 % - Markeringsfarve3 2 7 2 3 2 2" xfId="30745" xr:uid="{00000000-0005-0000-0000-0000B81E0000}"/>
    <cellStyle name="20 % - Markeringsfarve3 2 7 2 3 2 3" xfId="45709" xr:uid="{00000000-0005-0000-0000-0000B91E0000}"/>
    <cellStyle name="20 % - Markeringsfarve3 2 7 2 3 3" xfId="23723" xr:uid="{00000000-0005-0000-0000-0000BA1E0000}"/>
    <cellStyle name="20 % - Markeringsfarve3 2 7 2 3 4" xfId="38710" xr:uid="{00000000-0005-0000-0000-0000BB1E0000}"/>
    <cellStyle name="20 % - Markeringsfarve3 2 7 2 4" xfId="10801" xr:uid="{00000000-0005-0000-0000-0000BC1E0000}"/>
    <cellStyle name="20 % - Markeringsfarve3 2 7 2 4 2" xfId="27120" xr:uid="{00000000-0005-0000-0000-0000BD1E0000}"/>
    <cellStyle name="20 % - Markeringsfarve3 2 7 2 4 3" xfId="42086" xr:uid="{00000000-0005-0000-0000-0000BE1E0000}"/>
    <cellStyle name="20 % - Markeringsfarve3 2 7 2 5" xfId="20098" xr:uid="{00000000-0005-0000-0000-0000BF1E0000}"/>
    <cellStyle name="20 % - Markeringsfarve3 2 7 2 6" xfId="35087" xr:uid="{00000000-0005-0000-0000-0000C01E0000}"/>
    <cellStyle name="20 % - Markeringsfarve3 2 7 3" xfId="2246" xr:uid="{00000000-0005-0000-0000-0000C11E0000}"/>
    <cellStyle name="20 % - Markeringsfarve3 2 7 3 2" xfId="7269" xr:uid="{00000000-0005-0000-0000-0000C21E0000}"/>
    <cellStyle name="20 % - Markeringsfarve3 2 7 3 2 2" xfId="15179" xr:uid="{00000000-0005-0000-0000-0000C31E0000}"/>
    <cellStyle name="20 % - Markeringsfarve3 2 7 3 2 2 2" xfId="31493" xr:uid="{00000000-0005-0000-0000-0000C41E0000}"/>
    <cellStyle name="20 % - Markeringsfarve3 2 7 3 2 2 3" xfId="46457" xr:uid="{00000000-0005-0000-0000-0000C51E0000}"/>
    <cellStyle name="20 % - Markeringsfarve3 2 7 3 2 3" xfId="24471" xr:uid="{00000000-0005-0000-0000-0000C61E0000}"/>
    <cellStyle name="20 % - Markeringsfarve3 2 7 3 2 4" xfId="39458" xr:uid="{00000000-0005-0000-0000-0000C71E0000}"/>
    <cellStyle name="20 % - Markeringsfarve3 2 7 3 3" xfId="10803" xr:uid="{00000000-0005-0000-0000-0000C81E0000}"/>
    <cellStyle name="20 % - Markeringsfarve3 2 7 3 3 2" xfId="27122" xr:uid="{00000000-0005-0000-0000-0000C91E0000}"/>
    <cellStyle name="20 % - Markeringsfarve3 2 7 3 3 3" xfId="42088" xr:uid="{00000000-0005-0000-0000-0000CA1E0000}"/>
    <cellStyle name="20 % - Markeringsfarve3 2 7 3 4" xfId="20100" xr:uid="{00000000-0005-0000-0000-0000CB1E0000}"/>
    <cellStyle name="20 % - Markeringsfarve3 2 7 3 5" xfId="35089" xr:uid="{00000000-0005-0000-0000-0000CC1E0000}"/>
    <cellStyle name="20 % - Markeringsfarve3 2 7 4" xfId="2247" xr:uid="{00000000-0005-0000-0000-0000CD1E0000}"/>
    <cellStyle name="20 % - Markeringsfarve3 2 7 4 2" xfId="7101" xr:uid="{00000000-0005-0000-0000-0000CE1E0000}"/>
    <cellStyle name="20 % - Markeringsfarve3 2 7 4 2 2" xfId="15011" xr:uid="{00000000-0005-0000-0000-0000CF1E0000}"/>
    <cellStyle name="20 % - Markeringsfarve3 2 7 4 2 2 2" xfId="31325" xr:uid="{00000000-0005-0000-0000-0000D01E0000}"/>
    <cellStyle name="20 % - Markeringsfarve3 2 7 4 2 2 3" xfId="46289" xr:uid="{00000000-0005-0000-0000-0000D11E0000}"/>
    <cellStyle name="20 % - Markeringsfarve3 2 7 4 2 3" xfId="24303" xr:uid="{00000000-0005-0000-0000-0000D21E0000}"/>
    <cellStyle name="20 % - Markeringsfarve3 2 7 4 2 4" xfId="39290" xr:uid="{00000000-0005-0000-0000-0000D31E0000}"/>
    <cellStyle name="20 % - Markeringsfarve3 2 7 4 3" xfId="10804" xr:uid="{00000000-0005-0000-0000-0000D41E0000}"/>
    <cellStyle name="20 % - Markeringsfarve3 2 7 4 3 2" xfId="27123" xr:uid="{00000000-0005-0000-0000-0000D51E0000}"/>
    <cellStyle name="20 % - Markeringsfarve3 2 7 4 3 3" xfId="42089" xr:uid="{00000000-0005-0000-0000-0000D61E0000}"/>
    <cellStyle name="20 % - Markeringsfarve3 2 7 4 4" xfId="20101" xr:uid="{00000000-0005-0000-0000-0000D71E0000}"/>
    <cellStyle name="20 % - Markeringsfarve3 2 7 4 5" xfId="35090" xr:uid="{00000000-0005-0000-0000-0000D81E0000}"/>
    <cellStyle name="20 % - Markeringsfarve3 2 7 5" xfId="5540" xr:uid="{00000000-0005-0000-0000-0000D91E0000}"/>
    <cellStyle name="20 % - Markeringsfarve3 2 7 5 2" xfId="13458" xr:uid="{00000000-0005-0000-0000-0000DA1E0000}"/>
    <cellStyle name="20 % - Markeringsfarve3 2 7 5 2 2" xfId="29772" xr:uid="{00000000-0005-0000-0000-0000DB1E0000}"/>
    <cellStyle name="20 % - Markeringsfarve3 2 7 5 2 3" xfId="44736" xr:uid="{00000000-0005-0000-0000-0000DC1E0000}"/>
    <cellStyle name="20 % - Markeringsfarve3 2 7 5 3" xfId="22750" xr:uid="{00000000-0005-0000-0000-0000DD1E0000}"/>
    <cellStyle name="20 % - Markeringsfarve3 2 7 5 4" xfId="37737" xr:uid="{00000000-0005-0000-0000-0000DE1E0000}"/>
    <cellStyle name="20 % - Markeringsfarve3 2 7 6" xfId="10800" xr:uid="{00000000-0005-0000-0000-0000DF1E0000}"/>
    <cellStyle name="20 % - Markeringsfarve3 2 7 6 2" xfId="27119" xr:uid="{00000000-0005-0000-0000-0000E01E0000}"/>
    <cellStyle name="20 % - Markeringsfarve3 2 7 6 3" xfId="42085" xr:uid="{00000000-0005-0000-0000-0000E11E0000}"/>
    <cellStyle name="20 % - Markeringsfarve3 2 7 7" xfId="20097" xr:uid="{00000000-0005-0000-0000-0000E21E0000}"/>
    <cellStyle name="20 % - Markeringsfarve3 2 7 8" xfId="35086" xr:uid="{00000000-0005-0000-0000-0000E31E0000}"/>
    <cellStyle name="20 % - Markeringsfarve3 2 8" xfId="2248" xr:uid="{00000000-0005-0000-0000-0000E41E0000}"/>
    <cellStyle name="20 % - Markeringsfarve3 2 8 2" xfId="2249" xr:uid="{00000000-0005-0000-0000-0000E51E0000}"/>
    <cellStyle name="20 % - Markeringsfarve3 2 8 2 2" xfId="2250" xr:uid="{00000000-0005-0000-0000-0000E61E0000}"/>
    <cellStyle name="20 % - Markeringsfarve3 2 8 2 2 2" xfId="8099" xr:uid="{00000000-0005-0000-0000-0000E71E0000}"/>
    <cellStyle name="20 % - Markeringsfarve3 2 8 2 2 2 2" xfId="16000" xr:uid="{00000000-0005-0000-0000-0000E81E0000}"/>
    <cellStyle name="20 % - Markeringsfarve3 2 8 2 2 2 2 2" xfId="32314" xr:uid="{00000000-0005-0000-0000-0000E91E0000}"/>
    <cellStyle name="20 % - Markeringsfarve3 2 8 2 2 2 2 3" xfId="47278" xr:uid="{00000000-0005-0000-0000-0000EA1E0000}"/>
    <cellStyle name="20 % - Markeringsfarve3 2 8 2 2 2 3" xfId="25292" xr:uid="{00000000-0005-0000-0000-0000EB1E0000}"/>
    <cellStyle name="20 % - Markeringsfarve3 2 8 2 2 2 4" xfId="40279" xr:uid="{00000000-0005-0000-0000-0000EC1E0000}"/>
    <cellStyle name="20 % - Markeringsfarve3 2 8 2 2 3" xfId="10807" xr:uid="{00000000-0005-0000-0000-0000ED1E0000}"/>
    <cellStyle name="20 % - Markeringsfarve3 2 8 2 2 3 2" xfId="27126" xr:uid="{00000000-0005-0000-0000-0000EE1E0000}"/>
    <cellStyle name="20 % - Markeringsfarve3 2 8 2 2 3 3" xfId="42092" xr:uid="{00000000-0005-0000-0000-0000EF1E0000}"/>
    <cellStyle name="20 % - Markeringsfarve3 2 8 2 2 4" xfId="20104" xr:uid="{00000000-0005-0000-0000-0000F01E0000}"/>
    <cellStyle name="20 % - Markeringsfarve3 2 8 2 2 5" xfId="35093" xr:uid="{00000000-0005-0000-0000-0000F11E0000}"/>
    <cellStyle name="20 % - Markeringsfarve3 2 8 2 3" xfId="6610" xr:uid="{00000000-0005-0000-0000-0000F21E0000}"/>
    <cellStyle name="20 % - Markeringsfarve3 2 8 2 3 2" xfId="14524" xr:uid="{00000000-0005-0000-0000-0000F31E0000}"/>
    <cellStyle name="20 % - Markeringsfarve3 2 8 2 3 2 2" xfId="30838" xr:uid="{00000000-0005-0000-0000-0000F41E0000}"/>
    <cellStyle name="20 % - Markeringsfarve3 2 8 2 3 2 3" xfId="45802" xr:uid="{00000000-0005-0000-0000-0000F51E0000}"/>
    <cellStyle name="20 % - Markeringsfarve3 2 8 2 3 3" xfId="23816" xr:uid="{00000000-0005-0000-0000-0000F61E0000}"/>
    <cellStyle name="20 % - Markeringsfarve3 2 8 2 3 4" xfId="38803" xr:uid="{00000000-0005-0000-0000-0000F71E0000}"/>
    <cellStyle name="20 % - Markeringsfarve3 2 8 2 4" xfId="10806" xr:uid="{00000000-0005-0000-0000-0000F81E0000}"/>
    <cellStyle name="20 % - Markeringsfarve3 2 8 2 4 2" xfId="27125" xr:uid="{00000000-0005-0000-0000-0000F91E0000}"/>
    <cellStyle name="20 % - Markeringsfarve3 2 8 2 4 3" xfId="42091" xr:uid="{00000000-0005-0000-0000-0000FA1E0000}"/>
    <cellStyle name="20 % - Markeringsfarve3 2 8 2 5" xfId="20103" xr:uid="{00000000-0005-0000-0000-0000FB1E0000}"/>
    <cellStyle name="20 % - Markeringsfarve3 2 8 2 6" xfId="35092" xr:uid="{00000000-0005-0000-0000-0000FC1E0000}"/>
    <cellStyle name="20 % - Markeringsfarve3 2 8 3" xfId="2251" xr:uid="{00000000-0005-0000-0000-0000FD1E0000}"/>
    <cellStyle name="20 % - Markeringsfarve3 2 8 3 2" xfId="7376" xr:uid="{00000000-0005-0000-0000-0000FE1E0000}"/>
    <cellStyle name="20 % - Markeringsfarve3 2 8 3 2 2" xfId="15286" xr:uid="{00000000-0005-0000-0000-0000FF1E0000}"/>
    <cellStyle name="20 % - Markeringsfarve3 2 8 3 2 2 2" xfId="31600" xr:uid="{00000000-0005-0000-0000-0000001F0000}"/>
    <cellStyle name="20 % - Markeringsfarve3 2 8 3 2 2 3" xfId="46564" xr:uid="{00000000-0005-0000-0000-0000011F0000}"/>
    <cellStyle name="20 % - Markeringsfarve3 2 8 3 2 3" xfId="24578" xr:uid="{00000000-0005-0000-0000-0000021F0000}"/>
    <cellStyle name="20 % - Markeringsfarve3 2 8 3 2 4" xfId="39565" xr:uid="{00000000-0005-0000-0000-0000031F0000}"/>
    <cellStyle name="20 % - Markeringsfarve3 2 8 3 3" xfId="10808" xr:uid="{00000000-0005-0000-0000-0000041F0000}"/>
    <cellStyle name="20 % - Markeringsfarve3 2 8 3 3 2" xfId="27127" xr:uid="{00000000-0005-0000-0000-0000051F0000}"/>
    <cellStyle name="20 % - Markeringsfarve3 2 8 3 3 3" xfId="42093" xr:uid="{00000000-0005-0000-0000-0000061F0000}"/>
    <cellStyle name="20 % - Markeringsfarve3 2 8 3 4" xfId="20105" xr:uid="{00000000-0005-0000-0000-0000071F0000}"/>
    <cellStyle name="20 % - Markeringsfarve3 2 8 3 5" xfId="35094" xr:uid="{00000000-0005-0000-0000-0000081F0000}"/>
    <cellStyle name="20 % - Markeringsfarve3 2 8 4" xfId="2252" xr:uid="{00000000-0005-0000-0000-0000091F0000}"/>
    <cellStyle name="20 % - Markeringsfarve3 2 8 4 2" xfId="8533" xr:uid="{00000000-0005-0000-0000-00000A1F0000}"/>
    <cellStyle name="20 % - Markeringsfarve3 2 8 4 2 2" xfId="16421" xr:uid="{00000000-0005-0000-0000-00000B1F0000}"/>
    <cellStyle name="20 % - Markeringsfarve3 2 8 4 2 2 2" xfId="32735" xr:uid="{00000000-0005-0000-0000-00000C1F0000}"/>
    <cellStyle name="20 % - Markeringsfarve3 2 8 4 2 2 3" xfId="47699" xr:uid="{00000000-0005-0000-0000-00000D1F0000}"/>
    <cellStyle name="20 % - Markeringsfarve3 2 8 4 2 3" xfId="25713" xr:uid="{00000000-0005-0000-0000-00000E1F0000}"/>
    <cellStyle name="20 % - Markeringsfarve3 2 8 4 2 4" xfId="40700" xr:uid="{00000000-0005-0000-0000-00000F1F0000}"/>
    <cellStyle name="20 % - Markeringsfarve3 2 8 4 3" xfId="10809" xr:uid="{00000000-0005-0000-0000-0000101F0000}"/>
    <cellStyle name="20 % - Markeringsfarve3 2 8 4 3 2" xfId="27128" xr:uid="{00000000-0005-0000-0000-0000111F0000}"/>
    <cellStyle name="20 % - Markeringsfarve3 2 8 4 3 3" xfId="42094" xr:uid="{00000000-0005-0000-0000-0000121F0000}"/>
    <cellStyle name="20 % - Markeringsfarve3 2 8 4 4" xfId="20106" xr:uid="{00000000-0005-0000-0000-0000131F0000}"/>
    <cellStyle name="20 % - Markeringsfarve3 2 8 4 5" xfId="35095" xr:uid="{00000000-0005-0000-0000-0000141F0000}"/>
    <cellStyle name="20 % - Markeringsfarve3 2 8 5" xfId="5541" xr:uid="{00000000-0005-0000-0000-0000151F0000}"/>
    <cellStyle name="20 % - Markeringsfarve3 2 8 5 2" xfId="13459" xr:uid="{00000000-0005-0000-0000-0000161F0000}"/>
    <cellStyle name="20 % - Markeringsfarve3 2 8 5 2 2" xfId="29773" xr:uid="{00000000-0005-0000-0000-0000171F0000}"/>
    <cellStyle name="20 % - Markeringsfarve3 2 8 5 2 3" xfId="44737" xr:uid="{00000000-0005-0000-0000-0000181F0000}"/>
    <cellStyle name="20 % - Markeringsfarve3 2 8 5 3" xfId="22751" xr:uid="{00000000-0005-0000-0000-0000191F0000}"/>
    <cellStyle name="20 % - Markeringsfarve3 2 8 5 4" xfId="37738" xr:uid="{00000000-0005-0000-0000-00001A1F0000}"/>
    <cellStyle name="20 % - Markeringsfarve3 2 8 6" xfId="10805" xr:uid="{00000000-0005-0000-0000-00001B1F0000}"/>
    <cellStyle name="20 % - Markeringsfarve3 2 8 6 2" xfId="27124" xr:uid="{00000000-0005-0000-0000-00001C1F0000}"/>
    <cellStyle name="20 % - Markeringsfarve3 2 8 6 3" xfId="42090" xr:uid="{00000000-0005-0000-0000-00001D1F0000}"/>
    <cellStyle name="20 % - Markeringsfarve3 2 8 7" xfId="20102" xr:uid="{00000000-0005-0000-0000-00001E1F0000}"/>
    <cellStyle name="20 % - Markeringsfarve3 2 8 8" xfId="35091" xr:uid="{00000000-0005-0000-0000-00001F1F0000}"/>
    <cellStyle name="20 % - Markeringsfarve3 2 9" xfId="2253" xr:uid="{00000000-0005-0000-0000-0000201F0000}"/>
    <cellStyle name="20 % - Markeringsfarve3 2 9 2" xfId="2254" xr:uid="{00000000-0005-0000-0000-0000211F0000}"/>
    <cellStyle name="20 % - Markeringsfarve3 2 9 2 2" xfId="7519" xr:uid="{00000000-0005-0000-0000-0000221F0000}"/>
    <cellStyle name="20 % - Markeringsfarve3 2 9 2 2 2" xfId="15420" xr:uid="{00000000-0005-0000-0000-0000231F0000}"/>
    <cellStyle name="20 % - Markeringsfarve3 2 9 2 2 2 2" xfId="31734" xr:uid="{00000000-0005-0000-0000-0000241F0000}"/>
    <cellStyle name="20 % - Markeringsfarve3 2 9 2 2 2 3" xfId="46698" xr:uid="{00000000-0005-0000-0000-0000251F0000}"/>
    <cellStyle name="20 % - Markeringsfarve3 2 9 2 2 3" xfId="24712" xr:uid="{00000000-0005-0000-0000-0000261F0000}"/>
    <cellStyle name="20 % - Markeringsfarve3 2 9 2 2 4" xfId="39699" xr:uid="{00000000-0005-0000-0000-0000271F0000}"/>
    <cellStyle name="20 % - Markeringsfarve3 2 9 2 3" xfId="10811" xr:uid="{00000000-0005-0000-0000-0000281F0000}"/>
    <cellStyle name="20 % - Markeringsfarve3 2 9 2 3 2" xfId="27130" xr:uid="{00000000-0005-0000-0000-0000291F0000}"/>
    <cellStyle name="20 % - Markeringsfarve3 2 9 2 3 3" xfId="42096" xr:uid="{00000000-0005-0000-0000-00002A1F0000}"/>
    <cellStyle name="20 % - Markeringsfarve3 2 9 2 4" xfId="20108" xr:uid="{00000000-0005-0000-0000-00002B1F0000}"/>
    <cellStyle name="20 % - Markeringsfarve3 2 9 2 5" xfId="35097" xr:uid="{00000000-0005-0000-0000-00002C1F0000}"/>
    <cellStyle name="20 % - Markeringsfarve3 2 9 3" xfId="6117" xr:uid="{00000000-0005-0000-0000-00002D1F0000}"/>
    <cellStyle name="20 % - Markeringsfarve3 2 9 3 2" xfId="14034" xr:uid="{00000000-0005-0000-0000-00002E1F0000}"/>
    <cellStyle name="20 % - Markeringsfarve3 2 9 3 2 2" xfId="30348" xr:uid="{00000000-0005-0000-0000-00002F1F0000}"/>
    <cellStyle name="20 % - Markeringsfarve3 2 9 3 2 3" xfId="45312" xr:uid="{00000000-0005-0000-0000-0000301F0000}"/>
    <cellStyle name="20 % - Markeringsfarve3 2 9 3 3" xfId="23326" xr:uid="{00000000-0005-0000-0000-0000311F0000}"/>
    <cellStyle name="20 % - Markeringsfarve3 2 9 3 4" xfId="38313" xr:uid="{00000000-0005-0000-0000-0000321F0000}"/>
    <cellStyle name="20 % - Markeringsfarve3 2 9 4" xfId="10810" xr:uid="{00000000-0005-0000-0000-0000331F0000}"/>
    <cellStyle name="20 % - Markeringsfarve3 2 9 4 2" xfId="27129" xr:uid="{00000000-0005-0000-0000-0000341F0000}"/>
    <cellStyle name="20 % - Markeringsfarve3 2 9 4 3" xfId="42095" xr:uid="{00000000-0005-0000-0000-0000351F0000}"/>
    <cellStyle name="20 % - Markeringsfarve3 2 9 5" xfId="20107" xr:uid="{00000000-0005-0000-0000-0000361F0000}"/>
    <cellStyle name="20 % - Markeringsfarve3 2 9 6" xfId="35096" xr:uid="{00000000-0005-0000-0000-0000371F0000}"/>
    <cellStyle name="20 % - Markeringsfarve3 3" xfId="2255" xr:uid="{00000000-0005-0000-0000-0000381F0000}"/>
    <cellStyle name="20 % - Markeringsfarve3 3 10" xfId="2256" xr:uid="{00000000-0005-0000-0000-0000391F0000}"/>
    <cellStyle name="20 % - Markeringsfarve3 3 10 2" xfId="6732" xr:uid="{00000000-0005-0000-0000-00003A1F0000}"/>
    <cellStyle name="20 % - Markeringsfarve3 3 10 2 2" xfId="14644" xr:uid="{00000000-0005-0000-0000-00003B1F0000}"/>
    <cellStyle name="20 % - Markeringsfarve3 3 10 2 2 2" xfId="30958" xr:uid="{00000000-0005-0000-0000-00003C1F0000}"/>
    <cellStyle name="20 % - Markeringsfarve3 3 10 2 2 3" xfId="45922" xr:uid="{00000000-0005-0000-0000-00003D1F0000}"/>
    <cellStyle name="20 % - Markeringsfarve3 3 10 2 3" xfId="23936" xr:uid="{00000000-0005-0000-0000-00003E1F0000}"/>
    <cellStyle name="20 % - Markeringsfarve3 3 10 2 4" xfId="38923" xr:uid="{00000000-0005-0000-0000-00003F1F0000}"/>
    <cellStyle name="20 % - Markeringsfarve3 3 10 3" xfId="10813" xr:uid="{00000000-0005-0000-0000-0000401F0000}"/>
    <cellStyle name="20 % - Markeringsfarve3 3 10 3 2" xfId="27132" xr:uid="{00000000-0005-0000-0000-0000411F0000}"/>
    <cellStyle name="20 % - Markeringsfarve3 3 10 3 3" xfId="42098" xr:uid="{00000000-0005-0000-0000-0000421F0000}"/>
    <cellStyle name="20 % - Markeringsfarve3 3 10 4" xfId="20110" xr:uid="{00000000-0005-0000-0000-0000431F0000}"/>
    <cellStyle name="20 % - Markeringsfarve3 3 10 5" xfId="35099" xr:uid="{00000000-0005-0000-0000-0000441F0000}"/>
    <cellStyle name="20 % - Markeringsfarve3 3 11" xfId="2257" xr:uid="{00000000-0005-0000-0000-0000451F0000}"/>
    <cellStyle name="20 % - Markeringsfarve3 3 11 2" xfId="8514" xr:uid="{00000000-0005-0000-0000-0000461F0000}"/>
    <cellStyle name="20 % - Markeringsfarve3 3 11 2 2" xfId="16403" xr:uid="{00000000-0005-0000-0000-0000471F0000}"/>
    <cellStyle name="20 % - Markeringsfarve3 3 11 2 2 2" xfId="32717" xr:uid="{00000000-0005-0000-0000-0000481F0000}"/>
    <cellStyle name="20 % - Markeringsfarve3 3 11 2 2 3" xfId="47681" xr:uid="{00000000-0005-0000-0000-0000491F0000}"/>
    <cellStyle name="20 % - Markeringsfarve3 3 11 2 3" xfId="25695" xr:uid="{00000000-0005-0000-0000-00004A1F0000}"/>
    <cellStyle name="20 % - Markeringsfarve3 3 11 2 4" xfId="40682" xr:uid="{00000000-0005-0000-0000-00004B1F0000}"/>
    <cellStyle name="20 % - Markeringsfarve3 3 11 3" xfId="10814" xr:uid="{00000000-0005-0000-0000-00004C1F0000}"/>
    <cellStyle name="20 % - Markeringsfarve3 3 11 3 2" xfId="27133" xr:uid="{00000000-0005-0000-0000-00004D1F0000}"/>
    <cellStyle name="20 % - Markeringsfarve3 3 11 3 3" xfId="42099" xr:uid="{00000000-0005-0000-0000-00004E1F0000}"/>
    <cellStyle name="20 % - Markeringsfarve3 3 11 4" xfId="20111" xr:uid="{00000000-0005-0000-0000-00004F1F0000}"/>
    <cellStyle name="20 % - Markeringsfarve3 3 11 5" xfId="35100" xr:uid="{00000000-0005-0000-0000-0000501F0000}"/>
    <cellStyle name="20 % - Markeringsfarve3 3 12" xfId="5542" xr:uid="{00000000-0005-0000-0000-0000511F0000}"/>
    <cellStyle name="20 % - Markeringsfarve3 3 12 2" xfId="13460" xr:uid="{00000000-0005-0000-0000-0000521F0000}"/>
    <cellStyle name="20 % - Markeringsfarve3 3 12 2 2" xfId="29774" xr:uid="{00000000-0005-0000-0000-0000531F0000}"/>
    <cellStyle name="20 % - Markeringsfarve3 3 12 2 3" xfId="44738" xr:uid="{00000000-0005-0000-0000-0000541F0000}"/>
    <cellStyle name="20 % - Markeringsfarve3 3 12 3" xfId="22752" xr:uid="{00000000-0005-0000-0000-0000551F0000}"/>
    <cellStyle name="20 % - Markeringsfarve3 3 12 4" xfId="37739" xr:uid="{00000000-0005-0000-0000-0000561F0000}"/>
    <cellStyle name="20 % - Markeringsfarve3 3 13" xfId="10812" xr:uid="{00000000-0005-0000-0000-0000571F0000}"/>
    <cellStyle name="20 % - Markeringsfarve3 3 13 2" xfId="27131" xr:uid="{00000000-0005-0000-0000-0000581F0000}"/>
    <cellStyle name="20 % - Markeringsfarve3 3 13 3" xfId="42097" xr:uid="{00000000-0005-0000-0000-0000591F0000}"/>
    <cellStyle name="20 % - Markeringsfarve3 3 14" xfId="20109" xr:uid="{00000000-0005-0000-0000-00005A1F0000}"/>
    <cellStyle name="20 % - Markeringsfarve3 3 15" xfId="35098" xr:uid="{00000000-0005-0000-0000-00005B1F0000}"/>
    <cellStyle name="20 % - Markeringsfarve3 3 16" xfId="53365" xr:uid="{00000000-0005-0000-0000-00005C1F0000}"/>
    <cellStyle name="20 % - Markeringsfarve3 3 2" xfId="2258" xr:uid="{00000000-0005-0000-0000-00005D1F0000}"/>
    <cellStyle name="20 % - Markeringsfarve3 3 2 10" xfId="5543" xr:uid="{00000000-0005-0000-0000-00005E1F0000}"/>
    <cellStyle name="20 % - Markeringsfarve3 3 2 10 2" xfId="13461" xr:uid="{00000000-0005-0000-0000-00005F1F0000}"/>
    <cellStyle name="20 % - Markeringsfarve3 3 2 10 2 2" xfId="29775" xr:uid="{00000000-0005-0000-0000-0000601F0000}"/>
    <cellStyle name="20 % - Markeringsfarve3 3 2 10 2 3" xfId="44739" xr:uid="{00000000-0005-0000-0000-0000611F0000}"/>
    <cellStyle name="20 % - Markeringsfarve3 3 2 10 3" xfId="22753" xr:uid="{00000000-0005-0000-0000-0000621F0000}"/>
    <cellStyle name="20 % - Markeringsfarve3 3 2 10 4" xfId="37740" xr:uid="{00000000-0005-0000-0000-0000631F0000}"/>
    <cellStyle name="20 % - Markeringsfarve3 3 2 11" xfId="10815" xr:uid="{00000000-0005-0000-0000-0000641F0000}"/>
    <cellStyle name="20 % - Markeringsfarve3 3 2 11 2" xfId="27134" xr:uid="{00000000-0005-0000-0000-0000651F0000}"/>
    <cellStyle name="20 % - Markeringsfarve3 3 2 11 3" xfId="42100" xr:uid="{00000000-0005-0000-0000-0000661F0000}"/>
    <cellStyle name="20 % - Markeringsfarve3 3 2 12" xfId="20112" xr:uid="{00000000-0005-0000-0000-0000671F0000}"/>
    <cellStyle name="20 % - Markeringsfarve3 3 2 13" xfId="35101" xr:uid="{00000000-0005-0000-0000-0000681F0000}"/>
    <cellStyle name="20 % - Markeringsfarve3 3 2 14" xfId="54002" xr:uid="{00000000-0005-0000-0000-0000691F0000}"/>
    <cellStyle name="20 % - Markeringsfarve3 3 2 2" xfId="2259" xr:uid="{00000000-0005-0000-0000-00006A1F0000}"/>
    <cellStyle name="20 % - Markeringsfarve3 3 2 2 2" xfId="2260" xr:uid="{00000000-0005-0000-0000-00006B1F0000}"/>
    <cellStyle name="20 % - Markeringsfarve3 3 2 2 2 2" xfId="2261" xr:uid="{00000000-0005-0000-0000-00006C1F0000}"/>
    <cellStyle name="20 % - Markeringsfarve3 3 2 2 2 2 2" xfId="7665" xr:uid="{00000000-0005-0000-0000-00006D1F0000}"/>
    <cellStyle name="20 % - Markeringsfarve3 3 2 2 2 2 2 2" xfId="15566" xr:uid="{00000000-0005-0000-0000-00006E1F0000}"/>
    <cellStyle name="20 % - Markeringsfarve3 3 2 2 2 2 2 2 2" xfId="31880" xr:uid="{00000000-0005-0000-0000-00006F1F0000}"/>
    <cellStyle name="20 % - Markeringsfarve3 3 2 2 2 2 2 2 3" xfId="46844" xr:uid="{00000000-0005-0000-0000-0000701F0000}"/>
    <cellStyle name="20 % - Markeringsfarve3 3 2 2 2 2 2 3" xfId="24858" xr:uid="{00000000-0005-0000-0000-0000711F0000}"/>
    <cellStyle name="20 % - Markeringsfarve3 3 2 2 2 2 2 4" xfId="39845" xr:uid="{00000000-0005-0000-0000-0000721F0000}"/>
    <cellStyle name="20 % - Markeringsfarve3 3 2 2 2 2 3" xfId="10818" xr:uid="{00000000-0005-0000-0000-0000731F0000}"/>
    <cellStyle name="20 % - Markeringsfarve3 3 2 2 2 2 3 2" xfId="27137" xr:uid="{00000000-0005-0000-0000-0000741F0000}"/>
    <cellStyle name="20 % - Markeringsfarve3 3 2 2 2 2 3 3" xfId="42103" xr:uid="{00000000-0005-0000-0000-0000751F0000}"/>
    <cellStyle name="20 % - Markeringsfarve3 3 2 2 2 2 4" xfId="20115" xr:uid="{00000000-0005-0000-0000-0000761F0000}"/>
    <cellStyle name="20 % - Markeringsfarve3 3 2 2 2 2 5" xfId="35104" xr:uid="{00000000-0005-0000-0000-0000771F0000}"/>
    <cellStyle name="20 % - Markeringsfarve3 3 2 2 2 3" xfId="6239" xr:uid="{00000000-0005-0000-0000-0000781F0000}"/>
    <cellStyle name="20 % - Markeringsfarve3 3 2 2 2 3 2" xfId="14156" xr:uid="{00000000-0005-0000-0000-0000791F0000}"/>
    <cellStyle name="20 % - Markeringsfarve3 3 2 2 2 3 2 2" xfId="30470" xr:uid="{00000000-0005-0000-0000-00007A1F0000}"/>
    <cellStyle name="20 % - Markeringsfarve3 3 2 2 2 3 2 3" xfId="45434" xr:uid="{00000000-0005-0000-0000-00007B1F0000}"/>
    <cellStyle name="20 % - Markeringsfarve3 3 2 2 2 3 3" xfId="23448" xr:uid="{00000000-0005-0000-0000-00007C1F0000}"/>
    <cellStyle name="20 % - Markeringsfarve3 3 2 2 2 3 4" xfId="38435" xr:uid="{00000000-0005-0000-0000-00007D1F0000}"/>
    <cellStyle name="20 % - Markeringsfarve3 3 2 2 2 4" xfId="10817" xr:uid="{00000000-0005-0000-0000-00007E1F0000}"/>
    <cellStyle name="20 % - Markeringsfarve3 3 2 2 2 4 2" xfId="27136" xr:uid="{00000000-0005-0000-0000-00007F1F0000}"/>
    <cellStyle name="20 % - Markeringsfarve3 3 2 2 2 4 3" xfId="42102" xr:uid="{00000000-0005-0000-0000-0000801F0000}"/>
    <cellStyle name="20 % - Markeringsfarve3 3 2 2 2 5" xfId="20114" xr:uid="{00000000-0005-0000-0000-0000811F0000}"/>
    <cellStyle name="20 % - Markeringsfarve3 3 2 2 2 6" xfId="35103" xr:uid="{00000000-0005-0000-0000-0000821F0000}"/>
    <cellStyle name="20 % - Markeringsfarve3 3 2 2 3" xfId="2262" xr:uid="{00000000-0005-0000-0000-0000831F0000}"/>
    <cellStyle name="20 % - Markeringsfarve3 3 2 2 3 2" xfId="6895" xr:uid="{00000000-0005-0000-0000-0000841F0000}"/>
    <cellStyle name="20 % - Markeringsfarve3 3 2 2 3 2 2" xfId="14806" xr:uid="{00000000-0005-0000-0000-0000851F0000}"/>
    <cellStyle name="20 % - Markeringsfarve3 3 2 2 3 2 2 2" xfId="31120" xr:uid="{00000000-0005-0000-0000-0000861F0000}"/>
    <cellStyle name="20 % - Markeringsfarve3 3 2 2 3 2 2 3" xfId="46084" xr:uid="{00000000-0005-0000-0000-0000871F0000}"/>
    <cellStyle name="20 % - Markeringsfarve3 3 2 2 3 2 3" xfId="24098" xr:uid="{00000000-0005-0000-0000-0000881F0000}"/>
    <cellStyle name="20 % - Markeringsfarve3 3 2 2 3 2 4" xfId="39085" xr:uid="{00000000-0005-0000-0000-0000891F0000}"/>
    <cellStyle name="20 % - Markeringsfarve3 3 2 2 3 3" xfId="10819" xr:uid="{00000000-0005-0000-0000-00008A1F0000}"/>
    <cellStyle name="20 % - Markeringsfarve3 3 2 2 3 3 2" xfId="27138" xr:uid="{00000000-0005-0000-0000-00008B1F0000}"/>
    <cellStyle name="20 % - Markeringsfarve3 3 2 2 3 3 3" xfId="42104" xr:uid="{00000000-0005-0000-0000-00008C1F0000}"/>
    <cellStyle name="20 % - Markeringsfarve3 3 2 2 3 4" xfId="20116" xr:uid="{00000000-0005-0000-0000-00008D1F0000}"/>
    <cellStyle name="20 % - Markeringsfarve3 3 2 2 3 5" xfId="35105" xr:uid="{00000000-0005-0000-0000-00008E1F0000}"/>
    <cellStyle name="20 % - Markeringsfarve3 3 2 2 4" xfId="2263" xr:uid="{00000000-0005-0000-0000-00008F1F0000}"/>
    <cellStyle name="20 % - Markeringsfarve3 3 2 2 4 2" xfId="8510" xr:uid="{00000000-0005-0000-0000-0000901F0000}"/>
    <cellStyle name="20 % - Markeringsfarve3 3 2 2 4 2 2" xfId="16399" xr:uid="{00000000-0005-0000-0000-0000911F0000}"/>
    <cellStyle name="20 % - Markeringsfarve3 3 2 2 4 2 2 2" xfId="32713" xr:uid="{00000000-0005-0000-0000-0000921F0000}"/>
    <cellStyle name="20 % - Markeringsfarve3 3 2 2 4 2 2 3" xfId="47677" xr:uid="{00000000-0005-0000-0000-0000931F0000}"/>
    <cellStyle name="20 % - Markeringsfarve3 3 2 2 4 2 3" xfId="25691" xr:uid="{00000000-0005-0000-0000-0000941F0000}"/>
    <cellStyle name="20 % - Markeringsfarve3 3 2 2 4 2 4" xfId="40678" xr:uid="{00000000-0005-0000-0000-0000951F0000}"/>
    <cellStyle name="20 % - Markeringsfarve3 3 2 2 4 3" xfId="10820" xr:uid="{00000000-0005-0000-0000-0000961F0000}"/>
    <cellStyle name="20 % - Markeringsfarve3 3 2 2 4 3 2" xfId="27139" xr:uid="{00000000-0005-0000-0000-0000971F0000}"/>
    <cellStyle name="20 % - Markeringsfarve3 3 2 2 4 3 3" xfId="42105" xr:uid="{00000000-0005-0000-0000-0000981F0000}"/>
    <cellStyle name="20 % - Markeringsfarve3 3 2 2 4 4" xfId="20117" xr:uid="{00000000-0005-0000-0000-0000991F0000}"/>
    <cellStyle name="20 % - Markeringsfarve3 3 2 2 4 5" xfId="35106" xr:uid="{00000000-0005-0000-0000-00009A1F0000}"/>
    <cellStyle name="20 % - Markeringsfarve3 3 2 2 5" xfId="5544" xr:uid="{00000000-0005-0000-0000-00009B1F0000}"/>
    <cellStyle name="20 % - Markeringsfarve3 3 2 2 5 2" xfId="13462" xr:uid="{00000000-0005-0000-0000-00009C1F0000}"/>
    <cellStyle name="20 % - Markeringsfarve3 3 2 2 5 2 2" xfId="29776" xr:uid="{00000000-0005-0000-0000-00009D1F0000}"/>
    <cellStyle name="20 % - Markeringsfarve3 3 2 2 5 2 3" xfId="44740" xr:uid="{00000000-0005-0000-0000-00009E1F0000}"/>
    <cellStyle name="20 % - Markeringsfarve3 3 2 2 5 3" xfId="22754" xr:uid="{00000000-0005-0000-0000-00009F1F0000}"/>
    <cellStyle name="20 % - Markeringsfarve3 3 2 2 5 4" xfId="37741" xr:uid="{00000000-0005-0000-0000-0000A01F0000}"/>
    <cellStyle name="20 % - Markeringsfarve3 3 2 2 6" xfId="10816" xr:uid="{00000000-0005-0000-0000-0000A11F0000}"/>
    <cellStyle name="20 % - Markeringsfarve3 3 2 2 6 2" xfId="27135" xr:uid="{00000000-0005-0000-0000-0000A21F0000}"/>
    <cellStyle name="20 % - Markeringsfarve3 3 2 2 6 3" xfId="42101" xr:uid="{00000000-0005-0000-0000-0000A31F0000}"/>
    <cellStyle name="20 % - Markeringsfarve3 3 2 2 7" xfId="20113" xr:uid="{00000000-0005-0000-0000-0000A41F0000}"/>
    <cellStyle name="20 % - Markeringsfarve3 3 2 2 8" xfId="35102" xr:uid="{00000000-0005-0000-0000-0000A51F0000}"/>
    <cellStyle name="20 % - Markeringsfarve3 3 2 2 9" xfId="57169" xr:uid="{00000000-0005-0000-0000-0000A61F0000}"/>
    <cellStyle name="20 % - Markeringsfarve3 3 2 3" xfId="2264" xr:uid="{00000000-0005-0000-0000-0000A71F0000}"/>
    <cellStyle name="20 % - Markeringsfarve3 3 2 3 2" xfId="2265" xr:uid="{00000000-0005-0000-0000-0000A81F0000}"/>
    <cellStyle name="20 % - Markeringsfarve3 3 2 3 2 2" xfId="2266" xr:uid="{00000000-0005-0000-0000-0000A91F0000}"/>
    <cellStyle name="20 % - Markeringsfarve3 3 2 3 2 2 2" xfId="7748" xr:uid="{00000000-0005-0000-0000-0000AA1F0000}"/>
    <cellStyle name="20 % - Markeringsfarve3 3 2 3 2 2 2 2" xfId="15649" xr:uid="{00000000-0005-0000-0000-0000AB1F0000}"/>
    <cellStyle name="20 % - Markeringsfarve3 3 2 3 2 2 2 2 2" xfId="31963" xr:uid="{00000000-0005-0000-0000-0000AC1F0000}"/>
    <cellStyle name="20 % - Markeringsfarve3 3 2 3 2 2 2 2 3" xfId="46927" xr:uid="{00000000-0005-0000-0000-0000AD1F0000}"/>
    <cellStyle name="20 % - Markeringsfarve3 3 2 3 2 2 2 3" xfId="24941" xr:uid="{00000000-0005-0000-0000-0000AE1F0000}"/>
    <cellStyle name="20 % - Markeringsfarve3 3 2 3 2 2 2 4" xfId="39928" xr:uid="{00000000-0005-0000-0000-0000AF1F0000}"/>
    <cellStyle name="20 % - Markeringsfarve3 3 2 3 2 2 3" xfId="10823" xr:uid="{00000000-0005-0000-0000-0000B01F0000}"/>
    <cellStyle name="20 % - Markeringsfarve3 3 2 3 2 2 3 2" xfId="27142" xr:uid="{00000000-0005-0000-0000-0000B11F0000}"/>
    <cellStyle name="20 % - Markeringsfarve3 3 2 3 2 2 3 3" xfId="42108" xr:uid="{00000000-0005-0000-0000-0000B21F0000}"/>
    <cellStyle name="20 % - Markeringsfarve3 3 2 3 2 2 4" xfId="20120" xr:uid="{00000000-0005-0000-0000-0000B31F0000}"/>
    <cellStyle name="20 % - Markeringsfarve3 3 2 3 2 2 5" xfId="35109" xr:uid="{00000000-0005-0000-0000-0000B41F0000}"/>
    <cellStyle name="20 % - Markeringsfarve3 3 2 3 2 3" xfId="6312" xr:uid="{00000000-0005-0000-0000-0000B51F0000}"/>
    <cellStyle name="20 % - Markeringsfarve3 3 2 3 2 3 2" xfId="14229" xr:uid="{00000000-0005-0000-0000-0000B61F0000}"/>
    <cellStyle name="20 % - Markeringsfarve3 3 2 3 2 3 2 2" xfId="30543" xr:uid="{00000000-0005-0000-0000-0000B71F0000}"/>
    <cellStyle name="20 % - Markeringsfarve3 3 2 3 2 3 2 3" xfId="45507" xr:uid="{00000000-0005-0000-0000-0000B81F0000}"/>
    <cellStyle name="20 % - Markeringsfarve3 3 2 3 2 3 3" xfId="23521" xr:uid="{00000000-0005-0000-0000-0000B91F0000}"/>
    <cellStyle name="20 % - Markeringsfarve3 3 2 3 2 3 4" xfId="38508" xr:uid="{00000000-0005-0000-0000-0000BA1F0000}"/>
    <cellStyle name="20 % - Markeringsfarve3 3 2 3 2 4" xfId="10822" xr:uid="{00000000-0005-0000-0000-0000BB1F0000}"/>
    <cellStyle name="20 % - Markeringsfarve3 3 2 3 2 4 2" xfId="27141" xr:uid="{00000000-0005-0000-0000-0000BC1F0000}"/>
    <cellStyle name="20 % - Markeringsfarve3 3 2 3 2 4 3" xfId="42107" xr:uid="{00000000-0005-0000-0000-0000BD1F0000}"/>
    <cellStyle name="20 % - Markeringsfarve3 3 2 3 2 5" xfId="20119" xr:uid="{00000000-0005-0000-0000-0000BE1F0000}"/>
    <cellStyle name="20 % - Markeringsfarve3 3 2 3 2 6" xfId="35108" xr:uid="{00000000-0005-0000-0000-0000BF1F0000}"/>
    <cellStyle name="20 % - Markeringsfarve3 3 2 3 3" xfId="2267" xr:uid="{00000000-0005-0000-0000-0000C01F0000}"/>
    <cellStyle name="20 % - Markeringsfarve3 3 2 3 3 2" xfId="6978" xr:uid="{00000000-0005-0000-0000-0000C11F0000}"/>
    <cellStyle name="20 % - Markeringsfarve3 3 2 3 3 2 2" xfId="14889" xr:uid="{00000000-0005-0000-0000-0000C21F0000}"/>
    <cellStyle name="20 % - Markeringsfarve3 3 2 3 3 2 2 2" xfId="31203" xr:uid="{00000000-0005-0000-0000-0000C31F0000}"/>
    <cellStyle name="20 % - Markeringsfarve3 3 2 3 3 2 2 3" xfId="46167" xr:uid="{00000000-0005-0000-0000-0000C41F0000}"/>
    <cellStyle name="20 % - Markeringsfarve3 3 2 3 3 2 3" xfId="24181" xr:uid="{00000000-0005-0000-0000-0000C51F0000}"/>
    <cellStyle name="20 % - Markeringsfarve3 3 2 3 3 2 4" xfId="39168" xr:uid="{00000000-0005-0000-0000-0000C61F0000}"/>
    <cellStyle name="20 % - Markeringsfarve3 3 2 3 3 3" xfId="10824" xr:uid="{00000000-0005-0000-0000-0000C71F0000}"/>
    <cellStyle name="20 % - Markeringsfarve3 3 2 3 3 3 2" xfId="27143" xr:uid="{00000000-0005-0000-0000-0000C81F0000}"/>
    <cellStyle name="20 % - Markeringsfarve3 3 2 3 3 3 3" xfId="42109" xr:uid="{00000000-0005-0000-0000-0000C91F0000}"/>
    <cellStyle name="20 % - Markeringsfarve3 3 2 3 3 4" xfId="20121" xr:uid="{00000000-0005-0000-0000-0000CA1F0000}"/>
    <cellStyle name="20 % - Markeringsfarve3 3 2 3 3 5" xfId="35110" xr:uid="{00000000-0005-0000-0000-0000CB1F0000}"/>
    <cellStyle name="20 % - Markeringsfarve3 3 2 3 4" xfId="2268" xr:uid="{00000000-0005-0000-0000-0000CC1F0000}"/>
    <cellStyle name="20 % - Markeringsfarve3 3 2 3 4 2" xfId="8316" xr:uid="{00000000-0005-0000-0000-0000CD1F0000}"/>
    <cellStyle name="20 % - Markeringsfarve3 3 2 3 4 2 2" xfId="16210" xr:uid="{00000000-0005-0000-0000-0000CE1F0000}"/>
    <cellStyle name="20 % - Markeringsfarve3 3 2 3 4 2 2 2" xfId="32524" xr:uid="{00000000-0005-0000-0000-0000CF1F0000}"/>
    <cellStyle name="20 % - Markeringsfarve3 3 2 3 4 2 2 3" xfId="47488" xr:uid="{00000000-0005-0000-0000-0000D01F0000}"/>
    <cellStyle name="20 % - Markeringsfarve3 3 2 3 4 2 3" xfId="25502" xr:uid="{00000000-0005-0000-0000-0000D11F0000}"/>
    <cellStyle name="20 % - Markeringsfarve3 3 2 3 4 2 4" xfId="40489" xr:uid="{00000000-0005-0000-0000-0000D21F0000}"/>
    <cellStyle name="20 % - Markeringsfarve3 3 2 3 4 3" xfId="10825" xr:uid="{00000000-0005-0000-0000-0000D31F0000}"/>
    <cellStyle name="20 % - Markeringsfarve3 3 2 3 4 3 2" xfId="27144" xr:uid="{00000000-0005-0000-0000-0000D41F0000}"/>
    <cellStyle name="20 % - Markeringsfarve3 3 2 3 4 3 3" xfId="42110" xr:uid="{00000000-0005-0000-0000-0000D51F0000}"/>
    <cellStyle name="20 % - Markeringsfarve3 3 2 3 4 4" xfId="20122" xr:uid="{00000000-0005-0000-0000-0000D61F0000}"/>
    <cellStyle name="20 % - Markeringsfarve3 3 2 3 4 5" xfId="35111" xr:uid="{00000000-0005-0000-0000-0000D71F0000}"/>
    <cellStyle name="20 % - Markeringsfarve3 3 2 3 5" xfId="5545" xr:uid="{00000000-0005-0000-0000-0000D81F0000}"/>
    <cellStyle name="20 % - Markeringsfarve3 3 2 3 5 2" xfId="13463" xr:uid="{00000000-0005-0000-0000-0000D91F0000}"/>
    <cellStyle name="20 % - Markeringsfarve3 3 2 3 5 2 2" xfId="29777" xr:uid="{00000000-0005-0000-0000-0000DA1F0000}"/>
    <cellStyle name="20 % - Markeringsfarve3 3 2 3 5 2 3" xfId="44741" xr:uid="{00000000-0005-0000-0000-0000DB1F0000}"/>
    <cellStyle name="20 % - Markeringsfarve3 3 2 3 5 3" xfId="22755" xr:uid="{00000000-0005-0000-0000-0000DC1F0000}"/>
    <cellStyle name="20 % - Markeringsfarve3 3 2 3 5 4" xfId="37742" xr:uid="{00000000-0005-0000-0000-0000DD1F0000}"/>
    <cellStyle name="20 % - Markeringsfarve3 3 2 3 6" xfId="10821" xr:uid="{00000000-0005-0000-0000-0000DE1F0000}"/>
    <cellStyle name="20 % - Markeringsfarve3 3 2 3 6 2" xfId="27140" xr:uid="{00000000-0005-0000-0000-0000DF1F0000}"/>
    <cellStyle name="20 % - Markeringsfarve3 3 2 3 6 3" xfId="42106" xr:uid="{00000000-0005-0000-0000-0000E01F0000}"/>
    <cellStyle name="20 % - Markeringsfarve3 3 2 3 7" xfId="20118" xr:uid="{00000000-0005-0000-0000-0000E11F0000}"/>
    <cellStyle name="20 % - Markeringsfarve3 3 2 3 8" xfId="35107" xr:uid="{00000000-0005-0000-0000-0000E21F0000}"/>
    <cellStyle name="20 % - Markeringsfarve3 3 2 4" xfId="2269" xr:uid="{00000000-0005-0000-0000-0000E31F0000}"/>
    <cellStyle name="20 % - Markeringsfarve3 3 2 4 2" xfId="2270" xr:uid="{00000000-0005-0000-0000-0000E41F0000}"/>
    <cellStyle name="20 % - Markeringsfarve3 3 2 4 2 2" xfId="2271" xr:uid="{00000000-0005-0000-0000-0000E51F0000}"/>
    <cellStyle name="20 % - Markeringsfarve3 3 2 4 2 2 2" xfId="7903" xr:uid="{00000000-0005-0000-0000-0000E61F0000}"/>
    <cellStyle name="20 % - Markeringsfarve3 3 2 4 2 2 2 2" xfId="15804" xr:uid="{00000000-0005-0000-0000-0000E71F0000}"/>
    <cellStyle name="20 % - Markeringsfarve3 3 2 4 2 2 2 2 2" xfId="32118" xr:uid="{00000000-0005-0000-0000-0000E81F0000}"/>
    <cellStyle name="20 % - Markeringsfarve3 3 2 4 2 2 2 2 3" xfId="47082" xr:uid="{00000000-0005-0000-0000-0000E91F0000}"/>
    <cellStyle name="20 % - Markeringsfarve3 3 2 4 2 2 2 3" xfId="25096" xr:uid="{00000000-0005-0000-0000-0000EA1F0000}"/>
    <cellStyle name="20 % - Markeringsfarve3 3 2 4 2 2 2 4" xfId="40083" xr:uid="{00000000-0005-0000-0000-0000EB1F0000}"/>
    <cellStyle name="20 % - Markeringsfarve3 3 2 4 2 2 3" xfId="10828" xr:uid="{00000000-0005-0000-0000-0000EC1F0000}"/>
    <cellStyle name="20 % - Markeringsfarve3 3 2 4 2 2 3 2" xfId="27147" xr:uid="{00000000-0005-0000-0000-0000ED1F0000}"/>
    <cellStyle name="20 % - Markeringsfarve3 3 2 4 2 2 3 3" xfId="42113" xr:uid="{00000000-0005-0000-0000-0000EE1F0000}"/>
    <cellStyle name="20 % - Markeringsfarve3 3 2 4 2 2 4" xfId="20125" xr:uid="{00000000-0005-0000-0000-0000EF1F0000}"/>
    <cellStyle name="20 % - Markeringsfarve3 3 2 4 2 2 5" xfId="35114" xr:uid="{00000000-0005-0000-0000-0000F01F0000}"/>
    <cellStyle name="20 % - Markeringsfarve3 3 2 4 2 3" xfId="6441" xr:uid="{00000000-0005-0000-0000-0000F11F0000}"/>
    <cellStyle name="20 % - Markeringsfarve3 3 2 4 2 3 2" xfId="14355" xr:uid="{00000000-0005-0000-0000-0000F21F0000}"/>
    <cellStyle name="20 % - Markeringsfarve3 3 2 4 2 3 2 2" xfId="30669" xr:uid="{00000000-0005-0000-0000-0000F31F0000}"/>
    <cellStyle name="20 % - Markeringsfarve3 3 2 4 2 3 2 3" xfId="45633" xr:uid="{00000000-0005-0000-0000-0000F41F0000}"/>
    <cellStyle name="20 % - Markeringsfarve3 3 2 4 2 3 3" xfId="23647" xr:uid="{00000000-0005-0000-0000-0000F51F0000}"/>
    <cellStyle name="20 % - Markeringsfarve3 3 2 4 2 3 4" xfId="38634" xr:uid="{00000000-0005-0000-0000-0000F61F0000}"/>
    <cellStyle name="20 % - Markeringsfarve3 3 2 4 2 4" xfId="10827" xr:uid="{00000000-0005-0000-0000-0000F71F0000}"/>
    <cellStyle name="20 % - Markeringsfarve3 3 2 4 2 4 2" xfId="27146" xr:uid="{00000000-0005-0000-0000-0000F81F0000}"/>
    <cellStyle name="20 % - Markeringsfarve3 3 2 4 2 4 3" xfId="42112" xr:uid="{00000000-0005-0000-0000-0000F91F0000}"/>
    <cellStyle name="20 % - Markeringsfarve3 3 2 4 2 5" xfId="20124" xr:uid="{00000000-0005-0000-0000-0000FA1F0000}"/>
    <cellStyle name="20 % - Markeringsfarve3 3 2 4 2 6" xfId="35113" xr:uid="{00000000-0005-0000-0000-0000FB1F0000}"/>
    <cellStyle name="20 % - Markeringsfarve3 3 2 4 3" xfId="2272" xr:uid="{00000000-0005-0000-0000-0000FC1F0000}"/>
    <cellStyle name="20 % - Markeringsfarve3 3 2 4 3 2" xfId="7179" xr:uid="{00000000-0005-0000-0000-0000FD1F0000}"/>
    <cellStyle name="20 % - Markeringsfarve3 3 2 4 3 2 2" xfId="15089" xr:uid="{00000000-0005-0000-0000-0000FE1F0000}"/>
    <cellStyle name="20 % - Markeringsfarve3 3 2 4 3 2 2 2" xfId="31403" xr:uid="{00000000-0005-0000-0000-0000FF1F0000}"/>
    <cellStyle name="20 % - Markeringsfarve3 3 2 4 3 2 2 3" xfId="46367" xr:uid="{00000000-0005-0000-0000-000000200000}"/>
    <cellStyle name="20 % - Markeringsfarve3 3 2 4 3 2 3" xfId="24381" xr:uid="{00000000-0005-0000-0000-000001200000}"/>
    <cellStyle name="20 % - Markeringsfarve3 3 2 4 3 2 4" xfId="39368" xr:uid="{00000000-0005-0000-0000-000002200000}"/>
    <cellStyle name="20 % - Markeringsfarve3 3 2 4 3 3" xfId="10829" xr:uid="{00000000-0005-0000-0000-000003200000}"/>
    <cellStyle name="20 % - Markeringsfarve3 3 2 4 3 3 2" xfId="27148" xr:uid="{00000000-0005-0000-0000-000004200000}"/>
    <cellStyle name="20 % - Markeringsfarve3 3 2 4 3 3 3" xfId="42114" xr:uid="{00000000-0005-0000-0000-000005200000}"/>
    <cellStyle name="20 % - Markeringsfarve3 3 2 4 3 4" xfId="20126" xr:uid="{00000000-0005-0000-0000-000006200000}"/>
    <cellStyle name="20 % - Markeringsfarve3 3 2 4 3 5" xfId="35115" xr:uid="{00000000-0005-0000-0000-000007200000}"/>
    <cellStyle name="20 % - Markeringsfarve3 3 2 4 4" xfId="2273" xr:uid="{00000000-0005-0000-0000-000008200000}"/>
    <cellStyle name="20 % - Markeringsfarve3 3 2 4 4 2" xfId="8315" xr:uid="{00000000-0005-0000-0000-000009200000}"/>
    <cellStyle name="20 % - Markeringsfarve3 3 2 4 4 2 2" xfId="16209" xr:uid="{00000000-0005-0000-0000-00000A200000}"/>
    <cellStyle name="20 % - Markeringsfarve3 3 2 4 4 2 2 2" xfId="32523" xr:uid="{00000000-0005-0000-0000-00000B200000}"/>
    <cellStyle name="20 % - Markeringsfarve3 3 2 4 4 2 2 3" xfId="47487" xr:uid="{00000000-0005-0000-0000-00000C200000}"/>
    <cellStyle name="20 % - Markeringsfarve3 3 2 4 4 2 3" xfId="25501" xr:uid="{00000000-0005-0000-0000-00000D200000}"/>
    <cellStyle name="20 % - Markeringsfarve3 3 2 4 4 2 4" xfId="40488" xr:uid="{00000000-0005-0000-0000-00000E200000}"/>
    <cellStyle name="20 % - Markeringsfarve3 3 2 4 4 3" xfId="10830" xr:uid="{00000000-0005-0000-0000-00000F200000}"/>
    <cellStyle name="20 % - Markeringsfarve3 3 2 4 4 3 2" xfId="27149" xr:uid="{00000000-0005-0000-0000-000010200000}"/>
    <cellStyle name="20 % - Markeringsfarve3 3 2 4 4 3 3" xfId="42115" xr:uid="{00000000-0005-0000-0000-000011200000}"/>
    <cellStyle name="20 % - Markeringsfarve3 3 2 4 4 4" xfId="20127" xr:uid="{00000000-0005-0000-0000-000012200000}"/>
    <cellStyle name="20 % - Markeringsfarve3 3 2 4 4 5" xfId="35116" xr:uid="{00000000-0005-0000-0000-000013200000}"/>
    <cellStyle name="20 % - Markeringsfarve3 3 2 4 5" xfId="5546" xr:uid="{00000000-0005-0000-0000-000014200000}"/>
    <cellStyle name="20 % - Markeringsfarve3 3 2 4 5 2" xfId="13464" xr:uid="{00000000-0005-0000-0000-000015200000}"/>
    <cellStyle name="20 % - Markeringsfarve3 3 2 4 5 2 2" xfId="29778" xr:uid="{00000000-0005-0000-0000-000016200000}"/>
    <cellStyle name="20 % - Markeringsfarve3 3 2 4 5 2 3" xfId="44742" xr:uid="{00000000-0005-0000-0000-000017200000}"/>
    <cellStyle name="20 % - Markeringsfarve3 3 2 4 5 3" xfId="22756" xr:uid="{00000000-0005-0000-0000-000018200000}"/>
    <cellStyle name="20 % - Markeringsfarve3 3 2 4 5 4" xfId="37743" xr:uid="{00000000-0005-0000-0000-000019200000}"/>
    <cellStyle name="20 % - Markeringsfarve3 3 2 4 6" xfId="10826" xr:uid="{00000000-0005-0000-0000-00001A200000}"/>
    <cellStyle name="20 % - Markeringsfarve3 3 2 4 6 2" xfId="27145" xr:uid="{00000000-0005-0000-0000-00001B200000}"/>
    <cellStyle name="20 % - Markeringsfarve3 3 2 4 6 3" xfId="42111" xr:uid="{00000000-0005-0000-0000-00001C200000}"/>
    <cellStyle name="20 % - Markeringsfarve3 3 2 4 7" xfId="20123" xr:uid="{00000000-0005-0000-0000-00001D200000}"/>
    <cellStyle name="20 % - Markeringsfarve3 3 2 4 8" xfId="35112" xr:uid="{00000000-0005-0000-0000-00001E200000}"/>
    <cellStyle name="20 % - Markeringsfarve3 3 2 5" xfId="2274" xr:uid="{00000000-0005-0000-0000-00001F200000}"/>
    <cellStyle name="20 % - Markeringsfarve3 3 2 5 2" xfId="2275" xr:uid="{00000000-0005-0000-0000-000020200000}"/>
    <cellStyle name="20 % - Markeringsfarve3 3 2 5 2 2" xfId="2276" xr:uid="{00000000-0005-0000-0000-000021200000}"/>
    <cellStyle name="20 % - Markeringsfarve3 3 2 5 2 2 2" xfId="8020" xr:uid="{00000000-0005-0000-0000-000022200000}"/>
    <cellStyle name="20 % - Markeringsfarve3 3 2 5 2 2 2 2" xfId="15921" xr:uid="{00000000-0005-0000-0000-000023200000}"/>
    <cellStyle name="20 % - Markeringsfarve3 3 2 5 2 2 2 2 2" xfId="32235" xr:uid="{00000000-0005-0000-0000-000024200000}"/>
    <cellStyle name="20 % - Markeringsfarve3 3 2 5 2 2 2 2 3" xfId="47199" xr:uid="{00000000-0005-0000-0000-000025200000}"/>
    <cellStyle name="20 % - Markeringsfarve3 3 2 5 2 2 2 3" xfId="25213" xr:uid="{00000000-0005-0000-0000-000026200000}"/>
    <cellStyle name="20 % - Markeringsfarve3 3 2 5 2 2 2 4" xfId="40200" xr:uid="{00000000-0005-0000-0000-000027200000}"/>
    <cellStyle name="20 % - Markeringsfarve3 3 2 5 2 2 3" xfId="10833" xr:uid="{00000000-0005-0000-0000-000028200000}"/>
    <cellStyle name="20 % - Markeringsfarve3 3 2 5 2 2 3 2" xfId="27152" xr:uid="{00000000-0005-0000-0000-000029200000}"/>
    <cellStyle name="20 % - Markeringsfarve3 3 2 5 2 2 3 3" xfId="42118" xr:uid="{00000000-0005-0000-0000-00002A200000}"/>
    <cellStyle name="20 % - Markeringsfarve3 3 2 5 2 2 4" xfId="20130" xr:uid="{00000000-0005-0000-0000-00002B200000}"/>
    <cellStyle name="20 % - Markeringsfarve3 3 2 5 2 2 5" xfId="35119" xr:uid="{00000000-0005-0000-0000-00002C200000}"/>
    <cellStyle name="20 % - Markeringsfarve3 3 2 5 2 3" xfId="6540" xr:uid="{00000000-0005-0000-0000-00002D200000}"/>
    <cellStyle name="20 % - Markeringsfarve3 3 2 5 2 3 2" xfId="14454" xr:uid="{00000000-0005-0000-0000-00002E200000}"/>
    <cellStyle name="20 % - Markeringsfarve3 3 2 5 2 3 2 2" xfId="30768" xr:uid="{00000000-0005-0000-0000-00002F200000}"/>
    <cellStyle name="20 % - Markeringsfarve3 3 2 5 2 3 2 3" xfId="45732" xr:uid="{00000000-0005-0000-0000-000030200000}"/>
    <cellStyle name="20 % - Markeringsfarve3 3 2 5 2 3 3" xfId="23746" xr:uid="{00000000-0005-0000-0000-000031200000}"/>
    <cellStyle name="20 % - Markeringsfarve3 3 2 5 2 3 4" xfId="38733" xr:uid="{00000000-0005-0000-0000-000032200000}"/>
    <cellStyle name="20 % - Markeringsfarve3 3 2 5 2 4" xfId="10832" xr:uid="{00000000-0005-0000-0000-000033200000}"/>
    <cellStyle name="20 % - Markeringsfarve3 3 2 5 2 4 2" xfId="27151" xr:uid="{00000000-0005-0000-0000-000034200000}"/>
    <cellStyle name="20 % - Markeringsfarve3 3 2 5 2 4 3" xfId="42117" xr:uid="{00000000-0005-0000-0000-000035200000}"/>
    <cellStyle name="20 % - Markeringsfarve3 3 2 5 2 5" xfId="20129" xr:uid="{00000000-0005-0000-0000-000036200000}"/>
    <cellStyle name="20 % - Markeringsfarve3 3 2 5 2 6" xfId="35118" xr:uid="{00000000-0005-0000-0000-000037200000}"/>
    <cellStyle name="20 % - Markeringsfarve3 3 2 5 3" xfId="2277" xr:uid="{00000000-0005-0000-0000-000038200000}"/>
    <cellStyle name="20 % - Markeringsfarve3 3 2 5 3 2" xfId="7296" xr:uid="{00000000-0005-0000-0000-000039200000}"/>
    <cellStyle name="20 % - Markeringsfarve3 3 2 5 3 2 2" xfId="15206" xr:uid="{00000000-0005-0000-0000-00003A200000}"/>
    <cellStyle name="20 % - Markeringsfarve3 3 2 5 3 2 2 2" xfId="31520" xr:uid="{00000000-0005-0000-0000-00003B200000}"/>
    <cellStyle name="20 % - Markeringsfarve3 3 2 5 3 2 2 3" xfId="46484" xr:uid="{00000000-0005-0000-0000-00003C200000}"/>
    <cellStyle name="20 % - Markeringsfarve3 3 2 5 3 2 3" xfId="24498" xr:uid="{00000000-0005-0000-0000-00003D200000}"/>
    <cellStyle name="20 % - Markeringsfarve3 3 2 5 3 2 4" xfId="39485" xr:uid="{00000000-0005-0000-0000-00003E200000}"/>
    <cellStyle name="20 % - Markeringsfarve3 3 2 5 3 3" xfId="10834" xr:uid="{00000000-0005-0000-0000-00003F200000}"/>
    <cellStyle name="20 % - Markeringsfarve3 3 2 5 3 3 2" xfId="27153" xr:uid="{00000000-0005-0000-0000-000040200000}"/>
    <cellStyle name="20 % - Markeringsfarve3 3 2 5 3 3 3" xfId="42119" xr:uid="{00000000-0005-0000-0000-000041200000}"/>
    <cellStyle name="20 % - Markeringsfarve3 3 2 5 3 4" xfId="20131" xr:uid="{00000000-0005-0000-0000-000042200000}"/>
    <cellStyle name="20 % - Markeringsfarve3 3 2 5 3 5" xfId="35120" xr:uid="{00000000-0005-0000-0000-000043200000}"/>
    <cellStyle name="20 % - Markeringsfarve3 3 2 5 4" xfId="2278" xr:uid="{00000000-0005-0000-0000-000044200000}"/>
    <cellStyle name="20 % - Markeringsfarve3 3 2 5 4 2" xfId="8793" xr:uid="{00000000-0005-0000-0000-000045200000}"/>
    <cellStyle name="20 % - Markeringsfarve3 3 2 5 4 2 2" xfId="16669" xr:uid="{00000000-0005-0000-0000-000046200000}"/>
    <cellStyle name="20 % - Markeringsfarve3 3 2 5 4 2 2 2" xfId="32983" xr:uid="{00000000-0005-0000-0000-000047200000}"/>
    <cellStyle name="20 % - Markeringsfarve3 3 2 5 4 2 2 3" xfId="47947" xr:uid="{00000000-0005-0000-0000-000048200000}"/>
    <cellStyle name="20 % - Markeringsfarve3 3 2 5 4 2 3" xfId="25961" xr:uid="{00000000-0005-0000-0000-000049200000}"/>
    <cellStyle name="20 % - Markeringsfarve3 3 2 5 4 2 4" xfId="40948" xr:uid="{00000000-0005-0000-0000-00004A200000}"/>
    <cellStyle name="20 % - Markeringsfarve3 3 2 5 4 3" xfId="10835" xr:uid="{00000000-0005-0000-0000-00004B200000}"/>
    <cellStyle name="20 % - Markeringsfarve3 3 2 5 4 3 2" xfId="27154" xr:uid="{00000000-0005-0000-0000-00004C200000}"/>
    <cellStyle name="20 % - Markeringsfarve3 3 2 5 4 3 3" xfId="42120" xr:uid="{00000000-0005-0000-0000-00004D200000}"/>
    <cellStyle name="20 % - Markeringsfarve3 3 2 5 4 4" xfId="20132" xr:uid="{00000000-0005-0000-0000-00004E200000}"/>
    <cellStyle name="20 % - Markeringsfarve3 3 2 5 4 5" xfId="35121" xr:uid="{00000000-0005-0000-0000-00004F200000}"/>
    <cellStyle name="20 % - Markeringsfarve3 3 2 5 5" xfId="5547" xr:uid="{00000000-0005-0000-0000-000050200000}"/>
    <cellStyle name="20 % - Markeringsfarve3 3 2 5 5 2" xfId="13465" xr:uid="{00000000-0005-0000-0000-000051200000}"/>
    <cellStyle name="20 % - Markeringsfarve3 3 2 5 5 2 2" xfId="29779" xr:uid="{00000000-0005-0000-0000-000052200000}"/>
    <cellStyle name="20 % - Markeringsfarve3 3 2 5 5 2 3" xfId="44743" xr:uid="{00000000-0005-0000-0000-000053200000}"/>
    <cellStyle name="20 % - Markeringsfarve3 3 2 5 5 3" xfId="22757" xr:uid="{00000000-0005-0000-0000-000054200000}"/>
    <cellStyle name="20 % - Markeringsfarve3 3 2 5 5 4" xfId="37744" xr:uid="{00000000-0005-0000-0000-000055200000}"/>
    <cellStyle name="20 % - Markeringsfarve3 3 2 5 6" xfId="10831" xr:uid="{00000000-0005-0000-0000-000056200000}"/>
    <cellStyle name="20 % - Markeringsfarve3 3 2 5 6 2" xfId="27150" xr:uid="{00000000-0005-0000-0000-000057200000}"/>
    <cellStyle name="20 % - Markeringsfarve3 3 2 5 6 3" xfId="42116" xr:uid="{00000000-0005-0000-0000-000058200000}"/>
    <cellStyle name="20 % - Markeringsfarve3 3 2 5 7" xfId="20128" xr:uid="{00000000-0005-0000-0000-000059200000}"/>
    <cellStyle name="20 % - Markeringsfarve3 3 2 5 8" xfId="35117" xr:uid="{00000000-0005-0000-0000-00005A200000}"/>
    <cellStyle name="20 % - Markeringsfarve3 3 2 6" xfId="2279" xr:uid="{00000000-0005-0000-0000-00005B200000}"/>
    <cellStyle name="20 % - Markeringsfarve3 3 2 6 2" xfId="2280" xr:uid="{00000000-0005-0000-0000-00005C200000}"/>
    <cellStyle name="20 % - Markeringsfarve3 3 2 6 2 2" xfId="2281" xr:uid="{00000000-0005-0000-0000-00005D200000}"/>
    <cellStyle name="20 % - Markeringsfarve3 3 2 6 2 2 2" xfId="8103" xr:uid="{00000000-0005-0000-0000-00005E200000}"/>
    <cellStyle name="20 % - Markeringsfarve3 3 2 6 2 2 2 2" xfId="16004" xr:uid="{00000000-0005-0000-0000-00005F200000}"/>
    <cellStyle name="20 % - Markeringsfarve3 3 2 6 2 2 2 2 2" xfId="32318" xr:uid="{00000000-0005-0000-0000-000060200000}"/>
    <cellStyle name="20 % - Markeringsfarve3 3 2 6 2 2 2 2 3" xfId="47282" xr:uid="{00000000-0005-0000-0000-000061200000}"/>
    <cellStyle name="20 % - Markeringsfarve3 3 2 6 2 2 2 3" xfId="25296" xr:uid="{00000000-0005-0000-0000-000062200000}"/>
    <cellStyle name="20 % - Markeringsfarve3 3 2 6 2 2 2 4" xfId="40283" xr:uid="{00000000-0005-0000-0000-000063200000}"/>
    <cellStyle name="20 % - Markeringsfarve3 3 2 6 2 2 3" xfId="10838" xr:uid="{00000000-0005-0000-0000-000064200000}"/>
    <cellStyle name="20 % - Markeringsfarve3 3 2 6 2 2 3 2" xfId="27157" xr:uid="{00000000-0005-0000-0000-000065200000}"/>
    <cellStyle name="20 % - Markeringsfarve3 3 2 6 2 2 3 3" xfId="42123" xr:uid="{00000000-0005-0000-0000-000066200000}"/>
    <cellStyle name="20 % - Markeringsfarve3 3 2 6 2 2 4" xfId="20135" xr:uid="{00000000-0005-0000-0000-000067200000}"/>
    <cellStyle name="20 % - Markeringsfarve3 3 2 6 2 2 5" xfId="35124" xr:uid="{00000000-0005-0000-0000-000068200000}"/>
    <cellStyle name="20 % - Markeringsfarve3 3 2 6 2 3" xfId="6614" xr:uid="{00000000-0005-0000-0000-000069200000}"/>
    <cellStyle name="20 % - Markeringsfarve3 3 2 6 2 3 2" xfId="14528" xr:uid="{00000000-0005-0000-0000-00006A200000}"/>
    <cellStyle name="20 % - Markeringsfarve3 3 2 6 2 3 2 2" xfId="30842" xr:uid="{00000000-0005-0000-0000-00006B200000}"/>
    <cellStyle name="20 % - Markeringsfarve3 3 2 6 2 3 2 3" xfId="45806" xr:uid="{00000000-0005-0000-0000-00006C200000}"/>
    <cellStyle name="20 % - Markeringsfarve3 3 2 6 2 3 3" xfId="23820" xr:uid="{00000000-0005-0000-0000-00006D200000}"/>
    <cellStyle name="20 % - Markeringsfarve3 3 2 6 2 3 4" xfId="38807" xr:uid="{00000000-0005-0000-0000-00006E200000}"/>
    <cellStyle name="20 % - Markeringsfarve3 3 2 6 2 4" xfId="10837" xr:uid="{00000000-0005-0000-0000-00006F200000}"/>
    <cellStyle name="20 % - Markeringsfarve3 3 2 6 2 4 2" xfId="27156" xr:uid="{00000000-0005-0000-0000-000070200000}"/>
    <cellStyle name="20 % - Markeringsfarve3 3 2 6 2 4 3" xfId="42122" xr:uid="{00000000-0005-0000-0000-000071200000}"/>
    <cellStyle name="20 % - Markeringsfarve3 3 2 6 2 5" xfId="20134" xr:uid="{00000000-0005-0000-0000-000072200000}"/>
    <cellStyle name="20 % - Markeringsfarve3 3 2 6 2 6" xfId="35123" xr:uid="{00000000-0005-0000-0000-000073200000}"/>
    <cellStyle name="20 % - Markeringsfarve3 3 2 6 3" xfId="2282" xr:uid="{00000000-0005-0000-0000-000074200000}"/>
    <cellStyle name="20 % - Markeringsfarve3 3 2 6 3 2" xfId="7380" xr:uid="{00000000-0005-0000-0000-000075200000}"/>
    <cellStyle name="20 % - Markeringsfarve3 3 2 6 3 2 2" xfId="15290" xr:uid="{00000000-0005-0000-0000-000076200000}"/>
    <cellStyle name="20 % - Markeringsfarve3 3 2 6 3 2 2 2" xfId="31604" xr:uid="{00000000-0005-0000-0000-000077200000}"/>
    <cellStyle name="20 % - Markeringsfarve3 3 2 6 3 2 2 3" xfId="46568" xr:uid="{00000000-0005-0000-0000-000078200000}"/>
    <cellStyle name="20 % - Markeringsfarve3 3 2 6 3 2 3" xfId="24582" xr:uid="{00000000-0005-0000-0000-000079200000}"/>
    <cellStyle name="20 % - Markeringsfarve3 3 2 6 3 2 4" xfId="39569" xr:uid="{00000000-0005-0000-0000-00007A200000}"/>
    <cellStyle name="20 % - Markeringsfarve3 3 2 6 3 3" xfId="10839" xr:uid="{00000000-0005-0000-0000-00007B200000}"/>
    <cellStyle name="20 % - Markeringsfarve3 3 2 6 3 3 2" xfId="27158" xr:uid="{00000000-0005-0000-0000-00007C200000}"/>
    <cellStyle name="20 % - Markeringsfarve3 3 2 6 3 3 3" xfId="42124" xr:uid="{00000000-0005-0000-0000-00007D200000}"/>
    <cellStyle name="20 % - Markeringsfarve3 3 2 6 3 4" xfId="20136" xr:uid="{00000000-0005-0000-0000-00007E200000}"/>
    <cellStyle name="20 % - Markeringsfarve3 3 2 6 3 5" xfId="35125" xr:uid="{00000000-0005-0000-0000-00007F200000}"/>
    <cellStyle name="20 % - Markeringsfarve3 3 2 6 4" xfId="2283" xr:uid="{00000000-0005-0000-0000-000080200000}"/>
    <cellStyle name="20 % - Markeringsfarve3 3 2 6 4 2" xfId="8513" xr:uid="{00000000-0005-0000-0000-000081200000}"/>
    <cellStyle name="20 % - Markeringsfarve3 3 2 6 4 2 2" xfId="16402" xr:uid="{00000000-0005-0000-0000-000082200000}"/>
    <cellStyle name="20 % - Markeringsfarve3 3 2 6 4 2 2 2" xfId="32716" xr:uid="{00000000-0005-0000-0000-000083200000}"/>
    <cellStyle name="20 % - Markeringsfarve3 3 2 6 4 2 2 3" xfId="47680" xr:uid="{00000000-0005-0000-0000-000084200000}"/>
    <cellStyle name="20 % - Markeringsfarve3 3 2 6 4 2 3" xfId="25694" xr:uid="{00000000-0005-0000-0000-000085200000}"/>
    <cellStyle name="20 % - Markeringsfarve3 3 2 6 4 2 4" xfId="40681" xr:uid="{00000000-0005-0000-0000-000086200000}"/>
    <cellStyle name="20 % - Markeringsfarve3 3 2 6 4 3" xfId="10840" xr:uid="{00000000-0005-0000-0000-000087200000}"/>
    <cellStyle name="20 % - Markeringsfarve3 3 2 6 4 3 2" xfId="27159" xr:uid="{00000000-0005-0000-0000-000088200000}"/>
    <cellStyle name="20 % - Markeringsfarve3 3 2 6 4 3 3" xfId="42125" xr:uid="{00000000-0005-0000-0000-000089200000}"/>
    <cellStyle name="20 % - Markeringsfarve3 3 2 6 4 4" xfId="20137" xr:uid="{00000000-0005-0000-0000-00008A200000}"/>
    <cellStyle name="20 % - Markeringsfarve3 3 2 6 4 5" xfId="35126" xr:uid="{00000000-0005-0000-0000-00008B200000}"/>
    <cellStyle name="20 % - Markeringsfarve3 3 2 6 5" xfId="5548" xr:uid="{00000000-0005-0000-0000-00008C200000}"/>
    <cellStyle name="20 % - Markeringsfarve3 3 2 6 5 2" xfId="13466" xr:uid="{00000000-0005-0000-0000-00008D200000}"/>
    <cellStyle name="20 % - Markeringsfarve3 3 2 6 5 2 2" xfId="29780" xr:uid="{00000000-0005-0000-0000-00008E200000}"/>
    <cellStyle name="20 % - Markeringsfarve3 3 2 6 5 2 3" xfId="44744" xr:uid="{00000000-0005-0000-0000-00008F200000}"/>
    <cellStyle name="20 % - Markeringsfarve3 3 2 6 5 3" xfId="22758" xr:uid="{00000000-0005-0000-0000-000090200000}"/>
    <cellStyle name="20 % - Markeringsfarve3 3 2 6 5 4" xfId="37745" xr:uid="{00000000-0005-0000-0000-000091200000}"/>
    <cellStyle name="20 % - Markeringsfarve3 3 2 6 6" xfId="10836" xr:uid="{00000000-0005-0000-0000-000092200000}"/>
    <cellStyle name="20 % - Markeringsfarve3 3 2 6 6 2" xfId="27155" xr:uid="{00000000-0005-0000-0000-000093200000}"/>
    <cellStyle name="20 % - Markeringsfarve3 3 2 6 6 3" xfId="42121" xr:uid="{00000000-0005-0000-0000-000094200000}"/>
    <cellStyle name="20 % - Markeringsfarve3 3 2 6 7" xfId="20133" xr:uid="{00000000-0005-0000-0000-000095200000}"/>
    <cellStyle name="20 % - Markeringsfarve3 3 2 6 8" xfId="35122" xr:uid="{00000000-0005-0000-0000-000096200000}"/>
    <cellStyle name="20 % - Markeringsfarve3 3 2 7" xfId="2284" xr:uid="{00000000-0005-0000-0000-000097200000}"/>
    <cellStyle name="20 % - Markeringsfarve3 3 2 7 2" xfId="2285" xr:uid="{00000000-0005-0000-0000-000098200000}"/>
    <cellStyle name="20 % - Markeringsfarve3 3 2 7 2 2" xfId="7546" xr:uid="{00000000-0005-0000-0000-000099200000}"/>
    <cellStyle name="20 % - Markeringsfarve3 3 2 7 2 2 2" xfId="15447" xr:uid="{00000000-0005-0000-0000-00009A200000}"/>
    <cellStyle name="20 % - Markeringsfarve3 3 2 7 2 2 2 2" xfId="31761" xr:uid="{00000000-0005-0000-0000-00009B200000}"/>
    <cellStyle name="20 % - Markeringsfarve3 3 2 7 2 2 2 3" xfId="46725" xr:uid="{00000000-0005-0000-0000-00009C200000}"/>
    <cellStyle name="20 % - Markeringsfarve3 3 2 7 2 2 3" xfId="24739" xr:uid="{00000000-0005-0000-0000-00009D200000}"/>
    <cellStyle name="20 % - Markeringsfarve3 3 2 7 2 2 4" xfId="39726" xr:uid="{00000000-0005-0000-0000-00009E200000}"/>
    <cellStyle name="20 % - Markeringsfarve3 3 2 7 2 3" xfId="10842" xr:uid="{00000000-0005-0000-0000-00009F200000}"/>
    <cellStyle name="20 % - Markeringsfarve3 3 2 7 2 3 2" xfId="27161" xr:uid="{00000000-0005-0000-0000-0000A0200000}"/>
    <cellStyle name="20 % - Markeringsfarve3 3 2 7 2 3 3" xfId="42127" xr:uid="{00000000-0005-0000-0000-0000A1200000}"/>
    <cellStyle name="20 % - Markeringsfarve3 3 2 7 2 4" xfId="20139" xr:uid="{00000000-0005-0000-0000-0000A2200000}"/>
    <cellStyle name="20 % - Markeringsfarve3 3 2 7 2 5" xfId="35128" xr:uid="{00000000-0005-0000-0000-0000A3200000}"/>
    <cellStyle name="20 % - Markeringsfarve3 3 2 7 3" xfId="6140" xr:uid="{00000000-0005-0000-0000-0000A4200000}"/>
    <cellStyle name="20 % - Markeringsfarve3 3 2 7 3 2" xfId="14057" xr:uid="{00000000-0005-0000-0000-0000A5200000}"/>
    <cellStyle name="20 % - Markeringsfarve3 3 2 7 3 2 2" xfId="30371" xr:uid="{00000000-0005-0000-0000-0000A6200000}"/>
    <cellStyle name="20 % - Markeringsfarve3 3 2 7 3 2 3" xfId="45335" xr:uid="{00000000-0005-0000-0000-0000A7200000}"/>
    <cellStyle name="20 % - Markeringsfarve3 3 2 7 3 3" xfId="23349" xr:uid="{00000000-0005-0000-0000-0000A8200000}"/>
    <cellStyle name="20 % - Markeringsfarve3 3 2 7 3 4" xfId="38336" xr:uid="{00000000-0005-0000-0000-0000A9200000}"/>
    <cellStyle name="20 % - Markeringsfarve3 3 2 7 4" xfId="10841" xr:uid="{00000000-0005-0000-0000-0000AA200000}"/>
    <cellStyle name="20 % - Markeringsfarve3 3 2 7 4 2" xfId="27160" xr:uid="{00000000-0005-0000-0000-0000AB200000}"/>
    <cellStyle name="20 % - Markeringsfarve3 3 2 7 4 3" xfId="42126" xr:uid="{00000000-0005-0000-0000-0000AC200000}"/>
    <cellStyle name="20 % - Markeringsfarve3 3 2 7 5" xfId="20138" xr:uid="{00000000-0005-0000-0000-0000AD200000}"/>
    <cellStyle name="20 % - Markeringsfarve3 3 2 7 6" xfId="35127" xr:uid="{00000000-0005-0000-0000-0000AE200000}"/>
    <cellStyle name="20 % - Markeringsfarve3 3 2 8" xfId="2286" xr:uid="{00000000-0005-0000-0000-0000AF200000}"/>
    <cellStyle name="20 % - Markeringsfarve3 3 2 8 2" xfId="6774" xr:uid="{00000000-0005-0000-0000-0000B0200000}"/>
    <cellStyle name="20 % - Markeringsfarve3 3 2 8 2 2" xfId="14685" xr:uid="{00000000-0005-0000-0000-0000B1200000}"/>
    <cellStyle name="20 % - Markeringsfarve3 3 2 8 2 2 2" xfId="30999" xr:uid="{00000000-0005-0000-0000-0000B2200000}"/>
    <cellStyle name="20 % - Markeringsfarve3 3 2 8 2 2 3" xfId="45963" xr:uid="{00000000-0005-0000-0000-0000B3200000}"/>
    <cellStyle name="20 % - Markeringsfarve3 3 2 8 2 3" xfId="23977" xr:uid="{00000000-0005-0000-0000-0000B4200000}"/>
    <cellStyle name="20 % - Markeringsfarve3 3 2 8 2 4" xfId="38964" xr:uid="{00000000-0005-0000-0000-0000B5200000}"/>
    <cellStyle name="20 % - Markeringsfarve3 3 2 8 3" xfId="10843" xr:uid="{00000000-0005-0000-0000-0000B6200000}"/>
    <cellStyle name="20 % - Markeringsfarve3 3 2 8 3 2" xfId="27162" xr:uid="{00000000-0005-0000-0000-0000B7200000}"/>
    <cellStyle name="20 % - Markeringsfarve3 3 2 8 3 3" xfId="42128" xr:uid="{00000000-0005-0000-0000-0000B8200000}"/>
    <cellStyle name="20 % - Markeringsfarve3 3 2 8 4" xfId="20140" xr:uid="{00000000-0005-0000-0000-0000B9200000}"/>
    <cellStyle name="20 % - Markeringsfarve3 3 2 8 5" xfId="35129" xr:uid="{00000000-0005-0000-0000-0000BA200000}"/>
    <cellStyle name="20 % - Markeringsfarve3 3 2 9" xfId="2287" xr:uid="{00000000-0005-0000-0000-0000BB200000}"/>
    <cellStyle name="20 % - Markeringsfarve3 3 2 9 2" xfId="8790" xr:uid="{00000000-0005-0000-0000-0000BC200000}"/>
    <cellStyle name="20 % - Markeringsfarve3 3 2 9 2 2" xfId="16666" xr:uid="{00000000-0005-0000-0000-0000BD200000}"/>
    <cellStyle name="20 % - Markeringsfarve3 3 2 9 2 2 2" xfId="32980" xr:uid="{00000000-0005-0000-0000-0000BE200000}"/>
    <cellStyle name="20 % - Markeringsfarve3 3 2 9 2 2 3" xfId="47944" xr:uid="{00000000-0005-0000-0000-0000BF200000}"/>
    <cellStyle name="20 % - Markeringsfarve3 3 2 9 2 3" xfId="25958" xr:uid="{00000000-0005-0000-0000-0000C0200000}"/>
    <cellStyle name="20 % - Markeringsfarve3 3 2 9 2 4" xfId="40945" xr:uid="{00000000-0005-0000-0000-0000C1200000}"/>
    <cellStyle name="20 % - Markeringsfarve3 3 2 9 3" xfId="10844" xr:uid="{00000000-0005-0000-0000-0000C2200000}"/>
    <cellStyle name="20 % - Markeringsfarve3 3 2 9 3 2" xfId="27163" xr:uid="{00000000-0005-0000-0000-0000C3200000}"/>
    <cellStyle name="20 % - Markeringsfarve3 3 2 9 3 3" xfId="42129" xr:uid="{00000000-0005-0000-0000-0000C4200000}"/>
    <cellStyle name="20 % - Markeringsfarve3 3 2 9 4" xfId="20141" xr:uid="{00000000-0005-0000-0000-0000C5200000}"/>
    <cellStyle name="20 % - Markeringsfarve3 3 2 9 5" xfId="35130" xr:uid="{00000000-0005-0000-0000-0000C6200000}"/>
    <cellStyle name="20 % - Markeringsfarve3 3 3" xfId="2288" xr:uid="{00000000-0005-0000-0000-0000C7200000}"/>
    <cellStyle name="20 % - Markeringsfarve3 3 3 10" xfId="5549" xr:uid="{00000000-0005-0000-0000-0000C8200000}"/>
    <cellStyle name="20 % - Markeringsfarve3 3 3 10 2" xfId="13467" xr:uid="{00000000-0005-0000-0000-0000C9200000}"/>
    <cellStyle name="20 % - Markeringsfarve3 3 3 10 2 2" xfId="29781" xr:uid="{00000000-0005-0000-0000-0000CA200000}"/>
    <cellStyle name="20 % - Markeringsfarve3 3 3 10 2 3" xfId="44745" xr:uid="{00000000-0005-0000-0000-0000CB200000}"/>
    <cellStyle name="20 % - Markeringsfarve3 3 3 10 3" xfId="22759" xr:uid="{00000000-0005-0000-0000-0000CC200000}"/>
    <cellStyle name="20 % - Markeringsfarve3 3 3 10 4" xfId="37746" xr:uid="{00000000-0005-0000-0000-0000CD200000}"/>
    <cellStyle name="20 % - Markeringsfarve3 3 3 11" xfId="10845" xr:uid="{00000000-0005-0000-0000-0000CE200000}"/>
    <cellStyle name="20 % - Markeringsfarve3 3 3 11 2" xfId="27164" xr:uid="{00000000-0005-0000-0000-0000CF200000}"/>
    <cellStyle name="20 % - Markeringsfarve3 3 3 11 3" xfId="42130" xr:uid="{00000000-0005-0000-0000-0000D0200000}"/>
    <cellStyle name="20 % - Markeringsfarve3 3 3 12" xfId="20142" xr:uid="{00000000-0005-0000-0000-0000D1200000}"/>
    <cellStyle name="20 % - Markeringsfarve3 3 3 13" xfId="35131" xr:uid="{00000000-0005-0000-0000-0000D2200000}"/>
    <cellStyle name="20 % - Markeringsfarve3 3 3 14" xfId="56546" xr:uid="{00000000-0005-0000-0000-0000D3200000}"/>
    <cellStyle name="20 % - Markeringsfarve3 3 3 2" xfId="2289" xr:uid="{00000000-0005-0000-0000-0000D4200000}"/>
    <cellStyle name="20 % - Markeringsfarve3 3 3 2 2" xfId="2290" xr:uid="{00000000-0005-0000-0000-0000D5200000}"/>
    <cellStyle name="20 % - Markeringsfarve3 3 3 2 2 2" xfId="2291" xr:uid="{00000000-0005-0000-0000-0000D6200000}"/>
    <cellStyle name="20 % - Markeringsfarve3 3 3 2 2 2 2" xfId="7704" xr:uid="{00000000-0005-0000-0000-0000D7200000}"/>
    <cellStyle name="20 % - Markeringsfarve3 3 3 2 2 2 2 2" xfId="15605" xr:uid="{00000000-0005-0000-0000-0000D8200000}"/>
    <cellStyle name="20 % - Markeringsfarve3 3 3 2 2 2 2 2 2" xfId="31919" xr:uid="{00000000-0005-0000-0000-0000D9200000}"/>
    <cellStyle name="20 % - Markeringsfarve3 3 3 2 2 2 2 2 3" xfId="46883" xr:uid="{00000000-0005-0000-0000-0000DA200000}"/>
    <cellStyle name="20 % - Markeringsfarve3 3 3 2 2 2 2 3" xfId="24897" xr:uid="{00000000-0005-0000-0000-0000DB200000}"/>
    <cellStyle name="20 % - Markeringsfarve3 3 3 2 2 2 2 4" xfId="39884" xr:uid="{00000000-0005-0000-0000-0000DC200000}"/>
    <cellStyle name="20 % - Markeringsfarve3 3 3 2 2 2 3" xfId="10848" xr:uid="{00000000-0005-0000-0000-0000DD200000}"/>
    <cellStyle name="20 % - Markeringsfarve3 3 3 2 2 2 3 2" xfId="27167" xr:uid="{00000000-0005-0000-0000-0000DE200000}"/>
    <cellStyle name="20 % - Markeringsfarve3 3 3 2 2 2 3 3" xfId="42133" xr:uid="{00000000-0005-0000-0000-0000DF200000}"/>
    <cellStyle name="20 % - Markeringsfarve3 3 3 2 2 2 4" xfId="20145" xr:uid="{00000000-0005-0000-0000-0000E0200000}"/>
    <cellStyle name="20 % - Markeringsfarve3 3 3 2 2 2 5" xfId="35134" xr:uid="{00000000-0005-0000-0000-0000E1200000}"/>
    <cellStyle name="20 % - Markeringsfarve3 3 3 2 2 3" xfId="6272" xr:uid="{00000000-0005-0000-0000-0000E2200000}"/>
    <cellStyle name="20 % - Markeringsfarve3 3 3 2 2 3 2" xfId="14189" xr:uid="{00000000-0005-0000-0000-0000E3200000}"/>
    <cellStyle name="20 % - Markeringsfarve3 3 3 2 2 3 2 2" xfId="30503" xr:uid="{00000000-0005-0000-0000-0000E4200000}"/>
    <cellStyle name="20 % - Markeringsfarve3 3 3 2 2 3 2 3" xfId="45467" xr:uid="{00000000-0005-0000-0000-0000E5200000}"/>
    <cellStyle name="20 % - Markeringsfarve3 3 3 2 2 3 3" xfId="23481" xr:uid="{00000000-0005-0000-0000-0000E6200000}"/>
    <cellStyle name="20 % - Markeringsfarve3 3 3 2 2 3 4" xfId="38468" xr:uid="{00000000-0005-0000-0000-0000E7200000}"/>
    <cellStyle name="20 % - Markeringsfarve3 3 3 2 2 4" xfId="10847" xr:uid="{00000000-0005-0000-0000-0000E8200000}"/>
    <cellStyle name="20 % - Markeringsfarve3 3 3 2 2 4 2" xfId="27166" xr:uid="{00000000-0005-0000-0000-0000E9200000}"/>
    <cellStyle name="20 % - Markeringsfarve3 3 3 2 2 4 3" xfId="42132" xr:uid="{00000000-0005-0000-0000-0000EA200000}"/>
    <cellStyle name="20 % - Markeringsfarve3 3 3 2 2 5" xfId="20144" xr:uid="{00000000-0005-0000-0000-0000EB200000}"/>
    <cellStyle name="20 % - Markeringsfarve3 3 3 2 2 6" xfId="35133" xr:uid="{00000000-0005-0000-0000-0000EC200000}"/>
    <cellStyle name="20 % - Markeringsfarve3 3 3 2 3" xfId="2292" xr:uid="{00000000-0005-0000-0000-0000ED200000}"/>
    <cellStyle name="20 % - Markeringsfarve3 3 3 2 3 2" xfId="6934" xr:uid="{00000000-0005-0000-0000-0000EE200000}"/>
    <cellStyle name="20 % - Markeringsfarve3 3 3 2 3 2 2" xfId="14845" xr:uid="{00000000-0005-0000-0000-0000EF200000}"/>
    <cellStyle name="20 % - Markeringsfarve3 3 3 2 3 2 2 2" xfId="31159" xr:uid="{00000000-0005-0000-0000-0000F0200000}"/>
    <cellStyle name="20 % - Markeringsfarve3 3 3 2 3 2 2 3" xfId="46123" xr:uid="{00000000-0005-0000-0000-0000F1200000}"/>
    <cellStyle name="20 % - Markeringsfarve3 3 3 2 3 2 3" xfId="24137" xr:uid="{00000000-0005-0000-0000-0000F2200000}"/>
    <cellStyle name="20 % - Markeringsfarve3 3 3 2 3 2 4" xfId="39124" xr:uid="{00000000-0005-0000-0000-0000F3200000}"/>
    <cellStyle name="20 % - Markeringsfarve3 3 3 2 3 3" xfId="10849" xr:uid="{00000000-0005-0000-0000-0000F4200000}"/>
    <cellStyle name="20 % - Markeringsfarve3 3 3 2 3 3 2" xfId="27168" xr:uid="{00000000-0005-0000-0000-0000F5200000}"/>
    <cellStyle name="20 % - Markeringsfarve3 3 3 2 3 3 3" xfId="42134" xr:uid="{00000000-0005-0000-0000-0000F6200000}"/>
    <cellStyle name="20 % - Markeringsfarve3 3 3 2 3 4" xfId="20146" xr:uid="{00000000-0005-0000-0000-0000F7200000}"/>
    <cellStyle name="20 % - Markeringsfarve3 3 3 2 3 5" xfId="35135" xr:uid="{00000000-0005-0000-0000-0000F8200000}"/>
    <cellStyle name="20 % - Markeringsfarve3 3 3 2 4" xfId="2293" xr:uid="{00000000-0005-0000-0000-0000F9200000}"/>
    <cellStyle name="20 % - Markeringsfarve3 3 3 2 4 2" xfId="8313" xr:uid="{00000000-0005-0000-0000-0000FA200000}"/>
    <cellStyle name="20 % - Markeringsfarve3 3 3 2 4 2 2" xfId="16207" xr:uid="{00000000-0005-0000-0000-0000FB200000}"/>
    <cellStyle name="20 % - Markeringsfarve3 3 3 2 4 2 2 2" xfId="32521" xr:uid="{00000000-0005-0000-0000-0000FC200000}"/>
    <cellStyle name="20 % - Markeringsfarve3 3 3 2 4 2 2 3" xfId="47485" xr:uid="{00000000-0005-0000-0000-0000FD200000}"/>
    <cellStyle name="20 % - Markeringsfarve3 3 3 2 4 2 3" xfId="25499" xr:uid="{00000000-0005-0000-0000-0000FE200000}"/>
    <cellStyle name="20 % - Markeringsfarve3 3 3 2 4 2 4" xfId="40486" xr:uid="{00000000-0005-0000-0000-0000FF200000}"/>
    <cellStyle name="20 % - Markeringsfarve3 3 3 2 4 3" xfId="10850" xr:uid="{00000000-0005-0000-0000-000000210000}"/>
    <cellStyle name="20 % - Markeringsfarve3 3 3 2 4 3 2" xfId="27169" xr:uid="{00000000-0005-0000-0000-000001210000}"/>
    <cellStyle name="20 % - Markeringsfarve3 3 3 2 4 3 3" xfId="42135" xr:uid="{00000000-0005-0000-0000-000002210000}"/>
    <cellStyle name="20 % - Markeringsfarve3 3 3 2 4 4" xfId="20147" xr:uid="{00000000-0005-0000-0000-000003210000}"/>
    <cellStyle name="20 % - Markeringsfarve3 3 3 2 4 5" xfId="35136" xr:uid="{00000000-0005-0000-0000-000004210000}"/>
    <cellStyle name="20 % - Markeringsfarve3 3 3 2 5" xfId="5550" xr:uid="{00000000-0005-0000-0000-000005210000}"/>
    <cellStyle name="20 % - Markeringsfarve3 3 3 2 5 2" xfId="13468" xr:uid="{00000000-0005-0000-0000-000006210000}"/>
    <cellStyle name="20 % - Markeringsfarve3 3 3 2 5 2 2" xfId="29782" xr:uid="{00000000-0005-0000-0000-000007210000}"/>
    <cellStyle name="20 % - Markeringsfarve3 3 3 2 5 2 3" xfId="44746" xr:uid="{00000000-0005-0000-0000-000008210000}"/>
    <cellStyle name="20 % - Markeringsfarve3 3 3 2 5 3" xfId="22760" xr:uid="{00000000-0005-0000-0000-000009210000}"/>
    <cellStyle name="20 % - Markeringsfarve3 3 3 2 5 4" xfId="37747" xr:uid="{00000000-0005-0000-0000-00000A210000}"/>
    <cellStyle name="20 % - Markeringsfarve3 3 3 2 6" xfId="10846" xr:uid="{00000000-0005-0000-0000-00000B210000}"/>
    <cellStyle name="20 % - Markeringsfarve3 3 3 2 6 2" xfId="27165" xr:uid="{00000000-0005-0000-0000-00000C210000}"/>
    <cellStyle name="20 % - Markeringsfarve3 3 3 2 6 3" xfId="42131" xr:uid="{00000000-0005-0000-0000-00000D210000}"/>
    <cellStyle name="20 % - Markeringsfarve3 3 3 2 7" xfId="20143" xr:uid="{00000000-0005-0000-0000-00000E210000}"/>
    <cellStyle name="20 % - Markeringsfarve3 3 3 2 8" xfId="35132" xr:uid="{00000000-0005-0000-0000-00000F210000}"/>
    <cellStyle name="20 % - Markeringsfarve3 3 3 3" xfId="2294" xr:uid="{00000000-0005-0000-0000-000010210000}"/>
    <cellStyle name="20 % - Markeringsfarve3 3 3 3 2" xfId="2295" xr:uid="{00000000-0005-0000-0000-000011210000}"/>
    <cellStyle name="20 % - Markeringsfarve3 3 3 3 2 2" xfId="2296" xr:uid="{00000000-0005-0000-0000-000012210000}"/>
    <cellStyle name="20 % - Markeringsfarve3 3 3 3 2 2 2" xfId="7749" xr:uid="{00000000-0005-0000-0000-000013210000}"/>
    <cellStyle name="20 % - Markeringsfarve3 3 3 3 2 2 2 2" xfId="15650" xr:uid="{00000000-0005-0000-0000-000014210000}"/>
    <cellStyle name="20 % - Markeringsfarve3 3 3 3 2 2 2 2 2" xfId="31964" xr:uid="{00000000-0005-0000-0000-000015210000}"/>
    <cellStyle name="20 % - Markeringsfarve3 3 3 3 2 2 2 2 3" xfId="46928" xr:uid="{00000000-0005-0000-0000-000016210000}"/>
    <cellStyle name="20 % - Markeringsfarve3 3 3 3 2 2 2 3" xfId="24942" xr:uid="{00000000-0005-0000-0000-000017210000}"/>
    <cellStyle name="20 % - Markeringsfarve3 3 3 3 2 2 2 4" xfId="39929" xr:uid="{00000000-0005-0000-0000-000018210000}"/>
    <cellStyle name="20 % - Markeringsfarve3 3 3 3 2 2 3" xfId="10853" xr:uid="{00000000-0005-0000-0000-000019210000}"/>
    <cellStyle name="20 % - Markeringsfarve3 3 3 3 2 2 3 2" xfId="27172" xr:uid="{00000000-0005-0000-0000-00001A210000}"/>
    <cellStyle name="20 % - Markeringsfarve3 3 3 3 2 2 3 3" xfId="42138" xr:uid="{00000000-0005-0000-0000-00001B210000}"/>
    <cellStyle name="20 % - Markeringsfarve3 3 3 3 2 2 4" xfId="20150" xr:uid="{00000000-0005-0000-0000-00001C210000}"/>
    <cellStyle name="20 % - Markeringsfarve3 3 3 3 2 2 5" xfId="35139" xr:uid="{00000000-0005-0000-0000-00001D210000}"/>
    <cellStyle name="20 % - Markeringsfarve3 3 3 3 2 3" xfId="6313" xr:uid="{00000000-0005-0000-0000-00001E210000}"/>
    <cellStyle name="20 % - Markeringsfarve3 3 3 3 2 3 2" xfId="14230" xr:uid="{00000000-0005-0000-0000-00001F210000}"/>
    <cellStyle name="20 % - Markeringsfarve3 3 3 3 2 3 2 2" xfId="30544" xr:uid="{00000000-0005-0000-0000-000020210000}"/>
    <cellStyle name="20 % - Markeringsfarve3 3 3 3 2 3 2 3" xfId="45508" xr:uid="{00000000-0005-0000-0000-000021210000}"/>
    <cellStyle name="20 % - Markeringsfarve3 3 3 3 2 3 3" xfId="23522" xr:uid="{00000000-0005-0000-0000-000022210000}"/>
    <cellStyle name="20 % - Markeringsfarve3 3 3 3 2 3 4" xfId="38509" xr:uid="{00000000-0005-0000-0000-000023210000}"/>
    <cellStyle name="20 % - Markeringsfarve3 3 3 3 2 4" xfId="10852" xr:uid="{00000000-0005-0000-0000-000024210000}"/>
    <cellStyle name="20 % - Markeringsfarve3 3 3 3 2 4 2" xfId="27171" xr:uid="{00000000-0005-0000-0000-000025210000}"/>
    <cellStyle name="20 % - Markeringsfarve3 3 3 3 2 4 3" xfId="42137" xr:uid="{00000000-0005-0000-0000-000026210000}"/>
    <cellStyle name="20 % - Markeringsfarve3 3 3 3 2 5" xfId="20149" xr:uid="{00000000-0005-0000-0000-000027210000}"/>
    <cellStyle name="20 % - Markeringsfarve3 3 3 3 2 6" xfId="35138" xr:uid="{00000000-0005-0000-0000-000028210000}"/>
    <cellStyle name="20 % - Markeringsfarve3 3 3 3 3" xfId="2297" xr:uid="{00000000-0005-0000-0000-000029210000}"/>
    <cellStyle name="20 % - Markeringsfarve3 3 3 3 3 2" xfId="6979" xr:uid="{00000000-0005-0000-0000-00002A210000}"/>
    <cellStyle name="20 % - Markeringsfarve3 3 3 3 3 2 2" xfId="14890" xr:uid="{00000000-0005-0000-0000-00002B210000}"/>
    <cellStyle name="20 % - Markeringsfarve3 3 3 3 3 2 2 2" xfId="31204" xr:uid="{00000000-0005-0000-0000-00002C210000}"/>
    <cellStyle name="20 % - Markeringsfarve3 3 3 3 3 2 2 3" xfId="46168" xr:uid="{00000000-0005-0000-0000-00002D210000}"/>
    <cellStyle name="20 % - Markeringsfarve3 3 3 3 3 2 3" xfId="24182" xr:uid="{00000000-0005-0000-0000-00002E210000}"/>
    <cellStyle name="20 % - Markeringsfarve3 3 3 3 3 2 4" xfId="39169" xr:uid="{00000000-0005-0000-0000-00002F210000}"/>
    <cellStyle name="20 % - Markeringsfarve3 3 3 3 3 3" xfId="10854" xr:uid="{00000000-0005-0000-0000-000030210000}"/>
    <cellStyle name="20 % - Markeringsfarve3 3 3 3 3 3 2" xfId="27173" xr:uid="{00000000-0005-0000-0000-000031210000}"/>
    <cellStyle name="20 % - Markeringsfarve3 3 3 3 3 3 3" xfId="42139" xr:uid="{00000000-0005-0000-0000-000032210000}"/>
    <cellStyle name="20 % - Markeringsfarve3 3 3 3 3 4" xfId="20151" xr:uid="{00000000-0005-0000-0000-000033210000}"/>
    <cellStyle name="20 % - Markeringsfarve3 3 3 3 3 5" xfId="35140" xr:uid="{00000000-0005-0000-0000-000034210000}"/>
    <cellStyle name="20 % - Markeringsfarve3 3 3 3 4" xfId="2298" xr:uid="{00000000-0005-0000-0000-000035210000}"/>
    <cellStyle name="20 % - Markeringsfarve3 3 3 3 4 2" xfId="8312" xr:uid="{00000000-0005-0000-0000-000036210000}"/>
    <cellStyle name="20 % - Markeringsfarve3 3 3 3 4 2 2" xfId="16206" xr:uid="{00000000-0005-0000-0000-000037210000}"/>
    <cellStyle name="20 % - Markeringsfarve3 3 3 3 4 2 2 2" xfId="32520" xr:uid="{00000000-0005-0000-0000-000038210000}"/>
    <cellStyle name="20 % - Markeringsfarve3 3 3 3 4 2 2 3" xfId="47484" xr:uid="{00000000-0005-0000-0000-000039210000}"/>
    <cellStyle name="20 % - Markeringsfarve3 3 3 3 4 2 3" xfId="25498" xr:uid="{00000000-0005-0000-0000-00003A210000}"/>
    <cellStyle name="20 % - Markeringsfarve3 3 3 3 4 2 4" xfId="40485" xr:uid="{00000000-0005-0000-0000-00003B210000}"/>
    <cellStyle name="20 % - Markeringsfarve3 3 3 3 4 3" xfId="10855" xr:uid="{00000000-0005-0000-0000-00003C210000}"/>
    <cellStyle name="20 % - Markeringsfarve3 3 3 3 4 3 2" xfId="27174" xr:uid="{00000000-0005-0000-0000-00003D210000}"/>
    <cellStyle name="20 % - Markeringsfarve3 3 3 3 4 3 3" xfId="42140" xr:uid="{00000000-0005-0000-0000-00003E210000}"/>
    <cellStyle name="20 % - Markeringsfarve3 3 3 3 4 4" xfId="20152" xr:uid="{00000000-0005-0000-0000-00003F210000}"/>
    <cellStyle name="20 % - Markeringsfarve3 3 3 3 4 5" xfId="35141" xr:uid="{00000000-0005-0000-0000-000040210000}"/>
    <cellStyle name="20 % - Markeringsfarve3 3 3 3 5" xfId="5551" xr:uid="{00000000-0005-0000-0000-000041210000}"/>
    <cellStyle name="20 % - Markeringsfarve3 3 3 3 5 2" xfId="13469" xr:uid="{00000000-0005-0000-0000-000042210000}"/>
    <cellStyle name="20 % - Markeringsfarve3 3 3 3 5 2 2" xfId="29783" xr:uid="{00000000-0005-0000-0000-000043210000}"/>
    <cellStyle name="20 % - Markeringsfarve3 3 3 3 5 2 3" xfId="44747" xr:uid="{00000000-0005-0000-0000-000044210000}"/>
    <cellStyle name="20 % - Markeringsfarve3 3 3 3 5 3" xfId="22761" xr:uid="{00000000-0005-0000-0000-000045210000}"/>
    <cellStyle name="20 % - Markeringsfarve3 3 3 3 5 4" xfId="37748" xr:uid="{00000000-0005-0000-0000-000046210000}"/>
    <cellStyle name="20 % - Markeringsfarve3 3 3 3 6" xfId="10851" xr:uid="{00000000-0005-0000-0000-000047210000}"/>
    <cellStyle name="20 % - Markeringsfarve3 3 3 3 6 2" xfId="27170" xr:uid="{00000000-0005-0000-0000-000048210000}"/>
    <cellStyle name="20 % - Markeringsfarve3 3 3 3 6 3" xfId="42136" xr:uid="{00000000-0005-0000-0000-000049210000}"/>
    <cellStyle name="20 % - Markeringsfarve3 3 3 3 7" xfId="20148" xr:uid="{00000000-0005-0000-0000-00004A210000}"/>
    <cellStyle name="20 % - Markeringsfarve3 3 3 3 8" xfId="35137" xr:uid="{00000000-0005-0000-0000-00004B210000}"/>
    <cellStyle name="20 % - Markeringsfarve3 3 3 4" xfId="2299" xr:uid="{00000000-0005-0000-0000-00004C210000}"/>
    <cellStyle name="20 % - Markeringsfarve3 3 3 4 2" xfId="2300" xr:uid="{00000000-0005-0000-0000-00004D210000}"/>
    <cellStyle name="20 % - Markeringsfarve3 3 3 4 2 2" xfId="2301" xr:uid="{00000000-0005-0000-0000-00004E210000}"/>
    <cellStyle name="20 % - Markeringsfarve3 3 3 4 2 2 2" xfId="7942" xr:uid="{00000000-0005-0000-0000-00004F210000}"/>
    <cellStyle name="20 % - Markeringsfarve3 3 3 4 2 2 2 2" xfId="15843" xr:uid="{00000000-0005-0000-0000-000050210000}"/>
    <cellStyle name="20 % - Markeringsfarve3 3 3 4 2 2 2 2 2" xfId="32157" xr:uid="{00000000-0005-0000-0000-000051210000}"/>
    <cellStyle name="20 % - Markeringsfarve3 3 3 4 2 2 2 2 3" xfId="47121" xr:uid="{00000000-0005-0000-0000-000052210000}"/>
    <cellStyle name="20 % - Markeringsfarve3 3 3 4 2 2 2 3" xfId="25135" xr:uid="{00000000-0005-0000-0000-000053210000}"/>
    <cellStyle name="20 % - Markeringsfarve3 3 3 4 2 2 2 4" xfId="40122" xr:uid="{00000000-0005-0000-0000-000054210000}"/>
    <cellStyle name="20 % - Markeringsfarve3 3 3 4 2 2 3" xfId="10858" xr:uid="{00000000-0005-0000-0000-000055210000}"/>
    <cellStyle name="20 % - Markeringsfarve3 3 3 4 2 2 3 2" xfId="27177" xr:uid="{00000000-0005-0000-0000-000056210000}"/>
    <cellStyle name="20 % - Markeringsfarve3 3 3 4 2 2 3 3" xfId="42143" xr:uid="{00000000-0005-0000-0000-000057210000}"/>
    <cellStyle name="20 % - Markeringsfarve3 3 3 4 2 2 4" xfId="20155" xr:uid="{00000000-0005-0000-0000-000058210000}"/>
    <cellStyle name="20 % - Markeringsfarve3 3 3 4 2 2 5" xfId="35144" xr:uid="{00000000-0005-0000-0000-000059210000}"/>
    <cellStyle name="20 % - Markeringsfarve3 3 3 4 2 3" xfId="6474" xr:uid="{00000000-0005-0000-0000-00005A210000}"/>
    <cellStyle name="20 % - Markeringsfarve3 3 3 4 2 3 2" xfId="14388" xr:uid="{00000000-0005-0000-0000-00005B210000}"/>
    <cellStyle name="20 % - Markeringsfarve3 3 3 4 2 3 2 2" xfId="30702" xr:uid="{00000000-0005-0000-0000-00005C210000}"/>
    <cellStyle name="20 % - Markeringsfarve3 3 3 4 2 3 2 3" xfId="45666" xr:uid="{00000000-0005-0000-0000-00005D210000}"/>
    <cellStyle name="20 % - Markeringsfarve3 3 3 4 2 3 3" xfId="23680" xr:uid="{00000000-0005-0000-0000-00005E210000}"/>
    <cellStyle name="20 % - Markeringsfarve3 3 3 4 2 3 4" xfId="38667" xr:uid="{00000000-0005-0000-0000-00005F210000}"/>
    <cellStyle name="20 % - Markeringsfarve3 3 3 4 2 4" xfId="10857" xr:uid="{00000000-0005-0000-0000-000060210000}"/>
    <cellStyle name="20 % - Markeringsfarve3 3 3 4 2 4 2" xfId="27176" xr:uid="{00000000-0005-0000-0000-000061210000}"/>
    <cellStyle name="20 % - Markeringsfarve3 3 3 4 2 4 3" xfId="42142" xr:uid="{00000000-0005-0000-0000-000062210000}"/>
    <cellStyle name="20 % - Markeringsfarve3 3 3 4 2 5" xfId="20154" xr:uid="{00000000-0005-0000-0000-000063210000}"/>
    <cellStyle name="20 % - Markeringsfarve3 3 3 4 2 6" xfId="35143" xr:uid="{00000000-0005-0000-0000-000064210000}"/>
    <cellStyle name="20 % - Markeringsfarve3 3 3 4 3" xfId="2302" xr:uid="{00000000-0005-0000-0000-000065210000}"/>
    <cellStyle name="20 % - Markeringsfarve3 3 3 4 3 2" xfId="7218" xr:uid="{00000000-0005-0000-0000-000066210000}"/>
    <cellStyle name="20 % - Markeringsfarve3 3 3 4 3 2 2" xfId="15128" xr:uid="{00000000-0005-0000-0000-000067210000}"/>
    <cellStyle name="20 % - Markeringsfarve3 3 3 4 3 2 2 2" xfId="31442" xr:uid="{00000000-0005-0000-0000-000068210000}"/>
    <cellStyle name="20 % - Markeringsfarve3 3 3 4 3 2 2 3" xfId="46406" xr:uid="{00000000-0005-0000-0000-000069210000}"/>
    <cellStyle name="20 % - Markeringsfarve3 3 3 4 3 2 3" xfId="24420" xr:uid="{00000000-0005-0000-0000-00006A210000}"/>
    <cellStyle name="20 % - Markeringsfarve3 3 3 4 3 2 4" xfId="39407" xr:uid="{00000000-0005-0000-0000-00006B210000}"/>
    <cellStyle name="20 % - Markeringsfarve3 3 3 4 3 3" xfId="10859" xr:uid="{00000000-0005-0000-0000-00006C210000}"/>
    <cellStyle name="20 % - Markeringsfarve3 3 3 4 3 3 2" xfId="27178" xr:uid="{00000000-0005-0000-0000-00006D210000}"/>
    <cellStyle name="20 % - Markeringsfarve3 3 3 4 3 3 3" xfId="42144" xr:uid="{00000000-0005-0000-0000-00006E210000}"/>
    <cellStyle name="20 % - Markeringsfarve3 3 3 4 3 4" xfId="20156" xr:uid="{00000000-0005-0000-0000-00006F210000}"/>
    <cellStyle name="20 % - Markeringsfarve3 3 3 4 3 5" xfId="35145" xr:uid="{00000000-0005-0000-0000-000070210000}"/>
    <cellStyle name="20 % - Markeringsfarve3 3 3 4 4" xfId="2303" xr:uid="{00000000-0005-0000-0000-000071210000}"/>
    <cellStyle name="20 % - Markeringsfarve3 3 3 4 4 2" xfId="6835" xr:uid="{00000000-0005-0000-0000-000072210000}"/>
    <cellStyle name="20 % - Markeringsfarve3 3 3 4 4 2 2" xfId="14746" xr:uid="{00000000-0005-0000-0000-000073210000}"/>
    <cellStyle name="20 % - Markeringsfarve3 3 3 4 4 2 2 2" xfId="31060" xr:uid="{00000000-0005-0000-0000-000074210000}"/>
    <cellStyle name="20 % - Markeringsfarve3 3 3 4 4 2 2 3" xfId="46024" xr:uid="{00000000-0005-0000-0000-000075210000}"/>
    <cellStyle name="20 % - Markeringsfarve3 3 3 4 4 2 3" xfId="24038" xr:uid="{00000000-0005-0000-0000-000076210000}"/>
    <cellStyle name="20 % - Markeringsfarve3 3 3 4 4 2 4" xfId="39025" xr:uid="{00000000-0005-0000-0000-000077210000}"/>
    <cellStyle name="20 % - Markeringsfarve3 3 3 4 4 3" xfId="10860" xr:uid="{00000000-0005-0000-0000-000078210000}"/>
    <cellStyle name="20 % - Markeringsfarve3 3 3 4 4 3 2" xfId="27179" xr:uid="{00000000-0005-0000-0000-000079210000}"/>
    <cellStyle name="20 % - Markeringsfarve3 3 3 4 4 3 3" xfId="42145" xr:uid="{00000000-0005-0000-0000-00007A210000}"/>
    <cellStyle name="20 % - Markeringsfarve3 3 3 4 4 4" xfId="20157" xr:uid="{00000000-0005-0000-0000-00007B210000}"/>
    <cellStyle name="20 % - Markeringsfarve3 3 3 4 4 5" xfId="35146" xr:uid="{00000000-0005-0000-0000-00007C210000}"/>
    <cellStyle name="20 % - Markeringsfarve3 3 3 4 5" xfId="5552" xr:uid="{00000000-0005-0000-0000-00007D210000}"/>
    <cellStyle name="20 % - Markeringsfarve3 3 3 4 5 2" xfId="13470" xr:uid="{00000000-0005-0000-0000-00007E210000}"/>
    <cellStyle name="20 % - Markeringsfarve3 3 3 4 5 2 2" xfId="29784" xr:uid="{00000000-0005-0000-0000-00007F210000}"/>
    <cellStyle name="20 % - Markeringsfarve3 3 3 4 5 2 3" xfId="44748" xr:uid="{00000000-0005-0000-0000-000080210000}"/>
    <cellStyle name="20 % - Markeringsfarve3 3 3 4 5 3" xfId="22762" xr:uid="{00000000-0005-0000-0000-000081210000}"/>
    <cellStyle name="20 % - Markeringsfarve3 3 3 4 5 4" xfId="37749" xr:uid="{00000000-0005-0000-0000-000082210000}"/>
    <cellStyle name="20 % - Markeringsfarve3 3 3 4 6" xfId="10856" xr:uid="{00000000-0005-0000-0000-000083210000}"/>
    <cellStyle name="20 % - Markeringsfarve3 3 3 4 6 2" xfId="27175" xr:uid="{00000000-0005-0000-0000-000084210000}"/>
    <cellStyle name="20 % - Markeringsfarve3 3 3 4 6 3" xfId="42141" xr:uid="{00000000-0005-0000-0000-000085210000}"/>
    <cellStyle name="20 % - Markeringsfarve3 3 3 4 7" xfId="20153" xr:uid="{00000000-0005-0000-0000-000086210000}"/>
    <cellStyle name="20 % - Markeringsfarve3 3 3 4 8" xfId="35142" xr:uid="{00000000-0005-0000-0000-000087210000}"/>
    <cellStyle name="20 % - Markeringsfarve3 3 3 5" xfId="2304" xr:uid="{00000000-0005-0000-0000-000088210000}"/>
    <cellStyle name="20 % - Markeringsfarve3 3 3 5 2" xfId="2305" xr:uid="{00000000-0005-0000-0000-000089210000}"/>
    <cellStyle name="20 % - Markeringsfarve3 3 3 5 2 2" xfId="2306" xr:uid="{00000000-0005-0000-0000-00008A210000}"/>
    <cellStyle name="20 % - Markeringsfarve3 3 3 5 2 2 2" xfId="8059" xr:uid="{00000000-0005-0000-0000-00008B210000}"/>
    <cellStyle name="20 % - Markeringsfarve3 3 3 5 2 2 2 2" xfId="15960" xr:uid="{00000000-0005-0000-0000-00008C210000}"/>
    <cellStyle name="20 % - Markeringsfarve3 3 3 5 2 2 2 2 2" xfId="32274" xr:uid="{00000000-0005-0000-0000-00008D210000}"/>
    <cellStyle name="20 % - Markeringsfarve3 3 3 5 2 2 2 2 3" xfId="47238" xr:uid="{00000000-0005-0000-0000-00008E210000}"/>
    <cellStyle name="20 % - Markeringsfarve3 3 3 5 2 2 2 3" xfId="25252" xr:uid="{00000000-0005-0000-0000-00008F210000}"/>
    <cellStyle name="20 % - Markeringsfarve3 3 3 5 2 2 2 4" xfId="40239" xr:uid="{00000000-0005-0000-0000-000090210000}"/>
    <cellStyle name="20 % - Markeringsfarve3 3 3 5 2 2 3" xfId="10863" xr:uid="{00000000-0005-0000-0000-000091210000}"/>
    <cellStyle name="20 % - Markeringsfarve3 3 3 5 2 2 3 2" xfId="27182" xr:uid="{00000000-0005-0000-0000-000092210000}"/>
    <cellStyle name="20 % - Markeringsfarve3 3 3 5 2 2 3 3" xfId="42148" xr:uid="{00000000-0005-0000-0000-000093210000}"/>
    <cellStyle name="20 % - Markeringsfarve3 3 3 5 2 2 4" xfId="20160" xr:uid="{00000000-0005-0000-0000-000094210000}"/>
    <cellStyle name="20 % - Markeringsfarve3 3 3 5 2 2 5" xfId="35149" xr:uid="{00000000-0005-0000-0000-000095210000}"/>
    <cellStyle name="20 % - Markeringsfarve3 3 3 5 2 3" xfId="6573" xr:uid="{00000000-0005-0000-0000-000096210000}"/>
    <cellStyle name="20 % - Markeringsfarve3 3 3 5 2 3 2" xfId="14487" xr:uid="{00000000-0005-0000-0000-000097210000}"/>
    <cellStyle name="20 % - Markeringsfarve3 3 3 5 2 3 2 2" xfId="30801" xr:uid="{00000000-0005-0000-0000-000098210000}"/>
    <cellStyle name="20 % - Markeringsfarve3 3 3 5 2 3 2 3" xfId="45765" xr:uid="{00000000-0005-0000-0000-000099210000}"/>
    <cellStyle name="20 % - Markeringsfarve3 3 3 5 2 3 3" xfId="23779" xr:uid="{00000000-0005-0000-0000-00009A210000}"/>
    <cellStyle name="20 % - Markeringsfarve3 3 3 5 2 3 4" xfId="38766" xr:uid="{00000000-0005-0000-0000-00009B210000}"/>
    <cellStyle name="20 % - Markeringsfarve3 3 3 5 2 4" xfId="10862" xr:uid="{00000000-0005-0000-0000-00009C210000}"/>
    <cellStyle name="20 % - Markeringsfarve3 3 3 5 2 4 2" xfId="27181" xr:uid="{00000000-0005-0000-0000-00009D210000}"/>
    <cellStyle name="20 % - Markeringsfarve3 3 3 5 2 4 3" xfId="42147" xr:uid="{00000000-0005-0000-0000-00009E210000}"/>
    <cellStyle name="20 % - Markeringsfarve3 3 3 5 2 5" xfId="20159" xr:uid="{00000000-0005-0000-0000-00009F210000}"/>
    <cellStyle name="20 % - Markeringsfarve3 3 3 5 2 6" xfId="35148" xr:uid="{00000000-0005-0000-0000-0000A0210000}"/>
    <cellStyle name="20 % - Markeringsfarve3 3 3 5 3" xfId="2307" xr:uid="{00000000-0005-0000-0000-0000A1210000}"/>
    <cellStyle name="20 % - Markeringsfarve3 3 3 5 3 2" xfId="7335" xr:uid="{00000000-0005-0000-0000-0000A2210000}"/>
    <cellStyle name="20 % - Markeringsfarve3 3 3 5 3 2 2" xfId="15245" xr:uid="{00000000-0005-0000-0000-0000A3210000}"/>
    <cellStyle name="20 % - Markeringsfarve3 3 3 5 3 2 2 2" xfId="31559" xr:uid="{00000000-0005-0000-0000-0000A4210000}"/>
    <cellStyle name="20 % - Markeringsfarve3 3 3 5 3 2 2 3" xfId="46523" xr:uid="{00000000-0005-0000-0000-0000A5210000}"/>
    <cellStyle name="20 % - Markeringsfarve3 3 3 5 3 2 3" xfId="24537" xr:uid="{00000000-0005-0000-0000-0000A6210000}"/>
    <cellStyle name="20 % - Markeringsfarve3 3 3 5 3 2 4" xfId="39524" xr:uid="{00000000-0005-0000-0000-0000A7210000}"/>
    <cellStyle name="20 % - Markeringsfarve3 3 3 5 3 3" xfId="10864" xr:uid="{00000000-0005-0000-0000-0000A8210000}"/>
    <cellStyle name="20 % - Markeringsfarve3 3 3 5 3 3 2" xfId="27183" xr:uid="{00000000-0005-0000-0000-0000A9210000}"/>
    <cellStyle name="20 % - Markeringsfarve3 3 3 5 3 3 3" xfId="42149" xr:uid="{00000000-0005-0000-0000-0000AA210000}"/>
    <cellStyle name="20 % - Markeringsfarve3 3 3 5 3 4" xfId="20161" xr:uid="{00000000-0005-0000-0000-0000AB210000}"/>
    <cellStyle name="20 % - Markeringsfarve3 3 3 5 3 5" xfId="35150" xr:uid="{00000000-0005-0000-0000-0000AC210000}"/>
    <cellStyle name="20 % - Markeringsfarve3 3 3 5 4" xfId="2308" xr:uid="{00000000-0005-0000-0000-0000AD210000}"/>
    <cellStyle name="20 % - Markeringsfarve3 3 3 5 4 2" xfId="7114" xr:uid="{00000000-0005-0000-0000-0000AE210000}"/>
    <cellStyle name="20 % - Markeringsfarve3 3 3 5 4 2 2" xfId="15024" xr:uid="{00000000-0005-0000-0000-0000AF210000}"/>
    <cellStyle name="20 % - Markeringsfarve3 3 3 5 4 2 2 2" xfId="31338" xr:uid="{00000000-0005-0000-0000-0000B0210000}"/>
    <cellStyle name="20 % - Markeringsfarve3 3 3 5 4 2 2 3" xfId="46302" xr:uid="{00000000-0005-0000-0000-0000B1210000}"/>
    <cellStyle name="20 % - Markeringsfarve3 3 3 5 4 2 3" xfId="24316" xr:uid="{00000000-0005-0000-0000-0000B2210000}"/>
    <cellStyle name="20 % - Markeringsfarve3 3 3 5 4 2 4" xfId="39303" xr:uid="{00000000-0005-0000-0000-0000B3210000}"/>
    <cellStyle name="20 % - Markeringsfarve3 3 3 5 4 3" xfId="10865" xr:uid="{00000000-0005-0000-0000-0000B4210000}"/>
    <cellStyle name="20 % - Markeringsfarve3 3 3 5 4 3 2" xfId="27184" xr:uid="{00000000-0005-0000-0000-0000B5210000}"/>
    <cellStyle name="20 % - Markeringsfarve3 3 3 5 4 3 3" xfId="42150" xr:uid="{00000000-0005-0000-0000-0000B6210000}"/>
    <cellStyle name="20 % - Markeringsfarve3 3 3 5 4 4" xfId="20162" xr:uid="{00000000-0005-0000-0000-0000B7210000}"/>
    <cellStyle name="20 % - Markeringsfarve3 3 3 5 4 5" xfId="35151" xr:uid="{00000000-0005-0000-0000-0000B8210000}"/>
    <cellStyle name="20 % - Markeringsfarve3 3 3 5 5" xfId="5553" xr:uid="{00000000-0005-0000-0000-0000B9210000}"/>
    <cellStyle name="20 % - Markeringsfarve3 3 3 5 5 2" xfId="13471" xr:uid="{00000000-0005-0000-0000-0000BA210000}"/>
    <cellStyle name="20 % - Markeringsfarve3 3 3 5 5 2 2" xfId="29785" xr:uid="{00000000-0005-0000-0000-0000BB210000}"/>
    <cellStyle name="20 % - Markeringsfarve3 3 3 5 5 2 3" xfId="44749" xr:uid="{00000000-0005-0000-0000-0000BC210000}"/>
    <cellStyle name="20 % - Markeringsfarve3 3 3 5 5 3" xfId="22763" xr:uid="{00000000-0005-0000-0000-0000BD210000}"/>
    <cellStyle name="20 % - Markeringsfarve3 3 3 5 5 4" xfId="37750" xr:uid="{00000000-0005-0000-0000-0000BE210000}"/>
    <cellStyle name="20 % - Markeringsfarve3 3 3 5 6" xfId="10861" xr:uid="{00000000-0005-0000-0000-0000BF210000}"/>
    <cellStyle name="20 % - Markeringsfarve3 3 3 5 6 2" xfId="27180" xr:uid="{00000000-0005-0000-0000-0000C0210000}"/>
    <cellStyle name="20 % - Markeringsfarve3 3 3 5 6 3" xfId="42146" xr:uid="{00000000-0005-0000-0000-0000C1210000}"/>
    <cellStyle name="20 % - Markeringsfarve3 3 3 5 7" xfId="20158" xr:uid="{00000000-0005-0000-0000-0000C2210000}"/>
    <cellStyle name="20 % - Markeringsfarve3 3 3 5 8" xfId="35147" xr:uid="{00000000-0005-0000-0000-0000C3210000}"/>
    <cellStyle name="20 % - Markeringsfarve3 3 3 6" xfId="2309" xr:uid="{00000000-0005-0000-0000-0000C4210000}"/>
    <cellStyle name="20 % - Markeringsfarve3 3 3 6 2" xfId="2310" xr:uid="{00000000-0005-0000-0000-0000C5210000}"/>
    <cellStyle name="20 % - Markeringsfarve3 3 3 6 2 2" xfId="2311" xr:uid="{00000000-0005-0000-0000-0000C6210000}"/>
    <cellStyle name="20 % - Markeringsfarve3 3 3 6 2 2 2" xfId="8104" xr:uid="{00000000-0005-0000-0000-0000C7210000}"/>
    <cellStyle name="20 % - Markeringsfarve3 3 3 6 2 2 2 2" xfId="16005" xr:uid="{00000000-0005-0000-0000-0000C8210000}"/>
    <cellStyle name="20 % - Markeringsfarve3 3 3 6 2 2 2 2 2" xfId="32319" xr:uid="{00000000-0005-0000-0000-0000C9210000}"/>
    <cellStyle name="20 % - Markeringsfarve3 3 3 6 2 2 2 2 3" xfId="47283" xr:uid="{00000000-0005-0000-0000-0000CA210000}"/>
    <cellStyle name="20 % - Markeringsfarve3 3 3 6 2 2 2 3" xfId="25297" xr:uid="{00000000-0005-0000-0000-0000CB210000}"/>
    <cellStyle name="20 % - Markeringsfarve3 3 3 6 2 2 2 4" xfId="40284" xr:uid="{00000000-0005-0000-0000-0000CC210000}"/>
    <cellStyle name="20 % - Markeringsfarve3 3 3 6 2 2 3" xfId="10868" xr:uid="{00000000-0005-0000-0000-0000CD210000}"/>
    <cellStyle name="20 % - Markeringsfarve3 3 3 6 2 2 3 2" xfId="27187" xr:uid="{00000000-0005-0000-0000-0000CE210000}"/>
    <cellStyle name="20 % - Markeringsfarve3 3 3 6 2 2 3 3" xfId="42153" xr:uid="{00000000-0005-0000-0000-0000CF210000}"/>
    <cellStyle name="20 % - Markeringsfarve3 3 3 6 2 2 4" xfId="20165" xr:uid="{00000000-0005-0000-0000-0000D0210000}"/>
    <cellStyle name="20 % - Markeringsfarve3 3 3 6 2 2 5" xfId="35154" xr:uid="{00000000-0005-0000-0000-0000D1210000}"/>
    <cellStyle name="20 % - Markeringsfarve3 3 3 6 2 3" xfId="6615" xr:uid="{00000000-0005-0000-0000-0000D2210000}"/>
    <cellStyle name="20 % - Markeringsfarve3 3 3 6 2 3 2" xfId="14529" xr:uid="{00000000-0005-0000-0000-0000D3210000}"/>
    <cellStyle name="20 % - Markeringsfarve3 3 3 6 2 3 2 2" xfId="30843" xr:uid="{00000000-0005-0000-0000-0000D4210000}"/>
    <cellStyle name="20 % - Markeringsfarve3 3 3 6 2 3 2 3" xfId="45807" xr:uid="{00000000-0005-0000-0000-0000D5210000}"/>
    <cellStyle name="20 % - Markeringsfarve3 3 3 6 2 3 3" xfId="23821" xr:uid="{00000000-0005-0000-0000-0000D6210000}"/>
    <cellStyle name="20 % - Markeringsfarve3 3 3 6 2 3 4" xfId="38808" xr:uid="{00000000-0005-0000-0000-0000D7210000}"/>
    <cellStyle name="20 % - Markeringsfarve3 3 3 6 2 4" xfId="10867" xr:uid="{00000000-0005-0000-0000-0000D8210000}"/>
    <cellStyle name="20 % - Markeringsfarve3 3 3 6 2 4 2" xfId="27186" xr:uid="{00000000-0005-0000-0000-0000D9210000}"/>
    <cellStyle name="20 % - Markeringsfarve3 3 3 6 2 4 3" xfId="42152" xr:uid="{00000000-0005-0000-0000-0000DA210000}"/>
    <cellStyle name="20 % - Markeringsfarve3 3 3 6 2 5" xfId="20164" xr:uid="{00000000-0005-0000-0000-0000DB210000}"/>
    <cellStyle name="20 % - Markeringsfarve3 3 3 6 2 6" xfId="35153" xr:uid="{00000000-0005-0000-0000-0000DC210000}"/>
    <cellStyle name="20 % - Markeringsfarve3 3 3 6 3" xfId="2312" xr:uid="{00000000-0005-0000-0000-0000DD210000}"/>
    <cellStyle name="20 % - Markeringsfarve3 3 3 6 3 2" xfId="7381" xr:uid="{00000000-0005-0000-0000-0000DE210000}"/>
    <cellStyle name="20 % - Markeringsfarve3 3 3 6 3 2 2" xfId="15291" xr:uid="{00000000-0005-0000-0000-0000DF210000}"/>
    <cellStyle name="20 % - Markeringsfarve3 3 3 6 3 2 2 2" xfId="31605" xr:uid="{00000000-0005-0000-0000-0000E0210000}"/>
    <cellStyle name="20 % - Markeringsfarve3 3 3 6 3 2 2 3" xfId="46569" xr:uid="{00000000-0005-0000-0000-0000E1210000}"/>
    <cellStyle name="20 % - Markeringsfarve3 3 3 6 3 2 3" xfId="24583" xr:uid="{00000000-0005-0000-0000-0000E2210000}"/>
    <cellStyle name="20 % - Markeringsfarve3 3 3 6 3 2 4" xfId="39570" xr:uid="{00000000-0005-0000-0000-0000E3210000}"/>
    <cellStyle name="20 % - Markeringsfarve3 3 3 6 3 3" xfId="10869" xr:uid="{00000000-0005-0000-0000-0000E4210000}"/>
    <cellStyle name="20 % - Markeringsfarve3 3 3 6 3 3 2" xfId="27188" xr:uid="{00000000-0005-0000-0000-0000E5210000}"/>
    <cellStyle name="20 % - Markeringsfarve3 3 3 6 3 3 3" xfId="42154" xr:uid="{00000000-0005-0000-0000-0000E6210000}"/>
    <cellStyle name="20 % - Markeringsfarve3 3 3 6 3 4" xfId="20166" xr:uid="{00000000-0005-0000-0000-0000E7210000}"/>
    <cellStyle name="20 % - Markeringsfarve3 3 3 6 3 5" xfId="35155" xr:uid="{00000000-0005-0000-0000-0000E8210000}"/>
    <cellStyle name="20 % - Markeringsfarve3 3 3 6 4" xfId="2313" xr:uid="{00000000-0005-0000-0000-0000E9210000}"/>
    <cellStyle name="20 % - Markeringsfarve3 3 3 6 4 2" xfId="7105" xr:uid="{00000000-0005-0000-0000-0000EA210000}"/>
    <cellStyle name="20 % - Markeringsfarve3 3 3 6 4 2 2" xfId="15015" xr:uid="{00000000-0005-0000-0000-0000EB210000}"/>
    <cellStyle name="20 % - Markeringsfarve3 3 3 6 4 2 2 2" xfId="31329" xr:uid="{00000000-0005-0000-0000-0000EC210000}"/>
    <cellStyle name="20 % - Markeringsfarve3 3 3 6 4 2 2 3" xfId="46293" xr:uid="{00000000-0005-0000-0000-0000ED210000}"/>
    <cellStyle name="20 % - Markeringsfarve3 3 3 6 4 2 3" xfId="24307" xr:uid="{00000000-0005-0000-0000-0000EE210000}"/>
    <cellStyle name="20 % - Markeringsfarve3 3 3 6 4 2 4" xfId="39294" xr:uid="{00000000-0005-0000-0000-0000EF210000}"/>
    <cellStyle name="20 % - Markeringsfarve3 3 3 6 4 3" xfId="10870" xr:uid="{00000000-0005-0000-0000-0000F0210000}"/>
    <cellStyle name="20 % - Markeringsfarve3 3 3 6 4 3 2" xfId="27189" xr:uid="{00000000-0005-0000-0000-0000F1210000}"/>
    <cellStyle name="20 % - Markeringsfarve3 3 3 6 4 3 3" xfId="42155" xr:uid="{00000000-0005-0000-0000-0000F2210000}"/>
    <cellStyle name="20 % - Markeringsfarve3 3 3 6 4 4" xfId="20167" xr:uid="{00000000-0005-0000-0000-0000F3210000}"/>
    <cellStyle name="20 % - Markeringsfarve3 3 3 6 4 5" xfId="35156" xr:uid="{00000000-0005-0000-0000-0000F4210000}"/>
    <cellStyle name="20 % - Markeringsfarve3 3 3 6 5" xfId="5554" xr:uid="{00000000-0005-0000-0000-0000F5210000}"/>
    <cellStyle name="20 % - Markeringsfarve3 3 3 6 5 2" xfId="13472" xr:uid="{00000000-0005-0000-0000-0000F6210000}"/>
    <cellStyle name="20 % - Markeringsfarve3 3 3 6 5 2 2" xfId="29786" xr:uid="{00000000-0005-0000-0000-0000F7210000}"/>
    <cellStyle name="20 % - Markeringsfarve3 3 3 6 5 2 3" xfId="44750" xr:uid="{00000000-0005-0000-0000-0000F8210000}"/>
    <cellStyle name="20 % - Markeringsfarve3 3 3 6 5 3" xfId="22764" xr:uid="{00000000-0005-0000-0000-0000F9210000}"/>
    <cellStyle name="20 % - Markeringsfarve3 3 3 6 5 4" xfId="37751" xr:uid="{00000000-0005-0000-0000-0000FA210000}"/>
    <cellStyle name="20 % - Markeringsfarve3 3 3 6 6" xfId="10866" xr:uid="{00000000-0005-0000-0000-0000FB210000}"/>
    <cellStyle name="20 % - Markeringsfarve3 3 3 6 6 2" xfId="27185" xr:uid="{00000000-0005-0000-0000-0000FC210000}"/>
    <cellStyle name="20 % - Markeringsfarve3 3 3 6 6 3" xfId="42151" xr:uid="{00000000-0005-0000-0000-0000FD210000}"/>
    <cellStyle name="20 % - Markeringsfarve3 3 3 6 7" xfId="20163" xr:uid="{00000000-0005-0000-0000-0000FE210000}"/>
    <cellStyle name="20 % - Markeringsfarve3 3 3 6 8" xfId="35152" xr:uid="{00000000-0005-0000-0000-0000FF210000}"/>
    <cellStyle name="20 % - Markeringsfarve3 3 3 7" xfId="2314" xr:uid="{00000000-0005-0000-0000-000000220000}"/>
    <cellStyle name="20 % - Markeringsfarve3 3 3 7 2" xfId="2315" xr:uid="{00000000-0005-0000-0000-000001220000}"/>
    <cellStyle name="20 % - Markeringsfarve3 3 3 7 2 2" xfId="7585" xr:uid="{00000000-0005-0000-0000-000002220000}"/>
    <cellStyle name="20 % - Markeringsfarve3 3 3 7 2 2 2" xfId="15486" xr:uid="{00000000-0005-0000-0000-000003220000}"/>
    <cellStyle name="20 % - Markeringsfarve3 3 3 7 2 2 2 2" xfId="31800" xr:uid="{00000000-0005-0000-0000-000004220000}"/>
    <cellStyle name="20 % - Markeringsfarve3 3 3 7 2 2 2 3" xfId="46764" xr:uid="{00000000-0005-0000-0000-000005220000}"/>
    <cellStyle name="20 % - Markeringsfarve3 3 3 7 2 2 3" xfId="24778" xr:uid="{00000000-0005-0000-0000-000006220000}"/>
    <cellStyle name="20 % - Markeringsfarve3 3 3 7 2 2 4" xfId="39765" xr:uid="{00000000-0005-0000-0000-000007220000}"/>
    <cellStyle name="20 % - Markeringsfarve3 3 3 7 2 3" xfId="10872" xr:uid="{00000000-0005-0000-0000-000008220000}"/>
    <cellStyle name="20 % - Markeringsfarve3 3 3 7 2 3 2" xfId="27191" xr:uid="{00000000-0005-0000-0000-000009220000}"/>
    <cellStyle name="20 % - Markeringsfarve3 3 3 7 2 3 3" xfId="42157" xr:uid="{00000000-0005-0000-0000-00000A220000}"/>
    <cellStyle name="20 % - Markeringsfarve3 3 3 7 2 4" xfId="20169" xr:uid="{00000000-0005-0000-0000-00000B220000}"/>
    <cellStyle name="20 % - Markeringsfarve3 3 3 7 2 5" xfId="35158" xr:uid="{00000000-0005-0000-0000-00000C220000}"/>
    <cellStyle name="20 % - Markeringsfarve3 3 3 7 3" xfId="6173" xr:uid="{00000000-0005-0000-0000-00000D220000}"/>
    <cellStyle name="20 % - Markeringsfarve3 3 3 7 3 2" xfId="14090" xr:uid="{00000000-0005-0000-0000-00000E220000}"/>
    <cellStyle name="20 % - Markeringsfarve3 3 3 7 3 2 2" xfId="30404" xr:uid="{00000000-0005-0000-0000-00000F220000}"/>
    <cellStyle name="20 % - Markeringsfarve3 3 3 7 3 2 3" xfId="45368" xr:uid="{00000000-0005-0000-0000-000010220000}"/>
    <cellStyle name="20 % - Markeringsfarve3 3 3 7 3 3" xfId="23382" xr:uid="{00000000-0005-0000-0000-000011220000}"/>
    <cellStyle name="20 % - Markeringsfarve3 3 3 7 3 4" xfId="38369" xr:uid="{00000000-0005-0000-0000-000012220000}"/>
    <cellStyle name="20 % - Markeringsfarve3 3 3 7 4" xfId="10871" xr:uid="{00000000-0005-0000-0000-000013220000}"/>
    <cellStyle name="20 % - Markeringsfarve3 3 3 7 4 2" xfId="27190" xr:uid="{00000000-0005-0000-0000-000014220000}"/>
    <cellStyle name="20 % - Markeringsfarve3 3 3 7 4 3" xfId="42156" xr:uid="{00000000-0005-0000-0000-000015220000}"/>
    <cellStyle name="20 % - Markeringsfarve3 3 3 7 5" xfId="20168" xr:uid="{00000000-0005-0000-0000-000016220000}"/>
    <cellStyle name="20 % - Markeringsfarve3 3 3 7 6" xfId="35157" xr:uid="{00000000-0005-0000-0000-000017220000}"/>
    <cellStyle name="20 % - Markeringsfarve3 3 3 8" xfId="2316" xr:uid="{00000000-0005-0000-0000-000018220000}"/>
    <cellStyle name="20 % - Markeringsfarve3 3 3 8 2" xfId="6813" xr:uid="{00000000-0005-0000-0000-000019220000}"/>
    <cellStyle name="20 % - Markeringsfarve3 3 3 8 2 2" xfId="14724" xr:uid="{00000000-0005-0000-0000-00001A220000}"/>
    <cellStyle name="20 % - Markeringsfarve3 3 3 8 2 2 2" xfId="31038" xr:uid="{00000000-0005-0000-0000-00001B220000}"/>
    <cellStyle name="20 % - Markeringsfarve3 3 3 8 2 2 3" xfId="46002" xr:uid="{00000000-0005-0000-0000-00001C220000}"/>
    <cellStyle name="20 % - Markeringsfarve3 3 3 8 2 3" xfId="24016" xr:uid="{00000000-0005-0000-0000-00001D220000}"/>
    <cellStyle name="20 % - Markeringsfarve3 3 3 8 2 4" xfId="39003" xr:uid="{00000000-0005-0000-0000-00001E220000}"/>
    <cellStyle name="20 % - Markeringsfarve3 3 3 8 3" xfId="10873" xr:uid="{00000000-0005-0000-0000-00001F220000}"/>
    <cellStyle name="20 % - Markeringsfarve3 3 3 8 3 2" xfId="27192" xr:uid="{00000000-0005-0000-0000-000020220000}"/>
    <cellStyle name="20 % - Markeringsfarve3 3 3 8 3 3" xfId="42158" xr:uid="{00000000-0005-0000-0000-000021220000}"/>
    <cellStyle name="20 % - Markeringsfarve3 3 3 8 4" xfId="20170" xr:uid="{00000000-0005-0000-0000-000022220000}"/>
    <cellStyle name="20 % - Markeringsfarve3 3 3 8 5" xfId="35159" xr:uid="{00000000-0005-0000-0000-000023220000}"/>
    <cellStyle name="20 % - Markeringsfarve3 3 3 9" xfId="2317" xr:uid="{00000000-0005-0000-0000-000024220000}"/>
    <cellStyle name="20 % - Markeringsfarve3 3 3 9 2" xfId="8314" xr:uid="{00000000-0005-0000-0000-000025220000}"/>
    <cellStyle name="20 % - Markeringsfarve3 3 3 9 2 2" xfId="16208" xr:uid="{00000000-0005-0000-0000-000026220000}"/>
    <cellStyle name="20 % - Markeringsfarve3 3 3 9 2 2 2" xfId="32522" xr:uid="{00000000-0005-0000-0000-000027220000}"/>
    <cellStyle name="20 % - Markeringsfarve3 3 3 9 2 2 3" xfId="47486" xr:uid="{00000000-0005-0000-0000-000028220000}"/>
    <cellStyle name="20 % - Markeringsfarve3 3 3 9 2 3" xfId="25500" xr:uid="{00000000-0005-0000-0000-000029220000}"/>
    <cellStyle name="20 % - Markeringsfarve3 3 3 9 2 4" xfId="40487" xr:uid="{00000000-0005-0000-0000-00002A220000}"/>
    <cellStyle name="20 % - Markeringsfarve3 3 3 9 3" xfId="10874" xr:uid="{00000000-0005-0000-0000-00002B220000}"/>
    <cellStyle name="20 % - Markeringsfarve3 3 3 9 3 2" xfId="27193" xr:uid="{00000000-0005-0000-0000-00002C220000}"/>
    <cellStyle name="20 % - Markeringsfarve3 3 3 9 3 3" xfId="42159" xr:uid="{00000000-0005-0000-0000-00002D220000}"/>
    <cellStyle name="20 % - Markeringsfarve3 3 3 9 4" xfId="20171" xr:uid="{00000000-0005-0000-0000-00002E220000}"/>
    <cellStyle name="20 % - Markeringsfarve3 3 3 9 5" xfId="35160" xr:uid="{00000000-0005-0000-0000-00002F220000}"/>
    <cellStyle name="20 % - Markeringsfarve3 3 4" xfId="2318" xr:uid="{00000000-0005-0000-0000-000030220000}"/>
    <cellStyle name="20 % - Markeringsfarve3 3 4 2" xfId="2319" xr:uid="{00000000-0005-0000-0000-000031220000}"/>
    <cellStyle name="20 % - Markeringsfarve3 3 4 2 2" xfId="2320" xr:uid="{00000000-0005-0000-0000-000032220000}"/>
    <cellStyle name="20 % - Markeringsfarve3 3 4 2 2 2" xfId="7626" xr:uid="{00000000-0005-0000-0000-000033220000}"/>
    <cellStyle name="20 % - Markeringsfarve3 3 4 2 2 2 2" xfId="15527" xr:uid="{00000000-0005-0000-0000-000034220000}"/>
    <cellStyle name="20 % - Markeringsfarve3 3 4 2 2 2 2 2" xfId="31841" xr:uid="{00000000-0005-0000-0000-000035220000}"/>
    <cellStyle name="20 % - Markeringsfarve3 3 4 2 2 2 2 3" xfId="46805" xr:uid="{00000000-0005-0000-0000-000036220000}"/>
    <cellStyle name="20 % - Markeringsfarve3 3 4 2 2 2 3" xfId="24819" xr:uid="{00000000-0005-0000-0000-000037220000}"/>
    <cellStyle name="20 % - Markeringsfarve3 3 4 2 2 2 4" xfId="39806" xr:uid="{00000000-0005-0000-0000-000038220000}"/>
    <cellStyle name="20 % - Markeringsfarve3 3 4 2 2 3" xfId="10877" xr:uid="{00000000-0005-0000-0000-000039220000}"/>
    <cellStyle name="20 % - Markeringsfarve3 3 4 2 2 3 2" xfId="27196" xr:uid="{00000000-0005-0000-0000-00003A220000}"/>
    <cellStyle name="20 % - Markeringsfarve3 3 4 2 2 3 3" xfId="42162" xr:uid="{00000000-0005-0000-0000-00003B220000}"/>
    <cellStyle name="20 % - Markeringsfarve3 3 4 2 2 4" xfId="20174" xr:uid="{00000000-0005-0000-0000-00003C220000}"/>
    <cellStyle name="20 % - Markeringsfarve3 3 4 2 2 5" xfId="35163" xr:uid="{00000000-0005-0000-0000-00003D220000}"/>
    <cellStyle name="20 % - Markeringsfarve3 3 4 2 3" xfId="6206" xr:uid="{00000000-0005-0000-0000-00003E220000}"/>
    <cellStyle name="20 % - Markeringsfarve3 3 4 2 3 2" xfId="14123" xr:uid="{00000000-0005-0000-0000-00003F220000}"/>
    <cellStyle name="20 % - Markeringsfarve3 3 4 2 3 2 2" xfId="30437" xr:uid="{00000000-0005-0000-0000-000040220000}"/>
    <cellStyle name="20 % - Markeringsfarve3 3 4 2 3 2 3" xfId="45401" xr:uid="{00000000-0005-0000-0000-000041220000}"/>
    <cellStyle name="20 % - Markeringsfarve3 3 4 2 3 3" xfId="23415" xr:uid="{00000000-0005-0000-0000-000042220000}"/>
    <cellStyle name="20 % - Markeringsfarve3 3 4 2 3 4" xfId="38402" xr:uid="{00000000-0005-0000-0000-000043220000}"/>
    <cellStyle name="20 % - Markeringsfarve3 3 4 2 4" xfId="10876" xr:uid="{00000000-0005-0000-0000-000044220000}"/>
    <cellStyle name="20 % - Markeringsfarve3 3 4 2 4 2" xfId="27195" xr:uid="{00000000-0005-0000-0000-000045220000}"/>
    <cellStyle name="20 % - Markeringsfarve3 3 4 2 4 3" xfId="42161" xr:uid="{00000000-0005-0000-0000-000046220000}"/>
    <cellStyle name="20 % - Markeringsfarve3 3 4 2 5" xfId="20173" xr:uid="{00000000-0005-0000-0000-000047220000}"/>
    <cellStyle name="20 % - Markeringsfarve3 3 4 2 6" xfId="35162" xr:uid="{00000000-0005-0000-0000-000048220000}"/>
    <cellStyle name="20 % - Markeringsfarve3 3 4 3" xfId="2321" xr:uid="{00000000-0005-0000-0000-000049220000}"/>
    <cellStyle name="20 % - Markeringsfarve3 3 4 3 2" xfId="6856" xr:uid="{00000000-0005-0000-0000-00004A220000}"/>
    <cellStyle name="20 % - Markeringsfarve3 3 4 3 2 2" xfId="14767" xr:uid="{00000000-0005-0000-0000-00004B220000}"/>
    <cellStyle name="20 % - Markeringsfarve3 3 4 3 2 2 2" xfId="31081" xr:uid="{00000000-0005-0000-0000-00004C220000}"/>
    <cellStyle name="20 % - Markeringsfarve3 3 4 3 2 2 3" xfId="46045" xr:uid="{00000000-0005-0000-0000-00004D220000}"/>
    <cellStyle name="20 % - Markeringsfarve3 3 4 3 2 3" xfId="24059" xr:uid="{00000000-0005-0000-0000-00004E220000}"/>
    <cellStyle name="20 % - Markeringsfarve3 3 4 3 2 4" xfId="39046" xr:uid="{00000000-0005-0000-0000-00004F220000}"/>
    <cellStyle name="20 % - Markeringsfarve3 3 4 3 3" xfId="10878" xr:uid="{00000000-0005-0000-0000-000050220000}"/>
    <cellStyle name="20 % - Markeringsfarve3 3 4 3 3 2" xfId="27197" xr:uid="{00000000-0005-0000-0000-000051220000}"/>
    <cellStyle name="20 % - Markeringsfarve3 3 4 3 3 3" xfId="42163" xr:uid="{00000000-0005-0000-0000-000052220000}"/>
    <cellStyle name="20 % - Markeringsfarve3 3 4 3 4" xfId="20175" xr:uid="{00000000-0005-0000-0000-000053220000}"/>
    <cellStyle name="20 % - Markeringsfarve3 3 4 3 5" xfId="35164" xr:uid="{00000000-0005-0000-0000-000054220000}"/>
    <cellStyle name="20 % - Markeringsfarve3 3 4 4" xfId="2322" xr:uid="{00000000-0005-0000-0000-000055220000}"/>
    <cellStyle name="20 % - Markeringsfarve3 3 4 4 2" xfId="8798" xr:uid="{00000000-0005-0000-0000-000056220000}"/>
    <cellStyle name="20 % - Markeringsfarve3 3 4 4 2 2" xfId="16674" xr:uid="{00000000-0005-0000-0000-000057220000}"/>
    <cellStyle name="20 % - Markeringsfarve3 3 4 4 2 2 2" xfId="32988" xr:uid="{00000000-0005-0000-0000-000058220000}"/>
    <cellStyle name="20 % - Markeringsfarve3 3 4 4 2 2 3" xfId="47952" xr:uid="{00000000-0005-0000-0000-000059220000}"/>
    <cellStyle name="20 % - Markeringsfarve3 3 4 4 2 3" xfId="25966" xr:uid="{00000000-0005-0000-0000-00005A220000}"/>
    <cellStyle name="20 % - Markeringsfarve3 3 4 4 2 4" xfId="40953" xr:uid="{00000000-0005-0000-0000-00005B220000}"/>
    <cellStyle name="20 % - Markeringsfarve3 3 4 4 3" xfId="10879" xr:uid="{00000000-0005-0000-0000-00005C220000}"/>
    <cellStyle name="20 % - Markeringsfarve3 3 4 4 3 2" xfId="27198" xr:uid="{00000000-0005-0000-0000-00005D220000}"/>
    <cellStyle name="20 % - Markeringsfarve3 3 4 4 3 3" xfId="42164" xr:uid="{00000000-0005-0000-0000-00005E220000}"/>
    <cellStyle name="20 % - Markeringsfarve3 3 4 4 4" xfId="20176" xr:uid="{00000000-0005-0000-0000-00005F220000}"/>
    <cellStyle name="20 % - Markeringsfarve3 3 4 4 5" xfId="35165" xr:uid="{00000000-0005-0000-0000-000060220000}"/>
    <cellStyle name="20 % - Markeringsfarve3 3 4 5" xfId="5555" xr:uid="{00000000-0005-0000-0000-000061220000}"/>
    <cellStyle name="20 % - Markeringsfarve3 3 4 5 2" xfId="13473" xr:uid="{00000000-0005-0000-0000-000062220000}"/>
    <cellStyle name="20 % - Markeringsfarve3 3 4 5 2 2" xfId="29787" xr:uid="{00000000-0005-0000-0000-000063220000}"/>
    <cellStyle name="20 % - Markeringsfarve3 3 4 5 2 3" xfId="44751" xr:uid="{00000000-0005-0000-0000-000064220000}"/>
    <cellStyle name="20 % - Markeringsfarve3 3 4 5 3" xfId="22765" xr:uid="{00000000-0005-0000-0000-000065220000}"/>
    <cellStyle name="20 % - Markeringsfarve3 3 4 5 4" xfId="37752" xr:uid="{00000000-0005-0000-0000-000066220000}"/>
    <cellStyle name="20 % - Markeringsfarve3 3 4 6" xfId="10875" xr:uid="{00000000-0005-0000-0000-000067220000}"/>
    <cellStyle name="20 % - Markeringsfarve3 3 4 6 2" xfId="27194" xr:uid="{00000000-0005-0000-0000-000068220000}"/>
    <cellStyle name="20 % - Markeringsfarve3 3 4 6 3" xfId="42160" xr:uid="{00000000-0005-0000-0000-000069220000}"/>
    <cellStyle name="20 % - Markeringsfarve3 3 4 7" xfId="20172" xr:uid="{00000000-0005-0000-0000-00006A220000}"/>
    <cellStyle name="20 % - Markeringsfarve3 3 4 8" xfId="35161" xr:uid="{00000000-0005-0000-0000-00006B220000}"/>
    <cellStyle name="20 % - Markeringsfarve3 3 5" xfId="2323" xr:uid="{00000000-0005-0000-0000-00006C220000}"/>
    <cellStyle name="20 % - Markeringsfarve3 3 5 2" xfId="2324" xr:uid="{00000000-0005-0000-0000-00006D220000}"/>
    <cellStyle name="20 % - Markeringsfarve3 3 5 2 2" xfId="2325" xr:uid="{00000000-0005-0000-0000-00006E220000}"/>
    <cellStyle name="20 % - Markeringsfarve3 3 5 2 2 2" xfId="7747" xr:uid="{00000000-0005-0000-0000-00006F220000}"/>
    <cellStyle name="20 % - Markeringsfarve3 3 5 2 2 2 2" xfId="15648" xr:uid="{00000000-0005-0000-0000-000070220000}"/>
    <cellStyle name="20 % - Markeringsfarve3 3 5 2 2 2 2 2" xfId="31962" xr:uid="{00000000-0005-0000-0000-000071220000}"/>
    <cellStyle name="20 % - Markeringsfarve3 3 5 2 2 2 2 3" xfId="46926" xr:uid="{00000000-0005-0000-0000-000072220000}"/>
    <cellStyle name="20 % - Markeringsfarve3 3 5 2 2 2 3" xfId="24940" xr:uid="{00000000-0005-0000-0000-000073220000}"/>
    <cellStyle name="20 % - Markeringsfarve3 3 5 2 2 2 4" xfId="39927" xr:uid="{00000000-0005-0000-0000-000074220000}"/>
    <cellStyle name="20 % - Markeringsfarve3 3 5 2 2 3" xfId="10882" xr:uid="{00000000-0005-0000-0000-000075220000}"/>
    <cellStyle name="20 % - Markeringsfarve3 3 5 2 2 3 2" xfId="27201" xr:uid="{00000000-0005-0000-0000-000076220000}"/>
    <cellStyle name="20 % - Markeringsfarve3 3 5 2 2 3 3" xfId="42167" xr:uid="{00000000-0005-0000-0000-000077220000}"/>
    <cellStyle name="20 % - Markeringsfarve3 3 5 2 2 4" xfId="20179" xr:uid="{00000000-0005-0000-0000-000078220000}"/>
    <cellStyle name="20 % - Markeringsfarve3 3 5 2 2 5" xfId="35168" xr:uid="{00000000-0005-0000-0000-000079220000}"/>
    <cellStyle name="20 % - Markeringsfarve3 3 5 2 3" xfId="6311" xr:uid="{00000000-0005-0000-0000-00007A220000}"/>
    <cellStyle name="20 % - Markeringsfarve3 3 5 2 3 2" xfId="14228" xr:uid="{00000000-0005-0000-0000-00007B220000}"/>
    <cellStyle name="20 % - Markeringsfarve3 3 5 2 3 2 2" xfId="30542" xr:uid="{00000000-0005-0000-0000-00007C220000}"/>
    <cellStyle name="20 % - Markeringsfarve3 3 5 2 3 2 3" xfId="45506" xr:uid="{00000000-0005-0000-0000-00007D220000}"/>
    <cellStyle name="20 % - Markeringsfarve3 3 5 2 3 3" xfId="23520" xr:uid="{00000000-0005-0000-0000-00007E220000}"/>
    <cellStyle name="20 % - Markeringsfarve3 3 5 2 3 4" xfId="38507" xr:uid="{00000000-0005-0000-0000-00007F220000}"/>
    <cellStyle name="20 % - Markeringsfarve3 3 5 2 4" xfId="10881" xr:uid="{00000000-0005-0000-0000-000080220000}"/>
    <cellStyle name="20 % - Markeringsfarve3 3 5 2 4 2" xfId="27200" xr:uid="{00000000-0005-0000-0000-000081220000}"/>
    <cellStyle name="20 % - Markeringsfarve3 3 5 2 4 3" xfId="42166" xr:uid="{00000000-0005-0000-0000-000082220000}"/>
    <cellStyle name="20 % - Markeringsfarve3 3 5 2 5" xfId="20178" xr:uid="{00000000-0005-0000-0000-000083220000}"/>
    <cellStyle name="20 % - Markeringsfarve3 3 5 2 6" xfId="35167" xr:uid="{00000000-0005-0000-0000-000084220000}"/>
    <cellStyle name="20 % - Markeringsfarve3 3 5 3" xfId="2326" xr:uid="{00000000-0005-0000-0000-000085220000}"/>
    <cellStyle name="20 % - Markeringsfarve3 3 5 3 2" xfId="6977" xr:uid="{00000000-0005-0000-0000-000086220000}"/>
    <cellStyle name="20 % - Markeringsfarve3 3 5 3 2 2" xfId="14888" xr:uid="{00000000-0005-0000-0000-000087220000}"/>
    <cellStyle name="20 % - Markeringsfarve3 3 5 3 2 2 2" xfId="31202" xr:uid="{00000000-0005-0000-0000-000088220000}"/>
    <cellStyle name="20 % - Markeringsfarve3 3 5 3 2 2 3" xfId="46166" xr:uid="{00000000-0005-0000-0000-000089220000}"/>
    <cellStyle name="20 % - Markeringsfarve3 3 5 3 2 3" xfId="24180" xr:uid="{00000000-0005-0000-0000-00008A220000}"/>
    <cellStyle name="20 % - Markeringsfarve3 3 5 3 2 4" xfId="39167" xr:uid="{00000000-0005-0000-0000-00008B220000}"/>
    <cellStyle name="20 % - Markeringsfarve3 3 5 3 3" xfId="10883" xr:uid="{00000000-0005-0000-0000-00008C220000}"/>
    <cellStyle name="20 % - Markeringsfarve3 3 5 3 3 2" xfId="27202" xr:uid="{00000000-0005-0000-0000-00008D220000}"/>
    <cellStyle name="20 % - Markeringsfarve3 3 5 3 3 3" xfId="42168" xr:uid="{00000000-0005-0000-0000-00008E220000}"/>
    <cellStyle name="20 % - Markeringsfarve3 3 5 3 4" xfId="20180" xr:uid="{00000000-0005-0000-0000-00008F220000}"/>
    <cellStyle name="20 % - Markeringsfarve3 3 5 3 5" xfId="35169" xr:uid="{00000000-0005-0000-0000-000090220000}"/>
    <cellStyle name="20 % - Markeringsfarve3 3 5 4" xfId="2327" xr:uid="{00000000-0005-0000-0000-000091220000}"/>
    <cellStyle name="20 % - Markeringsfarve3 3 5 4 2" xfId="8523" xr:uid="{00000000-0005-0000-0000-000092220000}"/>
    <cellStyle name="20 % - Markeringsfarve3 3 5 4 2 2" xfId="16412" xr:uid="{00000000-0005-0000-0000-000093220000}"/>
    <cellStyle name="20 % - Markeringsfarve3 3 5 4 2 2 2" xfId="32726" xr:uid="{00000000-0005-0000-0000-000094220000}"/>
    <cellStyle name="20 % - Markeringsfarve3 3 5 4 2 2 3" xfId="47690" xr:uid="{00000000-0005-0000-0000-000095220000}"/>
    <cellStyle name="20 % - Markeringsfarve3 3 5 4 2 3" xfId="25704" xr:uid="{00000000-0005-0000-0000-000096220000}"/>
    <cellStyle name="20 % - Markeringsfarve3 3 5 4 2 4" xfId="40691" xr:uid="{00000000-0005-0000-0000-000097220000}"/>
    <cellStyle name="20 % - Markeringsfarve3 3 5 4 3" xfId="10884" xr:uid="{00000000-0005-0000-0000-000098220000}"/>
    <cellStyle name="20 % - Markeringsfarve3 3 5 4 3 2" xfId="27203" xr:uid="{00000000-0005-0000-0000-000099220000}"/>
    <cellStyle name="20 % - Markeringsfarve3 3 5 4 3 3" xfId="42169" xr:uid="{00000000-0005-0000-0000-00009A220000}"/>
    <cellStyle name="20 % - Markeringsfarve3 3 5 4 4" xfId="20181" xr:uid="{00000000-0005-0000-0000-00009B220000}"/>
    <cellStyle name="20 % - Markeringsfarve3 3 5 4 5" xfId="35170" xr:uid="{00000000-0005-0000-0000-00009C220000}"/>
    <cellStyle name="20 % - Markeringsfarve3 3 5 5" xfId="5556" xr:uid="{00000000-0005-0000-0000-00009D220000}"/>
    <cellStyle name="20 % - Markeringsfarve3 3 5 5 2" xfId="13474" xr:uid="{00000000-0005-0000-0000-00009E220000}"/>
    <cellStyle name="20 % - Markeringsfarve3 3 5 5 2 2" xfId="29788" xr:uid="{00000000-0005-0000-0000-00009F220000}"/>
    <cellStyle name="20 % - Markeringsfarve3 3 5 5 2 3" xfId="44752" xr:uid="{00000000-0005-0000-0000-0000A0220000}"/>
    <cellStyle name="20 % - Markeringsfarve3 3 5 5 3" xfId="22766" xr:uid="{00000000-0005-0000-0000-0000A1220000}"/>
    <cellStyle name="20 % - Markeringsfarve3 3 5 5 4" xfId="37753" xr:uid="{00000000-0005-0000-0000-0000A2220000}"/>
    <cellStyle name="20 % - Markeringsfarve3 3 5 6" xfId="10880" xr:uid="{00000000-0005-0000-0000-0000A3220000}"/>
    <cellStyle name="20 % - Markeringsfarve3 3 5 6 2" xfId="27199" xr:uid="{00000000-0005-0000-0000-0000A4220000}"/>
    <cellStyle name="20 % - Markeringsfarve3 3 5 6 3" xfId="42165" xr:uid="{00000000-0005-0000-0000-0000A5220000}"/>
    <cellStyle name="20 % - Markeringsfarve3 3 5 7" xfId="20177" xr:uid="{00000000-0005-0000-0000-0000A6220000}"/>
    <cellStyle name="20 % - Markeringsfarve3 3 5 8" xfId="35166" xr:uid="{00000000-0005-0000-0000-0000A7220000}"/>
    <cellStyle name="20 % - Markeringsfarve3 3 6" xfId="2328" xr:uid="{00000000-0005-0000-0000-0000A8220000}"/>
    <cellStyle name="20 % - Markeringsfarve3 3 6 2" xfId="2329" xr:uid="{00000000-0005-0000-0000-0000A9220000}"/>
    <cellStyle name="20 % - Markeringsfarve3 3 6 2 2" xfId="2330" xr:uid="{00000000-0005-0000-0000-0000AA220000}"/>
    <cellStyle name="20 % - Markeringsfarve3 3 6 2 2 2" xfId="7864" xr:uid="{00000000-0005-0000-0000-0000AB220000}"/>
    <cellStyle name="20 % - Markeringsfarve3 3 6 2 2 2 2" xfId="15765" xr:uid="{00000000-0005-0000-0000-0000AC220000}"/>
    <cellStyle name="20 % - Markeringsfarve3 3 6 2 2 2 2 2" xfId="32079" xr:uid="{00000000-0005-0000-0000-0000AD220000}"/>
    <cellStyle name="20 % - Markeringsfarve3 3 6 2 2 2 2 3" xfId="47043" xr:uid="{00000000-0005-0000-0000-0000AE220000}"/>
    <cellStyle name="20 % - Markeringsfarve3 3 6 2 2 2 3" xfId="25057" xr:uid="{00000000-0005-0000-0000-0000AF220000}"/>
    <cellStyle name="20 % - Markeringsfarve3 3 6 2 2 2 4" xfId="40044" xr:uid="{00000000-0005-0000-0000-0000B0220000}"/>
    <cellStyle name="20 % - Markeringsfarve3 3 6 2 2 3" xfId="10887" xr:uid="{00000000-0005-0000-0000-0000B1220000}"/>
    <cellStyle name="20 % - Markeringsfarve3 3 6 2 2 3 2" xfId="27206" xr:uid="{00000000-0005-0000-0000-0000B2220000}"/>
    <cellStyle name="20 % - Markeringsfarve3 3 6 2 2 3 3" xfId="42172" xr:uid="{00000000-0005-0000-0000-0000B3220000}"/>
    <cellStyle name="20 % - Markeringsfarve3 3 6 2 2 4" xfId="20184" xr:uid="{00000000-0005-0000-0000-0000B4220000}"/>
    <cellStyle name="20 % - Markeringsfarve3 3 6 2 2 5" xfId="35173" xr:uid="{00000000-0005-0000-0000-0000B5220000}"/>
    <cellStyle name="20 % - Markeringsfarve3 3 6 2 3" xfId="6408" xr:uid="{00000000-0005-0000-0000-0000B6220000}"/>
    <cellStyle name="20 % - Markeringsfarve3 3 6 2 3 2" xfId="14322" xr:uid="{00000000-0005-0000-0000-0000B7220000}"/>
    <cellStyle name="20 % - Markeringsfarve3 3 6 2 3 2 2" xfId="30636" xr:uid="{00000000-0005-0000-0000-0000B8220000}"/>
    <cellStyle name="20 % - Markeringsfarve3 3 6 2 3 2 3" xfId="45600" xr:uid="{00000000-0005-0000-0000-0000B9220000}"/>
    <cellStyle name="20 % - Markeringsfarve3 3 6 2 3 3" xfId="23614" xr:uid="{00000000-0005-0000-0000-0000BA220000}"/>
    <cellStyle name="20 % - Markeringsfarve3 3 6 2 3 4" xfId="38601" xr:uid="{00000000-0005-0000-0000-0000BB220000}"/>
    <cellStyle name="20 % - Markeringsfarve3 3 6 2 4" xfId="10886" xr:uid="{00000000-0005-0000-0000-0000BC220000}"/>
    <cellStyle name="20 % - Markeringsfarve3 3 6 2 4 2" xfId="27205" xr:uid="{00000000-0005-0000-0000-0000BD220000}"/>
    <cellStyle name="20 % - Markeringsfarve3 3 6 2 4 3" xfId="42171" xr:uid="{00000000-0005-0000-0000-0000BE220000}"/>
    <cellStyle name="20 % - Markeringsfarve3 3 6 2 5" xfId="20183" xr:uid="{00000000-0005-0000-0000-0000BF220000}"/>
    <cellStyle name="20 % - Markeringsfarve3 3 6 2 6" xfId="35172" xr:uid="{00000000-0005-0000-0000-0000C0220000}"/>
    <cellStyle name="20 % - Markeringsfarve3 3 6 3" xfId="2331" xr:uid="{00000000-0005-0000-0000-0000C1220000}"/>
    <cellStyle name="20 % - Markeringsfarve3 3 6 3 2" xfId="7140" xr:uid="{00000000-0005-0000-0000-0000C2220000}"/>
    <cellStyle name="20 % - Markeringsfarve3 3 6 3 2 2" xfId="15050" xr:uid="{00000000-0005-0000-0000-0000C3220000}"/>
    <cellStyle name="20 % - Markeringsfarve3 3 6 3 2 2 2" xfId="31364" xr:uid="{00000000-0005-0000-0000-0000C4220000}"/>
    <cellStyle name="20 % - Markeringsfarve3 3 6 3 2 2 3" xfId="46328" xr:uid="{00000000-0005-0000-0000-0000C5220000}"/>
    <cellStyle name="20 % - Markeringsfarve3 3 6 3 2 3" xfId="24342" xr:uid="{00000000-0005-0000-0000-0000C6220000}"/>
    <cellStyle name="20 % - Markeringsfarve3 3 6 3 2 4" xfId="39329" xr:uid="{00000000-0005-0000-0000-0000C7220000}"/>
    <cellStyle name="20 % - Markeringsfarve3 3 6 3 3" xfId="10888" xr:uid="{00000000-0005-0000-0000-0000C8220000}"/>
    <cellStyle name="20 % - Markeringsfarve3 3 6 3 3 2" xfId="27207" xr:uid="{00000000-0005-0000-0000-0000C9220000}"/>
    <cellStyle name="20 % - Markeringsfarve3 3 6 3 3 3" xfId="42173" xr:uid="{00000000-0005-0000-0000-0000CA220000}"/>
    <cellStyle name="20 % - Markeringsfarve3 3 6 3 4" xfId="20185" xr:uid="{00000000-0005-0000-0000-0000CB220000}"/>
    <cellStyle name="20 % - Markeringsfarve3 3 6 3 5" xfId="35174" xr:uid="{00000000-0005-0000-0000-0000CC220000}"/>
    <cellStyle name="20 % - Markeringsfarve3 3 6 4" xfId="2332" xr:uid="{00000000-0005-0000-0000-0000CD220000}"/>
    <cellStyle name="20 % - Markeringsfarve3 3 6 4 2" xfId="8797" xr:uid="{00000000-0005-0000-0000-0000CE220000}"/>
    <cellStyle name="20 % - Markeringsfarve3 3 6 4 2 2" xfId="16673" xr:uid="{00000000-0005-0000-0000-0000CF220000}"/>
    <cellStyle name="20 % - Markeringsfarve3 3 6 4 2 2 2" xfId="32987" xr:uid="{00000000-0005-0000-0000-0000D0220000}"/>
    <cellStyle name="20 % - Markeringsfarve3 3 6 4 2 2 3" xfId="47951" xr:uid="{00000000-0005-0000-0000-0000D1220000}"/>
    <cellStyle name="20 % - Markeringsfarve3 3 6 4 2 3" xfId="25965" xr:uid="{00000000-0005-0000-0000-0000D2220000}"/>
    <cellStyle name="20 % - Markeringsfarve3 3 6 4 2 4" xfId="40952" xr:uid="{00000000-0005-0000-0000-0000D3220000}"/>
    <cellStyle name="20 % - Markeringsfarve3 3 6 4 3" xfId="10889" xr:uid="{00000000-0005-0000-0000-0000D4220000}"/>
    <cellStyle name="20 % - Markeringsfarve3 3 6 4 3 2" xfId="27208" xr:uid="{00000000-0005-0000-0000-0000D5220000}"/>
    <cellStyle name="20 % - Markeringsfarve3 3 6 4 3 3" xfId="42174" xr:uid="{00000000-0005-0000-0000-0000D6220000}"/>
    <cellStyle name="20 % - Markeringsfarve3 3 6 4 4" xfId="20186" xr:uid="{00000000-0005-0000-0000-0000D7220000}"/>
    <cellStyle name="20 % - Markeringsfarve3 3 6 4 5" xfId="35175" xr:uid="{00000000-0005-0000-0000-0000D8220000}"/>
    <cellStyle name="20 % - Markeringsfarve3 3 6 5" xfId="5557" xr:uid="{00000000-0005-0000-0000-0000D9220000}"/>
    <cellStyle name="20 % - Markeringsfarve3 3 6 5 2" xfId="13475" xr:uid="{00000000-0005-0000-0000-0000DA220000}"/>
    <cellStyle name="20 % - Markeringsfarve3 3 6 5 2 2" xfId="29789" xr:uid="{00000000-0005-0000-0000-0000DB220000}"/>
    <cellStyle name="20 % - Markeringsfarve3 3 6 5 2 3" xfId="44753" xr:uid="{00000000-0005-0000-0000-0000DC220000}"/>
    <cellStyle name="20 % - Markeringsfarve3 3 6 5 3" xfId="22767" xr:uid="{00000000-0005-0000-0000-0000DD220000}"/>
    <cellStyle name="20 % - Markeringsfarve3 3 6 5 4" xfId="37754" xr:uid="{00000000-0005-0000-0000-0000DE220000}"/>
    <cellStyle name="20 % - Markeringsfarve3 3 6 6" xfId="10885" xr:uid="{00000000-0005-0000-0000-0000DF220000}"/>
    <cellStyle name="20 % - Markeringsfarve3 3 6 6 2" xfId="27204" xr:uid="{00000000-0005-0000-0000-0000E0220000}"/>
    <cellStyle name="20 % - Markeringsfarve3 3 6 6 3" xfId="42170" xr:uid="{00000000-0005-0000-0000-0000E1220000}"/>
    <cellStyle name="20 % - Markeringsfarve3 3 6 7" xfId="20182" xr:uid="{00000000-0005-0000-0000-0000E2220000}"/>
    <cellStyle name="20 % - Markeringsfarve3 3 6 8" xfId="35171" xr:uid="{00000000-0005-0000-0000-0000E3220000}"/>
    <cellStyle name="20 % - Markeringsfarve3 3 7" xfId="2333" xr:uid="{00000000-0005-0000-0000-0000E4220000}"/>
    <cellStyle name="20 % - Markeringsfarve3 3 7 2" xfId="2334" xr:uid="{00000000-0005-0000-0000-0000E5220000}"/>
    <cellStyle name="20 % - Markeringsfarve3 3 7 2 2" xfId="2335" xr:uid="{00000000-0005-0000-0000-0000E6220000}"/>
    <cellStyle name="20 % - Markeringsfarve3 3 7 2 2 2" xfId="7981" xr:uid="{00000000-0005-0000-0000-0000E7220000}"/>
    <cellStyle name="20 % - Markeringsfarve3 3 7 2 2 2 2" xfId="15882" xr:uid="{00000000-0005-0000-0000-0000E8220000}"/>
    <cellStyle name="20 % - Markeringsfarve3 3 7 2 2 2 2 2" xfId="32196" xr:uid="{00000000-0005-0000-0000-0000E9220000}"/>
    <cellStyle name="20 % - Markeringsfarve3 3 7 2 2 2 2 3" xfId="47160" xr:uid="{00000000-0005-0000-0000-0000EA220000}"/>
    <cellStyle name="20 % - Markeringsfarve3 3 7 2 2 2 3" xfId="25174" xr:uid="{00000000-0005-0000-0000-0000EB220000}"/>
    <cellStyle name="20 % - Markeringsfarve3 3 7 2 2 2 4" xfId="40161" xr:uid="{00000000-0005-0000-0000-0000EC220000}"/>
    <cellStyle name="20 % - Markeringsfarve3 3 7 2 2 3" xfId="10892" xr:uid="{00000000-0005-0000-0000-0000ED220000}"/>
    <cellStyle name="20 % - Markeringsfarve3 3 7 2 2 3 2" xfId="27211" xr:uid="{00000000-0005-0000-0000-0000EE220000}"/>
    <cellStyle name="20 % - Markeringsfarve3 3 7 2 2 3 3" xfId="42177" xr:uid="{00000000-0005-0000-0000-0000EF220000}"/>
    <cellStyle name="20 % - Markeringsfarve3 3 7 2 2 4" xfId="20189" xr:uid="{00000000-0005-0000-0000-0000F0220000}"/>
    <cellStyle name="20 % - Markeringsfarve3 3 7 2 2 5" xfId="35178" xr:uid="{00000000-0005-0000-0000-0000F1220000}"/>
    <cellStyle name="20 % - Markeringsfarve3 3 7 2 3" xfId="6507" xr:uid="{00000000-0005-0000-0000-0000F2220000}"/>
    <cellStyle name="20 % - Markeringsfarve3 3 7 2 3 2" xfId="14421" xr:uid="{00000000-0005-0000-0000-0000F3220000}"/>
    <cellStyle name="20 % - Markeringsfarve3 3 7 2 3 2 2" xfId="30735" xr:uid="{00000000-0005-0000-0000-0000F4220000}"/>
    <cellStyle name="20 % - Markeringsfarve3 3 7 2 3 2 3" xfId="45699" xr:uid="{00000000-0005-0000-0000-0000F5220000}"/>
    <cellStyle name="20 % - Markeringsfarve3 3 7 2 3 3" xfId="23713" xr:uid="{00000000-0005-0000-0000-0000F6220000}"/>
    <cellStyle name="20 % - Markeringsfarve3 3 7 2 3 4" xfId="38700" xr:uid="{00000000-0005-0000-0000-0000F7220000}"/>
    <cellStyle name="20 % - Markeringsfarve3 3 7 2 4" xfId="10891" xr:uid="{00000000-0005-0000-0000-0000F8220000}"/>
    <cellStyle name="20 % - Markeringsfarve3 3 7 2 4 2" xfId="27210" xr:uid="{00000000-0005-0000-0000-0000F9220000}"/>
    <cellStyle name="20 % - Markeringsfarve3 3 7 2 4 3" xfId="42176" xr:uid="{00000000-0005-0000-0000-0000FA220000}"/>
    <cellStyle name="20 % - Markeringsfarve3 3 7 2 5" xfId="20188" xr:uid="{00000000-0005-0000-0000-0000FB220000}"/>
    <cellStyle name="20 % - Markeringsfarve3 3 7 2 6" xfId="35177" xr:uid="{00000000-0005-0000-0000-0000FC220000}"/>
    <cellStyle name="20 % - Markeringsfarve3 3 7 3" xfId="2336" xr:uid="{00000000-0005-0000-0000-0000FD220000}"/>
    <cellStyle name="20 % - Markeringsfarve3 3 7 3 2" xfId="7257" xr:uid="{00000000-0005-0000-0000-0000FE220000}"/>
    <cellStyle name="20 % - Markeringsfarve3 3 7 3 2 2" xfId="15167" xr:uid="{00000000-0005-0000-0000-0000FF220000}"/>
    <cellStyle name="20 % - Markeringsfarve3 3 7 3 2 2 2" xfId="31481" xr:uid="{00000000-0005-0000-0000-000000230000}"/>
    <cellStyle name="20 % - Markeringsfarve3 3 7 3 2 2 3" xfId="46445" xr:uid="{00000000-0005-0000-0000-000001230000}"/>
    <cellStyle name="20 % - Markeringsfarve3 3 7 3 2 3" xfId="24459" xr:uid="{00000000-0005-0000-0000-000002230000}"/>
    <cellStyle name="20 % - Markeringsfarve3 3 7 3 2 4" xfId="39446" xr:uid="{00000000-0005-0000-0000-000003230000}"/>
    <cellStyle name="20 % - Markeringsfarve3 3 7 3 3" xfId="10893" xr:uid="{00000000-0005-0000-0000-000004230000}"/>
    <cellStyle name="20 % - Markeringsfarve3 3 7 3 3 2" xfId="27212" xr:uid="{00000000-0005-0000-0000-000005230000}"/>
    <cellStyle name="20 % - Markeringsfarve3 3 7 3 3 3" xfId="42178" xr:uid="{00000000-0005-0000-0000-000006230000}"/>
    <cellStyle name="20 % - Markeringsfarve3 3 7 3 4" xfId="20190" xr:uid="{00000000-0005-0000-0000-000007230000}"/>
    <cellStyle name="20 % - Markeringsfarve3 3 7 3 5" xfId="35179" xr:uid="{00000000-0005-0000-0000-000008230000}"/>
    <cellStyle name="20 % - Markeringsfarve3 3 7 4" xfId="2337" xr:uid="{00000000-0005-0000-0000-000009230000}"/>
    <cellStyle name="20 % - Markeringsfarve3 3 7 4 2" xfId="8522" xr:uid="{00000000-0005-0000-0000-00000A230000}"/>
    <cellStyle name="20 % - Markeringsfarve3 3 7 4 2 2" xfId="16411" xr:uid="{00000000-0005-0000-0000-00000B230000}"/>
    <cellStyle name="20 % - Markeringsfarve3 3 7 4 2 2 2" xfId="32725" xr:uid="{00000000-0005-0000-0000-00000C230000}"/>
    <cellStyle name="20 % - Markeringsfarve3 3 7 4 2 2 3" xfId="47689" xr:uid="{00000000-0005-0000-0000-00000D230000}"/>
    <cellStyle name="20 % - Markeringsfarve3 3 7 4 2 3" xfId="25703" xr:uid="{00000000-0005-0000-0000-00000E230000}"/>
    <cellStyle name="20 % - Markeringsfarve3 3 7 4 2 4" xfId="40690" xr:uid="{00000000-0005-0000-0000-00000F230000}"/>
    <cellStyle name="20 % - Markeringsfarve3 3 7 4 3" xfId="10894" xr:uid="{00000000-0005-0000-0000-000010230000}"/>
    <cellStyle name="20 % - Markeringsfarve3 3 7 4 3 2" xfId="27213" xr:uid="{00000000-0005-0000-0000-000011230000}"/>
    <cellStyle name="20 % - Markeringsfarve3 3 7 4 3 3" xfId="42179" xr:uid="{00000000-0005-0000-0000-000012230000}"/>
    <cellStyle name="20 % - Markeringsfarve3 3 7 4 4" xfId="20191" xr:uid="{00000000-0005-0000-0000-000013230000}"/>
    <cellStyle name="20 % - Markeringsfarve3 3 7 4 5" xfId="35180" xr:uid="{00000000-0005-0000-0000-000014230000}"/>
    <cellStyle name="20 % - Markeringsfarve3 3 7 5" xfId="5558" xr:uid="{00000000-0005-0000-0000-000015230000}"/>
    <cellStyle name="20 % - Markeringsfarve3 3 7 5 2" xfId="13476" xr:uid="{00000000-0005-0000-0000-000016230000}"/>
    <cellStyle name="20 % - Markeringsfarve3 3 7 5 2 2" xfId="29790" xr:uid="{00000000-0005-0000-0000-000017230000}"/>
    <cellStyle name="20 % - Markeringsfarve3 3 7 5 2 3" xfId="44754" xr:uid="{00000000-0005-0000-0000-000018230000}"/>
    <cellStyle name="20 % - Markeringsfarve3 3 7 5 3" xfId="22768" xr:uid="{00000000-0005-0000-0000-000019230000}"/>
    <cellStyle name="20 % - Markeringsfarve3 3 7 5 4" xfId="37755" xr:uid="{00000000-0005-0000-0000-00001A230000}"/>
    <cellStyle name="20 % - Markeringsfarve3 3 7 6" xfId="10890" xr:uid="{00000000-0005-0000-0000-00001B230000}"/>
    <cellStyle name="20 % - Markeringsfarve3 3 7 6 2" xfId="27209" xr:uid="{00000000-0005-0000-0000-00001C230000}"/>
    <cellStyle name="20 % - Markeringsfarve3 3 7 6 3" xfId="42175" xr:uid="{00000000-0005-0000-0000-00001D230000}"/>
    <cellStyle name="20 % - Markeringsfarve3 3 7 7" xfId="20187" xr:uid="{00000000-0005-0000-0000-00001E230000}"/>
    <cellStyle name="20 % - Markeringsfarve3 3 7 8" xfId="35176" xr:uid="{00000000-0005-0000-0000-00001F230000}"/>
    <cellStyle name="20 % - Markeringsfarve3 3 8" xfId="2338" xr:uid="{00000000-0005-0000-0000-000020230000}"/>
    <cellStyle name="20 % - Markeringsfarve3 3 8 2" xfId="2339" xr:uid="{00000000-0005-0000-0000-000021230000}"/>
    <cellStyle name="20 % - Markeringsfarve3 3 8 2 2" xfId="2340" xr:uid="{00000000-0005-0000-0000-000022230000}"/>
    <cellStyle name="20 % - Markeringsfarve3 3 8 2 2 2" xfId="8102" xr:uid="{00000000-0005-0000-0000-000023230000}"/>
    <cellStyle name="20 % - Markeringsfarve3 3 8 2 2 2 2" xfId="16003" xr:uid="{00000000-0005-0000-0000-000024230000}"/>
    <cellStyle name="20 % - Markeringsfarve3 3 8 2 2 2 2 2" xfId="32317" xr:uid="{00000000-0005-0000-0000-000025230000}"/>
    <cellStyle name="20 % - Markeringsfarve3 3 8 2 2 2 2 3" xfId="47281" xr:uid="{00000000-0005-0000-0000-000026230000}"/>
    <cellStyle name="20 % - Markeringsfarve3 3 8 2 2 2 3" xfId="25295" xr:uid="{00000000-0005-0000-0000-000027230000}"/>
    <cellStyle name="20 % - Markeringsfarve3 3 8 2 2 2 4" xfId="40282" xr:uid="{00000000-0005-0000-0000-000028230000}"/>
    <cellStyle name="20 % - Markeringsfarve3 3 8 2 2 3" xfId="10897" xr:uid="{00000000-0005-0000-0000-000029230000}"/>
    <cellStyle name="20 % - Markeringsfarve3 3 8 2 2 3 2" xfId="27216" xr:uid="{00000000-0005-0000-0000-00002A230000}"/>
    <cellStyle name="20 % - Markeringsfarve3 3 8 2 2 3 3" xfId="42182" xr:uid="{00000000-0005-0000-0000-00002B230000}"/>
    <cellStyle name="20 % - Markeringsfarve3 3 8 2 2 4" xfId="20194" xr:uid="{00000000-0005-0000-0000-00002C230000}"/>
    <cellStyle name="20 % - Markeringsfarve3 3 8 2 2 5" xfId="35183" xr:uid="{00000000-0005-0000-0000-00002D230000}"/>
    <cellStyle name="20 % - Markeringsfarve3 3 8 2 3" xfId="6613" xr:uid="{00000000-0005-0000-0000-00002E230000}"/>
    <cellStyle name="20 % - Markeringsfarve3 3 8 2 3 2" xfId="14527" xr:uid="{00000000-0005-0000-0000-00002F230000}"/>
    <cellStyle name="20 % - Markeringsfarve3 3 8 2 3 2 2" xfId="30841" xr:uid="{00000000-0005-0000-0000-000030230000}"/>
    <cellStyle name="20 % - Markeringsfarve3 3 8 2 3 2 3" xfId="45805" xr:uid="{00000000-0005-0000-0000-000031230000}"/>
    <cellStyle name="20 % - Markeringsfarve3 3 8 2 3 3" xfId="23819" xr:uid="{00000000-0005-0000-0000-000032230000}"/>
    <cellStyle name="20 % - Markeringsfarve3 3 8 2 3 4" xfId="38806" xr:uid="{00000000-0005-0000-0000-000033230000}"/>
    <cellStyle name="20 % - Markeringsfarve3 3 8 2 4" xfId="10896" xr:uid="{00000000-0005-0000-0000-000034230000}"/>
    <cellStyle name="20 % - Markeringsfarve3 3 8 2 4 2" xfId="27215" xr:uid="{00000000-0005-0000-0000-000035230000}"/>
    <cellStyle name="20 % - Markeringsfarve3 3 8 2 4 3" xfId="42181" xr:uid="{00000000-0005-0000-0000-000036230000}"/>
    <cellStyle name="20 % - Markeringsfarve3 3 8 2 5" xfId="20193" xr:uid="{00000000-0005-0000-0000-000037230000}"/>
    <cellStyle name="20 % - Markeringsfarve3 3 8 2 6" xfId="35182" xr:uid="{00000000-0005-0000-0000-000038230000}"/>
    <cellStyle name="20 % - Markeringsfarve3 3 8 3" xfId="2341" xr:uid="{00000000-0005-0000-0000-000039230000}"/>
    <cellStyle name="20 % - Markeringsfarve3 3 8 3 2" xfId="7379" xr:uid="{00000000-0005-0000-0000-00003A230000}"/>
    <cellStyle name="20 % - Markeringsfarve3 3 8 3 2 2" xfId="15289" xr:uid="{00000000-0005-0000-0000-00003B230000}"/>
    <cellStyle name="20 % - Markeringsfarve3 3 8 3 2 2 2" xfId="31603" xr:uid="{00000000-0005-0000-0000-00003C230000}"/>
    <cellStyle name="20 % - Markeringsfarve3 3 8 3 2 2 3" xfId="46567" xr:uid="{00000000-0005-0000-0000-00003D230000}"/>
    <cellStyle name="20 % - Markeringsfarve3 3 8 3 2 3" xfId="24581" xr:uid="{00000000-0005-0000-0000-00003E230000}"/>
    <cellStyle name="20 % - Markeringsfarve3 3 8 3 2 4" xfId="39568" xr:uid="{00000000-0005-0000-0000-00003F230000}"/>
    <cellStyle name="20 % - Markeringsfarve3 3 8 3 3" xfId="10898" xr:uid="{00000000-0005-0000-0000-000040230000}"/>
    <cellStyle name="20 % - Markeringsfarve3 3 8 3 3 2" xfId="27217" xr:uid="{00000000-0005-0000-0000-000041230000}"/>
    <cellStyle name="20 % - Markeringsfarve3 3 8 3 3 3" xfId="42183" xr:uid="{00000000-0005-0000-0000-000042230000}"/>
    <cellStyle name="20 % - Markeringsfarve3 3 8 3 4" xfId="20195" xr:uid="{00000000-0005-0000-0000-000043230000}"/>
    <cellStyle name="20 % - Markeringsfarve3 3 8 3 5" xfId="35184" xr:uid="{00000000-0005-0000-0000-000044230000}"/>
    <cellStyle name="20 % - Markeringsfarve3 3 8 4" xfId="2342" xr:uid="{00000000-0005-0000-0000-000045230000}"/>
    <cellStyle name="20 % - Markeringsfarve3 3 8 4 2" xfId="7108" xr:uid="{00000000-0005-0000-0000-000046230000}"/>
    <cellStyle name="20 % - Markeringsfarve3 3 8 4 2 2" xfId="15018" xr:uid="{00000000-0005-0000-0000-000047230000}"/>
    <cellStyle name="20 % - Markeringsfarve3 3 8 4 2 2 2" xfId="31332" xr:uid="{00000000-0005-0000-0000-000048230000}"/>
    <cellStyle name="20 % - Markeringsfarve3 3 8 4 2 2 3" xfId="46296" xr:uid="{00000000-0005-0000-0000-000049230000}"/>
    <cellStyle name="20 % - Markeringsfarve3 3 8 4 2 3" xfId="24310" xr:uid="{00000000-0005-0000-0000-00004A230000}"/>
    <cellStyle name="20 % - Markeringsfarve3 3 8 4 2 4" xfId="39297" xr:uid="{00000000-0005-0000-0000-00004B230000}"/>
    <cellStyle name="20 % - Markeringsfarve3 3 8 4 3" xfId="10899" xr:uid="{00000000-0005-0000-0000-00004C230000}"/>
    <cellStyle name="20 % - Markeringsfarve3 3 8 4 3 2" xfId="27218" xr:uid="{00000000-0005-0000-0000-00004D230000}"/>
    <cellStyle name="20 % - Markeringsfarve3 3 8 4 3 3" xfId="42184" xr:uid="{00000000-0005-0000-0000-00004E230000}"/>
    <cellStyle name="20 % - Markeringsfarve3 3 8 4 4" xfId="20196" xr:uid="{00000000-0005-0000-0000-00004F230000}"/>
    <cellStyle name="20 % - Markeringsfarve3 3 8 4 5" xfId="35185" xr:uid="{00000000-0005-0000-0000-000050230000}"/>
    <cellStyle name="20 % - Markeringsfarve3 3 8 5" xfId="5559" xr:uid="{00000000-0005-0000-0000-000051230000}"/>
    <cellStyle name="20 % - Markeringsfarve3 3 8 5 2" xfId="13477" xr:uid="{00000000-0005-0000-0000-000052230000}"/>
    <cellStyle name="20 % - Markeringsfarve3 3 8 5 2 2" xfId="29791" xr:uid="{00000000-0005-0000-0000-000053230000}"/>
    <cellStyle name="20 % - Markeringsfarve3 3 8 5 2 3" xfId="44755" xr:uid="{00000000-0005-0000-0000-000054230000}"/>
    <cellStyle name="20 % - Markeringsfarve3 3 8 5 3" xfId="22769" xr:uid="{00000000-0005-0000-0000-000055230000}"/>
    <cellStyle name="20 % - Markeringsfarve3 3 8 5 4" xfId="37756" xr:uid="{00000000-0005-0000-0000-000056230000}"/>
    <cellStyle name="20 % - Markeringsfarve3 3 8 6" xfId="10895" xr:uid="{00000000-0005-0000-0000-000057230000}"/>
    <cellStyle name="20 % - Markeringsfarve3 3 8 6 2" xfId="27214" xr:uid="{00000000-0005-0000-0000-000058230000}"/>
    <cellStyle name="20 % - Markeringsfarve3 3 8 6 3" xfId="42180" xr:uid="{00000000-0005-0000-0000-000059230000}"/>
    <cellStyle name="20 % - Markeringsfarve3 3 8 7" xfId="20192" xr:uid="{00000000-0005-0000-0000-00005A230000}"/>
    <cellStyle name="20 % - Markeringsfarve3 3 8 8" xfId="35181" xr:uid="{00000000-0005-0000-0000-00005B230000}"/>
    <cellStyle name="20 % - Markeringsfarve3 3 9" xfId="2343" xr:uid="{00000000-0005-0000-0000-00005C230000}"/>
    <cellStyle name="20 % - Markeringsfarve3 3 9 2" xfId="2344" xr:uid="{00000000-0005-0000-0000-00005D230000}"/>
    <cellStyle name="20 % - Markeringsfarve3 3 9 2 2" xfId="7507" xr:uid="{00000000-0005-0000-0000-00005E230000}"/>
    <cellStyle name="20 % - Markeringsfarve3 3 9 2 2 2" xfId="15408" xr:uid="{00000000-0005-0000-0000-00005F230000}"/>
    <cellStyle name="20 % - Markeringsfarve3 3 9 2 2 2 2" xfId="31722" xr:uid="{00000000-0005-0000-0000-000060230000}"/>
    <cellStyle name="20 % - Markeringsfarve3 3 9 2 2 2 3" xfId="46686" xr:uid="{00000000-0005-0000-0000-000061230000}"/>
    <cellStyle name="20 % - Markeringsfarve3 3 9 2 2 3" xfId="24700" xr:uid="{00000000-0005-0000-0000-000062230000}"/>
    <cellStyle name="20 % - Markeringsfarve3 3 9 2 2 4" xfId="39687" xr:uid="{00000000-0005-0000-0000-000063230000}"/>
    <cellStyle name="20 % - Markeringsfarve3 3 9 2 3" xfId="10901" xr:uid="{00000000-0005-0000-0000-000064230000}"/>
    <cellStyle name="20 % - Markeringsfarve3 3 9 2 3 2" xfId="27220" xr:uid="{00000000-0005-0000-0000-000065230000}"/>
    <cellStyle name="20 % - Markeringsfarve3 3 9 2 3 3" xfId="42186" xr:uid="{00000000-0005-0000-0000-000066230000}"/>
    <cellStyle name="20 % - Markeringsfarve3 3 9 2 4" xfId="20198" xr:uid="{00000000-0005-0000-0000-000067230000}"/>
    <cellStyle name="20 % - Markeringsfarve3 3 9 2 5" xfId="35187" xr:uid="{00000000-0005-0000-0000-000068230000}"/>
    <cellStyle name="20 % - Markeringsfarve3 3 9 3" xfId="6107" xr:uid="{00000000-0005-0000-0000-000069230000}"/>
    <cellStyle name="20 % - Markeringsfarve3 3 9 3 2" xfId="14024" xr:uid="{00000000-0005-0000-0000-00006A230000}"/>
    <cellStyle name="20 % - Markeringsfarve3 3 9 3 2 2" xfId="30338" xr:uid="{00000000-0005-0000-0000-00006B230000}"/>
    <cellStyle name="20 % - Markeringsfarve3 3 9 3 2 3" xfId="45302" xr:uid="{00000000-0005-0000-0000-00006C230000}"/>
    <cellStyle name="20 % - Markeringsfarve3 3 9 3 3" xfId="23316" xr:uid="{00000000-0005-0000-0000-00006D230000}"/>
    <cellStyle name="20 % - Markeringsfarve3 3 9 3 4" xfId="38303" xr:uid="{00000000-0005-0000-0000-00006E230000}"/>
    <cellStyle name="20 % - Markeringsfarve3 3 9 4" xfId="10900" xr:uid="{00000000-0005-0000-0000-00006F230000}"/>
    <cellStyle name="20 % - Markeringsfarve3 3 9 4 2" xfId="27219" xr:uid="{00000000-0005-0000-0000-000070230000}"/>
    <cellStyle name="20 % - Markeringsfarve3 3 9 4 3" xfId="42185" xr:uid="{00000000-0005-0000-0000-000071230000}"/>
    <cellStyle name="20 % - Markeringsfarve3 3 9 5" xfId="20197" xr:uid="{00000000-0005-0000-0000-000072230000}"/>
    <cellStyle name="20 % - Markeringsfarve3 3 9 6" xfId="35186" xr:uid="{00000000-0005-0000-0000-000073230000}"/>
    <cellStyle name="20 % - Markeringsfarve3 4" xfId="2345" xr:uid="{00000000-0005-0000-0000-000074230000}"/>
    <cellStyle name="20 % - Markeringsfarve3 4 10" xfId="5560" xr:uid="{00000000-0005-0000-0000-000075230000}"/>
    <cellStyle name="20 % - Markeringsfarve3 4 10 2" xfId="13478" xr:uid="{00000000-0005-0000-0000-000076230000}"/>
    <cellStyle name="20 % - Markeringsfarve3 4 10 2 2" xfId="29792" xr:uid="{00000000-0005-0000-0000-000077230000}"/>
    <cellStyle name="20 % - Markeringsfarve3 4 10 2 3" xfId="44756" xr:uid="{00000000-0005-0000-0000-000078230000}"/>
    <cellStyle name="20 % - Markeringsfarve3 4 10 3" xfId="22770" xr:uid="{00000000-0005-0000-0000-000079230000}"/>
    <cellStyle name="20 % - Markeringsfarve3 4 10 4" xfId="37757" xr:uid="{00000000-0005-0000-0000-00007A230000}"/>
    <cellStyle name="20 % - Markeringsfarve3 4 11" xfId="10902" xr:uid="{00000000-0005-0000-0000-00007B230000}"/>
    <cellStyle name="20 % - Markeringsfarve3 4 11 2" xfId="27221" xr:uid="{00000000-0005-0000-0000-00007C230000}"/>
    <cellStyle name="20 % - Markeringsfarve3 4 11 3" xfId="42187" xr:uid="{00000000-0005-0000-0000-00007D230000}"/>
    <cellStyle name="20 % - Markeringsfarve3 4 12" xfId="20199" xr:uid="{00000000-0005-0000-0000-00007E230000}"/>
    <cellStyle name="20 % - Markeringsfarve3 4 13" xfId="35188" xr:uid="{00000000-0005-0000-0000-00007F230000}"/>
    <cellStyle name="20 % - Markeringsfarve3 4 14" xfId="53364" xr:uid="{00000000-0005-0000-0000-000080230000}"/>
    <cellStyle name="20 % - Markeringsfarve3 4 2" xfId="2346" xr:uid="{00000000-0005-0000-0000-000081230000}"/>
    <cellStyle name="20 % - Markeringsfarve3 4 2 2" xfId="2347" xr:uid="{00000000-0005-0000-0000-000082230000}"/>
    <cellStyle name="20 % - Markeringsfarve3 4 2 2 2" xfId="2348" xr:uid="{00000000-0005-0000-0000-000083230000}"/>
    <cellStyle name="20 % - Markeringsfarve3 4 2 2 2 2" xfId="7651" xr:uid="{00000000-0005-0000-0000-000084230000}"/>
    <cellStyle name="20 % - Markeringsfarve3 4 2 2 2 2 2" xfId="15552" xr:uid="{00000000-0005-0000-0000-000085230000}"/>
    <cellStyle name="20 % - Markeringsfarve3 4 2 2 2 2 2 2" xfId="31866" xr:uid="{00000000-0005-0000-0000-000086230000}"/>
    <cellStyle name="20 % - Markeringsfarve3 4 2 2 2 2 2 3" xfId="46830" xr:uid="{00000000-0005-0000-0000-000087230000}"/>
    <cellStyle name="20 % - Markeringsfarve3 4 2 2 2 2 3" xfId="24844" xr:uid="{00000000-0005-0000-0000-000088230000}"/>
    <cellStyle name="20 % - Markeringsfarve3 4 2 2 2 2 4" xfId="39831" xr:uid="{00000000-0005-0000-0000-000089230000}"/>
    <cellStyle name="20 % - Markeringsfarve3 4 2 2 2 3" xfId="10905" xr:uid="{00000000-0005-0000-0000-00008A230000}"/>
    <cellStyle name="20 % - Markeringsfarve3 4 2 2 2 3 2" xfId="27224" xr:uid="{00000000-0005-0000-0000-00008B230000}"/>
    <cellStyle name="20 % - Markeringsfarve3 4 2 2 2 3 3" xfId="42190" xr:uid="{00000000-0005-0000-0000-00008C230000}"/>
    <cellStyle name="20 % - Markeringsfarve3 4 2 2 2 4" xfId="20202" xr:uid="{00000000-0005-0000-0000-00008D230000}"/>
    <cellStyle name="20 % - Markeringsfarve3 4 2 2 2 5" xfId="35191" xr:uid="{00000000-0005-0000-0000-00008E230000}"/>
    <cellStyle name="20 % - Markeringsfarve3 4 2 2 3" xfId="6227" xr:uid="{00000000-0005-0000-0000-00008F230000}"/>
    <cellStyle name="20 % - Markeringsfarve3 4 2 2 3 2" xfId="14144" xr:uid="{00000000-0005-0000-0000-000090230000}"/>
    <cellStyle name="20 % - Markeringsfarve3 4 2 2 3 2 2" xfId="30458" xr:uid="{00000000-0005-0000-0000-000091230000}"/>
    <cellStyle name="20 % - Markeringsfarve3 4 2 2 3 2 3" xfId="45422" xr:uid="{00000000-0005-0000-0000-000092230000}"/>
    <cellStyle name="20 % - Markeringsfarve3 4 2 2 3 3" xfId="23436" xr:uid="{00000000-0005-0000-0000-000093230000}"/>
    <cellStyle name="20 % - Markeringsfarve3 4 2 2 3 4" xfId="38423" xr:uid="{00000000-0005-0000-0000-000094230000}"/>
    <cellStyle name="20 % - Markeringsfarve3 4 2 2 4" xfId="10904" xr:uid="{00000000-0005-0000-0000-000095230000}"/>
    <cellStyle name="20 % - Markeringsfarve3 4 2 2 4 2" xfId="27223" xr:uid="{00000000-0005-0000-0000-000096230000}"/>
    <cellStyle name="20 % - Markeringsfarve3 4 2 2 4 3" xfId="42189" xr:uid="{00000000-0005-0000-0000-000097230000}"/>
    <cellStyle name="20 % - Markeringsfarve3 4 2 2 5" xfId="20201" xr:uid="{00000000-0005-0000-0000-000098230000}"/>
    <cellStyle name="20 % - Markeringsfarve3 4 2 2 6" xfId="35190" xr:uid="{00000000-0005-0000-0000-000099230000}"/>
    <cellStyle name="20 % - Markeringsfarve3 4 2 2 7" xfId="57168" xr:uid="{00000000-0005-0000-0000-00009A230000}"/>
    <cellStyle name="20 % - Markeringsfarve3 4 2 3" xfId="2349" xr:uid="{00000000-0005-0000-0000-00009B230000}"/>
    <cellStyle name="20 % - Markeringsfarve3 4 2 3 2" xfId="6881" xr:uid="{00000000-0005-0000-0000-00009C230000}"/>
    <cellStyle name="20 % - Markeringsfarve3 4 2 3 2 2" xfId="14792" xr:uid="{00000000-0005-0000-0000-00009D230000}"/>
    <cellStyle name="20 % - Markeringsfarve3 4 2 3 2 2 2" xfId="31106" xr:uid="{00000000-0005-0000-0000-00009E230000}"/>
    <cellStyle name="20 % - Markeringsfarve3 4 2 3 2 2 3" xfId="46070" xr:uid="{00000000-0005-0000-0000-00009F230000}"/>
    <cellStyle name="20 % - Markeringsfarve3 4 2 3 2 3" xfId="24084" xr:uid="{00000000-0005-0000-0000-0000A0230000}"/>
    <cellStyle name="20 % - Markeringsfarve3 4 2 3 2 4" xfId="39071" xr:uid="{00000000-0005-0000-0000-0000A1230000}"/>
    <cellStyle name="20 % - Markeringsfarve3 4 2 3 3" xfId="10906" xr:uid="{00000000-0005-0000-0000-0000A2230000}"/>
    <cellStyle name="20 % - Markeringsfarve3 4 2 3 3 2" xfId="27225" xr:uid="{00000000-0005-0000-0000-0000A3230000}"/>
    <cellStyle name="20 % - Markeringsfarve3 4 2 3 3 3" xfId="42191" xr:uid="{00000000-0005-0000-0000-0000A4230000}"/>
    <cellStyle name="20 % - Markeringsfarve3 4 2 3 4" xfId="20203" xr:uid="{00000000-0005-0000-0000-0000A5230000}"/>
    <cellStyle name="20 % - Markeringsfarve3 4 2 3 5" xfId="35192" xr:uid="{00000000-0005-0000-0000-0000A6230000}"/>
    <cellStyle name="20 % - Markeringsfarve3 4 2 4" xfId="2350" xr:uid="{00000000-0005-0000-0000-0000A7230000}"/>
    <cellStyle name="20 % - Markeringsfarve3 4 2 4 2" xfId="8521" xr:uid="{00000000-0005-0000-0000-0000A8230000}"/>
    <cellStyle name="20 % - Markeringsfarve3 4 2 4 2 2" xfId="16410" xr:uid="{00000000-0005-0000-0000-0000A9230000}"/>
    <cellStyle name="20 % - Markeringsfarve3 4 2 4 2 2 2" xfId="32724" xr:uid="{00000000-0005-0000-0000-0000AA230000}"/>
    <cellStyle name="20 % - Markeringsfarve3 4 2 4 2 2 3" xfId="47688" xr:uid="{00000000-0005-0000-0000-0000AB230000}"/>
    <cellStyle name="20 % - Markeringsfarve3 4 2 4 2 3" xfId="25702" xr:uid="{00000000-0005-0000-0000-0000AC230000}"/>
    <cellStyle name="20 % - Markeringsfarve3 4 2 4 2 4" xfId="40689" xr:uid="{00000000-0005-0000-0000-0000AD230000}"/>
    <cellStyle name="20 % - Markeringsfarve3 4 2 4 3" xfId="10907" xr:uid="{00000000-0005-0000-0000-0000AE230000}"/>
    <cellStyle name="20 % - Markeringsfarve3 4 2 4 3 2" xfId="27226" xr:uid="{00000000-0005-0000-0000-0000AF230000}"/>
    <cellStyle name="20 % - Markeringsfarve3 4 2 4 3 3" xfId="42192" xr:uid="{00000000-0005-0000-0000-0000B0230000}"/>
    <cellStyle name="20 % - Markeringsfarve3 4 2 4 4" xfId="20204" xr:uid="{00000000-0005-0000-0000-0000B1230000}"/>
    <cellStyle name="20 % - Markeringsfarve3 4 2 4 5" xfId="35193" xr:uid="{00000000-0005-0000-0000-0000B2230000}"/>
    <cellStyle name="20 % - Markeringsfarve3 4 2 5" xfId="5561" xr:uid="{00000000-0005-0000-0000-0000B3230000}"/>
    <cellStyle name="20 % - Markeringsfarve3 4 2 5 2" xfId="13479" xr:uid="{00000000-0005-0000-0000-0000B4230000}"/>
    <cellStyle name="20 % - Markeringsfarve3 4 2 5 2 2" xfId="29793" xr:uid="{00000000-0005-0000-0000-0000B5230000}"/>
    <cellStyle name="20 % - Markeringsfarve3 4 2 5 2 3" xfId="44757" xr:uid="{00000000-0005-0000-0000-0000B6230000}"/>
    <cellStyle name="20 % - Markeringsfarve3 4 2 5 3" xfId="22771" xr:uid="{00000000-0005-0000-0000-0000B7230000}"/>
    <cellStyle name="20 % - Markeringsfarve3 4 2 5 4" xfId="37758" xr:uid="{00000000-0005-0000-0000-0000B8230000}"/>
    <cellStyle name="20 % - Markeringsfarve3 4 2 6" xfId="10903" xr:uid="{00000000-0005-0000-0000-0000B9230000}"/>
    <cellStyle name="20 % - Markeringsfarve3 4 2 6 2" xfId="27222" xr:uid="{00000000-0005-0000-0000-0000BA230000}"/>
    <cellStyle name="20 % - Markeringsfarve3 4 2 6 3" xfId="42188" xr:uid="{00000000-0005-0000-0000-0000BB230000}"/>
    <cellStyle name="20 % - Markeringsfarve3 4 2 7" xfId="20200" xr:uid="{00000000-0005-0000-0000-0000BC230000}"/>
    <cellStyle name="20 % - Markeringsfarve3 4 2 8" xfId="35189" xr:uid="{00000000-0005-0000-0000-0000BD230000}"/>
    <cellStyle name="20 % - Markeringsfarve3 4 2 9" xfId="54001" xr:uid="{00000000-0005-0000-0000-0000BE230000}"/>
    <cellStyle name="20 % - Markeringsfarve3 4 3" xfId="2351" xr:uid="{00000000-0005-0000-0000-0000BF230000}"/>
    <cellStyle name="20 % - Markeringsfarve3 4 3 2" xfId="2352" xr:uid="{00000000-0005-0000-0000-0000C0230000}"/>
    <cellStyle name="20 % - Markeringsfarve3 4 3 2 2" xfId="2353" xr:uid="{00000000-0005-0000-0000-0000C1230000}"/>
    <cellStyle name="20 % - Markeringsfarve3 4 3 2 2 2" xfId="7750" xr:uid="{00000000-0005-0000-0000-0000C2230000}"/>
    <cellStyle name="20 % - Markeringsfarve3 4 3 2 2 2 2" xfId="15651" xr:uid="{00000000-0005-0000-0000-0000C3230000}"/>
    <cellStyle name="20 % - Markeringsfarve3 4 3 2 2 2 2 2" xfId="31965" xr:uid="{00000000-0005-0000-0000-0000C4230000}"/>
    <cellStyle name="20 % - Markeringsfarve3 4 3 2 2 2 2 3" xfId="46929" xr:uid="{00000000-0005-0000-0000-0000C5230000}"/>
    <cellStyle name="20 % - Markeringsfarve3 4 3 2 2 2 3" xfId="24943" xr:uid="{00000000-0005-0000-0000-0000C6230000}"/>
    <cellStyle name="20 % - Markeringsfarve3 4 3 2 2 2 4" xfId="39930" xr:uid="{00000000-0005-0000-0000-0000C7230000}"/>
    <cellStyle name="20 % - Markeringsfarve3 4 3 2 2 3" xfId="10910" xr:uid="{00000000-0005-0000-0000-0000C8230000}"/>
    <cellStyle name="20 % - Markeringsfarve3 4 3 2 2 3 2" xfId="27229" xr:uid="{00000000-0005-0000-0000-0000C9230000}"/>
    <cellStyle name="20 % - Markeringsfarve3 4 3 2 2 3 3" xfId="42195" xr:uid="{00000000-0005-0000-0000-0000CA230000}"/>
    <cellStyle name="20 % - Markeringsfarve3 4 3 2 2 4" xfId="20207" xr:uid="{00000000-0005-0000-0000-0000CB230000}"/>
    <cellStyle name="20 % - Markeringsfarve3 4 3 2 2 5" xfId="35196" xr:uid="{00000000-0005-0000-0000-0000CC230000}"/>
    <cellStyle name="20 % - Markeringsfarve3 4 3 2 3" xfId="6314" xr:uid="{00000000-0005-0000-0000-0000CD230000}"/>
    <cellStyle name="20 % - Markeringsfarve3 4 3 2 3 2" xfId="14231" xr:uid="{00000000-0005-0000-0000-0000CE230000}"/>
    <cellStyle name="20 % - Markeringsfarve3 4 3 2 3 2 2" xfId="30545" xr:uid="{00000000-0005-0000-0000-0000CF230000}"/>
    <cellStyle name="20 % - Markeringsfarve3 4 3 2 3 2 3" xfId="45509" xr:uid="{00000000-0005-0000-0000-0000D0230000}"/>
    <cellStyle name="20 % - Markeringsfarve3 4 3 2 3 3" xfId="23523" xr:uid="{00000000-0005-0000-0000-0000D1230000}"/>
    <cellStyle name="20 % - Markeringsfarve3 4 3 2 3 4" xfId="38510" xr:uid="{00000000-0005-0000-0000-0000D2230000}"/>
    <cellStyle name="20 % - Markeringsfarve3 4 3 2 4" xfId="10909" xr:uid="{00000000-0005-0000-0000-0000D3230000}"/>
    <cellStyle name="20 % - Markeringsfarve3 4 3 2 4 2" xfId="27228" xr:uid="{00000000-0005-0000-0000-0000D4230000}"/>
    <cellStyle name="20 % - Markeringsfarve3 4 3 2 4 3" xfId="42194" xr:uid="{00000000-0005-0000-0000-0000D5230000}"/>
    <cellStyle name="20 % - Markeringsfarve3 4 3 2 5" xfId="20206" xr:uid="{00000000-0005-0000-0000-0000D6230000}"/>
    <cellStyle name="20 % - Markeringsfarve3 4 3 2 6" xfId="35195" xr:uid="{00000000-0005-0000-0000-0000D7230000}"/>
    <cellStyle name="20 % - Markeringsfarve3 4 3 3" xfId="2354" xr:uid="{00000000-0005-0000-0000-0000D8230000}"/>
    <cellStyle name="20 % - Markeringsfarve3 4 3 3 2" xfId="6980" xr:uid="{00000000-0005-0000-0000-0000D9230000}"/>
    <cellStyle name="20 % - Markeringsfarve3 4 3 3 2 2" xfId="14891" xr:uid="{00000000-0005-0000-0000-0000DA230000}"/>
    <cellStyle name="20 % - Markeringsfarve3 4 3 3 2 2 2" xfId="31205" xr:uid="{00000000-0005-0000-0000-0000DB230000}"/>
    <cellStyle name="20 % - Markeringsfarve3 4 3 3 2 2 3" xfId="46169" xr:uid="{00000000-0005-0000-0000-0000DC230000}"/>
    <cellStyle name="20 % - Markeringsfarve3 4 3 3 2 3" xfId="24183" xr:uid="{00000000-0005-0000-0000-0000DD230000}"/>
    <cellStyle name="20 % - Markeringsfarve3 4 3 3 2 4" xfId="39170" xr:uid="{00000000-0005-0000-0000-0000DE230000}"/>
    <cellStyle name="20 % - Markeringsfarve3 4 3 3 3" xfId="10911" xr:uid="{00000000-0005-0000-0000-0000DF230000}"/>
    <cellStyle name="20 % - Markeringsfarve3 4 3 3 3 2" xfId="27230" xr:uid="{00000000-0005-0000-0000-0000E0230000}"/>
    <cellStyle name="20 % - Markeringsfarve3 4 3 3 3 3" xfId="42196" xr:uid="{00000000-0005-0000-0000-0000E1230000}"/>
    <cellStyle name="20 % - Markeringsfarve3 4 3 3 4" xfId="20208" xr:uid="{00000000-0005-0000-0000-0000E2230000}"/>
    <cellStyle name="20 % - Markeringsfarve3 4 3 3 5" xfId="35197" xr:uid="{00000000-0005-0000-0000-0000E3230000}"/>
    <cellStyle name="20 % - Markeringsfarve3 4 3 4" xfId="2355" xr:uid="{00000000-0005-0000-0000-0000E4230000}"/>
    <cellStyle name="20 % - Markeringsfarve3 4 3 4 2" xfId="8311" xr:uid="{00000000-0005-0000-0000-0000E5230000}"/>
    <cellStyle name="20 % - Markeringsfarve3 4 3 4 2 2" xfId="16205" xr:uid="{00000000-0005-0000-0000-0000E6230000}"/>
    <cellStyle name="20 % - Markeringsfarve3 4 3 4 2 2 2" xfId="32519" xr:uid="{00000000-0005-0000-0000-0000E7230000}"/>
    <cellStyle name="20 % - Markeringsfarve3 4 3 4 2 2 3" xfId="47483" xr:uid="{00000000-0005-0000-0000-0000E8230000}"/>
    <cellStyle name="20 % - Markeringsfarve3 4 3 4 2 3" xfId="25497" xr:uid="{00000000-0005-0000-0000-0000E9230000}"/>
    <cellStyle name="20 % - Markeringsfarve3 4 3 4 2 4" xfId="40484" xr:uid="{00000000-0005-0000-0000-0000EA230000}"/>
    <cellStyle name="20 % - Markeringsfarve3 4 3 4 3" xfId="10912" xr:uid="{00000000-0005-0000-0000-0000EB230000}"/>
    <cellStyle name="20 % - Markeringsfarve3 4 3 4 3 2" xfId="27231" xr:uid="{00000000-0005-0000-0000-0000EC230000}"/>
    <cellStyle name="20 % - Markeringsfarve3 4 3 4 3 3" xfId="42197" xr:uid="{00000000-0005-0000-0000-0000ED230000}"/>
    <cellStyle name="20 % - Markeringsfarve3 4 3 4 4" xfId="20209" xr:uid="{00000000-0005-0000-0000-0000EE230000}"/>
    <cellStyle name="20 % - Markeringsfarve3 4 3 4 5" xfId="35198" xr:uid="{00000000-0005-0000-0000-0000EF230000}"/>
    <cellStyle name="20 % - Markeringsfarve3 4 3 5" xfId="5562" xr:uid="{00000000-0005-0000-0000-0000F0230000}"/>
    <cellStyle name="20 % - Markeringsfarve3 4 3 5 2" xfId="13480" xr:uid="{00000000-0005-0000-0000-0000F1230000}"/>
    <cellStyle name="20 % - Markeringsfarve3 4 3 5 2 2" xfId="29794" xr:uid="{00000000-0005-0000-0000-0000F2230000}"/>
    <cellStyle name="20 % - Markeringsfarve3 4 3 5 2 3" xfId="44758" xr:uid="{00000000-0005-0000-0000-0000F3230000}"/>
    <cellStyle name="20 % - Markeringsfarve3 4 3 5 3" xfId="22772" xr:uid="{00000000-0005-0000-0000-0000F4230000}"/>
    <cellStyle name="20 % - Markeringsfarve3 4 3 5 4" xfId="37759" xr:uid="{00000000-0005-0000-0000-0000F5230000}"/>
    <cellStyle name="20 % - Markeringsfarve3 4 3 6" xfId="10908" xr:uid="{00000000-0005-0000-0000-0000F6230000}"/>
    <cellStyle name="20 % - Markeringsfarve3 4 3 6 2" xfId="27227" xr:uid="{00000000-0005-0000-0000-0000F7230000}"/>
    <cellStyle name="20 % - Markeringsfarve3 4 3 6 3" xfId="42193" xr:uid="{00000000-0005-0000-0000-0000F8230000}"/>
    <cellStyle name="20 % - Markeringsfarve3 4 3 7" xfId="20205" xr:uid="{00000000-0005-0000-0000-0000F9230000}"/>
    <cellStyle name="20 % - Markeringsfarve3 4 3 8" xfId="35194" xr:uid="{00000000-0005-0000-0000-0000FA230000}"/>
    <cellStyle name="20 % - Markeringsfarve3 4 3 9" xfId="56545" xr:uid="{00000000-0005-0000-0000-0000FB230000}"/>
    <cellStyle name="20 % - Markeringsfarve3 4 4" xfId="2356" xr:uid="{00000000-0005-0000-0000-0000FC230000}"/>
    <cellStyle name="20 % - Markeringsfarve3 4 4 2" xfId="2357" xr:uid="{00000000-0005-0000-0000-0000FD230000}"/>
    <cellStyle name="20 % - Markeringsfarve3 4 4 2 2" xfId="2358" xr:uid="{00000000-0005-0000-0000-0000FE230000}"/>
    <cellStyle name="20 % - Markeringsfarve3 4 4 2 2 2" xfId="7889" xr:uid="{00000000-0005-0000-0000-0000FF230000}"/>
    <cellStyle name="20 % - Markeringsfarve3 4 4 2 2 2 2" xfId="15790" xr:uid="{00000000-0005-0000-0000-000000240000}"/>
    <cellStyle name="20 % - Markeringsfarve3 4 4 2 2 2 2 2" xfId="32104" xr:uid="{00000000-0005-0000-0000-000001240000}"/>
    <cellStyle name="20 % - Markeringsfarve3 4 4 2 2 2 2 3" xfId="47068" xr:uid="{00000000-0005-0000-0000-000002240000}"/>
    <cellStyle name="20 % - Markeringsfarve3 4 4 2 2 2 3" xfId="25082" xr:uid="{00000000-0005-0000-0000-000003240000}"/>
    <cellStyle name="20 % - Markeringsfarve3 4 4 2 2 2 4" xfId="40069" xr:uid="{00000000-0005-0000-0000-000004240000}"/>
    <cellStyle name="20 % - Markeringsfarve3 4 4 2 2 3" xfId="10915" xr:uid="{00000000-0005-0000-0000-000005240000}"/>
    <cellStyle name="20 % - Markeringsfarve3 4 4 2 2 3 2" xfId="27234" xr:uid="{00000000-0005-0000-0000-000006240000}"/>
    <cellStyle name="20 % - Markeringsfarve3 4 4 2 2 3 3" xfId="42200" xr:uid="{00000000-0005-0000-0000-000007240000}"/>
    <cellStyle name="20 % - Markeringsfarve3 4 4 2 2 4" xfId="20212" xr:uid="{00000000-0005-0000-0000-000008240000}"/>
    <cellStyle name="20 % - Markeringsfarve3 4 4 2 2 5" xfId="35201" xr:uid="{00000000-0005-0000-0000-000009240000}"/>
    <cellStyle name="20 % - Markeringsfarve3 4 4 2 3" xfId="6429" xr:uid="{00000000-0005-0000-0000-00000A240000}"/>
    <cellStyle name="20 % - Markeringsfarve3 4 4 2 3 2" xfId="14343" xr:uid="{00000000-0005-0000-0000-00000B240000}"/>
    <cellStyle name="20 % - Markeringsfarve3 4 4 2 3 2 2" xfId="30657" xr:uid="{00000000-0005-0000-0000-00000C240000}"/>
    <cellStyle name="20 % - Markeringsfarve3 4 4 2 3 2 3" xfId="45621" xr:uid="{00000000-0005-0000-0000-00000D240000}"/>
    <cellStyle name="20 % - Markeringsfarve3 4 4 2 3 3" xfId="23635" xr:uid="{00000000-0005-0000-0000-00000E240000}"/>
    <cellStyle name="20 % - Markeringsfarve3 4 4 2 3 4" xfId="38622" xr:uid="{00000000-0005-0000-0000-00000F240000}"/>
    <cellStyle name="20 % - Markeringsfarve3 4 4 2 4" xfId="10914" xr:uid="{00000000-0005-0000-0000-000010240000}"/>
    <cellStyle name="20 % - Markeringsfarve3 4 4 2 4 2" xfId="27233" xr:uid="{00000000-0005-0000-0000-000011240000}"/>
    <cellStyle name="20 % - Markeringsfarve3 4 4 2 4 3" xfId="42199" xr:uid="{00000000-0005-0000-0000-000012240000}"/>
    <cellStyle name="20 % - Markeringsfarve3 4 4 2 5" xfId="20211" xr:uid="{00000000-0005-0000-0000-000013240000}"/>
    <cellStyle name="20 % - Markeringsfarve3 4 4 2 6" xfId="35200" xr:uid="{00000000-0005-0000-0000-000014240000}"/>
    <cellStyle name="20 % - Markeringsfarve3 4 4 3" xfId="2359" xr:uid="{00000000-0005-0000-0000-000015240000}"/>
    <cellStyle name="20 % - Markeringsfarve3 4 4 3 2" xfId="7165" xr:uid="{00000000-0005-0000-0000-000016240000}"/>
    <cellStyle name="20 % - Markeringsfarve3 4 4 3 2 2" xfId="15075" xr:uid="{00000000-0005-0000-0000-000017240000}"/>
    <cellStyle name="20 % - Markeringsfarve3 4 4 3 2 2 2" xfId="31389" xr:uid="{00000000-0005-0000-0000-000018240000}"/>
    <cellStyle name="20 % - Markeringsfarve3 4 4 3 2 2 3" xfId="46353" xr:uid="{00000000-0005-0000-0000-000019240000}"/>
    <cellStyle name="20 % - Markeringsfarve3 4 4 3 2 3" xfId="24367" xr:uid="{00000000-0005-0000-0000-00001A240000}"/>
    <cellStyle name="20 % - Markeringsfarve3 4 4 3 2 4" xfId="39354" xr:uid="{00000000-0005-0000-0000-00001B240000}"/>
    <cellStyle name="20 % - Markeringsfarve3 4 4 3 3" xfId="10916" xr:uid="{00000000-0005-0000-0000-00001C240000}"/>
    <cellStyle name="20 % - Markeringsfarve3 4 4 3 3 2" xfId="27235" xr:uid="{00000000-0005-0000-0000-00001D240000}"/>
    <cellStyle name="20 % - Markeringsfarve3 4 4 3 3 3" xfId="42201" xr:uid="{00000000-0005-0000-0000-00001E240000}"/>
    <cellStyle name="20 % - Markeringsfarve3 4 4 3 4" xfId="20213" xr:uid="{00000000-0005-0000-0000-00001F240000}"/>
    <cellStyle name="20 % - Markeringsfarve3 4 4 3 5" xfId="35202" xr:uid="{00000000-0005-0000-0000-000020240000}"/>
    <cellStyle name="20 % - Markeringsfarve3 4 4 4" xfId="2360" xr:uid="{00000000-0005-0000-0000-000021240000}"/>
    <cellStyle name="20 % - Markeringsfarve3 4 4 4 2" xfId="8520" xr:uid="{00000000-0005-0000-0000-000022240000}"/>
    <cellStyle name="20 % - Markeringsfarve3 4 4 4 2 2" xfId="16409" xr:uid="{00000000-0005-0000-0000-000023240000}"/>
    <cellStyle name="20 % - Markeringsfarve3 4 4 4 2 2 2" xfId="32723" xr:uid="{00000000-0005-0000-0000-000024240000}"/>
    <cellStyle name="20 % - Markeringsfarve3 4 4 4 2 2 3" xfId="47687" xr:uid="{00000000-0005-0000-0000-000025240000}"/>
    <cellStyle name="20 % - Markeringsfarve3 4 4 4 2 3" xfId="25701" xr:uid="{00000000-0005-0000-0000-000026240000}"/>
    <cellStyle name="20 % - Markeringsfarve3 4 4 4 2 4" xfId="40688" xr:uid="{00000000-0005-0000-0000-000027240000}"/>
    <cellStyle name="20 % - Markeringsfarve3 4 4 4 3" xfId="10917" xr:uid="{00000000-0005-0000-0000-000028240000}"/>
    <cellStyle name="20 % - Markeringsfarve3 4 4 4 3 2" xfId="27236" xr:uid="{00000000-0005-0000-0000-000029240000}"/>
    <cellStyle name="20 % - Markeringsfarve3 4 4 4 3 3" xfId="42202" xr:uid="{00000000-0005-0000-0000-00002A240000}"/>
    <cellStyle name="20 % - Markeringsfarve3 4 4 4 4" xfId="20214" xr:uid="{00000000-0005-0000-0000-00002B240000}"/>
    <cellStyle name="20 % - Markeringsfarve3 4 4 4 5" xfId="35203" xr:uid="{00000000-0005-0000-0000-00002C240000}"/>
    <cellStyle name="20 % - Markeringsfarve3 4 4 5" xfId="5563" xr:uid="{00000000-0005-0000-0000-00002D240000}"/>
    <cellStyle name="20 % - Markeringsfarve3 4 4 5 2" xfId="13481" xr:uid="{00000000-0005-0000-0000-00002E240000}"/>
    <cellStyle name="20 % - Markeringsfarve3 4 4 5 2 2" xfId="29795" xr:uid="{00000000-0005-0000-0000-00002F240000}"/>
    <cellStyle name="20 % - Markeringsfarve3 4 4 5 2 3" xfId="44759" xr:uid="{00000000-0005-0000-0000-000030240000}"/>
    <cellStyle name="20 % - Markeringsfarve3 4 4 5 3" xfId="22773" xr:uid="{00000000-0005-0000-0000-000031240000}"/>
    <cellStyle name="20 % - Markeringsfarve3 4 4 5 4" xfId="37760" xr:uid="{00000000-0005-0000-0000-000032240000}"/>
    <cellStyle name="20 % - Markeringsfarve3 4 4 6" xfId="10913" xr:uid="{00000000-0005-0000-0000-000033240000}"/>
    <cellStyle name="20 % - Markeringsfarve3 4 4 6 2" xfId="27232" xr:uid="{00000000-0005-0000-0000-000034240000}"/>
    <cellStyle name="20 % - Markeringsfarve3 4 4 6 3" xfId="42198" xr:uid="{00000000-0005-0000-0000-000035240000}"/>
    <cellStyle name="20 % - Markeringsfarve3 4 4 7" xfId="20210" xr:uid="{00000000-0005-0000-0000-000036240000}"/>
    <cellStyle name="20 % - Markeringsfarve3 4 4 8" xfId="35199" xr:uid="{00000000-0005-0000-0000-000037240000}"/>
    <cellStyle name="20 % - Markeringsfarve3 4 5" xfId="2361" xr:uid="{00000000-0005-0000-0000-000038240000}"/>
    <cellStyle name="20 % - Markeringsfarve3 4 5 2" xfId="2362" xr:uid="{00000000-0005-0000-0000-000039240000}"/>
    <cellStyle name="20 % - Markeringsfarve3 4 5 2 2" xfId="2363" xr:uid="{00000000-0005-0000-0000-00003A240000}"/>
    <cellStyle name="20 % - Markeringsfarve3 4 5 2 2 2" xfId="8006" xr:uid="{00000000-0005-0000-0000-00003B240000}"/>
    <cellStyle name="20 % - Markeringsfarve3 4 5 2 2 2 2" xfId="15907" xr:uid="{00000000-0005-0000-0000-00003C240000}"/>
    <cellStyle name="20 % - Markeringsfarve3 4 5 2 2 2 2 2" xfId="32221" xr:uid="{00000000-0005-0000-0000-00003D240000}"/>
    <cellStyle name="20 % - Markeringsfarve3 4 5 2 2 2 2 3" xfId="47185" xr:uid="{00000000-0005-0000-0000-00003E240000}"/>
    <cellStyle name="20 % - Markeringsfarve3 4 5 2 2 2 3" xfId="25199" xr:uid="{00000000-0005-0000-0000-00003F240000}"/>
    <cellStyle name="20 % - Markeringsfarve3 4 5 2 2 2 4" xfId="40186" xr:uid="{00000000-0005-0000-0000-000040240000}"/>
    <cellStyle name="20 % - Markeringsfarve3 4 5 2 2 3" xfId="10920" xr:uid="{00000000-0005-0000-0000-000041240000}"/>
    <cellStyle name="20 % - Markeringsfarve3 4 5 2 2 3 2" xfId="27239" xr:uid="{00000000-0005-0000-0000-000042240000}"/>
    <cellStyle name="20 % - Markeringsfarve3 4 5 2 2 3 3" xfId="42205" xr:uid="{00000000-0005-0000-0000-000043240000}"/>
    <cellStyle name="20 % - Markeringsfarve3 4 5 2 2 4" xfId="20217" xr:uid="{00000000-0005-0000-0000-000044240000}"/>
    <cellStyle name="20 % - Markeringsfarve3 4 5 2 2 5" xfId="35206" xr:uid="{00000000-0005-0000-0000-000045240000}"/>
    <cellStyle name="20 % - Markeringsfarve3 4 5 2 3" xfId="6528" xr:uid="{00000000-0005-0000-0000-000046240000}"/>
    <cellStyle name="20 % - Markeringsfarve3 4 5 2 3 2" xfId="14442" xr:uid="{00000000-0005-0000-0000-000047240000}"/>
    <cellStyle name="20 % - Markeringsfarve3 4 5 2 3 2 2" xfId="30756" xr:uid="{00000000-0005-0000-0000-000048240000}"/>
    <cellStyle name="20 % - Markeringsfarve3 4 5 2 3 2 3" xfId="45720" xr:uid="{00000000-0005-0000-0000-000049240000}"/>
    <cellStyle name="20 % - Markeringsfarve3 4 5 2 3 3" xfId="23734" xr:uid="{00000000-0005-0000-0000-00004A240000}"/>
    <cellStyle name="20 % - Markeringsfarve3 4 5 2 3 4" xfId="38721" xr:uid="{00000000-0005-0000-0000-00004B240000}"/>
    <cellStyle name="20 % - Markeringsfarve3 4 5 2 4" xfId="10919" xr:uid="{00000000-0005-0000-0000-00004C240000}"/>
    <cellStyle name="20 % - Markeringsfarve3 4 5 2 4 2" xfId="27238" xr:uid="{00000000-0005-0000-0000-00004D240000}"/>
    <cellStyle name="20 % - Markeringsfarve3 4 5 2 4 3" xfId="42204" xr:uid="{00000000-0005-0000-0000-00004E240000}"/>
    <cellStyle name="20 % - Markeringsfarve3 4 5 2 5" xfId="20216" xr:uid="{00000000-0005-0000-0000-00004F240000}"/>
    <cellStyle name="20 % - Markeringsfarve3 4 5 2 6" xfId="35205" xr:uid="{00000000-0005-0000-0000-000050240000}"/>
    <cellStyle name="20 % - Markeringsfarve3 4 5 3" xfId="2364" xr:uid="{00000000-0005-0000-0000-000051240000}"/>
    <cellStyle name="20 % - Markeringsfarve3 4 5 3 2" xfId="7282" xr:uid="{00000000-0005-0000-0000-000052240000}"/>
    <cellStyle name="20 % - Markeringsfarve3 4 5 3 2 2" xfId="15192" xr:uid="{00000000-0005-0000-0000-000053240000}"/>
    <cellStyle name="20 % - Markeringsfarve3 4 5 3 2 2 2" xfId="31506" xr:uid="{00000000-0005-0000-0000-000054240000}"/>
    <cellStyle name="20 % - Markeringsfarve3 4 5 3 2 2 3" xfId="46470" xr:uid="{00000000-0005-0000-0000-000055240000}"/>
    <cellStyle name="20 % - Markeringsfarve3 4 5 3 2 3" xfId="24484" xr:uid="{00000000-0005-0000-0000-000056240000}"/>
    <cellStyle name="20 % - Markeringsfarve3 4 5 3 2 4" xfId="39471" xr:uid="{00000000-0005-0000-0000-000057240000}"/>
    <cellStyle name="20 % - Markeringsfarve3 4 5 3 3" xfId="10921" xr:uid="{00000000-0005-0000-0000-000058240000}"/>
    <cellStyle name="20 % - Markeringsfarve3 4 5 3 3 2" xfId="27240" xr:uid="{00000000-0005-0000-0000-000059240000}"/>
    <cellStyle name="20 % - Markeringsfarve3 4 5 3 3 3" xfId="42206" xr:uid="{00000000-0005-0000-0000-00005A240000}"/>
    <cellStyle name="20 % - Markeringsfarve3 4 5 3 4" xfId="20218" xr:uid="{00000000-0005-0000-0000-00005B240000}"/>
    <cellStyle name="20 % - Markeringsfarve3 4 5 3 5" xfId="35207" xr:uid="{00000000-0005-0000-0000-00005C240000}"/>
    <cellStyle name="20 % - Markeringsfarve3 4 5 4" xfId="2365" xr:uid="{00000000-0005-0000-0000-00005D240000}"/>
    <cellStyle name="20 % - Markeringsfarve3 4 5 4 2" xfId="8519" xr:uid="{00000000-0005-0000-0000-00005E240000}"/>
    <cellStyle name="20 % - Markeringsfarve3 4 5 4 2 2" xfId="16408" xr:uid="{00000000-0005-0000-0000-00005F240000}"/>
    <cellStyle name="20 % - Markeringsfarve3 4 5 4 2 2 2" xfId="32722" xr:uid="{00000000-0005-0000-0000-000060240000}"/>
    <cellStyle name="20 % - Markeringsfarve3 4 5 4 2 2 3" xfId="47686" xr:uid="{00000000-0005-0000-0000-000061240000}"/>
    <cellStyle name="20 % - Markeringsfarve3 4 5 4 2 3" xfId="25700" xr:uid="{00000000-0005-0000-0000-000062240000}"/>
    <cellStyle name="20 % - Markeringsfarve3 4 5 4 2 4" xfId="40687" xr:uid="{00000000-0005-0000-0000-000063240000}"/>
    <cellStyle name="20 % - Markeringsfarve3 4 5 4 3" xfId="10922" xr:uid="{00000000-0005-0000-0000-000064240000}"/>
    <cellStyle name="20 % - Markeringsfarve3 4 5 4 3 2" xfId="27241" xr:uid="{00000000-0005-0000-0000-000065240000}"/>
    <cellStyle name="20 % - Markeringsfarve3 4 5 4 3 3" xfId="42207" xr:uid="{00000000-0005-0000-0000-000066240000}"/>
    <cellStyle name="20 % - Markeringsfarve3 4 5 4 4" xfId="20219" xr:uid="{00000000-0005-0000-0000-000067240000}"/>
    <cellStyle name="20 % - Markeringsfarve3 4 5 4 5" xfId="35208" xr:uid="{00000000-0005-0000-0000-000068240000}"/>
    <cellStyle name="20 % - Markeringsfarve3 4 5 5" xfId="5564" xr:uid="{00000000-0005-0000-0000-000069240000}"/>
    <cellStyle name="20 % - Markeringsfarve3 4 5 5 2" xfId="13482" xr:uid="{00000000-0005-0000-0000-00006A240000}"/>
    <cellStyle name="20 % - Markeringsfarve3 4 5 5 2 2" xfId="29796" xr:uid="{00000000-0005-0000-0000-00006B240000}"/>
    <cellStyle name="20 % - Markeringsfarve3 4 5 5 2 3" xfId="44760" xr:uid="{00000000-0005-0000-0000-00006C240000}"/>
    <cellStyle name="20 % - Markeringsfarve3 4 5 5 3" xfId="22774" xr:uid="{00000000-0005-0000-0000-00006D240000}"/>
    <cellStyle name="20 % - Markeringsfarve3 4 5 5 4" xfId="37761" xr:uid="{00000000-0005-0000-0000-00006E240000}"/>
    <cellStyle name="20 % - Markeringsfarve3 4 5 6" xfId="10918" xr:uid="{00000000-0005-0000-0000-00006F240000}"/>
    <cellStyle name="20 % - Markeringsfarve3 4 5 6 2" xfId="27237" xr:uid="{00000000-0005-0000-0000-000070240000}"/>
    <cellStyle name="20 % - Markeringsfarve3 4 5 6 3" xfId="42203" xr:uid="{00000000-0005-0000-0000-000071240000}"/>
    <cellStyle name="20 % - Markeringsfarve3 4 5 7" xfId="20215" xr:uid="{00000000-0005-0000-0000-000072240000}"/>
    <cellStyle name="20 % - Markeringsfarve3 4 5 8" xfId="35204" xr:uid="{00000000-0005-0000-0000-000073240000}"/>
    <cellStyle name="20 % - Markeringsfarve3 4 6" xfId="2366" xr:uid="{00000000-0005-0000-0000-000074240000}"/>
    <cellStyle name="20 % - Markeringsfarve3 4 6 2" xfId="2367" xr:uid="{00000000-0005-0000-0000-000075240000}"/>
    <cellStyle name="20 % - Markeringsfarve3 4 6 2 2" xfId="2368" xr:uid="{00000000-0005-0000-0000-000076240000}"/>
    <cellStyle name="20 % - Markeringsfarve3 4 6 2 2 2" xfId="8105" xr:uid="{00000000-0005-0000-0000-000077240000}"/>
    <cellStyle name="20 % - Markeringsfarve3 4 6 2 2 2 2" xfId="16006" xr:uid="{00000000-0005-0000-0000-000078240000}"/>
    <cellStyle name="20 % - Markeringsfarve3 4 6 2 2 2 2 2" xfId="32320" xr:uid="{00000000-0005-0000-0000-000079240000}"/>
    <cellStyle name="20 % - Markeringsfarve3 4 6 2 2 2 2 3" xfId="47284" xr:uid="{00000000-0005-0000-0000-00007A240000}"/>
    <cellStyle name="20 % - Markeringsfarve3 4 6 2 2 2 3" xfId="25298" xr:uid="{00000000-0005-0000-0000-00007B240000}"/>
    <cellStyle name="20 % - Markeringsfarve3 4 6 2 2 2 4" xfId="40285" xr:uid="{00000000-0005-0000-0000-00007C240000}"/>
    <cellStyle name="20 % - Markeringsfarve3 4 6 2 2 3" xfId="10925" xr:uid="{00000000-0005-0000-0000-00007D240000}"/>
    <cellStyle name="20 % - Markeringsfarve3 4 6 2 2 3 2" xfId="27244" xr:uid="{00000000-0005-0000-0000-00007E240000}"/>
    <cellStyle name="20 % - Markeringsfarve3 4 6 2 2 3 3" xfId="42210" xr:uid="{00000000-0005-0000-0000-00007F240000}"/>
    <cellStyle name="20 % - Markeringsfarve3 4 6 2 2 4" xfId="20222" xr:uid="{00000000-0005-0000-0000-000080240000}"/>
    <cellStyle name="20 % - Markeringsfarve3 4 6 2 2 5" xfId="35211" xr:uid="{00000000-0005-0000-0000-000081240000}"/>
    <cellStyle name="20 % - Markeringsfarve3 4 6 2 3" xfId="6616" xr:uid="{00000000-0005-0000-0000-000082240000}"/>
    <cellStyle name="20 % - Markeringsfarve3 4 6 2 3 2" xfId="14530" xr:uid="{00000000-0005-0000-0000-000083240000}"/>
    <cellStyle name="20 % - Markeringsfarve3 4 6 2 3 2 2" xfId="30844" xr:uid="{00000000-0005-0000-0000-000084240000}"/>
    <cellStyle name="20 % - Markeringsfarve3 4 6 2 3 2 3" xfId="45808" xr:uid="{00000000-0005-0000-0000-000085240000}"/>
    <cellStyle name="20 % - Markeringsfarve3 4 6 2 3 3" xfId="23822" xr:uid="{00000000-0005-0000-0000-000086240000}"/>
    <cellStyle name="20 % - Markeringsfarve3 4 6 2 3 4" xfId="38809" xr:uid="{00000000-0005-0000-0000-000087240000}"/>
    <cellStyle name="20 % - Markeringsfarve3 4 6 2 4" xfId="10924" xr:uid="{00000000-0005-0000-0000-000088240000}"/>
    <cellStyle name="20 % - Markeringsfarve3 4 6 2 4 2" xfId="27243" xr:uid="{00000000-0005-0000-0000-000089240000}"/>
    <cellStyle name="20 % - Markeringsfarve3 4 6 2 4 3" xfId="42209" xr:uid="{00000000-0005-0000-0000-00008A240000}"/>
    <cellStyle name="20 % - Markeringsfarve3 4 6 2 5" xfId="20221" xr:uid="{00000000-0005-0000-0000-00008B240000}"/>
    <cellStyle name="20 % - Markeringsfarve3 4 6 2 6" xfId="35210" xr:uid="{00000000-0005-0000-0000-00008C240000}"/>
    <cellStyle name="20 % - Markeringsfarve3 4 6 3" xfId="2369" xr:uid="{00000000-0005-0000-0000-00008D240000}"/>
    <cellStyle name="20 % - Markeringsfarve3 4 6 3 2" xfId="7382" xr:uid="{00000000-0005-0000-0000-00008E240000}"/>
    <cellStyle name="20 % - Markeringsfarve3 4 6 3 2 2" xfId="15292" xr:uid="{00000000-0005-0000-0000-00008F240000}"/>
    <cellStyle name="20 % - Markeringsfarve3 4 6 3 2 2 2" xfId="31606" xr:uid="{00000000-0005-0000-0000-000090240000}"/>
    <cellStyle name="20 % - Markeringsfarve3 4 6 3 2 2 3" xfId="46570" xr:uid="{00000000-0005-0000-0000-000091240000}"/>
    <cellStyle name="20 % - Markeringsfarve3 4 6 3 2 3" xfId="24584" xr:uid="{00000000-0005-0000-0000-000092240000}"/>
    <cellStyle name="20 % - Markeringsfarve3 4 6 3 2 4" xfId="39571" xr:uid="{00000000-0005-0000-0000-000093240000}"/>
    <cellStyle name="20 % - Markeringsfarve3 4 6 3 3" xfId="10926" xr:uid="{00000000-0005-0000-0000-000094240000}"/>
    <cellStyle name="20 % - Markeringsfarve3 4 6 3 3 2" xfId="27245" xr:uid="{00000000-0005-0000-0000-000095240000}"/>
    <cellStyle name="20 % - Markeringsfarve3 4 6 3 3 3" xfId="42211" xr:uid="{00000000-0005-0000-0000-000096240000}"/>
    <cellStyle name="20 % - Markeringsfarve3 4 6 3 4" xfId="20223" xr:uid="{00000000-0005-0000-0000-000097240000}"/>
    <cellStyle name="20 % - Markeringsfarve3 4 6 3 5" xfId="35212" xr:uid="{00000000-0005-0000-0000-000098240000}"/>
    <cellStyle name="20 % - Markeringsfarve3 4 6 4" xfId="2370" xr:uid="{00000000-0005-0000-0000-000099240000}"/>
    <cellStyle name="20 % - Markeringsfarve3 4 6 4 2" xfId="8310" xr:uid="{00000000-0005-0000-0000-00009A240000}"/>
    <cellStyle name="20 % - Markeringsfarve3 4 6 4 2 2" xfId="16204" xr:uid="{00000000-0005-0000-0000-00009B240000}"/>
    <cellStyle name="20 % - Markeringsfarve3 4 6 4 2 2 2" xfId="32518" xr:uid="{00000000-0005-0000-0000-00009C240000}"/>
    <cellStyle name="20 % - Markeringsfarve3 4 6 4 2 2 3" xfId="47482" xr:uid="{00000000-0005-0000-0000-00009D240000}"/>
    <cellStyle name="20 % - Markeringsfarve3 4 6 4 2 3" xfId="25496" xr:uid="{00000000-0005-0000-0000-00009E240000}"/>
    <cellStyle name="20 % - Markeringsfarve3 4 6 4 2 4" xfId="40483" xr:uid="{00000000-0005-0000-0000-00009F240000}"/>
    <cellStyle name="20 % - Markeringsfarve3 4 6 4 3" xfId="10927" xr:uid="{00000000-0005-0000-0000-0000A0240000}"/>
    <cellStyle name="20 % - Markeringsfarve3 4 6 4 3 2" xfId="27246" xr:uid="{00000000-0005-0000-0000-0000A1240000}"/>
    <cellStyle name="20 % - Markeringsfarve3 4 6 4 3 3" xfId="42212" xr:uid="{00000000-0005-0000-0000-0000A2240000}"/>
    <cellStyle name="20 % - Markeringsfarve3 4 6 4 4" xfId="20224" xr:uid="{00000000-0005-0000-0000-0000A3240000}"/>
    <cellStyle name="20 % - Markeringsfarve3 4 6 4 5" xfId="35213" xr:uid="{00000000-0005-0000-0000-0000A4240000}"/>
    <cellStyle name="20 % - Markeringsfarve3 4 6 5" xfId="5565" xr:uid="{00000000-0005-0000-0000-0000A5240000}"/>
    <cellStyle name="20 % - Markeringsfarve3 4 6 5 2" xfId="13483" xr:uid="{00000000-0005-0000-0000-0000A6240000}"/>
    <cellStyle name="20 % - Markeringsfarve3 4 6 5 2 2" xfId="29797" xr:uid="{00000000-0005-0000-0000-0000A7240000}"/>
    <cellStyle name="20 % - Markeringsfarve3 4 6 5 2 3" xfId="44761" xr:uid="{00000000-0005-0000-0000-0000A8240000}"/>
    <cellStyle name="20 % - Markeringsfarve3 4 6 5 3" xfId="22775" xr:uid="{00000000-0005-0000-0000-0000A9240000}"/>
    <cellStyle name="20 % - Markeringsfarve3 4 6 5 4" xfId="37762" xr:uid="{00000000-0005-0000-0000-0000AA240000}"/>
    <cellStyle name="20 % - Markeringsfarve3 4 6 6" xfId="10923" xr:uid="{00000000-0005-0000-0000-0000AB240000}"/>
    <cellStyle name="20 % - Markeringsfarve3 4 6 6 2" xfId="27242" xr:uid="{00000000-0005-0000-0000-0000AC240000}"/>
    <cellStyle name="20 % - Markeringsfarve3 4 6 6 3" xfId="42208" xr:uid="{00000000-0005-0000-0000-0000AD240000}"/>
    <cellStyle name="20 % - Markeringsfarve3 4 6 7" xfId="20220" xr:uid="{00000000-0005-0000-0000-0000AE240000}"/>
    <cellStyle name="20 % - Markeringsfarve3 4 6 8" xfId="35209" xr:uid="{00000000-0005-0000-0000-0000AF240000}"/>
    <cellStyle name="20 % - Markeringsfarve3 4 7" xfId="2371" xr:uid="{00000000-0005-0000-0000-0000B0240000}"/>
    <cellStyle name="20 % - Markeringsfarve3 4 7 2" xfId="2372" xr:uid="{00000000-0005-0000-0000-0000B1240000}"/>
    <cellStyle name="20 % - Markeringsfarve3 4 7 2 2" xfId="7532" xr:uid="{00000000-0005-0000-0000-0000B2240000}"/>
    <cellStyle name="20 % - Markeringsfarve3 4 7 2 2 2" xfId="15433" xr:uid="{00000000-0005-0000-0000-0000B3240000}"/>
    <cellStyle name="20 % - Markeringsfarve3 4 7 2 2 2 2" xfId="31747" xr:uid="{00000000-0005-0000-0000-0000B4240000}"/>
    <cellStyle name="20 % - Markeringsfarve3 4 7 2 2 2 3" xfId="46711" xr:uid="{00000000-0005-0000-0000-0000B5240000}"/>
    <cellStyle name="20 % - Markeringsfarve3 4 7 2 2 3" xfId="24725" xr:uid="{00000000-0005-0000-0000-0000B6240000}"/>
    <cellStyle name="20 % - Markeringsfarve3 4 7 2 2 4" xfId="39712" xr:uid="{00000000-0005-0000-0000-0000B7240000}"/>
    <cellStyle name="20 % - Markeringsfarve3 4 7 2 3" xfId="10929" xr:uid="{00000000-0005-0000-0000-0000B8240000}"/>
    <cellStyle name="20 % - Markeringsfarve3 4 7 2 3 2" xfId="27248" xr:uid="{00000000-0005-0000-0000-0000B9240000}"/>
    <cellStyle name="20 % - Markeringsfarve3 4 7 2 3 3" xfId="42214" xr:uid="{00000000-0005-0000-0000-0000BA240000}"/>
    <cellStyle name="20 % - Markeringsfarve3 4 7 2 4" xfId="20226" xr:uid="{00000000-0005-0000-0000-0000BB240000}"/>
    <cellStyle name="20 % - Markeringsfarve3 4 7 2 5" xfId="35215" xr:uid="{00000000-0005-0000-0000-0000BC240000}"/>
    <cellStyle name="20 % - Markeringsfarve3 4 7 3" xfId="6128" xr:uid="{00000000-0005-0000-0000-0000BD240000}"/>
    <cellStyle name="20 % - Markeringsfarve3 4 7 3 2" xfId="14045" xr:uid="{00000000-0005-0000-0000-0000BE240000}"/>
    <cellStyle name="20 % - Markeringsfarve3 4 7 3 2 2" xfId="30359" xr:uid="{00000000-0005-0000-0000-0000BF240000}"/>
    <cellStyle name="20 % - Markeringsfarve3 4 7 3 2 3" xfId="45323" xr:uid="{00000000-0005-0000-0000-0000C0240000}"/>
    <cellStyle name="20 % - Markeringsfarve3 4 7 3 3" xfId="23337" xr:uid="{00000000-0005-0000-0000-0000C1240000}"/>
    <cellStyle name="20 % - Markeringsfarve3 4 7 3 4" xfId="38324" xr:uid="{00000000-0005-0000-0000-0000C2240000}"/>
    <cellStyle name="20 % - Markeringsfarve3 4 7 4" xfId="10928" xr:uid="{00000000-0005-0000-0000-0000C3240000}"/>
    <cellStyle name="20 % - Markeringsfarve3 4 7 4 2" xfId="27247" xr:uid="{00000000-0005-0000-0000-0000C4240000}"/>
    <cellStyle name="20 % - Markeringsfarve3 4 7 4 3" xfId="42213" xr:uid="{00000000-0005-0000-0000-0000C5240000}"/>
    <cellStyle name="20 % - Markeringsfarve3 4 7 5" xfId="20225" xr:uid="{00000000-0005-0000-0000-0000C6240000}"/>
    <cellStyle name="20 % - Markeringsfarve3 4 7 6" xfId="35214" xr:uid="{00000000-0005-0000-0000-0000C7240000}"/>
    <cellStyle name="20 % - Markeringsfarve3 4 8" xfId="2373" xr:uid="{00000000-0005-0000-0000-0000C8240000}"/>
    <cellStyle name="20 % - Markeringsfarve3 4 8 2" xfId="6760" xr:uid="{00000000-0005-0000-0000-0000C9240000}"/>
    <cellStyle name="20 % - Markeringsfarve3 4 8 2 2" xfId="14671" xr:uid="{00000000-0005-0000-0000-0000CA240000}"/>
    <cellStyle name="20 % - Markeringsfarve3 4 8 2 2 2" xfId="30985" xr:uid="{00000000-0005-0000-0000-0000CB240000}"/>
    <cellStyle name="20 % - Markeringsfarve3 4 8 2 2 3" xfId="45949" xr:uid="{00000000-0005-0000-0000-0000CC240000}"/>
    <cellStyle name="20 % - Markeringsfarve3 4 8 2 3" xfId="23963" xr:uid="{00000000-0005-0000-0000-0000CD240000}"/>
    <cellStyle name="20 % - Markeringsfarve3 4 8 2 4" xfId="38950" xr:uid="{00000000-0005-0000-0000-0000CE240000}"/>
    <cellStyle name="20 % - Markeringsfarve3 4 8 3" xfId="10930" xr:uid="{00000000-0005-0000-0000-0000CF240000}"/>
    <cellStyle name="20 % - Markeringsfarve3 4 8 3 2" xfId="27249" xr:uid="{00000000-0005-0000-0000-0000D0240000}"/>
    <cellStyle name="20 % - Markeringsfarve3 4 8 3 3" xfId="42215" xr:uid="{00000000-0005-0000-0000-0000D1240000}"/>
    <cellStyle name="20 % - Markeringsfarve3 4 8 4" xfId="20227" xr:uid="{00000000-0005-0000-0000-0000D2240000}"/>
    <cellStyle name="20 % - Markeringsfarve3 4 8 5" xfId="35216" xr:uid="{00000000-0005-0000-0000-0000D3240000}"/>
    <cellStyle name="20 % - Markeringsfarve3 4 9" xfId="2374" xr:uid="{00000000-0005-0000-0000-0000D4240000}"/>
    <cellStyle name="20 % - Markeringsfarve3 4 9 2" xfId="7100" xr:uid="{00000000-0005-0000-0000-0000D5240000}"/>
    <cellStyle name="20 % - Markeringsfarve3 4 9 2 2" xfId="15010" xr:uid="{00000000-0005-0000-0000-0000D6240000}"/>
    <cellStyle name="20 % - Markeringsfarve3 4 9 2 2 2" xfId="31324" xr:uid="{00000000-0005-0000-0000-0000D7240000}"/>
    <cellStyle name="20 % - Markeringsfarve3 4 9 2 2 3" xfId="46288" xr:uid="{00000000-0005-0000-0000-0000D8240000}"/>
    <cellStyle name="20 % - Markeringsfarve3 4 9 2 3" xfId="24302" xr:uid="{00000000-0005-0000-0000-0000D9240000}"/>
    <cellStyle name="20 % - Markeringsfarve3 4 9 2 4" xfId="39289" xr:uid="{00000000-0005-0000-0000-0000DA240000}"/>
    <cellStyle name="20 % - Markeringsfarve3 4 9 3" xfId="10931" xr:uid="{00000000-0005-0000-0000-0000DB240000}"/>
    <cellStyle name="20 % - Markeringsfarve3 4 9 3 2" xfId="27250" xr:uid="{00000000-0005-0000-0000-0000DC240000}"/>
    <cellStyle name="20 % - Markeringsfarve3 4 9 3 3" xfId="42216" xr:uid="{00000000-0005-0000-0000-0000DD240000}"/>
    <cellStyle name="20 % - Markeringsfarve3 4 9 4" xfId="20228" xr:uid="{00000000-0005-0000-0000-0000DE240000}"/>
    <cellStyle name="20 % - Markeringsfarve3 4 9 5" xfId="35217" xr:uid="{00000000-0005-0000-0000-0000DF240000}"/>
    <cellStyle name="20 % - Markeringsfarve3 5" xfId="2375" xr:uid="{00000000-0005-0000-0000-0000E0240000}"/>
    <cellStyle name="20 % - Markeringsfarve3 5 10" xfId="5566" xr:uid="{00000000-0005-0000-0000-0000E1240000}"/>
    <cellStyle name="20 % - Markeringsfarve3 5 10 2" xfId="13484" xr:uid="{00000000-0005-0000-0000-0000E2240000}"/>
    <cellStyle name="20 % - Markeringsfarve3 5 10 2 2" xfId="29798" xr:uid="{00000000-0005-0000-0000-0000E3240000}"/>
    <cellStyle name="20 % - Markeringsfarve3 5 10 2 3" xfId="44762" xr:uid="{00000000-0005-0000-0000-0000E4240000}"/>
    <cellStyle name="20 % - Markeringsfarve3 5 10 3" xfId="22776" xr:uid="{00000000-0005-0000-0000-0000E5240000}"/>
    <cellStyle name="20 % - Markeringsfarve3 5 10 4" xfId="37763" xr:uid="{00000000-0005-0000-0000-0000E6240000}"/>
    <cellStyle name="20 % - Markeringsfarve3 5 11" xfId="10932" xr:uid="{00000000-0005-0000-0000-0000E7240000}"/>
    <cellStyle name="20 % - Markeringsfarve3 5 11 2" xfId="27251" xr:uid="{00000000-0005-0000-0000-0000E8240000}"/>
    <cellStyle name="20 % - Markeringsfarve3 5 11 3" xfId="42217" xr:uid="{00000000-0005-0000-0000-0000E9240000}"/>
    <cellStyle name="20 % - Markeringsfarve3 5 12" xfId="20229" xr:uid="{00000000-0005-0000-0000-0000EA240000}"/>
    <cellStyle name="20 % - Markeringsfarve3 5 13" xfId="35218" xr:uid="{00000000-0005-0000-0000-0000EB240000}"/>
    <cellStyle name="20 % - Markeringsfarve3 5 14" xfId="53363" xr:uid="{00000000-0005-0000-0000-0000EC240000}"/>
    <cellStyle name="20 % - Markeringsfarve3 5 2" xfId="2376" xr:uid="{00000000-0005-0000-0000-0000ED240000}"/>
    <cellStyle name="20 % - Markeringsfarve3 5 2 2" xfId="2377" xr:uid="{00000000-0005-0000-0000-0000EE240000}"/>
    <cellStyle name="20 % - Markeringsfarve3 5 2 2 2" xfId="2378" xr:uid="{00000000-0005-0000-0000-0000EF240000}"/>
    <cellStyle name="20 % - Markeringsfarve3 5 2 2 2 2" xfId="7690" xr:uid="{00000000-0005-0000-0000-0000F0240000}"/>
    <cellStyle name="20 % - Markeringsfarve3 5 2 2 2 2 2" xfId="15591" xr:uid="{00000000-0005-0000-0000-0000F1240000}"/>
    <cellStyle name="20 % - Markeringsfarve3 5 2 2 2 2 2 2" xfId="31905" xr:uid="{00000000-0005-0000-0000-0000F2240000}"/>
    <cellStyle name="20 % - Markeringsfarve3 5 2 2 2 2 2 3" xfId="46869" xr:uid="{00000000-0005-0000-0000-0000F3240000}"/>
    <cellStyle name="20 % - Markeringsfarve3 5 2 2 2 2 3" xfId="24883" xr:uid="{00000000-0005-0000-0000-0000F4240000}"/>
    <cellStyle name="20 % - Markeringsfarve3 5 2 2 2 2 4" xfId="39870" xr:uid="{00000000-0005-0000-0000-0000F5240000}"/>
    <cellStyle name="20 % - Markeringsfarve3 5 2 2 2 3" xfId="10935" xr:uid="{00000000-0005-0000-0000-0000F6240000}"/>
    <cellStyle name="20 % - Markeringsfarve3 5 2 2 2 3 2" xfId="27254" xr:uid="{00000000-0005-0000-0000-0000F7240000}"/>
    <cellStyle name="20 % - Markeringsfarve3 5 2 2 2 3 3" xfId="42220" xr:uid="{00000000-0005-0000-0000-0000F8240000}"/>
    <cellStyle name="20 % - Markeringsfarve3 5 2 2 2 4" xfId="20232" xr:uid="{00000000-0005-0000-0000-0000F9240000}"/>
    <cellStyle name="20 % - Markeringsfarve3 5 2 2 2 5" xfId="35221" xr:uid="{00000000-0005-0000-0000-0000FA240000}"/>
    <cellStyle name="20 % - Markeringsfarve3 5 2 2 3" xfId="6260" xr:uid="{00000000-0005-0000-0000-0000FB240000}"/>
    <cellStyle name="20 % - Markeringsfarve3 5 2 2 3 2" xfId="14177" xr:uid="{00000000-0005-0000-0000-0000FC240000}"/>
    <cellStyle name="20 % - Markeringsfarve3 5 2 2 3 2 2" xfId="30491" xr:uid="{00000000-0005-0000-0000-0000FD240000}"/>
    <cellStyle name="20 % - Markeringsfarve3 5 2 2 3 2 3" xfId="45455" xr:uid="{00000000-0005-0000-0000-0000FE240000}"/>
    <cellStyle name="20 % - Markeringsfarve3 5 2 2 3 3" xfId="23469" xr:uid="{00000000-0005-0000-0000-0000FF240000}"/>
    <cellStyle name="20 % - Markeringsfarve3 5 2 2 3 4" xfId="38456" xr:uid="{00000000-0005-0000-0000-000000250000}"/>
    <cellStyle name="20 % - Markeringsfarve3 5 2 2 4" xfId="10934" xr:uid="{00000000-0005-0000-0000-000001250000}"/>
    <cellStyle name="20 % - Markeringsfarve3 5 2 2 4 2" xfId="27253" xr:uid="{00000000-0005-0000-0000-000002250000}"/>
    <cellStyle name="20 % - Markeringsfarve3 5 2 2 4 3" xfId="42219" xr:uid="{00000000-0005-0000-0000-000003250000}"/>
    <cellStyle name="20 % - Markeringsfarve3 5 2 2 5" xfId="20231" xr:uid="{00000000-0005-0000-0000-000004250000}"/>
    <cellStyle name="20 % - Markeringsfarve3 5 2 2 6" xfId="35220" xr:uid="{00000000-0005-0000-0000-000005250000}"/>
    <cellStyle name="20 % - Markeringsfarve3 5 2 2 7" xfId="57167" xr:uid="{00000000-0005-0000-0000-000006250000}"/>
    <cellStyle name="20 % - Markeringsfarve3 5 2 3" xfId="2379" xr:uid="{00000000-0005-0000-0000-000007250000}"/>
    <cellStyle name="20 % - Markeringsfarve3 5 2 3 2" xfId="6920" xr:uid="{00000000-0005-0000-0000-000008250000}"/>
    <cellStyle name="20 % - Markeringsfarve3 5 2 3 2 2" xfId="14831" xr:uid="{00000000-0005-0000-0000-000009250000}"/>
    <cellStyle name="20 % - Markeringsfarve3 5 2 3 2 2 2" xfId="31145" xr:uid="{00000000-0005-0000-0000-00000A250000}"/>
    <cellStyle name="20 % - Markeringsfarve3 5 2 3 2 2 3" xfId="46109" xr:uid="{00000000-0005-0000-0000-00000B250000}"/>
    <cellStyle name="20 % - Markeringsfarve3 5 2 3 2 3" xfId="24123" xr:uid="{00000000-0005-0000-0000-00000C250000}"/>
    <cellStyle name="20 % - Markeringsfarve3 5 2 3 2 4" xfId="39110" xr:uid="{00000000-0005-0000-0000-00000D250000}"/>
    <cellStyle name="20 % - Markeringsfarve3 5 2 3 3" xfId="10936" xr:uid="{00000000-0005-0000-0000-00000E250000}"/>
    <cellStyle name="20 % - Markeringsfarve3 5 2 3 3 2" xfId="27255" xr:uid="{00000000-0005-0000-0000-00000F250000}"/>
    <cellStyle name="20 % - Markeringsfarve3 5 2 3 3 3" xfId="42221" xr:uid="{00000000-0005-0000-0000-000010250000}"/>
    <cellStyle name="20 % - Markeringsfarve3 5 2 3 4" xfId="20233" xr:uid="{00000000-0005-0000-0000-000011250000}"/>
    <cellStyle name="20 % - Markeringsfarve3 5 2 3 5" xfId="35222" xr:uid="{00000000-0005-0000-0000-000012250000}"/>
    <cellStyle name="20 % - Markeringsfarve3 5 2 4" xfId="2380" xr:uid="{00000000-0005-0000-0000-000013250000}"/>
    <cellStyle name="20 % - Markeringsfarve3 5 2 4 2" xfId="8308" xr:uid="{00000000-0005-0000-0000-000014250000}"/>
    <cellStyle name="20 % - Markeringsfarve3 5 2 4 2 2" xfId="16202" xr:uid="{00000000-0005-0000-0000-000015250000}"/>
    <cellStyle name="20 % - Markeringsfarve3 5 2 4 2 2 2" xfId="32516" xr:uid="{00000000-0005-0000-0000-000016250000}"/>
    <cellStyle name="20 % - Markeringsfarve3 5 2 4 2 2 3" xfId="47480" xr:uid="{00000000-0005-0000-0000-000017250000}"/>
    <cellStyle name="20 % - Markeringsfarve3 5 2 4 2 3" xfId="25494" xr:uid="{00000000-0005-0000-0000-000018250000}"/>
    <cellStyle name="20 % - Markeringsfarve3 5 2 4 2 4" xfId="40481" xr:uid="{00000000-0005-0000-0000-000019250000}"/>
    <cellStyle name="20 % - Markeringsfarve3 5 2 4 3" xfId="10937" xr:uid="{00000000-0005-0000-0000-00001A250000}"/>
    <cellStyle name="20 % - Markeringsfarve3 5 2 4 3 2" xfId="27256" xr:uid="{00000000-0005-0000-0000-00001B250000}"/>
    <cellStyle name="20 % - Markeringsfarve3 5 2 4 3 3" xfId="42222" xr:uid="{00000000-0005-0000-0000-00001C250000}"/>
    <cellStyle name="20 % - Markeringsfarve3 5 2 4 4" xfId="20234" xr:uid="{00000000-0005-0000-0000-00001D250000}"/>
    <cellStyle name="20 % - Markeringsfarve3 5 2 4 5" xfId="35223" xr:uid="{00000000-0005-0000-0000-00001E250000}"/>
    <cellStyle name="20 % - Markeringsfarve3 5 2 5" xfId="5567" xr:uid="{00000000-0005-0000-0000-00001F250000}"/>
    <cellStyle name="20 % - Markeringsfarve3 5 2 5 2" xfId="13485" xr:uid="{00000000-0005-0000-0000-000020250000}"/>
    <cellStyle name="20 % - Markeringsfarve3 5 2 5 2 2" xfId="29799" xr:uid="{00000000-0005-0000-0000-000021250000}"/>
    <cellStyle name="20 % - Markeringsfarve3 5 2 5 2 3" xfId="44763" xr:uid="{00000000-0005-0000-0000-000022250000}"/>
    <cellStyle name="20 % - Markeringsfarve3 5 2 5 3" xfId="22777" xr:uid="{00000000-0005-0000-0000-000023250000}"/>
    <cellStyle name="20 % - Markeringsfarve3 5 2 5 4" xfId="37764" xr:uid="{00000000-0005-0000-0000-000024250000}"/>
    <cellStyle name="20 % - Markeringsfarve3 5 2 6" xfId="10933" xr:uid="{00000000-0005-0000-0000-000025250000}"/>
    <cellStyle name="20 % - Markeringsfarve3 5 2 6 2" xfId="27252" xr:uid="{00000000-0005-0000-0000-000026250000}"/>
    <cellStyle name="20 % - Markeringsfarve3 5 2 6 3" xfId="42218" xr:uid="{00000000-0005-0000-0000-000027250000}"/>
    <cellStyle name="20 % - Markeringsfarve3 5 2 7" xfId="20230" xr:uid="{00000000-0005-0000-0000-000028250000}"/>
    <cellStyle name="20 % - Markeringsfarve3 5 2 8" xfId="35219" xr:uid="{00000000-0005-0000-0000-000029250000}"/>
    <cellStyle name="20 % - Markeringsfarve3 5 2 9" xfId="54000" xr:uid="{00000000-0005-0000-0000-00002A250000}"/>
    <cellStyle name="20 % - Markeringsfarve3 5 3" xfId="2381" xr:uid="{00000000-0005-0000-0000-00002B250000}"/>
    <cellStyle name="20 % - Markeringsfarve3 5 3 2" xfId="2382" xr:uid="{00000000-0005-0000-0000-00002C250000}"/>
    <cellStyle name="20 % - Markeringsfarve3 5 3 2 2" xfId="2383" xr:uid="{00000000-0005-0000-0000-00002D250000}"/>
    <cellStyle name="20 % - Markeringsfarve3 5 3 2 2 2" xfId="7751" xr:uid="{00000000-0005-0000-0000-00002E250000}"/>
    <cellStyle name="20 % - Markeringsfarve3 5 3 2 2 2 2" xfId="15652" xr:uid="{00000000-0005-0000-0000-00002F250000}"/>
    <cellStyle name="20 % - Markeringsfarve3 5 3 2 2 2 2 2" xfId="31966" xr:uid="{00000000-0005-0000-0000-000030250000}"/>
    <cellStyle name="20 % - Markeringsfarve3 5 3 2 2 2 2 3" xfId="46930" xr:uid="{00000000-0005-0000-0000-000031250000}"/>
    <cellStyle name="20 % - Markeringsfarve3 5 3 2 2 2 3" xfId="24944" xr:uid="{00000000-0005-0000-0000-000032250000}"/>
    <cellStyle name="20 % - Markeringsfarve3 5 3 2 2 2 4" xfId="39931" xr:uid="{00000000-0005-0000-0000-000033250000}"/>
    <cellStyle name="20 % - Markeringsfarve3 5 3 2 2 3" xfId="10940" xr:uid="{00000000-0005-0000-0000-000034250000}"/>
    <cellStyle name="20 % - Markeringsfarve3 5 3 2 2 3 2" xfId="27259" xr:uid="{00000000-0005-0000-0000-000035250000}"/>
    <cellStyle name="20 % - Markeringsfarve3 5 3 2 2 3 3" xfId="42225" xr:uid="{00000000-0005-0000-0000-000036250000}"/>
    <cellStyle name="20 % - Markeringsfarve3 5 3 2 2 4" xfId="20237" xr:uid="{00000000-0005-0000-0000-000037250000}"/>
    <cellStyle name="20 % - Markeringsfarve3 5 3 2 2 5" xfId="35226" xr:uid="{00000000-0005-0000-0000-000038250000}"/>
    <cellStyle name="20 % - Markeringsfarve3 5 3 2 3" xfId="6315" xr:uid="{00000000-0005-0000-0000-000039250000}"/>
    <cellStyle name="20 % - Markeringsfarve3 5 3 2 3 2" xfId="14232" xr:uid="{00000000-0005-0000-0000-00003A250000}"/>
    <cellStyle name="20 % - Markeringsfarve3 5 3 2 3 2 2" xfId="30546" xr:uid="{00000000-0005-0000-0000-00003B250000}"/>
    <cellStyle name="20 % - Markeringsfarve3 5 3 2 3 2 3" xfId="45510" xr:uid="{00000000-0005-0000-0000-00003C250000}"/>
    <cellStyle name="20 % - Markeringsfarve3 5 3 2 3 3" xfId="23524" xr:uid="{00000000-0005-0000-0000-00003D250000}"/>
    <cellStyle name="20 % - Markeringsfarve3 5 3 2 3 4" xfId="38511" xr:uid="{00000000-0005-0000-0000-00003E250000}"/>
    <cellStyle name="20 % - Markeringsfarve3 5 3 2 4" xfId="10939" xr:uid="{00000000-0005-0000-0000-00003F250000}"/>
    <cellStyle name="20 % - Markeringsfarve3 5 3 2 4 2" xfId="27258" xr:uid="{00000000-0005-0000-0000-000040250000}"/>
    <cellStyle name="20 % - Markeringsfarve3 5 3 2 4 3" xfId="42224" xr:uid="{00000000-0005-0000-0000-000041250000}"/>
    <cellStyle name="20 % - Markeringsfarve3 5 3 2 5" xfId="20236" xr:uid="{00000000-0005-0000-0000-000042250000}"/>
    <cellStyle name="20 % - Markeringsfarve3 5 3 2 6" xfId="35225" xr:uid="{00000000-0005-0000-0000-000043250000}"/>
    <cellStyle name="20 % - Markeringsfarve3 5 3 3" xfId="2384" xr:uid="{00000000-0005-0000-0000-000044250000}"/>
    <cellStyle name="20 % - Markeringsfarve3 5 3 3 2" xfId="6981" xr:uid="{00000000-0005-0000-0000-000045250000}"/>
    <cellStyle name="20 % - Markeringsfarve3 5 3 3 2 2" xfId="14892" xr:uid="{00000000-0005-0000-0000-000046250000}"/>
    <cellStyle name="20 % - Markeringsfarve3 5 3 3 2 2 2" xfId="31206" xr:uid="{00000000-0005-0000-0000-000047250000}"/>
    <cellStyle name="20 % - Markeringsfarve3 5 3 3 2 2 3" xfId="46170" xr:uid="{00000000-0005-0000-0000-000048250000}"/>
    <cellStyle name="20 % - Markeringsfarve3 5 3 3 2 3" xfId="24184" xr:uid="{00000000-0005-0000-0000-000049250000}"/>
    <cellStyle name="20 % - Markeringsfarve3 5 3 3 2 4" xfId="39171" xr:uid="{00000000-0005-0000-0000-00004A250000}"/>
    <cellStyle name="20 % - Markeringsfarve3 5 3 3 3" xfId="10941" xr:uid="{00000000-0005-0000-0000-00004B250000}"/>
    <cellStyle name="20 % - Markeringsfarve3 5 3 3 3 2" xfId="27260" xr:uid="{00000000-0005-0000-0000-00004C250000}"/>
    <cellStyle name="20 % - Markeringsfarve3 5 3 3 3 3" xfId="42226" xr:uid="{00000000-0005-0000-0000-00004D250000}"/>
    <cellStyle name="20 % - Markeringsfarve3 5 3 3 4" xfId="20238" xr:uid="{00000000-0005-0000-0000-00004E250000}"/>
    <cellStyle name="20 % - Markeringsfarve3 5 3 3 5" xfId="35227" xr:uid="{00000000-0005-0000-0000-00004F250000}"/>
    <cellStyle name="20 % - Markeringsfarve3 5 3 4" xfId="2385" xr:uid="{00000000-0005-0000-0000-000050250000}"/>
    <cellStyle name="20 % - Markeringsfarve3 5 3 4 2" xfId="8307" xr:uid="{00000000-0005-0000-0000-000051250000}"/>
    <cellStyle name="20 % - Markeringsfarve3 5 3 4 2 2" xfId="16201" xr:uid="{00000000-0005-0000-0000-000052250000}"/>
    <cellStyle name="20 % - Markeringsfarve3 5 3 4 2 2 2" xfId="32515" xr:uid="{00000000-0005-0000-0000-000053250000}"/>
    <cellStyle name="20 % - Markeringsfarve3 5 3 4 2 2 3" xfId="47479" xr:uid="{00000000-0005-0000-0000-000054250000}"/>
    <cellStyle name="20 % - Markeringsfarve3 5 3 4 2 3" xfId="25493" xr:uid="{00000000-0005-0000-0000-000055250000}"/>
    <cellStyle name="20 % - Markeringsfarve3 5 3 4 2 4" xfId="40480" xr:uid="{00000000-0005-0000-0000-000056250000}"/>
    <cellStyle name="20 % - Markeringsfarve3 5 3 4 3" xfId="10942" xr:uid="{00000000-0005-0000-0000-000057250000}"/>
    <cellStyle name="20 % - Markeringsfarve3 5 3 4 3 2" xfId="27261" xr:uid="{00000000-0005-0000-0000-000058250000}"/>
    <cellStyle name="20 % - Markeringsfarve3 5 3 4 3 3" xfId="42227" xr:uid="{00000000-0005-0000-0000-000059250000}"/>
    <cellStyle name="20 % - Markeringsfarve3 5 3 4 4" xfId="20239" xr:uid="{00000000-0005-0000-0000-00005A250000}"/>
    <cellStyle name="20 % - Markeringsfarve3 5 3 4 5" xfId="35228" xr:uid="{00000000-0005-0000-0000-00005B250000}"/>
    <cellStyle name="20 % - Markeringsfarve3 5 3 5" xfId="5568" xr:uid="{00000000-0005-0000-0000-00005C250000}"/>
    <cellStyle name="20 % - Markeringsfarve3 5 3 5 2" xfId="13486" xr:uid="{00000000-0005-0000-0000-00005D250000}"/>
    <cellStyle name="20 % - Markeringsfarve3 5 3 5 2 2" xfId="29800" xr:uid="{00000000-0005-0000-0000-00005E250000}"/>
    <cellStyle name="20 % - Markeringsfarve3 5 3 5 2 3" xfId="44764" xr:uid="{00000000-0005-0000-0000-00005F250000}"/>
    <cellStyle name="20 % - Markeringsfarve3 5 3 5 3" xfId="22778" xr:uid="{00000000-0005-0000-0000-000060250000}"/>
    <cellStyle name="20 % - Markeringsfarve3 5 3 5 4" xfId="37765" xr:uid="{00000000-0005-0000-0000-000061250000}"/>
    <cellStyle name="20 % - Markeringsfarve3 5 3 6" xfId="10938" xr:uid="{00000000-0005-0000-0000-000062250000}"/>
    <cellStyle name="20 % - Markeringsfarve3 5 3 6 2" xfId="27257" xr:uid="{00000000-0005-0000-0000-000063250000}"/>
    <cellStyle name="20 % - Markeringsfarve3 5 3 6 3" xfId="42223" xr:uid="{00000000-0005-0000-0000-000064250000}"/>
    <cellStyle name="20 % - Markeringsfarve3 5 3 7" xfId="20235" xr:uid="{00000000-0005-0000-0000-000065250000}"/>
    <cellStyle name="20 % - Markeringsfarve3 5 3 8" xfId="35224" xr:uid="{00000000-0005-0000-0000-000066250000}"/>
    <cellStyle name="20 % - Markeringsfarve3 5 3 9" xfId="56544" xr:uid="{00000000-0005-0000-0000-000067250000}"/>
    <cellStyle name="20 % - Markeringsfarve3 5 4" xfId="2386" xr:uid="{00000000-0005-0000-0000-000068250000}"/>
    <cellStyle name="20 % - Markeringsfarve3 5 4 2" xfId="2387" xr:uid="{00000000-0005-0000-0000-000069250000}"/>
    <cellStyle name="20 % - Markeringsfarve3 5 4 2 2" xfId="2388" xr:uid="{00000000-0005-0000-0000-00006A250000}"/>
    <cellStyle name="20 % - Markeringsfarve3 5 4 2 2 2" xfId="7928" xr:uid="{00000000-0005-0000-0000-00006B250000}"/>
    <cellStyle name="20 % - Markeringsfarve3 5 4 2 2 2 2" xfId="15829" xr:uid="{00000000-0005-0000-0000-00006C250000}"/>
    <cellStyle name="20 % - Markeringsfarve3 5 4 2 2 2 2 2" xfId="32143" xr:uid="{00000000-0005-0000-0000-00006D250000}"/>
    <cellStyle name="20 % - Markeringsfarve3 5 4 2 2 2 2 3" xfId="47107" xr:uid="{00000000-0005-0000-0000-00006E250000}"/>
    <cellStyle name="20 % - Markeringsfarve3 5 4 2 2 2 3" xfId="25121" xr:uid="{00000000-0005-0000-0000-00006F250000}"/>
    <cellStyle name="20 % - Markeringsfarve3 5 4 2 2 2 4" xfId="40108" xr:uid="{00000000-0005-0000-0000-000070250000}"/>
    <cellStyle name="20 % - Markeringsfarve3 5 4 2 2 3" xfId="10945" xr:uid="{00000000-0005-0000-0000-000071250000}"/>
    <cellStyle name="20 % - Markeringsfarve3 5 4 2 2 3 2" xfId="27264" xr:uid="{00000000-0005-0000-0000-000072250000}"/>
    <cellStyle name="20 % - Markeringsfarve3 5 4 2 2 3 3" xfId="42230" xr:uid="{00000000-0005-0000-0000-000073250000}"/>
    <cellStyle name="20 % - Markeringsfarve3 5 4 2 2 4" xfId="20242" xr:uid="{00000000-0005-0000-0000-000074250000}"/>
    <cellStyle name="20 % - Markeringsfarve3 5 4 2 2 5" xfId="35231" xr:uid="{00000000-0005-0000-0000-000075250000}"/>
    <cellStyle name="20 % - Markeringsfarve3 5 4 2 3" xfId="6462" xr:uid="{00000000-0005-0000-0000-000076250000}"/>
    <cellStyle name="20 % - Markeringsfarve3 5 4 2 3 2" xfId="14376" xr:uid="{00000000-0005-0000-0000-000077250000}"/>
    <cellStyle name="20 % - Markeringsfarve3 5 4 2 3 2 2" xfId="30690" xr:uid="{00000000-0005-0000-0000-000078250000}"/>
    <cellStyle name="20 % - Markeringsfarve3 5 4 2 3 2 3" xfId="45654" xr:uid="{00000000-0005-0000-0000-000079250000}"/>
    <cellStyle name="20 % - Markeringsfarve3 5 4 2 3 3" xfId="23668" xr:uid="{00000000-0005-0000-0000-00007A250000}"/>
    <cellStyle name="20 % - Markeringsfarve3 5 4 2 3 4" xfId="38655" xr:uid="{00000000-0005-0000-0000-00007B250000}"/>
    <cellStyle name="20 % - Markeringsfarve3 5 4 2 4" xfId="10944" xr:uid="{00000000-0005-0000-0000-00007C250000}"/>
    <cellStyle name="20 % - Markeringsfarve3 5 4 2 4 2" xfId="27263" xr:uid="{00000000-0005-0000-0000-00007D250000}"/>
    <cellStyle name="20 % - Markeringsfarve3 5 4 2 4 3" xfId="42229" xr:uid="{00000000-0005-0000-0000-00007E250000}"/>
    <cellStyle name="20 % - Markeringsfarve3 5 4 2 5" xfId="20241" xr:uid="{00000000-0005-0000-0000-00007F250000}"/>
    <cellStyle name="20 % - Markeringsfarve3 5 4 2 6" xfId="35230" xr:uid="{00000000-0005-0000-0000-000080250000}"/>
    <cellStyle name="20 % - Markeringsfarve3 5 4 3" xfId="2389" xr:uid="{00000000-0005-0000-0000-000081250000}"/>
    <cellStyle name="20 % - Markeringsfarve3 5 4 3 2" xfId="7204" xr:uid="{00000000-0005-0000-0000-000082250000}"/>
    <cellStyle name="20 % - Markeringsfarve3 5 4 3 2 2" xfId="15114" xr:uid="{00000000-0005-0000-0000-000083250000}"/>
    <cellStyle name="20 % - Markeringsfarve3 5 4 3 2 2 2" xfId="31428" xr:uid="{00000000-0005-0000-0000-000084250000}"/>
    <cellStyle name="20 % - Markeringsfarve3 5 4 3 2 2 3" xfId="46392" xr:uid="{00000000-0005-0000-0000-000085250000}"/>
    <cellStyle name="20 % - Markeringsfarve3 5 4 3 2 3" xfId="24406" xr:uid="{00000000-0005-0000-0000-000086250000}"/>
    <cellStyle name="20 % - Markeringsfarve3 5 4 3 2 4" xfId="39393" xr:uid="{00000000-0005-0000-0000-000087250000}"/>
    <cellStyle name="20 % - Markeringsfarve3 5 4 3 3" xfId="10946" xr:uid="{00000000-0005-0000-0000-000088250000}"/>
    <cellStyle name="20 % - Markeringsfarve3 5 4 3 3 2" xfId="27265" xr:uid="{00000000-0005-0000-0000-000089250000}"/>
    <cellStyle name="20 % - Markeringsfarve3 5 4 3 3 3" xfId="42231" xr:uid="{00000000-0005-0000-0000-00008A250000}"/>
    <cellStyle name="20 % - Markeringsfarve3 5 4 3 4" xfId="20243" xr:uid="{00000000-0005-0000-0000-00008B250000}"/>
    <cellStyle name="20 % - Markeringsfarve3 5 4 3 5" xfId="35232" xr:uid="{00000000-0005-0000-0000-00008C250000}"/>
    <cellStyle name="20 % - Markeringsfarve3 5 4 4" xfId="2390" xr:uid="{00000000-0005-0000-0000-00008D250000}"/>
    <cellStyle name="20 % - Markeringsfarve3 5 4 4 2" xfId="8306" xr:uid="{00000000-0005-0000-0000-00008E250000}"/>
    <cellStyle name="20 % - Markeringsfarve3 5 4 4 2 2" xfId="16200" xr:uid="{00000000-0005-0000-0000-00008F250000}"/>
    <cellStyle name="20 % - Markeringsfarve3 5 4 4 2 2 2" xfId="32514" xr:uid="{00000000-0005-0000-0000-000090250000}"/>
    <cellStyle name="20 % - Markeringsfarve3 5 4 4 2 2 3" xfId="47478" xr:uid="{00000000-0005-0000-0000-000091250000}"/>
    <cellStyle name="20 % - Markeringsfarve3 5 4 4 2 3" xfId="25492" xr:uid="{00000000-0005-0000-0000-000092250000}"/>
    <cellStyle name="20 % - Markeringsfarve3 5 4 4 2 4" xfId="40479" xr:uid="{00000000-0005-0000-0000-000093250000}"/>
    <cellStyle name="20 % - Markeringsfarve3 5 4 4 3" xfId="10947" xr:uid="{00000000-0005-0000-0000-000094250000}"/>
    <cellStyle name="20 % - Markeringsfarve3 5 4 4 3 2" xfId="27266" xr:uid="{00000000-0005-0000-0000-000095250000}"/>
    <cellStyle name="20 % - Markeringsfarve3 5 4 4 3 3" xfId="42232" xr:uid="{00000000-0005-0000-0000-000096250000}"/>
    <cellStyle name="20 % - Markeringsfarve3 5 4 4 4" xfId="20244" xr:uid="{00000000-0005-0000-0000-000097250000}"/>
    <cellStyle name="20 % - Markeringsfarve3 5 4 4 5" xfId="35233" xr:uid="{00000000-0005-0000-0000-000098250000}"/>
    <cellStyle name="20 % - Markeringsfarve3 5 4 5" xfId="5569" xr:uid="{00000000-0005-0000-0000-000099250000}"/>
    <cellStyle name="20 % - Markeringsfarve3 5 4 5 2" xfId="13487" xr:uid="{00000000-0005-0000-0000-00009A250000}"/>
    <cellStyle name="20 % - Markeringsfarve3 5 4 5 2 2" xfId="29801" xr:uid="{00000000-0005-0000-0000-00009B250000}"/>
    <cellStyle name="20 % - Markeringsfarve3 5 4 5 2 3" xfId="44765" xr:uid="{00000000-0005-0000-0000-00009C250000}"/>
    <cellStyle name="20 % - Markeringsfarve3 5 4 5 3" xfId="22779" xr:uid="{00000000-0005-0000-0000-00009D250000}"/>
    <cellStyle name="20 % - Markeringsfarve3 5 4 5 4" xfId="37766" xr:uid="{00000000-0005-0000-0000-00009E250000}"/>
    <cellStyle name="20 % - Markeringsfarve3 5 4 6" xfId="10943" xr:uid="{00000000-0005-0000-0000-00009F250000}"/>
    <cellStyle name="20 % - Markeringsfarve3 5 4 6 2" xfId="27262" xr:uid="{00000000-0005-0000-0000-0000A0250000}"/>
    <cellStyle name="20 % - Markeringsfarve3 5 4 6 3" xfId="42228" xr:uid="{00000000-0005-0000-0000-0000A1250000}"/>
    <cellStyle name="20 % - Markeringsfarve3 5 4 7" xfId="20240" xr:uid="{00000000-0005-0000-0000-0000A2250000}"/>
    <cellStyle name="20 % - Markeringsfarve3 5 4 8" xfId="35229" xr:uid="{00000000-0005-0000-0000-0000A3250000}"/>
    <cellStyle name="20 % - Markeringsfarve3 5 5" xfId="2391" xr:uid="{00000000-0005-0000-0000-0000A4250000}"/>
    <cellStyle name="20 % - Markeringsfarve3 5 5 2" xfId="2392" xr:uid="{00000000-0005-0000-0000-0000A5250000}"/>
    <cellStyle name="20 % - Markeringsfarve3 5 5 2 2" xfId="2393" xr:uid="{00000000-0005-0000-0000-0000A6250000}"/>
    <cellStyle name="20 % - Markeringsfarve3 5 5 2 2 2" xfId="8045" xr:uid="{00000000-0005-0000-0000-0000A7250000}"/>
    <cellStyle name="20 % - Markeringsfarve3 5 5 2 2 2 2" xfId="15946" xr:uid="{00000000-0005-0000-0000-0000A8250000}"/>
    <cellStyle name="20 % - Markeringsfarve3 5 5 2 2 2 2 2" xfId="32260" xr:uid="{00000000-0005-0000-0000-0000A9250000}"/>
    <cellStyle name="20 % - Markeringsfarve3 5 5 2 2 2 2 3" xfId="47224" xr:uid="{00000000-0005-0000-0000-0000AA250000}"/>
    <cellStyle name="20 % - Markeringsfarve3 5 5 2 2 2 3" xfId="25238" xr:uid="{00000000-0005-0000-0000-0000AB250000}"/>
    <cellStyle name="20 % - Markeringsfarve3 5 5 2 2 2 4" xfId="40225" xr:uid="{00000000-0005-0000-0000-0000AC250000}"/>
    <cellStyle name="20 % - Markeringsfarve3 5 5 2 2 3" xfId="10950" xr:uid="{00000000-0005-0000-0000-0000AD250000}"/>
    <cellStyle name="20 % - Markeringsfarve3 5 5 2 2 3 2" xfId="27269" xr:uid="{00000000-0005-0000-0000-0000AE250000}"/>
    <cellStyle name="20 % - Markeringsfarve3 5 5 2 2 3 3" xfId="42235" xr:uid="{00000000-0005-0000-0000-0000AF250000}"/>
    <cellStyle name="20 % - Markeringsfarve3 5 5 2 2 4" xfId="20247" xr:uid="{00000000-0005-0000-0000-0000B0250000}"/>
    <cellStyle name="20 % - Markeringsfarve3 5 5 2 2 5" xfId="35236" xr:uid="{00000000-0005-0000-0000-0000B1250000}"/>
    <cellStyle name="20 % - Markeringsfarve3 5 5 2 3" xfId="6561" xr:uid="{00000000-0005-0000-0000-0000B2250000}"/>
    <cellStyle name="20 % - Markeringsfarve3 5 5 2 3 2" xfId="14475" xr:uid="{00000000-0005-0000-0000-0000B3250000}"/>
    <cellStyle name="20 % - Markeringsfarve3 5 5 2 3 2 2" xfId="30789" xr:uid="{00000000-0005-0000-0000-0000B4250000}"/>
    <cellStyle name="20 % - Markeringsfarve3 5 5 2 3 2 3" xfId="45753" xr:uid="{00000000-0005-0000-0000-0000B5250000}"/>
    <cellStyle name="20 % - Markeringsfarve3 5 5 2 3 3" xfId="23767" xr:uid="{00000000-0005-0000-0000-0000B6250000}"/>
    <cellStyle name="20 % - Markeringsfarve3 5 5 2 3 4" xfId="38754" xr:uid="{00000000-0005-0000-0000-0000B7250000}"/>
    <cellStyle name="20 % - Markeringsfarve3 5 5 2 4" xfId="10949" xr:uid="{00000000-0005-0000-0000-0000B8250000}"/>
    <cellStyle name="20 % - Markeringsfarve3 5 5 2 4 2" xfId="27268" xr:uid="{00000000-0005-0000-0000-0000B9250000}"/>
    <cellStyle name="20 % - Markeringsfarve3 5 5 2 4 3" xfId="42234" xr:uid="{00000000-0005-0000-0000-0000BA250000}"/>
    <cellStyle name="20 % - Markeringsfarve3 5 5 2 5" xfId="20246" xr:uid="{00000000-0005-0000-0000-0000BB250000}"/>
    <cellStyle name="20 % - Markeringsfarve3 5 5 2 6" xfId="35235" xr:uid="{00000000-0005-0000-0000-0000BC250000}"/>
    <cellStyle name="20 % - Markeringsfarve3 5 5 3" xfId="2394" xr:uid="{00000000-0005-0000-0000-0000BD250000}"/>
    <cellStyle name="20 % - Markeringsfarve3 5 5 3 2" xfId="7321" xr:uid="{00000000-0005-0000-0000-0000BE250000}"/>
    <cellStyle name="20 % - Markeringsfarve3 5 5 3 2 2" xfId="15231" xr:uid="{00000000-0005-0000-0000-0000BF250000}"/>
    <cellStyle name="20 % - Markeringsfarve3 5 5 3 2 2 2" xfId="31545" xr:uid="{00000000-0005-0000-0000-0000C0250000}"/>
    <cellStyle name="20 % - Markeringsfarve3 5 5 3 2 2 3" xfId="46509" xr:uid="{00000000-0005-0000-0000-0000C1250000}"/>
    <cellStyle name="20 % - Markeringsfarve3 5 5 3 2 3" xfId="24523" xr:uid="{00000000-0005-0000-0000-0000C2250000}"/>
    <cellStyle name="20 % - Markeringsfarve3 5 5 3 2 4" xfId="39510" xr:uid="{00000000-0005-0000-0000-0000C3250000}"/>
    <cellStyle name="20 % - Markeringsfarve3 5 5 3 3" xfId="10951" xr:uid="{00000000-0005-0000-0000-0000C4250000}"/>
    <cellStyle name="20 % - Markeringsfarve3 5 5 3 3 2" xfId="27270" xr:uid="{00000000-0005-0000-0000-0000C5250000}"/>
    <cellStyle name="20 % - Markeringsfarve3 5 5 3 3 3" xfId="42236" xr:uid="{00000000-0005-0000-0000-0000C6250000}"/>
    <cellStyle name="20 % - Markeringsfarve3 5 5 3 4" xfId="20248" xr:uid="{00000000-0005-0000-0000-0000C7250000}"/>
    <cellStyle name="20 % - Markeringsfarve3 5 5 3 5" xfId="35237" xr:uid="{00000000-0005-0000-0000-0000C8250000}"/>
    <cellStyle name="20 % - Markeringsfarve3 5 5 4" xfId="2395" xr:uid="{00000000-0005-0000-0000-0000C9250000}"/>
    <cellStyle name="20 % - Markeringsfarve3 5 5 4 2" xfId="8305" xr:uid="{00000000-0005-0000-0000-0000CA250000}"/>
    <cellStyle name="20 % - Markeringsfarve3 5 5 4 2 2" xfId="16199" xr:uid="{00000000-0005-0000-0000-0000CB250000}"/>
    <cellStyle name="20 % - Markeringsfarve3 5 5 4 2 2 2" xfId="32513" xr:uid="{00000000-0005-0000-0000-0000CC250000}"/>
    <cellStyle name="20 % - Markeringsfarve3 5 5 4 2 2 3" xfId="47477" xr:uid="{00000000-0005-0000-0000-0000CD250000}"/>
    <cellStyle name="20 % - Markeringsfarve3 5 5 4 2 3" xfId="25491" xr:uid="{00000000-0005-0000-0000-0000CE250000}"/>
    <cellStyle name="20 % - Markeringsfarve3 5 5 4 2 4" xfId="40478" xr:uid="{00000000-0005-0000-0000-0000CF250000}"/>
    <cellStyle name="20 % - Markeringsfarve3 5 5 4 3" xfId="10952" xr:uid="{00000000-0005-0000-0000-0000D0250000}"/>
    <cellStyle name="20 % - Markeringsfarve3 5 5 4 3 2" xfId="27271" xr:uid="{00000000-0005-0000-0000-0000D1250000}"/>
    <cellStyle name="20 % - Markeringsfarve3 5 5 4 3 3" xfId="42237" xr:uid="{00000000-0005-0000-0000-0000D2250000}"/>
    <cellStyle name="20 % - Markeringsfarve3 5 5 4 4" xfId="20249" xr:uid="{00000000-0005-0000-0000-0000D3250000}"/>
    <cellStyle name="20 % - Markeringsfarve3 5 5 4 5" xfId="35238" xr:uid="{00000000-0005-0000-0000-0000D4250000}"/>
    <cellStyle name="20 % - Markeringsfarve3 5 5 5" xfId="5570" xr:uid="{00000000-0005-0000-0000-0000D5250000}"/>
    <cellStyle name="20 % - Markeringsfarve3 5 5 5 2" xfId="13488" xr:uid="{00000000-0005-0000-0000-0000D6250000}"/>
    <cellStyle name="20 % - Markeringsfarve3 5 5 5 2 2" xfId="29802" xr:uid="{00000000-0005-0000-0000-0000D7250000}"/>
    <cellStyle name="20 % - Markeringsfarve3 5 5 5 2 3" xfId="44766" xr:uid="{00000000-0005-0000-0000-0000D8250000}"/>
    <cellStyle name="20 % - Markeringsfarve3 5 5 5 3" xfId="22780" xr:uid="{00000000-0005-0000-0000-0000D9250000}"/>
    <cellStyle name="20 % - Markeringsfarve3 5 5 5 4" xfId="37767" xr:uid="{00000000-0005-0000-0000-0000DA250000}"/>
    <cellStyle name="20 % - Markeringsfarve3 5 5 6" xfId="10948" xr:uid="{00000000-0005-0000-0000-0000DB250000}"/>
    <cellStyle name="20 % - Markeringsfarve3 5 5 6 2" xfId="27267" xr:uid="{00000000-0005-0000-0000-0000DC250000}"/>
    <cellStyle name="20 % - Markeringsfarve3 5 5 6 3" xfId="42233" xr:uid="{00000000-0005-0000-0000-0000DD250000}"/>
    <cellStyle name="20 % - Markeringsfarve3 5 5 7" xfId="20245" xr:uid="{00000000-0005-0000-0000-0000DE250000}"/>
    <cellStyle name="20 % - Markeringsfarve3 5 5 8" xfId="35234" xr:uid="{00000000-0005-0000-0000-0000DF250000}"/>
    <cellStyle name="20 % - Markeringsfarve3 5 6" xfId="2396" xr:uid="{00000000-0005-0000-0000-0000E0250000}"/>
    <cellStyle name="20 % - Markeringsfarve3 5 6 2" xfId="2397" xr:uid="{00000000-0005-0000-0000-0000E1250000}"/>
    <cellStyle name="20 % - Markeringsfarve3 5 6 2 2" xfId="2398" xr:uid="{00000000-0005-0000-0000-0000E2250000}"/>
    <cellStyle name="20 % - Markeringsfarve3 5 6 2 2 2" xfId="8106" xr:uid="{00000000-0005-0000-0000-0000E3250000}"/>
    <cellStyle name="20 % - Markeringsfarve3 5 6 2 2 2 2" xfId="16007" xr:uid="{00000000-0005-0000-0000-0000E4250000}"/>
    <cellStyle name="20 % - Markeringsfarve3 5 6 2 2 2 2 2" xfId="32321" xr:uid="{00000000-0005-0000-0000-0000E5250000}"/>
    <cellStyle name="20 % - Markeringsfarve3 5 6 2 2 2 2 3" xfId="47285" xr:uid="{00000000-0005-0000-0000-0000E6250000}"/>
    <cellStyle name="20 % - Markeringsfarve3 5 6 2 2 2 3" xfId="25299" xr:uid="{00000000-0005-0000-0000-0000E7250000}"/>
    <cellStyle name="20 % - Markeringsfarve3 5 6 2 2 2 4" xfId="40286" xr:uid="{00000000-0005-0000-0000-0000E8250000}"/>
    <cellStyle name="20 % - Markeringsfarve3 5 6 2 2 3" xfId="10955" xr:uid="{00000000-0005-0000-0000-0000E9250000}"/>
    <cellStyle name="20 % - Markeringsfarve3 5 6 2 2 3 2" xfId="27274" xr:uid="{00000000-0005-0000-0000-0000EA250000}"/>
    <cellStyle name="20 % - Markeringsfarve3 5 6 2 2 3 3" xfId="42240" xr:uid="{00000000-0005-0000-0000-0000EB250000}"/>
    <cellStyle name="20 % - Markeringsfarve3 5 6 2 2 4" xfId="20252" xr:uid="{00000000-0005-0000-0000-0000EC250000}"/>
    <cellStyle name="20 % - Markeringsfarve3 5 6 2 2 5" xfId="35241" xr:uid="{00000000-0005-0000-0000-0000ED250000}"/>
    <cellStyle name="20 % - Markeringsfarve3 5 6 2 3" xfId="6617" xr:uid="{00000000-0005-0000-0000-0000EE250000}"/>
    <cellStyle name="20 % - Markeringsfarve3 5 6 2 3 2" xfId="14531" xr:uid="{00000000-0005-0000-0000-0000EF250000}"/>
    <cellStyle name="20 % - Markeringsfarve3 5 6 2 3 2 2" xfId="30845" xr:uid="{00000000-0005-0000-0000-0000F0250000}"/>
    <cellStyle name="20 % - Markeringsfarve3 5 6 2 3 2 3" xfId="45809" xr:uid="{00000000-0005-0000-0000-0000F1250000}"/>
    <cellStyle name="20 % - Markeringsfarve3 5 6 2 3 3" xfId="23823" xr:uid="{00000000-0005-0000-0000-0000F2250000}"/>
    <cellStyle name="20 % - Markeringsfarve3 5 6 2 3 4" xfId="38810" xr:uid="{00000000-0005-0000-0000-0000F3250000}"/>
    <cellStyle name="20 % - Markeringsfarve3 5 6 2 4" xfId="10954" xr:uid="{00000000-0005-0000-0000-0000F4250000}"/>
    <cellStyle name="20 % - Markeringsfarve3 5 6 2 4 2" xfId="27273" xr:uid="{00000000-0005-0000-0000-0000F5250000}"/>
    <cellStyle name="20 % - Markeringsfarve3 5 6 2 4 3" xfId="42239" xr:uid="{00000000-0005-0000-0000-0000F6250000}"/>
    <cellStyle name="20 % - Markeringsfarve3 5 6 2 5" xfId="20251" xr:uid="{00000000-0005-0000-0000-0000F7250000}"/>
    <cellStyle name="20 % - Markeringsfarve3 5 6 2 6" xfId="35240" xr:uid="{00000000-0005-0000-0000-0000F8250000}"/>
    <cellStyle name="20 % - Markeringsfarve3 5 6 3" xfId="2399" xr:uid="{00000000-0005-0000-0000-0000F9250000}"/>
    <cellStyle name="20 % - Markeringsfarve3 5 6 3 2" xfId="7383" xr:uid="{00000000-0005-0000-0000-0000FA250000}"/>
    <cellStyle name="20 % - Markeringsfarve3 5 6 3 2 2" xfId="15293" xr:uid="{00000000-0005-0000-0000-0000FB250000}"/>
    <cellStyle name="20 % - Markeringsfarve3 5 6 3 2 2 2" xfId="31607" xr:uid="{00000000-0005-0000-0000-0000FC250000}"/>
    <cellStyle name="20 % - Markeringsfarve3 5 6 3 2 2 3" xfId="46571" xr:uid="{00000000-0005-0000-0000-0000FD250000}"/>
    <cellStyle name="20 % - Markeringsfarve3 5 6 3 2 3" xfId="24585" xr:uid="{00000000-0005-0000-0000-0000FE250000}"/>
    <cellStyle name="20 % - Markeringsfarve3 5 6 3 2 4" xfId="39572" xr:uid="{00000000-0005-0000-0000-0000FF250000}"/>
    <cellStyle name="20 % - Markeringsfarve3 5 6 3 3" xfId="10956" xr:uid="{00000000-0005-0000-0000-000000260000}"/>
    <cellStyle name="20 % - Markeringsfarve3 5 6 3 3 2" xfId="27275" xr:uid="{00000000-0005-0000-0000-000001260000}"/>
    <cellStyle name="20 % - Markeringsfarve3 5 6 3 3 3" xfId="42241" xr:uid="{00000000-0005-0000-0000-000002260000}"/>
    <cellStyle name="20 % - Markeringsfarve3 5 6 3 4" xfId="20253" xr:uid="{00000000-0005-0000-0000-000003260000}"/>
    <cellStyle name="20 % - Markeringsfarve3 5 6 3 5" xfId="35242" xr:uid="{00000000-0005-0000-0000-000004260000}"/>
    <cellStyle name="20 % - Markeringsfarve3 5 6 4" xfId="2400" xr:uid="{00000000-0005-0000-0000-000005260000}"/>
    <cellStyle name="20 % - Markeringsfarve3 5 6 4 2" xfId="8518" xr:uid="{00000000-0005-0000-0000-000006260000}"/>
    <cellStyle name="20 % - Markeringsfarve3 5 6 4 2 2" xfId="16407" xr:uid="{00000000-0005-0000-0000-000007260000}"/>
    <cellStyle name="20 % - Markeringsfarve3 5 6 4 2 2 2" xfId="32721" xr:uid="{00000000-0005-0000-0000-000008260000}"/>
    <cellStyle name="20 % - Markeringsfarve3 5 6 4 2 2 3" xfId="47685" xr:uid="{00000000-0005-0000-0000-000009260000}"/>
    <cellStyle name="20 % - Markeringsfarve3 5 6 4 2 3" xfId="25699" xr:uid="{00000000-0005-0000-0000-00000A260000}"/>
    <cellStyle name="20 % - Markeringsfarve3 5 6 4 2 4" xfId="40686" xr:uid="{00000000-0005-0000-0000-00000B260000}"/>
    <cellStyle name="20 % - Markeringsfarve3 5 6 4 3" xfId="10957" xr:uid="{00000000-0005-0000-0000-00000C260000}"/>
    <cellStyle name="20 % - Markeringsfarve3 5 6 4 3 2" xfId="27276" xr:uid="{00000000-0005-0000-0000-00000D260000}"/>
    <cellStyle name="20 % - Markeringsfarve3 5 6 4 3 3" xfId="42242" xr:uid="{00000000-0005-0000-0000-00000E260000}"/>
    <cellStyle name="20 % - Markeringsfarve3 5 6 4 4" xfId="20254" xr:uid="{00000000-0005-0000-0000-00000F260000}"/>
    <cellStyle name="20 % - Markeringsfarve3 5 6 4 5" xfId="35243" xr:uid="{00000000-0005-0000-0000-000010260000}"/>
    <cellStyle name="20 % - Markeringsfarve3 5 6 5" xfId="5571" xr:uid="{00000000-0005-0000-0000-000011260000}"/>
    <cellStyle name="20 % - Markeringsfarve3 5 6 5 2" xfId="13489" xr:uid="{00000000-0005-0000-0000-000012260000}"/>
    <cellStyle name="20 % - Markeringsfarve3 5 6 5 2 2" xfId="29803" xr:uid="{00000000-0005-0000-0000-000013260000}"/>
    <cellStyle name="20 % - Markeringsfarve3 5 6 5 2 3" xfId="44767" xr:uid="{00000000-0005-0000-0000-000014260000}"/>
    <cellStyle name="20 % - Markeringsfarve3 5 6 5 3" xfId="22781" xr:uid="{00000000-0005-0000-0000-000015260000}"/>
    <cellStyle name="20 % - Markeringsfarve3 5 6 5 4" xfId="37768" xr:uid="{00000000-0005-0000-0000-000016260000}"/>
    <cellStyle name="20 % - Markeringsfarve3 5 6 6" xfId="10953" xr:uid="{00000000-0005-0000-0000-000017260000}"/>
    <cellStyle name="20 % - Markeringsfarve3 5 6 6 2" xfId="27272" xr:uid="{00000000-0005-0000-0000-000018260000}"/>
    <cellStyle name="20 % - Markeringsfarve3 5 6 6 3" xfId="42238" xr:uid="{00000000-0005-0000-0000-000019260000}"/>
    <cellStyle name="20 % - Markeringsfarve3 5 6 7" xfId="20250" xr:uid="{00000000-0005-0000-0000-00001A260000}"/>
    <cellStyle name="20 % - Markeringsfarve3 5 6 8" xfId="35239" xr:uid="{00000000-0005-0000-0000-00001B260000}"/>
    <cellStyle name="20 % - Markeringsfarve3 5 7" xfId="2401" xr:uid="{00000000-0005-0000-0000-00001C260000}"/>
    <cellStyle name="20 % - Markeringsfarve3 5 7 2" xfId="2402" xr:uid="{00000000-0005-0000-0000-00001D260000}"/>
    <cellStyle name="20 % - Markeringsfarve3 5 7 2 2" xfId="7571" xr:uid="{00000000-0005-0000-0000-00001E260000}"/>
    <cellStyle name="20 % - Markeringsfarve3 5 7 2 2 2" xfId="15472" xr:uid="{00000000-0005-0000-0000-00001F260000}"/>
    <cellStyle name="20 % - Markeringsfarve3 5 7 2 2 2 2" xfId="31786" xr:uid="{00000000-0005-0000-0000-000020260000}"/>
    <cellStyle name="20 % - Markeringsfarve3 5 7 2 2 2 3" xfId="46750" xr:uid="{00000000-0005-0000-0000-000021260000}"/>
    <cellStyle name="20 % - Markeringsfarve3 5 7 2 2 3" xfId="24764" xr:uid="{00000000-0005-0000-0000-000022260000}"/>
    <cellStyle name="20 % - Markeringsfarve3 5 7 2 2 4" xfId="39751" xr:uid="{00000000-0005-0000-0000-000023260000}"/>
    <cellStyle name="20 % - Markeringsfarve3 5 7 2 3" xfId="10959" xr:uid="{00000000-0005-0000-0000-000024260000}"/>
    <cellStyle name="20 % - Markeringsfarve3 5 7 2 3 2" xfId="27278" xr:uid="{00000000-0005-0000-0000-000025260000}"/>
    <cellStyle name="20 % - Markeringsfarve3 5 7 2 3 3" xfId="42244" xr:uid="{00000000-0005-0000-0000-000026260000}"/>
    <cellStyle name="20 % - Markeringsfarve3 5 7 2 4" xfId="20256" xr:uid="{00000000-0005-0000-0000-000027260000}"/>
    <cellStyle name="20 % - Markeringsfarve3 5 7 2 5" xfId="35245" xr:uid="{00000000-0005-0000-0000-000028260000}"/>
    <cellStyle name="20 % - Markeringsfarve3 5 7 3" xfId="6161" xr:uid="{00000000-0005-0000-0000-000029260000}"/>
    <cellStyle name="20 % - Markeringsfarve3 5 7 3 2" xfId="14078" xr:uid="{00000000-0005-0000-0000-00002A260000}"/>
    <cellStyle name="20 % - Markeringsfarve3 5 7 3 2 2" xfId="30392" xr:uid="{00000000-0005-0000-0000-00002B260000}"/>
    <cellStyle name="20 % - Markeringsfarve3 5 7 3 2 3" xfId="45356" xr:uid="{00000000-0005-0000-0000-00002C260000}"/>
    <cellStyle name="20 % - Markeringsfarve3 5 7 3 3" xfId="23370" xr:uid="{00000000-0005-0000-0000-00002D260000}"/>
    <cellStyle name="20 % - Markeringsfarve3 5 7 3 4" xfId="38357" xr:uid="{00000000-0005-0000-0000-00002E260000}"/>
    <cellStyle name="20 % - Markeringsfarve3 5 7 4" xfId="10958" xr:uid="{00000000-0005-0000-0000-00002F260000}"/>
    <cellStyle name="20 % - Markeringsfarve3 5 7 4 2" xfId="27277" xr:uid="{00000000-0005-0000-0000-000030260000}"/>
    <cellStyle name="20 % - Markeringsfarve3 5 7 4 3" xfId="42243" xr:uid="{00000000-0005-0000-0000-000031260000}"/>
    <cellStyle name="20 % - Markeringsfarve3 5 7 5" xfId="20255" xr:uid="{00000000-0005-0000-0000-000032260000}"/>
    <cellStyle name="20 % - Markeringsfarve3 5 7 6" xfId="35244" xr:uid="{00000000-0005-0000-0000-000033260000}"/>
    <cellStyle name="20 % - Markeringsfarve3 5 8" xfId="2403" xr:uid="{00000000-0005-0000-0000-000034260000}"/>
    <cellStyle name="20 % - Markeringsfarve3 5 8 2" xfId="6799" xr:uid="{00000000-0005-0000-0000-000035260000}"/>
    <cellStyle name="20 % - Markeringsfarve3 5 8 2 2" xfId="14710" xr:uid="{00000000-0005-0000-0000-000036260000}"/>
    <cellStyle name="20 % - Markeringsfarve3 5 8 2 2 2" xfId="31024" xr:uid="{00000000-0005-0000-0000-000037260000}"/>
    <cellStyle name="20 % - Markeringsfarve3 5 8 2 2 3" xfId="45988" xr:uid="{00000000-0005-0000-0000-000038260000}"/>
    <cellStyle name="20 % - Markeringsfarve3 5 8 2 3" xfId="24002" xr:uid="{00000000-0005-0000-0000-000039260000}"/>
    <cellStyle name="20 % - Markeringsfarve3 5 8 2 4" xfId="38989" xr:uid="{00000000-0005-0000-0000-00003A260000}"/>
    <cellStyle name="20 % - Markeringsfarve3 5 8 3" xfId="10960" xr:uid="{00000000-0005-0000-0000-00003B260000}"/>
    <cellStyle name="20 % - Markeringsfarve3 5 8 3 2" xfId="27279" xr:uid="{00000000-0005-0000-0000-00003C260000}"/>
    <cellStyle name="20 % - Markeringsfarve3 5 8 3 3" xfId="42245" xr:uid="{00000000-0005-0000-0000-00003D260000}"/>
    <cellStyle name="20 % - Markeringsfarve3 5 8 4" xfId="20257" xr:uid="{00000000-0005-0000-0000-00003E260000}"/>
    <cellStyle name="20 % - Markeringsfarve3 5 8 5" xfId="35246" xr:uid="{00000000-0005-0000-0000-00003F260000}"/>
    <cellStyle name="20 % - Markeringsfarve3 5 9" xfId="2404" xr:uid="{00000000-0005-0000-0000-000040260000}"/>
    <cellStyle name="20 % - Markeringsfarve3 5 9 2" xfId="8309" xr:uid="{00000000-0005-0000-0000-000041260000}"/>
    <cellStyle name="20 % - Markeringsfarve3 5 9 2 2" xfId="16203" xr:uid="{00000000-0005-0000-0000-000042260000}"/>
    <cellStyle name="20 % - Markeringsfarve3 5 9 2 2 2" xfId="32517" xr:uid="{00000000-0005-0000-0000-000043260000}"/>
    <cellStyle name="20 % - Markeringsfarve3 5 9 2 2 3" xfId="47481" xr:uid="{00000000-0005-0000-0000-000044260000}"/>
    <cellStyle name="20 % - Markeringsfarve3 5 9 2 3" xfId="25495" xr:uid="{00000000-0005-0000-0000-000045260000}"/>
    <cellStyle name="20 % - Markeringsfarve3 5 9 2 4" xfId="40482" xr:uid="{00000000-0005-0000-0000-000046260000}"/>
    <cellStyle name="20 % - Markeringsfarve3 5 9 3" xfId="10961" xr:uid="{00000000-0005-0000-0000-000047260000}"/>
    <cellStyle name="20 % - Markeringsfarve3 5 9 3 2" xfId="27280" xr:uid="{00000000-0005-0000-0000-000048260000}"/>
    <cellStyle name="20 % - Markeringsfarve3 5 9 3 3" xfId="42246" xr:uid="{00000000-0005-0000-0000-000049260000}"/>
    <cellStyle name="20 % - Markeringsfarve3 5 9 4" xfId="20258" xr:uid="{00000000-0005-0000-0000-00004A260000}"/>
    <cellStyle name="20 % - Markeringsfarve3 5 9 5" xfId="35247" xr:uid="{00000000-0005-0000-0000-00004B260000}"/>
    <cellStyle name="20 % - Markeringsfarve3 6" xfId="2405" xr:uid="{00000000-0005-0000-0000-00004C260000}"/>
    <cellStyle name="20 % - Markeringsfarve3 6 10" xfId="53362" xr:uid="{00000000-0005-0000-0000-00004D260000}"/>
    <cellStyle name="20 % - Markeringsfarve3 6 2" xfId="2406" xr:uid="{00000000-0005-0000-0000-00004E260000}"/>
    <cellStyle name="20 % - Markeringsfarve3 6 2 2" xfId="2407" xr:uid="{00000000-0005-0000-0000-00004F260000}"/>
    <cellStyle name="20 % - Markeringsfarve3 6 2 2 2" xfId="2408" xr:uid="{00000000-0005-0000-0000-000050260000}"/>
    <cellStyle name="20 % - Markeringsfarve3 6 2 2 2 2" xfId="7752" xr:uid="{00000000-0005-0000-0000-000051260000}"/>
    <cellStyle name="20 % - Markeringsfarve3 6 2 2 2 2 2" xfId="15653" xr:uid="{00000000-0005-0000-0000-000052260000}"/>
    <cellStyle name="20 % - Markeringsfarve3 6 2 2 2 2 2 2" xfId="31967" xr:uid="{00000000-0005-0000-0000-000053260000}"/>
    <cellStyle name="20 % - Markeringsfarve3 6 2 2 2 2 2 3" xfId="46931" xr:uid="{00000000-0005-0000-0000-000054260000}"/>
    <cellStyle name="20 % - Markeringsfarve3 6 2 2 2 2 3" xfId="24945" xr:uid="{00000000-0005-0000-0000-000055260000}"/>
    <cellStyle name="20 % - Markeringsfarve3 6 2 2 2 2 4" xfId="39932" xr:uid="{00000000-0005-0000-0000-000056260000}"/>
    <cellStyle name="20 % - Markeringsfarve3 6 2 2 2 3" xfId="10965" xr:uid="{00000000-0005-0000-0000-000057260000}"/>
    <cellStyle name="20 % - Markeringsfarve3 6 2 2 2 3 2" xfId="27284" xr:uid="{00000000-0005-0000-0000-000058260000}"/>
    <cellStyle name="20 % - Markeringsfarve3 6 2 2 2 3 3" xfId="42250" xr:uid="{00000000-0005-0000-0000-000059260000}"/>
    <cellStyle name="20 % - Markeringsfarve3 6 2 2 2 4" xfId="20262" xr:uid="{00000000-0005-0000-0000-00005A260000}"/>
    <cellStyle name="20 % - Markeringsfarve3 6 2 2 2 5" xfId="35251" xr:uid="{00000000-0005-0000-0000-00005B260000}"/>
    <cellStyle name="20 % - Markeringsfarve3 6 2 2 3" xfId="6316" xr:uid="{00000000-0005-0000-0000-00005C260000}"/>
    <cellStyle name="20 % - Markeringsfarve3 6 2 2 3 2" xfId="14233" xr:uid="{00000000-0005-0000-0000-00005D260000}"/>
    <cellStyle name="20 % - Markeringsfarve3 6 2 2 3 2 2" xfId="30547" xr:uid="{00000000-0005-0000-0000-00005E260000}"/>
    <cellStyle name="20 % - Markeringsfarve3 6 2 2 3 2 3" xfId="45511" xr:uid="{00000000-0005-0000-0000-00005F260000}"/>
    <cellStyle name="20 % - Markeringsfarve3 6 2 2 3 3" xfId="23525" xr:uid="{00000000-0005-0000-0000-000060260000}"/>
    <cellStyle name="20 % - Markeringsfarve3 6 2 2 3 4" xfId="38512" xr:uid="{00000000-0005-0000-0000-000061260000}"/>
    <cellStyle name="20 % - Markeringsfarve3 6 2 2 4" xfId="10964" xr:uid="{00000000-0005-0000-0000-000062260000}"/>
    <cellStyle name="20 % - Markeringsfarve3 6 2 2 4 2" xfId="27283" xr:uid="{00000000-0005-0000-0000-000063260000}"/>
    <cellStyle name="20 % - Markeringsfarve3 6 2 2 4 3" xfId="42249" xr:uid="{00000000-0005-0000-0000-000064260000}"/>
    <cellStyle name="20 % - Markeringsfarve3 6 2 2 5" xfId="20261" xr:uid="{00000000-0005-0000-0000-000065260000}"/>
    <cellStyle name="20 % - Markeringsfarve3 6 2 2 6" xfId="35250" xr:uid="{00000000-0005-0000-0000-000066260000}"/>
    <cellStyle name="20 % - Markeringsfarve3 6 2 2 7" xfId="57166" xr:uid="{00000000-0005-0000-0000-000067260000}"/>
    <cellStyle name="20 % - Markeringsfarve3 6 2 3" xfId="2409" xr:uid="{00000000-0005-0000-0000-000068260000}"/>
    <cellStyle name="20 % - Markeringsfarve3 6 2 3 2" xfId="6982" xr:uid="{00000000-0005-0000-0000-000069260000}"/>
    <cellStyle name="20 % - Markeringsfarve3 6 2 3 2 2" xfId="14893" xr:uid="{00000000-0005-0000-0000-00006A260000}"/>
    <cellStyle name="20 % - Markeringsfarve3 6 2 3 2 2 2" xfId="31207" xr:uid="{00000000-0005-0000-0000-00006B260000}"/>
    <cellStyle name="20 % - Markeringsfarve3 6 2 3 2 2 3" xfId="46171" xr:uid="{00000000-0005-0000-0000-00006C260000}"/>
    <cellStyle name="20 % - Markeringsfarve3 6 2 3 2 3" xfId="24185" xr:uid="{00000000-0005-0000-0000-00006D260000}"/>
    <cellStyle name="20 % - Markeringsfarve3 6 2 3 2 4" xfId="39172" xr:uid="{00000000-0005-0000-0000-00006E260000}"/>
    <cellStyle name="20 % - Markeringsfarve3 6 2 3 3" xfId="10966" xr:uid="{00000000-0005-0000-0000-00006F260000}"/>
    <cellStyle name="20 % - Markeringsfarve3 6 2 3 3 2" xfId="27285" xr:uid="{00000000-0005-0000-0000-000070260000}"/>
    <cellStyle name="20 % - Markeringsfarve3 6 2 3 3 3" xfId="42251" xr:uid="{00000000-0005-0000-0000-000071260000}"/>
    <cellStyle name="20 % - Markeringsfarve3 6 2 3 4" xfId="20263" xr:uid="{00000000-0005-0000-0000-000072260000}"/>
    <cellStyle name="20 % - Markeringsfarve3 6 2 3 5" xfId="35252" xr:uid="{00000000-0005-0000-0000-000073260000}"/>
    <cellStyle name="20 % - Markeringsfarve3 6 2 4" xfId="2410" xr:uid="{00000000-0005-0000-0000-000074260000}"/>
    <cellStyle name="20 % - Markeringsfarve3 6 2 4 2" xfId="8534" xr:uid="{00000000-0005-0000-0000-000075260000}"/>
    <cellStyle name="20 % - Markeringsfarve3 6 2 4 2 2" xfId="16422" xr:uid="{00000000-0005-0000-0000-000076260000}"/>
    <cellStyle name="20 % - Markeringsfarve3 6 2 4 2 2 2" xfId="32736" xr:uid="{00000000-0005-0000-0000-000077260000}"/>
    <cellStyle name="20 % - Markeringsfarve3 6 2 4 2 2 3" xfId="47700" xr:uid="{00000000-0005-0000-0000-000078260000}"/>
    <cellStyle name="20 % - Markeringsfarve3 6 2 4 2 3" xfId="25714" xr:uid="{00000000-0005-0000-0000-000079260000}"/>
    <cellStyle name="20 % - Markeringsfarve3 6 2 4 2 4" xfId="40701" xr:uid="{00000000-0005-0000-0000-00007A260000}"/>
    <cellStyle name="20 % - Markeringsfarve3 6 2 4 3" xfId="10967" xr:uid="{00000000-0005-0000-0000-00007B260000}"/>
    <cellStyle name="20 % - Markeringsfarve3 6 2 4 3 2" xfId="27286" xr:uid="{00000000-0005-0000-0000-00007C260000}"/>
    <cellStyle name="20 % - Markeringsfarve3 6 2 4 3 3" xfId="42252" xr:uid="{00000000-0005-0000-0000-00007D260000}"/>
    <cellStyle name="20 % - Markeringsfarve3 6 2 4 4" xfId="20264" xr:uid="{00000000-0005-0000-0000-00007E260000}"/>
    <cellStyle name="20 % - Markeringsfarve3 6 2 4 5" xfId="35253" xr:uid="{00000000-0005-0000-0000-00007F260000}"/>
    <cellStyle name="20 % - Markeringsfarve3 6 2 5" xfId="5573" xr:uid="{00000000-0005-0000-0000-000080260000}"/>
    <cellStyle name="20 % - Markeringsfarve3 6 2 5 2" xfId="13491" xr:uid="{00000000-0005-0000-0000-000081260000}"/>
    <cellStyle name="20 % - Markeringsfarve3 6 2 5 2 2" xfId="29805" xr:uid="{00000000-0005-0000-0000-000082260000}"/>
    <cellStyle name="20 % - Markeringsfarve3 6 2 5 2 3" xfId="44769" xr:uid="{00000000-0005-0000-0000-000083260000}"/>
    <cellStyle name="20 % - Markeringsfarve3 6 2 5 3" xfId="22783" xr:uid="{00000000-0005-0000-0000-000084260000}"/>
    <cellStyle name="20 % - Markeringsfarve3 6 2 5 4" xfId="37770" xr:uid="{00000000-0005-0000-0000-000085260000}"/>
    <cellStyle name="20 % - Markeringsfarve3 6 2 6" xfId="10963" xr:uid="{00000000-0005-0000-0000-000086260000}"/>
    <cellStyle name="20 % - Markeringsfarve3 6 2 6 2" xfId="27282" xr:uid="{00000000-0005-0000-0000-000087260000}"/>
    <cellStyle name="20 % - Markeringsfarve3 6 2 6 3" xfId="42248" xr:uid="{00000000-0005-0000-0000-000088260000}"/>
    <cellStyle name="20 % - Markeringsfarve3 6 2 7" xfId="20260" xr:uid="{00000000-0005-0000-0000-000089260000}"/>
    <cellStyle name="20 % - Markeringsfarve3 6 2 8" xfId="35249" xr:uid="{00000000-0005-0000-0000-00008A260000}"/>
    <cellStyle name="20 % - Markeringsfarve3 6 2 9" xfId="53999" xr:uid="{00000000-0005-0000-0000-00008B260000}"/>
    <cellStyle name="20 % - Markeringsfarve3 6 3" xfId="2411" xr:uid="{00000000-0005-0000-0000-00008C260000}"/>
    <cellStyle name="20 % - Markeringsfarve3 6 3 2" xfId="2412" xr:uid="{00000000-0005-0000-0000-00008D260000}"/>
    <cellStyle name="20 % - Markeringsfarve3 6 3 2 2" xfId="7612" xr:uid="{00000000-0005-0000-0000-00008E260000}"/>
    <cellStyle name="20 % - Markeringsfarve3 6 3 2 2 2" xfId="15513" xr:uid="{00000000-0005-0000-0000-00008F260000}"/>
    <cellStyle name="20 % - Markeringsfarve3 6 3 2 2 2 2" xfId="31827" xr:uid="{00000000-0005-0000-0000-000090260000}"/>
    <cellStyle name="20 % - Markeringsfarve3 6 3 2 2 2 3" xfId="46791" xr:uid="{00000000-0005-0000-0000-000091260000}"/>
    <cellStyle name="20 % - Markeringsfarve3 6 3 2 2 3" xfId="24805" xr:uid="{00000000-0005-0000-0000-000092260000}"/>
    <cellStyle name="20 % - Markeringsfarve3 6 3 2 2 4" xfId="39792" xr:uid="{00000000-0005-0000-0000-000093260000}"/>
    <cellStyle name="20 % - Markeringsfarve3 6 3 2 3" xfId="10969" xr:uid="{00000000-0005-0000-0000-000094260000}"/>
    <cellStyle name="20 % - Markeringsfarve3 6 3 2 3 2" xfId="27288" xr:uid="{00000000-0005-0000-0000-000095260000}"/>
    <cellStyle name="20 % - Markeringsfarve3 6 3 2 3 3" xfId="42254" xr:uid="{00000000-0005-0000-0000-000096260000}"/>
    <cellStyle name="20 % - Markeringsfarve3 6 3 2 4" xfId="20266" xr:uid="{00000000-0005-0000-0000-000097260000}"/>
    <cellStyle name="20 % - Markeringsfarve3 6 3 2 5" xfId="35255" xr:uid="{00000000-0005-0000-0000-000098260000}"/>
    <cellStyle name="20 % - Markeringsfarve3 6 3 3" xfId="6194" xr:uid="{00000000-0005-0000-0000-000099260000}"/>
    <cellStyle name="20 % - Markeringsfarve3 6 3 3 2" xfId="14111" xr:uid="{00000000-0005-0000-0000-00009A260000}"/>
    <cellStyle name="20 % - Markeringsfarve3 6 3 3 2 2" xfId="30425" xr:uid="{00000000-0005-0000-0000-00009B260000}"/>
    <cellStyle name="20 % - Markeringsfarve3 6 3 3 2 3" xfId="45389" xr:uid="{00000000-0005-0000-0000-00009C260000}"/>
    <cellStyle name="20 % - Markeringsfarve3 6 3 3 3" xfId="23403" xr:uid="{00000000-0005-0000-0000-00009D260000}"/>
    <cellStyle name="20 % - Markeringsfarve3 6 3 3 4" xfId="38390" xr:uid="{00000000-0005-0000-0000-00009E260000}"/>
    <cellStyle name="20 % - Markeringsfarve3 6 3 4" xfId="10968" xr:uid="{00000000-0005-0000-0000-00009F260000}"/>
    <cellStyle name="20 % - Markeringsfarve3 6 3 4 2" xfId="27287" xr:uid="{00000000-0005-0000-0000-0000A0260000}"/>
    <cellStyle name="20 % - Markeringsfarve3 6 3 4 3" xfId="42253" xr:uid="{00000000-0005-0000-0000-0000A1260000}"/>
    <cellStyle name="20 % - Markeringsfarve3 6 3 5" xfId="20265" xr:uid="{00000000-0005-0000-0000-0000A2260000}"/>
    <cellStyle name="20 % - Markeringsfarve3 6 3 6" xfId="35254" xr:uid="{00000000-0005-0000-0000-0000A3260000}"/>
    <cellStyle name="20 % - Markeringsfarve3 6 3 7" xfId="56543" xr:uid="{00000000-0005-0000-0000-0000A4260000}"/>
    <cellStyle name="20 % - Markeringsfarve3 6 4" xfId="2413" xr:uid="{00000000-0005-0000-0000-0000A5260000}"/>
    <cellStyle name="20 % - Markeringsfarve3 6 4 2" xfId="6842" xr:uid="{00000000-0005-0000-0000-0000A6260000}"/>
    <cellStyle name="20 % - Markeringsfarve3 6 4 2 2" xfId="14753" xr:uid="{00000000-0005-0000-0000-0000A7260000}"/>
    <cellStyle name="20 % - Markeringsfarve3 6 4 2 2 2" xfId="31067" xr:uid="{00000000-0005-0000-0000-0000A8260000}"/>
    <cellStyle name="20 % - Markeringsfarve3 6 4 2 2 3" xfId="46031" xr:uid="{00000000-0005-0000-0000-0000A9260000}"/>
    <cellStyle name="20 % - Markeringsfarve3 6 4 2 3" xfId="24045" xr:uid="{00000000-0005-0000-0000-0000AA260000}"/>
    <cellStyle name="20 % - Markeringsfarve3 6 4 2 4" xfId="39032" xr:uid="{00000000-0005-0000-0000-0000AB260000}"/>
    <cellStyle name="20 % - Markeringsfarve3 6 4 3" xfId="10970" xr:uid="{00000000-0005-0000-0000-0000AC260000}"/>
    <cellStyle name="20 % - Markeringsfarve3 6 4 3 2" xfId="27289" xr:uid="{00000000-0005-0000-0000-0000AD260000}"/>
    <cellStyle name="20 % - Markeringsfarve3 6 4 3 3" xfId="42255" xr:uid="{00000000-0005-0000-0000-0000AE260000}"/>
    <cellStyle name="20 % - Markeringsfarve3 6 4 4" xfId="20267" xr:uid="{00000000-0005-0000-0000-0000AF260000}"/>
    <cellStyle name="20 % - Markeringsfarve3 6 4 5" xfId="35256" xr:uid="{00000000-0005-0000-0000-0000B0260000}"/>
    <cellStyle name="20 % - Markeringsfarve3 6 5" xfId="2414" xr:uid="{00000000-0005-0000-0000-0000B1260000}"/>
    <cellStyle name="20 % - Markeringsfarve3 6 5 2" xfId="7103" xr:uid="{00000000-0005-0000-0000-0000B2260000}"/>
    <cellStyle name="20 % - Markeringsfarve3 6 5 2 2" xfId="15013" xr:uid="{00000000-0005-0000-0000-0000B3260000}"/>
    <cellStyle name="20 % - Markeringsfarve3 6 5 2 2 2" xfId="31327" xr:uid="{00000000-0005-0000-0000-0000B4260000}"/>
    <cellStyle name="20 % - Markeringsfarve3 6 5 2 2 3" xfId="46291" xr:uid="{00000000-0005-0000-0000-0000B5260000}"/>
    <cellStyle name="20 % - Markeringsfarve3 6 5 2 3" xfId="24305" xr:uid="{00000000-0005-0000-0000-0000B6260000}"/>
    <cellStyle name="20 % - Markeringsfarve3 6 5 2 4" xfId="39292" xr:uid="{00000000-0005-0000-0000-0000B7260000}"/>
    <cellStyle name="20 % - Markeringsfarve3 6 5 3" xfId="10971" xr:uid="{00000000-0005-0000-0000-0000B8260000}"/>
    <cellStyle name="20 % - Markeringsfarve3 6 5 3 2" xfId="27290" xr:uid="{00000000-0005-0000-0000-0000B9260000}"/>
    <cellStyle name="20 % - Markeringsfarve3 6 5 3 3" xfId="42256" xr:uid="{00000000-0005-0000-0000-0000BA260000}"/>
    <cellStyle name="20 % - Markeringsfarve3 6 5 4" xfId="20268" xr:uid="{00000000-0005-0000-0000-0000BB260000}"/>
    <cellStyle name="20 % - Markeringsfarve3 6 5 5" xfId="35257" xr:uid="{00000000-0005-0000-0000-0000BC260000}"/>
    <cellStyle name="20 % - Markeringsfarve3 6 6" xfId="5572" xr:uid="{00000000-0005-0000-0000-0000BD260000}"/>
    <cellStyle name="20 % - Markeringsfarve3 6 6 2" xfId="13490" xr:uid="{00000000-0005-0000-0000-0000BE260000}"/>
    <cellStyle name="20 % - Markeringsfarve3 6 6 2 2" xfId="29804" xr:uid="{00000000-0005-0000-0000-0000BF260000}"/>
    <cellStyle name="20 % - Markeringsfarve3 6 6 2 3" xfId="44768" xr:uid="{00000000-0005-0000-0000-0000C0260000}"/>
    <cellStyle name="20 % - Markeringsfarve3 6 6 3" xfId="22782" xr:uid="{00000000-0005-0000-0000-0000C1260000}"/>
    <cellStyle name="20 % - Markeringsfarve3 6 6 4" xfId="37769" xr:uid="{00000000-0005-0000-0000-0000C2260000}"/>
    <cellStyle name="20 % - Markeringsfarve3 6 7" xfId="10962" xr:uid="{00000000-0005-0000-0000-0000C3260000}"/>
    <cellStyle name="20 % - Markeringsfarve3 6 7 2" xfId="27281" xr:uid="{00000000-0005-0000-0000-0000C4260000}"/>
    <cellStyle name="20 % - Markeringsfarve3 6 7 3" xfId="42247" xr:uid="{00000000-0005-0000-0000-0000C5260000}"/>
    <cellStyle name="20 % - Markeringsfarve3 6 8" xfId="20259" xr:uid="{00000000-0005-0000-0000-0000C6260000}"/>
    <cellStyle name="20 % - Markeringsfarve3 6 9" xfId="35248" xr:uid="{00000000-0005-0000-0000-0000C7260000}"/>
    <cellStyle name="20 % - Markeringsfarve3 7" xfId="2415" xr:uid="{00000000-0005-0000-0000-0000C8260000}"/>
    <cellStyle name="20 % - Markeringsfarve3 7 2" xfId="2416" xr:uid="{00000000-0005-0000-0000-0000C9260000}"/>
    <cellStyle name="20 % - Markeringsfarve3 7 2 2" xfId="2417" xr:uid="{00000000-0005-0000-0000-0000CA260000}"/>
    <cellStyle name="20 % - Markeringsfarve3 7 2 2 2" xfId="7850" xr:uid="{00000000-0005-0000-0000-0000CB260000}"/>
    <cellStyle name="20 % - Markeringsfarve3 7 2 2 2 2" xfId="15751" xr:uid="{00000000-0005-0000-0000-0000CC260000}"/>
    <cellStyle name="20 % - Markeringsfarve3 7 2 2 2 2 2" xfId="32065" xr:uid="{00000000-0005-0000-0000-0000CD260000}"/>
    <cellStyle name="20 % - Markeringsfarve3 7 2 2 2 2 3" xfId="47029" xr:uid="{00000000-0005-0000-0000-0000CE260000}"/>
    <cellStyle name="20 % - Markeringsfarve3 7 2 2 2 3" xfId="25043" xr:uid="{00000000-0005-0000-0000-0000CF260000}"/>
    <cellStyle name="20 % - Markeringsfarve3 7 2 2 2 4" xfId="40030" xr:uid="{00000000-0005-0000-0000-0000D0260000}"/>
    <cellStyle name="20 % - Markeringsfarve3 7 2 2 3" xfId="10974" xr:uid="{00000000-0005-0000-0000-0000D1260000}"/>
    <cellStyle name="20 % - Markeringsfarve3 7 2 2 3 2" xfId="27293" xr:uid="{00000000-0005-0000-0000-0000D2260000}"/>
    <cellStyle name="20 % - Markeringsfarve3 7 2 2 3 3" xfId="42259" xr:uid="{00000000-0005-0000-0000-0000D3260000}"/>
    <cellStyle name="20 % - Markeringsfarve3 7 2 2 4" xfId="20271" xr:uid="{00000000-0005-0000-0000-0000D4260000}"/>
    <cellStyle name="20 % - Markeringsfarve3 7 2 2 5" xfId="35260" xr:uid="{00000000-0005-0000-0000-0000D5260000}"/>
    <cellStyle name="20 % - Markeringsfarve3 7 2 3" xfId="6396" xr:uid="{00000000-0005-0000-0000-0000D6260000}"/>
    <cellStyle name="20 % - Markeringsfarve3 7 2 3 2" xfId="14310" xr:uid="{00000000-0005-0000-0000-0000D7260000}"/>
    <cellStyle name="20 % - Markeringsfarve3 7 2 3 2 2" xfId="30624" xr:uid="{00000000-0005-0000-0000-0000D8260000}"/>
    <cellStyle name="20 % - Markeringsfarve3 7 2 3 2 3" xfId="45588" xr:uid="{00000000-0005-0000-0000-0000D9260000}"/>
    <cellStyle name="20 % - Markeringsfarve3 7 2 3 3" xfId="23602" xr:uid="{00000000-0005-0000-0000-0000DA260000}"/>
    <cellStyle name="20 % - Markeringsfarve3 7 2 3 4" xfId="38589" xr:uid="{00000000-0005-0000-0000-0000DB260000}"/>
    <cellStyle name="20 % - Markeringsfarve3 7 2 4" xfId="10973" xr:uid="{00000000-0005-0000-0000-0000DC260000}"/>
    <cellStyle name="20 % - Markeringsfarve3 7 2 4 2" xfId="27292" xr:uid="{00000000-0005-0000-0000-0000DD260000}"/>
    <cellStyle name="20 % - Markeringsfarve3 7 2 4 3" xfId="42258" xr:uid="{00000000-0005-0000-0000-0000DE260000}"/>
    <cellStyle name="20 % - Markeringsfarve3 7 2 5" xfId="20270" xr:uid="{00000000-0005-0000-0000-0000DF260000}"/>
    <cellStyle name="20 % - Markeringsfarve3 7 2 6" xfId="35259" xr:uid="{00000000-0005-0000-0000-0000E0260000}"/>
    <cellStyle name="20 % - Markeringsfarve3 7 2 7" xfId="57116" xr:uid="{00000000-0005-0000-0000-0000E1260000}"/>
    <cellStyle name="20 % - Markeringsfarve3 7 3" xfId="2418" xr:uid="{00000000-0005-0000-0000-0000E2260000}"/>
    <cellStyle name="20 % - Markeringsfarve3 7 3 2" xfId="7126" xr:uid="{00000000-0005-0000-0000-0000E3260000}"/>
    <cellStyle name="20 % - Markeringsfarve3 7 3 2 2" xfId="15036" xr:uid="{00000000-0005-0000-0000-0000E4260000}"/>
    <cellStyle name="20 % - Markeringsfarve3 7 3 2 2 2" xfId="31350" xr:uid="{00000000-0005-0000-0000-0000E5260000}"/>
    <cellStyle name="20 % - Markeringsfarve3 7 3 2 2 3" xfId="46314" xr:uid="{00000000-0005-0000-0000-0000E6260000}"/>
    <cellStyle name="20 % - Markeringsfarve3 7 3 2 3" xfId="24328" xr:uid="{00000000-0005-0000-0000-0000E7260000}"/>
    <cellStyle name="20 % - Markeringsfarve3 7 3 2 4" xfId="39315" xr:uid="{00000000-0005-0000-0000-0000E8260000}"/>
    <cellStyle name="20 % - Markeringsfarve3 7 3 3" xfId="10975" xr:uid="{00000000-0005-0000-0000-0000E9260000}"/>
    <cellStyle name="20 % - Markeringsfarve3 7 3 3 2" xfId="27294" xr:uid="{00000000-0005-0000-0000-0000EA260000}"/>
    <cellStyle name="20 % - Markeringsfarve3 7 3 3 3" xfId="42260" xr:uid="{00000000-0005-0000-0000-0000EB260000}"/>
    <cellStyle name="20 % - Markeringsfarve3 7 3 4" xfId="20272" xr:uid="{00000000-0005-0000-0000-0000EC260000}"/>
    <cellStyle name="20 % - Markeringsfarve3 7 3 5" xfId="35261" xr:uid="{00000000-0005-0000-0000-0000ED260000}"/>
    <cellStyle name="20 % - Markeringsfarve3 7 4" xfId="2419" xr:uid="{00000000-0005-0000-0000-0000EE260000}"/>
    <cellStyle name="20 % - Markeringsfarve3 7 4 2" xfId="8787" xr:uid="{00000000-0005-0000-0000-0000EF260000}"/>
    <cellStyle name="20 % - Markeringsfarve3 7 4 2 2" xfId="16663" xr:uid="{00000000-0005-0000-0000-0000F0260000}"/>
    <cellStyle name="20 % - Markeringsfarve3 7 4 2 2 2" xfId="32977" xr:uid="{00000000-0005-0000-0000-0000F1260000}"/>
    <cellStyle name="20 % - Markeringsfarve3 7 4 2 2 3" xfId="47941" xr:uid="{00000000-0005-0000-0000-0000F2260000}"/>
    <cellStyle name="20 % - Markeringsfarve3 7 4 2 3" xfId="25955" xr:uid="{00000000-0005-0000-0000-0000F3260000}"/>
    <cellStyle name="20 % - Markeringsfarve3 7 4 2 4" xfId="40942" xr:uid="{00000000-0005-0000-0000-0000F4260000}"/>
    <cellStyle name="20 % - Markeringsfarve3 7 4 3" xfId="10976" xr:uid="{00000000-0005-0000-0000-0000F5260000}"/>
    <cellStyle name="20 % - Markeringsfarve3 7 4 3 2" xfId="27295" xr:uid="{00000000-0005-0000-0000-0000F6260000}"/>
    <cellStyle name="20 % - Markeringsfarve3 7 4 3 3" xfId="42261" xr:uid="{00000000-0005-0000-0000-0000F7260000}"/>
    <cellStyle name="20 % - Markeringsfarve3 7 4 4" xfId="20273" xr:uid="{00000000-0005-0000-0000-0000F8260000}"/>
    <cellStyle name="20 % - Markeringsfarve3 7 4 5" xfId="35262" xr:uid="{00000000-0005-0000-0000-0000F9260000}"/>
    <cellStyle name="20 % - Markeringsfarve3 7 5" xfId="5574" xr:uid="{00000000-0005-0000-0000-0000FA260000}"/>
    <cellStyle name="20 % - Markeringsfarve3 7 5 2" xfId="13492" xr:uid="{00000000-0005-0000-0000-0000FB260000}"/>
    <cellStyle name="20 % - Markeringsfarve3 7 5 2 2" xfId="29806" xr:uid="{00000000-0005-0000-0000-0000FC260000}"/>
    <cellStyle name="20 % - Markeringsfarve3 7 5 2 3" xfId="44770" xr:uid="{00000000-0005-0000-0000-0000FD260000}"/>
    <cellStyle name="20 % - Markeringsfarve3 7 5 3" xfId="22784" xr:uid="{00000000-0005-0000-0000-0000FE260000}"/>
    <cellStyle name="20 % - Markeringsfarve3 7 5 4" xfId="37771" xr:uid="{00000000-0005-0000-0000-0000FF260000}"/>
    <cellStyle name="20 % - Markeringsfarve3 7 6" xfId="10972" xr:uid="{00000000-0005-0000-0000-000000270000}"/>
    <cellStyle name="20 % - Markeringsfarve3 7 6 2" xfId="27291" xr:uid="{00000000-0005-0000-0000-000001270000}"/>
    <cellStyle name="20 % - Markeringsfarve3 7 6 3" xfId="42257" xr:uid="{00000000-0005-0000-0000-000002270000}"/>
    <cellStyle name="20 % - Markeringsfarve3 7 7" xfId="20269" xr:uid="{00000000-0005-0000-0000-000003270000}"/>
    <cellStyle name="20 % - Markeringsfarve3 7 8" xfId="35258" xr:uid="{00000000-0005-0000-0000-000004270000}"/>
    <cellStyle name="20 % - Markeringsfarve3 7 9" xfId="53949" xr:uid="{00000000-0005-0000-0000-000005270000}"/>
    <cellStyle name="20 % - Markeringsfarve3 8" xfId="2420" xr:uid="{00000000-0005-0000-0000-000006270000}"/>
    <cellStyle name="20 % - Markeringsfarve3 8 2" xfId="2421" xr:uid="{00000000-0005-0000-0000-000007270000}"/>
    <cellStyle name="20 % - Markeringsfarve3 8 2 2" xfId="2422" xr:uid="{00000000-0005-0000-0000-000008270000}"/>
    <cellStyle name="20 % - Markeringsfarve3 8 2 2 2" xfId="7967" xr:uid="{00000000-0005-0000-0000-000009270000}"/>
    <cellStyle name="20 % - Markeringsfarve3 8 2 2 2 2" xfId="15868" xr:uid="{00000000-0005-0000-0000-00000A270000}"/>
    <cellStyle name="20 % - Markeringsfarve3 8 2 2 2 2 2" xfId="32182" xr:uid="{00000000-0005-0000-0000-00000B270000}"/>
    <cellStyle name="20 % - Markeringsfarve3 8 2 2 2 2 3" xfId="47146" xr:uid="{00000000-0005-0000-0000-00000C270000}"/>
    <cellStyle name="20 % - Markeringsfarve3 8 2 2 2 3" xfId="25160" xr:uid="{00000000-0005-0000-0000-00000D270000}"/>
    <cellStyle name="20 % - Markeringsfarve3 8 2 2 2 4" xfId="40147" xr:uid="{00000000-0005-0000-0000-00000E270000}"/>
    <cellStyle name="20 % - Markeringsfarve3 8 2 2 3" xfId="10979" xr:uid="{00000000-0005-0000-0000-00000F270000}"/>
    <cellStyle name="20 % - Markeringsfarve3 8 2 2 3 2" xfId="27298" xr:uid="{00000000-0005-0000-0000-000010270000}"/>
    <cellStyle name="20 % - Markeringsfarve3 8 2 2 3 3" xfId="42264" xr:uid="{00000000-0005-0000-0000-000011270000}"/>
    <cellStyle name="20 % - Markeringsfarve3 8 2 2 4" xfId="20276" xr:uid="{00000000-0005-0000-0000-000012270000}"/>
    <cellStyle name="20 % - Markeringsfarve3 8 2 2 5" xfId="35265" xr:uid="{00000000-0005-0000-0000-000013270000}"/>
    <cellStyle name="20 % - Markeringsfarve3 8 2 3" xfId="6495" xr:uid="{00000000-0005-0000-0000-000014270000}"/>
    <cellStyle name="20 % - Markeringsfarve3 8 2 3 2" xfId="14409" xr:uid="{00000000-0005-0000-0000-000015270000}"/>
    <cellStyle name="20 % - Markeringsfarve3 8 2 3 2 2" xfId="30723" xr:uid="{00000000-0005-0000-0000-000016270000}"/>
    <cellStyle name="20 % - Markeringsfarve3 8 2 3 2 3" xfId="45687" xr:uid="{00000000-0005-0000-0000-000017270000}"/>
    <cellStyle name="20 % - Markeringsfarve3 8 2 3 3" xfId="23701" xr:uid="{00000000-0005-0000-0000-000018270000}"/>
    <cellStyle name="20 % - Markeringsfarve3 8 2 3 4" xfId="38688" xr:uid="{00000000-0005-0000-0000-000019270000}"/>
    <cellStyle name="20 % - Markeringsfarve3 8 2 4" xfId="10978" xr:uid="{00000000-0005-0000-0000-00001A270000}"/>
    <cellStyle name="20 % - Markeringsfarve3 8 2 4 2" xfId="27297" xr:uid="{00000000-0005-0000-0000-00001B270000}"/>
    <cellStyle name="20 % - Markeringsfarve3 8 2 4 3" xfId="42263" xr:uid="{00000000-0005-0000-0000-00001C270000}"/>
    <cellStyle name="20 % - Markeringsfarve3 8 2 5" xfId="20275" xr:uid="{00000000-0005-0000-0000-00001D270000}"/>
    <cellStyle name="20 % - Markeringsfarve3 8 2 6" xfId="35264" xr:uid="{00000000-0005-0000-0000-00001E270000}"/>
    <cellStyle name="20 % - Markeringsfarve3 8 3" xfId="2423" xr:uid="{00000000-0005-0000-0000-00001F270000}"/>
    <cellStyle name="20 % - Markeringsfarve3 8 3 2" xfId="7243" xr:uid="{00000000-0005-0000-0000-000020270000}"/>
    <cellStyle name="20 % - Markeringsfarve3 8 3 2 2" xfId="15153" xr:uid="{00000000-0005-0000-0000-000021270000}"/>
    <cellStyle name="20 % - Markeringsfarve3 8 3 2 2 2" xfId="31467" xr:uid="{00000000-0005-0000-0000-000022270000}"/>
    <cellStyle name="20 % - Markeringsfarve3 8 3 2 2 3" xfId="46431" xr:uid="{00000000-0005-0000-0000-000023270000}"/>
    <cellStyle name="20 % - Markeringsfarve3 8 3 2 3" xfId="24445" xr:uid="{00000000-0005-0000-0000-000024270000}"/>
    <cellStyle name="20 % - Markeringsfarve3 8 3 2 4" xfId="39432" xr:uid="{00000000-0005-0000-0000-000025270000}"/>
    <cellStyle name="20 % - Markeringsfarve3 8 3 3" xfId="10980" xr:uid="{00000000-0005-0000-0000-000026270000}"/>
    <cellStyle name="20 % - Markeringsfarve3 8 3 3 2" xfId="27299" xr:uid="{00000000-0005-0000-0000-000027270000}"/>
    <cellStyle name="20 % - Markeringsfarve3 8 3 3 3" xfId="42265" xr:uid="{00000000-0005-0000-0000-000028270000}"/>
    <cellStyle name="20 % - Markeringsfarve3 8 3 4" xfId="20277" xr:uid="{00000000-0005-0000-0000-000029270000}"/>
    <cellStyle name="20 % - Markeringsfarve3 8 3 5" xfId="35266" xr:uid="{00000000-0005-0000-0000-00002A270000}"/>
    <cellStyle name="20 % - Markeringsfarve3 8 4" xfId="2424" xr:uid="{00000000-0005-0000-0000-00002B270000}"/>
    <cellStyle name="20 % - Markeringsfarve3 8 4 2" xfId="8507" xr:uid="{00000000-0005-0000-0000-00002C270000}"/>
    <cellStyle name="20 % - Markeringsfarve3 8 4 2 2" xfId="16396" xr:uid="{00000000-0005-0000-0000-00002D270000}"/>
    <cellStyle name="20 % - Markeringsfarve3 8 4 2 2 2" xfId="32710" xr:uid="{00000000-0005-0000-0000-00002E270000}"/>
    <cellStyle name="20 % - Markeringsfarve3 8 4 2 2 3" xfId="47674" xr:uid="{00000000-0005-0000-0000-00002F270000}"/>
    <cellStyle name="20 % - Markeringsfarve3 8 4 2 3" xfId="25688" xr:uid="{00000000-0005-0000-0000-000030270000}"/>
    <cellStyle name="20 % - Markeringsfarve3 8 4 2 4" xfId="40675" xr:uid="{00000000-0005-0000-0000-000031270000}"/>
    <cellStyle name="20 % - Markeringsfarve3 8 4 3" xfId="10981" xr:uid="{00000000-0005-0000-0000-000032270000}"/>
    <cellStyle name="20 % - Markeringsfarve3 8 4 3 2" xfId="27300" xr:uid="{00000000-0005-0000-0000-000033270000}"/>
    <cellStyle name="20 % - Markeringsfarve3 8 4 3 3" xfId="42266" xr:uid="{00000000-0005-0000-0000-000034270000}"/>
    <cellStyle name="20 % - Markeringsfarve3 8 4 4" xfId="20278" xr:uid="{00000000-0005-0000-0000-000035270000}"/>
    <cellStyle name="20 % - Markeringsfarve3 8 4 5" xfId="35267" xr:uid="{00000000-0005-0000-0000-000036270000}"/>
    <cellStyle name="20 % - Markeringsfarve3 8 5" xfId="5575" xr:uid="{00000000-0005-0000-0000-000037270000}"/>
    <cellStyle name="20 % - Markeringsfarve3 8 5 2" xfId="13493" xr:uid="{00000000-0005-0000-0000-000038270000}"/>
    <cellStyle name="20 % - Markeringsfarve3 8 5 2 2" xfId="29807" xr:uid="{00000000-0005-0000-0000-000039270000}"/>
    <cellStyle name="20 % - Markeringsfarve3 8 5 2 3" xfId="44771" xr:uid="{00000000-0005-0000-0000-00003A270000}"/>
    <cellStyle name="20 % - Markeringsfarve3 8 5 3" xfId="22785" xr:uid="{00000000-0005-0000-0000-00003B270000}"/>
    <cellStyle name="20 % - Markeringsfarve3 8 5 4" xfId="37772" xr:uid="{00000000-0005-0000-0000-00003C270000}"/>
    <cellStyle name="20 % - Markeringsfarve3 8 6" xfId="10977" xr:uid="{00000000-0005-0000-0000-00003D270000}"/>
    <cellStyle name="20 % - Markeringsfarve3 8 6 2" xfId="27296" xr:uid="{00000000-0005-0000-0000-00003E270000}"/>
    <cellStyle name="20 % - Markeringsfarve3 8 6 3" xfId="42262" xr:uid="{00000000-0005-0000-0000-00003F270000}"/>
    <cellStyle name="20 % - Markeringsfarve3 8 7" xfId="20274" xr:uid="{00000000-0005-0000-0000-000040270000}"/>
    <cellStyle name="20 % - Markeringsfarve3 8 8" xfId="35263" xr:uid="{00000000-0005-0000-0000-000041270000}"/>
    <cellStyle name="20 % - Markeringsfarve3 9" xfId="2425" xr:uid="{00000000-0005-0000-0000-000042270000}"/>
    <cellStyle name="20 % - Markeringsfarve3 9 2" xfId="2426" xr:uid="{00000000-0005-0000-0000-000043270000}"/>
    <cellStyle name="20 % - Markeringsfarve3 9 2 2" xfId="2427" xr:uid="{00000000-0005-0000-0000-000044270000}"/>
    <cellStyle name="20 % - Markeringsfarve3 9 2 2 2" xfId="8098" xr:uid="{00000000-0005-0000-0000-000045270000}"/>
    <cellStyle name="20 % - Markeringsfarve3 9 2 2 2 2" xfId="15999" xr:uid="{00000000-0005-0000-0000-000046270000}"/>
    <cellStyle name="20 % - Markeringsfarve3 9 2 2 2 2 2" xfId="32313" xr:uid="{00000000-0005-0000-0000-000047270000}"/>
    <cellStyle name="20 % - Markeringsfarve3 9 2 2 2 2 3" xfId="47277" xr:uid="{00000000-0005-0000-0000-000048270000}"/>
    <cellStyle name="20 % - Markeringsfarve3 9 2 2 2 3" xfId="25291" xr:uid="{00000000-0005-0000-0000-000049270000}"/>
    <cellStyle name="20 % - Markeringsfarve3 9 2 2 2 4" xfId="40278" xr:uid="{00000000-0005-0000-0000-00004A270000}"/>
    <cellStyle name="20 % - Markeringsfarve3 9 2 2 3" xfId="10984" xr:uid="{00000000-0005-0000-0000-00004B270000}"/>
    <cellStyle name="20 % - Markeringsfarve3 9 2 2 3 2" xfId="27303" xr:uid="{00000000-0005-0000-0000-00004C270000}"/>
    <cellStyle name="20 % - Markeringsfarve3 9 2 2 3 3" xfId="42269" xr:uid="{00000000-0005-0000-0000-00004D270000}"/>
    <cellStyle name="20 % - Markeringsfarve3 9 2 2 4" xfId="20281" xr:uid="{00000000-0005-0000-0000-00004E270000}"/>
    <cellStyle name="20 % - Markeringsfarve3 9 2 2 5" xfId="35270" xr:uid="{00000000-0005-0000-0000-00004F270000}"/>
    <cellStyle name="20 % - Markeringsfarve3 9 2 3" xfId="6609" xr:uid="{00000000-0005-0000-0000-000050270000}"/>
    <cellStyle name="20 % - Markeringsfarve3 9 2 3 2" xfId="14523" xr:uid="{00000000-0005-0000-0000-000051270000}"/>
    <cellStyle name="20 % - Markeringsfarve3 9 2 3 2 2" xfId="30837" xr:uid="{00000000-0005-0000-0000-000052270000}"/>
    <cellStyle name="20 % - Markeringsfarve3 9 2 3 2 3" xfId="45801" xr:uid="{00000000-0005-0000-0000-000053270000}"/>
    <cellStyle name="20 % - Markeringsfarve3 9 2 3 3" xfId="23815" xr:uid="{00000000-0005-0000-0000-000054270000}"/>
    <cellStyle name="20 % - Markeringsfarve3 9 2 3 4" xfId="38802" xr:uid="{00000000-0005-0000-0000-000055270000}"/>
    <cellStyle name="20 % - Markeringsfarve3 9 2 4" xfId="10983" xr:uid="{00000000-0005-0000-0000-000056270000}"/>
    <cellStyle name="20 % - Markeringsfarve3 9 2 4 2" xfId="27302" xr:uid="{00000000-0005-0000-0000-000057270000}"/>
    <cellStyle name="20 % - Markeringsfarve3 9 2 4 3" xfId="42268" xr:uid="{00000000-0005-0000-0000-000058270000}"/>
    <cellStyle name="20 % - Markeringsfarve3 9 2 5" xfId="20280" xr:uid="{00000000-0005-0000-0000-000059270000}"/>
    <cellStyle name="20 % - Markeringsfarve3 9 2 6" xfId="35269" xr:uid="{00000000-0005-0000-0000-00005A270000}"/>
    <cellStyle name="20 % - Markeringsfarve3 9 3" xfId="2428" xr:uid="{00000000-0005-0000-0000-00005B270000}"/>
    <cellStyle name="20 % - Markeringsfarve3 9 3 2" xfId="7375" xr:uid="{00000000-0005-0000-0000-00005C270000}"/>
    <cellStyle name="20 % - Markeringsfarve3 9 3 2 2" xfId="15285" xr:uid="{00000000-0005-0000-0000-00005D270000}"/>
    <cellStyle name="20 % - Markeringsfarve3 9 3 2 2 2" xfId="31599" xr:uid="{00000000-0005-0000-0000-00005E270000}"/>
    <cellStyle name="20 % - Markeringsfarve3 9 3 2 2 3" xfId="46563" xr:uid="{00000000-0005-0000-0000-00005F270000}"/>
    <cellStyle name="20 % - Markeringsfarve3 9 3 2 3" xfId="24577" xr:uid="{00000000-0005-0000-0000-000060270000}"/>
    <cellStyle name="20 % - Markeringsfarve3 9 3 2 4" xfId="39564" xr:uid="{00000000-0005-0000-0000-000061270000}"/>
    <cellStyle name="20 % - Markeringsfarve3 9 3 3" xfId="10985" xr:uid="{00000000-0005-0000-0000-000062270000}"/>
    <cellStyle name="20 % - Markeringsfarve3 9 3 3 2" xfId="27304" xr:uid="{00000000-0005-0000-0000-000063270000}"/>
    <cellStyle name="20 % - Markeringsfarve3 9 3 3 3" xfId="42270" xr:uid="{00000000-0005-0000-0000-000064270000}"/>
    <cellStyle name="20 % - Markeringsfarve3 9 3 4" xfId="20282" xr:uid="{00000000-0005-0000-0000-000065270000}"/>
    <cellStyle name="20 % - Markeringsfarve3 9 3 5" xfId="35271" xr:uid="{00000000-0005-0000-0000-000066270000}"/>
    <cellStyle name="20 % - Markeringsfarve3 9 4" xfId="2429" xr:uid="{00000000-0005-0000-0000-000067270000}"/>
    <cellStyle name="20 % - Markeringsfarve3 9 4 2" xfId="8708" xr:uid="{00000000-0005-0000-0000-000068270000}"/>
    <cellStyle name="20 % - Markeringsfarve3 9 4 2 2" xfId="16588" xr:uid="{00000000-0005-0000-0000-000069270000}"/>
    <cellStyle name="20 % - Markeringsfarve3 9 4 2 2 2" xfId="32902" xr:uid="{00000000-0005-0000-0000-00006A270000}"/>
    <cellStyle name="20 % - Markeringsfarve3 9 4 2 2 3" xfId="47866" xr:uid="{00000000-0005-0000-0000-00006B270000}"/>
    <cellStyle name="20 % - Markeringsfarve3 9 4 2 3" xfId="25880" xr:uid="{00000000-0005-0000-0000-00006C270000}"/>
    <cellStyle name="20 % - Markeringsfarve3 9 4 2 4" xfId="40867" xr:uid="{00000000-0005-0000-0000-00006D270000}"/>
    <cellStyle name="20 % - Markeringsfarve3 9 4 3" xfId="10986" xr:uid="{00000000-0005-0000-0000-00006E270000}"/>
    <cellStyle name="20 % - Markeringsfarve3 9 4 3 2" xfId="27305" xr:uid="{00000000-0005-0000-0000-00006F270000}"/>
    <cellStyle name="20 % - Markeringsfarve3 9 4 3 3" xfId="42271" xr:uid="{00000000-0005-0000-0000-000070270000}"/>
    <cellStyle name="20 % - Markeringsfarve3 9 4 4" xfId="20283" xr:uid="{00000000-0005-0000-0000-000071270000}"/>
    <cellStyle name="20 % - Markeringsfarve3 9 4 5" xfId="35272" xr:uid="{00000000-0005-0000-0000-000072270000}"/>
    <cellStyle name="20 % - Markeringsfarve3 9 5" xfId="5576" xr:uid="{00000000-0005-0000-0000-000073270000}"/>
    <cellStyle name="20 % - Markeringsfarve3 9 5 2" xfId="13494" xr:uid="{00000000-0005-0000-0000-000074270000}"/>
    <cellStyle name="20 % - Markeringsfarve3 9 5 2 2" xfId="29808" xr:uid="{00000000-0005-0000-0000-000075270000}"/>
    <cellStyle name="20 % - Markeringsfarve3 9 5 2 3" xfId="44772" xr:uid="{00000000-0005-0000-0000-000076270000}"/>
    <cellStyle name="20 % - Markeringsfarve3 9 5 3" xfId="22786" xr:uid="{00000000-0005-0000-0000-000077270000}"/>
    <cellStyle name="20 % - Markeringsfarve3 9 5 4" xfId="37773" xr:uid="{00000000-0005-0000-0000-000078270000}"/>
    <cellStyle name="20 % - Markeringsfarve3 9 6" xfId="10982" xr:uid="{00000000-0005-0000-0000-000079270000}"/>
    <cellStyle name="20 % - Markeringsfarve3 9 6 2" xfId="27301" xr:uid="{00000000-0005-0000-0000-00007A270000}"/>
    <cellStyle name="20 % - Markeringsfarve3 9 6 3" xfId="42267" xr:uid="{00000000-0005-0000-0000-00007B270000}"/>
    <cellStyle name="20 % - Markeringsfarve3 9 7" xfId="20279" xr:uid="{00000000-0005-0000-0000-00007C270000}"/>
    <cellStyle name="20 % - Markeringsfarve3 9 8" xfId="35268" xr:uid="{00000000-0005-0000-0000-00007D270000}"/>
    <cellStyle name="20 % - Markeringsfarve4 10" xfId="2431" xr:uid="{00000000-0005-0000-0000-00007E270000}"/>
    <cellStyle name="20 % - Markeringsfarve4 10 2" xfId="2432" xr:uid="{00000000-0005-0000-0000-00007F270000}"/>
    <cellStyle name="20 % - Markeringsfarve4 10 2 2" xfId="7494" xr:uid="{00000000-0005-0000-0000-000080270000}"/>
    <cellStyle name="20 % - Markeringsfarve4 10 2 2 2" xfId="15395" xr:uid="{00000000-0005-0000-0000-000081270000}"/>
    <cellStyle name="20 % - Markeringsfarve4 10 2 2 2 2" xfId="31709" xr:uid="{00000000-0005-0000-0000-000082270000}"/>
    <cellStyle name="20 % - Markeringsfarve4 10 2 2 2 3" xfId="46673" xr:uid="{00000000-0005-0000-0000-000083270000}"/>
    <cellStyle name="20 % - Markeringsfarve4 10 2 2 3" xfId="24687" xr:uid="{00000000-0005-0000-0000-000084270000}"/>
    <cellStyle name="20 % - Markeringsfarve4 10 2 2 4" xfId="39674" xr:uid="{00000000-0005-0000-0000-000085270000}"/>
    <cellStyle name="20 % - Markeringsfarve4 10 2 3" xfId="10989" xr:uid="{00000000-0005-0000-0000-000086270000}"/>
    <cellStyle name="20 % - Markeringsfarve4 10 2 3 2" xfId="27308" xr:uid="{00000000-0005-0000-0000-000087270000}"/>
    <cellStyle name="20 % - Markeringsfarve4 10 2 3 3" xfId="42274" xr:uid="{00000000-0005-0000-0000-000088270000}"/>
    <cellStyle name="20 % - Markeringsfarve4 10 2 4" xfId="20286" xr:uid="{00000000-0005-0000-0000-000089270000}"/>
    <cellStyle name="20 % - Markeringsfarve4 10 2 5" xfId="35275" xr:uid="{00000000-0005-0000-0000-00008A270000}"/>
    <cellStyle name="20 % - Markeringsfarve4 10 3" xfId="2433" xr:uid="{00000000-0005-0000-0000-00008B270000}"/>
    <cellStyle name="20 % - Markeringsfarve4 10 3 2" xfId="8669" xr:uid="{00000000-0005-0000-0000-00008C270000}"/>
    <cellStyle name="20 % - Markeringsfarve4 10 3 2 2" xfId="16551" xr:uid="{00000000-0005-0000-0000-00008D270000}"/>
    <cellStyle name="20 % - Markeringsfarve4 10 3 2 2 2" xfId="32865" xr:uid="{00000000-0005-0000-0000-00008E270000}"/>
    <cellStyle name="20 % - Markeringsfarve4 10 3 2 2 3" xfId="47829" xr:uid="{00000000-0005-0000-0000-00008F270000}"/>
    <cellStyle name="20 % - Markeringsfarve4 10 3 2 3" xfId="25843" xr:uid="{00000000-0005-0000-0000-000090270000}"/>
    <cellStyle name="20 % - Markeringsfarve4 10 3 2 4" xfId="40830" xr:uid="{00000000-0005-0000-0000-000091270000}"/>
    <cellStyle name="20 % - Markeringsfarve4 10 3 3" xfId="10990" xr:uid="{00000000-0005-0000-0000-000092270000}"/>
    <cellStyle name="20 % - Markeringsfarve4 10 3 3 2" xfId="27309" xr:uid="{00000000-0005-0000-0000-000093270000}"/>
    <cellStyle name="20 % - Markeringsfarve4 10 3 3 3" xfId="42275" xr:uid="{00000000-0005-0000-0000-000094270000}"/>
    <cellStyle name="20 % - Markeringsfarve4 10 3 4" xfId="20287" xr:uid="{00000000-0005-0000-0000-000095270000}"/>
    <cellStyle name="20 % - Markeringsfarve4 10 3 5" xfId="35276" xr:uid="{00000000-0005-0000-0000-000096270000}"/>
    <cellStyle name="20 % - Markeringsfarve4 10 4" xfId="5578" xr:uid="{00000000-0005-0000-0000-000097270000}"/>
    <cellStyle name="20 % - Markeringsfarve4 10 4 2" xfId="13496" xr:uid="{00000000-0005-0000-0000-000098270000}"/>
    <cellStyle name="20 % - Markeringsfarve4 10 4 2 2" xfId="29810" xr:uid="{00000000-0005-0000-0000-000099270000}"/>
    <cellStyle name="20 % - Markeringsfarve4 10 4 2 3" xfId="44774" xr:uid="{00000000-0005-0000-0000-00009A270000}"/>
    <cellStyle name="20 % - Markeringsfarve4 10 4 3" xfId="22788" xr:uid="{00000000-0005-0000-0000-00009B270000}"/>
    <cellStyle name="20 % - Markeringsfarve4 10 4 4" xfId="37775" xr:uid="{00000000-0005-0000-0000-00009C270000}"/>
    <cellStyle name="20 % - Markeringsfarve4 10 5" xfId="10988" xr:uid="{00000000-0005-0000-0000-00009D270000}"/>
    <cellStyle name="20 % - Markeringsfarve4 10 5 2" xfId="27307" xr:uid="{00000000-0005-0000-0000-00009E270000}"/>
    <cellStyle name="20 % - Markeringsfarve4 10 5 3" xfId="42273" xr:uid="{00000000-0005-0000-0000-00009F270000}"/>
    <cellStyle name="20 % - Markeringsfarve4 10 6" xfId="20285" xr:uid="{00000000-0005-0000-0000-0000A0270000}"/>
    <cellStyle name="20 % - Markeringsfarve4 10 7" xfId="35274" xr:uid="{00000000-0005-0000-0000-0000A1270000}"/>
    <cellStyle name="20 % - Markeringsfarve4 11" xfId="2434" xr:uid="{00000000-0005-0000-0000-0000A2270000}"/>
    <cellStyle name="20 % - Markeringsfarve4 11 2" xfId="2435" xr:uid="{00000000-0005-0000-0000-0000A3270000}"/>
    <cellStyle name="20 % - Markeringsfarve4 11 2 2" xfId="8391" xr:uid="{00000000-0005-0000-0000-0000A4270000}"/>
    <cellStyle name="20 % - Markeringsfarve4 11 2 2 2" xfId="16284" xr:uid="{00000000-0005-0000-0000-0000A5270000}"/>
    <cellStyle name="20 % - Markeringsfarve4 11 2 2 2 2" xfId="32598" xr:uid="{00000000-0005-0000-0000-0000A6270000}"/>
    <cellStyle name="20 % - Markeringsfarve4 11 2 2 2 3" xfId="47562" xr:uid="{00000000-0005-0000-0000-0000A7270000}"/>
    <cellStyle name="20 % - Markeringsfarve4 11 2 2 3" xfId="25576" xr:uid="{00000000-0005-0000-0000-0000A8270000}"/>
    <cellStyle name="20 % - Markeringsfarve4 11 2 2 4" xfId="40563" xr:uid="{00000000-0005-0000-0000-0000A9270000}"/>
    <cellStyle name="20 % - Markeringsfarve4 11 2 3" xfId="10992" xr:uid="{00000000-0005-0000-0000-0000AA270000}"/>
    <cellStyle name="20 % - Markeringsfarve4 11 2 3 2" xfId="27311" xr:uid="{00000000-0005-0000-0000-0000AB270000}"/>
    <cellStyle name="20 % - Markeringsfarve4 11 2 3 3" xfId="42277" xr:uid="{00000000-0005-0000-0000-0000AC270000}"/>
    <cellStyle name="20 % - Markeringsfarve4 11 2 4" xfId="20289" xr:uid="{00000000-0005-0000-0000-0000AD270000}"/>
    <cellStyle name="20 % - Markeringsfarve4 11 2 5" xfId="35278" xr:uid="{00000000-0005-0000-0000-0000AE270000}"/>
    <cellStyle name="20 % - Markeringsfarve4 11 3" xfId="5579" xr:uid="{00000000-0005-0000-0000-0000AF270000}"/>
    <cellStyle name="20 % - Markeringsfarve4 11 3 2" xfId="13497" xr:uid="{00000000-0005-0000-0000-0000B0270000}"/>
    <cellStyle name="20 % - Markeringsfarve4 11 3 2 2" xfId="29811" xr:uid="{00000000-0005-0000-0000-0000B1270000}"/>
    <cellStyle name="20 % - Markeringsfarve4 11 3 2 3" xfId="44775" xr:uid="{00000000-0005-0000-0000-0000B2270000}"/>
    <cellStyle name="20 % - Markeringsfarve4 11 3 3" xfId="22789" xr:uid="{00000000-0005-0000-0000-0000B3270000}"/>
    <cellStyle name="20 % - Markeringsfarve4 11 3 4" xfId="37776" xr:uid="{00000000-0005-0000-0000-0000B4270000}"/>
    <cellStyle name="20 % - Markeringsfarve4 11 4" xfId="10991" xr:uid="{00000000-0005-0000-0000-0000B5270000}"/>
    <cellStyle name="20 % - Markeringsfarve4 11 4 2" xfId="27310" xr:uid="{00000000-0005-0000-0000-0000B6270000}"/>
    <cellStyle name="20 % - Markeringsfarve4 11 4 3" xfId="42276" xr:uid="{00000000-0005-0000-0000-0000B7270000}"/>
    <cellStyle name="20 % - Markeringsfarve4 11 5" xfId="20288" xr:uid="{00000000-0005-0000-0000-0000B8270000}"/>
    <cellStyle name="20 % - Markeringsfarve4 11 6" xfId="35277" xr:uid="{00000000-0005-0000-0000-0000B9270000}"/>
    <cellStyle name="20 % - Markeringsfarve4 12" xfId="2436" xr:uid="{00000000-0005-0000-0000-0000BA270000}"/>
    <cellStyle name="20 % - Markeringsfarve4 12 2" xfId="2437" xr:uid="{00000000-0005-0000-0000-0000BB270000}"/>
    <cellStyle name="20 % - Markeringsfarve4 12 2 2" xfId="8653" xr:uid="{00000000-0005-0000-0000-0000BC270000}"/>
    <cellStyle name="20 % - Markeringsfarve4 12 2 2 2" xfId="16536" xr:uid="{00000000-0005-0000-0000-0000BD270000}"/>
    <cellStyle name="20 % - Markeringsfarve4 12 2 2 2 2" xfId="32850" xr:uid="{00000000-0005-0000-0000-0000BE270000}"/>
    <cellStyle name="20 % - Markeringsfarve4 12 2 2 2 3" xfId="47814" xr:uid="{00000000-0005-0000-0000-0000BF270000}"/>
    <cellStyle name="20 % - Markeringsfarve4 12 2 2 3" xfId="25828" xr:uid="{00000000-0005-0000-0000-0000C0270000}"/>
    <cellStyle name="20 % - Markeringsfarve4 12 2 2 4" xfId="40815" xr:uid="{00000000-0005-0000-0000-0000C1270000}"/>
    <cellStyle name="20 % - Markeringsfarve4 12 2 3" xfId="10994" xr:uid="{00000000-0005-0000-0000-0000C2270000}"/>
    <cellStyle name="20 % - Markeringsfarve4 12 2 3 2" xfId="27313" xr:uid="{00000000-0005-0000-0000-0000C3270000}"/>
    <cellStyle name="20 % - Markeringsfarve4 12 2 3 3" xfId="42279" xr:uid="{00000000-0005-0000-0000-0000C4270000}"/>
    <cellStyle name="20 % - Markeringsfarve4 12 2 4" xfId="20291" xr:uid="{00000000-0005-0000-0000-0000C5270000}"/>
    <cellStyle name="20 % - Markeringsfarve4 12 2 5" xfId="35280" xr:uid="{00000000-0005-0000-0000-0000C6270000}"/>
    <cellStyle name="20 % - Markeringsfarve4 12 3" xfId="5580" xr:uid="{00000000-0005-0000-0000-0000C7270000}"/>
    <cellStyle name="20 % - Markeringsfarve4 12 3 2" xfId="13498" xr:uid="{00000000-0005-0000-0000-0000C8270000}"/>
    <cellStyle name="20 % - Markeringsfarve4 12 3 2 2" xfId="29812" xr:uid="{00000000-0005-0000-0000-0000C9270000}"/>
    <cellStyle name="20 % - Markeringsfarve4 12 3 2 3" xfId="44776" xr:uid="{00000000-0005-0000-0000-0000CA270000}"/>
    <cellStyle name="20 % - Markeringsfarve4 12 3 3" xfId="22790" xr:uid="{00000000-0005-0000-0000-0000CB270000}"/>
    <cellStyle name="20 % - Markeringsfarve4 12 3 4" xfId="37777" xr:uid="{00000000-0005-0000-0000-0000CC270000}"/>
    <cellStyle name="20 % - Markeringsfarve4 12 4" xfId="10993" xr:uid="{00000000-0005-0000-0000-0000CD270000}"/>
    <cellStyle name="20 % - Markeringsfarve4 12 4 2" xfId="27312" xr:uid="{00000000-0005-0000-0000-0000CE270000}"/>
    <cellStyle name="20 % - Markeringsfarve4 12 4 3" xfId="42278" xr:uid="{00000000-0005-0000-0000-0000CF270000}"/>
    <cellStyle name="20 % - Markeringsfarve4 12 5" xfId="20290" xr:uid="{00000000-0005-0000-0000-0000D0270000}"/>
    <cellStyle name="20 % - Markeringsfarve4 12 6" xfId="35279" xr:uid="{00000000-0005-0000-0000-0000D1270000}"/>
    <cellStyle name="20 % - Markeringsfarve4 13" xfId="2438" xr:uid="{00000000-0005-0000-0000-0000D2270000}"/>
    <cellStyle name="20 % - Markeringsfarve4 13 2" xfId="2439" xr:uid="{00000000-0005-0000-0000-0000D3270000}"/>
    <cellStyle name="20 % - Markeringsfarve4 13 2 2" xfId="8588" xr:uid="{00000000-0005-0000-0000-0000D4270000}"/>
    <cellStyle name="20 % - Markeringsfarve4 13 2 2 2" xfId="16475" xr:uid="{00000000-0005-0000-0000-0000D5270000}"/>
    <cellStyle name="20 % - Markeringsfarve4 13 2 2 2 2" xfId="32789" xr:uid="{00000000-0005-0000-0000-0000D6270000}"/>
    <cellStyle name="20 % - Markeringsfarve4 13 2 2 2 3" xfId="47753" xr:uid="{00000000-0005-0000-0000-0000D7270000}"/>
    <cellStyle name="20 % - Markeringsfarve4 13 2 2 3" xfId="25767" xr:uid="{00000000-0005-0000-0000-0000D8270000}"/>
    <cellStyle name="20 % - Markeringsfarve4 13 2 2 4" xfId="40754" xr:uid="{00000000-0005-0000-0000-0000D9270000}"/>
    <cellStyle name="20 % - Markeringsfarve4 13 2 3" xfId="10996" xr:uid="{00000000-0005-0000-0000-0000DA270000}"/>
    <cellStyle name="20 % - Markeringsfarve4 13 2 3 2" xfId="27315" xr:uid="{00000000-0005-0000-0000-0000DB270000}"/>
    <cellStyle name="20 % - Markeringsfarve4 13 2 3 3" xfId="42281" xr:uid="{00000000-0005-0000-0000-0000DC270000}"/>
    <cellStyle name="20 % - Markeringsfarve4 13 2 4" xfId="20293" xr:uid="{00000000-0005-0000-0000-0000DD270000}"/>
    <cellStyle name="20 % - Markeringsfarve4 13 2 5" xfId="35282" xr:uid="{00000000-0005-0000-0000-0000DE270000}"/>
    <cellStyle name="20 % - Markeringsfarve4 13 3" xfId="5577" xr:uid="{00000000-0005-0000-0000-0000DF270000}"/>
    <cellStyle name="20 % - Markeringsfarve4 13 3 2" xfId="13495" xr:uid="{00000000-0005-0000-0000-0000E0270000}"/>
    <cellStyle name="20 % - Markeringsfarve4 13 3 2 2" xfId="29809" xr:uid="{00000000-0005-0000-0000-0000E1270000}"/>
    <cellStyle name="20 % - Markeringsfarve4 13 3 2 3" xfId="44773" xr:uid="{00000000-0005-0000-0000-0000E2270000}"/>
    <cellStyle name="20 % - Markeringsfarve4 13 3 3" xfId="22787" xr:uid="{00000000-0005-0000-0000-0000E3270000}"/>
    <cellStyle name="20 % - Markeringsfarve4 13 3 4" xfId="37774" xr:uid="{00000000-0005-0000-0000-0000E4270000}"/>
    <cellStyle name="20 % - Markeringsfarve4 13 4" xfId="10995" xr:uid="{00000000-0005-0000-0000-0000E5270000}"/>
    <cellStyle name="20 % - Markeringsfarve4 13 4 2" xfId="27314" xr:uid="{00000000-0005-0000-0000-0000E6270000}"/>
    <cellStyle name="20 % - Markeringsfarve4 13 4 3" xfId="42280" xr:uid="{00000000-0005-0000-0000-0000E7270000}"/>
    <cellStyle name="20 % - Markeringsfarve4 13 5" xfId="20292" xr:uid="{00000000-0005-0000-0000-0000E8270000}"/>
    <cellStyle name="20 % - Markeringsfarve4 13 6" xfId="35281" xr:uid="{00000000-0005-0000-0000-0000E9270000}"/>
    <cellStyle name="20 % - Markeringsfarve4 14" xfId="2440" xr:uid="{00000000-0005-0000-0000-0000EA270000}"/>
    <cellStyle name="20 % - Markeringsfarve4 14 2" xfId="6717" xr:uid="{00000000-0005-0000-0000-0000EB270000}"/>
    <cellStyle name="20 % - Markeringsfarve4 14 2 2" xfId="14630" xr:uid="{00000000-0005-0000-0000-0000EC270000}"/>
    <cellStyle name="20 % - Markeringsfarve4 14 2 2 2" xfId="30944" xr:uid="{00000000-0005-0000-0000-0000ED270000}"/>
    <cellStyle name="20 % - Markeringsfarve4 14 2 2 3" xfId="45908" xr:uid="{00000000-0005-0000-0000-0000EE270000}"/>
    <cellStyle name="20 % - Markeringsfarve4 14 2 3" xfId="23922" xr:uid="{00000000-0005-0000-0000-0000EF270000}"/>
    <cellStyle name="20 % - Markeringsfarve4 14 2 4" xfId="38909" xr:uid="{00000000-0005-0000-0000-0000F0270000}"/>
    <cellStyle name="20 % - Markeringsfarve4 14 3" xfId="10997" xr:uid="{00000000-0005-0000-0000-0000F1270000}"/>
    <cellStyle name="20 % - Markeringsfarve4 14 3 2" xfId="27316" xr:uid="{00000000-0005-0000-0000-0000F2270000}"/>
    <cellStyle name="20 % - Markeringsfarve4 14 3 3" xfId="42282" xr:uid="{00000000-0005-0000-0000-0000F3270000}"/>
    <cellStyle name="20 % - Markeringsfarve4 14 4" xfId="20294" xr:uid="{00000000-0005-0000-0000-0000F4270000}"/>
    <cellStyle name="20 % - Markeringsfarve4 14 5" xfId="35283" xr:uid="{00000000-0005-0000-0000-0000F5270000}"/>
    <cellStyle name="20 % - Markeringsfarve4 15" xfId="2441" xr:uid="{00000000-0005-0000-0000-0000F6270000}"/>
    <cellStyle name="20 % - Markeringsfarve4 15 2" xfId="8602" xr:uid="{00000000-0005-0000-0000-0000F7270000}"/>
    <cellStyle name="20 % - Markeringsfarve4 15 2 2" xfId="16488" xr:uid="{00000000-0005-0000-0000-0000F8270000}"/>
    <cellStyle name="20 % - Markeringsfarve4 15 2 2 2" xfId="32802" xr:uid="{00000000-0005-0000-0000-0000F9270000}"/>
    <cellStyle name="20 % - Markeringsfarve4 15 2 2 3" xfId="47766" xr:uid="{00000000-0005-0000-0000-0000FA270000}"/>
    <cellStyle name="20 % - Markeringsfarve4 15 2 3" xfId="25780" xr:uid="{00000000-0005-0000-0000-0000FB270000}"/>
    <cellStyle name="20 % - Markeringsfarve4 15 2 4" xfId="40767" xr:uid="{00000000-0005-0000-0000-0000FC270000}"/>
    <cellStyle name="20 % - Markeringsfarve4 15 3" xfId="10998" xr:uid="{00000000-0005-0000-0000-0000FD270000}"/>
    <cellStyle name="20 % - Markeringsfarve4 15 3 2" xfId="27317" xr:uid="{00000000-0005-0000-0000-0000FE270000}"/>
    <cellStyle name="20 % - Markeringsfarve4 15 3 3" xfId="42283" xr:uid="{00000000-0005-0000-0000-0000FF270000}"/>
    <cellStyle name="20 % - Markeringsfarve4 15 4" xfId="20295" xr:uid="{00000000-0005-0000-0000-000000280000}"/>
    <cellStyle name="20 % - Markeringsfarve4 15 5" xfId="35284" xr:uid="{00000000-0005-0000-0000-000001280000}"/>
    <cellStyle name="20 % - Markeringsfarve4 16" xfId="2442" xr:uid="{00000000-0005-0000-0000-000002280000}"/>
    <cellStyle name="20 % - Markeringsfarve4 16 2" xfId="8433" xr:uid="{00000000-0005-0000-0000-000003280000}"/>
    <cellStyle name="20 % - Markeringsfarve4 16 2 2" xfId="16325" xr:uid="{00000000-0005-0000-0000-000004280000}"/>
    <cellStyle name="20 % - Markeringsfarve4 16 2 2 2" xfId="32639" xr:uid="{00000000-0005-0000-0000-000005280000}"/>
    <cellStyle name="20 % - Markeringsfarve4 16 2 2 3" xfId="47603" xr:uid="{00000000-0005-0000-0000-000006280000}"/>
    <cellStyle name="20 % - Markeringsfarve4 16 2 3" xfId="25617" xr:uid="{00000000-0005-0000-0000-000007280000}"/>
    <cellStyle name="20 % - Markeringsfarve4 16 2 4" xfId="40604" xr:uid="{00000000-0005-0000-0000-000008280000}"/>
    <cellStyle name="20 % - Markeringsfarve4 16 3" xfId="10999" xr:uid="{00000000-0005-0000-0000-000009280000}"/>
    <cellStyle name="20 % - Markeringsfarve4 16 3 2" xfId="27318" xr:uid="{00000000-0005-0000-0000-00000A280000}"/>
    <cellStyle name="20 % - Markeringsfarve4 16 3 3" xfId="42284" xr:uid="{00000000-0005-0000-0000-00000B280000}"/>
    <cellStyle name="20 % - Markeringsfarve4 16 4" xfId="20296" xr:uid="{00000000-0005-0000-0000-00000C280000}"/>
    <cellStyle name="20 % - Markeringsfarve4 16 5" xfId="35285" xr:uid="{00000000-0005-0000-0000-00000D280000}"/>
    <cellStyle name="20 % - Markeringsfarve4 17" xfId="5396" xr:uid="{00000000-0005-0000-0000-00000E280000}"/>
    <cellStyle name="20 % - Markeringsfarve4 17 2" xfId="13318" xr:uid="{00000000-0005-0000-0000-00000F280000}"/>
    <cellStyle name="20 % - Markeringsfarve4 17 2 2" xfId="29632" xr:uid="{00000000-0005-0000-0000-000010280000}"/>
    <cellStyle name="20 % - Markeringsfarve4 17 2 3" xfId="44596" xr:uid="{00000000-0005-0000-0000-000011280000}"/>
    <cellStyle name="20 % - Markeringsfarve4 17 3" xfId="22610" xr:uid="{00000000-0005-0000-0000-000012280000}"/>
    <cellStyle name="20 % - Markeringsfarve4 17 4" xfId="37597" xr:uid="{00000000-0005-0000-0000-000013280000}"/>
    <cellStyle name="20 % - Markeringsfarve4 18" xfId="2430" xr:uid="{00000000-0005-0000-0000-000014280000}"/>
    <cellStyle name="20 % - Markeringsfarve4 18 2" xfId="10987" xr:uid="{00000000-0005-0000-0000-000015280000}"/>
    <cellStyle name="20 % - Markeringsfarve4 18 2 2" xfId="27306" xr:uid="{00000000-0005-0000-0000-000016280000}"/>
    <cellStyle name="20 % - Markeringsfarve4 18 2 3" xfId="42272" xr:uid="{00000000-0005-0000-0000-000017280000}"/>
    <cellStyle name="20 % - Markeringsfarve4 18 3" xfId="20284" xr:uid="{00000000-0005-0000-0000-000018280000}"/>
    <cellStyle name="20 % - Markeringsfarve4 18 4" xfId="35273" xr:uid="{00000000-0005-0000-0000-000019280000}"/>
    <cellStyle name="20 % - Markeringsfarve4 2" xfId="2443" xr:uid="{00000000-0005-0000-0000-00001A280000}"/>
    <cellStyle name="20 % - Markeringsfarve4 2 10" xfId="2444" xr:uid="{00000000-0005-0000-0000-00001B280000}"/>
    <cellStyle name="20 % - Markeringsfarve4 2 10 2" xfId="6748" xr:uid="{00000000-0005-0000-0000-00001C280000}"/>
    <cellStyle name="20 % - Markeringsfarve4 2 10 2 2" xfId="14659" xr:uid="{00000000-0005-0000-0000-00001D280000}"/>
    <cellStyle name="20 % - Markeringsfarve4 2 10 2 2 2" xfId="30973" xr:uid="{00000000-0005-0000-0000-00001E280000}"/>
    <cellStyle name="20 % - Markeringsfarve4 2 10 2 2 3" xfId="45937" xr:uid="{00000000-0005-0000-0000-00001F280000}"/>
    <cellStyle name="20 % - Markeringsfarve4 2 10 2 3" xfId="23951" xr:uid="{00000000-0005-0000-0000-000020280000}"/>
    <cellStyle name="20 % - Markeringsfarve4 2 10 2 4" xfId="38938" xr:uid="{00000000-0005-0000-0000-000021280000}"/>
    <cellStyle name="20 % - Markeringsfarve4 2 10 3" xfId="11001" xr:uid="{00000000-0005-0000-0000-000022280000}"/>
    <cellStyle name="20 % - Markeringsfarve4 2 10 3 2" xfId="27320" xr:uid="{00000000-0005-0000-0000-000023280000}"/>
    <cellStyle name="20 % - Markeringsfarve4 2 10 3 3" xfId="42286" xr:uid="{00000000-0005-0000-0000-000024280000}"/>
    <cellStyle name="20 % - Markeringsfarve4 2 10 4" xfId="20298" xr:uid="{00000000-0005-0000-0000-000025280000}"/>
    <cellStyle name="20 % - Markeringsfarve4 2 10 5" xfId="35287" xr:uid="{00000000-0005-0000-0000-000026280000}"/>
    <cellStyle name="20 % - Markeringsfarve4 2 11" xfId="2445" xr:uid="{00000000-0005-0000-0000-000027280000}"/>
    <cellStyle name="20 % - Markeringsfarve4 2 11 2" xfId="8302" xr:uid="{00000000-0005-0000-0000-000028280000}"/>
    <cellStyle name="20 % - Markeringsfarve4 2 11 2 2" xfId="16196" xr:uid="{00000000-0005-0000-0000-000029280000}"/>
    <cellStyle name="20 % - Markeringsfarve4 2 11 2 2 2" xfId="32510" xr:uid="{00000000-0005-0000-0000-00002A280000}"/>
    <cellStyle name="20 % - Markeringsfarve4 2 11 2 2 3" xfId="47474" xr:uid="{00000000-0005-0000-0000-00002B280000}"/>
    <cellStyle name="20 % - Markeringsfarve4 2 11 2 3" xfId="25488" xr:uid="{00000000-0005-0000-0000-00002C280000}"/>
    <cellStyle name="20 % - Markeringsfarve4 2 11 2 4" xfId="40475" xr:uid="{00000000-0005-0000-0000-00002D280000}"/>
    <cellStyle name="20 % - Markeringsfarve4 2 11 3" xfId="11002" xr:uid="{00000000-0005-0000-0000-00002E280000}"/>
    <cellStyle name="20 % - Markeringsfarve4 2 11 3 2" xfId="27321" xr:uid="{00000000-0005-0000-0000-00002F280000}"/>
    <cellStyle name="20 % - Markeringsfarve4 2 11 3 3" xfId="42287" xr:uid="{00000000-0005-0000-0000-000030280000}"/>
    <cellStyle name="20 % - Markeringsfarve4 2 11 4" xfId="20299" xr:uid="{00000000-0005-0000-0000-000031280000}"/>
    <cellStyle name="20 % - Markeringsfarve4 2 11 5" xfId="35288" xr:uid="{00000000-0005-0000-0000-000032280000}"/>
    <cellStyle name="20 % - Markeringsfarve4 2 12" xfId="5581" xr:uid="{00000000-0005-0000-0000-000033280000}"/>
    <cellStyle name="20 % - Markeringsfarve4 2 12 2" xfId="13499" xr:uid="{00000000-0005-0000-0000-000034280000}"/>
    <cellStyle name="20 % - Markeringsfarve4 2 12 2 2" xfId="29813" xr:uid="{00000000-0005-0000-0000-000035280000}"/>
    <cellStyle name="20 % - Markeringsfarve4 2 12 2 3" xfId="44777" xr:uid="{00000000-0005-0000-0000-000036280000}"/>
    <cellStyle name="20 % - Markeringsfarve4 2 12 3" xfId="22791" xr:uid="{00000000-0005-0000-0000-000037280000}"/>
    <cellStyle name="20 % - Markeringsfarve4 2 12 4" xfId="37778" xr:uid="{00000000-0005-0000-0000-000038280000}"/>
    <cellStyle name="20 % - Markeringsfarve4 2 13" xfId="11000" xr:uid="{00000000-0005-0000-0000-000039280000}"/>
    <cellStyle name="20 % - Markeringsfarve4 2 13 2" xfId="27319" xr:uid="{00000000-0005-0000-0000-00003A280000}"/>
    <cellStyle name="20 % - Markeringsfarve4 2 13 3" xfId="42285" xr:uid="{00000000-0005-0000-0000-00003B280000}"/>
    <cellStyle name="20 % - Markeringsfarve4 2 14" xfId="20297" xr:uid="{00000000-0005-0000-0000-00003C280000}"/>
    <cellStyle name="20 % - Markeringsfarve4 2 15" xfId="35286" xr:uid="{00000000-0005-0000-0000-00003D280000}"/>
    <cellStyle name="20 % - Markeringsfarve4 2 16" xfId="53361" xr:uid="{00000000-0005-0000-0000-00003E280000}"/>
    <cellStyle name="20 % - Markeringsfarve4 2 2" xfId="2446" xr:uid="{00000000-0005-0000-0000-00003F280000}"/>
    <cellStyle name="20 % - Markeringsfarve4 2 2 10" xfId="5582" xr:uid="{00000000-0005-0000-0000-000040280000}"/>
    <cellStyle name="20 % - Markeringsfarve4 2 2 10 2" xfId="13500" xr:uid="{00000000-0005-0000-0000-000041280000}"/>
    <cellStyle name="20 % - Markeringsfarve4 2 2 10 2 2" xfId="29814" xr:uid="{00000000-0005-0000-0000-000042280000}"/>
    <cellStyle name="20 % - Markeringsfarve4 2 2 10 2 3" xfId="44778" xr:uid="{00000000-0005-0000-0000-000043280000}"/>
    <cellStyle name="20 % - Markeringsfarve4 2 2 10 3" xfId="22792" xr:uid="{00000000-0005-0000-0000-000044280000}"/>
    <cellStyle name="20 % - Markeringsfarve4 2 2 10 4" xfId="37779" xr:uid="{00000000-0005-0000-0000-000045280000}"/>
    <cellStyle name="20 % - Markeringsfarve4 2 2 11" xfId="11003" xr:uid="{00000000-0005-0000-0000-000046280000}"/>
    <cellStyle name="20 % - Markeringsfarve4 2 2 11 2" xfId="27322" xr:uid="{00000000-0005-0000-0000-000047280000}"/>
    <cellStyle name="20 % - Markeringsfarve4 2 2 11 3" xfId="42288" xr:uid="{00000000-0005-0000-0000-000048280000}"/>
    <cellStyle name="20 % - Markeringsfarve4 2 2 12" xfId="20300" xr:uid="{00000000-0005-0000-0000-000049280000}"/>
    <cellStyle name="20 % - Markeringsfarve4 2 2 13" xfId="35289" xr:uid="{00000000-0005-0000-0000-00004A280000}"/>
    <cellStyle name="20 % - Markeringsfarve4 2 2 14" xfId="53360" xr:uid="{00000000-0005-0000-0000-00004B280000}"/>
    <cellStyle name="20 % - Markeringsfarve4 2 2 2" xfId="2447" xr:uid="{00000000-0005-0000-0000-00004C280000}"/>
    <cellStyle name="20 % - Markeringsfarve4 2 2 2 2" xfId="2448" xr:uid="{00000000-0005-0000-0000-00004D280000}"/>
    <cellStyle name="20 % - Markeringsfarve4 2 2 2 2 2" xfId="2449" xr:uid="{00000000-0005-0000-0000-00004E280000}"/>
    <cellStyle name="20 % - Markeringsfarve4 2 2 2 2 2 2" xfId="7679" xr:uid="{00000000-0005-0000-0000-00004F280000}"/>
    <cellStyle name="20 % - Markeringsfarve4 2 2 2 2 2 2 2" xfId="15580" xr:uid="{00000000-0005-0000-0000-000050280000}"/>
    <cellStyle name="20 % - Markeringsfarve4 2 2 2 2 2 2 2 2" xfId="31894" xr:uid="{00000000-0005-0000-0000-000051280000}"/>
    <cellStyle name="20 % - Markeringsfarve4 2 2 2 2 2 2 2 3" xfId="46858" xr:uid="{00000000-0005-0000-0000-000052280000}"/>
    <cellStyle name="20 % - Markeringsfarve4 2 2 2 2 2 2 3" xfId="24872" xr:uid="{00000000-0005-0000-0000-000053280000}"/>
    <cellStyle name="20 % - Markeringsfarve4 2 2 2 2 2 2 4" xfId="39859" xr:uid="{00000000-0005-0000-0000-000054280000}"/>
    <cellStyle name="20 % - Markeringsfarve4 2 2 2 2 2 3" xfId="11006" xr:uid="{00000000-0005-0000-0000-000055280000}"/>
    <cellStyle name="20 % - Markeringsfarve4 2 2 2 2 2 3 2" xfId="27325" xr:uid="{00000000-0005-0000-0000-000056280000}"/>
    <cellStyle name="20 % - Markeringsfarve4 2 2 2 2 2 3 3" xfId="42291" xr:uid="{00000000-0005-0000-0000-000057280000}"/>
    <cellStyle name="20 % - Markeringsfarve4 2 2 2 2 2 4" xfId="20303" xr:uid="{00000000-0005-0000-0000-000058280000}"/>
    <cellStyle name="20 % - Markeringsfarve4 2 2 2 2 2 5" xfId="35292" xr:uid="{00000000-0005-0000-0000-000059280000}"/>
    <cellStyle name="20 % - Markeringsfarve4 2 2 2 2 3" xfId="6251" xr:uid="{00000000-0005-0000-0000-00005A280000}"/>
    <cellStyle name="20 % - Markeringsfarve4 2 2 2 2 3 2" xfId="14168" xr:uid="{00000000-0005-0000-0000-00005B280000}"/>
    <cellStyle name="20 % - Markeringsfarve4 2 2 2 2 3 2 2" xfId="30482" xr:uid="{00000000-0005-0000-0000-00005C280000}"/>
    <cellStyle name="20 % - Markeringsfarve4 2 2 2 2 3 2 3" xfId="45446" xr:uid="{00000000-0005-0000-0000-00005D280000}"/>
    <cellStyle name="20 % - Markeringsfarve4 2 2 2 2 3 3" xfId="23460" xr:uid="{00000000-0005-0000-0000-00005E280000}"/>
    <cellStyle name="20 % - Markeringsfarve4 2 2 2 2 3 4" xfId="38447" xr:uid="{00000000-0005-0000-0000-00005F280000}"/>
    <cellStyle name="20 % - Markeringsfarve4 2 2 2 2 4" xfId="11005" xr:uid="{00000000-0005-0000-0000-000060280000}"/>
    <cellStyle name="20 % - Markeringsfarve4 2 2 2 2 4 2" xfId="27324" xr:uid="{00000000-0005-0000-0000-000061280000}"/>
    <cellStyle name="20 % - Markeringsfarve4 2 2 2 2 4 3" xfId="42290" xr:uid="{00000000-0005-0000-0000-000062280000}"/>
    <cellStyle name="20 % - Markeringsfarve4 2 2 2 2 5" xfId="20302" xr:uid="{00000000-0005-0000-0000-000063280000}"/>
    <cellStyle name="20 % - Markeringsfarve4 2 2 2 2 6" xfId="35291" xr:uid="{00000000-0005-0000-0000-000064280000}"/>
    <cellStyle name="20 % - Markeringsfarve4 2 2 2 2 7" xfId="57164" xr:uid="{00000000-0005-0000-0000-000065280000}"/>
    <cellStyle name="20 % - Markeringsfarve4 2 2 2 3" xfId="2450" xr:uid="{00000000-0005-0000-0000-000066280000}"/>
    <cellStyle name="20 % - Markeringsfarve4 2 2 2 3 2" xfId="6909" xr:uid="{00000000-0005-0000-0000-000067280000}"/>
    <cellStyle name="20 % - Markeringsfarve4 2 2 2 3 2 2" xfId="14820" xr:uid="{00000000-0005-0000-0000-000068280000}"/>
    <cellStyle name="20 % - Markeringsfarve4 2 2 2 3 2 2 2" xfId="31134" xr:uid="{00000000-0005-0000-0000-000069280000}"/>
    <cellStyle name="20 % - Markeringsfarve4 2 2 2 3 2 2 3" xfId="46098" xr:uid="{00000000-0005-0000-0000-00006A280000}"/>
    <cellStyle name="20 % - Markeringsfarve4 2 2 2 3 2 3" xfId="24112" xr:uid="{00000000-0005-0000-0000-00006B280000}"/>
    <cellStyle name="20 % - Markeringsfarve4 2 2 2 3 2 4" xfId="39099" xr:uid="{00000000-0005-0000-0000-00006C280000}"/>
    <cellStyle name="20 % - Markeringsfarve4 2 2 2 3 3" xfId="11007" xr:uid="{00000000-0005-0000-0000-00006D280000}"/>
    <cellStyle name="20 % - Markeringsfarve4 2 2 2 3 3 2" xfId="27326" xr:uid="{00000000-0005-0000-0000-00006E280000}"/>
    <cellStyle name="20 % - Markeringsfarve4 2 2 2 3 3 3" xfId="42292" xr:uid="{00000000-0005-0000-0000-00006F280000}"/>
    <cellStyle name="20 % - Markeringsfarve4 2 2 2 3 4" xfId="20304" xr:uid="{00000000-0005-0000-0000-000070280000}"/>
    <cellStyle name="20 % - Markeringsfarve4 2 2 2 3 5" xfId="35293" xr:uid="{00000000-0005-0000-0000-000071280000}"/>
    <cellStyle name="20 % - Markeringsfarve4 2 2 2 4" xfId="2451" xr:uid="{00000000-0005-0000-0000-000072280000}"/>
    <cellStyle name="20 % - Markeringsfarve4 2 2 2 4 2" xfId="8226" xr:uid="{00000000-0005-0000-0000-000073280000}"/>
    <cellStyle name="20 % - Markeringsfarve4 2 2 2 4 2 2" xfId="16123" xr:uid="{00000000-0005-0000-0000-000074280000}"/>
    <cellStyle name="20 % - Markeringsfarve4 2 2 2 4 2 2 2" xfId="32437" xr:uid="{00000000-0005-0000-0000-000075280000}"/>
    <cellStyle name="20 % - Markeringsfarve4 2 2 2 4 2 2 3" xfId="47401" xr:uid="{00000000-0005-0000-0000-000076280000}"/>
    <cellStyle name="20 % - Markeringsfarve4 2 2 2 4 2 3" xfId="25415" xr:uid="{00000000-0005-0000-0000-000077280000}"/>
    <cellStyle name="20 % - Markeringsfarve4 2 2 2 4 2 4" xfId="40402" xr:uid="{00000000-0005-0000-0000-000078280000}"/>
    <cellStyle name="20 % - Markeringsfarve4 2 2 2 4 3" xfId="11008" xr:uid="{00000000-0005-0000-0000-000079280000}"/>
    <cellStyle name="20 % - Markeringsfarve4 2 2 2 4 3 2" xfId="27327" xr:uid="{00000000-0005-0000-0000-00007A280000}"/>
    <cellStyle name="20 % - Markeringsfarve4 2 2 2 4 3 3" xfId="42293" xr:uid="{00000000-0005-0000-0000-00007B280000}"/>
    <cellStyle name="20 % - Markeringsfarve4 2 2 2 4 4" xfId="20305" xr:uid="{00000000-0005-0000-0000-00007C280000}"/>
    <cellStyle name="20 % - Markeringsfarve4 2 2 2 4 5" xfId="35294" xr:uid="{00000000-0005-0000-0000-00007D280000}"/>
    <cellStyle name="20 % - Markeringsfarve4 2 2 2 5" xfId="5583" xr:uid="{00000000-0005-0000-0000-00007E280000}"/>
    <cellStyle name="20 % - Markeringsfarve4 2 2 2 5 2" xfId="13501" xr:uid="{00000000-0005-0000-0000-00007F280000}"/>
    <cellStyle name="20 % - Markeringsfarve4 2 2 2 5 2 2" xfId="29815" xr:uid="{00000000-0005-0000-0000-000080280000}"/>
    <cellStyle name="20 % - Markeringsfarve4 2 2 2 5 2 3" xfId="44779" xr:uid="{00000000-0005-0000-0000-000081280000}"/>
    <cellStyle name="20 % - Markeringsfarve4 2 2 2 5 3" xfId="22793" xr:uid="{00000000-0005-0000-0000-000082280000}"/>
    <cellStyle name="20 % - Markeringsfarve4 2 2 2 5 4" xfId="37780" xr:uid="{00000000-0005-0000-0000-000083280000}"/>
    <cellStyle name="20 % - Markeringsfarve4 2 2 2 6" xfId="11004" xr:uid="{00000000-0005-0000-0000-000084280000}"/>
    <cellStyle name="20 % - Markeringsfarve4 2 2 2 6 2" xfId="27323" xr:uid="{00000000-0005-0000-0000-000085280000}"/>
    <cellStyle name="20 % - Markeringsfarve4 2 2 2 6 3" xfId="42289" xr:uid="{00000000-0005-0000-0000-000086280000}"/>
    <cellStyle name="20 % - Markeringsfarve4 2 2 2 7" xfId="20301" xr:uid="{00000000-0005-0000-0000-000087280000}"/>
    <cellStyle name="20 % - Markeringsfarve4 2 2 2 8" xfId="35290" xr:uid="{00000000-0005-0000-0000-000088280000}"/>
    <cellStyle name="20 % - Markeringsfarve4 2 2 2 9" xfId="53997" xr:uid="{00000000-0005-0000-0000-000089280000}"/>
    <cellStyle name="20 % - Markeringsfarve4 2 2 3" xfId="2452" xr:uid="{00000000-0005-0000-0000-00008A280000}"/>
    <cellStyle name="20 % - Markeringsfarve4 2 2 3 2" xfId="2453" xr:uid="{00000000-0005-0000-0000-00008B280000}"/>
    <cellStyle name="20 % - Markeringsfarve4 2 2 3 2 2" xfId="2454" xr:uid="{00000000-0005-0000-0000-00008C280000}"/>
    <cellStyle name="20 % - Markeringsfarve4 2 2 3 2 2 2" xfId="7754" xr:uid="{00000000-0005-0000-0000-00008D280000}"/>
    <cellStyle name="20 % - Markeringsfarve4 2 2 3 2 2 2 2" xfId="15655" xr:uid="{00000000-0005-0000-0000-00008E280000}"/>
    <cellStyle name="20 % - Markeringsfarve4 2 2 3 2 2 2 2 2" xfId="31969" xr:uid="{00000000-0005-0000-0000-00008F280000}"/>
    <cellStyle name="20 % - Markeringsfarve4 2 2 3 2 2 2 2 3" xfId="46933" xr:uid="{00000000-0005-0000-0000-000090280000}"/>
    <cellStyle name="20 % - Markeringsfarve4 2 2 3 2 2 2 3" xfId="24947" xr:uid="{00000000-0005-0000-0000-000091280000}"/>
    <cellStyle name="20 % - Markeringsfarve4 2 2 3 2 2 2 4" xfId="39934" xr:uid="{00000000-0005-0000-0000-000092280000}"/>
    <cellStyle name="20 % - Markeringsfarve4 2 2 3 2 2 3" xfId="11011" xr:uid="{00000000-0005-0000-0000-000093280000}"/>
    <cellStyle name="20 % - Markeringsfarve4 2 2 3 2 2 3 2" xfId="27330" xr:uid="{00000000-0005-0000-0000-000094280000}"/>
    <cellStyle name="20 % - Markeringsfarve4 2 2 3 2 2 3 3" xfId="42296" xr:uid="{00000000-0005-0000-0000-000095280000}"/>
    <cellStyle name="20 % - Markeringsfarve4 2 2 3 2 2 4" xfId="20308" xr:uid="{00000000-0005-0000-0000-000096280000}"/>
    <cellStyle name="20 % - Markeringsfarve4 2 2 3 2 2 5" xfId="35297" xr:uid="{00000000-0005-0000-0000-000097280000}"/>
    <cellStyle name="20 % - Markeringsfarve4 2 2 3 2 3" xfId="6318" xr:uid="{00000000-0005-0000-0000-000098280000}"/>
    <cellStyle name="20 % - Markeringsfarve4 2 2 3 2 3 2" xfId="14235" xr:uid="{00000000-0005-0000-0000-000099280000}"/>
    <cellStyle name="20 % - Markeringsfarve4 2 2 3 2 3 2 2" xfId="30549" xr:uid="{00000000-0005-0000-0000-00009A280000}"/>
    <cellStyle name="20 % - Markeringsfarve4 2 2 3 2 3 2 3" xfId="45513" xr:uid="{00000000-0005-0000-0000-00009B280000}"/>
    <cellStyle name="20 % - Markeringsfarve4 2 2 3 2 3 3" xfId="23527" xr:uid="{00000000-0005-0000-0000-00009C280000}"/>
    <cellStyle name="20 % - Markeringsfarve4 2 2 3 2 3 4" xfId="38514" xr:uid="{00000000-0005-0000-0000-00009D280000}"/>
    <cellStyle name="20 % - Markeringsfarve4 2 2 3 2 4" xfId="11010" xr:uid="{00000000-0005-0000-0000-00009E280000}"/>
    <cellStyle name="20 % - Markeringsfarve4 2 2 3 2 4 2" xfId="27329" xr:uid="{00000000-0005-0000-0000-00009F280000}"/>
    <cellStyle name="20 % - Markeringsfarve4 2 2 3 2 4 3" xfId="42295" xr:uid="{00000000-0005-0000-0000-0000A0280000}"/>
    <cellStyle name="20 % - Markeringsfarve4 2 2 3 2 5" xfId="20307" xr:uid="{00000000-0005-0000-0000-0000A1280000}"/>
    <cellStyle name="20 % - Markeringsfarve4 2 2 3 2 6" xfId="35296" xr:uid="{00000000-0005-0000-0000-0000A2280000}"/>
    <cellStyle name="20 % - Markeringsfarve4 2 2 3 3" xfId="2455" xr:uid="{00000000-0005-0000-0000-0000A3280000}"/>
    <cellStyle name="20 % - Markeringsfarve4 2 2 3 3 2" xfId="6984" xr:uid="{00000000-0005-0000-0000-0000A4280000}"/>
    <cellStyle name="20 % - Markeringsfarve4 2 2 3 3 2 2" xfId="14895" xr:uid="{00000000-0005-0000-0000-0000A5280000}"/>
    <cellStyle name="20 % - Markeringsfarve4 2 2 3 3 2 2 2" xfId="31209" xr:uid="{00000000-0005-0000-0000-0000A6280000}"/>
    <cellStyle name="20 % - Markeringsfarve4 2 2 3 3 2 2 3" xfId="46173" xr:uid="{00000000-0005-0000-0000-0000A7280000}"/>
    <cellStyle name="20 % - Markeringsfarve4 2 2 3 3 2 3" xfId="24187" xr:uid="{00000000-0005-0000-0000-0000A8280000}"/>
    <cellStyle name="20 % - Markeringsfarve4 2 2 3 3 2 4" xfId="39174" xr:uid="{00000000-0005-0000-0000-0000A9280000}"/>
    <cellStyle name="20 % - Markeringsfarve4 2 2 3 3 3" xfId="11012" xr:uid="{00000000-0005-0000-0000-0000AA280000}"/>
    <cellStyle name="20 % - Markeringsfarve4 2 2 3 3 3 2" xfId="27331" xr:uid="{00000000-0005-0000-0000-0000AB280000}"/>
    <cellStyle name="20 % - Markeringsfarve4 2 2 3 3 3 3" xfId="42297" xr:uid="{00000000-0005-0000-0000-0000AC280000}"/>
    <cellStyle name="20 % - Markeringsfarve4 2 2 3 3 4" xfId="20309" xr:uid="{00000000-0005-0000-0000-0000AD280000}"/>
    <cellStyle name="20 % - Markeringsfarve4 2 2 3 3 5" xfId="35298" xr:uid="{00000000-0005-0000-0000-0000AE280000}"/>
    <cellStyle name="20 % - Markeringsfarve4 2 2 3 4" xfId="2456" xr:uid="{00000000-0005-0000-0000-0000AF280000}"/>
    <cellStyle name="20 % - Markeringsfarve4 2 2 3 4 2" xfId="8563" xr:uid="{00000000-0005-0000-0000-0000B0280000}"/>
    <cellStyle name="20 % - Markeringsfarve4 2 2 3 4 2 2" xfId="16450" xr:uid="{00000000-0005-0000-0000-0000B1280000}"/>
    <cellStyle name="20 % - Markeringsfarve4 2 2 3 4 2 2 2" xfId="32764" xr:uid="{00000000-0005-0000-0000-0000B2280000}"/>
    <cellStyle name="20 % - Markeringsfarve4 2 2 3 4 2 2 3" xfId="47728" xr:uid="{00000000-0005-0000-0000-0000B3280000}"/>
    <cellStyle name="20 % - Markeringsfarve4 2 2 3 4 2 3" xfId="25742" xr:uid="{00000000-0005-0000-0000-0000B4280000}"/>
    <cellStyle name="20 % - Markeringsfarve4 2 2 3 4 2 4" xfId="40729" xr:uid="{00000000-0005-0000-0000-0000B5280000}"/>
    <cellStyle name="20 % - Markeringsfarve4 2 2 3 4 3" xfId="11013" xr:uid="{00000000-0005-0000-0000-0000B6280000}"/>
    <cellStyle name="20 % - Markeringsfarve4 2 2 3 4 3 2" xfId="27332" xr:uid="{00000000-0005-0000-0000-0000B7280000}"/>
    <cellStyle name="20 % - Markeringsfarve4 2 2 3 4 3 3" xfId="42298" xr:uid="{00000000-0005-0000-0000-0000B8280000}"/>
    <cellStyle name="20 % - Markeringsfarve4 2 2 3 4 4" xfId="20310" xr:uid="{00000000-0005-0000-0000-0000B9280000}"/>
    <cellStyle name="20 % - Markeringsfarve4 2 2 3 4 5" xfId="35299" xr:uid="{00000000-0005-0000-0000-0000BA280000}"/>
    <cellStyle name="20 % - Markeringsfarve4 2 2 3 5" xfId="5584" xr:uid="{00000000-0005-0000-0000-0000BB280000}"/>
    <cellStyle name="20 % - Markeringsfarve4 2 2 3 5 2" xfId="13502" xr:uid="{00000000-0005-0000-0000-0000BC280000}"/>
    <cellStyle name="20 % - Markeringsfarve4 2 2 3 5 2 2" xfId="29816" xr:uid="{00000000-0005-0000-0000-0000BD280000}"/>
    <cellStyle name="20 % - Markeringsfarve4 2 2 3 5 2 3" xfId="44780" xr:uid="{00000000-0005-0000-0000-0000BE280000}"/>
    <cellStyle name="20 % - Markeringsfarve4 2 2 3 5 3" xfId="22794" xr:uid="{00000000-0005-0000-0000-0000BF280000}"/>
    <cellStyle name="20 % - Markeringsfarve4 2 2 3 5 4" xfId="37781" xr:uid="{00000000-0005-0000-0000-0000C0280000}"/>
    <cellStyle name="20 % - Markeringsfarve4 2 2 3 6" xfId="11009" xr:uid="{00000000-0005-0000-0000-0000C1280000}"/>
    <cellStyle name="20 % - Markeringsfarve4 2 2 3 6 2" xfId="27328" xr:uid="{00000000-0005-0000-0000-0000C2280000}"/>
    <cellStyle name="20 % - Markeringsfarve4 2 2 3 6 3" xfId="42294" xr:uid="{00000000-0005-0000-0000-0000C3280000}"/>
    <cellStyle name="20 % - Markeringsfarve4 2 2 3 7" xfId="20306" xr:uid="{00000000-0005-0000-0000-0000C4280000}"/>
    <cellStyle name="20 % - Markeringsfarve4 2 2 3 8" xfId="35295" xr:uid="{00000000-0005-0000-0000-0000C5280000}"/>
    <cellStyle name="20 % - Markeringsfarve4 2 2 3 9" xfId="56541" xr:uid="{00000000-0005-0000-0000-0000C6280000}"/>
    <cellStyle name="20 % - Markeringsfarve4 2 2 4" xfId="2457" xr:uid="{00000000-0005-0000-0000-0000C7280000}"/>
    <cellStyle name="20 % - Markeringsfarve4 2 2 4 2" xfId="2458" xr:uid="{00000000-0005-0000-0000-0000C8280000}"/>
    <cellStyle name="20 % - Markeringsfarve4 2 2 4 2 2" xfId="2459" xr:uid="{00000000-0005-0000-0000-0000C9280000}"/>
    <cellStyle name="20 % - Markeringsfarve4 2 2 4 2 2 2" xfId="7917" xr:uid="{00000000-0005-0000-0000-0000CA280000}"/>
    <cellStyle name="20 % - Markeringsfarve4 2 2 4 2 2 2 2" xfId="15818" xr:uid="{00000000-0005-0000-0000-0000CB280000}"/>
    <cellStyle name="20 % - Markeringsfarve4 2 2 4 2 2 2 2 2" xfId="32132" xr:uid="{00000000-0005-0000-0000-0000CC280000}"/>
    <cellStyle name="20 % - Markeringsfarve4 2 2 4 2 2 2 2 3" xfId="47096" xr:uid="{00000000-0005-0000-0000-0000CD280000}"/>
    <cellStyle name="20 % - Markeringsfarve4 2 2 4 2 2 2 3" xfId="25110" xr:uid="{00000000-0005-0000-0000-0000CE280000}"/>
    <cellStyle name="20 % - Markeringsfarve4 2 2 4 2 2 2 4" xfId="40097" xr:uid="{00000000-0005-0000-0000-0000CF280000}"/>
    <cellStyle name="20 % - Markeringsfarve4 2 2 4 2 2 3" xfId="11016" xr:uid="{00000000-0005-0000-0000-0000D0280000}"/>
    <cellStyle name="20 % - Markeringsfarve4 2 2 4 2 2 3 2" xfId="27335" xr:uid="{00000000-0005-0000-0000-0000D1280000}"/>
    <cellStyle name="20 % - Markeringsfarve4 2 2 4 2 2 3 3" xfId="42301" xr:uid="{00000000-0005-0000-0000-0000D2280000}"/>
    <cellStyle name="20 % - Markeringsfarve4 2 2 4 2 2 4" xfId="20313" xr:uid="{00000000-0005-0000-0000-0000D3280000}"/>
    <cellStyle name="20 % - Markeringsfarve4 2 2 4 2 2 5" xfId="35302" xr:uid="{00000000-0005-0000-0000-0000D4280000}"/>
    <cellStyle name="20 % - Markeringsfarve4 2 2 4 2 3" xfId="6453" xr:uid="{00000000-0005-0000-0000-0000D5280000}"/>
    <cellStyle name="20 % - Markeringsfarve4 2 2 4 2 3 2" xfId="14367" xr:uid="{00000000-0005-0000-0000-0000D6280000}"/>
    <cellStyle name="20 % - Markeringsfarve4 2 2 4 2 3 2 2" xfId="30681" xr:uid="{00000000-0005-0000-0000-0000D7280000}"/>
    <cellStyle name="20 % - Markeringsfarve4 2 2 4 2 3 2 3" xfId="45645" xr:uid="{00000000-0005-0000-0000-0000D8280000}"/>
    <cellStyle name="20 % - Markeringsfarve4 2 2 4 2 3 3" xfId="23659" xr:uid="{00000000-0005-0000-0000-0000D9280000}"/>
    <cellStyle name="20 % - Markeringsfarve4 2 2 4 2 3 4" xfId="38646" xr:uid="{00000000-0005-0000-0000-0000DA280000}"/>
    <cellStyle name="20 % - Markeringsfarve4 2 2 4 2 4" xfId="11015" xr:uid="{00000000-0005-0000-0000-0000DB280000}"/>
    <cellStyle name="20 % - Markeringsfarve4 2 2 4 2 4 2" xfId="27334" xr:uid="{00000000-0005-0000-0000-0000DC280000}"/>
    <cellStyle name="20 % - Markeringsfarve4 2 2 4 2 4 3" xfId="42300" xr:uid="{00000000-0005-0000-0000-0000DD280000}"/>
    <cellStyle name="20 % - Markeringsfarve4 2 2 4 2 5" xfId="20312" xr:uid="{00000000-0005-0000-0000-0000DE280000}"/>
    <cellStyle name="20 % - Markeringsfarve4 2 2 4 2 6" xfId="35301" xr:uid="{00000000-0005-0000-0000-0000DF280000}"/>
    <cellStyle name="20 % - Markeringsfarve4 2 2 4 3" xfId="2460" xr:uid="{00000000-0005-0000-0000-0000E0280000}"/>
    <cellStyle name="20 % - Markeringsfarve4 2 2 4 3 2" xfId="7193" xr:uid="{00000000-0005-0000-0000-0000E1280000}"/>
    <cellStyle name="20 % - Markeringsfarve4 2 2 4 3 2 2" xfId="15103" xr:uid="{00000000-0005-0000-0000-0000E2280000}"/>
    <cellStyle name="20 % - Markeringsfarve4 2 2 4 3 2 2 2" xfId="31417" xr:uid="{00000000-0005-0000-0000-0000E3280000}"/>
    <cellStyle name="20 % - Markeringsfarve4 2 2 4 3 2 2 3" xfId="46381" xr:uid="{00000000-0005-0000-0000-0000E4280000}"/>
    <cellStyle name="20 % - Markeringsfarve4 2 2 4 3 2 3" xfId="24395" xr:uid="{00000000-0005-0000-0000-0000E5280000}"/>
    <cellStyle name="20 % - Markeringsfarve4 2 2 4 3 2 4" xfId="39382" xr:uid="{00000000-0005-0000-0000-0000E6280000}"/>
    <cellStyle name="20 % - Markeringsfarve4 2 2 4 3 3" xfId="11017" xr:uid="{00000000-0005-0000-0000-0000E7280000}"/>
    <cellStyle name="20 % - Markeringsfarve4 2 2 4 3 3 2" xfId="27336" xr:uid="{00000000-0005-0000-0000-0000E8280000}"/>
    <cellStyle name="20 % - Markeringsfarve4 2 2 4 3 3 3" xfId="42302" xr:uid="{00000000-0005-0000-0000-0000E9280000}"/>
    <cellStyle name="20 % - Markeringsfarve4 2 2 4 3 4" xfId="20314" xr:uid="{00000000-0005-0000-0000-0000EA280000}"/>
    <cellStyle name="20 % - Markeringsfarve4 2 2 4 3 5" xfId="35303" xr:uid="{00000000-0005-0000-0000-0000EB280000}"/>
    <cellStyle name="20 % - Markeringsfarve4 2 2 4 4" xfId="2461" xr:uid="{00000000-0005-0000-0000-0000EC280000}"/>
    <cellStyle name="20 % - Markeringsfarve4 2 2 4 4 2" xfId="8789" xr:uid="{00000000-0005-0000-0000-0000ED280000}"/>
    <cellStyle name="20 % - Markeringsfarve4 2 2 4 4 2 2" xfId="16665" xr:uid="{00000000-0005-0000-0000-0000EE280000}"/>
    <cellStyle name="20 % - Markeringsfarve4 2 2 4 4 2 2 2" xfId="32979" xr:uid="{00000000-0005-0000-0000-0000EF280000}"/>
    <cellStyle name="20 % - Markeringsfarve4 2 2 4 4 2 2 3" xfId="47943" xr:uid="{00000000-0005-0000-0000-0000F0280000}"/>
    <cellStyle name="20 % - Markeringsfarve4 2 2 4 4 2 3" xfId="25957" xr:uid="{00000000-0005-0000-0000-0000F1280000}"/>
    <cellStyle name="20 % - Markeringsfarve4 2 2 4 4 2 4" xfId="40944" xr:uid="{00000000-0005-0000-0000-0000F2280000}"/>
    <cellStyle name="20 % - Markeringsfarve4 2 2 4 4 3" xfId="11018" xr:uid="{00000000-0005-0000-0000-0000F3280000}"/>
    <cellStyle name="20 % - Markeringsfarve4 2 2 4 4 3 2" xfId="27337" xr:uid="{00000000-0005-0000-0000-0000F4280000}"/>
    <cellStyle name="20 % - Markeringsfarve4 2 2 4 4 3 3" xfId="42303" xr:uid="{00000000-0005-0000-0000-0000F5280000}"/>
    <cellStyle name="20 % - Markeringsfarve4 2 2 4 4 4" xfId="20315" xr:uid="{00000000-0005-0000-0000-0000F6280000}"/>
    <cellStyle name="20 % - Markeringsfarve4 2 2 4 4 5" xfId="35304" xr:uid="{00000000-0005-0000-0000-0000F7280000}"/>
    <cellStyle name="20 % - Markeringsfarve4 2 2 4 5" xfId="5585" xr:uid="{00000000-0005-0000-0000-0000F8280000}"/>
    <cellStyle name="20 % - Markeringsfarve4 2 2 4 5 2" xfId="13503" xr:uid="{00000000-0005-0000-0000-0000F9280000}"/>
    <cellStyle name="20 % - Markeringsfarve4 2 2 4 5 2 2" xfId="29817" xr:uid="{00000000-0005-0000-0000-0000FA280000}"/>
    <cellStyle name="20 % - Markeringsfarve4 2 2 4 5 2 3" xfId="44781" xr:uid="{00000000-0005-0000-0000-0000FB280000}"/>
    <cellStyle name="20 % - Markeringsfarve4 2 2 4 5 3" xfId="22795" xr:uid="{00000000-0005-0000-0000-0000FC280000}"/>
    <cellStyle name="20 % - Markeringsfarve4 2 2 4 5 4" xfId="37782" xr:uid="{00000000-0005-0000-0000-0000FD280000}"/>
    <cellStyle name="20 % - Markeringsfarve4 2 2 4 6" xfId="11014" xr:uid="{00000000-0005-0000-0000-0000FE280000}"/>
    <cellStyle name="20 % - Markeringsfarve4 2 2 4 6 2" xfId="27333" xr:uid="{00000000-0005-0000-0000-0000FF280000}"/>
    <cellStyle name="20 % - Markeringsfarve4 2 2 4 6 3" xfId="42299" xr:uid="{00000000-0005-0000-0000-000000290000}"/>
    <cellStyle name="20 % - Markeringsfarve4 2 2 4 7" xfId="20311" xr:uid="{00000000-0005-0000-0000-000001290000}"/>
    <cellStyle name="20 % - Markeringsfarve4 2 2 4 8" xfId="35300" xr:uid="{00000000-0005-0000-0000-000002290000}"/>
    <cellStyle name="20 % - Markeringsfarve4 2 2 5" xfId="2462" xr:uid="{00000000-0005-0000-0000-000003290000}"/>
    <cellStyle name="20 % - Markeringsfarve4 2 2 5 2" xfId="2463" xr:uid="{00000000-0005-0000-0000-000004290000}"/>
    <cellStyle name="20 % - Markeringsfarve4 2 2 5 2 2" xfId="2464" xr:uid="{00000000-0005-0000-0000-000005290000}"/>
    <cellStyle name="20 % - Markeringsfarve4 2 2 5 2 2 2" xfId="8034" xr:uid="{00000000-0005-0000-0000-000006290000}"/>
    <cellStyle name="20 % - Markeringsfarve4 2 2 5 2 2 2 2" xfId="15935" xr:uid="{00000000-0005-0000-0000-000007290000}"/>
    <cellStyle name="20 % - Markeringsfarve4 2 2 5 2 2 2 2 2" xfId="32249" xr:uid="{00000000-0005-0000-0000-000008290000}"/>
    <cellStyle name="20 % - Markeringsfarve4 2 2 5 2 2 2 2 3" xfId="47213" xr:uid="{00000000-0005-0000-0000-000009290000}"/>
    <cellStyle name="20 % - Markeringsfarve4 2 2 5 2 2 2 3" xfId="25227" xr:uid="{00000000-0005-0000-0000-00000A290000}"/>
    <cellStyle name="20 % - Markeringsfarve4 2 2 5 2 2 2 4" xfId="40214" xr:uid="{00000000-0005-0000-0000-00000B290000}"/>
    <cellStyle name="20 % - Markeringsfarve4 2 2 5 2 2 3" xfId="11021" xr:uid="{00000000-0005-0000-0000-00000C290000}"/>
    <cellStyle name="20 % - Markeringsfarve4 2 2 5 2 2 3 2" xfId="27340" xr:uid="{00000000-0005-0000-0000-00000D290000}"/>
    <cellStyle name="20 % - Markeringsfarve4 2 2 5 2 2 3 3" xfId="42306" xr:uid="{00000000-0005-0000-0000-00000E290000}"/>
    <cellStyle name="20 % - Markeringsfarve4 2 2 5 2 2 4" xfId="20318" xr:uid="{00000000-0005-0000-0000-00000F290000}"/>
    <cellStyle name="20 % - Markeringsfarve4 2 2 5 2 2 5" xfId="35307" xr:uid="{00000000-0005-0000-0000-000010290000}"/>
    <cellStyle name="20 % - Markeringsfarve4 2 2 5 2 3" xfId="6552" xr:uid="{00000000-0005-0000-0000-000011290000}"/>
    <cellStyle name="20 % - Markeringsfarve4 2 2 5 2 3 2" xfId="14466" xr:uid="{00000000-0005-0000-0000-000012290000}"/>
    <cellStyle name="20 % - Markeringsfarve4 2 2 5 2 3 2 2" xfId="30780" xr:uid="{00000000-0005-0000-0000-000013290000}"/>
    <cellStyle name="20 % - Markeringsfarve4 2 2 5 2 3 2 3" xfId="45744" xr:uid="{00000000-0005-0000-0000-000014290000}"/>
    <cellStyle name="20 % - Markeringsfarve4 2 2 5 2 3 3" xfId="23758" xr:uid="{00000000-0005-0000-0000-000015290000}"/>
    <cellStyle name="20 % - Markeringsfarve4 2 2 5 2 3 4" xfId="38745" xr:uid="{00000000-0005-0000-0000-000016290000}"/>
    <cellStyle name="20 % - Markeringsfarve4 2 2 5 2 4" xfId="11020" xr:uid="{00000000-0005-0000-0000-000017290000}"/>
    <cellStyle name="20 % - Markeringsfarve4 2 2 5 2 4 2" xfId="27339" xr:uid="{00000000-0005-0000-0000-000018290000}"/>
    <cellStyle name="20 % - Markeringsfarve4 2 2 5 2 4 3" xfId="42305" xr:uid="{00000000-0005-0000-0000-000019290000}"/>
    <cellStyle name="20 % - Markeringsfarve4 2 2 5 2 5" xfId="20317" xr:uid="{00000000-0005-0000-0000-00001A290000}"/>
    <cellStyle name="20 % - Markeringsfarve4 2 2 5 2 6" xfId="35306" xr:uid="{00000000-0005-0000-0000-00001B290000}"/>
    <cellStyle name="20 % - Markeringsfarve4 2 2 5 3" xfId="2465" xr:uid="{00000000-0005-0000-0000-00001C290000}"/>
    <cellStyle name="20 % - Markeringsfarve4 2 2 5 3 2" xfId="7310" xr:uid="{00000000-0005-0000-0000-00001D290000}"/>
    <cellStyle name="20 % - Markeringsfarve4 2 2 5 3 2 2" xfId="15220" xr:uid="{00000000-0005-0000-0000-00001E290000}"/>
    <cellStyle name="20 % - Markeringsfarve4 2 2 5 3 2 2 2" xfId="31534" xr:uid="{00000000-0005-0000-0000-00001F290000}"/>
    <cellStyle name="20 % - Markeringsfarve4 2 2 5 3 2 2 3" xfId="46498" xr:uid="{00000000-0005-0000-0000-000020290000}"/>
    <cellStyle name="20 % - Markeringsfarve4 2 2 5 3 2 3" xfId="24512" xr:uid="{00000000-0005-0000-0000-000021290000}"/>
    <cellStyle name="20 % - Markeringsfarve4 2 2 5 3 2 4" xfId="39499" xr:uid="{00000000-0005-0000-0000-000022290000}"/>
    <cellStyle name="20 % - Markeringsfarve4 2 2 5 3 3" xfId="11022" xr:uid="{00000000-0005-0000-0000-000023290000}"/>
    <cellStyle name="20 % - Markeringsfarve4 2 2 5 3 3 2" xfId="27341" xr:uid="{00000000-0005-0000-0000-000024290000}"/>
    <cellStyle name="20 % - Markeringsfarve4 2 2 5 3 3 3" xfId="42307" xr:uid="{00000000-0005-0000-0000-000025290000}"/>
    <cellStyle name="20 % - Markeringsfarve4 2 2 5 3 4" xfId="20319" xr:uid="{00000000-0005-0000-0000-000026290000}"/>
    <cellStyle name="20 % - Markeringsfarve4 2 2 5 3 5" xfId="35308" xr:uid="{00000000-0005-0000-0000-000027290000}"/>
    <cellStyle name="20 % - Markeringsfarve4 2 2 5 4" xfId="2466" xr:uid="{00000000-0005-0000-0000-000028290000}"/>
    <cellStyle name="20 % - Markeringsfarve4 2 2 5 4 2" xfId="8509" xr:uid="{00000000-0005-0000-0000-000029290000}"/>
    <cellStyle name="20 % - Markeringsfarve4 2 2 5 4 2 2" xfId="16398" xr:uid="{00000000-0005-0000-0000-00002A290000}"/>
    <cellStyle name="20 % - Markeringsfarve4 2 2 5 4 2 2 2" xfId="32712" xr:uid="{00000000-0005-0000-0000-00002B290000}"/>
    <cellStyle name="20 % - Markeringsfarve4 2 2 5 4 2 2 3" xfId="47676" xr:uid="{00000000-0005-0000-0000-00002C290000}"/>
    <cellStyle name="20 % - Markeringsfarve4 2 2 5 4 2 3" xfId="25690" xr:uid="{00000000-0005-0000-0000-00002D290000}"/>
    <cellStyle name="20 % - Markeringsfarve4 2 2 5 4 2 4" xfId="40677" xr:uid="{00000000-0005-0000-0000-00002E290000}"/>
    <cellStyle name="20 % - Markeringsfarve4 2 2 5 4 3" xfId="11023" xr:uid="{00000000-0005-0000-0000-00002F290000}"/>
    <cellStyle name="20 % - Markeringsfarve4 2 2 5 4 3 2" xfId="27342" xr:uid="{00000000-0005-0000-0000-000030290000}"/>
    <cellStyle name="20 % - Markeringsfarve4 2 2 5 4 3 3" xfId="42308" xr:uid="{00000000-0005-0000-0000-000031290000}"/>
    <cellStyle name="20 % - Markeringsfarve4 2 2 5 4 4" xfId="20320" xr:uid="{00000000-0005-0000-0000-000032290000}"/>
    <cellStyle name="20 % - Markeringsfarve4 2 2 5 4 5" xfId="35309" xr:uid="{00000000-0005-0000-0000-000033290000}"/>
    <cellStyle name="20 % - Markeringsfarve4 2 2 5 5" xfId="5586" xr:uid="{00000000-0005-0000-0000-000034290000}"/>
    <cellStyle name="20 % - Markeringsfarve4 2 2 5 5 2" xfId="13504" xr:uid="{00000000-0005-0000-0000-000035290000}"/>
    <cellStyle name="20 % - Markeringsfarve4 2 2 5 5 2 2" xfId="29818" xr:uid="{00000000-0005-0000-0000-000036290000}"/>
    <cellStyle name="20 % - Markeringsfarve4 2 2 5 5 2 3" xfId="44782" xr:uid="{00000000-0005-0000-0000-000037290000}"/>
    <cellStyle name="20 % - Markeringsfarve4 2 2 5 5 3" xfId="22796" xr:uid="{00000000-0005-0000-0000-000038290000}"/>
    <cellStyle name="20 % - Markeringsfarve4 2 2 5 5 4" xfId="37783" xr:uid="{00000000-0005-0000-0000-000039290000}"/>
    <cellStyle name="20 % - Markeringsfarve4 2 2 5 6" xfId="11019" xr:uid="{00000000-0005-0000-0000-00003A290000}"/>
    <cellStyle name="20 % - Markeringsfarve4 2 2 5 6 2" xfId="27338" xr:uid="{00000000-0005-0000-0000-00003B290000}"/>
    <cellStyle name="20 % - Markeringsfarve4 2 2 5 6 3" xfId="42304" xr:uid="{00000000-0005-0000-0000-00003C290000}"/>
    <cellStyle name="20 % - Markeringsfarve4 2 2 5 7" xfId="20316" xr:uid="{00000000-0005-0000-0000-00003D290000}"/>
    <cellStyle name="20 % - Markeringsfarve4 2 2 5 8" xfId="35305" xr:uid="{00000000-0005-0000-0000-00003E290000}"/>
    <cellStyle name="20 % - Markeringsfarve4 2 2 6" xfId="2467" xr:uid="{00000000-0005-0000-0000-00003F290000}"/>
    <cellStyle name="20 % - Markeringsfarve4 2 2 6 2" xfId="2468" xr:uid="{00000000-0005-0000-0000-000040290000}"/>
    <cellStyle name="20 % - Markeringsfarve4 2 2 6 2 2" xfId="2469" xr:uid="{00000000-0005-0000-0000-000041290000}"/>
    <cellStyle name="20 % - Markeringsfarve4 2 2 6 2 2 2" xfId="8109" xr:uid="{00000000-0005-0000-0000-000042290000}"/>
    <cellStyle name="20 % - Markeringsfarve4 2 2 6 2 2 2 2" xfId="16010" xr:uid="{00000000-0005-0000-0000-000043290000}"/>
    <cellStyle name="20 % - Markeringsfarve4 2 2 6 2 2 2 2 2" xfId="32324" xr:uid="{00000000-0005-0000-0000-000044290000}"/>
    <cellStyle name="20 % - Markeringsfarve4 2 2 6 2 2 2 2 3" xfId="47288" xr:uid="{00000000-0005-0000-0000-000045290000}"/>
    <cellStyle name="20 % - Markeringsfarve4 2 2 6 2 2 2 3" xfId="25302" xr:uid="{00000000-0005-0000-0000-000046290000}"/>
    <cellStyle name="20 % - Markeringsfarve4 2 2 6 2 2 2 4" xfId="40289" xr:uid="{00000000-0005-0000-0000-000047290000}"/>
    <cellStyle name="20 % - Markeringsfarve4 2 2 6 2 2 3" xfId="11026" xr:uid="{00000000-0005-0000-0000-000048290000}"/>
    <cellStyle name="20 % - Markeringsfarve4 2 2 6 2 2 3 2" xfId="27345" xr:uid="{00000000-0005-0000-0000-000049290000}"/>
    <cellStyle name="20 % - Markeringsfarve4 2 2 6 2 2 3 3" xfId="42311" xr:uid="{00000000-0005-0000-0000-00004A290000}"/>
    <cellStyle name="20 % - Markeringsfarve4 2 2 6 2 2 4" xfId="20323" xr:uid="{00000000-0005-0000-0000-00004B290000}"/>
    <cellStyle name="20 % - Markeringsfarve4 2 2 6 2 2 5" xfId="35312" xr:uid="{00000000-0005-0000-0000-00004C290000}"/>
    <cellStyle name="20 % - Markeringsfarve4 2 2 6 2 3" xfId="6620" xr:uid="{00000000-0005-0000-0000-00004D290000}"/>
    <cellStyle name="20 % - Markeringsfarve4 2 2 6 2 3 2" xfId="14534" xr:uid="{00000000-0005-0000-0000-00004E290000}"/>
    <cellStyle name="20 % - Markeringsfarve4 2 2 6 2 3 2 2" xfId="30848" xr:uid="{00000000-0005-0000-0000-00004F290000}"/>
    <cellStyle name="20 % - Markeringsfarve4 2 2 6 2 3 2 3" xfId="45812" xr:uid="{00000000-0005-0000-0000-000050290000}"/>
    <cellStyle name="20 % - Markeringsfarve4 2 2 6 2 3 3" xfId="23826" xr:uid="{00000000-0005-0000-0000-000051290000}"/>
    <cellStyle name="20 % - Markeringsfarve4 2 2 6 2 3 4" xfId="38813" xr:uid="{00000000-0005-0000-0000-000052290000}"/>
    <cellStyle name="20 % - Markeringsfarve4 2 2 6 2 4" xfId="11025" xr:uid="{00000000-0005-0000-0000-000053290000}"/>
    <cellStyle name="20 % - Markeringsfarve4 2 2 6 2 4 2" xfId="27344" xr:uid="{00000000-0005-0000-0000-000054290000}"/>
    <cellStyle name="20 % - Markeringsfarve4 2 2 6 2 4 3" xfId="42310" xr:uid="{00000000-0005-0000-0000-000055290000}"/>
    <cellStyle name="20 % - Markeringsfarve4 2 2 6 2 5" xfId="20322" xr:uid="{00000000-0005-0000-0000-000056290000}"/>
    <cellStyle name="20 % - Markeringsfarve4 2 2 6 2 6" xfId="35311" xr:uid="{00000000-0005-0000-0000-000057290000}"/>
    <cellStyle name="20 % - Markeringsfarve4 2 2 6 3" xfId="2470" xr:uid="{00000000-0005-0000-0000-000058290000}"/>
    <cellStyle name="20 % - Markeringsfarve4 2 2 6 3 2" xfId="7386" xr:uid="{00000000-0005-0000-0000-000059290000}"/>
    <cellStyle name="20 % - Markeringsfarve4 2 2 6 3 2 2" xfId="15296" xr:uid="{00000000-0005-0000-0000-00005A290000}"/>
    <cellStyle name="20 % - Markeringsfarve4 2 2 6 3 2 2 2" xfId="31610" xr:uid="{00000000-0005-0000-0000-00005B290000}"/>
    <cellStyle name="20 % - Markeringsfarve4 2 2 6 3 2 2 3" xfId="46574" xr:uid="{00000000-0005-0000-0000-00005C290000}"/>
    <cellStyle name="20 % - Markeringsfarve4 2 2 6 3 2 3" xfId="24588" xr:uid="{00000000-0005-0000-0000-00005D290000}"/>
    <cellStyle name="20 % - Markeringsfarve4 2 2 6 3 2 4" xfId="39575" xr:uid="{00000000-0005-0000-0000-00005E290000}"/>
    <cellStyle name="20 % - Markeringsfarve4 2 2 6 3 3" xfId="11027" xr:uid="{00000000-0005-0000-0000-00005F290000}"/>
    <cellStyle name="20 % - Markeringsfarve4 2 2 6 3 3 2" xfId="27346" xr:uid="{00000000-0005-0000-0000-000060290000}"/>
    <cellStyle name="20 % - Markeringsfarve4 2 2 6 3 3 3" xfId="42312" xr:uid="{00000000-0005-0000-0000-000061290000}"/>
    <cellStyle name="20 % - Markeringsfarve4 2 2 6 3 4" xfId="20324" xr:uid="{00000000-0005-0000-0000-000062290000}"/>
    <cellStyle name="20 % - Markeringsfarve4 2 2 6 3 5" xfId="35313" xr:uid="{00000000-0005-0000-0000-000063290000}"/>
    <cellStyle name="20 % - Markeringsfarve4 2 2 6 4" xfId="2471" xr:uid="{00000000-0005-0000-0000-000064290000}"/>
    <cellStyle name="20 % - Markeringsfarve4 2 2 6 4 2" xfId="8736" xr:uid="{00000000-0005-0000-0000-000065290000}"/>
    <cellStyle name="20 % - Markeringsfarve4 2 2 6 4 2 2" xfId="16615" xr:uid="{00000000-0005-0000-0000-000066290000}"/>
    <cellStyle name="20 % - Markeringsfarve4 2 2 6 4 2 2 2" xfId="32929" xr:uid="{00000000-0005-0000-0000-000067290000}"/>
    <cellStyle name="20 % - Markeringsfarve4 2 2 6 4 2 2 3" xfId="47893" xr:uid="{00000000-0005-0000-0000-000068290000}"/>
    <cellStyle name="20 % - Markeringsfarve4 2 2 6 4 2 3" xfId="25907" xr:uid="{00000000-0005-0000-0000-000069290000}"/>
    <cellStyle name="20 % - Markeringsfarve4 2 2 6 4 2 4" xfId="40894" xr:uid="{00000000-0005-0000-0000-00006A290000}"/>
    <cellStyle name="20 % - Markeringsfarve4 2 2 6 4 3" xfId="11028" xr:uid="{00000000-0005-0000-0000-00006B290000}"/>
    <cellStyle name="20 % - Markeringsfarve4 2 2 6 4 3 2" xfId="27347" xr:uid="{00000000-0005-0000-0000-00006C290000}"/>
    <cellStyle name="20 % - Markeringsfarve4 2 2 6 4 3 3" xfId="42313" xr:uid="{00000000-0005-0000-0000-00006D290000}"/>
    <cellStyle name="20 % - Markeringsfarve4 2 2 6 4 4" xfId="20325" xr:uid="{00000000-0005-0000-0000-00006E290000}"/>
    <cellStyle name="20 % - Markeringsfarve4 2 2 6 4 5" xfId="35314" xr:uid="{00000000-0005-0000-0000-00006F290000}"/>
    <cellStyle name="20 % - Markeringsfarve4 2 2 6 5" xfId="5587" xr:uid="{00000000-0005-0000-0000-000070290000}"/>
    <cellStyle name="20 % - Markeringsfarve4 2 2 6 5 2" xfId="13505" xr:uid="{00000000-0005-0000-0000-000071290000}"/>
    <cellStyle name="20 % - Markeringsfarve4 2 2 6 5 2 2" xfId="29819" xr:uid="{00000000-0005-0000-0000-000072290000}"/>
    <cellStyle name="20 % - Markeringsfarve4 2 2 6 5 2 3" xfId="44783" xr:uid="{00000000-0005-0000-0000-000073290000}"/>
    <cellStyle name="20 % - Markeringsfarve4 2 2 6 5 3" xfId="22797" xr:uid="{00000000-0005-0000-0000-000074290000}"/>
    <cellStyle name="20 % - Markeringsfarve4 2 2 6 5 4" xfId="37784" xr:uid="{00000000-0005-0000-0000-000075290000}"/>
    <cellStyle name="20 % - Markeringsfarve4 2 2 6 6" xfId="11024" xr:uid="{00000000-0005-0000-0000-000076290000}"/>
    <cellStyle name="20 % - Markeringsfarve4 2 2 6 6 2" xfId="27343" xr:uid="{00000000-0005-0000-0000-000077290000}"/>
    <cellStyle name="20 % - Markeringsfarve4 2 2 6 6 3" xfId="42309" xr:uid="{00000000-0005-0000-0000-000078290000}"/>
    <cellStyle name="20 % - Markeringsfarve4 2 2 6 7" xfId="20321" xr:uid="{00000000-0005-0000-0000-000079290000}"/>
    <cellStyle name="20 % - Markeringsfarve4 2 2 6 8" xfId="35310" xr:uid="{00000000-0005-0000-0000-00007A290000}"/>
    <cellStyle name="20 % - Markeringsfarve4 2 2 7" xfId="2472" xr:uid="{00000000-0005-0000-0000-00007B290000}"/>
    <cellStyle name="20 % - Markeringsfarve4 2 2 7 2" xfId="2473" xr:uid="{00000000-0005-0000-0000-00007C290000}"/>
    <cellStyle name="20 % - Markeringsfarve4 2 2 7 2 2" xfId="7560" xr:uid="{00000000-0005-0000-0000-00007D290000}"/>
    <cellStyle name="20 % - Markeringsfarve4 2 2 7 2 2 2" xfId="15461" xr:uid="{00000000-0005-0000-0000-00007E290000}"/>
    <cellStyle name="20 % - Markeringsfarve4 2 2 7 2 2 2 2" xfId="31775" xr:uid="{00000000-0005-0000-0000-00007F290000}"/>
    <cellStyle name="20 % - Markeringsfarve4 2 2 7 2 2 2 3" xfId="46739" xr:uid="{00000000-0005-0000-0000-000080290000}"/>
    <cellStyle name="20 % - Markeringsfarve4 2 2 7 2 2 3" xfId="24753" xr:uid="{00000000-0005-0000-0000-000081290000}"/>
    <cellStyle name="20 % - Markeringsfarve4 2 2 7 2 2 4" xfId="39740" xr:uid="{00000000-0005-0000-0000-000082290000}"/>
    <cellStyle name="20 % - Markeringsfarve4 2 2 7 2 3" xfId="11030" xr:uid="{00000000-0005-0000-0000-000083290000}"/>
    <cellStyle name="20 % - Markeringsfarve4 2 2 7 2 3 2" xfId="27349" xr:uid="{00000000-0005-0000-0000-000084290000}"/>
    <cellStyle name="20 % - Markeringsfarve4 2 2 7 2 3 3" xfId="42315" xr:uid="{00000000-0005-0000-0000-000085290000}"/>
    <cellStyle name="20 % - Markeringsfarve4 2 2 7 2 4" xfId="20327" xr:uid="{00000000-0005-0000-0000-000086290000}"/>
    <cellStyle name="20 % - Markeringsfarve4 2 2 7 2 5" xfId="35316" xr:uid="{00000000-0005-0000-0000-000087290000}"/>
    <cellStyle name="20 % - Markeringsfarve4 2 2 7 3" xfId="6152" xr:uid="{00000000-0005-0000-0000-000088290000}"/>
    <cellStyle name="20 % - Markeringsfarve4 2 2 7 3 2" xfId="14069" xr:uid="{00000000-0005-0000-0000-000089290000}"/>
    <cellStyle name="20 % - Markeringsfarve4 2 2 7 3 2 2" xfId="30383" xr:uid="{00000000-0005-0000-0000-00008A290000}"/>
    <cellStyle name="20 % - Markeringsfarve4 2 2 7 3 2 3" xfId="45347" xr:uid="{00000000-0005-0000-0000-00008B290000}"/>
    <cellStyle name="20 % - Markeringsfarve4 2 2 7 3 3" xfId="23361" xr:uid="{00000000-0005-0000-0000-00008C290000}"/>
    <cellStyle name="20 % - Markeringsfarve4 2 2 7 3 4" xfId="38348" xr:uid="{00000000-0005-0000-0000-00008D290000}"/>
    <cellStyle name="20 % - Markeringsfarve4 2 2 7 4" xfId="11029" xr:uid="{00000000-0005-0000-0000-00008E290000}"/>
    <cellStyle name="20 % - Markeringsfarve4 2 2 7 4 2" xfId="27348" xr:uid="{00000000-0005-0000-0000-00008F290000}"/>
    <cellStyle name="20 % - Markeringsfarve4 2 2 7 4 3" xfId="42314" xr:uid="{00000000-0005-0000-0000-000090290000}"/>
    <cellStyle name="20 % - Markeringsfarve4 2 2 7 5" xfId="20326" xr:uid="{00000000-0005-0000-0000-000091290000}"/>
    <cellStyle name="20 % - Markeringsfarve4 2 2 7 6" xfId="35315" xr:uid="{00000000-0005-0000-0000-000092290000}"/>
    <cellStyle name="20 % - Markeringsfarve4 2 2 8" xfId="2474" xr:uid="{00000000-0005-0000-0000-000093290000}"/>
    <cellStyle name="20 % - Markeringsfarve4 2 2 8 2" xfId="6788" xr:uid="{00000000-0005-0000-0000-000094290000}"/>
    <cellStyle name="20 % - Markeringsfarve4 2 2 8 2 2" xfId="14699" xr:uid="{00000000-0005-0000-0000-000095290000}"/>
    <cellStyle name="20 % - Markeringsfarve4 2 2 8 2 2 2" xfId="31013" xr:uid="{00000000-0005-0000-0000-000096290000}"/>
    <cellStyle name="20 % - Markeringsfarve4 2 2 8 2 2 3" xfId="45977" xr:uid="{00000000-0005-0000-0000-000097290000}"/>
    <cellStyle name="20 % - Markeringsfarve4 2 2 8 2 3" xfId="23991" xr:uid="{00000000-0005-0000-0000-000098290000}"/>
    <cellStyle name="20 % - Markeringsfarve4 2 2 8 2 4" xfId="38978" xr:uid="{00000000-0005-0000-0000-000099290000}"/>
    <cellStyle name="20 % - Markeringsfarve4 2 2 8 3" xfId="11031" xr:uid="{00000000-0005-0000-0000-00009A290000}"/>
    <cellStyle name="20 % - Markeringsfarve4 2 2 8 3 2" xfId="27350" xr:uid="{00000000-0005-0000-0000-00009B290000}"/>
    <cellStyle name="20 % - Markeringsfarve4 2 2 8 3 3" xfId="42316" xr:uid="{00000000-0005-0000-0000-00009C290000}"/>
    <cellStyle name="20 % - Markeringsfarve4 2 2 8 4" xfId="20328" xr:uid="{00000000-0005-0000-0000-00009D290000}"/>
    <cellStyle name="20 % - Markeringsfarve4 2 2 8 5" xfId="35317" xr:uid="{00000000-0005-0000-0000-00009E290000}"/>
    <cellStyle name="20 % - Markeringsfarve4 2 2 9" xfId="2475" xr:uid="{00000000-0005-0000-0000-00009F290000}"/>
    <cellStyle name="20 % - Markeringsfarve4 2 2 9 2" xfId="8577" xr:uid="{00000000-0005-0000-0000-0000A0290000}"/>
    <cellStyle name="20 % - Markeringsfarve4 2 2 9 2 2" xfId="16464" xr:uid="{00000000-0005-0000-0000-0000A1290000}"/>
    <cellStyle name="20 % - Markeringsfarve4 2 2 9 2 2 2" xfId="32778" xr:uid="{00000000-0005-0000-0000-0000A2290000}"/>
    <cellStyle name="20 % - Markeringsfarve4 2 2 9 2 2 3" xfId="47742" xr:uid="{00000000-0005-0000-0000-0000A3290000}"/>
    <cellStyle name="20 % - Markeringsfarve4 2 2 9 2 3" xfId="25756" xr:uid="{00000000-0005-0000-0000-0000A4290000}"/>
    <cellStyle name="20 % - Markeringsfarve4 2 2 9 2 4" xfId="40743" xr:uid="{00000000-0005-0000-0000-0000A5290000}"/>
    <cellStyle name="20 % - Markeringsfarve4 2 2 9 3" xfId="11032" xr:uid="{00000000-0005-0000-0000-0000A6290000}"/>
    <cellStyle name="20 % - Markeringsfarve4 2 2 9 3 2" xfId="27351" xr:uid="{00000000-0005-0000-0000-0000A7290000}"/>
    <cellStyle name="20 % - Markeringsfarve4 2 2 9 3 3" xfId="42317" xr:uid="{00000000-0005-0000-0000-0000A8290000}"/>
    <cellStyle name="20 % - Markeringsfarve4 2 2 9 4" xfId="20329" xr:uid="{00000000-0005-0000-0000-0000A9290000}"/>
    <cellStyle name="20 % - Markeringsfarve4 2 2 9 5" xfId="35318" xr:uid="{00000000-0005-0000-0000-0000AA290000}"/>
    <cellStyle name="20 % - Markeringsfarve4 2 3" xfId="2476" xr:uid="{00000000-0005-0000-0000-0000AB290000}"/>
    <cellStyle name="20 % - Markeringsfarve4 2 3 10" xfId="5588" xr:uid="{00000000-0005-0000-0000-0000AC290000}"/>
    <cellStyle name="20 % - Markeringsfarve4 2 3 10 2" xfId="13506" xr:uid="{00000000-0005-0000-0000-0000AD290000}"/>
    <cellStyle name="20 % - Markeringsfarve4 2 3 10 2 2" xfId="29820" xr:uid="{00000000-0005-0000-0000-0000AE290000}"/>
    <cellStyle name="20 % - Markeringsfarve4 2 3 10 2 3" xfId="44784" xr:uid="{00000000-0005-0000-0000-0000AF290000}"/>
    <cellStyle name="20 % - Markeringsfarve4 2 3 10 3" xfId="22798" xr:uid="{00000000-0005-0000-0000-0000B0290000}"/>
    <cellStyle name="20 % - Markeringsfarve4 2 3 10 4" xfId="37785" xr:uid="{00000000-0005-0000-0000-0000B1290000}"/>
    <cellStyle name="20 % - Markeringsfarve4 2 3 11" xfId="11033" xr:uid="{00000000-0005-0000-0000-0000B2290000}"/>
    <cellStyle name="20 % - Markeringsfarve4 2 3 11 2" xfId="27352" xr:uid="{00000000-0005-0000-0000-0000B3290000}"/>
    <cellStyle name="20 % - Markeringsfarve4 2 3 11 3" xfId="42318" xr:uid="{00000000-0005-0000-0000-0000B4290000}"/>
    <cellStyle name="20 % - Markeringsfarve4 2 3 12" xfId="20330" xr:uid="{00000000-0005-0000-0000-0000B5290000}"/>
    <cellStyle name="20 % - Markeringsfarve4 2 3 13" xfId="35319" xr:uid="{00000000-0005-0000-0000-0000B6290000}"/>
    <cellStyle name="20 % - Markeringsfarve4 2 3 14" xfId="53359" xr:uid="{00000000-0005-0000-0000-0000B7290000}"/>
    <cellStyle name="20 % - Markeringsfarve4 2 3 2" xfId="2477" xr:uid="{00000000-0005-0000-0000-0000B8290000}"/>
    <cellStyle name="20 % - Markeringsfarve4 2 3 2 2" xfId="2478" xr:uid="{00000000-0005-0000-0000-0000B9290000}"/>
    <cellStyle name="20 % - Markeringsfarve4 2 3 2 2 2" xfId="2479" xr:uid="{00000000-0005-0000-0000-0000BA290000}"/>
    <cellStyle name="20 % - Markeringsfarve4 2 3 2 2 2 2" xfId="7718" xr:uid="{00000000-0005-0000-0000-0000BB290000}"/>
    <cellStyle name="20 % - Markeringsfarve4 2 3 2 2 2 2 2" xfId="15619" xr:uid="{00000000-0005-0000-0000-0000BC290000}"/>
    <cellStyle name="20 % - Markeringsfarve4 2 3 2 2 2 2 2 2" xfId="31933" xr:uid="{00000000-0005-0000-0000-0000BD290000}"/>
    <cellStyle name="20 % - Markeringsfarve4 2 3 2 2 2 2 2 3" xfId="46897" xr:uid="{00000000-0005-0000-0000-0000BE290000}"/>
    <cellStyle name="20 % - Markeringsfarve4 2 3 2 2 2 2 3" xfId="24911" xr:uid="{00000000-0005-0000-0000-0000BF290000}"/>
    <cellStyle name="20 % - Markeringsfarve4 2 3 2 2 2 2 4" xfId="39898" xr:uid="{00000000-0005-0000-0000-0000C0290000}"/>
    <cellStyle name="20 % - Markeringsfarve4 2 3 2 2 2 3" xfId="11036" xr:uid="{00000000-0005-0000-0000-0000C1290000}"/>
    <cellStyle name="20 % - Markeringsfarve4 2 3 2 2 2 3 2" xfId="27355" xr:uid="{00000000-0005-0000-0000-0000C2290000}"/>
    <cellStyle name="20 % - Markeringsfarve4 2 3 2 2 2 3 3" xfId="42321" xr:uid="{00000000-0005-0000-0000-0000C3290000}"/>
    <cellStyle name="20 % - Markeringsfarve4 2 3 2 2 2 4" xfId="20333" xr:uid="{00000000-0005-0000-0000-0000C4290000}"/>
    <cellStyle name="20 % - Markeringsfarve4 2 3 2 2 2 5" xfId="35322" xr:uid="{00000000-0005-0000-0000-0000C5290000}"/>
    <cellStyle name="20 % - Markeringsfarve4 2 3 2 2 3" xfId="6284" xr:uid="{00000000-0005-0000-0000-0000C6290000}"/>
    <cellStyle name="20 % - Markeringsfarve4 2 3 2 2 3 2" xfId="14201" xr:uid="{00000000-0005-0000-0000-0000C7290000}"/>
    <cellStyle name="20 % - Markeringsfarve4 2 3 2 2 3 2 2" xfId="30515" xr:uid="{00000000-0005-0000-0000-0000C8290000}"/>
    <cellStyle name="20 % - Markeringsfarve4 2 3 2 2 3 2 3" xfId="45479" xr:uid="{00000000-0005-0000-0000-0000C9290000}"/>
    <cellStyle name="20 % - Markeringsfarve4 2 3 2 2 3 3" xfId="23493" xr:uid="{00000000-0005-0000-0000-0000CA290000}"/>
    <cellStyle name="20 % - Markeringsfarve4 2 3 2 2 3 4" xfId="38480" xr:uid="{00000000-0005-0000-0000-0000CB290000}"/>
    <cellStyle name="20 % - Markeringsfarve4 2 3 2 2 4" xfId="11035" xr:uid="{00000000-0005-0000-0000-0000CC290000}"/>
    <cellStyle name="20 % - Markeringsfarve4 2 3 2 2 4 2" xfId="27354" xr:uid="{00000000-0005-0000-0000-0000CD290000}"/>
    <cellStyle name="20 % - Markeringsfarve4 2 3 2 2 4 3" xfId="42320" xr:uid="{00000000-0005-0000-0000-0000CE290000}"/>
    <cellStyle name="20 % - Markeringsfarve4 2 3 2 2 5" xfId="20332" xr:uid="{00000000-0005-0000-0000-0000CF290000}"/>
    <cellStyle name="20 % - Markeringsfarve4 2 3 2 2 6" xfId="35321" xr:uid="{00000000-0005-0000-0000-0000D0290000}"/>
    <cellStyle name="20 % - Markeringsfarve4 2 3 2 2 7" xfId="57163" xr:uid="{00000000-0005-0000-0000-0000D1290000}"/>
    <cellStyle name="20 % - Markeringsfarve4 2 3 2 3" xfId="2480" xr:uid="{00000000-0005-0000-0000-0000D2290000}"/>
    <cellStyle name="20 % - Markeringsfarve4 2 3 2 3 2" xfId="6948" xr:uid="{00000000-0005-0000-0000-0000D3290000}"/>
    <cellStyle name="20 % - Markeringsfarve4 2 3 2 3 2 2" xfId="14859" xr:uid="{00000000-0005-0000-0000-0000D4290000}"/>
    <cellStyle name="20 % - Markeringsfarve4 2 3 2 3 2 2 2" xfId="31173" xr:uid="{00000000-0005-0000-0000-0000D5290000}"/>
    <cellStyle name="20 % - Markeringsfarve4 2 3 2 3 2 2 3" xfId="46137" xr:uid="{00000000-0005-0000-0000-0000D6290000}"/>
    <cellStyle name="20 % - Markeringsfarve4 2 3 2 3 2 3" xfId="24151" xr:uid="{00000000-0005-0000-0000-0000D7290000}"/>
    <cellStyle name="20 % - Markeringsfarve4 2 3 2 3 2 4" xfId="39138" xr:uid="{00000000-0005-0000-0000-0000D8290000}"/>
    <cellStyle name="20 % - Markeringsfarve4 2 3 2 3 3" xfId="11037" xr:uid="{00000000-0005-0000-0000-0000D9290000}"/>
    <cellStyle name="20 % - Markeringsfarve4 2 3 2 3 3 2" xfId="27356" xr:uid="{00000000-0005-0000-0000-0000DA290000}"/>
    <cellStyle name="20 % - Markeringsfarve4 2 3 2 3 3 3" xfId="42322" xr:uid="{00000000-0005-0000-0000-0000DB290000}"/>
    <cellStyle name="20 % - Markeringsfarve4 2 3 2 3 4" xfId="20334" xr:uid="{00000000-0005-0000-0000-0000DC290000}"/>
    <cellStyle name="20 % - Markeringsfarve4 2 3 2 3 5" xfId="35323" xr:uid="{00000000-0005-0000-0000-0000DD290000}"/>
    <cellStyle name="20 % - Markeringsfarve4 2 3 2 4" xfId="2481" xr:uid="{00000000-0005-0000-0000-0000DE290000}"/>
    <cellStyle name="20 % - Markeringsfarve4 2 3 2 4 2" xfId="8695" xr:uid="{00000000-0005-0000-0000-0000DF290000}"/>
    <cellStyle name="20 % - Markeringsfarve4 2 3 2 4 2 2" xfId="16576" xr:uid="{00000000-0005-0000-0000-0000E0290000}"/>
    <cellStyle name="20 % - Markeringsfarve4 2 3 2 4 2 2 2" xfId="32890" xr:uid="{00000000-0005-0000-0000-0000E1290000}"/>
    <cellStyle name="20 % - Markeringsfarve4 2 3 2 4 2 2 3" xfId="47854" xr:uid="{00000000-0005-0000-0000-0000E2290000}"/>
    <cellStyle name="20 % - Markeringsfarve4 2 3 2 4 2 3" xfId="25868" xr:uid="{00000000-0005-0000-0000-0000E3290000}"/>
    <cellStyle name="20 % - Markeringsfarve4 2 3 2 4 2 4" xfId="40855" xr:uid="{00000000-0005-0000-0000-0000E4290000}"/>
    <cellStyle name="20 % - Markeringsfarve4 2 3 2 4 3" xfId="11038" xr:uid="{00000000-0005-0000-0000-0000E5290000}"/>
    <cellStyle name="20 % - Markeringsfarve4 2 3 2 4 3 2" xfId="27357" xr:uid="{00000000-0005-0000-0000-0000E6290000}"/>
    <cellStyle name="20 % - Markeringsfarve4 2 3 2 4 3 3" xfId="42323" xr:uid="{00000000-0005-0000-0000-0000E7290000}"/>
    <cellStyle name="20 % - Markeringsfarve4 2 3 2 4 4" xfId="20335" xr:uid="{00000000-0005-0000-0000-0000E8290000}"/>
    <cellStyle name="20 % - Markeringsfarve4 2 3 2 4 5" xfId="35324" xr:uid="{00000000-0005-0000-0000-0000E9290000}"/>
    <cellStyle name="20 % - Markeringsfarve4 2 3 2 5" xfId="5589" xr:uid="{00000000-0005-0000-0000-0000EA290000}"/>
    <cellStyle name="20 % - Markeringsfarve4 2 3 2 5 2" xfId="13507" xr:uid="{00000000-0005-0000-0000-0000EB290000}"/>
    <cellStyle name="20 % - Markeringsfarve4 2 3 2 5 2 2" xfId="29821" xr:uid="{00000000-0005-0000-0000-0000EC290000}"/>
    <cellStyle name="20 % - Markeringsfarve4 2 3 2 5 2 3" xfId="44785" xr:uid="{00000000-0005-0000-0000-0000ED290000}"/>
    <cellStyle name="20 % - Markeringsfarve4 2 3 2 5 3" xfId="22799" xr:uid="{00000000-0005-0000-0000-0000EE290000}"/>
    <cellStyle name="20 % - Markeringsfarve4 2 3 2 5 4" xfId="37786" xr:uid="{00000000-0005-0000-0000-0000EF290000}"/>
    <cellStyle name="20 % - Markeringsfarve4 2 3 2 6" xfId="11034" xr:uid="{00000000-0005-0000-0000-0000F0290000}"/>
    <cellStyle name="20 % - Markeringsfarve4 2 3 2 6 2" xfId="27353" xr:uid="{00000000-0005-0000-0000-0000F1290000}"/>
    <cellStyle name="20 % - Markeringsfarve4 2 3 2 6 3" xfId="42319" xr:uid="{00000000-0005-0000-0000-0000F2290000}"/>
    <cellStyle name="20 % - Markeringsfarve4 2 3 2 7" xfId="20331" xr:uid="{00000000-0005-0000-0000-0000F3290000}"/>
    <cellStyle name="20 % - Markeringsfarve4 2 3 2 8" xfId="35320" xr:uid="{00000000-0005-0000-0000-0000F4290000}"/>
    <cellStyle name="20 % - Markeringsfarve4 2 3 2 9" xfId="53996" xr:uid="{00000000-0005-0000-0000-0000F5290000}"/>
    <cellStyle name="20 % - Markeringsfarve4 2 3 3" xfId="2482" xr:uid="{00000000-0005-0000-0000-0000F6290000}"/>
    <cellStyle name="20 % - Markeringsfarve4 2 3 3 2" xfId="2483" xr:uid="{00000000-0005-0000-0000-0000F7290000}"/>
    <cellStyle name="20 % - Markeringsfarve4 2 3 3 2 2" xfId="2484" xr:uid="{00000000-0005-0000-0000-0000F8290000}"/>
    <cellStyle name="20 % - Markeringsfarve4 2 3 3 2 2 2" xfId="7755" xr:uid="{00000000-0005-0000-0000-0000F9290000}"/>
    <cellStyle name="20 % - Markeringsfarve4 2 3 3 2 2 2 2" xfId="15656" xr:uid="{00000000-0005-0000-0000-0000FA290000}"/>
    <cellStyle name="20 % - Markeringsfarve4 2 3 3 2 2 2 2 2" xfId="31970" xr:uid="{00000000-0005-0000-0000-0000FB290000}"/>
    <cellStyle name="20 % - Markeringsfarve4 2 3 3 2 2 2 2 3" xfId="46934" xr:uid="{00000000-0005-0000-0000-0000FC290000}"/>
    <cellStyle name="20 % - Markeringsfarve4 2 3 3 2 2 2 3" xfId="24948" xr:uid="{00000000-0005-0000-0000-0000FD290000}"/>
    <cellStyle name="20 % - Markeringsfarve4 2 3 3 2 2 2 4" xfId="39935" xr:uid="{00000000-0005-0000-0000-0000FE290000}"/>
    <cellStyle name="20 % - Markeringsfarve4 2 3 3 2 2 3" xfId="11041" xr:uid="{00000000-0005-0000-0000-0000FF290000}"/>
    <cellStyle name="20 % - Markeringsfarve4 2 3 3 2 2 3 2" xfId="27360" xr:uid="{00000000-0005-0000-0000-0000002A0000}"/>
    <cellStyle name="20 % - Markeringsfarve4 2 3 3 2 2 3 3" xfId="42326" xr:uid="{00000000-0005-0000-0000-0000012A0000}"/>
    <cellStyle name="20 % - Markeringsfarve4 2 3 3 2 2 4" xfId="20338" xr:uid="{00000000-0005-0000-0000-0000022A0000}"/>
    <cellStyle name="20 % - Markeringsfarve4 2 3 3 2 2 5" xfId="35327" xr:uid="{00000000-0005-0000-0000-0000032A0000}"/>
    <cellStyle name="20 % - Markeringsfarve4 2 3 3 2 3" xfId="6319" xr:uid="{00000000-0005-0000-0000-0000042A0000}"/>
    <cellStyle name="20 % - Markeringsfarve4 2 3 3 2 3 2" xfId="14236" xr:uid="{00000000-0005-0000-0000-0000052A0000}"/>
    <cellStyle name="20 % - Markeringsfarve4 2 3 3 2 3 2 2" xfId="30550" xr:uid="{00000000-0005-0000-0000-0000062A0000}"/>
    <cellStyle name="20 % - Markeringsfarve4 2 3 3 2 3 2 3" xfId="45514" xr:uid="{00000000-0005-0000-0000-0000072A0000}"/>
    <cellStyle name="20 % - Markeringsfarve4 2 3 3 2 3 3" xfId="23528" xr:uid="{00000000-0005-0000-0000-0000082A0000}"/>
    <cellStyle name="20 % - Markeringsfarve4 2 3 3 2 3 4" xfId="38515" xr:uid="{00000000-0005-0000-0000-0000092A0000}"/>
    <cellStyle name="20 % - Markeringsfarve4 2 3 3 2 4" xfId="11040" xr:uid="{00000000-0005-0000-0000-00000A2A0000}"/>
    <cellStyle name="20 % - Markeringsfarve4 2 3 3 2 4 2" xfId="27359" xr:uid="{00000000-0005-0000-0000-00000B2A0000}"/>
    <cellStyle name="20 % - Markeringsfarve4 2 3 3 2 4 3" xfId="42325" xr:uid="{00000000-0005-0000-0000-00000C2A0000}"/>
    <cellStyle name="20 % - Markeringsfarve4 2 3 3 2 5" xfId="20337" xr:uid="{00000000-0005-0000-0000-00000D2A0000}"/>
    <cellStyle name="20 % - Markeringsfarve4 2 3 3 2 6" xfId="35326" xr:uid="{00000000-0005-0000-0000-00000E2A0000}"/>
    <cellStyle name="20 % - Markeringsfarve4 2 3 3 3" xfId="2485" xr:uid="{00000000-0005-0000-0000-00000F2A0000}"/>
    <cellStyle name="20 % - Markeringsfarve4 2 3 3 3 2" xfId="6985" xr:uid="{00000000-0005-0000-0000-0000102A0000}"/>
    <cellStyle name="20 % - Markeringsfarve4 2 3 3 3 2 2" xfId="14896" xr:uid="{00000000-0005-0000-0000-0000112A0000}"/>
    <cellStyle name="20 % - Markeringsfarve4 2 3 3 3 2 2 2" xfId="31210" xr:uid="{00000000-0005-0000-0000-0000122A0000}"/>
    <cellStyle name="20 % - Markeringsfarve4 2 3 3 3 2 2 3" xfId="46174" xr:uid="{00000000-0005-0000-0000-0000132A0000}"/>
    <cellStyle name="20 % - Markeringsfarve4 2 3 3 3 2 3" xfId="24188" xr:uid="{00000000-0005-0000-0000-0000142A0000}"/>
    <cellStyle name="20 % - Markeringsfarve4 2 3 3 3 2 4" xfId="39175" xr:uid="{00000000-0005-0000-0000-0000152A0000}"/>
    <cellStyle name="20 % - Markeringsfarve4 2 3 3 3 3" xfId="11042" xr:uid="{00000000-0005-0000-0000-0000162A0000}"/>
    <cellStyle name="20 % - Markeringsfarve4 2 3 3 3 3 2" xfId="27361" xr:uid="{00000000-0005-0000-0000-0000172A0000}"/>
    <cellStyle name="20 % - Markeringsfarve4 2 3 3 3 3 3" xfId="42327" xr:uid="{00000000-0005-0000-0000-0000182A0000}"/>
    <cellStyle name="20 % - Markeringsfarve4 2 3 3 3 4" xfId="20339" xr:uid="{00000000-0005-0000-0000-0000192A0000}"/>
    <cellStyle name="20 % - Markeringsfarve4 2 3 3 3 5" xfId="35328" xr:uid="{00000000-0005-0000-0000-00001A2A0000}"/>
    <cellStyle name="20 % - Markeringsfarve4 2 3 3 4" xfId="2486" xr:uid="{00000000-0005-0000-0000-00001B2A0000}"/>
    <cellStyle name="20 % - Markeringsfarve4 2 3 3 4 2" xfId="8420" xr:uid="{00000000-0005-0000-0000-00001C2A0000}"/>
    <cellStyle name="20 % - Markeringsfarve4 2 3 3 4 2 2" xfId="16313" xr:uid="{00000000-0005-0000-0000-00001D2A0000}"/>
    <cellStyle name="20 % - Markeringsfarve4 2 3 3 4 2 2 2" xfId="32627" xr:uid="{00000000-0005-0000-0000-00001E2A0000}"/>
    <cellStyle name="20 % - Markeringsfarve4 2 3 3 4 2 2 3" xfId="47591" xr:uid="{00000000-0005-0000-0000-00001F2A0000}"/>
    <cellStyle name="20 % - Markeringsfarve4 2 3 3 4 2 3" xfId="25605" xr:uid="{00000000-0005-0000-0000-0000202A0000}"/>
    <cellStyle name="20 % - Markeringsfarve4 2 3 3 4 2 4" xfId="40592" xr:uid="{00000000-0005-0000-0000-0000212A0000}"/>
    <cellStyle name="20 % - Markeringsfarve4 2 3 3 4 3" xfId="11043" xr:uid="{00000000-0005-0000-0000-0000222A0000}"/>
    <cellStyle name="20 % - Markeringsfarve4 2 3 3 4 3 2" xfId="27362" xr:uid="{00000000-0005-0000-0000-0000232A0000}"/>
    <cellStyle name="20 % - Markeringsfarve4 2 3 3 4 3 3" xfId="42328" xr:uid="{00000000-0005-0000-0000-0000242A0000}"/>
    <cellStyle name="20 % - Markeringsfarve4 2 3 3 4 4" xfId="20340" xr:uid="{00000000-0005-0000-0000-0000252A0000}"/>
    <cellStyle name="20 % - Markeringsfarve4 2 3 3 4 5" xfId="35329" xr:uid="{00000000-0005-0000-0000-0000262A0000}"/>
    <cellStyle name="20 % - Markeringsfarve4 2 3 3 5" xfId="5590" xr:uid="{00000000-0005-0000-0000-0000272A0000}"/>
    <cellStyle name="20 % - Markeringsfarve4 2 3 3 5 2" xfId="13508" xr:uid="{00000000-0005-0000-0000-0000282A0000}"/>
    <cellStyle name="20 % - Markeringsfarve4 2 3 3 5 2 2" xfId="29822" xr:uid="{00000000-0005-0000-0000-0000292A0000}"/>
    <cellStyle name="20 % - Markeringsfarve4 2 3 3 5 2 3" xfId="44786" xr:uid="{00000000-0005-0000-0000-00002A2A0000}"/>
    <cellStyle name="20 % - Markeringsfarve4 2 3 3 5 3" xfId="22800" xr:uid="{00000000-0005-0000-0000-00002B2A0000}"/>
    <cellStyle name="20 % - Markeringsfarve4 2 3 3 5 4" xfId="37787" xr:uid="{00000000-0005-0000-0000-00002C2A0000}"/>
    <cellStyle name="20 % - Markeringsfarve4 2 3 3 6" xfId="11039" xr:uid="{00000000-0005-0000-0000-00002D2A0000}"/>
    <cellStyle name="20 % - Markeringsfarve4 2 3 3 6 2" xfId="27358" xr:uid="{00000000-0005-0000-0000-00002E2A0000}"/>
    <cellStyle name="20 % - Markeringsfarve4 2 3 3 6 3" xfId="42324" xr:uid="{00000000-0005-0000-0000-00002F2A0000}"/>
    <cellStyle name="20 % - Markeringsfarve4 2 3 3 7" xfId="20336" xr:uid="{00000000-0005-0000-0000-0000302A0000}"/>
    <cellStyle name="20 % - Markeringsfarve4 2 3 3 8" xfId="35325" xr:uid="{00000000-0005-0000-0000-0000312A0000}"/>
    <cellStyle name="20 % - Markeringsfarve4 2 3 3 9" xfId="56540" xr:uid="{00000000-0005-0000-0000-0000322A0000}"/>
    <cellStyle name="20 % - Markeringsfarve4 2 3 4" xfId="2487" xr:uid="{00000000-0005-0000-0000-0000332A0000}"/>
    <cellStyle name="20 % - Markeringsfarve4 2 3 4 2" xfId="2488" xr:uid="{00000000-0005-0000-0000-0000342A0000}"/>
    <cellStyle name="20 % - Markeringsfarve4 2 3 4 2 2" xfId="2489" xr:uid="{00000000-0005-0000-0000-0000352A0000}"/>
    <cellStyle name="20 % - Markeringsfarve4 2 3 4 2 2 2" xfId="7956" xr:uid="{00000000-0005-0000-0000-0000362A0000}"/>
    <cellStyle name="20 % - Markeringsfarve4 2 3 4 2 2 2 2" xfId="15857" xr:uid="{00000000-0005-0000-0000-0000372A0000}"/>
    <cellStyle name="20 % - Markeringsfarve4 2 3 4 2 2 2 2 2" xfId="32171" xr:uid="{00000000-0005-0000-0000-0000382A0000}"/>
    <cellStyle name="20 % - Markeringsfarve4 2 3 4 2 2 2 2 3" xfId="47135" xr:uid="{00000000-0005-0000-0000-0000392A0000}"/>
    <cellStyle name="20 % - Markeringsfarve4 2 3 4 2 2 2 3" xfId="25149" xr:uid="{00000000-0005-0000-0000-00003A2A0000}"/>
    <cellStyle name="20 % - Markeringsfarve4 2 3 4 2 2 2 4" xfId="40136" xr:uid="{00000000-0005-0000-0000-00003B2A0000}"/>
    <cellStyle name="20 % - Markeringsfarve4 2 3 4 2 2 3" xfId="11046" xr:uid="{00000000-0005-0000-0000-00003C2A0000}"/>
    <cellStyle name="20 % - Markeringsfarve4 2 3 4 2 2 3 2" xfId="27365" xr:uid="{00000000-0005-0000-0000-00003D2A0000}"/>
    <cellStyle name="20 % - Markeringsfarve4 2 3 4 2 2 3 3" xfId="42331" xr:uid="{00000000-0005-0000-0000-00003E2A0000}"/>
    <cellStyle name="20 % - Markeringsfarve4 2 3 4 2 2 4" xfId="20343" xr:uid="{00000000-0005-0000-0000-00003F2A0000}"/>
    <cellStyle name="20 % - Markeringsfarve4 2 3 4 2 2 5" xfId="35332" xr:uid="{00000000-0005-0000-0000-0000402A0000}"/>
    <cellStyle name="20 % - Markeringsfarve4 2 3 4 2 3" xfId="6486" xr:uid="{00000000-0005-0000-0000-0000412A0000}"/>
    <cellStyle name="20 % - Markeringsfarve4 2 3 4 2 3 2" xfId="14400" xr:uid="{00000000-0005-0000-0000-0000422A0000}"/>
    <cellStyle name="20 % - Markeringsfarve4 2 3 4 2 3 2 2" xfId="30714" xr:uid="{00000000-0005-0000-0000-0000432A0000}"/>
    <cellStyle name="20 % - Markeringsfarve4 2 3 4 2 3 2 3" xfId="45678" xr:uid="{00000000-0005-0000-0000-0000442A0000}"/>
    <cellStyle name="20 % - Markeringsfarve4 2 3 4 2 3 3" xfId="23692" xr:uid="{00000000-0005-0000-0000-0000452A0000}"/>
    <cellStyle name="20 % - Markeringsfarve4 2 3 4 2 3 4" xfId="38679" xr:uid="{00000000-0005-0000-0000-0000462A0000}"/>
    <cellStyle name="20 % - Markeringsfarve4 2 3 4 2 4" xfId="11045" xr:uid="{00000000-0005-0000-0000-0000472A0000}"/>
    <cellStyle name="20 % - Markeringsfarve4 2 3 4 2 4 2" xfId="27364" xr:uid="{00000000-0005-0000-0000-0000482A0000}"/>
    <cellStyle name="20 % - Markeringsfarve4 2 3 4 2 4 3" xfId="42330" xr:uid="{00000000-0005-0000-0000-0000492A0000}"/>
    <cellStyle name="20 % - Markeringsfarve4 2 3 4 2 5" xfId="20342" xr:uid="{00000000-0005-0000-0000-00004A2A0000}"/>
    <cellStyle name="20 % - Markeringsfarve4 2 3 4 2 6" xfId="35331" xr:uid="{00000000-0005-0000-0000-00004B2A0000}"/>
    <cellStyle name="20 % - Markeringsfarve4 2 3 4 3" xfId="2490" xr:uid="{00000000-0005-0000-0000-00004C2A0000}"/>
    <cellStyle name="20 % - Markeringsfarve4 2 3 4 3 2" xfId="7232" xr:uid="{00000000-0005-0000-0000-00004D2A0000}"/>
    <cellStyle name="20 % - Markeringsfarve4 2 3 4 3 2 2" xfId="15142" xr:uid="{00000000-0005-0000-0000-00004E2A0000}"/>
    <cellStyle name="20 % - Markeringsfarve4 2 3 4 3 2 2 2" xfId="31456" xr:uid="{00000000-0005-0000-0000-00004F2A0000}"/>
    <cellStyle name="20 % - Markeringsfarve4 2 3 4 3 2 2 3" xfId="46420" xr:uid="{00000000-0005-0000-0000-0000502A0000}"/>
    <cellStyle name="20 % - Markeringsfarve4 2 3 4 3 2 3" xfId="24434" xr:uid="{00000000-0005-0000-0000-0000512A0000}"/>
    <cellStyle name="20 % - Markeringsfarve4 2 3 4 3 2 4" xfId="39421" xr:uid="{00000000-0005-0000-0000-0000522A0000}"/>
    <cellStyle name="20 % - Markeringsfarve4 2 3 4 3 3" xfId="11047" xr:uid="{00000000-0005-0000-0000-0000532A0000}"/>
    <cellStyle name="20 % - Markeringsfarve4 2 3 4 3 3 2" xfId="27366" xr:uid="{00000000-0005-0000-0000-0000542A0000}"/>
    <cellStyle name="20 % - Markeringsfarve4 2 3 4 3 3 3" xfId="42332" xr:uid="{00000000-0005-0000-0000-0000552A0000}"/>
    <cellStyle name="20 % - Markeringsfarve4 2 3 4 3 4" xfId="20344" xr:uid="{00000000-0005-0000-0000-0000562A0000}"/>
    <cellStyle name="20 % - Markeringsfarve4 2 3 4 3 5" xfId="35333" xr:uid="{00000000-0005-0000-0000-0000572A0000}"/>
    <cellStyle name="20 % - Markeringsfarve4 2 3 4 4" xfId="2491" xr:uid="{00000000-0005-0000-0000-0000582A0000}"/>
    <cellStyle name="20 % - Markeringsfarve4 2 3 4 4 2" xfId="8655" xr:uid="{00000000-0005-0000-0000-0000592A0000}"/>
    <cellStyle name="20 % - Markeringsfarve4 2 3 4 4 2 2" xfId="16538" xr:uid="{00000000-0005-0000-0000-00005A2A0000}"/>
    <cellStyle name="20 % - Markeringsfarve4 2 3 4 4 2 2 2" xfId="32852" xr:uid="{00000000-0005-0000-0000-00005B2A0000}"/>
    <cellStyle name="20 % - Markeringsfarve4 2 3 4 4 2 2 3" xfId="47816" xr:uid="{00000000-0005-0000-0000-00005C2A0000}"/>
    <cellStyle name="20 % - Markeringsfarve4 2 3 4 4 2 3" xfId="25830" xr:uid="{00000000-0005-0000-0000-00005D2A0000}"/>
    <cellStyle name="20 % - Markeringsfarve4 2 3 4 4 2 4" xfId="40817" xr:uid="{00000000-0005-0000-0000-00005E2A0000}"/>
    <cellStyle name="20 % - Markeringsfarve4 2 3 4 4 3" xfId="11048" xr:uid="{00000000-0005-0000-0000-00005F2A0000}"/>
    <cellStyle name="20 % - Markeringsfarve4 2 3 4 4 3 2" xfId="27367" xr:uid="{00000000-0005-0000-0000-0000602A0000}"/>
    <cellStyle name="20 % - Markeringsfarve4 2 3 4 4 3 3" xfId="42333" xr:uid="{00000000-0005-0000-0000-0000612A0000}"/>
    <cellStyle name="20 % - Markeringsfarve4 2 3 4 4 4" xfId="20345" xr:uid="{00000000-0005-0000-0000-0000622A0000}"/>
    <cellStyle name="20 % - Markeringsfarve4 2 3 4 4 5" xfId="35334" xr:uid="{00000000-0005-0000-0000-0000632A0000}"/>
    <cellStyle name="20 % - Markeringsfarve4 2 3 4 5" xfId="5591" xr:uid="{00000000-0005-0000-0000-0000642A0000}"/>
    <cellStyle name="20 % - Markeringsfarve4 2 3 4 5 2" xfId="13509" xr:uid="{00000000-0005-0000-0000-0000652A0000}"/>
    <cellStyle name="20 % - Markeringsfarve4 2 3 4 5 2 2" xfId="29823" xr:uid="{00000000-0005-0000-0000-0000662A0000}"/>
    <cellStyle name="20 % - Markeringsfarve4 2 3 4 5 2 3" xfId="44787" xr:uid="{00000000-0005-0000-0000-0000672A0000}"/>
    <cellStyle name="20 % - Markeringsfarve4 2 3 4 5 3" xfId="22801" xr:uid="{00000000-0005-0000-0000-0000682A0000}"/>
    <cellStyle name="20 % - Markeringsfarve4 2 3 4 5 4" xfId="37788" xr:uid="{00000000-0005-0000-0000-0000692A0000}"/>
    <cellStyle name="20 % - Markeringsfarve4 2 3 4 6" xfId="11044" xr:uid="{00000000-0005-0000-0000-00006A2A0000}"/>
    <cellStyle name="20 % - Markeringsfarve4 2 3 4 6 2" xfId="27363" xr:uid="{00000000-0005-0000-0000-00006B2A0000}"/>
    <cellStyle name="20 % - Markeringsfarve4 2 3 4 6 3" xfId="42329" xr:uid="{00000000-0005-0000-0000-00006C2A0000}"/>
    <cellStyle name="20 % - Markeringsfarve4 2 3 4 7" xfId="20341" xr:uid="{00000000-0005-0000-0000-00006D2A0000}"/>
    <cellStyle name="20 % - Markeringsfarve4 2 3 4 8" xfId="35330" xr:uid="{00000000-0005-0000-0000-00006E2A0000}"/>
    <cellStyle name="20 % - Markeringsfarve4 2 3 5" xfId="2492" xr:uid="{00000000-0005-0000-0000-00006F2A0000}"/>
    <cellStyle name="20 % - Markeringsfarve4 2 3 5 2" xfId="2493" xr:uid="{00000000-0005-0000-0000-0000702A0000}"/>
    <cellStyle name="20 % - Markeringsfarve4 2 3 5 2 2" xfId="2494" xr:uid="{00000000-0005-0000-0000-0000712A0000}"/>
    <cellStyle name="20 % - Markeringsfarve4 2 3 5 2 2 2" xfId="8073" xr:uid="{00000000-0005-0000-0000-0000722A0000}"/>
    <cellStyle name="20 % - Markeringsfarve4 2 3 5 2 2 2 2" xfId="15974" xr:uid="{00000000-0005-0000-0000-0000732A0000}"/>
    <cellStyle name="20 % - Markeringsfarve4 2 3 5 2 2 2 2 2" xfId="32288" xr:uid="{00000000-0005-0000-0000-0000742A0000}"/>
    <cellStyle name="20 % - Markeringsfarve4 2 3 5 2 2 2 2 3" xfId="47252" xr:uid="{00000000-0005-0000-0000-0000752A0000}"/>
    <cellStyle name="20 % - Markeringsfarve4 2 3 5 2 2 2 3" xfId="25266" xr:uid="{00000000-0005-0000-0000-0000762A0000}"/>
    <cellStyle name="20 % - Markeringsfarve4 2 3 5 2 2 2 4" xfId="40253" xr:uid="{00000000-0005-0000-0000-0000772A0000}"/>
    <cellStyle name="20 % - Markeringsfarve4 2 3 5 2 2 3" xfId="11051" xr:uid="{00000000-0005-0000-0000-0000782A0000}"/>
    <cellStyle name="20 % - Markeringsfarve4 2 3 5 2 2 3 2" xfId="27370" xr:uid="{00000000-0005-0000-0000-0000792A0000}"/>
    <cellStyle name="20 % - Markeringsfarve4 2 3 5 2 2 3 3" xfId="42336" xr:uid="{00000000-0005-0000-0000-00007A2A0000}"/>
    <cellStyle name="20 % - Markeringsfarve4 2 3 5 2 2 4" xfId="20348" xr:uid="{00000000-0005-0000-0000-00007B2A0000}"/>
    <cellStyle name="20 % - Markeringsfarve4 2 3 5 2 2 5" xfId="35337" xr:uid="{00000000-0005-0000-0000-00007C2A0000}"/>
    <cellStyle name="20 % - Markeringsfarve4 2 3 5 2 3" xfId="6585" xr:uid="{00000000-0005-0000-0000-00007D2A0000}"/>
    <cellStyle name="20 % - Markeringsfarve4 2 3 5 2 3 2" xfId="14499" xr:uid="{00000000-0005-0000-0000-00007E2A0000}"/>
    <cellStyle name="20 % - Markeringsfarve4 2 3 5 2 3 2 2" xfId="30813" xr:uid="{00000000-0005-0000-0000-00007F2A0000}"/>
    <cellStyle name="20 % - Markeringsfarve4 2 3 5 2 3 2 3" xfId="45777" xr:uid="{00000000-0005-0000-0000-0000802A0000}"/>
    <cellStyle name="20 % - Markeringsfarve4 2 3 5 2 3 3" xfId="23791" xr:uid="{00000000-0005-0000-0000-0000812A0000}"/>
    <cellStyle name="20 % - Markeringsfarve4 2 3 5 2 3 4" xfId="38778" xr:uid="{00000000-0005-0000-0000-0000822A0000}"/>
    <cellStyle name="20 % - Markeringsfarve4 2 3 5 2 4" xfId="11050" xr:uid="{00000000-0005-0000-0000-0000832A0000}"/>
    <cellStyle name="20 % - Markeringsfarve4 2 3 5 2 4 2" xfId="27369" xr:uid="{00000000-0005-0000-0000-0000842A0000}"/>
    <cellStyle name="20 % - Markeringsfarve4 2 3 5 2 4 3" xfId="42335" xr:uid="{00000000-0005-0000-0000-0000852A0000}"/>
    <cellStyle name="20 % - Markeringsfarve4 2 3 5 2 5" xfId="20347" xr:uid="{00000000-0005-0000-0000-0000862A0000}"/>
    <cellStyle name="20 % - Markeringsfarve4 2 3 5 2 6" xfId="35336" xr:uid="{00000000-0005-0000-0000-0000872A0000}"/>
    <cellStyle name="20 % - Markeringsfarve4 2 3 5 3" xfId="2495" xr:uid="{00000000-0005-0000-0000-0000882A0000}"/>
    <cellStyle name="20 % - Markeringsfarve4 2 3 5 3 2" xfId="7349" xr:uid="{00000000-0005-0000-0000-0000892A0000}"/>
    <cellStyle name="20 % - Markeringsfarve4 2 3 5 3 2 2" xfId="15259" xr:uid="{00000000-0005-0000-0000-00008A2A0000}"/>
    <cellStyle name="20 % - Markeringsfarve4 2 3 5 3 2 2 2" xfId="31573" xr:uid="{00000000-0005-0000-0000-00008B2A0000}"/>
    <cellStyle name="20 % - Markeringsfarve4 2 3 5 3 2 2 3" xfId="46537" xr:uid="{00000000-0005-0000-0000-00008C2A0000}"/>
    <cellStyle name="20 % - Markeringsfarve4 2 3 5 3 2 3" xfId="24551" xr:uid="{00000000-0005-0000-0000-00008D2A0000}"/>
    <cellStyle name="20 % - Markeringsfarve4 2 3 5 3 2 4" xfId="39538" xr:uid="{00000000-0005-0000-0000-00008E2A0000}"/>
    <cellStyle name="20 % - Markeringsfarve4 2 3 5 3 3" xfId="11052" xr:uid="{00000000-0005-0000-0000-00008F2A0000}"/>
    <cellStyle name="20 % - Markeringsfarve4 2 3 5 3 3 2" xfId="27371" xr:uid="{00000000-0005-0000-0000-0000902A0000}"/>
    <cellStyle name="20 % - Markeringsfarve4 2 3 5 3 3 3" xfId="42337" xr:uid="{00000000-0005-0000-0000-0000912A0000}"/>
    <cellStyle name="20 % - Markeringsfarve4 2 3 5 3 4" xfId="20349" xr:uid="{00000000-0005-0000-0000-0000922A0000}"/>
    <cellStyle name="20 % - Markeringsfarve4 2 3 5 3 5" xfId="35338" xr:uid="{00000000-0005-0000-0000-0000932A0000}"/>
    <cellStyle name="20 % - Markeringsfarve4 2 3 5 4" xfId="2496" xr:uid="{00000000-0005-0000-0000-0000942A0000}"/>
    <cellStyle name="20 % - Markeringsfarve4 2 3 5 4 2" xfId="8304" xr:uid="{00000000-0005-0000-0000-0000952A0000}"/>
    <cellStyle name="20 % - Markeringsfarve4 2 3 5 4 2 2" xfId="16198" xr:uid="{00000000-0005-0000-0000-0000962A0000}"/>
    <cellStyle name="20 % - Markeringsfarve4 2 3 5 4 2 2 2" xfId="32512" xr:uid="{00000000-0005-0000-0000-0000972A0000}"/>
    <cellStyle name="20 % - Markeringsfarve4 2 3 5 4 2 2 3" xfId="47476" xr:uid="{00000000-0005-0000-0000-0000982A0000}"/>
    <cellStyle name="20 % - Markeringsfarve4 2 3 5 4 2 3" xfId="25490" xr:uid="{00000000-0005-0000-0000-0000992A0000}"/>
    <cellStyle name="20 % - Markeringsfarve4 2 3 5 4 2 4" xfId="40477" xr:uid="{00000000-0005-0000-0000-00009A2A0000}"/>
    <cellStyle name="20 % - Markeringsfarve4 2 3 5 4 3" xfId="11053" xr:uid="{00000000-0005-0000-0000-00009B2A0000}"/>
    <cellStyle name="20 % - Markeringsfarve4 2 3 5 4 3 2" xfId="27372" xr:uid="{00000000-0005-0000-0000-00009C2A0000}"/>
    <cellStyle name="20 % - Markeringsfarve4 2 3 5 4 3 3" xfId="42338" xr:uid="{00000000-0005-0000-0000-00009D2A0000}"/>
    <cellStyle name="20 % - Markeringsfarve4 2 3 5 4 4" xfId="20350" xr:uid="{00000000-0005-0000-0000-00009E2A0000}"/>
    <cellStyle name="20 % - Markeringsfarve4 2 3 5 4 5" xfId="35339" xr:uid="{00000000-0005-0000-0000-00009F2A0000}"/>
    <cellStyle name="20 % - Markeringsfarve4 2 3 5 5" xfId="5592" xr:uid="{00000000-0005-0000-0000-0000A02A0000}"/>
    <cellStyle name="20 % - Markeringsfarve4 2 3 5 5 2" xfId="13510" xr:uid="{00000000-0005-0000-0000-0000A12A0000}"/>
    <cellStyle name="20 % - Markeringsfarve4 2 3 5 5 2 2" xfId="29824" xr:uid="{00000000-0005-0000-0000-0000A22A0000}"/>
    <cellStyle name="20 % - Markeringsfarve4 2 3 5 5 2 3" xfId="44788" xr:uid="{00000000-0005-0000-0000-0000A32A0000}"/>
    <cellStyle name="20 % - Markeringsfarve4 2 3 5 5 3" xfId="22802" xr:uid="{00000000-0005-0000-0000-0000A42A0000}"/>
    <cellStyle name="20 % - Markeringsfarve4 2 3 5 5 4" xfId="37789" xr:uid="{00000000-0005-0000-0000-0000A52A0000}"/>
    <cellStyle name="20 % - Markeringsfarve4 2 3 5 6" xfId="11049" xr:uid="{00000000-0005-0000-0000-0000A62A0000}"/>
    <cellStyle name="20 % - Markeringsfarve4 2 3 5 6 2" xfId="27368" xr:uid="{00000000-0005-0000-0000-0000A72A0000}"/>
    <cellStyle name="20 % - Markeringsfarve4 2 3 5 6 3" xfId="42334" xr:uid="{00000000-0005-0000-0000-0000A82A0000}"/>
    <cellStyle name="20 % - Markeringsfarve4 2 3 5 7" xfId="20346" xr:uid="{00000000-0005-0000-0000-0000A92A0000}"/>
    <cellStyle name="20 % - Markeringsfarve4 2 3 5 8" xfId="35335" xr:uid="{00000000-0005-0000-0000-0000AA2A0000}"/>
    <cellStyle name="20 % - Markeringsfarve4 2 3 6" xfId="2497" xr:uid="{00000000-0005-0000-0000-0000AB2A0000}"/>
    <cellStyle name="20 % - Markeringsfarve4 2 3 6 2" xfId="2498" xr:uid="{00000000-0005-0000-0000-0000AC2A0000}"/>
    <cellStyle name="20 % - Markeringsfarve4 2 3 6 2 2" xfId="2499" xr:uid="{00000000-0005-0000-0000-0000AD2A0000}"/>
    <cellStyle name="20 % - Markeringsfarve4 2 3 6 2 2 2" xfId="8110" xr:uid="{00000000-0005-0000-0000-0000AE2A0000}"/>
    <cellStyle name="20 % - Markeringsfarve4 2 3 6 2 2 2 2" xfId="16011" xr:uid="{00000000-0005-0000-0000-0000AF2A0000}"/>
    <cellStyle name="20 % - Markeringsfarve4 2 3 6 2 2 2 2 2" xfId="32325" xr:uid="{00000000-0005-0000-0000-0000B02A0000}"/>
    <cellStyle name="20 % - Markeringsfarve4 2 3 6 2 2 2 2 3" xfId="47289" xr:uid="{00000000-0005-0000-0000-0000B12A0000}"/>
    <cellStyle name="20 % - Markeringsfarve4 2 3 6 2 2 2 3" xfId="25303" xr:uid="{00000000-0005-0000-0000-0000B22A0000}"/>
    <cellStyle name="20 % - Markeringsfarve4 2 3 6 2 2 2 4" xfId="40290" xr:uid="{00000000-0005-0000-0000-0000B32A0000}"/>
    <cellStyle name="20 % - Markeringsfarve4 2 3 6 2 2 3" xfId="11056" xr:uid="{00000000-0005-0000-0000-0000B42A0000}"/>
    <cellStyle name="20 % - Markeringsfarve4 2 3 6 2 2 3 2" xfId="27375" xr:uid="{00000000-0005-0000-0000-0000B52A0000}"/>
    <cellStyle name="20 % - Markeringsfarve4 2 3 6 2 2 3 3" xfId="42341" xr:uid="{00000000-0005-0000-0000-0000B62A0000}"/>
    <cellStyle name="20 % - Markeringsfarve4 2 3 6 2 2 4" xfId="20353" xr:uid="{00000000-0005-0000-0000-0000B72A0000}"/>
    <cellStyle name="20 % - Markeringsfarve4 2 3 6 2 2 5" xfId="35342" xr:uid="{00000000-0005-0000-0000-0000B82A0000}"/>
    <cellStyle name="20 % - Markeringsfarve4 2 3 6 2 3" xfId="6621" xr:uid="{00000000-0005-0000-0000-0000B92A0000}"/>
    <cellStyle name="20 % - Markeringsfarve4 2 3 6 2 3 2" xfId="14535" xr:uid="{00000000-0005-0000-0000-0000BA2A0000}"/>
    <cellStyle name="20 % - Markeringsfarve4 2 3 6 2 3 2 2" xfId="30849" xr:uid="{00000000-0005-0000-0000-0000BB2A0000}"/>
    <cellStyle name="20 % - Markeringsfarve4 2 3 6 2 3 2 3" xfId="45813" xr:uid="{00000000-0005-0000-0000-0000BC2A0000}"/>
    <cellStyle name="20 % - Markeringsfarve4 2 3 6 2 3 3" xfId="23827" xr:uid="{00000000-0005-0000-0000-0000BD2A0000}"/>
    <cellStyle name="20 % - Markeringsfarve4 2 3 6 2 3 4" xfId="38814" xr:uid="{00000000-0005-0000-0000-0000BE2A0000}"/>
    <cellStyle name="20 % - Markeringsfarve4 2 3 6 2 4" xfId="11055" xr:uid="{00000000-0005-0000-0000-0000BF2A0000}"/>
    <cellStyle name="20 % - Markeringsfarve4 2 3 6 2 4 2" xfId="27374" xr:uid="{00000000-0005-0000-0000-0000C02A0000}"/>
    <cellStyle name="20 % - Markeringsfarve4 2 3 6 2 4 3" xfId="42340" xr:uid="{00000000-0005-0000-0000-0000C12A0000}"/>
    <cellStyle name="20 % - Markeringsfarve4 2 3 6 2 5" xfId="20352" xr:uid="{00000000-0005-0000-0000-0000C22A0000}"/>
    <cellStyle name="20 % - Markeringsfarve4 2 3 6 2 6" xfId="35341" xr:uid="{00000000-0005-0000-0000-0000C32A0000}"/>
    <cellStyle name="20 % - Markeringsfarve4 2 3 6 3" xfId="2500" xr:uid="{00000000-0005-0000-0000-0000C42A0000}"/>
    <cellStyle name="20 % - Markeringsfarve4 2 3 6 3 2" xfId="7387" xr:uid="{00000000-0005-0000-0000-0000C52A0000}"/>
    <cellStyle name="20 % - Markeringsfarve4 2 3 6 3 2 2" xfId="15297" xr:uid="{00000000-0005-0000-0000-0000C62A0000}"/>
    <cellStyle name="20 % - Markeringsfarve4 2 3 6 3 2 2 2" xfId="31611" xr:uid="{00000000-0005-0000-0000-0000C72A0000}"/>
    <cellStyle name="20 % - Markeringsfarve4 2 3 6 3 2 2 3" xfId="46575" xr:uid="{00000000-0005-0000-0000-0000C82A0000}"/>
    <cellStyle name="20 % - Markeringsfarve4 2 3 6 3 2 3" xfId="24589" xr:uid="{00000000-0005-0000-0000-0000C92A0000}"/>
    <cellStyle name="20 % - Markeringsfarve4 2 3 6 3 2 4" xfId="39576" xr:uid="{00000000-0005-0000-0000-0000CA2A0000}"/>
    <cellStyle name="20 % - Markeringsfarve4 2 3 6 3 3" xfId="11057" xr:uid="{00000000-0005-0000-0000-0000CB2A0000}"/>
    <cellStyle name="20 % - Markeringsfarve4 2 3 6 3 3 2" xfId="27376" xr:uid="{00000000-0005-0000-0000-0000CC2A0000}"/>
    <cellStyle name="20 % - Markeringsfarve4 2 3 6 3 3 3" xfId="42342" xr:uid="{00000000-0005-0000-0000-0000CD2A0000}"/>
    <cellStyle name="20 % - Markeringsfarve4 2 3 6 3 4" xfId="20354" xr:uid="{00000000-0005-0000-0000-0000CE2A0000}"/>
    <cellStyle name="20 % - Markeringsfarve4 2 3 6 3 5" xfId="35343" xr:uid="{00000000-0005-0000-0000-0000CF2A0000}"/>
    <cellStyle name="20 % - Markeringsfarve4 2 3 6 4" xfId="2501" xr:uid="{00000000-0005-0000-0000-0000D02A0000}"/>
    <cellStyle name="20 % - Markeringsfarve4 2 3 6 4 2" xfId="8605" xr:uid="{00000000-0005-0000-0000-0000D12A0000}"/>
    <cellStyle name="20 % - Markeringsfarve4 2 3 6 4 2 2" xfId="16491" xr:uid="{00000000-0005-0000-0000-0000D22A0000}"/>
    <cellStyle name="20 % - Markeringsfarve4 2 3 6 4 2 2 2" xfId="32805" xr:uid="{00000000-0005-0000-0000-0000D32A0000}"/>
    <cellStyle name="20 % - Markeringsfarve4 2 3 6 4 2 2 3" xfId="47769" xr:uid="{00000000-0005-0000-0000-0000D42A0000}"/>
    <cellStyle name="20 % - Markeringsfarve4 2 3 6 4 2 3" xfId="25783" xr:uid="{00000000-0005-0000-0000-0000D52A0000}"/>
    <cellStyle name="20 % - Markeringsfarve4 2 3 6 4 2 4" xfId="40770" xr:uid="{00000000-0005-0000-0000-0000D62A0000}"/>
    <cellStyle name="20 % - Markeringsfarve4 2 3 6 4 3" xfId="11058" xr:uid="{00000000-0005-0000-0000-0000D72A0000}"/>
    <cellStyle name="20 % - Markeringsfarve4 2 3 6 4 3 2" xfId="27377" xr:uid="{00000000-0005-0000-0000-0000D82A0000}"/>
    <cellStyle name="20 % - Markeringsfarve4 2 3 6 4 3 3" xfId="42343" xr:uid="{00000000-0005-0000-0000-0000D92A0000}"/>
    <cellStyle name="20 % - Markeringsfarve4 2 3 6 4 4" xfId="20355" xr:uid="{00000000-0005-0000-0000-0000DA2A0000}"/>
    <cellStyle name="20 % - Markeringsfarve4 2 3 6 4 5" xfId="35344" xr:uid="{00000000-0005-0000-0000-0000DB2A0000}"/>
    <cellStyle name="20 % - Markeringsfarve4 2 3 6 5" xfId="5593" xr:uid="{00000000-0005-0000-0000-0000DC2A0000}"/>
    <cellStyle name="20 % - Markeringsfarve4 2 3 6 5 2" xfId="13511" xr:uid="{00000000-0005-0000-0000-0000DD2A0000}"/>
    <cellStyle name="20 % - Markeringsfarve4 2 3 6 5 2 2" xfId="29825" xr:uid="{00000000-0005-0000-0000-0000DE2A0000}"/>
    <cellStyle name="20 % - Markeringsfarve4 2 3 6 5 2 3" xfId="44789" xr:uid="{00000000-0005-0000-0000-0000DF2A0000}"/>
    <cellStyle name="20 % - Markeringsfarve4 2 3 6 5 3" xfId="22803" xr:uid="{00000000-0005-0000-0000-0000E02A0000}"/>
    <cellStyle name="20 % - Markeringsfarve4 2 3 6 5 4" xfId="37790" xr:uid="{00000000-0005-0000-0000-0000E12A0000}"/>
    <cellStyle name="20 % - Markeringsfarve4 2 3 6 6" xfId="11054" xr:uid="{00000000-0005-0000-0000-0000E22A0000}"/>
    <cellStyle name="20 % - Markeringsfarve4 2 3 6 6 2" xfId="27373" xr:uid="{00000000-0005-0000-0000-0000E32A0000}"/>
    <cellStyle name="20 % - Markeringsfarve4 2 3 6 6 3" xfId="42339" xr:uid="{00000000-0005-0000-0000-0000E42A0000}"/>
    <cellStyle name="20 % - Markeringsfarve4 2 3 6 7" xfId="20351" xr:uid="{00000000-0005-0000-0000-0000E52A0000}"/>
    <cellStyle name="20 % - Markeringsfarve4 2 3 6 8" xfId="35340" xr:uid="{00000000-0005-0000-0000-0000E62A0000}"/>
    <cellStyle name="20 % - Markeringsfarve4 2 3 7" xfId="2502" xr:uid="{00000000-0005-0000-0000-0000E72A0000}"/>
    <cellStyle name="20 % - Markeringsfarve4 2 3 7 2" xfId="2503" xr:uid="{00000000-0005-0000-0000-0000E82A0000}"/>
    <cellStyle name="20 % - Markeringsfarve4 2 3 7 2 2" xfId="7599" xr:uid="{00000000-0005-0000-0000-0000E92A0000}"/>
    <cellStyle name="20 % - Markeringsfarve4 2 3 7 2 2 2" xfId="15500" xr:uid="{00000000-0005-0000-0000-0000EA2A0000}"/>
    <cellStyle name="20 % - Markeringsfarve4 2 3 7 2 2 2 2" xfId="31814" xr:uid="{00000000-0005-0000-0000-0000EB2A0000}"/>
    <cellStyle name="20 % - Markeringsfarve4 2 3 7 2 2 2 3" xfId="46778" xr:uid="{00000000-0005-0000-0000-0000EC2A0000}"/>
    <cellStyle name="20 % - Markeringsfarve4 2 3 7 2 2 3" xfId="24792" xr:uid="{00000000-0005-0000-0000-0000ED2A0000}"/>
    <cellStyle name="20 % - Markeringsfarve4 2 3 7 2 2 4" xfId="39779" xr:uid="{00000000-0005-0000-0000-0000EE2A0000}"/>
    <cellStyle name="20 % - Markeringsfarve4 2 3 7 2 3" xfId="11060" xr:uid="{00000000-0005-0000-0000-0000EF2A0000}"/>
    <cellStyle name="20 % - Markeringsfarve4 2 3 7 2 3 2" xfId="27379" xr:uid="{00000000-0005-0000-0000-0000F02A0000}"/>
    <cellStyle name="20 % - Markeringsfarve4 2 3 7 2 3 3" xfId="42345" xr:uid="{00000000-0005-0000-0000-0000F12A0000}"/>
    <cellStyle name="20 % - Markeringsfarve4 2 3 7 2 4" xfId="20357" xr:uid="{00000000-0005-0000-0000-0000F22A0000}"/>
    <cellStyle name="20 % - Markeringsfarve4 2 3 7 2 5" xfId="35346" xr:uid="{00000000-0005-0000-0000-0000F32A0000}"/>
    <cellStyle name="20 % - Markeringsfarve4 2 3 7 3" xfId="6185" xr:uid="{00000000-0005-0000-0000-0000F42A0000}"/>
    <cellStyle name="20 % - Markeringsfarve4 2 3 7 3 2" xfId="14102" xr:uid="{00000000-0005-0000-0000-0000F52A0000}"/>
    <cellStyle name="20 % - Markeringsfarve4 2 3 7 3 2 2" xfId="30416" xr:uid="{00000000-0005-0000-0000-0000F62A0000}"/>
    <cellStyle name="20 % - Markeringsfarve4 2 3 7 3 2 3" xfId="45380" xr:uid="{00000000-0005-0000-0000-0000F72A0000}"/>
    <cellStyle name="20 % - Markeringsfarve4 2 3 7 3 3" xfId="23394" xr:uid="{00000000-0005-0000-0000-0000F82A0000}"/>
    <cellStyle name="20 % - Markeringsfarve4 2 3 7 3 4" xfId="38381" xr:uid="{00000000-0005-0000-0000-0000F92A0000}"/>
    <cellStyle name="20 % - Markeringsfarve4 2 3 7 4" xfId="11059" xr:uid="{00000000-0005-0000-0000-0000FA2A0000}"/>
    <cellStyle name="20 % - Markeringsfarve4 2 3 7 4 2" xfId="27378" xr:uid="{00000000-0005-0000-0000-0000FB2A0000}"/>
    <cellStyle name="20 % - Markeringsfarve4 2 3 7 4 3" xfId="42344" xr:uid="{00000000-0005-0000-0000-0000FC2A0000}"/>
    <cellStyle name="20 % - Markeringsfarve4 2 3 7 5" xfId="20356" xr:uid="{00000000-0005-0000-0000-0000FD2A0000}"/>
    <cellStyle name="20 % - Markeringsfarve4 2 3 7 6" xfId="35345" xr:uid="{00000000-0005-0000-0000-0000FE2A0000}"/>
    <cellStyle name="20 % - Markeringsfarve4 2 3 8" xfId="2504" xr:uid="{00000000-0005-0000-0000-0000FF2A0000}"/>
    <cellStyle name="20 % - Markeringsfarve4 2 3 8 2" xfId="6827" xr:uid="{00000000-0005-0000-0000-0000002B0000}"/>
    <cellStyle name="20 % - Markeringsfarve4 2 3 8 2 2" xfId="14738" xr:uid="{00000000-0005-0000-0000-0000012B0000}"/>
    <cellStyle name="20 % - Markeringsfarve4 2 3 8 2 2 2" xfId="31052" xr:uid="{00000000-0005-0000-0000-0000022B0000}"/>
    <cellStyle name="20 % - Markeringsfarve4 2 3 8 2 2 3" xfId="46016" xr:uid="{00000000-0005-0000-0000-0000032B0000}"/>
    <cellStyle name="20 % - Markeringsfarve4 2 3 8 2 3" xfId="24030" xr:uid="{00000000-0005-0000-0000-0000042B0000}"/>
    <cellStyle name="20 % - Markeringsfarve4 2 3 8 2 4" xfId="39017" xr:uid="{00000000-0005-0000-0000-0000052B0000}"/>
    <cellStyle name="20 % - Markeringsfarve4 2 3 8 3" xfId="11061" xr:uid="{00000000-0005-0000-0000-0000062B0000}"/>
    <cellStyle name="20 % - Markeringsfarve4 2 3 8 3 2" xfId="27380" xr:uid="{00000000-0005-0000-0000-0000072B0000}"/>
    <cellStyle name="20 % - Markeringsfarve4 2 3 8 3 3" xfId="42346" xr:uid="{00000000-0005-0000-0000-0000082B0000}"/>
    <cellStyle name="20 % - Markeringsfarve4 2 3 8 4" xfId="20358" xr:uid="{00000000-0005-0000-0000-0000092B0000}"/>
    <cellStyle name="20 % - Markeringsfarve4 2 3 8 5" xfId="35347" xr:uid="{00000000-0005-0000-0000-00000A2B0000}"/>
    <cellStyle name="20 % - Markeringsfarve4 2 3 9" xfId="2505" xr:uid="{00000000-0005-0000-0000-00000B2B0000}"/>
    <cellStyle name="20 % - Markeringsfarve4 2 3 9 2" xfId="8460" xr:uid="{00000000-0005-0000-0000-00000C2B0000}"/>
    <cellStyle name="20 % - Markeringsfarve4 2 3 9 2 2" xfId="16351" xr:uid="{00000000-0005-0000-0000-00000D2B0000}"/>
    <cellStyle name="20 % - Markeringsfarve4 2 3 9 2 2 2" xfId="32665" xr:uid="{00000000-0005-0000-0000-00000E2B0000}"/>
    <cellStyle name="20 % - Markeringsfarve4 2 3 9 2 2 3" xfId="47629" xr:uid="{00000000-0005-0000-0000-00000F2B0000}"/>
    <cellStyle name="20 % - Markeringsfarve4 2 3 9 2 3" xfId="25643" xr:uid="{00000000-0005-0000-0000-0000102B0000}"/>
    <cellStyle name="20 % - Markeringsfarve4 2 3 9 2 4" xfId="40630" xr:uid="{00000000-0005-0000-0000-0000112B0000}"/>
    <cellStyle name="20 % - Markeringsfarve4 2 3 9 3" xfId="11062" xr:uid="{00000000-0005-0000-0000-0000122B0000}"/>
    <cellStyle name="20 % - Markeringsfarve4 2 3 9 3 2" xfId="27381" xr:uid="{00000000-0005-0000-0000-0000132B0000}"/>
    <cellStyle name="20 % - Markeringsfarve4 2 3 9 3 3" xfId="42347" xr:uid="{00000000-0005-0000-0000-0000142B0000}"/>
    <cellStyle name="20 % - Markeringsfarve4 2 3 9 4" xfId="20359" xr:uid="{00000000-0005-0000-0000-0000152B0000}"/>
    <cellStyle name="20 % - Markeringsfarve4 2 3 9 5" xfId="35348" xr:uid="{00000000-0005-0000-0000-0000162B0000}"/>
    <cellStyle name="20 % - Markeringsfarve4 2 4" xfId="2506" xr:uid="{00000000-0005-0000-0000-0000172B0000}"/>
    <cellStyle name="20 % - Markeringsfarve4 2 4 2" xfId="2507" xr:uid="{00000000-0005-0000-0000-0000182B0000}"/>
    <cellStyle name="20 % - Markeringsfarve4 2 4 2 2" xfId="2508" xr:uid="{00000000-0005-0000-0000-0000192B0000}"/>
    <cellStyle name="20 % - Markeringsfarve4 2 4 2 2 2" xfId="7640" xr:uid="{00000000-0005-0000-0000-00001A2B0000}"/>
    <cellStyle name="20 % - Markeringsfarve4 2 4 2 2 2 2" xfId="15541" xr:uid="{00000000-0005-0000-0000-00001B2B0000}"/>
    <cellStyle name="20 % - Markeringsfarve4 2 4 2 2 2 2 2" xfId="31855" xr:uid="{00000000-0005-0000-0000-00001C2B0000}"/>
    <cellStyle name="20 % - Markeringsfarve4 2 4 2 2 2 2 3" xfId="46819" xr:uid="{00000000-0005-0000-0000-00001D2B0000}"/>
    <cellStyle name="20 % - Markeringsfarve4 2 4 2 2 2 3" xfId="24833" xr:uid="{00000000-0005-0000-0000-00001E2B0000}"/>
    <cellStyle name="20 % - Markeringsfarve4 2 4 2 2 2 4" xfId="39820" xr:uid="{00000000-0005-0000-0000-00001F2B0000}"/>
    <cellStyle name="20 % - Markeringsfarve4 2 4 2 2 3" xfId="11065" xr:uid="{00000000-0005-0000-0000-0000202B0000}"/>
    <cellStyle name="20 % - Markeringsfarve4 2 4 2 2 3 2" xfId="27384" xr:uid="{00000000-0005-0000-0000-0000212B0000}"/>
    <cellStyle name="20 % - Markeringsfarve4 2 4 2 2 3 3" xfId="42350" xr:uid="{00000000-0005-0000-0000-0000222B0000}"/>
    <cellStyle name="20 % - Markeringsfarve4 2 4 2 2 4" xfId="20362" xr:uid="{00000000-0005-0000-0000-0000232B0000}"/>
    <cellStyle name="20 % - Markeringsfarve4 2 4 2 2 5" xfId="35351" xr:uid="{00000000-0005-0000-0000-0000242B0000}"/>
    <cellStyle name="20 % - Markeringsfarve4 2 4 2 3" xfId="6218" xr:uid="{00000000-0005-0000-0000-0000252B0000}"/>
    <cellStyle name="20 % - Markeringsfarve4 2 4 2 3 2" xfId="14135" xr:uid="{00000000-0005-0000-0000-0000262B0000}"/>
    <cellStyle name="20 % - Markeringsfarve4 2 4 2 3 2 2" xfId="30449" xr:uid="{00000000-0005-0000-0000-0000272B0000}"/>
    <cellStyle name="20 % - Markeringsfarve4 2 4 2 3 2 3" xfId="45413" xr:uid="{00000000-0005-0000-0000-0000282B0000}"/>
    <cellStyle name="20 % - Markeringsfarve4 2 4 2 3 3" xfId="23427" xr:uid="{00000000-0005-0000-0000-0000292B0000}"/>
    <cellStyle name="20 % - Markeringsfarve4 2 4 2 3 4" xfId="38414" xr:uid="{00000000-0005-0000-0000-00002A2B0000}"/>
    <cellStyle name="20 % - Markeringsfarve4 2 4 2 4" xfId="11064" xr:uid="{00000000-0005-0000-0000-00002B2B0000}"/>
    <cellStyle name="20 % - Markeringsfarve4 2 4 2 4 2" xfId="27383" xr:uid="{00000000-0005-0000-0000-00002C2B0000}"/>
    <cellStyle name="20 % - Markeringsfarve4 2 4 2 4 3" xfId="42349" xr:uid="{00000000-0005-0000-0000-00002D2B0000}"/>
    <cellStyle name="20 % - Markeringsfarve4 2 4 2 5" xfId="20361" xr:uid="{00000000-0005-0000-0000-00002E2B0000}"/>
    <cellStyle name="20 % - Markeringsfarve4 2 4 2 6" xfId="35350" xr:uid="{00000000-0005-0000-0000-00002F2B0000}"/>
    <cellStyle name="20 % - Markeringsfarve4 2 4 2 7" xfId="57165" xr:uid="{00000000-0005-0000-0000-0000302B0000}"/>
    <cellStyle name="20 % - Markeringsfarve4 2 4 3" xfId="2509" xr:uid="{00000000-0005-0000-0000-0000312B0000}"/>
    <cellStyle name="20 % - Markeringsfarve4 2 4 3 2" xfId="6870" xr:uid="{00000000-0005-0000-0000-0000322B0000}"/>
    <cellStyle name="20 % - Markeringsfarve4 2 4 3 2 2" xfId="14781" xr:uid="{00000000-0005-0000-0000-0000332B0000}"/>
    <cellStyle name="20 % - Markeringsfarve4 2 4 3 2 2 2" xfId="31095" xr:uid="{00000000-0005-0000-0000-0000342B0000}"/>
    <cellStyle name="20 % - Markeringsfarve4 2 4 3 2 2 3" xfId="46059" xr:uid="{00000000-0005-0000-0000-0000352B0000}"/>
    <cellStyle name="20 % - Markeringsfarve4 2 4 3 2 3" xfId="24073" xr:uid="{00000000-0005-0000-0000-0000362B0000}"/>
    <cellStyle name="20 % - Markeringsfarve4 2 4 3 2 4" xfId="39060" xr:uid="{00000000-0005-0000-0000-0000372B0000}"/>
    <cellStyle name="20 % - Markeringsfarve4 2 4 3 3" xfId="11066" xr:uid="{00000000-0005-0000-0000-0000382B0000}"/>
    <cellStyle name="20 % - Markeringsfarve4 2 4 3 3 2" xfId="27385" xr:uid="{00000000-0005-0000-0000-0000392B0000}"/>
    <cellStyle name="20 % - Markeringsfarve4 2 4 3 3 3" xfId="42351" xr:uid="{00000000-0005-0000-0000-00003A2B0000}"/>
    <cellStyle name="20 % - Markeringsfarve4 2 4 3 4" xfId="20363" xr:uid="{00000000-0005-0000-0000-00003B2B0000}"/>
    <cellStyle name="20 % - Markeringsfarve4 2 4 3 5" xfId="35352" xr:uid="{00000000-0005-0000-0000-00003C2B0000}"/>
    <cellStyle name="20 % - Markeringsfarve4 2 4 4" xfId="2510" xr:uid="{00000000-0005-0000-0000-00003D2B0000}"/>
    <cellStyle name="20 % - Markeringsfarve4 2 4 4 2" xfId="8256" xr:uid="{00000000-0005-0000-0000-00003E2B0000}"/>
    <cellStyle name="20 % - Markeringsfarve4 2 4 4 2 2" xfId="16152" xr:uid="{00000000-0005-0000-0000-00003F2B0000}"/>
    <cellStyle name="20 % - Markeringsfarve4 2 4 4 2 2 2" xfId="32466" xr:uid="{00000000-0005-0000-0000-0000402B0000}"/>
    <cellStyle name="20 % - Markeringsfarve4 2 4 4 2 2 3" xfId="47430" xr:uid="{00000000-0005-0000-0000-0000412B0000}"/>
    <cellStyle name="20 % - Markeringsfarve4 2 4 4 2 3" xfId="25444" xr:uid="{00000000-0005-0000-0000-0000422B0000}"/>
    <cellStyle name="20 % - Markeringsfarve4 2 4 4 2 4" xfId="40431" xr:uid="{00000000-0005-0000-0000-0000432B0000}"/>
    <cellStyle name="20 % - Markeringsfarve4 2 4 4 3" xfId="11067" xr:uid="{00000000-0005-0000-0000-0000442B0000}"/>
    <cellStyle name="20 % - Markeringsfarve4 2 4 4 3 2" xfId="27386" xr:uid="{00000000-0005-0000-0000-0000452B0000}"/>
    <cellStyle name="20 % - Markeringsfarve4 2 4 4 3 3" xfId="42352" xr:uid="{00000000-0005-0000-0000-0000462B0000}"/>
    <cellStyle name="20 % - Markeringsfarve4 2 4 4 4" xfId="20364" xr:uid="{00000000-0005-0000-0000-0000472B0000}"/>
    <cellStyle name="20 % - Markeringsfarve4 2 4 4 5" xfId="35353" xr:uid="{00000000-0005-0000-0000-0000482B0000}"/>
    <cellStyle name="20 % - Markeringsfarve4 2 4 5" xfId="5594" xr:uid="{00000000-0005-0000-0000-0000492B0000}"/>
    <cellStyle name="20 % - Markeringsfarve4 2 4 5 2" xfId="13512" xr:uid="{00000000-0005-0000-0000-00004A2B0000}"/>
    <cellStyle name="20 % - Markeringsfarve4 2 4 5 2 2" xfId="29826" xr:uid="{00000000-0005-0000-0000-00004B2B0000}"/>
    <cellStyle name="20 % - Markeringsfarve4 2 4 5 2 3" xfId="44790" xr:uid="{00000000-0005-0000-0000-00004C2B0000}"/>
    <cellStyle name="20 % - Markeringsfarve4 2 4 5 3" xfId="22804" xr:uid="{00000000-0005-0000-0000-00004D2B0000}"/>
    <cellStyle name="20 % - Markeringsfarve4 2 4 5 4" xfId="37791" xr:uid="{00000000-0005-0000-0000-00004E2B0000}"/>
    <cellStyle name="20 % - Markeringsfarve4 2 4 6" xfId="11063" xr:uid="{00000000-0005-0000-0000-00004F2B0000}"/>
    <cellStyle name="20 % - Markeringsfarve4 2 4 6 2" xfId="27382" xr:uid="{00000000-0005-0000-0000-0000502B0000}"/>
    <cellStyle name="20 % - Markeringsfarve4 2 4 6 3" xfId="42348" xr:uid="{00000000-0005-0000-0000-0000512B0000}"/>
    <cellStyle name="20 % - Markeringsfarve4 2 4 7" xfId="20360" xr:uid="{00000000-0005-0000-0000-0000522B0000}"/>
    <cellStyle name="20 % - Markeringsfarve4 2 4 8" xfId="35349" xr:uid="{00000000-0005-0000-0000-0000532B0000}"/>
    <cellStyle name="20 % - Markeringsfarve4 2 4 9" xfId="53998" xr:uid="{00000000-0005-0000-0000-0000542B0000}"/>
    <cellStyle name="20 % - Markeringsfarve4 2 5" xfId="2511" xr:uid="{00000000-0005-0000-0000-0000552B0000}"/>
    <cellStyle name="20 % - Markeringsfarve4 2 5 2" xfId="2512" xr:uid="{00000000-0005-0000-0000-0000562B0000}"/>
    <cellStyle name="20 % - Markeringsfarve4 2 5 2 2" xfId="2513" xr:uid="{00000000-0005-0000-0000-0000572B0000}"/>
    <cellStyle name="20 % - Markeringsfarve4 2 5 2 2 2" xfId="7753" xr:uid="{00000000-0005-0000-0000-0000582B0000}"/>
    <cellStyle name="20 % - Markeringsfarve4 2 5 2 2 2 2" xfId="15654" xr:uid="{00000000-0005-0000-0000-0000592B0000}"/>
    <cellStyle name="20 % - Markeringsfarve4 2 5 2 2 2 2 2" xfId="31968" xr:uid="{00000000-0005-0000-0000-00005A2B0000}"/>
    <cellStyle name="20 % - Markeringsfarve4 2 5 2 2 2 2 3" xfId="46932" xr:uid="{00000000-0005-0000-0000-00005B2B0000}"/>
    <cellStyle name="20 % - Markeringsfarve4 2 5 2 2 2 3" xfId="24946" xr:uid="{00000000-0005-0000-0000-00005C2B0000}"/>
    <cellStyle name="20 % - Markeringsfarve4 2 5 2 2 2 4" xfId="39933" xr:uid="{00000000-0005-0000-0000-00005D2B0000}"/>
    <cellStyle name="20 % - Markeringsfarve4 2 5 2 2 3" xfId="11070" xr:uid="{00000000-0005-0000-0000-00005E2B0000}"/>
    <cellStyle name="20 % - Markeringsfarve4 2 5 2 2 3 2" xfId="27389" xr:uid="{00000000-0005-0000-0000-00005F2B0000}"/>
    <cellStyle name="20 % - Markeringsfarve4 2 5 2 2 3 3" xfId="42355" xr:uid="{00000000-0005-0000-0000-0000602B0000}"/>
    <cellStyle name="20 % - Markeringsfarve4 2 5 2 2 4" xfId="20367" xr:uid="{00000000-0005-0000-0000-0000612B0000}"/>
    <cellStyle name="20 % - Markeringsfarve4 2 5 2 2 5" xfId="35356" xr:uid="{00000000-0005-0000-0000-0000622B0000}"/>
    <cellStyle name="20 % - Markeringsfarve4 2 5 2 3" xfId="6317" xr:uid="{00000000-0005-0000-0000-0000632B0000}"/>
    <cellStyle name="20 % - Markeringsfarve4 2 5 2 3 2" xfId="14234" xr:uid="{00000000-0005-0000-0000-0000642B0000}"/>
    <cellStyle name="20 % - Markeringsfarve4 2 5 2 3 2 2" xfId="30548" xr:uid="{00000000-0005-0000-0000-0000652B0000}"/>
    <cellStyle name="20 % - Markeringsfarve4 2 5 2 3 2 3" xfId="45512" xr:uid="{00000000-0005-0000-0000-0000662B0000}"/>
    <cellStyle name="20 % - Markeringsfarve4 2 5 2 3 3" xfId="23526" xr:uid="{00000000-0005-0000-0000-0000672B0000}"/>
    <cellStyle name="20 % - Markeringsfarve4 2 5 2 3 4" xfId="38513" xr:uid="{00000000-0005-0000-0000-0000682B0000}"/>
    <cellStyle name="20 % - Markeringsfarve4 2 5 2 4" xfId="11069" xr:uid="{00000000-0005-0000-0000-0000692B0000}"/>
    <cellStyle name="20 % - Markeringsfarve4 2 5 2 4 2" xfId="27388" xr:uid="{00000000-0005-0000-0000-00006A2B0000}"/>
    <cellStyle name="20 % - Markeringsfarve4 2 5 2 4 3" xfId="42354" xr:uid="{00000000-0005-0000-0000-00006B2B0000}"/>
    <cellStyle name="20 % - Markeringsfarve4 2 5 2 5" xfId="20366" xr:uid="{00000000-0005-0000-0000-00006C2B0000}"/>
    <cellStyle name="20 % - Markeringsfarve4 2 5 2 6" xfId="35355" xr:uid="{00000000-0005-0000-0000-00006D2B0000}"/>
    <cellStyle name="20 % - Markeringsfarve4 2 5 3" xfId="2514" xr:uid="{00000000-0005-0000-0000-00006E2B0000}"/>
    <cellStyle name="20 % - Markeringsfarve4 2 5 3 2" xfId="6983" xr:uid="{00000000-0005-0000-0000-00006F2B0000}"/>
    <cellStyle name="20 % - Markeringsfarve4 2 5 3 2 2" xfId="14894" xr:uid="{00000000-0005-0000-0000-0000702B0000}"/>
    <cellStyle name="20 % - Markeringsfarve4 2 5 3 2 2 2" xfId="31208" xr:uid="{00000000-0005-0000-0000-0000712B0000}"/>
    <cellStyle name="20 % - Markeringsfarve4 2 5 3 2 2 3" xfId="46172" xr:uid="{00000000-0005-0000-0000-0000722B0000}"/>
    <cellStyle name="20 % - Markeringsfarve4 2 5 3 2 3" xfId="24186" xr:uid="{00000000-0005-0000-0000-0000732B0000}"/>
    <cellStyle name="20 % - Markeringsfarve4 2 5 3 2 4" xfId="39173" xr:uid="{00000000-0005-0000-0000-0000742B0000}"/>
    <cellStyle name="20 % - Markeringsfarve4 2 5 3 3" xfId="11071" xr:uid="{00000000-0005-0000-0000-0000752B0000}"/>
    <cellStyle name="20 % - Markeringsfarve4 2 5 3 3 2" xfId="27390" xr:uid="{00000000-0005-0000-0000-0000762B0000}"/>
    <cellStyle name="20 % - Markeringsfarve4 2 5 3 3 3" xfId="42356" xr:uid="{00000000-0005-0000-0000-0000772B0000}"/>
    <cellStyle name="20 % - Markeringsfarve4 2 5 3 4" xfId="20368" xr:uid="{00000000-0005-0000-0000-0000782B0000}"/>
    <cellStyle name="20 % - Markeringsfarve4 2 5 3 5" xfId="35357" xr:uid="{00000000-0005-0000-0000-0000792B0000}"/>
    <cellStyle name="20 % - Markeringsfarve4 2 5 4" xfId="2515" xr:uid="{00000000-0005-0000-0000-00007A2B0000}"/>
    <cellStyle name="20 % - Markeringsfarve4 2 5 4 2" xfId="8209" xr:uid="{00000000-0005-0000-0000-00007B2B0000}"/>
    <cellStyle name="20 % - Markeringsfarve4 2 5 4 2 2" xfId="16106" xr:uid="{00000000-0005-0000-0000-00007C2B0000}"/>
    <cellStyle name="20 % - Markeringsfarve4 2 5 4 2 2 2" xfId="32420" xr:uid="{00000000-0005-0000-0000-00007D2B0000}"/>
    <cellStyle name="20 % - Markeringsfarve4 2 5 4 2 2 3" xfId="47384" xr:uid="{00000000-0005-0000-0000-00007E2B0000}"/>
    <cellStyle name="20 % - Markeringsfarve4 2 5 4 2 3" xfId="25398" xr:uid="{00000000-0005-0000-0000-00007F2B0000}"/>
    <cellStyle name="20 % - Markeringsfarve4 2 5 4 2 4" xfId="40385" xr:uid="{00000000-0005-0000-0000-0000802B0000}"/>
    <cellStyle name="20 % - Markeringsfarve4 2 5 4 3" xfId="11072" xr:uid="{00000000-0005-0000-0000-0000812B0000}"/>
    <cellStyle name="20 % - Markeringsfarve4 2 5 4 3 2" xfId="27391" xr:uid="{00000000-0005-0000-0000-0000822B0000}"/>
    <cellStyle name="20 % - Markeringsfarve4 2 5 4 3 3" xfId="42357" xr:uid="{00000000-0005-0000-0000-0000832B0000}"/>
    <cellStyle name="20 % - Markeringsfarve4 2 5 4 4" xfId="20369" xr:uid="{00000000-0005-0000-0000-0000842B0000}"/>
    <cellStyle name="20 % - Markeringsfarve4 2 5 4 5" xfId="35358" xr:uid="{00000000-0005-0000-0000-0000852B0000}"/>
    <cellStyle name="20 % - Markeringsfarve4 2 5 5" xfId="5595" xr:uid="{00000000-0005-0000-0000-0000862B0000}"/>
    <cellStyle name="20 % - Markeringsfarve4 2 5 5 2" xfId="13513" xr:uid="{00000000-0005-0000-0000-0000872B0000}"/>
    <cellStyle name="20 % - Markeringsfarve4 2 5 5 2 2" xfId="29827" xr:uid="{00000000-0005-0000-0000-0000882B0000}"/>
    <cellStyle name="20 % - Markeringsfarve4 2 5 5 2 3" xfId="44791" xr:uid="{00000000-0005-0000-0000-0000892B0000}"/>
    <cellStyle name="20 % - Markeringsfarve4 2 5 5 3" xfId="22805" xr:uid="{00000000-0005-0000-0000-00008A2B0000}"/>
    <cellStyle name="20 % - Markeringsfarve4 2 5 5 4" xfId="37792" xr:uid="{00000000-0005-0000-0000-00008B2B0000}"/>
    <cellStyle name="20 % - Markeringsfarve4 2 5 6" xfId="11068" xr:uid="{00000000-0005-0000-0000-00008C2B0000}"/>
    <cellStyle name="20 % - Markeringsfarve4 2 5 6 2" xfId="27387" xr:uid="{00000000-0005-0000-0000-00008D2B0000}"/>
    <cellStyle name="20 % - Markeringsfarve4 2 5 6 3" xfId="42353" xr:uid="{00000000-0005-0000-0000-00008E2B0000}"/>
    <cellStyle name="20 % - Markeringsfarve4 2 5 7" xfId="20365" xr:uid="{00000000-0005-0000-0000-00008F2B0000}"/>
    <cellStyle name="20 % - Markeringsfarve4 2 5 8" xfId="35354" xr:uid="{00000000-0005-0000-0000-0000902B0000}"/>
    <cellStyle name="20 % - Markeringsfarve4 2 5 9" xfId="56542" xr:uid="{00000000-0005-0000-0000-0000912B0000}"/>
    <cellStyle name="20 % - Markeringsfarve4 2 6" xfId="2516" xr:uid="{00000000-0005-0000-0000-0000922B0000}"/>
    <cellStyle name="20 % - Markeringsfarve4 2 6 2" xfId="2517" xr:uid="{00000000-0005-0000-0000-0000932B0000}"/>
    <cellStyle name="20 % - Markeringsfarve4 2 6 2 2" xfId="2518" xr:uid="{00000000-0005-0000-0000-0000942B0000}"/>
    <cellStyle name="20 % - Markeringsfarve4 2 6 2 2 2" xfId="7878" xr:uid="{00000000-0005-0000-0000-0000952B0000}"/>
    <cellStyle name="20 % - Markeringsfarve4 2 6 2 2 2 2" xfId="15779" xr:uid="{00000000-0005-0000-0000-0000962B0000}"/>
    <cellStyle name="20 % - Markeringsfarve4 2 6 2 2 2 2 2" xfId="32093" xr:uid="{00000000-0005-0000-0000-0000972B0000}"/>
    <cellStyle name="20 % - Markeringsfarve4 2 6 2 2 2 2 3" xfId="47057" xr:uid="{00000000-0005-0000-0000-0000982B0000}"/>
    <cellStyle name="20 % - Markeringsfarve4 2 6 2 2 2 3" xfId="25071" xr:uid="{00000000-0005-0000-0000-0000992B0000}"/>
    <cellStyle name="20 % - Markeringsfarve4 2 6 2 2 2 4" xfId="40058" xr:uid="{00000000-0005-0000-0000-00009A2B0000}"/>
    <cellStyle name="20 % - Markeringsfarve4 2 6 2 2 3" xfId="11075" xr:uid="{00000000-0005-0000-0000-00009B2B0000}"/>
    <cellStyle name="20 % - Markeringsfarve4 2 6 2 2 3 2" xfId="27394" xr:uid="{00000000-0005-0000-0000-00009C2B0000}"/>
    <cellStyle name="20 % - Markeringsfarve4 2 6 2 2 3 3" xfId="42360" xr:uid="{00000000-0005-0000-0000-00009D2B0000}"/>
    <cellStyle name="20 % - Markeringsfarve4 2 6 2 2 4" xfId="20372" xr:uid="{00000000-0005-0000-0000-00009E2B0000}"/>
    <cellStyle name="20 % - Markeringsfarve4 2 6 2 2 5" xfId="35361" xr:uid="{00000000-0005-0000-0000-00009F2B0000}"/>
    <cellStyle name="20 % - Markeringsfarve4 2 6 2 3" xfId="6420" xr:uid="{00000000-0005-0000-0000-0000A02B0000}"/>
    <cellStyle name="20 % - Markeringsfarve4 2 6 2 3 2" xfId="14334" xr:uid="{00000000-0005-0000-0000-0000A12B0000}"/>
    <cellStyle name="20 % - Markeringsfarve4 2 6 2 3 2 2" xfId="30648" xr:uid="{00000000-0005-0000-0000-0000A22B0000}"/>
    <cellStyle name="20 % - Markeringsfarve4 2 6 2 3 2 3" xfId="45612" xr:uid="{00000000-0005-0000-0000-0000A32B0000}"/>
    <cellStyle name="20 % - Markeringsfarve4 2 6 2 3 3" xfId="23626" xr:uid="{00000000-0005-0000-0000-0000A42B0000}"/>
    <cellStyle name="20 % - Markeringsfarve4 2 6 2 3 4" xfId="38613" xr:uid="{00000000-0005-0000-0000-0000A52B0000}"/>
    <cellStyle name="20 % - Markeringsfarve4 2 6 2 4" xfId="11074" xr:uid="{00000000-0005-0000-0000-0000A62B0000}"/>
    <cellStyle name="20 % - Markeringsfarve4 2 6 2 4 2" xfId="27393" xr:uid="{00000000-0005-0000-0000-0000A72B0000}"/>
    <cellStyle name="20 % - Markeringsfarve4 2 6 2 4 3" xfId="42359" xr:uid="{00000000-0005-0000-0000-0000A82B0000}"/>
    <cellStyle name="20 % - Markeringsfarve4 2 6 2 5" xfId="20371" xr:uid="{00000000-0005-0000-0000-0000A92B0000}"/>
    <cellStyle name="20 % - Markeringsfarve4 2 6 2 6" xfId="35360" xr:uid="{00000000-0005-0000-0000-0000AA2B0000}"/>
    <cellStyle name="20 % - Markeringsfarve4 2 6 3" xfId="2519" xr:uid="{00000000-0005-0000-0000-0000AB2B0000}"/>
    <cellStyle name="20 % - Markeringsfarve4 2 6 3 2" xfId="7154" xr:uid="{00000000-0005-0000-0000-0000AC2B0000}"/>
    <cellStyle name="20 % - Markeringsfarve4 2 6 3 2 2" xfId="15064" xr:uid="{00000000-0005-0000-0000-0000AD2B0000}"/>
    <cellStyle name="20 % - Markeringsfarve4 2 6 3 2 2 2" xfId="31378" xr:uid="{00000000-0005-0000-0000-0000AE2B0000}"/>
    <cellStyle name="20 % - Markeringsfarve4 2 6 3 2 2 3" xfId="46342" xr:uid="{00000000-0005-0000-0000-0000AF2B0000}"/>
    <cellStyle name="20 % - Markeringsfarve4 2 6 3 2 3" xfId="24356" xr:uid="{00000000-0005-0000-0000-0000B02B0000}"/>
    <cellStyle name="20 % - Markeringsfarve4 2 6 3 2 4" xfId="39343" xr:uid="{00000000-0005-0000-0000-0000B12B0000}"/>
    <cellStyle name="20 % - Markeringsfarve4 2 6 3 3" xfId="11076" xr:uid="{00000000-0005-0000-0000-0000B22B0000}"/>
    <cellStyle name="20 % - Markeringsfarve4 2 6 3 3 2" xfId="27395" xr:uid="{00000000-0005-0000-0000-0000B32B0000}"/>
    <cellStyle name="20 % - Markeringsfarve4 2 6 3 3 3" xfId="42361" xr:uid="{00000000-0005-0000-0000-0000B42B0000}"/>
    <cellStyle name="20 % - Markeringsfarve4 2 6 3 4" xfId="20373" xr:uid="{00000000-0005-0000-0000-0000B52B0000}"/>
    <cellStyle name="20 % - Markeringsfarve4 2 6 3 5" xfId="35362" xr:uid="{00000000-0005-0000-0000-0000B62B0000}"/>
    <cellStyle name="20 % - Markeringsfarve4 2 6 4" xfId="2520" xr:uid="{00000000-0005-0000-0000-0000B72B0000}"/>
    <cellStyle name="20 % - Markeringsfarve4 2 6 4 2" xfId="8550" xr:uid="{00000000-0005-0000-0000-0000B82B0000}"/>
    <cellStyle name="20 % - Markeringsfarve4 2 6 4 2 2" xfId="16438" xr:uid="{00000000-0005-0000-0000-0000B92B0000}"/>
    <cellStyle name="20 % - Markeringsfarve4 2 6 4 2 2 2" xfId="32752" xr:uid="{00000000-0005-0000-0000-0000BA2B0000}"/>
    <cellStyle name="20 % - Markeringsfarve4 2 6 4 2 2 3" xfId="47716" xr:uid="{00000000-0005-0000-0000-0000BB2B0000}"/>
    <cellStyle name="20 % - Markeringsfarve4 2 6 4 2 3" xfId="25730" xr:uid="{00000000-0005-0000-0000-0000BC2B0000}"/>
    <cellStyle name="20 % - Markeringsfarve4 2 6 4 2 4" xfId="40717" xr:uid="{00000000-0005-0000-0000-0000BD2B0000}"/>
    <cellStyle name="20 % - Markeringsfarve4 2 6 4 3" xfId="11077" xr:uid="{00000000-0005-0000-0000-0000BE2B0000}"/>
    <cellStyle name="20 % - Markeringsfarve4 2 6 4 3 2" xfId="27396" xr:uid="{00000000-0005-0000-0000-0000BF2B0000}"/>
    <cellStyle name="20 % - Markeringsfarve4 2 6 4 3 3" xfId="42362" xr:uid="{00000000-0005-0000-0000-0000C02B0000}"/>
    <cellStyle name="20 % - Markeringsfarve4 2 6 4 4" xfId="20374" xr:uid="{00000000-0005-0000-0000-0000C12B0000}"/>
    <cellStyle name="20 % - Markeringsfarve4 2 6 4 5" xfId="35363" xr:uid="{00000000-0005-0000-0000-0000C22B0000}"/>
    <cellStyle name="20 % - Markeringsfarve4 2 6 5" xfId="5596" xr:uid="{00000000-0005-0000-0000-0000C32B0000}"/>
    <cellStyle name="20 % - Markeringsfarve4 2 6 5 2" xfId="13514" xr:uid="{00000000-0005-0000-0000-0000C42B0000}"/>
    <cellStyle name="20 % - Markeringsfarve4 2 6 5 2 2" xfId="29828" xr:uid="{00000000-0005-0000-0000-0000C52B0000}"/>
    <cellStyle name="20 % - Markeringsfarve4 2 6 5 2 3" xfId="44792" xr:uid="{00000000-0005-0000-0000-0000C62B0000}"/>
    <cellStyle name="20 % - Markeringsfarve4 2 6 5 3" xfId="22806" xr:uid="{00000000-0005-0000-0000-0000C72B0000}"/>
    <cellStyle name="20 % - Markeringsfarve4 2 6 5 4" xfId="37793" xr:uid="{00000000-0005-0000-0000-0000C82B0000}"/>
    <cellStyle name="20 % - Markeringsfarve4 2 6 6" xfId="11073" xr:uid="{00000000-0005-0000-0000-0000C92B0000}"/>
    <cellStyle name="20 % - Markeringsfarve4 2 6 6 2" xfId="27392" xr:uid="{00000000-0005-0000-0000-0000CA2B0000}"/>
    <cellStyle name="20 % - Markeringsfarve4 2 6 6 3" xfId="42358" xr:uid="{00000000-0005-0000-0000-0000CB2B0000}"/>
    <cellStyle name="20 % - Markeringsfarve4 2 6 7" xfId="20370" xr:uid="{00000000-0005-0000-0000-0000CC2B0000}"/>
    <cellStyle name="20 % - Markeringsfarve4 2 6 8" xfId="35359" xr:uid="{00000000-0005-0000-0000-0000CD2B0000}"/>
    <cellStyle name="20 % - Markeringsfarve4 2 7" xfId="2521" xr:uid="{00000000-0005-0000-0000-0000CE2B0000}"/>
    <cellStyle name="20 % - Markeringsfarve4 2 7 2" xfId="2522" xr:uid="{00000000-0005-0000-0000-0000CF2B0000}"/>
    <cellStyle name="20 % - Markeringsfarve4 2 7 2 2" xfId="2523" xr:uid="{00000000-0005-0000-0000-0000D02B0000}"/>
    <cellStyle name="20 % - Markeringsfarve4 2 7 2 2 2" xfId="7995" xr:uid="{00000000-0005-0000-0000-0000D12B0000}"/>
    <cellStyle name="20 % - Markeringsfarve4 2 7 2 2 2 2" xfId="15896" xr:uid="{00000000-0005-0000-0000-0000D22B0000}"/>
    <cellStyle name="20 % - Markeringsfarve4 2 7 2 2 2 2 2" xfId="32210" xr:uid="{00000000-0005-0000-0000-0000D32B0000}"/>
    <cellStyle name="20 % - Markeringsfarve4 2 7 2 2 2 2 3" xfId="47174" xr:uid="{00000000-0005-0000-0000-0000D42B0000}"/>
    <cellStyle name="20 % - Markeringsfarve4 2 7 2 2 2 3" xfId="25188" xr:uid="{00000000-0005-0000-0000-0000D52B0000}"/>
    <cellStyle name="20 % - Markeringsfarve4 2 7 2 2 2 4" xfId="40175" xr:uid="{00000000-0005-0000-0000-0000D62B0000}"/>
    <cellStyle name="20 % - Markeringsfarve4 2 7 2 2 3" xfId="11080" xr:uid="{00000000-0005-0000-0000-0000D72B0000}"/>
    <cellStyle name="20 % - Markeringsfarve4 2 7 2 2 3 2" xfId="27399" xr:uid="{00000000-0005-0000-0000-0000D82B0000}"/>
    <cellStyle name="20 % - Markeringsfarve4 2 7 2 2 3 3" xfId="42365" xr:uid="{00000000-0005-0000-0000-0000D92B0000}"/>
    <cellStyle name="20 % - Markeringsfarve4 2 7 2 2 4" xfId="20377" xr:uid="{00000000-0005-0000-0000-0000DA2B0000}"/>
    <cellStyle name="20 % - Markeringsfarve4 2 7 2 2 5" xfId="35366" xr:uid="{00000000-0005-0000-0000-0000DB2B0000}"/>
    <cellStyle name="20 % - Markeringsfarve4 2 7 2 3" xfId="6519" xr:uid="{00000000-0005-0000-0000-0000DC2B0000}"/>
    <cellStyle name="20 % - Markeringsfarve4 2 7 2 3 2" xfId="14433" xr:uid="{00000000-0005-0000-0000-0000DD2B0000}"/>
    <cellStyle name="20 % - Markeringsfarve4 2 7 2 3 2 2" xfId="30747" xr:uid="{00000000-0005-0000-0000-0000DE2B0000}"/>
    <cellStyle name="20 % - Markeringsfarve4 2 7 2 3 2 3" xfId="45711" xr:uid="{00000000-0005-0000-0000-0000DF2B0000}"/>
    <cellStyle name="20 % - Markeringsfarve4 2 7 2 3 3" xfId="23725" xr:uid="{00000000-0005-0000-0000-0000E02B0000}"/>
    <cellStyle name="20 % - Markeringsfarve4 2 7 2 3 4" xfId="38712" xr:uid="{00000000-0005-0000-0000-0000E12B0000}"/>
    <cellStyle name="20 % - Markeringsfarve4 2 7 2 4" xfId="11079" xr:uid="{00000000-0005-0000-0000-0000E22B0000}"/>
    <cellStyle name="20 % - Markeringsfarve4 2 7 2 4 2" xfId="27398" xr:uid="{00000000-0005-0000-0000-0000E32B0000}"/>
    <cellStyle name="20 % - Markeringsfarve4 2 7 2 4 3" xfId="42364" xr:uid="{00000000-0005-0000-0000-0000E42B0000}"/>
    <cellStyle name="20 % - Markeringsfarve4 2 7 2 5" xfId="20376" xr:uid="{00000000-0005-0000-0000-0000E52B0000}"/>
    <cellStyle name="20 % - Markeringsfarve4 2 7 2 6" xfId="35365" xr:uid="{00000000-0005-0000-0000-0000E62B0000}"/>
    <cellStyle name="20 % - Markeringsfarve4 2 7 3" xfId="2524" xr:uid="{00000000-0005-0000-0000-0000E72B0000}"/>
    <cellStyle name="20 % - Markeringsfarve4 2 7 3 2" xfId="7271" xr:uid="{00000000-0005-0000-0000-0000E82B0000}"/>
    <cellStyle name="20 % - Markeringsfarve4 2 7 3 2 2" xfId="15181" xr:uid="{00000000-0005-0000-0000-0000E92B0000}"/>
    <cellStyle name="20 % - Markeringsfarve4 2 7 3 2 2 2" xfId="31495" xr:uid="{00000000-0005-0000-0000-0000EA2B0000}"/>
    <cellStyle name="20 % - Markeringsfarve4 2 7 3 2 2 3" xfId="46459" xr:uid="{00000000-0005-0000-0000-0000EB2B0000}"/>
    <cellStyle name="20 % - Markeringsfarve4 2 7 3 2 3" xfId="24473" xr:uid="{00000000-0005-0000-0000-0000EC2B0000}"/>
    <cellStyle name="20 % - Markeringsfarve4 2 7 3 2 4" xfId="39460" xr:uid="{00000000-0005-0000-0000-0000ED2B0000}"/>
    <cellStyle name="20 % - Markeringsfarve4 2 7 3 3" xfId="11081" xr:uid="{00000000-0005-0000-0000-0000EE2B0000}"/>
    <cellStyle name="20 % - Markeringsfarve4 2 7 3 3 2" xfId="27400" xr:uid="{00000000-0005-0000-0000-0000EF2B0000}"/>
    <cellStyle name="20 % - Markeringsfarve4 2 7 3 3 3" xfId="42366" xr:uid="{00000000-0005-0000-0000-0000F02B0000}"/>
    <cellStyle name="20 % - Markeringsfarve4 2 7 3 4" xfId="20378" xr:uid="{00000000-0005-0000-0000-0000F12B0000}"/>
    <cellStyle name="20 % - Markeringsfarve4 2 7 3 5" xfId="35367" xr:uid="{00000000-0005-0000-0000-0000F22B0000}"/>
    <cellStyle name="20 % - Markeringsfarve4 2 7 4" xfId="2525" xr:uid="{00000000-0005-0000-0000-0000F32B0000}"/>
    <cellStyle name="20 % - Markeringsfarve4 2 7 4 2" xfId="8788" xr:uid="{00000000-0005-0000-0000-0000F42B0000}"/>
    <cellStyle name="20 % - Markeringsfarve4 2 7 4 2 2" xfId="16664" xr:uid="{00000000-0005-0000-0000-0000F52B0000}"/>
    <cellStyle name="20 % - Markeringsfarve4 2 7 4 2 2 2" xfId="32978" xr:uid="{00000000-0005-0000-0000-0000F62B0000}"/>
    <cellStyle name="20 % - Markeringsfarve4 2 7 4 2 2 3" xfId="47942" xr:uid="{00000000-0005-0000-0000-0000F72B0000}"/>
    <cellStyle name="20 % - Markeringsfarve4 2 7 4 2 3" xfId="25956" xr:uid="{00000000-0005-0000-0000-0000F82B0000}"/>
    <cellStyle name="20 % - Markeringsfarve4 2 7 4 2 4" xfId="40943" xr:uid="{00000000-0005-0000-0000-0000F92B0000}"/>
    <cellStyle name="20 % - Markeringsfarve4 2 7 4 3" xfId="11082" xr:uid="{00000000-0005-0000-0000-0000FA2B0000}"/>
    <cellStyle name="20 % - Markeringsfarve4 2 7 4 3 2" xfId="27401" xr:uid="{00000000-0005-0000-0000-0000FB2B0000}"/>
    <cellStyle name="20 % - Markeringsfarve4 2 7 4 3 3" xfId="42367" xr:uid="{00000000-0005-0000-0000-0000FC2B0000}"/>
    <cellStyle name="20 % - Markeringsfarve4 2 7 4 4" xfId="20379" xr:uid="{00000000-0005-0000-0000-0000FD2B0000}"/>
    <cellStyle name="20 % - Markeringsfarve4 2 7 4 5" xfId="35368" xr:uid="{00000000-0005-0000-0000-0000FE2B0000}"/>
    <cellStyle name="20 % - Markeringsfarve4 2 7 5" xfId="5597" xr:uid="{00000000-0005-0000-0000-0000FF2B0000}"/>
    <cellStyle name="20 % - Markeringsfarve4 2 7 5 2" xfId="13515" xr:uid="{00000000-0005-0000-0000-0000002C0000}"/>
    <cellStyle name="20 % - Markeringsfarve4 2 7 5 2 2" xfId="29829" xr:uid="{00000000-0005-0000-0000-0000012C0000}"/>
    <cellStyle name="20 % - Markeringsfarve4 2 7 5 2 3" xfId="44793" xr:uid="{00000000-0005-0000-0000-0000022C0000}"/>
    <cellStyle name="20 % - Markeringsfarve4 2 7 5 3" xfId="22807" xr:uid="{00000000-0005-0000-0000-0000032C0000}"/>
    <cellStyle name="20 % - Markeringsfarve4 2 7 5 4" xfId="37794" xr:uid="{00000000-0005-0000-0000-0000042C0000}"/>
    <cellStyle name="20 % - Markeringsfarve4 2 7 6" xfId="11078" xr:uid="{00000000-0005-0000-0000-0000052C0000}"/>
    <cellStyle name="20 % - Markeringsfarve4 2 7 6 2" xfId="27397" xr:uid="{00000000-0005-0000-0000-0000062C0000}"/>
    <cellStyle name="20 % - Markeringsfarve4 2 7 6 3" xfId="42363" xr:uid="{00000000-0005-0000-0000-0000072C0000}"/>
    <cellStyle name="20 % - Markeringsfarve4 2 7 7" xfId="20375" xr:uid="{00000000-0005-0000-0000-0000082C0000}"/>
    <cellStyle name="20 % - Markeringsfarve4 2 7 8" xfId="35364" xr:uid="{00000000-0005-0000-0000-0000092C0000}"/>
    <cellStyle name="20 % - Markeringsfarve4 2 8" xfId="2526" xr:uid="{00000000-0005-0000-0000-00000A2C0000}"/>
    <cellStyle name="20 % - Markeringsfarve4 2 8 2" xfId="2527" xr:uid="{00000000-0005-0000-0000-00000B2C0000}"/>
    <cellStyle name="20 % - Markeringsfarve4 2 8 2 2" xfId="2528" xr:uid="{00000000-0005-0000-0000-00000C2C0000}"/>
    <cellStyle name="20 % - Markeringsfarve4 2 8 2 2 2" xfId="8108" xr:uid="{00000000-0005-0000-0000-00000D2C0000}"/>
    <cellStyle name="20 % - Markeringsfarve4 2 8 2 2 2 2" xfId="16009" xr:uid="{00000000-0005-0000-0000-00000E2C0000}"/>
    <cellStyle name="20 % - Markeringsfarve4 2 8 2 2 2 2 2" xfId="32323" xr:uid="{00000000-0005-0000-0000-00000F2C0000}"/>
    <cellStyle name="20 % - Markeringsfarve4 2 8 2 2 2 2 3" xfId="47287" xr:uid="{00000000-0005-0000-0000-0000102C0000}"/>
    <cellStyle name="20 % - Markeringsfarve4 2 8 2 2 2 3" xfId="25301" xr:uid="{00000000-0005-0000-0000-0000112C0000}"/>
    <cellStyle name="20 % - Markeringsfarve4 2 8 2 2 2 4" xfId="40288" xr:uid="{00000000-0005-0000-0000-0000122C0000}"/>
    <cellStyle name="20 % - Markeringsfarve4 2 8 2 2 3" xfId="11085" xr:uid="{00000000-0005-0000-0000-0000132C0000}"/>
    <cellStyle name="20 % - Markeringsfarve4 2 8 2 2 3 2" xfId="27404" xr:uid="{00000000-0005-0000-0000-0000142C0000}"/>
    <cellStyle name="20 % - Markeringsfarve4 2 8 2 2 3 3" xfId="42370" xr:uid="{00000000-0005-0000-0000-0000152C0000}"/>
    <cellStyle name="20 % - Markeringsfarve4 2 8 2 2 4" xfId="20382" xr:uid="{00000000-0005-0000-0000-0000162C0000}"/>
    <cellStyle name="20 % - Markeringsfarve4 2 8 2 2 5" xfId="35371" xr:uid="{00000000-0005-0000-0000-0000172C0000}"/>
    <cellStyle name="20 % - Markeringsfarve4 2 8 2 3" xfId="6619" xr:uid="{00000000-0005-0000-0000-0000182C0000}"/>
    <cellStyle name="20 % - Markeringsfarve4 2 8 2 3 2" xfId="14533" xr:uid="{00000000-0005-0000-0000-0000192C0000}"/>
    <cellStyle name="20 % - Markeringsfarve4 2 8 2 3 2 2" xfId="30847" xr:uid="{00000000-0005-0000-0000-00001A2C0000}"/>
    <cellStyle name="20 % - Markeringsfarve4 2 8 2 3 2 3" xfId="45811" xr:uid="{00000000-0005-0000-0000-00001B2C0000}"/>
    <cellStyle name="20 % - Markeringsfarve4 2 8 2 3 3" xfId="23825" xr:uid="{00000000-0005-0000-0000-00001C2C0000}"/>
    <cellStyle name="20 % - Markeringsfarve4 2 8 2 3 4" xfId="38812" xr:uid="{00000000-0005-0000-0000-00001D2C0000}"/>
    <cellStyle name="20 % - Markeringsfarve4 2 8 2 4" xfId="11084" xr:uid="{00000000-0005-0000-0000-00001E2C0000}"/>
    <cellStyle name="20 % - Markeringsfarve4 2 8 2 4 2" xfId="27403" xr:uid="{00000000-0005-0000-0000-00001F2C0000}"/>
    <cellStyle name="20 % - Markeringsfarve4 2 8 2 4 3" xfId="42369" xr:uid="{00000000-0005-0000-0000-0000202C0000}"/>
    <cellStyle name="20 % - Markeringsfarve4 2 8 2 5" xfId="20381" xr:uid="{00000000-0005-0000-0000-0000212C0000}"/>
    <cellStyle name="20 % - Markeringsfarve4 2 8 2 6" xfId="35370" xr:uid="{00000000-0005-0000-0000-0000222C0000}"/>
    <cellStyle name="20 % - Markeringsfarve4 2 8 3" xfId="2529" xr:uid="{00000000-0005-0000-0000-0000232C0000}"/>
    <cellStyle name="20 % - Markeringsfarve4 2 8 3 2" xfId="7385" xr:uid="{00000000-0005-0000-0000-0000242C0000}"/>
    <cellStyle name="20 % - Markeringsfarve4 2 8 3 2 2" xfId="15295" xr:uid="{00000000-0005-0000-0000-0000252C0000}"/>
    <cellStyle name="20 % - Markeringsfarve4 2 8 3 2 2 2" xfId="31609" xr:uid="{00000000-0005-0000-0000-0000262C0000}"/>
    <cellStyle name="20 % - Markeringsfarve4 2 8 3 2 2 3" xfId="46573" xr:uid="{00000000-0005-0000-0000-0000272C0000}"/>
    <cellStyle name="20 % - Markeringsfarve4 2 8 3 2 3" xfId="24587" xr:uid="{00000000-0005-0000-0000-0000282C0000}"/>
    <cellStyle name="20 % - Markeringsfarve4 2 8 3 2 4" xfId="39574" xr:uid="{00000000-0005-0000-0000-0000292C0000}"/>
    <cellStyle name="20 % - Markeringsfarve4 2 8 3 3" xfId="11086" xr:uid="{00000000-0005-0000-0000-00002A2C0000}"/>
    <cellStyle name="20 % - Markeringsfarve4 2 8 3 3 2" xfId="27405" xr:uid="{00000000-0005-0000-0000-00002B2C0000}"/>
    <cellStyle name="20 % - Markeringsfarve4 2 8 3 3 3" xfId="42371" xr:uid="{00000000-0005-0000-0000-00002C2C0000}"/>
    <cellStyle name="20 % - Markeringsfarve4 2 8 3 4" xfId="20383" xr:uid="{00000000-0005-0000-0000-00002D2C0000}"/>
    <cellStyle name="20 % - Markeringsfarve4 2 8 3 5" xfId="35372" xr:uid="{00000000-0005-0000-0000-00002E2C0000}"/>
    <cellStyle name="20 % - Markeringsfarve4 2 8 4" xfId="2530" xr:uid="{00000000-0005-0000-0000-00002F2C0000}"/>
    <cellStyle name="20 % - Markeringsfarve4 2 8 4 2" xfId="8508" xr:uid="{00000000-0005-0000-0000-0000302C0000}"/>
    <cellStyle name="20 % - Markeringsfarve4 2 8 4 2 2" xfId="16397" xr:uid="{00000000-0005-0000-0000-0000312C0000}"/>
    <cellStyle name="20 % - Markeringsfarve4 2 8 4 2 2 2" xfId="32711" xr:uid="{00000000-0005-0000-0000-0000322C0000}"/>
    <cellStyle name="20 % - Markeringsfarve4 2 8 4 2 2 3" xfId="47675" xr:uid="{00000000-0005-0000-0000-0000332C0000}"/>
    <cellStyle name="20 % - Markeringsfarve4 2 8 4 2 3" xfId="25689" xr:uid="{00000000-0005-0000-0000-0000342C0000}"/>
    <cellStyle name="20 % - Markeringsfarve4 2 8 4 2 4" xfId="40676" xr:uid="{00000000-0005-0000-0000-0000352C0000}"/>
    <cellStyle name="20 % - Markeringsfarve4 2 8 4 3" xfId="11087" xr:uid="{00000000-0005-0000-0000-0000362C0000}"/>
    <cellStyle name="20 % - Markeringsfarve4 2 8 4 3 2" xfId="27406" xr:uid="{00000000-0005-0000-0000-0000372C0000}"/>
    <cellStyle name="20 % - Markeringsfarve4 2 8 4 3 3" xfId="42372" xr:uid="{00000000-0005-0000-0000-0000382C0000}"/>
    <cellStyle name="20 % - Markeringsfarve4 2 8 4 4" xfId="20384" xr:uid="{00000000-0005-0000-0000-0000392C0000}"/>
    <cellStyle name="20 % - Markeringsfarve4 2 8 4 5" xfId="35373" xr:uid="{00000000-0005-0000-0000-00003A2C0000}"/>
    <cellStyle name="20 % - Markeringsfarve4 2 8 5" xfId="5598" xr:uid="{00000000-0005-0000-0000-00003B2C0000}"/>
    <cellStyle name="20 % - Markeringsfarve4 2 8 5 2" xfId="13516" xr:uid="{00000000-0005-0000-0000-00003C2C0000}"/>
    <cellStyle name="20 % - Markeringsfarve4 2 8 5 2 2" xfId="29830" xr:uid="{00000000-0005-0000-0000-00003D2C0000}"/>
    <cellStyle name="20 % - Markeringsfarve4 2 8 5 2 3" xfId="44794" xr:uid="{00000000-0005-0000-0000-00003E2C0000}"/>
    <cellStyle name="20 % - Markeringsfarve4 2 8 5 3" xfId="22808" xr:uid="{00000000-0005-0000-0000-00003F2C0000}"/>
    <cellStyle name="20 % - Markeringsfarve4 2 8 5 4" xfId="37795" xr:uid="{00000000-0005-0000-0000-0000402C0000}"/>
    <cellStyle name="20 % - Markeringsfarve4 2 8 6" xfId="11083" xr:uid="{00000000-0005-0000-0000-0000412C0000}"/>
    <cellStyle name="20 % - Markeringsfarve4 2 8 6 2" xfId="27402" xr:uid="{00000000-0005-0000-0000-0000422C0000}"/>
    <cellStyle name="20 % - Markeringsfarve4 2 8 6 3" xfId="42368" xr:uid="{00000000-0005-0000-0000-0000432C0000}"/>
    <cellStyle name="20 % - Markeringsfarve4 2 8 7" xfId="20380" xr:uid="{00000000-0005-0000-0000-0000442C0000}"/>
    <cellStyle name="20 % - Markeringsfarve4 2 8 8" xfId="35369" xr:uid="{00000000-0005-0000-0000-0000452C0000}"/>
    <cellStyle name="20 % - Markeringsfarve4 2 9" xfId="2531" xr:uid="{00000000-0005-0000-0000-0000462C0000}"/>
    <cellStyle name="20 % - Markeringsfarve4 2 9 2" xfId="2532" xr:uid="{00000000-0005-0000-0000-0000472C0000}"/>
    <cellStyle name="20 % - Markeringsfarve4 2 9 2 2" xfId="7521" xr:uid="{00000000-0005-0000-0000-0000482C0000}"/>
    <cellStyle name="20 % - Markeringsfarve4 2 9 2 2 2" xfId="15422" xr:uid="{00000000-0005-0000-0000-0000492C0000}"/>
    <cellStyle name="20 % - Markeringsfarve4 2 9 2 2 2 2" xfId="31736" xr:uid="{00000000-0005-0000-0000-00004A2C0000}"/>
    <cellStyle name="20 % - Markeringsfarve4 2 9 2 2 2 3" xfId="46700" xr:uid="{00000000-0005-0000-0000-00004B2C0000}"/>
    <cellStyle name="20 % - Markeringsfarve4 2 9 2 2 3" xfId="24714" xr:uid="{00000000-0005-0000-0000-00004C2C0000}"/>
    <cellStyle name="20 % - Markeringsfarve4 2 9 2 2 4" xfId="39701" xr:uid="{00000000-0005-0000-0000-00004D2C0000}"/>
    <cellStyle name="20 % - Markeringsfarve4 2 9 2 3" xfId="11089" xr:uid="{00000000-0005-0000-0000-00004E2C0000}"/>
    <cellStyle name="20 % - Markeringsfarve4 2 9 2 3 2" xfId="27408" xr:uid="{00000000-0005-0000-0000-00004F2C0000}"/>
    <cellStyle name="20 % - Markeringsfarve4 2 9 2 3 3" xfId="42374" xr:uid="{00000000-0005-0000-0000-0000502C0000}"/>
    <cellStyle name="20 % - Markeringsfarve4 2 9 2 4" xfId="20386" xr:uid="{00000000-0005-0000-0000-0000512C0000}"/>
    <cellStyle name="20 % - Markeringsfarve4 2 9 2 5" xfId="35375" xr:uid="{00000000-0005-0000-0000-0000522C0000}"/>
    <cellStyle name="20 % - Markeringsfarve4 2 9 3" xfId="6119" xr:uid="{00000000-0005-0000-0000-0000532C0000}"/>
    <cellStyle name="20 % - Markeringsfarve4 2 9 3 2" xfId="14036" xr:uid="{00000000-0005-0000-0000-0000542C0000}"/>
    <cellStyle name="20 % - Markeringsfarve4 2 9 3 2 2" xfId="30350" xr:uid="{00000000-0005-0000-0000-0000552C0000}"/>
    <cellStyle name="20 % - Markeringsfarve4 2 9 3 2 3" xfId="45314" xr:uid="{00000000-0005-0000-0000-0000562C0000}"/>
    <cellStyle name="20 % - Markeringsfarve4 2 9 3 3" xfId="23328" xr:uid="{00000000-0005-0000-0000-0000572C0000}"/>
    <cellStyle name="20 % - Markeringsfarve4 2 9 3 4" xfId="38315" xr:uid="{00000000-0005-0000-0000-0000582C0000}"/>
    <cellStyle name="20 % - Markeringsfarve4 2 9 4" xfId="11088" xr:uid="{00000000-0005-0000-0000-0000592C0000}"/>
    <cellStyle name="20 % - Markeringsfarve4 2 9 4 2" xfId="27407" xr:uid="{00000000-0005-0000-0000-00005A2C0000}"/>
    <cellStyle name="20 % - Markeringsfarve4 2 9 4 3" xfId="42373" xr:uid="{00000000-0005-0000-0000-00005B2C0000}"/>
    <cellStyle name="20 % - Markeringsfarve4 2 9 5" xfId="20385" xr:uid="{00000000-0005-0000-0000-00005C2C0000}"/>
    <cellStyle name="20 % - Markeringsfarve4 2 9 6" xfId="35374" xr:uid="{00000000-0005-0000-0000-00005D2C0000}"/>
    <cellStyle name="20 % - Markeringsfarve4 3" xfId="2533" xr:uid="{00000000-0005-0000-0000-00005E2C0000}"/>
    <cellStyle name="20 % - Markeringsfarve4 3 10" xfId="2534" xr:uid="{00000000-0005-0000-0000-00005F2C0000}"/>
    <cellStyle name="20 % - Markeringsfarve4 3 10 2" xfId="6734" xr:uid="{00000000-0005-0000-0000-0000602C0000}"/>
    <cellStyle name="20 % - Markeringsfarve4 3 10 2 2" xfId="14646" xr:uid="{00000000-0005-0000-0000-0000612C0000}"/>
    <cellStyle name="20 % - Markeringsfarve4 3 10 2 2 2" xfId="30960" xr:uid="{00000000-0005-0000-0000-0000622C0000}"/>
    <cellStyle name="20 % - Markeringsfarve4 3 10 2 2 3" xfId="45924" xr:uid="{00000000-0005-0000-0000-0000632C0000}"/>
    <cellStyle name="20 % - Markeringsfarve4 3 10 2 3" xfId="23938" xr:uid="{00000000-0005-0000-0000-0000642C0000}"/>
    <cellStyle name="20 % - Markeringsfarve4 3 10 2 4" xfId="38925" xr:uid="{00000000-0005-0000-0000-0000652C0000}"/>
    <cellStyle name="20 % - Markeringsfarve4 3 10 3" xfId="11091" xr:uid="{00000000-0005-0000-0000-0000662C0000}"/>
    <cellStyle name="20 % - Markeringsfarve4 3 10 3 2" xfId="27410" xr:uid="{00000000-0005-0000-0000-0000672C0000}"/>
    <cellStyle name="20 % - Markeringsfarve4 3 10 3 3" xfId="42376" xr:uid="{00000000-0005-0000-0000-0000682C0000}"/>
    <cellStyle name="20 % - Markeringsfarve4 3 10 4" xfId="20388" xr:uid="{00000000-0005-0000-0000-0000692C0000}"/>
    <cellStyle name="20 % - Markeringsfarve4 3 10 5" xfId="35377" xr:uid="{00000000-0005-0000-0000-00006A2C0000}"/>
    <cellStyle name="20 % - Markeringsfarve4 3 11" xfId="2535" xr:uid="{00000000-0005-0000-0000-00006B2C0000}"/>
    <cellStyle name="20 % - Markeringsfarve4 3 11 2" xfId="8722" xr:uid="{00000000-0005-0000-0000-00006C2C0000}"/>
    <cellStyle name="20 % - Markeringsfarve4 3 11 2 2" xfId="16602" xr:uid="{00000000-0005-0000-0000-00006D2C0000}"/>
    <cellStyle name="20 % - Markeringsfarve4 3 11 2 2 2" xfId="32916" xr:uid="{00000000-0005-0000-0000-00006E2C0000}"/>
    <cellStyle name="20 % - Markeringsfarve4 3 11 2 2 3" xfId="47880" xr:uid="{00000000-0005-0000-0000-00006F2C0000}"/>
    <cellStyle name="20 % - Markeringsfarve4 3 11 2 3" xfId="25894" xr:uid="{00000000-0005-0000-0000-0000702C0000}"/>
    <cellStyle name="20 % - Markeringsfarve4 3 11 2 4" xfId="40881" xr:uid="{00000000-0005-0000-0000-0000712C0000}"/>
    <cellStyle name="20 % - Markeringsfarve4 3 11 3" xfId="11092" xr:uid="{00000000-0005-0000-0000-0000722C0000}"/>
    <cellStyle name="20 % - Markeringsfarve4 3 11 3 2" xfId="27411" xr:uid="{00000000-0005-0000-0000-0000732C0000}"/>
    <cellStyle name="20 % - Markeringsfarve4 3 11 3 3" xfId="42377" xr:uid="{00000000-0005-0000-0000-0000742C0000}"/>
    <cellStyle name="20 % - Markeringsfarve4 3 11 4" xfId="20389" xr:uid="{00000000-0005-0000-0000-0000752C0000}"/>
    <cellStyle name="20 % - Markeringsfarve4 3 11 5" xfId="35378" xr:uid="{00000000-0005-0000-0000-0000762C0000}"/>
    <cellStyle name="20 % - Markeringsfarve4 3 12" xfId="5599" xr:uid="{00000000-0005-0000-0000-0000772C0000}"/>
    <cellStyle name="20 % - Markeringsfarve4 3 12 2" xfId="13517" xr:uid="{00000000-0005-0000-0000-0000782C0000}"/>
    <cellStyle name="20 % - Markeringsfarve4 3 12 2 2" xfId="29831" xr:uid="{00000000-0005-0000-0000-0000792C0000}"/>
    <cellStyle name="20 % - Markeringsfarve4 3 12 2 3" xfId="44795" xr:uid="{00000000-0005-0000-0000-00007A2C0000}"/>
    <cellStyle name="20 % - Markeringsfarve4 3 12 3" xfId="22809" xr:uid="{00000000-0005-0000-0000-00007B2C0000}"/>
    <cellStyle name="20 % - Markeringsfarve4 3 12 4" xfId="37796" xr:uid="{00000000-0005-0000-0000-00007C2C0000}"/>
    <cellStyle name="20 % - Markeringsfarve4 3 13" xfId="11090" xr:uid="{00000000-0005-0000-0000-00007D2C0000}"/>
    <cellStyle name="20 % - Markeringsfarve4 3 13 2" xfId="27409" xr:uid="{00000000-0005-0000-0000-00007E2C0000}"/>
    <cellStyle name="20 % - Markeringsfarve4 3 13 3" xfId="42375" xr:uid="{00000000-0005-0000-0000-00007F2C0000}"/>
    <cellStyle name="20 % - Markeringsfarve4 3 14" xfId="20387" xr:uid="{00000000-0005-0000-0000-0000802C0000}"/>
    <cellStyle name="20 % - Markeringsfarve4 3 15" xfId="35376" xr:uid="{00000000-0005-0000-0000-0000812C0000}"/>
    <cellStyle name="20 % - Markeringsfarve4 3 16" xfId="53358" xr:uid="{00000000-0005-0000-0000-0000822C0000}"/>
    <cellStyle name="20 % - Markeringsfarve4 3 2" xfId="2536" xr:uid="{00000000-0005-0000-0000-0000832C0000}"/>
    <cellStyle name="20 % - Markeringsfarve4 3 2 10" xfId="5600" xr:uid="{00000000-0005-0000-0000-0000842C0000}"/>
    <cellStyle name="20 % - Markeringsfarve4 3 2 10 2" xfId="13518" xr:uid="{00000000-0005-0000-0000-0000852C0000}"/>
    <cellStyle name="20 % - Markeringsfarve4 3 2 10 2 2" xfId="29832" xr:uid="{00000000-0005-0000-0000-0000862C0000}"/>
    <cellStyle name="20 % - Markeringsfarve4 3 2 10 2 3" xfId="44796" xr:uid="{00000000-0005-0000-0000-0000872C0000}"/>
    <cellStyle name="20 % - Markeringsfarve4 3 2 10 3" xfId="22810" xr:uid="{00000000-0005-0000-0000-0000882C0000}"/>
    <cellStyle name="20 % - Markeringsfarve4 3 2 10 4" xfId="37797" xr:uid="{00000000-0005-0000-0000-0000892C0000}"/>
    <cellStyle name="20 % - Markeringsfarve4 3 2 11" xfId="11093" xr:uid="{00000000-0005-0000-0000-00008A2C0000}"/>
    <cellStyle name="20 % - Markeringsfarve4 3 2 11 2" xfId="27412" xr:uid="{00000000-0005-0000-0000-00008B2C0000}"/>
    <cellStyle name="20 % - Markeringsfarve4 3 2 11 3" xfId="42378" xr:uid="{00000000-0005-0000-0000-00008C2C0000}"/>
    <cellStyle name="20 % - Markeringsfarve4 3 2 12" xfId="20390" xr:uid="{00000000-0005-0000-0000-00008D2C0000}"/>
    <cellStyle name="20 % - Markeringsfarve4 3 2 13" xfId="35379" xr:uid="{00000000-0005-0000-0000-00008E2C0000}"/>
    <cellStyle name="20 % - Markeringsfarve4 3 2 14" xfId="53995" xr:uid="{00000000-0005-0000-0000-00008F2C0000}"/>
    <cellStyle name="20 % - Markeringsfarve4 3 2 2" xfId="2537" xr:uid="{00000000-0005-0000-0000-0000902C0000}"/>
    <cellStyle name="20 % - Markeringsfarve4 3 2 2 2" xfId="2538" xr:uid="{00000000-0005-0000-0000-0000912C0000}"/>
    <cellStyle name="20 % - Markeringsfarve4 3 2 2 2 2" xfId="2539" xr:uid="{00000000-0005-0000-0000-0000922C0000}"/>
    <cellStyle name="20 % - Markeringsfarve4 3 2 2 2 2 2" xfId="7667" xr:uid="{00000000-0005-0000-0000-0000932C0000}"/>
    <cellStyle name="20 % - Markeringsfarve4 3 2 2 2 2 2 2" xfId="15568" xr:uid="{00000000-0005-0000-0000-0000942C0000}"/>
    <cellStyle name="20 % - Markeringsfarve4 3 2 2 2 2 2 2 2" xfId="31882" xr:uid="{00000000-0005-0000-0000-0000952C0000}"/>
    <cellStyle name="20 % - Markeringsfarve4 3 2 2 2 2 2 2 3" xfId="46846" xr:uid="{00000000-0005-0000-0000-0000962C0000}"/>
    <cellStyle name="20 % - Markeringsfarve4 3 2 2 2 2 2 3" xfId="24860" xr:uid="{00000000-0005-0000-0000-0000972C0000}"/>
    <cellStyle name="20 % - Markeringsfarve4 3 2 2 2 2 2 4" xfId="39847" xr:uid="{00000000-0005-0000-0000-0000982C0000}"/>
    <cellStyle name="20 % - Markeringsfarve4 3 2 2 2 2 3" xfId="11096" xr:uid="{00000000-0005-0000-0000-0000992C0000}"/>
    <cellStyle name="20 % - Markeringsfarve4 3 2 2 2 2 3 2" xfId="27415" xr:uid="{00000000-0005-0000-0000-00009A2C0000}"/>
    <cellStyle name="20 % - Markeringsfarve4 3 2 2 2 2 3 3" xfId="42381" xr:uid="{00000000-0005-0000-0000-00009B2C0000}"/>
    <cellStyle name="20 % - Markeringsfarve4 3 2 2 2 2 4" xfId="20393" xr:uid="{00000000-0005-0000-0000-00009C2C0000}"/>
    <cellStyle name="20 % - Markeringsfarve4 3 2 2 2 2 5" xfId="35382" xr:uid="{00000000-0005-0000-0000-00009D2C0000}"/>
    <cellStyle name="20 % - Markeringsfarve4 3 2 2 2 3" xfId="6241" xr:uid="{00000000-0005-0000-0000-00009E2C0000}"/>
    <cellStyle name="20 % - Markeringsfarve4 3 2 2 2 3 2" xfId="14158" xr:uid="{00000000-0005-0000-0000-00009F2C0000}"/>
    <cellStyle name="20 % - Markeringsfarve4 3 2 2 2 3 2 2" xfId="30472" xr:uid="{00000000-0005-0000-0000-0000A02C0000}"/>
    <cellStyle name="20 % - Markeringsfarve4 3 2 2 2 3 2 3" xfId="45436" xr:uid="{00000000-0005-0000-0000-0000A12C0000}"/>
    <cellStyle name="20 % - Markeringsfarve4 3 2 2 2 3 3" xfId="23450" xr:uid="{00000000-0005-0000-0000-0000A22C0000}"/>
    <cellStyle name="20 % - Markeringsfarve4 3 2 2 2 3 4" xfId="38437" xr:uid="{00000000-0005-0000-0000-0000A32C0000}"/>
    <cellStyle name="20 % - Markeringsfarve4 3 2 2 2 4" xfId="11095" xr:uid="{00000000-0005-0000-0000-0000A42C0000}"/>
    <cellStyle name="20 % - Markeringsfarve4 3 2 2 2 4 2" xfId="27414" xr:uid="{00000000-0005-0000-0000-0000A52C0000}"/>
    <cellStyle name="20 % - Markeringsfarve4 3 2 2 2 4 3" xfId="42380" xr:uid="{00000000-0005-0000-0000-0000A62C0000}"/>
    <cellStyle name="20 % - Markeringsfarve4 3 2 2 2 5" xfId="20392" xr:uid="{00000000-0005-0000-0000-0000A72C0000}"/>
    <cellStyle name="20 % - Markeringsfarve4 3 2 2 2 6" xfId="35381" xr:uid="{00000000-0005-0000-0000-0000A82C0000}"/>
    <cellStyle name="20 % - Markeringsfarve4 3 2 2 3" xfId="2540" xr:uid="{00000000-0005-0000-0000-0000A92C0000}"/>
    <cellStyle name="20 % - Markeringsfarve4 3 2 2 3 2" xfId="6897" xr:uid="{00000000-0005-0000-0000-0000AA2C0000}"/>
    <cellStyle name="20 % - Markeringsfarve4 3 2 2 3 2 2" xfId="14808" xr:uid="{00000000-0005-0000-0000-0000AB2C0000}"/>
    <cellStyle name="20 % - Markeringsfarve4 3 2 2 3 2 2 2" xfId="31122" xr:uid="{00000000-0005-0000-0000-0000AC2C0000}"/>
    <cellStyle name="20 % - Markeringsfarve4 3 2 2 3 2 2 3" xfId="46086" xr:uid="{00000000-0005-0000-0000-0000AD2C0000}"/>
    <cellStyle name="20 % - Markeringsfarve4 3 2 2 3 2 3" xfId="24100" xr:uid="{00000000-0005-0000-0000-0000AE2C0000}"/>
    <cellStyle name="20 % - Markeringsfarve4 3 2 2 3 2 4" xfId="39087" xr:uid="{00000000-0005-0000-0000-0000AF2C0000}"/>
    <cellStyle name="20 % - Markeringsfarve4 3 2 2 3 3" xfId="11097" xr:uid="{00000000-0005-0000-0000-0000B02C0000}"/>
    <cellStyle name="20 % - Markeringsfarve4 3 2 2 3 3 2" xfId="27416" xr:uid="{00000000-0005-0000-0000-0000B12C0000}"/>
    <cellStyle name="20 % - Markeringsfarve4 3 2 2 3 3 3" xfId="42382" xr:uid="{00000000-0005-0000-0000-0000B22C0000}"/>
    <cellStyle name="20 % - Markeringsfarve4 3 2 2 3 4" xfId="20394" xr:uid="{00000000-0005-0000-0000-0000B32C0000}"/>
    <cellStyle name="20 % - Markeringsfarve4 3 2 2 3 5" xfId="35383" xr:uid="{00000000-0005-0000-0000-0000B42C0000}"/>
    <cellStyle name="20 % - Markeringsfarve4 3 2 2 4" xfId="2541" xr:uid="{00000000-0005-0000-0000-0000B52C0000}"/>
    <cellStyle name="20 % - Markeringsfarve4 3 2 2 4 2" xfId="8682" xr:uid="{00000000-0005-0000-0000-0000B62C0000}"/>
    <cellStyle name="20 % - Markeringsfarve4 3 2 2 4 2 2" xfId="16563" xr:uid="{00000000-0005-0000-0000-0000B72C0000}"/>
    <cellStyle name="20 % - Markeringsfarve4 3 2 2 4 2 2 2" xfId="32877" xr:uid="{00000000-0005-0000-0000-0000B82C0000}"/>
    <cellStyle name="20 % - Markeringsfarve4 3 2 2 4 2 2 3" xfId="47841" xr:uid="{00000000-0005-0000-0000-0000B92C0000}"/>
    <cellStyle name="20 % - Markeringsfarve4 3 2 2 4 2 3" xfId="25855" xr:uid="{00000000-0005-0000-0000-0000BA2C0000}"/>
    <cellStyle name="20 % - Markeringsfarve4 3 2 2 4 2 4" xfId="40842" xr:uid="{00000000-0005-0000-0000-0000BB2C0000}"/>
    <cellStyle name="20 % - Markeringsfarve4 3 2 2 4 3" xfId="11098" xr:uid="{00000000-0005-0000-0000-0000BC2C0000}"/>
    <cellStyle name="20 % - Markeringsfarve4 3 2 2 4 3 2" xfId="27417" xr:uid="{00000000-0005-0000-0000-0000BD2C0000}"/>
    <cellStyle name="20 % - Markeringsfarve4 3 2 2 4 3 3" xfId="42383" xr:uid="{00000000-0005-0000-0000-0000BE2C0000}"/>
    <cellStyle name="20 % - Markeringsfarve4 3 2 2 4 4" xfId="20395" xr:uid="{00000000-0005-0000-0000-0000BF2C0000}"/>
    <cellStyle name="20 % - Markeringsfarve4 3 2 2 4 5" xfId="35384" xr:uid="{00000000-0005-0000-0000-0000C02C0000}"/>
    <cellStyle name="20 % - Markeringsfarve4 3 2 2 5" xfId="5601" xr:uid="{00000000-0005-0000-0000-0000C12C0000}"/>
    <cellStyle name="20 % - Markeringsfarve4 3 2 2 5 2" xfId="13519" xr:uid="{00000000-0005-0000-0000-0000C22C0000}"/>
    <cellStyle name="20 % - Markeringsfarve4 3 2 2 5 2 2" xfId="29833" xr:uid="{00000000-0005-0000-0000-0000C32C0000}"/>
    <cellStyle name="20 % - Markeringsfarve4 3 2 2 5 2 3" xfId="44797" xr:uid="{00000000-0005-0000-0000-0000C42C0000}"/>
    <cellStyle name="20 % - Markeringsfarve4 3 2 2 5 3" xfId="22811" xr:uid="{00000000-0005-0000-0000-0000C52C0000}"/>
    <cellStyle name="20 % - Markeringsfarve4 3 2 2 5 4" xfId="37798" xr:uid="{00000000-0005-0000-0000-0000C62C0000}"/>
    <cellStyle name="20 % - Markeringsfarve4 3 2 2 6" xfId="11094" xr:uid="{00000000-0005-0000-0000-0000C72C0000}"/>
    <cellStyle name="20 % - Markeringsfarve4 3 2 2 6 2" xfId="27413" xr:uid="{00000000-0005-0000-0000-0000C82C0000}"/>
    <cellStyle name="20 % - Markeringsfarve4 3 2 2 6 3" xfId="42379" xr:uid="{00000000-0005-0000-0000-0000C92C0000}"/>
    <cellStyle name="20 % - Markeringsfarve4 3 2 2 7" xfId="20391" xr:uid="{00000000-0005-0000-0000-0000CA2C0000}"/>
    <cellStyle name="20 % - Markeringsfarve4 3 2 2 8" xfId="35380" xr:uid="{00000000-0005-0000-0000-0000CB2C0000}"/>
    <cellStyle name="20 % - Markeringsfarve4 3 2 2 9" xfId="57162" xr:uid="{00000000-0005-0000-0000-0000CC2C0000}"/>
    <cellStyle name="20 % - Markeringsfarve4 3 2 3" xfId="2542" xr:uid="{00000000-0005-0000-0000-0000CD2C0000}"/>
    <cellStyle name="20 % - Markeringsfarve4 3 2 3 2" xfId="2543" xr:uid="{00000000-0005-0000-0000-0000CE2C0000}"/>
    <cellStyle name="20 % - Markeringsfarve4 3 2 3 2 2" xfId="2544" xr:uid="{00000000-0005-0000-0000-0000CF2C0000}"/>
    <cellStyle name="20 % - Markeringsfarve4 3 2 3 2 2 2" xfId="7757" xr:uid="{00000000-0005-0000-0000-0000D02C0000}"/>
    <cellStyle name="20 % - Markeringsfarve4 3 2 3 2 2 2 2" xfId="15658" xr:uid="{00000000-0005-0000-0000-0000D12C0000}"/>
    <cellStyle name="20 % - Markeringsfarve4 3 2 3 2 2 2 2 2" xfId="31972" xr:uid="{00000000-0005-0000-0000-0000D22C0000}"/>
    <cellStyle name="20 % - Markeringsfarve4 3 2 3 2 2 2 2 3" xfId="46936" xr:uid="{00000000-0005-0000-0000-0000D32C0000}"/>
    <cellStyle name="20 % - Markeringsfarve4 3 2 3 2 2 2 3" xfId="24950" xr:uid="{00000000-0005-0000-0000-0000D42C0000}"/>
    <cellStyle name="20 % - Markeringsfarve4 3 2 3 2 2 2 4" xfId="39937" xr:uid="{00000000-0005-0000-0000-0000D52C0000}"/>
    <cellStyle name="20 % - Markeringsfarve4 3 2 3 2 2 3" xfId="11101" xr:uid="{00000000-0005-0000-0000-0000D62C0000}"/>
    <cellStyle name="20 % - Markeringsfarve4 3 2 3 2 2 3 2" xfId="27420" xr:uid="{00000000-0005-0000-0000-0000D72C0000}"/>
    <cellStyle name="20 % - Markeringsfarve4 3 2 3 2 2 3 3" xfId="42386" xr:uid="{00000000-0005-0000-0000-0000D82C0000}"/>
    <cellStyle name="20 % - Markeringsfarve4 3 2 3 2 2 4" xfId="20398" xr:uid="{00000000-0005-0000-0000-0000D92C0000}"/>
    <cellStyle name="20 % - Markeringsfarve4 3 2 3 2 2 5" xfId="35387" xr:uid="{00000000-0005-0000-0000-0000DA2C0000}"/>
    <cellStyle name="20 % - Markeringsfarve4 3 2 3 2 3" xfId="6321" xr:uid="{00000000-0005-0000-0000-0000DB2C0000}"/>
    <cellStyle name="20 % - Markeringsfarve4 3 2 3 2 3 2" xfId="14238" xr:uid="{00000000-0005-0000-0000-0000DC2C0000}"/>
    <cellStyle name="20 % - Markeringsfarve4 3 2 3 2 3 2 2" xfId="30552" xr:uid="{00000000-0005-0000-0000-0000DD2C0000}"/>
    <cellStyle name="20 % - Markeringsfarve4 3 2 3 2 3 2 3" xfId="45516" xr:uid="{00000000-0005-0000-0000-0000DE2C0000}"/>
    <cellStyle name="20 % - Markeringsfarve4 3 2 3 2 3 3" xfId="23530" xr:uid="{00000000-0005-0000-0000-0000DF2C0000}"/>
    <cellStyle name="20 % - Markeringsfarve4 3 2 3 2 3 4" xfId="38517" xr:uid="{00000000-0005-0000-0000-0000E02C0000}"/>
    <cellStyle name="20 % - Markeringsfarve4 3 2 3 2 4" xfId="11100" xr:uid="{00000000-0005-0000-0000-0000E12C0000}"/>
    <cellStyle name="20 % - Markeringsfarve4 3 2 3 2 4 2" xfId="27419" xr:uid="{00000000-0005-0000-0000-0000E22C0000}"/>
    <cellStyle name="20 % - Markeringsfarve4 3 2 3 2 4 3" xfId="42385" xr:uid="{00000000-0005-0000-0000-0000E32C0000}"/>
    <cellStyle name="20 % - Markeringsfarve4 3 2 3 2 5" xfId="20397" xr:uid="{00000000-0005-0000-0000-0000E42C0000}"/>
    <cellStyle name="20 % - Markeringsfarve4 3 2 3 2 6" xfId="35386" xr:uid="{00000000-0005-0000-0000-0000E52C0000}"/>
    <cellStyle name="20 % - Markeringsfarve4 3 2 3 3" xfId="2545" xr:uid="{00000000-0005-0000-0000-0000E62C0000}"/>
    <cellStyle name="20 % - Markeringsfarve4 3 2 3 3 2" xfId="6987" xr:uid="{00000000-0005-0000-0000-0000E72C0000}"/>
    <cellStyle name="20 % - Markeringsfarve4 3 2 3 3 2 2" xfId="14898" xr:uid="{00000000-0005-0000-0000-0000E82C0000}"/>
    <cellStyle name="20 % - Markeringsfarve4 3 2 3 3 2 2 2" xfId="31212" xr:uid="{00000000-0005-0000-0000-0000E92C0000}"/>
    <cellStyle name="20 % - Markeringsfarve4 3 2 3 3 2 2 3" xfId="46176" xr:uid="{00000000-0005-0000-0000-0000EA2C0000}"/>
    <cellStyle name="20 % - Markeringsfarve4 3 2 3 3 2 3" xfId="24190" xr:uid="{00000000-0005-0000-0000-0000EB2C0000}"/>
    <cellStyle name="20 % - Markeringsfarve4 3 2 3 3 2 4" xfId="39177" xr:uid="{00000000-0005-0000-0000-0000EC2C0000}"/>
    <cellStyle name="20 % - Markeringsfarve4 3 2 3 3 3" xfId="11102" xr:uid="{00000000-0005-0000-0000-0000ED2C0000}"/>
    <cellStyle name="20 % - Markeringsfarve4 3 2 3 3 3 2" xfId="27421" xr:uid="{00000000-0005-0000-0000-0000EE2C0000}"/>
    <cellStyle name="20 % - Markeringsfarve4 3 2 3 3 3 3" xfId="42387" xr:uid="{00000000-0005-0000-0000-0000EF2C0000}"/>
    <cellStyle name="20 % - Markeringsfarve4 3 2 3 3 4" xfId="20399" xr:uid="{00000000-0005-0000-0000-0000F02C0000}"/>
    <cellStyle name="20 % - Markeringsfarve4 3 2 3 3 5" xfId="35388" xr:uid="{00000000-0005-0000-0000-0000F12C0000}"/>
    <cellStyle name="20 % - Markeringsfarve4 3 2 3 4" xfId="2546" xr:uid="{00000000-0005-0000-0000-0000F22C0000}"/>
    <cellStyle name="20 % - Markeringsfarve4 3 2 3 4 2" xfId="8406" xr:uid="{00000000-0005-0000-0000-0000F32C0000}"/>
    <cellStyle name="20 % - Markeringsfarve4 3 2 3 4 2 2" xfId="16299" xr:uid="{00000000-0005-0000-0000-0000F42C0000}"/>
    <cellStyle name="20 % - Markeringsfarve4 3 2 3 4 2 2 2" xfId="32613" xr:uid="{00000000-0005-0000-0000-0000F52C0000}"/>
    <cellStyle name="20 % - Markeringsfarve4 3 2 3 4 2 2 3" xfId="47577" xr:uid="{00000000-0005-0000-0000-0000F62C0000}"/>
    <cellStyle name="20 % - Markeringsfarve4 3 2 3 4 2 3" xfId="25591" xr:uid="{00000000-0005-0000-0000-0000F72C0000}"/>
    <cellStyle name="20 % - Markeringsfarve4 3 2 3 4 2 4" xfId="40578" xr:uid="{00000000-0005-0000-0000-0000F82C0000}"/>
    <cellStyle name="20 % - Markeringsfarve4 3 2 3 4 3" xfId="11103" xr:uid="{00000000-0005-0000-0000-0000F92C0000}"/>
    <cellStyle name="20 % - Markeringsfarve4 3 2 3 4 3 2" xfId="27422" xr:uid="{00000000-0005-0000-0000-0000FA2C0000}"/>
    <cellStyle name="20 % - Markeringsfarve4 3 2 3 4 3 3" xfId="42388" xr:uid="{00000000-0005-0000-0000-0000FB2C0000}"/>
    <cellStyle name="20 % - Markeringsfarve4 3 2 3 4 4" xfId="20400" xr:uid="{00000000-0005-0000-0000-0000FC2C0000}"/>
    <cellStyle name="20 % - Markeringsfarve4 3 2 3 4 5" xfId="35389" xr:uid="{00000000-0005-0000-0000-0000FD2C0000}"/>
    <cellStyle name="20 % - Markeringsfarve4 3 2 3 5" xfId="5602" xr:uid="{00000000-0005-0000-0000-0000FE2C0000}"/>
    <cellStyle name="20 % - Markeringsfarve4 3 2 3 5 2" xfId="13520" xr:uid="{00000000-0005-0000-0000-0000FF2C0000}"/>
    <cellStyle name="20 % - Markeringsfarve4 3 2 3 5 2 2" xfId="29834" xr:uid="{00000000-0005-0000-0000-0000002D0000}"/>
    <cellStyle name="20 % - Markeringsfarve4 3 2 3 5 2 3" xfId="44798" xr:uid="{00000000-0005-0000-0000-0000012D0000}"/>
    <cellStyle name="20 % - Markeringsfarve4 3 2 3 5 3" xfId="22812" xr:uid="{00000000-0005-0000-0000-0000022D0000}"/>
    <cellStyle name="20 % - Markeringsfarve4 3 2 3 5 4" xfId="37799" xr:uid="{00000000-0005-0000-0000-0000032D0000}"/>
    <cellStyle name="20 % - Markeringsfarve4 3 2 3 6" xfId="11099" xr:uid="{00000000-0005-0000-0000-0000042D0000}"/>
    <cellStyle name="20 % - Markeringsfarve4 3 2 3 6 2" xfId="27418" xr:uid="{00000000-0005-0000-0000-0000052D0000}"/>
    <cellStyle name="20 % - Markeringsfarve4 3 2 3 6 3" xfId="42384" xr:uid="{00000000-0005-0000-0000-0000062D0000}"/>
    <cellStyle name="20 % - Markeringsfarve4 3 2 3 7" xfId="20396" xr:uid="{00000000-0005-0000-0000-0000072D0000}"/>
    <cellStyle name="20 % - Markeringsfarve4 3 2 3 8" xfId="35385" xr:uid="{00000000-0005-0000-0000-0000082D0000}"/>
    <cellStyle name="20 % - Markeringsfarve4 3 2 4" xfId="2547" xr:uid="{00000000-0005-0000-0000-0000092D0000}"/>
    <cellStyle name="20 % - Markeringsfarve4 3 2 4 2" xfId="2548" xr:uid="{00000000-0005-0000-0000-00000A2D0000}"/>
    <cellStyle name="20 % - Markeringsfarve4 3 2 4 2 2" xfId="2549" xr:uid="{00000000-0005-0000-0000-00000B2D0000}"/>
    <cellStyle name="20 % - Markeringsfarve4 3 2 4 2 2 2" xfId="7905" xr:uid="{00000000-0005-0000-0000-00000C2D0000}"/>
    <cellStyle name="20 % - Markeringsfarve4 3 2 4 2 2 2 2" xfId="15806" xr:uid="{00000000-0005-0000-0000-00000D2D0000}"/>
    <cellStyle name="20 % - Markeringsfarve4 3 2 4 2 2 2 2 2" xfId="32120" xr:uid="{00000000-0005-0000-0000-00000E2D0000}"/>
    <cellStyle name="20 % - Markeringsfarve4 3 2 4 2 2 2 2 3" xfId="47084" xr:uid="{00000000-0005-0000-0000-00000F2D0000}"/>
    <cellStyle name="20 % - Markeringsfarve4 3 2 4 2 2 2 3" xfId="25098" xr:uid="{00000000-0005-0000-0000-0000102D0000}"/>
    <cellStyle name="20 % - Markeringsfarve4 3 2 4 2 2 2 4" xfId="40085" xr:uid="{00000000-0005-0000-0000-0000112D0000}"/>
    <cellStyle name="20 % - Markeringsfarve4 3 2 4 2 2 3" xfId="11106" xr:uid="{00000000-0005-0000-0000-0000122D0000}"/>
    <cellStyle name="20 % - Markeringsfarve4 3 2 4 2 2 3 2" xfId="27425" xr:uid="{00000000-0005-0000-0000-0000132D0000}"/>
    <cellStyle name="20 % - Markeringsfarve4 3 2 4 2 2 3 3" xfId="42391" xr:uid="{00000000-0005-0000-0000-0000142D0000}"/>
    <cellStyle name="20 % - Markeringsfarve4 3 2 4 2 2 4" xfId="20403" xr:uid="{00000000-0005-0000-0000-0000152D0000}"/>
    <cellStyle name="20 % - Markeringsfarve4 3 2 4 2 2 5" xfId="35392" xr:uid="{00000000-0005-0000-0000-0000162D0000}"/>
    <cellStyle name="20 % - Markeringsfarve4 3 2 4 2 3" xfId="6443" xr:uid="{00000000-0005-0000-0000-0000172D0000}"/>
    <cellStyle name="20 % - Markeringsfarve4 3 2 4 2 3 2" xfId="14357" xr:uid="{00000000-0005-0000-0000-0000182D0000}"/>
    <cellStyle name="20 % - Markeringsfarve4 3 2 4 2 3 2 2" xfId="30671" xr:uid="{00000000-0005-0000-0000-0000192D0000}"/>
    <cellStyle name="20 % - Markeringsfarve4 3 2 4 2 3 2 3" xfId="45635" xr:uid="{00000000-0005-0000-0000-00001A2D0000}"/>
    <cellStyle name="20 % - Markeringsfarve4 3 2 4 2 3 3" xfId="23649" xr:uid="{00000000-0005-0000-0000-00001B2D0000}"/>
    <cellStyle name="20 % - Markeringsfarve4 3 2 4 2 3 4" xfId="38636" xr:uid="{00000000-0005-0000-0000-00001C2D0000}"/>
    <cellStyle name="20 % - Markeringsfarve4 3 2 4 2 4" xfId="11105" xr:uid="{00000000-0005-0000-0000-00001D2D0000}"/>
    <cellStyle name="20 % - Markeringsfarve4 3 2 4 2 4 2" xfId="27424" xr:uid="{00000000-0005-0000-0000-00001E2D0000}"/>
    <cellStyle name="20 % - Markeringsfarve4 3 2 4 2 4 3" xfId="42390" xr:uid="{00000000-0005-0000-0000-00001F2D0000}"/>
    <cellStyle name="20 % - Markeringsfarve4 3 2 4 2 5" xfId="20402" xr:uid="{00000000-0005-0000-0000-0000202D0000}"/>
    <cellStyle name="20 % - Markeringsfarve4 3 2 4 2 6" xfId="35391" xr:uid="{00000000-0005-0000-0000-0000212D0000}"/>
    <cellStyle name="20 % - Markeringsfarve4 3 2 4 3" xfId="2550" xr:uid="{00000000-0005-0000-0000-0000222D0000}"/>
    <cellStyle name="20 % - Markeringsfarve4 3 2 4 3 2" xfId="7181" xr:uid="{00000000-0005-0000-0000-0000232D0000}"/>
    <cellStyle name="20 % - Markeringsfarve4 3 2 4 3 2 2" xfId="15091" xr:uid="{00000000-0005-0000-0000-0000242D0000}"/>
    <cellStyle name="20 % - Markeringsfarve4 3 2 4 3 2 2 2" xfId="31405" xr:uid="{00000000-0005-0000-0000-0000252D0000}"/>
    <cellStyle name="20 % - Markeringsfarve4 3 2 4 3 2 2 3" xfId="46369" xr:uid="{00000000-0005-0000-0000-0000262D0000}"/>
    <cellStyle name="20 % - Markeringsfarve4 3 2 4 3 2 3" xfId="24383" xr:uid="{00000000-0005-0000-0000-0000272D0000}"/>
    <cellStyle name="20 % - Markeringsfarve4 3 2 4 3 2 4" xfId="39370" xr:uid="{00000000-0005-0000-0000-0000282D0000}"/>
    <cellStyle name="20 % - Markeringsfarve4 3 2 4 3 3" xfId="11107" xr:uid="{00000000-0005-0000-0000-0000292D0000}"/>
    <cellStyle name="20 % - Markeringsfarve4 3 2 4 3 3 2" xfId="27426" xr:uid="{00000000-0005-0000-0000-00002A2D0000}"/>
    <cellStyle name="20 % - Markeringsfarve4 3 2 4 3 3 3" xfId="42392" xr:uid="{00000000-0005-0000-0000-00002B2D0000}"/>
    <cellStyle name="20 % - Markeringsfarve4 3 2 4 3 4" xfId="20404" xr:uid="{00000000-0005-0000-0000-00002C2D0000}"/>
    <cellStyle name="20 % - Markeringsfarve4 3 2 4 3 5" xfId="35393" xr:uid="{00000000-0005-0000-0000-00002D2D0000}"/>
    <cellStyle name="20 % - Markeringsfarve4 3 2 4 4" xfId="2551" xr:uid="{00000000-0005-0000-0000-00002E2D0000}"/>
    <cellStyle name="20 % - Markeringsfarve4 3 2 4 4 2" xfId="8654" xr:uid="{00000000-0005-0000-0000-00002F2D0000}"/>
    <cellStyle name="20 % - Markeringsfarve4 3 2 4 4 2 2" xfId="16537" xr:uid="{00000000-0005-0000-0000-0000302D0000}"/>
    <cellStyle name="20 % - Markeringsfarve4 3 2 4 4 2 2 2" xfId="32851" xr:uid="{00000000-0005-0000-0000-0000312D0000}"/>
    <cellStyle name="20 % - Markeringsfarve4 3 2 4 4 2 2 3" xfId="47815" xr:uid="{00000000-0005-0000-0000-0000322D0000}"/>
    <cellStyle name="20 % - Markeringsfarve4 3 2 4 4 2 3" xfId="25829" xr:uid="{00000000-0005-0000-0000-0000332D0000}"/>
    <cellStyle name="20 % - Markeringsfarve4 3 2 4 4 2 4" xfId="40816" xr:uid="{00000000-0005-0000-0000-0000342D0000}"/>
    <cellStyle name="20 % - Markeringsfarve4 3 2 4 4 3" xfId="11108" xr:uid="{00000000-0005-0000-0000-0000352D0000}"/>
    <cellStyle name="20 % - Markeringsfarve4 3 2 4 4 3 2" xfId="27427" xr:uid="{00000000-0005-0000-0000-0000362D0000}"/>
    <cellStyle name="20 % - Markeringsfarve4 3 2 4 4 3 3" xfId="42393" xr:uid="{00000000-0005-0000-0000-0000372D0000}"/>
    <cellStyle name="20 % - Markeringsfarve4 3 2 4 4 4" xfId="20405" xr:uid="{00000000-0005-0000-0000-0000382D0000}"/>
    <cellStyle name="20 % - Markeringsfarve4 3 2 4 4 5" xfId="35394" xr:uid="{00000000-0005-0000-0000-0000392D0000}"/>
    <cellStyle name="20 % - Markeringsfarve4 3 2 4 5" xfId="5603" xr:uid="{00000000-0005-0000-0000-00003A2D0000}"/>
    <cellStyle name="20 % - Markeringsfarve4 3 2 4 5 2" xfId="13521" xr:uid="{00000000-0005-0000-0000-00003B2D0000}"/>
    <cellStyle name="20 % - Markeringsfarve4 3 2 4 5 2 2" xfId="29835" xr:uid="{00000000-0005-0000-0000-00003C2D0000}"/>
    <cellStyle name="20 % - Markeringsfarve4 3 2 4 5 2 3" xfId="44799" xr:uid="{00000000-0005-0000-0000-00003D2D0000}"/>
    <cellStyle name="20 % - Markeringsfarve4 3 2 4 5 3" xfId="22813" xr:uid="{00000000-0005-0000-0000-00003E2D0000}"/>
    <cellStyle name="20 % - Markeringsfarve4 3 2 4 5 4" xfId="37800" xr:uid="{00000000-0005-0000-0000-00003F2D0000}"/>
    <cellStyle name="20 % - Markeringsfarve4 3 2 4 6" xfId="11104" xr:uid="{00000000-0005-0000-0000-0000402D0000}"/>
    <cellStyle name="20 % - Markeringsfarve4 3 2 4 6 2" xfId="27423" xr:uid="{00000000-0005-0000-0000-0000412D0000}"/>
    <cellStyle name="20 % - Markeringsfarve4 3 2 4 6 3" xfId="42389" xr:uid="{00000000-0005-0000-0000-0000422D0000}"/>
    <cellStyle name="20 % - Markeringsfarve4 3 2 4 7" xfId="20401" xr:uid="{00000000-0005-0000-0000-0000432D0000}"/>
    <cellStyle name="20 % - Markeringsfarve4 3 2 4 8" xfId="35390" xr:uid="{00000000-0005-0000-0000-0000442D0000}"/>
    <cellStyle name="20 % - Markeringsfarve4 3 2 5" xfId="2552" xr:uid="{00000000-0005-0000-0000-0000452D0000}"/>
    <cellStyle name="20 % - Markeringsfarve4 3 2 5 2" xfId="2553" xr:uid="{00000000-0005-0000-0000-0000462D0000}"/>
    <cellStyle name="20 % - Markeringsfarve4 3 2 5 2 2" xfId="2554" xr:uid="{00000000-0005-0000-0000-0000472D0000}"/>
    <cellStyle name="20 % - Markeringsfarve4 3 2 5 2 2 2" xfId="8022" xr:uid="{00000000-0005-0000-0000-0000482D0000}"/>
    <cellStyle name="20 % - Markeringsfarve4 3 2 5 2 2 2 2" xfId="15923" xr:uid="{00000000-0005-0000-0000-0000492D0000}"/>
    <cellStyle name="20 % - Markeringsfarve4 3 2 5 2 2 2 2 2" xfId="32237" xr:uid="{00000000-0005-0000-0000-00004A2D0000}"/>
    <cellStyle name="20 % - Markeringsfarve4 3 2 5 2 2 2 2 3" xfId="47201" xr:uid="{00000000-0005-0000-0000-00004B2D0000}"/>
    <cellStyle name="20 % - Markeringsfarve4 3 2 5 2 2 2 3" xfId="25215" xr:uid="{00000000-0005-0000-0000-00004C2D0000}"/>
    <cellStyle name="20 % - Markeringsfarve4 3 2 5 2 2 2 4" xfId="40202" xr:uid="{00000000-0005-0000-0000-00004D2D0000}"/>
    <cellStyle name="20 % - Markeringsfarve4 3 2 5 2 2 3" xfId="11111" xr:uid="{00000000-0005-0000-0000-00004E2D0000}"/>
    <cellStyle name="20 % - Markeringsfarve4 3 2 5 2 2 3 2" xfId="27430" xr:uid="{00000000-0005-0000-0000-00004F2D0000}"/>
    <cellStyle name="20 % - Markeringsfarve4 3 2 5 2 2 3 3" xfId="42396" xr:uid="{00000000-0005-0000-0000-0000502D0000}"/>
    <cellStyle name="20 % - Markeringsfarve4 3 2 5 2 2 4" xfId="20408" xr:uid="{00000000-0005-0000-0000-0000512D0000}"/>
    <cellStyle name="20 % - Markeringsfarve4 3 2 5 2 2 5" xfId="35397" xr:uid="{00000000-0005-0000-0000-0000522D0000}"/>
    <cellStyle name="20 % - Markeringsfarve4 3 2 5 2 3" xfId="6542" xr:uid="{00000000-0005-0000-0000-0000532D0000}"/>
    <cellStyle name="20 % - Markeringsfarve4 3 2 5 2 3 2" xfId="14456" xr:uid="{00000000-0005-0000-0000-0000542D0000}"/>
    <cellStyle name="20 % - Markeringsfarve4 3 2 5 2 3 2 2" xfId="30770" xr:uid="{00000000-0005-0000-0000-0000552D0000}"/>
    <cellStyle name="20 % - Markeringsfarve4 3 2 5 2 3 2 3" xfId="45734" xr:uid="{00000000-0005-0000-0000-0000562D0000}"/>
    <cellStyle name="20 % - Markeringsfarve4 3 2 5 2 3 3" xfId="23748" xr:uid="{00000000-0005-0000-0000-0000572D0000}"/>
    <cellStyle name="20 % - Markeringsfarve4 3 2 5 2 3 4" xfId="38735" xr:uid="{00000000-0005-0000-0000-0000582D0000}"/>
    <cellStyle name="20 % - Markeringsfarve4 3 2 5 2 4" xfId="11110" xr:uid="{00000000-0005-0000-0000-0000592D0000}"/>
    <cellStyle name="20 % - Markeringsfarve4 3 2 5 2 4 2" xfId="27429" xr:uid="{00000000-0005-0000-0000-00005A2D0000}"/>
    <cellStyle name="20 % - Markeringsfarve4 3 2 5 2 4 3" xfId="42395" xr:uid="{00000000-0005-0000-0000-00005B2D0000}"/>
    <cellStyle name="20 % - Markeringsfarve4 3 2 5 2 5" xfId="20407" xr:uid="{00000000-0005-0000-0000-00005C2D0000}"/>
    <cellStyle name="20 % - Markeringsfarve4 3 2 5 2 6" xfId="35396" xr:uid="{00000000-0005-0000-0000-00005D2D0000}"/>
    <cellStyle name="20 % - Markeringsfarve4 3 2 5 3" xfId="2555" xr:uid="{00000000-0005-0000-0000-00005E2D0000}"/>
    <cellStyle name="20 % - Markeringsfarve4 3 2 5 3 2" xfId="7298" xr:uid="{00000000-0005-0000-0000-00005F2D0000}"/>
    <cellStyle name="20 % - Markeringsfarve4 3 2 5 3 2 2" xfId="15208" xr:uid="{00000000-0005-0000-0000-0000602D0000}"/>
    <cellStyle name="20 % - Markeringsfarve4 3 2 5 3 2 2 2" xfId="31522" xr:uid="{00000000-0005-0000-0000-0000612D0000}"/>
    <cellStyle name="20 % - Markeringsfarve4 3 2 5 3 2 2 3" xfId="46486" xr:uid="{00000000-0005-0000-0000-0000622D0000}"/>
    <cellStyle name="20 % - Markeringsfarve4 3 2 5 3 2 3" xfId="24500" xr:uid="{00000000-0005-0000-0000-0000632D0000}"/>
    <cellStyle name="20 % - Markeringsfarve4 3 2 5 3 2 4" xfId="39487" xr:uid="{00000000-0005-0000-0000-0000642D0000}"/>
    <cellStyle name="20 % - Markeringsfarve4 3 2 5 3 3" xfId="11112" xr:uid="{00000000-0005-0000-0000-0000652D0000}"/>
    <cellStyle name="20 % - Markeringsfarve4 3 2 5 3 3 2" xfId="27431" xr:uid="{00000000-0005-0000-0000-0000662D0000}"/>
    <cellStyle name="20 % - Markeringsfarve4 3 2 5 3 3 3" xfId="42397" xr:uid="{00000000-0005-0000-0000-0000672D0000}"/>
    <cellStyle name="20 % - Markeringsfarve4 3 2 5 3 4" xfId="20409" xr:uid="{00000000-0005-0000-0000-0000682D0000}"/>
    <cellStyle name="20 % - Markeringsfarve4 3 2 5 3 5" xfId="35398" xr:uid="{00000000-0005-0000-0000-0000692D0000}"/>
    <cellStyle name="20 % - Markeringsfarve4 3 2 5 4" xfId="2556" xr:uid="{00000000-0005-0000-0000-00006A2D0000}"/>
    <cellStyle name="20 % - Markeringsfarve4 3 2 5 4 2" xfId="8303" xr:uid="{00000000-0005-0000-0000-00006B2D0000}"/>
    <cellStyle name="20 % - Markeringsfarve4 3 2 5 4 2 2" xfId="16197" xr:uid="{00000000-0005-0000-0000-00006C2D0000}"/>
    <cellStyle name="20 % - Markeringsfarve4 3 2 5 4 2 2 2" xfId="32511" xr:uid="{00000000-0005-0000-0000-00006D2D0000}"/>
    <cellStyle name="20 % - Markeringsfarve4 3 2 5 4 2 2 3" xfId="47475" xr:uid="{00000000-0005-0000-0000-00006E2D0000}"/>
    <cellStyle name="20 % - Markeringsfarve4 3 2 5 4 2 3" xfId="25489" xr:uid="{00000000-0005-0000-0000-00006F2D0000}"/>
    <cellStyle name="20 % - Markeringsfarve4 3 2 5 4 2 4" xfId="40476" xr:uid="{00000000-0005-0000-0000-0000702D0000}"/>
    <cellStyle name="20 % - Markeringsfarve4 3 2 5 4 3" xfId="11113" xr:uid="{00000000-0005-0000-0000-0000712D0000}"/>
    <cellStyle name="20 % - Markeringsfarve4 3 2 5 4 3 2" xfId="27432" xr:uid="{00000000-0005-0000-0000-0000722D0000}"/>
    <cellStyle name="20 % - Markeringsfarve4 3 2 5 4 3 3" xfId="42398" xr:uid="{00000000-0005-0000-0000-0000732D0000}"/>
    <cellStyle name="20 % - Markeringsfarve4 3 2 5 4 4" xfId="20410" xr:uid="{00000000-0005-0000-0000-0000742D0000}"/>
    <cellStyle name="20 % - Markeringsfarve4 3 2 5 4 5" xfId="35399" xr:uid="{00000000-0005-0000-0000-0000752D0000}"/>
    <cellStyle name="20 % - Markeringsfarve4 3 2 5 5" xfId="5604" xr:uid="{00000000-0005-0000-0000-0000762D0000}"/>
    <cellStyle name="20 % - Markeringsfarve4 3 2 5 5 2" xfId="13522" xr:uid="{00000000-0005-0000-0000-0000772D0000}"/>
    <cellStyle name="20 % - Markeringsfarve4 3 2 5 5 2 2" xfId="29836" xr:uid="{00000000-0005-0000-0000-0000782D0000}"/>
    <cellStyle name="20 % - Markeringsfarve4 3 2 5 5 2 3" xfId="44800" xr:uid="{00000000-0005-0000-0000-0000792D0000}"/>
    <cellStyle name="20 % - Markeringsfarve4 3 2 5 5 3" xfId="22814" xr:uid="{00000000-0005-0000-0000-00007A2D0000}"/>
    <cellStyle name="20 % - Markeringsfarve4 3 2 5 5 4" xfId="37801" xr:uid="{00000000-0005-0000-0000-00007B2D0000}"/>
    <cellStyle name="20 % - Markeringsfarve4 3 2 5 6" xfId="11109" xr:uid="{00000000-0005-0000-0000-00007C2D0000}"/>
    <cellStyle name="20 % - Markeringsfarve4 3 2 5 6 2" xfId="27428" xr:uid="{00000000-0005-0000-0000-00007D2D0000}"/>
    <cellStyle name="20 % - Markeringsfarve4 3 2 5 6 3" xfId="42394" xr:uid="{00000000-0005-0000-0000-00007E2D0000}"/>
    <cellStyle name="20 % - Markeringsfarve4 3 2 5 7" xfId="20406" xr:uid="{00000000-0005-0000-0000-00007F2D0000}"/>
    <cellStyle name="20 % - Markeringsfarve4 3 2 5 8" xfId="35395" xr:uid="{00000000-0005-0000-0000-0000802D0000}"/>
    <cellStyle name="20 % - Markeringsfarve4 3 2 6" xfId="2557" xr:uid="{00000000-0005-0000-0000-0000812D0000}"/>
    <cellStyle name="20 % - Markeringsfarve4 3 2 6 2" xfId="2558" xr:uid="{00000000-0005-0000-0000-0000822D0000}"/>
    <cellStyle name="20 % - Markeringsfarve4 3 2 6 2 2" xfId="2559" xr:uid="{00000000-0005-0000-0000-0000832D0000}"/>
    <cellStyle name="20 % - Markeringsfarve4 3 2 6 2 2 2" xfId="8112" xr:uid="{00000000-0005-0000-0000-0000842D0000}"/>
    <cellStyle name="20 % - Markeringsfarve4 3 2 6 2 2 2 2" xfId="16013" xr:uid="{00000000-0005-0000-0000-0000852D0000}"/>
    <cellStyle name="20 % - Markeringsfarve4 3 2 6 2 2 2 2 2" xfId="32327" xr:uid="{00000000-0005-0000-0000-0000862D0000}"/>
    <cellStyle name="20 % - Markeringsfarve4 3 2 6 2 2 2 2 3" xfId="47291" xr:uid="{00000000-0005-0000-0000-0000872D0000}"/>
    <cellStyle name="20 % - Markeringsfarve4 3 2 6 2 2 2 3" xfId="25305" xr:uid="{00000000-0005-0000-0000-0000882D0000}"/>
    <cellStyle name="20 % - Markeringsfarve4 3 2 6 2 2 2 4" xfId="40292" xr:uid="{00000000-0005-0000-0000-0000892D0000}"/>
    <cellStyle name="20 % - Markeringsfarve4 3 2 6 2 2 3" xfId="11116" xr:uid="{00000000-0005-0000-0000-00008A2D0000}"/>
    <cellStyle name="20 % - Markeringsfarve4 3 2 6 2 2 3 2" xfId="27435" xr:uid="{00000000-0005-0000-0000-00008B2D0000}"/>
    <cellStyle name="20 % - Markeringsfarve4 3 2 6 2 2 3 3" xfId="42401" xr:uid="{00000000-0005-0000-0000-00008C2D0000}"/>
    <cellStyle name="20 % - Markeringsfarve4 3 2 6 2 2 4" xfId="20413" xr:uid="{00000000-0005-0000-0000-00008D2D0000}"/>
    <cellStyle name="20 % - Markeringsfarve4 3 2 6 2 2 5" xfId="35402" xr:uid="{00000000-0005-0000-0000-00008E2D0000}"/>
    <cellStyle name="20 % - Markeringsfarve4 3 2 6 2 3" xfId="6623" xr:uid="{00000000-0005-0000-0000-00008F2D0000}"/>
    <cellStyle name="20 % - Markeringsfarve4 3 2 6 2 3 2" xfId="14537" xr:uid="{00000000-0005-0000-0000-0000902D0000}"/>
    <cellStyle name="20 % - Markeringsfarve4 3 2 6 2 3 2 2" xfId="30851" xr:uid="{00000000-0005-0000-0000-0000912D0000}"/>
    <cellStyle name="20 % - Markeringsfarve4 3 2 6 2 3 2 3" xfId="45815" xr:uid="{00000000-0005-0000-0000-0000922D0000}"/>
    <cellStyle name="20 % - Markeringsfarve4 3 2 6 2 3 3" xfId="23829" xr:uid="{00000000-0005-0000-0000-0000932D0000}"/>
    <cellStyle name="20 % - Markeringsfarve4 3 2 6 2 3 4" xfId="38816" xr:uid="{00000000-0005-0000-0000-0000942D0000}"/>
    <cellStyle name="20 % - Markeringsfarve4 3 2 6 2 4" xfId="11115" xr:uid="{00000000-0005-0000-0000-0000952D0000}"/>
    <cellStyle name="20 % - Markeringsfarve4 3 2 6 2 4 2" xfId="27434" xr:uid="{00000000-0005-0000-0000-0000962D0000}"/>
    <cellStyle name="20 % - Markeringsfarve4 3 2 6 2 4 3" xfId="42400" xr:uid="{00000000-0005-0000-0000-0000972D0000}"/>
    <cellStyle name="20 % - Markeringsfarve4 3 2 6 2 5" xfId="20412" xr:uid="{00000000-0005-0000-0000-0000982D0000}"/>
    <cellStyle name="20 % - Markeringsfarve4 3 2 6 2 6" xfId="35401" xr:uid="{00000000-0005-0000-0000-0000992D0000}"/>
    <cellStyle name="20 % - Markeringsfarve4 3 2 6 3" xfId="2560" xr:uid="{00000000-0005-0000-0000-00009A2D0000}"/>
    <cellStyle name="20 % - Markeringsfarve4 3 2 6 3 2" xfId="7389" xr:uid="{00000000-0005-0000-0000-00009B2D0000}"/>
    <cellStyle name="20 % - Markeringsfarve4 3 2 6 3 2 2" xfId="15299" xr:uid="{00000000-0005-0000-0000-00009C2D0000}"/>
    <cellStyle name="20 % - Markeringsfarve4 3 2 6 3 2 2 2" xfId="31613" xr:uid="{00000000-0005-0000-0000-00009D2D0000}"/>
    <cellStyle name="20 % - Markeringsfarve4 3 2 6 3 2 2 3" xfId="46577" xr:uid="{00000000-0005-0000-0000-00009E2D0000}"/>
    <cellStyle name="20 % - Markeringsfarve4 3 2 6 3 2 3" xfId="24591" xr:uid="{00000000-0005-0000-0000-00009F2D0000}"/>
    <cellStyle name="20 % - Markeringsfarve4 3 2 6 3 2 4" xfId="39578" xr:uid="{00000000-0005-0000-0000-0000A02D0000}"/>
    <cellStyle name="20 % - Markeringsfarve4 3 2 6 3 3" xfId="11117" xr:uid="{00000000-0005-0000-0000-0000A12D0000}"/>
    <cellStyle name="20 % - Markeringsfarve4 3 2 6 3 3 2" xfId="27436" xr:uid="{00000000-0005-0000-0000-0000A22D0000}"/>
    <cellStyle name="20 % - Markeringsfarve4 3 2 6 3 3 3" xfId="42402" xr:uid="{00000000-0005-0000-0000-0000A32D0000}"/>
    <cellStyle name="20 % - Markeringsfarve4 3 2 6 3 4" xfId="20414" xr:uid="{00000000-0005-0000-0000-0000A42D0000}"/>
    <cellStyle name="20 % - Markeringsfarve4 3 2 6 3 5" xfId="35403" xr:uid="{00000000-0005-0000-0000-0000A52D0000}"/>
    <cellStyle name="20 % - Markeringsfarve4 3 2 6 4" xfId="2561" xr:uid="{00000000-0005-0000-0000-0000A62D0000}"/>
    <cellStyle name="20 % - Markeringsfarve4 3 2 6 4 2" xfId="8590" xr:uid="{00000000-0005-0000-0000-0000A72D0000}"/>
    <cellStyle name="20 % - Markeringsfarve4 3 2 6 4 2 2" xfId="16477" xr:uid="{00000000-0005-0000-0000-0000A82D0000}"/>
    <cellStyle name="20 % - Markeringsfarve4 3 2 6 4 2 2 2" xfId="32791" xr:uid="{00000000-0005-0000-0000-0000A92D0000}"/>
    <cellStyle name="20 % - Markeringsfarve4 3 2 6 4 2 2 3" xfId="47755" xr:uid="{00000000-0005-0000-0000-0000AA2D0000}"/>
    <cellStyle name="20 % - Markeringsfarve4 3 2 6 4 2 3" xfId="25769" xr:uid="{00000000-0005-0000-0000-0000AB2D0000}"/>
    <cellStyle name="20 % - Markeringsfarve4 3 2 6 4 2 4" xfId="40756" xr:uid="{00000000-0005-0000-0000-0000AC2D0000}"/>
    <cellStyle name="20 % - Markeringsfarve4 3 2 6 4 3" xfId="11118" xr:uid="{00000000-0005-0000-0000-0000AD2D0000}"/>
    <cellStyle name="20 % - Markeringsfarve4 3 2 6 4 3 2" xfId="27437" xr:uid="{00000000-0005-0000-0000-0000AE2D0000}"/>
    <cellStyle name="20 % - Markeringsfarve4 3 2 6 4 3 3" xfId="42403" xr:uid="{00000000-0005-0000-0000-0000AF2D0000}"/>
    <cellStyle name="20 % - Markeringsfarve4 3 2 6 4 4" xfId="20415" xr:uid="{00000000-0005-0000-0000-0000B02D0000}"/>
    <cellStyle name="20 % - Markeringsfarve4 3 2 6 4 5" xfId="35404" xr:uid="{00000000-0005-0000-0000-0000B12D0000}"/>
    <cellStyle name="20 % - Markeringsfarve4 3 2 6 5" xfId="5605" xr:uid="{00000000-0005-0000-0000-0000B22D0000}"/>
    <cellStyle name="20 % - Markeringsfarve4 3 2 6 5 2" xfId="13523" xr:uid="{00000000-0005-0000-0000-0000B32D0000}"/>
    <cellStyle name="20 % - Markeringsfarve4 3 2 6 5 2 2" xfId="29837" xr:uid="{00000000-0005-0000-0000-0000B42D0000}"/>
    <cellStyle name="20 % - Markeringsfarve4 3 2 6 5 2 3" xfId="44801" xr:uid="{00000000-0005-0000-0000-0000B52D0000}"/>
    <cellStyle name="20 % - Markeringsfarve4 3 2 6 5 3" xfId="22815" xr:uid="{00000000-0005-0000-0000-0000B62D0000}"/>
    <cellStyle name="20 % - Markeringsfarve4 3 2 6 5 4" xfId="37802" xr:uid="{00000000-0005-0000-0000-0000B72D0000}"/>
    <cellStyle name="20 % - Markeringsfarve4 3 2 6 6" xfId="11114" xr:uid="{00000000-0005-0000-0000-0000B82D0000}"/>
    <cellStyle name="20 % - Markeringsfarve4 3 2 6 6 2" xfId="27433" xr:uid="{00000000-0005-0000-0000-0000B92D0000}"/>
    <cellStyle name="20 % - Markeringsfarve4 3 2 6 6 3" xfId="42399" xr:uid="{00000000-0005-0000-0000-0000BA2D0000}"/>
    <cellStyle name="20 % - Markeringsfarve4 3 2 6 7" xfId="20411" xr:uid="{00000000-0005-0000-0000-0000BB2D0000}"/>
    <cellStyle name="20 % - Markeringsfarve4 3 2 6 8" xfId="35400" xr:uid="{00000000-0005-0000-0000-0000BC2D0000}"/>
    <cellStyle name="20 % - Markeringsfarve4 3 2 7" xfId="2562" xr:uid="{00000000-0005-0000-0000-0000BD2D0000}"/>
    <cellStyle name="20 % - Markeringsfarve4 3 2 7 2" xfId="2563" xr:uid="{00000000-0005-0000-0000-0000BE2D0000}"/>
    <cellStyle name="20 % - Markeringsfarve4 3 2 7 2 2" xfId="7548" xr:uid="{00000000-0005-0000-0000-0000BF2D0000}"/>
    <cellStyle name="20 % - Markeringsfarve4 3 2 7 2 2 2" xfId="15449" xr:uid="{00000000-0005-0000-0000-0000C02D0000}"/>
    <cellStyle name="20 % - Markeringsfarve4 3 2 7 2 2 2 2" xfId="31763" xr:uid="{00000000-0005-0000-0000-0000C12D0000}"/>
    <cellStyle name="20 % - Markeringsfarve4 3 2 7 2 2 2 3" xfId="46727" xr:uid="{00000000-0005-0000-0000-0000C22D0000}"/>
    <cellStyle name="20 % - Markeringsfarve4 3 2 7 2 2 3" xfId="24741" xr:uid="{00000000-0005-0000-0000-0000C32D0000}"/>
    <cellStyle name="20 % - Markeringsfarve4 3 2 7 2 2 4" xfId="39728" xr:uid="{00000000-0005-0000-0000-0000C42D0000}"/>
    <cellStyle name="20 % - Markeringsfarve4 3 2 7 2 3" xfId="11120" xr:uid="{00000000-0005-0000-0000-0000C52D0000}"/>
    <cellStyle name="20 % - Markeringsfarve4 3 2 7 2 3 2" xfId="27439" xr:uid="{00000000-0005-0000-0000-0000C62D0000}"/>
    <cellStyle name="20 % - Markeringsfarve4 3 2 7 2 3 3" xfId="42405" xr:uid="{00000000-0005-0000-0000-0000C72D0000}"/>
    <cellStyle name="20 % - Markeringsfarve4 3 2 7 2 4" xfId="20417" xr:uid="{00000000-0005-0000-0000-0000C82D0000}"/>
    <cellStyle name="20 % - Markeringsfarve4 3 2 7 2 5" xfId="35406" xr:uid="{00000000-0005-0000-0000-0000C92D0000}"/>
    <cellStyle name="20 % - Markeringsfarve4 3 2 7 3" xfId="6142" xr:uid="{00000000-0005-0000-0000-0000CA2D0000}"/>
    <cellStyle name="20 % - Markeringsfarve4 3 2 7 3 2" xfId="14059" xr:uid="{00000000-0005-0000-0000-0000CB2D0000}"/>
    <cellStyle name="20 % - Markeringsfarve4 3 2 7 3 2 2" xfId="30373" xr:uid="{00000000-0005-0000-0000-0000CC2D0000}"/>
    <cellStyle name="20 % - Markeringsfarve4 3 2 7 3 2 3" xfId="45337" xr:uid="{00000000-0005-0000-0000-0000CD2D0000}"/>
    <cellStyle name="20 % - Markeringsfarve4 3 2 7 3 3" xfId="23351" xr:uid="{00000000-0005-0000-0000-0000CE2D0000}"/>
    <cellStyle name="20 % - Markeringsfarve4 3 2 7 3 4" xfId="38338" xr:uid="{00000000-0005-0000-0000-0000CF2D0000}"/>
    <cellStyle name="20 % - Markeringsfarve4 3 2 7 4" xfId="11119" xr:uid="{00000000-0005-0000-0000-0000D02D0000}"/>
    <cellStyle name="20 % - Markeringsfarve4 3 2 7 4 2" xfId="27438" xr:uid="{00000000-0005-0000-0000-0000D12D0000}"/>
    <cellStyle name="20 % - Markeringsfarve4 3 2 7 4 3" xfId="42404" xr:uid="{00000000-0005-0000-0000-0000D22D0000}"/>
    <cellStyle name="20 % - Markeringsfarve4 3 2 7 5" xfId="20416" xr:uid="{00000000-0005-0000-0000-0000D32D0000}"/>
    <cellStyle name="20 % - Markeringsfarve4 3 2 7 6" xfId="35405" xr:uid="{00000000-0005-0000-0000-0000D42D0000}"/>
    <cellStyle name="20 % - Markeringsfarve4 3 2 8" xfId="2564" xr:uid="{00000000-0005-0000-0000-0000D52D0000}"/>
    <cellStyle name="20 % - Markeringsfarve4 3 2 8 2" xfId="6776" xr:uid="{00000000-0005-0000-0000-0000D62D0000}"/>
    <cellStyle name="20 % - Markeringsfarve4 3 2 8 2 2" xfId="14687" xr:uid="{00000000-0005-0000-0000-0000D72D0000}"/>
    <cellStyle name="20 % - Markeringsfarve4 3 2 8 2 2 2" xfId="31001" xr:uid="{00000000-0005-0000-0000-0000D82D0000}"/>
    <cellStyle name="20 % - Markeringsfarve4 3 2 8 2 2 3" xfId="45965" xr:uid="{00000000-0005-0000-0000-0000D92D0000}"/>
    <cellStyle name="20 % - Markeringsfarve4 3 2 8 2 3" xfId="23979" xr:uid="{00000000-0005-0000-0000-0000DA2D0000}"/>
    <cellStyle name="20 % - Markeringsfarve4 3 2 8 2 4" xfId="38966" xr:uid="{00000000-0005-0000-0000-0000DB2D0000}"/>
    <cellStyle name="20 % - Markeringsfarve4 3 2 8 3" xfId="11121" xr:uid="{00000000-0005-0000-0000-0000DC2D0000}"/>
    <cellStyle name="20 % - Markeringsfarve4 3 2 8 3 2" xfId="27440" xr:uid="{00000000-0005-0000-0000-0000DD2D0000}"/>
    <cellStyle name="20 % - Markeringsfarve4 3 2 8 3 3" xfId="42406" xr:uid="{00000000-0005-0000-0000-0000DE2D0000}"/>
    <cellStyle name="20 % - Markeringsfarve4 3 2 8 4" xfId="20418" xr:uid="{00000000-0005-0000-0000-0000DF2D0000}"/>
    <cellStyle name="20 % - Markeringsfarve4 3 2 8 5" xfId="35407" xr:uid="{00000000-0005-0000-0000-0000E02D0000}"/>
    <cellStyle name="20 % - Markeringsfarve4 3 2 9" xfId="2565" xr:uid="{00000000-0005-0000-0000-0000E12D0000}"/>
    <cellStyle name="20 % - Markeringsfarve4 3 2 9 2" xfId="8447" xr:uid="{00000000-0005-0000-0000-0000E22D0000}"/>
    <cellStyle name="20 % - Markeringsfarve4 3 2 9 2 2" xfId="16339" xr:uid="{00000000-0005-0000-0000-0000E32D0000}"/>
    <cellStyle name="20 % - Markeringsfarve4 3 2 9 2 2 2" xfId="32653" xr:uid="{00000000-0005-0000-0000-0000E42D0000}"/>
    <cellStyle name="20 % - Markeringsfarve4 3 2 9 2 2 3" xfId="47617" xr:uid="{00000000-0005-0000-0000-0000E52D0000}"/>
    <cellStyle name="20 % - Markeringsfarve4 3 2 9 2 3" xfId="25631" xr:uid="{00000000-0005-0000-0000-0000E62D0000}"/>
    <cellStyle name="20 % - Markeringsfarve4 3 2 9 2 4" xfId="40618" xr:uid="{00000000-0005-0000-0000-0000E72D0000}"/>
    <cellStyle name="20 % - Markeringsfarve4 3 2 9 3" xfId="11122" xr:uid="{00000000-0005-0000-0000-0000E82D0000}"/>
    <cellStyle name="20 % - Markeringsfarve4 3 2 9 3 2" xfId="27441" xr:uid="{00000000-0005-0000-0000-0000E92D0000}"/>
    <cellStyle name="20 % - Markeringsfarve4 3 2 9 3 3" xfId="42407" xr:uid="{00000000-0005-0000-0000-0000EA2D0000}"/>
    <cellStyle name="20 % - Markeringsfarve4 3 2 9 4" xfId="20419" xr:uid="{00000000-0005-0000-0000-0000EB2D0000}"/>
    <cellStyle name="20 % - Markeringsfarve4 3 2 9 5" xfId="35408" xr:uid="{00000000-0005-0000-0000-0000EC2D0000}"/>
    <cellStyle name="20 % - Markeringsfarve4 3 3" xfId="2566" xr:uid="{00000000-0005-0000-0000-0000ED2D0000}"/>
    <cellStyle name="20 % - Markeringsfarve4 3 3 10" xfId="5606" xr:uid="{00000000-0005-0000-0000-0000EE2D0000}"/>
    <cellStyle name="20 % - Markeringsfarve4 3 3 10 2" xfId="13524" xr:uid="{00000000-0005-0000-0000-0000EF2D0000}"/>
    <cellStyle name="20 % - Markeringsfarve4 3 3 10 2 2" xfId="29838" xr:uid="{00000000-0005-0000-0000-0000F02D0000}"/>
    <cellStyle name="20 % - Markeringsfarve4 3 3 10 2 3" xfId="44802" xr:uid="{00000000-0005-0000-0000-0000F12D0000}"/>
    <cellStyle name="20 % - Markeringsfarve4 3 3 10 3" xfId="22816" xr:uid="{00000000-0005-0000-0000-0000F22D0000}"/>
    <cellStyle name="20 % - Markeringsfarve4 3 3 10 4" xfId="37803" xr:uid="{00000000-0005-0000-0000-0000F32D0000}"/>
    <cellStyle name="20 % - Markeringsfarve4 3 3 11" xfId="11123" xr:uid="{00000000-0005-0000-0000-0000F42D0000}"/>
    <cellStyle name="20 % - Markeringsfarve4 3 3 11 2" xfId="27442" xr:uid="{00000000-0005-0000-0000-0000F52D0000}"/>
    <cellStyle name="20 % - Markeringsfarve4 3 3 11 3" xfId="42408" xr:uid="{00000000-0005-0000-0000-0000F62D0000}"/>
    <cellStyle name="20 % - Markeringsfarve4 3 3 12" xfId="20420" xr:uid="{00000000-0005-0000-0000-0000F72D0000}"/>
    <cellStyle name="20 % - Markeringsfarve4 3 3 13" xfId="35409" xr:uid="{00000000-0005-0000-0000-0000F82D0000}"/>
    <cellStyle name="20 % - Markeringsfarve4 3 3 14" xfId="56539" xr:uid="{00000000-0005-0000-0000-0000F92D0000}"/>
    <cellStyle name="20 % - Markeringsfarve4 3 3 2" xfId="2567" xr:uid="{00000000-0005-0000-0000-0000FA2D0000}"/>
    <cellStyle name="20 % - Markeringsfarve4 3 3 2 2" xfId="2568" xr:uid="{00000000-0005-0000-0000-0000FB2D0000}"/>
    <cellStyle name="20 % - Markeringsfarve4 3 3 2 2 2" xfId="2569" xr:uid="{00000000-0005-0000-0000-0000FC2D0000}"/>
    <cellStyle name="20 % - Markeringsfarve4 3 3 2 2 2 2" xfId="7706" xr:uid="{00000000-0005-0000-0000-0000FD2D0000}"/>
    <cellStyle name="20 % - Markeringsfarve4 3 3 2 2 2 2 2" xfId="15607" xr:uid="{00000000-0005-0000-0000-0000FE2D0000}"/>
    <cellStyle name="20 % - Markeringsfarve4 3 3 2 2 2 2 2 2" xfId="31921" xr:uid="{00000000-0005-0000-0000-0000FF2D0000}"/>
    <cellStyle name="20 % - Markeringsfarve4 3 3 2 2 2 2 2 3" xfId="46885" xr:uid="{00000000-0005-0000-0000-0000002E0000}"/>
    <cellStyle name="20 % - Markeringsfarve4 3 3 2 2 2 2 3" xfId="24899" xr:uid="{00000000-0005-0000-0000-0000012E0000}"/>
    <cellStyle name="20 % - Markeringsfarve4 3 3 2 2 2 2 4" xfId="39886" xr:uid="{00000000-0005-0000-0000-0000022E0000}"/>
    <cellStyle name="20 % - Markeringsfarve4 3 3 2 2 2 3" xfId="11126" xr:uid="{00000000-0005-0000-0000-0000032E0000}"/>
    <cellStyle name="20 % - Markeringsfarve4 3 3 2 2 2 3 2" xfId="27445" xr:uid="{00000000-0005-0000-0000-0000042E0000}"/>
    <cellStyle name="20 % - Markeringsfarve4 3 3 2 2 2 3 3" xfId="42411" xr:uid="{00000000-0005-0000-0000-0000052E0000}"/>
    <cellStyle name="20 % - Markeringsfarve4 3 3 2 2 2 4" xfId="20423" xr:uid="{00000000-0005-0000-0000-0000062E0000}"/>
    <cellStyle name="20 % - Markeringsfarve4 3 3 2 2 2 5" xfId="35412" xr:uid="{00000000-0005-0000-0000-0000072E0000}"/>
    <cellStyle name="20 % - Markeringsfarve4 3 3 2 2 3" xfId="6274" xr:uid="{00000000-0005-0000-0000-0000082E0000}"/>
    <cellStyle name="20 % - Markeringsfarve4 3 3 2 2 3 2" xfId="14191" xr:uid="{00000000-0005-0000-0000-0000092E0000}"/>
    <cellStyle name="20 % - Markeringsfarve4 3 3 2 2 3 2 2" xfId="30505" xr:uid="{00000000-0005-0000-0000-00000A2E0000}"/>
    <cellStyle name="20 % - Markeringsfarve4 3 3 2 2 3 2 3" xfId="45469" xr:uid="{00000000-0005-0000-0000-00000B2E0000}"/>
    <cellStyle name="20 % - Markeringsfarve4 3 3 2 2 3 3" xfId="23483" xr:uid="{00000000-0005-0000-0000-00000C2E0000}"/>
    <cellStyle name="20 % - Markeringsfarve4 3 3 2 2 3 4" xfId="38470" xr:uid="{00000000-0005-0000-0000-00000D2E0000}"/>
    <cellStyle name="20 % - Markeringsfarve4 3 3 2 2 4" xfId="11125" xr:uid="{00000000-0005-0000-0000-00000E2E0000}"/>
    <cellStyle name="20 % - Markeringsfarve4 3 3 2 2 4 2" xfId="27444" xr:uid="{00000000-0005-0000-0000-00000F2E0000}"/>
    <cellStyle name="20 % - Markeringsfarve4 3 3 2 2 4 3" xfId="42410" xr:uid="{00000000-0005-0000-0000-0000102E0000}"/>
    <cellStyle name="20 % - Markeringsfarve4 3 3 2 2 5" xfId="20422" xr:uid="{00000000-0005-0000-0000-0000112E0000}"/>
    <cellStyle name="20 % - Markeringsfarve4 3 3 2 2 6" xfId="35411" xr:uid="{00000000-0005-0000-0000-0000122E0000}"/>
    <cellStyle name="20 % - Markeringsfarve4 3 3 2 3" xfId="2570" xr:uid="{00000000-0005-0000-0000-0000132E0000}"/>
    <cellStyle name="20 % - Markeringsfarve4 3 3 2 3 2" xfId="6936" xr:uid="{00000000-0005-0000-0000-0000142E0000}"/>
    <cellStyle name="20 % - Markeringsfarve4 3 3 2 3 2 2" xfId="14847" xr:uid="{00000000-0005-0000-0000-0000152E0000}"/>
    <cellStyle name="20 % - Markeringsfarve4 3 3 2 3 2 2 2" xfId="31161" xr:uid="{00000000-0005-0000-0000-0000162E0000}"/>
    <cellStyle name="20 % - Markeringsfarve4 3 3 2 3 2 2 3" xfId="46125" xr:uid="{00000000-0005-0000-0000-0000172E0000}"/>
    <cellStyle name="20 % - Markeringsfarve4 3 3 2 3 2 3" xfId="24139" xr:uid="{00000000-0005-0000-0000-0000182E0000}"/>
    <cellStyle name="20 % - Markeringsfarve4 3 3 2 3 2 4" xfId="39126" xr:uid="{00000000-0005-0000-0000-0000192E0000}"/>
    <cellStyle name="20 % - Markeringsfarve4 3 3 2 3 3" xfId="11127" xr:uid="{00000000-0005-0000-0000-00001A2E0000}"/>
    <cellStyle name="20 % - Markeringsfarve4 3 3 2 3 3 2" xfId="27446" xr:uid="{00000000-0005-0000-0000-00001B2E0000}"/>
    <cellStyle name="20 % - Markeringsfarve4 3 3 2 3 3 3" xfId="42412" xr:uid="{00000000-0005-0000-0000-00001C2E0000}"/>
    <cellStyle name="20 % - Markeringsfarve4 3 3 2 3 4" xfId="20424" xr:uid="{00000000-0005-0000-0000-00001D2E0000}"/>
    <cellStyle name="20 % - Markeringsfarve4 3 3 2 3 5" xfId="35413" xr:uid="{00000000-0005-0000-0000-00001E2E0000}"/>
    <cellStyle name="20 % - Markeringsfarve4 3 3 2 4" xfId="2571" xr:uid="{00000000-0005-0000-0000-00001F2E0000}"/>
    <cellStyle name="20 % - Markeringsfarve4 3 3 2 4 2" xfId="7500" xr:uid="{00000000-0005-0000-0000-0000202E0000}"/>
    <cellStyle name="20 % - Markeringsfarve4 3 3 2 4 2 2" xfId="15401" xr:uid="{00000000-0005-0000-0000-0000212E0000}"/>
    <cellStyle name="20 % - Markeringsfarve4 3 3 2 4 2 2 2" xfId="31715" xr:uid="{00000000-0005-0000-0000-0000222E0000}"/>
    <cellStyle name="20 % - Markeringsfarve4 3 3 2 4 2 2 3" xfId="46679" xr:uid="{00000000-0005-0000-0000-0000232E0000}"/>
    <cellStyle name="20 % - Markeringsfarve4 3 3 2 4 2 3" xfId="24693" xr:uid="{00000000-0005-0000-0000-0000242E0000}"/>
    <cellStyle name="20 % - Markeringsfarve4 3 3 2 4 2 4" xfId="39680" xr:uid="{00000000-0005-0000-0000-0000252E0000}"/>
    <cellStyle name="20 % - Markeringsfarve4 3 3 2 4 3" xfId="11128" xr:uid="{00000000-0005-0000-0000-0000262E0000}"/>
    <cellStyle name="20 % - Markeringsfarve4 3 3 2 4 3 2" xfId="27447" xr:uid="{00000000-0005-0000-0000-0000272E0000}"/>
    <cellStyle name="20 % - Markeringsfarve4 3 3 2 4 3 3" xfId="42413" xr:uid="{00000000-0005-0000-0000-0000282E0000}"/>
    <cellStyle name="20 % - Markeringsfarve4 3 3 2 4 4" xfId="20425" xr:uid="{00000000-0005-0000-0000-0000292E0000}"/>
    <cellStyle name="20 % - Markeringsfarve4 3 3 2 4 5" xfId="35414" xr:uid="{00000000-0005-0000-0000-00002A2E0000}"/>
    <cellStyle name="20 % - Markeringsfarve4 3 3 2 5" xfId="5607" xr:uid="{00000000-0005-0000-0000-00002B2E0000}"/>
    <cellStyle name="20 % - Markeringsfarve4 3 3 2 5 2" xfId="13525" xr:uid="{00000000-0005-0000-0000-00002C2E0000}"/>
    <cellStyle name="20 % - Markeringsfarve4 3 3 2 5 2 2" xfId="29839" xr:uid="{00000000-0005-0000-0000-00002D2E0000}"/>
    <cellStyle name="20 % - Markeringsfarve4 3 3 2 5 2 3" xfId="44803" xr:uid="{00000000-0005-0000-0000-00002E2E0000}"/>
    <cellStyle name="20 % - Markeringsfarve4 3 3 2 5 3" xfId="22817" xr:uid="{00000000-0005-0000-0000-00002F2E0000}"/>
    <cellStyle name="20 % - Markeringsfarve4 3 3 2 5 4" xfId="37804" xr:uid="{00000000-0005-0000-0000-0000302E0000}"/>
    <cellStyle name="20 % - Markeringsfarve4 3 3 2 6" xfId="11124" xr:uid="{00000000-0005-0000-0000-0000312E0000}"/>
    <cellStyle name="20 % - Markeringsfarve4 3 3 2 6 2" xfId="27443" xr:uid="{00000000-0005-0000-0000-0000322E0000}"/>
    <cellStyle name="20 % - Markeringsfarve4 3 3 2 6 3" xfId="42409" xr:uid="{00000000-0005-0000-0000-0000332E0000}"/>
    <cellStyle name="20 % - Markeringsfarve4 3 3 2 7" xfId="20421" xr:uid="{00000000-0005-0000-0000-0000342E0000}"/>
    <cellStyle name="20 % - Markeringsfarve4 3 3 2 8" xfId="35410" xr:uid="{00000000-0005-0000-0000-0000352E0000}"/>
    <cellStyle name="20 % - Markeringsfarve4 3 3 3" xfId="2572" xr:uid="{00000000-0005-0000-0000-0000362E0000}"/>
    <cellStyle name="20 % - Markeringsfarve4 3 3 3 2" xfId="2573" xr:uid="{00000000-0005-0000-0000-0000372E0000}"/>
    <cellStyle name="20 % - Markeringsfarve4 3 3 3 2 2" xfId="2574" xr:uid="{00000000-0005-0000-0000-0000382E0000}"/>
    <cellStyle name="20 % - Markeringsfarve4 3 3 3 2 2 2" xfId="7758" xr:uid="{00000000-0005-0000-0000-0000392E0000}"/>
    <cellStyle name="20 % - Markeringsfarve4 3 3 3 2 2 2 2" xfId="15659" xr:uid="{00000000-0005-0000-0000-00003A2E0000}"/>
    <cellStyle name="20 % - Markeringsfarve4 3 3 3 2 2 2 2 2" xfId="31973" xr:uid="{00000000-0005-0000-0000-00003B2E0000}"/>
    <cellStyle name="20 % - Markeringsfarve4 3 3 3 2 2 2 2 3" xfId="46937" xr:uid="{00000000-0005-0000-0000-00003C2E0000}"/>
    <cellStyle name="20 % - Markeringsfarve4 3 3 3 2 2 2 3" xfId="24951" xr:uid="{00000000-0005-0000-0000-00003D2E0000}"/>
    <cellStyle name="20 % - Markeringsfarve4 3 3 3 2 2 2 4" xfId="39938" xr:uid="{00000000-0005-0000-0000-00003E2E0000}"/>
    <cellStyle name="20 % - Markeringsfarve4 3 3 3 2 2 3" xfId="11131" xr:uid="{00000000-0005-0000-0000-00003F2E0000}"/>
    <cellStyle name="20 % - Markeringsfarve4 3 3 3 2 2 3 2" xfId="27450" xr:uid="{00000000-0005-0000-0000-0000402E0000}"/>
    <cellStyle name="20 % - Markeringsfarve4 3 3 3 2 2 3 3" xfId="42416" xr:uid="{00000000-0005-0000-0000-0000412E0000}"/>
    <cellStyle name="20 % - Markeringsfarve4 3 3 3 2 2 4" xfId="20428" xr:uid="{00000000-0005-0000-0000-0000422E0000}"/>
    <cellStyle name="20 % - Markeringsfarve4 3 3 3 2 2 5" xfId="35417" xr:uid="{00000000-0005-0000-0000-0000432E0000}"/>
    <cellStyle name="20 % - Markeringsfarve4 3 3 3 2 3" xfId="6322" xr:uid="{00000000-0005-0000-0000-0000442E0000}"/>
    <cellStyle name="20 % - Markeringsfarve4 3 3 3 2 3 2" xfId="14239" xr:uid="{00000000-0005-0000-0000-0000452E0000}"/>
    <cellStyle name="20 % - Markeringsfarve4 3 3 3 2 3 2 2" xfId="30553" xr:uid="{00000000-0005-0000-0000-0000462E0000}"/>
    <cellStyle name="20 % - Markeringsfarve4 3 3 3 2 3 2 3" xfId="45517" xr:uid="{00000000-0005-0000-0000-0000472E0000}"/>
    <cellStyle name="20 % - Markeringsfarve4 3 3 3 2 3 3" xfId="23531" xr:uid="{00000000-0005-0000-0000-0000482E0000}"/>
    <cellStyle name="20 % - Markeringsfarve4 3 3 3 2 3 4" xfId="38518" xr:uid="{00000000-0005-0000-0000-0000492E0000}"/>
    <cellStyle name="20 % - Markeringsfarve4 3 3 3 2 4" xfId="11130" xr:uid="{00000000-0005-0000-0000-00004A2E0000}"/>
    <cellStyle name="20 % - Markeringsfarve4 3 3 3 2 4 2" xfId="27449" xr:uid="{00000000-0005-0000-0000-00004B2E0000}"/>
    <cellStyle name="20 % - Markeringsfarve4 3 3 3 2 4 3" xfId="42415" xr:uid="{00000000-0005-0000-0000-00004C2E0000}"/>
    <cellStyle name="20 % - Markeringsfarve4 3 3 3 2 5" xfId="20427" xr:uid="{00000000-0005-0000-0000-00004D2E0000}"/>
    <cellStyle name="20 % - Markeringsfarve4 3 3 3 2 6" xfId="35416" xr:uid="{00000000-0005-0000-0000-00004E2E0000}"/>
    <cellStyle name="20 % - Markeringsfarve4 3 3 3 3" xfId="2575" xr:uid="{00000000-0005-0000-0000-00004F2E0000}"/>
    <cellStyle name="20 % - Markeringsfarve4 3 3 3 3 2" xfId="6988" xr:uid="{00000000-0005-0000-0000-0000502E0000}"/>
    <cellStyle name="20 % - Markeringsfarve4 3 3 3 3 2 2" xfId="14899" xr:uid="{00000000-0005-0000-0000-0000512E0000}"/>
    <cellStyle name="20 % - Markeringsfarve4 3 3 3 3 2 2 2" xfId="31213" xr:uid="{00000000-0005-0000-0000-0000522E0000}"/>
    <cellStyle name="20 % - Markeringsfarve4 3 3 3 3 2 2 3" xfId="46177" xr:uid="{00000000-0005-0000-0000-0000532E0000}"/>
    <cellStyle name="20 % - Markeringsfarve4 3 3 3 3 2 3" xfId="24191" xr:uid="{00000000-0005-0000-0000-0000542E0000}"/>
    <cellStyle name="20 % - Markeringsfarve4 3 3 3 3 2 4" xfId="39178" xr:uid="{00000000-0005-0000-0000-0000552E0000}"/>
    <cellStyle name="20 % - Markeringsfarve4 3 3 3 3 3" xfId="11132" xr:uid="{00000000-0005-0000-0000-0000562E0000}"/>
    <cellStyle name="20 % - Markeringsfarve4 3 3 3 3 3 2" xfId="27451" xr:uid="{00000000-0005-0000-0000-0000572E0000}"/>
    <cellStyle name="20 % - Markeringsfarve4 3 3 3 3 3 3" xfId="42417" xr:uid="{00000000-0005-0000-0000-0000582E0000}"/>
    <cellStyle name="20 % - Markeringsfarve4 3 3 3 3 4" xfId="20429" xr:uid="{00000000-0005-0000-0000-0000592E0000}"/>
    <cellStyle name="20 % - Markeringsfarve4 3 3 3 3 5" xfId="35418" xr:uid="{00000000-0005-0000-0000-00005A2E0000}"/>
    <cellStyle name="20 % - Markeringsfarve4 3 3 3 4" xfId="2576" xr:uid="{00000000-0005-0000-0000-00005B2E0000}"/>
    <cellStyle name="20 % - Markeringsfarve4 3 3 3 4 2" xfId="7086" xr:uid="{00000000-0005-0000-0000-00005C2E0000}"/>
    <cellStyle name="20 % - Markeringsfarve4 3 3 3 4 2 2" xfId="14997" xr:uid="{00000000-0005-0000-0000-00005D2E0000}"/>
    <cellStyle name="20 % - Markeringsfarve4 3 3 3 4 2 2 2" xfId="31311" xr:uid="{00000000-0005-0000-0000-00005E2E0000}"/>
    <cellStyle name="20 % - Markeringsfarve4 3 3 3 4 2 2 3" xfId="46275" xr:uid="{00000000-0005-0000-0000-00005F2E0000}"/>
    <cellStyle name="20 % - Markeringsfarve4 3 3 3 4 2 3" xfId="24289" xr:uid="{00000000-0005-0000-0000-0000602E0000}"/>
    <cellStyle name="20 % - Markeringsfarve4 3 3 3 4 2 4" xfId="39276" xr:uid="{00000000-0005-0000-0000-0000612E0000}"/>
    <cellStyle name="20 % - Markeringsfarve4 3 3 3 4 3" xfId="11133" xr:uid="{00000000-0005-0000-0000-0000622E0000}"/>
    <cellStyle name="20 % - Markeringsfarve4 3 3 3 4 3 2" xfId="27452" xr:uid="{00000000-0005-0000-0000-0000632E0000}"/>
    <cellStyle name="20 % - Markeringsfarve4 3 3 3 4 3 3" xfId="42418" xr:uid="{00000000-0005-0000-0000-0000642E0000}"/>
    <cellStyle name="20 % - Markeringsfarve4 3 3 3 4 4" xfId="20430" xr:uid="{00000000-0005-0000-0000-0000652E0000}"/>
    <cellStyle name="20 % - Markeringsfarve4 3 3 3 4 5" xfId="35419" xr:uid="{00000000-0005-0000-0000-0000662E0000}"/>
    <cellStyle name="20 % - Markeringsfarve4 3 3 3 5" xfId="5608" xr:uid="{00000000-0005-0000-0000-0000672E0000}"/>
    <cellStyle name="20 % - Markeringsfarve4 3 3 3 5 2" xfId="13526" xr:uid="{00000000-0005-0000-0000-0000682E0000}"/>
    <cellStyle name="20 % - Markeringsfarve4 3 3 3 5 2 2" xfId="29840" xr:uid="{00000000-0005-0000-0000-0000692E0000}"/>
    <cellStyle name="20 % - Markeringsfarve4 3 3 3 5 2 3" xfId="44804" xr:uid="{00000000-0005-0000-0000-00006A2E0000}"/>
    <cellStyle name="20 % - Markeringsfarve4 3 3 3 5 3" xfId="22818" xr:uid="{00000000-0005-0000-0000-00006B2E0000}"/>
    <cellStyle name="20 % - Markeringsfarve4 3 3 3 5 4" xfId="37805" xr:uid="{00000000-0005-0000-0000-00006C2E0000}"/>
    <cellStyle name="20 % - Markeringsfarve4 3 3 3 6" xfId="11129" xr:uid="{00000000-0005-0000-0000-00006D2E0000}"/>
    <cellStyle name="20 % - Markeringsfarve4 3 3 3 6 2" xfId="27448" xr:uid="{00000000-0005-0000-0000-00006E2E0000}"/>
    <cellStyle name="20 % - Markeringsfarve4 3 3 3 6 3" xfId="42414" xr:uid="{00000000-0005-0000-0000-00006F2E0000}"/>
    <cellStyle name="20 % - Markeringsfarve4 3 3 3 7" xfId="20426" xr:uid="{00000000-0005-0000-0000-0000702E0000}"/>
    <cellStyle name="20 % - Markeringsfarve4 3 3 3 8" xfId="35415" xr:uid="{00000000-0005-0000-0000-0000712E0000}"/>
    <cellStyle name="20 % - Markeringsfarve4 3 3 4" xfId="2577" xr:uid="{00000000-0005-0000-0000-0000722E0000}"/>
    <cellStyle name="20 % - Markeringsfarve4 3 3 4 2" xfId="2578" xr:uid="{00000000-0005-0000-0000-0000732E0000}"/>
    <cellStyle name="20 % - Markeringsfarve4 3 3 4 2 2" xfId="2579" xr:uid="{00000000-0005-0000-0000-0000742E0000}"/>
    <cellStyle name="20 % - Markeringsfarve4 3 3 4 2 2 2" xfId="7944" xr:uid="{00000000-0005-0000-0000-0000752E0000}"/>
    <cellStyle name="20 % - Markeringsfarve4 3 3 4 2 2 2 2" xfId="15845" xr:uid="{00000000-0005-0000-0000-0000762E0000}"/>
    <cellStyle name="20 % - Markeringsfarve4 3 3 4 2 2 2 2 2" xfId="32159" xr:uid="{00000000-0005-0000-0000-0000772E0000}"/>
    <cellStyle name="20 % - Markeringsfarve4 3 3 4 2 2 2 2 3" xfId="47123" xr:uid="{00000000-0005-0000-0000-0000782E0000}"/>
    <cellStyle name="20 % - Markeringsfarve4 3 3 4 2 2 2 3" xfId="25137" xr:uid="{00000000-0005-0000-0000-0000792E0000}"/>
    <cellStyle name="20 % - Markeringsfarve4 3 3 4 2 2 2 4" xfId="40124" xr:uid="{00000000-0005-0000-0000-00007A2E0000}"/>
    <cellStyle name="20 % - Markeringsfarve4 3 3 4 2 2 3" xfId="11136" xr:uid="{00000000-0005-0000-0000-00007B2E0000}"/>
    <cellStyle name="20 % - Markeringsfarve4 3 3 4 2 2 3 2" xfId="27455" xr:uid="{00000000-0005-0000-0000-00007C2E0000}"/>
    <cellStyle name="20 % - Markeringsfarve4 3 3 4 2 2 3 3" xfId="42421" xr:uid="{00000000-0005-0000-0000-00007D2E0000}"/>
    <cellStyle name="20 % - Markeringsfarve4 3 3 4 2 2 4" xfId="20433" xr:uid="{00000000-0005-0000-0000-00007E2E0000}"/>
    <cellStyle name="20 % - Markeringsfarve4 3 3 4 2 2 5" xfId="35422" xr:uid="{00000000-0005-0000-0000-00007F2E0000}"/>
    <cellStyle name="20 % - Markeringsfarve4 3 3 4 2 3" xfId="6476" xr:uid="{00000000-0005-0000-0000-0000802E0000}"/>
    <cellStyle name="20 % - Markeringsfarve4 3 3 4 2 3 2" xfId="14390" xr:uid="{00000000-0005-0000-0000-0000812E0000}"/>
    <cellStyle name="20 % - Markeringsfarve4 3 3 4 2 3 2 2" xfId="30704" xr:uid="{00000000-0005-0000-0000-0000822E0000}"/>
    <cellStyle name="20 % - Markeringsfarve4 3 3 4 2 3 2 3" xfId="45668" xr:uid="{00000000-0005-0000-0000-0000832E0000}"/>
    <cellStyle name="20 % - Markeringsfarve4 3 3 4 2 3 3" xfId="23682" xr:uid="{00000000-0005-0000-0000-0000842E0000}"/>
    <cellStyle name="20 % - Markeringsfarve4 3 3 4 2 3 4" xfId="38669" xr:uid="{00000000-0005-0000-0000-0000852E0000}"/>
    <cellStyle name="20 % - Markeringsfarve4 3 3 4 2 4" xfId="11135" xr:uid="{00000000-0005-0000-0000-0000862E0000}"/>
    <cellStyle name="20 % - Markeringsfarve4 3 3 4 2 4 2" xfId="27454" xr:uid="{00000000-0005-0000-0000-0000872E0000}"/>
    <cellStyle name="20 % - Markeringsfarve4 3 3 4 2 4 3" xfId="42420" xr:uid="{00000000-0005-0000-0000-0000882E0000}"/>
    <cellStyle name="20 % - Markeringsfarve4 3 3 4 2 5" xfId="20432" xr:uid="{00000000-0005-0000-0000-0000892E0000}"/>
    <cellStyle name="20 % - Markeringsfarve4 3 3 4 2 6" xfId="35421" xr:uid="{00000000-0005-0000-0000-00008A2E0000}"/>
    <cellStyle name="20 % - Markeringsfarve4 3 3 4 3" xfId="2580" xr:uid="{00000000-0005-0000-0000-00008B2E0000}"/>
    <cellStyle name="20 % - Markeringsfarve4 3 3 4 3 2" xfId="7220" xr:uid="{00000000-0005-0000-0000-00008C2E0000}"/>
    <cellStyle name="20 % - Markeringsfarve4 3 3 4 3 2 2" xfId="15130" xr:uid="{00000000-0005-0000-0000-00008D2E0000}"/>
    <cellStyle name="20 % - Markeringsfarve4 3 3 4 3 2 2 2" xfId="31444" xr:uid="{00000000-0005-0000-0000-00008E2E0000}"/>
    <cellStyle name="20 % - Markeringsfarve4 3 3 4 3 2 2 3" xfId="46408" xr:uid="{00000000-0005-0000-0000-00008F2E0000}"/>
    <cellStyle name="20 % - Markeringsfarve4 3 3 4 3 2 3" xfId="24422" xr:uid="{00000000-0005-0000-0000-0000902E0000}"/>
    <cellStyle name="20 % - Markeringsfarve4 3 3 4 3 2 4" xfId="39409" xr:uid="{00000000-0005-0000-0000-0000912E0000}"/>
    <cellStyle name="20 % - Markeringsfarve4 3 3 4 3 3" xfId="11137" xr:uid="{00000000-0005-0000-0000-0000922E0000}"/>
    <cellStyle name="20 % - Markeringsfarve4 3 3 4 3 3 2" xfId="27456" xr:uid="{00000000-0005-0000-0000-0000932E0000}"/>
    <cellStyle name="20 % - Markeringsfarve4 3 3 4 3 3 3" xfId="42422" xr:uid="{00000000-0005-0000-0000-0000942E0000}"/>
    <cellStyle name="20 % - Markeringsfarve4 3 3 4 3 4" xfId="20434" xr:uid="{00000000-0005-0000-0000-0000952E0000}"/>
    <cellStyle name="20 % - Markeringsfarve4 3 3 4 3 5" xfId="35423" xr:uid="{00000000-0005-0000-0000-0000962E0000}"/>
    <cellStyle name="20 % - Markeringsfarve4 3 3 4 4" xfId="2581" xr:uid="{00000000-0005-0000-0000-0000972E0000}"/>
    <cellStyle name="20 % - Markeringsfarve4 3 3 4 4 2" xfId="8784" xr:uid="{00000000-0005-0000-0000-0000982E0000}"/>
    <cellStyle name="20 % - Markeringsfarve4 3 3 4 4 2 2" xfId="16660" xr:uid="{00000000-0005-0000-0000-0000992E0000}"/>
    <cellStyle name="20 % - Markeringsfarve4 3 3 4 4 2 2 2" xfId="32974" xr:uid="{00000000-0005-0000-0000-00009A2E0000}"/>
    <cellStyle name="20 % - Markeringsfarve4 3 3 4 4 2 2 3" xfId="47938" xr:uid="{00000000-0005-0000-0000-00009B2E0000}"/>
    <cellStyle name="20 % - Markeringsfarve4 3 3 4 4 2 3" xfId="25952" xr:uid="{00000000-0005-0000-0000-00009C2E0000}"/>
    <cellStyle name="20 % - Markeringsfarve4 3 3 4 4 2 4" xfId="40939" xr:uid="{00000000-0005-0000-0000-00009D2E0000}"/>
    <cellStyle name="20 % - Markeringsfarve4 3 3 4 4 3" xfId="11138" xr:uid="{00000000-0005-0000-0000-00009E2E0000}"/>
    <cellStyle name="20 % - Markeringsfarve4 3 3 4 4 3 2" xfId="27457" xr:uid="{00000000-0005-0000-0000-00009F2E0000}"/>
    <cellStyle name="20 % - Markeringsfarve4 3 3 4 4 3 3" xfId="42423" xr:uid="{00000000-0005-0000-0000-0000A02E0000}"/>
    <cellStyle name="20 % - Markeringsfarve4 3 3 4 4 4" xfId="20435" xr:uid="{00000000-0005-0000-0000-0000A12E0000}"/>
    <cellStyle name="20 % - Markeringsfarve4 3 3 4 4 5" xfId="35424" xr:uid="{00000000-0005-0000-0000-0000A22E0000}"/>
    <cellStyle name="20 % - Markeringsfarve4 3 3 4 5" xfId="5609" xr:uid="{00000000-0005-0000-0000-0000A32E0000}"/>
    <cellStyle name="20 % - Markeringsfarve4 3 3 4 5 2" xfId="13527" xr:uid="{00000000-0005-0000-0000-0000A42E0000}"/>
    <cellStyle name="20 % - Markeringsfarve4 3 3 4 5 2 2" xfId="29841" xr:uid="{00000000-0005-0000-0000-0000A52E0000}"/>
    <cellStyle name="20 % - Markeringsfarve4 3 3 4 5 2 3" xfId="44805" xr:uid="{00000000-0005-0000-0000-0000A62E0000}"/>
    <cellStyle name="20 % - Markeringsfarve4 3 3 4 5 3" xfId="22819" xr:uid="{00000000-0005-0000-0000-0000A72E0000}"/>
    <cellStyle name="20 % - Markeringsfarve4 3 3 4 5 4" xfId="37806" xr:uid="{00000000-0005-0000-0000-0000A82E0000}"/>
    <cellStyle name="20 % - Markeringsfarve4 3 3 4 6" xfId="11134" xr:uid="{00000000-0005-0000-0000-0000A92E0000}"/>
    <cellStyle name="20 % - Markeringsfarve4 3 3 4 6 2" xfId="27453" xr:uid="{00000000-0005-0000-0000-0000AA2E0000}"/>
    <cellStyle name="20 % - Markeringsfarve4 3 3 4 6 3" xfId="42419" xr:uid="{00000000-0005-0000-0000-0000AB2E0000}"/>
    <cellStyle name="20 % - Markeringsfarve4 3 3 4 7" xfId="20431" xr:uid="{00000000-0005-0000-0000-0000AC2E0000}"/>
    <cellStyle name="20 % - Markeringsfarve4 3 3 4 8" xfId="35420" xr:uid="{00000000-0005-0000-0000-0000AD2E0000}"/>
    <cellStyle name="20 % - Markeringsfarve4 3 3 5" xfId="2582" xr:uid="{00000000-0005-0000-0000-0000AE2E0000}"/>
    <cellStyle name="20 % - Markeringsfarve4 3 3 5 2" xfId="2583" xr:uid="{00000000-0005-0000-0000-0000AF2E0000}"/>
    <cellStyle name="20 % - Markeringsfarve4 3 3 5 2 2" xfId="2584" xr:uid="{00000000-0005-0000-0000-0000B02E0000}"/>
    <cellStyle name="20 % - Markeringsfarve4 3 3 5 2 2 2" xfId="8061" xr:uid="{00000000-0005-0000-0000-0000B12E0000}"/>
    <cellStyle name="20 % - Markeringsfarve4 3 3 5 2 2 2 2" xfId="15962" xr:uid="{00000000-0005-0000-0000-0000B22E0000}"/>
    <cellStyle name="20 % - Markeringsfarve4 3 3 5 2 2 2 2 2" xfId="32276" xr:uid="{00000000-0005-0000-0000-0000B32E0000}"/>
    <cellStyle name="20 % - Markeringsfarve4 3 3 5 2 2 2 2 3" xfId="47240" xr:uid="{00000000-0005-0000-0000-0000B42E0000}"/>
    <cellStyle name="20 % - Markeringsfarve4 3 3 5 2 2 2 3" xfId="25254" xr:uid="{00000000-0005-0000-0000-0000B52E0000}"/>
    <cellStyle name="20 % - Markeringsfarve4 3 3 5 2 2 2 4" xfId="40241" xr:uid="{00000000-0005-0000-0000-0000B62E0000}"/>
    <cellStyle name="20 % - Markeringsfarve4 3 3 5 2 2 3" xfId="11141" xr:uid="{00000000-0005-0000-0000-0000B72E0000}"/>
    <cellStyle name="20 % - Markeringsfarve4 3 3 5 2 2 3 2" xfId="27460" xr:uid="{00000000-0005-0000-0000-0000B82E0000}"/>
    <cellStyle name="20 % - Markeringsfarve4 3 3 5 2 2 3 3" xfId="42426" xr:uid="{00000000-0005-0000-0000-0000B92E0000}"/>
    <cellStyle name="20 % - Markeringsfarve4 3 3 5 2 2 4" xfId="20438" xr:uid="{00000000-0005-0000-0000-0000BA2E0000}"/>
    <cellStyle name="20 % - Markeringsfarve4 3 3 5 2 2 5" xfId="35427" xr:uid="{00000000-0005-0000-0000-0000BB2E0000}"/>
    <cellStyle name="20 % - Markeringsfarve4 3 3 5 2 3" xfId="6575" xr:uid="{00000000-0005-0000-0000-0000BC2E0000}"/>
    <cellStyle name="20 % - Markeringsfarve4 3 3 5 2 3 2" xfId="14489" xr:uid="{00000000-0005-0000-0000-0000BD2E0000}"/>
    <cellStyle name="20 % - Markeringsfarve4 3 3 5 2 3 2 2" xfId="30803" xr:uid="{00000000-0005-0000-0000-0000BE2E0000}"/>
    <cellStyle name="20 % - Markeringsfarve4 3 3 5 2 3 2 3" xfId="45767" xr:uid="{00000000-0005-0000-0000-0000BF2E0000}"/>
    <cellStyle name="20 % - Markeringsfarve4 3 3 5 2 3 3" xfId="23781" xr:uid="{00000000-0005-0000-0000-0000C02E0000}"/>
    <cellStyle name="20 % - Markeringsfarve4 3 3 5 2 3 4" xfId="38768" xr:uid="{00000000-0005-0000-0000-0000C12E0000}"/>
    <cellStyle name="20 % - Markeringsfarve4 3 3 5 2 4" xfId="11140" xr:uid="{00000000-0005-0000-0000-0000C22E0000}"/>
    <cellStyle name="20 % - Markeringsfarve4 3 3 5 2 4 2" xfId="27459" xr:uid="{00000000-0005-0000-0000-0000C32E0000}"/>
    <cellStyle name="20 % - Markeringsfarve4 3 3 5 2 4 3" xfId="42425" xr:uid="{00000000-0005-0000-0000-0000C42E0000}"/>
    <cellStyle name="20 % - Markeringsfarve4 3 3 5 2 5" xfId="20437" xr:uid="{00000000-0005-0000-0000-0000C52E0000}"/>
    <cellStyle name="20 % - Markeringsfarve4 3 3 5 2 6" xfId="35426" xr:uid="{00000000-0005-0000-0000-0000C62E0000}"/>
    <cellStyle name="20 % - Markeringsfarve4 3 3 5 3" xfId="2585" xr:uid="{00000000-0005-0000-0000-0000C72E0000}"/>
    <cellStyle name="20 % - Markeringsfarve4 3 3 5 3 2" xfId="7337" xr:uid="{00000000-0005-0000-0000-0000C82E0000}"/>
    <cellStyle name="20 % - Markeringsfarve4 3 3 5 3 2 2" xfId="15247" xr:uid="{00000000-0005-0000-0000-0000C92E0000}"/>
    <cellStyle name="20 % - Markeringsfarve4 3 3 5 3 2 2 2" xfId="31561" xr:uid="{00000000-0005-0000-0000-0000CA2E0000}"/>
    <cellStyle name="20 % - Markeringsfarve4 3 3 5 3 2 2 3" xfId="46525" xr:uid="{00000000-0005-0000-0000-0000CB2E0000}"/>
    <cellStyle name="20 % - Markeringsfarve4 3 3 5 3 2 3" xfId="24539" xr:uid="{00000000-0005-0000-0000-0000CC2E0000}"/>
    <cellStyle name="20 % - Markeringsfarve4 3 3 5 3 2 4" xfId="39526" xr:uid="{00000000-0005-0000-0000-0000CD2E0000}"/>
    <cellStyle name="20 % - Markeringsfarve4 3 3 5 3 3" xfId="11142" xr:uid="{00000000-0005-0000-0000-0000CE2E0000}"/>
    <cellStyle name="20 % - Markeringsfarve4 3 3 5 3 3 2" xfId="27461" xr:uid="{00000000-0005-0000-0000-0000CF2E0000}"/>
    <cellStyle name="20 % - Markeringsfarve4 3 3 5 3 3 3" xfId="42427" xr:uid="{00000000-0005-0000-0000-0000D02E0000}"/>
    <cellStyle name="20 % - Markeringsfarve4 3 3 5 3 4" xfId="20439" xr:uid="{00000000-0005-0000-0000-0000D12E0000}"/>
    <cellStyle name="20 % - Markeringsfarve4 3 3 5 3 5" xfId="35428" xr:uid="{00000000-0005-0000-0000-0000D22E0000}"/>
    <cellStyle name="20 % - Markeringsfarve4 3 3 5 4" xfId="2586" xr:uid="{00000000-0005-0000-0000-0000D32E0000}"/>
    <cellStyle name="20 % - Markeringsfarve4 3 3 5 4 2" xfId="8504" xr:uid="{00000000-0005-0000-0000-0000D42E0000}"/>
    <cellStyle name="20 % - Markeringsfarve4 3 3 5 4 2 2" xfId="16393" xr:uid="{00000000-0005-0000-0000-0000D52E0000}"/>
    <cellStyle name="20 % - Markeringsfarve4 3 3 5 4 2 2 2" xfId="32707" xr:uid="{00000000-0005-0000-0000-0000D62E0000}"/>
    <cellStyle name="20 % - Markeringsfarve4 3 3 5 4 2 2 3" xfId="47671" xr:uid="{00000000-0005-0000-0000-0000D72E0000}"/>
    <cellStyle name="20 % - Markeringsfarve4 3 3 5 4 2 3" xfId="25685" xr:uid="{00000000-0005-0000-0000-0000D82E0000}"/>
    <cellStyle name="20 % - Markeringsfarve4 3 3 5 4 2 4" xfId="40672" xr:uid="{00000000-0005-0000-0000-0000D92E0000}"/>
    <cellStyle name="20 % - Markeringsfarve4 3 3 5 4 3" xfId="11143" xr:uid="{00000000-0005-0000-0000-0000DA2E0000}"/>
    <cellStyle name="20 % - Markeringsfarve4 3 3 5 4 3 2" xfId="27462" xr:uid="{00000000-0005-0000-0000-0000DB2E0000}"/>
    <cellStyle name="20 % - Markeringsfarve4 3 3 5 4 3 3" xfId="42428" xr:uid="{00000000-0005-0000-0000-0000DC2E0000}"/>
    <cellStyle name="20 % - Markeringsfarve4 3 3 5 4 4" xfId="20440" xr:uid="{00000000-0005-0000-0000-0000DD2E0000}"/>
    <cellStyle name="20 % - Markeringsfarve4 3 3 5 4 5" xfId="35429" xr:uid="{00000000-0005-0000-0000-0000DE2E0000}"/>
    <cellStyle name="20 % - Markeringsfarve4 3 3 5 5" xfId="5610" xr:uid="{00000000-0005-0000-0000-0000DF2E0000}"/>
    <cellStyle name="20 % - Markeringsfarve4 3 3 5 5 2" xfId="13528" xr:uid="{00000000-0005-0000-0000-0000E02E0000}"/>
    <cellStyle name="20 % - Markeringsfarve4 3 3 5 5 2 2" xfId="29842" xr:uid="{00000000-0005-0000-0000-0000E12E0000}"/>
    <cellStyle name="20 % - Markeringsfarve4 3 3 5 5 2 3" xfId="44806" xr:uid="{00000000-0005-0000-0000-0000E22E0000}"/>
    <cellStyle name="20 % - Markeringsfarve4 3 3 5 5 3" xfId="22820" xr:uid="{00000000-0005-0000-0000-0000E32E0000}"/>
    <cellStyle name="20 % - Markeringsfarve4 3 3 5 5 4" xfId="37807" xr:uid="{00000000-0005-0000-0000-0000E42E0000}"/>
    <cellStyle name="20 % - Markeringsfarve4 3 3 5 6" xfId="11139" xr:uid="{00000000-0005-0000-0000-0000E52E0000}"/>
    <cellStyle name="20 % - Markeringsfarve4 3 3 5 6 2" xfId="27458" xr:uid="{00000000-0005-0000-0000-0000E62E0000}"/>
    <cellStyle name="20 % - Markeringsfarve4 3 3 5 6 3" xfId="42424" xr:uid="{00000000-0005-0000-0000-0000E72E0000}"/>
    <cellStyle name="20 % - Markeringsfarve4 3 3 5 7" xfId="20436" xr:uid="{00000000-0005-0000-0000-0000E82E0000}"/>
    <cellStyle name="20 % - Markeringsfarve4 3 3 5 8" xfId="35425" xr:uid="{00000000-0005-0000-0000-0000E92E0000}"/>
    <cellStyle name="20 % - Markeringsfarve4 3 3 6" xfId="2587" xr:uid="{00000000-0005-0000-0000-0000EA2E0000}"/>
    <cellStyle name="20 % - Markeringsfarve4 3 3 6 2" xfId="2588" xr:uid="{00000000-0005-0000-0000-0000EB2E0000}"/>
    <cellStyle name="20 % - Markeringsfarve4 3 3 6 2 2" xfId="2589" xr:uid="{00000000-0005-0000-0000-0000EC2E0000}"/>
    <cellStyle name="20 % - Markeringsfarve4 3 3 6 2 2 2" xfId="8113" xr:uid="{00000000-0005-0000-0000-0000ED2E0000}"/>
    <cellStyle name="20 % - Markeringsfarve4 3 3 6 2 2 2 2" xfId="16014" xr:uid="{00000000-0005-0000-0000-0000EE2E0000}"/>
    <cellStyle name="20 % - Markeringsfarve4 3 3 6 2 2 2 2 2" xfId="32328" xr:uid="{00000000-0005-0000-0000-0000EF2E0000}"/>
    <cellStyle name="20 % - Markeringsfarve4 3 3 6 2 2 2 2 3" xfId="47292" xr:uid="{00000000-0005-0000-0000-0000F02E0000}"/>
    <cellStyle name="20 % - Markeringsfarve4 3 3 6 2 2 2 3" xfId="25306" xr:uid="{00000000-0005-0000-0000-0000F12E0000}"/>
    <cellStyle name="20 % - Markeringsfarve4 3 3 6 2 2 2 4" xfId="40293" xr:uid="{00000000-0005-0000-0000-0000F22E0000}"/>
    <cellStyle name="20 % - Markeringsfarve4 3 3 6 2 2 3" xfId="11146" xr:uid="{00000000-0005-0000-0000-0000F32E0000}"/>
    <cellStyle name="20 % - Markeringsfarve4 3 3 6 2 2 3 2" xfId="27465" xr:uid="{00000000-0005-0000-0000-0000F42E0000}"/>
    <cellStyle name="20 % - Markeringsfarve4 3 3 6 2 2 3 3" xfId="42431" xr:uid="{00000000-0005-0000-0000-0000F52E0000}"/>
    <cellStyle name="20 % - Markeringsfarve4 3 3 6 2 2 4" xfId="20443" xr:uid="{00000000-0005-0000-0000-0000F62E0000}"/>
    <cellStyle name="20 % - Markeringsfarve4 3 3 6 2 2 5" xfId="35432" xr:uid="{00000000-0005-0000-0000-0000F72E0000}"/>
    <cellStyle name="20 % - Markeringsfarve4 3 3 6 2 3" xfId="6624" xr:uid="{00000000-0005-0000-0000-0000F82E0000}"/>
    <cellStyle name="20 % - Markeringsfarve4 3 3 6 2 3 2" xfId="14538" xr:uid="{00000000-0005-0000-0000-0000F92E0000}"/>
    <cellStyle name="20 % - Markeringsfarve4 3 3 6 2 3 2 2" xfId="30852" xr:uid="{00000000-0005-0000-0000-0000FA2E0000}"/>
    <cellStyle name="20 % - Markeringsfarve4 3 3 6 2 3 2 3" xfId="45816" xr:uid="{00000000-0005-0000-0000-0000FB2E0000}"/>
    <cellStyle name="20 % - Markeringsfarve4 3 3 6 2 3 3" xfId="23830" xr:uid="{00000000-0005-0000-0000-0000FC2E0000}"/>
    <cellStyle name="20 % - Markeringsfarve4 3 3 6 2 3 4" xfId="38817" xr:uid="{00000000-0005-0000-0000-0000FD2E0000}"/>
    <cellStyle name="20 % - Markeringsfarve4 3 3 6 2 4" xfId="11145" xr:uid="{00000000-0005-0000-0000-0000FE2E0000}"/>
    <cellStyle name="20 % - Markeringsfarve4 3 3 6 2 4 2" xfId="27464" xr:uid="{00000000-0005-0000-0000-0000FF2E0000}"/>
    <cellStyle name="20 % - Markeringsfarve4 3 3 6 2 4 3" xfId="42430" xr:uid="{00000000-0005-0000-0000-0000002F0000}"/>
    <cellStyle name="20 % - Markeringsfarve4 3 3 6 2 5" xfId="20442" xr:uid="{00000000-0005-0000-0000-0000012F0000}"/>
    <cellStyle name="20 % - Markeringsfarve4 3 3 6 2 6" xfId="35431" xr:uid="{00000000-0005-0000-0000-0000022F0000}"/>
    <cellStyle name="20 % - Markeringsfarve4 3 3 6 3" xfId="2590" xr:uid="{00000000-0005-0000-0000-0000032F0000}"/>
    <cellStyle name="20 % - Markeringsfarve4 3 3 6 3 2" xfId="7390" xr:uid="{00000000-0005-0000-0000-0000042F0000}"/>
    <cellStyle name="20 % - Markeringsfarve4 3 3 6 3 2 2" xfId="15300" xr:uid="{00000000-0005-0000-0000-0000052F0000}"/>
    <cellStyle name="20 % - Markeringsfarve4 3 3 6 3 2 2 2" xfId="31614" xr:uid="{00000000-0005-0000-0000-0000062F0000}"/>
    <cellStyle name="20 % - Markeringsfarve4 3 3 6 3 2 2 3" xfId="46578" xr:uid="{00000000-0005-0000-0000-0000072F0000}"/>
    <cellStyle name="20 % - Markeringsfarve4 3 3 6 3 2 3" xfId="24592" xr:uid="{00000000-0005-0000-0000-0000082F0000}"/>
    <cellStyle name="20 % - Markeringsfarve4 3 3 6 3 2 4" xfId="39579" xr:uid="{00000000-0005-0000-0000-0000092F0000}"/>
    <cellStyle name="20 % - Markeringsfarve4 3 3 6 3 3" xfId="11147" xr:uid="{00000000-0005-0000-0000-00000A2F0000}"/>
    <cellStyle name="20 % - Markeringsfarve4 3 3 6 3 3 2" xfId="27466" xr:uid="{00000000-0005-0000-0000-00000B2F0000}"/>
    <cellStyle name="20 % - Markeringsfarve4 3 3 6 3 3 3" xfId="42432" xr:uid="{00000000-0005-0000-0000-00000C2F0000}"/>
    <cellStyle name="20 % - Markeringsfarve4 3 3 6 3 4" xfId="20444" xr:uid="{00000000-0005-0000-0000-00000D2F0000}"/>
    <cellStyle name="20 % - Markeringsfarve4 3 3 6 3 5" xfId="35433" xr:uid="{00000000-0005-0000-0000-00000E2F0000}"/>
    <cellStyle name="20 % - Markeringsfarve4 3 3 6 4" xfId="2591" xr:uid="{00000000-0005-0000-0000-00000F2F0000}"/>
    <cellStyle name="20 % - Markeringsfarve4 3 3 6 4 2" xfId="8707" xr:uid="{00000000-0005-0000-0000-0000102F0000}"/>
    <cellStyle name="20 % - Markeringsfarve4 3 3 6 4 2 2" xfId="16587" xr:uid="{00000000-0005-0000-0000-0000112F0000}"/>
    <cellStyle name="20 % - Markeringsfarve4 3 3 6 4 2 2 2" xfId="32901" xr:uid="{00000000-0005-0000-0000-0000122F0000}"/>
    <cellStyle name="20 % - Markeringsfarve4 3 3 6 4 2 2 3" xfId="47865" xr:uid="{00000000-0005-0000-0000-0000132F0000}"/>
    <cellStyle name="20 % - Markeringsfarve4 3 3 6 4 2 3" xfId="25879" xr:uid="{00000000-0005-0000-0000-0000142F0000}"/>
    <cellStyle name="20 % - Markeringsfarve4 3 3 6 4 2 4" xfId="40866" xr:uid="{00000000-0005-0000-0000-0000152F0000}"/>
    <cellStyle name="20 % - Markeringsfarve4 3 3 6 4 3" xfId="11148" xr:uid="{00000000-0005-0000-0000-0000162F0000}"/>
    <cellStyle name="20 % - Markeringsfarve4 3 3 6 4 3 2" xfId="27467" xr:uid="{00000000-0005-0000-0000-0000172F0000}"/>
    <cellStyle name="20 % - Markeringsfarve4 3 3 6 4 3 3" xfId="42433" xr:uid="{00000000-0005-0000-0000-0000182F0000}"/>
    <cellStyle name="20 % - Markeringsfarve4 3 3 6 4 4" xfId="20445" xr:uid="{00000000-0005-0000-0000-0000192F0000}"/>
    <cellStyle name="20 % - Markeringsfarve4 3 3 6 4 5" xfId="35434" xr:uid="{00000000-0005-0000-0000-00001A2F0000}"/>
    <cellStyle name="20 % - Markeringsfarve4 3 3 6 5" xfId="5611" xr:uid="{00000000-0005-0000-0000-00001B2F0000}"/>
    <cellStyle name="20 % - Markeringsfarve4 3 3 6 5 2" xfId="13529" xr:uid="{00000000-0005-0000-0000-00001C2F0000}"/>
    <cellStyle name="20 % - Markeringsfarve4 3 3 6 5 2 2" xfId="29843" xr:uid="{00000000-0005-0000-0000-00001D2F0000}"/>
    <cellStyle name="20 % - Markeringsfarve4 3 3 6 5 2 3" xfId="44807" xr:uid="{00000000-0005-0000-0000-00001E2F0000}"/>
    <cellStyle name="20 % - Markeringsfarve4 3 3 6 5 3" xfId="22821" xr:uid="{00000000-0005-0000-0000-00001F2F0000}"/>
    <cellStyle name="20 % - Markeringsfarve4 3 3 6 5 4" xfId="37808" xr:uid="{00000000-0005-0000-0000-0000202F0000}"/>
    <cellStyle name="20 % - Markeringsfarve4 3 3 6 6" xfId="11144" xr:uid="{00000000-0005-0000-0000-0000212F0000}"/>
    <cellStyle name="20 % - Markeringsfarve4 3 3 6 6 2" xfId="27463" xr:uid="{00000000-0005-0000-0000-0000222F0000}"/>
    <cellStyle name="20 % - Markeringsfarve4 3 3 6 6 3" xfId="42429" xr:uid="{00000000-0005-0000-0000-0000232F0000}"/>
    <cellStyle name="20 % - Markeringsfarve4 3 3 6 7" xfId="20441" xr:uid="{00000000-0005-0000-0000-0000242F0000}"/>
    <cellStyle name="20 % - Markeringsfarve4 3 3 6 8" xfId="35430" xr:uid="{00000000-0005-0000-0000-0000252F0000}"/>
    <cellStyle name="20 % - Markeringsfarve4 3 3 7" xfId="2592" xr:uid="{00000000-0005-0000-0000-0000262F0000}"/>
    <cellStyle name="20 % - Markeringsfarve4 3 3 7 2" xfId="2593" xr:uid="{00000000-0005-0000-0000-0000272F0000}"/>
    <cellStyle name="20 % - Markeringsfarve4 3 3 7 2 2" xfId="7587" xr:uid="{00000000-0005-0000-0000-0000282F0000}"/>
    <cellStyle name="20 % - Markeringsfarve4 3 3 7 2 2 2" xfId="15488" xr:uid="{00000000-0005-0000-0000-0000292F0000}"/>
    <cellStyle name="20 % - Markeringsfarve4 3 3 7 2 2 2 2" xfId="31802" xr:uid="{00000000-0005-0000-0000-00002A2F0000}"/>
    <cellStyle name="20 % - Markeringsfarve4 3 3 7 2 2 2 3" xfId="46766" xr:uid="{00000000-0005-0000-0000-00002B2F0000}"/>
    <cellStyle name="20 % - Markeringsfarve4 3 3 7 2 2 3" xfId="24780" xr:uid="{00000000-0005-0000-0000-00002C2F0000}"/>
    <cellStyle name="20 % - Markeringsfarve4 3 3 7 2 2 4" xfId="39767" xr:uid="{00000000-0005-0000-0000-00002D2F0000}"/>
    <cellStyle name="20 % - Markeringsfarve4 3 3 7 2 3" xfId="11150" xr:uid="{00000000-0005-0000-0000-00002E2F0000}"/>
    <cellStyle name="20 % - Markeringsfarve4 3 3 7 2 3 2" xfId="27469" xr:uid="{00000000-0005-0000-0000-00002F2F0000}"/>
    <cellStyle name="20 % - Markeringsfarve4 3 3 7 2 3 3" xfId="42435" xr:uid="{00000000-0005-0000-0000-0000302F0000}"/>
    <cellStyle name="20 % - Markeringsfarve4 3 3 7 2 4" xfId="20447" xr:uid="{00000000-0005-0000-0000-0000312F0000}"/>
    <cellStyle name="20 % - Markeringsfarve4 3 3 7 2 5" xfId="35436" xr:uid="{00000000-0005-0000-0000-0000322F0000}"/>
    <cellStyle name="20 % - Markeringsfarve4 3 3 7 3" xfId="6175" xr:uid="{00000000-0005-0000-0000-0000332F0000}"/>
    <cellStyle name="20 % - Markeringsfarve4 3 3 7 3 2" xfId="14092" xr:uid="{00000000-0005-0000-0000-0000342F0000}"/>
    <cellStyle name="20 % - Markeringsfarve4 3 3 7 3 2 2" xfId="30406" xr:uid="{00000000-0005-0000-0000-0000352F0000}"/>
    <cellStyle name="20 % - Markeringsfarve4 3 3 7 3 2 3" xfId="45370" xr:uid="{00000000-0005-0000-0000-0000362F0000}"/>
    <cellStyle name="20 % - Markeringsfarve4 3 3 7 3 3" xfId="23384" xr:uid="{00000000-0005-0000-0000-0000372F0000}"/>
    <cellStyle name="20 % - Markeringsfarve4 3 3 7 3 4" xfId="38371" xr:uid="{00000000-0005-0000-0000-0000382F0000}"/>
    <cellStyle name="20 % - Markeringsfarve4 3 3 7 4" xfId="11149" xr:uid="{00000000-0005-0000-0000-0000392F0000}"/>
    <cellStyle name="20 % - Markeringsfarve4 3 3 7 4 2" xfId="27468" xr:uid="{00000000-0005-0000-0000-00003A2F0000}"/>
    <cellStyle name="20 % - Markeringsfarve4 3 3 7 4 3" xfId="42434" xr:uid="{00000000-0005-0000-0000-00003B2F0000}"/>
    <cellStyle name="20 % - Markeringsfarve4 3 3 7 5" xfId="20446" xr:uid="{00000000-0005-0000-0000-00003C2F0000}"/>
    <cellStyle name="20 % - Markeringsfarve4 3 3 7 6" xfId="35435" xr:uid="{00000000-0005-0000-0000-00003D2F0000}"/>
    <cellStyle name="20 % - Markeringsfarve4 3 3 8" xfId="2594" xr:uid="{00000000-0005-0000-0000-00003E2F0000}"/>
    <cellStyle name="20 % - Markeringsfarve4 3 3 8 2" xfId="6815" xr:uid="{00000000-0005-0000-0000-00003F2F0000}"/>
    <cellStyle name="20 % - Markeringsfarve4 3 3 8 2 2" xfId="14726" xr:uid="{00000000-0005-0000-0000-0000402F0000}"/>
    <cellStyle name="20 % - Markeringsfarve4 3 3 8 2 2 2" xfId="31040" xr:uid="{00000000-0005-0000-0000-0000412F0000}"/>
    <cellStyle name="20 % - Markeringsfarve4 3 3 8 2 2 3" xfId="46004" xr:uid="{00000000-0005-0000-0000-0000422F0000}"/>
    <cellStyle name="20 % - Markeringsfarve4 3 3 8 2 3" xfId="24018" xr:uid="{00000000-0005-0000-0000-0000432F0000}"/>
    <cellStyle name="20 % - Markeringsfarve4 3 3 8 2 4" xfId="39005" xr:uid="{00000000-0005-0000-0000-0000442F0000}"/>
    <cellStyle name="20 % - Markeringsfarve4 3 3 8 3" xfId="11151" xr:uid="{00000000-0005-0000-0000-0000452F0000}"/>
    <cellStyle name="20 % - Markeringsfarve4 3 3 8 3 2" xfId="27470" xr:uid="{00000000-0005-0000-0000-0000462F0000}"/>
    <cellStyle name="20 % - Markeringsfarve4 3 3 8 3 3" xfId="42436" xr:uid="{00000000-0005-0000-0000-0000472F0000}"/>
    <cellStyle name="20 % - Markeringsfarve4 3 3 8 4" xfId="20448" xr:uid="{00000000-0005-0000-0000-0000482F0000}"/>
    <cellStyle name="20 % - Markeringsfarve4 3 3 8 5" xfId="35437" xr:uid="{00000000-0005-0000-0000-0000492F0000}"/>
    <cellStyle name="20 % - Markeringsfarve4 3 3 9" xfId="2595" xr:uid="{00000000-0005-0000-0000-00004A2F0000}"/>
    <cellStyle name="20 % - Markeringsfarve4 3 3 9 2" xfId="8240" xr:uid="{00000000-0005-0000-0000-00004B2F0000}"/>
    <cellStyle name="20 % - Markeringsfarve4 3 3 9 2 2" xfId="16137" xr:uid="{00000000-0005-0000-0000-00004C2F0000}"/>
    <cellStyle name="20 % - Markeringsfarve4 3 3 9 2 2 2" xfId="32451" xr:uid="{00000000-0005-0000-0000-00004D2F0000}"/>
    <cellStyle name="20 % - Markeringsfarve4 3 3 9 2 2 3" xfId="47415" xr:uid="{00000000-0005-0000-0000-00004E2F0000}"/>
    <cellStyle name="20 % - Markeringsfarve4 3 3 9 2 3" xfId="25429" xr:uid="{00000000-0005-0000-0000-00004F2F0000}"/>
    <cellStyle name="20 % - Markeringsfarve4 3 3 9 2 4" xfId="40416" xr:uid="{00000000-0005-0000-0000-0000502F0000}"/>
    <cellStyle name="20 % - Markeringsfarve4 3 3 9 3" xfId="11152" xr:uid="{00000000-0005-0000-0000-0000512F0000}"/>
    <cellStyle name="20 % - Markeringsfarve4 3 3 9 3 2" xfId="27471" xr:uid="{00000000-0005-0000-0000-0000522F0000}"/>
    <cellStyle name="20 % - Markeringsfarve4 3 3 9 3 3" xfId="42437" xr:uid="{00000000-0005-0000-0000-0000532F0000}"/>
    <cellStyle name="20 % - Markeringsfarve4 3 3 9 4" xfId="20449" xr:uid="{00000000-0005-0000-0000-0000542F0000}"/>
    <cellStyle name="20 % - Markeringsfarve4 3 3 9 5" xfId="35438" xr:uid="{00000000-0005-0000-0000-0000552F0000}"/>
    <cellStyle name="20 % - Markeringsfarve4 3 4" xfId="2596" xr:uid="{00000000-0005-0000-0000-0000562F0000}"/>
    <cellStyle name="20 % - Markeringsfarve4 3 4 2" xfId="2597" xr:uid="{00000000-0005-0000-0000-0000572F0000}"/>
    <cellStyle name="20 % - Markeringsfarve4 3 4 2 2" xfId="2598" xr:uid="{00000000-0005-0000-0000-0000582F0000}"/>
    <cellStyle name="20 % - Markeringsfarve4 3 4 2 2 2" xfId="7628" xr:uid="{00000000-0005-0000-0000-0000592F0000}"/>
    <cellStyle name="20 % - Markeringsfarve4 3 4 2 2 2 2" xfId="15529" xr:uid="{00000000-0005-0000-0000-00005A2F0000}"/>
    <cellStyle name="20 % - Markeringsfarve4 3 4 2 2 2 2 2" xfId="31843" xr:uid="{00000000-0005-0000-0000-00005B2F0000}"/>
    <cellStyle name="20 % - Markeringsfarve4 3 4 2 2 2 2 3" xfId="46807" xr:uid="{00000000-0005-0000-0000-00005C2F0000}"/>
    <cellStyle name="20 % - Markeringsfarve4 3 4 2 2 2 3" xfId="24821" xr:uid="{00000000-0005-0000-0000-00005D2F0000}"/>
    <cellStyle name="20 % - Markeringsfarve4 3 4 2 2 2 4" xfId="39808" xr:uid="{00000000-0005-0000-0000-00005E2F0000}"/>
    <cellStyle name="20 % - Markeringsfarve4 3 4 2 2 3" xfId="11155" xr:uid="{00000000-0005-0000-0000-00005F2F0000}"/>
    <cellStyle name="20 % - Markeringsfarve4 3 4 2 2 3 2" xfId="27474" xr:uid="{00000000-0005-0000-0000-0000602F0000}"/>
    <cellStyle name="20 % - Markeringsfarve4 3 4 2 2 3 3" xfId="42440" xr:uid="{00000000-0005-0000-0000-0000612F0000}"/>
    <cellStyle name="20 % - Markeringsfarve4 3 4 2 2 4" xfId="20452" xr:uid="{00000000-0005-0000-0000-0000622F0000}"/>
    <cellStyle name="20 % - Markeringsfarve4 3 4 2 2 5" xfId="35441" xr:uid="{00000000-0005-0000-0000-0000632F0000}"/>
    <cellStyle name="20 % - Markeringsfarve4 3 4 2 3" xfId="6208" xr:uid="{00000000-0005-0000-0000-0000642F0000}"/>
    <cellStyle name="20 % - Markeringsfarve4 3 4 2 3 2" xfId="14125" xr:uid="{00000000-0005-0000-0000-0000652F0000}"/>
    <cellStyle name="20 % - Markeringsfarve4 3 4 2 3 2 2" xfId="30439" xr:uid="{00000000-0005-0000-0000-0000662F0000}"/>
    <cellStyle name="20 % - Markeringsfarve4 3 4 2 3 2 3" xfId="45403" xr:uid="{00000000-0005-0000-0000-0000672F0000}"/>
    <cellStyle name="20 % - Markeringsfarve4 3 4 2 3 3" xfId="23417" xr:uid="{00000000-0005-0000-0000-0000682F0000}"/>
    <cellStyle name="20 % - Markeringsfarve4 3 4 2 3 4" xfId="38404" xr:uid="{00000000-0005-0000-0000-0000692F0000}"/>
    <cellStyle name="20 % - Markeringsfarve4 3 4 2 4" xfId="11154" xr:uid="{00000000-0005-0000-0000-00006A2F0000}"/>
    <cellStyle name="20 % - Markeringsfarve4 3 4 2 4 2" xfId="27473" xr:uid="{00000000-0005-0000-0000-00006B2F0000}"/>
    <cellStyle name="20 % - Markeringsfarve4 3 4 2 4 3" xfId="42439" xr:uid="{00000000-0005-0000-0000-00006C2F0000}"/>
    <cellStyle name="20 % - Markeringsfarve4 3 4 2 5" xfId="20451" xr:uid="{00000000-0005-0000-0000-00006D2F0000}"/>
    <cellStyle name="20 % - Markeringsfarve4 3 4 2 6" xfId="35440" xr:uid="{00000000-0005-0000-0000-00006E2F0000}"/>
    <cellStyle name="20 % - Markeringsfarve4 3 4 3" xfId="2599" xr:uid="{00000000-0005-0000-0000-00006F2F0000}"/>
    <cellStyle name="20 % - Markeringsfarve4 3 4 3 2" xfId="6858" xr:uid="{00000000-0005-0000-0000-0000702F0000}"/>
    <cellStyle name="20 % - Markeringsfarve4 3 4 3 2 2" xfId="14769" xr:uid="{00000000-0005-0000-0000-0000712F0000}"/>
    <cellStyle name="20 % - Markeringsfarve4 3 4 3 2 2 2" xfId="31083" xr:uid="{00000000-0005-0000-0000-0000722F0000}"/>
    <cellStyle name="20 % - Markeringsfarve4 3 4 3 2 2 3" xfId="46047" xr:uid="{00000000-0005-0000-0000-0000732F0000}"/>
    <cellStyle name="20 % - Markeringsfarve4 3 4 3 2 3" xfId="24061" xr:uid="{00000000-0005-0000-0000-0000742F0000}"/>
    <cellStyle name="20 % - Markeringsfarve4 3 4 3 2 4" xfId="39048" xr:uid="{00000000-0005-0000-0000-0000752F0000}"/>
    <cellStyle name="20 % - Markeringsfarve4 3 4 3 3" xfId="11156" xr:uid="{00000000-0005-0000-0000-0000762F0000}"/>
    <cellStyle name="20 % - Markeringsfarve4 3 4 3 3 2" xfId="27475" xr:uid="{00000000-0005-0000-0000-0000772F0000}"/>
    <cellStyle name="20 % - Markeringsfarve4 3 4 3 3 3" xfId="42441" xr:uid="{00000000-0005-0000-0000-0000782F0000}"/>
    <cellStyle name="20 % - Markeringsfarve4 3 4 3 4" xfId="20453" xr:uid="{00000000-0005-0000-0000-0000792F0000}"/>
    <cellStyle name="20 % - Markeringsfarve4 3 4 3 5" xfId="35442" xr:uid="{00000000-0005-0000-0000-00007A2F0000}"/>
    <cellStyle name="20 % - Markeringsfarve4 3 4 4" xfId="2600" xr:uid="{00000000-0005-0000-0000-00007B2F0000}"/>
    <cellStyle name="20 % - Markeringsfarve4 3 4 4 2" xfId="8432" xr:uid="{00000000-0005-0000-0000-00007C2F0000}"/>
    <cellStyle name="20 % - Markeringsfarve4 3 4 4 2 2" xfId="16324" xr:uid="{00000000-0005-0000-0000-00007D2F0000}"/>
    <cellStyle name="20 % - Markeringsfarve4 3 4 4 2 2 2" xfId="32638" xr:uid="{00000000-0005-0000-0000-00007E2F0000}"/>
    <cellStyle name="20 % - Markeringsfarve4 3 4 4 2 2 3" xfId="47602" xr:uid="{00000000-0005-0000-0000-00007F2F0000}"/>
    <cellStyle name="20 % - Markeringsfarve4 3 4 4 2 3" xfId="25616" xr:uid="{00000000-0005-0000-0000-0000802F0000}"/>
    <cellStyle name="20 % - Markeringsfarve4 3 4 4 2 4" xfId="40603" xr:uid="{00000000-0005-0000-0000-0000812F0000}"/>
    <cellStyle name="20 % - Markeringsfarve4 3 4 4 3" xfId="11157" xr:uid="{00000000-0005-0000-0000-0000822F0000}"/>
    <cellStyle name="20 % - Markeringsfarve4 3 4 4 3 2" xfId="27476" xr:uid="{00000000-0005-0000-0000-0000832F0000}"/>
    <cellStyle name="20 % - Markeringsfarve4 3 4 4 3 3" xfId="42442" xr:uid="{00000000-0005-0000-0000-0000842F0000}"/>
    <cellStyle name="20 % - Markeringsfarve4 3 4 4 4" xfId="20454" xr:uid="{00000000-0005-0000-0000-0000852F0000}"/>
    <cellStyle name="20 % - Markeringsfarve4 3 4 4 5" xfId="35443" xr:uid="{00000000-0005-0000-0000-0000862F0000}"/>
    <cellStyle name="20 % - Markeringsfarve4 3 4 5" xfId="5612" xr:uid="{00000000-0005-0000-0000-0000872F0000}"/>
    <cellStyle name="20 % - Markeringsfarve4 3 4 5 2" xfId="13530" xr:uid="{00000000-0005-0000-0000-0000882F0000}"/>
    <cellStyle name="20 % - Markeringsfarve4 3 4 5 2 2" xfId="29844" xr:uid="{00000000-0005-0000-0000-0000892F0000}"/>
    <cellStyle name="20 % - Markeringsfarve4 3 4 5 2 3" xfId="44808" xr:uid="{00000000-0005-0000-0000-00008A2F0000}"/>
    <cellStyle name="20 % - Markeringsfarve4 3 4 5 3" xfId="22822" xr:uid="{00000000-0005-0000-0000-00008B2F0000}"/>
    <cellStyle name="20 % - Markeringsfarve4 3 4 5 4" xfId="37809" xr:uid="{00000000-0005-0000-0000-00008C2F0000}"/>
    <cellStyle name="20 % - Markeringsfarve4 3 4 6" xfId="11153" xr:uid="{00000000-0005-0000-0000-00008D2F0000}"/>
    <cellStyle name="20 % - Markeringsfarve4 3 4 6 2" xfId="27472" xr:uid="{00000000-0005-0000-0000-00008E2F0000}"/>
    <cellStyle name="20 % - Markeringsfarve4 3 4 6 3" xfId="42438" xr:uid="{00000000-0005-0000-0000-00008F2F0000}"/>
    <cellStyle name="20 % - Markeringsfarve4 3 4 7" xfId="20450" xr:uid="{00000000-0005-0000-0000-0000902F0000}"/>
    <cellStyle name="20 % - Markeringsfarve4 3 4 8" xfId="35439" xr:uid="{00000000-0005-0000-0000-0000912F0000}"/>
    <cellStyle name="20 % - Markeringsfarve4 3 5" xfId="2601" xr:uid="{00000000-0005-0000-0000-0000922F0000}"/>
    <cellStyle name="20 % - Markeringsfarve4 3 5 2" xfId="2602" xr:uid="{00000000-0005-0000-0000-0000932F0000}"/>
    <cellStyle name="20 % - Markeringsfarve4 3 5 2 2" xfId="2603" xr:uid="{00000000-0005-0000-0000-0000942F0000}"/>
    <cellStyle name="20 % - Markeringsfarve4 3 5 2 2 2" xfId="7756" xr:uid="{00000000-0005-0000-0000-0000952F0000}"/>
    <cellStyle name="20 % - Markeringsfarve4 3 5 2 2 2 2" xfId="15657" xr:uid="{00000000-0005-0000-0000-0000962F0000}"/>
    <cellStyle name="20 % - Markeringsfarve4 3 5 2 2 2 2 2" xfId="31971" xr:uid="{00000000-0005-0000-0000-0000972F0000}"/>
    <cellStyle name="20 % - Markeringsfarve4 3 5 2 2 2 2 3" xfId="46935" xr:uid="{00000000-0005-0000-0000-0000982F0000}"/>
    <cellStyle name="20 % - Markeringsfarve4 3 5 2 2 2 3" xfId="24949" xr:uid="{00000000-0005-0000-0000-0000992F0000}"/>
    <cellStyle name="20 % - Markeringsfarve4 3 5 2 2 2 4" xfId="39936" xr:uid="{00000000-0005-0000-0000-00009A2F0000}"/>
    <cellStyle name="20 % - Markeringsfarve4 3 5 2 2 3" xfId="11160" xr:uid="{00000000-0005-0000-0000-00009B2F0000}"/>
    <cellStyle name="20 % - Markeringsfarve4 3 5 2 2 3 2" xfId="27479" xr:uid="{00000000-0005-0000-0000-00009C2F0000}"/>
    <cellStyle name="20 % - Markeringsfarve4 3 5 2 2 3 3" xfId="42445" xr:uid="{00000000-0005-0000-0000-00009D2F0000}"/>
    <cellStyle name="20 % - Markeringsfarve4 3 5 2 2 4" xfId="20457" xr:uid="{00000000-0005-0000-0000-00009E2F0000}"/>
    <cellStyle name="20 % - Markeringsfarve4 3 5 2 2 5" xfId="35446" xr:uid="{00000000-0005-0000-0000-00009F2F0000}"/>
    <cellStyle name="20 % - Markeringsfarve4 3 5 2 3" xfId="6320" xr:uid="{00000000-0005-0000-0000-0000A02F0000}"/>
    <cellStyle name="20 % - Markeringsfarve4 3 5 2 3 2" xfId="14237" xr:uid="{00000000-0005-0000-0000-0000A12F0000}"/>
    <cellStyle name="20 % - Markeringsfarve4 3 5 2 3 2 2" xfId="30551" xr:uid="{00000000-0005-0000-0000-0000A22F0000}"/>
    <cellStyle name="20 % - Markeringsfarve4 3 5 2 3 2 3" xfId="45515" xr:uid="{00000000-0005-0000-0000-0000A32F0000}"/>
    <cellStyle name="20 % - Markeringsfarve4 3 5 2 3 3" xfId="23529" xr:uid="{00000000-0005-0000-0000-0000A42F0000}"/>
    <cellStyle name="20 % - Markeringsfarve4 3 5 2 3 4" xfId="38516" xr:uid="{00000000-0005-0000-0000-0000A52F0000}"/>
    <cellStyle name="20 % - Markeringsfarve4 3 5 2 4" xfId="11159" xr:uid="{00000000-0005-0000-0000-0000A62F0000}"/>
    <cellStyle name="20 % - Markeringsfarve4 3 5 2 4 2" xfId="27478" xr:uid="{00000000-0005-0000-0000-0000A72F0000}"/>
    <cellStyle name="20 % - Markeringsfarve4 3 5 2 4 3" xfId="42444" xr:uid="{00000000-0005-0000-0000-0000A82F0000}"/>
    <cellStyle name="20 % - Markeringsfarve4 3 5 2 5" xfId="20456" xr:uid="{00000000-0005-0000-0000-0000A92F0000}"/>
    <cellStyle name="20 % - Markeringsfarve4 3 5 2 6" xfId="35445" xr:uid="{00000000-0005-0000-0000-0000AA2F0000}"/>
    <cellStyle name="20 % - Markeringsfarve4 3 5 3" xfId="2604" xr:uid="{00000000-0005-0000-0000-0000AB2F0000}"/>
    <cellStyle name="20 % - Markeringsfarve4 3 5 3 2" xfId="6986" xr:uid="{00000000-0005-0000-0000-0000AC2F0000}"/>
    <cellStyle name="20 % - Markeringsfarve4 3 5 3 2 2" xfId="14897" xr:uid="{00000000-0005-0000-0000-0000AD2F0000}"/>
    <cellStyle name="20 % - Markeringsfarve4 3 5 3 2 2 2" xfId="31211" xr:uid="{00000000-0005-0000-0000-0000AE2F0000}"/>
    <cellStyle name="20 % - Markeringsfarve4 3 5 3 2 2 3" xfId="46175" xr:uid="{00000000-0005-0000-0000-0000AF2F0000}"/>
    <cellStyle name="20 % - Markeringsfarve4 3 5 3 2 3" xfId="24189" xr:uid="{00000000-0005-0000-0000-0000B02F0000}"/>
    <cellStyle name="20 % - Markeringsfarve4 3 5 3 2 4" xfId="39176" xr:uid="{00000000-0005-0000-0000-0000B12F0000}"/>
    <cellStyle name="20 % - Markeringsfarve4 3 5 3 3" xfId="11161" xr:uid="{00000000-0005-0000-0000-0000B22F0000}"/>
    <cellStyle name="20 % - Markeringsfarve4 3 5 3 3 2" xfId="27480" xr:uid="{00000000-0005-0000-0000-0000B32F0000}"/>
    <cellStyle name="20 % - Markeringsfarve4 3 5 3 3 3" xfId="42446" xr:uid="{00000000-0005-0000-0000-0000B42F0000}"/>
    <cellStyle name="20 % - Markeringsfarve4 3 5 3 4" xfId="20458" xr:uid="{00000000-0005-0000-0000-0000B52F0000}"/>
    <cellStyle name="20 % - Markeringsfarve4 3 5 3 5" xfId="35447" xr:uid="{00000000-0005-0000-0000-0000B62F0000}"/>
    <cellStyle name="20 % - Markeringsfarve4 3 5 4" xfId="2605" xr:uid="{00000000-0005-0000-0000-0000B72F0000}"/>
    <cellStyle name="20 % - Markeringsfarve4 3 5 4 2" xfId="8668" xr:uid="{00000000-0005-0000-0000-0000B82F0000}"/>
    <cellStyle name="20 % - Markeringsfarve4 3 5 4 2 2" xfId="16550" xr:uid="{00000000-0005-0000-0000-0000B92F0000}"/>
    <cellStyle name="20 % - Markeringsfarve4 3 5 4 2 2 2" xfId="32864" xr:uid="{00000000-0005-0000-0000-0000BA2F0000}"/>
    <cellStyle name="20 % - Markeringsfarve4 3 5 4 2 2 3" xfId="47828" xr:uid="{00000000-0005-0000-0000-0000BB2F0000}"/>
    <cellStyle name="20 % - Markeringsfarve4 3 5 4 2 3" xfId="25842" xr:uid="{00000000-0005-0000-0000-0000BC2F0000}"/>
    <cellStyle name="20 % - Markeringsfarve4 3 5 4 2 4" xfId="40829" xr:uid="{00000000-0005-0000-0000-0000BD2F0000}"/>
    <cellStyle name="20 % - Markeringsfarve4 3 5 4 3" xfId="11162" xr:uid="{00000000-0005-0000-0000-0000BE2F0000}"/>
    <cellStyle name="20 % - Markeringsfarve4 3 5 4 3 2" xfId="27481" xr:uid="{00000000-0005-0000-0000-0000BF2F0000}"/>
    <cellStyle name="20 % - Markeringsfarve4 3 5 4 3 3" xfId="42447" xr:uid="{00000000-0005-0000-0000-0000C02F0000}"/>
    <cellStyle name="20 % - Markeringsfarve4 3 5 4 4" xfId="20459" xr:uid="{00000000-0005-0000-0000-0000C12F0000}"/>
    <cellStyle name="20 % - Markeringsfarve4 3 5 4 5" xfId="35448" xr:uid="{00000000-0005-0000-0000-0000C22F0000}"/>
    <cellStyle name="20 % - Markeringsfarve4 3 5 5" xfId="5613" xr:uid="{00000000-0005-0000-0000-0000C32F0000}"/>
    <cellStyle name="20 % - Markeringsfarve4 3 5 5 2" xfId="13531" xr:uid="{00000000-0005-0000-0000-0000C42F0000}"/>
    <cellStyle name="20 % - Markeringsfarve4 3 5 5 2 2" xfId="29845" xr:uid="{00000000-0005-0000-0000-0000C52F0000}"/>
    <cellStyle name="20 % - Markeringsfarve4 3 5 5 2 3" xfId="44809" xr:uid="{00000000-0005-0000-0000-0000C62F0000}"/>
    <cellStyle name="20 % - Markeringsfarve4 3 5 5 3" xfId="22823" xr:uid="{00000000-0005-0000-0000-0000C72F0000}"/>
    <cellStyle name="20 % - Markeringsfarve4 3 5 5 4" xfId="37810" xr:uid="{00000000-0005-0000-0000-0000C82F0000}"/>
    <cellStyle name="20 % - Markeringsfarve4 3 5 6" xfId="11158" xr:uid="{00000000-0005-0000-0000-0000C92F0000}"/>
    <cellStyle name="20 % - Markeringsfarve4 3 5 6 2" xfId="27477" xr:uid="{00000000-0005-0000-0000-0000CA2F0000}"/>
    <cellStyle name="20 % - Markeringsfarve4 3 5 6 3" xfId="42443" xr:uid="{00000000-0005-0000-0000-0000CB2F0000}"/>
    <cellStyle name="20 % - Markeringsfarve4 3 5 7" xfId="20455" xr:uid="{00000000-0005-0000-0000-0000CC2F0000}"/>
    <cellStyle name="20 % - Markeringsfarve4 3 5 8" xfId="35444" xr:uid="{00000000-0005-0000-0000-0000CD2F0000}"/>
    <cellStyle name="20 % - Markeringsfarve4 3 6" xfId="2606" xr:uid="{00000000-0005-0000-0000-0000CE2F0000}"/>
    <cellStyle name="20 % - Markeringsfarve4 3 6 2" xfId="2607" xr:uid="{00000000-0005-0000-0000-0000CF2F0000}"/>
    <cellStyle name="20 % - Markeringsfarve4 3 6 2 2" xfId="2608" xr:uid="{00000000-0005-0000-0000-0000D02F0000}"/>
    <cellStyle name="20 % - Markeringsfarve4 3 6 2 2 2" xfId="7866" xr:uid="{00000000-0005-0000-0000-0000D12F0000}"/>
    <cellStyle name="20 % - Markeringsfarve4 3 6 2 2 2 2" xfId="15767" xr:uid="{00000000-0005-0000-0000-0000D22F0000}"/>
    <cellStyle name="20 % - Markeringsfarve4 3 6 2 2 2 2 2" xfId="32081" xr:uid="{00000000-0005-0000-0000-0000D32F0000}"/>
    <cellStyle name="20 % - Markeringsfarve4 3 6 2 2 2 2 3" xfId="47045" xr:uid="{00000000-0005-0000-0000-0000D42F0000}"/>
    <cellStyle name="20 % - Markeringsfarve4 3 6 2 2 2 3" xfId="25059" xr:uid="{00000000-0005-0000-0000-0000D52F0000}"/>
    <cellStyle name="20 % - Markeringsfarve4 3 6 2 2 2 4" xfId="40046" xr:uid="{00000000-0005-0000-0000-0000D62F0000}"/>
    <cellStyle name="20 % - Markeringsfarve4 3 6 2 2 3" xfId="11165" xr:uid="{00000000-0005-0000-0000-0000D72F0000}"/>
    <cellStyle name="20 % - Markeringsfarve4 3 6 2 2 3 2" xfId="27484" xr:uid="{00000000-0005-0000-0000-0000D82F0000}"/>
    <cellStyle name="20 % - Markeringsfarve4 3 6 2 2 3 3" xfId="42450" xr:uid="{00000000-0005-0000-0000-0000D92F0000}"/>
    <cellStyle name="20 % - Markeringsfarve4 3 6 2 2 4" xfId="20462" xr:uid="{00000000-0005-0000-0000-0000DA2F0000}"/>
    <cellStyle name="20 % - Markeringsfarve4 3 6 2 2 5" xfId="35451" xr:uid="{00000000-0005-0000-0000-0000DB2F0000}"/>
    <cellStyle name="20 % - Markeringsfarve4 3 6 2 3" xfId="6410" xr:uid="{00000000-0005-0000-0000-0000DC2F0000}"/>
    <cellStyle name="20 % - Markeringsfarve4 3 6 2 3 2" xfId="14324" xr:uid="{00000000-0005-0000-0000-0000DD2F0000}"/>
    <cellStyle name="20 % - Markeringsfarve4 3 6 2 3 2 2" xfId="30638" xr:uid="{00000000-0005-0000-0000-0000DE2F0000}"/>
    <cellStyle name="20 % - Markeringsfarve4 3 6 2 3 2 3" xfId="45602" xr:uid="{00000000-0005-0000-0000-0000DF2F0000}"/>
    <cellStyle name="20 % - Markeringsfarve4 3 6 2 3 3" xfId="23616" xr:uid="{00000000-0005-0000-0000-0000E02F0000}"/>
    <cellStyle name="20 % - Markeringsfarve4 3 6 2 3 4" xfId="38603" xr:uid="{00000000-0005-0000-0000-0000E12F0000}"/>
    <cellStyle name="20 % - Markeringsfarve4 3 6 2 4" xfId="11164" xr:uid="{00000000-0005-0000-0000-0000E22F0000}"/>
    <cellStyle name="20 % - Markeringsfarve4 3 6 2 4 2" xfId="27483" xr:uid="{00000000-0005-0000-0000-0000E32F0000}"/>
    <cellStyle name="20 % - Markeringsfarve4 3 6 2 4 3" xfId="42449" xr:uid="{00000000-0005-0000-0000-0000E42F0000}"/>
    <cellStyle name="20 % - Markeringsfarve4 3 6 2 5" xfId="20461" xr:uid="{00000000-0005-0000-0000-0000E52F0000}"/>
    <cellStyle name="20 % - Markeringsfarve4 3 6 2 6" xfId="35450" xr:uid="{00000000-0005-0000-0000-0000E62F0000}"/>
    <cellStyle name="20 % - Markeringsfarve4 3 6 3" xfId="2609" xr:uid="{00000000-0005-0000-0000-0000E72F0000}"/>
    <cellStyle name="20 % - Markeringsfarve4 3 6 3 2" xfId="7142" xr:uid="{00000000-0005-0000-0000-0000E82F0000}"/>
    <cellStyle name="20 % - Markeringsfarve4 3 6 3 2 2" xfId="15052" xr:uid="{00000000-0005-0000-0000-0000E92F0000}"/>
    <cellStyle name="20 % - Markeringsfarve4 3 6 3 2 2 2" xfId="31366" xr:uid="{00000000-0005-0000-0000-0000EA2F0000}"/>
    <cellStyle name="20 % - Markeringsfarve4 3 6 3 2 2 3" xfId="46330" xr:uid="{00000000-0005-0000-0000-0000EB2F0000}"/>
    <cellStyle name="20 % - Markeringsfarve4 3 6 3 2 3" xfId="24344" xr:uid="{00000000-0005-0000-0000-0000EC2F0000}"/>
    <cellStyle name="20 % - Markeringsfarve4 3 6 3 2 4" xfId="39331" xr:uid="{00000000-0005-0000-0000-0000ED2F0000}"/>
    <cellStyle name="20 % - Markeringsfarve4 3 6 3 3" xfId="11166" xr:uid="{00000000-0005-0000-0000-0000EE2F0000}"/>
    <cellStyle name="20 % - Markeringsfarve4 3 6 3 3 2" xfId="27485" xr:uid="{00000000-0005-0000-0000-0000EF2F0000}"/>
    <cellStyle name="20 % - Markeringsfarve4 3 6 3 3 3" xfId="42451" xr:uid="{00000000-0005-0000-0000-0000F02F0000}"/>
    <cellStyle name="20 % - Markeringsfarve4 3 6 3 4" xfId="20463" xr:uid="{00000000-0005-0000-0000-0000F12F0000}"/>
    <cellStyle name="20 % - Markeringsfarve4 3 6 3 5" xfId="35452" xr:uid="{00000000-0005-0000-0000-0000F22F0000}"/>
    <cellStyle name="20 % - Markeringsfarve4 3 6 4" xfId="2610" xr:uid="{00000000-0005-0000-0000-0000F32F0000}"/>
    <cellStyle name="20 % - Markeringsfarve4 3 6 4 2" xfId="8390" xr:uid="{00000000-0005-0000-0000-0000F42F0000}"/>
    <cellStyle name="20 % - Markeringsfarve4 3 6 4 2 2" xfId="16283" xr:uid="{00000000-0005-0000-0000-0000F52F0000}"/>
    <cellStyle name="20 % - Markeringsfarve4 3 6 4 2 2 2" xfId="32597" xr:uid="{00000000-0005-0000-0000-0000F62F0000}"/>
    <cellStyle name="20 % - Markeringsfarve4 3 6 4 2 2 3" xfId="47561" xr:uid="{00000000-0005-0000-0000-0000F72F0000}"/>
    <cellStyle name="20 % - Markeringsfarve4 3 6 4 2 3" xfId="25575" xr:uid="{00000000-0005-0000-0000-0000F82F0000}"/>
    <cellStyle name="20 % - Markeringsfarve4 3 6 4 2 4" xfId="40562" xr:uid="{00000000-0005-0000-0000-0000F92F0000}"/>
    <cellStyle name="20 % - Markeringsfarve4 3 6 4 3" xfId="11167" xr:uid="{00000000-0005-0000-0000-0000FA2F0000}"/>
    <cellStyle name="20 % - Markeringsfarve4 3 6 4 3 2" xfId="27486" xr:uid="{00000000-0005-0000-0000-0000FB2F0000}"/>
    <cellStyle name="20 % - Markeringsfarve4 3 6 4 3 3" xfId="42452" xr:uid="{00000000-0005-0000-0000-0000FC2F0000}"/>
    <cellStyle name="20 % - Markeringsfarve4 3 6 4 4" xfId="20464" xr:uid="{00000000-0005-0000-0000-0000FD2F0000}"/>
    <cellStyle name="20 % - Markeringsfarve4 3 6 4 5" xfId="35453" xr:uid="{00000000-0005-0000-0000-0000FE2F0000}"/>
    <cellStyle name="20 % - Markeringsfarve4 3 6 5" xfId="5614" xr:uid="{00000000-0005-0000-0000-0000FF2F0000}"/>
    <cellStyle name="20 % - Markeringsfarve4 3 6 5 2" xfId="13532" xr:uid="{00000000-0005-0000-0000-000000300000}"/>
    <cellStyle name="20 % - Markeringsfarve4 3 6 5 2 2" xfId="29846" xr:uid="{00000000-0005-0000-0000-000001300000}"/>
    <cellStyle name="20 % - Markeringsfarve4 3 6 5 2 3" xfId="44810" xr:uid="{00000000-0005-0000-0000-000002300000}"/>
    <cellStyle name="20 % - Markeringsfarve4 3 6 5 3" xfId="22824" xr:uid="{00000000-0005-0000-0000-000003300000}"/>
    <cellStyle name="20 % - Markeringsfarve4 3 6 5 4" xfId="37811" xr:uid="{00000000-0005-0000-0000-000004300000}"/>
    <cellStyle name="20 % - Markeringsfarve4 3 6 6" xfId="11163" xr:uid="{00000000-0005-0000-0000-000005300000}"/>
    <cellStyle name="20 % - Markeringsfarve4 3 6 6 2" xfId="27482" xr:uid="{00000000-0005-0000-0000-000006300000}"/>
    <cellStyle name="20 % - Markeringsfarve4 3 6 6 3" xfId="42448" xr:uid="{00000000-0005-0000-0000-000007300000}"/>
    <cellStyle name="20 % - Markeringsfarve4 3 6 7" xfId="20460" xr:uid="{00000000-0005-0000-0000-000008300000}"/>
    <cellStyle name="20 % - Markeringsfarve4 3 6 8" xfId="35449" xr:uid="{00000000-0005-0000-0000-000009300000}"/>
    <cellStyle name="20 % - Markeringsfarve4 3 7" xfId="2611" xr:uid="{00000000-0005-0000-0000-00000A300000}"/>
    <cellStyle name="20 % - Markeringsfarve4 3 7 2" xfId="2612" xr:uid="{00000000-0005-0000-0000-00000B300000}"/>
    <cellStyle name="20 % - Markeringsfarve4 3 7 2 2" xfId="2613" xr:uid="{00000000-0005-0000-0000-00000C300000}"/>
    <cellStyle name="20 % - Markeringsfarve4 3 7 2 2 2" xfId="7983" xr:uid="{00000000-0005-0000-0000-00000D300000}"/>
    <cellStyle name="20 % - Markeringsfarve4 3 7 2 2 2 2" xfId="15884" xr:uid="{00000000-0005-0000-0000-00000E300000}"/>
    <cellStyle name="20 % - Markeringsfarve4 3 7 2 2 2 2 2" xfId="32198" xr:uid="{00000000-0005-0000-0000-00000F300000}"/>
    <cellStyle name="20 % - Markeringsfarve4 3 7 2 2 2 2 3" xfId="47162" xr:uid="{00000000-0005-0000-0000-000010300000}"/>
    <cellStyle name="20 % - Markeringsfarve4 3 7 2 2 2 3" xfId="25176" xr:uid="{00000000-0005-0000-0000-000011300000}"/>
    <cellStyle name="20 % - Markeringsfarve4 3 7 2 2 2 4" xfId="40163" xr:uid="{00000000-0005-0000-0000-000012300000}"/>
    <cellStyle name="20 % - Markeringsfarve4 3 7 2 2 3" xfId="11170" xr:uid="{00000000-0005-0000-0000-000013300000}"/>
    <cellStyle name="20 % - Markeringsfarve4 3 7 2 2 3 2" xfId="27489" xr:uid="{00000000-0005-0000-0000-000014300000}"/>
    <cellStyle name="20 % - Markeringsfarve4 3 7 2 2 3 3" xfId="42455" xr:uid="{00000000-0005-0000-0000-000015300000}"/>
    <cellStyle name="20 % - Markeringsfarve4 3 7 2 2 4" xfId="20467" xr:uid="{00000000-0005-0000-0000-000016300000}"/>
    <cellStyle name="20 % - Markeringsfarve4 3 7 2 2 5" xfId="35456" xr:uid="{00000000-0005-0000-0000-000017300000}"/>
    <cellStyle name="20 % - Markeringsfarve4 3 7 2 3" xfId="6509" xr:uid="{00000000-0005-0000-0000-000018300000}"/>
    <cellStyle name="20 % - Markeringsfarve4 3 7 2 3 2" xfId="14423" xr:uid="{00000000-0005-0000-0000-000019300000}"/>
    <cellStyle name="20 % - Markeringsfarve4 3 7 2 3 2 2" xfId="30737" xr:uid="{00000000-0005-0000-0000-00001A300000}"/>
    <cellStyle name="20 % - Markeringsfarve4 3 7 2 3 2 3" xfId="45701" xr:uid="{00000000-0005-0000-0000-00001B300000}"/>
    <cellStyle name="20 % - Markeringsfarve4 3 7 2 3 3" xfId="23715" xr:uid="{00000000-0005-0000-0000-00001C300000}"/>
    <cellStyle name="20 % - Markeringsfarve4 3 7 2 3 4" xfId="38702" xr:uid="{00000000-0005-0000-0000-00001D300000}"/>
    <cellStyle name="20 % - Markeringsfarve4 3 7 2 4" xfId="11169" xr:uid="{00000000-0005-0000-0000-00001E300000}"/>
    <cellStyle name="20 % - Markeringsfarve4 3 7 2 4 2" xfId="27488" xr:uid="{00000000-0005-0000-0000-00001F300000}"/>
    <cellStyle name="20 % - Markeringsfarve4 3 7 2 4 3" xfId="42454" xr:uid="{00000000-0005-0000-0000-000020300000}"/>
    <cellStyle name="20 % - Markeringsfarve4 3 7 2 5" xfId="20466" xr:uid="{00000000-0005-0000-0000-000021300000}"/>
    <cellStyle name="20 % - Markeringsfarve4 3 7 2 6" xfId="35455" xr:uid="{00000000-0005-0000-0000-000022300000}"/>
    <cellStyle name="20 % - Markeringsfarve4 3 7 3" xfId="2614" xr:uid="{00000000-0005-0000-0000-000023300000}"/>
    <cellStyle name="20 % - Markeringsfarve4 3 7 3 2" xfId="7259" xr:uid="{00000000-0005-0000-0000-000024300000}"/>
    <cellStyle name="20 % - Markeringsfarve4 3 7 3 2 2" xfId="15169" xr:uid="{00000000-0005-0000-0000-000025300000}"/>
    <cellStyle name="20 % - Markeringsfarve4 3 7 3 2 2 2" xfId="31483" xr:uid="{00000000-0005-0000-0000-000026300000}"/>
    <cellStyle name="20 % - Markeringsfarve4 3 7 3 2 2 3" xfId="46447" xr:uid="{00000000-0005-0000-0000-000027300000}"/>
    <cellStyle name="20 % - Markeringsfarve4 3 7 3 2 3" xfId="24461" xr:uid="{00000000-0005-0000-0000-000028300000}"/>
    <cellStyle name="20 % - Markeringsfarve4 3 7 3 2 4" xfId="39448" xr:uid="{00000000-0005-0000-0000-000029300000}"/>
    <cellStyle name="20 % - Markeringsfarve4 3 7 3 3" xfId="11171" xr:uid="{00000000-0005-0000-0000-00002A300000}"/>
    <cellStyle name="20 % - Markeringsfarve4 3 7 3 3 2" xfId="27490" xr:uid="{00000000-0005-0000-0000-00002B300000}"/>
    <cellStyle name="20 % - Markeringsfarve4 3 7 3 3 3" xfId="42456" xr:uid="{00000000-0005-0000-0000-00002C300000}"/>
    <cellStyle name="20 % - Markeringsfarve4 3 7 3 4" xfId="20468" xr:uid="{00000000-0005-0000-0000-00002D300000}"/>
    <cellStyle name="20 % - Markeringsfarve4 3 7 3 5" xfId="35457" xr:uid="{00000000-0005-0000-0000-00002E300000}"/>
    <cellStyle name="20 % - Markeringsfarve4 3 7 4" xfId="2615" xr:uid="{00000000-0005-0000-0000-00002F300000}"/>
    <cellStyle name="20 % - Markeringsfarve4 3 7 4 2" xfId="8651" xr:uid="{00000000-0005-0000-0000-000030300000}"/>
    <cellStyle name="20 % - Markeringsfarve4 3 7 4 2 2" xfId="16534" xr:uid="{00000000-0005-0000-0000-000031300000}"/>
    <cellStyle name="20 % - Markeringsfarve4 3 7 4 2 2 2" xfId="32848" xr:uid="{00000000-0005-0000-0000-000032300000}"/>
    <cellStyle name="20 % - Markeringsfarve4 3 7 4 2 2 3" xfId="47812" xr:uid="{00000000-0005-0000-0000-000033300000}"/>
    <cellStyle name="20 % - Markeringsfarve4 3 7 4 2 3" xfId="25826" xr:uid="{00000000-0005-0000-0000-000034300000}"/>
    <cellStyle name="20 % - Markeringsfarve4 3 7 4 2 4" xfId="40813" xr:uid="{00000000-0005-0000-0000-000035300000}"/>
    <cellStyle name="20 % - Markeringsfarve4 3 7 4 3" xfId="11172" xr:uid="{00000000-0005-0000-0000-000036300000}"/>
    <cellStyle name="20 % - Markeringsfarve4 3 7 4 3 2" xfId="27491" xr:uid="{00000000-0005-0000-0000-000037300000}"/>
    <cellStyle name="20 % - Markeringsfarve4 3 7 4 3 3" xfId="42457" xr:uid="{00000000-0005-0000-0000-000038300000}"/>
    <cellStyle name="20 % - Markeringsfarve4 3 7 4 4" xfId="20469" xr:uid="{00000000-0005-0000-0000-000039300000}"/>
    <cellStyle name="20 % - Markeringsfarve4 3 7 4 5" xfId="35458" xr:uid="{00000000-0005-0000-0000-00003A300000}"/>
    <cellStyle name="20 % - Markeringsfarve4 3 7 5" xfId="5615" xr:uid="{00000000-0005-0000-0000-00003B300000}"/>
    <cellStyle name="20 % - Markeringsfarve4 3 7 5 2" xfId="13533" xr:uid="{00000000-0005-0000-0000-00003C300000}"/>
    <cellStyle name="20 % - Markeringsfarve4 3 7 5 2 2" xfId="29847" xr:uid="{00000000-0005-0000-0000-00003D300000}"/>
    <cellStyle name="20 % - Markeringsfarve4 3 7 5 2 3" xfId="44811" xr:uid="{00000000-0005-0000-0000-00003E300000}"/>
    <cellStyle name="20 % - Markeringsfarve4 3 7 5 3" xfId="22825" xr:uid="{00000000-0005-0000-0000-00003F300000}"/>
    <cellStyle name="20 % - Markeringsfarve4 3 7 5 4" xfId="37812" xr:uid="{00000000-0005-0000-0000-000040300000}"/>
    <cellStyle name="20 % - Markeringsfarve4 3 7 6" xfId="11168" xr:uid="{00000000-0005-0000-0000-000041300000}"/>
    <cellStyle name="20 % - Markeringsfarve4 3 7 6 2" xfId="27487" xr:uid="{00000000-0005-0000-0000-000042300000}"/>
    <cellStyle name="20 % - Markeringsfarve4 3 7 6 3" xfId="42453" xr:uid="{00000000-0005-0000-0000-000043300000}"/>
    <cellStyle name="20 % - Markeringsfarve4 3 7 7" xfId="20465" xr:uid="{00000000-0005-0000-0000-000044300000}"/>
    <cellStyle name="20 % - Markeringsfarve4 3 7 8" xfId="35454" xr:uid="{00000000-0005-0000-0000-000045300000}"/>
    <cellStyle name="20 % - Markeringsfarve4 3 8" xfId="2616" xr:uid="{00000000-0005-0000-0000-000046300000}"/>
    <cellStyle name="20 % - Markeringsfarve4 3 8 2" xfId="2617" xr:uid="{00000000-0005-0000-0000-000047300000}"/>
    <cellStyle name="20 % - Markeringsfarve4 3 8 2 2" xfId="2618" xr:uid="{00000000-0005-0000-0000-000048300000}"/>
    <cellStyle name="20 % - Markeringsfarve4 3 8 2 2 2" xfId="8111" xr:uid="{00000000-0005-0000-0000-000049300000}"/>
    <cellStyle name="20 % - Markeringsfarve4 3 8 2 2 2 2" xfId="16012" xr:uid="{00000000-0005-0000-0000-00004A300000}"/>
    <cellStyle name="20 % - Markeringsfarve4 3 8 2 2 2 2 2" xfId="32326" xr:uid="{00000000-0005-0000-0000-00004B300000}"/>
    <cellStyle name="20 % - Markeringsfarve4 3 8 2 2 2 2 3" xfId="47290" xr:uid="{00000000-0005-0000-0000-00004C300000}"/>
    <cellStyle name="20 % - Markeringsfarve4 3 8 2 2 2 3" xfId="25304" xr:uid="{00000000-0005-0000-0000-00004D300000}"/>
    <cellStyle name="20 % - Markeringsfarve4 3 8 2 2 2 4" xfId="40291" xr:uid="{00000000-0005-0000-0000-00004E300000}"/>
    <cellStyle name="20 % - Markeringsfarve4 3 8 2 2 3" xfId="11175" xr:uid="{00000000-0005-0000-0000-00004F300000}"/>
    <cellStyle name="20 % - Markeringsfarve4 3 8 2 2 3 2" xfId="27494" xr:uid="{00000000-0005-0000-0000-000050300000}"/>
    <cellStyle name="20 % - Markeringsfarve4 3 8 2 2 3 3" xfId="42460" xr:uid="{00000000-0005-0000-0000-000051300000}"/>
    <cellStyle name="20 % - Markeringsfarve4 3 8 2 2 4" xfId="20472" xr:uid="{00000000-0005-0000-0000-000052300000}"/>
    <cellStyle name="20 % - Markeringsfarve4 3 8 2 2 5" xfId="35461" xr:uid="{00000000-0005-0000-0000-000053300000}"/>
    <cellStyle name="20 % - Markeringsfarve4 3 8 2 3" xfId="6622" xr:uid="{00000000-0005-0000-0000-000054300000}"/>
    <cellStyle name="20 % - Markeringsfarve4 3 8 2 3 2" xfId="14536" xr:uid="{00000000-0005-0000-0000-000055300000}"/>
    <cellStyle name="20 % - Markeringsfarve4 3 8 2 3 2 2" xfId="30850" xr:uid="{00000000-0005-0000-0000-000056300000}"/>
    <cellStyle name="20 % - Markeringsfarve4 3 8 2 3 2 3" xfId="45814" xr:uid="{00000000-0005-0000-0000-000057300000}"/>
    <cellStyle name="20 % - Markeringsfarve4 3 8 2 3 3" xfId="23828" xr:uid="{00000000-0005-0000-0000-000058300000}"/>
    <cellStyle name="20 % - Markeringsfarve4 3 8 2 3 4" xfId="38815" xr:uid="{00000000-0005-0000-0000-000059300000}"/>
    <cellStyle name="20 % - Markeringsfarve4 3 8 2 4" xfId="11174" xr:uid="{00000000-0005-0000-0000-00005A300000}"/>
    <cellStyle name="20 % - Markeringsfarve4 3 8 2 4 2" xfId="27493" xr:uid="{00000000-0005-0000-0000-00005B300000}"/>
    <cellStyle name="20 % - Markeringsfarve4 3 8 2 4 3" xfId="42459" xr:uid="{00000000-0005-0000-0000-00005C300000}"/>
    <cellStyle name="20 % - Markeringsfarve4 3 8 2 5" xfId="20471" xr:uid="{00000000-0005-0000-0000-00005D300000}"/>
    <cellStyle name="20 % - Markeringsfarve4 3 8 2 6" xfId="35460" xr:uid="{00000000-0005-0000-0000-00005E300000}"/>
    <cellStyle name="20 % - Markeringsfarve4 3 8 3" xfId="2619" xr:uid="{00000000-0005-0000-0000-00005F300000}"/>
    <cellStyle name="20 % - Markeringsfarve4 3 8 3 2" xfId="7388" xr:uid="{00000000-0005-0000-0000-000060300000}"/>
    <cellStyle name="20 % - Markeringsfarve4 3 8 3 2 2" xfId="15298" xr:uid="{00000000-0005-0000-0000-000061300000}"/>
    <cellStyle name="20 % - Markeringsfarve4 3 8 3 2 2 2" xfId="31612" xr:uid="{00000000-0005-0000-0000-000062300000}"/>
    <cellStyle name="20 % - Markeringsfarve4 3 8 3 2 2 3" xfId="46576" xr:uid="{00000000-0005-0000-0000-000063300000}"/>
    <cellStyle name="20 % - Markeringsfarve4 3 8 3 2 3" xfId="24590" xr:uid="{00000000-0005-0000-0000-000064300000}"/>
    <cellStyle name="20 % - Markeringsfarve4 3 8 3 2 4" xfId="39577" xr:uid="{00000000-0005-0000-0000-000065300000}"/>
    <cellStyle name="20 % - Markeringsfarve4 3 8 3 3" xfId="11176" xr:uid="{00000000-0005-0000-0000-000066300000}"/>
    <cellStyle name="20 % - Markeringsfarve4 3 8 3 3 2" xfId="27495" xr:uid="{00000000-0005-0000-0000-000067300000}"/>
    <cellStyle name="20 % - Markeringsfarve4 3 8 3 3 3" xfId="42461" xr:uid="{00000000-0005-0000-0000-000068300000}"/>
    <cellStyle name="20 % - Markeringsfarve4 3 8 3 4" xfId="20473" xr:uid="{00000000-0005-0000-0000-000069300000}"/>
    <cellStyle name="20 % - Markeringsfarve4 3 8 3 5" xfId="35462" xr:uid="{00000000-0005-0000-0000-00006A300000}"/>
    <cellStyle name="20 % - Markeringsfarve4 3 8 4" xfId="2620" xr:uid="{00000000-0005-0000-0000-00006B300000}"/>
    <cellStyle name="20 % - Markeringsfarve4 3 8 4 2" xfId="8300" xr:uid="{00000000-0005-0000-0000-00006C300000}"/>
    <cellStyle name="20 % - Markeringsfarve4 3 8 4 2 2" xfId="16194" xr:uid="{00000000-0005-0000-0000-00006D300000}"/>
    <cellStyle name="20 % - Markeringsfarve4 3 8 4 2 2 2" xfId="32508" xr:uid="{00000000-0005-0000-0000-00006E300000}"/>
    <cellStyle name="20 % - Markeringsfarve4 3 8 4 2 2 3" xfId="47472" xr:uid="{00000000-0005-0000-0000-00006F300000}"/>
    <cellStyle name="20 % - Markeringsfarve4 3 8 4 2 3" xfId="25486" xr:uid="{00000000-0005-0000-0000-000070300000}"/>
    <cellStyle name="20 % - Markeringsfarve4 3 8 4 2 4" xfId="40473" xr:uid="{00000000-0005-0000-0000-000071300000}"/>
    <cellStyle name="20 % - Markeringsfarve4 3 8 4 3" xfId="11177" xr:uid="{00000000-0005-0000-0000-000072300000}"/>
    <cellStyle name="20 % - Markeringsfarve4 3 8 4 3 2" xfId="27496" xr:uid="{00000000-0005-0000-0000-000073300000}"/>
    <cellStyle name="20 % - Markeringsfarve4 3 8 4 3 3" xfId="42462" xr:uid="{00000000-0005-0000-0000-000074300000}"/>
    <cellStyle name="20 % - Markeringsfarve4 3 8 4 4" xfId="20474" xr:uid="{00000000-0005-0000-0000-000075300000}"/>
    <cellStyle name="20 % - Markeringsfarve4 3 8 4 5" xfId="35463" xr:uid="{00000000-0005-0000-0000-000076300000}"/>
    <cellStyle name="20 % - Markeringsfarve4 3 8 5" xfId="5616" xr:uid="{00000000-0005-0000-0000-000077300000}"/>
    <cellStyle name="20 % - Markeringsfarve4 3 8 5 2" xfId="13534" xr:uid="{00000000-0005-0000-0000-000078300000}"/>
    <cellStyle name="20 % - Markeringsfarve4 3 8 5 2 2" xfId="29848" xr:uid="{00000000-0005-0000-0000-000079300000}"/>
    <cellStyle name="20 % - Markeringsfarve4 3 8 5 2 3" xfId="44812" xr:uid="{00000000-0005-0000-0000-00007A300000}"/>
    <cellStyle name="20 % - Markeringsfarve4 3 8 5 3" xfId="22826" xr:uid="{00000000-0005-0000-0000-00007B300000}"/>
    <cellStyle name="20 % - Markeringsfarve4 3 8 5 4" xfId="37813" xr:uid="{00000000-0005-0000-0000-00007C300000}"/>
    <cellStyle name="20 % - Markeringsfarve4 3 8 6" xfId="11173" xr:uid="{00000000-0005-0000-0000-00007D300000}"/>
    <cellStyle name="20 % - Markeringsfarve4 3 8 6 2" xfId="27492" xr:uid="{00000000-0005-0000-0000-00007E300000}"/>
    <cellStyle name="20 % - Markeringsfarve4 3 8 6 3" xfId="42458" xr:uid="{00000000-0005-0000-0000-00007F300000}"/>
    <cellStyle name="20 % - Markeringsfarve4 3 8 7" xfId="20470" xr:uid="{00000000-0005-0000-0000-000080300000}"/>
    <cellStyle name="20 % - Markeringsfarve4 3 8 8" xfId="35459" xr:uid="{00000000-0005-0000-0000-000081300000}"/>
    <cellStyle name="20 % - Markeringsfarve4 3 9" xfId="2621" xr:uid="{00000000-0005-0000-0000-000082300000}"/>
    <cellStyle name="20 % - Markeringsfarve4 3 9 2" xfId="2622" xr:uid="{00000000-0005-0000-0000-000083300000}"/>
    <cellStyle name="20 % - Markeringsfarve4 3 9 2 2" xfId="7509" xr:uid="{00000000-0005-0000-0000-000084300000}"/>
    <cellStyle name="20 % - Markeringsfarve4 3 9 2 2 2" xfId="15410" xr:uid="{00000000-0005-0000-0000-000085300000}"/>
    <cellStyle name="20 % - Markeringsfarve4 3 9 2 2 2 2" xfId="31724" xr:uid="{00000000-0005-0000-0000-000086300000}"/>
    <cellStyle name="20 % - Markeringsfarve4 3 9 2 2 2 3" xfId="46688" xr:uid="{00000000-0005-0000-0000-000087300000}"/>
    <cellStyle name="20 % - Markeringsfarve4 3 9 2 2 3" xfId="24702" xr:uid="{00000000-0005-0000-0000-000088300000}"/>
    <cellStyle name="20 % - Markeringsfarve4 3 9 2 2 4" xfId="39689" xr:uid="{00000000-0005-0000-0000-000089300000}"/>
    <cellStyle name="20 % - Markeringsfarve4 3 9 2 3" xfId="11179" xr:uid="{00000000-0005-0000-0000-00008A300000}"/>
    <cellStyle name="20 % - Markeringsfarve4 3 9 2 3 2" xfId="27498" xr:uid="{00000000-0005-0000-0000-00008B300000}"/>
    <cellStyle name="20 % - Markeringsfarve4 3 9 2 3 3" xfId="42464" xr:uid="{00000000-0005-0000-0000-00008C300000}"/>
    <cellStyle name="20 % - Markeringsfarve4 3 9 2 4" xfId="20476" xr:uid="{00000000-0005-0000-0000-00008D300000}"/>
    <cellStyle name="20 % - Markeringsfarve4 3 9 2 5" xfId="35465" xr:uid="{00000000-0005-0000-0000-00008E300000}"/>
    <cellStyle name="20 % - Markeringsfarve4 3 9 3" xfId="6109" xr:uid="{00000000-0005-0000-0000-00008F300000}"/>
    <cellStyle name="20 % - Markeringsfarve4 3 9 3 2" xfId="14026" xr:uid="{00000000-0005-0000-0000-000090300000}"/>
    <cellStyle name="20 % - Markeringsfarve4 3 9 3 2 2" xfId="30340" xr:uid="{00000000-0005-0000-0000-000091300000}"/>
    <cellStyle name="20 % - Markeringsfarve4 3 9 3 2 3" xfId="45304" xr:uid="{00000000-0005-0000-0000-000092300000}"/>
    <cellStyle name="20 % - Markeringsfarve4 3 9 3 3" xfId="23318" xr:uid="{00000000-0005-0000-0000-000093300000}"/>
    <cellStyle name="20 % - Markeringsfarve4 3 9 3 4" xfId="38305" xr:uid="{00000000-0005-0000-0000-000094300000}"/>
    <cellStyle name="20 % - Markeringsfarve4 3 9 4" xfId="11178" xr:uid="{00000000-0005-0000-0000-000095300000}"/>
    <cellStyle name="20 % - Markeringsfarve4 3 9 4 2" xfId="27497" xr:uid="{00000000-0005-0000-0000-000096300000}"/>
    <cellStyle name="20 % - Markeringsfarve4 3 9 4 3" xfId="42463" xr:uid="{00000000-0005-0000-0000-000097300000}"/>
    <cellStyle name="20 % - Markeringsfarve4 3 9 5" xfId="20475" xr:uid="{00000000-0005-0000-0000-000098300000}"/>
    <cellStyle name="20 % - Markeringsfarve4 3 9 6" xfId="35464" xr:uid="{00000000-0005-0000-0000-000099300000}"/>
    <cellStyle name="20 % - Markeringsfarve4 4" xfId="2623" xr:uid="{00000000-0005-0000-0000-00009A300000}"/>
    <cellStyle name="20 % - Markeringsfarve4 4 10" xfId="5617" xr:uid="{00000000-0005-0000-0000-00009B300000}"/>
    <cellStyle name="20 % - Markeringsfarve4 4 10 2" xfId="13535" xr:uid="{00000000-0005-0000-0000-00009C300000}"/>
    <cellStyle name="20 % - Markeringsfarve4 4 10 2 2" xfId="29849" xr:uid="{00000000-0005-0000-0000-00009D300000}"/>
    <cellStyle name="20 % - Markeringsfarve4 4 10 2 3" xfId="44813" xr:uid="{00000000-0005-0000-0000-00009E300000}"/>
    <cellStyle name="20 % - Markeringsfarve4 4 10 3" xfId="22827" xr:uid="{00000000-0005-0000-0000-00009F300000}"/>
    <cellStyle name="20 % - Markeringsfarve4 4 10 4" xfId="37814" xr:uid="{00000000-0005-0000-0000-0000A0300000}"/>
    <cellStyle name="20 % - Markeringsfarve4 4 11" xfId="11180" xr:uid="{00000000-0005-0000-0000-0000A1300000}"/>
    <cellStyle name="20 % - Markeringsfarve4 4 11 2" xfId="27499" xr:uid="{00000000-0005-0000-0000-0000A2300000}"/>
    <cellStyle name="20 % - Markeringsfarve4 4 11 3" xfId="42465" xr:uid="{00000000-0005-0000-0000-0000A3300000}"/>
    <cellStyle name="20 % - Markeringsfarve4 4 12" xfId="20477" xr:uid="{00000000-0005-0000-0000-0000A4300000}"/>
    <cellStyle name="20 % - Markeringsfarve4 4 13" xfId="35466" xr:uid="{00000000-0005-0000-0000-0000A5300000}"/>
    <cellStyle name="20 % - Markeringsfarve4 4 14" xfId="53357" xr:uid="{00000000-0005-0000-0000-0000A6300000}"/>
    <cellStyle name="20 % - Markeringsfarve4 4 2" xfId="2624" xr:uid="{00000000-0005-0000-0000-0000A7300000}"/>
    <cellStyle name="20 % - Markeringsfarve4 4 2 2" xfId="2625" xr:uid="{00000000-0005-0000-0000-0000A8300000}"/>
    <cellStyle name="20 % - Markeringsfarve4 4 2 2 2" xfId="2626" xr:uid="{00000000-0005-0000-0000-0000A9300000}"/>
    <cellStyle name="20 % - Markeringsfarve4 4 2 2 2 2" xfId="7653" xr:uid="{00000000-0005-0000-0000-0000AA300000}"/>
    <cellStyle name="20 % - Markeringsfarve4 4 2 2 2 2 2" xfId="15554" xr:uid="{00000000-0005-0000-0000-0000AB300000}"/>
    <cellStyle name="20 % - Markeringsfarve4 4 2 2 2 2 2 2" xfId="31868" xr:uid="{00000000-0005-0000-0000-0000AC300000}"/>
    <cellStyle name="20 % - Markeringsfarve4 4 2 2 2 2 2 3" xfId="46832" xr:uid="{00000000-0005-0000-0000-0000AD300000}"/>
    <cellStyle name="20 % - Markeringsfarve4 4 2 2 2 2 3" xfId="24846" xr:uid="{00000000-0005-0000-0000-0000AE300000}"/>
    <cellStyle name="20 % - Markeringsfarve4 4 2 2 2 2 4" xfId="39833" xr:uid="{00000000-0005-0000-0000-0000AF300000}"/>
    <cellStyle name="20 % - Markeringsfarve4 4 2 2 2 3" xfId="11183" xr:uid="{00000000-0005-0000-0000-0000B0300000}"/>
    <cellStyle name="20 % - Markeringsfarve4 4 2 2 2 3 2" xfId="27502" xr:uid="{00000000-0005-0000-0000-0000B1300000}"/>
    <cellStyle name="20 % - Markeringsfarve4 4 2 2 2 3 3" xfId="42468" xr:uid="{00000000-0005-0000-0000-0000B2300000}"/>
    <cellStyle name="20 % - Markeringsfarve4 4 2 2 2 4" xfId="20480" xr:uid="{00000000-0005-0000-0000-0000B3300000}"/>
    <cellStyle name="20 % - Markeringsfarve4 4 2 2 2 5" xfId="35469" xr:uid="{00000000-0005-0000-0000-0000B4300000}"/>
    <cellStyle name="20 % - Markeringsfarve4 4 2 2 3" xfId="6229" xr:uid="{00000000-0005-0000-0000-0000B5300000}"/>
    <cellStyle name="20 % - Markeringsfarve4 4 2 2 3 2" xfId="14146" xr:uid="{00000000-0005-0000-0000-0000B6300000}"/>
    <cellStyle name="20 % - Markeringsfarve4 4 2 2 3 2 2" xfId="30460" xr:uid="{00000000-0005-0000-0000-0000B7300000}"/>
    <cellStyle name="20 % - Markeringsfarve4 4 2 2 3 2 3" xfId="45424" xr:uid="{00000000-0005-0000-0000-0000B8300000}"/>
    <cellStyle name="20 % - Markeringsfarve4 4 2 2 3 3" xfId="23438" xr:uid="{00000000-0005-0000-0000-0000B9300000}"/>
    <cellStyle name="20 % - Markeringsfarve4 4 2 2 3 4" xfId="38425" xr:uid="{00000000-0005-0000-0000-0000BA300000}"/>
    <cellStyle name="20 % - Markeringsfarve4 4 2 2 4" xfId="11182" xr:uid="{00000000-0005-0000-0000-0000BB300000}"/>
    <cellStyle name="20 % - Markeringsfarve4 4 2 2 4 2" xfId="27501" xr:uid="{00000000-0005-0000-0000-0000BC300000}"/>
    <cellStyle name="20 % - Markeringsfarve4 4 2 2 4 3" xfId="42467" xr:uid="{00000000-0005-0000-0000-0000BD300000}"/>
    <cellStyle name="20 % - Markeringsfarve4 4 2 2 5" xfId="20479" xr:uid="{00000000-0005-0000-0000-0000BE300000}"/>
    <cellStyle name="20 % - Markeringsfarve4 4 2 2 6" xfId="35468" xr:uid="{00000000-0005-0000-0000-0000BF300000}"/>
    <cellStyle name="20 % - Markeringsfarve4 4 2 2 7" xfId="57161" xr:uid="{00000000-0005-0000-0000-0000C0300000}"/>
    <cellStyle name="20 % - Markeringsfarve4 4 2 3" xfId="2627" xr:uid="{00000000-0005-0000-0000-0000C1300000}"/>
    <cellStyle name="20 % - Markeringsfarve4 4 2 3 2" xfId="6883" xr:uid="{00000000-0005-0000-0000-0000C2300000}"/>
    <cellStyle name="20 % - Markeringsfarve4 4 2 3 2 2" xfId="14794" xr:uid="{00000000-0005-0000-0000-0000C3300000}"/>
    <cellStyle name="20 % - Markeringsfarve4 4 2 3 2 2 2" xfId="31108" xr:uid="{00000000-0005-0000-0000-0000C4300000}"/>
    <cellStyle name="20 % - Markeringsfarve4 4 2 3 2 2 3" xfId="46072" xr:uid="{00000000-0005-0000-0000-0000C5300000}"/>
    <cellStyle name="20 % - Markeringsfarve4 4 2 3 2 3" xfId="24086" xr:uid="{00000000-0005-0000-0000-0000C6300000}"/>
    <cellStyle name="20 % - Markeringsfarve4 4 2 3 2 4" xfId="39073" xr:uid="{00000000-0005-0000-0000-0000C7300000}"/>
    <cellStyle name="20 % - Markeringsfarve4 4 2 3 3" xfId="11184" xr:uid="{00000000-0005-0000-0000-0000C8300000}"/>
    <cellStyle name="20 % - Markeringsfarve4 4 2 3 3 2" xfId="27503" xr:uid="{00000000-0005-0000-0000-0000C9300000}"/>
    <cellStyle name="20 % - Markeringsfarve4 4 2 3 3 3" xfId="42469" xr:uid="{00000000-0005-0000-0000-0000CA300000}"/>
    <cellStyle name="20 % - Markeringsfarve4 4 2 3 4" xfId="20481" xr:uid="{00000000-0005-0000-0000-0000CB300000}"/>
    <cellStyle name="20 % - Markeringsfarve4 4 2 3 5" xfId="35470" xr:uid="{00000000-0005-0000-0000-0000CC300000}"/>
    <cellStyle name="20 % - Markeringsfarve4 4 2 4" xfId="2628" xr:uid="{00000000-0005-0000-0000-0000CD300000}"/>
    <cellStyle name="20 % - Markeringsfarve4 4 2 4 2" xfId="8225" xr:uid="{00000000-0005-0000-0000-0000CE300000}"/>
    <cellStyle name="20 % - Markeringsfarve4 4 2 4 2 2" xfId="16122" xr:uid="{00000000-0005-0000-0000-0000CF300000}"/>
    <cellStyle name="20 % - Markeringsfarve4 4 2 4 2 2 2" xfId="32436" xr:uid="{00000000-0005-0000-0000-0000D0300000}"/>
    <cellStyle name="20 % - Markeringsfarve4 4 2 4 2 2 3" xfId="47400" xr:uid="{00000000-0005-0000-0000-0000D1300000}"/>
    <cellStyle name="20 % - Markeringsfarve4 4 2 4 2 3" xfId="25414" xr:uid="{00000000-0005-0000-0000-0000D2300000}"/>
    <cellStyle name="20 % - Markeringsfarve4 4 2 4 2 4" xfId="40401" xr:uid="{00000000-0005-0000-0000-0000D3300000}"/>
    <cellStyle name="20 % - Markeringsfarve4 4 2 4 3" xfId="11185" xr:uid="{00000000-0005-0000-0000-0000D4300000}"/>
    <cellStyle name="20 % - Markeringsfarve4 4 2 4 3 2" xfId="27504" xr:uid="{00000000-0005-0000-0000-0000D5300000}"/>
    <cellStyle name="20 % - Markeringsfarve4 4 2 4 3 3" xfId="42470" xr:uid="{00000000-0005-0000-0000-0000D6300000}"/>
    <cellStyle name="20 % - Markeringsfarve4 4 2 4 4" xfId="20482" xr:uid="{00000000-0005-0000-0000-0000D7300000}"/>
    <cellStyle name="20 % - Markeringsfarve4 4 2 4 5" xfId="35471" xr:uid="{00000000-0005-0000-0000-0000D8300000}"/>
    <cellStyle name="20 % - Markeringsfarve4 4 2 5" xfId="5618" xr:uid="{00000000-0005-0000-0000-0000D9300000}"/>
    <cellStyle name="20 % - Markeringsfarve4 4 2 5 2" xfId="13536" xr:uid="{00000000-0005-0000-0000-0000DA300000}"/>
    <cellStyle name="20 % - Markeringsfarve4 4 2 5 2 2" xfId="29850" xr:uid="{00000000-0005-0000-0000-0000DB300000}"/>
    <cellStyle name="20 % - Markeringsfarve4 4 2 5 2 3" xfId="44814" xr:uid="{00000000-0005-0000-0000-0000DC300000}"/>
    <cellStyle name="20 % - Markeringsfarve4 4 2 5 3" xfId="22828" xr:uid="{00000000-0005-0000-0000-0000DD300000}"/>
    <cellStyle name="20 % - Markeringsfarve4 4 2 5 4" xfId="37815" xr:uid="{00000000-0005-0000-0000-0000DE300000}"/>
    <cellStyle name="20 % - Markeringsfarve4 4 2 6" xfId="11181" xr:uid="{00000000-0005-0000-0000-0000DF300000}"/>
    <cellStyle name="20 % - Markeringsfarve4 4 2 6 2" xfId="27500" xr:uid="{00000000-0005-0000-0000-0000E0300000}"/>
    <cellStyle name="20 % - Markeringsfarve4 4 2 6 3" xfId="42466" xr:uid="{00000000-0005-0000-0000-0000E1300000}"/>
    <cellStyle name="20 % - Markeringsfarve4 4 2 7" xfId="20478" xr:uid="{00000000-0005-0000-0000-0000E2300000}"/>
    <cellStyle name="20 % - Markeringsfarve4 4 2 8" xfId="35467" xr:uid="{00000000-0005-0000-0000-0000E3300000}"/>
    <cellStyle name="20 % - Markeringsfarve4 4 2 9" xfId="53994" xr:uid="{00000000-0005-0000-0000-0000E4300000}"/>
    <cellStyle name="20 % - Markeringsfarve4 4 3" xfId="2629" xr:uid="{00000000-0005-0000-0000-0000E5300000}"/>
    <cellStyle name="20 % - Markeringsfarve4 4 3 2" xfId="2630" xr:uid="{00000000-0005-0000-0000-0000E6300000}"/>
    <cellStyle name="20 % - Markeringsfarve4 4 3 2 2" xfId="2631" xr:uid="{00000000-0005-0000-0000-0000E7300000}"/>
    <cellStyle name="20 % - Markeringsfarve4 4 3 2 2 2" xfId="7759" xr:uid="{00000000-0005-0000-0000-0000E8300000}"/>
    <cellStyle name="20 % - Markeringsfarve4 4 3 2 2 2 2" xfId="15660" xr:uid="{00000000-0005-0000-0000-0000E9300000}"/>
    <cellStyle name="20 % - Markeringsfarve4 4 3 2 2 2 2 2" xfId="31974" xr:uid="{00000000-0005-0000-0000-0000EA300000}"/>
    <cellStyle name="20 % - Markeringsfarve4 4 3 2 2 2 2 3" xfId="46938" xr:uid="{00000000-0005-0000-0000-0000EB300000}"/>
    <cellStyle name="20 % - Markeringsfarve4 4 3 2 2 2 3" xfId="24952" xr:uid="{00000000-0005-0000-0000-0000EC300000}"/>
    <cellStyle name="20 % - Markeringsfarve4 4 3 2 2 2 4" xfId="39939" xr:uid="{00000000-0005-0000-0000-0000ED300000}"/>
    <cellStyle name="20 % - Markeringsfarve4 4 3 2 2 3" xfId="11188" xr:uid="{00000000-0005-0000-0000-0000EE300000}"/>
    <cellStyle name="20 % - Markeringsfarve4 4 3 2 2 3 2" xfId="27507" xr:uid="{00000000-0005-0000-0000-0000EF300000}"/>
    <cellStyle name="20 % - Markeringsfarve4 4 3 2 2 3 3" xfId="42473" xr:uid="{00000000-0005-0000-0000-0000F0300000}"/>
    <cellStyle name="20 % - Markeringsfarve4 4 3 2 2 4" xfId="20485" xr:uid="{00000000-0005-0000-0000-0000F1300000}"/>
    <cellStyle name="20 % - Markeringsfarve4 4 3 2 2 5" xfId="35474" xr:uid="{00000000-0005-0000-0000-0000F2300000}"/>
    <cellStyle name="20 % - Markeringsfarve4 4 3 2 3" xfId="6323" xr:uid="{00000000-0005-0000-0000-0000F3300000}"/>
    <cellStyle name="20 % - Markeringsfarve4 4 3 2 3 2" xfId="14240" xr:uid="{00000000-0005-0000-0000-0000F4300000}"/>
    <cellStyle name="20 % - Markeringsfarve4 4 3 2 3 2 2" xfId="30554" xr:uid="{00000000-0005-0000-0000-0000F5300000}"/>
    <cellStyle name="20 % - Markeringsfarve4 4 3 2 3 2 3" xfId="45518" xr:uid="{00000000-0005-0000-0000-0000F6300000}"/>
    <cellStyle name="20 % - Markeringsfarve4 4 3 2 3 3" xfId="23532" xr:uid="{00000000-0005-0000-0000-0000F7300000}"/>
    <cellStyle name="20 % - Markeringsfarve4 4 3 2 3 4" xfId="38519" xr:uid="{00000000-0005-0000-0000-0000F8300000}"/>
    <cellStyle name="20 % - Markeringsfarve4 4 3 2 4" xfId="11187" xr:uid="{00000000-0005-0000-0000-0000F9300000}"/>
    <cellStyle name="20 % - Markeringsfarve4 4 3 2 4 2" xfId="27506" xr:uid="{00000000-0005-0000-0000-0000FA300000}"/>
    <cellStyle name="20 % - Markeringsfarve4 4 3 2 4 3" xfId="42472" xr:uid="{00000000-0005-0000-0000-0000FB300000}"/>
    <cellStyle name="20 % - Markeringsfarve4 4 3 2 5" xfId="20484" xr:uid="{00000000-0005-0000-0000-0000FC300000}"/>
    <cellStyle name="20 % - Markeringsfarve4 4 3 2 6" xfId="35473" xr:uid="{00000000-0005-0000-0000-0000FD300000}"/>
    <cellStyle name="20 % - Markeringsfarve4 4 3 3" xfId="2632" xr:uid="{00000000-0005-0000-0000-0000FE300000}"/>
    <cellStyle name="20 % - Markeringsfarve4 4 3 3 2" xfId="6989" xr:uid="{00000000-0005-0000-0000-0000FF300000}"/>
    <cellStyle name="20 % - Markeringsfarve4 4 3 3 2 2" xfId="14900" xr:uid="{00000000-0005-0000-0000-000000310000}"/>
    <cellStyle name="20 % - Markeringsfarve4 4 3 3 2 2 2" xfId="31214" xr:uid="{00000000-0005-0000-0000-000001310000}"/>
    <cellStyle name="20 % - Markeringsfarve4 4 3 3 2 2 3" xfId="46178" xr:uid="{00000000-0005-0000-0000-000002310000}"/>
    <cellStyle name="20 % - Markeringsfarve4 4 3 3 2 3" xfId="24192" xr:uid="{00000000-0005-0000-0000-000003310000}"/>
    <cellStyle name="20 % - Markeringsfarve4 4 3 3 2 4" xfId="39179" xr:uid="{00000000-0005-0000-0000-000004310000}"/>
    <cellStyle name="20 % - Markeringsfarve4 4 3 3 3" xfId="11189" xr:uid="{00000000-0005-0000-0000-000005310000}"/>
    <cellStyle name="20 % - Markeringsfarve4 4 3 3 3 2" xfId="27508" xr:uid="{00000000-0005-0000-0000-000006310000}"/>
    <cellStyle name="20 % - Markeringsfarve4 4 3 3 3 3" xfId="42474" xr:uid="{00000000-0005-0000-0000-000007310000}"/>
    <cellStyle name="20 % - Markeringsfarve4 4 3 3 4" xfId="20486" xr:uid="{00000000-0005-0000-0000-000008310000}"/>
    <cellStyle name="20 % - Markeringsfarve4 4 3 3 5" xfId="35475" xr:uid="{00000000-0005-0000-0000-000009310000}"/>
    <cellStyle name="20 % - Markeringsfarve4 4 3 4" xfId="2633" xr:uid="{00000000-0005-0000-0000-00000A310000}"/>
    <cellStyle name="20 % - Markeringsfarve4 4 3 4 2" xfId="8562" xr:uid="{00000000-0005-0000-0000-00000B310000}"/>
    <cellStyle name="20 % - Markeringsfarve4 4 3 4 2 2" xfId="16449" xr:uid="{00000000-0005-0000-0000-00000C310000}"/>
    <cellStyle name="20 % - Markeringsfarve4 4 3 4 2 2 2" xfId="32763" xr:uid="{00000000-0005-0000-0000-00000D310000}"/>
    <cellStyle name="20 % - Markeringsfarve4 4 3 4 2 2 3" xfId="47727" xr:uid="{00000000-0005-0000-0000-00000E310000}"/>
    <cellStyle name="20 % - Markeringsfarve4 4 3 4 2 3" xfId="25741" xr:uid="{00000000-0005-0000-0000-00000F310000}"/>
    <cellStyle name="20 % - Markeringsfarve4 4 3 4 2 4" xfId="40728" xr:uid="{00000000-0005-0000-0000-000010310000}"/>
    <cellStyle name="20 % - Markeringsfarve4 4 3 4 3" xfId="11190" xr:uid="{00000000-0005-0000-0000-000011310000}"/>
    <cellStyle name="20 % - Markeringsfarve4 4 3 4 3 2" xfId="27509" xr:uid="{00000000-0005-0000-0000-000012310000}"/>
    <cellStyle name="20 % - Markeringsfarve4 4 3 4 3 3" xfId="42475" xr:uid="{00000000-0005-0000-0000-000013310000}"/>
    <cellStyle name="20 % - Markeringsfarve4 4 3 4 4" xfId="20487" xr:uid="{00000000-0005-0000-0000-000014310000}"/>
    <cellStyle name="20 % - Markeringsfarve4 4 3 4 5" xfId="35476" xr:uid="{00000000-0005-0000-0000-000015310000}"/>
    <cellStyle name="20 % - Markeringsfarve4 4 3 5" xfId="5619" xr:uid="{00000000-0005-0000-0000-000016310000}"/>
    <cellStyle name="20 % - Markeringsfarve4 4 3 5 2" xfId="13537" xr:uid="{00000000-0005-0000-0000-000017310000}"/>
    <cellStyle name="20 % - Markeringsfarve4 4 3 5 2 2" xfId="29851" xr:uid="{00000000-0005-0000-0000-000018310000}"/>
    <cellStyle name="20 % - Markeringsfarve4 4 3 5 2 3" xfId="44815" xr:uid="{00000000-0005-0000-0000-000019310000}"/>
    <cellStyle name="20 % - Markeringsfarve4 4 3 5 3" xfId="22829" xr:uid="{00000000-0005-0000-0000-00001A310000}"/>
    <cellStyle name="20 % - Markeringsfarve4 4 3 5 4" xfId="37816" xr:uid="{00000000-0005-0000-0000-00001B310000}"/>
    <cellStyle name="20 % - Markeringsfarve4 4 3 6" xfId="11186" xr:uid="{00000000-0005-0000-0000-00001C310000}"/>
    <cellStyle name="20 % - Markeringsfarve4 4 3 6 2" xfId="27505" xr:uid="{00000000-0005-0000-0000-00001D310000}"/>
    <cellStyle name="20 % - Markeringsfarve4 4 3 6 3" xfId="42471" xr:uid="{00000000-0005-0000-0000-00001E310000}"/>
    <cellStyle name="20 % - Markeringsfarve4 4 3 7" xfId="20483" xr:uid="{00000000-0005-0000-0000-00001F310000}"/>
    <cellStyle name="20 % - Markeringsfarve4 4 3 8" xfId="35472" xr:uid="{00000000-0005-0000-0000-000020310000}"/>
    <cellStyle name="20 % - Markeringsfarve4 4 3 9" xfId="56538" xr:uid="{00000000-0005-0000-0000-000021310000}"/>
    <cellStyle name="20 % - Markeringsfarve4 4 4" xfId="2634" xr:uid="{00000000-0005-0000-0000-000022310000}"/>
    <cellStyle name="20 % - Markeringsfarve4 4 4 2" xfId="2635" xr:uid="{00000000-0005-0000-0000-000023310000}"/>
    <cellStyle name="20 % - Markeringsfarve4 4 4 2 2" xfId="2636" xr:uid="{00000000-0005-0000-0000-000024310000}"/>
    <cellStyle name="20 % - Markeringsfarve4 4 4 2 2 2" xfId="7891" xr:uid="{00000000-0005-0000-0000-000025310000}"/>
    <cellStyle name="20 % - Markeringsfarve4 4 4 2 2 2 2" xfId="15792" xr:uid="{00000000-0005-0000-0000-000026310000}"/>
    <cellStyle name="20 % - Markeringsfarve4 4 4 2 2 2 2 2" xfId="32106" xr:uid="{00000000-0005-0000-0000-000027310000}"/>
    <cellStyle name="20 % - Markeringsfarve4 4 4 2 2 2 2 3" xfId="47070" xr:uid="{00000000-0005-0000-0000-000028310000}"/>
    <cellStyle name="20 % - Markeringsfarve4 4 4 2 2 2 3" xfId="25084" xr:uid="{00000000-0005-0000-0000-000029310000}"/>
    <cellStyle name="20 % - Markeringsfarve4 4 4 2 2 2 4" xfId="40071" xr:uid="{00000000-0005-0000-0000-00002A310000}"/>
    <cellStyle name="20 % - Markeringsfarve4 4 4 2 2 3" xfId="11193" xr:uid="{00000000-0005-0000-0000-00002B310000}"/>
    <cellStyle name="20 % - Markeringsfarve4 4 4 2 2 3 2" xfId="27512" xr:uid="{00000000-0005-0000-0000-00002C310000}"/>
    <cellStyle name="20 % - Markeringsfarve4 4 4 2 2 3 3" xfId="42478" xr:uid="{00000000-0005-0000-0000-00002D310000}"/>
    <cellStyle name="20 % - Markeringsfarve4 4 4 2 2 4" xfId="20490" xr:uid="{00000000-0005-0000-0000-00002E310000}"/>
    <cellStyle name="20 % - Markeringsfarve4 4 4 2 2 5" xfId="35479" xr:uid="{00000000-0005-0000-0000-00002F310000}"/>
    <cellStyle name="20 % - Markeringsfarve4 4 4 2 3" xfId="6431" xr:uid="{00000000-0005-0000-0000-000030310000}"/>
    <cellStyle name="20 % - Markeringsfarve4 4 4 2 3 2" xfId="14345" xr:uid="{00000000-0005-0000-0000-000031310000}"/>
    <cellStyle name="20 % - Markeringsfarve4 4 4 2 3 2 2" xfId="30659" xr:uid="{00000000-0005-0000-0000-000032310000}"/>
    <cellStyle name="20 % - Markeringsfarve4 4 4 2 3 2 3" xfId="45623" xr:uid="{00000000-0005-0000-0000-000033310000}"/>
    <cellStyle name="20 % - Markeringsfarve4 4 4 2 3 3" xfId="23637" xr:uid="{00000000-0005-0000-0000-000034310000}"/>
    <cellStyle name="20 % - Markeringsfarve4 4 4 2 3 4" xfId="38624" xr:uid="{00000000-0005-0000-0000-000035310000}"/>
    <cellStyle name="20 % - Markeringsfarve4 4 4 2 4" xfId="11192" xr:uid="{00000000-0005-0000-0000-000036310000}"/>
    <cellStyle name="20 % - Markeringsfarve4 4 4 2 4 2" xfId="27511" xr:uid="{00000000-0005-0000-0000-000037310000}"/>
    <cellStyle name="20 % - Markeringsfarve4 4 4 2 4 3" xfId="42477" xr:uid="{00000000-0005-0000-0000-000038310000}"/>
    <cellStyle name="20 % - Markeringsfarve4 4 4 2 5" xfId="20489" xr:uid="{00000000-0005-0000-0000-000039310000}"/>
    <cellStyle name="20 % - Markeringsfarve4 4 4 2 6" xfId="35478" xr:uid="{00000000-0005-0000-0000-00003A310000}"/>
    <cellStyle name="20 % - Markeringsfarve4 4 4 3" xfId="2637" xr:uid="{00000000-0005-0000-0000-00003B310000}"/>
    <cellStyle name="20 % - Markeringsfarve4 4 4 3 2" xfId="7167" xr:uid="{00000000-0005-0000-0000-00003C310000}"/>
    <cellStyle name="20 % - Markeringsfarve4 4 4 3 2 2" xfId="15077" xr:uid="{00000000-0005-0000-0000-00003D310000}"/>
    <cellStyle name="20 % - Markeringsfarve4 4 4 3 2 2 2" xfId="31391" xr:uid="{00000000-0005-0000-0000-00003E310000}"/>
    <cellStyle name="20 % - Markeringsfarve4 4 4 3 2 2 3" xfId="46355" xr:uid="{00000000-0005-0000-0000-00003F310000}"/>
    <cellStyle name="20 % - Markeringsfarve4 4 4 3 2 3" xfId="24369" xr:uid="{00000000-0005-0000-0000-000040310000}"/>
    <cellStyle name="20 % - Markeringsfarve4 4 4 3 2 4" xfId="39356" xr:uid="{00000000-0005-0000-0000-000041310000}"/>
    <cellStyle name="20 % - Markeringsfarve4 4 4 3 3" xfId="11194" xr:uid="{00000000-0005-0000-0000-000042310000}"/>
    <cellStyle name="20 % - Markeringsfarve4 4 4 3 3 2" xfId="27513" xr:uid="{00000000-0005-0000-0000-000043310000}"/>
    <cellStyle name="20 % - Markeringsfarve4 4 4 3 3 3" xfId="42479" xr:uid="{00000000-0005-0000-0000-000044310000}"/>
    <cellStyle name="20 % - Markeringsfarve4 4 4 3 4" xfId="20491" xr:uid="{00000000-0005-0000-0000-000045310000}"/>
    <cellStyle name="20 % - Markeringsfarve4 4 4 3 5" xfId="35480" xr:uid="{00000000-0005-0000-0000-000046310000}"/>
    <cellStyle name="20 % - Markeringsfarve4 4 4 4" xfId="2638" xr:uid="{00000000-0005-0000-0000-000047310000}"/>
    <cellStyle name="20 % - Markeringsfarve4 4 4 4 2" xfId="8786" xr:uid="{00000000-0005-0000-0000-000048310000}"/>
    <cellStyle name="20 % - Markeringsfarve4 4 4 4 2 2" xfId="16662" xr:uid="{00000000-0005-0000-0000-000049310000}"/>
    <cellStyle name="20 % - Markeringsfarve4 4 4 4 2 2 2" xfId="32976" xr:uid="{00000000-0005-0000-0000-00004A310000}"/>
    <cellStyle name="20 % - Markeringsfarve4 4 4 4 2 2 3" xfId="47940" xr:uid="{00000000-0005-0000-0000-00004B310000}"/>
    <cellStyle name="20 % - Markeringsfarve4 4 4 4 2 3" xfId="25954" xr:uid="{00000000-0005-0000-0000-00004C310000}"/>
    <cellStyle name="20 % - Markeringsfarve4 4 4 4 2 4" xfId="40941" xr:uid="{00000000-0005-0000-0000-00004D310000}"/>
    <cellStyle name="20 % - Markeringsfarve4 4 4 4 3" xfId="11195" xr:uid="{00000000-0005-0000-0000-00004E310000}"/>
    <cellStyle name="20 % - Markeringsfarve4 4 4 4 3 2" xfId="27514" xr:uid="{00000000-0005-0000-0000-00004F310000}"/>
    <cellStyle name="20 % - Markeringsfarve4 4 4 4 3 3" xfId="42480" xr:uid="{00000000-0005-0000-0000-000050310000}"/>
    <cellStyle name="20 % - Markeringsfarve4 4 4 4 4" xfId="20492" xr:uid="{00000000-0005-0000-0000-000051310000}"/>
    <cellStyle name="20 % - Markeringsfarve4 4 4 4 5" xfId="35481" xr:uid="{00000000-0005-0000-0000-000052310000}"/>
    <cellStyle name="20 % - Markeringsfarve4 4 4 5" xfId="5620" xr:uid="{00000000-0005-0000-0000-000053310000}"/>
    <cellStyle name="20 % - Markeringsfarve4 4 4 5 2" xfId="13538" xr:uid="{00000000-0005-0000-0000-000054310000}"/>
    <cellStyle name="20 % - Markeringsfarve4 4 4 5 2 2" xfId="29852" xr:uid="{00000000-0005-0000-0000-000055310000}"/>
    <cellStyle name="20 % - Markeringsfarve4 4 4 5 2 3" xfId="44816" xr:uid="{00000000-0005-0000-0000-000056310000}"/>
    <cellStyle name="20 % - Markeringsfarve4 4 4 5 3" xfId="22830" xr:uid="{00000000-0005-0000-0000-000057310000}"/>
    <cellStyle name="20 % - Markeringsfarve4 4 4 5 4" xfId="37817" xr:uid="{00000000-0005-0000-0000-000058310000}"/>
    <cellStyle name="20 % - Markeringsfarve4 4 4 6" xfId="11191" xr:uid="{00000000-0005-0000-0000-000059310000}"/>
    <cellStyle name="20 % - Markeringsfarve4 4 4 6 2" xfId="27510" xr:uid="{00000000-0005-0000-0000-00005A310000}"/>
    <cellStyle name="20 % - Markeringsfarve4 4 4 6 3" xfId="42476" xr:uid="{00000000-0005-0000-0000-00005B310000}"/>
    <cellStyle name="20 % - Markeringsfarve4 4 4 7" xfId="20488" xr:uid="{00000000-0005-0000-0000-00005C310000}"/>
    <cellStyle name="20 % - Markeringsfarve4 4 4 8" xfId="35477" xr:uid="{00000000-0005-0000-0000-00005D310000}"/>
    <cellStyle name="20 % - Markeringsfarve4 4 5" xfId="2639" xr:uid="{00000000-0005-0000-0000-00005E310000}"/>
    <cellStyle name="20 % - Markeringsfarve4 4 5 2" xfId="2640" xr:uid="{00000000-0005-0000-0000-00005F310000}"/>
    <cellStyle name="20 % - Markeringsfarve4 4 5 2 2" xfId="2641" xr:uid="{00000000-0005-0000-0000-000060310000}"/>
    <cellStyle name="20 % - Markeringsfarve4 4 5 2 2 2" xfId="8008" xr:uid="{00000000-0005-0000-0000-000061310000}"/>
    <cellStyle name="20 % - Markeringsfarve4 4 5 2 2 2 2" xfId="15909" xr:uid="{00000000-0005-0000-0000-000062310000}"/>
    <cellStyle name="20 % - Markeringsfarve4 4 5 2 2 2 2 2" xfId="32223" xr:uid="{00000000-0005-0000-0000-000063310000}"/>
    <cellStyle name="20 % - Markeringsfarve4 4 5 2 2 2 2 3" xfId="47187" xr:uid="{00000000-0005-0000-0000-000064310000}"/>
    <cellStyle name="20 % - Markeringsfarve4 4 5 2 2 2 3" xfId="25201" xr:uid="{00000000-0005-0000-0000-000065310000}"/>
    <cellStyle name="20 % - Markeringsfarve4 4 5 2 2 2 4" xfId="40188" xr:uid="{00000000-0005-0000-0000-000066310000}"/>
    <cellStyle name="20 % - Markeringsfarve4 4 5 2 2 3" xfId="11198" xr:uid="{00000000-0005-0000-0000-000067310000}"/>
    <cellStyle name="20 % - Markeringsfarve4 4 5 2 2 3 2" xfId="27517" xr:uid="{00000000-0005-0000-0000-000068310000}"/>
    <cellStyle name="20 % - Markeringsfarve4 4 5 2 2 3 3" xfId="42483" xr:uid="{00000000-0005-0000-0000-000069310000}"/>
    <cellStyle name="20 % - Markeringsfarve4 4 5 2 2 4" xfId="20495" xr:uid="{00000000-0005-0000-0000-00006A310000}"/>
    <cellStyle name="20 % - Markeringsfarve4 4 5 2 2 5" xfId="35484" xr:uid="{00000000-0005-0000-0000-00006B310000}"/>
    <cellStyle name="20 % - Markeringsfarve4 4 5 2 3" xfId="6530" xr:uid="{00000000-0005-0000-0000-00006C310000}"/>
    <cellStyle name="20 % - Markeringsfarve4 4 5 2 3 2" xfId="14444" xr:uid="{00000000-0005-0000-0000-00006D310000}"/>
    <cellStyle name="20 % - Markeringsfarve4 4 5 2 3 2 2" xfId="30758" xr:uid="{00000000-0005-0000-0000-00006E310000}"/>
    <cellStyle name="20 % - Markeringsfarve4 4 5 2 3 2 3" xfId="45722" xr:uid="{00000000-0005-0000-0000-00006F310000}"/>
    <cellStyle name="20 % - Markeringsfarve4 4 5 2 3 3" xfId="23736" xr:uid="{00000000-0005-0000-0000-000070310000}"/>
    <cellStyle name="20 % - Markeringsfarve4 4 5 2 3 4" xfId="38723" xr:uid="{00000000-0005-0000-0000-000071310000}"/>
    <cellStyle name="20 % - Markeringsfarve4 4 5 2 4" xfId="11197" xr:uid="{00000000-0005-0000-0000-000072310000}"/>
    <cellStyle name="20 % - Markeringsfarve4 4 5 2 4 2" xfId="27516" xr:uid="{00000000-0005-0000-0000-000073310000}"/>
    <cellStyle name="20 % - Markeringsfarve4 4 5 2 4 3" xfId="42482" xr:uid="{00000000-0005-0000-0000-000074310000}"/>
    <cellStyle name="20 % - Markeringsfarve4 4 5 2 5" xfId="20494" xr:uid="{00000000-0005-0000-0000-000075310000}"/>
    <cellStyle name="20 % - Markeringsfarve4 4 5 2 6" xfId="35483" xr:uid="{00000000-0005-0000-0000-000076310000}"/>
    <cellStyle name="20 % - Markeringsfarve4 4 5 3" xfId="2642" xr:uid="{00000000-0005-0000-0000-000077310000}"/>
    <cellStyle name="20 % - Markeringsfarve4 4 5 3 2" xfId="7284" xr:uid="{00000000-0005-0000-0000-000078310000}"/>
    <cellStyle name="20 % - Markeringsfarve4 4 5 3 2 2" xfId="15194" xr:uid="{00000000-0005-0000-0000-000079310000}"/>
    <cellStyle name="20 % - Markeringsfarve4 4 5 3 2 2 2" xfId="31508" xr:uid="{00000000-0005-0000-0000-00007A310000}"/>
    <cellStyle name="20 % - Markeringsfarve4 4 5 3 2 2 3" xfId="46472" xr:uid="{00000000-0005-0000-0000-00007B310000}"/>
    <cellStyle name="20 % - Markeringsfarve4 4 5 3 2 3" xfId="24486" xr:uid="{00000000-0005-0000-0000-00007C310000}"/>
    <cellStyle name="20 % - Markeringsfarve4 4 5 3 2 4" xfId="39473" xr:uid="{00000000-0005-0000-0000-00007D310000}"/>
    <cellStyle name="20 % - Markeringsfarve4 4 5 3 3" xfId="11199" xr:uid="{00000000-0005-0000-0000-00007E310000}"/>
    <cellStyle name="20 % - Markeringsfarve4 4 5 3 3 2" xfId="27518" xr:uid="{00000000-0005-0000-0000-00007F310000}"/>
    <cellStyle name="20 % - Markeringsfarve4 4 5 3 3 3" xfId="42484" xr:uid="{00000000-0005-0000-0000-000080310000}"/>
    <cellStyle name="20 % - Markeringsfarve4 4 5 3 4" xfId="20496" xr:uid="{00000000-0005-0000-0000-000081310000}"/>
    <cellStyle name="20 % - Markeringsfarve4 4 5 3 5" xfId="35485" xr:uid="{00000000-0005-0000-0000-000082310000}"/>
    <cellStyle name="20 % - Markeringsfarve4 4 5 4" xfId="2643" xr:uid="{00000000-0005-0000-0000-000083310000}"/>
    <cellStyle name="20 % - Markeringsfarve4 4 5 4 2" xfId="8506" xr:uid="{00000000-0005-0000-0000-000084310000}"/>
    <cellStyle name="20 % - Markeringsfarve4 4 5 4 2 2" xfId="16395" xr:uid="{00000000-0005-0000-0000-000085310000}"/>
    <cellStyle name="20 % - Markeringsfarve4 4 5 4 2 2 2" xfId="32709" xr:uid="{00000000-0005-0000-0000-000086310000}"/>
    <cellStyle name="20 % - Markeringsfarve4 4 5 4 2 2 3" xfId="47673" xr:uid="{00000000-0005-0000-0000-000087310000}"/>
    <cellStyle name="20 % - Markeringsfarve4 4 5 4 2 3" xfId="25687" xr:uid="{00000000-0005-0000-0000-000088310000}"/>
    <cellStyle name="20 % - Markeringsfarve4 4 5 4 2 4" xfId="40674" xr:uid="{00000000-0005-0000-0000-000089310000}"/>
    <cellStyle name="20 % - Markeringsfarve4 4 5 4 3" xfId="11200" xr:uid="{00000000-0005-0000-0000-00008A310000}"/>
    <cellStyle name="20 % - Markeringsfarve4 4 5 4 3 2" xfId="27519" xr:uid="{00000000-0005-0000-0000-00008B310000}"/>
    <cellStyle name="20 % - Markeringsfarve4 4 5 4 3 3" xfId="42485" xr:uid="{00000000-0005-0000-0000-00008C310000}"/>
    <cellStyle name="20 % - Markeringsfarve4 4 5 4 4" xfId="20497" xr:uid="{00000000-0005-0000-0000-00008D310000}"/>
    <cellStyle name="20 % - Markeringsfarve4 4 5 4 5" xfId="35486" xr:uid="{00000000-0005-0000-0000-00008E310000}"/>
    <cellStyle name="20 % - Markeringsfarve4 4 5 5" xfId="5621" xr:uid="{00000000-0005-0000-0000-00008F310000}"/>
    <cellStyle name="20 % - Markeringsfarve4 4 5 5 2" xfId="13539" xr:uid="{00000000-0005-0000-0000-000090310000}"/>
    <cellStyle name="20 % - Markeringsfarve4 4 5 5 2 2" xfId="29853" xr:uid="{00000000-0005-0000-0000-000091310000}"/>
    <cellStyle name="20 % - Markeringsfarve4 4 5 5 2 3" xfId="44817" xr:uid="{00000000-0005-0000-0000-000092310000}"/>
    <cellStyle name="20 % - Markeringsfarve4 4 5 5 3" xfId="22831" xr:uid="{00000000-0005-0000-0000-000093310000}"/>
    <cellStyle name="20 % - Markeringsfarve4 4 5 5 4" xfId="37818" xr:uid="{00000000-0005-0000-0000-000094310000}"/>
    <cellStyle name="20 % - Markeringsfarve4 4 5 6" xfId="11196" xr:uid="{00000000-0005-0000-0000-000095310000}"/>
    <cellStyle name="20 % - Markeringsfarve4 4 5 6 2" xfId="27515" xr:uid="{00000000-0005-0000-0000-000096310000}"/>
    <cellStyle name="20 % - Markeringsfarve4 4 5 6 3" xfId="42481" xr:uid="{00000000-0005-0000-0000-000097310000}"/>
    <cellStyle name="20 % - Markeringsfarve4 4 5 7" xfId="20493" xr:uid="{00000000-0005-0000-0000-000098310000}"/>
    <cellStyle name="20 % - Markeringsfarve4 4 5 8" xfId="35482" xr:uid="{00000000-0005-0000-0000-000099310000}"/>
    <cellStyle name="20 % - Markeringsfarve4 4 6" xfId="2644" xr:uid="{00000000-0005-0000-0000-00009A310000}"/>
    <cellStyle name="20 % - Markeringsfarve4 4 6 2" xfId="2645" xr:uid="{00000000-0005-0000-0000-00009B310000}"/>
    <cellStyle name="20 % - Markeringsfarve4 4 6 2 2" xfId="2646" xr:uid="{00000000-0005-0000-0000-00009C310000}"/>
    <cellStyle name="20 % - Markeringsfarve4 4 6 2 2 2" xfId="8114" xr:uid="{00000000-0005-0000-0000-00009D310000}"/>
    <cellStyle name="20 % - Markeringsfarve4 4 6 2 2 2 2" xfId="16015" xr:uid="{00000000-0005-0000-0000-00009E310000}"/>
    <cellStyle name="20 % - Markeringsfarve4 4 6 2 2 2 2 2" xfId="32329" xr:uid="{00000000-0005-0000-0000-00009F310000}"/>
    <cellStyle name="20 % - Markeringsfarve4 4 6 2 2 2 2 3" xfId="47293" xr:uid="{00000000-0005-0000-0000-0000A0310000}"/>
    <cellStyle name="20 % - Markeringsfarve4 4 6 2 2 2 3" xfId="25307" xr:uid="{00000000-0005-0000-0000-0000A1310000}"/>
    <cellStyle name="20 % - Markeringsfarve4 4 6 2 2 2 4" xfId="40294" xr:uid="{00000000-0005-0000-0000-0000A2310000}"/>
    <cellStyle name="20 % - Markeringsfarve4 4 6 2 2 3" xfId="11203" xr:uid="{00000000-0005-0000-0000-0000A3310000}"/>
    <cellStyle name="20 % - Markeringsfarve4 4 6 2 2 3 2" xfId="27522" xr:uid="{00000000-0005-0000-0000-0000A4310000}"/>
    <cellStyle name="20 % - Markeringsfarve4 4 6 2 2 3 3" xfId="42488" xr:uid="{00000000-0005-0000-0000-0000A5310000}"/>
    <cellStyle name="20 % - Markeringsfarve4 4 6 2 2 4" xfId="20500" xr:uid="{00000000-0005-0000-0000-0000A6310000}"/>
    <cellStyle name="20 % - Markeringsfarve4 4 6 2 2 5" xfId="35489" xr:uid="{00000000-0005-0000-0000-0000A7310000}"/>
    <cellStyle name="20 % - Markeringsfarve4 4 6 2 3" xfId="6625" xr:uid="{00000000-0005-0000-0000-0000A8310000}"/>
    <cellStyle name="20 % - Markeringsfarve4 4 6 2 3 2" xfId="14539" xr:uid="{00000000-0005-0000-0000-0000A9310000}"/>
    <cellStyle name="20 % - Markeringsfarve4 4 6 2 3 2 2" xfId="30853" xr:uid="{00000000-0005-0000-0000-0000AA310000}"/>
    <cellStyle name="20 % - Markeringsfarve4 4 6 2 3 2 3" xfId="45817" xr:uid="{00000000-0005-0000-0000-0000AB310000}"/>
    <cellStyle name="20 % - Markeringsfarve4 4 6 2 3 3" xfId="23831" xr:uid="{00000000-0005-0000-0000-0000AC310000}"/>
    <cellStyle name="20 % - Markeringsfarve4 4 6 2 3 4" xfId="38818" xr:uid="{00000000-0005-0000-0000-0000AD310000}"/>
    <cellStyle name="20 % - Markeringsfarve4 4 6 2 4" xfId="11202" xr:uid="{00000000-0005-0000-0000-0000AE310000}"/>
    <cellStyle name="20 % - Markeringsfarve4 4 6 2 4 2" xfId="27521" xr:uid="{00000000-0005-0000-0000-0000AF310000}"/>
    <cellStyle name="20 % - Markeringsfarve4 4 6 2 4 3" xfId="42487" xr:uid="{00000000-0005-0000-0000-0000B0310000}"/>
    <cellStyle name="20 % - Markeringsfarve4 4 6 2 5" xfId="20499" xr:uid="{00000000-0005-0000-0000-0000B1310000}"/>
    <cellStyle name="20 % - Markeringsfarve4 4 6 2 6" xfId="35488" xr:uid="{00000000-0005-0000-0000-0000B2310000}"/>
    <cellStyle name="20 % - Markeringsfarve4 4 6 3" xfId="2647" xr:uid="{00000000-0005-0000-0000-0000B3310000}"/>
    <cellStyle name="20 % - Markeringsfarve4 4 6 3 2" xfId="7391" xr:uid="{00000000-0005-0000-0000-0000B4310000}"/>
    <cellStyle name="20 % - Markeringsfarve4 4 6 3 2 2" xfId="15301" xr:uid="{00000000-0005-0000-0000-0000B5310000}"/>
    <cellStyle name="20 % - Markeringsfarve4 4 6 3 2 2 2" xfId="31615" xr:uid="{00000000-0005-0000-0000-0000B6310000}"/>
    <cellStyle name="20 % - Markeringsfarve4 4 6 3 2 2 3" xfId="46579" xr:uid="{00000000-0005-0000-0000-0000B7310000}"/>
    <cellStyle name="20 % - Markeringsfarve4 4 6 3 2 3" xfId="24593" xr:uid="{00000000-0005-0000-0000-0000B8310000}"/>
    <cellStyle name="20 % - Markeringsfarve4 4 6 3 2 4" xfId="39580" xr:uid="{00000000-0005-0000-0000-0000B9310000}"/>
    <cellStyle name="20 % - Markeringsfarve4 4 6 3 3" xfId="11204" xr:uid="{00000000-0005-0000-0000-0000BA310000}"/>
    <cellStyle name="20 % - Markeringsfarve4 4 6 3 3 2" xfId="27523" xr:uid="{00000000-0005-0000-0000-0000BB310000}"/>
    <cellStyle name="20 % - Markeringsfarve4 4 6 3 3 3" xfId="42489" xr:uid="{00000000-0005-0000-0000-0000BC310000}"/>
    <cellStyle name="20 % - Markeringsfarve4 4 6 3 4" xfId="20501" xr:uid="{00000000-0005-0000-0000-0000BD310000}"/>
    <cellStyle name="20 % - Markeringsfarve4 4 6 3 5" xfId="35490" xr:uid="{00000000-0005-0000-0000-0000BE310000}"/>
    <cellStyle name="20 % - Markeringsfarve4 4 6 4" xfId="2648" xr:uid="{00000000-0005-0000-0000-0000BF310000}"/>
    <cellStyle name="20 % - Markeringsfarve4 4 6 4 2" xfId="8735" xr:uid="{00000000-0005-0000-0000-0000C0310000}"/>
    <cellStyle name="20 % - Markeringsfarve4 4 6 4 2 2" xfId="16614" xr:uid="{00000000-0005-0000-0000-0000C1310000}"/>
    <cellStyle name="20 % - Markeringsfarve4 4 6 4 2 2 2" xfId="32928" xr:uid="{00000000-0005-0000-0000-0000C2310000}"/>
    <cellStyle name="20 % - Markeringsfarve4 4 6 4 2 2 3" xfId="47892" xr:uid="{00000000-0005-0000-0000-0000C3310000}"/>
    <cellStyle name="20 % - Markeringsfarve4 4 6 4 2 3" xfId="25906" xr:uid="{00000000-0005-0000-0000-0000C4310000}"/>
    <cellStyle name="20 % - Markeringsfarve4 4 6 4 2 4" xfId="40893" xr:uid="{00000000-0005-0000-0000-0000C5310000}"/>
    <cellStyle name="20 % - Markeringsfarve4 4 6 4 3" xfId="11205" xr:uid="{00000000-0005-0000-0000-0000C6310000}"/>
    <cellStyle name="20 % - Markeringsfarve4 4 6 4 3 2" xfId="27524" xr:uid="{00000000-0005-0000-0000-0000C7310000}"/>
    <cellStyle name="20 % - Markeringsfarve4 4 6 4 3 3" xfId="42490" xr:uid="{00000000-0005-0000-0000-0000C8310000}"/>
    <cellStyle name="20 % - Markeringsfarve4 4 6 4 4" xfId="20502" xr:uid="{00000000-0005-0000-0000-0000C9310000}"/>
    <cellStyle name="20 % - Markeringsfarve4 4 6 4 5" xfId="35491" xr:uid="{00000000-0005-0000-0000-0000CA310000}"/>
    <cellStyle name="20 % - Markeringsfarve4 4 6 5" xfId="5622" xr:uid="{00000000-0005-0000-0000-0000CB310000}"/>
    <cellStyle name="20 % - Markeringsfarve4 4 6 5 2" xfId="13540" xr:uid="{00000000-0005-0000-0000-0000CC310000}"/>
    <cellStyle name="20 % - Markeringsfarve4 4 6 5 2 2" xfId="29854" xr:uid="{00000000-0005-0000-0000-0000CD310000}"/>
    <cellStyle name="20 % - Markeringsfarve4 4 6 5 2 3" xfId="44818" xr:uid="{00000000-0005-0000-0000-0000CE310000}"/>
    <cellStyle name="20 % - Markeringsfarve4 4 6 5 3" xfId="22832" xr:uid="{00000000-0005-0000-0000-0000CF310000}"/>
    <cellStyle name="20 % - Markeringsfarve4 4 6 5 4" xfId="37819" xr:uid="{00000000-0005-0000-0000-0000D0310000}"/>
    <cellStyle name="20 % - Markeringsfarve4 4 6 6" xfId="11201" xr:uid="{00000000-0005-0000-0000-0000D1310000}"/>
    <cellStyle name="20 % - Markeringsfarve4 4 6 6 2" xfId="27520" xr:uid="{00000000-0005-0000-0000-0000D2310000}"/>
    <cellStyle name="20 % - Markeringsfarve4 4 6 6 3" xfId="42486" xr:uid="{00000000-0005-0000-0000-0000D3310000}"/>
    <cellStyle name="20 % - Markeringsfarve4 4 6 7" xfId="20498" xr:uid="{00000000-0005-0000-0000-0000D4310000}"/>
    <cellStyle name="20 % - Markeringsfarve4 4 6 8" xfId="35487" xr:uid="{00000000-0005-0000-0000-0000D5310000}"/>
    <cellStyle name="20 % - Markeringsfarve4 4 7" xfId="2649" xr:uid="{00000000-0005-0000-0000-0000D6310000}"/>
    <cellStyle name="20 % - Markeringsfarve4 4 7 2" xfId="2650" xr:uid="{00000000-0005-0000-0000-0000D7310000}"/>
    <cellStyle name="20 % - Markeringsfarve4 4 7 2 2" xfId="7534" xr:uid="{00000000-0005-0000-0000-0000D8310000}"/>
    <cellStyle name="20 % - Markeringsfarve4 4 7 2 2 2" xfId="15435" xr:uid="{00000000-0005-0000-0000-0000D9310000}"/>
    <cellStyle name="20 % - Markeringsfarve4 4 7 2 2 2 2" xfId="31749" xr:uid="{00000000-0005-0000-0000-0000DA310000}"/>
    <cellStyle name="20 % - Markeringsfarve4 4 7 2 2 2 3" xfId="46713" xr:uid="{00000000-0005-0000-0000-0000DB310000}"/>
    <cellStyle name="20 % - Markeringsfarve4 4 7 2 2 3" xfId="24727" xr:uid="{00000000-0005-0000-0000-0000DC310000}"/>
    <cellStyle name="20 % - Markeringsfarve4 4 7 2 2 4" xfId="39714" xr:uid="{00000000-0005-0000-0000-0000DD310000}"/>
    <cellStyle name="20 % - Markeringsfarve4 4 7 2 3" xfId="11207" xr:uid="{00000000-0005-0000-0000-0000DE310000}"/>
    <cellStyle name="20 % - Markeringsfarve4 4 7 2 3 2" xfId="27526" xr:uid="{00000000-0005-0000-0000-0000DF310000}"/>
    <cellStyle name="20 % - Markeringsfarve4 4 7 2 3 3" xfId="42492" xr:uid="{00000000-0005-0000-0000-0000E0310000}"/>
    <cellStyle name="20 % - Markeringsfarve4 4 7 2 4" xfId="20504" xr:uid="{00000000-0005-0000-0000-0000E1310000}"/>
    <cellStyle name="20 % - Markeringsfarve4 4 7 2 5" xfId="35493" xr:uid="{00000000-0005-0000-0000-0000E2310000}"/>
    <cellStyle name="20 % - Markeringsfarve4 4 7 3" xfId="6130" xr:uid="{00000000-0005-0000-0000-0000E3310000}"/>
    <cellStyle name="20 % - Markeringsfarve4 4 7 3 2" xfId="14047" xr:uid="{00000000-0005-0000-0000-0000E4310000}"/>
    <cellStyle name="20 % - Markeringsfarve4 4 7 3 2 2" xfId="30361" xr:uid="{00000000-0005-0000-0000-0000E5310000}"/>
    <cellStyle name="20 % - Markeringsfarve4 4 7 3 2 3" xfId="45325" xr:uid="{00000000-0005-0000-0000-0000E6310000}"/>
    <cellStyle name="20 % - Markeringsfarve4 4 7 3 3" xfId="23339" xr:uid="{00000000-0005-0000-0000-0000E7310000}"/>
    <cellStyle name="20 % - Markeringsfarve4 4 7 3 4" xfId="38326" xr:uid="{00000000-0005-0000-0000-0000E8310000}"/>
    <cellStyle name="20 % - Markeringsfarve4 4 7 4" xfId="11206" xr:uid="{00000000-0005-0000-0000-0000E9310000}"/>
    <cellStyle name="20 % - Markeringsfarve4 4 7 4 2" xfId="27525" xr:uid="{00000000-0005-0000-0000-0000EA310000}"/>
    <cellStyle name="20 % - Markeringsfarve4 4 7 4 3" xfId="42491" xr:uid="{00000000-0005-0000-0000-0000EB310000}"/>
    <cellStyle name="20 % - Markeringsfarve4 4 7 5" xfId="20503" xr:uid="{00000000-0005-0000-0000-0000EC310000}"/>
    <cellStyle name="20 % - Markeringsfarve4 4 7 6" xfId="35492" xr:uid="{00000000-0005-0000-0000-0000ED310000}"/>
    <cellStyle name="20 % - Markeringsfarve4 4 8" xfId="2651" xr:uid="{00000000-0005-0000-0000-0000EE310000}"/>
    <cellStyle name="20 % - Markeringsfarve4 4 8 2" xfId="6762" xr:uid="{00000000-0005-0000-0000-0000EF310000}"/>
    <cellStyle name="20 % - Markeringsfarve4 4 8 2 2" xfId="14673" xr:uid="{00000000-0005-0000-0000-0000F0310000}"/>
    <cellStyle name="20 % - Markeringsfarve4 4 8 2 2 2" xfId="30987" xr:uid="{00000000-0005-0000-0000-0000F1310000}"/>
    <cellStyle name="20 % - Markeringsfarve4 4 8 2 2 3" xfId="45951" xr:uid="{00000000-0005-0000-0000-0000F2310000}"/>
    <cellStyle name="20 % - Markeringsfarve4 4 8 2 3" xfId="23965" xr:uid="{00000000-0005-0000-0000-0000F3310000}"/>
    <cellStyle name="20 % - Markeringsfarve4 4 8 2 4" xfId="38952" xr:uid="{00000000-0005-0000-0000-0000F4310000}"/>
    <cellStyle name="20 % - Markeringsfarve4 4 8 3" xfId="11208" xr:uid="{00000000-0005-0000-0000-0000F5310000}"/>
    <cellStyle name="20 % - Markeringsfarve4 4 8 3 2" xfId="27527" xr:uid="{00000000-0005-0000-0000-0000F6310000}"/>
    <cellStyle name="20 % - Markeringsfarve4 4 8 3 3" xfId="42493" xr:uid="{00000000-0005-0000-0000-0000F7310000}"/>
    <cellStyle name="20 % - Markeringsfarve4 4 8 4" xfId="20505" xr:uid="{00000000-0005-0000-0000-0000F8310000}"/>
    <cellStyle name="20 % - Markeringsfarve4 4 8 5" xfId="35494" xr:uid="{00000000-0005-0000-0000-0000F9310000}"/>
    <cellStyle name="20 % - Markeringsfarve4 4 9" xfId="2652" xr:uid="{00000000-0005-0000-0000-0000FA310000}"/>
    <cellStyle name="20 % - Markeringsfarve4 4 9 2" xfId="8576" xr:uid="{00000000-0005-0000-0000-0000FB310000}"/>
    <cellStyle name="20 % - Markeringsfarve4 4 9 2 2" xfId="16463" xr:uid="{00000000-0005-0000-0000-0000FC310000}"/>
    <cellStyle name="20 % - Markeringsfarve4 4 9 2 2 2" xfId="32777" xr:uid="{00000000-0005-0000-0000-0000FD310000}"/>
    <cellStyle name="20 % - Markeringsfarve4 4 9 2 2 3" xfId="47741" xr:uid="{00000000-0005-0000-0000-0000FE310000}"/>
    <cellStyle name="20 % - Markeringsfarve4 4 9 2 3" xfId="25755" xr:uid="{00000000-0005-0000-0000-0000FF310000}"/>
    <cellStyle name="20 % - Markeringsfarve4 4 9 2 4" xfId="40742" xr:uid="{00000000-0005-0000-0000-000000320000}"/>
    <cellStyle name="20 % - Markeringsfarve4 4 9 3" xfId="11209" xr:uid="{00000000-0005-0000-0000-000001320000}"/>
    <cellStyle name="20 % - Markeringsfarve4 4 9 3 2" xfId="27528" xr:uid="{00000000-0005-0000-0000-000002320000}"/>
    <cellStyle name="20 % - Markeringsfarve4 4 9 3 3" xfId="42494" xr:uid="{00000000-0005-0000-0000-000003320000}"/>
    <cellStyle name="20 % - Markeringsfarve4 4 9 4" xfId="20506" xr:uid="{00000000-0005-0000-0000-000004320000}"/>
    <cellStyle name="20 % - Markeringsfarve4 4 9 5" xfId="35495" xr:uid="{00000000-0005-0000-0000-000005320000}"/>
    <cellStyle name="20 % - Markeringsfarve4 5" xfId="2653" xr:uid="{00000000-0005-0000-0000-000006320000}"/>
    <cellStyle name="20 % - Markeringsfarve4 5 10" xfId="5623" xr:uid="{00000000-0005-0000-0000-000007320000}"/>
    <cellStyle name="20 % - Markeringsfarve4 5 10 2" xfId="13541" xr:uid="{00000000-0005-0000-0000-000008320000}"/>
    <cellStyle name="20 % - Markeringsfarve4 5 10 2 2" xfId="29855" xr:uid="{00000000-0005-0000-0000-000009320000}"/>
    <cellStyle name="20 % - Markeringsfarve4 5 10 2 3" xfId="44819" xr:uid="{00000000-0005-0000-0000-00000A320000}"/>
    <cellStyle name="20 % - Markeringsfarve4 5 10 3" xfId="22833" xr:uid="{00000000-0005-0000-0000-00000B320000}"/>
    <cellStyle name="20 % - Markeringsfarve4 5 10 4" xfId="37820" xr:uid="{00000000-0005-0000-0000-00000C320000}"/>
    <cellStyle name="20 % - Markeringsfarve4 5 11" xfId="11210" xr:uid="{00000000-0005-0000-0000-00000D320000}"/>
    <cellStyle name="20 % - Markeringsfarve4 5 11 2" xfId="27529" xr:uid="{00000000-0005-0000-0000-00000E320000}"/>
    <cellStyle name="20 % - Markeringsfarve4 5 11 3" xfId="42495" xr:uid="{00000000-0005-0000-0000-00000F320000}"/>
    <cellStyle name="20 % - Markeringsfarve4 5 12" xfId="20507" xr:uid="{00000000-0005-0000-0000-000010320000}"/>
    <cellStyle name="20 % - Markeringsfarve4 5 13" xfId="35496" xr:uid="{00000000-0005-0000-0000-000011320000}"/>
    <cellStyle name="20 % - Markeringsfarve4 5 14" xfId="53356" xr:uid="{00000000-0005-0000-0000-000012320000}"/>
    <cellStyle name="20 % - Markeringsfarve4 5 2" xfId="2654" xr:uid="{00000000-0005-0000-0000-000013320000}"/>
    <cellStyle name="20 % - Markeringsfarve4 5 2 2" xfId="2655" xr:uid="{00000000-0005-0000-0000-000014320000}"/>
    <cellStyle name="20 % - Markeringsfarve4 5 2 2 2" xfId="2656" xr:uid="{00000000-0005-0000-0000-000015320000}"/>
    <cellStyle name="20 % - Markeringsfarve4 5 2 2 2 2" xfId="7692" xr:uid="{00000000-0005-0000-0000-000016320000}"/>
    <cellStyle name="20 % - Markeringsfarve4 5 2 2 2 2 2" xfId="15593" xr:uid="{00000000-0005-0000-0000-000017320000}"/>
    <cellStyle name="20 % - Markeringsfarve4 5 2 2 2 2 2 2" xfId="31907" xr:uid="{00000000-0005-0000-0000-000018320000}"/>
    <cellStyle name="20 % - Markeringsfarve4 5 2 2 2 2 2 3" xfId="46871" xr:uid="{00000000-0005-0000-0000-000019320000}"/>
    <cellStyle name="20 % - Markeringsfarve4 5 2 2 2 2 3" xfId="24885" xr:uid="{00000000-0005-0000-0000-00001A320000}"/>
    <cellStyle name="20 % - Markeringsfarve4 5 2 2 2 2 4" xfId="39872" xr:uid="{00000000-0005-0000-0000-00001B320000}"/>
    <cellStyle name="20 % - Markeringsfarve4 5 2 2 2 3" xfId="11213" xr:uid="{00000000-0005-0000-0000-00001C320000}"/>
    <cellStyle name="20 % - Markeringsfarve4 5 2 2 2 3 2" xfId="27532" xr:uid="{00000000-0005-0000-0000-00001D320000}"/>
    <cellStyle name="20 % - Markeringsfarve4 5 2 2 2 3 3" xfId="42498" xr:uid="{00000000-0005-0000-0000-00001E320000}"/>
    <cellStyle name="20 % - Markeringsfarve4 5 2 2 2 4" xfId="20510" xr:uid="{00000000-0005-0000-0000-00001F320000}"/>
    <cellStyle name="20 % - Markeringsfarve4 5 2 2 2 5" xfId="35499" xr:uid="{00000000-0005-0000-0000-000020320000}"/>
    <cellStyle name="20 % - Markeringsfarve4 5 2 2 3" xfId="6262" xr:uid="{00000000-0005-0000-0000-000021320000}"/>
    <cellStyle name="20 % - Markeringsfarve4 5 2 2 3 2" xfId="14179" xr:uid="{00000000-0005-0000-0000-000022320000}"/>
    <cellStyle name="20 % - Markeringsfarve4 5 2 2 3 2 2" xfId="30493" xr:uid="{00000000-0005-0000-0000-000023320000}"/>
    <cellStyle name="20 % - Markeringsfarve4 5 2 2 3 2 3" xfId="45457" xr:uid="{00000000-0005-0000-0000-000024320000}"/>
    <cellStyle name="20 % - Markeringsfarve4 5 2 2 3 3" xfId="23471" xr:uid="{00000000-0005-0000-0000-000025320000}"/>
    <cellStyle name="20 % - Markeringsfarve4 5 2 2 3 4" xfId="38458" xr:uid="{00000000-0005-0000-0000-000026320000}"/>
    <cellStyle name="20 % - Markeringsfarve4 5 2 2 4" xfId="11212" xr:uid="{00000000-0005-0000-0000-000027320000}"/>
    <cellStyle name="20 % - Markeringsfarve4 5 2 2 4 2" xfId="27531" xr:uid="{00000000-0005-0000-0000-000028320000}"/>
    <cellStyle name="20 % - Markeringsfarve4 5 2 2 4 3" xfId="42497" xr:uid="{00000000-0005-0000-0000-000029320000}"/>
    <cellStyle name="20 % - Markeringsfarve4 5 2 2 5" xfId="20509" xr:uid="{00000000-0005-0000-0000-00002A320000}"/>
    <cellStyle name="20 % - Markeringsfarve4 5 2 2 6" xfId="35498" xr:uid="{00000000-0005-0000-0000-00002B320000}"/>
    <cellStyle name="20 % - Markeringsfarve4 5 2 2 7" xfId="57160" xr:uid="{00000000-0005-0000-0000-00002C320000}"/>
    <cellStyle name="20 % - Markeringsfarve4 5 2 3" xfId="2657" xr:uid="{00000000-0005-0000-0000-00002D320000}"/>
    <cellStyle name="20 % - Markeringsfarve4 5 2 3 2" xfId="6922" xr:uid="{00000000-0005-0000-0000-00002E320000}"/>
    <cellStyle name="20 % - Markeringsfarve4 5 2 3 2 2" xfId="14833" xr:uid="{00000000-0005-0000-0000-00002F320000}"/>
    <cellStyle name="20 % - Markeringsfarve4 5 2 3 2 2 2" xfId="31147" xr:uid="{00000000-0005-0000-0000-000030320000}"/>
    <cellStyle name="20 % - Markeringsfarve4 5 2 3 2 2 3" xfId="46111" xr:uid="{00000000-0005-0000-0000-000031320000}"/>
    <cellStyle name="20 % - Markeringsfarve4 5 2 3 2 3" xfId="24125" xr:uid="{00000000-0005-0000-0000-000032320000}"/>
    <cellStyle name="20 % - Markeringsfarve4 5 2 3 2 4" xfId="39112" xr:uid="{00000000-0005-0000-0000-000033320000}"/>
    <cellStyle name="20 % - Markeringsfarve4 5 2 3 3" xfId="11214" xr:uid="{00000000-0005-0000-0000-000034320000}"/>
    <cellStyle name="20 % - Markeringsfarve4 5 2 3 3 2" xfId="27533" xr:uid="{00000000-0005-0000-0000-000035320000}"/>
    <cellStyle name="20 % - Markeringsfarve4 5 2 3 3 3" xfId="42499" xr:uid="{00000000-0005-0000-0000-000036320000}"/>
    <cellStyle name="20 % - Markeringsfarve4 5 2 3 4" xfId="20511" xr:uid="{00000000-0005-0000-0000-000037320000}"/>
    <cellStyle name="20 % - Markeringsfarve4 5 2 3 5" xfId="35500" xr:uid="{00000000-0005-0000-0000-000038320000}"/>
    <cellStyle name="20 % - Markeringsfarve4 5 2 4" xfId="2658" xr:uid="{00000000-0005-0000-0000-000039320000}"/>
    <cellStyle name="20 % - Markeringsfarve4 5 2 4 2" xfId="8694" xr:uid="{00000000-0005-0000-0000-00003A320000}"/>
    <cellStyle name="20 % - Markeringsfarve4 5 2 4 2 2" xfId="16575" xr:uid="{00000000-0005-0000-0000-00003B320000}"/>
    <cellStyle name="20 % - Markeringsfarve4 5 2 4 2 2 2" xfId="32889" xr:uid="{00000000-0005-0000-0000-00003C320000}"/>
    <cellStyle name="20 % - Markeringsfarve4 5 2 4 2 2 3" xfId="47853" xr:uid="{00000000-0005-0000-0000-00003D320000}"/>
    <cellStyle name="20 % - Markeringsfarve4 5 2 4 2 3" xfId="25867" xr:uid="{00000000-0005-0000-0000-00003E320000}"/>
    <cellStyle name="20 % - Markeringsfarve4 5 2 4 2 4" xfId="40854" xr:uid="{00000000-0005-0000-0000-00003F320000}"/>
    <cellStyle name="20 % - Markeringsfarve4 5 2 4 3" xfId="11215" xr:uid="{00000000-0005-0000-0000-000040320000}"/>
    <cellStyle name="20 % - Markeringsfarve4 5 2 4 3 2" xfId="27534" xr:uid="{00000000-0005-0000-0000-000041320000}"/>
    <cellStyle name="20 % - Markeringsfarve4 5 2 4 3 3" xfId="42500" xr:uid="{00000000-0005-0000-0000-000042320000}"/>
    <cellStyle name="20 % - Markeringsfarve4 5 2 4 4" xfId="20512" xr:uid="{00000000-0005-0000-0000-000043320000}"/>
    <cellStyle name="20 % - Markeringsfarve4 5 2 4 5" xfId="35501" xr:uid="{00000000-0005-0000-0000-000044320000}"/>
    <cellStyle name="20 % - Markeringsfarve4 5 2 5" xfId="5624" xr:uid="{00000000-0005-0000-0000-000045320000}"/>
    <cellStyle name="20 % - Markeringsfarve4 5 2 5 2" xfId="13542" xr:uid="{00000000-0005-0000-0000-000046320000}"/>
    <cellStyle name="20 % - Markeringsfarve4 5 2 5 2 2" xfId="29856" xr:uid="{00000000-0005-0000-0000-000047320000}"/>
    <cellStyle name="20 % - Markeringsfarve4 5 2 5 2 3" xfId="44820" xr:uid="{00000000-0005-0000-0000-000048320000}"/>
    <cellStyle name="20 % - Markeringsfarve4 5 2 5 3" xfId="22834" xr:uid="{00000000-0005-0000-0000-000049320000}"/>
    <cellStyle name="20 % - Markeringsfarve4 5 2 5 4" xfId="37821" xr:uid="{00000000-0005-0000-0000-00004A320000}"/>
    <cellStyle name="20 % - Markeringsfarve4 5 2 6" xfId="11211" xr:uid="{00000000-0005-0000-0000-00004B320000}"/>
    <cellStyle name="20 % - Markeringsfarve4 5 2 6 2" xfId="27530" xr:uid="{00000000-0005-0000-0000-00004C320000}"/>
    <cellStyle name="20 % - Markeringsfarve4 5 2 6 3" xfId="42496" xr:uid="{00000000-0005-0000-0000-00004D320000}"/>
    <cellStyle name="20 % - Markeringsfarve4 5 2 7" xfId="20508" xr:uid="{00000000-0005-0000-0000-00004E320000}"/>
    <cellStyle name="20 % - Markeringsfarve4 5 2 8" xfId="35497" xr:uid="{00000000-0005-0000-0000-00004F320000}"/>
    <cellStyle name="20 % - Markeringsfarve4 5 2 9" xfId="53993" xr:uid="{00000000-0005-0000-0000-000050320000}"/>
    <cellStyle name="20 % - Markeringsfarve4 5 3" xfId="2659" xr:uid="{00000000-0005-0000-0000-000051320000}"/>
    <cellStyle name="20 % - Markeringsfarve4 5 3 2" xfId="2660" xr:uid="{00000000-0005-0000-0000-000052320000}"/>
    <cellStyle name="20 % - Markeringsfarve4 5 3 2 2" xfId="2661" xr:uid="{00000000-0005-0000-0000-000053320000}"/>
    <cellStyle name="20 % - Markeringsfarve4 5 3 2 2 2" xfId="7760" xr:uid="{00000000-0005-0000-0000-000054320000}"/>
    <cellStyle name="20 % - Markeringsfarve4 5 3 2 2 2 2" xfId="15661" xr:uid="{00000000-0005-0000-0000-000055320000}"/>
    <cellStyle name="20 % - Markeringsfarve4 5 3 2 2 2 2 2" xfId="31975" xr:uid="{00000000-0005-0000-0000-000056320000}"/>
    <cellStyle name="20 % - Markeringsfarve4 5 3 2 2 2 2 3" xfId="46939" xr:uid="{00000000-0005-0000-0000-000057320000}"/>
    <cellStyle name="20 % - Markeringsfarve4 5 3 2 2 2 3" xfId="24953" xr:uid="{00000000-0005-0000-0000-000058320000}"/>
    <cellStyle name="20 % - Markeringsfarve4 5 3 2 2 2 4" xfId="39940" xr:uid="{00000000-0005-0000-0000-000059320000}"/>
    <cellStyle name="20 % - Markeringsfarve4 5 3 2 2 3" xfId="11218" xr:uid="{00000000-0005-0000-0000-00005A320000}"/>
    <cellStyle name="20 % - Markeringsfarve4 5 3 2 2 3 2" xfId="27537" xr:uid="{00000000-0005-0000-0000-00005B320000}"/>
    <cellStyle name="20 % - Markeringsfarve4 5 3 2 2 3 3" xfId="42503" xr:uid="{00000000-0005-0000-0000-00005C320000}"/>
    <cellStyle name="20 % - Markeringsfarve4 5 3 2 2 4" xfId="20515" xr:uid="{00000000-0005-0000-0000-00005D320000}"/>
    <cellStyle name="20 % - Markeringsfarve4 5 3 2 2 5" xfId="35504" xr:uid="{00000000-0005-0000-0000-00005E320000}"/>
    <cellStyle name="20 % - Markeringsfarve4 5 3 2 3" xfId="6324" xr:uid="{00000000-0005-0000-0000-00005F320000}"/>
    <cellStyle name="20 % - Markeringsfarve4 5 3 2 3 2" xfId="14241" xr:uid="{00000000-0005-0000-0000-000060320000}"/>
    <cellStyle name="20 % - Markeringsfarve4 5 3 2 3 2 2" xfId="30555" xr:uid="{00000000-0005-0000-0000-000061320000}"/>
    <cellStyle name="20 % - Markeringsfarve4 5 3 2 3 2 3" xfId="45519" xr:uid="{00000000-0005-0000-0000-000062320000}"/>
    <cellStyle name="20 % - Markeringsfarve4 5 3 2 3 3" xfId="23533" xr:uid="{00000000-0005-0000-0000-000063320000}"/>
    <cellStyle name="20 % - Markeringsfarve4 5 3 2 3 4" xfId="38520" xr:uid="{00000000-0005-0000-0000-000064320000}"/>
    <cellStyle name="20 % - Markeringsfarve4 5 3 2 4" xfId="11217" xr:uid="{00000000-0005-0000-0000-000065320000}"/>
    <cellStyle name="20 % - Markeringsfarve4 5 3 2 4 2" xfId="27536" xr:uid="{00000000-0005-0000-0000-000066320000}"/>
    <cellStyle name="20 % - Markeringsfarve4 5 3 2 4 3" xfId="42502" xr:uid="{00000000-0005-0000-0000-000067320000}"/>
    <cellStyle name="20 % - Markeringsfarve4 5 3 2 5" xfId="20514" xr:uid="{00000000-0005-0000-0000-000068320000}"/>
    <cellStyle name="20 % - Markeringsfarve4 5 3 2 6" xfId="35503" xr:uid="{00000000-0005-0000-0000-000069320000}"/>
    <cellStyle name="20 % - Markeringsfarve4 5 3 3" xfId="2662" xr:uid="{00000000-0005-0000-0000-00006A320000}"/>
    <cellStyle name="20 % - Markeringsfarve4 5 3 3 2" xfId="6990" xr:uid="{00000000-0005-0000-0000-00006B320000}"/>
    <cellStyle name="20 % - Markeringsfarve4 5 3 3 2 2" xfId="14901" xr:uid="{00000000-0005-0000-0000-00006C320000}"/>
    <cellStyle name="20 % - Markeringsfarve4 5 3 3 2 2 2" xfId="31215" xr:uid="{00000000-0005-0000-0000-00006D320000}"/>
    <cellStyle name="20 % - Markeringsfarve4 5 3 3 2 2 3" xfId="46179" xr:uid="{00000000-0005-0000-0000-00006E320000}"/>
    <cellStyle name="20 % - Markeringsfarve4 5 3 3 2 3" xfId="24193" xr:uid="{00000000-0005-0000-0000-00006F320000}"/>
    <cellStyle name="20 % - Markeringsfarve4 5 3 3 2 4" xfId="39180" xr:uid="{00000000-0005-0000-0000-000070320000}"/>
    <cellStyle name="20 % - Markeringsfarve4 5 3 3 3" xfId="11219" xr:uid="{00000000-0005-0000-0000-000071320000}"/>
    <cellStyle name="20 % - Markeringsfarve4 5 3 3 3 2" xfId="27538" xr:uid="{00000000-0005-0000-0000-000072320000}"/>
    <cellStyle name="20 % - Markeringsfarve4 5 3 3 3 3" xfId="42504" xr:uid="{00000000-0005-0000-0000-000073320000}"/>
    <cellStyle name="20 % - Markeringsfarve4 5 3 3 4" xfId="20516" xr:uid="{00000000-0005-0000-0000-000074320000}"/>
    <cellStyle name="20 % - Markeringsfarve4 5 3 3 5" xfId="35505" xr:uid="{00000000-0005-0000-0000-000075320000}"/>
    <cellStyle name="20 % - Markeringsfarve4 5 3 4" xfId="2663" xr:uid="{00000000-0005-0000-0000-000076320000}"/>
    <cellStyle name="20 % - Markeringsfarve4 5 3 4 2" xfId="8419" xr:uid="{00000000-0005-0000-0000-000077320000}"/>
    <cellStyle name="20 % - Markeringsfarve4 5 3 4 2 2" xfId="16312" xr:uid="{00000000-0005-0000-0000-000078320000}"/>
    <cellStyle name="20 % - Markeringsfarve4 5 3 4 2 2 2" xfId="32626" xr:uid="{00000000-0005-0000-0000-000079320000}"/>
    <cellStyle name="20 % - Markeringsfarve4 5 3 4 2 2 3" xfId="47590" xr:uid="{00000000-0005-0000-0000-00007A320000}"/>
    <cellStyle name="20 % - Markeringsfarve4 5 3 4 2 3" xfId="25604" xr:uid="{00000000-0005-0000-0000-00007B320000}"/>
    <cellStyle name="20 % - Markeringsfarve4 5 3 4 2 4" xfId="40591" xr:uid="{00000000-0005-0000-0000-00007C320000}"/>
    <cellStyle name="20 % - Markeringsfarve4 5 3 4 3" xfId="11220" xr:uid="{00000000-0005-0000-0000-00007D320000}"/>
    <cellStyle name="20 % - Markeringsfarve4 5 3 4 3 2" xfId="27539" xr:uid="{00000000-0005-0000-0000-00007E320000}"/>
    <cellStyle name="20 % - Markeringsfarve4 5 3 4 3 3" xfId="42505" xr:uid="{00000000-0005-0000-0000-00007F320000}"/>
    <cellStyle name="20 % - Markeringsfarve4 5 3 4 4" xfId="20517" xr:uid="{00000000-0005-0000-0000-000080320000}"/>
    <cellStyle name="20 % - Markeringsfarve4 5 3 4 5" xfId="35506" xr:uid="{00000000-0005-0000-0000-000081320000}"/>
    <cellStyle name="20 % - Markeringsfarve4 5 3 5" xfId="5625" xr:uid="{00000000-0005-0000-0000-000082320000}"/>
    <cellStyle name="20 % - Markeringsfarve4 5 3 5 2" xfId="13543" xr:uid="{00000000-0005-0000-0000-000083320000}"/>
    <cellStyle name="20 % - Markeringsfarve4 5 3 5 2 2" xfId="29857" xr:uid="{00000000-0005-0000-0000-000084320000}"/>
    <cellStyle name="20 % - Markeringsfarve4 5 3 5 2 3" xfId="44821" xr:uid="{00000000-0005-0000-0000-000085320000}"/>
    <cellStyle name="20 % - Markeringsfarve4 5 3 5 3" xfId="22835" xr:uid="{00000000-0005-0000-0000-000086320000}"/>
    <cellStyle name="20 % - Markeringsfarve4 5 3 5 4" xfId="37822" xr:uid="{00000000-0005-0000-0000-000087320000}"/>
    <cellStyle name="20 % - Markeringsfarve4 5 3 6" xfId="11216" xr:uid="{00000000-0005-0000-0000-000088320000}"/>
    <cellStyle name="20 % - Markeringsfarve4 5 3 6 2" xfId="27535" xr:uid="{00000000-0005-0000-0000-000089320000}"/>
    <cellStyle name="20 % - Markeringsfarve4 5 3 6 3" xfId="42501" xr:uid="{00000000-0005-0000-0000-00008A320000}"/>
    <cellStyle name="20 % - Markeringsfarve4 5 3 7" xfId="20513" xr:uid="{00000000-0005-0000-0000-00008B320000}"/>
    <cellStyle name="20 % - Markeringsfarve4 5 3 8" xfId="35502" xr:uid="{00000000-0005-0000-0000-00008C320000}"/>
    <cellStyle name="20 % - Markeringsfarve4 5 3 9" xfId="56537" xr:uid="{00000000-0005-0000-0000-00008D320000}"/>
    <cellStyle name="20 % - Markeringsfarve4 5 4" xfId="2664" xr:uid="{00000000-0005-0000-0000-00008E320000}"/>
    <cellStyle name="20 % - Markeringsfarve4 5 4 2" xfId="2665" xr:uid="{00000000-0005-0000-0000-00008F320000}"/>
    <cellStyle name="20 % - Markeringsfarve4 5 4 2 2" xfId="2666" xr:uid="{00000000-0005-0000-0000-000090320000}"/>
    <cellStyle name="20 % - Markeringsfarve4 5 4 2 2 2" xfId="7930" xr:uid="{00000000-0005-0000-0000-000091320000}"/>
    <cellStyle name="20 % - Markeringsfarve4 5 4 2 2 2 2" xfId="15831" xr:uid="{00000000-0005-0000-0000-000092320000}"/>
    <cellStyle name="20 % - Markeringsfarve4 5 4 2 2 2 2 2" xfId="32145" xr:uid="{00000000-0005-0000-0000-000093320000}"/>
    <cellStyle name="20 % - Markeringsfarve4 5 4 2 2 2 2 3" xfId="47109" xr:uid="{00000000-0005-0000-0000-000094320000}"/>
    <cellStyle name="20 % - Markeringsfarve4 5 4 2 2 2 3" xfId="25123" xr:uid="{00000000-0005-0000-0000-000095320000}"/>
    <cellStyle name="20 % - Markeringsfarve4 5 4 2 2 2 4" xfId="40110" xr:uid="{00000000-0005-0000-0000-000096320000}"/>
    <cellStyle name="20 % - Markeringsfarve4 5 4 2 2 3" xfId="11223" xr:uid="{00000000-0005-0000-0000-000097320000}"/>
    <cellStyle name="20 % - Markeringsfarve4 5 4 2 2 3 2" xfId="27542" xr:uid="{00000000-0005-0000-0000-000098320000}"/>
    <cellStyle name="20 % - Markeringsfarve4 5 4 2 2 3 3" xfId="42508" xr:uid="{00000000-0005-0000-0000-000099320000}"/>
    <cellStyle name="20 % - Markeringsfarve4 5 4 2 2 4" xfId="20520" xr:uid="{00000000-0005-0000-0000-00009A320000}"/>
    <cellStyle name="20 % - Markeringsfarve4 5 4 2 2 5" xfId="35509" xr:uid="{00000000-0005-0000-0000-00009B320000}"/>
    <cellStyle name="20 % - Markeringsfarve4 5 4 2 3" xfId="6464" xr:uid="{00000000-0005-0000-0000-00009C320000}"/>
    <cellStyle name="20 % - Markeringsfarve4 5 4 2 3 2" xfId="14378" xr:uid="{00000000-0005-0000-0000-00009D320000}"/>
    <cellStyle name="20 % - Markeringsfarve4 5 4 2 3 2 2" xfId="30692" xr:uid="{00000000-0005-0000-0000-00009E320000}"/>
    <cellStyle name="20 % - Markeringsfarve4 5 4 2 3 2 3" xfId="45656" xr:uid="{00000000-0005-0000-0000-00009F320000}"/>
    <cellStyle name="20 % - Markeringsfarve4 5 4 2 3 3" xfId="23670" xr:uid="{00000000-0005-0000-0000-0000A0320000}"/>
    <cellStyle name="20 % - Markeringsfarve4 5 4 2 3 4" xfId="38657" xr:uid="{00000000-0005-0000-0000-0000A1320000}"/>
    <cellStyle name="20 % - Markeringsfarve4 5 4 2 4" xfId="11222" xr:uid="{00000000-0005-0000-0000-0000A2320000}"/>
    <cellStyle name="20 % - Markeringsfarve4 5 4 2 4 2" xfId="27541" xr:uid="{00000000-0005-0000-0000-0000A3320000}"/>
    <cellStyle name="20 % - Markeringsfarve4 5 4 2 4 3" xfId="42507" xr:uid="{00000000-0005-0000-0000-0000A4320000}"/>
    <cellStyle name="20 % - Markeringsfarve4 5 4 2 5" xfId="20519" xr:uid="{00000000-0005-0000-0000-0000A5320000}"/>
    <cellStyle name="20 % - Markeringsfarve4 5 4 2 6" xfId="35508" xr:uid="{00000000-0005-0000-0000-0000A6320000}"/>
    <cellStyle name="20 % - Markeringsfarve4 5 4 3" xfId="2667" xr:uid="{00000000-0005-0000-0000-0000A7320000}"/>
    <cellStyle name="20 % - Markeringsfarve4 5 4 3 2" xfId="7206" xr:uid="{00000000-0005-0000-0000-0000A8320000}"/>
    <cellStyle name="20 % - Markeringsfarve4 5 4 3 2 2" xfId="15116" xr:uid="{00000000-0005-0000-0000-0000A9320000}"/>
    <cellStyle name="20 % - Markeringsfarve4 5 4 3 2 2 2" xfId="31430" xr:uid="{00000000-0005-0000-0000-0000AA320000}"/>
    <cellStyle name="20 % - Markeringsfarve4 5 4 3 2 2 3" xfId="46394" xr:uid="{00000000-0005-0000-0000-0000AB320000}"/>
    <cellStyle name="20 % - Markeringsfarve4 5 4 3 2 3" xfId="24408" xr:uid="{00000000-0005-0000-0000-0000AC320000}"/>
    <cellStyle name="20 % - Markeringsfarve4 5 4 3 2 4" xfId="39395" xr:uid="{00000000-0005-0000-0000-0000AD320000}"/>
    <cellStyle name="20 % - Markeringsfarve4 5 4 3 3" xfId="11224" xr:uid="{00000000-0005-0000-0000-0000AE320000}"/>
    <cellStyle name="20 % - Markeringsfarve4 5 4 3 3 2" xfId="27543" xr:uid="{00000000-0005-0000-0000-0000AF320000}"/>
    <cellStyle name="20 % - Markeringsfarve4 5 4 3 3 3" xfId="42509" xr:uid="{00000000-0005-0000-0000-0000B0320000}"/>
    <cellStyle name="20 % - Markeringsfarve4 5 4 3 4" xfId="20521" xr:uid="{00000000-0005-0000-0000-0000B1320000}"/>
    <cellStyle name="20 % - Markeringsfarve4 5 4 3 5" xfId="35510" xr:uid="{00000000-0005-0000-0000-0000B2320000}"/>
    <cellStyle name="20 % - Markeringsfarve4 5 4 4" xfId="2668" xr:uid="{00000000-0005-0000-0000-0000B3320000}"/>
    <cellStyle name="20 % - Markeringsfarve4 5 4 4 2" xfId="8652" xr:uid="{00000000-0005-0000-0000-0000B4320000}"/>
    <cellStyle name="20 % - Markeringsfarve4 5 4 4 2 2" xfId="16535" xr:uid="{00000000-0005-0000-0000-0000B5320000}"/>
    <cellStyle name="20 % - Markeringsfarve4 5 4 4 2 2 2" xfId="32849" xr:uid="{00000000-0005-0000-0000-0000B6320000}"/>
    <cellStyle name="20 % - Markeringsfarve4 5 4 4 2 2 3" xfId="47813" xr:uid="{00000000-0005-0000-0000-0000B7320000}"/>
    <cellStyle name="20 % - Markeringsfarve4 5 4 4 2 3" xfId="25827" xr:uid="{00000000-0005-0000-0000-0000B8320000}"/>
    <cellStyle name="20 % - Markeringsfarve4 5 4 4 2 4" xfId="40814" xr:uid="{00000000-0005-0000-0000-0000B9320000}"/>
    <cellStyle name="20 % - Markeringsfarve4 5 4 4 3" xfId="11225" xr:uid="{00000000-0005-0000-0000-0000BA320000}"/>
    <cellStyle name="20 % - Markeringsfarve4 5 4 4 3 2" xfId="27544" xr:uid="{00000000-0005-0000-0000-0000BB320000}"/>
    <cellStyle name="20 % - Markeringsfarve4 5 4 4 3 3" xfId="42510" xr:uid="{00000000-0005-0000-0000-0000BC320000}"/>
    <cellStyle name="20 % - Markeringsfarve4 5 4 4 4" xfId="20522" xr:uid="{00000000-0005-0000-0000-0000BD320000}"/>
    <cellStyle name="20 % - Markeringsfarve4 5 4 4 5" xfId="35511" xr:uid="{00000000-0005-0000-0000-0000BE320000}"/>
    <cellStyle name="20 % - Markeringsfarve4 5 4 5" xfId="5626" xr:uid="{00000000-0005-0000-0000-0000BF320000}"/>
    <cellStyle name="20 % - Markeringsfarve4 5 4 5 2" xfId="13544" xr:uid="{00000000-0005-0000-0000-0000C0320000}"/>
    <cellStyle name="20 % - Markeringsfarve4 5 4 5 2 2" xfId="29858" xr:uid="{00000000-0005-0000-0000-0000C1320000}"/>
    <cellStyle name="20 % - Markeringsfarve4 5 4 5 2 3" xfId="44822" xr:uid="{00000000-0005-0000-0000-0000C2320000}"/>
    <cellStyle name="20 % - Markeringsfarve4 5 4 5 3" xfId="22836" xr:uid="{00000000-0005-0000-0000-0000C3320000}"/>
    <cellStyle name="20 % - Markeringsfarve4 5 4 5 4" xfId="37823" xr:uid="{00000000-0005-0000-0000-0000C4320000}"/>
    <cellStyle name="20 % - Markeringsfarve4 5 4 6" xfId="11221" xr:uid="{00000000-0005-0000-0000-0000C5320000}"/>
    <cellStyle name="20 % - Markeringsfarve4 5 4 6 2" xfId="27540" xr:uid="{00000000-0005-0000-0000-0000C6320000}"/>
    <cellStyle name="20 % - Markeringsfarve4 5 4 6 3" xfId="42506" xr:uid="{00000000-0005-0000-0000-0000C7320000}"/>
    <cellStyle name="20 % - Markeringsfarve4 5 4 7" xfId="20518" xr:uid="{00000000-0005-0000-0000-0000C8320000}"/>
    <cellStyle name="20 % - Markeringsfarve4 5 4 8" xfId="35507" xr:uid="{00000000-0005-0000-0000-0000C9320000}"/>
    <cellStyle name="20 % - Markeringsfarve4 5 5" xfId="2669" xr:uid="{00000000-0005-0000-0000-0000CA320000}"/>
    <cellStyle name="20 % - Markeringsfarve4 5 5 2" xfId="2670" xr:uid="{00000000-0005-0000-0000-0000CB320000}"/>
    <cellStyle name="20 % - Markeringsfarve4 5 5 2 2" xfId="2671" xr:uid="{00000000-0005-0000-0000-0000CC320000}"/>
    <cellStyle name="20 % - Markeringsfarve4 5 5 2 2 2" xfId="8047" xr:uid="{00000000-0005-0000-0000-0000CD320000}"/>
    <cellStyle name="20 % - Markeringsfarve4 5 5 2 2 2 2" xfId="15948" xr:uid="{00000000-0005-0000-0000-0000CE320000}"/>
    <cellStyle name="20 % - Markeringsfarve4 5 5 2 2 2 2 2" xfId="32262" xr:uid="{00000000-0005-0000-0000-0000CF320000}"/>
    <cellStyle name="20 % - Markeringsfarve4 5 5 2 2 2 2 3" xfId="47226" xr:uid="{00000000-0005-0000-0000-0000D0320000}"/>
    <cellStyle name="20 % - Markeringsfarve4 5 5 2 2 2 3" xfId="25240" xr:uid="{00000000-0005-0000-0000-0000D1320000}"/>
    <cellStyle name="20 % - Markeringsfarve4 5 5 2 2 2 4" xfId="40227" xr:uid="{00000000-0005-0000-0000-0000D2320000}"/>
    <cellStyle name="20 % - Markeringsfarve4 5 5 2 2 3" xfId="11228" xr:uid="{00000000-0005-0000-0000-0000D3320000}"/>
    <cellStyle name="20 % - Markeringsfarve4 5 5 2 2 3 2" xfId="27547" xr:uid="{00000000-0005-0000-0000-0000D4320000}"/>
    <cellStyle name="20 % - Markeringsfarve4 5 5 2 2 3 3" xfId="42513" xr:uid="{00000000-0005-0000-0000-0000D5320000}"/>
    <cellStyle name="20 % - Markeringsfarve4 5 5 2 2 4" xfId="20525" xr:uid="{00000000-0005-0000-0000-0000D6320000}"/>
    <cellStyle name="20 % - Markeringsfarve4 5 5 2 2 5" xfId="35514" xr:uid="{00000000-0005-0000-0000-0000D7320000}"/>
    <cellStyle name="20 % - Markeringsfarve4 5 5 2 3" xfId="6563" xr:uid="{00000000-0005-0000-0000-0000D8320000}"/>
    <cellStyle name="20 % - Markeringsfarve4 5 5 2 3 2" xfId="14477" xr:uid="{00000000-0005-0000-0000-0000D9320000}"/>
    <cellStyle name="20 % - Markeringsfarve4 5 5 2 3 2 2" xfId="30791" xr:uid="{00000000-0005-0000-0000-0000DA320000}"/>
    <cellStyle name="20 % - Markeringsfarve4 5 5 2 3 2 3" xfId="45755" xr:uid="{00000000-0005-0000-0000-0000DB320000}"/>
    <cellStyle name="20 % - Markeringsfarve4 5 5 2 3 3" xfId="23769" xr:uid="{00000000-0005-0000-0000-0000DC320000}"/>
    <cellStyle name="20 % - Markeringsfarve4 5 5 2 3 4" xfId="38756" xr:uid="{00000000-0005-0000-0000-0000DD320000}"/>
    <cellStyle name="20 % - Markeringsfarve4 5 5 2 4" xfId="11227" xr:uid="{00000000-0005-0000-0000-0000DE320000}"/>
    <cellStyle name="20 % - Markeringsfarve4 5 5 2 4 2" xfId="27546" xr:uid="{00000000-0005-0000-0000-0000DF320000}"/>
    <cellStyle name="20 % - Markeringsfarve4 5 5 2 4 3" xfId="42512" xr:uid="{00000000-0005-0000-0000-0000E0320000}"/>
    <cellStyle name="20 % - Markeringsfarve4 5 5 2 5" xfId="20524" xr:uid="{00000000-0005-0000-0000-0000E1320000}"/>
    <cellStyle name="20 % - Markeringsfarve4 5 5 2 6" xfId="35513" xr:uid="{00000000-0005-0000-0000-0000E2320000}"/>
    <cellStyle name="20 % - Markeringsfarve4 5 5 3" xfId="2672" xr:uid="{00000000-0005-0000-0000-0000E3320000}"/>
    <cellStyle name="20 % - Markeringsfarve4 5 5 3 2" xfId="7323" xr:uid="{00000000-0005-0000-0000-0000E4320000}"/>
    <cellStyle name="20 % - Markeringsfarve4 5 5 3 2 2" xfId="15233" xr:uid="{00000000-0005-0000-0000-0000E5320000}"/>
    <cellStyle name="20 % - Markeringsfarve4 5 5 3 2 2 2" xfId="31547" xr:uid="{00000000-0005-0000-0000-0000E6320000}"/>
    <cellStyle name="20 % - Markeringsfarve4 5 5 3 2 2 3" xfId="46511" xr:uid="{00000000-0005-0000-0000-0000E7320000}"/>
    <cellStyle name="20 % - Markeringsfarve4 5 5 3 2 3" xfId="24525" xr:uid="{00000000-0005-0000-0000-0000E8320000}"/>
    <cellStyle name="20 % - Markeringsfarve4 5 5 3 2 4" xfId="39512" xr:uid="{00000000-0005-0000-0000-0000E9320000}"/>
    <cellStyle name="20 % - Markeringsfarve4 5 5 3 3" xfId="11229" xr:uid="{00000000-0005-0000-0000-0000EA320000}"/>
    <cellStyle name="20 % - Markeringsfarve4 5 5 3 3 2" xfId="27548" xr:uid="{00000000-0005-0000-0000-0000EB320000}"/>
    <cellStyle name="20 % - Markeringsfarve4 5 5 3 3 3" xfId="42514" xr:uid="{00000000-0005-0000-0000-0000EC320000}"/>
    <cellStyle name="20 % - Markeringsfarve4 5 5 3 4" xfId="20526" xr:uid="{00000000-0005-0000-0000-0000ED320000}"/>
    <cellStyle name="20 % - Markeringsfarve4 5 5 3 5" xfId="35515" xr:uid="{00000000-0005-0000-0000-0000EE320000}"/>
    <cellStyle name="20 % - Markeringsfarve4 5 5 4" xfId="2673" xr:uid="{00000000-0005-0000-0000-0000EF320000}"/>
    <cellStyle name="20 % - Markeringsfarve4 5 5 4 2" xfId="8301" xr:uid="{00000000-0005-0000-0000-0000F0320000}"/>
    <cellStyle name="20 % - Markeringsfarve4 5 5 4 2 2" xfId="16195" xr:uid="{00000000-0005-0000-0000-0000F1320000}"/>
    <cellStyle name="20 % - Markeringsfarve4 5 5 4 2 2 2" xfId="32509" xr:uid="{00000000-0005-0000-0000-0000F2320000}"/>
    <cellStyle name="20 % - Markeringsfarve4 5 5 4 2 2 3" xfId="47473" xr:uid="{00000000-0005-0000-0000-0000F3320000}"/>
    <cellStyle name="20 % - Markeringsfarve4 5 5 4 2 3" xfId="25487" xr:uid="{00000000-0005-0000-0000-0000F4320000}"/>
    <cellStyle name="20 % - Markeringsfarve4 5 5 4 2 4" xfId="40474" xr:uid="{00000000-0005-0000-0000-0000F5320000}"/>
    <cellStyle name="20 % - Markeringsfarve4 5 5 4 3" xfId="11230" xr:uid="{00000000-0005-0000-0000-0000F6320000}"/>
    <cellStyle name="20 % - Markeringsfarve4 5 5 4 3 2" xfId="27549" xr:uid="{00000000-0005-0000-0000-0000F7320000}"/>
    <cellStyle name="20 % - Markeringsfarve4 5 5 4 3 3" xfId="42515" xr:uid="{00000000-0005-0000-0000-0000F8320000}"/>
    <cellStyle name="20 % - Markeringsfarve4 5 5 4 4" xfId="20527" xr:uid="{00000000-0005-0000-0000-0000F9320000}"/>
    <cellStyle name="20 % - Markeringsfarve4 5 5 4 5" xfId="35516" xr:uid="{00000000-0005-0000-0000-0000FA320000}"/>
    <cellStyle name="20 % - Markeringsfarve4 5 5 5" xfId="5627" xr:uid="{00000000-0005-0000-0000-0000FB320000}"/>
    <cellStyle name="20 % - Markeringsfarve4 5 5 5 2" xfId="13545" xr:uid="{00000000-0005-0000-0000-0000FC320000}"/>
    <cellStyle name="20 % - Markeringsfarve4 5 5 5 2 2" xfId="29859" xr:uid="{00000000-0005-0000-0000-0000FD320000}"/>
    <cellStyle name="20 % - Markeringsfarve4 5 5 5 2 3" xfId="44823" xr:uid="{00000000-0005-0000-0000-0000FE320000}"/>
    <cellStyle name="20 % - Markeringsfarve4 5 5 5 3" xfId="22837" xr:uid="{00000000-0005-0000-0000-0000FF320000}"/>
    <cellStyle name="20 % - Markeringsfarve4 5 5 5 4" xfId="37824" xr:uid="{00000000-0005-0000-0000-000000330000}"/>
    <cellStyle name="20 % - Markeringsfarve4 5 5 6" xfId="11226" xr:uid="{00000000-0005-0000-0000-000001330000}"/>
    <cellStyle name="20 % - Markeringsfarve4 5 5 6 2" xfId="27545" xr:uid="{00000000-0005-0000-0000-000002330000}"/>
    <cellStyle name="20 % - Markeringsfarve4 5 5 6 3" xfId="42511" xr:uid="{00000000-0005-0000-0000-000003330000}"/>
    <cellStyle name="20 % - Markeringsfarve4 5 5 7" xfId="20523" xr:uid="{00000000-0005-0000-0000-000004330000}"/>
    <cellStyle name="20 % - Markeringsfarve4 5 5 8" xfId="35512" xr:uid="{00000000-0005-0000-0000-000005330000}"/>
    <cellStyle name="20 % - Markeringsfarve4 5 6" xfId="2674" xr:uid="{00000000-0005-0000-0000-000006330000}"/>
    <cellStyle name="20 % - Markeringsfarve4 5 6 2" xfId="2675" xr:uid="{00000000-0005-0000-0000-000007330000}"/>
    <cellStyle name="20 % - Markeringsfarve4 5 6 2 2" xfId="2676" xr:uid="{00000000-0005-0000-0000-000008330000}"/>
    <cellStyle name="20 % - Markeringsfarve4 5 6 2 2 2" xfId="8115" xr:uid="{00000000-0005-0000-0000-000009330000}"/>
    <cellStyle name="20 % - Markeringsfarve4 5 6 2 2 2 2" xfId="16016" xr:uid="{00000000-0005-0000-0000-00000A330000}"/>
    <cellStyle name="20 % - Markeringsfarve4 5 6 2 2 2 2 2" xfId="32330" xr:uid="{00000000-0005-0000-0000-00000B330000}"/>
    <cellStyle name="20 % - Markeringsfarve4 5 6 2 2 2 2 3" xfId="47294" xr:uid="{00000000-0005-0000-0000-00000C330000}"/>
    <cellStyle name="20 % - Markeringsfarve4 5 6 2 2 2 3" xfId="25308" xr:uid="{00000000-0005-0000-0000-00000D330000}"/>
    <cellStyle name="20 % - Markeringsfarve4 5 6 2 2 2 4" xfId="40295" xr:uid="{00000000-0005-0000-0000-00000E330000}"/>
    <cellStyle name="20 % - Markeringsfarve4 5 6 2 2 3" xfId="11233" xr:uid="{00000000-0005-0000-0000-00000F330000}"/>
    <cellStyle name="20 % - Markeringsfarve4 5 6 2 2 3 2" xfId="27552" xr:uid="{00000000-0005-0000-0000-000010330000}"/>
    <cellStyle name="20 % - Markeringsfarve4 5 6 2 2 3 3" xfId="42518" xr:uid="{00000000-0005-0000-0000-000011330000}"/>
    <cellStyle name="20 % - Markeringsfarve4 5 6 2 2 4" xfId="20530" xr:uid="{00000000-0005-0000-0000-000012330000}"/>
    <cellStyle name="20 % - Markeringsfarve4 5 6 2 2 5" xfId="35519" xr:uid="{00000000-0005-0000-0000-000013330000}"/>
    <cellStyle name="20 % - Markeringsfarve4 5 6 2 3" xfId="6626" xr:uid="{00000000-0005-0000-0000-000014330000}"/>
    <cellStyle name="20 % - Markeringsfarve4 5 6 2 3 2" xfId="14540" xr:uid="{00000000-0005-0000-0000-000015330000}"/>
    <cellStyle name="20 % - Markeringsfarve4 5 6 2 3 2 2" xfId="30854" xr:uid="{00000000-0005-0000-0000-000016330000}"/>
    <cellStyle name="20 % - Markeringsfarve4 5 6 2 3 2 3" xfId="45818" xr:uid="{00000000-0005-0000-0000-000017330000}"/>
    <cellStyle name="20 % - Markeringsfarve4 5 6 2 3 3" xfId="23832" xr:uid="{00000000-0005-0000-0000-000018330000}"/>
    <cellStyle name="20 % - Markeringsfarve4 5 6 2 3 4" xfId="38819" xr:uid="{00000000-0005-0000-0000-000019330000}"/>
    <cellStyle name="20 % - Markeringsfarve4 5 6 2 4" xfId="11232" xr:uid="{00000000-0005-0000-0000-00001A330000}"/>
    <cellStyle name="20 % - Markeringsfarve4 5 6 2 4 2" xfId="27551" xr:uid="{00000000-0005-0000-0000-00001B330000}"/>
    <cellStyle name="20 % - Markeringsfarve4 5 6 2 4 3" xfId="42517" xr:uid="{00000000-0005-0000-0000-00001C330000}"/>
    <cellStyle name="20 % - Markeringsfarve4 5 6 2 5" xfId="20529" xr:uid="{00000000-0005-0000-0000-00001D330000}"/>
    <cellStyle name="20 % - Markeringsfarve4 5 6 2 6" xfId="35518" xr:uid="{00000000-0005-0000-0000-00001E330000}"/>
    <cellStyle name="20 % - Markeringsfarve4 5 6 3" xfId="2677" xr:uid="{00000000-0005-0000-0000-00001F330000}"/>
    <cellStyle name="20 % - Markeringsfarve4 5 6 3 2" xfId="7392" xr:uid="{00000000-0005-0000-0000-000020330000}"/>
    <cellStyle name="20 % - Markeringsfarve4 5 6 3 2 2" xfId="15302" xr:uid="{00000000-0005-0000-0000-000021330000}"/>
    <cellStyle name="20 % - Markeringsfarve4 5 6 3 2 2 2" xfId="31616" xr:uid="{00000000-0005-0000-0000-000022330000}"/>
    <cellStyle name="20 % - Markeringsfarve4 5 6 3 2 2 3" xfId="46580" xr:uid="{00000000-0005-0000-0000-000023330000}"/>
    <cellStyle name="20 % - Markeringsfarve4 5 6 3 2 3" xfId="24594" xr:uid="{00000000-0005-0000-0000-000024330000}"/>
    <cellStyle name="20 % - Markeringsfarve4 5 6 3 2 4" xfId="39581" xr:uid="{00000000-0005-0000-0000-000025330000}"/>
    <cellStyle name="20 % - Markeringsfarve4 5 6 3 3" xfId="11234" xr:uid="{00000000-0005-0000-0000-000026330000}"/>
    <cellStyle name="20 % - Markeringsfarve4 5 6 3 3 2" xfId="27553" xr:uid="{00000000-0005-0000-0000-000027330000}"/>
    <cellStyle name="20 % - Markeringsfarve4 5 6 3 3 3" xfId="42519" xr:uid="{00000000-0005-0000-0000-000028330000}"/>
    <cellStyle name="20 % - Markeringsfarve4 5 6 3 4" xfId="20531" xr:uid="{00000000-0005-0000-0000-000029330000}"/>
    <cellStyle name="20 % - Markeringsfarve4 5 6 3 5" xfId="35520" xr:uid="{00000000-0005-0000-0000-00002A330000}"/>
    <cellStyle name="20 % - Markeringsfarve4 5 6 4" xfId="2678" xr:uid="{00000000-0005-0000-0000-00002B330000}"/>
    <cellStyle name="20 % - Markeringsfarve4 5 6 4 2" xfId="8604" xr:uid="{00000000-0005-0000-0000-00002C330000}"/>
    <cellStyle name="20 % - Markeringsfarve4 5 6 4 2 2" xfId="16490" xr:uid="{00000000-0005-0000-0000-00002D330000}"/>
    <cellStyle name="20 % - Markeringsfarve4 5 6 4 2 2 2" xfId="32804" xr:uid="{00000000-0005-0000-0000-00002E330000}"/>
    <cellStyle name="20 % - Markeringsfarve4 5 6 4 2 2 3" xfId="47768" xr:uid="{00000000-0005-0000-0000-00002F330000}"/>
    <cellStyle name="20 % - Markeringsfarve4 5 6 4 2 3" xfId="25782" xr:uid="{00000000-0005-0000-0000-000030330000}"/>
    <cellStyle name="20 % - Markeringsfarve4 5 6 4 2 4" xfId="40769" xr:uid="{00000000-0005-0000-0000-000031330000}"/>
    <cellStyle name="20 % - Markeringsfarve4 5 6 4 3" xfId="11235" xr:uid="{00000000-0005-0000-0000-000032330000}"/>
    <cellStyle name="20 % - Markeringsfarve4 5 6 4 3 2" xfId="27554" xr:uid="{00000000-0005-0000-0000-000033330000}"/>
    <cellStyle name="20 % - Markeringsfarve4 5 6 4 3 3" xfId="42520" xr:uid="{00000000-0005-0000-0000-000034330000}"/>
    <cellStyle name="20 % - Markeringsfarve4 5 6 4 4" xfId="20532" xr:uid="{00000000-0005-0000-0000-000035330000}"/>
    <cellStyle name="20 % - Markeringsfarve4 5 6 4 5" xfId="35521" xr:uid="{00000000-0005-0000-0000-000036330000}"/>
    <cellStyle name="20 % - Markeringsfarve4 5 6 5" xfId="5628" xr:uid="{00000000-0005-0000-0000-000037330000}"/>
    <cellStyle name="20 % - Markeringsfarve4 5 6 5 2" xfId="13546" xr:uid="{00000000-0005-0000-0000-000038330000}"/>
    <cellStyle name="20 % - Markeringsfarve4 5 6 5 2 2" xfId="29860" xr:uid="{00000000-0005-0000-0000-000039330000}"/>
    <cellStyle name="20 % - Markeringsfarve4 5 6 5 2 3" xfId="44824" xr:uid="{00000000-0005-0000-0000-00003A330000}"/>
    <cellStyle name="20 % - Markeringsfarve4 5 6 5 3" xfId="22838" xr:uid="{00000000-0005-0000-0000-00003B330000}"/>
    <cellStyle name="20 % - Markeringsfarve4 5 6 5 4" xfId="37825" xr:uid="{00000000-0005-0000-0000-00003C330000}"/>
    <cellStyle name="20 % - Markeringsfarve4 5 6 6" xfId="11231" xr:uid="{00000000-0005-0000-0000-00003D330000}"/>
    <cellStyle name="20 % - Markeringsfarve4 5 6 6 2" xfId="27550" xr:uid="{00000000-0005-0000-0000-00003E330000}"/>
    <cellStyle name="20 % - Markeringsfarve4 5 6 6 3" xfId="42516" xr:uid="{00000000-0005-0000-0000-00003F330000}"/>
    <cellStyle name="20 % - Markeringsfarve4 5 6 7" xfId="20528" xr:uid="{00000000-0005-0000-0000-000040330000}"/>
    <cellStyle name="20 % - Markeringsfarve4 5 6 8" xfId="35517" xr:uid="{00000000-0005-0000-0000-000041330000}"/>
    <cellStyle name="20 % - Markeringsfarve4 5 7" xfId="2679" xr:uid="{00000000-0005-0000-0000-000042330000}"/>
    <cellStyle name="20 % - Markeringsfarve4 5 7 2" xfId="2680" xr:uid="{00000000-0005-0000-0000-000043330000}"/>
    <cellStyle name="20 % - Markeringsfarve4 5 7 2 2" xfId="7573" xr:uid="{00000000-0005-0000-0000-000044330000}"/>
    <cellStyle name="20 % - Markeringsfarve4 5 7 2 2 2" xfId="15474" xr:uid="{00000000-0005-0000-0000-000045330000}"/>
    <cellStyle name="20 % - Markeringsfarve4 5 7 2 2 2 2" xfId="31788" xr:uid="{00000000-0005-0000-0000-000046330000}"/>
    <cellStyle name="20 % - Markeringsfarve4 5 7 2 2 2 3" xfId="46752" xr:uid="{00000000-0005-0000-0000-000047330000}"/>
    <cellStyle name="20 % - Markeringsfarve4 5 7 2 2 3" xfId="24766" xr:uid="{00000000-0005-0000-0000-000048330000}"/>
    <cellStyle name="20 % - Markeringsfarve4 5 7 2 2 4" xfId="39753" xr:uid="{00000000-0005-0000-0000-000049330000}"/>
    <cellStyle name="20 % - Markeringsfarve4 5 7 2 3" xfId="11237" xr:uid="{00000000-0005-0000-0000-00004A330000}"/>
    <cellStyle name="20 % - Markeringsfarve4 5 7 2 3 2" xfId="27556" xr:uid="{00000000-0005-0000-0000-00004B330000}"/>
    <cellStyle name="20 % - Markeringsfarve4 5 7 2 3 3" xfId="42522" xr:uid="{00000000-0005-0000-0000-00004C330000}"/>
    <cellStyle name="20 % - Markeringsfarve4 5 7 2 4" xfId="20534" xr:uid="{00000000-0005-0000-0000-00004D330000}"/>
    <cellStyle name="20 % - Markeringsfarve4 5 7 2 5" xfId="35523" xr:uid="{00000000-0005-0000-0000-00004E330000}"/>
    <cellStyle name="20 % - Markeringsfarve4 5 7 3" xfId="6163" xr:uid="{00000000-0005-0000-0000-00004F330000}"/>
    <cellStyle name="20 % - Markeringsfarve4 5 7 3 2" xfId="14080" xr:uid="{00000000-0005-0000-0000-000050330000}"/>
    <cellStyle name="20 % - Markeringsfarve4 5 7 3 2 2" xfId="30394" xr:uid="{00000000-0005-0000-0000-000051330000}"/>
    <cellStyle name="20 % - Markeringsfarve4 5 7 3 2 3" xfId="45358" xr:uid="{00000000-0005-0000-0000-000052330000}"/>
    <cellStyle name="20 % - Markeringsfarve4 5 7 3 3" xfId="23372" xr:uid="{00000000-0005-0000-0000-000053330000}"/>
    <cellStyle name="20 % - Markeringsfarve4 5 7 3 4" xfId="38359" xr:uid="{00000000-0005-0000-0000-000054330000}"/>
    <cellStyle name="20 % - Markeringsfarve4 5 7 4" xfId="11236" xr:uid="{00000000-0005-0000-0000-000055330000}"/>
    <cellStyle name="20 % - Markeringsfarve4 5 7 4 2" xfId="27555" xr:uid="{00000000-0005-0000-0000-000056330000}"/>
    <cellStyle name="20 % - Markeringsfarve4 5 7 4 3" xfId="42521" xr:uid="{00000000-0005-0000-0000-000057330000}"/>
    <cellStyle name="20 % - Markeringsfarve4 5 7 5" xfId="20533" xr:uid="{00000000-0005-0000-0000-000058330000}"/>
    <cellStyle name="20 % - Markeringsfarve4 5 7 6" xfId="35522" xr:uid="{00000000-0005-0000-0000-000059330000}"/>
    <cellStyle name="20 % - Markeringsfarve4 5 8" xfId="2681" xr:uid="{00000000-0005-0000-0000-00005A330000}"/>
    <cellStyle name="20 % - Markeringsfarve4 5 8 2" xfId="6801" xr:uid="{00000000-0005-0000-0000-00005B330000}"/>
    <cellStyle name="20 % - Markeringsfarve4 5 8 2 2" xfId="14712" xr:uid="{00000000-0005-0000-0000-00005C330000}"/>
    <cellStyle name="20 % - Markeringsfarve4 5 8 2 2 2" xfId="31026" xr:uid="{00000000-0005-0000-0000-00005D330000}"/>
    <cellStyle name="20 % - Markeringsfarve4 5 8 2 2 3" xfId="45990" xr:uid="{00000000-0005-0000-0000-00005E330000}"/>
    <cellStyle name="20 % - Markeringsfarve4 5 8 2 3" xfId="24004" xr:uid="{00000000-0005-0000-0000-00005F330000}"/>
    <cellStyle name="20 % - Markeringsfarve4 5 8 2 4" xfId="38991" xr:uid="{00000000-0005-0000-0000-000060330000}"/>
    <cellStyle name="20 % - Markeringsfarve4 5 8 3" xfId="11238" xr:uid="{00000000-0005-0000-0000-000061330000}"/>
    <cellStyle name="20 % - Markeringsfarve4 5 8 3 2" xfId="27557" xr:uid="{00000000-0005-0000-0000-000062330000}"/>
    <cellStyle name="20 % - Markeringsfarve4 5 8 3 3" xfId="42523" xr:uid="{00000000-0005-0000-0000-000063330000}"/>
    <cellStyle name="20 % - Markeringsfarve4 5 8 4" xfId="20535" xr:uid="{00000000-0005-0000-0000-000064330000}"/>
    <cellStyle name="20 % - Markeringsfarve4 5 8 5" xfId="35524" xr:uid="{00000000-0005-0000-0000-000065330000}"/>
    <cellStyle name="20 % - Markeringsfarve4 5 9" xfId="2682" xr:uid="{00000000-0005-0000-0000-000066330000}"/>
    <cellStyle name="20 % - Markeringsfarve4 5 9 2" xfId="8459" xr:uid="{00000000-0005-0000-0000-000067330000}"/>
    <cellStyle name="20 % - Markeringsfarve4 5 9 2 2" xfId="16350" xr:uid="{00000000-0005-0000-0000-000068330000}"/>
    <cellStyle name="20 % - Markeringsfarve4 5 9 2 2 2" xfId="32664" xr:uid="{00000000-0005-0000-0000-000069330000}"/>
    <cellStyle name="20 % - Markeringsfarve4 5 9 2 2 3" xfId="47628" xr:uid="{00000000-0005-0000-0000-00006A330000}"/>
    <cellStyle name="20 % - Markeringsfarve4 5 9 2 3" xfId="25642" xr:uid="{00000000-0005-0000-0000-00006B330000}"/>
    <cellStyle name="20 % - Markeringsfarve4 5 9 2 4" xfId="40629" xr:uid="{00000000-0005-0000-0000-00006C330000}"/>
    <cellStyle name="20 % - Markeringsfarve4 5 9 3" xfId="11239" xr:uid="{00000000-0005-0000-0000-00006D330000}"/>
    <cellStyle name="20 % - Markeringsfarve4 5 9 3 2" xfId="27558" xr:uid="{00000000-0005-0000-0000-00006E330000}"/>
    <cellStyle name="20 % - Markeringsfarve4 5 9 3 3" xfId="42524" xr:uid="{00000000-0005-0000-0000-00006F330000}"/>
    <cellStyle name="20 % - Markeringsfarve4 5 9 4" xfId="20536" xr:uid="{00000000-0005-0000-0000-000070330000}"/>
    <cellStyle name="20 % - Markeringsfarve4 5 9 5" xfId="35525" xr:uid="{00000000-0005-0000-0000-000071330000}"/>
    <cellStyle name="20 % - Markeringsfarve4 6" xfId="2683" xr:uid="{00000000-0005-0000-0000-000072330000}"/>
    <cellStyle name="20 % - Markeringsfarve4 6 10" xfId="53355" xr:uid="{00000000-0005-0000-0000-000073330000}"/>
    <cellStyle name="20 % - Markeringsfarve4 6 2" xfId="2684" xr:uid="{00000000-0005-0000-0000-000074330000}"/>
    <cellStyle name="20 % - Markeringsfarve4 6 2 2" xfId="2685" xr:uid="{00000000-0005-0000-0000-000075330000}"/>
    <cellStyle name="20 % - Markeringsfarve4 6 2 2 2" xfId="2686" xr:uid="{00000000-0005-0000-0000-000076330000}"/>
    <cellStyle name="20 % - Markeringsfarve4 6 2 2 2 2" xfId="7761" xr:uid="{00000000-0005-0000-0000-000077330000}"/>
    <cellStyle name="20 % - Markeringsfarve4 6 2 2 2 2 2" xfId="15662" xr:uid="{00000000-0005-0000-0000-000078330000}"/>
    <cellStyle name="20 % - Markeringsfarve4 6 2 2 2 2 2 2" xfId="31976" xr:uid="{00000000-0005-0000-0000-000079330000}"/>
    <cellStyle name="20 % - Markeringsfarve4 6 2 2 2 2 2 3" xfId="46940" xr:uid="{00000000-0005-0000-0000-00007A330000}"/>
    <cellStyle name="20 % - Markeringsfarve4 6 2 2 2 2 3" xfId="24954" xr:uid="{00000000-0005-0000-0000-00007B330000}"/>
    <cellStyle name="20 % - Markeringsfarve4 6 2 2 2 2 4" xfId="39941" xr:uid="{00000000-0005-0000-0000-00007C330000}"/>
    <cellStyle name="20 % - Markeringsfarve4 6 2 2 2 3" xfId="11243" xr:uid="{00000000-0005-0000-0000-00007D330000}"/>
    <cellStyle name="20 % - Markeringsfarve4 6 2 2 2 3 2" xfId="27562" xr:uid="{00000000-0005-0000-0000-00007E330000}"/>
    <cellStyle name="20 % - Markeringsfarve4 6 2 2 2 3 3" xfId="42528" xr:uid="{00000000-0005-0000-0000-00007F330000}"/>
    <cellStyle name="20 % - Markeringsfarve4 6 2 2 2 4" xfId="20540" xr:uid="{00000000-0005-0000-0000-000080330000}"/>
    <cellStyle name="20 % - Markeringsfarve4 6 2 2 2 5" xfId="35529" xr:uid="{00000000-0005-0000-0000-000081330000}"/>
    <cellStyle name="20 % - Markeringsfarve4 6 2 2 3" xfId="6325" xr:uid="{00000000-0005-0000-0000-000082330000}"/>
    <cellStyle name="20 % - Markeringsfarve4 6 2 2 3 2" xfId="14242" xr:uid="{00000000-0005-0000-0000-000083330000}"/>
    <cellStyle name="20 % - Markeringsfarve4 6 2 2 3 2 2" xfId="30556" xr:uid="{00000000-0005-0000-0000-000084330000}"/>
    <cellStyle name="20 % - Markeringsfarve4 6 2 2 3 2 3" xfId="45520" xr:uid="{00000000-0005-0000-0000-000085330000}"/>
    <cellStyle name="20 % - Markeringsfarve4 6 2 2 3 3" xfId="23534" xr:uid="{00000000-0005-0000-0000-000086330000}"/>
    <cellStyle name="20 % - Markeringsfarve4 6 2 2 3 4" xfId="38521" xr:uid="{00000000-0005-0000-0000-000087330000}"/>
    <cellStyle name="20 % - Markeringsfarve4 6 2 2 4" xfId="11242" xr:uid="{00000000-0005-0000-0000-000088330000}"/>
    <cellStyle name="20 % - Markeringsfarve4 6 2 2 4 2" xfId="27561" xr:uid="{00000000-0005-0000-0000-000089330000}"/>
    <cellStyle name="20 % - Markeringsfarve4 6 2 2 4 3" xfId="42527" xr:uid="{00000000-0005-0000-0000-00008A330000}"/>
    <cellStyle name="20 % - Markeringsfarve4 6 2 2 5" xfId="20539" xr:uid="{00000000-0005-0000-0000-00008B330000}"/>
    <cellStyle name="20 % - Markeringsfarve4 6 2 2 6" xfId="35528" xr:uid="{00000000-0005-0000-0000-00008C330000}"/>
    <cellStyle name="20 % - Markeringsfarve4 6 2 2 7" xfId="57159" xr:uid="{00000000-0005-0000-0000-00008D330000}"/>
    <cellStyle name="20 % - Markeringsfarve4 6 2 3" xfId="2687" xr:uid="{00000000-0005-0000-0000-00008E330000}"/>
    <cellStyle name="20 % - Markeringsfarve4 6 2 3 2" xfId="6991" xr:uid="{00000000-0005-0000-0000-00008F330000}"/>
    <cellStyle name="20 % - Markeringsfarve4 6 2 3 2 2" xfId="14902" xr:uid="{00000000-0005-0000-0000-000090330000}"/>
    <cellStyle name="20 % - Markeringsfarve4 6 2 3 2 2 2" xfId="31216" xr:uid="{00000000-0005-0000-0000-000091330000}"/>
    <cellStyle name="20 % - Markeringsfarve4 6 2 3 2 2 3" xfId="46180" xr:uid="{00000000-0005-0000-0000-000092330000}"/>
    <cellStyle name="20 % - Markeringsfarve4 6 2 3 2 3" xfId="24194" xr:uid="{00000000-0005-0000-0000-000093330000}"/>
    <cellStyle name="20 % - Markeringsfarve4 6 2 3 2 4" xfId="39181" xr:uid="{00000000-0005-0000-0000-000094330000}"/>
    <cellStyle name="20 % - Markeringsfarve4 6 2 3 3" xfId="11244" xr:uid="{00000000-0005-0000-0000-000095330000}"/>
    <cellStyle name="20 % - Markeringsfarve4 6 2 3 3 2" xfId="27563" xr:uid="{00000000-0005-0000-0000-000096330000}"/>
    <cellStyle name="20 % - Markeringsfarve4 6 2 3 3 3" xfId="42529" xr:uid="{00000000-0005-0000-0000-000097330000}"/>
    <cellStyle name="20 % - Markeringsfarve4 6 2 3 4" xfId="20541" xr:uid="{00000000-0005-0000-0000-000098330000}"/>
    <cellStyle name="20 % - Markeringsfarve4 6 2 3 5" xfId="35530" xr:uid="{00000000-0005-0000-0000-000099330000}"/>
    <cellStyle name="20 % - Markeringsfarve4 6 2 4" xfId="2688" xr:uid="{00000000-0005-0000-0000-00009A330000}"/>
    <cellStyle name="20 % - Markeringsfarve4 6 2 4 2" xfId="8208" xr:uid="{00000000-0005-0000-0000-00009B330000}"/>
    <cellStyle name="20 % - Markeringsfarve4 6 2 4 2 2" xfId="16105" xr:uid="{00000000-0005-0000-0000-00009C330000}"/>
    <cellStyle name="20 % - Markeringsfarve4 6 2 4 2 2 2" xfId="32419" xr:uid="{00000000-0005-0000-0000-00009D330000}"/>
    <cellStyle name="20 % - Markeringsfarve4 6 2 4 2 2 3" xfId="47383" xr:uid="{00000000-0005-0000-0000-00009E330000}"/>
    <cellStyle name="20 % - Markeringsfarve4 6 2 4 2 3" xfId="25397" xr:uid="{00000000-0005-0000-0000-00009F330000}"/>
    <cellStyle name="20 % - Markeringsfarve4 6 2 4 2 4" xfId="40384" xr:uid="{00000000-0005-0000-0000-0000A0330000}"/>
    <cellStyle name="20 % - Markeringsfarve4 6 2 4 3" xfId="11245" xr:uid="{00000000-0005-0000-0000-0000A1330000}"/>
    <cellStyle name="20 % - Markeringsfarve4 6 2 4 3 2" xfId="27564" xr:uid="{00000000-0005-0000-0000-0000A2330000}"/>
    <cellStyle name="20 % - Markeringsfarve4 6 2 4 3 3" xfId="42530" xr:uid="{00000000-0005-0000-0000-0000A3330000}"/>
    <cellStyle name="20 % - Markeringsfarve4 6 2 4 4" xfId="20542" xr:uid="{00000000-0005-0000-0000-0000A4330000}"/>
    <cellStyle name="20 % - Markeringsfarve4 6 2 4 5" xfId="35531" xr:uid="{00000000-0005-0000-0000-0000A5330000}"/>
    <cellStyle name="20 % - Markeringsfarve4 6 2 5" xfId="5630" xr:uid="{00000000-0005-0000-0000-0000A6330000}"/>
    <cellStyle name="20 % - Markeringsfarve4 6 2 5 2" xfId="13548" xr:uid="{00000000-0005-0000-0000-0000A7330000}"/>
    <cellStyle name="20 % - Markeringsfarve4 6 2 5 2 2" xfId="29862" xr:uid="{00000000-0005-0000-0000-0000A8330000}"/>
    <cellStyle name="20 % - Markeringsfarve4 6 2 5 2 3" xfId="44826" xr:uid="{00000000-0005-0000-0000-0000A9330000}"/>
    <cellStyle name="20 % - Markeringsfarve4 6 2 5 3" xfId="22840" xr:uid="{00000000-0005-0000-0000-0000AA330000}"/>
    <cellStyle name="20 % - Markeringsfarve4 6 2 5 4" xfId="37827" xr:uid="{00000000-0005-0000-0000-0000AB330000}"/>
    <cellStyle name="20 % - Markeringsfarve4 6 2 6" xfId="11241" xr:uid="{00000000-0005-0000-0000-0000AC330000}"/>
    <cellStyle name="20 % - Markeringsfarve4 6 2 6 2" xfId="27560" xr:uid="{00000000-0005-0000-0000-0000AD330000}"/>
    <cellStyle name="20 % - Markeringsfarve4 6 2 6 3" xfId="42526" xr:uid="{00000000-0005-0000-0000-0000AE330000}"/>
    <cellStyle name="20 % - Markeringsfarve4 6 2 7" xfId="20538" xr:uid="{00000000-0005-0000-0000-0000AF330000}"/>
    <cellStyle name="20 % - Markeringsfarve4 6 2 8" xfId="35527" xr:uid="{00000000-0005-0000-0000-0000B0330000}"/>
    <cellStyle name="20 % - Markeringsfarve4 6 2 9" xfId="53992" xr:uid="{00000000-0005-0000-0000-0000B1330000}"/>
    <cellStyle name="20 % - Markeringsfarve4 6 3" xfId="2689" xr:uid="{00000000-0005-0000-0000-0000B2330000}"/>
    <cellStyle name="20 % - Markeringsfarve4 6 3 2" xfId="2690" xr:uid="{00000000-0005-0000-0000-0000B3330000}"/>
    <cellStyle name="20 % - Markeringsfarve4 6 3 2 2" xfId="7614" xr:uid="{00000000-0005-0000-0000-0000B4330000}"/>
    <cellStyle name="20 % - Markeringsfarve4 6 3 2 2 2" xfId="15515" xr:uid="{00000000-0005-0000-0000-0000B5330000}"/>
    <cellStyle name="20 % - Markeringsfarve4 6 3 2 2 2 2" xfId="31829" xr:uid="{00000000-0005-0000-0000-0000B6330000}"/>
    <cellStyle name="20 % - Markeringsfarve4 6 3 2 2 2 3" xfId="46793" xr:uid="{00000000-0005-0000-0000-0000B7330000}"/>
    <cellStyle name="20 % - Markeringsfarve4 6 3 2 2 3" xfId="24807" xr:uid="{00000000-0005-0000-0000-0000B8330000}"/>
    <cellStyle name="20 % - Markeringsfarve4 6 3 2 2 4" xfId="39794" xr:uid="{00000000-0005-0000-0000-0000B9330000}"/>
    <cellStyle name="20 % - Markeringsfarve4 6 3 2 3" xfId="11247" xr:uid="{00000000-0005-0000-0000-0000BA330000}"/>
    <cellStyle name="20 % - Markeringsfarve4 6 3 2 3 2" xfId="27566" xr:uid="{00000000-0005-0000-0000-0000BB330000}"/>
    <cellStyle name="20 % - Markeringsfarve4 6 3 2 3 3" xfId="42532" xr:uid="{00000000-0005-0000-0000-0000BC330000}"/>
    <cellStyle name="20 % - Markeringsfarve4 6 3 2 4" xfId="20544" xr:uid="{00000000-0005-0000-0000-0000BD330000}"/>
    <cellStyle name="20 % - Markeringsfarve4 6 3 2 5" xfId="35533" xr:uid="{00000000-0005-0000-0000-0000BE330000}"/>
    <cellStyle name="20 % - Markeringsfarve4 6 3 3" xfId="6196" xr:uid="{00000000-0005-0000-0000-0000BF330000}"/>
    <cellStyle name="20 % - Markeringsfarve4 6 3 3 2" xfId="14113" xr:uid="{00000000-0005-0000-0000-0000C0330000}"/>
    <cellStyle name="20 % - Markeringsfarve4 6 3 3 2 2" xfId="30427" xr:uid="{00000000-0005-0000-0000-0000C1330000}"/>
    <cellStyle name="20 % - Markeringsfarve4 6 3 3 2 3" xfId="45391" xr:uid="{00000000-0005-0000-0000-0000C2330000}"/>
    <cellStyle name="20 % - Markeringsfarve4 6 3 3 3" xfId="23405" xr:uid="{00000000-0005-0000-0000-0000C3330000}"/>
    <cellStyle name="20 % - Markeringsfarve4 6 3 3 4" xfId="38392" xr:uid="{00000000-0005-0000-0000-0000C4330000}"/>
    <cellStyle name="20 % - Markeringsfarve4 6 3 4" xfId="11246" xr:uid="{00000000-0005-0000-0000-0000C5330000}"/>
    <cellStyle name="20 % - Markeringsfarve4 6 3 4 2" xfId="27565" xr:uid="{00000000-0005-0000-0000-0000C6330000}"/>
    <cellStyle name="20 % - Markeringsfarve4 6 3 4 3" xfId="42531" xr:uid="{00000000-0005-0000-0000-0000C7330000}"/>
    <cellStyle name="20 % - Markeringsfarve4 6 3 5" xfId="20543" xr:uid="{00000000-0005-0000-0000-0000C8330000}"/>
    <cellStyle name="20 % - Markeringsfarve4 6 3 6" xfId="35532" xr:uid="{00000000-0005-0000-0000-0000C9330000}"/>
    <cellStyle name="20 % - Markeringsfarve4 6 3 7" xfId="56536" xr:uid="{00000000-0005-0000-0000-0000CA330000}"/>
    <cellStyle name="20 % - Markeringsfarve4 6 4" xfId="2691" xr:uid="{00000000-0005-0000-0000-0000CB330000}"/>
    <cellStyle name="20 % - Markeringsfarve4 6 4 2" xfId="6844" xr:uid="{00000000-0005-0000-0000-0000CC330000}"/>
    <cellStyle name="20 % - Markeringsfarve4 6 4 2 2" xfId="14755" xr:uid="{00000000-0005-0000-0000-0000CD330000}"/>
    <cellStyle name="20 % - Markeringsfarve4 6 4 2 2 2" xfId="31069" xr:uid="{00000000-0005-0000-0000-0000CE330000}"/>
    <cellStyle name="20 % - Markeringsfarve4 6 4 2 2 3" xfId="46033" xr:uid="{00000000-0005-0000-0000-0000CF330000}"/>
    <cellStyle name="20 % - Markeringsfarve4 6 4 2 3" xfId="24047" xr:uid="{00000000-0005-0000-0000-0000D0330000}"/>
    <cellStyle name="20 % - Markeringsfarve4 6 4 2 4" xfId="39034" xr:uid="{00000000-0005-0000-0000-0000D1330000}"/>
    <cellStyle name="20 % - Markeringsfarve4 6 4 3" xfId="11248" xr:uid="{00000000-0005-0000-0000-0000D2330000}"/>
    <cellStyle name="20 % - Markeringsfarve4 6 4 3 2" xfId="27567" xr:uid="{00000000-0005-0000-0000-0000D3330000}"/>
    <cellStyle name="20 % - Markeringsfarve4 6 4 3 3" xfId="42533" xr:uid="{00000000-0005-0000-0000-0000D4330000}"/>
    <cellStyle name="20 % - Markeringsfarve4 6 4 4" xfId="20545" xr:uid="{00000000-0005-0000-0000-0000D5330000}"/>
    <cellStyle name="20 % - Markeringsfarve4 6 4 5" xfId="35534" xr:uid="{00000000-0005-0000-0000-0000D6330000}"/>
    <cellStyle name="20 % - Markeringsfarve4 6 5" xfId="2692" xr:uid="{00000000-0005-0000-0000-0000D7330000}"/>
    <cellStyle name="20 % - Markeringsfarve4 6 5 2" xfId="8255" xr:uid="{00000000-0005-0000-0000-0000D8330000}"/>
    <cellStyle name="20 % - Markeringsfarve4 6 5 2 2" xfId="16151" xr:uid="{00000000-0005-0000-0000-0000D9330000}"/>
    <cellStyle name="20 % - Markeringsfarve4 6 5 2 2 2" xfId="32465" xr:uid="{00000000-0005-0000-0000-0000DA330000}"/>
    <cellStyle name="20 % - Markeringsfarve4 6 5 2 2 3" xfId="47429" xr:uid="{00000000-0005-0000-0000-0000DB330000}"/>
    <cellStyle name="20 % - Markeringsfarve4 6 5 2 3" xfId="25443" xr:uid="{00000000-0005-0000-0000-0000DC330000}"/>
    <cellStyle name="20 % - Markeringsfarve4 6 5 2 4" xfId="40430" xr:uid="{00000000-0005-0000-0000-0000DD330000}"/>
    <cellStyle name="20 % - Markeringsfarve4 6 5 3" xfId="11249" xr:uid="{00000000-0005-0000-0000-0000DE330000}"/>
    <cellStyle name="20 % - Markeringsfarve4 6 5 3 2" xfId="27568" xr:uid="{00000000-0005-0000-0000-0000DF330000}"/>
    <cellStyle name="20 % - Markeringsfarve4 6 5 3 3" xfId="42534" xr:uid="{00000000-0005-0000-0000-0000E0330000}"/>
    <cellStyle name="20 % - Markeringsfarve4 6 5 4" xfId="20546" xr:uid="{00000000-0005-0000-0000-0000E1330000}"/>
    <cellStyle name="20 % - Markeringsfarve4 6 5 5" xfId="35535" xr:uid="{00000000-0005-0000-0000-0000E2330000}"/>
    <cellStyle name="20 % - Markeringsfarve4 6 6" xfId="5629" xr:uid="{00000000-0005-0000-0000-0000E3330000}"/>
    <cellStyle name="20 % - Markeringsfarve4 6 6 2" xfId="13547" xr:uid="{00000000-0005-0000-0000-0000E4330000}"/>
    <cellStyle name="20 % - Markeringsfarve4 6 6 2 2" xfId="29861" xr:uid="{00000000-0005-0000-0000-0000E5330000}"/>
    <cellStyle name="20 % - Markeringsfarve4 6 6 2 3" xfId="44825" xr:uid="{00000000-0005-0000-0000-0000E6330000}"/>
    <cellStyle name="20 % - Markeringsfarve4 6 6 3" xfId="22839" xr:uid="{00000000-0005-0000-0000-0000E7330000}"/>
    <cellStyle name="20 % - Markeringsfarve4 6 6 4" xfId="37826" xr:uid="{00000000-0005-0000-0000-0000E8330000}"/>
    <cellStyle name="20 % - Markeringsfarve4 6 7" xfId="11240" xr:uid="{00000000-0005-0000-0000-0000E9330000}"/>
    <cellStyle name="20 % - Markeringsfarve4 6 7 2" xfId="27559" xr:uid="{00000000-0005-0000-0000-0000EA330000}"/>
    <cellStyle name="20 % - Markeringsfarve4 6 7 3" xfId="42525" xr:uid="{00000000-0005-0000-0000-0000EB330000}"/>
    <cellStyle name="20 % - Markeringsfarve4 6 8" xfId="20537" xr:uid="{00000000-0005-0000-0000-0000EC330000}"/>
    <cellStyle name="20 % - Markeringsfarve4 6 9" xfId="35526" xr:uid="{00000000-0005-0000-0000-0000ED330000}"/>
    <cellStyle name="20 % - Markeringsfarve4 7" xfId="2693" xr:uid="{00000000-0005-0000-0000-0000EE330000}"/>
    <cellStyle name="20 % - Markeringsfarve4 7 2" xfId="2694" xr:uid="{00000000-0005-0000-0000-0000EF330000}"/>
    <cellStyle name="20 % - Markeringsfarve4 7 2 2" xfId="2695" xr:uid="{00000000-0005-0000-0000-0000F0330000}"/>
    <cellStyle name="20 % - Markeringsfarve4 7 2 2 2" xfId="7852" xr:uid="{00000000-0005-0000-0000-0000F1330000}"/>
    <cellStyle name="20 % - Markeringsfarve4 7 2 2 2 2" xfId="15753" xr:uid="{00000000-0005-0000-0000-0000F2330000}"/>
    <cellStyle name="20 % - Markeringsfarve4 7 2 2 2 2 2" xfId="32067" xr:uid="{00000000-0005-0000-0000-0000F3330000}"/>
    <cellStyle name="20 % - Markeringsfarve4 7 2 2 2 2 3" xfId="47031" xr:uid="{00000000-0005-0000-0000-0000F4330000}"/>
    <cellStyle name="20 % - Markeringsfarve4 7 2 2 2 3" xfId="25045" xr:uid="{00000000-0005-0000-0000-0000F5330000}"/>
    <cellStyle name="20 % - Markeringsfarve4 7 2 2 2 4" xfId="40032" xr:uid="{00000000-0005-0000-0000-0000F6330000}"/>
    <cellStyle name="20 % - Markeringsfarve4 7 2 2 3" xfId="11252" xr:uid="{00000000-0005-0000-0000-0000F7330000}"/>
    <cellStyle name="20 % - Markeringsfarve4 7 2 2 3 2" xfId="27571" xr:uid="{00000000-0005-0000-0000-0000F8330000}"/>
    <cellStyle name="20 % - Markeringsfarve4 7 2 2 3 3" xfId="42537" xr:uid="{00000000-0005-0000-0000-0000F9330000}"/>
    <cellStyle name="20 % - Markeringsfarve4 7 2 2 4" xfId="20549" xr:uid="{00000000-0005-0000-0000-0000FA330000}"/>
    <cellStyle name="20 % - Markeringsfarve4 7 2 2 5" xfId="35538" xr:uid="{00000000-0005-0000-0000-0000FB330000}"/>
    <cellStyle name="20 % - Markeringsfarve4 7 2 3" xfId="6398" xr:uid="{00000000-0005-0000-0000-0000FC330000}"/>
    <cellStyle name="20 % - Markeringsfarve4 7 2 3 2" xfId="14312" xr:uid="{00000000-0005-0000-0000-0000FD330000}"/>
    <cellStyle name="20 % - Markeringsfarve4 7 2 3 2 2" xfId="30626" xr:uid="{00000000-0005-0000-0000-0000FE330000}"/>
    <cellStyle name="20 % - Markeringsfarve4 7 2 3 2 3" xfId="45590" xr:uid="{00000000-0005-0000-0000-0000FF330000}"/>
    <cellStyle name="20 % - Markeringsfarve4 7 2 3 3" xfId="23604" xr:uid="{00000000-0005-0000-0000-000000340000}"/>
    <cellStyle name="20 % - Markeringsfarve4 7 2 3 4" xfId="38591" xr:uid="{00000000-0005-0000-0000-000001340000}"/>
    <cellStyle name="20 % - Markeringsfarve4 7 2 4" xfId="11251" xr:uid="{00000000-0005-0000-0000-000002340000}"/>
    <cellStyle name="20 % - Markeringsfarve4 7 2 4 2" xfId="27570" xr:uid="{00000000-0005-0000-0000-000003340000}"/>
    <cellStyle name="20 % - Markeringsfarve4 7 2 4 3" xfId="42536" xr:uid="{00000000-0005-0000-0000-000004340000}"/>
    <cellStyle name="20 % - Markeringsfarve4 7 2 5" xfId="20548" xr:uid="{00000000-0005-0000-0000-000005340000}"/>
    <cellStyle name="20 % - Markeringsfarve4 7 2 6" xfId="35537" xr:uid="{00000000-0005-0000-0000-000006340000}"/>
    <cellStyle name="20 % - Markeringsfarve4 7 2 7" xfId="57118" xr:uid="{00000000-0005-0000-0000-000007340000}"/>
    <cellStyle name="20 % - Markeringsfarve4 7 3" xfId="2696" xr:uid="{00000000-0005-0000-0000-000008340000}"/>
    <cellStyle name="20 % - Markeringsfarve4 7 3 2" xfId="7128" xr:uid="{00000000-0005-0000-0000-000009340000}"/>
    <cellStyle name="20 % - Markeringsfarve4 7 3 2 2" xfId="15038" xr:uid="{00000000-0005-0000-0000-00000A340000}"/>
    <cellStyle name="20 % - Markeringsfarve4 7 3 2 2 2" xfId="31352" xr:uid="{00000000-0005-0000-0000-00000B340000}"/>
    <cellStyle name="20 % - Markeringsfarve4 7 3 2 2 3" xfId="46316" xr:uid="{00000000-0005-0000-0000-00000C340000}"/>
    <cellStyle name="20 % - Markeringsfarve4 7 3 2 3" xfId="24330" xr:uid="{00000000-0005-0000-0000-00000D340000}"/>
    <cellStyle name="20 % - Markeringsfarve4 7 3 2 4" xfId="39317" xr:uid="{00000000-0005-0000-0000-00000E340000}"/>
    <cellStyle name="20 % - Markeringsfarve4 7 3 3" xfId="11253" xr:uid="{00000000-0005-0000-0000-00000F340000}"/>
    <cellStyle name="20 % - Markeringsfarve4 7 3 3 2" xfId="27572" xr:uid="{00000000-0005-0000-0000-000010340000}"/>
    <cellStyle name="20 % - Markeringsfarve4 7 3 3 3" xfId="42538" xr:uid="{00000000-0005-0000-0000-000011340000}"/>
    <cellStyle name="20 % - Markeringsfarve4 7 3 4" xfId="20550" xr:uid="{00000000-0005-0000-0000-000012340000}"/>
    <cellStyle name="20 % - Markeringsfarve4 7 3 5" xfId="35539" xr:uid="{00000000-0005-0000-0000-000013340000}"/>
    <cellStyle name="20 % - Markeringsfarve4 7 4" xfId="2697" xr:uid="{00000000-0005-0000-0000-000014340000}"/>
    <cellStyle name="20 % - Markeringsfarve4 7 4 2" xfId="8549" xr:uid="{00000000-0005-0000-0000-000015340000}"/>
    <cellStyle name="20 % - Markeringsfarve4 7 4 2 2" xfId="16437" xr:uid="{00000000-0005-0000-0000-000016340000}"/>
    <cellStyle name="20 % - Markeringsfarve4 7 4 2 2 2" xfId="32751" xr:uid="{00000000-0005-0000-0000-000017340000}"/>
    <cellStyle name="20 % - Markeringsfarve4 7 4 2 2 3" xfId="47715" xr:uid="{00000000-0005-0000-0000-000018340000}"/>
    <cellStyle name="20 % - Markeringsfarve4 7 4 2 3" xfId="25729" xr:uid="{00000000-0005-0000-0000-000019340000}"/>
    <cellStyle name="20 % - Markeringsfarve4 7 4 2 4" xfId="40716" xr:uid="{00000000-0005-0000-0000-00001A340000}"/>
    <cellStyle name="20 % - Markeringsfarve4 7 4 3" xfId="11254" xr:uid="{00000000-0005-0000-0000-00001B340000}"/>
    <cellStyle name="20 % - Markeringsfarve4 7 4 3 2" xfId="27573" xr:uid="{00000000-0005-0000-0000-00001C340000}"/>
    <cellStyle name="20 % - Markeringsfarve4 7 4 3 3" xfId="42539" xr:uid="{00000000-0005-0000-0000-00001D340000}"/>
    <cellStyle name="20 % - Markeringsfarve4 7 4 4" xfId="20551" xr:uid="{00000000-0005-0000-0000-00001E340000}"/>
    <cellStyle name="20 % - Markeringsfarve4 7 4 5" xfId="35540" xr:uid="{00000000-0005-0000-0000-00001F340000}"/>
    <cellStyle name="20 % - Markeringsfarve4 7 5" xfId="5631" xr:uid="{00000000-0005-0000-0000-000020340000}"/>
    <cellStyle name="20 % - Markeringsfarve4 7 5 2" xfId="13549" xr:uid="{00000000-0005-0000-0000-000021340000}"/>
    <cellStyle name="20 % - Markeringsfarve4 7 5 2 2" xfId="29863" xr:uid="{00000000-0005-0000-0000-000022340000}"/>
    <cellStyle name="20 % - Markeringsfarve4 7 5 2 3" xfId="44827" xr:uid="{00000000-0005-0000-0000-000023340000}"/>
    <cellStyle name="20 % - Markeringsfarve4 7 5 3" xfId="22841" xr:uid="{00000000-0005-0000-0000-000024340000}"/>
    <cellStyle name="20 % - Markeringsfarve4 7 5 4" xfId="37828" xr:uid="{00000000-0005-0000-0000-000025340000}"/>
    <cellStyle name="20 % - Markeringsfarve4 7 6" xfId="11250" xr:uid="{00000000-0005-0000-0000-000026340000}"/>
    <cellStyle name="20 % - Markeringsfarve4 7 6 2" xfId="27569" xr:uid="{00000000-0005-0000-0000-000027340000}"/>
    <cellStyle name="20 % - Markeringsfarve4 7 6 3" xfId="42535" xr:uid="{00000000-0005-0000-0000-000028340000}"/>
    <cellStyle name="20 % - Markeringsfarve4 7 7" xfId="20547" xr:uid="{00000000-0005-0000-0000-000029340000}"/>
    <cellStyle name="20 % - Markeringsfarve4 7 8" xfId="35536" xr:uid="{00000000-0005-0000-0000-00002A340000}"/>
    <cellStyle name="20 % - Markeringsfarve4 7 9" xfId="53951" xr:uid="{00000000-0005-0000-0000-00002B340000}"/>
    <cellStyle name="20 % - Markeringsfarve4 8" xfId="2698" xr:uid="{00000000-0005-0000-0000-00002C340000}"/>
    <cellStyle name="20 % - Markeringsfarve4 8 2" xfId="2699" xr:uid="{00000000-0005-0000-0000-00002D340000}"/>
    <cellStyle name="20 % - Markeringsfarve4 8 2 2" xfId="2700" xr:uid="{00000000-0005-0000-0000-00002E340000}"/>
    <cellStyle name="20 % - Markeringsfarve4 8 2 2 2" xfId="7969" xr:uid="{00000000-0005-0000-0000-00002F340000}"/>
    <cellStyle name="20 % - Markeringsfarve4 8 2 2 2 2" xfId="15870" xr:uid="{00000000-0005-0000-0000-000030340000}"/>
    <cellStyle name="20 % - Markeringsfarve4 8 2 2 2 2 2" xfId="32184" xr:uid="{00000000-0005-0000-0000-000031340000}"/>
    <cellStyle name="20 % - Markeringsfarve4 8 2 2 2 2 3" xfId="47148" xr:uid="{00000000-0005-0000-0000-000032340000}"/>
    <cellStyle name="20 % - Markeringsfarve4 8 2 2 2 3" xfId="25162" xr:uid="{00000000-0005-0000-0000-000033340000}"/>
    <cellStyle name="20 % - Markeringsfarve4 8 2 2 2 4" xfId="40149" xr:uid="{00000000-0005-0000-0000-000034340000}"/>
    <cellStyle name="20 % - Markeringsfarve4 8 2 2 3" xfId="11257" xr:uid="{00000000-0005-0000-0000-000035340000}"/>
    <cellStyle name="20 % - Markeringsfarve4 8 2 2 3 2" xfId="27576" xr:uid="{00000000-0005-0000-0000-000036340000}"/>
    <cellStyle name="20 % - Markeringsfarve4 8 2 2 3 3" xfId="42542" xr:uid="{00000000-0005-0000-0000-000037340000}"/>
    <cellStyle name="20 % - Markeringsfarve4 8 2 2 4" xfId="20554" xr:uid="{00000000-0005-0000-0000-000038340000}"/>
    <cellStyle name="20 % - Markeringsfarve4 8 2 2 5" xfId="35543" xr:uid="{00000000-0005-0000-0000-000039340000}"/>
    <cellStyle name="20 % - Markeringsfarve4 8 2 3" xfId="6497" xr:uid="{00000000-0005-0000-0000-00003A340000}"/>
    <cellStyle name="20 % - Markeringsfarve4 8 2 3 2" xfId="14411" xr:uid="{00000000-0005-0000-0000-00003B340000}"/>
    <cellStyle name="20 % - Markeringsfarve4 8 2 3 2 2" xfId="30725" xr:uid="{00000000-0005-0000-0000-00003C340000}"/>
    <cellStyle name="20 % - Markeringsfarve4 8 2 3 2 3" xfId="45689" xr:uid="{00000000-0005-0000-0000-00003D340000}"/>
    <cellStyle name="20 % - Markeringsfarve4 8 2 3 3" xfId="23703" xr:uid="{00000000-0005-0000-0000-00003E340000}"/>
    <cellStyle name="20 % - Markeringsfarve4 8 2 3 4" xfId="38690" xr:uid="{00000000-0005-0000-0000-00003F340000}"/>
    <cellStyle name="20 % - Markeringsfarve4 8 2 4" xfId="11256" xr:uid="{00000000-0005-0000-0000-000040340000}"/>
    <cellStyle name="20 % - Markeringsfarve4 8 2 4 2" xfId="27575" xr:uid="{00000000-0005-0000-0000-000041340000}"/>
    <cellStyle name="20 % - Markeringsfarve4 8 2 4 3" xfId="42541" xr:uid="{00000000-0005-0000-0000-000042340000}"/>
    <cellStyle name="20 % - Markeringsfarve4 8 2 5" xfId="20553" xr:uid="{00000000-0005-0000-0000-000043340000}"/>
    <cellStyle name="20 % - Markeringsfarve4 8 2 6" xfId="35542" xr:uid="{00000000-0005-0000-0000-000044340000}"/>
    <cellStyle name="20 % - Markeringsfarve4 8 3" xfId="2701" xr:uid="{00000000-0005-0000-0000-000045340000}"/>
    <cellStyle name="20 % - Markeringsfarve4 8 3 2" xfId="7245" xr:uid="{00000000-0005-0000-0000-000046340000}"/>
    <cellStyle name="20 % - Markeringsfarve4 8 3 2 2" xfId="15155" xr:uid="{00000000-0005-0000-0000-000047340000}"/>
    <cellStyle name="20 % - Markeringsfarve4 8 3 2 2 2" xfId="31469" xr:uid="{00000000-0005-0000-0000-000048340000}"/>
    <cellStyle name="20 % - Markeringsfarve4 8 3 2 2 3" xfId="46433" xr:uid="{00000000-0005-0000-0000-000049340000}"/>
    <cellStyle name="20 % - Markeringsfarve4 8 3 2 3" xfId="24447" xr:uid="{00000000-0005-0000-0000-00004A340000}"/>
    <cellStyle name="20 % - Markeringsfarve4 8 3 2 4" xfId="39434" xr:uid="{00000000-0005-0000-0000-00004B340000}"/>
    <cellStyle name="20 % - Markeringsfarve4 8 3 3" xfId="11258" xr:uid="{00000000-0005-0000-0000-00004C340000}"/>
    <cellStyle name="20 % - Markeringsfarve4 8 3 3 2" xfId="27577" xr:uid="{00000000-0005-0000-0000-00004D340000}"/>
    <cellStyle name="20 % - Markeringsfarve4 8 3 3 3" xfId="42543" xr:uid="{00000000-0005-0000-0000-00004E340000}"/>
    <cellStyle name="20 % - Markeringsfarve4 8 3 4" xfId="20555" xr:uid="{00000000-0005-0000-0000-00004F340000}"/>
    <cellStyle name="20 % - Markeringsfarve4 8 3 5" xfId="35544" xr:uid="{00000000-0005-0000-0000-000050340000}"/>
    <cellStyle name="20 % - Markeringsfarve4 8 4" xfId="2702" xr:uid="{00000000-0005-0000-0000-000051340000}"/>
    <cellStyle name="20 % - Markeringsfarve4 8 4 2" xfId="8785" xr:uid="{00000000-0005-0000-0000-000052340000}"/>
    <cellStyle name="20 % - Markeringsfarve4 8 4 2 2" xfId="16661" xr:uid="{00000000-0005-0000-0000-000053340000}"/>
    <cellStyle name="20 % - Markeringsfarve4 8 4 2 2 2" xfId="32975" xr:uid="{00000000-0005-0000-0000-000054340000}"/>
    <cellStyle name="20 % - Markeringsfarve4 8 4 2 2 3" xfId="47939" xr:uid="{00000000-0005-0000-0000-000055340000}"/>
    <cellStyle name="20 % - Markeringsfarve4 8 4 2 3" xfId="25953" xr:uid="{00000000-0005-0000-0000-000056340000}"/>
    <cellStyle name="20 % - Markeringsfarve4 8 4 2 4" xfId="40940" xr:uid="{00000000-0005-0000-0000-000057340000}"/>
    <cellStyle name="20 % - Markeringsfarve4 8 4 3" xfId="11259" xr:uid="{00000000-0005-0000-0000-000058340000}"/>
    <cellStyle name="20 % - Markeringsfarve4 8 4 3 2" xfId="27578" xr:uid="{00000000-0005-0000-0000-000059340000}"/>
    <cellStyle name="20 % - Markeringsfarve4 8 4 3 3" xfId="42544" xr:uid="{00000000-0005-0000-0000-00005A340000}"/>
    <cellStyle name="20 % - Markeringsfarve4 8 4 4" xfId="20556" xr:uid="{00000000-0005-0000-0000-00005B340000}"/>
    <cellStyle name="20 % - Markeringsfarve4 8 4 5" xfId="35545" xr:uid="{00000000-0005-0000-0000-00005C340000}"/>
    <cellStyle name="20 % - Markeringsfarve4 8 5" xfId="5632" xr:uid="{00000000-0005-0000-0000-00005D340000}"/>
    <cellStyle name="20 % - Markeringsfarve4 8 5 2" xfId="13550" xr:uid="{00000000-0005-0000-0000-00005E340000}"/>
    <cellStyle name="20 % - Markeringsfarve4 8 5 2 2" xfId="29864" xr:uid="{00000000-0005-0000-0000-00005F340000}"/>
    <cellStyle name="20 % - Markeringsfarve4 8 5 2 3" xfId="44828" xr:uid="{00000000-0005-0000-0000-000060340000}"/>
    <cellStyle name="20 % - Markeringsfarve4 8 5 3" xfId="22842" xr:uid="{00000000-0005-0000-0000-000061340000}"/>
    <cellStyle name="20 % - Markeringsfarve4 8 5 4" xfId="37829" xr:uid="{00000000-0005-0000-0000-000062340000}"/>
    <cellStyle name="20 % - Markeringsfarve4 8 6" xfId="11255" xr:uid="{00000000-0005-0000-0000-000063340000}"/>
    <cellStyle name="20 % - Markeringsfarve4 8 6 2" xfId="27574" xr:uid="{00000000-0005-0000-0000-000064340000}"/>
    <cellStyle name="20 % - Markeringsfarve4 8 6 3" xfId="42540" xr:uid="{00000000-0005-0000-0000-000065340000}"/>
    <cellStyle name="20 % - Markeringsfarve4 8 7" xfId="20552" xr:uid="{00000000-0005-0000-0000-000066340000}"/>
    <cellStyle name="20 % - Markeringsfarve4 8 8" xfId="35541" xr:uid="{00000000-0005-0000-0000-000067340000}"/>
    <cellStyle name="20 % - Markeringsfarve4 9" xfId="2703" xr:uid="{00000000-0005-0000-0000-000068340000}"/>
    <cellStyle name="20 % - Markeringsfarve4 9 2" xfId="2704" xr:uid="{00000000-0005-0000-0000-000069340000}"/>
    <cellStyle name="20 % - Markeringsfarve4 9 2 2" xfId="2705" xr:uid="{00000000-0005-0000-0000-00006A340000}"/>
    <cellStyle name="20 % - Markeringsfarve4 9 2 2 2" xfId="8107" xr:uid="{00000000-0005-0000-0000-00006B340000}"/>
    <cellStyle name="20 % - Markeringsfarve4 9 2 2 2 2" xfId="16008" xr:uid="{00000000-0005-0000-0000-00006C340000}"/>
    <cellStyle name="20 % - Markeringsfarve4 9 2 2 2 2 2" xfId="32322" xr:uid="{00000000-0005-0000-0000-00006D340000}"/>
    <cellStyle name="20 % - Markeringsfarve4 9 2 2 2 2 3" xfId="47286" xr:uid="{00000000-0005-0000-0000-00006E340000}"/>
    <cellStyle name="20 % - Markeringsfarve4 9 2 2 2 3" xfId="25300" xr:uid="{00000000-0005-0000-0000-00006F340000}"/>
    <cellStyle name="20 % - Markeringsfarve4 9 2 2 2 4" xfId="40287" xr:uid="{00000000-0005-0000-0000-000070340000}"/>
    <cellStyle name="20 % - Markeringsfarve4 9 2 2 3" xfId="11262" xr:uid="{00000000-0005-0000-0000-000071340000}"/>
    <cellStyle name="20 % - Markeringsfarve4 9 2 2 3 2" xfId="27581" xr:uid="{00000000-0005-0000-0000-000072340000}"/>
    <cellStyle name="20 % - Markeringsfarve4 9 2 2 3 3" xfId="42547" xr:uid="{00000000-0005-0000-0000-000073340000}"/>
    <cellStyle name="20 % - Markeringsfarve4 9 2 2 4" xfId="20559" xr:uid="{00000000-0005-0000-0000-000074340000}"/>
    <cellStyle name="20 % - Markeringsfarve4 9 2 2 5" xfId="35548" xr:uid="{00000000-0005-0000-0000-000075340000}"/>
    <cellStyle name="20 % - Markeringsfarve4 9 2 3" xfId="6618" xr:uid="{00000000-0005-0000-0000-000076340000}"/>
    <cellStyle name="20 % - Markeringsfarve4 9 2 3 2" xfId="14532" xr:uid="{00000000-0005-0000-0000-000077340000}"/>
    <cellStyle name="20 % - Markeringsfarve4 9 2 3 2 2" xfId="30846" xr:uid="{00000000-0005-0000-0000-000078340000}"/>
    <cellStyle name="20 % - Markeringsfarve4 9 2 3 2 3" xfId="45810" xr:uid="{00000000-0005-0000-0000-000079340000}"/>
    <cellStyle name="20 % - Markeringsfarve4 9 2 3 3" xfId="23824" xr:uid="{00000000-0005-0000-0000-00007A340000}"/>
    <cellStyle name="20 % - Markeringsfarve4 9 2 3 4" xfId="38811" xr:uid="{00000000-0005-0000-0000-00007B340000}"/>
    <cellStyle name="20 % - Markeringsfarve4 9 2 4" xfId="11261" xr:uid="{00000000-0005-0000-0000-00007C340000}"/>
    <cellStyle name="20 % - Markeringsfarve4 9 2 4 2" xfId="27580" xr:uid="{00000000-0005-0000-0000-00007D340000}"/>
    <cellStyle name="20 % - Markeringsfarve4 9 2 4 3" xfId="42546" xr:uid="{00000000-0005-0000-0000-00007E340000}"/>
    <cellStyle name="20 % - Markeringsfarve4 9 2 5" xfId="20558" xr:uid="{00000000-0005-0000-0000-00007F340000}"/>
    <cellStyle name="20 % - Markeringsfarve4 9 2 6" xfId="35547" xr:uid="{00000000-0005-0000-0000-000080340000}"/>
    <cellStyle name="20 % - Markeringsfarve4 9 3" xfId="2706" xr:uid="{00000000-0005-0000-0000-000081340000}"/>
    <cellStyle name="20 % - Markeringsfarve4 9 3 2" xfId="7384" xr:uid="{00000000-0005-0000-0000-000082340000}"/>
    <cellStyle name="20 % - Markeringsfarve4 9 3 2 2" xfId="15294" xr:uid="{00000000-0005-0000-0000-000083340000}"/>
    <cellStyle name="20 % - Markeringsfarve4 9 3 2 2 2" xfId="31608" xr:uid="{00000000-0005-0000-0000-000084340000}"/>
    <cellStyle name="20 % - Markeringsfarve4 9 3 2 2 3" xfId="46572" xr:uid="{00000000-0005-0000-0000-000085340000}"/>
    <cellStyle name="20 % - Markeringsfarve4 9 3 2 3" xfId="24586" xr:uid="{00000000-0005-0000-0000-000086340000}"/>
    <cellStyle name="20 % - Markeringsfarve4 9 3 2 4" xfId="39573" xr:uid="{00000000-0005-0000-0000-000087340000}"/>
    <cellStyle name="20 % - Markeringsfarve4 9 3 3" xfId="11263" xr:uid="{00000000-0005-0000-0000-000088340000}"/>
    <cellStyle name="20 % - Markeringsfarve4 9 3 3 2" xfId="27582" xr:uid="{00000000-0005-0000-0000-000089340000}"/>
    <cellStyle name="20 % - Markeringsfarve4 9 3 3 3" xfId="42548" xr:uid="{00000000-0005-0000-0000-00008A340000}"/>
    <cellStyle name="20 % - Markeringsfarve4 9 3 4" xfId="20560" xr:uid="{00000000-0005-0000-0000-00008B340000}"/>
    <cellStyle name="20 % - Markeringsfarve4 9 3 5" xfId="35549" xr:uid="{00000000-0005-0000-0000-00008C340000}"/>
    <cellStyle name="20 % - Markeringsfarve4 9 4" xfId="2707" xr:uid="{00000000-0005-0000-0000-00008D340000}"/>
    <cellStyle name="20 % - Markeringsfarve4 9 4 2" xfId="8505" xr:uid="{00000000-0005-0000-0000-00008E340000}"/>
    <cellStyle name="20 % - Markeringsfarve4 9 4 2 2" xfId="16394" xr:uid="{00000000-0005-0000-0000-00008F340000}"/>
    <cellStyle name="20 % - Markeringsfarve4 9 4 2 2 2" xfId="32708" xr:uid="{00000000-0005-0000-0000-000090340000}"/>
    <cellStyle name="20 % - Markeringsfarve4 9 4 2 2 3" xfId="47672" xr:uid="{00000000-0005-0000-0000-000091340000}"/>
    <cellStyle name="20 % - Markeringsfarve4 9 4 2 3" xfId="25686" xr:uid="{00000000-0005-0000-0000-000092340000}"/>
    <cellStyle name="20 % - Markeringsfarve4 9 4 2 4" xfId="40673" xr:uid="{00000000-0005-0000-0000-000093340000}"/>
    <cellStyle name="20 % - Markeringsfarve4 9 4 3" xfId="11264" xr:uid="{00000000-0005-0000-0000-000094340000}"/>
    <cellStyle name="20 % - Markeringsfarve4 9 4 3 2" xfId="27583" xr:uid="{00000000-0005-0000-0000-000095340000}"/>
    <cellStyle name="20 % - Markeringsfarve4 9 4 3 3" xfId="42549" xr:uid="{00000000-0005-0000-0000-000096340000}"/>
    <cellStyle name="20 % - Markeringsfarve4 9 4 4" xfId="20561" xr:uid="{00000000-0005-0000-0000-000097340000}"/>
    <cellStyle name="20 % - Markeringsfarve4 9 4 5" xfId="35550" xr:uid="{00000000-0005-0000-0000-000098340000}"/>
    <cellStyle name="20 % - Markeringsfarve4 9 5" xfId="5633" xr:uid="{00000000-0005-0000-0000-000099340000}"/>
    <cellStyle name="20 % - Markeringsfarve4 9 5 2" xfId="13551" xr:uid="{00000000-0005-0000-0000-00009A340000}"/>
    <cellStyle name="20 % - Markeringsfarve4 9 5 2 2" xfId="29865" xr:uid="{00000000-0005-0000-0000-00009B340000}"/>
    <cellStyle name="20 % - Markeringsfarve4 9 5 2 3" xfId="44829" xr:uid="{00000000-0005-0000-0000-00009C340000}"/>
    <cellStyle name="20 % - Markeringsfarve4 9 5 3" xfId="22843" xr:uid="{00000000-0005-0000-0000-00009D340000}"/>
    <cellStyle name="20 % - Markeringsfarve4 9 5 4" xfId="37830" xr:uid="{00000000-0005-0000-0000-00009E340000}"/>
    <cellStyle name="20 % - Markeringsfarve4 9 6" xfId="11260" xr:uid="{00000000-0005-0000-0000-00009F340000}"/>
    <cellStyle name="20 % - Markeringsfarve4 9 6 2" xfId="27579" xr:uid="{00000000-0005-0000-0000-0000A0340000}"/>
    <cellStyle name="20 % - Markeringsfarve4 9 6 3" xfId="42545" xr:uid="{00000000-0005-0000-0000-0000A1340000}"/>
    <cellStyle name="20 % - Markeringsfarve4 9 7" xfId="20557" xr:uid="{00000000-0005-0000-0000-0000A2340000}"/>
    <cellStyle name="20 % - Markeringsfarve4 9 8" xfId="35546" xr:uid="{00000000-0005-0000-0000-0000A3340000}"/>
    <cellStyle name="20 % - Markeringsfarve5 10" xfId="2708" xr:uid="{00000000-0005-0000-0000-0000A4340000}"/>
    <cellStyle name="20 % - Markeringsfarve5 10 2" xfId="2709" xr:uid="{00000000-0005-0000-0000-0000A5340000}"/>
    <cellStyle name="20 % - Markeringsfarve5 10 2 2" xfId="8116" xr:uid="{00000000-0005-0000-0000-0000A6340000}"/>
    <cellStyle name="20 % - Markeringsfarve5 10 2 2 2" xfId="16017" xr:uid="{00000000-0005-0000-0000-0000A7340000}"/>
    <cellStyle name="20 % - Markeringsfarve5 10 2 2 2 2" xfId="32331" xr:uid="{00000000-0005-0000-0000-0000A8340000}"/>
    <cellStyle name="20 % - Markeringsfarve5 10 2 2 2 3" xfId="47295" xr:uid="{00000000-0005-0000-0000-0000A9340000}"/>
    <cellStyle name="20 % - Markeringsfarve5 10 2 2 3" xfId="25309" xr:uid="{00000000-0005-0000-0000-0000AA340000}"/>
    <cellStyle name="20 % - Markeringsfarve5 10 2 2 4" xfId="40296" xr:uid="{00000000-0005-0000-0000-0000AB340000}"/>
    <cellStyle name="20 % - Markeringsfarve5 10 2 3" xfId="11266" xr:uid="{00000000-0005-0000-0000-0000AC340000}"/>
    <cellStyle name="20 % - Markeringsfarve5 10 2 3 2" xfId="27585" xr:uid="{00000000-0005-0000-0000-0000AD340000}"/>
    <cellStyle name="20 % - Markeringsfarve5 10 2 3 3" xfId="42551" xr:uid="{00000000-0005-0000-0000-0000AE340000}"/>
    <cellStyle name="20 % - Markeringsfarve5 10 2 4" xfId="20563" xr:uid="{00000000-0005-0000-0000-0000AF340000}"/>
    <cellStyle name="20 % - Markeringsfarve5 10 2 5" xfId="35552" xr:uid="{00000000-0005-0000-0000-0000B0340000}"/>
    <cellStyle name="20 % - Markeringsfarve5 10 3" xfId="2710" xr:uid="{00000000-0005-0000-0000-0000B1340000}"/>
    <cellStyle name="20 % - Markeringsfarve5 10 3 2" xfId="7393" xr:uid="{00000000-0005-0000-0000-0000B2340000}"/>
    <cellStyle name="20 % - Markeringsfarve5 10 3 2 2" xfId="15303" xr:uid="{00000000-0005-0000-0000-0000B3340000}"/>
    <cellStyle name="20 % - Markeringsfarve5 10 3 2 2 2" xfId="31617" xr:uid="{00000000-0005-0000-0000-0000B4340000}"/>
    <cellStyle name="20 % - Markeringsfarve5 10 3 2 2 3" xfId="46581" xr:uid="{00000000-0005-0000-0000-0000B5340000}"/>
    <cellStyle name="20 % - Markeringsfarve5 10 3 2 3" xfId="24595" xr:uid="{00000000-0005-0000-0000-0000B6340000}"/>
    <cellStyle name="20 % - Markeringsfarve5 10 3 2 4" xfId="39582" xr:uid="{00000000-0005-0000-0000-0000B7340000}"/>
    <cellStyle name="20 % - Markeringsfarve5 10 3 3" xfId="11267" xr:uid="{00000000-0005-0000-0000-0000B8340000}"/>
    <cellStyle name="20 % - Markeringsfarve5 10 3 3 2" xfId="27586" xr:uid="{00000000-0005-0000-0000-0000B9340000}"/>
    <cellStyle name="20 % - Markeringsfarve5 10 3 3 3" xfId="42552" xr:uid="{00000000-0005-0000-0000-0000BA340000}"/>
    <cellStyle name="20 % - Markeringsfarve5 10 3 4" xfId="20564" xr:uid="{00000000-0005-0000-0000-0000BB340000}"/>
    <cellStyle name="20 % - Markeringsfarve5 10 3 5" xfId="35553" xr:uid="{00000000-0005-0000-0000-0000BC340000}"/>
    <cellStyle name="20 % - Markeringsfarve5 10 4" xfId="5634" xr:uid="{00000000-0005-0000-0000-0000BD340000}"/>
    <cellStyle name="20 % - Markeringsfarve5 10 4 2" xfId="13552" xr:uid="{00000000-0005-0000-0000-0000BE340000}"/>
    <cellStyle name="20 % - Markeringsfarve5 10 4 2 2" xfId="29866" xr:uid="{00000000-0005-0000-0000-0000BF340000}"/>
    <cellStyle name="20 % - Markeringsfarve5 10 4 2 3" xfId="44830" xr:uid="{00000000-0005-0000-0000-0000C0340000}"/>
    <cellStyle name="20 % - Markeringsfarve5 10 4 3" xfId="22844" xr:uid="{00000000-0005-0000-0000-0000C1340000}"/>
    <cellStyle name="20 % - Markeringsfarve5 10 4 4" xfId="37831" xr:uid="{00000000-0005-0000-0000-0000C2340000}"/>
    <cellStyle name="20 % - Markeringsfarve5 10 5" xfId="11265" xr:uid="{00000000-0005-0000-0000-0000C3340000}"/>
    <cellStyle name="20 % - Markeringsfarve5 10 5 2" xfId="27584" xr:uid="{00000000-0005-0000-0000-0000C4340000}"/>
    <cellStyle name="20 % - Markeringsfarve5 10 5 3" xfId="42550" xr:uid="{00000000-0005-0000-0000-0000C5340000}"/>
    <cellStyle name="20 % - Markeringsfarve5 10 6" xfId="20562" xr:uid="{00000000-0005-0000-0000-0000C6340000}"/>
    <cellStyle name="20 % - Markeringsfarve5 10 7" xfId="35551" xr:uid="{00000000-0005-0000-0000-0000C7340000}"/>
    <cellStyle name="20 % - Markeringsfarve5 11" xfId="2711" xr:uid="{00000000-0005-0000-0000-0000C8340000}"/>
    <cellStyle name="20 % - Markeringsfarve5 11 2" xfId="2712" xr:uid="{00000000-0005-0000-0000-0000C9340000}"/>
    <cellStyle name="20 % - Markeringsfarve5 11 2 2" xfId="7496" xr:uid="{00000000-0005-0000-0000-0000CA340000}"/>
    <cellStyle name="20 % - Markeringsfarve5 11 2 2 2" xfId="15397" xr:uid="{00000000-0005-0000-0000-0000CB340000}"/>
    <cellStyle name="20 % - Markeringsfarve5 11 2 2 2 2" xfId="31711" xr:uid="{00000000-0005-0000-0000-0000CC340000}"/>
    <cellStyle name="20 % - Markeringsfarve5 11 2 2 2 3" xfId="46675" xr:uid="{00000000-0005-0000-0000-0000CD340000}"/>
    <cellStyle name="20 % - Markeringsfarve5 11 2 2 3" xfId="24689" xr:uid="{00000000-0005-0000-0000-0000CE340000}"/>
    <cellStyle name="20 % - Markeringsfarve5 11 2 2 4" xfId="39676" xr:uid="{00000000-0005-0000-0000-0000CF340000}"/>
    <cellStyle name="20 % - Markeringsfarve5 11 2 3" xfId="11269" xr:uid="{00000000-0005-0000-0000-0000D0340000}"/>
    <cellStyle name="20 % - Markeringsfarve5 11 2 3 2" xfId="27588" xr:uid="{00000000-0005-0000-0000-0000D1340000}"/>
    <cellStyle name="20 % - Markeringsfarve5 11 2 3 3" xfId="42554" xr:uid="{00000000-0005-0000-0000-0000D2340000}"/>
    <cellStyle name="20 % - Markeringsfarve5 11 2 4" xfId="20566" xr:uid="{00000000-0005-0000-0000-0000D3340000}"/>
    <cellStyle name="20 % - Markeringsfarve5 11 2 5" xfId="35555" xr:uid="{00000000-0005-0000-0000-0000D4340000}"/>
    <cellStyle name="20 % - Markeringsfarve5 11 3" xfId="5635" xr:uid="{00000000-0005-0000-0000-0000D5340000}"/>
    <cellStyle name="20 % - Markeringsfarve5 11 3 2" xfId="13553" xr:uid="{00000000-0005-0000-0000-0000D6340000}"/>
    <cellStyle name="20 % - Markeringsfarve5 11 3 2 2" xfId="29867" xr:uid="{00000000-0005-0000-0000-0000D7340000}"/>
    <cellStyle name="20 % - Markeringsfarve5 11 3 2 3" xfId="44831" xr:uid="{00000000-0005-0000-0000-0000D8340000}"/>
    <cellStyle name="20 % - Markeringsfarve5 11 3 3" xfId="22845" xr:uid="{00000000-0005-0000-0000-0000D9340000}"/>
    <cellStyle name="20 % - Markeringsfarve5 11 3 4" xfId="37832" xr:uid="{00000000-0005-0000-0000-0000DA340000}"/>
    <cellStyle name="20 % - Markeringsfarve5 11 4" xfId="11268" xr:uid="{00000000-0005-0000-0000-0000DB340000}"/>
    <cellStyle name="20 % - Markeringsfarve5 11 4 2" xfId="27587" xr:uid="{00000000-0005-0000-0000-0000DC340000}"/>
    <cellStyle name="20 % - Markeringsfarve5 11 4 3" xfId="42553" xr:uid="{00000000-0005-0000-0000-0000DD340000}"/>
    <cellStyle name="20 % - Markeringsfarve5 11 5" xfId="20565" xr:uid="{00000000-0005-0000-0000-0000DE340000}"/>
    <cellStyle name="20 % - Markeringsfarve5 11 6" xfId="35554" xr:uid="{00000000-0005-0000-0000-0000DF340000}"/>
    <cellStyle name="20 % - Markeringsfarve5 12" xfId="2713" xr:uid="{00000000-0005-0000-0000-0000E0340000}"/>
    <cellStyle name="20 % - Markeringsfarve5 12 2" xfId="6720" xr:uid="{00000000-0005-0000-0000-0000E1340000}"/>
    <cellStyle name="20 % - Markeringsfarve5 12 2 2" xfId="14633" xr:uid="{00000000-0005-0000-0000-0000E2340000}"/>
    <cellStyle name="20 % - Markeringsfarve5 12 2 2 2" xfId="30947" xr:uid="{00000000-0005-0000-0000-0000E3340000}"/>
    <cellStyle name="20 % - Markeringsfarve5 12 2 2 3" xfId="45911" xr:uid="{00000000-0005-0000-0000-0000E4340000}"/>
    <cellStyle name="20 % - Markeringsfarve5 12 2 3" xfId="23925" xr:uid="{00000000-0005-0000-0000-0000E5340000}"/>
    <cellStyle name="20 % - Markeringsfarve5 12 2 4" xfId="38912" xr:uid="{00000000-0005-0000-0000-0000E6340000}"/>
    <cellStyle name="20 % - Markeringsfarve5 12 3" xfId="11270" xr:uid="{00000000-0005-0000-0000-0000E7340000}"/>
    <cellStyle name="20 % - Markeringsfarve5 12 3 2" xfId="27589" xr:uid="{00000000-0005-0000-0000-0000E8340000}"/>
    <cellStyle name="20 % - Markeringsfarve5 12 3 3" xfId="42555" xr:uid="{00000000-0005-0000-0000-0000E9340000}"/>
    <cellStyle name="20 % - Markeringsfarve5 12 4" xfId="20567" xr:uid="{00000000-0005-0000-0000-0000EA340000}"/>
    <cellStyle name="20 % - Markeringsfarve5 12 5" xfId="35556" xr:uid="{00000000-0005-0000-0000-0000EB340000}"/>
    <cellStyle name="20 % - Markeringsfarve5 13" xfId="5399" xr:uid="{00000000-0005-0000-0000-0000EC340000}"/>
    <cellStyle name="20 % - Markeringsfarve5 13 2" xfId="13320" xr:uid="{00000000-0005-0000-0000-0000ED340000}"/>
    <cellStyle name="20 % - Markeringsfarve5 13 2 2" xfId="29634" xr:uid="{00000000-0005-0000-0000-0000EE340000}"/>
    <cellStyle name="20 % - Markeringsfarve5 13 2 3" xfId="44598" xr:uid="{00000000-0005-0000-0000-0000EF340000}"/>
    <cellStyle name="20 % - Markeringsfarve5 13 3" xfId="22612" xr:uid="{00000000-0005-0000-0000-0000F0340000}"/>
    <cellStyle name="20 % - Markeringsfarve5 13 4" xfId="37599" xr:uid="{00000000-0005-0000-0000-0000F1340000}"/>
    <cellStyle name="20 % - Markeringsfarve5 2" xfId="2714" xr:uid="{00000000-0005-0000-0000-0000F2340000}"/>
    <cellStyle name="20 % - Markeringsfarve5 2 10" xfId="2715" xr:uid="{00000000-0005-0000-0000-0000F3340000}"/>
    <cellStyle name="20 % - Markeringsfarve5 2 10 2" xfId="6750" xr:uid="{00000000-0005-0000-0000-0000F4340000}"/>
    <cellStyle name="20 % - Markeringsfarve5 2 10 2 2" xfId="14661" xr:uid="{00000000-0005-0000-0000-0000F5340000}"/>
    <cellStyle name="20 % - Markeringsfarve5 2 10 2 2 2" xfId="30975" xr:uid="{00000000-0005-0000-0000-0000F6340000}"/>
    <cellStyle name="20 % - Markeringsfarve5 2 10 2 2 3" xfId="45939" xr:uid="{00000000-0005-0000-0000-0000F7340000}"/>
    <cellStyle name="20 % - Markeringsfarve5 2 10 2 3" xfId="23953" xr:uid="{00000000-0005-0000-0000-0000F8340000}"/>
    <cellStyle name="20 % - Markeringsfarve5 2 10 2 4" xfId="38940" xr:uid="{00000000-0005-0000-0000-0000F9340000}"/>
    <cellStyle name="20 % - Markeringsfarve5 2 10 3" xfId="11272" xr:uid="{00000000-0005-0000-0000-0000FA340000}"/>
    <cellStyle name="20 % - Markeringsfarve5 2 10 3 2" xfId="27591" xr:uid="{00000000-0005-0000-0000-0000FB340000}"/>
    <cellStyle name="20 % - Markeringsfarve5 2 10 3 3" xfId="42557" xr:uid="{00000000-0005-0000-0000-0000FC340000}"/>
    <cellStyle name="20 % - Markeringsfarve5 2 10 4" xfId="20569" xr:uid="{00000000-0005-0000-0000-0000FD340000}"/>
    <cellStyle name="20 % - Markeringsfarve5 2 10 5" xfId="35558" xr:uid="{00000000-0005-0000-0000-0000FE340000}"/>
    <cellStyle name="20 % - Markeringsfarve5 2 11" xfId="5636" xr:uid="{00000000-0005-0000-0000-0000FF340000}"/>
    <cellStyle name="20 % - Markeringsfarve5 2 11 2" xfId="13554" xr:uid="{00000000-0005-0000-0000-000000350000}"/>
    <cellStyle name="20 % - Markeringsfarve5 2 11 2 2" xfId="29868" xr:uid="{00000000-0005-0000-0000-000001350000}"/>
    <cellStyle name="20 % - Markeringsfarve5 2 11 2 3" xfId="44832" xr:uid="{00000000-0005-0000-0000-000002350000}"/>
    <cellStyle name="20 % - Markeringsfarve5 2 11 3" xfId="22846" xr:uid="{00000000-0005-0000-0000-000003350000}"/>
    <cellStyle name="20 % - Markeringsfarve5 2 11 4" xfId="37833" xr:uid="{00000000-0005-0000-0000-000004350000}"/>
    <cellStyle name="20 % - Markeringsfarve5 2 12" xfId="11271" xr:uid="{00000000-0005-0000-0000-000005350000}"/>
    <cellStyle name="20 % - Markeringsfarve5 2 12 2" xfId="27590" xr:uid="{00000000-0005-0000-0000-000006350000}"/>
    <cellStyle name="20 % - Markeringsfarve5 2 12 3" xfId="42556" xr:uid="{00000000-0005-0000-0000-000007350000}"/>
    <cellStyle name="20 % - Markeringsfarve5 2 13" xfId="20568" xr:uid="{00000000-0005-0000-0000-000008350000}"/>
    <cellStyle name="20 % - Markeringsfarve5 2 14" xfId="35557" xr:uid="{00000000-0005-0000-0000-000009350000}"/>
    <cellStyle name="20 % - Markeringsfarve5 2 15" xfId="53354" xr:uid="{00000000-0005-0000-0000-00000A350000}"/>
    <cellStyle name="20 % - Markeringsfarve5 2 2" xfId="2716" xr:uid="{00000000-0005-0000-0000-00000B350000}"/>
    <cellStyle name="20 % - Markeringsfarve5 2 2 10" xfId="11273" xr:uid="{00000000-0005-0000-0000-00000C350000}"/>
    <cellStyle name="20 % - Markeringsfarve5 2 2 10 2" xfId="27592" xr:uid="{00000000-0005-0000-0000-00000D350000}"/>
    <cellStyle name="20 % - Markeringsfarve5 2 2 10 3" xfId="42558" xr:uid="{00000000-0005-0000-0000-00000E350000}"/>
    <cellStyle name="20 % - Markeringsfarve5 2 2 11" xfId="20570" xr:uid="{00000000-0005-0000-0000-00000F350000}"/>
    <cellStyle name="20 % - Markeringsfarve5 2 2 12" xfId="35559" xr:uid="{00000000-0005-0000-0000-000010350000}"/>
    <cellStyle name="20 % - Markeringsfarve5 2 2 13" xfId="53353" xr:uid="{00000000-0005-0000-0000-000011350000}"/>
    <cellStyle name="20 % - Markeringsfarve5 2 2 2" xfId="2717" xr:uid="{00000000-0005-0000-0000-000012350000}"/>
    <cellStyle name="20 % - Markeringsfarve5 2 2 2 2" xfId="2718" xr:uid="{00000000-0005-0000-0000-000013350000}"/>
    <cellStyle name="20 % - Markeringsfarve5 2 2 2 2 2" xfId="7681" xr:uid="{00000000-0005-0000-0000-000014350000}"/>
    <cellStyle name="20 % - Markeringsfarve5 2 2 2 2 2 2" xfId="15582" xr:uid="{00000000-0005-0000-0000-000015350000}"/>
    <cellStyle name="20 % - Markeringsfarve5 2 2 2 2 2 2 2" xfId="31896" xr:uid="{00000000-0005-0000-0000-000016350000}"/>
    <cellStyle name="20 % - Markeringsfarve5 2 2 2 2 2 2 3" xfId="46860" xr:uid="{00000000-0005-0000-0000-000017350000}"/>
    <cellStyle name="20 % - Markeringsfarve5 2 2 2 2 2 3" xfId="24874" xr:uid="{00000000-0005-0000-0000-000018350000}"/>
    <cellStyle name="20 % - Markeringsfarve5 2 2 2 2 2 4" xfId="39861" xr:uid="{00000000-0005-0000-0000-000019350000}"/>
    <cellStyle name="20 % - Markeringsfarve5 2 2 2 2 3" xfId="11275" xr:uid="{00000000-0005-0000-0000-00001A350000}"/>
    <cellStyle name="20 % - Markeringsfarve5 2 2 2 2 3 2" xfId="27594" xr:uid="{00000000-0005-0000-0000-00001B350000}"/>
    <cellStyle name="20 % - Markeringsfarve5 2 2 2 2 3 3" xfId="42560" xr:uid="{00000000-0005-0000-0000-00001C350000}"/>
    <cellStyle name="20 % - Markeringsfarve5 2 2 2 2 4" xfId="20572" xr:uid="{00000000-0005-0000-0000-00001D350000}"/>
    <cellStyle name="20 % - Markeringsfarve5 2 2 2 2 5" xfId="35561" xr:uid="{00000000-0005-0000-0000-00001E350000}"/>
    <cellStyle name="20 % - Markeringsfarve5 2 2 2 2 6" xfId="57157" xr:uid="{00000000-0005-0000-0000-00001F350000}"/>
    <cellStyle name="20 % - Markeringsfarve5 2 2 2 3" xfId="2719" xr:uid="{00000000-0005-0000-0000-000020350000}"/>
    <cellStyle name="20 % - Markeringsfarve5 2 2 2 3 2" xfId="6911" xr:uid="{00000000-0005-0000-0000-000021350000}"/>
    <cellStyle name="20 % - Markeringsfarve5 2 2 2 3 2 2" xfId="14822" xr:uid="{00000000-0005-0000-0000-000022350000}"/>
    <cellStyle name="20 % - Markeringsfarve5 2 2 2 3 2 2 2" xfId="31136" xr:uid="{00000000-0005-0000-0000-000023350000}"/>
    <cellStyle name="20 % - Markeringsfarve5 2 2 2 3 2 2 3" xfId="46100" xr:uid="{00000000-0005-0000-0000-000024350000}"/>
    <cellStyle name="20 % - Markeringsfarve5 2 2 2 3 2 3" xfId="24114" xr:uid="{00000000-0005-0000-0000-000025350000}"/>
    <cellStyle name="20 % - Markeringsfarve5 2 2 2 3 2 4" xfId="39101" xr:uid="{00000000-0005-0000-0000-000026350000}"/>
    <cellStyle name="20 % - Markeringsfarve5 2 2 2 3 3" xfId="11276" xr:uid="{00000000-0005-0000-0000-000027350000}"/>
    <cellStyle name="20 % - Markeringsfarve5 2 2 2 3 3 2" xfId="27595" xr:uid="{00000000-0005-0000-0000-000028350000}"/>
    <cellStyle name="20 % - Markeringsfarve5 2 2 2 3 3 3" xfId="42561" xr:uid="{00000000-0005-0000-0000-000029350000}"/>
    <cellStyle name="20 % - Markeringsfarve5 2 2 2 3 4" xfId="20573" xr:uid="{00000000-0005-0000-0000-00002A350000}"/>
    <cellStyle name="20 % - Markeringsfarve5 2 2 2 3 5" xfId="35562" xr:uid="{00000000-0005-0000-0000-00002B350000}"/>
    <cellStyle name="20 % - Markeringsfarve5 2 2 2 4" xfId="5638" xr:uid="{00000000-0005-0000-0000-00002C350000}"/>
    <cellStyle name="20 % - Markeringsfarve5 2 2 2 4 2" xfId="13556" xr:uid="{00000000-0005-0000-0000-00002D350000}"/>
    <cellStyle name="20 % - Markeringsfarve5 2 2 2 4 2 2" xfId="29870" xr:uid="{00000000-0005-0000-0000-00002E350000}"/>
    <cellStyle name="20 % - Markeringsfarve5 2 2 2 4 2 3" xfId="44834" xr:uid="{00000000-0005-0000-0000-00002F350000}"/>
    <cellStyle name="20 % - Markeringsfarve5 2 2 2 4 3" xfId="22848" xr:uid="{00000000-0005-0000-0000-000030350000}"/>
    <cellStyle name="20 % - Markeringsfarve5 2 2 2 4 4" xfId="37835" xr:uid="{00000000-0005-0000-0000-000031350000}"/>
    <cellStyle name="20 % - Markeringsfarve5 2 2 2 5" xfId="11274" xr:uid="{00000000-0005-0000-0000-000032350000}"/>
    <cellStyle name="20 % - Markeringsfarve5 2 2 2 5 2" xfId="27593" xr:uid="{00000000-0005-0000-0000-000033350000}"/>
    <cellStyle name="20 % - Markeringsfarve5 2 2 2 5 3" xfId="42559" xr:uid="{00000000-0005-0000-0000-000034350000}"/>
    <cellStyle name="20 % - Markeringsfarve5 2 2 2 6" xfId="20571" xr:uid="{00000000-0005-0000-0000-000035350000}"/>
    <cellStyle name="20 % - Markeringsfarve5 2 2 2 7" xfId="35560" xr:uid="{00000000-0005-0000-0000-000036350000}"/>
    <cellStyle name="20 % - Markeringsfarve5 2 2 2 8" xfId="53990" xr:uid="{00000000-0005-0000-0000-000037350000}"/>
    <cellStyle name="20 % - Markeringsfarve5 2 2 3" xfId="2720" xr:uid="{00000000-0005-0000-0000-000038350000}"/>
    <cellStyle name="20 % - Markeringsfarve5 2 2 3 2" xfId="2721" xr:uid="{00000000-0005-0000-0000-000039350000}"/>
    <cellStyle name="20 % - Markeringsfarve5 2 2 3 2 2" xfId="7764" xr:uid="{00000000-0005-0000-0000-00003A350000}"/>
    <cellStyle name="20 % - Markeringsfarve5 2 2 3 2 2 2" xfId="15665" xr:uid="{00000000-0005-0000-0000-00003B350000}"/>
    <cellStyle name="20 % - Markeringsfarve5 2 2 3 2 2 2 2" xfId="31979" xr:uid="{00000000-0005-0000-0000-00003C350000}"/>
    <cellStyle name="20 % - Markeringsfarve5 2 2 3 2 2 2 3" xfId="46943" xr:uid="{00000000-0005-0000-0000-00003D350000}"/>
    <cellStyle name="20 % - Markeringsfarve5 2 2 3 2 2 3" xfId="24957" xr:uid="{00000000-0005-0000-0000-00003E350000}"/>
    <cellStyle name="20 % - Markeringsfarve5 2 2 3 2 2 4" xfId="39944" xr:uid="{00000000-0005-0000-0000-00003F350000}"/>
    <cellStyle name="20 % - Markeringsfarve5 2 2 3 2 3" xfId="11278" xr:uid="{00000000-0005-0000-0000-000040350000}"/>
    <cellStyle name="20 % - Markeringsfarve5 2 2 3 2 3 2" xfId="27597" xr:uid="{00000000-0005-0000-0000-000041350000}"/>
    <cellStyle name="20 % - Markeringsfarve5 2 2 3 2 3 3" xfId="42563" xr:uid="{00000000-0005-0000-0000-000042350000}"/>
    <cellStyle name="20 % - Markeringsfarve5 2 2 3 2 4" xfId="20575" xr:uid="{00000000-0005-0000-0000-000043350000}"/>
    <cellStyle name="20 % - Markeringsfarve5 2 2 3 2 5" xfId="35564" xr:uid="{00000000-0005-0000-0000-000044350000}"/>
    <cellStyle name="20 % - Markeringsfarve5 2 2 3 3" xfId="2722" xr:uid="{00000000-0005-0000-0000-000045350000}"/>
    <cellStyle name="20 % - Markeringsfarve5 2 2 3 3 2" xfId="6994" xr:uid="{00000000-0005-0000-0000-000046350000}"/>
    <cellStyle name="20 % - Markeringsfarve5 2 2 3 3 2 2" xfId="14905" xr:uid="{00000000-0005-0000-0000-000047350000}"/>
    <cellStyle name="20 % - Markeringsfarve5 2 2 3 3 2 2 2" xfId="31219" xr:uid="{00000000-0005-0000-0000-000048350000}"/>
    <cellStyle name="20 % - Markeringsfarve5 2 2 3 3 2 2 3" xfId="46183" xr:uid="{00000000-0005-0000-0000-000049350000}"/>
    <cellStyle name="20 % - Markeringsfarve5 2 2 3 3 2 3" xfId="24197" xr:uid="{00000000-0005-0000-0000-00004A350000}"/>
    <cellStyle name="20 % - Markeringsfarve5 2 2 3 3 2 4" xfId="39184" xr:uid="{00000000-0005-0000-0000-00004B350000}"/>
    <cellStyle name="20 % - Markeringsfarve5 2 2 3 3 3" xfId="11279" xr:uid="{00000000-0005-0000-0000-00004C350000}"/>
    <cellStyle name="20 % - Markeringsfarve5 2 2 3 3 3 2" xfId="27598" xr:uid="{00000000-0005-0000-0000-00004D350000}"/>
    <cellStyle name="20 % - Markeringsfarve5 2 2 3 3 3 3" xfId="42564" xr:uid="{00000000-0005-0000-0000-00004E350000}"/>
    <cellStyle name="20 % - Markeringsfarve5 2 2 3 3 4" xfId="20576" xr:uid="{00000000-0005-0000-0000-00004F350000}"/>
    <cellStyle name="20 % - Markeringsfarve5 2 2 3 3 5" xfId="35565" xr:uid="{00000000-0005-0000-0000-000050350000}"/>
    <cellStyle name="20 % - Markeringsfarve5 2 2 3 4" xfId="5639" xr:uid="{00000000-0005-0000-0000-000051350000}"/>
    <cellStyle name="20 % - Markeringsfarve5 2 2 3 4 2" xfId="13557" xr:uid="{00000000-0005-0000-0000-000052350000}"/>
    <cellStyle name="20 % - Markeringsfarve5 2 2 3 4 2 2" xfId="29871" xr:uid="{00000000-0005-0000-0000-000053350000}"/>
    <cellStyle name="20 % - Markeringsfarve5 2 2 3 4 2 3" xfId="44835" xr:uid="{00000000-0005-0000-0000-000054350000}"/>
    <cellStyle name="20 % - Markeringsfarve5 2 2 3 4 3" xfId="22849" xr:uid="{00000000-0005-0000-0000-000055350000}"/>
    <cellStyle name="20 % - Markeringsfarve5 2 2 3 4 4" xfId="37836" xr:uid="{00000000-0005-0000-0000-000056350000}"/>
    <cellStyle name="20 % - Markeringsfarve5 2 2 3 5" xfId="11277" xr:uid="{00000000-0005-0000-0000-000057350000}"/>
    <cellStyle name="20 % - Markeringsfarve5 2 2 3 5 2" xfId="27596" xr:uid="{00000000-0005-0000-0000-000058350000}"/>
    <cellStyle name="20 % - Markeringsfarve5 2 2 3 5 3" xfId="42562" xr:uid="{00000000-0005-0000-0000-000059350000}"/>
    <cellStyle name="20 % - Markeringsfarve5 2 2 3 6" xfId="20574" xr:uid="{00000000-0005-0000-0000-00005A350000}"/>
    <cellStyle name="20 % - Markeringsfarve5 2 2 3 7" xfId="35563" xr:uid="{00000000-0005-0000-0000-00005B350000}"/>
    <cellStyle name="20 % - Markeringsfarve5 2 2 3 8" xfId="56534" xr:uid="{00000000-0005-0000-0000-00005C350000}"/>
    <cellStyle name="20 % - Markeringsfarve5 2 2 4" xfId="2723" xr:uid="{00000000-0005-0000-0000-00005D350000}"/>
    <cellStyle name="20 % - Markeringsfarve5 2 2 4 2" xfId="2724" xr:uid="{00000000-0005-0000-0000-00005E350000}"/>
    <cellStyle name="20 % - Markeringsfarve5 2 2 4 2 2" xfId="7919" xr:uid="{00000000-0005-0000-0000-00005F350000}"/>
    <cellStyle name="20 % - Markeringsfarve5 2 2 4 2 2 2" xfId="15820" xr:uid="{00000000-0005-0000-0000-000060350000}"/>
    <cellStyle name="20 % - Markeringsfarve5 2 2 4 2 2 2 2" xfId="32134" xr:uid="{00000000-0005-0000-0000-000061350000}"/>
    <cellStyle name="20 % - Markeringsfarve5 2 2 4 2 2 2 3" xfId="47098" xr:uid="{00000000-0005-0000-0000-000062350000}"/>
    <cellStyle name="20 % - Markeringsfarve5 2 2 4 2 2 3" xfId="25112" xr:uid="{00000000-0005-0000-0000-000063350000}"/>
    <cellStyle name="20 % - Markeringsfarve5 2 2 4 2 2 4" xfId="40099" xr:uid="{00000000-0005-0000-0000-000064350000}"/>
    <cellStyle name="20 % - Markeringsfarve5 2 2 4 2 3" xfId="11281" xr:uid="{00000000-0005-0000-0000-000065350000}"/>
    <cellStyle name="20 % - Markeringsfarve5 2 2 4 2 3 2" xfId="27600" xr:uid="{00000000-0005-0000-0000-000066350000}"/>
    <cellStyle name="20 % - Markeringsfarve5 2 2 4 2 3 3" xfId="42566" xr:uid="{00000000-0005-0000-0000-000067350000}"/>
    <cellStyle name="20 % - Markeringsfarve5 2 2 4 2 4" xfId="20578" xr:uid="{00000000-0005-0000-0000-000068350000}"/>
    <cellStyle name="20 % - Markeringsfarve5 2 2 4 2 5" xfId="35567" xr:uid="{00000000-0005-0000-0000-000069350000}"/>
    <cellStyle name="20 % - Markeringsfarve5 2 2 4 3" xfId="2725" xr:uid="{00000000-0005-0000-0000-00006A350000}"/>
    <cellStyle name="20 % - Markeringsfarve5 2 2 4 3 2" xfId="7195" xr:uid="{00000000-0005-0000-0000-00006B350000}"/>
    <cellStyle name="20 % - Markeringsfarve5 2 2 4 3 2 2" xfId="15105" xr:uid="{00000000-0005-0000-0000-00006C350000}"/>
    <cellStyle name="20 % - Markeringsfarve5 2 2 4 3 2 2 2" xfId="31419" xr:uid="{00000000-0005-0000-0000-00006D350000}"/>
    <cellStyle name="20 % - Markeringsfarve5 2 2 4 3 2 2 3" xfId="46383" xr:uid="{00000000-0005-0000-0000-00006E350000}"/>
    <cellStyle name="20 % - Markeringsfarve5 2 2 4 3 2 3" xfId="24397" xr:uid="{00000000-0005-0000-0000-00006F350000}"/>
    <cellStyle name="20 % - Markeringsfarve5 2 2 4 3 2 4" xfId="39384" xr:uid="{00000000-0005-0000-0000-000070350000}"/>
    <cellStyle name="20 % - Markeringsfarve5 2 2 4 3 3" xfId="11282" xr:uid="{00000000-0005-0000-0000-000071350000}"/>
    <cellStyle name="20 % - Markeringsfarve5 2 2 4 3 3 2" xfId="27601" xr:uid="{00000000-0005-0000-0000-000072350000}"/>
    <cellStyle name="20 % - Markeringsfarve5 2 2 4 3 3 3" xfId="42567" xr:uid="{00000000-0005-0000-0000-000073350000}"/>
    <cellStyle name="20 % - Markeringsfarve5 2 2 4 3 4" xfId="20579" xr:uid="{00000000-0005-0000-0000-000074350000}"/>
    <cellStyle name="20 % - Markeringsfarve5 2 2 4 3 5" xfId="35568" xr:uid="{00000000-0005-0000-0000-000075350000}"/>
    <cellStyle name="20 % - Markeringsfarve5 2 2 4 4" xfId="5640" xr:uid="{00000000-0005-0000-0000-000076350000}"/>
    <cellStyle name="20 % - Markeringsfarve5 2 2 4 4 2" xfId="13558" xr:uid="{00000000-0005-0000-0000-000077350000}"/>
    <cellStyle name="20 % - Markeringsfarve5 2 2 4 4 2 2" xfId="29872" xr:uid="{00000000-0005-0000-0000-000078350000}"/>
    <cellStyle name="20 % - Markeringsfarve5 2 2 4 4 2 3" xfId="44836" xr:uid="{00000000-0005-0000-0000-000079350000}"/>
    <cellStyle name="20 % - Markeringsfarve5 2 2 4 4 3" xfId="22850" xr:uid="{00000000-0005-0000-0000-00007A350000}"/>
    <cellStyle name="20 % - Markeringsfarve5 2 2 4 4 4" xfId="37837" xr:uid="{00000000-0005-0000-0000-00007B350000}"/>
    <cellStyle name="20 % - Markeringsfarve5 2 2 4 5" xfId="11280" xr:uid="{00000000-0005-0000-0000-00007C350000}"/>
    <cellStyle name="20 % - Markeringsfarve5 2 2 4 5 2" xfId="27599" xr:uid="{00000000-0005-0000-0000-00007D350000}"/>
    <cellStyle name="20 % - Markeringsfarve5 2 2 4 5 3" xfId="42565" xr:uid="{00000000-0005-0000-0000-00007E350000}"/>
    <cellStyle name="20 % - Markeringsfarve5 2 2 4 6" xfId="20577" xr:uid="{00000000-0005-0000-0000-00007F350000}"/>
    <cellStyle name="20 % - Markeringsfarve5 2 2 4 7" xfId="35566" xr:uid="{00000000-0005-0000-0000-000080350000}"/>
    <cellStyle name="20 % - Markeringsfarve5 2 2 5" xfId="2726" xr:uid="{00000000-0005-0000-0000-000081350000}"/>
    <cellStyle name="20 % - Markeringsfarve5 2 2 5 2" xfId="2727" xr:uid="{00000000-0005-0000-0000-000082350000}"/>
    <cellStyle name="20 % - Markeringsfarve5 2 2 5 2 2" xfId="8036" xr:uid="{00000000-0005-0000-0000-000083350000}"/>
    <cellStyle name="20 % - Markeringsfarve5 2 2 5 2 2 2" xfId="15937" xr:uid="{00000000-0005-0000-0000-000084350000}"/>
    <cellStyle name="20 % - Markeringsfarve5 2 2 5 2 2 2 2" xfId="32251" xr:uid="{00000000-0005-0000-0000-000085350000}"/>
    <cellStyle name="20 % - Markeringsfarve5 2 2 5 2 2 2 3" xfId="47215" xr:uid="{00000000-0005-0000-0000-000086350000}"/>
    <cellStyle name="20 % - Markeringsfarve5 2 2 5 2 2 3" xfId="25229" xr:uid="{00000000-0005-0000-0000-000087350000}"/>
    <cellStyle name="20 % - Markeringsfarve5 2 2 5 2 2 4" xfId="40216" xr:uid="{00000000-0005-0000-0000-000088350000}"/>
    <cellStyle name="20 % - Markeringsfarve5 2 2 5 2 3" xfId="11284" xr:uid="{00000000-0005-0000-0000-000089350000}"/>
    <cellStyle name="20 % - Markeringsfarve5 2 2 5 2 3 2" xfId="27603" xr:uid="{00000000-0005-0000-0000-00008A350000}"/>
    <cellStyle name="20 % - Markeringsfarve5 2 2 5 2 3 3" xfId="42569" xr:uid="{00000000-0005-0000-0000-00008B350000}"/>
    <cellStyle name="20 % - Markeringsfarve5 2 2 5 2 4" xfId="20581" xr:uid="{00000000-0005-0000-0000-00008C350000}"/>
    <cellStyle name="20 % - Markeringsfarve5 2 2 5 2 5" xfId="35570" xr:uid="{00000000-0005-0000-0000-00008D350000}"/>
    <cellStyle name="20 % - Markeringsfarve5 2 2 5 3" xfId="2728" xr:uid="{00000000-0005-0000-0000-00008E350000}"/>
    <cellStyle name="20 % - Markeringsfarve5 2 2 5 3 2" xfId="7312" xr:uid="{00000000-0005-0000-0000-00008F350000}"/>
    <cellStyle name="20 % - Markeringsfarve5 2 2 5 3 2 2" xfId="15222" xr:uid="{00000000-0005-0000-0000-000090350000}"/>
    <cellStyle name="20 % - Markeringsfarve5 2 2 5 3 2 2 2" xfId="31536" xr:uid="{00000000-0005-0000-0000-000091350000}"/>
    <cellStyle name="20 % - Markeringsfarve5 2 2 5 3 2 2 3" xfId="46500" xr:uid="{00000000-0005-0000-0000-000092350000}"/>
    <cellStyle name="20 % - Markeringsfarve5 2 2 5 3 2 3" xfId="24514" xr:uid="{00000000-0005-0000-0000-000093350000}"/>
    <cellStyle name="20 % - Markeringsfarve5 2 2 5 3 2 4" xfId="39501" xr:uid="{00000000-0005-0000-0000-000094350000}"/>
    <cellStyle name="20 % - Markeringsfarve5 2 2 5 3 3" xfId="11285" xr:uid="{00000000-0005-0000-0000-000095350000}"/>
    <cellStyle name="20 % - Markeringsfarve5 2 2 5 3 3 2" xfId="27604" xr:uid="{00000000-0005-0000-0000-000096350000}"/>
    <cellStyle name="20 % - Markeringsfarve5 2 2 5 3 3 3" xfId="42570" xr:uid="{00000000-0005-0000-0000-000097350000}"/>
    <cellStyle name="20 % - Markeringsfarve5 2 2 5 3 4" xfId="20582" xr:uid="{00000000-0005-0000-0000-000098350000}"/>
    <cellStyle name="20 % - Markeringsfarve5 2 2 5 3 5" xfId="35571" xr:uid="{00000000-0005-0000-0000-000099350000}"/>
    <cellStyle name="20 % - Markeringsfarve5 2 2 5 4" xfId="5641" xr:uid="{00000000-0005-0000-0000-00009A350000}"/>
    <cellStyle name="20 % - Markeringsfarve5 2 2 5 4 2" xfId="13559" xr:uid="{00000000-0005-0000-0000-00009B350000}"/>
    <cellStyle name="20 % - Markeringsfarve5 2 2 5 4 2 2" xfId="29873" xr:uid="{00000000-0005-0000-0000-00009C350000}"/>
    <cellStyle name="20 % - Markeringsfarve5 2 2 5 4 2 3" xfId="44837" xr:uid="{00000000-0005-0000-0000-00009D350000}"/>
    <cellStyle name="20 % - Markeringsfarve5 2 2 5 4 3" xfId="22851" xr:uid="{00000000-0005-0000-0000-00009E350000}"/>
    <cellStyle name="20 % - Markeringsfarve5 2 2 5 4 4" xfId="37838" xr:uid="{00000000-0005-0000-0000-00009F350000}"/>
    <cellStyle name="20 % - Markeringsfarve5 2 2 5 5" xfId="11283" xr:uid="{00000000-0005-0000-0000-0000A0350000}"/>
    <cellStyle name="20 % - Markeringsfarve5 2 2 5 5 2" xfId="27602" xr:uid="{00000000-0005-0000-0000-0000A1350000}"/>
    <cellStyle name="20 % - Markeringsfarve5 2 2 5 5 3" xfId="42568" xr:uid="{00000000-0005-0000-0000-0000A2350000}"/>
    <cellStyle name="20 % - Markeringsfarve5 2 2 5 6" xfId="20580" xr:uid="{00000000-0005-0000-0000-0000A3350000}"/>
    <cellStyle name="20 % - Markeringsfarve5 2 2 5 7" xfId="35569" xr:uid="{00000000-0005-0000-0000-0000A4350000}"/>
    <cellStyle name="20 % - Markeringsfarve5 2 2 6" xfId="2729" xr:uid="{00000000-0005-0000-0000-0000A5350000}"/>
    <cellStyle name="20 % - Markeringsfarve5 2 2 6 2" xfId="2730" xr:uid="{00000000-0005-0000-0000-0000A6350000}"/>
    <cellStyle name="20 % - Markeringsfarve5 2 2 6 2 2" xfId="8118" xr:uid="{00000000-0005-0000-0000-0000A7350000}"/>
    <cellStyle name="20 % - Markeringsfarve5 2 2 6 2 2 2" xfId="16019" xr:uid="{00000000-0005-0000-0000-0000A8350000}"/>
    <cellStyle name="20 % - Markeringsfarve5 2 2 6 2 2 2 2" xfId="32333" xr:uid="{00000000-0005-0000-0000-0000A9350000}"/>
    <cellStyle name="20 % - Markeringsfarve5 2 2 6 2 2 2 3" xfId="47297" xr:uid="{00000000-0005-0000-0000-0000AA350000}"/>
    <cellStyle name="20 % - Markeringsfarve5 2 2 6 2 2 3" xfId="25311" xr:uid="{00000000-0005-0000-0000-0000AB350000}"/>
    <cellStyle name="20 % - Markeringsfarve5 2 2 6 2 2 4" xfId="40298" xr:uid="{00000000-0005-0000-0000-0000AC350000}"/>
    <cellStyle name="20 % - Markeringsfarve5 2 2 6 2 3" xfId="11287" xr:uid="{00000000-0005-0000-0000-0000AD350000}"/>
    <cellStyle name="20 % - Markeringsfarve5 2 2 6 2 3 2" xfId="27606" xr:uid="{00000000-0005-0000-0000-0000AE350000}"/>
    <cellStyle name="20 % - Markeringsfarve5 2 2 6 2 3 3" xfId="42572" xr:uid="{00000000-0005-0000-0000-0000AF350000}"/>
    <cellStyle name="20 % - Markeringsfarve5 2 2 6 2 4" xfId="20584" xr:uid="{00000000-0005-0000-0000-0000B0350000}"/>
    <cellStyle name="20 % - Markeringsfarve5 2 2 6 2 5" xfId="35573" xr:uid="{00000000-0005-0000-0000-0000B1350000}"/>
    <cellStyle name="20 % - Markeringsfarve5 2 2 6 3" xfId="2731" xr:uid="{00000000-0005-0000-0000-0000B2350000}"/>
    <cellStyle name="20 % - Markeringsfarve5 2 2 6 3 2" xfId="7395" xr:uid="{00000000-0005-0000-0000-0000B3350000}"/>
    <cellStyle name="20 % - Markeringsfarve5 2 2 6 3 2 2" xfId="15305" xr:uid="{00000000-0005-0000-0000-0000B4350000}"/>
    <cellStyle name="20 % - Markeringsfarve5 2 2 6 3 2 2 2" xfId="31619" xr:uid="{00000000-0005-0000-0000-0000B5350000}"/>
    <cellStyle name="20 % - Markeringsfarve5 2 2 6 3 2 2 3" xfId="46583" xr:uid="{00000000-0005-0000-0000-0000B6350000}"/>
    <cellStyle name="20 % - Markeringsfarve5 2 2 6 3 2 3" xfId="24597" xr:uid="{00000000-0005-0000-0000-0000B7350000}"/>
    <cellStyle name="20 % - Markeringsfarve5 2 2 6 3 2 4" xfId="39584" xr:uid="{00000000-0005-0000-0000-0000B8350000}"/>
    <cellStyle name="20 % - Markeringsfarve5 2 2 6 3 3" xfId="11288" xr:uid="{00000000-0005-0000-0000-0000B9350000}"/>
    <cellStyle name="20 % - Markeringsfarve5 2 2 6 3 3 2" xfId="27607" xr:uid="{00000000-0005-0000-0000-0000BA350000}"/>
    <cellStyle name="20 % - Markeringsfarve5 2 2 6 3 3 3" xfId="42573" xr:uid="{00000000-0005-0000-0000-0000BB350000}"/>
    <cellStyle name="20 % - Markeringsfarve5 2 2 6 3 4" xfId="20585" xr:uid="{00000000-0005-0000-0000-0000BC350000}"/>
    <cellStyle name="20 % - Markeringsfarve5 2 2 6 3 5" xfId="35574" xr:uid="{00000000-0005-0000-0000-0000BD350000}"/>
    <cellStyle name="20 % - Markeringsfarve5 2 2 6 4" xfId="5642" xr:uid="{00000000-0005-0000-0000-0000BE350000}"/>
    <cellStyle name="20 % - Markeringsfarve5 2 2 6 4 2" xfId="13560" xr:uid="{00000000-0005-0000-0000-0000BF350000}"/>
    <cellStyle name="20 % - Markeringsfarve5 2 2 6 4 2 2" xfId="29874" xr:uid="{00000000-0005-0000-0000-0000C0350000}"/>
    <cellStyle name="20 % - Markeringsfarve5 2 2 6 4 2 3" xfId="44838" xr:uid="{00000000-0005-0000-0000-0000C1350000}"/>
    <cellStyle name="20 % - Markeringsfarve5 2 2 6 4 3" xfId="22852" xr:uid="{00000000-0005-0000-0000-0000C2350000}"/>
    <cellStyle name="20 % - Markeringsfarve5 2 2 6 4 4" xfId="37839" xr:uid="{00000000-0005-0000-0000-0000C3350000}"/>
    <cellStyle name="20 % - Markeringsfarve5 2 2 6 5" xfId="11286" xr:uid="{00000000-0005-0000-0000-0000C4350000}"/>
    <cellStyle name="20 % - Markeringsfarve5 2 2 6 5 2" xfId="27605" xr:uid="{00000000-0005-0000-0000-0000C5350000}"/>
    <cellStyle name="20 % - Markeringsfarve5 2 2 6 5 3" xfId="42571" xr:uid="{00000000-0005-0000-0000-0000C6350000}"/>
    <cellStyle name="20 % - Markeringsfarve5 2 2 6 6" xfId="20583" xr:uid="{00000000-0005-0000-0000-0000C7350000}"/>
    <cellStyle name="20 % - Markeringsfarve5 2 2 6 7" xfId="35572" xr:uid="{00000000-0005-0000-0000-0000C8350000}"/>
    <cellStyle name="20 % - Markeringsfarve5 2 2 7" xfId="2732" xr:uid="{00000000-0005-0000-0000-0000C9350000}"/>
    <cellStyle name="20 % - Markeringsfarve5 2 2 7 2" xfId="7562" xr:uid="{00000000-0005-0000-0000-0000CA350000}"/>
    <cellStyle name="20 % - Markeringsfarve5 2 2 7 2 2" xfId="15463" xr:uid="{00000000-0005-0000-0000-0000CB350000}"/>
    <cellStyle name="20 % - Markeringsfarve5 2 2 7 2 2 2" xfId="31777" xr:uid="{00000000-0005-0000-0000-0000CC350000}"/>
    <cellStyle name="20 % - Markeringsfarve5 2 2 7 2 2 3" xfId="46741" xr:uid="{00000000-0005-0000-0000-0000CD350000}"/>
    <cellStyle name="20 % - Markeringsfarve5 2 2 7 2 3" xfId="24755" xr:uid="{00000000-0005-0000-0000-0000CE350000}"/>
    <cellStyle name="20 % - Markeringsfarve5 2 2 7 2 4" xfId="39742" xr:uid="{00000000-0005-0000-0000-0000CF350000}"/>
    <cellStyle name="20 % - Markeringsfarve5 2 2 7 3" xfId="11289" xr:uid="{00000000-0005-0000-0000-0000D0350000}"/>
    <cellStyle name="20 % - Markeringsfarve5 2 2 7 3 2" xfId="27608" xr:uid="{00000000-0005-0000-0000-0000D1350000}"/>
    <cellStyle name="20 % - Markeringsfarve5 2 2 7 3 3" xfId="42574" xr:uid="{00000000-0005-0000-0000-0000D2350000}"/>
    <cellStyle name="20 % - Markeringsfarve5 2 2 7 4" xfId="20586" xr:uid="{00000000-0005-0000-0000-0000D3350000}"/>
    <cellStyle name="20 % - Markeringsfarve5 2 2 7 5" xfId="35575" xr:uid="{00000000-0005-0000-0000-0000D4350000}"/>
    <cellStyle name="20 % - Markeringsfarve5 2 2 8" xfId="2733" xr:uid="{00000000-0005-0000-0000-0000D5350000}"/>
    <cellStyle name="20 % - Markeringsfarve5 2 2 8 2" xfId="6790" xr:uid="{00000000-0005-0000-0000-0000D6350000}"/>
    <cellStyle name="20 % - Markeringsfarve5 2 2 8 2 2" xfId="14701" xr:uid="{00000000-0005-0000-0000-0000D7350000}"/>
    <cellStyle name="20 % - Markeringsfarve5 2 2 8 2 2 2" xfId="31015" xr:uid="{00000000-0005-0000-0000-0000D8350000}"/>
    <cellStyle name="20 % - Markeringsfarve5 2 2 8 2 2 3" xfId="45979" xr:uid="{00000000-0005-0000-0000-0000D9350000}"/>
    <cellStyle name="20 % - Markeringsfarve5 2 2 8 2 3" xfId="23993" xr:uid="{00000000-0005-0000-0000-0000DA350000}"/>
    <cellStyle name="20 % - Markeringsfarve5 2 2 8 2 4" xfId="38980" xr:uid="{00000000-0005-0000-0000-0000DB350000}"/>
    <cellStyle name="20 % - Markeringsfarve5 2 2 8 3" xfId="11290" xr:uid="{00000000-0005-0000-0000-0000DC350000}"/>
    <cellStyle name="20 % - Markeringsfarve5 2 2 8 3 2" xfId="27609" xr:uid="{00000000-0005-0000-0000-0000DD350000}"/>
    <cellStyle name="20 % - Markeringsfarve5 2 2 8 3 3" xfId="42575" xr:uid="{00000000-0005-0000-0000-0000DE350000}"/>
    <cellStyle name="20 % - Markeringsfarve5 2 2 8 4" xfId="20587" xr:uid="{00000000-0005-0000-0000-0000DF350000}"/>
    <cellStyle name="20 % - Markeringsfarve5 2 2 8 5" xfId="35576" xr:uid="{00000000-0005-0000-0000-0000E0350000}"/>
    <cellStyle name="20 % - Markeringsfarve5 2 2 9" xfId="5637" xr:uid="{00000000-0005-0000-0000-0000E1350000}"/>
    <cellStyle name="20 % - Markeringsfarve5 2 2 9 2" xfId="13555" xr:uid="{00000000-0005-0000-0000-0000E2350000}"/>
    <cellStyle name="20 % - Markeringsfarve5 2 2 9 2 2" xfId="29869" xr:uid="{00000000-0005-0000-0000-0000E3350000}"/>
    <cellStyle name="20 % - Markeringsfarve5 2 2 9 2 3" xfId="44833" xr:uid="{00000000-0005-0000-0000-0000E4350000}"/>
    <cellStyle name="20 % - Markeringsfarve5 2 2 9 3" xfId="22847" xr:uid="{00000000-0005-0000-0000-0000E5350000}"/>
    <cellStyle name="20 % - Markeringsfarve5 2 2 9 4" xfId="37834" xr:uid="{00000000-0005-0000-0000-0000E6350000}"/>
    <cellStyle name="20 % - Markeringsfarve5 2 3" xfId="2734" xr:uid="{00000000-0005-0000-0000-0000E7350000}"/>
    <cellStyle name="20 % - Markeringsfarve5 2 3 10" xfId="11291" xr:uid="{00000000-0005-0000-0000-0000E8350000}"/>
    <cellStyle name="20 % - Markeringsfarve5 2 3 10 2" xfId="27610" xr:uid="{00000000-0005-0000-0000-0000E9350000}"/>
    <cellStyle name="20 % - Markeringsfarve5 2 3 10 3" xfId="42576" xr:uid="{00000000-0005-0000-0000-0000EA350000}"/>
    <cellStyle name="20 % - Markeringsfarve5 2 3 11" xfId="20588" xr:uid="{00000000-0005-0000-0000-0000EB350000}"/>
    <cellStyle name="20 % - Markeringsfarve5 2 3 12" xfId="35577" xr:uid="{00000000-0005-0000-0000-0000EC350000}"/>
    <cellStyle name="20 % - Markeringsfarve5 2 3 13" xfId="53352" xr:uid="{00000000-0005-0000-0000-0000ED350000}"/>
    <cellStyle name="20 % - Markeringsfarve5 2 3 2" xfId="2735" xr:uid="{00000000-0005-0000-0000-0000EE350000}"/>
    <cellStyle name="20 % - Markeringsfarve5 2 3 2 2" xfId="2736" xr:uid="{00000000-0005-0000-0000-0000EF350000}"/>
    <cellStyle name="20 % - Markeringsfarve5 2 3 2 2 2" xfId="7720" xr:uid="{00000000-0005-0000-0000-0000F0350000}"/>
    <cellStyle name="20 % - Markeringsfarve5 2 3 2 2 2 2" xfId="15621" xr:uid="{00000000-0005-0000-0000-0000F1350000}"/>
    <cellStyle name="20 % - Markeringsfarve5 2 3 2 2 2 2 2" xfId="31935" xr:uid="{00000000-0005-0000-0000-0000F2350000}"/>
    <cellStyle name="20 % - Markeringsfarve5 2 3 2 2 2 2 3" xfId="46899" xr:uid="{00000000-0005-0000-0000-0000F3350000}"/>
    <cellStyle name="20 % - Markeringsfarve5 2 3 2 2 2 3" xfId="24913" xr:uid="{00000000-0005-0000-0000-0000F4350000}"/>
    <cellStyle name="20 % - Markeringsfarve5 2 3 2 2 2 4" xfId="39900" xr:uid="{00000000-0005-0000-0000-0000F5350000}"/>
    <cellStyle name="20 % - Markeringsfarve5 2 3 2 2 3" xfId="11293" xr:uid="{00000000-0005-0000-0000-0000F6350000}"/>
    <cellStyle name="20 % - Markeringsfarve5 2 3 2 2 3 2" xfId="27612" xr:uid="{00000000-0005-0000-0000-0000F7350000}"/>
    <cellStyle name="20 % - Markeringsfarve5 2 3 2 2 3 3" xfId="42578" xr:uid="{00000000-0005-0000-0000-0000F8350000}"/>
    <cellStyle name="20 % - Markeringsfarve5 2 3 2 2 4" xfId="20590" xr:uid="{00000000-0005-0000-0000-0000F9350000}"/>
    <cellStyle name="20 % - Markeringsfarve5 2 3 2 2 5" xfId="35579" xr:uid="{00000000-0005-0000-0000-0000FA350000}"/>
    <cellStyle name="20 % - Markeringsfarve5 2 3 2 2 6" xfId="57156" xr:uid="{00000000-0005-0000-0000-0000FB350000}"/>
    <cellStyle name="20 % - Markeringsfarve5 2 3 2 3" xfId="2737" xr:uid="{00000000-0005-0000-0000-0000FC350000}"/>
    <cellStyle name="20 % - Markeringsfarve5 2 3 2 3 2" xfId="6950" xr:uid="{00000000-0005-0000-0000-0000FD350000}"/>
    <cellStyle name="20 % - Markeringsfarve5 2 3 2 3 2 2" xfId="14861" xr:uid="{00000000-0005-0000-0000-0000FE350000}"/>
    <cellStyle name="20 % - Markeringsfarve5 2 3 2 3 2 2 2" xfId="31175" xr:uid="{00000000-0005-0000-0000-0000FF350000}"/>
    <cellStyle name="20 % - Markeringsfarve5 2 3 2 3 2 2 3" xfId="46139" xr:uid="{00000000-0005-0000-0000-000000360000}"/>
    <cellStyle name="20 % - Markeringsfarve5 2 3 2 3 2 3" xfId="24153" xr:uid="{00000000-0005-0000-0000-000001360000}"/>
    <cellStyle name="20 % - Markeringsfarve5 2 3 2 3 2 4" xfId="39140" xr:uid="{00000000-0005-0000-0000-000002360000}"/>
    <cellStyle name="20 % - Markeringsfarve5 2 3 2 3 3" xfId="11294" xr:uid="{00000000-0005-0000-0000-000003360000}"/>
    <cellStyle name="20 % - Markeringsfarve5 2 3 2 3 3 2" xfId="27613" xr:uid="{00000000-0005-0000-0000-000004360000}"/>
    <cellStyle name="20 % - Markeringsfarve5 2 3 2 3 3 3" xfId="42579" xr:uid="{00000000-0005-0000-0000-000005360000}"/>
    <cellStyle name="20 % - Markeringsfarve5 2 3 2 3 4" xfId="20591" xr:uid="{00000000-0005-0000-0000-000006360000}"/>
    <cellStyle name="20 % - Markeringsfarve5 2 3 2 3 5" xfId="35580" xr:uid="{00000000-0005-0000-0000-000007360000}"/>
    <cellStyle name="20 % - Markeringsfarve5 2 3 2 4" xfId="5644" xr:uid="{00000000-0005-0000-0000-000008360000}"/>
    <cellStyle name="20 % - Markeringsfarve5 2 3 2 4 2" xfId="13562" xr:uid="{00000000-0005-0000-0000-000009360000}"/>
    <cellStyle name="20 % - Markeringsfarve5 2 3 2 4 2 2" xfId="29876" xr:uid="{00000000-0005-0000-0000-00000A360000}"/>
    <cellStyle name="20 % - Markeringsfarve5 2 3 2 4 2 3" xfId="44840" xr:uid="{00000000-0005-0000-0000-00000B360000}"/>
    <cellStyle name="20 % - Markeringsfarve5 2 3 2 4 3" xfId="22854" xr:uid="{00000000-0005-0000-0000-00000C360000}"/>
    <cellStyle name="20 % - Markeringsfarve5 2 3 2 4 4" xfId="37841" xr:uid="{00000000-0005-0000-0000-00000D360000}"/>
    <cellStyle name="20 % - Markeringsfarve5 2 3 2 5" xfId="11292" xr:uid="{00000000-0005-0000-0000-00000E360000}"/>
    <cellStyle name="20 % - Markeringsfarve5 2 3 2 5 2" xfId="27611" xr:uid="{00000000-0005-0000-0000-00000F360000}"/>
    <cellStyle name="20 % - Markeringsfarve5 2 3 2 5 3" xfId="42577" xr:uid="{00000000-0005-0000-0000-000010360000}"/>
    <cellStyle name="20 % - Markeringsfarve5 2 3 2 6" xfId="20589" xr:uid="{00000000-0005-0000-0000-000011360000}"/>
    <cellStyle name="20 % - Markeringsfarve5 2 3 2 7" xfId="35578" xr:uid="{00000000-0005-0000-0000-000012360000}"/>
    <cellStyle name="20 % - Markeringsfarve5 2 3 2 8" xfId="53989" xr:uid="{00000000-0005-0000-0000-000013360000}"/>
    <cellStyle name="20 % - Markeringsfarve5 2 3 3" xfId="2738" xr:uid="{00000000-0005-0000-0000-000014360000}"/>
    <cellStyle name="20 % - Markeringsfarve5 2 3 3 2" xfId="2739" xr:uid="{00000000-0005-0000-0000-000015360000}"/>
    <cellStyle name="20 % - Markeringsfarve5 2 3 3 2 2" xfId="7765" xr:uid="{00000000-0005-0000-0000-000016360000}"/>
    <cellStyle name="20 % - Markeringsfarve5 2 3 3 2 2 2" xfId="15666" xr:uid="{00000000-0005-0000-0000-000017360000}"/>
    <cellStyle name="20 % - Markeringsfarve5 2 3 3 2 2 2 2" xfId="31980" xr:uid="{00000000-0005-0000-0000-000018360000}"/>
    <cellStyle name="20 % - Markeringsfarve5 2 3 3 2 2 2 3" xfId="46944" xr:uid="{00000000-0005-0000-0000-000019360000}"/>
    <cellStyle name="20 % - Markeringsfarve5 2 3 3 2 2 3" xfId="24958" xr:uid="{00000000-0005-0000-0000-00001A360000}"/>
    <cellStyle name="20 % - Markeringsfarve5 2 3 3 2 2 4" xfId="39945" xr:uid="{00000000-0005-0000-0000-00001B360000}"/>
    <cellStyle name="20 % - Markeringsfarve5 2 3 3 2 3" xfId="11296" xr:uid="{00000000-0005-0000-0000-00001C360000}"/>
    <cellStyle name="20 % - Markeringsfarve5 2 3 3 2 3 2" xfId="27615" xr:uid="{00000000-0005-0000-0000-00001D360000}"/>
    <cellStyle name="20 % - Markeringsfarve5 2 3 3 2 3 3" xfId="42581" xr:uid="{00000000-0005-0000-0000-00001E360000}"/>
    <cellStyle name="20 % - Markeringsfarve5 2 3 3 2 4" xfId="20593" xr:uid="{00000000-0005-0000-0000-00001F360000}"/>
    <cellStyle name="20 % - Markeringsfarve5 2 3 3 2 5" xfId="35582" xr:uid="{00000000-0005-0000-0000-000020360000}"/>
    <cellStyle name="20 % - Markeringsfarve5 2 3 3 3" xfId="2740" xr:uid="{00000000-0005-0000-0000-000021360000}"/>
    <cellStyle name="20 % - Markeringsfarve5 2 3 3 3 2" xfId="6995" xr:uid="{00000000-0005-0000-0000-000022360000}"/>
    <cellStyle name="20 % - Markeringsfarve5 2 3 3 3 2 2" xfId="14906" xr:uid="{00000000-0005-0000-0000-000023360000}"/>
    <cellStyle name="20 % - Markeringsfarve5 2 3 3 3 2 2 2" xfId="31220" xr:uid="{00000000-0005-0000-0000-000024360000}"/>
    <cellStyle name="20 % - Markeringsfarve5 2 3 3 3 2 2 3" xfId="46184" xr:uid="{00000000-0005-0000-0000-000025360000}"/>
    <cellStyle name="20 % - Markeringsfarve5 2 3 3 3 2 3" xfId="24198" xr:uid="{00000000-0005-0000-0000-000026360000}"/>
    <cellStyle name="20 % - Markeringsfarve5 2 3 3 3 2 4" xfId="39185" xr:uid="{00000000-0005-0000-0000-000027360000}"/>
    <cellStyle name="20 % - Markeringsfarve5 2 3 3 3 3" xfId="11297" xr:uid="{00000000-0005-0000-0000-000028360000}"/>
    <cellStyle name="20 % - Markeringsfarve5 2 3 3 3 3 2" xfId="27616" xr:uid="{00000000-0005-0000-0000-000029360000}"/>
    <cellStyle name="20 % - Markeringsfarve5 2 3 3 3 3 3" xfId="42582" xr:uid="{00000000-0005-0000-0000-00002A360000}"/>
    <cellStyle name="20 % - Markeringsfarve5 2 3 3 3 4" xfId="20594" xr:uid="{00000000-0005-0000-0000-00002B360000}"/>
    <cellStyle name="20 % - Markeringsfarve5 2 3 3 3 5" xfId="35583" xr:uid="{00000000-0005-0000-0000-00002C360000}"/>
    <cellStyle name="20 % - Markeringsfarve5 2 3 3 4" xfId="5645" xr:uid="{00000000-0005-0000-0000-00002D360000}"/>
    <cellStyle name="20 % - Markeringsfarve5 2 3 3 4 2" xfId="13563" xr:uid="{00000000-0005-0000-0000-00002E360000}"/>
    <cellStyle name="20 % - Markeringsfarve5 2 3 3 4 2 2" xfId="29877" xr:uid="{00000000-0005-0000-0000-00002F360000}"/>
    <cellStyle name="20 % - Markeringsfarve5 2 3 3 4 2 3" xfId="44841" xr:uid="{00000000-0005-0000-0000-000030360000}"/>
    <cellStyle name="20 % - Markeringsfarve5 2 3 3 4 3" xfId="22855" xr:uid="{00000000-0005-0000-0000-000031360000}"/>
    <cellStyle name="20 % - Markeringsfarve5 2 3 3 4 4" xfId="37842" xr:uid="{00000000-0005-0000-0000-000032360000}"/>
    <cellStyle name="20 % - Markeringsfarve5 2 3 3 5" xfId="11295" xr:uid="{00000000-0005-0000-0000-000033360000}"/>
    <cellStyle name="20 % - Markeringsfarve5 2 3 3 5 2" xfId="27614" xr:uid="{00000000-0005-0000-0000-000034360000}"/>
    <cellStyle name="20 % - Markeringsfarve5 2 3 3 5 3" xfId="42580" xr:uid="{00000000-0005-0000-0000-000035360000}"/>
    <cellStyle name="20 % - Markeringsfarve5 2 3 3 6" xfId="20592" xr:uid="{00000000-0005-0000-0000-000036360000}"/>
    <cellStyle name="20 % - Markeringsfarve5 2 3 3 7" xfId="35581" xr:uid="{00000000-0005-0000-0000-000037360000}"/>
    <cellStyle name="20 % - Markeringsfarve5 2 3 3 8" xfId="56533" xr:uid="{00000000-0005-0000-0000-000038360000}"/>
    <cellStyle name="20 % - Markeringsfarve5 2 3 4" xfId="2741" xr:uid="{00000000-0005-0000-0000-000039360000}"/>
    <cellStyle name="20 % - Markeringsfarve5 2 3 4 2" xfId="2742" xr:uid="{00000000-0005-0000-0000-00003A360000}"/>
    <cellStyle name="20 % - Markeringsfarve5 2 3 4 2 2" xfId="7958" xr:uid="{00000000-0005-0000-0000-00003B360000}"/>
    <cellStyle name="20 % - Markeringsfarve5 2 3 4 2 2 2" xfId="15859" xr:uid="{00000000-0005-0000-0000-00003C360000}"/>
    <cellStyle name="20 % - Markeringsfarve5 2 3 4 2 2 2 2" xfId="32173" xr:uid="{00000000-0005-0000-0000-00003D360000}"/>
    <cellStyle name="20 % - Markeringsfarve5 2 3 4 2 2 2 3" xfId="47137" xr:uid="{00000000-0005-0000-0000-00003E360000}"/>
    <cellStyle name="20 % - Markeringsfarve5 2 3 4 2 2 3" xfId="25151" xr:uid="{00000000-0005-0000-0000-00003F360000}"/>
    <cellStyle name="20 % - Markeringsfarve5 2 3 4 2 2 4" xfId="40138" xr:uid="{00000000-0005-0000-0000-000040360000}"/>
    <cellStyle name="20 % - Markeringsfarve5 2 3 4 2 3" xfId="11299" xr:uid="{00000000-0005-0000-0000-000041360000}"/>
    <cellStyle name="20 % - Markeringsfarve5 2 3 4 2 3 2" xfId="27618" xr:uid="{00000000-0005-0000-0000-000042360000}"/>
    <cellStyle name="20 % - Markeringsfarve5 2 3 4 2 3 3" xfId="42584" xr:uid="{00000000-0005-0000-0000-000043360000}"/>
    <cellStyle name="20 % - Markeringsfarve5 2 3 4 2 4" xfId="20596" xr:uid="{00000000-0005-0000-0000-000044360000}"/>
    <cellStyle name="20 % - Markeringsfarve5 2 3 4 2 5" xfId="35585" xr:uid="{00000000-0005-0000-0000-000045360000}"/>
    <cellStyle name="20 % - Markeringsfarve5 2 3 4 3" xfId="2743" xr:uid="{00000000-0005-0000-0000-000046360000}"/>
    <cellStyle name="20 % - Markeringsfarve5 2 3 4 3 2" xfId="7234" xr:uid="{00000000-0005-0000-0000-000047360000}"/>
    <cellStyle name="20 % - Markeringsfarve5 2 3 4 3 2 2" xfId="15144" xr:uid="{00000000-0005-0000-0000-000048360000}"/>
    <cellStyle name="20 % - Markeringsfarve5 2 3 4 3 2 2 2" xfId="31458" xr:uid="{00000000-0005-0000-0000-000049360000}"/>
    <cellStyle name="20 % - Markeringsfarve5 2 3 4 3 2 2 3" xfId="46422" xr:uid="{00000000-0005-0000-0000-00004A360000}"/>
    <cellStyle name="20 % - Markeringsfarve5 2 3 4 3 2 3" xfId="24436" xr:uid="{00000000-0005-0000-0000-00004B360000}"/>
    <cellStyle name="20 % - Markeringsfarve5 2 3 4 3 2 4" xfId="39423" xr:uid="{00000000-0005-0000-0000-00004C360000}"/>
    <cellStyle name="20 % - Markeringsfarve5 2 3 4 3 3" xfId="11300" xr:uid="{00000000-0005-0000-0000-00004D360000}"/>
    <cellStyle name="20 % - Markeringsfarve5 2 3 4 3 3 2" xfId="27619" xr:uid="{00000000-0005-0000-0000-00004E360000}"/>
    <cellStyle name="20 % - Markeringsfarve5 2 3 4 3 3 3" xfId="42585" xr:uid="{00000000-0005-0000-0000-00004F360000}"/>
    <cellStyle name="20 % - Markeringsfarve5 2 3 4 3 4" xfId="20597" xr:uid="{00000000-0005-0000-0000-000050360000}"/>
    <cellStyle name="20 % - Markeringsfarve5 2 3 4 3 5" xfId="35586" xr:uid="{00000000-0005-0000-0000-000051360000}"/>
    <cellStyle name="20 % - Markeringsfarve5 2 3 4 4" xfId="5646" xr:uid="{00000000-0005-0000-0000-000052360000}"/>
    <cellStyle name="20 % - Markeringsfarve5 2 3 4 4 2" xfId="13564" xr:uid="{00000000-0005-0000-0000-000053360000}"/>
    <cellStyle name="20 % - Markeringsfarve5 2 3 4 4 2 2" xfId="29878" xr:uid="{00000000-0005-0000-0000-000054360000}"/>
    <cellStyle name="20 % - Markeringsfarve5 2 3 4 4 2 3" xfId="44842" xr:uid="{00000000-0005-0000-0000-000055360000}"/>
    <cellStyle name="20 % - Markeringsfarve5 2 3 4 4 3" xfId="22856" xr:uid="{00000000-0005-0000-0000-000056360000}"/>
    <cellStyle name="20 % - Markeringsfarve5 2 3 4 4 4" xfId="37843" xr:uid="{00000000-0005-0000-0000-000057360000}"/>
    <cellStyle name="20 % - Markeringsfarve5 2 3 4 5" xfId="11298" xr:uid="{00000000-0005-0000-0000-000058360000}"/>
    <cellStyle name="20 % - Markeringsfarve5 2 3 4 5 2" xfId="27617" xr:uid="{00000000-0005-0000-0000-000059360000}"/>
    <cellStyle name="20 % - Markeringsfarve5 2 3 4 5 3" xfId="42583" xr:uid="{00000000-0005-0000-0000-00005A360000}"/>
    <cellStyle name="20 % - Markeringsfarve5 2 3 4 6" xfId="20595" xr:uid="{00000000-0005-0000-0000-00005B360000}"/>
    <cellStyle name="20 % - Markeringsfarve5 2 3 4 7" xfId="35584" xr:uid="{00000000-0005-0000-0000-00005C360000}"/>
    <cellStyle name="20 % - Markeringsfarve5 2 3 5" xfId="2744" xr:uid="{00000000-0005-0000-0000-00005D360000}"/>
    <cellStyle name="20 % - Markeringsfarve5 2 3 5 2" xfId="2745" xr:uid="{00000000-0005-0000-0000-00005E360000}"/>
    <cellStyle name="20 % - Markeringsfarve5 2 3 5 2 2" xfId="8075" xr:uid="{00000000-0005-0000-0000-00005F360000}"/>
    <cellStyle name="20 % - Markeringsfarve5 2 3 5 2 2 2" xfId="15976" xr:uid="{00000000-0005-0000-0000-000060360000}"/>
    <cellStyle name="20 % - Markeringsfarve5 2 3 5 2 2 2 2" xfId="32290" xr:uid="{00000000-0005-0000-0000-000061360000}"/>
    <cellStyle name="20 % - Markeringsfarve5 2 3 5 2 2 2 3" xfId="47254" xr:uid="{00000000-0005-0000-0000-000062360000}"/>
    <cellStyle name="20 % - Markeringsfarve5 2 3 5 2 2 3" xfId="25268" xr:uid="{00000000-0005-0000-0000-000063360000}"/>
    <cellStyle name="20 % - Markeringsfarve5 2 3 5 2 2 4" xfId="40255" xr:uid="{00000000-0005-0000-0000-000064360000}"/>
    <cellStyle name="20 % - Markeringsfarve5 2 3 5 2 3" xfId="11302" xr:uid="{00000000-0005-0000-0000-000065360000}"/>
    <cellStyle name="20 % - Markeringsfarve5 2 3 5 2 3 2" xfId="27621" xr:uid="{00000000-0005-0000-0000-000066360000}"/>
    <cellStyle name="20 % - Markeringsfarve5 2 3 5 2 3 3" xfId="42587" xr:uid="{00000000-0005-0000-0000-000067360000}"/>
    <cellStyle name="20 % - Markeringsfarve5 2 3 5 2 4" xfId="20599" xr:uid="{00000000-0005-0000-0000-000068360000}"/>
    <cellStyle name="20 % - Markeringsfarve5 2 3 5 2 5" xfId="35588" xr:uid="{00000000-0005-0000-0000-000069360000}"/>
    <cellStyle name="20 % - Markeringsfarve5 2 3 5 3" xfId="2746" xr:uid="{00000000-0005-0000-0000-00006A360000}"/>
    <cellStyle name="20 % - Markeringsfarve5 2 3 5 3 2" xfId="7351" xr:uid="{00000000-0005-0000-0000-00006B360000}"/>
    <cellStyle name="20 % - Markeringsfarve5 2 3 5 3 2 2" xfId="15261" xr:uid="{00000000-0005-0000-0000-00006C360000}"/>
    <cellStyle name="20 % - Markeringsfarve5 2 3 5 3 2 2 2" xfId="31575" xr:uid="{00000000-0005-0000-0000-00006D360000}"/>
    <cellStyle name="20 % - Markeringsfarve5 2 3 5 3 2 2 3" xfId="46539" xr:uid="{00000000-0005-0000-0000-00006E360000}"/>
    <cellStyle name="20 % - Markeringsfarve5 2 3 5 3 2 3" xfId="24553" xr:uid="{00000000-0005-0000-0000-00006F360000}"/>
    <cellStyle name="20 % - Markeringsfarve5 2 3 5 3 2 4" xfId="39540" xr:uid="{00000000-0005-0000-0000-000070360000}"/>
    <cellStyle name="20 % - Markeringsfarve5 2 3 5 3 3" xfId="11303" xr:uid="{00000000-0005-0000-0000-000071360000}"/>
    <cellStyle name="20 % - Markeringsfarve5 2 3 5 3 3 2" xfId="27622" xr:uid="{00000000-0005-0000-0000-000072360000}"/>
    <cellStyle name="20 % - Markeringsfarve5 2 3 5 3 3 3" xfId="42588" xr:uid="{00000000-0005-0000-0000-000073360000}"/>
    <cellStyle name="20 % - Markeringsfarve5 2 3 5 3 4" xfId="20600" xr:uid="{00000000-0005-0000-0000-000074360000}"/>
    <cellStyle name="20 % - Markeringsfarve5 2 3 5 3 5" xfId="35589" xr:uid="{00000000-0005-0000-0000-000075360000}"/>
    <cellStyle name="20 % - Markeringsfarve5 2 3 5 4" xfId="5647" xr:uid="{00000000-0005-0000-0000-000076360000}"/>
    <cellStyle name="20 % - Markeringsfarve5 2 3 5 4 2" xfId="13565" xr:uid="{00000000-0005-0000-0000-000077360000}"/>
    <cellStyle name="20 % - Markeringsfarve5 2 3 5 4 2 2" xfId="29879" xr:uid="{00000000-0005-0000-0000-000078360000}"/>
    <cellStyle name="20 % - Markeringsfarve5 2 3 5 4 2 3" xfId="44843" xr:uid="{00000000-0005-0000-0000-000079360000}"/>
    <cellStyle name="20 % - Markeringsfarve5 2 3 5 4 3" xfId="22857" xr:uid="{00000000-0005-0000-0000-00007A360000}"/>
    <cellStyle name="20 % - Markeringsfarve5 2 3 5 4 4" xfId="37844" xr:uid="{00000000-0005-0000-0000-00007B360000}"/>
    <cellStyle name="20 % - Markeringsfarve5 2 3 5 5" xfId="11301" xr:uid="{00000000-0005-0000-0000-00007C360000}"/>
    <cellStyle name="20 % - Markeringsfarve5 2 3 5 5 2" xfId="27620" xr:uid="{00000000-0005-0000-0000-00007D360000}"/>
    <cellStyle name="20 % - Markeringsfarve5 2 3 5 5 3" xfId="42586" xr:uid="{00000000-0005-0000-0000-00007E360000}"/>
    <cellStyle name="20 % - Markeringsfarve5 2 3 5 6" xfId="20598" xr:uid="{00000000-0005-0000-0000-00007F360000}"/>
    <cellStyle name="20 % - Markeringsfarve5 2 3 5 7" xfId="35587" xr:uid="{00000000-0005-0000-0000-000080360000}"/>
    <cellStyle name="20 % - Markeringsfarve5 2 3 6" xfId="2747" xr:uid="{00000000-0005-0000-0000-000081360000}"/>
    <cellStyle name="20 % - Markeringsfarve5 2 3 6 2" xfId="2748" xr:uid="{00000000-0005-0000-0000-000082360000}"/>
    <cellStyle name="20 % - Markeringsfarve5 2 3 6 2 2" xfId="8119" xr:uid="{00000000-0005-0000-0000-000083360000}"/>
    <cellStyle name="20 % - Markeringsfarve5 2 3 6 2 2 2" xfId="16020" xr:uid="{00000000-0005-0000-0000-000084360000}"/>
    <cellStyle name="20 % - Markeringsfarve5 2 3 6 2 2 2 2" xfId="32334" xr:uid="{00000000-0005-0000-0000-000085360000}"/>
    <cellStyle name="20 % - Markeringsfarve5 2 3 6 2 2 2 3" xfId="47298" xr:uid="{00000000-0005-0000-0000-000086360000}"/>
    <cellStyle name="20 % - Markeringsfarve5 2 3 6 2 2 3" xfId="25312" xr:uid="{00000000-0005-0000-0000-000087360000}"/>
    <cellStyle name="20 % - Markeringsfarve5 2 3 6 2 2 4" xfId="40299" xr:uid="{00000000-0005-0000-0000-000088360000}"/>
    <cellStyle name="20 % - Markeringsfarve5 2 3 6 2 3" xfId="11305" xr:uid="{00000000-0005-0000-0000-000089360000}"/>
    <cellStyle name="20 % - Markeringsfarve5 2 3 6 2 3 2" xfId="27624" xr:uid="{00000000-0005-0000-0000-00008A360000}"/>
    <cellStyle name="20 % - Markeringsfarve5 2 3 6 2 3 3" xfId="42590" xr:uid="{00000000-0005-0000-0000-00008B360000}"/>
    <cellStyle name="20 % - Markeringsfarve5 2 3 6 2 4" xfId="20602" xr:uid="{00000000-0005-0000-0000-00008C360000}"/>
    <cellStyle name="20 % - Markeringsfarve5 2 3 6 2 5" xfId="35591" xr:uid="{00000000-0005-0000-0000-00008D360000}"/>
    <cellStyle name="20 % - Markeringsfarve5 2 3 6 3" xfId="2749" xr:uid="{00000000-0005-0000-0000-00008E360000}"/>
    <cellStyle name="20 % - Markeringsfarve5 2 3 6 3 2" xfId="7396" xr:uid="{00000000-0005-0000-0000-00008F360000}"/>
    <cellStyle name="20 % - Markeringsfarve5 2 3 6 3 2 2" xfId="15306" xr:uid="{00000000-0005-0000-0000-000090360000}"/>
    <cellStyle name="20 % - Markeringsfarve5 2 3 6 3 2 2 2" xfId="31620" xr:uid="{00000000-0005-0000-0000-000091360000}"/>
    <cellStyle name="20 % - Markeringsfarve5 2 3 6 3 2 2 3" xfId="46584" xr:uid="{00000000-0005-0000-0000-000092360000}"/>
    <cellStyle name="20 % - Markeringsfarve5 2 3 6 3 2 3" xfId="24598" xr:uid="{00000000-0005-0000-0000-000093360000}"/>
    <cellStyle name="20 % - Markeringsfarve5 2 3 6 3 2 4" xfId="39585" xr:uid="{00000000-0005-0000-0000-000094360000}"/>
    <cellStyle name="20 % - Markeringsfarve5 2 3 6 3 3" xfId="11306" xr:uid="{00000000-0005-0000-0000-000095360000}"/>
    <cellStyle name="20 % - Markeringsfarve5 2 3 6 3 3 2" xfId="27625" xr:uid="{00000000-0005-0000-0000-000096360000}"/>
    <cellStyle name="20 % - Markeringsfarve5 2 3 6 3 3 3" xfId="42591" xr:uid="{00000000-0005-0000-0000-000097360000}"/>
    <cellStyle name="20 % - Markeringsfarve5 2 3 6 3 4" xfId="20603" xr:uid="{00000000-0005-0000-0000-000098360000}"/>
    <cellStyle name="20 % - Markeringsfarve5 2 3 6 3 5" xfId="35592" xr:uid="{00000000-0005-0000-0000-000099360000}"/>
    <cellStyle name="20 % - Markeringsfarve5 2 3 6 4" xfId="5648" xr:uid="{00000000-0005-0000-0000-00009A360000}"/>
    <cellStyle name="20 % - Markeringsfarve5 2 3 6 4 2" xfId="13566" xr:uid="{00000000-0005-0000-0000-00009B360000}"/>
    <cellStyle name="20 % - Markeringsfarve5 2 3 6 4 2 2" xfId="29880" xr:uid="{00000000-0005-0000-0000-00009C360000}"/>
    <cellStyle name="20 % - Markeringsfarve5 2 3 6 4 2 3" xfId="44844" xr:uid="{00000000-0005-0000-0000-00009D360000}"/>
    <cellStyle name="20 % - Markeringsfarve5 2 3 6 4 3" xfId="22858" xr:uid="{00000000-0005-0000-0000-00009E360000}"/>
    <cellStyle name="20 % - Markeringsfarve5 2 3 6 4 4" xfId="37845" xr:uid="{00000000-0005-0000-0000-00009F360000}"/>
    <cellStyle name="20 % - Markeringsfarve5 2 3 6 5" xfId="11304" xr:uid="{00000000-0005-0000-0000-0000A0360000}"/>
    <cellStyle name="20 % - Markeringsfarve5 2 3 6 5 2" xfId="27623" xr:uid="{00000000-0005-0000-0000-0000A1360000}"/>
    <cellStyle name="20 % - Markeringsfarve5 2 3 6 5 3" xfId="42589" xr:uid="{00000000-0005-0000-0000-0000A2360000}"/>
    <cellStyle name="20 % - Markeringsfarve5 2 3 6 6" xfId="20601" xr:uid="{00000000-0005-0000-0000-0000A3360000}"/>
    <cellStyle name="20 % - Markeringsfarve5 2 3 6 7" xfId="35590" xr:uid="{00000000-0005-0000-0000-0000A4360000}"/>
    <cellStyle name="20 % - Markeringsfarve5 2 3 7" xfId="2750" xr:uid="{00000000-0005-0000-0000-0000A5360000}"/>
    <cellStyle name="20 % - Markeringsfarve5 2 3 7 2" xfId="7601" xr:uid="{00000000-0005-0000-0000-0000A6360000}"/>
    <cellStyle name="20 % - Markeringsfarve5 2 3 7 2 2" xfId="15502" xr:uid="{00000000-0005-0000-0000-0000A7360000}"/>
    <cellStyle name="20 % - Markeringsfarve5 2 3 7 2 2 2" xfId="31816" xr:uid="{00000000-0005-0000-0000-0000A8360000}"/>
    <cellStyle name="20 % - Markeringsfarve5 2 3 7 2 2 3" xfId="46780" xr:uid="{00000000-0005-0000-0000-0000A9360000}"/>
    <cellStyle name="20 % - Markeringsfarve5 2 3 7 2 3" xfId="24794" xr:uid="{00000000-0005-0000-0000-0000AA360000}"/>
    <cellStyle name="20 % - Markeringsfarve5 2 3 7 2 4" xfId="39781" xr:uid="{00000000-0005-0000-0000-0000AB360000}"/>
    <cellStyle name="20 % - Markeringsfarve5 2 3 7 3" xfId="11307" xr:uid="{00000000-0005-0000-0000-0000AC360000}"/>
    <cellStyle name="20 % - Markeringsfarve5 2 3 7 3 2" xfId="27626" xr:uid="{00000000-0005-0000-0000-0000AD360000}"/>
    <cellStyle name="20 % - Markeringsfarve5 2 3 7 3 3" xfId="42592" xr:uid="{00000000-0005-0000-0000-0000AE360000}"/>
    <cellStyle name="20 % - Markeringsfarve5 2 3 7 4" xfId="20604" xr:uid="{00000000-0005-0000-0000-0000AF360000}"/>
    <cellStyle name="20 % - Markeringsfarve5 2 3 7 5" xfId="35593" xr:uid="{00000000-0005-0000-0000-0000B0360000}"/>
    <cellStyle name="20 % - Markeringsfarve5 2 3 8" xfId="2751" xr:uid="{00000000-0005-0000-0000-0000B1360000}"/>
    <cellStyle name="20 % - Markeringsfarve5 2 3 8 2" xfId="6829" xr:uid="{00000000-0005-0000-0000-0000B2360000}"/>
    <cellStyle name="20 % - Markeringsfarve5 2 3 8 2 2" xfId="14740" xr:uid="{00000000-0005-0000-0000-0000B3360000}"/>
    <cellStyle name="20 % - Markeringsfarve5 2 3 8 2 2 2" xfId="31054" xr:uid="{00000000-0005-0000-0000-0000B4360000}"/>
    <cellStyle name="20 % - Markeringsfarve5 2 3 8 2 2 3" xfId="46018" xr:uid="{00000000-0005-0000-0000-0000B5360000}"/>
    <cellStyle name="20 % - Markeringsfarve5 2 3 8 2 3" xfId="24032" xr:uid="{00000000-0005-0000-0000-0000B6360000}"/>
    <cellStyle name="20 % - Markeringsfarve5 2 3 8 2 4" xfId="39019" xr:uid="{00000000-0005-0000-0000-0000B7360000}"/>
    <cellStyle name="20 % - Markeringsfarve5 2 3 8 3" xfId="11308" xr:uid="{00000000-0005-0000-0000-0000B8360000}"/>
    <cellStyle name="20 % - Markeringsfarve5 2 3 8 3 2" xfId="27627" xr:uid="{00000000-0005-0000-0000-0000B9360000}"/>
    <cellStyle name="20 % - Markeringsfarve5 2 3 8 3 3" xfId="42593" xr:uid="{00000000-0005-0000-0000-0000BA360000}"/>
    <cellStyle name="20 % - Markeringsfarve5 2 3 8 4" xfId="20605" xr:uid="{00000000-0005-0000-0000-0000BB360000}"/>
    <cellStyle name="20 % - Markeringsfarve5 2 3 8 5" xfId="35594" xr:uid="{00000000-0005-0000-0000-0000BC360000}"/>
    <cellStyle name="20 % - Markeringsfarve5 2 3 9" xfId="5643" xr:uid="{00000000-0005-0000-0000-0000BD360000}"/>
    <cellStyle name="20 % - Markeringsfarve5 2 3 9 2" xfId="13561" xr:uid="{00000000-0005-0000-0000-0000BE360000}"/>
    <cellStyle name="20 % - Markeringsfarve5 2 3 9 2 2" xfId="29875" xr:uid="{00000000-0005-0000-0000-0000BF360000}"/>
    <cellStyle name="20 % - Markeringsfarve5 2 3 9 2 3" xfId="44839" xr:uid="{00000000-0005-0000-0000-0000C0360000}"/>
    <cellStyle name="20 % - Markeringsfarve5 2 3 9 3" xfId="22853" xr:uid="{00000000-0005-0000-0000-0000C1360000}"/>
    <cellStyle name="20 % - Markeringsfarve5 2 3 9 4" xfId="37840" xr:uid="{00000000-0005-0000-0000-0000C2360000}"/>
    <cellStyle name="20 % - Markeringsfarve5 2 4" xfId="2752" xr:uid="{00000000-0005-0000-0000-0000C3360000}"/>
    <cellStyle name="20 % - Markeringsfarve5 2 4 2" xfId="2753" xr:uid="{00000000-0005-0000-0000-0000C4360000}"/>
    <cellStyle name="20 % - Markeringsfarve5 2 4 2 2" xfId="7642" xr:uid="{00000000-0005-0000-0000-0000C5360000}"/>
    <cellStyle name="20 % - Markeringsfarve5 2 4 2 2 2" xfId="15543" xr:uid="{00000000-0005-0000-0000-0000C6360000}"/>
    <cellStyle name="20 % - Markeringsfarve5 2 4 2 2 2 2" xfId="31857" xr:uid="{00000000-0005-0000-0000-0000C7360000}"/>
    <cellStyle name="20 % - Markeringsfarve5 2 4 2 2 2 3" xfId="46821" xr:uid="{00000000-0005-0000-0000-0000C8360000}"/>
    <cellStyle name="20 % - Markeringsfarve5 2 4 2 2 3" xfId="24835" xr:uid="{00000000-0005-0000-0000-0000C9360000}"/>
    <cellStyle name="20 % - Markeringsfarve5 2 4 2 2 4" xfId="39822" xr:uid="{00000000-0005-0000-0000-0000CA360000}"/>
    <cellStyle name="20 % - Markeringsfarve5 2 4 2 3" xfId="11310" xr:uid="{00000000-0005-0000-0000-0000CB360000}"/>
    <cellStyle name="20 % - Markeringsfarve5 2 4 2 3 2" xfId="27629" xr:uid="{00000000-0005-0000-0000-0000CC360000}"/>
    <cellStyle name="20 % - Markeringsfarve5 2 4 2 3 3" xfId="42595" xr:uid="{00000000-0005-0000-0000-0000CD360000}"/>
    <cellStyle name="20 % - Markeringsfarve5 2 4 2 4" xfId="20607" xr:uid="{00000000-0005-0000-0000-0000CE360000}"/>
    <cellStyle name="20 % - Markeringsfarve5 2 4 2 5" xfId="35596" xr:uid="{00000000-0005-0000-0000-0000CF360000}"/>
    <cellStyle name="20 % - Markeringsfarve5 2 4 2 6" xfId="57158" xr:uid="{00000000-0005-0000-0000-0000D0360000}"/>
    <cellStyle name="20 % - Markeringsfarve5 2 4 3" xfId="2754" xr:uid="{00000000-0005-0000-0000-0000D1360000}"/>
    <cellStyle name="20 % - Markeringsfarve5 2 4 3 2" xfId="6872" xr:uid="{00000000-0005-0000-0000-0000D2360000}"/>
    <cellStyle name="20 % - Markeringsfarve5 2 4 3 2 2" xfId="14783" xr:uid="{00000000-0005-0000-0000-0000D3360000}"/>
    <cellStyle name="20 % - Markeringsfarve5 2 4 3 2 2 2" xfId="31097" xr:uid="{00000000-0005-0000-0000-0000D4360000}"/>
    <cellStyle name="20 % - Markeringsfarve5 2 4 3 2 2 3" xfId="46061" xr:uid="{00000000-0005-0000-0000-0000D5360000}"/>
    <cellStyle name="20 % - Markeringsfarve5 2 4 3 2 3" xfId="24075" xr:uid="{00000000-0005-0000-0000-0000D6360000}"/>
    <cellStyle name="20 % - Markeringsfarve5 2 4 3 2 4" xfId="39062" xr:uid="{00000000-0005-0000-0000-0000D7360000}"/>
    <cellStyle name="20 % - Markeringsfarve5 2 4 3 3" xfId="11311" xr:uid="{00000000-0005-0000-0000-0000D8360000}"/>
    <cellStyle name="20 % - Markeringsfarve5 2 4 3 3 2" xfId="27630" xr:uid="{00000000-0005-0000-0000-0000D9360000}"/>
    <cellStyle name="20 % - Markeringsfarve5 2 4 3 3 3" xfId="42596" xr:uid="{00000000-0005-0000-0000-0000DA360000}"/>
    <cellStyle name="20 % - Markeringsfarve5 2 4 3 4" xfId="20608" xr:uid="{00000000-0005-0000-0000-0000DB360000}"/>
    <cellStyle name="20 % - Markeringsfarve5 2 4 3 5" xfId="35597" xr:uid="{00000000-0005-0000-0000-0000DC360000}"/>
    <cellStyle name="20 % - Markeringsfarve5 2 4 4" xfId="5649" xr:uid="{00000000-0005-0000-0000-0000DD360000}"/>
    <cellStyle name="20 % - Markeringsfarve5 2 4 4 2" xfId="13567" xr:uid="{00000000-0005-0000-0000-0000DE360000}"/>
    <cellStyle name="20 % - Markeringsfarve5 2 4 4 2 2" xfId="29881" xr:uid="{00000000-0005-0000-0000-0000DF360000}"/>
    <cellStyle name="20 % - Markeringsfarve5 2 4 4 2 3" xfId="44845" xr:uid="{00000000-0005-0000-0000-0000E0360000}"/>
    <cellStyle name="20 % - Markeringsfarve5 2 4 4 3" xfId="22859" xr:uid="{00000000-0005-0000-0000-0000E1360000}"/>
    <cellStyle name="20 % - Markeringsfarve5 2 4 4 4" xfId="37846" xr:uid="{00000000-0005-0000-0000-0000E2360000}"/>
    <cellStyle name="20 % - Markeringsfarve5 2 4 5" xfId="11309" xr:uid="{00000000-0005-0000-0000-0000E3360000}"/>
    <cellStyle name="20 % - Markeringsfarve5 2 4 5 2" xfId="27628" xr:uid="{00000000-0005-0000-0000-0000E4360000}"/>
    <cellStyle name="20 % - Markeringsfarve5 2 4 5 3" xfId="42594" xr:uid="{00000000-0005-0000-0000-0000E5360000}"/>
    <cellStyle name="20 % - Markeringsfarve5 2 4 6" xfId="20606" xr:uid="{00000000-0005-0000-0000-0000E6360000}"/>
    <cellStyle name="20 % - Markeringsfarve5 2 4 7" xfId="35595" xr:uid="{00000000-0005-0000-0000-0000E7360000}"/>
    <cellStyle name="20 % - Markeringsfarve5 2 4 8" xfId="53991" xr:uid="{00000000-0005-0000-0000-0000E8360000}"/>
    <cellStyle name="20 % - Markeringsfarve5 2 5" xfId="2755" xr:uid="{00000000-0005-0000-0000-0000E9360000}"/>
    <cellStyle name="20 % - Markeringsfarve5 2 5 2" xfId="2756" xr:uid="{00000000-0005-0000-0000-0000EA360000}"/>
    <cellStyle name="20 % - Markeringsfarve5 2 5 2 2" xfId="7763" xr:uid="{00000000-0005-0000-0000-0000EB360000}"/>
    <cellStyle name="20 % - Markeringsfarve5 2 5 2 2 2" xfId="15664" xr:uid="{00000000-0005-0000-0000-0000EC360000}"/>
    <cellStyle name="20 % - Markeringsfarve5 2 5 2 2 2 2" xfId="31978" xr:uid="{00000000-0005-0000-0000-0000ED360000}"/>
    <cellStyle name="20 % - Markeringsfarve5 2 5 2 2 2 3" xfId="46942" xr:uid="{00000000-0005-0000-0000-0000EE360000}"/>
    <cellStyle name="20 % - Markeringsfarve5 2 5 2 2 3" xfId="24956" xr:uid="{00000000-0005-0000-0000-0000EF360000}"/>
    <cellStyle name="20 % - Markeringsfarve5 2 5 2 2 4" xfId="39943" xr:uid="{00000000-0005-0000-0000-0000F0360000}"/>
    <cellStyle name="20 % - Markeringsfarve5 2 5 2 3" xfId="11313" xr:uid="{00000000-0005-0000-0000-0000F1360000}"/>
    <cellStyle name="20 % - Markeringsfarve5 2 5 2 3 2" xfId="27632" xr:uid="{00000000-0005-0000-0000-0000F2360000}"/>
    <cellStyle name="20 % - Markeringsfarve5 2 5 2 3 3" xfId="42598" xr:uid="{00000000-0005-0000-0000-0000F3360000}"/>
    <cellStyle name="20 % - Markeringsfarve5 2 5 2 4" xfId="20610" xr:uid="{00000000-0005-0000-0000-0000F4360000}"/>
    <cellStyle name="20 % - Markeringsfarve5 2 5 2 5" xfId="35599" xr:uid="{00000000-0005-0000-0000-0000F5360000}"/>
    <cellStyle name="20 % - Markeringsfarve5 2 5 3" xfId="2757" xr:uid="{00000000-0005-0000-0000-0000F6360000}"/>
    <cellStyle name="20 % - Markeringsfarve5 2 5 3 2" xfId="6993" xr:uid="{00000000-0005-0000-0000-0000F7360000}"/>
    <cellStyle name="20 % - Markeringsfarve5 2 5 3 2 2" xfId="14904" xr:uid="{00000000-0005-0000-0000-0000F8360000}"/>
    <cellStyle name="20 % - Markeringsfarve5 2 5 3 2 2 2" xfId="31218" xr:uid="{00000000-0005-0000-0000-0000F9360000}"/>
    <cellStyle name="20 % - Markeringsfarve5 2 5 3 2 2 3" xfId="46182" xr:uid="{00000000-0005-0000-0000-0000FA360000}"/>
    <cellStyle name="20 % - Markeringsfarve5 2 5 3 2 3" xfId="24196" xr:uid="{00000000-0005-0000-0000-0000FB360000}"/>
    <cellStyle name="20 % - Markeringsfarve5 2 5 3 2 4" xfId="39183" xr:uid="{00000000-0005-0000-0000-0000FC360000}"/>
    <cellStyle name="20 % - Markeringsfarve5 2 5 3 3" xfId="11314" xr:uid="{00000000-0005-0000-0000-0000FD360000}"/>
    <cellStyle name="20 % - Markeringsfarve5 2 5 3 3 2" xfId="27633" xr:uid="{00000000-0005-0000-0000-0000FE360000}"/>
    <cellStyle name="20 % - Markeringsfarve5 2 5 3 3 3" xfId="42599" xr:uid="{00000000-0005-0000-0000-0000FF360000}"/>
    <cellStyle name="20 % - Markeringsfarve5 2 5 3 4" xfId="20611" xr:uid="{00000000-0005-0000-0000-000000370000}"/>
    <cellStyle name="20 % - Markeringsfarve5 2 5 3 5" xfId="35600" xr:uid="{00000000-0005-0000-0000-000001370000}"/>
    <cellStyle name="20 % - Markeringsfarve5 2 5 4" xfId="5650" xr:uid="{00000000-0005-0000-0000-000002370000}"/>
    <cellStyle name="20 % - Markeringsfarve5 2 5 4 2" xfId="13568" xr:uid="{00000000-0005-0000-0000-000003370000}"/>
    <cellStyle name="20 % - Markeringsfarve5 2 5 4 2 2" xfId="29882" xr:uid="{00000000-0005-0000-0000-000004370000}"/>
    <cellStyle name="20 % - Markeringsfarve5 2 5 4 2 3" xfId="44846" xr:uid="{00000000-0005-0000-0000-000005370000}"/>
    <cellStyle name="20 % - Markeringsfarve5 2 5 4 3" xfId="22860" xr:uid="{00000000-0005-0000-0000-000006370000}"/>
    <cellStyle name="20 % - Markeringsfarve5 2 5 4 4" xfId="37847" xr:uid="{00000000-0005-0000-0000-000007370000}"/>
    <cellStyle name="20 % - Markeringsfarve5 2 5 5" xfId="11312" xr:uid="{00000000-0005-0000-0000-000008370000}"/>
    <cellStyle name="20 % - Markeringsfarve5 2 5 5 2" xfId="27631" xr:uid="{00000000-0005-0000-0000-000009370000}"/>
    <cellStyle name="20 % - Markeringsfarve5 2 5 5 3" xfId="42597" xr:uid="{00000000-0005-0000-0000-00000A370000}"/>
    <cellStyle name="20 % - Markeringsfarve5 2 5 6" xfId="20609" xr:uid="{00000000-0005-0000-0000-00000B370000}"/>
    <cellStyle name="20 % - Markeringsfarve5 2 5 7" xfId="35598" xr:uid="{00000000-0005-0000-0000-00000C370000}"/>
    <cellStyle name="20 % - Markeringsfarve5 2 5 8" xfId="56535" xr:uid="{00000000-0005-0000-0000-00000D370000}"/>
    <cellStyle name="20 % - Markeringsfarve5 2 6" xfId="2758" xr:uid="{00000000-0005-0000-0000-00000E370000}"/>
    <cellStyle name="20 % - Markeringsfarve5 2 6 2" xfId="2759" xr:uid="{00000000-0005-0000-0000-00000F370000}"/>
    <cellStyle name="20 % - Markeringsfarve5 2 6 2 2" xfId="7880" xr:uid="{00000000-0005-0000-0000-000010370000}"/>
    <cellStyle name="20 % - Markeringsfarve5 2 6 2 2 2" xfId="15781" xr:uid="{00000000-0005-0000-0000-000011370000}"/>
    <cellStyle name="20 % - Markeringsfarve5 2 6 2 2 2 2" xfId="32095" xr:uid="{00000000-0005-0000-0000-000012370000}"/>
    <cellStyle name="20 % - Markeringsfarve5 2 6 2 2 2 3" xfId="47059" xr:uid="{00000000-0005-0000-0000-000013370000}"/>
    <cellStyle name="20 % - Markeringsfarve5 2 6 2 2 3" xfId="25073" xr:uid="{00000000-0005-0000-0000-000014370000}"/>
    <cellStyle name="20 % - Markeringsfarve5 2 6 2 2 4" xfId="40060" xr:uid="{00000000-0005-0000-0000-000015370000}"/>
    <cellStyle name="20 % - Markeringsfarve5 2 6 2 3" xfId="11316" xr:uid="{00000000-0005-0000-0000-000016370000}"/>
    <cellStyle name="20 % - Markeringsfarve5 2 6 2 3 2" xfId="27635" xr:uid="{00000000-0005-0000-0000-000017370000}"/>
    <cellStyle name="20 % - Markeringsfarve5 2 6 2 3 3" xfId="42601" xr:uid="{00000000-0005-0000-0000-000018370000}"/>
    <cellStyle name="20 % - Markeringsfarve5 2 6 2 4" xfId="20613" xr:uid="{00000000-0005-0000-0000-000019370000}"/>
    <cellStyle name="20 % - Markeringsfarve5 2 6 2 5" xfId="35602" xr:uid="{00000000-0005-0000-0000-00001A370000}"/>
    <cellStyle name="20 % - Markeringsfarve5 2 6 3" xfId="2760" xr:uid="{00000000-0005-0000-0000-00001B370000}"/>
    <cellStyle name="20 % - Markeringsfarve5 2 6 3 2" xfId="7156" xr:uid="{00000000-0005-0000-0000-00001C370000}"/>
    <cellStyle name="20 % - Markeringsfarve5 2 6 3 2 2" xfId="15066" xr:uid="{00000000-0005-0000-0000-00001D370000}"/>
    <cellStyle name="20 % - Markeringsfarve5 2 6 3 2 2 2" xfId="31380" xr:uid="{00000000-0005-0000-0000-00001E370000}"/>
    <cellStyle name="20 % - Markeringsfarve5 2 6 3 2 2 3" xfId="46344" xr:uid="{00000000-0005-0000-0000-00001F370000}"/>
    <cellStyle name="20 % - Markeringsfarve5 2 6 3 2 3" xfId="24358" xr:uid="{00000000-0005-0000-0000-000020370000}"/>
    <cellStyle name="20 % - Markeringsfarve5 2 6 3 2 4" xfId="39345" xr:uid="{00000000-0005-0000-0000-000021370000}"/>
    <cellStyle name="20 % - Markeringsfarve5 2 6 3 3" xfId="11317" xr:uid="{00000000-0005-0000-0000-000022370000}"/>
    <cellStyle name="20 % - Markeringsfarve5 2 6 3 3 2" xfId="27636" xr:uid="{00000000-0005-0000-0000-000023370000}"/>
    <cellStyle name="20 % - Markeringsfarve5 2 6 3 3 3" xfId="42602" xr:uid="{00000000-0005-0000-0000-000024370000}"/>
    <cellStyle name="20 % - Markeringsfarve5 2 6 3 4" xfId="20614" xr:uid="{00000000-0005-0000-0000-000025370000}"/>
    <cellStyle name="20 % - Markeringsfarve5 2 6 3 5" xfId="35603" xr:uid="{00000000-0005-0000-0000-000026370000}"/>
    <cellStyle name="20 % - Markeringsfarve5 2 6 4" xfId="5651" xr:uid="{00000000-0005-0000-0000-000027370000}"/>
    <cellStyle name="20 % - Markeringsfarve5 2 6 4 2" xfId="13569" xr:uid="{00000000-0005-0000-0000-000028370000}"/>
    <cellStyle name="20 % - Markeringsfarve5 2 6 4 2 2" xfId="29883" xr:uid="{00000000-0005-0000-0000-000029370000}"/>
    <cellStyle name="20 % - Markeringsfarve5 2 6 4 2 3" xfId="44847" xr:uid="{00000000-0005-0000-0000-00002A370000}"/>
    <cellStyle name="20 % - Markeringsfarve5 2 6 4 3" xfId="22861" xr:uid="{00000000-0005-0000-0000-00002B370000}"/>
    <cellStyle name="20 % - Markeringsfarve5 2 6 4 4" xfId="37848" xr:uid="{00000000-0005-0000-0000-00002C370000}"/>
    <cellStyle name="20 % - Markeringsfarve5 2 6 5" xfId="11315" xr:uid="{00000000-0005-0000-0000-00002D370000}"/>
    <cellStyle name="20 % - Markeringsfarve5 2 6 5 2" xfId="27634" xr:uid="{00000000-0005-0000-0000-00002E370000}"/>
    <cellStyle name="20 % - Markeringsfarve5 2 6 5 3" xfId="42600" xr:uid="{00000000-0005-0000-0000-00002F370000}"/>
    <cellStyle name="20 % - Markeringsfarve5 2 6 6" xfId="20612" xr:uid="{00000000-0005-0000-0000-000030370000}"/>
    <cellStyle name="20 % - Markeringsfarve5 2 6 7" xfId="35601" xr:uid="{00000000-0005-0000-0000-000031370000}"/>
    <cellStyle name="20 % - Markeringsfarve5 2 7" xfId="2761" xr:uid="{00000000-0005-0000-0000-000032370000}"/>
    <cellStyle name="20 % - Markeringsfarve5 2 7 2" xfId="2762" xr:uid="{00000000-0005-0000-0000-000033370000}"/>
    <cellStyle name="20 % - Markeringsfarve5 2 7 2 2" xfId="7997" xr:uid="{00000000-0005-0000-0000-000034370000}"/>
    <cellStyle name="20 % - Markeringsfarve5 2 7 2 2 2" xfId="15898" xr:uid="{00000000-0005-0000-0000-000035370000}"/>
    <cellStyle name="20 % - Markeringsfarve5 2 7 2 2 2 2" xfId="32212" xr:uid="{00000000-0005-0000-0000-000036370000}"/>
    <cellStyle name="20 % - Markeringsfarve5 2 7 2 2 2 3" xfId="47176" xr:uid="{00000000-0005-0000-0000-000037370000}"/>
    <cellStyle name="20 % - Markeringsfarve5 2 7 2 2 3" xfId="25190" xr:uid="{00000000-0005-0000-0000-000038370000}"/>
    <cellStyle name="20 % - Markeringsfarve5 2 7 2 2 4" xfId="40177" xr:uid="{00000000-0005-0000-0000-000039370000}"/>
    <cellStyle name="20 % - Markeringsfarve5 2 7 2 3" xfId="11319" xr:uid="{00000000-0005-0000-0000-00003A370000}"/>
    <cellStyle name="20 % - Markeringsfarve5 2 7 2 3 2" xfId="27638" xr:uid="{00000000-0005-0000-0000-00003B370000}"/>
    <cellStyle name="20 % - Markeringsfarve5 2 7 2 3 3" xfId="42604" xr:uid="{00000000-0005-0000-0000-00003C370000}"/>
    <cellStyle name="20 % - Markeringsfarve5 2 7 2 4" xfId="20616" xr:uid="{00000000-0005-0000-0000-00003D370000}"/>
    <cellStyle name="20 % - Markeringsfarve5 2 7 2 5" xfId="35605" xr:uid="{00000000-0005-0000-0000-00003E370000}"/>
    <cellStyle name="20 % - Markeringsfarve5 2 7 3" xfId="2763" xr:uid="{00000000-0005-0000-0000-00003F370000}"/>
    <cellStyle name="20 % - Markeringsfarve5 2 7 3 2" xfId="7273" xr:uid="{00000000-0005-0000-0000-000040370000}"/>
    <cellStyle name="20 % - Markeringsfarve5 2 7 3 2 2" xfId="15183" xr:uid="{00000000-0005-0000-0000-000041370000}"/>
    <cellStyle name="20 % - Markeringsfarve5 2 7 3 2 2 2" xfId="31497" xr:uid="{00000000-0005-0000-0000-000042370000}"/>
    <cellStyle name="20 % - Markeringsfarve5 2 7 3 2 2 3" xfId="46461" xr:uid="{00000000-0005-0000-0000-000043370000}"/>
    <cellStyle name="20 % - Markeringsfarve5 2 7 3 2 3" xfId="24475" xr:uid="{00000000-0005-0000-0000-000044370000}"/>
    <cellStyle name="20 % - Markeringsfarve5 2 7 3 2 4" xfId="39462" xr:uid="{00000000-0005-0000-0000-000045370000}"/>
    <cellStyle name="20 % - Markeringsfarve5 2 7 3 3" xfId="11320" xr:uid="{00000000-0005-0000-0000-000046370000}"/>
    <cellStyle name="20 % - Markeringsfarve5 2 7 3 3 2" xfId="27639" xr:uid="{00000000-0005-0000-0000-000047370000}"/>
    <cellStyle name="20 % - Markeringsfarve5 2 7 3 3 3" xfId="42605" xr:uid="{00000000-0005-0000-0000-000048370000}"/>
    <cellStyle name="20 % - Markeringsfarve5 2 7 3 4" xfId="20617" xr:uid="{00000000-0005-0000-0000-000049370000}"/>
    <cellStyle name="20 % - Markeringsfarve5 2 7 3 5" xfId="35606" xr:uid="{00000000-0005-0000-0000-00004A370000}"/>
    <cellStyle name="20 % - Markeringsfarve5 2 7 4" xfId="5652" xr:uid="{00000000-0005-0000-0000-00004B370000}"/>
    <cellStyle name="20 % - Markeringsfarve5 2 7 4 2" xfId="13570" xr:uid="{00000000-0005-0000-0000-00004C370000}"/>
    <cellStyle name="20 % - Markeringsfarve5 2 7 4 2 2" xfId="29884" xr:uid="{00000000-0005-0000-0000-00004D370000}"/>
    <cellStyle name="20 % - Markeringsfarve5 2 7 4 2 3" xfId="44848" xr:uid="{00000000-0005-0000-0000-00004E370000}"/>
    <cellStyle name="20 % - Markeringsfarve5 2 7 4 3" xfId="22862" xr:uid="{00000000-0005-0000-0000-00004F370000}"/>
    <cellStyle name="20 % - Markeringsfarve5 2 7 4 4" xfId="37849" xr:uid="{00000000-0005-0000-0000-000050370000}"/>
    <cellStyle name="20 % - Markeringsfarve5 2 7 5" xfId="11318" xr:uid="{00000000-0005-0000-0000-000051370000}"/>
    <cellStyle name="20 % - Markeringsfarve5 2 7 5 2" xfId="27637" xr:uid="{00000000-0005-0000-0000-000052370000}"/>
    <cellStyle name="20 % - Markeringsfarve5 2 7 5 3" xfId="42603" xr:uid="{00000000-0005-0000-0000-000053370000}"/>
    <cellStyle name="20 % - Markeringsfarve5 2 7 6" xfId="20615" xr:uid="{00000000-0005-0000-0000-000054370000}"/>
    <cellStyle name="20 % - Markeringsfarve5 2 7 7" xfId="35604" xr:uid="{00000000-0005-0000-0000-000055370000}"/>
    <cellStyle name="20 % - Markeringsfarve5 2 8" xfId="2764" xr:uid="{00000000-0005-0000-0000-000056370000}"/>
    <cellStyle name="20 % - Markeringsfarve5 2 8 2" xfId="2765" xr:uid="{00000000-0005-0000-0000-000057370000}"/>
    <cellStyle name="20 % - Markeringsfarve5 2 8 2 2" xfId="8117" xr:uid="{00000000-0005-0000-0000-000058370000}"/>
    <cellStyle name="20 % - Markeringsfarve5 2 8 2 2 2" xfId="16018" xr:uid="{00000000-0005-0000-0000-000059370000}"/>
    <cellStyle name="20 % - Markeringsfarve5 2 8 2 2 2 2" xfId="32332" xr:uid="{00000000-0005-0000-0000-00005A370000}"/>
    <cellStyle name="20 % - Markeringsfarve5 2 8 2 2 2 3" xfId="47296" xr:uid="{00000000-0005-0000-0000-00005B370000}"/>
    <cellStyle name="20 % - Markeringsfarve5 2 8 2 2 3" xfId="25310" xr:uid="{00000000-0005-0000-0000-00005C370000}"/>
    <cellStyle name="20 % - Markeringsfarve5 2 8 2 2 4" xfId="40297" xr:uid="{00000000-0005-0000-0000-00005D370000}"/>
    <cellStyle name="20 % - Markeringsfarve5 2 8 2 3" xfId="11322" xr:uid="{00000000-0005-0000-0000-00005E370000}"/>
    <cellStyle name="20 % - Markeringsfarve5 2 8 2 3 2" xfId="27641" xr:uid="{00000000-0005-0000-0000-00005F370000}"/>
    <cellStyle name="20 % - Markeringsfarve5 2 8 2 3 3" xfId="42607" xr:uid="{00000000-0005-0000-0000-000060370000}"/>
    <cellStyle name="20 % - Markeringsfarve5 2 8 2 4" xfId="20619" xr:uid="{00000000-0005-0000-0000-000061370000}"/>
    <cellStyle name="20 % - Markeringsfarve5 2 8 2 5" xfId="35608" xr:uid="{00000000-0005-0000-0000-000062370000}"/>
    <cellStyle name="20 % - Markeringsfarve5 2 8 3" xfId="2766" xr:uid="{00000000-0005-0000-0000-000063370000}"/>
    <cellStyle name="20 % - Markeringsfarve5 2 8 3 2" xfId="7394" xr:uid="{00000000-0005-0000-0000-000064370000}"/>
    <cellStyle name="20 % - Markeringsfarve5 2 8 3 2 2" xfId="15304" xr:uid="{00000000-0005-0000-0000-000065370000}"/>
    <cellStyle name="20 % - Markeringsfarve5 2 8 3 2 2 2" xfId="31618" xr:uid="{00000000-0005-0000-0000-000066370000}"/>
    <cellStyle name="20 % - Markeringsfarve5 2 8 3 2 2 3" xfId="46582" xr:uid="{00000000-0005-0000-0000-000067370000}"/>
    <cellStyle name="20 % - Markeringsfarve5 2 8 3 2 3" xfId="24596" xr:uid="{00000000-0005-0000-0000-000068370000}"/>
    <cellStyle name="20 % - Markeringsfarve5 2 8 3 2 4" xfId="39583" xr:uid="{00000000-0005-0000-0000-000069370000}"/>
    <cellStyle name="20 % - Markeringsfarve5 2 8 3 3" xfId="11323" xr:uid="{00000000-0005-0000-0000-00006A370000}"/>
    <cellStyle name="20 % - Markeringsfarve5 2 8 3 3 2" xfId="27642" xr:uid="{00000000-0005-0000-0000-00006B370000}"/>
    <cellStyle name="20 % - Markeringsfarve5 2 8 3 3 3" xfId="42608" xr:uid="{00000000-0005-0000-0000-00006C370000}"/>
    <cellStyle name="20 % - Markeringsfarve5 2 8 3 4" xfId="20620" xr:uid="{00000000-0005-0000-0000-00006D370000}"/>
    <cellStyle name="20 % - Markeringsfarve5 2 8 3 5" xfId="35609" xr:uid="{00000000-0005-0000-0000-00006E370000}"/>
    <cellStyle name="20 % - Markeringsfarve5 2 8 4" xfId="5653" xr:uid="{00000000-0005-0000-0000-00006F370000}"/>
    <cellStyle name="20 % - Markeringsfarve5 2 8 4 2" xfId="13571" xr:uid="{00000000-0005-0000-0000-000070370000}"/>
    <cellStyle name="20 % - Markeringsfarve5 2 8 4 2 2" xfId="29885" xr:uid="{00000000-0005-0000-0000-000071370000}"/>
    <cellStyle name="20 % - Markeringsfarve5 2 8 4 2 3" xfId="44849" xr:uid="{00000000-0005-0000-0000-000072370000}"/>
    <cellStyle name="20 % - Markeringsfarve5 2 8 4 3" xfId="22863" xr:uid="{00000000-0005-0000-0000-000073370000}"/>
    <cellStyle name="20 % - Markeringsfarve5 2 8 4 4" xfId="37850" xr:uid="{00000000-0005-0000-0000-000074370000}"/>
    <cellStyle name="20 % - Markeringsfarve5 2 8 5" xfId="11321" xr:uid="{00000000-0005-0000-0000-000075370000}"/>
    <cellStyle name="20 % - Markeringsfarve5 2 8 5 2" xfId="27640" xr:uid="{00000000-0005-0000-0000-000076370000}"/>
    <cellStyle name="20 % - Markeringsfarve5 2 8 5 3" xfId="42606" xr:uid="{00000000-0005-0000-0000-000077370000}"/>
    <cellStyle name="20 % - Markeringsfarve5 2 8 6" xfId="20618" xr:uid="{00000000-0005-0000-0000-000078370000}"/>
    <cellStyle name="20 % - Markeringsfarve5 2 8 7" xfId="35607" xr:uid="{00000000-0005-0000-0000-000079370000}"/>
    <cellStyle name="20 % - Markeringsfarve5 2 9" xfId="2767" xr:uid="{00000000-0005-0000-0000-00007A370000}"/>
    <cellStyle name="20 % - Markeringsfarve5 2 9 2" xfId="7523" xr:uid="{00000000-0005-0000-0000-00007B370000}"/>
    <cellStyle name="20 % - Markeringsfarve5 2 9 2 2" xfId="15424" xr:uid="{00000000-0005-0000-0000-00007C370000}"/>
    <cellStyle name="20 % - Markeringsfarve5 2 9 2 2 2" xfId="31738" xr:uid="{00000000-0005-0000-0000-00007D370000}"/>
    <cellStyle name="20 % - Markeringsfarve5 2 9 2 2 3" xfId="46702" xr:uid="{00000000-0005-0000-0000-00007E370000}"/>
    <cellStyle name="20 % - Markeringsfarve5 2 9 2 3" xfId="24716" xr:uid="{00000000-0005-0000-0000-00007F370000}"/>
    <cellStyle name="20 % - Markeringsfarve5 2 9 2 4" xfId="39703" xr:uid="{00000000-0005-0000-0000-000080370000}"/>
    <cellStyle name="20 % - Markeringsfarve5 2 9 3" xfId="11324" xr:uid="{00000000-0005-0000-0000-000081370000}"/>
    <cellStyle name="20 % - Markeringsfarve5 2 9 3 2" xfId="27643" xr:uid="{00000000-0005-0000-0000-000082370000}"/>
    <cellStyle name="20 % - Markeringsfarve5 2 9 3 3" xfId="42609" xr:uid="{00000000-0005-0000-0000-000083370000}"/>
    <cellStyle name="20 % - Markeringsfarve5 2 9 4" xfId="20621" xr:uid="{00000000-0005-0000-0000-000084370000}"/>
    <cellStyle name="20 % - Markeringsfarve5 2 9 5" xfId="35610" xr:uid="{00000000-0005-0000-0000-000085370000}"/>
    <cellStyle name="20 % - Markeringsfarve5 3" xfId="2768" xr:uid="{00000000-0005-0000-0000-000086370000}"/>
    <cellStyle name="20 % - Markeringsfarve5 3 10" xfId="2769" xr:uid="{00000000-0005-0000-0000-000087370000}"/>
    <cellStyle name="20 % - Markeringsfarve5 3 10 2" xfId="6736" xr:uid="{00000000-0005-0000-0000-000088370000}"/>
    <cellStyle name="20 % - Markeringsfarve5 3 10 2 2" xfId="14648" xr:uid="{00000000-0005-0000-0000-000089370000}"/>
    <cellStyle name="20 % - Markeringsfarve5 3 10 2 2 2" xfId="30962" xr:uid="{00000000-0005-0000-0000-00008A370000}"/>
    <cellStyle name="20 % - Markeringsfarve5 3 10 2 2 3" xfId="45926" xr:uid="{00000000-0005-0000-0000-00008B370000}"/>
    <cellStyle name="20 % - Markeringsfarve5 3 10 2 3" xfId="23940" xr:uid="{00000000-0005-0000-0000-00008C370000}"/>
    <cellStyle name="20 % - Markeringsfarve5 3 10 2 4" xfId="38927" xr:uid="{00000000-0005-0000-0000-00008D370000}"/>
    <cellStyle name="20 % - Markeringsfarve5 3 10 3" xfId="11326" xr:uid="{00000000-0005-0000-0000-00008E370000}"/>
    <cellStyle name="20 % - Markeringsfarve5 3 10 3 2" xfId="27645" xr:uid="{00000000-0005-0000-0000-00008F370000}"/>
    <cellStyle name="20 % - Markeringsfarve5 3 10 3 3" xfId="42611" xr:uid="{00000000-0005-0000-0000-000090370000}"/>
    <cellStyle name="20 % - Markeringsfarve5 3 10 4" xfId="20623" xr:uid="{00000000-0005-0000-0000-000091370000}"/>
    <cellStyle name="20 % - Markeringsfarve5 3 10 5" xfId="35612" xr:uid="{00000000-0005-0000-0000-000092370000}"/>
    <cellStyle name="20 % - Markeringsfarve5 3 11" xfId="5654" xr:uid="{00000000-0005-0000-0000-000093370000}"/>
    <cellStyle name="20 % - Markeringsfarve5 3 11 2" xfId="13572" xr:uid="{00000000-0005-0000-0000-000094370000}"/>
    <cellStyle name="20 % - Markeringsfarve5 3 11 2 2" xfId="29886" xr:uid="{00000000-0005-0000-0000-000095370000}"/>
    <cellStyle name="20 % - Markeringsfarve5 3 11 2 3" xfId="44850" xr:uid="{00000000-0005-0000-0000-000096370000}"/>
    <cellStyle name="20 % - Markeringsfarve5 3 11 3" xfId="22864" xr:uid="{00000000-0005-0000-0000-000097370000}"/>
    <cellStyle name="20 % - Markeringsfarve5 3 11 4" xfId="37851" xr:uid="{00000000-0005-0000-0000-000098370000}"/>
    <cellStyle name="20 % - Markeringsfarve5 3 12" xfId="11325" xr:uid="{00000000-0005-0000-0000-000099370000}"/>
    <cellStyle name="20 % - Markeringsfarve5 3 12 2" xfId="27644" xr:uid="{00000000-0005-0000-0000-00009A370000}"/>
    <cellStyle name="20 % - Markeringsfarve5 3 12 3" xfId="42610" xr:uid="{00000000-0005-0000-0000-00009B370000}"/>
    <cellStyle name="20 % - Markeringsfarve5 3 13" xfId="20622" xr:uid="{00000000-0005-0000-0000-00009C370000}"/>
    <cellStyle name="20 % - Markeringsfarve5 3 14" xfId="35611" xr:uid="{00000000-0005-0000-0000-00009D370000}"/>
    <cellStyle name="20 % - Markeringsfarve5 3 15" xfId="53351" xr:uid="{00000000-0005-0000-0000-00009E370000}"/>
    <cellStyle name="20 % - Markeringsfarve5 3 2" xfId="2770" xr:uid="{00000000-0005-0000-0000-00009F370000}"/>
    <cellStyle name="20 % - Markeringsfarve5 3 2 10" xfId="11327" xr:uid="{00000000-0005-0000-0000-0000A0370000}"/>
    <cellStyle name="20 % - Markeringsfarve5 3 2 10 2" xfId="27646" xr:uid="{00000000-0005-0000-0000-0000A1370000}"/>
    <cellStyle name="20 % - Markeringsfarve5 3 2 10 3" xfId="42612" xr:uid="{00000000-0005-0000-0000-0000A2370000}"/>
    <cellStyle name="20 % - Markeringsfarve5 3 2 11" xfId="20624" xr:uid="{00000000-0005-0000-0000-0000A3370000}"/>
    <cellStyle name="20 % - Markeringsfarve5 3 2 12" xfId="35613" xr:uid="{00000000-0005-0000-0000-0000A4370000}"/>
    <cellStyle name="20 % - Markeringsfarve5 3 2 13" xfId="53988" xr:uid="{00000000-0005-0000-0000-0000A5370000}"/>
    <cellStyle name="20 % - Markeringsfarve5 3 2 2" xfId="2771" xr:uid="{00000000-0005-0000-0000-0000A6370000}"/>
    <cellStyle name="20 % - Markeringsfarve5 3 2 2 2" xfId="2772" xr:uid="{00000000-0005-0000-0000-0000A7370000}"/>
    <cellStyle name="20 % - Markeringsfarve5 3 2 2 2 2" xfId="7669" xr:uid="{00000000-0005-0000-0000-0000A8370000}"/>
    <cellStyle name="20 % - Markeringsfarve5 3 2 2 2 2 2" xfId="15570" xr:uid="{00000000-0005-0000-0000-0000A9370000}"/>
    <cellStyle name="20 % - Markeringsfarve5 3 2 2 2 2 2 2" xfId="31884" xr:uid="{00000000-0005-0000-0000-0000AA370000}"/>
    <cellStyle name="20 % - Markeringsfarve5 3 2 2 2 2 2 3" xfId="46848" xr:uid="{00000000-0005-0000-0000-0000AB370000}"/>
    <cellStyle name="20 % - Markeringsfarve5 3 2 2 2 2 3" xfId="24862" xr:uid="{00000000-0005-0000-0000-0000AC370000}"/>
    <cellStyle name="20 % - Markeringsfarve5 3 2 2 2 2 4" xfId="39849" xr:uid="{00000000-0005-0000-0000-0000AD370000}"/>
    <cellStyle name="20 % - Markeringsfarve5 3 2 2 2 3" xfId="11329" xr:uid="{00000000-0005-0000-0000-0000AE370000}"/>
    <cellStyle name="20 % - Markeringsfarve5 3 2 2 2 3 2" xfId="27648" xr:uid="{00000000-0005-0000-0000-0000AF370000}"/>
    <cellStyle name="20 % - Markeringsfarve5 3 2 2 2 3 3" xfId="42614" xr:uid="{00000000-0005-0000-0000-0000B0370000}"/>
    <cellStyle name="20 % - Markeringsfarve5 3 2 2 2 4" xfId="20626" xr:uid="{00000000-0005-0000-0000-0000B1370000}"/>
    <cellStyle name="20 % - Markeringsfarve5 3 2 2 2 5" xfId="35615" xr:uid="{00000000-0005-0000-0000-0000B2370000}"/>
    <cellStyle name="20 % - Markeringsfarve5 3 2 2 3" xfId="2773" xr:uid="{00000000-0005-0000-0000-0000B3370000}"/>
    <cellStyle name="20 % - Markeringsfarve5 3 2 2 3 2" xfId="6899" xr:uid="{00000000-0005-0000-0000-0000B4370000}"/>
    <cellStyle name="20 % - Markeringsfarve5 3 2 2 3 2 2" xfId="14810" xr:uid="{00000000-0005-0000-0000-0000B5370000}"/>
    <cellStyle name="20 % - Markeringsfarve5 3 2 2 3 2 2 2" xfId="31124" xr:uid="{00000000-0005-0000-0000-0000B6370000}"/>
    <cellStyle name="20 % - Markeringsfarve5 3 2 2 3 2 2 3" xfId="46088" xr:uid="{00000000-0005-0000-0000-0000B7370000}"/>
    <cellStyle name="20 % - Markeringsfarve5 3 2 2 3 2 3" xfId="24102" xr:uid="{00000000-0005-0000-0000-0000B8370000}"/>
    <cellStyle name="20 % - Markeringsfarve5 3 2 2 3 2 4" xfId="39089" xr:uid="{00000000-0005-0000-0000-0000B9370000}"/>
    <cellStyle name="20 % - Markeringsfarve5 3 2 2 3 3" xfId="11330" xr:uid="{00000000-0005-0000-0000-0000BA370000}"/>
    <cellStyle name="20 % - Markeringsfarve5 3 2 2 3 3 2" xfId="27649" xr:uid="{00000000-0005-0000-0000-0000BB370000}"/>
    <cellStyle name="20 % - Markeringsfarve5 3 2 2 3 3 3" xfId="42615" xr:uid="{00000000-0005-0000-0000-0000BC370000}"/>
    <cellStyle name="20 % - Markeringsfarve5 3 2 2 3 4" xfId="20627" xr:uid="{00000000-0005-0000-0000-0000BD370000}"/>
    <cellStyle name="20 % - Markeringsfarve5 3 2 2 3 5" xfId="35616" xr:uid="{00000000-0005-0000-0000-0000BE370000}"/>
    <cellStyle name="20 % - Markeringsfarve5 3 2 2 4" xfId="5656" xr:uid="{00000000-0005-0000-0000-0000BF370000}"/>
    <cellStyle name="20 % - Markeringsfarve5 3 2 2 4 2" xfId="13574" xr:uid="{00000000-0005-0000-0000-0000C0370000}"/>
    <cellStyle name="20 % - Markeringsfarve5 3 2 2 4 2 2" xfId="29888" xr:uid="{00000000-0005-0000-0000-0000C1370000}"/>
    <cellStyle name="20 % - Markeringsfarve5 3 2 2 4 2 3" xfId="44852" xr:uid="{00000000-0005-0000-0000-0000C2370000}"/>
    <cellStyle name="20 % - Markeringsfarve5 3 2 2 4 3" xfId="22866" xr:uid="{00000000-0005-0000-0000-0000C3370000}"/>
    <cellStyle name="20 % - Markeringsfarve5 3 2 2 4 4" xfId="37853" xr:uid="{00000000-0005-0000-0000-0000C4370000}"/>
    <cellStyle name="20 % - Markeringsfarve5 3 2 2 5" xfId="11328" xr:uid="{00000000-0005-0000-0000-0000C5370000}"/>
    <cellStyle name="20 % - Markeringsfarve5 3 2 2 5 2" xfId="27647" xr:uid="{00000000-0005-0000-0000-0000C6370000}"/>
    <cellStyle name="20 % - Markeringsfarve5 3 2 2 5 3" xfId="42613" xr:uid="{00000000-0005-0000-0000-0000C7370000}"/>
    <cellStyle name="20 % - Markeringsfarve5 3 2 2 6" xfId="20625" xr:uid="{00000000-0005-0000-0000-0000C8370000}"/>
    <cellStyle name="20 % - Markeringsfarve5 3 2 2 7" xfId="35614" xr:uid="{00000000-0005-0000-0000-0000C9370000}"/>
    <cellStyle name="20 % - Markeringsfarve5 3 2 2 8" xfId="57155" xr:uid="{00000000-0005-0000-0000-0000CA370000}"/>
    <cellStyle name="20 % - Markeringsfarve5 3 2 3" xfId="2774" xr:uid="{00000000-0005-0000-0000-0000CB370000}"/>
    <cellStyle name="20 % - Markeringsfarve5 3 2 3 2" xfId="2775" xr:uid="{00000000-0005-0000-0000-0000CC370000}"/>
    <cellStyle name="20 % - Markeringsfarve5 3 2 3 2 2" xfId="7767" xr:uid="{00000000-0005-0000-0000-0000CD370000}"/>
    <cellStyle name="20 % - Markeringsfarve5 3 2 3 2 2 2" xfId="15668" xr:uid="{00000000-0005-0000-0000-0000CE370000}"/>
    <cellStyle name="20 % - Markeringsfarve5 3 2 3 2 2 2 2" xfId="31982" xr:uid="{00000000-0005-0000-0000-0000CF370000}"/>
    <cellStyle name="20 % - Markeringsfarve5 3 2 3 2 2 2 3" xfId="46946" xr:uid="{00000000-0005-0000-0000-0000D0370000}"/>
    <cellStyle name="20 % - Markeringsfarve5 3 2 3 2 2 3" xfId="24960" xr:uid="{00000000-0005-0000-0000-0000D1370000}"/>
    <cellStyle name="20 % - Markeringsfarve5 3 2 3 2 2 4" xfId="39947" xr:uid="{00000000-0005-0000-0000-0000D2370000}"/>
    <cellStyle name="20 % - Markeringsfarve5 3 2 3 2 3" xfId="11332" xr:uid="{00000000-0005-0000-0000-0000D3370000}"/>
    <cellStyle name="20 % - Markeringsfarve5 3 2 3 2 3 2" xfId="27651" xr:uid="{00000000-0005-0000-0000-0000D4370000}"/>
    <cellStyle name="20 % - Markeringsfarve5 3 2 3 2 3 3" xfId="42617" xr:uid="{00000000-0005-0000-0000-0000D5370000}"/>
    <cellStyle name="20 % - Markeringsfarve5 3 2 3 2 4" xfId="20629" xr:uid="{00000000-0005-0000-0000-0000D6370000}"/>
    <cellStyle name="20 % - Markeringsfarve5 3 2 3 2 5" xfId="35618" xr:uid="{00000000-0005-0000-0000-0000D7370000}"/>
    <cellStyle name="20 % - Markeringsfarve5 3 2 3 3" xfId="2776" xr:uid="{00000000-0005-0000-0000-0000D8370000}"/>
    <cellStyle name="20 % - Markeringsfarve5 3 2 3 3 2" xfId="6997" xr:uid="{00000000-0005-0000-0000-0000D9370000}"/>
    <cellStyle name="20 % - Markeringsfarve5 3 2 3 3 2 2" xfId="14908" xr:uid="{00000000-0005-0000-0000-0000DA370000}"/>
    <cellStyle name="20 % - Markeringsfarve5 3 2 3 3 2 2 2" xfId="31222" xr:uid="{00000000-0005-0000-0000-0000DB370000}"/>
    <cellStyle name="20 % - Markeringsfarve5 3 2 3 3 2 2 3" xfId="46186" xr:uid="{00000000-0005-0000-0000-0000DC370000}"/>
    <cellStyle name="20 % - Markeringsfarve5 3 2 3 3 2 3" xfId="24200" xr:uid="{00000000-0005-0000-0000-0000DD370000}"/>
    <cellStyle name="20 % - Markeringsfarve5 3 2 3 3 2 4" xfId="39187" xr:uid="{00000000-0005-0000-0000-0000DE370000}"/>
    <cellStyle name="20 % - Markeringsfarve5 3 2 3 3 3" xfId="11333" xr:uid="{00000000-0005-0000-0000-0000DF370000}"/>
    <cellStyle name="20 % - Markeringsfarve5 3 2 3 3 3 2" xfId="27652" xr:uid="{00000000-0005-0000-0000-0000E0370000}"/>
    <cellStyle name="20 % - Markeringsfarve5 3 2 3 3 3 3" xfId="42618" xr:uid="{00000000-0005-0000-0000-0000E1370000}"/>
    <cellStyle name="20 % - Markeringsfarve5 3 2 3 3 4" xfId="20630" xr:uid="{00000000-0005-0000-0000-0000E2370000}"/>
    <cellStyle name="20 % - Markeringsfarve5 3 2 3 3 5" xfId="35619" xr:uid="{00000000-0005-0000-0000-0000E3370000}"/>
    <cellStyle name="20 % - Markeringsfarve5 3 2 3 4" xfId="5657" xr:uid="{00000000-0005-0000-0000-0000E4370000}"/>
    <cellStyle name="20 % - Markeringsfarve5 3 2 3 4 2" xfId="13575" xr:uid="{00000000-0005-0000-0000-0000E5370000}"/>
    <cellStyle name="20 % - Markeringsfarve5 3 2 3 4 2 2" xfId="29889" xr:uid="{00000000-0005-0000-0000-0000E6370000}"/>
    <cellStyle name="20 % - Markeringsfarve5 3 2 3 4 2 3" xfId="44853" xr:uid="{00000000-0005-0000-0000-0000E7370000}"/>
    <cellStyle name="20 % - Markeringsfarve5 3 2 3 4 3" xfId="22867" xr:uid="{00000000-0005-0000-0000-0000E8370000}"/>
    <cellStyle name="20 % - Markeringsfarve5 3 2 3 4 4" xfId="37854" xr:uid="{00000000-0005-0000-0000-0000E9370000}"/>
    <cellStyle name="20 % - Markeringsfarve5 3 2 3 5" xfId="11331" xr:uid="{00000000-0005-0000-0000-0000EA370000}"/>
    <cellStyle name="20 % - Markeringsfarve5 3 2 3 5 2" xfId="27650" xr:uid="{00000000-0005-0000-0000-0000EB370000}"/>
    <cellStyle name="20 % - Markeringsfarve5 3 2 3 5 3" xfId="42616" xr:uid="{00000000-0005-0000-0000-0000EC370000}"/>
    <cellStyle name="20 % - Markeringsfarve5 3 2 3 6" xfId="20628" xr:uid="{00000000-0005-0000-0000-0000ED370000}"/>
    <cellStyle name="20 % - Markeringsfarve5 3 2 3 7" xfId="35617" xr:uid="{00000000-0005-0000-0000-0000EE370000}"/>
    <cellStyle name="20 % - Markeringsfarve5 3 2 4" xfId="2777" xr:uid="{00000000-0005-0000-0000-0000EF370000}"/>
    <cellStyle name="20 % - Markeringsfarve5 3 2 4 2" xfId="2778" xr:uid="{00000000-0005-0000-0000-0000F0370000}"/>
    <cellStyle name="20 % - Markeringsfarve5 3 2 4 2 2" xfId="7907" xr:uid="{00000000-0005-0000-0000-0000F1370000}"/>
    <cellStyle name="20 % - Markeringsfarve5 3 2 4 2 2 2" xfId="15808" xr:uid="{00000000-0005-0000-0000-0000F2370000}"/>
    <cellStyle name="20 % - Markeringsfarve5 3 2 4 2 2 2 2" xfId="32122" xr:uid="{00000000-0005-0000-0000-0000F3370000}"/>
    <cellStyle name="20 % - Markeringsfarve5 3 2 4 2 2 2 3" xfId="47086" xr:uid="{00000000-0005-0000-0000-0000F4370000}"/>
    <cellStyle name="20 % - Markeringsfarve5 3 2 4 2 2 3" xfId="25100" xr:uid="{00000000-0005-0000-0000-0000F5370000}"/>
    <cellStyle name="20 % - Markeringsfarve5 3 2 4 2 2 4" xfId="40087" xr:uid="{00000000-0005-0000-0000-0000F6370000}"/>
    <cellStyle name="20 % - Markeringsfarve5 3 2 4 2 3" xfId="11335" xr:uid="{00000000-0005-0000-0000-0000F7370000}"/>
    <cellStyle name="20 % - Markeringsfarve5 3 2 4 2 3 2" xfId="27654" xr:uid="{00000000-0005-0000-0000-0000F8370000}"/>
    <cellStyle name="20 % - Markeringsfarve5 3 2 4 2 3 3" xfId="42620" xr:uid="{00000000-0005-0000-0000-0000F9370000}"/>
    <cellStyle name="20 % - Markeringsfarve5 3 2 4 2 4" xfId="20632" xr:uid="{00000000-0005-0000-0000-0000FA370000}"/>
    <cellStyle name="20 % - Markeringsfarve5 3 2 4 2 5" xfId="35621" xr:uid="{00000000-0005-0000-0000-0000FB370000}"/>
    <cellStyle name="20 % - Markeringsfarve5 3 2 4 3" xfId="2779" xr:uid="{00000000-0005-0000-0000-0000FC370000}"/>
    <cellStyle name="20 % - Markeringsfarve5 3 2 4 3 2" xfId="7183" xr:uid="{00000000-0005-0000-0000-0000FD370000}"/>
    <cellStyle name="20 % - Markeringsfarve5 3 2 4 3 2 2" xfId="15093" xr:uid="{00000000-0005-0000-0000-0000FE370000}"/>
    <cellStyle name="20 % - Markeringsfarve5 3 2 4 3 2 2 2" xfId="31407" xr:uid="{00000000-0005-0000-0000-0000FF370000}"/>
    <cellStyle name="20 % - Markeringsfarve5 3 2 4 3 2 2 3" xfId="46371" xr:uid="{00000000-0005-0000-0000-000000380000}"/>
    <cellStyle name="20 % - Markeringsfarve5 3 2 4 3 2 3" xfId="24385" xr:uid="{00000000-0005-0000-0000-000001380000}"/>
    <cellStyle name="20 % - Markeringsfarve5 3 2 4 3 2 4" xfId="39372" xr:uid="{00000000-0005-0000-0000-000002380000}"/>
    <cellStyle name="20 % - Markeringsfarve5 3 2 4 3 3" xfId="11336" xr:uid="{00000000-0005-0000-0000-000003380000}"/>
    <cellStyle name="20 % - Markeringsfarve5 3 2 4 3 3 2" xfId="27655" xr:uid="{00000000-0005-0000-0000-000004380000}"/>
    <cellStyle name="20 % - Markeringsfarve5 3 2 4 3 3 3" xfId="42621" xr:uid="{00000000-0005-0000-0000-000005380000}"/>
    <cellStyle name="20 % - Markeringsfarve5 3 2 4 3 4" xfId="20633" xr:uid="{00000000-0005-0000-0000-000006380000}"/>
    <cellStyle name="20 % - Markeringsfarve5 3 2 4 3 5" xfId="35622" xr:uid="{00000000-0005-0000-0000-000007380000}"/>
    <cellStyle name="20 % - Markeringsfarve5 3 2 4 4" xfId="5658" xr:uid="{00000000-0005-0000-0000-000008380000}"/>
    <cellStyle name="20 % - Markeringsfarve5 3 2 4 4 2" xfId="13576" xr:uid="{00000000-0005-0000-0000-000009380000}"/>
    <cellStyle name="20 % - Markeringsfarve5 3 2 4 4 2 2" xfId="29890" xr:uid="{00000000-0005-0000-0000-00000A380000}"/>
    <cellStyle name="20 % - Markeringsfarve5 3 2 4 4 2 3" xfId="44854" xr:uid="{00000000-0005-0000-0000-00000B380000}"/>
    <cellStyle name="20 % - Markeringsfarve5 3 2 4 4 3" xfId="22868" xr:uid="{00000000-0005-0000-0000-00000C380000}"/>
    <cellStyle name="20 % - Markeringsfarve5 3 2 4 4 4" xfId="37855" xr:uid="{00000000-0005-0000-0000-00000D380000}"/>
    <cellStyle name="20 % - Markeringsfarve5 3 2 4 5" xfId="11334" xr:uid="{00000000-0005-0000-0000-00000E380000}"/>
    <cellStyle name="20 % - Markeringsfarve5 3 2 4 5 2" xfId="27653" xr:uid="{00000000-0005-0000-0000-00000F380000}"/>
    <cellStyle name="20 % - Markeringsfarve5 3 2 4 5 3" xfId="42619" xr:uid="{00000000-0005-0000-0000-000010380000}"/>
    <cellStyle name="20 % - Markeringsfarve5 3 2 4 6" xfId="20631" xr:uid="{00000000-0005-0000-0000-000011380000}"/>
    <cellStyle name="20 % - Markeringsfarve5 3 2 4 7" xfId="35620" xr:uid="{00000000-0005-0000-0000-000012380000}"/>
    <cellStyle name="20 % - Markeringsfarve5 3 2 5" xfId="2780" xr:uid="{00000000-0005-0000-0000-000013380000}"/>
    <cellStyle name="20 % - Markeringsfarve5 3 2 5 2" xfId="2781" xr:uid="{00000000-0005-0000-0000-000014380000}"/>
    <cellStyle name="20 % - Markeringsfarve5 3 2 5 2 2" xfId="8024" xr:uid="{00000000-0005-0000-0000-000015380000}"/>
    <cellStyle name="20 % - Markeringsfarve5 3 2 5 2 2 2" xfId="15925" xr:uid="{00000000-0005-0000-0000-000016380000}"/>
    <cellStyle name="20 % - Markeringsfarve5 3 2 5 2 2 2 2" xfId="32239" xr:uid="{00000000-0005-0000-0000-000017380000}"/>
    <cellStyle name="20 % - Markeringsfarve5 3 2 5 2 2 2 3" xfId="47203" xr:uid="{00000000-0005-0000-0000-000018380000}"/>
    <cellStyle name="20 % - Markeringsfarve5 3 2 5 2 2 3" xfId="25217" xr:uid="{00000000-0005-0000-0000-000019380000}"/>
    <cellStyle name="20 % - Markeringsfarve5 3 2 5 2 2 4" xfId="40204" xr:uid="{00000000-0005-0000-0000-00001A380000}"/>
    <cellStyle name="20 % - Markeringsfarve5 3 2 5 2 3" xfId="11338" xr:uid="{00000000-0005-0000-0000-00001B380000}"/>
    <cellStyle name="20 % - Markeringsfarve5 3 2 5 2 3 2" xfId="27657" xr:uid="{00000000-0005-0000-0000-00001C380000}"/>
    <cellStyle name="20 % - Markeringsfarve5 3 2 5 2 3 3" xfId="42623" xr:uid="{00000000-0005-0000-0000-00001D380000}"/>
    <cellStyle name="20 % - Markeringsfarve5 3 2 5 2 4" xfId="20635" xr:uid="{00000000-0005-0000-0000-00001E380000}"/>
    <cellStyle name="20 % - Markeringsfarve5 3 2 5 2 5" xfId="35624" xr:uid="{00000000-0005-0000-0000-00001F380000}"/>
    <cellStyle name="20 % - Markeringsfarve5 3 2 5 3" xfId="2782" xr:uid="{00000000-0005-0000-0000-000020380000}"/>
    <cellStyle name="20 % - Markeringsfarve5 3 2 5 3 2" xfId="7300" xr:uid="{00000000-0005-0000-0000-000021380000}"/>
    <cellStyle name="20 % - Markeringsfarve5 3 2 5 3 2 2" xfId="15210" xr:uid="{00000000-0005-0000-0000-000022380000}"/>
    <cellStyle name="20 % - Markeringsfarve5 3 2 5 3 2 2 2" xfId="31524" xr:uid="{00000000-0005-0000-0000-000023380000}"/>
    <cellStyle name="20 % - Markeringsfarve5 3 2 5 3 2 2 3" xfId="46488" xr:uid="{00000000-0005-0000-0000-000024380000}"/>
    <cellStyle name="20 % - Markeringsfarve5 3 2 5 3 2 3" xfId="24502" xr:uid="{00000000-0005-0000-0000-000025380000}"/>
    <cellStyle name="20 % - Markeringsfarve5 3 2 5 3 2 4" xfId="39489" xr:uid="{00000000-0005-0000-0000-000026380000}"/>
    <cellStyle name="20 % - Markeringsfarve5 3 2 5 3 3" xfId="11339" xr:uid="{00000000-0005-0000-0000-000027380000}"/>
    <cellStyle name="20 % - Markeringsfarve5 3 2 5 3 3 2" xfId="27658" xr:uid="{00000000-0005-0000-0000-000028380000}"/>
    <cellStyle name="20 % - Markeringsfarve5 3 2 5 3 3 3" xfId="42624" xr:uid="{00000000-0005-0000-0000-000029380000}"/>
    <cellStyle name="20 % - Markeringsfarve5 3 2 5 3 4" xfId="20636" xr:uid="{00000000-0005-0000-0000-00002A380000}"/>
    <cellStyle name="20 % - Markeringsfarve5 3 2 5 3 5" xfId="35625" xr:uid="{00000000-0005-0000-0000-00002B380000}"/>
    <cellStyle name="20 % - Markeringsfarve5 3 2 5 4" xfId="5659" xr:uid="{00000000-0005-0000-0000-00002C380000}"/>
    <cellStyle name="20 % - Markeringsfarve5 3 2 5 4 2" xfId="13577" xr:uid="{00000000-0005-0000-0000-00002D380000}"/>
    <cellStyle name="20 % - Markeringsfarve5 3 2 5 4 2 2" xfId="29891" xr:uid="{00000000-0005-0000-0000-00002E380000}"/>
    <cellStyle name="20 % - Markeringsfarve5 3 2 5 4 2 3" xfId="44855" xr:uid="{00000000-0005-0000-0000-00002F380000}"/>
    <cellStyle name="20 % - Markeringsfarve5 3 2 5 4 3" xfId="22869" xr:uid="{00000000-0005-0000-0000-000030380000}"/>
    <cellStyle name="20 % - Markeringsfarve5 3 2 5 4 4" xfId="37856" xr:uid="{00000000-0005-0000-0000-000031380000}"/>
    <cellStyle name="20 % - Markeringsfarve5 3 2 5 5" xfId="11337" xr:uid="{00000000-0005-0000-0000-000032380000}"/>
    <cellStyle name="20 % - Markeringsfarve5 3 2 5 5 2" xfId="27656" xr:uid="{00000000-0005-0000-0000-000033380000}"/>
    <cellStyle name="20 % - Markeringsfarve5 3 2 5 5 3" xfId="42622" xr:uid="{00000000-0005-0000-0000-000034380000}"/>
    <cellStyle name="20 % - Markeringsfarve5 3 2 5 6" xfId="20634" xr:uid="{00000000-0005-0000-0000-000035380000}"/>
    <cellStyle name="20 % - Markeringsfarve5 3 2 5 7" xfId="35623" xr:uid="{00000000-0005-0000-0000-000036380000}"/>
    <cellStyle name="20 % - Markeringsfarve5 3 2 6" xfId="2783" xr:uid="{00000000-0005-0000-0000-000037380000}"/>
    <cellStyle name="20 % - Markeringsfarve5 3 2 6 2" xfId="2784" xr:uid="{00000000-0005-0000-0000-000038380000}"/>
    <cellStyle name="20 % - Markeringsfarve5 3 2 6 2 2" xfId="8121" xr:uid="{00000000-0005-0000-0000-000039380000}"/>
    <cellStyle name="20 % - Markeringsfarve5 3 2 6 2 2 2" xfId="16022" xr:uid="{00000000-0005-0000-0000-00003A380000}"/>
    <cellStyle name="20 % - Markeringsfarve5 3 2 6 2 2 2 2" xfId="32336" xr:uid="{00000000-0005-0000-0000-00003B380000}"/>
    <cellStyle name="20 % - Markeringsfarve5 3 2 6 2 2 2 3" xfId="47300" xr:uid="{00000000-0005-0000-0000-00003C380000}"/>
    <cellStyle name="20 % - Markeringsfarve5 3 2 6 2 2 3" xfId="25314" xr:uid="{00000000-0005-0000-0000-00003D380000}"/>
    <cellStyle name="20 % - Markeringsfarve5 3 2 6 2 2 4" xfId="40301" xr:uid="{00000000-0005-0000-0000-00003E380000}"/>
    <cellStyle name="20 % - Markeringsfarve5 3 2 6 2 3" xfId="11341" xr:uid="{00000000-0005-0000-0000-00003F380000}"/>
    <cellStyle name="20 % - Markeringsfarve5 3 2 6 2 3 2" xfId="27660" xr:uid="{00000000-0005-0000-0000-000040380000}"/>
    <cellStyle name="20 % - Markeringsfarve5 3 2 6 2 3 3" xfId="42626" xr:uid="{00000000-0005-0000-0000-000041380000}"/>
    <cellStyle name="20 % - Markeringsfarve5 3 2 6 2 4" xfId="20638" xr:uid="{00000000-0005-0000-0000-000042380000}"/>
    <cellStyle name="20 % - Markeringsfarve5 3 2 6 2 5" xfId="35627" xr:uid="{00000000-0005-0000-0000-000043380000}"/>
    <cellStyle name="20 % - Markeringsfarve5 3 2 6 3" xfId="2785" xr:uid="{00000000-0005-0000-0000-000044380000}"/>
    <cellStyle name="20 % - Markeringsfarve5 3 2 6 3 2" xfId="7398" xr:uid="{00000000-0005-0000-0000-000045380000}"/>
    <cellStyle name="20 % - Markeringsfarve5 3 2 6 3 2 2" xfId="15308" xr:uid="{00000000-0005-0000-0000-000046380000}"/>
    <cellStyle name="20 % - Markeringsfarve5 3 2 6 3 2 2 2" xfId="31622" xr:uid="{00000000-0005-0000-0000-000047380000}"/>
    <cellStyle name="20 % - Markeringsfarve5 3 2 6 3 2 2 3" xfId="46586" xr:uid="{00000000-0005-0000-0000-000048380000}"/>
    <cellStyle name="20 % - Markeringsfarve5 3 2 6 3 2 3" xfId="24600" xr:uid="{00000000-0005-0000-0000-000049380000}"/>
    <cellStyle name="20 % - Markeringsfarve5 3 2 6 3 2 4" xfId="39587" xr:uid="{00000000-0005-0000-0000-00004A380000}"/>
    <cellStyle name="20 % - Markeringsfarve5 3 2 6 3 3" xfId="11342" xr:uid="{00000000-0005-0000-0000-00004B380000}"/>
    <cellStyle name="20 % - Markeringsfarve5 3 2 6 3 3 2" xfId="27661" xr:uid="{00000000-0005-0000-0000-00004C380000}"/>
    <cellStyle name="20 % - Markeringsfarve5 3 2 6 3 3 3" xfId="42627" xr:uid="{00000000-0005-0000-0000-00004D380000}"/>
    <cellStyle name="20 % - Markeringsfarve5 3 2 6 3 4" xfId="20639" xr:uid="{00000000-0005-0000-0000-00004E380000}"/>
    <cellStyle name="20 % - Markeringsfarve5 3 2 6 3 5" xfId="35628" xr:uid="{00000000-0005-0000-0000-00004F380000}"/>
    <cellStyle name="20 % - Markeringsfarve5 3 2 6 4" xfId="5660" xr:uid="{00000000-0005-0000-0000-000050380000}"/>
    <cellStyle name="20 % - Markeringsfarve5 3 2 6 4 2" xfId="13578" xr:uid="{00000000-0005-0000-0000-000051380000}"/>
    <cellStyle name="20 % - Markeringsfarve5 3 2 6 4 2 2" xfId="29892" xr:uid="{00000000-0005-0000-0000-000052380000}"/>
    <cellStyle name="20 % - Markeringsfarve5 3 2 6 4 2 3" xfId="44856" xr:uid="{00000000-0005-0000-0000-000053380000}"/>
    <cellStyle name="20 % - Markeringsfarve5 3 2 6 4 3" xfId="22870" xr:uid="{00000000-0005-0000-0000-000054380000}"/>
    <cellStyle name="20 % - Markeringsfarve5 3 2 6 4 4" xfId="37857" xr:uid="{00000000-0005-0000-0000-000055380000}"/>
    <cellStyle name="20 % - Markeringsfarve5 3 2 6 5" xfId="11340" xr:uid="{00000000-0005-0000-0000-000056380000}"/>
    <cellStyle name="20 % - Markeringsfarve5 3 2 6 5 2" xfId="27659" xr:uid="{00000000-0005-0000-0000-000057380000}"/>
    <cellStyle name="20 % - Markeringsfarve5 3 2 6 5 3" xfId="42625" xr:uid="{00000000-0005-0000-0000-000058380000}"/>
    <cellStyle name="20 % - Markeringsfarve5 3 2 6 6" xfId="20637" xr:uid="{00000000-0005-0000-0000-000059380000}"/>
    <cellStyle name="20 % - Markeringsfarve5 3 2 6 7" xfId="35626" xr:uid="{00000000-0005-0000-0000-00005A380000}"/>
    <cellStyle name="20 % - Markeringsfarve5 3 2 7" xfId="2786" xr:uid="{00000000-0005-0000-0000-00005B380000}"/>
    <cellStyle name="20 % - Markeringsfarve5 3 2 7 2" xfId="7550" xr:uid="{00000000-0005-0000-0000-00005C380000}"/>
    <cellStyle name="20 % - Markeringsfarve5 3 2 7 2 2" xfId="15451" xr:uid="{00000000-0005-0000-0000-00005D380000}"/>
    <cellStyle name="20 % - Markeringsfarve5 3 2 7 2 2 2" xfId="31765" xr:uid="{00000000-0005-0000-0000-00005E380000}"/>
    <cellStyle name="20 % - Markeringsfarve5 3 2 7 2 2 3" xfId="46729" xr:uid="{00000000-0005-0000-0000-00005F380000}"/>
    <cellStyle name="20 % - Markeringsfarve5 3 2 7 2 3" xfId="24743" xr:uid="{00000000-0005-0000-0000-000060380000}"/>
    <cellStyle name="20 % - Markeringsfarve5 3 2 7 2 4" xfId="39730" xr:uid="{00000000-0005-0000-0000-000061380000}"/>
    <cellStyle name="20 % - Markeringsfarve5 3 2 7 3" xfId="11343" xr:uid="{00000000-0005-0000-0000-000062380000}"/>
    <cellStyle name="20 % - Markeringsfarve5 3 2 7 3 2" xfId="27662" xr:uid="{00000000-0005-0000-0000-000063380000}"/>
    <cellStyle name="20 % - Markeringsfarve5 3 2 7 3 3" xfId="42628" xr:uid="{00000000-0005-0000-0000-000064380000}"/>
    <cellStyle name="20 % - Markeringsfarve5 3 2 7 4" xfId="20640" xr:uid="{00000000-0005-0000-0000-000065380000}"/>
    <cellStyle name="20 % - Markeringsfarve5 3 2 7 5" xfId="35629" xr:uid="{00000000-0005-0000-0000-000066380000}"/>
    <cellStyle name="20 % - Markeringsfarve5 3 2 8" xfId="2787" xr:uid="{00000000-0005-0000-0000-000067380000}"/>
    <cellStyle name="20 % - Markeringsfarve5 3 2 8 2" xfId="6778" xr:uid="{00000000-0005-0000-0000-000068380000}"/>
    <cellStyle name="20 % - Markeringsfarve5 3 2 8 2 2" xfId="14689" xr:uid="{00000000-0005-0000-0000-000069380000}"/>
    <cellStyle name="20 % - Markeringsfarve5 3 2 8 2 2 2" xfId="31003" xr:uid="{00000000-0005-0000-0000-00006A380000}"/>
    <cellStyle name="20 % - Markeringsfarve5 3 2 8 2 2 3" xfId="45967" xr:uid="{00000000-0005-0000-0000-00006B380000}"/>
    <cellStyle name="20 % - Markeringsfarve5 3 2 8 2 3" xfId="23981" xr:uid="{00000000-0005-0000-0000-00006C380000}"/>
    <cellStyle name="20 % - Markeringsfarve5 3 2 8 2 4" xfId="38968" xr:uid="{00000000-0005-0000-0000-00006D380000}"/>
    <cellStyle name="20 % - Markeringsfarve5 3 2 8 3" xfId="11344" xr:uid="{00000000-0005-0000-0000-00006E380000}"/>
    <cellStyle name="20 % - Markeringsfarve5 3 2 8 3 2" xfId="27663" xr:uid="{00000000-0005-0000-0000-00006F380000}"/>
    <cellStyle name="20 % - Markeringsfarve5 3 2 8 3 3" xfId="42629" xr:uid="{00000000-0005-0000-0000-000070380000}"/>
    <cellStyle name="20 % - Markeringsfarve5 3 2 8 4" xfId="20641" xr:uid="{00000000-0005-0000-0000-000071380000}"/>
    <cellStyle name="20 % - Markeringsfarve5 3 2 8 5" xfId="35630" xr:uid="{00000000-0005-0000-0000-000072380000}"/>
    <cellStyle name="20 % - Markeringsfarve5 3 2 9" xfId="5655" xr:uid="{00000000-0005-0000-0000-000073380000}"/>
    <cellStyle name="20 % - Markeringsfarve5 3 2 9 2" xfId="13573" xr:uid="{00000000-0005-0000-0000-000074380000}"/>
    <cellStyle name="20 % - Markeringsfarve5 3 2 9 2 2" xfId="29887" xr:uid="{00000000-0005-0000-0000-000075380000}"/>
    <cellStyle name="20 % - Markeringsfarve5 3 2 9 2 3" xfId="44851" xr:uid="{00000000-0005-0000-0000-000076380000}"/>
    <cellStyle name="20 % - Markeringsfarve5 3 2 9 3" xfId="22865" xr:uid="{00000000-0005-0000-0000-000077380000}"/>
    <cellStyle name="20 % - Markeringsfarve5 3 2 9 4" xfId="37852" xr:uid="{00000000-0005-0000-0000-000078380000}"/>
    <cellStyle name="20 % - Markeringsfarve5 3 3" xfId="2788" xr:uid="{00000000-0005-0000-0000-000079380000}"/>
    <cellStyle name="20 % - Markeringsfarve5 3 3 10" xfId="11345" xr:uid="{00000000-0005-0000-0000-00007A380000}"/>
    <cellStyle name="20 % - Markeringsfarve5 3 3 10 2" xfId="27664" xr:uid="{00000000-0005-0000-0000-00007B380000}"/>
    <cellStyle name="20 % - Markeringsfarve5 3 3 10 3" xfId="42630" xr:uid="{00000000-0005-0000-0000-00007C380000}"/>
    <cellStyle name="20 % - Markeringsfarve5 3 3 11" xfId="20642" xr:uid="{00000000-0005-0000-0000-00007D380000}"/>
    <cellStyle name="20 % - Markeringsfarve5 3 3 12" xfId="35631" xr:uid="{00000000-0005-0000-0000-00007E380000}"/>
    <cellStyle name="20 % - Markeringsfarve5 3 3 13" xfId="56532" xr:uid="{00000000-0005-0000-0000-00007F380000}"/>
    <cellStyle name="20 % - Markeringsfarve5 3 3 2" xfId="2789" xr:uid="{00000000-0005-0000-0000-000080380000}"/>
    <cellStyle name="20 % - Markeringsfarve5 3 3 2 2" xfId="2790" xr:uid="{00000000-0005-0000-0000-000081380000}"/>
    <cellStyle name="20 % - Markeringsfarve5 3 3 2 2 2" xfId="7708" xr:uid="{00000000-0005-0000-0000-000082380000}"/>
    <cellStyle name="20 % - Markeringsfarve5 3 3 2 2 2 2" xfId="15609" xr:uid="{00000000-0005-0000-0000-000083380000}"/>
    <cellStyle name="20 % - Markeringsfarve5 3 3 2 2 2 2 2" xfId="31923" xr:uid="{00000000-0005-0000-0000-000084380000}"/>
    <cellStyle name="20 % - Markeringsfarve5 3 3 2 2 2 2 3" xfId="46887" xr:uid="{00000000-0005-0000-0000-000085380000}"/>
    <cellStyle name="20 % - Markeringsfarve5 3 3 2 2 2 3" xfId="24901" xr:uid="{00000000-0005-0000-0000-000086380000}"/>
    <cellStyle name="20 % - Markeringsfarve5 3 3 2 2 2 4" xfId="39888" xr:uid="{00000000-0005-0000-0000-000087380000}"/>
    <cellStyle name="20 % - Markeringsfarve5 3 3 2 2 3" xfId="11347" xr:uid="{00000000-0005-0000-0000-000088380000}"/>
    <cellStyle name="20 % - Markeringsfarve5 3 3 2 2 3 2" xfId="27666" xr:uid="{00000000-0005-0000-0000-000089380000}"/>
    <cellStyle name="20 % - Markeringsfarve5 3 3 2 2 3 3" xfId="42632" xr:uid="{00000000-0005-0000-0000-00008A380000}"/>
    <cellStyle name="20 % - Markeringsfarve5 3 3 2 2 4" xfId="20644" xr:uid="{00000000-0005-0000-0000-00008B380000}"/>
    <cellStyle name="20 % - Markeringsfarve5 3 3 2 2 5" xfId="35633" xr:uid="{00000000-0005-0000-0000-00008C380000}"/>
    <cellStyle name="20 % - Markeringsfarve5 3 3 2 3" xfId="2791" xr:uid="{00000000-0005-0000-0000-00008D380000}"/>
    <cellStyle name="20 % - Markeringsfarve5 3 3 2 3 2" xfId="6938" xr:uid="{00000000-0005-0000-0000-00008E380000}"/>
    <cellStyle name="20 % - Markeringsfarve5 3 3 2 3 2 2" xfId="14849" xr:uid="{00000000-0005-0000-0000-00008F380000}"/>
    <cellStyle name="20 % - Markeringsfarve5 3 3 2 3 2 2 2" xfId="31163" xr:uid="{00000000-0005-0000-0000-000090380000}"/>
    <cellStyle name="20 % - Markeringsfarve5 3 3 2 3 2 2 3" xfId="46127" xr:uid="{00000000-0005-0000-0000-000091380000}"/>
    <cellStyle name="20 % - Markeringsfarve5 3 3 2 3 2 3" xfId="24141" xr:uid="{00000000-0005-0000-0000-000092380000}"/>
    <cellStyle name="20 % - Markeringsfarve5 3 3 2 3 2 4" xfId="39128" xr:uid="{00000000-0005-0000-0000-000093380000}"/>
    <cellStyle name="20 % - Markeringsfarve5 3 3 2 3 3" xfId="11348" xr:uid="{00000000-0005-0000-0000-000094380000}"/>
    <cellStyle name="20 % - Markeringsfarve5 3 3 2 3 3 2" xfId="27667" xr:uid="{00000000-0005-0000-0000-000095380000}"/>
    <cellStyle name="20 % - Markeringsfarve5 3 3 2 3 3 3" xfId="42633" xr:uid="{00000000-0005-0000-0000-000096380000}"/>
    <cellStyle name="20 % - Markeringsfarve5 3 3 2 3 4" xfId="20645" xr:uid="{00000000-0005-0000-0000-000097380000}"/>
    <cellStyle name="20 % - Markeringsfarve5 3 3 2 3 5" xfId="35634" xr:uid="{00000000-0005-0000-0000-000098380000}"/>
    <cellStyle name="20 % - Markeringsfarve5 3 3 2 4" xfId="5662" xr:uid="{00000000-0005-0000-0000-000099380000}"/>
    <cellStyle name="20 % - Markeringsfarve5 3 3 2 4 2" xfId="13580" xr:uid="{00000000-0005-0000-0000-00009A380000}"/>
    <cellStyle name="20 % - Markeringsfarve5 3 3 2 4 2 2" xfId="29894" xr:uid="{00000000-0005-0000-0000-00009B380000}"/>
    <cellStyle name="20 % - Markeringsfarve5 3 3 2 4 2 3" xfId="44858" xr:uid="{00000000-0005-0000-0000-00009C380000}"/>
    <cellStyle name="20 % - Markeringsfarve5 3 3 2 4 3" xfId="22872" xr:uid="{00000000-0005-0000-0000-00009D380000}"/>
    <cellStyle name="20 % - Markeringsfarve5 3 3 2 4 4" xfId="37859" xr:uid="{00000000-0005-0000-0000-00009E380000}"/>
    <cellStyle name="20 % - Markeringsfarve5 3 3 2 5" xfId="11346" xr:uid="{00000000-0005-0000-0000-00009F380000}"/>
    <cellStyle name="20 % - Markeringsfarve5 3 3 2 5 2" xfId="27665" xr:uid="{00000000-0005-0000-0000-0000A0380000}"/>
    <cellStyle name="20 % - Markeringsfarve5 3 3 2 5 3" xfId="42631" xr:uid="{00000000-0005-0000-0000-0000A1380000}"/>
    <cellStyle name="20 % - Markeringsfarve5 3 3 2 6" xfId="20643" xr:uid="{00000000-0005-0000-0000-0000A2380000}"/>
    <cellStyle name="20 % - Markeringsfarve5 3 3 2 7" xfId="35632" xr:uid="{00000000-0005-0000-0000-0000A3380000}"/>
    <cellStyle name="20 % - Markeringsfarve5 3 3 3" xfId="2792" xr:uid="{00000000-0005-0000-0000-0000A4380000}"/>
    <cellStyle name="20 % - Markeringsfarve5 3 3 3 2" xfId="2793" xr:uid="{00000000-0005-0000-0000-0000A5380000}"/>
    <cellStyle name="20 % - Markeringsfarve5 3 3 3 2 2" xfId="7768" xr:uid="{00000000-0005-0000-0000-0000A6380000}"/>
    <cellStyle name="20 % - Markeringsfarve5 3 3 3 2 2 2" xfId="15669" xr:uid="{00000000-0005-0000-0000-0000A7380000}"/>
    <cellStyle name="20 % - Markeringsfarve5 3 3 3 2 2 2 2" xfId="31983" xr:uid="{00000000-0005-0000-0000-0000A8380000}"/>
    <cellStyle name="20 % - Markeringsfarve5 3 3 3 2 2 2 3" xfId="46947" xr:uid="{00000000-0005-0000-0000-0000A9380000}"/>
    <cellStyle name="20 % - Markeringsfarve5 3 3 3 2 2 3" xfId="24961" xr:uid="{00000000-0005-0000-0000-0000AA380000}"/>
    <cellStyle name="20 % - Markeringsfarve5 3 3 3 2 2 4" xfId="39948" xr:uid="{00000000-0005-0000-0000-0000AB380000}"/>
    <cellStyle name="20 % - Markeringsfarve5 3 3 3 2 3" xfId="11350" xr:uid="{00000000-0005-0000-0000-0000AC380000}"/>
    <cellStyle name="20 % - Markeringsfarve5 3 3 3 2 3 2" xfId="27669" xr:uid="{00000000-0005-0000-0000-0000AD380000}"/>
    <cellStyle name="20 % - Markeringsfarve5 3 3 3 2 3 3" xfId="42635" xr:uid="{00000000-0005-0000-0000-0000AE380000}"/>
    <cellStyle name="20 % - Markeringsfarve5 3 3 3 2 4" xfId="20647" xr:uid="{00000000-0005-0000-0000-0000AF380000}"/>
    <cellStyle name="20 % - Markeringsfarve5 3 3 3 2 5" xfId="35636" xr:uid="{00000000-0005-0000-0000-0000B0380000}"/>
    <cellStyle name="20 % - Markeringsfarve5 3 3 3 3" xfId="2794" xr:uid="{00000000-0005-0000-0000-0000B1380000}"/>
    <cellStyle name="20 % - Markeringsfarve5 3 3 3 3 2" xfId="6998" xr:uid="{00000000-0005-0000-0000-0000B2380000}"/>
    <cellStyle name="20 % - Markeringsfarve5 3 3 3 3 2 2" xfId="14909" xr:uid="{00000000-0005-0000-0000-0000B3380000}"/>
    <cellStyle name="20 % - Markeringsfarve5 3 3 3 3 2 2 2" xfId="31223" xr:uid="{00000000-0005-0000-0000-0000B4380000}"/>
    <cellStyle name="20 % - Markeringsfarve5 3 3 3 3 2 2 3" xfId="46187" xr:uid="{00000000-0005-0000-0000-0000B5380000}"/>
    <cellStyle name="20 % - Markeringsfarve5 3 3 3 3 2 3" xfId="24201" xr:uid="{00000000-0005-0000-0000-0000B6380000}"/>
    <cellStyle name="20 % - Markeringsfarve5 3 3 3 3 2 4" xfId="39188" xr:uid="{00000000-0005-0000-0000-0000B7380000}"/>
    <cellStyle name="20 % - Markeringsfarve5 3 3 3 3 3" xfId="11351" xr:uid="{00000000-0005-0000-0000-0000B8380000}"/>
    <cellStyle name="20 % - Markeringsfarve5 3 3 3 3 3 2" xfId="27670" xr:uid="{00000000-0005-0000-0000-0000B9380000}"/>
    <cellStyle name="20 % - Markeringsfarve5 3 3 3 3 3 3" xfId="42636" xr:uid="{00000000-0005-0000-0000-0000BA380000}"/>
    <cellStyle name="20 % - Markeringsfarve5 3 3 3 3 4" xfId="20648" xr:uid="{00000000-0005-0000-0000-0000BB380000}"/>
    <cellStyle name="20 % - Markeringsfarve5 3 3 3 3 5" xfId="35637" xr:uid="{00000000-0005-0000-0000-0000BC380000}"/>
    <cellStyle name="20 % - Markeringsfarve5 3 3 3 4" xfId="5663" xr:uid="{00000000-0005-0000-0000-0000BD380000}"/>
    <cellStyle name="20 % - Markeringsfarve5 3 3 3 4 2" xfId="13581" xr:uid="{00000000-0005-0000-0000-0000BE380000}"/>
    <cellStyle name="20 % - Markeringsfarve5 3 3 3 4 2 2" xfId="29895" xr:uid="{00000000-0005-0000-0000-0000BF380000}"/>
    <cellStyle name="20 % - Markeringsfarve5 3 3 3 4 2 3" xfId="44859" xr:uid="{00000000-0005-0000-0000-0000C0380000}"/>
    <cellStyle name="20 % - Markeringsfarve5 3 3 3 4 3" xfId="22873" xr:uid="{00000000-0005-0000-0000-0000C1380000}"/>
    <cellStyle name="20 % - Markeringsfarve5 3 3 3 4 4" xfId="37860" xr:uid="{00000000-0005-0000-0000-0000C2380000}"/>
    <cellStyle name="20 % - Markeringsfarve5 3 3 3 5" xfId="11349" xr:uid="{00000000-0005-0000-0000-0000C3380000}"/>
    <cellStyle name="20 % - Markeringsfarve5 3 3 3 5 2" xfId="27668" xr:uid="{00000000-0005-0000-0000-0000C4380000}"/>
    <cellStyle name="20 % - Markeringsfarve5 3 3 3 5 3" xfId="42634" xr:uid="{00000000-0005-0000-0000-0000C5380000}"/>
    <cellStyle name="20 % - Markeringsfarve5 3 3 3 6" xfId="20646" xr:uid="{00000000-0005-0000-0000-0000C6380000}"/>
    <cellStyle name="20 % - Markeringsfarve5 3 3 3 7" xfId="35635" xr:uid="{00000000-0005-0000-0000-0000C7380000}"/>
    <cellStyle name="20 % - Markeringsfarve5 3 3 4" xfId="2795" xr:uid="{00000000-0005-0000-0000-0000C8380000}"/>
    <cellStyle name="20 % - Markeringsfarve5 3 3 4 2" xfId="2796" xr:uid="{00000000-0005-0000-0000-0000C9380000}"/>
    <cellStyle name="20 % - Markeringsfarve5 3 3 4 2 2" xfId="7946" xr:uid="{00000000-0005-0000-0000-0000CA380000}"/>
    <cellStyle name="20 % - Markeringsfarve5 3 3 4 2 2 2" xfId="15847" xr:uid="{00000000-0005-0000-0000-0000CB380000}"/>
    <cellStyle name="20 % - Markeringsfarve5 3 3 4 2 2 2 2" xfId="32161" xr:uid="{00000000-0005-0000-0000-0000CC380000}"/>
    <cellStyle name="20 % - Markeringsfarve5 3 3 4 2 2 2 3" xfId="47125" xr:uid="{00000000-0005-0000-0000-0000CD380000}"/>
    <cellStyle name="20 % - Markeringsfarve5 3 3 4 2 2 3" xfId="25139" xr:uid="{00000000-0005-0000-0000-0000CE380000}"/>
    <cellStyle name="20 % - Markeringsfarve5 3 3 4 2 2 4" xfId="40126" xr:uid="{00000000-0005-0000-0000-0000CF380000}"/>
    <cellStyle name="20 % - Markeringsfarve5 3 3 4 2 3" xfId="11353" xr:uid="{00000000-0005-0000-0000-0000D0380000}"/>
    <cellStyle name="20 % - Markeringsfarve5 3 3 4 2 3 2" xfId="27672" xr:uid="{00000000-0005-0000-0000-0000D1380000}"/>
    <cellStyle name="20 % - Markeringsfarve5 3 3 4 2 3 3" xfId="42638" xr:uid="{00000000-0005-0000-0000-0000D2380000}"/>
    <cellStyle name="20 % - Markeringsfarve5 3 3 4 2 4" xfId="20650" xr:uid="{00000000-0005-0000-0000-0000D3380000}"/>
    <cellStyle name="20 % - Markeringsfarve5 3 3 4 2 5" xfId="35639" xr:uid="{00000000-0005-0000-0000-0000D4380000}"/>
    <cellStyle name="20 % - Markeringsfarve5 3 3 4 3" xfId="2797" xr:uid="{00000000-0005-0000-0000-0000D5380000}"/>
    <cellStyle name="20 % - Markeringsfarve5 3 3 4 3 2" xfId="7222" xr:uid="{00000000-0005-0000-0000-0000D6380000}"/>
    <cellStyle name="20 % - Markeringsfarve5 3 3 4 3 2 2" xfId="15132" xr:uid="{00000000-0005-0000-0000-0000D7380000}"/>
    <cellStyle name="20 % - Markeringsfarve5 3 3 4 3 2 2 2" xfId="31446" xr:uid="{00000000-0005-0000-0000-0000D8380000}"/>
    <cellStyle name="20 % - Markeringsfarve5 3 3 4 3 2 2 3" xfId="46410" xr:uid="{00000000-0005-0000-0000-0000D9380000}"/>
    <cellStyle name="20 % - Markeringsfarve5 3 3 4 3 2 3" xfId="24424" xr:uid="{00000000-0005-0000-0000-0000DA380000}"/>
    <cellStyle name="20 % - Markeringsfarve5 3 3 4 3 2 4" xfId="39411" xr:uid="{00000000-0005-0000-0000-0000DB380000}"/>
    <cellStyle name="20 % - Markeringsfarve5 3 3 4 3 3" xfId="11354" xr:uid="{00000000-0005-0000-0000-0000DC380000}"/>
    <cellStyle name="20 % - Markeringsfarve5 3 3 4 3 3 2" xfId="27673" xr:uid="{00000000-0005-0000-0000-0000DD380000}"/>
    <cellStyle name="20 % - Markeringsfarve5 3 3 4 3 3 3" xfId="42639" xr:uid="{00000000-0005-0000-0000-0000DE380000}"/>
    <cellStyle name="20 % - Markeringsfarve5 3 3 4 3 4" xfId="20651" xr:uid="{00000000-0005-0000-0000-0000DF380000}"/>
    <cellStyle name="20 % - Markeringsfarve5 3 3 4 3 5" xfId="35640" xr:uid="{00000000-0005-0000-0000-0000E0380000}"/>
    <cellStyle name="20 % - Markeringsfarve5 3 3 4 4" xfId="5664" xr:uid="{00000000-0005-0000-0000-0000E1380000}"/>
    <cellStyle name="20 % - Markeringsfarve5 3 3 4 4 2" xfId="13582" xr:uid="{00000000-0005-0000-0000-0000E2380000}"/>
    <cellStyle name="20 % - Markeringsfarve5 3 3 4 4 2 2" xfId="29896" xr:uid="{00000000-0005-0000-0000-0000E3380000}"/>
    <cellStyle name="20 % - Markeringsfarve5 3 3 4 4 2 3" xfId="44860" xr:uid="{00000000-0005-0000-0000-0000E4380000}"/>
    <cellStyle name="20 % - Markeringsfarve5 3 3 4 4 3" xfId="22874" xr:uid="{00000000-0005-0000-0000-0000E5380000}"/>
    <cellStyle name="20 % - Markeringsfarve5 3 3 4 4 4" xfId="37861" xr:uid="{00000000-0005-0000-0000-0000E6380000}"/>
    <cellStyle name="20 % - Markeringsfarve5 3 3 4 5" xfId="11352" xr:uid="{00000000-0005-0000-0000-0000E7380000}"/>
    <cellStyle name="20 % - Markeringsfarve5 3 3 4 5 2" xfId="27671" xr:uid="{00000000-0005-0000-0000-0000E8380000}"/>
    <cellStyle name="20 % - Markeringsfarve5 3 3 4 5 3" xfId="42637" xr:uid="{00000000-0005-0000-0000-0000E9380000}"/>
    <cellStyle name="20 % - Markeringsfarve5 3 3 4 6" xfId="20649" xr:uid="{00000000-0005-0000-0000-0000EA380000}"/>
    <cellStyle name="20 % - Markeringsfarve5 3 3 4 7" xfId="35638" xr:uid="{00000000-0005-0000-0000-0000EB380000}"/>
    <cellStyle name="20 % - Markeringsfarve5 3 3 5" xfId="2798" xr:uid="{00000000-0005-0000-0000-0000EC380000}"/>
    <cellStyle name="20 % - Markeringsfarve5 3 3 5 2" xfId="2799" xr:uid="{00000000-0005-0000-0000-0000ED380000}"/>
    <cellStyle name="20 % - Markeringsfarve5 3 3 5 2 2" xfId="8063" xr:uid="{00000000-0005-0000-0000-0000EE380000}"/>
    <cellStyle name="20 % - Markeringsfarve5 3 3 5 2 2 2" xfId="15964" xr:uid="{00000000-0005-0000-0000-0000EF380000}"/>
    <cellStyle name="20 % - Markeringsfarve5 3 3 5 2 2 2 2" xfId="32278" xr:uid="{00000000-0005-0000-0000-0000F0380000}"/>
    <cellStyle name="20 % - Markeringsfarve5 3 3 5 2 2 2 3" xfId="47242" xr:uid="{00000000-0005-0000-0000-0000F1380000}"/>
    <cellStyle name="20 % - Markeringsfarve5 3 3 5 2 2 3" xfId="25256" xr:uid="{00000000-0005-0000-0000-0000F2380000}"/>
    <cellStyle name="20 % - Markeringsfarve5 3 3 5 2 2 4" xfId="40243" xr:uid="{00000000-0005-0000-0000-0000F3380000}"/>
    <cellStyle name="20 % - Markeringsfarve5 3 3 5 2 3" xfId="11356" xr:uid="{00000000-0005-0000-0000-0000F4380000}"/>
    <cellStyle name="20 % - Markeringsfarve5 3 3 5 2 3 2" xfId="27675" xr:uid="{00000000-0005-0000-0000-0000F5380000}"/>
    <cellStyle name="20 % - Markeringsfarve5 3 3 5 2 3 3" xfId="42641" xr:uid="{00000000-0005-0000-0000-0000F6380000}"/>
    <cellStyle name="20 % - Markeringsfarve5 3 3 5 2 4" xfId="20653" xr:uid="{00000000-0005-0000-0000-0000F7380000}"/>
    <cellStyle name="20 % - Markeringsfarve5 3 3 5 2 5" xfId="35642" xr:uid="{00000000-0005-0000-0000-0000F8380000}"/>
    <cellStyle name="20 % - Markeringsfarve5 3 3 5 3" xfId="2800" xr:uid="{00000000-0005-0000-0000-0000F9380000}"/>
    <cellStyle name="20 % - Markeringsfarve5 3 3 5 3 2" xfId="7339" xr:uid="{00000000-0005-0000-0000-0000FA380000}"/>
    <cellStyle name="20 % - Markeringsfarve5 3 3 5 3 2 2" xfId="15249" xr:uid="{00000000-0005-0000-0000-0000FB380000}"/>
    <cellStyle name="20 % - Markeringsfarve5 3 3 5 3 2 2 2" xfId="31563" xr:uid="{00000000-0005-0000-0000-0000FC380000}"/>
    <cellStyle name="20 % - Markeringsfarve5 3 3 5 3 2 2 3" xfId="46527" xr:uid="{00000000-0005-0000-0000-0000FD380000}"/>
    <cellStyle name="20 % - Markeringsfarve5 3 3 5 3 2 3" xfId="24541" xr:uid="{00000000-0005-0000-0000-0000FE380000}"/>
    <cellStyle name="20 % - Markeringsfarve5 3 3 5 3 2 4" xfId="39528" xr:uid="{00000000-0005-0000-0000-0000FF380000}"/>
    <cellStyle name="20 % - Markeringsfarve5 3 3 5 3 3" xfId="11357" xr:uid="{00000000-0005-0000-0000-000000390000}"/>
    <cellStyle name="20 % - Markeringsfarve5 3 3 5 3 3 2" xfId="27676" xr:uid="{00000000-0005-0000-0000-000001390000}"/>
    <cellStyle name="20 % - Markeringsfarve5 3 3 5 3 3 3" xfId="42642" xr:uid="{00000000-0005-0000-0000-000002390000}"/>
    <cellStyle name="20 % - Markeringsfarve5 3 3 5 3 4" xfId="20654" xr:uid="{00000000-0005-0000-0000-000003390000}"/>
    <cellStyle name="20 % - Markeringsfarve5 3 3 5 3 5" xfId="35643" xr:uid="{00000000-0005-0000-0000-000004390000}"/>
    <cellStyle name="20 % - Markeringsfarve5 3 3 5 4" xfId="5665" xr:uid="{00000000-0005-0000-0000-000005390000}"/>
    <cellStyle name="20 % - Markeringsfarve5 3 3 5 4 2" xfId="13583" xr:uid="{00000000-0005-0000-0000-000006390000}"/>
    <cellStyle name="20 % - Markeringsfarve5 3 3 5 4 2 2" xfId="29897" xr:uid="{00000000-0005-0000-0000-000007390000}"/>
    <cellStyle name="20 % - Markeringsfarve5 3 3 5 4 2 3" xfId="44861" xr:uid="{00000000-0005-0000-0000-000008390000}"/>
    <cellStyle name="20 % - Markeringsfarve5 3 3 5 4 3" xfId="22875" xr:uid="{00000000-0005-0000-0000-000009390000}"/>
    <cellStyle name="20 % - Markeringsfarve5 3 3 5 4 4" xfId="37862" xr:uid="{00000000-0005-0000-0000-00000A390000}"/>
    <cellStyle name="20 % - Markeringsfarve5 3 3 5 5" xfId="11355" xr:uid="{00000000-0005-0000-0000-00000B390000}"/>
    <cellStyle name="20 % - Markeringsfarve5 3 3 5 5 2" xfId="27674" xr:uid="{00000000-0005-0000-0000-00000C390000}"/>
    <cellStyle name="20 % - Markeringsfarve5 3 3 5 5 3" xfId="42640" xr:uid="{00000000-0005-0000-0000-00000D390000}"/>
    <cellStyle name="20 % - Markeringsfarve5 3 3 5 6" xfId="20652" xr:uid="{00000000-0005-0000-0000-00000E390000}"/>
    <cellStyle name="20 % - Markeringsfarve5 3 3 5 7" xfId="35641" xr:uid="{00000000-0005-0000-0000-00000F390000}"/>
    <cellStyle name="20 % - Markeringsfarve5 3 3 6" xfId="2801" xr:uid="{00000000-0005-0000-0000-000010390000}"/>
    <cellStyle name="20 % - Markeringsfarve5 3 3 6 2" xfId="2802" xr:uid="{00000000-0005-0000-0000-000011390000}"/>
    <cellStyle name="20 % - Markeringsfarve5 3 3 6 2 2" xfId="8122" xr:uid="{00000000-0005-0000-0000-000012390000}"/>
    <cellStyle name="20 % - Markeringsfarve5 3 3 6 2 2 2" xfId="16023" xr:uid="{00000000-0005-0000-0000-000013390000}"/>
    <cellStyle name="20 % - Markeringsfarve5 3 3 6 2 2 2 2" xfId="32337" xr:uid="{00000000-0005-0000-0000-000014390000}"/>
    <cellStyle name="20 % - Markeringsfarve5 3 3 6 2 2 2 3" xfId="47301" xr:uid="{00000000-0005-0000-0000-000015390000}"/>
    <cellStyle name="20 % - Markeringsfarve5 3 3 6 2 2 3" xfId="25315" xr:uid="{00000000-0005-0000-0000-000016390000}"/>
    <cellStyle name="20 % - Markeringsfarve5 3 3 6 2 2 4" xfId="40302" xr:uid="{00000000-0005-0000-0000-000017390000}"/>
    <cellStyle name="20 % - Markeringsfarve5 3 3 6 2 3" xfId="11359" xr:uid="{00000000-0005-0000-0000-000018390000}"/>
    <cellStyle name="20 % - Markeringsfarve5 3 3 6 2 3 2" xfId="27678" xr:uid="{00000000-0005-0000-0000-000019390000}"/>
    <cellStyle name="20 % - Markeringsfarve5 3 3 6 2 3 3" xfId="42644" xr:uid="{00000000-0005-0000-0000-00001A390000}"/>
    <cellStyle name="20 % - Markeringsfarve5 3 3 6 2 4" xfId="20656" xr:uid="{00000000-0005-0000-0000-00001B390000}"/>
    <cellStyle name="20 % - Markeringsfarve5 3 3 6 2 5" xfId="35645" xr:uid="{00000000-0005-0000-0000-00001C390000}"/>
    <cellStyle name="20 % - Markeringsfarve5 3 3 6 3" xfId="2803" xr:uid="{00000000-0005-0000-0000-00001D390000}"/>
    <cellStyle name="20 % - Markeringsfarve5 3 3 6 3 2" xfId="7399" xr:uid="{00000000-0005-0000-0000-00001E390000}"/>
    <cellStyle name="20 % - Markeringsfarve5 3 3 6 3 2 2" xfId="15309" xr:uid="{00000000-0005-0000-0000-00001F390000}"/>
    <cellStyle name="20 % - Markeringsfarve5 3 3 6 3 2 2 2" xfId="31623" xr:uid="{00000000-0005-0000-0000-000020390000}"/>
    <cellStyle name="20 % - Markeringsfarve5 3 3 6 3 2 2 3" xfId="46587" xr:uid="{00000000-0005-0000-0000-000021390000}"/>
    <cellStyle name="20 % - Markeringsfarve5 3 3 6 3 2 3" xfId="24601" xr:uid="{00000000-0005-0000-0000-000022390000}"/>
    <cellStyle name="20 % - Markeringsfarve5 3 3 6 3 2 4" xfId="39588" xr:uid="{00000000-0005-0000-0000-000023390000}"/>
    <cellStyle name="20 % - Markeringsfarve5 3 3 6 3 3" xfId="11360" xr:uid="{00000000-0005-0000-0000-000024390000}"/>
    <cellStyle name="20 % - Markeringsfarve5 3 3 6 3 3 2" xfId="27679" xr:uid="{00000000-0005-0000-0000-000025390000}"/>
    <cellStyle name="20 % - Markeringsfarve5 3 3 6 3 3 3" xfId="42645" xr:uid="{00000000-0005-0000-0000-000026390000}"/>
    <cellStyle name="20 % - Markeringsfarve5 3 3 6 3 4" xfId="20657" xr:uid="{00000000-0005-0000-0000-000027390000}"/>
    <cellStyle name="20 % - Markeringsfarve5 3 3 6 3 5" xfId="35646" xr:uid="{00000000-0005-0000-0000-000028390000}"/>
    <cellStyle name="20 % - Markeringsfarve5 3 3 6 4" xfId="5666" xr:uid="{00000000-0005-0000-0000-000029390000}"/>
    <cellStyle name="20 % - Markeringsfarve5 3 3 6 4 2" xfId="13584" xr:uid="{00000000-0005-0000-0000-00002A390000}"/>
    <cellStyle name="20 % - Markeringsfarve5 3 3 6 4 2 2" xfId="29898" xr:uid="{00000000-0005-0000-0000-00002B390000}"/>
    <cellStyle name="20 % - Markeringsfarve5 3 3 6 4 2 3" xfId="44862" xr:uid="{00000000-0005-0000-0000-00002C390000}"/>
    <cellStyle name="20 % - Markeringsfarve5 3 3 6 4 3" xfId="22876" xr:uid="{00000000-0005-0000-0000-00002D390000}"/>
    <cellStyle name="20 % - Markeringsfarve5 3 3 6 4 4" xfId="37863" xr:uid="{00000000-0005-0000-0000-00002E390000}"/>
    <cellStyle name="20 % - Markeringsfarve5 3 3 6 5" xfId="11358" xr:uid="{00000000-0005-0000-0000-00002F390000}"/>
    <cellStyle name="20 % - Markeringsfarve5 3 3 6 5 2" xfId="27677" xr:uid="{00000000-0005-0000-0000-000030390000}"/>
    <cellStyle name="20 % - Markeringsfarve5 3 3 6 5 3" xfId="42643" xr:uid="{00000000-0005-0000-0000-000031390000}"/>
    <cellStyle name="20 % - Markeringsfarve5 3 3 6 6" xfId="20655" xr:uid="{00000000-0005-0000-0000-000032390000}"/>
    <cellStyle name="20 % - Markeringsfarve5 3 3 6 7" xfId="35644" xr:uid="{00000000-0005-0000-0000-000033390000}"/>
    <cellStyle name="20 % - Markeringsfarve5 3 3 7" xfId="2804" xr:uid="{00000000-0005-0000-0000-000034390000}"/>
    <cellStyle name="20 % - Markeringsfarve5 3 3 7 2" xfId="7589" xr:uid="{00000000-0005-0000-0000-000035390000}"/>
    <cellStyle name="20 % - Markeringsfarve5 3 3 7 2 2" xfId="15490" xr:uid="{00000000-0005-0000-0000-000036390000}"/>
    <cellStyle name="20 % - Markeringsfarve5 3 3 7 2 2 2" xfId="31804" xr:uid="{00000000-0005-0000-0000-000037390000}"/>
    <cellStyle name="20 % - Markeringsfarve5 3 3 7 2 2 3" xfId="46768" xr:uid="{00000000-0005-0000-0000-000038390000}"/>
    <cellStyle name="20 % - Markeringsfarve5 3 3 7 2 3" xfId="24782" xr:uid="{00000000-0005-0000-0000-000039390000}"/>
    <cellStyle name="20 % - Markeringsfarve5 3 3 7 2 4" xfId="39769" xr:uid="{00000000-0005-0000-0000-00003A390000}"/>
    <cellStyle name="20 % - Markeringsfarve5 3 3 7 3" xfId="11361" xr:uid="{00000000-0005-0000-0000-00003B390000}"/>
    <cellStyle name="20 % - Markeringsfarve5 3 3 7 3 2" xfId="27680" xr:uid="{00000000-0005-0000-0000-00003C390000}"/>
    <cellStyle name="20 % - Markeringsfarve5 3 3 7 3 3" xfId="42646" xr:uid="{00000000-0005-0000-0000-00003D390000}"/>
    <cellStyle name="20 % - Markeringsfarve5 3 3 7 4" xfId="20658" xr:uid="{00000000-0005-0000-0000-00003E390000}"/>
    <cellStyle name="20 % - Markeringsfarve5 3 3 7 5" xfId="35647" xr:uid="{00000000-0005-0000-0000-00003F390000}"/>
    <cellStyle name="20 % - Markeringsfarve5 3 3 8" xfId="2805" xr:uid="{00000000-0005-0000-0000-000040390000}"/>
    <cellStyle name="20 % - Markeringsfarve5 3 3 8 2" xfId="6817" xr:uid="{00000000-0005-0000-0000-000041390000}"/>
    <cellStyle name="20 % - Markeringsfarve5 3 3 8 2 2" xfId="14728" xr:uid="{00000000-0005-0000-0000-000042390000}"/>
    <cellStyle name="20 % - Markeringsfarve5 3 3 8 2 2 2" xfId="31042" xr:uid="{00000000-0005-0000-0000-000043390000}"/>
    <cellStyle name="20 % - Markeringsfarve5 3 3 8 2 2 3" xfId="46006" xr:uid="{00000000-0005-0000-0000-000044390000}"/>
    <cellStyle name="20 % - Markeringsfarve5 3 3 8 2 3" xfId="24020" xr:uid="{00000000-0005-0000-0000-000045390000}"/>
    <cellStyle name="20 % - Markeringsfarve5 3 3 8 2 4" xfId="39007" xr:uid="{00000000-0005-0000-0000-000046390000}"/>
    <cellStyle name="20 % - Markeringsfarve5 3 3 8 3" xfId="11362" xr:uid="{00000000-0005-0000-0000-000047390000}"/>
    <cellStyle name="20 % - Markeringsfarve5 3 3 8 3 2" xfId="27681" xr:uid="{00000000-0005-0000-0000-000048390000}"/>
    <cellStyle name="20 % - Markeringsfarve5 3 3 8 3 3" xfId="42647" xr:uid="{00000000-0005-0000-0000-000049390000}"/>
    <cellStyle name="20 % - Markeringsfarve5 3 3 8 4" xfId="20659" xr:uid="{00000000-0005-0000-0000-00004A390000}"/>
    <cellStyle name="20 % - Markeringsfarve5 3 3 8 5" xfId="35648" xr:uid="{00000000-0005-0000-0000-00004B390000}"/>
    <cellStyle name="20 % - Markeringsfarve5 3 3 9" xfId="5661" xr:uid="{00000000-0005-0000-0000-00004C390000}"/>
    <cellStyle name="20 % - Markeringsfarve5 3 3 9 2" xfId="13579" xr:uid="{00000000-0005-0000-0000-00004D390000}"/>
    <cellStyle name="20 % - Markeringsfarve5 3 3 9 2 2" xfId="29893" xr:uid="{00000000-0005-0000-0000-00004E390000}"/>
    <cellStyle name="20 % - Markeringsfarve5 3 3 9 2 3" xfId="44857" xr:uid="{00000000-0005-0000-0000-00004F390000}"/>
    <cellStyle name="20 % - Markeringsfarve5 3 3 9 3" xfId="22871" xr:uid="{00000000-0005-0000-0000-000050390000}"/>
    <cellStyle name="20 % - Markeringsfarve5 3 3 9 4" xfId="37858" xr:uid="{00000000-0005-0000-0000-000051390000}"/>
    <cellStyle name="20 % - Markeringsfarve5 3 4" xfId="2806" xr:uid="{00000000-0005-0000-0000-000052390000}"/>
    <cellStyle name="20 % - Markeringsfarve5 3 4 2" xfId="2807" xr:uid="{00000000-0005-0000-0000-000053390000}"/>
    <cellStyle name="20 % - Markeringsfarve5 3 4 2 2" xfId="7630" xr:uid="{00000000-0005-0000-0000-000054390000}"/>
    <cellStyle name="20 % - Markeringsfarve5 3 4 2 2 2" xfId="15531" xr:uid="{00000000-0005-0000-0000-000055390000}"/>
    <cellStyle name="20 % - Markeringsfarve5 3 4 2 2 2 2" xfId="31845" xr:uid="{00000000-0005-0000-0000-000056390000}"/>
    <cellStyle name="20 % - Markeringsfarve5 3 4 2 2 2 3" xfId="46809" xr:uid="{00000000-0005-0000-0000-000057390000}"/>
    <cellStyle name="20 % - Markeringsfarve5 3 4 2 2 3" xfId="24823" xr:uid="{00000000-0005-0000-0000-000058390000}"/>
    <cellStyle name="20 % - Markeringsfarve5 3 4 2 2 4" xfId="39810" xr:uid="{00000000-0005-0000-0000-000059390000}"/>
    <cellStyle name="20 % - Markeringsfarve5 3 4 2 3" xfId="11364" xr:uid="{00000000-0005-0000-0000-00005A390000}"/>
    <cellStyle name="20 % - Markeringsfarve5 3 4 2 3 2" xfId="27683" xr:uid="{00000000-0005-0000-0000-00005B390000}"/>
    <cellStyle name="20 % - Markeringsfarve5 3 4 2 3 3" xfId="42649" xr:uid="{00000000-0005-0000-0000-00005C390000}"/>
    <cellStyle name="20 % - Markeringsfarve5 3 4 2 4" xfId="20661" xr:uid="{00000000-0005-0000-0000-00005D390000}"/>
    <cellStyle name="20 % - Markeringsfarve5 3 4 2 5" xfId="35650" xr:uid="{00000000-0005-0000-0000-00005E390000}"/>
    <cellStyle name="20 % - Markeringsfarve5 3 4 3" xfId="2808" xr:uid="{00000000-0005-0000-0000-00005F390000}"/>
    <cellStyle name="20 % - Markeringsfarve5 3 4 3 2" xfId="6860" xr:uid="{00000000-0005-0000-0000-000060390000}"/>
    <cellStyle name="20 % - Markeringsfarve5 3 4 3 2 2" xfId="14771" xr:uid="{00000000-0005-0000-0000-000061390000}"/>
    <cellStyle name="20 % - Markeringsfarve5 3 4 3 2 2 2" xfId="31085" xr:uid="{00000000-0005-0000-0000-000062390000}"/>
    <cellStyle name="20 % - Markeringsfarve5 3 4 3 2 2 3" xfId="46049" xr:uid="{00000000-0005-0000-0000-000063390000}"/>
    <cellStyle name="20 % - Markeringsfarve5 3 4 3 2 3" xfId="24063" xr:uid="{00000000-0005-0000-0000-000064390000}"/>
    <cellStyle name="20 % - Markeringsfarve5 3 4 3 2 4" xfId="39050" xr:uid="{00000000-0005-0000-0000-000065390000}"/>
    <cellStyle name="20 % - Markeringsfarve5 3 4 3 3" xfId="11365" xr:uid="{00000000-0005-0000-0000-000066390000}"/>
    <cellStyle name="20 % - Markeringsfarve5 3 4 3 3 2" xfId="27684" xr:uid="{00000000-0005-0000-0000-000067390000}"/>
    <cellStyle name="20 % - Markeringsfarve5 3 4 3 3 3" xfId="42650" xr:uid="{00000000-0005-0000-0000-000068390000}"/>
    <cellStyle name="20 % - Markeringsfarve5 3 4 3 4" xfId="20662" xr:uid="{00000000-0005-0000-0000-000069390000}"/>
    <cellStyle name="20 % - Markeringsfarve5 3 4 3 5" xfId="35651" xr:uid="{00000000-0005-0000-0000-00006A390000}"/>
    <cellStyle name="20 % - Markeringsfarve5 3 4 4" xfId="5667" xr:uid="{00000000-0005-0000-0000-00006B390000}"/>
    <cellStyle name="20 % - Markeringsfarve5 3 4 4 2" xfId="13585" xr:uid="{00000000-0005-0000-0000-00006C390000}"/>
    <cellStyle name="20 % - Markeringsfarve5 3 4 4 2 2" xfId="29899" xr:uid="{00000000-0005-0000-0000-00006D390000}"/>
    <cellStyle name="20 % - Markeringsfarve5 3 4 4 2 3" xfId="44863" xr:uid="{00000000-0005-0000-0000-00006E390000}"/>
    <cellStyle name="20 % - Markeringsfarve5 3 4 4 3" xfId="22877" xr:uid="{00000000-0005-0000-0000-00006F390000}"/>
    <cellStyle name="20 % - Markeringsfarve5 3 4 4 4" xfId="37864" xr:uid="{00000000-0005-0000-0000-000070390000}"/>
    <cellStyle name="20 % - Markeringsfarve5 3 4 5" xfId="11363" xr:uid="{00000000-0005-0000-0000-000071390000}"/>
    <cellStyle name="20 % - Markeringsfarve5 3 4 5 2" xfId="27682" xr:uid="{00000000-0005-0000-0000-000072390000}"/>
    <cellStyle name="20 % - Markeringsfarve5 3 4 5 3" xfId="42648" xr:uid="{00000000-0005-0000-0000-000073390000}"/>
    <cellStyle name="20 % - Markeringsfarve5 3 4 6" xfId="20660" xr:uid="{00000000-0005-0000-0000-000074390000}"/>
    <cellStyle name="20 % - Markeringsfarve5 3 4 7" xfId="35649" xr:uid="{00000000-0005-0000-0000-000075390000}"/>
    <cellStyle name="20 % - Markeringsfarve5 3 5" xfId="2809" xr:uid="{00000000-0005-0000-0000-000076390000}"/>
    <cellStyle name="20 % - Markeringsfarve5 3 5 2" xfId="2810" xr:uid="{00000000-0005-0000-0000-000077390000}"/>
    <cellStyle name="20 % - Markeringsfarve5 3 5 2 2" xfId="7766" xr:uid="{00000000-0005-0000-0000-000078390000}"/>
    <cellStyle name="20 % - Markeringsfarve5 3 5 2 2 2" xfId="15667" xr:uid="{00000000-0005-0000-0000-000079390000}"/>
    <cellStyle name="20 % - Markeringsfarve5 3 5 2 2 2 2" xfId="31981" xr:uid="{00000000-0005-0000-0000-00007A390000}"/>
    <cellStyle name="20 % - Markeringsfarve5 3 5 2 2 2 3" xfId="46945" xr:uid="{00000000-0005-0000-0000-00007B390000}"/>
    <cellStyle name="20 % - Markeringsfarve5 3 5 2 2 3" xfId="24959" xr:uid="{00000000-0005-0000-0000-00007C390000}"/>
    <cellStyle name="20 % - Markeringsfarve5 3 5 2 2 4" xfId="39946" xr:uid="{00000000-0005-0000-0000-00007D390000}"/>
    <cellStyle name="20 % - Markeringsfarve5 3 5 2 3" xfId="11367" xr:uid="{00000000-0005-0000-0000-00007E390000}"/>
    <cellStyle name="20 % - Markeringsfarve5 3 5 2 3 2" xfId="27686" xr:uid="{00000000-0005-0000-0000-00007F390000}"/>
    <cellStyle name="20 % - Markeringsfarve5 3 5 2 3 3" xfId="42652" xr:uid="{00000000-0005-0000-0000-000080390000}"/>
    <cellStyle name="20 % - Markeringsfarve5 3 5 2 4" xfId="20664" xr:uid="{00000000-0005-0000-0000-000081390000}"/>
    <cellStyle name="20 % - Markeringsfarve5 3 5 2 5" xfId="35653" xr:uid="{00000000-0005-0000-0000-000082390000}"/>
    <cellStyle name="20 % - Markeringsfarve5 3 5 3" xfId="2811" xr:uid="{00000000-0005-0000-0000-000083390000}"/>
    <cellStyle name="20 % - Markeringsfarve5 3 5 3 2" xfId="6996" xr:uid="{00000000-0005-0000-0000-000084390000}"/>
    <cellStyle name="20 % - Markeringsfarve5 3 5 3 2 2" xfId="14907" xr:uid="{00000000-0005-0000-0000-000085390000}"/>
    <cellStyle name="20 % - Markeringsfarve5 3 5 3 2 2 2" xfId="31221" xr:uid="{00000000-0005-0000-0000-000086390000}"/>
    <cellStyle name="20 % - Markeringsfarve5 3 5 3 2 2 3" xfId="46185" xr:uid="{00000000-0005-0000-0000-000087390000}"/>
    <cellStyle name="20 % - Markeringsfarve5 3 5 3 2 3" xfId="24199" xr:uid="{00000000-0005-0000-0000-000088390000}"/>
    <cellStyle name="20 % - Markeringsfarve5 3 5 3 2 4" xfId="39186" xr:uid="{00000000-0005-0000-0000-000089390000}"/>
    <cellStyle name="20 % - Markeringsfarve5 3 5 3 3" xfId="11368" xr:uid="{00000000-0005-0000-0000-00008A390000}"/>
    <cellStyle name="20 % - Markeringsfarve5 3 5 3 3 2" xfId="27687" xr:uid="{00000000-0005-0000-0000-00008B390000}"/>
    <cellStyle name="20 % - Markeringsfarve5 3 5 3 3 3" xfId="42653" xr:uid="{00000000-0005-0000-0000-00008C390000}"/>
    <cellStyle name="20 % - Markeringsfarve5 3 5 3 4" xfId="20665" xr:uid="{00000000-0005-0000-0000-00008D390000}"/>
    <cellStyle name="20 % - Markeringsfarve5 3 5 3 5" xfId="35654" xr:uid="{00000000-0005-0000-0000-00008E390000}"/>
    <cellStyle name="20 % - Markeringsfarve5 3 5 4" xfId="5668" xr:uid="{00000000-0005-0000-0000-00008F390000}"/>
    <cellStyle name="20 % - Markeringsfarve5 3 5 4 2" xfId="13586" xr:uid="{00000000-0005-0000-0000-000090390000}"/>
    <cellStyle name="20 % - Markeringsfarve5 3 5 4 2 2" xfId="29900" xr:uid="{00000000-0005-0000-0000-000091390000}"/>
    <cellStyle name="20 % - Markeringsfarve5 3 5 4 2 3" xfId="44864" xr:uid="{00000000-0005-0000-0000-000092390000}"/>
    <cellStyle name="20 % - Markeringsfarve5 3 5 4 3" xfId="22878" xr:uid="{00000000-0005-0000-0000-000093390000}"/>
    <cellStyle name="20 % - Markeringsfarve5 3 5 4 4" xfId="37865" xr:uid="{00000000-0005-0000-0000-000094390000}"/>
    <cellStyle name="20 % - Markeringsfarve5 3 5 5" xfId="11366" xr:uid="{00000000-0005-0000-0000-000095390000}"/>
    <cellStyle name="20 % - Markeringsfarve5 3 5 5 2" xfId="27685" xr:uid="{00000000-0005-0000-0000-000096390000}"/>
    <cellStyle name="20 % - Markeringsfarve5 3 5 5 3" xfId="42651" xr:uid="{00000000-0005-0000-0000-000097390000}"/>
    <cellStyle name="20 % - Markeringsfarve5 3 5 6" xfId="20663" xr:uid="{00000000-0005-0000-0000-000098390000}"/>
    <cellStyle name="20 % - Markeringsfarve5 3 5 7" xfId="35652" xr:uid="{00000000-0005-0000-0000-000099390000}"/>
    <cellStyle name="20 % - Markeringsfarve5 3 6" xfId="2812" xr:uid="{00000000-0005-0000-0000-00009A390000}"/>
    <cellStyle name="20 % - Markeringsfarve5 3 6 2" xfId="2813" xr:uid="{00000000-0005-0000-0000-00009B390000}"/>
    <cellStyle name="20 % - Markeringsfarve5 3 6 2 2" xfId="7868" xr:uid="{00000000-0005-0000-0000-00009C390000}"/>
    <cellStyle name="20 % - Markeringsfarve5 3 6 2 2 2" xfId="15769" xr:uid="{00000000-0005-0000-0000-00009D390000}"/>
    <cellStyle name="20 % - Markeringsfarve5 3 6 2 2 2 2" xfId="32083" xr:uid="{00000000-0005-0000-0000-00009E390000}"/>
    <cellStyle name="20 % - Markeringsfarve5 3 6 2 2 2 3" xfId="47047" xr:uid="{00000000-0005-0000-0000-00009F390000}"/>
    <cellStyle name="20 % - Markeringsfarve5 3 6 2 2 3" xfId="25061" xr:uid="{00000000-0005-0000-0000-0000A0390000}"/>
    <cellStyle name="20 % - Markeringsfarve5 3 6 2 2 4" xfId="40048" xr:uid="{00000000-0005-0000-0000-0000A1390000}"/>
    <cellStyle name="20 % - Markeringsfarve5 3 6 2 3" xfId="11370" xr:uid="{00000000-0005-0000-0000-0000A2390000}"/>
    <cellStyle name="20 % - Markeringsfarve5 3 6 2 3 2" xfId="27689" xr:uid="{00000000-0005-0000-0000-0000A3390000}"/>
    <cellStyle name="20 % - Markeringsfarve5 3 6 2 3 3" xfId="42655" xr:uid="{00000000-0005-0000-0000-0000A4390000}"/>
    <cellStyle name="20 % - Markeringsfarve5 3 6 2 4" xfId="20667" xr:uid="{00000000-0005-0000-0000-0000A5390000}"/>
    <cellStyle name="20 % - Markeringsfarve5 3 6 2 5" xfId="35656" xr:uid="{00000000-0005-0000-0000-0000A6390000}"/>
    <cellStyle name="20 % - Markeringsfarve5 3 6 3" xfId="2814" xr:uid="{00000000-0005-0000-0000-0000A7390000}"/>
    <cellStyle name="20 % - Markeringsfarve5 3 6 3 2" xfId="7144" xr:uid="{00000000-0005-0000-0000-0000A8390000}"/>
    <cellStyle name="20 % - Markeringsfarve5 3 6 3 2 2" xfId="15054" xr:uid="{00000000-0005-0000-0000-0000A9390000}"/>
    <cellStyle name="20 % - Markeringsfarve5 3 6 3 2 2 2" xfId="31368" xr:uid="{00000000-0005-0000-0000-0000AA390000}"/>
    <cellStyle name="20 % - Markeringsfarve5 3 6 3 2 2 3" xfId="46332" xr:uid="{00000000-0005-0000-0000-0000AB390000}"/>
    <cellStyle name="20 % - Markeringsfarve5 3 6 3 2 3" xfId="24346" xr:uid="{00000000-0005-0000-0000-0000AC390000}"/>
    <cellStyle name="20 % - Markeringsfarve5 3 6 3 2 4" xfId="39333" xr:uid="{00000000-0005-0000-0000-0000AD390000}"/>
    <cellStyle name="20 % - Markeringsfarve5 3 6 3 3" xfId="11371" xr:uid="{00000000-0005-0000-0000-0000AE390000}"/>
    <cellStyle name="20 % - Markeringsfarve5 3 6 3 3 2" xfId="27690" xr:uid="{00000000-0005-0000-0000-0000AF390000}"/>
    <cellStyle name="20 % - Markeringsfarve5 3 6 3 3 3" xfId="42656" xr:uid="{00000000-0005-0000-0000-0000B0390000}"/>
    <cellStyle name="20 % - Markeringsfarve5 3 6 3 4" xfId="20668" xr:uid="{00000000-0005-0000-0000-0000B1390000}"/>
    <cellStyle name="20 % - Markeringsfarve5 3 6 3 5" xfId="35657" xr:uid="{00000000-0005-0000-0000-0000B2390000}"/>
    <cellStyle name="20 % - Markeringsfarve5 3 6 4" xfId="5669" xr:uid="{00000000-0005-0000-0000-0000B3390000}"/>
    <cellStyle name="20 % - Markeringsfarve5 3 6 4 2" xfId="13587" xr:uid="{00000000-0005-0000-0000-0000B4390000}"/>
    <cellStyle name="20 % - Markeringsfarve5 3 6 4 2 2" xfId="29901" xr:uid="{00000000-0005-0000-0000-0000B5390000}"/>
    <cellStyle name="20 % - Markeringsfarve5 3 6 4 2 3" xfId="44865" xr:uid="{00000000-0005-0000-0000-0000B6390000}"/>
    <cellStyle name="20 % - Markeringsfarve5 3 6 4 3" xfId="22879" xr:uid="{00000000-0005-0000-0000-0000B7390000}"/>
    <cellStyle name="20 % - Markeringsfarve5 3 6 4 4" xfId="37866" xr:uid="{00000000-0005-0000-0000-0000B8390000}"/>
    <cellStyle name="20 % - Markeringsfarve5 3 6 5" xfId="11369" xr:uid="{00000000-0005-0000-0000-0000B9390000}"/>
    <cellStyle name="20 % - Markeringsfarve5 3 6 5 2" xfId="27688" xr:uid="{00000000-0005-0000-0000-0000BA390000}"/>
    <cellStyle name="20 % - Markeringsfarve5 3 6 5 3" xfId="42654" xr:uid="{00000000-0005-0000-0000-0000BB390000}"/>
    <cellStyle name="20 % - Markeringsfarve5 3 6 6" xfId="20666" xr:uid="{00000000-0005-0000-0000-0000BC390000}"/>
    <cellStyle name="20 % - Markeringsfarve5 3 6 7" xfId="35655" xr:uid="{00000000-0005-0000-0000-0000BD390000}"/>
    <cellStyle name="20 % - Markeringsfarve5 3 7" xfId="2815" xr:uid="{00000000-0005-0000-0000-0000BE390000}"/>
    <cellStyle name="20 % - Markeringsfarve5 3 7 2" xfId="2816" xr:uid="{00000000-0005-0000-0000-0000BF390000}"/>
    <cellStyle name="20 % - Markeringsfarve5 3 7 2 2" xfId="7985" xr:uid="{00000000-0005-0000-0000-0000C0390000}"/>
    <cellStyle name="20 % - Markeringsfarve5 3 7 2 2 2" xfId="15886" xr:uid="{00000000-0005-0000-0000-0000C1390000}"/>
    <cellStyle name="20 % - Markeringsfarve5 3 7 2 2 2 2" xfId="32200" xr:uid="{00000000-0005-0000-0000-0000C2390000}"/>
    <cellStyle name="20 % - Markeringsfarve5 3 7 2 2 2 3" xfId="47164" xr:uid="{00000000-0005-0000-0000-0000C3390000}"/>
    <cellStyle name="20 % - Markeringsfarve5 3 7 2 2 3" xfId="25178" xr:uid="{00000000-0005-0000-0000-0000C4390000}"/>
    <cellStyle name="20 % - Markeringsfarve5 3 7 2 2 4" xfId="40165" xr:uid="{00000000-0005-0000-0000-0000C5390000}"/>
    <cellStyle name="20 % - Markeringsfarve5 3 7 2 3" xfId="11373" xr:uid="{00000000-0005-0000-0000-0000C6390000}"/>
    <cellStyle name="20 % - Markeringsfarve5 3 7 2 3 2" xfId="27692" xr:uid="{00000000-0005-0000-0000-0000C7390000}"/>
    <cellStyle name="20 % - Markeringsfarve5 3 7 2 3 3" xfId="42658" xr:uid="{00000000-0005-0000-0000-0000C8390000}"/>
    <cellStyle name="20 % - Markeringsfarve5 3 7 2 4" xfId="20670" xr:uid="{00000000-0005-0000-0000-0000C9390000}"/>
    <cellStyle name="20 % - Markeringsfarve5 3 7 2 5" xfId="35659" xr:uid="{00000000-0005-0000-0000-0000CA390000}"/>
    <cellStyle name="20 % - Markeringsfarve5 3 7 3" xfId="2817" xr:uid="{00000000-0005-0000-0000-0000CB390000}"/>
    <cellStyle name="20 % - Markeringsfarve5 3 7 3 2" xfId="7261" xr:uid="{00000000-0005-0000-0000-0000CC390000}"/>
    <cellStyle name="20 % - Markeringsfarve5 3 7 3 2 2" xfId="15171" xr:uid="{00000000-0005-0000-0000-0000CD390000}"/>
    <cellStyle name="20 % - Markeringsfarve5 3 7 3 2 2 2" xfId="31485" xr:uid="{00000000-0005-0000-0000-0000CE390000}"/>
    <cellStyle name="20 % - Markeringsfarve5 3 7 3 2 2 3" xfId="46449" xr:uid="{00000000-0005-0000-0000-0000CF390000}"/>
    <cellStyle name="20 % - Markeringsfarve5 3 7 3 2 3" xfId="24463" xr:uid="{00000000-0005-0000-0000-0000D0390000}"/>
    <cellStyle name="20 % - Markeringsfarve5 3 7 3 2 4" xfId="39450" xr:uid="{00000000-0005-0000-0000-0000D1390000}"/>
    <cellStyle name="20 % - Markeringsfarve5 3 7 3 3" xfId="11374" xr:uid="{00000000-0005-0000-0000-0000D2390000}"/>
    <cellStyle name="20 % - Markeringsfarve5 3 7 3 3 2" xfId="27693" xr:uid="{00000000-0005-0000-0000-0000D3390000}"/>
    <cellStyle name="20 % - Markeringsfarve5 3 7 3 3 3" xfId="42659" xr:uid="{00000000-0005-0000-0000-0000D4390000}"/>
    <cellStyle name="20 % - Markeringsfarve5 3 7 3 4" xfId="20671" xr:uid="{00000000-0005-0000-0000-0000D5390000}"/>
    <cellStyle name="20 % - Markeringsfarve5 3 7 3 5" xfId="35660" xr:uid="{00000000-0005-0000-0000-0000D6390000}"/>
    <cellStyle name="20 % - Markeringsfarve5 3 7 4" xfId="5670" xr:uid="{00000000-0005-0000-0000-0000D7390000}"/>
    <cellStyle name="20 % - Markeringsfarve5 3 7 4 2" xfId="13588" xr:uid="{00000000-0005-0000-0000-0000D8390000}"/>
    <cellStyle name="20 % - Markeringsfarve5 3 7 4 2 2" xfId="29902" xr:uid="{00000000-0005-0000-0000-0000D9390000}"/>
    <cellStyle name="20 % - Markeringsfarve5 3 7 4 2 3" xfId="44866" xr:uid="{00000000-0005-0000-0000-0000DA390000}"/>
    <cellStyle name="20 % - Markeringsfarve5 3 7 4 3" xfId="22880" xr:uid="{00000000-0005-0000-0000-0000DB390000}"/>
    <cellStyle name="20 % - Markeringsfarve5 3 7 4 4" xfId="37867" xr:uid="{00000000-0005-0000-0000-0000DC390000}"/>
    <cellStyle name="20 % - Markeringsfarve5 3 7 5" xfId="11372" xr:uid="{00000000-0005-0000-0000-0000DD390000}"/>
    <cellStyle name="20 % - Markeringsfarve5 3 7 5 2" xfId="27691" xr:uid="{00000000-0005-0000-0000-0000DE390000}"/>
    <cellStyle name="20 % - Markeringsfarve5 3 7 5 3" xfId="42657" xr:uid="{00000000-0005-0000-0000-0000DF390000}"/>
    <cellStyle name="20 % - Markeringsfarve5 3 7 6" xfId="20669" xr:uid="{00000000-0005-0000-0000-0000E0390000}"/>
    <cellStyle name="20 % - Markeringsfarve5 3 7 7" xfId="35658" xr:uid="{00000000-0005-0000-0000-0000E1390000}"/>
    <cellStyle name="20 % - Markeringsfarve5 3 8" xfId="2818" xr:uid="{00000000-0005-0000-0000-0000E2390000}"/>
    <cellStyle name="20 % - Markeringsfarve5 3 8 2" xfId="2819" xr:uid="{00000000-0005-0000-0000-0000E3390000}"/>
    <cellStyle name="20 % - Markeringsfarve5 3 8 2 2" xfId="8120" xr:uid="{00000000-0005-0000-0000-0000E4390000}"/>
    <cellStyle name="20 % - Markeringsfarve5 3 8 2 2 2" xfId="16021" xr:uid="{00000000-0005-0000-0000-0000E5390000}"/>
    <cellStyle name="20 % - Markeringsfarve5 3 8 2 2 2 2" xfId="32335" xr:uid="{00000000-0005-0000-0000-0000E6390000}"/>
    <cellStyle name="20 % - Markeringsfarve5 3 8 2 2 2 3" xfId="47299" xr:uid="{00000000-0005-0000-0000-0000E7390000}"/>
    <cellStyle name="20 % - Markeringsfarve5 3 8 2 2 3" xfId="25313" xr:uid="{00000000-0005-0000-0000-0000E8390000}"/>
    <cellStyle name="20 % - Markeringsfarve5 3 8 2 2 4" xfId="40300" xr:uid="{00000000-0005-0000-0000-0000E9390000}"/>
    <cellStyle name="20 % - Markeringsfarve5 3 8 2 3" xfId="11376" xr:uid="{00000000-0005-0000-0000-0000EA390000}"/>
    <cellStyle name="20 % - Markeringsfarve5 3 8 2 3 2" xfId="27695" xr:uid="{00000000-0005-0000-0000-0000EB390000}"/>
    <cellStyle name="20 % - Markeringsfarve5 3 8 2 3 3" xfId="42661" xr:uid="{00000000-0005-0000-0000-0000EC390000}"/>
    <cellStyle name="20 % - Markeringsfarve5 3 8 2 4" xfId="20673" xr:uid="{00000000-0005-0000-0000-0000ED390000}"/>
    <cellStyle name="20 % - Markeringsfarve5 3 8 2 5" xfId="35662" xr:uid="{00000000-0005-0000-0000-0000EE390000}"/>
    <cellStyle name="20 % - Markeringsfarve5 3 8 3" xfId="2820" xr:uid="{00000000-0005-0000-0000-0000EF390000}"/>
    <cellStyle name="20 % - Markeringsfarve5 3 8 3 2" xfId="7397" xr:uid="{00000000-0005-0000-0000-0000F0390000}"/>
    <cellStyle name="20 % - Markeringsfarve5 3 8 3 2 2" xfId="15307" xr:uid="{00000000-0005-0000-0000-0000F1390000}"/>
    <cellStyle name="20 % - Markeringsfarve5 3 8 3 2 2 2" xfId="31621" xr:uid="{00000000-0005-0000-0000-0000F2390000}"/>
    <cellStyle name="20 % - Markeringsfarve5 3 8 3 2 2 3" xfId="46585" xr:uid="{00000000-0005-0000-0000-0000F3390000}"/>
    <cellStyle name="20 % - Markeringsfarve5 3 8 3 2 3" xfId="24599" xr:uid="{00000000-0005-0000-0000-0000F4390000}"/>
    <cellStyle name="20 % - Markeringsfarve5 3 8 3 2 4" xfId="39586" xr:uid="{00000000-0005-0000-0000-0000F5390000}"/>
    <cellStyle name="20 % - Markeringsfarve5 3 8 3 3" xfId="11377" xr:uid="{00000000-0005-0000-0000-0000F6390000}"/>
    <cellStyle name="20 % - Markeringsfarve5 3 8 3 3 2" xfId="27696" xr:uid="{00000000-0005-0000-0000-0000F7390000}"/>
    <cellStyle name="20 % - Markeringsfarve5 3 8 3 3 3" xfId="42662" xr:uid="{00000000-0005-0000-0000-0000F8390000}"/>
    <cellStyle name="20 % - Markeringsfarve5 3 8 3 4" xfId="20674" xr:uid="{00000000-0005-0000-0000-0000F9390000}"/>
    <cellStyle name="20 % - Markeringsfarve5 3 8 3 5" xfId="35663" xr:uid="{00000000-0005-0000-0000-0000FA390000}"/>
    <cellStyle name="20 % - Markeringsfarve5 3 8 4" xfId="5671" xr:uid="{00000000-0005-0000-0000-0000FB390000}"/>
    <cellStyle name="20 % - Markeringsfarve5 3 8 4 2" xfId="13589" xr:uid="{00000000-0005-0000-0000-0000FC390000}"/>
    <cellStyle name="20 % - Markeringsfarve5 3 8 4 2 2" xfId="29903" xr:uid="{00000000-0005-0000-0000-0000FD390000}"/>
    <cellStyle name="20 % - Markeringsfarve5 3 8 4 2 3" xfId="44867" xr:uid="{00000000-0005-0000-0000-0000FE390000}"/>
    <cellStyle name="20 % - Markeringsfarve5 3 8 4 3" xfId="22881" xr:uid="{00000000-0005-0000-0000-0000FF390000}"/>
    <cellStyle name="20 % - Markeringsfarve5 3 8 4 4" xfId="37868" xr:uid="{00000000-0005-0000-0000-0000003A0000}"/>
    <cellStyle name="20 % - Markeringsfarve5 3 8 5" xfId="11375" xr:uid="{00000000-0005-0000-0000-0000013A0000}"/>
    <cellStyle name="20 % - Markeringsfarve5 3 8 5 2" xfId="27694" xr:uid="{00000000-0005-0000-0000-0000023A0000}"/>
    <cellStyle name="20 % - Markeringsfarve5 3 8 5 3" xfId="42660" xr:uid="{00000000-0005-0000-0000-0000033A0000}"/>
    <cellStyle name="20 % - Markeringsfarve5 3 8 6" xfId="20672" xr:uid="{00000000-0005-0000-0000-0000043A0000}"/>
    <cellStyle name="20 % - Markeringsfarve5 3 8 7" xfId="35661" xr:uid="{00000000-0005-0000-0000-0000053A0000}"/>
    <cellStyle name="20 % - Markeringsfarve5 3 9" xfId="2821" xr:uid="{00000000-0005-0000-0000-0000063A0000}"/>
    <cellStyle name="20 % - Markeringsfarve5 3 9 2" xfId="7511" xr:uid="{00000000-0005-0000-0000-0000073A0000}"/>
    <cellStyle name="20 % - Markeringsfarve5 3 9 2 2" xfId="15412" xr:uid="{00000000-0005-0000-0000-0000083A0000}"/>
    <cellStyle name="20 % - Markeringsfarve5 3 9 2 2 2" xfId="31726" xr:uid="{00000000-0005-0000-0000-0000093A0000}"/>
    <cellStyle name="20 % - Markeringsfarve5 3 9 2 2 3" xfId="46690" xr:uid="{00000000-0005-0000-0000-00000A3A0000}"/>
    <cellStyle name="20 % - Markeringsfarve5 3 9 2 3" xfId="24704" xr:uid="{00000000-0005-0000-0000-00000B3A0000}"/>
    <cellStyle name="20 % - Markeringsfarve5 3 9 2 4" xfId="39691" xr:uid="{00000000-0005-0000-0000-00000C3A0000}"/>
    <cellStyle name="20 % - Markeringsfarve5 3 9 3" xfId="11378" xr:uid="{00000000-0005-0000-0000-00000D3A0000}"/>
    <cellStyle name="20 % - Markeringsfarve5 3 9 3 2" xfId="27697" xr:uid="{00000000-0005-0000-0000-00000E3A0000}"/>
    <cellStyle name="20 % - Markeringsfarve5 3 9 3 3" xfId="42663" xr:uid="{00000000-0005-0000-0000-00000F3A0000}"/>
    <cellStyle name="20 % - Markeringsfarve5 3 9 4" xfId="20675" xr:uid="{00000000-0005-0000-0000-0000103A0000}"/>
    <cellStyle name="20 % - Markeringsfarve5 3 9 5" xfId="35664" xr:uid="{00000000-0005-0000-0000-0000113A0000}"/>
    <cellStyle name="20 % - Markeringsfarve5 4" xfId="2822" xr:uid="{00000000-0005-0000-0000-0000123A0000}"/>
    <cellStyle name="20 % - Markeringsfarve5 4 10" xfId="11379" xr:uid="{00000000-0005-0000-0000-0000133A0000}"/>
    <cellStyle name="20 % - Markeringsfarve5 4 10 2" xfId="27698" xr:uid="{00000000-0005-0000-0000-0000143A0000}"/>
    <cellStyle name="20 % - Markeringsfarve5 4 10 3" xfId="42664" xr:uid="{00000000-0005-0000-0000-0000153A0000}"/>
    <cellStyle name="20 % - Markeringsfarve5 4 11" xfId="20676" xr:uid="{00000000-0005-0000-0000-0000163A0000}"/>
    <cellStyle name="20 % - Markeringsfarve5 4 12" xfId="35665" xr:uid="{00000000-0005-0000-0000-0000173A0000}"/>
    <cellStyle name="20 % - Markeringsfarve5 4 13" xfId="53350" xr:uid="{00000000-0005-0000-0000-0000183A0000}"/>
    <cellStyle name="20 % - Markeringsfarve5 4 2" xfId="2823" xr:uid="{00000000-0005-0000-0000-0000193A0000}"/>
    <cellStyle name="20 % - Markeringsfarve5 4 2 2" xfId="2824" xr:uid="{00000000-0005-0000-0000-00001A3A0000}"/>
    <cellStyle name="20 % - Markeringsfarve5 4 2 2 2" xfId="7655" xr:uid="{00000000-0005-0000-0000-00001B3A0000}"/>
    <cellStyle name="20 % - Markeringsfarve5 4 2 2 2 2" xfId="15556" xr:uid="{00000000-0005-0000-0000-00001C3A0000}"/>
    <cellStyle name="20 % - Markeringsfarve5 4 2 2 2 2 2" xfId="31870" xr:uid="{00000000-0005-0000-0000-00001D3A0000}"/>
    <cellStyle name="20 % - Markeringsfarve5 4 2 2 2 2 3" xfId="46834" xr:uid="{00000000-0005-0000-0000-00001E3A0000}"/>
    <cellStyle name="20 % - Markeringsfarve5 4 2 2 2 3" xfId="24848" xr:uid="{00000000-0005-0000-0000-00001F3A0000}"/>
    <cellStyle name="20 % - Markeringsfarve5 4 2 2 2 4" xfId="39835" xr:uid="{00000000-0005-0000-0000-0000203A0000}"/>
    <cellStyle name="20 % - Markeringsfarve5 4 2 2 3" xfId="11381" xr:uid="{00000000-0005-0000-0000-0000213A0000}"/>
    <cellStyle name="20 % - Markeringsfarve5 4 2 2 3 2" xfId="27700" xr:uid="{00000000-0005-0000-0000-0000223A0000}"/>
    <cellStyle name="20 % - Markeringsfarve5 4 2 2 3 3" xfId="42666" xr:uid="{00000000-0005-0000-0000-0000233A0000}"/>
    <cellStyle name="20 % - Markeringsfarve5 4 2 2 4" xfId="20678" xr:uid="{00000000-0005-0000-0000-0000243A0000}"/>
    <cellStyle name="20 % - Markeringsfarve5 4 2 2 5" xfId="35667" xr:uid="{00000000-0005-0000-0000-0000253A0000}"/>
    <cellStyle name="20 % - Markeringsfarve5 4 2 2 6" xfId="57154" xr:uid="{00000000-0005-0000-0000-0000263A0000}"/>
    <cellStyle name="20 % - Markeringsfarve5 4 2 3" xfId="2825" xr:uid="{00000000-0005-0000-0000-0000273A0000}"/>
    <cellStyle name="20 % - Markeringsfarve5 4 2 3 2" xfId="6885" xr:uid="{00000000-0005-0000-0000-0000283A0000}"/>
    <cellStyle name="20 % - Markeringsfarve5 4 2 3 2 2" xfId="14796" xr:uid="{00000000-0005-0000-0000-0000293A0000}"/>
    <cellStyle name="20 % - Markeringsfarve5 4 2 3 2 2 2" xfId="31110" xr:uid="{00000000-0005-0000-0000-00002A3A0000}"/>
    <cellStyle name="20 % - Markeringsfarve5 4 2 3 2 2 3" xfId="46074" xr:uid="{00000000-0005-0000-0000-00002B3A0000}"/>
    <cellStyle name="20 % - Markeringsfarve5 4 2 3 2 3" xfId="24088" xr:uid="{00000000-0005-0000-0000-00002C3A0000}"/>
    <cellStyle name="20 % - Markeringsfarve5 4 2 3 2 4" xfId="39075" xr:uid="{00000000-0005-0000-0000-00002D3A0000}"/>
    <cellStyle name="20 % - Markeringsfarve5 4 2 3 3" xfId="11382" xr:uid="{00000000-0005-0000-0000-00002E3A0000}"/>
    <cellStyle name="20 % - Markeringsfarve5 4 2 3 3 2" xfId="27701" xr:uid="{00000000-0005-0000-0000-00002F3A0000}"/>
    <cellStyle name="20 % - Markeringsfarve5 4 2 3 3 3" xfId="42667" xr:uid="{00000000-0005-0000-0000-0000303A0000}"/>
    <cellStyle name="20 % - Markeringsfarve5 4 2 3 4" xfId="20679" xr:uid="{00000000-0005-0000-0000-0000313A0000}"/>
    <cellStyle name="20 % - Markeringsfarve5 4 2 3 5" xfId="35668" xr:uid="{00000000-0005-0000-0000-0000323A0000}"/>
    <cellStyle name="20 % - Markeringsfarve5 4 2 4" xfId="5673" xr:uid="{00000000-0005-0000-0000-0000333A0000}"/>
    <cellStyle name="20 % - Markeringsfarve5 4 2 4 2" xfId="13591" xr:uid="{00000000-0005-0000-0000-0000343A0000}"/>
    <cellStyle name="20 % - Markeringsfarve5 4 2 4 2 2" xfId="29905" xr:uid="{00000000-0005-0000-0000-0000353A0000}"/>
    <cellStyle name="20 % - Markeringsfarve5 4 2 4 2 3" xfId="44869" xr:uid="{00000000-0005-0000-0000-0000363A0000}"/>
    <cellStyle name="20 % - Markeringsfarve5 4 2 4 3" xfId="22883" xr:uid="{00000000-0005-0000-0000-0000373A0000}"/>
    <cellStyle name="20 % - Markeringsfarve5 4 2 4 4" xfId="37870" xr:uid="{00000000-0005-0000-0000-0000383A0000}"/>
    <cellStyle name="20 % - Markeringsfarve5 4 2 5" xfId="11380" xr:uid="{00000000-0005-0000-0000-0000393A0000}"/>
    <cellStyle name="20 % - Markeringsfarve5 4 2 5 2" xfId="27699" xr:uid="{00000000-0005-0000-0000-00003A3A0000}"/>
    <cellStyle name="20 % - Markeringsfarve5 4 2 5 3" xfId="42665" xr:uid="{00000000-0005-0000-0000-00003B3A0000}"/>
    <cellStyle name="20 % - Markeringsfarve5 4 2 6" xfId="20677" xr:uid="{00000000-0005-0000-0000-00003C3A0000}"/>
    <cellStyle name="20 % - Markeringsfarve5 4 2 7" xfId="35666" xr:uid="{00000000-0005-0000-0000-00003D3A0000}"/>
    <cellStyle name="20 % - Markeringsfarve5 4 2 8" xfId="53987" xr:uid="{00000000-0005-0000-0000-00003E3A0000}"/>
    <cellStyle name="20 % - Markeringsfarve5 4 3" xfId="2826" xr:uid="{00000000-0005-0000-0000-00003F3A0000}"/>
    <cellStyle name="20 % - Markeringsfarve5 4 3 2" xfId="2827" xr:uid="{00000000-0005-0000-0000-0000403A0000}"/>
    <cellStyle name="20 % - Markeringsfarve5 4 3 2 2" xfId="7769" xr:uid="{00000000-0005-0000-0000-0000413A0000}"/>
    <cellStyle name="20 % - Markeringsfarve5 4 3 2 2 2" xfId="15670" xr:uid="{00000000-0005-0000-0000-0000423A0000}"/>
    <cellStyle name="20 % - Markeringsfarve5 4 3 2 2 2 2" xfId="31984" xr:uid="{00000000-0005-0000-0000-0000433A0000}"/>
    <cellStyle name="20 % - Markeringsfarve5 4 3 2 2 2 3" xfId="46948" xr:uid="{00000000-0005-0000-0000-0000443A0000}"/>
    <cellStyle name="20 % - Markeringsfarve5 4 3 2 2 3" xfId="24962" xr:uid="{00000000-0005-0000-0000-0000453A0000}"/>
    <cellStyle name="20 % - Markeringsfarve5 4 3 2 2 4" xfId="39949" xr:uid="{00000000-0005-0000-0000-0000463A0000}"/>
    <cellStyle name="20 % - Markeringsfarve5 4 3 2 3" xfId="11384" xr:uid="{00000000-0005-0000-0000-0000473A0000}"/>
    <cellStyle name="20 % - Markeringsfarve5 4 3 2 3 2" xfId="27703" xr:uid="{00000000-0005-0000-0000-0000483A0000}"/>
    <cellStyle name="20 % - Markeringsfarve5 4 3 2 3 3" xfId="42669" xr:uid="{00000000-0005-0000-0000-0000493A0000}"/>
    <cellStyle name="20 % - Markeringsfarve5 4 3 2 4" xfId="20681" xr:uid="{00000000-0005-0000-0000-00004A3A0000}"/>
    <cellStyle name="20 % - Markeringsfarve5 4 3 2 5" xfId="35670" xr:uid="{00000000-0005-0000-0000-00004B3A0000}"/>
    <cellStyle name="20 % - Markeringsfarve5 4 3 3" xfId="2828" xr:uid="{00000000-0005-0000-0000-00004C3A0000}"/>
    <cellStyle name="20 % - Markeringsfarve5 4 3 3 2" xfId="6999" xr:uid="{00000000-0005-0000-0000-00004D3A0000}"/>
    <cellStyle name="20 % - Markeringsfarve5 4 3 3 2 2" xfId="14910" xr:uid="{00000000-0005-0000-0000-00004E3A0000}"/>
    <cellStyle name="20 % - Markeringsfarve5 4 3 3 2 2 2" xfId="31224" xr:uid="{00000000-0005-0000-0000-00004F3A0000}"/>
    <cellStyle name="20 % - Markeringsfarve5 4 3 3 2 2 3" xfId="46188" xr:uid="{00000000-0005-0000-0000-0000503A0000}"/>
    <cellStyle name="20 % - Markeringsfarve5 4 3 3 2 3" xfId="24202" xr:uid="{00000000-0005-0000-0000-0000513A0000}"/>
    <cellStyle name="20 % - Markeringsfarve5 4 3 3 2 4" xfId="39189" xr:uid="{00000000-0005-0000-0000-0000523A0000}"/>
    <cellStyle name="20 % - Markeringsfarve5 4 3 3 3" xfId="11385" xr:uid="{00000000-0005-0000-0000-0000533A0000}"/>
    <cellStyle name="20 % - Markeringsfarve5 4 3 3 3 2" xfId="27704" xr:uid="{00000000-0005-0000-0000-0000543A0000}"/>
    <cellStyle name="20 % - Markeringsfarve5 4 3 3 3 3" xfId="42670" xr:uid="{00000000-0005-0000-0000-0000553A0000}"/>
    <cellStyle name="20 % - Markeringsfarve5 4 3 3 4" xfId="20682" xr:uid="{00000000-0005-0000-0000-0000563A0000}"/>
    <cellStyle name="20 % - Markeringsfarve5 4 3 3 5" xfId="35671" xr:uid="{00000000-0005-0000-0000-0000573A0000}"/>
    <cellStyle name="20 % - Markeringsfarve5 4 3 4" xfId="5674" xr:uid="{00000000-0005-0000-0000-0000583A0000}"/>
    <cellStyle name="20 % - Markeringsfarve5 4 3 4 2" xfId="13592" xr:uid="{00000000-0005-0000-0000-0000593A0000}"/>
    <cellStyle name="20 % - Markeringsfarve5 4 3 4 2 2" xfId="29906" xr:uid="{00000000-0005-0000-0000-00005A3A0000}"/>
    <cellStyle name="20 % - Markeringsfarve5 4 3 4 2 3" xfId="44870" xr:uid="{00000000-0005-0000-0000-00005B3A0000}"/>
    <cellStyle name="20 % - Markeringsfarve5 4 3 4 3" xfId="22884" xr:uid="{00000000-0005-0000-0000-00005C3A0000}"/>
    <cellStyle name="20 % - Markeringsfarve5 4 3 4 4" xfId="37871" xr:uid="{00000000-0005-0000-0000-00005D3A0000}"/>
    <cellStyle name="20 % - Markeringsfarve5 4 3 5" xfId="11383" xr:uid="{00000000-0005-0000-0000-00005E3A0000}"/>
    <cellStyle name="20 % - Markeringsfarve5 4 3 5 2" xfId="27702" xr:uid="{00000000-0005-0000-0000-00005F3A0000}"/>
    <cellStyle name="20 % - Markeringsfarve5 4 3 5 3" xfId="42668" xr:uid="{00000000-0005-0000-0000-0000603A0000}"/>
    <cellStyle name="20 % - Markeringsfarve5 4 3 6" xfId="20680" xr:uid="{00000000-0005-0000-0000-0000613A0000}"/>
    <cellStyle name="20 % - Markeringsfarve5 4 3 7" xfId="35669" xr:uid="{00000000-0005-0000-0000-0000623A0000}"/>
    <cellStyle name="20 % - Markeringsfarve5 4 3 8" xfId="56531" xr:uid="{00000000-0005-0000-0000-0000633A0000}"/>
    <cellStyle name="20 % - Markeringsfarve5 4 4" xfId="2829" xr:uid="{00000000-0005-0000-0000-0000643A0000}"/>
    <cellStyle name="20 % - Markeringsfarve5 4 4 2" xfId="2830" xr:uid="{00000000-0005-0000-0000-0000653A0000}"/>
    <cellStyle name="20 % - Markeringsfarve5 4 4 2 2" xfId="7893" xr:uid="{00000000-0005-0000-0000-0000663A0000}"/>
    <cellStyle name="20 % - Markeringsfarve5 4 4 2 2 2" xfId="15794" xr:uid="{00000000-0005-0000-0000-0000673A0000}"/>
    <cellStyle name="20 % - Markeringsfarve5 4 4 2 2 2 2" xfId="32108" xr:uid="{00000000-0005-0000-0000-0000683A0000}"/>
    <cellStyle name="20 % - Markeringsfarve5 4 4 2 2 2 3" xfId="47072" xr:uid="{00000000-0005-0000-0000-0000693A0000}"/>
    <cellStyle name="20 % - Markeringsfarve5 4 4 2 2 3" xfId="25086" xr:uid="{00000000-0005-0000-0000-00006A3A0000}"/>
    <cellStyle name="20 % - Markeringsfarve5 4 4 2 2 4" xfId="40073" xr:uid="{00000000-0005-0000-0000-00006B3A0000}"/>
    <cellStyle name="20 % - Markeringsfarve5 4 4 2 3" xfId="11387" xr:uid="{00000000-0005-0000-0000-00006C3A0000}"/>
    <cellStyle name="20 % - Markeringsfarve5 4 4 2 3 2" xfId="27706" xr:uid="{00000000-0005-0000-0000-00006D3A0000}"/>
    <cellStyle name="20 % - Markeringsfarve5 4 4 2 3 3" xfId="42672" xr:uid="{00000000-0005-0000-0000-00006E3A0000}"/>
    <cellStyle name="20 % - Markeringsfarve5 4 4 2 4" xfId="20684" xr:uid="{00000000-0005-0000-0000-00006F3A0000}"/>
    <cellStyle name="20 % - Markeringsfarve5 4 4 2 5" xfId="35673" xr:uid="{00000000-0005-0000-0000-0000703A0000}"/>
    <cellStyle name="20 % - Markeringsfarve5 4 4 3" xfId="2831" xr:uid="{00000000-0005-0000-0000-0000713A0000}"/>
    <cellStyle name="20 % - Markeringsfarve5 4 4 3 2" xfId="7169" xr:uid="{00000000-0005-0000-0000-0000723A0000}"/>
    <cellStyle name="20 % - Markeringsfarve5 4 4 3 2 2" xfId="15079" xr:uid="{00000000-0005-0000-0000-0000733A0000}"/>
    <cellStyle name="20 % - Markeringsfarve5 4 4 3 2 2 2" xfId="31393" xr:uid="{00000000-0005-0000-0000-0000743A0000}"/>
    <cellStyle name="20 % - Markeringsfarve5 4 4 3 2 2 3" xfId="46357" xr:uid="{00000000-0005-0000-0000-0000753A0000}"/>
    <cellStyle name="20 % - Markeringsfarve5 4 4 3 2 3" xfId="24371" xr:uid="{00000000-0005-0000-0000-0000763A0000}"/>
    <cellStyle name="20 % - Markeringsfarve5 4 4 3 2 4" xfId="39358" xr:uid="{00000000-0005-0000-0000-0000773A0000}"/>
    <cellStyle name="20 % - Markeringsfarve5 4 4 3 3" xfId="11388" xr:uid="{00000000-0005-0000-0000-0000783A0000}"/>
    <cellStyle name="20 % - Markeringsfarve5 4 4 3 3 2" xfId="27707" xr:uid="{00000000-0005-0000-0000-0000793A0000}"/>
    <cellStyle name="20 % - Markeringsfarve5 4 4 3 3 3" xfId="42673" xr:uid="{00000000-0005-0000-0000-00007A3A0000}"/>
    <cellStyle name="20 % - Markeringsfarve5 4 4 3 4" xfId="20685" xr:uid="{00000000-0005-0000-0000-00007B3A0000}"/>
    <cellStyle name="20 % - Markeringsfarve5 4 4 3 5" xfId="35674" xr:uid="{00000000-0005-0000-0000-00007C3A0000}"/>
    <cellStyle name="20 % - Markeringsfarve5 4 4 4" xfId="5675" xr:uid="{00000000-0005-0000-0000-00007D3A0000}"/>
    <cellStyle name="20 % - Markeringsfarve5 4 4 4 2" xfId="13593" xr:uid="{00000000-0005-0000-0000-00007E3A0000}"/>
    <cellStyle name="20 % - Markeringsfarve5 4 4 4 2 2" xfId="29907" xr:uid="{00000000-0005-0000-0000-00007F3A0000}"/>
    <cellStyle name="20 % - Markeringsfarve5 4 4 4 2 3" xfId="44871" xr:uid="{00000000-0005-0000-0000-0000803A0000}"/>
    <cellStyle name="20 % - Markeringsfarve5 4 4 4 3" xfId="22885" xr:uid="{00000000-0005-0000-0000-0000813A0000}"/>
    <cellStyle name="20 % - Markeringsfarve5 4 4 4 4" xfId="37872" xr:uid="{00000000-0005-0000-0000-0000823A0000}"/>
    <cellStyle name="20 % - Markeringsfarve5 4 4 5" xfId="11386" xr:uid="{00000000-0005-0000-0000-0000833A0000}"/>
    <cellStyle name="20 % - Markeringsfarve5 4 4 5 2" xfId="27705" xr:uid="{00000000-0005-0000-0000-0000843A0000}"/>
    <cellStyle name="20 % - Markeringsfarve5 4 4 5 3" xfId="42671" xr:uid="{00000000-0005-0000-0000-0000853A0000}"/>
    <cellStyle name="20 % - Markeringsfarve5 4 4 6" xfId="20683" xr:uid="{00000000-0005-0000-0000-0000863A0000}"/>
    <cellStyle name="20 % - Markeringsfarve5 4 4 7" xfId="35672" xr:uid="{00000000-0005-0000-0000-0000873A0000}"/>
    <cellStyle name="20 % - Markeringsfarve5 4 5" xfId="2832" xr:uid="{00000000-0005-0000-0000-0000883A0000}"/>
    <cellStyle name="20 % - Markeringsfarve5 4 5 2" xfId="2833" xr:uid="{00000000-0005-0000-0000-0000893A0000}"/>
    <cellStyle name="20 % - Markeringsfarve5 4 5 2 2" xfId="8010" xr:uid="{00000000-0005-0000-0000-00008A3A0000}"/>
    <cellStyle name="20 % - Markeringsfarve5 4 5 2 2 2" xfId="15911" xr:uid="{00000000-0005-0000-0000-00008B3A0000}"/>
    <cellStyle name="20 % - Markeringsfarve5 4 5 2 2 2 2" xfId="32225" xr:uid="{00000000-0005-0000-0000-00008C3A0000}"/>
    <cellStyle name="20 % - Markeringsfarve5 4 5 2 2 2 3" xfId="47189" xr:uid="{00000000-0005-0000-0000-00008D3A0000}"/>
    <cellStyle name="20 % - Markeringsfarve5 4 5 2 2 3" xfId="25203" xr:uid="{00000000-0005-0000-0000-00008E3A0000}"/>
    <cellStyle name="20 % - Markeringsfarve5 4 5 2 2 4" xfId="40190" xr:uid="{00000000-0005-0000-0000-00008F3A0000}"/>
    <cellStyle name="20 % - Markeringsfarve5 4 5 2 3" xfId="11390" xr:uid="{00000000-0005-0000-0000-0000903A0000}"/>
    <cellStyle name="20 % - Markeringsfarve5 4 5 2 3 2" xfId="27709" xr:uid="{00000000-0005-0000-0000-0000913A0000}"/>
    <cellStyle name="20 % - Markeringsfarve5 4 5 2 3 3" xfId="42675" xr:uid="{00000000-0005-0000-0000-0000923A0000}"/>
    <cellStyle name="20 % - Markeringsfarve5 4 5 2 4" xfId="20687" xr:uid="{00000000-0005-0000-0000-0000933A0000}"/>
    <cellStyle name="20 % - Markeringsfarve5 4 5 2 5" xfId="35676" xr:uid="{00000000-0005-0000-0000-0000943A0000}"/>
    <cellStyle name="20 % - Markeringsfarve5 4 5 3" xfId="2834" xr:uid="{00000000-0005-0000-0000-0000953A0000}"/>
    <cellStyle name="20 % - Markeringsfarve5 4 5 3 2" xfId="7286" xr:uid="{00000000-0005-0000-0000-0000963A0000}"/>
    <cellStyle name="20 % - Markeringsfarve5 4 5 3 2 2" xfId="15196" xr:uid="{00000000-0005-0000-0000-0000973A0000}"/>
    <cellStyle name="20 % - Markeringsfarve5 4 5 3 2 2 2" xfId="31510" xr:uid="{00000000-0005-0000-0000-0000983A0000}"/>
    <cellStyle name="20 % - Markeringsfarve5 4 5 3 2 2 3" xfId="46474" xr:uid="{00000000-0005-0000-0000-0000993A0000}"/>
    <cellStyle name="20 % - Markeringsfarve5 4 5 3 2 3" xfId="24488" xr:uid="{00000000-0005-0000-0000-00009A3A0000}"/>
    <cellStyle name="20 % - Markeringsfarve5 4 5 3 2 4" xfId="39475" xr:uid="{00000000-0005-0000-0000-00009B3A0000}"/>
    <cellStyle name="20 % - Markeringsfarve5 4 5 3 3" xfId="11391" xr:uid="{00000000-0005-0000-0000-00009C3A0000}"/>
    <cellStyle name="20 % - Markeringsfarve5 4 5 3 3 2" xfId="27710" xr:uid="{00000000-0005-0000-0000-00009D3A0000}"/>
    <cellStyle name="20 % - Markeringsfarve5 4 5 3 3 3" xfId="42676" xr:uid="{00000000-0005-0000-0000-00009E3A0000}"/>
    <cellStyle name="20 % - Markeringsfarve5 4 5 3 4" xfId="20688" xr:uid="{00000000-0005-0000-0000-00009F3A0000}"/>
    <cellStyle name="20 % - Markeringsfarve5 4 5 3 5" xfId="35677" xr:uid="{00000000-0005-0000-0000-0000A03A0000}"/>
    <cellStyle name="20 % - Markeringsfarve5 4 5 4" xfId="5676" xr:uid="{00000000-0005-0000-0000-0000A13A0000}"/>
    <cellStyle name="20 % - Markeringsfarve5 4 5 4 2" xfId="13594" xr:uid="{00000000-0005-0000-0000-0000A23A0000}"/>
    <cellStyle name="20 % - Markeringsfarve5 4 5 4 2 2" xfId="29908" xr:uid="{00000000-0005-0000-0000-0000A33A0000}"/>
    <cellStyle name="20 % - Markeringsfarve5 4 5 4 2 3" xfId="44872" xr:uid="{00000000-0005-0000-0000-0000A43A0000}"/>
    <cellStyle name="20 % - Markeringsfarve5 4 5 4 3" xfId="22886" xr:uid="{00000000-0005-0000-0000-0000A53A0000}"/>
    <cellStyle name="20 % - Markeringsfarve5 4 5 4 4" xfId="37873" xr:uid="{00000000-0005-0000-0000-0000A63A0000}"/>
    <cellStyle name="20 % - Markeringsfarve5 4 5 5" xfId="11389" xr:uid="{00000000-0005-0000-0000-0000A73A0000}"/>
    <cellStyle name="20 % - Markeringsfarve5 4 5 5 2" xfId="27708" xr:uid="{00000000-0005-0000-0000-0000A83A0000}"/>
    <cellStyle name="20 % - Markeringsfarve5 4 5 5 3" xfId="42674" xr:uid="{00000000-0005-0000-0000-0000A93A0000}"/>
    <cellStyle name="20 % - Markeringsfarve5 4 5 6" xfId="20686" xr:uid="{00000000-0005-0000-0000-0000AA3A0000}"/>
    <cellStyle name="20 % - Markeringsfarve5 4 5 7" xfId="35675" xr:uid="{00000000-0005-0000-0000-0000AB3A0000}"/>
    <cellStyle name="20 % - Markeringsfarve5 4 6" xfId="2835" xr:uid="{00000000-0005-0000-0000-0000AC3A0000}"/>
    <cellStyle name="20 % - Markeringsfarve5 4 6 2" xfId="2836" xr:uid="{00000000-0005-0000-0000-0000AD3A0000}"/>
    <cellStyle name="20 % - Markeringsfarve5 4 6 2 2" xfId="8123" xr:uid="{00000000-0005-0000-0000-0000AE3A0000}"/>
    <cellStyle name="20 % - Markeringsfarve5 4 6 2 2 2" xfId="16024" xr:uid="{00000000-0005-0000-0000-0000AF3A0000}"/>
    <cellStyle name="20 % - Markeringsfarve5 4 6 2 2 2 2" xfId="32338" xr:uid="{00000000-0005-0000-0000-0000B03A0000}"/>
    <cellStyle name="20 % - Markeringsfarve5 4 6 2 2 2 3" xfId="47302" xr:uid="{00000000-0005-0000-0000-0000B13A0000}"/>
    <cellStyle name="20 % - Markeringsfarve5 4 6 2 2 3" xfId="25316" xr:uid="{00000000-0005-0000-0000-0000B23A0000}"/>
    <cellStyle name="20 % - Markeringsfarve5 4 6 2 2 4" xfId="40303" xr:uid="{00000000-0005-0000-0000-0000B33A0000}"/>
    <cellStyle name="20 % - Markeringsfarve5 4 6 2 3" xfId="11393" xr:uid="{00000000-0005-0000-0000-0000B43A0000}"/>
    <cellStyle name="20 % - Markeringsfarve5 4 6 2 3 2" xfId="27712" xr:uid="{00000000-0005-0000-0000-0000B53A0000}"/>
    <cellStyle name="20 % - Markeringsfarve5 4 6 2 3 3" xfId="42678" xr:uid="{00000000-0005-0000-0000-0000B63A0000}"/>
    <cellStyle name="20 % - Markeringsfarve5 4 6 2 4" xfId="20690" xr:uid="{00000000-0005-0000-0000-0000B73A0000}"/>
    <cellStyle name="20 % - Markeringsfarve5 4 6 2 5" xfId="35679" xr:uid="{00000000-0005-0000-0000-0000B83A0000}"/>
    <cellStyle name="20 % - Markeringsfarve5 4 6 3" xfId="2837" xr:uid="{00000000-0005-0000-0000-0000B93A0000}"/>
    <cellStyle name="20 % - Markeringsfarve5 4 6 3 2" xfId="7400" xr:uid="{00000000-0005-0000-0000-0000BA3A0000}"/>
    <cellStyle name="20 % - Markeringsfarve5 4 6 3 2 2" xfId="15310" xr:uid="{00000000-0005-0000-0000-0000BB3A0000}"/>
    <cellStyle name="20 % - Markeringsfarve5 4 6 3 2 2 2" xfId="31624" xr:uid="{00000000-0005-0000-0000-0000BC3A0000}"/>
    <cellStyle name="20 % - Markeringsfarve5 4 6 3 2 2 3" xfId="46588" xr:uid="{00000000-0005-0000-0000-0000BD3A0000}"/>
    <cellStyle name="20 % - Markeringsfarve5 4 6 3 2 3" xfId="24602" xr:uid="{00000000-0005-0000-0000-0000BE3A0000}"/>
    <cellStyle name="20 % - Markeringsfarve5 4 6 3 2 4" xfId="39589" xr:uid="{00000000-0005-0000-0000-0000BF3A0000}"/>
    <cellStyle name="20 % - Markeringsfarve5 4 6 3 3" xfId="11394" xr:uid="{00000000-0005-0000-0000-0000C03A0000}"/>
    <cellStyle name="20 % - Markeringsfarve5 4 6 3 3 2" xfId="27713" xr:uid="{00000000-0005-0000-0000-0000C13A0000}"/>
    <cellStyle name="20 % - Markeringsfarve5 4 6 3 3 3" xfId="42679" xr:uid="{00000000-0005-0000-0000-0000C23A0000}"/>
    <cellStyle name="20 % - Markeringsfarve5 4 6 3 4" xfId="20691" xr:uid="{00000000-0005-0000-0000-0000C33A0000}"/>
    <cellStyle name="20 % - Markeringsfarve5 4 6 3 5" xfId="35680" xr:uid="{00000000-0005-0000-0000-0000C43A0000}"/>
    <cellStyle name="20 % - Markeringsfarve5 4 6 4" xfId="5677" xr:uid="{00000000-0005-0000-0000-0000C53A0000}"/>
    <cellStyle name="20 % - Markeringsfarve5 4 6 4 2" xfId="13595" xr:uid="{00000000-0005-0000-0000-0000C63A0000}"/>
    <cellStyle name="20 % - Markeringsfarve5 4 6 4 2 2" xfId="29909" xr:uid="{00000000-0005-0000-0000-0000C73A0000}"/>
    <cellStyle name="20 % - Markeringsfarve5 4 6 4 2 3" xfId="44873" xr:uid="{00000000-0005-0000-0000-0000C83A0000}"/>
    <cellStyle name="20 % - Markeringsfarve5 4 6 4 3" xfId="22887" xr:uid="{00000000-0005-0000-0000-0000C93A0000}"/>
    <cellStyle name="20 % - Markeringsfarve5 4 6 4 4" xfId="37874" xr:uid="{00000000-0005-0000-0000-0000CA3A0000}"/>
    <cellStyle name="20 % - Markeringsfarve5 4 6 5" xfId="11392" xr:uid="{00000000-0005-0000-0000-0000CB3A0000}"/>
    <cellStyle name="20 % - Markeringsfarve5 4 6 5 2" xfId="27711" xr:uid="{00000000-0005-0000-0000-0000CC3A0000}"/>
    <cellStyle name="20 % - Markeringsfarve5 4 6 5 3" xfId="42677" xr:uid="{00000000-0005-0000-0000-0000CD3A0000}"/>
    <cellStyle name="20 % - Markeringsfarve5 4 6 6" xfId="20689" xr:uid="{00000000-0005-0000-0000-0000CE3A0000}"/>
    <cellStyle name="20 % - Markeringsfarve5 4 6 7" xfId="35678" xr:uid="{00000000-0005-0000-0000-0000CF3A0000}"/>
    <cellStyle name="20 % - Markeringsfarve5 4 7" xfId="2838" xr:uid="{00000000-0005-0000-0000-0000D03A0000}"/>
    <cellStyle name="20 % - Markeringsfarve5 4 7 2" xfId="7536" xr:uid="{00000000-0005-0000-0000-0000D13A0000}"/>
    <cellStyle name="20 % - Markeringsfarve5 4 7 2 2" xfId="15437" xr:uid="{00000000-0005-0000-0000-0000D23A0000}"/>
    <cellStyle name="20 % - Markeringsfarve5 4 7 2 2 2" xfId="31751" xr:uid="{00000000-0005-0000-0000-0000D33A0000}"/>
    <cellStyle name="20 % - Markeringsfarve5 4 7 2 2 3" xfId="46715" xr:uid="{00000000-0005-0000-0000-0000D43A0000}"/>
    <cellStyle name="20 % - Markeringsfarve5 4 7 2 3" xfId="24729" xr:uid="{00000000-0005-0000-0000-0000D53A0000}"/>
    <cellStyle name="20 % - Markeringsfarve5 4 7 2 4" xfId="39716" xr:uid="{00000000-0005-0000-0000-0000D63A0000}"/>
    <cellStyle name="20 % - Markeringsfarve5 4 7 3" xfId="11395" xr:uid="{00000000-0005-0000-0000-0000D73A0000}"/>
    <cellStyle name="20 % - Markeringsfarve5 4 7 3 2" xfId="27714" xr:uid="{00000000-0005-0000-0000-0000D83A0000}"/>
    <cellStyle name="20 % - Markeringsfarve5 4 7 3 3" xfId="42680" xr:uid="{00000000-0005-0000-0000-0000D93A0000}"/>
    <cellStyle name="20 % - Markeringsfarve5 4 7 4" xfId="20692" xr:uid="{00000000-0005-0000-0000-0000DA3A0000}"/>
    <cellStyle name="20 % - Markeringsfarve5 4 7 5" xfId="35681" xr:uid="{00000000-0005-0000-0000-0000DB3A0000}"/>
    <cellStyle name="20 % - Markeringsfarve5 4 8" xfId="2839" xr:uid="{00000000-0005-0000-0000-0000DC3A0000}"/>
    <cellStyle name="20 % - Markeringsfarve5 4 8 2" xfId="6764" xr:uid="{00000000-0005-0000-0000-0000DD3A0000}"/>
    <cellStyle name="20 % - Markeringsfarve5 4 8 2 2" xfId="14675" xr:uid="{00000000-0005-0000-0000-0000DE3A0000}"/>
    <cellStyle name="20 % - Markeringsfarve5 4 8 2 2 2" xfId="30989" xr:uid="{00000000-0005-0000-0000-0000DF3A0000}"/>
    <cellStyle name="20 % - Markeringsfarve5 4 8 2 2 3" xfId="45953" xr:uid="{00000000-0005-0000-0000-0000E03A0000}"/>
    <cellStyle name="20 % - Markeringsfarve5 4 8 2 3" xfId="23967" xr:uid="{00000000-0005-0000-0000-0000E13A0000}"/>
    <cellStyle name="20 % - Markeringsfarve5 4 8 2 4" xfId="38954" xr:uid="{00000000-0005-0000-0000-0000E23A0000}"/>
    <cellStyle name="20 % - Markeringsfarve5 4 8 3" xfId="11396" xr:uid="{00000000-0005-0000-0000-0000E33A0000}"/>
    <cellStyle name="20 % - Markeringsfarve5 4 8 3 2" xfId="27715" xr:uid="{00000000-0005-0000-0000-0000E43A0000}"/>
    <cellStyle name="20 % - Markeringsfarve5 4 8 3 3" xfId="42681" xr:uid="{00000000-0005-0000-0000-0000E53A0000}"/>
    <cellStyle name="20 % - Markeringsfarve5 4 8 4" xfId="20693" xr:uid="{00000000-0005-0000-0000-0000E63A0000}"/>
    <cellStyle name="20 % - Markeringsfarve5 4 8 5" xfId="35682" xr:uid="{00000000-0005-0000-0000-0000E73A0000}"/>
    <cellStyle name="20 % - Markeringsfarve5 4 9" xfId="5672" xr:uid="{00000000-0005-0000-0000-0000E83A0000}"/>
    <cellStyle name="20 % - Markeringsfarve5 4 9 2" xfId="13590" xr:uid="{00000000-0005-0000-0000-0000E93A0000}"/>
    <cellStyle name="20 % - Markeringsfarve5 4 9 2 2" xfId="29904" xr:uid="{00000000-0005-0000-0000-0000EA3A0000}"/>
    <cellStyle name="20 % - Markeringsfarve5 4 9 2 3" xfId="44868" xr:uid="{00000000-0005-0000-0000-0000EB3A0000}"/>
    <cellStyle name="20 % - Markeringsfarve5 4 9 3" xfId="22882" xr:uid="{00000000-0005-0000-0000-0000EC3A0000}"/>
    <cellStyle name="20 % - Markeringsfarve5 4 9 4" xfId="37869" xr:uid="{00000000-0005-0000-0000-0000ED3A0000}"/>
    <cellStyle name="20 % - Markeringsfarve5 5" xfId="2840" xr:uid="{00000000-0005-0000-0000-0000EE3A0000}"/>
    <cellStyle name="20 % - Markeringsfarve5 5 10" xfId="11397" xr:uid="{00000000-0005-0000-0000-0000EF3A0000}"/>
    <cellStyle name="20 % - Markeringsfarve5 5 10 2" xfId="27716" xr:uid="{00000000-0005-0000-0000-0000F03A0000}"/>
    <cellStyle name="20 % - Markeringsfarve5 5 10 3" xfId="42682" xr:uid="{00000000-0005-0000-0000-0000F13A0000}"/>
    <cellStyle name="20 % - Markeringsfarve5 5 11" xfId="20694" xr:uid="{00000000-0005-0000-0000-0000F23A0000}"/>
    <cellStyle name="20 % - Markeringsfarve5 5 12" xfId="35683" xr:uid="{00000000-0005-0000-0000-0000F33A0000}"/>
    <cellStyle name="20 % - Markeringsfarve5 5 13" xfId="53349" xr:uid="{00000000-0005-0000-0000-0000F43A0000}"/>
    <cellStyle name="20 % - Markeringsfarve5 5 2" xfId="2841" xr:uid="{00000000-0005-0000-0000-0000F53A0000}"/>
    <cellStyle name="20 % - Markeringsfarve5 5 2 2" xfId="2842" xr:uid="{00000000-0005-0000-0000-0000F63A0000}"/>
    <cellStyle name="20 % - Markeringsfarve5 5 2 2 2" xfId="7694" xr:uid="{00000000-0005-0000-0000-0000F73A0000}"/>
    <cellStyle name="20 % - Markeringsfarve5 5 2 2 2 2" xfId="15595" xr:uid="{00000000-0005-0000-0000-0000F83A0000}"/>
    <cellStyle name="20 % - Markeringsfarve5 5 2 2 2 2 2" xfId="31909" xr:uid="{00000000-0005-0000-0000-0000F93A0000}"/>
    <cellStyle name="20 % - Markeringsfarve5 5 2 2 2 2 3" xfId="46873" xr:uid="{00000000-0005-0000-0000-0000FA3A0000}"/>
    <cellStyle name="20 % - Markeringsfarve5 5 2 2 2 3" xfId="24887" xr:uid="{00000000-0005-0000-0000-0000FB3A0000}"/>
    <cellStyle name="20 % - Markeringsfarve5 5 2 2 2 4" xfId="39874" xr:uid="{00000000-0005-0000-0000-0000FC3A0000}"/>
    <cellStyle name="20 % - Markeringsfarve5 5 2 2 3" xfId="11399" xr:uid="{00000000-0005-0000-0000-0000FD3A0000}"/>
    <cellStyle name="20 % - Markeringsfarve5 5 2 2 3 2" xfId="27718" xr:uid="{00000000-0005-0000-0000-0000FE3A0000}"/>
    <cellStyle name="20 % - Markeringsfarve5 5 2 2 3 3" xfId="42684" xr:uid="{00000000-0005-0000-0000-0000FF3A0000}"/>
    <cellStyle name="20 % - Markeringsfarve5 5 2 2 4" xfId="20696" xr:uid="{00000000-0005-0000-0000-0000003B0000}"/>
    <cellStyle name="20 % - Markeringsfarve5 5 2 2 5" xfId="35685" xr:uid="{00000000-0005-0000-0000-0000013B0000}"/>
    <cellStyle name="20 % - Markeringsfarve5 5 2 2 6" xfId="57153" xr:uid="{00000000-0005-0000-0000-0000023B0000}"/>
    <cellStyle name="20 % - Markeringsfarve5 5 2 3" xfId="2843" xr:uid="{00000000-0005-0000-0000-0000033B0000}"/>
    <cellStyle name="20 % - Markeringsfarve5 5 2 3 2" xfId="6924" xr:uid="{00000000-0005-0000-0000-0000043B0000}"/>
    <cellStyle name="20 % - Markeringsfarve5 5 2 3 2 2" xfId="14835" xr:uid="{00000000-0005-0000-0000-0000053B0000}"/>
    <cellStyle name="20 % - Markeringsfarve5 5 2 3 2 2 2" xfId="31149" xr:uid="{00000000-0005-0000-0000-0000063B0000}"/>
    <cellStyle name="20 % - Markeringsfarve5 5 2 3 2 2 3" xfId="46113" xr:uid="{00000000-0005-0000-0000-0000073B0000}"/>
    <cellStyle name="20 % - Markeringsfarve5 5 2 3 2 3" xfId="24127" xr:uid="{00000000-0005-0000-0000-0000083B0000}"/>
    <cellStyle name="20 % - Markeringsfarve5 5 2 3 2 4" xfId="39114" xr:uid="{00000000-0005-0000-0000-0000093B0000}"/>
    <cellStyle name="20 % - Markeringsfarve5 5 2 3 3" xfId="11400" xr:uid="{00000000-0005-0000-0000-00000A3B0000}"/>
    <cellStyle name="20 % - Markeringsfarve5 5 2 3 3 2" xfId="27719" xr:uid="{00000000-0005-0000-0000-00000B3B0000}"/>
    <cellStyle name="20 % - Markeringsfarve5 5 2 3 3 3" xfId="42685" xr:uid="{00000000-0005-0000-0000-00000C3B0000}"/>
    <cellStyle name="20 % - Markeringsfarve5 5 2 3 4" xfId="20697" xr:uid="{00000000-0005-0000-0000-00000D3B0000}"/>
    <cellStyle name="20 % - Markeringsfarve5 5 2 3 5" xfId="35686" xr:uid="{00000000-0005-0000-0000-00000E3B0000}"/>
    <cellStyle name="20 % - Markeringsfarve5 5 2 4" xfId="5679" xr:uid="{00000000-0005-0000-0000-00000F3B0000}"/>
    <cellStyle name="20 % - Markeringsfarve5 5 2 4 2" xfId="13597" xr:uid="{00000000-0005-0000-0000-0000103B0000}"/>
    <cellStyle name="20 % - Markeringsfarve5 5 2 4 2 2" xfId="29911" xr:uid="{00000000-0005-0000-0000-0000113B0000}"/>
    <cellStyle name="20 % - Markeringsfarve5 5 2 4 2 3" xfId="44875" xr:uid="{00000000-0005-0000-0000-0000123B0000}"/>
    <cellStyle name="20 % - Markeringsfarve5 5 2 4 3" xfId="22889" xr:uid="{00000000-0005-0000-0000-0000133B0000}"/>
    <cellStyle name="20 % - Markeringsfarve5 5 2 4 4" xfId="37876" xr:uid="{00000000-0005-0000-0000-0000143B0000}"/>
    <cellStyle name="20 % - Markeringsfarve5 5 2 5" xfId="11398" xr:uid="{00000000-0005-0000-0000-0000153B0000}"/>
    <cellStyle name="20 % - Markeringsfarve5 5 2 5 2" xfId="27717" xr:uid="{00000000-0005-0000-0000-0000163B0000}"/>
    <cellStyle name="20 % - Markeringsfarve5 5 2 5 3" xfId="42683" xr:uid="{00000000-0005-0000-0000-0000173B0000}"/>
    <cellStyle name="20 % - Markeringsfarve5 5 2 6" xfId="20695" xr:uid="{00000000-0005-0000-0000-0000183B0000}"/>
    <cellStyle name="20 % - Markeringsfarve5 5 2 7" xfId="35684" xr:uid="{00000000-0005-0000-0000-0000193B0000}"/>
    <cellStyle name="20 % - Markeringsfarve5 5 2 8" xfId="53986" xr:uid="{00000000-0005-0000-0000-00001A3B0000}"/>
    <cellStyle name="20 % - Markeringsfarve5 5 3" xfId="2844" xr:uid="{00000000-0005-0000-0000-00001B3B0000}"/>
    <cellStyle name="20 % - Markeringsfarve5 5 3 2" xfId="2845" xr:uid="{00000000-0005-0000-0000-00001C3B0000}"/>
    <cellStyle name="20 % - Markeringsfarve5 5 3 2 2" xfId="7770" xr:uid="{00000000-0005-0000-0000-00001D3B0000}"/>
    <cellStyle name="20 % - Markeringsfarve5 5 3 2 2 2" xfId="15671" xr:uid="{00000000-0005-0000-0000-00001E3B0000}"/>
    <cellStyle name="20 % - Markeringsfarve5 5 3 2 2 2 2" xfId="31985" xr:uid="{00000000-0005-0000-0000-00001F3B0000}"/>
    <cellStyle name="20 % - Markeringsfarve5 5 3 2 2 2 3" xfId="46949" xr:uid="{00000000-0005-0000-0000-0000203B0000}"/>
    <cellStyle name="20 % - Markeringsfarve5 5 3 2 2 3" xfId="24963" xr:uid="{00000000-0005-0000-0000-0000213B0000}"/>
    <cellStyle name="20 % - Markeringsfarve5 5 3 2 2 4" xfId="39950" xr:uid="{00000000-0005-0000-0000-0000223B0000}"/>
    <cellStyle name="20 % - Markeringsfarve5 5 3 2 3" xfId="11402" xr:uid="{00000000-0005-0000-0000-0000233B0000}"/>
    <cellStyle name="20 % - Markeringsfarve5 5 3 2 3 2" xfId="27721" xr:uid="{00000000-0005-0000-0000-0000243B0000}"/>
    <cellStyle name="20 % - Markeringsfarve5 5 3 2 3 3" xfId="42687" xr:uid="{00000000-0005-0000-0000-0000253B0000}"/>
    <cellStyle name="20 % - Markeringsfarve5 5 3 2 4" xfId="20699" xr:uid="{00000000-0005-0000-0000-0000263B0000}"/>
    <cellStyle name="20 % - Markeringsfarve5 5 3 2 5" xfId="35688" xr:uid="{00000000-0005-0000-0000-0000273B0000}"/>
    <cellStyle name="20 % - Markeringsfarve5 5 3 3" xfId="2846" xr:uid="{00000000-0005-0000-0000-0000283B0000}"/>
    <cellStyle name="20 % - Markeringsfarve5 5 3 3 2" xfId="7000" xr:uid="{00000000-0005-0000-0000-0000293B0000}"/>
    <cellStyle name="20 % - Markeringsfarve5 5 3 3 2 2" xfId="14911" xr:uid="{00000000-0005-0000-0000-00002A3B0000}"/>
    <cellStyle name="20 % - Markeringsfarve5 5 3 3 2 2 2" xfId="31225" xr:uid="{00000000-0005-0000-0000-00002B3B0000}"/>
    <cellStyle name="20 % - Markeringsfarve5 5 3 3 2 2 3" xfId="46189" xr:uid="{00000000-0005-0000-0000-00002C3B0000}"/>
    <cellStyle name="20 % - Markeringsfarve5 5 3 3 2 3" xfId="24203" xr:uid="{00000000-0005-0000-0000-00002D3B0000}"/>
    <cellStyle name="20 % - Markeringsfarve5 5 3 3 2 4" xfId="39190" xr:uid="{00000000-0005-0000-0000-00002E3B0000}"/>
    <cellStyle name="20 % - Markeringsfarve5 5 3 3 3" xfId="11403" xr:uid="{00000000-0005-0000-0000-00002F3B0000}"/>
    <cellStyle name="20 % - Markeringsfarve5 5 3 3 3 2" xfId="27722" xr:uid="{00000000-0005-0000-0000-0000303B0000}"/>
    <cellStyle name="20 % - Markeringsfarve5 5 3 3 3 3" xfId="42688" xr:uid="{00000000-0005-0000-0000-0000313B0000}"/>
    <cellStyle name="20 % - Markeringsfarve5 5 3 3 4" xfId="20700" xr:uid="{00000000-0005-0000-0000-0000323B0000}"/>
    <cellStyle name="20 % - Markeringsfarve5 5 3 3 5" xfId="35689" xr:uid="{00000000-0005-0000-0000-0000333B0000}"/>
    <cellStyle name="20 % - Markeringsfarve5 5 3 4" xfId="5680" xr:uid="{00000000-0005-0000-0000-0000343B0000}"/>
    <cellStyle name="20 % - Markeringsfarve5 5 3 4 2" xfId="13598" xr:uid="{00000000-0005-0000-0000-0000353B0000}"/>
    <cellStyle name="20 % - Markeringsfarve5 5 3 4 2 2" xfId="29912" xr:uid="{00000000-0005-0000-0000-0000363B0000}"/>
    <cellStyle name="20 % - Markeringsfarve5 5 3 4 2 3" xfId="44876" xr:uid="{00000000-0005-0000-0000-0000373B0000}"/>
    <cellStyle name="20 % - Markeringsfarve5 5 3 4 3" xfId="22890" xr:uid="{00000000-0005-0000-0000-0000383B0000}"/>
    <cellStyle name="20 % - Markeringsfarve5 5 3 4 4" xfId="37877" xr:uid="{00000000-0005-0000-0000-0000393B0000}"/>
    <cellStyle name="20 % - Markeringsfarve5 5 3 5" xfId="11401" xr:uid="{00000000-0005-0000-0000-00003A3B0000}"/>
    <cellStyle name="20 % - Markeringsfarve5 5 3 5 2" xfId="27720" xr:uid="{00000000-0005-0000-0000-00003B3B0000}"/>
    <cellStyle name="20 % - Markeringsfarve5 5 3 5 3" xfId="42686" xr:uid="{00000000-0005-0000-0000-00003C3B0000}"/>
    <cellStyle name="20 % - Markeringsfarve5 5 3 6" xfId="20698" xr:uid="{00000000-0005-0000-0000-00003D3B0000}"/>
    <cellStyle name="20 % - Markeringsfarve5 5 3 7" xfId="35687" xr:uid="{00000000-0005-0000-0000-00003E3B0000}"/>
    <cellStyle name="20 % - Markeringsfarve5 5 3 8" xfId="56530" xr:uid="{00000000-0005-0000-0000-00003F3B0000}"/>
    <cellStyle name="20 % - Markeringsfarve5 5 4" xfId="2847" xr:uid="{00000000-0005-0000-0000-0000403B0000}"/>
    <cellStyle name="20 % - Markeringsfarve5 5 4 2" xfId="2848" xr:uid="{00000000-0005-0000-0000-0000413B0000}"/>
    <cellStyle name="20 % - Markeringsfarve5 5 4 2 2" xfId="7932" xr:uid="{00000000-0005-0000-0000-0000423B0000}"/>
    <cellStyle name="20 % - Markeringsfarve5 5 4 2 2 2" xfId="15833" xr:uid="{00000000-0005-0000-0000-0000433B0000}"/>
    <cellStyle name="20 % - Markeringsfarve5 5 4 2 2 2 2" xfId="32147" xr:uid="{00000000-0005-0000-0000-0000443B0000}"/>
    <cellStyle name="20 % - Markeringsfarve5 5 4 2 2 2 3" xfId="47111" xr:uid="{00000000-0005-0000-0000-0000453B0000}"/>
    <cellStyle name="20 % - Markeringsfarve5 5 4 2 2 3" xfId="25125" xr:uid="{00000000-0005-0000-0000-0000463B0000}"/>
    <cellStyle name="20 % - Markeringsfarve5 5 4 2 2 4" xfId="40112" xr:uid="{00000000-0005-0000-0000-0000473B0000}"/>
    <cellStyle name="20 % - Markeringsfarve5 5 4 2 3" xfId="11405" xr:uid="{00000000-0005-0000-0000-0000483B0000}"/>
    <cellStyle name="20 % - Markeringsfarve5 5 4 2 3 2" xfId="27724" xr:uid="{00000000-0005-0000-0000-0000493B0000}"/>
    <cellStyle name="20 % - Markeringsfarve5 5 4 2 3 3" xfId="42690" xr:uid="{00000000-0005-0000-0000-00004A3B0000}"/>
    <cellStyle name="20 % - Markeringsfarve5 5 4 2 4" xfId="20702" xr:uid="{00000000-0005-0000-0000-00004B3B0000}"/>
    <cellStyle name="20 % - Markeringsfarve5 5 4 2 5" xfId="35691" xr:uid="{00000000-0005-0000-0000-00004C3B0000}"/>
    <cellStyle name="20 % - Markeringsfarve5 5 4 3" xfId="2849" xr:uid="{00000000-0005-0000-0000-00004D3B0000}"/>
    <cellStyle name="20 % - Markeringsfarve5 5 4 3 2" xfId="7208" xr:uid="{00000000-0005-0000-0000-00004E3B0000}"/>
    <cellStyle name="20 % - Markeringsfarve5 5 4 3 2 2" xfId="15118" xr:uid="{00000000-0005-0000-0000-00004F3B0000}"/>
    <cellStyle name="20 % - Markeringsfarve5 5 4 3 2 2 2" xfId="31432" xr:uid="{00000000-0005-0000-0000-0000503B0000}"/>
    <cellStyle name="20 % - Markeringsfarve5 5 4 3 2 2 3" xfId="46396" xr:uid="{00000000-0005-0000-0000-0000513B0000}"/>
    <cellStyle name="20 % - Markeringsfarve5 5 4 3 2 3" xfId="24410" xr:uid="{00000000-0005-0000-0000-0000523B0000}"/>
    <cellStyle name="20 % - Markeringsfarve5 5 4 3 2 4" xfId="39397" xr:uid="{00000000-0005-0000-0000-0000533B0000}"/>
    <cellStyle name="20 % - Markeringsfarve5 5 4 3 3" xfId="11406" xr:uid="{00000000-0005-0000-0000-0000543B0000}"/>
    <cellStyle name="20 % - Markeringsfarve5 5 4 3 3 2" xfId="27725" xr:uid="{00000000-0005-0000-0000-0000553B0000}"/>
    <cellStyle name="20 % - Markeringsfarve5 5 4 3 3 3" xfId="42691" xr:uid="{00000000-0005-0000-0000-0000563B0000}"/>
    <cellStyle name="20 % - Markeringsfarve5 5 4 3 4" xfId="20703" xr:uid="{00000000-0005-0000-0000-0000573B0000}"/>
    <cellStyle name="20 % - Markeringsfarve5 5 4 3 5" xfId="35692" xr:uid="{00000000-0005-0000-0000-0000583B0000}"/>
    <cellStyle name="20 % - Markeringsfarve5 5 4 4" xfId="5681" xr:uid="{00000000-0005-0000-0000-0000593B0000}"/>
    <cellStyle name="20 % - Markeringsfarve5 5 4 4 2" xfId="13599" xr:uid="{00000000-0005-0000-0000-00005A3B0000}"/>
    <cellStyle name="20 % - Markeringsfarve5 5 4 4 2 2" xfId="29913" xr:uid="{00000000-0005-0000-0000-00005B3B0000}"/>
    <cellStyle name="20 % - Markeringsfarve5 5 4 4 2 3" xfId="44877" xr:uid="{00000000-0005-0000-0000-00005C3B0000}"/>
    <cellStyle name="20 % - Markeringsfarve5 5 4 4 3" xfId="22891" xr:uid="{00000000-0005-0000-0000-00005D3B0000}"/>
    <cellStyle name="20 % - Markeringsfarve5 5 4 4 4" xfId="37878" xr:uid="{00000000-0005-0000-0000-00005E3B0000}"/>
    <cellStyle name="20 % - Markeringsfarve5 5 4 5" xfId="11404" xr:uid="{00000000-0005-0000-0000-00005F3B0000}"/>
    <cellStyle name="20 % - Markeringsfarve5 5 4 5 2" xfId="27723" xr:uid="{00000000-0005-0000-0000-0000603B0000}"/>
    <cellStyle name="20 % - Markeringsfarve5 5 4 5 3" xfId="42689" xr:uid="{00000000-0005-0000-0000-0000613B0000}"/>
    <cellStyle name="20 % - Markeringsfarve5 5 4 6" xfId="20701" xr:uid="{00000000-0005-0000-0000-0000623B0000}"/>
    <cellStyle name="20 % - Markeringsfarve5 5 4 7" xfId="35690" xr:uid="{00000000-0005-0000-0000-0000633B0000}"/>
    <cellStyle name="20 % - Markeringsfarve5 5 5" xfId="2850" xr:uid="{00000000-0005-0000-0000-0000643B0000}"/>
    <cellStyle name="20 % - Markeringsfarve5 5 5 2" xfId="2851" xr:uid="{00000000-0005-0000-0000-0000653B0000}"/>
    <cellStyle name="20 % - Markeringsfarve5 5 5 2 2" xfId="8049" xr:uid="{00000000-0005-0000-0000-0000663B0000}"/>
    <cellStyle name="20 % - Markeringsfarve5 5 5 2 2 2" xfId="15950" xr:uid="{00000000-0005-0000-0000-0000673B0000}"/>
    <cellStyle name="20 % - Markeringsfarve5 5 5 2 2 2 2" xfId="32264" xr:uid="{00000000-0005-0000-0000-0000683B0000}"/>
    <cellStyle name="20 % - Markeringsfarve5 5 5 2 2 2 3" xfId="47228" xr:uid="{00000000-0005-0000-0000-0000693B0000}"/>
    <cellStyle name="20 % - Markeringsfarve5 5 5 2 2 3" xfId="25242" xr:uid="{00000000-0005-0000-0000-00006A3B0000}"/>
    <cellStyle name="20 % - Markeringsfarve5 5 5 2 2 4" xfId="40229" xr:uid="{00000000-0005-0000-0000-00006B3B0000}"/>
    <cellStyle name="20 % - Markeringsfarve5 5 5 2 3" xfId="11408" xr:uid="{00000000-0005-0000-0000-00006C3B0000}"/>
    <cellStyle name="20 % - Markeringsfarve5 5 5 2 3 2" xfId="27727" xr:uid="{00000000-0005-0000-0000-00006D3B0000}"/>
    <cellStyle name="20 % - Markeringsfarve5 5 5 2 3 3" xfId="42693" xr:uid="{00000000-0005-0000-0000-00006E3B0000}"/>
    <cellStyle name="20 % - Markeringsfarve5 5 5 2 4" xfId="20705" xr:uid="{00000000-0005-0000-0000-00006F3B0000}"/>
    <cellStyle name="20 % - Markeringsfarve5 5 5 2 5" xfId="35694" xr:uid="{00000000-0005-0000-0000-0000703B0000}"/>
    <cellStyle name="20 % - Markeringsfarve5 5 5 3" xfId="2852" xr:uid="{00000000-0005-0000-0000-0000713B0000}"/>
    <cellStyle name="20 % - Markeringsfarve5 5 5 3 2" xfId="7325" xr:uid="{00000000-0005-0000-0000-0000723B0000}"/>
    <cellStyle name="20 % - Markeringsfarve5 5 5 3 2 2" xfId="15235" xr:uid="{00000000-0005-0000-0000-0000733B0000}"/>
    <cellStyle name="20 % - Markeringsfarve5 5 5 3 2 2 2" xfId="31549" xr:uid="{00000000-0005-0000-0000-0000743B0000}"/>
    <cellStyle name="20 % - Markeringsfarve5 5 5 3 2 2 3" xfId="46513" xr:uid="{00000000-0005-0000-0000-0000753B0000}"/>
    <cellStyle name="20 % - Markeringsfarve5 5 5 3 2 3" xfId="24527" xr:uid="{00000000-0005-0000-0000-0000763B0000}"/>
    <cellStyle name="20 % - Markeringsfarve5 5 5 3 2 4" xfId="39514" xr:uid="{00000000-0005-0000-0000-0000773B0000}"/>
    <cellStyle name="20 % - Markeringsfarve5 5 5 3 3" xfId="11409" xr:uid="{00000000-0005-0000-0000-0000783B0000}"/>
    <cellStyle name="20 % - Markeringsfarve5 5 5 3 3 2" xfId="27728" xr:uid="{00000000-0005-0000-0000-0000793B0000}"/>
    <cellStyle name="20 % - Markeringsfarve5 5 5 3 3 3" xfId="42694" xr:uid="{00000000-0005-0000-0000-00007A3B0000}"/>
    <cellStyle name="20 % - Markeringsfarve5 5 5 3 4" xfId="20706" xr:uid="{00000000-0005-0000-0000-00007B3B0000}"/>
    <cellStyle name="20 % - Markeringsfarve5 5 5 3 5" xfId="35695" xr:uid="{00000000-0005-0000-0000-00007C3B0000}"/>
    <cellStyle name="20 % - Markeringsfarve5 5 5 4" xfId="5682" xr:uid="{00000000-0005-0000-0000-00007D3B0000}"/>
    <cellStyle name="20 % - Markeringsfarve5 5 5 4 2" xfId="13600" xr:uid="{00000000-0005-0000-0000-00007E3B0000}"/>
    <cellStyle name="20 % - Markeringsfarve5 5 5 4 2 2" xfId="29914" xr:uid="{00000000-0005-0000-0000-00007F3B0000}"/>
    <cellStyle name="20 % - Markeringsfarve5 5 5 4 2 3" xfId="44878" xr:uid="{00000000-0005-0000-0000-0000803B0000}"/>
    <cellStyle name="20 % - Markeringsfarve5 5 5 4 3" xfId="22892" xr:uid="{00000000-0005-0000-0000-0000813B0000}"/>
    <cellStyle name="20 % - Markeringsfarve5 5 5 4 4" xfId="37879" xr:uid="{00000000-0005-0000-0000-0000823B0000}"/>
    <cellStyle name="20 % - Markeringsfarve5 5 5 5" xfId="11407" xr:uid="{00000000-0005-0000-0000-0000833B0000}"/>
    <cellStyle name="20 % - Markeringsfarve5 5 5 5 2" xfId="27726" xr:uid="{00000000-0005-0000-0000-0000843B0000}"/>
    <cellStyle name="20 % - Markeringsfarve5 5 5 5 3" xfId="42692" xr:uid="{00000000-0005-0000-0000-0000853B0000}"/>
    <cellStyle name="20 % - Markeringsfarve5 5 5 6" xfId="20704" xr:uid="{00000000-0005-0000-0000-0000863B0000}"/>
    <cellStyle name="20 % - Markeringsfarve5 5 5 7" xfId="35693" xr:uid="{00000000-0005-0000-0000-0000873B0000}"/>
    <cellStyle name="20 % - Markeringsfarve5 5 6" xfId="2853" xr:uid="{00000000-0005-0000-0000-0000883B0000}"/>
    <cellStyle name="20 % - Markeringsfarve5 5 6 2" xfId="2854" xr:uid="{00000000-0005-0000-0000-0000893B0000}"/>
    <cellStyle name="20 % - Markeringsfarve5 5 6 2 2" xfId="8124" xr:uid="{00000000-0005-0000-0000-00008A3B0000}"/>
    <cellStyle name="20 % - Markeringsfarve5 5 6 2 2 2" xfId="16025" xr:uid="{00000000-0005-0000-0000-00008B3B0000}"/>
    <cellStyle name="20 % - Markeringsfarve5 5 6 2 2 2 2" xfId="32339" xr:uid="{00000000-0005-0000-0000-00008C3B0000}"/>
    <cellStyle name="20 % - Markeringsfarve5 5 6 2 2 2 3" xfId="47303" xr:uid="{00000000-0005-0000-0000-00008D3B0000}"/>
    <cellStyle name="20 % - Markeringsfarve5 5 6 2 2 3" xfId="25317" xr:uid="{00000000-0005-0000-0000-00008E3B0000}"/>
    <cellStyle name="20 % - Markeringsfarve5 5 6 2 2 4" xfId="40304" xr:uid="{00000000-0005-0000-0000-00008F3B0000}"/>
    <cellStyle name="20 % - Markeringsfarve5 5 6 2 3" xfId="11411" xr:uid="{00000000-0005-0000-0000-0000903B0000}"/>
    <cellStyle name="20 % - Markeringsfarve5 5 6 2 3 2" xfId="27730" xr:uid="{00000000-0005-0000-0000-0000913B0000}"/>
    <cellStyle name="20 % - Markeringsfarve5 5 6 2 3 3" xfId="42696" xr:uid="{00000000-0005-0000-0000-0000923B0000}"/>
    <cellStyle name="20 % - Markeringsfarve5 5 6 2 4" xfId="20708" xr:uid="{00000000-0005-0000-0000-0000933B0000}"/>
    <cellStyle name="20 % - Markeringsfarve5 5 6 2 5" xfId="35697" xr:uid="{00000000-0005-0000-0000-0000943B0000}"/>
    <cellStyle name="20 % - Markeringsfarve5 5 6 3" xfId="2855" xr:uid="{00000000-0005-0000-0000-0000953B0000}"/>
    <cellStyle name="20 % - Markeringsfarve5 5 6 3 2" xfId="7401" xr:uid="{00000000-0005-0000-0000-0000963B0000}"/>
    <cellStyle name="20 % - Markeringsfarve5 5 6 3 2 2" xfId="15311" xr:uid="{00000000-0005-0000-0000-0000973B0000}"/>
    <cellStyle name="20 % - Markeringsfarve5 5 6 3 2 2 2" xfId="31625" xr:uid="{00000000-0005-0000-0000-0000983B0000}"/>
    <cellStyle name="20 % - Markeringsfarve5 5 6 3 2 2 3" xfId="46589" xr:uid="{00000000-0005-0000-0000-0000993B0000}"/>
    <cellStyle name="20 % - Markeringsfarve5 5 6 3 2 3" xfId="24603" xr:uid="{00000000-0005-0000-0000-00009A3B0000}"/>
    <cellStyle name="20 % - Markeringsfarve5 5 6 3 2 4" xfId="39590" xr:uid="{00000000-0005-0000-0000-00009B3B0000}"/>
    <cellStyle name="20 % - Markeringsfarve5 5 6 3 3" xfId="11412" xr:uid="{00000000-0005-0000-0000-00009C3B0000}"/>
    <cellStyle name="20 % - Markeringsfarve5 5 6 3 3 2" xfId="27731" xr:uid="{00000000-0005-0000-0000-00009D3B0000}"/>
    <cellStyle name="20 % - Markeringsfarve5 5 6 3 3 3" xfId="42697" xr:uid="{00000000-0005-0000-0000-00009E3B0000}"/>
    <cellStyle name="20 % - Markeringsfarve5 5 6 3 4" xfId="20709" xr:uid="{00000000-0005-0000-0000-00009F3B0000}"/>
    <cellStyle name="20 % - Markeringsfarve5 5 6 3 5" xfId="35698" xr:uid="{00000000-0005-0000-0000-0000A03B0000}"/>
    <cellStyle name="20 % - Markeringsfarve5 5 6 4" xfId="5683" xr:uid="{00000000-0005-0000-0000-0000A13B0000}"/>
    <cellStyle name="20 % - Markeringsfarve5 5 6 4 2" xfId="13601" xr:uid="{00000000-0005-0000-0000-0000A23B0000}"/>
    <cellStyle name="20 % - Markeringsfarve5 5 6 4 2 2" xfId="29915" xr:uid="{00000000-0005-0000-0000-0000A33B0000}"/>
    <cellStyle name="20 % - Markeringsfarve5 5 6 4 2 3" xfId="44879" xr:uid="{00000000-0005-0000-0000-0000A43B0000}"/>
    <cellStyle name="20 % - Markeringsfarve5 5 6 4 3" xfId="22893" xr:uid="{00000000-0005-0000-0000-0000A53B0000}"/>
    <cellStyle name="20 % - Markeringsfarve5 5 6 4 4" xfId="37880" xr:uid="{00000000-0005-0000-0000-0000A63B0000}"/>
    <cellStyle name="20 % - Markeringsfarve5 5 6 5" xfId="11410" xr:uid="{00000000-0005-0000-0000-0000A73B0000}"/>
    <cellStyle name="20 % - Markeringsfarve5 5 6 5 2" xfId="27729" xr:uid="{00000000-0005-0000-0000-0000A83B0000}"/>
    <cellStyle name="20 % - Markeringsfarve5 5 6 5 3" xfId="42695" xr:uid="{00000000-0005-0000-0000-0000A93B0000}"/>
    <cellStyle name="20 % - Markeringsfarve5 5 6 6" xfId="20707" xr:uid="{00000000-0005-0000-0000-0000AA3B0000}"/>
    <cellStyle name="20 % - Markeringsfarve5 5 6 7" xfId="35696" xr:uid="{00000000-0005-0000-0000-0000AB3B0000}"/>
    <cellStyle name="20 % - Markeringsfarve5 5 7" xfId="2856" xr:uid="{00000000-0005-0000-0000-0000AC3B0000}"/>
    <cellStyle name="20 % - Markeringsfarve5 5 7 2" xfId="7575" xr:uid="{00000000-0005-0000-0000-0000AD3B0000}"/>
    <cellStyle name="20 % - Markeringsfarve5 5 7 2 2" xfId="15476" xr:uid="{00000000-0005-0000-0000-0000AE3B0000}"/>
    <cellStyle name="20 % - Markeringsfarve5 5 7 2 2 2" xfId="31790" xr:uid="{00000000-0005-0000-0000-0000AF3B0000}"/>
    <cellStyle name="20 % - Markeringsfarve5 5 7 2 2 3" xfId="46754" xr:uid="{00000000-0005-0000-0000-0000B03B0000}"/>
    <cellStyle name="20 % - Markeringsfarve5 5 7 2 3" xfId="24768" xr:uid="{00000000-0005-0000-0000-0000B13B0000}"/>
    <cellStyle name="20 % - Markeringsfarve5 5 7 2 4" xfId="39755" xr:uid="{00000000-0005-0000-0000-0000B23B0000}"/>
    <cellStyle name="20 % - Markeringsfarve5 5 7 3" xfId="11413" xr:uid="{00000000-0005-0000-0000-0000B33B0000}"/>
    <cellStyle name="20 % - Markeringsfarve5 5 7 3 2" xfId="27732" xr:uid="{00000000-0005-0000-0000-0000B43B0000}"/>
    <cellStyle name="20 % - Markeringsfarve5 5 7 3 3" xfId="42698" xr:uid="{00000000-0005-0000-0000-0000B53B0000}"/>
    <cellStyle name="20 % - Markeringsfarve5 5 7 4" xfId="20710" xr:uid="{00000000-0005-0000-0000-0000B63B0000}"/>
    <cellStyle name="20 % - Markeringsfarve5 5 7 5" xfId="35699" xr:uid="{00000000-0005-0000-0000-0000B73B0000}"/>
    <cellStyle name="20 % - Markeringsfarve5 5 8" xfId="2857" xr:uid="{00000000-0005-0000-0000-0000B83B0000}"/>
    <cellStyle name="20 % - Markeringsfarve5 5 8 2" xfId="6803" xr:uid="{00000000-0005-0000-0000-0000B93B0000}"/>
    <cellStyle name="20 % - Markeringsfarve5 5 8 2 2" xfId="14714" xr:uid="{00000000-0005-0000-0000-0000BA3B0000}"/>
    <cellStyle name="20 % - Markeringsfarve5 5 8 2 2 2" xfId="31028" xr:uid="{00000000-0005-0000-0000-0000BB3B0000}"/>
    <cellStyle name="20 % - Markeringsfarve5 5 8 2 2 3" xfId="45992" xr:uid="{00000000-0005-0000-0000-0000BC3B0000}"/>
    <cellStyle name="20 % - Markeringsfarve5 5 8 2 3" xfId="24006" xr:uid="{00000000-0005-0000-0000-0000BD3B0000}"/>
    <cellStyle name="20 % - Markeringsfarve5 5 8 2 4" xfId="38993" xr:uid="{00000000-0005-0000-0000-0000BE3B0000}"/>
    <cellStyle name="20 % - Markeringsfarve5 5 8 3" xfId="11414" xr:uid="{00000000-0005-0000-0000-0000BF3B0000}"/>
    <cellStyle name="20 % - Markeringsfarve5 5 8 3 2" xfId="27733" xr:uid="{00000000-0005-0000-0000-0000C03B0000}"/>
    <cellStyle name="20 % - Markeringsfarve5 5 8 3 3" xfId="42699" xr:uid="{00000000-0005-0000-0000-0000C13B0000}"/>
    <cellStyle name="20 % - Markeringsfarve5 5 8 4" xfId="20711" xr:uid="{00000000-0005-0000-0000-0000C23B0000}"/>
    <cellStyle name="20 % - Markeringsfarve5 5 8 5" xfId="35700" xr:uid="{00000000-0005-0000-0000-0000C33B0000}"/>
    <cellStyle name="20 % - Markeringsfarve5 5 9" xfId="5678" xr:uid="{00000000-0005-0000-0000-0000C43B0000}"/>
    <cellStyle name="20 % - Markeringsfarve5 5 9 2" xfId="13596" xr:uid="{00000000-0005-0000-0000-0000C53B0000}"/>
    <cellStyle name="20 % - Markeringsfarve5 5 9 2 2" xfId="29910" xr:uid="{00000000-0005-0000-0000-0000C63B0000}"/>
    <cellStyle name="20 % - Markeringsfarve5 5 9 2 3" xfId="44874" xr:uid="{00000000-0005-0000-0000-0000C73B0000}"/>
    <cellStyle name="20 % - Markeringsfarve5 5 9 3" xfId="22888" xr:uid="{00000000-0005-0000-0000-0000C83B0000}"/>
    <cellStyle name="20 % - Markeringsfarve5 5 9 4" xfId="37875" xr:uid="{00000000-0005-0000-0000-0000C93B0000}"/>
    <cellStyle name="20 % - Markeringsfarve5 6" xfId="2858" xr:uid="{00000000-0005-0000-0000-0000CA3B0000}"/>
    <cellStyle name="20 % - Markeringsfarve5 6 2" xfId="2859" xr:uid="{00000000-0005-0000-0000-0000CB3B0000}"/>
    <cellStyle name="20 % - Markeringsfarve5 6 2 2" xfId="7616" xr:uid="{00000000-0005-0000-0000-0000CC3B0000}"/>
    <cellStyle name="20 % - Markeringsfarve5 6 2 2 2" xfId="15517" xr:uid="{00000000-0005-0000-0000-0000CD3B0000}"/>
    <cellStyle name="20 % - Markeringsfarve5 6 2 2 2 2" xfId="31831" xr:uid="{00000000-0005-0000-0000-0000CE3B0000}"/>
    <cellStyle name="20 % - Markeringsfarve5 6 2 2 2 3" xfId="46795" xr:uid="{00000000-0005-0000-0000-0000CF3B0000}"/>
    <cellStyle name="20 % - Markeringsfarve5 6 2 2 3" xfId="24809" xr:uid="{00000000-0005-0000-0000-0000D03B0000}"/>
    <cellStyle name="20 % - Markeringsfarve5 6 2 2 4" xfId="39796" xr:uid="{00000000-0005-0000-0000-0000D13B0000}"/>
    <cellStyle name="20 % - Markeringsfarve5 6 2 2 5" xfId="57152" xr:uid="{00000000-0005-0000-0000-0000D23B0000}"/>
    <cellStyle name="20 % - Markeringsfarve5 6 2 3" xfId="11416" xr:uid="{00000000-0005-0000-0000-0000D33B0000}"/>
    <cellStyle name="20 % - Markeringsfarve5 6 2 3 2" xfId="27735" xr:uid="{00000000-0005-0000-0000-0000D43B0000}"/>
    <cellStyle name="20 % - Markeringsfarve5 6 2 3 3" xfId="42701" xr:uid="{00000000-0005-0000-0000-0000D53B0000}"/>
    <cellStyle name="20 % - Markeringsfarve5 6 2 4" xfId="20713" xr:uid="{00000000-0005-0000-0000-0000D63B0000}"/>
    <cellStyle name="20 % - Markeringsfarve5 6 2 5" xfId="35702" xr:uid="{00000000-0005-0000-0000-0000D73B0000}"/>
    <cellStyle name="20 % - Markeringsfarve5 6 2 6" xfId="53985" xr:uid="{00000000-0005-0000-0000-0000D83B0000}"/>
    <cellStyle name="20 % - Markeringsfarve5 6 3" xfId="2860" xr:uid="{00000000-0005-0000-0000-0000D93B0000}"/>
    <cellStyle name="20 % - Markeringsfarve5 6 3 2" xfId="6846" xr:uid="{00000000-0005-0000-0000-0000DA3B0000}"/>
    <cellStyle name="20 % - Markeringsfarve5 6 3 2 2" xfId="14757" xr:uid="{00000000-0005-0000-0000-0000DB3B0000}"/>
    <cellStyle name="20 % - Markeringsfarve5 6 3 2 2 2" xfId="31071" xr:uid="{00000000-0005-0000-0000-0000DC3B0000}"/>
    <cellStyle name="20 % - Markeringsfarve5 6 3 2 2 3" xfId="46035" xr:uid="{00000000-0005-0000-0000-0000DD3B0000}"/>
    <cellStyle name="20 % - Markeringsfarve5 6 3 2 3" xfId="24049" xr:uid="{00000000-0005-0000-0000-0000DE3B0000}"/>
    <cellStyle name="20 % - Markeringsfarve5 6 3 2 4" xfId="39036" xr:uid="{00000000-0005-0000-0000-0000DF3B0000}"/>
    <cellStyle name="20 % - Markeringsfarve5 6 3 3" xfId="11417" xr:uid="{00000000-0005-0000-0000-0000E03B0000}"/>
    <cellStyle name="20 % - Markeringsfarve5 6 3 3 2" xfId="27736" xr:uid="{00000000-0005-0000-0000-0000E13B0000}"/>
    <cellStyle name="20 % - Markeringsfarve5 6 3 3 3" xfId="42702" xr:uid="{00000000-0005-0000-0000-0000E23B0000}"/>
    <cellStyle name="20 % - Markeringsfarve5 6 3 4" xfId="20714" xr:uid="{00000000-0005-0000-0000-0000E33B0000}"/>
    <cellStyle name="20 % - Markeringsfarve5 6 3 5" xfId="35703" xr:uid="{00000000-0005-0000-0000-0000E43B0000}"/>
    <cellStyle name="20 % - Markeringsfarve5 6 3 6" xfId="56529" xr:uid="{00000000-0005-0000-0000-0000E53B0000}"/>
    <cellStyle name="20 % - Markeringsfarve5 6 4" xfId="5684" xr:uid="{00000000-0005-0000-0000-0000E63B0000}"/>
    <cellStyle name="20 % - Markeringsfarve5 6 4 2" xfId="13602" xr:uid="{00000000-0005-0000-0000-0000E73B0000}"/>
    <cellStyle name="20 % - Markeringsfarve5 6 4 2 2" xfId="29916" xr:uid="{00000000-0005-0000-0000-0000E83B0000}"/>
    <cellStyle name="20 % - Markeringsfarve5 6 4 2 3" xfId="44880" xr:uid="{00000000-0005-0000-0000-0000E93B0000}"/>
    <cellStyle name="20 % - Markeringsfarve5 6 4 3" xfId="22894" xr:uid="{00000000-0005-0000-0000-0000EA3B0000}"/>
    <cellStyle name="20 % - Markeringsfarve5 6 4 4" xfId="37881" xr:uid="{00000000-0005-0000-0000-0000EB3B0000}"/>
    <cellStyle name="20 % - Markeringsfarve5 6 5" xfId="11415" xr:uid="{00000000-0005-0000-0000-0000EC3B0000}"/>
    <cellStyle name="20 % - Markeringsfarve5 6 5 2" xfId="27734" xr:uid="{00000000-0005-0000-0000-0000ED3B0000}"/>
    <cellStyle name="20 % - Markeringsfarve5 6 5 3" xfId="42700" xr:uid="{00000000-0005-0000-0000-0000EE3B0000}"/>
    <cellStyle name="20 % - Markeringsfarve5 6 6" xfId="20712" xr:uid="{00000000-0005-0000-0000-0000EF3B0000}"/>
    <cellStyle name="20 % - Markeringsfarve5 6 7" xfId="35701" xr:uid="{00000000-0005-0000-0000-0000F03B0000}"/>
    <cellStyle name="20 % - Markeringsfarve5 6 8" xfId="53348" xr:uid="{00000000-0005-0000-0000-0000F13B0000}"/>
    <cellStyle name="20 % - Markeringsfarve5 7" xfId="2861" xr:uid="{00000000-0005-0000-0000-0000F23B0000}"/>
    <cellStyle name="20 % - Markeringsfarve5 7 2" xfId="2862" xr:uid="{00000000-0005-0000-0000-0000F33B0000}"/>
    <cellStyle name="20 % - Markeringsfarve5 7 2 2" xfId="7762" xr:uid="{00000000-0005-0000-0000-0000F43B0000}"/>
    <cellStyle name="20 % - Markeringsfarve5 7 2 2 2" xfId="15663" xr:uid="{00000000-0005-0000-0000-0000F53B0000}"/>
    <cellStyle name="20 % - Markeringsfarve5 7 2 2 2 2" xfId="31977" xr:uid="{00000000-0005-0000-0000-0000F63B0000}"/>
    <cellStyle name="20 % - Markeringsfarve5 7 2 2 2 3" xfId="46941" xr:uid="{00000000-0005-0000-0000-0000F73B0000}"/>
    <cellStyle name="20 % - Markeringsfarve5 7 2 2 3" xfId="24955" xr:uid="{00000000-0005-0000-0000-0000F83B0000}"/>
    <cellStyle name="20 % - Markeringsfarve5 7 2 2 4" xfId="39942" xr:uid="{00000000-0005-0000-0000-0000F93B0000}"/>
    <cellStyle name="20 % - Markeringsfarve5 7 2 3" xfId="11419" xr:uid="{00000000-0005-0000-0000-0000FA3B0000}"/>
    <cellStyle name="20 % - Markeringsfarve5 7 2 3 2" xfId="27738" xr:uid="{00000000-0005-0000-0000-0000FB3B0000}"/>
    <cellStyle name="20 % - Markeringsfarve5 7 2 3 3" xfId="42704" xr:uid="{00000000-0005-0000-0000-0000FC3B0000}"/>
    <cellStyle name="20 % - Markeringsfarve5 7 2 4" xfId="20716" xr:uid="{00000000-0005-0000-0000-0000FD3B0000}"/>
    <cellStyle name="20 % - Markeringsfarve5 7 2 5" xfId="35705" xr:uid="{00000000-0005-0000-0000-0000FE3B0000}"/>
    <cellStyle name="20 % - Markeringsfarve5 7 2 6" xfId="57120" xr:uid="{00000000-0005-0000-0000-0000FF3B0000}"/>
    <cellStyle name="20 % - Markeringsfarve5 7 3" xfId="2863" xr:uid="{00000000-0005-0000-0000-0000003C0000}"/>
    <cellStyle name="20 % - Markeringsfarve5 7 3 2" xfId="6992" xr:uid="{00000000-0005-0000-0000-0000013C0000}"/>
    <cellStyle name="20 % - Markeringsfarve5 7 3 2 2" xfId="14903" xr:uid="{00000000-0005-0000-0000-0000023C0000}"/>
    <cellStyle name="20 % - Markeringsfarve5 7 3 2 2 2" xfId="31217" xr:uid="{00000000-0005-0000-0000-0000033C0000}"/>
    <cellStyle name="20 % - Markeringsfarve5 7 3 2 2 3" xfId="46181" xr:uid="{00000000-0005-0000-0000-0000043C0000}"/>
    <cellStyle name="20 % - Markeringsfarve5 7 3 2 3" xfId="24195" xr:uid="{00000000-0005-0000-0000-0000053C0000}"/>
    <cellStyle name="20 % - Markeringsfarve5 7 3 2 4" xfId="39182" xr:uid="{00000000-0005-0000-0000-0000063C0000}"/>
    <cellStyle name="20 % - Markeringsfarve5 7 3 3" xfId="11420" xr:uid="{00000000-0005-0000-0000-0000073C0000}"/>
    <cellStyle name="20 % - Markeringsfarve5 7 3 3 2" xfId="27739" xr:uid="{00000000-0005-0000-0000-0000083C0000}"/>
    <cellStyle name="20 % - Markeringsfarve5 7 3 3 3" xfId="42705" xr:uid="{00000000-0005-0000-0000-0000093C0000}"/>
    <cellStyle name="20 % - Markeringsfarve5 7 3 4" xfId="20717" xr:uid="{00000000-0005-0000-0000-00000A3C0000}"/>
    <cellStyle name="20 % - Markeringsfarve5 7 3 5" xfId="35706" xr:uid="{00000000-0005-0000-0000-00000B3C0000}"/>
    <cellStyle name="20 % - Markeringsfarve5 7 4" xfId="5685" xr:uid="{00000000-0005-0000-0000-00000C3C0000}"/>
    <cellStyle name="20 % - Markeringsfarve5 7 4 2" xfId="13603" xr:uid="{00000000-0005-0000-0000-00000D3C0000}"/>
    <cellStyle name="20 % - Markeringsfarve5 7 4 2 2" xfId="29917" xr:uid="{00000000-0005-0000-0000-00000E3C0000}"/>
    <cellStyle name="20 % - Markeringsfarve5 7 4 2 3" xfId="44881" xr:uid="{00000000-0005-0000-0000-00000F3C0000}"/>
    <cellStyle name="20 % - Markeringsfarve5 7 4 3" xfId="22895" xr:uid="{00000000-0005-0000-0000-0000103C0000}"/>
    <cellStyle name="20 % - Markeringsfarve5 7 4 4" xfId="37882" xr:uid="{00000000-0005-0000-0000-0000113C0000}"/>
    <cellStyle name="20 % - Markeringsfarve5 7 5" xfId="11418" xr:uid="{00000000-0005-0000-0000-0000123C0000}"/>
    <cellStyle name="20 % - Markeringsfarve5 7 5 2" xfId="27737" xr:uid="{00000000-0005-0000-0000-0000133C0000}"/>
    <cellStyle name="20 % - Markeringsfarve5 7 5 3" xfId="42703" xr:uid="{00000000-0005-0000-0000-0000143C0000}"/>
    <cellStyle name="20 % - Markeringsfarve5 7 6" xfId="20715" xr:uid="{00000000-0005-0000-0000-0000153C0000}"/>
    <cellStyle name="20 % - Markeringsfarve5 7 7" xfId="35704" xr:uid="{00000000-0005-0000-0000-0000163C0000}"/>
    <cellStyle name="20 % - Markeringsfarve5 7 8" xfId="53953" xr:uid="{00000000-0005-0000-0000-0000173C0000}"/>
    <cellStyle name="20 % - Markeringsfarve5 8" xfId="2864" xr:uid="{00000000-0005-0000-0000-0000183C0000}"/>
    <cellStyle name="20 % - Markeringsfarve5 8 2" xfId="2865" xr:uid="{00000000-0005-0000-0000-0000193C0000}"/>
    <cellStyle name="20 % - Markeringsfarve5 8 2 2" xfId="7854" xr:uid="{00000000-0005-0000-0000-00001A3C0000}"/>
    <cellStyle name="20 % - Markeringsfarve5 8 2 2 2" xfId="15755" xr:uid="{00000000-0005-0000-0000-00001B3C0000}"/>
    <cellStyle name="20 % - Markeringsfarve5 8 2 2 2 2" xfId="32069" xr:uid="{00000000-0005-0000-0000-00001C3C0000}"/>
    <cellStyle name="20 % - Markeringsfarve5 8 2 2 2 3" xfId="47033" xr:uid="{00000000-0005-0000-0000-00001D3C0000}"/>
    <cellStyle name="20 % - Markeringsfarve5 8 2 2 3" xfId="25047" xr:uid="{00000000-0005-0000-0000-00001E3C0000}"/>
    <cellStyle name="20 % - Markeringsfarve5 8 2 2 4" xfId="40034" xr:uid="{00000000-0005-0000-0000-00001F3C0000}"/>
    <cellStyle name="20 % - Markeringsfarve5 8 2 3" xfId="11422" xr:uid="{00000000-0005-0000-0000-0000203C0000}"/>
    <cellStyle name="20 % - Markeringsfarve5 8 2 3 2" xfId="27741" xr:uid="{00000000-0005-0000-0000-0000213C0000}"/>
    <cellStyle name="20 % - Markeringsfarve5 8 2 3 3" xfId="42707" xr:uid="{00000000-0005-0000-0000-0000223C0000}"/>
    <cellStyle name="20 % - Markeringsfarve5 8 2 4" xfId="20719" xr:uid="{00000000-0005-0000-0000-0000233C0000}"/>
    <cellStyle name="20 % - Markeringsfarve5 8 2 5" xfId="35708" xr:uid="{00000000-0005-0000-0000-0000243C0000}"/>
    <cellStyle name="20 % - Markeringsfarve5 8 3" xfId="2866" xr:uid="{00000000-0005-0000-0000-0000253C0000}"/>
    <cellStyle name="20 % - Markeringsfarve5 8 3 2" xfId="7130" xr:uid="{00000000-0005-0000-0000-0000263C0000}"/>
    <cellStyle name="20 % - Markeringsfarve5 8 3 2 2" xfId="15040" xr:uid="{00000000-0005-0000-0000-0000273C0000}"/>
    <cellStyle name="20 % - Markeringsfarve5 8 3 2 2 2" xfId="31354" xr:uid="{00000000-0005-0000-0000-0000283C0000}"/>
    <cellStyle name="20 % - Markeringsfarve5 8 3 2 2 3" xfId="46318" xr:uid="{00000000-0005-0000-0000-0000293C0000}"/>
    <cellStyle name="20 % - Markeringsfarve5 8 3 2 3" xfId="24332" xr:uid="{00000000-0005-0000-0000-00002A3C0000}"/>
    <cellStyle name="20 % - Markeringsfarve5 8 3 2 4" xfId="39319" xr:uid="{00000000-0005-0000-0000-00002B3C0000}"/>
    <cellStyle name="20 % - Markeringsfarve5 8 3 3" xfId="11423" xr:uid="{00000000-0005-0000-0000-00002C3C0000}"/>
    <cellStyle name="20 % - Markeringsfarve5 8 3 3 2" xfId="27742" xr:uid="{00000000-0005-0000-0000-00002D3C0000}"/>
    <cellStyle name="20 % - Markeringsfarve5 8 3 3 3" xfId="42708" xr:uid="{00000000-0005-0000-0000-00002E3C0000}"/>
    <cellStyle name="20 % - Markeringsfarve5 8 3 4" xfId="20720" xr:uid="{00000000-0005-0000-0000-00002F3C0000}"/>
    <cellStyle name="20 % - Markeringsfarve5 8 3 5" xfId="35709" xr:uid="{00000000-0005-0000-0000-0000303C0000}"/>
    <cellStyle name="20 % - Markeringsfarve5 8 4" xfId="5686" xr:uid="{00000000-0005-0000-0000-0000313C0000}"/>
    <cellStyle name="20 % - Markeringsfarve5 8 4 2" xfId="13604" xr:uid="{00000000-0005-0000-0000-0000323C0000}"/>
    <cellStyle name="20 % - Markeringsfarve5 8 4 2 2" xfId="29918" xr:uid="{00000000-0005-0000-0000-0000333C0000}"/>
    <cellStyle name="20 % - Markeringsfarve5 8 4 2 3" xfId="44882" xr:uid="{00000000-0005-0000-0000-0000343C0000}"/>
    <cellStyle name="20 % - Markeringsfarve5 8 4 3" xfId="22896" xr:uid="{00000000-0005-0000-0000-0000353C0000}"/>
    <cellStyle name="20 % - Markeringsfarve5 8 4 4" xfId="37883" xr:uid="{00000000-0005-0000-0000-0000363C0000}"/>
    <cellStyle name="20 % - Markeringsfarve5 8 5" xfId="11421" xr:uid="{00000000-0005-0000-0000-0000373C0000}"/>
    <cellStyle name="20 % - Markeringsfarve5 8 5 2" xfId="27740" xr:uid="{00000000-0005-0000-0000-0000383C0000}"/>
    <cellStyle name="20 % - Markeringsfarve5 8 5 3" xfId="42706" xr:uid="{00000000-0005-0000-0000-0000393C0000}"/>
    <cellStyle name="20 % - Markeringsfarve5 8 6" xfId="20718" xr:uid="{00000000-0005-0000-0000-00003A3C0000}"/>
    <cellStyle name="20 % - Markeringsfarve5 8 7" xfId="35707" xr:uid="{00000000-0005-0000-0000-00003B3C0000}"/>
    <cellStyle name="20 % - Markeringsfarve5 9" xfId="2867" xr:uid="{00000000-0005-0000-0000-00003C3C0000}"/>
    <cellStyle name="20 % - Markeringsfarve5 9 2" xfId="2868" xr:uid="{00000000-0005-0000-0000-00003D3C0000}"/>
    <cellStyle name="20 % - Markeringsfarve5 9 2 2" xfId="7971" xr:uid="{00000000-0005-0000-0000-00003E3C0000}"/>
    <cellStyle name="20 % - Markeringsfarve5 9 2 2 2" xfId="15872" xr:uid="{00000000-0005-0000-0000-00003F3C0000}"/>
    <cellStyle name="20 % - Markeringsfarve5 9 2 2 2 2" xfId="32186" xr:uid="{00000000-0005-0000-0000-0000403C0000}"/>
    <cellStyle name="20 % - Markeringsfarve5 9 2 2 2 3" xfId="47150" xr:uid="{00000000-0005-0000-0000-0000413C0000}"/>
    <cellStyle name="20 % - Markeringsfarve5 9 2 2 3" xfId="25164" xr:uid="{00000000-0005-0000-0000-0000423C0000}"/>
    <cellStyle name="20 % - Markeringsfarve5 9 2 2 4" xfId="40151" xr:uid="{00000000-0005-0000-0000-0000433C0000}"/>
    <cellStyle name="20 % - Markeringsfarve5 9 2 3" xfId="11425" xr:uid="{00000000-0005-0000-0000-0000443C0000}"/>
    <cellStyle name="20 % - Markeringsfarve5 9 2 3 2" xfId="27744" xr:uid="{00000000-0005-0000-0000-0000453C0000}"/>
    <cellStyle name="20 % - Markeringsfarve5 9 2 3 3" xfId="42710" xr:uid="{00000000-0005-0000-0000-0000463C0000}"/>
    <cellStyle name="20 % - Markeringsfarve5 9 2 4" xfId="20722" xr:uid="{00000000-0005-0000-0000-0000473C0000}"/>
    <cellStyle name="20 % - Markeringsfarve5 9 2 5" xfId="35711" xr:uid="{00000000-0005-0000-0000-0000483C0000}"/>
    <cellStyle name="20 % - Markeringsfarve5 9 3" xfId="2869" xr:uid="{00000000-0005-0000-0000-0000493C0000}"/>
    <cellStyle name="20 % - Markeringsfarve5 9 3 2" xfId="7247" xr:uid="{00000000-0005-0000-0000-00004A3C0000}"/>
    <cellStyle name="20 % - Markeringsfarve5 9 3 2 2" xfId="15157" xr:uid="{00000000-0005-0000-0000-00004B3C0000}"/>
    <cellStyle name="20 % - Markeringsfarve5 9 3 2 2 2" xfId="31471" xr:uid="{00000000-0005-0000-0000-00004C3C0000}"/>
    <cellStyle name="20 % - Markeringsfarve5 9 3 2 2 3" xfId="46435" xr:uid="{00000000-0005-0000-0000-00004D3C0000}"/>
    <cellStyle name="20 % - Markeringsfarve5 9 3 2 3" xfId="24449" xr:uid="{00000000-0005-0000-0000-00004E3C0000}"/>
    <cellStyle name="20 % - Markeringsfarve5 9 3 2 4" xfId="39436" xr:uid="{00000000-0005-0000-0000-00004F3C0000}"/>
    <cellStyle name="20 % - Markeringsfarve5 9 3 3" xfId="11426" xr:uid="{00000000-0005-0000-0000-0000503C0000}"/>
    <cellStyle name="20 % - Markeringsfarve5 9 3 3 2" xfId="27745" xr:uid="{00000000-0005-0000-0000-0000513C0000}"/>
    <cellStyle name="20 % - Markeringsfarve5 9 3 3 3" xfId="42711" xr:uid="{00000000-0005-0000-0000-0000523C0000}"/>
    <cellStyle name="20 % - Markeringsfarve5 9 3 4" xfId="20723" xr:uid="{00000000-0005-0000-0000-0000533C0000}"/>
    <cellStyle name="20 % - Markeringsfarve5 9 3 5" xfId="35712" xr:uid="{00000000-0005-0000-0000-0000543C0000}"/>
    <cellStyle name="20 % - Markeringsfarve5 9 4" xfId="5687" xr:uid="{00000000-0005-0000-0000-0000553C0000}"/>
    <cellStyle name="20 % - Markeringsfarve5 9 4 2" xfId="13605" xr:uid="{00000000-0005-0000-0000-0000563C0000}"/>
    <cellStyle name="20 % - Markeringsfarve5 9 4 2 2" xfId="29919" xr:uid="{00000000-0005-0000-0000-0000573C0000}"/>
    <cellStyle name="20 % - Markeringsfarve5 9 4 2 3" xfId="44883" xr:uid="{00000000-0005-0000-0000-0000583C0000}"/>
    <cellStyle name="20 % - Markeringsfarve5 9 4 3" xfId="22897" xr:uid="{00000000-0005-0000-0000-0000593C0000}"/>
    <cellStyle name="20 % - Markeringsfarve5 9 4 4" xfId="37884" xr:uid="{00000000-0005-0000-0000-00005A3C0000}"/>
    <cellStyle name="20 % - Markeringsfarve5 9 5" xfId="11424" xr:uid="{00000000-0005-0000-0000-00005B3C0000}"/>
    <cellStyle name="20 % - Markeringsfarve5 9 5 2" xfId="27743" xr:uid="{00000000-0005-0000-0000-00005C3C0000}"/>
    <cellStyle name="20 % - Markeringsfarve5 9 5 3" xfId="42709" xr:uid="{00000000-0005-0000-0000-00005D3C0000}"/>
    <cellStyle name="20 % - Markeringsfarve5 9 6" xfId="20721" xr:uid="{00000000-0005-0000-0000-00005E3C0000}"/>
    <cellStyle name="20 % - Markeringsfarve5 9 7" xfId="35710" xr:uid="{00000000-0005-0000-0000-00005F3C0000}"/>
    <cellStyle name="20 % - Markeringsfarve6 10" xfId="2871" xr:uid="{00000000-0005-0000-0000-0000603C0000}"/>
    <cellStyle name="20 % - Markeringsfarve6 10 2" xfId="2872" xr:uid="{00000000-0005-0000-0000-0000613C0000}"/>
    <cellStyle name="20 % - Markeringsfarve6 10 2 2" xfId="2873" xr:uid="{00000000-0005-0000-0000-0000623C0000}"/>
    <cellStyle name="20 % - Markeringsfarve6 10 2 2 2" xfId="8125" xr:uid="{00000000-0005-0000-0000-0000633C0000}"/>
    <cellStyle name="20 % - Markeringsfarve6 10 2 2 2 2" xfId="16026" xr:uid="{00000000-0005-0000-0000-0000643C0000}"/>
    <cellStyle name="20 % - Markeringsfarve6 10 2 2 2 2 2" xfId="32340" xr:uid="{00000000-0005-0000-0000-0000653C0000}"/>
    <cellStyle name="20 % - Markeringsfarve6 10 2 2 2 2 3" xfId="47304" xr:uid="{00000000-0005-0000-0000-0000663C0000}"/>
    <cellStyle name="20 % - Markeringsfarve6 10 2 2 2 3" xfId="25318" xr:uid="{00000000-0005-0000-0000-0000673C0000}"/>
    <cellStyle name="20 % - Markeringsfarve6 10 2 2 2 4" xfId="40305" xr:uid="{00000000-0005-0000-0000-0000683C0000}"/>
    <cellStyle name="20 % - Markeringsfarve6 10 2 2 3" xfId="11430" xr:uid="{00000000-0005-0000-0000-0000693C0000}"/>
    <cellStyle name="20 % - Markeringsfarve6 10 2 2 3 2" xfId="27749" xr:uid="{00000000-0005-0000-0000-00006A3C0000}"/>
    <cellStyle name="20 % - Markeringsfarve6 10 2 2 3 3" xfId="42715" xr:uid="{00000000-0005-0000-0000-00006B3C0000}"/>
    <cellStyle name="20 % - Markeringsfarve6 10 2 2 4" xfId="20727" xr:uid="{00000000-0005-0000-0000-00006C3C0000}"/>
    <cellStyle name="20 % - Markeringsfarve6 10 2 2 5" xfId="35716" xr:uid="{00000000-0005-0000-0000-00006D3C0000}"/>
    <cellStyle name="20 % - Markeringsfarve6 10 2 3" xfId="6627" xr:uid="{00000000-0005-0000-0000-00006E3C0000}"/>
    <cellStyle name="20 % - Markeringsfarve6 10 2 3 2" xfId="14541" xr:uid="{00000000-0005-0000-0000-00006F3C0000}"/>
    <cellStyle name="20 % - Markeringsfarve6 10 2 3 2 2" xfId="30855" xr:uid="{00000000-0005-0000-0000-0000703C0000}"/>
    <cellStyle name="20 % - Markeringsfarve6 10 2 3 2 3" xfId="45819" xr:uid="{00000000-0005-0000-0000-0000713C0000}"/>
    <cellStyle name="20 % - Markeringsfarve6 10 2 3 3" xfId="23833" xr:uid="{00000000-0005-0000-0000-0000723C0000}"/>
    <cellStyle name="20 % - Markeringsfarve6 10 2 3 4" xfId="38820" xr:uid="{00000000-0005-0000-0000-0000733C0000}"/>
    <cellStyle name="20 % - Markeringsfarve6 10 2 4" xfId="11429" xr:uid="{00000000-0005-0000-0000-0000743C0000}"/>
    <cellStyle name="20 % - Markeringsfarve6 10 2 4 2" xfId="27748" xr:uid="{00000000-0005-0000-0000-0000753C0000}"/>
    <cellStyle name="20 % - Markeringsfarve6 10 2 4 3" xfId="42714" xr:uid="{00000000-0005-0000-0000-0000763C0000}"/>
    <cellStyle name="20 % - Markeringsfarve6 10 2 5" xfId="20726" xr:uid="{00000000-0005-0000-0000-0000773C0000}"/>
    <cellStyle name="20 % - Markeringsfarve6 10 2 6" xfId="35715" xr:uid="{00000000-0005-0000-0000-0000783C0000}"/>
    <cellStyle name="20 % - Markeringsfarve6 10 3" xfId="2874" xr:uid="{00000000-0005-0000-0000-0000793C0000}"/>
    <cellStyle name="20 % - Markeringsfarve6 10 3 2" xfId="7402" xr:uid="{00000000-0005-0000-0000-00007A3C0000}"/>
    <cellStyle name="20 % - Markeringsfarve6 10 3 2 2" xfId="15312" xr:uid="{00000000-0005-0000-0000-00007B3C0000}"/>
    <cellStyle name="20 % - Markeringsfarve6 10 3 2 2 2" xfId="31626" xr:uid="{00000000-0005-0000-0000-00007C3C0000}"/>
    <cellStyle name="20 % - Markeringsfarve6 10 3 2 2 3" xfId="46590" xr:uid="{00000000-0005-0000-0000-00007D3C0000}"/>
    <cellStyle name="20 % - Markeringsfarve6 10 3 2 3" xfId="24604" xr:uid="{00000000-0005-0000-0000-00007E3C0000}"/>
    <cellStyle name="20 % - Markeringsfarve6 10 3 2 4" xfId="39591" xr:uid="{00000000-0005-0000-0000-00007F3C0000}"/>
    <cellStyle name="20 % - Markeringsfarve6 10 3 3" xfId="11431" xr:uid="{00000000-0005-0000-0000-0000803C0000}"/>
    <cellStyle name="20 % - Markeringsfarve6 10 3 3 2" xfId="27750" xr:uid="{00000000-0005-0000-0000-0000813C0000}"/>
    <cellStyle name="20 % - Markeringsfarve6 10 3 3 3" xfId="42716" xr:uid="{00000000-0005-0000-0000-0000823C0000}"/>
    <cellStyle name="20 % - Markeringsfarve6 10 3 4" xfId="20728" xr:uid="{00000000-0005-0000-0000-0000833C0000}"/>
    <cellStyle name="20 % - Markeringsfarve6 10 3 5" xfId="35717" xr:uid="{00000000-0005-0000-0000-0000843C0000}"/>
    <cellStyle name="20 % - Markeringsfarve6 10 4" xfId="2875" xr:uid="{00000000-0005-0000-0000-0000853C0000}"/>
    <cellStyle name="20 % - Markeringsfarve6 10 4 2" xfId="7097" xr:uid="{00000000-0005-0000-0000-0000863C0000}"/>
    <cellStyle name="20 % - Markeringsfarve6 10 4 2 2" xfId="15007" xr:uid="{00000000-0005-0000-0000-0000873C0000}"/>
    <cellStyle name="20 % - Markeringsfarve6 10 4 2 2 2" xfId="31321" xr:uid="{00000000-0005-0000-0000-0000883C0000}"/>
    <cellStyle name="20 % - Markeringsfarve6 10 4 2 2 3" xfId="46285" xr:uid="{00000000-0005-0000-0000-0000893C0000}"/>
    <cellStyle name="20 % - Markeringsfarve6 10 4 2 3" xfId="24299" xr:uid="{00000000-0005-0000-0000-00008A3C0000}"/>
    <cellStyle name="20 % - Markeringsfarve6 10 4 2 4" xfId="39286" xr:uid="{00000000-0005-0000-0000-00008B3C0000}"/>
    <cellStyle name="20 % - Markeringsfarve6 10 4 3" xfId="11432" xr:uid="{00000000-0005-0000-0000-00008C3C0000}"/>
    <cellStyle name="20 % - Markeringsfarve6 10 4 3 2" xfId="27751" xr:uid="{00000000-0005-0000-0000-00008D3C0000}"/>
    <cellStyle name="20 % - Markeringsfarve6 10 4 3 3" xfId="42717" xr:uid="{00000000-0005-0000-0000-00008E3C0000}"/>
    <cellStyle name="20 % - Markeringsfarve6 10 4 4" xfId="20729" xr:uid="{00000000-0005-0000-0000-00008F3C0000}"/>
    <cellStyle name="20 % - Markeringsfarve6 10 4 5" xfId="35718" xr:uid="{00000000-0005-0000-0000-0000903C0000}"/>
    <cellStyle name="20 % - Markeringsfarve6 10 5" xfId="5689" xr:uid="{00000000-0005-0000-0000-0000913C0000}"/>
    <cellStyle name="20 % - Markeringsfarve6 10 5 2" xfId="13607" xr:uid="{00000000-0005-0000-0000-0000923C0000}"/>
    <cellStyle name="20 % - Markeringsfarve6 10 5 2 2" xfId="29921" xr:uid="{00000000-0005-0000-0000-0000933C0000}"/>
    <cellStyle name="20 % - Markeringsfarve6 10 5 2 3" xfId="44885" xr:uid="{00000000-0005-0000-0000-0000943C0000}"/>
    <cellStyle name="20 % - Markeringsfarve6 10 5 3" xfId="22899" xr:uid="{00000000-0005-0000-0000-0000953C0000}"/>
    <cellStyle name="20 % - Markeringsfarve6 10 5 4" xfId="37886" xr:uid="{00000000-0005-0000-0000-0000963C0000}"/>
    <cellStyle name="20 % - Markeringsfarve6 10 6" xfId="11428" xr:uid="{00000000-0005-0000-0000-0000973C0000}"/>
    <cellStyle name="20 % - Markeringsfarve6 10 6 2" xfId="27747" xr:uid="{00000000-0005-0000-0000-0000983C0000}"/>
    <cellStyle name="20 % - Markeringsfarve6 10 6 3" xfId="42713" xr:uid="{00000000-0005-0000-0000-0000993C0000}"/>
    <cellStyle name="20 % - Markeringsfarve6 10 7" xfId="20725" xr:uid="{00000000-0005-0000-0000-00009A3C0000}"/>
    <cellStyle name="20 % - Markeringsfarve6 10 8" xfId="35714" xr:uid="{00000000-0005-0000-0000-00009B3C0000}"/>
    <cellStyle name="20 % - Markeringsfarve6 11" xfId="2876" xr:uid="{00000000-0005-0000-0000-00009C3C0000}"/>
    <cellStyle name="20 % - Markeringsfarve6 11 2" xfId="2877" xr:uid="{00000000-0005-0000-0000-00009D3C0000}"/>
    <cellStyle name="20 % - Markeringsfarve6 11 2 2" xfId="7498" xr:uid="{00000000-0005-0000-0000-00009E3C0000}"/>
    <cellStyle name="20 % - Markeringsfarve6 11 2 2 2" xfId="15399" xr:uid="{00000000-0005-0000-0000-00009F3C0000}"/>
    <cellStyle name="20 % - Markeringsfarve6 11 2 2 2 2" xfId="31713" xr:uid="{00000000-0005-0000-0000-0000A03C0000}"/>
    <cellStyle name="20 % - Markeringsfarve6 11 2 2 2 3" xfId="46677" xr:uid="{00000000-0005-0000-0000-0000A13C0000}"/>
    <cellStyle name="20 % - Markeringsfarve6 11 2 2 3" xfId="24691" xr:uid="{00000000-0005-0000-0000-0000A23C0000}"/>
    <cellStyle name="20 % - Markeringsfarve6 11 2 2 4" xfId="39678" xr:uid="{00000000-0005-0000-0000-0000A33C0000}"/>
    <cellStyle name="20 % - Markeringsfarve6 11 2 3" xfId="11434" xr:uid="{00000000-0005-0000-0000-0000A43C0000}"/>
    <cellStyle name="20 % - Markeringsfarve6 11 2 3 2" xfId="27753" xr:uid="{00000000-0005-0000-0000-0000A53C0000}"/>
    <cellStyle name="20 % - Markeringsfarve6 11 2 3 3" xfId="42719" xr:uid="{00000000-0005-0000-0000-0000A63C0000}"/>
    <cellStyle name="20 % - Markeringsfarve6 11 2 4" xfId="20731" xr:uid="{00000000-0005-0000-0000-0000A73C0000}"/>
    <cellStyle name="20 % - Markeringsfarve6 11 2 5" xfId="35720" xr:uid="{00000000-0005-0000-0000-0000A83C0000}"/>
    <cellStyle name="20 % - Markeringsfarve6 11 3" xfId="2878" xr:uid="{00000000-0005-0000-0000-0000A93C0000}"/>
    <cellStyle name="20 % - Markeringsfarve6 11 3 2" xfId="8706" xr:uid="{00000000-0005-0000-0000-0000AA3C0000}"/>
    <cellStyle name="20 % - Markeringsfarve6 11 3 2 2" xfId="16586" xr:uid="{00000000-0005-0000-0000-0000AB3C0000}"/>
    <cellStyle name="20 % - Markeringsfarve6 11 3 2 2 2" xfId="32900" xr:uid="{00000000-0005-0000-0000-0000AC3C0000}"/>
    <cellStyle name="20 % - Markeringsfarve6 11 3 2 2 3" xfId="47864" xr:uid="{00000000-0005-0000-0000-0000AD3C0000}"/>
    <cellStyle name="20 % - Markeringsfarve6 11 3 2 3" xfId="25878" xr:uid="{00000000-0005-0000-0000-0000AE3C0000}"/>
    <cellStyle name="20 % - Markeringsfarve6 11 3 2 4" xfId="40865" xr:uid="{00000000-0005-0000-0000-0000AF3C0000}"/>
    <cellStyle name="20 % - Markeringsfarve6 11 3 3" xfId="11435" xr:uid="{00000000-0005-0000-0000-0000B03C0000}"/>
    <cellStyle name="20 % - Markeringsfarve6 11 3 3 2" xfId="27754" xr:uid="{00000000-0005-0000-0000-0000B13C0000}"/>
    <cellStyle name="20 % - Markeringsfarve6 11 3 3 3" xfId="42720" xr:uid="{00000000-0005-0000-0000-0000B23C0000}"/>
    <cellStyle name="20 % - Markeringsfarve6 11 3 4" xfId="20732" xr:uid="{00000000-0005-0000-0000-0000B33C0000}"/>
    <cellStyle name="20 % - Markeringsfarve6 11 3 5" xfId="35721" xr:uid="{00000000-0005-0000-0000-0000B43C0000}"/>
    <cellStyle name="20 % - Markeringsfarve6 11 4" xfId="5690" xr:uid="{00000000-0005-0000-0000-0000B53C0000}"/>
    <cellStyle name="20 % - Markeringsfarve6 11 4 2" xfId="13608" xr:uid="{00000000-0005-0000-0000-0000B63C0000}"/>
    <cellStyle name="20 % - Markeringsfarve6 11 4 2 2" xfId="29922" xr:uid="{00000000-0005-0000-0000-0000B73C0000}"/>
    <cellStyle name="20 % - Markeringsfarve6 11 4 2 3" xfId="44886" xr:uid="{00000000-0005-0000-0000-0000B83C0000}"/>
    <cellStyle name="20 % - Markeringsfarve6 11 4 3" xfId="22900" xr:uid="{00000000-0005-0000-0000-0000B93C0000}"/>
    <cellStyle name="20 % - Markeringsfarve6 11 4 4" xfId="37887" xr:uid="{00000000-0005-0000-0000-0000BA3C0000}"/>
    <cellStyle name="20 % - Markeringsfarve6 11 5" xfId="11433" xr:uid="{00000000-0005-0000-0000-0000BB3C0000}"/>
    <cellStyle name="20 % - Markeringsfarve6 11 5 2" xfId="27752" xr:uid="{00000000-0005-0000-0000-0000BC3C0000}"/>
    <cellStyle name="20 % - Markeringsfarve6 11 5 3" xfId="42718" xr:uid="{00000000-0005-0000-0000-0000BD3C0000}"/>
    <cellStyle name="20 % - Markeringsfarve6 11 6" xfId="20730" xr:uid="{00000000-0005-0000-0000-0000BE3C0000}"/>
    <cellStyle name="20 % - Markeringsfarve6 11 7" xfId="35719" xr:uid="{00000000-0005-0000-0000-0000BF3C0000}"/>
    <cellStyle name="20 % - Markeringsfarve6 12" xfId="2879" xr:uid="{00000000-0005-0000-0000-0000C03C0000}"/>
    <cellStyle name="20 % - Markeringsfarve6 12 2" xfId="2880" xr:uid="{00000000-0005-0000-0000-0000C13C0000}"/>
    <cellStyle name="20 % - Markeringsfarve6 12 2 2" xfId="8431" xr:uid="{00000000-0005-0000-0000-0000C23C0000}"/>
    <cellStyle name="20 % - Markeringsfarve6 12 2 2 2" xfId="16323" xr:uid="{00000000-0005-0000-0000-0000C33C0000}"/>
    <cellStyle name="20 % - Markeringsfarve6 12 2 2 2 2" xfId="32637" xr:uid="{00000000-0005-0000-0000-0000C43C0000}"/>
    <cellStyle name="20 % - Markeringsfarve6 12 2 2 2 3" xfId="47601" xr:uid="{00000000-0005-0000-0000-0000C53C0000}"/>
    <cellStyle name="20 % - Markeringsfarve6 12 2 2 3" xfId="25615" xr:uid="{00000000-0005-0000-0000-0000C63C0000}"/>
    <cellStyle name="20 % - Markeringsfarve6 12 2 2 4" xfId="40602" xr:uid="{00000000-0005-0000-0000-0000C73C0000}"/>
    <cellStyle name="20 % - Markeringsfarve6 12 2 3" xfId="11437" xr:uid="{00000000-0005-0000-0000-0000C83C0000}"/>
    <cellStyle name="20 % - Markeringsfarve6 12 2 3 2" xfId="27756" xr:uid="{00000000-0005-0000-0000-0000C93C0000}"/>
    <cellStyle name="20 % - Markeringsfarve6 12 2 3 3" xfId="42722" xr:uid="{00000000-0005-0000-0000-0000CA3C0000}"/>
    <cellStyle name="20 % - Markeringsfarve6 12 2 4" xfId="20734" xr:uid="{00000000-0005-0000-0000-0000CB3C0000}"/>
    <cellStyle name="20 % - Markeringsfarve6 12 2 5" xfId="35723" xr:uid="{00000000-0005-0000-0000-0000CC3C0000}"/>
    <cellStyle name="20 % - Markeringsfarve6 12 3" xfId="5691" xr:uid="{00000000-0005-0000-0000-0000CD3C0000}"/>
    <cellStyle name="20 % - Markeringsfarve6 12 3 2" xfId="13609" xr:uid="{00000000-0005-0000-0000-0000CE3C0000}"/>
    <cellStyle name="20 % - Markeringsfarve6 12 3 2 2" xfId="29923" xr:uid="{00000000-0005-0000-0000-0000CF3C0000}"/>
    <cellStyle name="20 % - Markeringsfarve6 12 3 2 3" xfId="44887" xr:uid="{00000000-0005-0000-0000-0000D03C0000}"/>
    <cellStyle name="20 % - Markeringsfarve6 12 3 3" xfId="22901" xr:uid="{00000000-0005-0000-0000-0000D13C0000}"/>
    <cellStyle name="20 % - Markeringsfarve6 12 3 4" xfId="37888" xr:uid="{00000000-0005-0000-0000-0000D23C0000}"/>
    <cellStyle name="20 % - Markeringsfarve6 12 4" xfId="11436" xr:uid="{00000000-0005-0000-0000-0000D33C0000}"/>
    <cellStyle name="20 % - Markeringsfarve6 12 4 2" xfId="27755" xr:uid="{00000000-0005-0000-0000-0000D43C0000}"/>
    <cellStyle name="20 % - Markeringsfarve6 12 4 3" xfId="42721" xr:uid="{00000000-0005-0000-0000-0000D53C0000}"/>
    <cellStyle name="20 % - Markeringsfarve6 12 5" xfId="20733" xr:uid="{00000000-0005-0000-0000-0000D63C0000}"/>
    <cellStyle name="20 % - Markeringsfarve6 12 6" xfId="35722" xr:uid="{00000000-0005-0000-0000-0000D73C0000}"/>
    <cellStyle name="20 % - Markeringsfarve6 13" xfId="2881" xr:uid="{00000000-0005-0000-0000-0000D83C0000}"/>
    <cellStyle name="20 % - Markeringsfarve6 13 2" xfId="2882" xr:uid="{00000000-0005-0000-0000-0000D93C0000}"/>
    <cellStyle name="20 % - Markeringsfarve6 13 2 2" xfId="8667" xr:uid="{00000000-0005-0000-0000-0000DA3C0000}"/>
    <cellStyle name="20 % - Markeringsfarve6 13 2 2 2" xfId="16549" xr:uid="{00000000-0005-0000-0000-0000DB3C0000}"/>
    <cellStyle name="20 % - Markeringsfarve6 13 2 2 2 2" xfId="32863" xr:uid="{00000000-0005-0000-0000-0000DC3C0000}"/>
    <cellStyle name="20 % - Markeringsfarve6 13 2 2 2 3" xfId="47827" xr:uid="{00000000-0005-0000-0000-0000DD3C0000}"/>
    <cellStyle name="20 % - Markeringsfarve6 13 2 2 3" xfId="25841" xr:uid="{00000000-0005-0000-0000-0000DE3C0000}"/>
    <cellStyle name="20 % - Markeringsfarve6 13 2 2 4" xfId="40828" xr:uid="{00000000-0005-0000-0000-0000DF3C0000}"/>
    <cellStyle name="20 % - Markeringsfarve6 13 2 3" xfId="11439" xr:uid="{00000000-0005-0000-0000-0000E03C0000}"/>
    <cellStyle name="20 % - Markeringsfarve6 13 2 3 2" xfId="27758" xr:uid="{00000000-0005-0000-0000-0000E13C0000}"/>
    <cellStyle name="20 % - Markeringsfarve6 13 2 3 3" xfId="42724" xr:uid="{00000000-0005-0000-0000-0000E23C0000}"/>
    <cellStyle name="20 % - Markeringsfarve6 13 2 4" xfId="20736" xr:uid="{00000000-0005-0000-0000-0000E33C0000}"/>
    <cellStyle name="20 % - Markeringsfarve6 13 2 5" xfId="35725" xr:uid="{00000000-0005-0000-0000-0000E43C0000}"/>
    <cellStyle name="20 % - Markeringsfarve6 13 3" xfId="5692" xr:uid="{00000000-0005-0000-0000-0000E53C0000}"/>
    <cellStyle name="20 % - Markeringsfarve6 13 3 2" xfId="13610" xr:uid="{00000000-0005-0000-0000-0000E63C0000}"/>
    <cellStyle name="20 % - Markeringsfarve6 13 3 2 2" xfId="29924" xr:uid="{00000000-0005-0000-0000-0000E73C0000}"/>
    <cellStyle name="20 % - Markeringsfarve6 13 3 2 3" xfId="44888" xr:uid="{00000000-0005-0000-0000-0000E83C0000}"/>
    <cellStyle name="20 % - Markeringsfarve6 13 3 3" xfId="22902" xr:uid="{00000000-0005-0000-0000-0000E93C0000}"/>
    <cellStyle name="20 % - Markeringsfarve6 13 3 4" xfId="37889" xr:uid="{00000000-0005-0000-0000-0000EA3C0000}"/>
    <cellStyle name="20 % - Markeringsfarve6 13 4" xfId="11438" xr:uid="{00000000-0005-0000-0000-0000EB3C0000}"/>
    <cellStyle name="20 % - Markeringsfarve6 13 4 2" xfId="27757" xr:uid="{00000000-0005-0000-0000-0000EC3C0000}"/>
    <cellStyle name="20 % - Markeringsfarve6 13 4 3" xfId="42723" xr:uid="{00000000-0005-0000-0000-0000ED3C0000}"/>
    <cellStyle name="20 % - Markeringsfarve6 13 5" xfId="20735" xr:uid="{00000000-0005-0000-0000-0000EE3C0000}"/>
    <cellStyle name="20 % - Markeringsfarve6 13 6" xfId="35724" xr:uid="{00000000-0005-0000-0000-0000EF3C0000}"/>
    <cellStyle name="20 % - Markeringsfarve6 14" xfId="2883" xr:uid="{00000000-0005-0000-0000-0000F03C0000}"/>
    <cellStyle name="20 % - Markeringsfarve6 14 2" xfId="2884" xr:uid="{00000000-0005-0000-0000-0000F13C0000}"/>
    <cellStyle name="20 % - Markeringsfarve6 14 2 2" xfId="8238" xr:uid="{00000000-0005-0000-0000-0000F23C0000}"/>
    <cellStyle name="20 % - Markeringsfarve6 14 2 2 2" xfId="16135" xr:uid="{00000000-0005-0000-0000-0000F33C0000}"/>
    <cellStyle name="20 % - Markeringsfarve6 14 2 2 2 2" xfId="32449" xr:uid="{00000000-0005-0000-0000-0000F43C0000}"/>
    <cellStyle name="20 % - Markeringsfarve6 14 2 2 2 3" xfId="47413" xr:uid="{00000000-0005-0000-0000-0000F53C0000}"/>
    <cellStyle name="20 % - Markeringsfarve6 14 2 2 3" xfId="25427" xr:uid="{00000000-0005-0000-0000-0000F63C0000}"/>
    <cellStyle name="20 % - Markeringsfarve6 14 2 2 4" xfId="40414" xr:uid="{00000000-0005-0000-0000-0000F73C0000}"/>
    <cellStyle name="20 % - Markeringsfarve6 14 2 3" xfId="11441" xr:uid="{00000000-0005-0000-0000-0000F83C0000}"/>
    <cellStyle name="20 % - Markeringsfarve6 14 2 3 2" xfId="27760" xr:uid="{00000000-0005-0000-0000-0000F93C0000}"/>
    <cellStyle name="20 % - Markeringsfarve6 14 2 3 3" xfId="42726" xr:uid="{00000000-0005-0000-0000-0000FA3C0000}"/>
    <cellStyle name="20 % - Markeringsfarve6 14 2 4" xfId="20738" xr:uid="{00000000-0005-0000-0000-0000FB3C0000}"/>
    <cellStyle name="20 % - Markeringsfarve6 14 2 5" xfId="35727" xr:uid="{00000000-0005-0000-0000-0000FC3C0000}"/>
    <cellStyle name="20 % - Markeringsfarve6 14 3" xfId="5688" xr:uid="{00000000-0005-0000-0000-0000FD3C0000}"/>
    <cellStyle name="20 % - Markeringsfarve6 14 3 2" xfId="13606" xr:uid="{00000000-0005-0000-0000-0000FE3C0000}"/>
    <cellStyle name="20 % - Markeringsfarve6 14 3 2 2" xfId="29920" xr:uid="{00000000-0005-0000-0000-0000FF3C0000}"/>
    <cellStyle name="20 % - Markeringsfarve6 14 3 2 3" xfId="44884" xr:uid="{00000000-0005-0000-0000-0000003D0000}"/>
    <cellStyle name="20 % - Markeringsfarve6 14 3 3" xfId="22898" xr:uid="{00000000-0005-0000-0000-0000013D0000}"/>
    <cellStyle name="20 % - Markeringsfarve6 14 3 4" xfId="37885" xr:uid="{00000000-0005-0000-0000-0000023D0000}"/>
    <cellStyle name="20 % - Markeringsfarve6 14 4" xfId="11440" xr:uid="{00000000-0005-0000-0000-0000033D0000}"/>
    <cellStyle name="20 % - Markeringsfarve6 14 4 2" xfId="27759" xr:uid="{00000000-0005-0000-0000-0000043D0000}"/>
    <cellStyle name="20 % - Markeringsfarve6 14 4 3" xfId="42725" xr:uid="{00000000-0005-0000-0000-0000053D0000}"/>
    <cellStyle name="20 % - Markeringsfarve6 14 5" xfId="20737" xr:uid="{00000000-0005-0000-0000-0000063D0000}"/>
    <cellStyle name="20 % - Markeringsfarve6 14 6" xfId="35726" xr:uid="{00000000-0005-0000-0000-0000073D0000}"/>
    <cellStyle name="20 % - Markeringsfarve6 15" xfId="2885" xr:uid="{00000000-0005-0000-0000-0000083D0000}"/>
    <cellStyle name="20 % - Markeringsfarve6 15 2" xfId="6723" xr:uid="{00000000-0005-0000-0000-0000093D0000}"/>
    <cellStyle name="20 % - Markeringsfarve6 15 2 2" xfId="14636" xr:uid="{00000000-0005-0000-0000-00000A3D0000}"/>
    <cellStyle name="20 % - Markeringsfarve6 15 2 2 2" xfId="30950" xr:uid="{00000000-0005-0000-0000-00000B3D0000}"/>
    <cellStyle name="20 % - Markeringsfarve6 15 2 2 3" xfId="45914" xr:uid="{00000000-0005-0000-0000-00000C3D0000}"/>
    <cellStyle name="20 % - Markeringsfarve6 15 2 3" xfId="23928" xr:uid="{00000000-0005-0000-0000-00000D3D0000}"/>
    <cellStyle name="20 % - Markeringsfarve6 15 2 4" xfId="38915" xr:uid="{00000000-0005-0000-0000-00000E3D0000}"/>
    <cellStyle name="20 % - Markeringsfarve6 15 3" xfId="11442" xr:uid="{00000000-0005-0000-0000-00000F3D0000}"/>
    <cellStyle name="20 % - Markeringsfarve6 15 3 2" xfId="27761" xr:uid="{00000000-0005-0000-0000-0000103D0000}"/>
    <cellStyle name="20 % - Markeringsfarve6 15 3 3" xfId="42727" xr:uid="{00000000-0005-0000-0000-0000113D0000}"/>
    <cellStyle name="20 % - Markeringsfarve6 15 4" xfId="20739" xr:uid="{00000000-0005-0000-0000-0000123D0000}"/>
    <cellStyle name="20 % - Markeringsfarve6 15 5" xfId="35728" xr:uid="{00000000-0005-0000-0000-0000133D0000}"/>
    <cellStyle name="20 % - Markeringsfarve6 16" xfId="2886" xr:uid="{00000000-0005-0000-0000-0000143D0000}"/>
    <cellStyle name="20 % - Markeringsfarve6 16 2" xfId="8720" xr:uid="{00000000-0005-0000-0000-0000153D0000}"/>
    <cellStyle name="20 % - Markeringsfarve6 16 2 2" xfId="16600" xr:uid="{00000000-0005-0000-0000-0000163D0000}"/>
    <cellStyle name="20 % - Markeringsfarve6 16 2 2 2" xfId="32914" xr:uid="{00000000-0005-0000-0000-0000173D0000}"/>
    <cellStyle name="20 % - Markeringsfarve6 16 2 2 3" xfId="47878" xr:uid="{00000000-0005-0000-0000-0000183D0000}"/>
    <cellStyle name="20 % - Markeringsfarve6 16 2 3" xfId="25892" xr:uid="{00000000-0005-0000-0000-0000193D0000}"/>
    <cellStyle name="20 % - Markeringsfarve6 16 2 4" xfId="40879" xr:uid="{00000000-0005-0000-0000-00001A3D0000}"/>
    <cellStyle name="20 % - Markeringsfarve6 16 3" xfId="11443" xr:uid="{00000000-0005-0000-0000-00001B3D0000}"/>
    <cellStyle name="20 % - Markeringsfarve6 16 3 2" xfId="27762" xr:uid="{00000000-0005-0000-0000-00001C3D0000}"/>
    <cellStyle name="20 % - Markeringsfarve6 16 3 3" xfId="42728" xr:uid="{00000000-0005-0000-0000-00001D3D0000}"/>
    <cellStyle name="20 % - Markeringsfarve6 16 4" xfId="20740" xr:uid="{00000000-0005-0000-0000-00001E3D0000}"/>
    <cellStyle name="20 % - Markeringsfarve6 16 5" xfId="35729" xr:uid="{00000000-0005-0000-0000-00001F3D0000}"/>
    <cellStyle name="20 % - Markeringsfarve6 17" xfId="2887" xr:uid="{00000000-0005-0000-0000-0000203D0000}"/>
    <cellStyle name="20 % - Markeringsfarve6 17 2" xfId="7095" xr:uid="{00000000-0005-0000-0000-0000213D0000}"/>
    <cellStyle name="20 % - Markeringsfarve6 17 2 2" xfId="15005" xr:uid="{00000000-0005-0000-0000-0000223D0000}"/>
    <cellStyle name="20 % - Markeringsfarve6 17 2 2 2" xfId="31319" xr:uid="{00000000-0005-0000-0000-0000233D0000}"/>
    <cellStyle name="20 % - Markeringsfarve6 17 2 2 3" xfId="46283" xr:uid="{00000000-0005-0000-0000-0000243D0000}"/>
    <cellStyle name="20 % - Markeringsfarve6 17 2 3" xfId="24297" xr:uid="{00000000-0005-0000-0000-0000253D0000}"/>
    <cellStyle name="20 % - Markeringsfarve6 17 2 4" xfId="39284" xr:uid="{00000000-0005-0000-0000-0000263D0000}"/>
    <cellStyle name="20 % - Markeringsfarve6 17 3" xfId="11444" xr:uid="{00000000-0005-0000-0000-0000273D0000}"/>
    <cellStyle name="20 % - Markeringsfarve6 17 3 2" xfId="27763" xr:uid="{00000000-0005-0000-0000-0000283D0000}"/>
    <cellStyle name="20 % - Markeringsfarve6 17 3 3" xfId="42729" xr:uid="{00000000-0005-0000-0000-0000293D0000}"/>
    <cellStyle name="20 % - Markeringsfarve6 17 4" xfId="20741" xr:uid="{00000000-0005-0000-0000-00002A3D0000}"/>
    <cellStyle name="20 % - Markeringsfarve6 17 5" xfId="35730" xr:uid="{00000000-0005-0000-0000-00002B3D0000}"/>
    <cellStyle name="20 % - Markeringsfarve6 18" xfId="5403" xr:uid="{00000000-0005-0000-0000-00002C3D0000}"/>
    <cellStyle name="20 % - Markeringsfarve6 18 2" xfId="13322" xr:uid="{00000000-0005-0000-0000-00002D3D0000}"/>
    <cellStyle name="20 % - Markeringsfarve6 18 2 2" xfId="29636" xr:uid="{00000000-0005-0000-0000-00002E3D0000}"/>
    <cellStyle name="20 % - Markeringsfarve6 18 2 3" xfId="44600" xr:uid="{00000000-0005-0000-0000-00002F3D0000}"/>
    <cellStyle name="20 % - Markeringsfarve6 18 3" xfId="22614" xr:uid="{00000000-0005-0000-0000-0000303D0000}"/>
    <cellStyle name="20 % - Markeringsfarve6 18 4" xfId="37601" xr:uid="{00000000-0005-0000-0000-0000313D0000}"/>
    <cellStyle name="20 % - Markeringsfarve6 19" xfId="2870" xr:uid="{00000000-0005-0000-0000-0000323D0000}"/>
    <cellStyle name="20 % - Markeringsfarve6 19 2" xfId="11427" xr:uid="{00000000-0005-0000-0000-0000333D0000}"/>
    <cellStyle name="20 % - Markeringsfarve6 19 2 2" xfId="27746" xr:uid="{00000000-0005-0000-0000-0000343D0000}"/>
    <cellStyle name="20 % - Markeringsfarve6 19 2 3" xfId="42712" xr:uid="{00000000-0005-0000-0000-0000353D0000}"/>
    <cellStyle name="20 % - Markeringsfarve6 19 3" xfId="20724" xr:uid="{00000000-0005-0000-0000-0000363D0000}"/>
    <cellStyle name="20 % - Markeringsfarve6 19 4" xfId="35713" xr:uid="{00000000-0005-0000-0000-0000373D0000}"/>
    <cellStyle name="20 % - Markeringsfarve6 2" xfId="2888" xr:uid="{00000000-0005-0000-0000-0000383D0000}"/>
    <cellStyle name="20 % - Markeringsfarve6 2 10" xfId="2889" xr:uid="{00000000-0005-0000-0000-0000393D0000}"/>
    <cellStyle name="20 % - Markeringsfarve6 2 10 2" xfId="6752" xr:uid="{00000000-0005-0000-0000-00003A3D0000}"/>
    <cellStyle name="20 % - Markeringsfarve6 2 10 2 2" xfId="14663" xr:uid="{00000000-0005-0000-0000-00003B3D0000}"/>
    <cellStyle name="20 % - Markeringsfarve6 2 10 2 2 2" xfId="30977" xr:uid="{00000000-0005-0000-0000-00003C3D0000}"/>
    <cellStyle name="20 % - Markeringsfarve6 2 10 2 2 3" xfId="45941" xr:uid="{00000000-0005-0000-0000-00003D3D0000}"/>
    <cellStyle name="20 % - Markeringsfarve6 2 10 2 3" xfId="23955" xr:uid="{00000000-0005-0000-0000-00003E3D0000}"/>
    <cellStyle name="20 % - Markeringsfarve6 2 10 2 4" xfId="38942" xr:uid="{00000000-0005-0000-0000-00003F3D0000}"/>
    <cellStyle name="20 % - Markeringsfarve6 2 10 3" xfId="11446" xr:uid="{00000000-0005-0000-0000-0000403D0000}"/>
    <cellStyle name="20 % - Markeringsfarve6 2 10 3 2" xfId="27765" xr:uid="{00000000-0005-0000-0000-0000413D0000}"/>
    <cellStyle name="20 % - Markeringsfarve6 2 10 3 3" xfId="42731" xr:uid="{00000000-0005-0000-0000-0000423D0000}"/>
    <cellStyle name="20 % - Markeringsfarve6 2 10 4" xfId="20743" xr:uid="{00000000-0005-0000-0000-0000433D0000}"/>
    <cellStyle name="20 % - Markeringsfarve6 2 10 5" xfId="35732" xr:uid="{00000000-0005-0000-0000-0000443D0000}"/>
    <cellStyle name="20 % - Markeringsfarve6 2 11" xfId="2890" xr:uid="{00000000-0005-0000-0000-0000453D0000}"/>
    <cellStyle name="20 % - Markeringsfarve6 2 11 2" xfId="8389" xr:uid="{00000000-0005-0000-0000-0000463D0000}"/>
    <cellStyle name="20 % - Markeringsfarve6 2 11 2 2" xfId="16282" xr:uid="{00000000-0005-0000-0000-0000473D0000}"/>
    <cellStyle name="20 % - Markeringsfarve6 2 11 2 2 2" xfId="32596" xr:uid="{00000000-0005-0000-0000-0000483D0000}"/>
    <cellStyle name="20 % - Markeringsfarve6 2 11 2 2 3" xfId="47560" xr:uid="{00000000-0005-0000-0000-0000493D0000}"/>
    <cellStyle name="20 % - Markeringsfarve6 2 11 2 3" xfId="25574" xr:uid="{00000000-0005-0000-0000-00004A3D0000}"/>
    <cellStyle name="20 % - Markeringsfarve6 2 11 2 4" xfId="40561" xr:uid="{00000000-0005-0000-0000-00004B3D0000}"/>
    <cellStyle name="20 % - Markeringsfarve6 2 11 3" xfId="11447" xr:uid="{00000000-0005-0000-0000-00004C3D0000}"/>
    <cellStyle name="20 % - Markeringsfarve6 2 11 3 2" xfId="27766" xr:uid="{00000000-0005-0000-0000-00004D3D0000}"/>
    <cellStyle name="20 % - Markeringsfarve6 2 11 3 3" xfId="42732" xr:uid="{00000000-0005-0000-0000-00004E3D0000}"/>
    <cellStyle name="20 % - Markeringsfarve6 2 11 4" xfId="20744" xr:uid="{00000000-0005-0000-0000-00004F3D0000}"/>
    <cellStyle name="20 % - Markeringsfarve6 2 11 5" xfId="35733" xr:uid="{00000000-0005-0000-0000-0000503D0000}"/>
    <cellStyle name="20 % - Markeringsfarve6 2 12" xfId="5693" xr:uid="{00000000-0005-0000-0000-0000513D0000}"/>
    <cellStyle name="20 % - Markeringsfarve6 2 12 2" xfId="13611" xr:uid="{00000000-0005-0000-0000-0000523D0000}"/>
    <cellStyle name="20 % - Markeringsfarve6 2 12 2 2" xfId="29925" xr:uid="{00000000-0005-0000-0000-0000533D0000}"/>
    <cellStyle name="20 % - Markeringsfarve6 2 12 2 3" xfId="44889" xr:uid="{00000000-0005-0000-0000-0000543D0000}"/>
    <cellStyle name="20 % - Markeringsfarve6 2 12 3" xfId="22903" xr:uid="{00000000-0005-0000-0000-0000553D0000}"/>
    <cellStyle name="20 % - Markeringsfarve6 2 12 4" xfId="37890" xr:uid="{00000000-0005-0000-0000-0000563D0000}"/>
    <cellStyle name="20 % - Markeringsfarve6 2 13" xfId="11445" xr:uid="{00000000-0005-0000-0000-0000573D0000}"/>
    <cellStyle name="20 % - Markeringsfarve6 2 13 2" xfId="27764" xr:uid="{00000000-0005-0000-0000-0000583D0000}"/>
    <cellStyle name="20 % - Markeringsfarve6 2 13 3" xfId="42730" xr:uid="{00000000-0005-0000-0000-0000593D0000}"/>
    <cellStyle name="20 % - Markeringsfarve6 2 14" xfId="20742" xr:uid="{00000000-0005-0000-0000-00005A3D0000}"/>
    <cellStyle name="20 % - Markeringsfarve6 2 15" xfId="35731" xr:uid="{00000000-0005-0000-0000-00005B3D0000}"/>
    <cellStyle name="20 % - Markeringsfarve6 2 16" xfId="53347" xr:uid="{00000000-0005-0000-0000-00005C3D0000}"/>
    <cellStyle name="20 % - Markeringsfarve6 2 2" xfId="2891" xr:uid="{00000000-0005-0000-0000-00005D3D0000}"/>
    <cellStyle name="20 % - Markeringsfarve6 2 2 10" xfId="5694" xr:uid="{00000000-0005-0000-0000-00005E3D0000}"/>
    <cellStyle name="20 % - Markeringsfarve6 2 2 10 2" xfId="13612" xr:uid="{00000000-0005-0000-0000-00005F3D0000}"/>
    <cellStyle name="20 % - Markeringsfarve6 2 2 10 2 2" xfId="29926" xr:uid="{00000000-0005-0000-0000-0000603D0000}"/>
    <cellStyle name="20 % - Markeringsfarve6 2 2 10 2 3" xfId="44890" xr:uid="{00000000-0005-0000-0000-0000613D0000}"/>
    <cellStyle name="20 % - Markeringsfarve6 2 2 10 3" xfId="22904" xr:uid="{00000000-0005-0000-0000-0000623D0000}"/>
    <cellStyle name="20 % - Markeringsfarve6 2 2 10 4" xfId="37891" xr:uid="{00000000-0005-0000-0000-0000633D0000}"/>
    <cellStyle name="20 % - Markeringsfarve6 2 2 11" xfId="11448" xr:uid="{00000000-0005-0000-0000-0000643D0000}"/>
    <cellStyle name="20 % - Markeringsfarve6 2 2 11 2" xfId="27767" xr:uid="{00000000-0005-0000-0000-0000653D0000}"/>
    <cellStyle name="20 % - Markeringsfarve6 2 2 11 3" xfId="42733" xr:uid="{00000000-0005-0000-0000-0000663D0000}"/>
    <cellStyle name="20 % - Markeringsfarve6 2 2 12" xfId="20745" xr:uid="{00000000-0005-0000-0000-0000673D0000}"/>
    <cellStyle name="20 % - Markeringsfarve6 2 2 13" xfId="35734" xr:uid="{00000000-0005-0000-0000-0000683D0000}"/>
    <cellStyle name="20 % - Markeringsfarve6 2 2 14" xfId="53346" xr:uid="{00000000-0005-0000-0000-0000693D0000}"/>
    <cellStyle name="20 % - Markeringsfarve6 2 2 2" xfId="2892" xr:uid="{00000000-0005-0000-0000-00006A3D0000}"/>
    <cellStyle name="20 % - Markeringsfarve6 2 2 2 2" xfId="2893" xr:uid="{00000000-0005-0000-0000-00006B3D0000}"/>
    <cellStyle name="20 % - Markeringsfarve6 2 2 2 2 2" xfId="2894" xr:uid="{00000000-0005-0000-0000-00006C3D0000}"/>
    <cellStyle name="20 % - Markeringsfarve6 2 2 2 2 2 2" xfId="7683" xr:uid="{00000000-0005-0000-0000-00006D3D0000}"/>
    <cellStyle name="20 % - Markeringsfarve6 2 2 2 2 2 2 2" xfId="15584" xr:uid="{00000000-0005-0000-0000-00006E3D0000}"/>
    <cellStyle name="20 % - Markeringsfarve6 2 2 2 2 2 2 2 2" xfId="31898" xr:uid="{00000000-0005-0000-0000-00006F3D0000}"/>
    <cellStyle name="20 % - Markeringsfarve6 2 2 2 2 2 2 2 3" xfId="46862" xr:uid="{00000000-0005-0000-0000-0000703D0000}"/>
    <cellStyle name="20 % - Markeringsfarve6 2 2 2 2 2 2 3" xfId="24876" xr:uid="{00000000-0005-0000-0000-0000713D0000}"/>
    <cellStyle name="20 % - Markeringsfarve6 2 2 2 2 2 2 4" xfId="39863" xr:uid="{00000000-0005-0000-0000-0000723D0000}"/>
    <cellStyle name="20 % - Markeringsfarve6 2 2 2 2 2 3" xfId="11451" xr:uid="{00000000-0005-0000-0000-0000733D0000}"/>
    <cellStyle name="20 % - Markeringsfarve6 2 2 2 2 2 3 2" xfId="27770" xr:uid="{00000000-0005-0000-0000-0000743D0000}"/>
    <cellStyle name="20 % - Markeringsfarve6 2 2 2 2 2 3 3" xfId="42736" xr:uid="{00000000-0005-0000-0000-0000753D0000}"/>
    <cellStyle name="20 % - Markeringsfarve6 2 2 2 2 2 4" xfId="20748" xr:uid="{00000000-0005-0000-0000-0000763D0000}"/>
    <cellStyle name="20 % - Markeringsfarve6 2 2 2 2 2 5" xfId="35737" xr:uid="{00000000-0005-0000-0000-0000773D0000}"/>
    <cellStyle name="20 % - Markeringsfarve6 2 2 2 2 3" xfId="6254" xr:uid="{00000000-0005-0000-0000-0000783D0000}"/>
    <cellStyle name="20 % - Markeringsfarve6 2 2 2 2 3 2" xfId="14171" xr:uid="{00000000-0005-0000-0000-0000793D0000}"/>
    <cellStyle name="20 % - Markeringsfarve6 2 2 2 2 3 2 2" xfId="30485" xr:uid="{00000000-0005-0000-0000-00007A3D0000}"/>
    <cellStyle name="20 % - Markeringsfarve6 2 2 2 2 3 2 3" xfId="45449" xr:uid="{00000000-0005-0000-0000-00007B3D0000}"/>
    <cellStyle name="20 % - Markeringsfarve6 2 2 2 2 3 3" xfId="23463" xr:uid="{00000000-0005-0000-0000-00007C3D0000}"/>
    <cellStyle name="20 % - Markeringsfarve6 2 2 2 2 3 4" xfId="38450" xr:uid="{00000000-0005-0000-0000-00007D3D0000}"/>
    <cellStyle name="20 % - Markeringsfarve6 2 2 2 2 4" xfId="11450" xr:uid="{00000000-0005-0000-0000-00007E3D0000}"/>
    <cellStyle name="20 % - Markeringsfarve6 2 2 2 2 4 2" xfId="27769" xr:uid="{00000000-0005-0000-0000-00007F3D0000}"/>
    <cellStyle name="20 % - Markeringsfarve6 2 2 2 2 4 3" xfId="42735" xr:uid="{00000000-0005-0000-0000-0000803D0000}"/>
    <cellStyle name="20 % - Markeringsfarve6 2 2 2 2 5" xfId="20747" xr:uid="{00000000-0005-0000-0000-0000813D0000}"/>
    <cellStyle name="20 % - Markeringsfarve6 2 2 2 2 6" xfId="35736" xr:uid="{00000000-0005-0000-0000-0000823D0000}"/>
    <cellStyle name="20 % - Markeringsfarve6 2 2 2 2 7" xfId="57150" xr:uid="{00000000-0005-0000-0000-0000833D0000}"/>
    <cellStyle name="20 % - Markeringsfarve6 2 2 2 3" xfId="2895" xr:uid="{00000000-0005-0000-0000-0000843D0000}"/>
    <cellStyle name="20 % - Markeringsfarve6 2 2 2 3 2" xfId="6913" xr:uid="{00000000-0005-0000-0000-0000853D0000}"/>
    <cellStyle name="20 % - Markeringsfarve6 2 2 2 3 2 2" xfId="14824" xr:uid="{00000000-0005-0000-0000-0000863D0000}"/>
    <cellStyle name="20 % - Markeringsfarve6 2 2 2 3 2 2 2" xfId="31138" xr:uid="{00000000-0005-0000-0000-0000873D0000}"/>
    <cellStyle name="20 % - Markeringsfarve6 2 2 2 3 2 2 3" xfId="46102" xr:uid="{00000000-0005-0000-0000-0000883D0000}"/>
    <cellStyle name="20 % - Markeringsfarve6 2 2 2 3 2 3" xfId="24116" xr:uid="{00000000-0005-0000-0000-0000893D0000}"/>
    <cellStyle name="20 % - Markeringsfarve6 2 2 2 3 2 4" xfId="39103" xr:uid="{00000000-0005-0000-0000-00008A3D0000}"/>
    <cellStyle name="20 % - Markeringsfarve6 2 2 2 3 3" xfId="11452" xr:uid="{00000000-0005-0000-0000-00008B3D0000}"/>
    <cellStyle name="20 % - Markeringsfarve6 2 2 2 3 3 2" xfId="27771" xr:uid="{00000000-0005-0000-0000-00008C3D0000}"/>
    <cellStyle name="20 % - Markeringsfarve6 2 2 2 3 3 3" xfId="42737" xr:uid="{00000000-0005-0000-0000-00008D3D0000}"/>
    <cellStyle name="20 % - Markeringsfarve6 2 2 2 3 4" xfId="20749" xr:uid="{00000000-0005-0000-0000-00008E3D0000}"/>
    <cellStyle name="20 % - Markeringsfarve6 2 2 2 3 5" xfId="35738" xr:uid="{00000000-0005-0000-0000-00008F3D0000}"/>
    <cellStyle name="20 % - Markeringsfarve6 2 2 2 4" xfId="2896" xr:uid="{00000000-0005-0000-0000-0000903D0000}"/>
    <cellStyle name="20 % - Markeringsfarve6 2 2 2 4 2" xfId="8291" xr:uid="{00000000-0005-0000-0000-0000913D0000}"/>
    <cellStyle name="20 % - Markeringsfarve6 2 2 2 4 2 2" xfId="16185" xr:uid="{00000000-0005-0000-0000-0000923D0000}"/>
    <cellStyle name="20 % - Markeringsfarve6 2 2 2 4 2 2 2" xfId="32499" xr:uid="{00000000-0005-0000-0000-0000933D0000}"/>
    <cellStyle name="20 % - Markeringsfarve6 2 2 2 4 2 2 3" xfId="47463" xr:uid="{00000000-0005-0000-0000-0000943D0000}"/>
    <cellStyle name="20 % - Markeringsfarve6 2 2 2 4 2 3" xfId="25477" xr:uid="{00000000-0005-0000-0000-0000953D0000}"/>
    <cellStyle name="20 % - Markeringsfarve6 2 2 2 4 2 4" xfId="40464" xr:uid="{00000000-0005-0000-0000-0000963D0000}"/>
    <cellStyle name="20 % - Markeringsfarve6 2 2 2 4 3" xfId="11453" xr:uid="{00000000-0005-0000-0000-0000973D0000}"/>
    <cellStyle name="20 % - Markeringsfarve6 2 2 2 4 3 2" xfId="27772" xr:uid="{00000000-0005-0000-0000-0000983D0000}"/>
    <cellStyle name="20 % - Markeringsfarve6 2 2 2 4 3 3" xfId="42738" xr:uid="{00000000-0005-0000-0000-0000993D0000}"/>
    <cellStyle name="20 % - Markeringsfarve6 2 2 2 4 4" xfId="20750" xr:uid="{00000000-0005-0000-0000-00009A3D0000}"/>
    <cellStyle name="20 % - Markeringsfarve6 2 2 2 4 5" xfId="35739" xr:uid="{00000000-0005-0000-0000-00009B3D0000}"/>
    <cellStyle name="20 % - Markeringsfarve6 2 2 2 5" xfId="5695" xr:uid="{00000000-0005-0000-0000-00009C3D0000}"/>
    <cellStyle name="20 % - Markeringsfarve6 2 2 2 5 2" xfId="13613" xr:uid="{00000000-0005-0000-0000-00009D3D0000}"/>
    <cellStyle name="20 % - Markeringsfarve6 2 2 2 5 2 2" xfId="29927" xr:uid="{00000000-0005-0000-0000-00009E3D0000}"/>
    <cellStyle name="20 % - Markeringsfarve6 2 2 2 5 2 3" xfId="44891" xr:uid="{00000000-0005-0000-0000-00009F3D0000}"/>
    <cellStyle name="20 % - Markeringsfarve6 2 2 2 5 3" xfId="22905" xr:uid="{00000000-0005-0000-0000-0000A03D0000}"/>
    <cellStyle name="20 % - Markeringsfarve6 2 2 2 5 4" xfId="37892" xr:uid="{00000000-0005-0000-0000-0000A13D0000}"/>
    <cellStyle name="20 % - Markeringsfarve6 2 2 2 6" xfId="11449" xr:uid="{00000000-0005-0000-0000-0000A23D0000}"/>
    <cellStyle name="20 % - Markeringsfarve6 2 2 2 6 2" xfId="27768" xr:uid="{00000000-0005-0000-0000-0000A33D0000}"/>
    <cellStyle name="20 % - Markeringsfarve6 2 2 2 6 3" xfId="42734" xr:uid="{00000000-0005-0000-0000-0000A43D0000}"/>
    <cellStyle name="20 % - Markeringsfarve6 2 2 2 7" xfId="20746" xr:uid="{00000000-0005-0000-0000-0000A53D0000}"/>
    <cellStyle name="20 % - Markeringsfarve6 2 2 2 8" xfId="35735" xr:uid="{00000000-0005-0000-0000-0000A63D0000}"/>
    <cellStyle name="20 % - Markeringsfarve6 2 2 2 9" xfId="53983" xr:uid="{00000000-0005-0000-0000-0000A73D0000}"/>
    <cellStyle name="20 % - Markeringsfarve6 2 2 3" xfId="2897" xr:uid="{00000000-0005-0000-0000-0000A83D0000}"/>
    <cellStyle name="20 % - Markeringsfarve6 2 2 3 2" xfId="2898" xr:uid="{00000000-0005-0000-0000-0000A93D0000}"/>
    <cellStyle name="20 % - Markeringsfarve6 2 2 3 2 2" xfId="2899" xr:uid="{00000000-0005-0000-0000-0000AA3D0000}"/>
    <cellStyle name="20 % - Markeringsfarve6 2 2 3 2 2 2" xfId="7773" xr:uid="{00000000-0005-0000-0000-0000AB3D0000}"/>
    <cellStyle name="20 % - Markeringsfarve6 2 2 3 2 2 2 2" xfId="15674" xr:uid="{00000000-0005-0000-0000-0000AC3D0000}"/>
    <cellStyle name="20 % - Markeringsfarve6 2 2 3 2 2 2 2 2" xfId="31988" xr:uid="{00000000-0005-0000-0000-0000AD3D0000}"/>
    <cellStyle name="20 % - Markeringsfarve6 2 2 3 2 2 2 2 3" xfId="46952" xr:uid="{00000000-0005-0000-0000-0000AE3D0000}"/>
    <cellStyle name="20 % - Markeringsfarve6 2 2 3 2 2 2 3" xfId="24966" xr:uid="{00000000-0005-0000-0000-0000AF3D0000}"/>
    <cellStyle name="20 % - Markeringsfarve6 2 2 3 2 2 2 4" xfId="39953" xr:uid="{00000000-0005-0000-0000-0000B03D0000}"/>
    <cellStyle name="20 % - Markeringsfarve6 2 2 3 2 2 3" xfId="11456" xr:uid="{00000000-0005-0000-0000-0000B13D0000}"/>
    <cellStyle name="20 % - Markeringsfarve6 2 2 3 2 2 3 2" xfId="27775" xr:uid="{00000000-0005-0000-0000-0000B23D0000}"/>
    <cellStyle name="20 % - Markeringsfarve6 2 2 3 2 2 3 3" xfId="42741" xr:uid="{00000000-0005-0000-0000-0000B33D0000}"/>
    <cellStyle name="20 % - Markeringsfarve6 2 2 3 2 2 4" xfId="20753" xr:uid="{00000000-0005-0000-0000-0000B43D0000}"/>
    <cellStyle name="20 % - Markeringsfarve6 2 2 3 2 2 5" xfId="35742" xr:uid="{00000000-0005-0000-0000-0000B53D0000}"/>
    <cellStyle name="20 % - Markeringsfarve6 2 2 3 2 3" xfId="6328" xr:uid="{00000000-0005-0000-0000-0000B63D0000}"/>
    <cellStyle name="20 % - Markeringsfarve6 2 2 3 2 3 2" xfId="14245" xr:uid="{00000000-0005-0000-0000-0000B73D0000}"/>
    <cellStyle name="20 % - Markeringsfarve6 2 2 3 2 3 2 2" xfId="30559" xr:uid="{00000000-0005-0000-0000-0000B83D0000}"/>
    <cellStyle name="20 % - Markeringsfarve6 2 2 3 2 3 2 3" xfId="45523" xr:uid="{00000000-0005-0000-0000-0000B93D0000}"/>
    <cellStyle name="20 % - Markeringsfarve6 2 2 3 2 3 3" xfId="23537" xr:uid="{00000000-0005-0000-0000-0000BA3D0000}"/>
    <cellStyle name="20 % - Markeringsfarve6 2 2 3 2 3 4" xfId="38524" xr:uid="{00000000-0005-0000-0000-0000BB3D0000}"/>
    <cellStyle name="20 % - Markeringsfarve6 2 2 3 2 4" xfId="11455" xr:uid="{00000000-0005-0000-0000-0000BC3D0000}"/>
    <cellStyle name="20 % - Markeringsfarve6 2 2 3 2 4 2" xfId="27774" xr:uid="{00000000-0005-0000-0000-0000BD3D0000}"/>
    <cellStyle name="20 % - Markeringsfarve6 2 2 3 2 4 3" xfId="42740" xr:uid="{00000000-0005-0000-0000-0000BE3D0000}"/>
    <cellStyle name="20 % - Markeringsfarve6 2 2 3 2 5" xfId="20752" xr:uid="{00000000-0005-0000-0000-0000BF3D0000}"/>
    <cellStyle name="20 % - Markeringsfarve6 2 2 3 2 6" xfId="35741" xr:uid="{00000000-0005-0000-0000-0000C03D0000}"/>
    <cellStyle name="20 % - Markeringsfarve6 2 2 3 3" xfId="2900" xr:uid="{00000000-0005-0000-0000-0000C13D0000}"/>
    <cellStyle name="20 % - Markeringsfarve6 2 2 3 3 2" xfId="7003" xr:uid="{00000000-0005-0000-0000-0000C23D0000}"/>
    <cellStyle name="20 % - Markeringsfarve6 2 2 3 3 2 2" xfId="14914" xr:uid="{00000000-0005-0000-0000-0000C33D0000}"/>
    <cellStyle name="20 % - Markeringsfarve6 2 2 3 3 2 2 2" xfId="31228" xr:uid="{00000000-0005-0000-0000-0000C43D0000}"/>
    <cellStyle name="20 % - Markeringsfarve6 2 2 3 3 2 2 3" xfId="46192" xr:uid="{00000000-0005-0000-0000-0000C53D0000}"/>
    <cellStyle name="20 % - Markeringsfarve6 2 2 3 3 2 3" xfId="24206" xr:uid="{00000000-0005-0000-0000-0000C63D0000}"/>
    <cellStyle name="20 % - Markeringsfarve6 2 2 3 3 2 4" xfId="39193" xr:uid="{00000000-0005-0000-0000-0000C73D0000}"/>
    <cellStyle name="20 % - Markeringsfarve6 2 2 3 3 3" xfId="11457" xr:uid="{00000000-0005-0000-0000-0000C83D0000}"/>
    <cellStyle name="20 % - Markeringsfarve6 2 2 3 3 3 2" xfId="27776" xr:uid="{00000000-0005-0000-0000-0000C93D0000}"/>
    <cellStyle name="20 % - Markeringsfarve6 2 2 3 3 3 3" xfId="42742" xr:uid="{00000000-0005-0000-0000-0000CA3D0000}"/>
    <cellStyle name="20 % - Markeringsfarve6 2 2 3 3 4" xfId="20754" xr:uid="{00000000-0005-0000-0000-0000CB3D0000}"/>
    <cellStyle name="20 % - Markeringsfarve6 2 2 3 3 5" xfId="35743" xr:uid="{00000000-0005-0000-0000-0000CC3D0000}"/>
    <cellStyle name="20 % - Markeringsfarve6 2 2 3 4" xfId="2901" xr:uid="{00000000-0005-0000-0000-0000CD3D0000}"/>
    <cellStyle name="20 % - Markeringsfarve6 2 2 3 4 2" xfId="8575" xr:uid="{00000000-0005-0000-0000-0000CE3D0000}"/>
    <cellStyle name="20 % - Markeringsfarve6 2 2 3 4 2 2" xfId="16462" xr:uid="{00000000-0005-0000-0000-0000CF3D0000}"/>
    <cellStyle name="20 % - Markeringsfarve6 2 2 3 4 2 2 2" xfId="32776" xr:uid="{00000000-0005-0000-0000-0000D03D0000}"/>
    <cellStyle name="20 % - Markeringsfarve6 2 2 3 4 2 2 3" xfId="47740" xr:uid="{00000000-0005-0000-0000-0000D13D0000}"/>
    <cellStyle name="20 % - Markeringsfarve6 2 2 3 4 2 3" xfId="25754" xr:uid="{00000000-0005-0000-0000-0000D23D0000}"/>
    <cellStyle name="20 % - Markeringsfarve6 2 2 3 4 2 4" xfId="40741" xr:uid="{00000000-0005-0000-0000-0000D33D0000}"/>
    <cellStyle name="20 % - Markeringsfarve6 2 2 3 4 3" xfId="11458" xr:uid="{00000000-0005-0000-0000-0000D43D0000}"/>
    <cellStyle name="20 % - Markeringsfarve6 2 2 3 4 3 2" xfId="27777" xr:uid="{00000000-0005-0000-0000-0000D53D0000}"/>
    <cellStyle name="20 % - Markeringsfarve6 2 2 3 4 3 3" xfId="42743" xr:uid="{00000000-0005-0000-0000-0000D63D0000}"/>
    <cellStyle name="20 % - Markeringsfarve6 2 2 3 4 4" xfId="20755" xr:uid="{00000000-0005-0000-0000-0000D73D0000}"/>
    <cellStyle name="20 % - Markeringsfarve6 2 2 3 4 5" xfId="35744" xr:uid="{00000000-0005-0000-0000-0000D83D0000}"/>
    <cellStyle name="20 % - Markeringsfarve6 2 2 3 5" xfId="5696" xr:uid="{00000000-0005-0000-0000-0000D93D0000}"/>
    <cellStyle name="20 % - Markeringsfarve6 2 2 3 5 2" xfId="13614" xr:uid="{00000000-0005-0000-0000-0000DA3D0000}"/>
    <cellStyle name="20 % - Markeringsfarve6 2 2 3 5 2 2" xfId="29928" xr:uid="{00000000-0005-0000-0000-0000DB3D0000}"/>
    <cellStyle name="20 % - Markeringsfarve6 2 2 3 5 2 3" xfId="44892" xr:uid="{00000000-0005-0000-0000-0000DC3D0000}"/>
    <cellStyle name="20 % - Markeringsfarve6 2 2 3 5 3" xfId="22906" xr:uid="{00000000-0005-0000-0000-0000DD3D0000}"/>
    <cellStyle name="20 % - Markeringsfarve6 2 2 3 5 4" xfId="37893" xr:uid="{00000000-0005-0000-0000-0000DE3D0000}"/>
    <cellStyle name="20 % - Markeringsfarve6 2 2 3 6" xfId="11454" xr:uid="{00000000-0005-0000-0000-0000DF3D0000}"/>
    <cellStyle name="20 % - Markeringsfarve6 2 2 3 6 2" xfId="27773" xr:uid="{00000000-0005-0000-0000-0000E03D0000}"/>
    <cellStyle name="20 % - Markeringsfarve6 2 2 3 6 3" xfId="42739" xr:uid="{00000000-0005-0000-0000-0000E13D0000}"/>
    <cellStyle name="20 % - Markeringsfarve6 2 2 3 7" xfId="20751" xr:uid="{00000000-0005-0000-0000-0000E23D0000}"/>
    <cellStyle name="20 % - Markeringsfarve6 2 2 3 8" xfId="35740" xr:uid="{00000000-0005-0000-0000-0000E33D0000}"/>
    <cellStyle name="20 % - Markeringsfarve6 2 2 3 9" xfId="56527" xr:uid="{00000000-0005-0000-0000-0000E43D0000}"/>
    <cellStyle name="20 % - Markeringsfarve6 2 2 4" xfId="2902" xr:uid="{00000000-0005-0000-0000-0000E53D0000}"/>
    <cellStyle name="20 % - Markeringsfarve6 2 2 4 2" xfId="2903" xr:uid="{00000000-0005-0000-0000-0000E63D0000}"/>
    <cellStyle name="20 % - Markeringsfarve6 2 2 4 2 2" xfId="2904" xr:uid="{00000000-0005-0000-0000-0000E73D0000}"/>
    <cellStyle name="20 % - Markeringsfarve6 2 2 4 2 2 2" xfId="7921" xr:uid="{00000000-0005-0000-0000-0000E83D0000}"/>
    <cellStyle name="20 % - Markeringsfarve6 2 2 4 2 2 2 2" xfId="15822" xr:uid="{00000000-0005-0000-0000-0000E93D0000}"/>
    <cellStyle name="20 % - Markeringsfarve6 2 2 4 2 2 2 2 2" xfId="32136" xr:uid="{00000000-0005-0000-0000-0000EA3D0000}"/>
    <cellStyle name="20 % - Markeringsfarve6 2 2 4 2 2 2 2 3" xfId="47100" xr:uid="{00000000-0005-0000-0000-0000EB3D0000}"/>
    <cellStyle name="20 % - Markeringsfarve6 2 2 4 2 2 2 3" xfId="25114" xr:uid="{00000000-0005-0000-0000-0000EC3D0000}"/>
    <cellStyle name="20 % - Markeringsfarve6 2 2 4 2 2 2 4" xfId="40101" xr:uid="{00000000-0005-0000-0000-0000ED3D0000}"/>
    <cellStyle name="20 % - Markeringsfarve6 2 2 4 2 2 3" xfId="11461" xr:uid="{00000000-0005-0000-0000-0000EE3D0000}"/>
    <cellStyle name="20 % - Markeringsfarve6 2 2 4 2 2 3 2" xfId="27780" xr:uid="{00000000-0005-0000-0000-0000EF3D0000}"/>
    <cellStyle name="20 % - Markeringsfarve6 2 2 4 2 2 3 3" xfId="42746" xr:uid="{00000000-0005-0000-0000-0000F03D0000}"/>
    <cellStyle name="20 % - Markeringsfarve6 2 2 4 2 2 4" xfId="20758" xr:uid="{00000000-0005-0000-0000-0000F13D0000}"/>
    <cellStyle name="20 % - Markeringsfarve6 2 2 4 2 2 5" xfId="35747" xr:uid="{00000000-0005-0000-0000-0000F23D0000}"/>
    <cellStyle name="20 % - Markeringsfarve6 2 2 4 2 3" xfId="6456" xr:uid="{00000000-0005-0000-0000-0000F33D0000}"/>
    <cellStyle name="20 % - Markeringsfarve6 2 2 4 2 3 2" xfId="14370" xr:uid="{00000000-0005-0000-0000-0000F43D0000}"/>
    <cellStyle name="20 % - Markeringsfarve6 2 2 4 2 3 2 2" xfId="30684" xr:uid="{00000000-0005-0000-0000-0000F53D0000}"/>
    <cellStyle name="20 % - Markeringsfarve6 2 2 4 2 3 2 3" xfId="45648" xr:uid="{00000000-0005-0000-0000-0000F63D0000}"/>
    <cellStyle name="20 % - Markeringsfarve6 2 2 4 2 3 3" xfId="23662" xr:uid="{00000000-0005-0000-0000-0000F73D0000}"/>
    <cellStyle name="20 % - Markeringsfarve6 2 2 4 2 3 4" xfId="38649" xr:uid="{00000000-0005-0000-0000-0000F83D0000}"/>
    <cellStyle name="20 % - Markeringsfarve6 2 2 4 2 4" xfId="11460" xr:uid="{00000000-0005-0000-0000-0000F93D0000}"/>
    <cellStyle name="20 % - Markeringsfarve6 2 2 4 2 4 2" xfId="27779" xr:uid="{00000000-0005-0000-0000-0000FA3D0000}"/>
    <cellStyle name="20 % - Markeringsfarve6 2 2 4 2 4 3" xfId="42745" xr:uid="{00000000-0005-0000-0000-0000FB3D0000}"/>
    <cellStyle name="20 % - Markeringsfarve6 2 2 4 2 5" xfId="20757" xr:uid="{00000000-0005-0000-0000-0000FC3D0000}"/>
    <cellStyle name="20 % - Markeringsfarve6 2 2 4 2 6" xfId="35746" xr:uid="{00000000-0005-0000-0000-0000FD3D0000}"/>
    <cellStyle name="20 % - Markeringsfarve6 2 2 4 3" xfId="2905" xr:uid="{00000000-0005-0000-0000-0000FE3D0000}"/>
    <cellStyle name="20 % - Markeringsfarve6 2 2 4 3 2" xfId="7197" xr:uid="{00000000-0005-0000-0000-0000FF3D0000}"/>
    <cellStyle name="20 % - Markeringsfarve6 2 2 4 3 2 2" xfId="15107" xr:uid="{00000000-0005-0000-0000-0000003E0000}"/>
    <cellStyle name="20 % - Markeringsfarve6 2 2 4 3 2 2 2" xfId="31421" xr:uid="{00000000-0005-0000-0000-0000013E0000}"/>
    <cellStyle name="20 % - Markeringsfarve6 2 2 4 3 2 2 3" xfId="46385" xr:uid="{00000000-0005-0000-0000-0000023E0000}"/>
    <cellStyle name="20 % - Markeringsfarve6 2 2 4 3 2 3" xfId="24399" xr:uid="{00000000-0005-0000-0000-0000033E0000}"/>
    <cellStyle name="20 % - Markeringsfarve6 2 2 4 3 2 4" xfId="39386" xr:uid="{00000000-0005-0000-0000-0000043E0000}"/>
    <cellStyle name="20 % - Markeringsfarve6 2 2 4 3 3" xfId="11462" xr:uid="{00000000-0005-0000-0000-0000053E0000}"/>
    <cellStyle name="20 % - Markeringsfarve6 2 2 4 3 3 2" xfId="27781" xr:uid="{00000000-0005-0000-0000-0000063E0000}"/>
    <cellStyle name="20 % - Markeringsfarve6 2 2 4 3 3 3" xfId="42747" xr:uid="{00000000-0005-0000-0000-0000073E0000}"/>
    <cellStyle name="20 % - Markeringsfarve6 2 2 4 3 4" xfId="20759" xr:uid="{00000000-0005-0000-0000-0000083E0000}"/>
    <cellStyle name="20 % - Markeringsfarve6 2 2 4 3 5" xfId="35748" xr:uid="{00000000-0005-0000-0000-0000093E0000}"/>
    <cellStyle name="20 % - Markeringsfarve6 2 2 4 4" xfId="2906" xr:uid="{00000000-0005-0000-0000-00000A3E0000}"/>
    <cellStyle name="20 % - Markeringsfarve6 2 2 4 4 2" xfId="8224" xr:uid="{00000000-0005-0000-0000-00000B3E0000}"/>
    <cellStyle name="20 % - Markeringsfarve6 2 2 4 4 2 2" xfId="16121" xr:uid="{00000000-0005-0000-0000-00000C3E0000}"/>
    <cellStyle name="20 % - Markeringsfarve6 2 2 4 4 2 2 2" xfId="32435" xr:uid="{00000000-0005-0000-0000-00000D3E0000}"/>
    <cellStyle name="20 % - Markeringsfarve6 2 2 4 4 2 2 3" xfId="47399" xr:uid="{00000000-0005-0000-0000-00000E3E0000}"/>
    <cellStyle name="20 % - Markeringsfarve6 2 2 4 4 2 3" xfId="25413" xr:uid="{00000000-0005-0000-0000-00000F3E0000}"/>
    <cellStyle name="20 % - Markeringsfarve6 2 2 4 4 2 4" xfId="40400" xr:uid="{00000000-0005-0000-0000-0000103E0000}"/>
    <cellStyle name="20 % - Markeringsfarve6 2 2 4 4 3" xfId="11463" xr:uid="{00000000-0005-0000-0000-0000113E0000}"/>
    <cellStyle name="20 % - Markeringsfarve6 2 2 4 4 3 2" xfId="27782" xr:uid="{00000000-0005-0000-0000-0000123E0000}"/>
    <cellStyle name="20 % - Markeringsfarve6 2 2 4 4 3 3" xfId="42748" xr:uid="{00000000-0005-0000-0000-0000133E0000}"/>
    <cellStyle name="20 % - Markeringsfarve6 2 2 4 4 4" xfId="20760" xr:uid="{00000000-0005-0000-0000-0000143E0000}"/>
    <cellStyle name="20 % - Markeringsfarve6 2 2 4 4 5" xfId="35749" xr:uid="{00000000-0005-0000-0000-0000153E0000}"/>
    <cellStyle name="20 % - Markeringsfarve6 2 2 4 5" xfId="5697" xr:uid="{00000000-0005-0000-0000-0000163E0000}"/>
    <cellStyle name="20 % - Markeringsfarve6 2 2 4 5 2" xfId="13615" xr:uid="{00000000-0005-0000-0000-0000173E0000}"/>
    <cellStyle name="20 % - Markeringsfarve6 2 2 4 5 2 2" xfId="29929" xr:uid="{00000000-0005-0000-0000-0000183E0000}"/>
    <cellStyle name="20 % - Markeringsfarve6 2 2 4 5 2 3" xfId="44893" xr:uid="{00000000-0005-0000-0000-0000193E0000}"/>
    <cellStyle name="20 % - Markeringsfarve6 2 2 4 5 3" xfId="22907" xr:uid="{00000000-0005-0000-0000-00001A3E0000}"/>
    <cellStyle name="20 % - Markeringsfarve6 2 2 4 5 4" xfId="37894" xr:uid="{00000000-0005-0000-0000-00001B3E0000}"/>
    <cellStyle name="20 % - Markeringsfarve6 2 2 4 6" xfId="11459" xr:uid="{00000000-0005-0000-0000-00001C3E0000}"/>
    <cellStyle name="20 % - Markeringsfarve6 2 2 4 6 2" xfId="27778" xr:uid="{00000000-0005-0000-0000-00001D3E0000}"/>
    <cellStyle name="20 % - Markeringsfarve6 2 2 4 6 3" xfId="42744" xr:uid="{00000000-0005-0000-0000-00001E3E0000}"/>
    <cellStyle name="20 % - Markeringsfarve6 2 2 4 7" xfId="20756" xr:uid="{00000000-0005-0000-0000-00001F3E0000}"/>
    <cellStyle name="20 % - Markeringsfarve6 2 2 4 8" xfId="35745" xr:uid="{00000000-0005-0000-0000-0000203E0000}"/>
    <cellStyle name="20 % - Markeringsfarve6 2 2 5" xfId="2907" xr:uid="{00000000-0005-0000-0000-0000213E0000}"/>
    <cellStyle name="20 % - Markeringsfarve6 2 2 5 2" xfId="2908" xr:uid="{00000000-0005-0000-0000-0000223E0000}"/>
    <cellStyle name="20 % - Markeringsfarve6 2 2 5 2 2" xfId="2909" xr:uid="{00000000-0005-0000-0000-0000233E0000}"/>
    <cellStyle name="20 % - Markeringsfarve6 2 2 5 2 2 2" xfId="8038" xr:uid="{00000000-0005-0000-0000-0000243E0000}"/>
    <cellStyle name="20 % - Markeringsfarve6 2 2 5 2 2 2 2" xfId="15939" xr:uid="{00000000-0005-0000-0000-0000253E0000}"/>
    <cellStyle name="20 % - Markeringsfarve6 2 2 5 2 2 2 2 2" xfId="32253" xr:uid="{00000000-0005-0000-0000-0000263E0000}"/>
    <cellStyle name="20 % - Markeringsfarve6 2 2 5 2 2 2 2 3" xfId="47217" xr:uid="{00000000-0005-0000-0000-0000273E0000}"/>
    <cellStyle name="20 % - Markeringsfarve6 2 2 5 2 2 2 3" xfId="25231" xr:uid="{00000000-0005-0000-0000-0000283E0000}"/>
    <cellStyle name="20 % - Markeringsfarve6 2 2 5 2 2 2 4" xfId="40218" xr:uid="{00000000-0005-0000-0000-0000293E0000}"/>
    <cellStyle name="20 % - Markeringsfarve6 2 2 5 2 2 3" xfId="11466" xr:uid="{00000000-0005-0000-0000-00002A3E0000}"/>
    <cellStyle name="20 % - Markeringsfarve6 2 2 5 2 2 3 2" xfId="27785" xr:uid="{00000000-0005-0000-0000-00002B3E0000}"/>
    <cellStyle name="20 % - Markeringsfarve6 2 2 5 2 2 3 3" xfId="42751" xr:uid="{00000000-0005-0000-0000-00002C3E0000}"/>
    <cellStyle name="20 % - Markeringsfarve6 2 2 5 2 2 4" xfId="20763" xr:uid="{00000000-0005-0000-0000-00002D3E0000}"/>
    <cellStyle name="20 % - Markeringsfarve6 2 2 5 2 2 5" xfId="35752" xr:uid="{00000000-0005-0000-0000-00002E3E0000}"/>
    <cellStyle name="20 % - Markeringsfarve6 2 2 5 2 3" xfId="6555" xr:uid="{00000000-0005-0000-0000-00002F3E0000}"/>
    <cellStyle name="20 % - Markeringsfarve6 2 2 5 2 3 2" xfId="14469" xr:uid="{00000000-0005-0000-0000-0000303E0000}"/>
    <cellStyle name="20 % - Markeringsfarve6 2 2 5 2 3 2 2" xfId="30783" xr:uid="{00000000-0005-0000-0000-0000313E0000}"/>
    <cellStyle name="20 % - Markeringsfarve6 2 2 5 2 3 2 3" xfId="45747" xr:uid="{00000000-0005-0000-0000-0000323E0000}"/>
    <cellStyle name="20 % - Markeringsfarve6 2 2 5 2 3 3" xfId="23761" xr:uid="{00000000-0005-0000-0000-0000333E0000}"/>
    <cellStyle name="20 % - Markeringsfarve6 2 2 5 2 3 4" xfId="38748" xr:uid="{00000000-0005-0000-0000-0000343E0000}"/>
    <cellStyle name="20 % - Markeringsfarve6 2 2 5 2 4" xfId="11465" xr:uid="{00000000-0005-0000-0000-0000353E0000}"/>
    <cellStyle name="20 % - Markeringsfarve6 2 2 5 2 4 2" xfId="27784" xr:uid="{00000000-0005-0000-0000-0000363E0000}"/>
    <cellStyle name="20 % - Markeringsfarve6 2 2 5 2 4 3" xfId="42750" xr:uid="{00000000-0005-0000-0000-0000373E0000}"/>
    <cellStyle name="20 % - Markeringsfarve6 2 2 5 2 5" xfId="20762" xr:uid="{00000000-0005-0000-0000-0000383E0000}"/>
    <cellStyle name="20 % - Markeringsfarve6 2 2 5 2 6" xfId="35751" xr:uid="{00000000-0005-0000-0000-0000393E0000}"/>
    <cellStyle name="20 % - Markeringsfarve6 2 2 5 3" xfId="2910" xr:uid="{00000000-0005-0000-0000-00003A3E0000}"/>
    <cellStyle name="20 % - Markeringsfarve6 2 2 5 3 2" xfId="7314" xr:uid="{00000000-0005-0000-0000-00003B3E0000}"/>
    <cellStyle name="20 % - Markeringsfarve6 2 2 5 3 2 2" xfId="15224" xr:uid="{00000000-0005-0000-0000-00003C3E0000}"/>
    <cellStyle name="20 % - Markeringsfarve6 2 2 5 3 2 2 2" xfId="31538" xr:uid="{00000000-0005-0000-0000-00003D3E0000}"/>
    <cellStyle name="20 % - Markeringsfarve6 2 2 5 3 2 2 3" xfId="46502" xr:uid="{00000000-0005-0000-0000-00003E3E0000}"/>
    <cellStyle name="20 % - Markeringsfarve6 2 2 5 3 2 3" xfId="24516" xr:uid="{00000000-0005-0000-0000-00003F3E0000}"/>
    <cellStyle name="20 % - Markeringsfarve6 2 2 5 3 2 4" xfId="39503" xr:uid="{00000000-0005-0000-0000-0000403E0000}"/>
    <cellStyle name="20 % - Markeringsfarve6 2 2 5 3 3" xfId="11467" xr:uid="{00000000-0005-0000-0000-0000413E0000}"/>
    <cellStyle name="20 % - Markeringsfarve6 2 2 5 3 3 2" xfId="27786" xr:uid="{00000000-0005-0000-0000-0000423E0000}"/>
    <cellStyle name="20 % - Markeringsfarve6 2 2 5 3 3 3" xfId="42752" xr:uid="{00000000-0005-0000-0000-0000433E0000}"/>
    <cellStyle name="20 % - Markeringsfarve6 2 2 5 3 4" xfId="20764" xr:uid="{00000000-0005-0000-0000-0000443E0000}"/>
    <cellStyle name="20 % - Markeringsfarve6 2 2 5 3 5" xfId="35753" xr:uid="{00000000-0005-0000-0000-0000453E0000}"/>
    <cellStyle name="20 % - Markeringsfarve6 2 2 5 4" xfId="2911" xr:uid="{00000000-0005-0000-0000-0000463E0000}"/>
    <cellStyle name="20 % - Markeringsfarve6 2 2 5 4 2" xfId="8561" xr:uid="{00000000-0005-0000-0000-0000473E0000}"/>
    <cellStyle name="20 % - Markeringsfarve6 2 2 5 4 2 2" xfId="16448" xr:uid="{00000000-0005-0000-0000-0000483E0000}"/>
    <cellStyle name="20 % - Markeringsfarve6 2 2 5 4 2 2 2" xfId="32762" xr:uid="{00000000-0005-0000-0000-0000493E0000}"/>
    <cellStyle name="20 % - Markeringsfarve6 2 2 5 4 2 2 3" xfId="47726" xr:uid="{00000000-0005-0000-0000-00004A3E0000}"/>
    <cellStyle name="20 % - Markeringsfarve6 2 2 5 4 2 3" xfId="25740" xr:uid="{00000000-0005-0000-0000-00004B3E0000}"/>
    <cellStyle name="20 % - Markeringsfarve6 2 2 5 4 2 4" xfId="40727" xr:uid="{00000000-0005-0000-0000-00004C3E0000}"/>
    <cellStyle name="20 % - Markeringsfarve6 2 2 5 4 3" xfId="11468" xr:uid="{00000000-0005-0000-0000-00004D3E0000}"/>
    <cellStyle name="20 % - Markeringsfarve6 2 2 5 4 3 2" xfId="27787" xr:uid="{00000000-0005-0000-0000-00004E3E0000}"/>
    <cellStyle name="20 % - Markeringsfarve6 2 2 5 4 3 3" xfId="42753" xr:uid="{00000000-0005-0000-0000-00004F3E0000}"/>
    <cellStyle name="20 % - Markeringsfarve6 2 2 5 4 4" xfId="20765" xr:uid="{00000000-0005-0000-0000-0000503E0000}"/>
    <cellStyle name="20 % - Markeringsfarve6 2 2 5 4 5" xfId="35754" xr:uid="{00000000-0005-0000-0000-0000513E0000}"/>
    <cellStyle name="20 % - Markeringsfarve6 2 2 5 5" xfId="5698" xr:uid="{00000000-0005-0000-0000-0000523E0000}"/>
    <cellStyle name="20 % - Markeringsfarve6 2 2 5 5 2" xfId="13616" xr:uid="{00000000-0005-0000-0000-0000533E0000}"/>
    <cellStyle name="20 % - Markeringsfarve6 2 2 5 5 2 2" xfId="29930" xr:uid="{00000000-0005-0000-0000-0000543E0000}"/>
    <cellStyle name="20 % - Markeringsfarve6 2 2 5 5 2 3" xfId="44894" xr:uid="{00000000-0005-0000-0000-0000553E0000}"/>
    <cellStyle name="20 % - Markeringsfarve6 2 2 5 5 3" xfId="22908" xr:uid="{00000000-0005-0000-0000-0000563E0000}"/>
    <cellStyle name="20 % - Markeringsfarve6 2 2 5 5 4" xfId="37895" xr:uid="{00000000-0005-0000-0000-0000573E0000}"/>
    <cellStyle name="20 % - Markeringsfarve6 2 2 5 6" xfId="11464" xr:uid="{00000000-0005-0000-0000-0000583E0000}"/>
    <cellStyle name="20 % - Markeringsfarve6 2 2 5 6 2" xfId="27783" xr:uid="{00000000-0005-0000-0000-0000593E0000}"/>
    <cellStyle name="20 % - Markeringsfarve6 2 2 5 6 3" xfId="42749" xr:uid="{00000000-0005-0000-0000-00005A3E0000}"/>
    <cellStyle name="20 % - Markeringsfarve6 2 2 5 7" xfId="20761" xr:uid="{00000000-0005-0000-0000-00005B3E0000}"/>
    <cellStyle name="20 % - Markeringsfarve6 2 2 5 8" xfId="35750" xr:uid="{00000000-0005-0000-0000-00005C3E0000}"/>
    <cellStyle name="20 % - Markeringsfarve6 2 2 6" xfId="2912" xr:uid="{00000000-0005-0000-0000-00005D3E0000}"/>
    <cellStyle name="20 % - Markeringsfarve6 2 2 6 2" xfId="2913" xr:uid="{00000000-0005-0000-0000-00005E3E0000}"/>
    <cellStyle name="20 % - Markeringsfarve6 2 2 6 2 2" xfId="2914" xr:uid="{00000000-0005-0000-0000-00005F3E0000}"/>
    <cellStyle name="20 % - Markeringsfarve6 2 2 6 2 2 2" xfId="8127" xr:uid="{00000000-0005-0000-0000-0000603E0000}"/>
    <cellStyle name="20 % - Markeringsfarve6 2 2 6 2 2 2 2" xfId="16028" xr:uid="{00000000-0005-0000-0000-0000613E0000}"/>
    <cellStyle name="20 % - Markeringsfarve6 2 2 6 2 2 2 2 2" xfId="32342" xr:uid="{00000000-0005-0000-0000-0000623E0000}"/>
    <cellStyle name="20 % - Markeringsfarve6 2 2 6 2 2 2 2 3" xfId="47306" xr:uid="{00000000-0005-0000-0000-0000633E0000}"/>
    <cellStyle name="20 % - Markeringsfarve6 2 2 6 2 2 2 3" xfId="25320" xr:uid="{00000000-0005-0000-0000-0000643E0000}"/>
    <cellStyle name="20 % - Markeringsfarve6 2 2 6 2 2 2 4" xfId="40307" xr:uid="{00000000-0005-0000-0000-0000653E0000}"/>
    <cellStyle name="20 % - Markeringsfarve6 2 2 6 2 2 3" xfId="11471" xr:uid="{00000000-0005-0000-0000-0000663E0000}"/>
    <cellStyle name="20 % - Markeringsfarve6 2 2 6 2 2 3 2" xfId="27790" xr:uid="{00000000-0005-0000-0000-0000673E0000}"/>
    <cellStyle name="20 % - Markeringsfarve6 2 2 6 2 2 3 3" xfId="42756" xr:uid="{00000000-0005-0000-0000-0000683E0000}"/>
    <cellStyle name="20 % - Markeringsfarve6 2 2 6 2 2 4" xfId="20768" xr:uid="{00000000-0005-0000-0000-0000693E0000}"/>
    <cellStyle name="20 % - Markeringsfarve6 2 2 6 2 2 5" xfId="35757" xr:uid="{00000000-0005-0000-0000-00006A3E0000}"/>
    <cellStyle name="20 % - Markeringsfarve6 2 2 6 2 3" xfId="6629" xr:uid="{00000000-0005-0000-0000-00006B3E0000}"/>
    <cellStyle name="20 % - Markeringsfarve6 2 2 6 2 3 2" xfId="14543" xr:uid="{00000000-0005-0000-0000-00006C3E0000}"/>
    <cellStyle name="20 % - Markeringsfarve6 2 2 6 2 3 2 2" xfId="30857" xr:uid="{00000000-0005-0000-0000-00006D3E0000}"/>
    <cellStyle name="20 % - Markeringsfarve6 2 2 6 2 3 2 3" xfId="45821" xr:uid="{00000000-0005-0000-0000-00006E3E0000}"/>
    <cellStyle name="20 % - Markeringsfarve6 2 2 6 2 3 3" xfId="23835" xr:uid="{00000000-0005-0000-0000-00006F3E0000}"/>
    <cellStyle name="20 % - Markeringsfarve6 2 2 6 2 3 4" xfId="38822" xr:uid="{00000000-0005-0000-0000-0000703E0000}"/>
    <cellStyle name="20 % - Markeringsfarve6 2 2 6 2 4" xfId="11470" xr:uid="{00000000-0005-0000-0000-0000713E0000}"/>
    <cellStyle name="20 % - Markeringsfarve6 2 2 6 2 4 2" xfId="27789" xr:uid="{00000000-0005-0000-0000-0000723E0000}"/>
    <cellStyle name="20 % - Markeringsfarve6 2 2 6 2 4 3" xfId="42755" xr:uid="{00000000-0005-0000-0000-0000733E0000}"/>
    <cellStyle name="20 % - Markeringsfarve6 2 2 6 2 5" xfId="20767" xr:uid="{00000000-0005-0000-0000-0000743E0000}"/>
    <cellStyle name="20 % - Markeringsfarve6 2 2 6 2 6" xfId="35756" xr:uid="{00000000-0005-0000-0000-0000753E0000}"/>
    <cellStyle name="20 % - Markeringsfarve6 2 2 6 3" xfId="2915" xr:uid="{00000000-0005-0000-0000-0000763E0000}"/>
    <cellStyle name="20 % - Markeringsfarve6 2 2 6 3 2" xfId="7404" xr:uid="{00000000-0005-0000-0000-0000773E0000}"/>
    <cellStyle name="20 % - Markeringsfarve6 2 2 6 3 2 2" xfId="15314" xr:uid="{00000000-0005-0000-0000-0000783E0000}"/>
    <cellStyle name="20 % - Markeringsfarve6 2 2 6 3 2 2 2" xfId="31628" xr:uid="{00000000-0005-0000-0000-0000793E0000}"/>
    <cellStyle name="20 % - Markeringsfarve6 2 2 6 3 2 2 3" xfId="46592" xr:uid="{00000000-0005-0000-0000-00007A3E0000}"/>
    <cellStyle name="20 % - Markeringsfarve6 2 2 6 3 2 3" xfId="24606" xr:uid="{00000000-0005-0000-0000-00007B3E0000}"/>
    <cellStyle name="20 % - Markeringsfarve6 2 2 6 3 2 4" xfId="39593" xr:uid="{00000000-0005-0000-0000-00007C3E0000}"/>
    <cellStyle name="20 % - Markeringsfarve6 2 2 6 3 3" xfId="11472" xr:uid="{00000000-0005-0000-0000-00007D3E0000}"/>
    <cellStyle name="20 % - Markeringsfarve6 2 2 6 3 3 2" xfId="27791" xr:uid="{00000000-0005-0000-0000-00007E3E0000}"/>
    <cellStyle name="20 % - Markeringsfarve6 2 2 6 3 3 3" xfId="42757" xr:uid="{00000000-0005-0000-0000-00007F3E0000}"/>
    <cellStyle name="20 % - Markeringsfarve6 2 2 6 3 4" xfId="20769" xr:uid="{00000000-0005-0000-0000-0000803E0000}"/>
    <cellStyle name="20 % - Markeringsfarve6 2 2 6 3 5" xfId="35758" xr:uid="{00000000-0005-0000-0000-0000813E0000}"/>
    <cellStyle name="20 % - Markeringsfarve6 2 2 6 4" xfId="2916" xr:uid="{00000000-0005-0000-0000-0000823E0000}"/>
    <cellStyle name="20 % - Markeringsfarve6 2 2 6 4 2" xfId="8783" xr:uid="{00000000-0005-0000-0000-0000833E0000}"/>
    <cellStyle name="20 % - Markeringsfarve6 2 2 6 4 2 2" xfId="16659" xr:uid="{00000000-0005-0000-0000-0000843E0000}"/>
    <cellStyle name="20 % - Markeringsfarve6 2 2 6 4 2 2 2" xfId="32973" xr:uid="{00000000-0005-0000-0000-0000853E0000}"/>
    <cellStyle name="20 % - Markeringsfarve6 2 2 6 4 2 2 3" xfId="47937" xr:uid="{00000000-0005-0000-0000-0000863E0000}"/>
    <cellStyle name="20 % - Markeringsfarve6 2 2 6 4 2 3" xfId="25951" xr:uid="{00000000-0005-0000-0000-0000873E0000}"/>
    <cellStyle name="20 % - Markeringsfarve6 2 2 6 4 2 4" xfId="40938" xr:uid="{00000000-0005-0000-0000-0000883E0000}"/>
    <cellStyle name="20 % - Markeringsfarve6 2 2 6 4 3" xfId="11473" xr:uid="{00000000-0005-0000-0000-0000893E0000}"/>
    <cellStyle name="20 % - Markeringsfarve6 2 2 6 4 3 2" xfId="27792" xr:uid="{00000000-0005-0000-0000-00008A3E0000}"/>
    <cellStyle name="20 % - Markeringsfarve6 2 2 6 4 3 3" xfId="42758" xr:uid="{00000000-0005-0000-0000-00008B3E0000}"/>
    <cellStyle name="20 % - Markeringsfarve6 2 2 6 4 4" xfId="20770" xr:uid="{00000000-0005-0000-0000-00008C3E0000}"/>
    <cellStyle name="20 % - Markeringsfarve6 2 2 6 4 5" xfId="35759" xr:uid="{00000000-0005-0000-0000-00008D3E0000}"/>
    <cellStyle name="20 % - Markeringsfarve6 2 2 6 5" xfId="5699" xr:uid="{00000000-0005-0000-0000-00008E3E0000}"/>
    <cellStyle name="20 % - Markeringsfarve6 2 2 6 5 2" xfId="13617" xr:uid="{00000000-0005-0000-0000-00008F3E0000}"/>
    <cellStyle name="20 % - Markeringsfarve6 2 2 6 5 2 2" xfId="29931" xr:uid="{00000000-0005-0000-0000-0000903E0000}"/>
    <cellStyle name="20 % - Markeringsfarve6 2 2 6 5 2 3" xfId="44895" xr:uid="{00000000-0005-0000-0000-0000913E0000}"/>
    <cellStyle name="20 % - Markeringsfarve6 2 2 6 5 3" xfId="22909" xr:uid="{00000000-0005-0000-0000-0000923E0000}"/>
    <cellStyle name="20 % - Markeringsfarve6 2 2 6 5 4" xfId="37896" xr:uid="{00000000-0005-0000-0000-0000933E0000}"/>
    <cellStyle name="20 % - Markeringsfarve6 2 2 6 6" xfId="11469" xr:uid="{00000000-0005-0000-0000-0000943E0000}"/>
    <cellStyle name="20 % - Markeringsfarve6 2 2 6 6 2" xfId="27788" xr:uid="{00000000-0005-0000-0000-0000953E0000}"/>
    <cellStyle name="20 % - Markeringsfarve6 2 2 6 6 3" xfId="42754" xr:uid="{00000000-0005-0000-0000-0000963E0000}"/>
    <cellStyle name="20 % - Markeringsfarve6 2 2 6 7" xfId="20766" xr:uid="{00000000-0005-0000-0000-0000973E0000}"/>
    <cellStyle name="20 % - Markeringsfarve6 2 2 6 8" xfId="35755" xr:uid="{00000000-0005-0000-0000-0000983E0000}"/>
    <cellStyle name="20 % - Markeringsfarve6 2 2 7" xfId="2917" xr:uid="{00000000-0005-0000-0000-0000993E0000}"/>
    <cellStyle name="20 % - Markeringsfarve6 2 2 7 2" xfId="2918" xr:uid="{00000000-0005-0000-0000-00009A3E0000}"/>
    <cellStyle name="20 % - Markeringsfarve6 2 2 7 2 2" xfId="7564" xr:uid="{00000000-0005-0000-0000-00009B3E0000}"/>
    <cellStyle name="20 % - Markeringsfarve6 2 2 7 2 2 2" xfId="15465" xr:uid="{00000000-0005-0000-0000-00009C3E0000}"/>
    <cellStyle name="20 % - Markeringsfarve6 2 2 7 2 2 2 2" xfId="31779" xr:uid="{00000000-0005-0000-0000-00009D3E0000}"/>
    <cellStyle name="20 % - Markeringsfarve6 2 2 7 2 2 2 3" xfId="46743" xr:uid="{00000000-0005-0000-0000-00009E3E0000}"/>
    <cellStyle name="20 % - Markeringsfarve6 2 2 7 2 2 3" xfId="24757" xr:uid="{00000000-0005-0000-0000-00009F3E0000}"/>
    <cellStyle name="20 % - Markeringsfarve6 2 2 7 2 2 4" xfId="39744" xr:uid="{00000000-0005-0000-0000-0000A03E0000}"/>
    <cellStyle name="20 % - Markeringsfarve6 2 2 7 2 3" xfId="11475" xr:uid="{00000000-0005-0000-0000-0000A13E0000}"/>
    <cellStyle name="20 % - Markeringsfarve6 2 2 7 2 3 2" xfId="27794" xr:uid="{00000000-0005-0000-0000-0000A23E0000}"/>
    <cellStyle name="20 % - Markeringsfarve6 2 2 7 2 3 3" xfId="42760" xr:uid="{00000000-0005-0000-0000-0000A33E0000}"/>
    <cellStyle name="20 % - Markeringsfarve6 2 2 7 2 4" xfId="20772" xr:uid="{00000000-0005-0000-0000-0000A43E0000}"/>
    <cellStyle name="20 % - Markeringsfarve6 2 2 7 2 5" xfId="35761" xr:uid="{00000000-0005-0000-0000-0000A53E0000}"/>
    <cellStyle name="20 % - Markeringsfarve6 2 2 7 3" xfId="6155" xr:uid="{00000000-0005-0000-0000-0000A63E0000}"/>
    <cellStyle name="20 % - Markeringsfarve6 2 2 7 3 2" xfId="14072" xr:uid="{00000000-0005-0000-0000-0000A73E0000}"/>
    <cellStyle name="20 % - Markeringsfarve6 2 2 7 3 2 2" xfId="30386" xr:uid="{00000000-0005-0000-0000-0000A83E0000}"/>
    <cellStyle name="20 % - Markeringsfarve6 2 2 7 3 2 3" xfId="45350" xr:uid="{00000000-0005-0000-0000-0000A93E0000}"/>
    <cellStyle name="20 % - Markeringsfarve6 2 2 7 3 3" xfId="23364" xr:uid="{00000000-0005-0000-0000-0000AA3E0000}"/>
    <cellStyle name="20 % - Markeringsfarve6 2 2 7 3 4" xfId="38351" xr:uid="{00000000-0005-0000-0000-0000AB3E0000}"/>
    <cellStyle name="20 % - Markeringsfarve6 2 2 7 4" xfId="11474" xr:uid="{00000000-0005-0000-0000-0000AC3E0000}"/>
    <cellStyle name="20 % - Markeringsfarve6 2 2 7 4 2" xfId="27793" xr:uid="{00000000-0005-0000-0000-0000AD3E0000}"/>
    <cellStyle name="20 % - Markeringsfarve6 2 2 7 4 3" xfId="42759" xr:uid="{00000000-0005-0000-0000-0000AE3E0000}"/>
    <cellStyle name="20 % - Markeringsfarve6 2 2 7 5" xfId="20771" xr:uid="{00000000-0005-0000-0000-0000AF3E0000}"/>
    <cellStyle name="20 % - Markeringsfarve6 2 2 7 6" xfId="35760" xr:uid="{00000000-0005-0000-0000-0000B03E0000}"/>
    <cellStyle name="20 % - Markeringsfarve6 2 2 8" xfId="2919" xr:uid="{00000000-0005-0000-0000-0000B13E0000}"/>
    <cellStyle name="20 % - Markeringsfarve6 2 2 8 2" xfId="6792" xr:uid="{00000000-0005-0000-0000-0000B23E0000}"/>
    <cellStyle name="20 % - Markeringsfarve6 2 2 8 2 2" xfId="14703" xr:uid="{00000000-0005-0000-0000-0000B33E0000}"/>
    <cellStyle name="20 % - Markeringsfarve6 2 2 8 2 2 2" xfId="31017" xr:uid="{00000000-0005-0000-0000-0000B43E0000}"/>
    <cellStyle name="20 % - Markeringsfarve6 2 2 8 2 2 3" xfId="45981" xr:uid="{00000000-0005-0000-0000-0000B53E0000}"/>
    <cellStyle name="20 % - Markeringsfarve6 2 2 8 2 3" xfId="23995" xr:uid="{00000000-0005-0000-0000-0000B63E0000}"/>
    <cellStyle name="20 % - Markeringsfarve6 2 2 8 2 4" xfId="38982" xr:uid="{00000000-0005-0000-0000-0000B73E0000}"/>
    <cellStyle name="20 % - Markeringsfarve6 2 2 8 3" xfId="11476" xr:uid="{00000000-0005-0000-0000-0000B83E0000}"/>
    <cellStyle name="20 % - Markeringsfarve6 2 2 8 3 2" xfId="27795" xr:uid="{00000000-0005-0000-0000-0000B93E0000}"/>
    <cellStyle name="20 % - Markeringsfarve6 2 2 8 3 3" xfId="42761" xr:uid="{00000000-0005-0000-0000-0000BA3E0000}"/>
    <cellStyle name="20 % - Markeringsfarve6 2 2 8 4" xfId="20773" xr:uid="{00000000-0005-0000-0000-0000BB3E0000}"/>
    <cellStyle name="20 % - Markeringsfarve6 2 2 8 5" xfId="35762" xr:uid="{00000000-0005-0000-0000-0000BC3E0000}"/>
    <cellStyle name="20 % - Markeringsfarve6 2 2 9" xfId="2920" xr:uid="{00000000-0005-0000-0000-0000BD3E0000}"/>
    <cellStyle name="20 % - Markeringsfarve6 2 2 9 2" xfId="8642" xr:uid="{00000000-0005-0000-0000-0000BE3E0000}"/>
    <cellStyle name="20 % - Markeringsfarve6 2 2 9 2 2" xfId="16525" xr:uid="{00000000-0005-0000-0000-0000BF3E0000}"/>
    <cellStyle name="20 % - Markeringsfarve6 2 2 9 2 2 2" xfId="32839" xr:uid="{00000000-0005-0000-0000-0000C03E0000}"/>
    <cellStyle name="20 % - Markeringsfarve6 2 2 9 2 2 3" xfId="47803" xr:uid="{00000000-0005-0000-0000-0000C13E0000}"/>
    <cellStyle name="20 % - Markeringsfarve6 2 2 9 2 3" xfId="25817" xr:uid="{00000000-0005-0000-0000-0000C23E0000}"/>
    <cellStyle name="20 % - Markeringsfarve6 2 2 9 2 4" xfId="40804" xr:uid="{00000000-0005-0000-0000-0000C33E0000}"/>
    <cellStyle name="20 % - Markeringsfarve6 2 2 9 3" xfId="11477" xr:uid="{00000000-0005-0000-0000-0000C43E0000}"/>
    <cellStyle name="20 % - Markeringsfarve6 2 2 9 3 2" xfId="27796" xr:uid="{00000000-0005-0000-0000-0000C53E0000}"/>
    <cellStyle name="20 % - Markeringsfarve6 2 2 9 3 3" xfId="42762" xr:uid="{00000000-0005-0000-0000-0000C63E0000}"/>
    <cellStyle name="20 % - Markeringsfarve6 2 2 9 4" xfId="20774" xr:uid="{00000000-0005-0000-0000-0000C73E0000}"/>
    <cellStyle name="20 % - Markeringsfarve6 2 2 9 5" xfId="35763" xr:uid="{00000000-0005-0000-0000-0000C83E0000}"/>
    <cellStyle name="20 % - Markeringsfarve6 2 3" xfId="2921" xr:uid="{00000000-0005-0000-0000-0000C93E0000}"/>
    <cellStyle name="20 % - Markeringsfarve6 2 3 10" xfId="5700" xr:uid="{00000000-0005-0000-0000-0000CA3E0000}"/>
    <cellStyle name="20 % - Markeringsfarve6 2 3 10 2" xfId="13618" xr:uid="{00000000-0005-0000-0000-0000CB3E0000}"/>
    <cellStyle name="20 % - Markeringsfarve6 2 3 10 2 2" xfId="29932" xr:uid="{00000000-0005-0000-0000-0000CC3E0000}"/>
    <cellStyle name="20 % - Markeringsfarve6 2 3 10 2 3" xfId="44896" xr:uid="{00000000-0005-0000-0000-0000CD3E0000}"/>
    <cellStyle name="20 % - Markeringsfarve6 2 3 10 3" xfId="22910" xr:uid="{00000000-0005-0000-0000-0000CE3E0000}"/>
    <cellStyle name="20 % - Markeringsfarve6 2 3 10 4" xfId="37897" xr:uid="{00000000-0005-0000-0000-0000CF3E0000}"/>
    <cellStyle name="20 % - Markeringsfarve6 2 3 11" xfId="11478" xr:uid="{00000000-0005-0000-0000-0000D03E0000}"/>
    <cellStyle name="20 % - Markeringsfarve6 2 3 11 2" xfId="27797" xr:uid="{00000000-0005-0000-0000-0000D13E0000}"/>
    <cellStyle name="20 % - Markeringsfarve6 2 3 11 3" xfId="42763" xr:uid="{00000000-0005-0000-0000-0000D23E0000}"/>
    <cellStyle name="20 % - Markeringsfarve6 2 3 12" xfId="20775" xr:uid="{00000000-0005-0000-0000-0000D33E0000}"/>
    <cellStyle name="20 % - Markeringsfarve6 2 3 13" xfId="35764" xr:uid="{00000000-0005-0000-0000-0000D43E0000}"/>
    <cellStyle name="20 % - Markeringsfarve6 2 3 14" xfId="53345" xr:uid="{00000000-0005-0000-0000-0000D53E0000}"/>
    <cellStyle name="20 % - Markeringsfarve6 2 3 2" xfId="2922" xr:uid="{00000000-0005-0000-0000-0000D63E0000}"/>
    <cellStyle name="20 % - Markeringsfarve6 2 3 2 2" xfId="2923" xr:uid="{00000000-0005-0000-0000-0000D73E0000}"/>
    <cellStyle name="20 % - Markeringsfarve6 2 3 2 2 2" xfId="2924" xr:uid="{00000000-0005-0000-0000-0000D83E0000}"/>
    <cellStyle name="20 % - Markeringsfarve6 2 3 2 2 2 2" xfId="7722" xr:uid="{00000000-0005-0000-0000-0000D93E0000}"/>
    <cellStyle name="20 % - Markeringsfarve6 2 3 2 2 2 2 2" xfId="15623" xr:uid="{00000000-0005-0000-0000-0000DA3E0000}"/>
    <cellStyle name="20 % - Markeringsfarve6 2 3 2 2 2 2 2 2" xfId="31937" xr:uid="{00000000-0005-0000-0000-0000DB3E0000}"/>
    <cellStyle name="20 % - Markeringsfarve6 2 3 2 2 2 2 2 3" xfId="46901" xr:uid="{00000000-0005-0000-0000-0000DC3E0000}"/>
    <cellStyle name="20 % - Markeringsfarve6 2 3 2 2 2 2 3" xfId="24915" xr:uid="{00000000-0005-0000-0000-0000DD3E0000}"/>
    <cellStyle name="20 % - Markeringsfarve6 2 3 2 2 2 2 4" xfId="39902" xr:uid="{00000000-0005-0000-0000-0000DE3E0000}"/>
    <cellStyle name="20 % - Markeringsfarve6 2 3 2 2 2 3" xfId="11481" xr:uid="{00000000-0005-0000-0000-0000DF3E0000}"/>
    <cellStyle name="20 % - Markeringsfarve6 2 3 2 2 2 3 2" xfId="27800" xr:uid="{00000000-0005-0000-0000-0000E03E0000}"/>
    <cellStyle name="20 % - Markeringsfarve6 2 3 2 2 2 3 3" xfId="42766" xr:uid="{00000000-0005-0000-0000-0000E13E0000}"/>
    <cellStyle name="20 % - Markeringsfarve6 2 3 2 2 2 4" xfId="20778" xr:uid="{00000000-0005-0000-0000-0000E23E0000}"/>
    <cellStyle name="20 % - Markeringsfarve6 2 3 2 2 2 5" xfId="35767" xr:uid="{00000000-0005-0000-0000-0000E33E0000}"/>
    <cellStyle name="20 % - Markeringsfarve6 2 3 2 2 3" xfId="6287" xr:uid="{00000000-0005-0000-0000-0000E43E0000}"/>
    <cellStyle name="20 % - Markeringsfarve6 2 3 2 2 3 2" xfId="14204" xr:uid="{00000000-0005-0000-0000-0000E53E0000}"/>
    <cellStyle name="20 % - Markeringsfarve6 2 3 2 2 3 2 2" xfId="30518" xr:uid="{00000000-0005-0000-0000-0000E63E0000}"/>
    <cellStyle name="20 % - Markeringsfarve6 2 3 2 2 3 2 3" xfId="45482" xr:uid="{00000000-0005-0000-0000-0000E73E0000}"/>
    <cellStyle name="20 % - Markeringsfarve6 2 3 2 2 3 3" xfId="23496" xr:uid="{00000000-0005-0000-0000-0000E83E0000}"/>
    <cellStyle name="20 % - Markeringsfarve6 2 3 2 2 3 4" xfId="38483" xr:uid="{00000000-0005-0000-0000-0000E93E0000}"/>
    <cellStyle name="20 % - Markeringsfarve6 2 3 2 2 4" xfId="11480" xr:uid="{00000000-0005-0000-0000-0000EA3E0000}"/>
    <cellStyle name="20 % - Markeringsfarve6 2 3 2 2 4 2" xfId="27799" xr:uid="{00000000-0005-0000-0000-0000EB3E0000}"/>
    <cellStyle name="20 % - Markeringsfarve6 2 3 2 2 4 3" xfId="42765" xr:uid="{00000000-0005-0000-0000-0000EC3E0000}"/>
    <cellStyle name="20 % - Markeringsfarve6 2 3 2 2 5" xfId="20777" xr:uid="{00000000-0005-0000-0000-0000ED3E0000}"/>
    <cellStyle name="20 % - Markeringsfarve6 2 3 2 2 6" xfId="35766" xr:uid="{00000000-0005-0000-0000-0000EE3E0000}"/>
    <cellStyle name="20 % - Markeringsfarve6 2 3 2 2 7" xfId="57149" xr:uid="{00000000-0005-0000-0000-0000EF3E0000}"/>
    <cellStyle name="20 % - Markeringsfarve6 2 3 2 3" xfId="2925" xr:uid="{00000000-0005-0000-0000-0000F03E0000}"/>
    <cellStyle name="20 % - Markeringsfarve6 2 3 2 3 2" xfId="6952" xr:uid="{00000000-0005-0000-0000-0000F13E0000}"/>
    <cellStyle name="20 % - Markeringsfarve6 2 3 2 3 2 2" xfId="14863" xr:uid="{00000000-0005-0000-0000-0000F23E0000}"/>
    <cellStyle name="20 % - Markeringsfarve6 2 3 2 3 2 2 2" xfId="31177" xr:uid="{00000000-0005-0000-0000-0000F33E0000}"/>
    <cellStyle name="20 % - Markeringsfarve6 2 3 2 3 2 2 3" xfId="46141" xr:uid="{00000000-0005-0000-0000-0000F43E0000}"/>
    <cellStyle name="20 % - Markeringsfarve6 2 3 2 3 2 3" xfId="24155" xr:uid="{00000000-0005-0000-0000-0000F53E0000}"/>
    <cellStyle name="20 % - Markeringsfarve6 2 3 2 3 2 4" xfId="39142" xr:uid="{00000000-0005-0000-0000-0000F63E0000}"/>
    <cellStyle name="20 % - Markeringsfarve6 2 3 2 3 3" xfId="11482" xr:uid="{00000000-0005-0000-0000-0000F73E0000}"/>
    <cellStyle name="20 % - Markeringsfarve6 2 3 2 3 3 2" xfId="27801" xr:uid="{00000000-0005-0000-0000-0000F83E0000}"/>
    <cellStyle name="20 % - Markeringsfarve6 2 3 2 3 3 3" xfId="42767" xr:uid="{00000000-0005-0000-0000-0000F93E0000}"/>
    <cellStyle name="20 % - Markeringsfarve6 2 3 2 3 4" xfId="20779" xr:uid="{00000000-0005-0000-0000-0000FA3E0000}"/>
    <cellStyle name="20 % - Markeringsfarve6 2 3 2 3 5" xfId="35768" xr:uid="{00000000-0005-0000-0000-0000FB3E0000}"/>
    <cellStyle name="20 % - Markeringsfarve6 2 3 2 4" xfId="2926" xr:uid="{00000000-0005-0000-0000-0000FC3E0000}"/>
    <cellStyle name="20 % - Markeringsfarve6 2 3 2 4 2" xfId="8734" xr:uid="{00000000-0005-0000-0000-0000FD3E0000}"/>
    <cellStyle name="20 % - Markeringsfarve6 2 3 2 4 2 2" xfId="16613" xr:uid="{00000000-0005-0000-0000-0000FE3E0000}"/>
    <cellStyle name="20 % - Markeringsfarve6 2 3 2 4 2 2 2" xfId="32927" xr:uid="{00000000-0005-0000-0000-0000FF3E0000}"/>
    <cellStyle name="20 % - Markeringsfarve6 2 3 2 4 2 2 3" xfId="47891" xr:uid="{00000000-0005-0000-0000-0000003F0000}"/>
    <cellStyle name="20 % - Markeringsfarve6 2 3 2 4 2 3" xfId="25905" xr:uid="{00000000-0005-0000-0000-0000013F0000}"/>
    <cellStyle name="20 % - Markeringsfarve6 2 3 2 4 2 4" xfId="40892" xr:uid="{00000000-0005-0000-0000-0000023F0000}"/>
    <cellStyle name="20 % - Markeringsfarve6 2 3 2 4 3" xfId="11483" xr:uid="{00000000-0005-0000-0000-0000033F0000}"/>
    <cellStyle name="20 % - Markeringsfarve6 2 3 2 4 3 2" xfId="27802" xr:uid="{00000000-0005-0000-0000-0000043F0000}"/>
    <cellStyle name="20 % - Markeringsfarve6 2 3 2 4 3 3" xfId="42768" xr:uid="{00000000-0005-0000-0000-0000053F0000}"/>
    <cellStyle name="20 % - Markeringsfarve6 2 3 2 4 4" xfId="20780" xr:uid="{00000000-0005-0000-0000-0000063F0000}"/>
    <cellStyle name="20 % - Markeringsfarve6 2 3 2 4 5" xfId="35769" xr:uid="{00000000-0005-0000-0000-0000073F0000}"/>
    <cellStyle name="20 % - Markeringsfarve6 2 3 2 5" xfId="5701" xr:uid="{00000000-0005-0000-0000-0000083F0000}"/>
    <cellStyle name="20 % - Markeringsfarve6 2 3 2 5 2" xfId="13619" xr:uid="{00000000-0005-0000-0000-0000093F0000}"/>
    <cellStyle name="20 % - Markeringsfarve6 2 3 2 5 2 2" xfId="29933" xr:uid="{00000000-0005-0000-0000-00000A3F0000}"/>
    <cellStyle name="20 % - Markeringsfarve6 2 3 2 5 2 3" xfId="44897" xr:uid="{00000000-0005-0000-0000-00000B3F0000}"/>
    <cellStyle name="20 % - Markeringsfarve6 2 3 2 5 3" xfId="22911" xr:uid="{00000000-0005-0000-0000-00000C3F0000}"/>
    <cellStyle name="20 % - Markeringsfarve6 2 3 2 5 4" xfId="37898" xr:uid="{00000000-0005-0000-0000-00000D3F0000}"/>
    <cellStyle name="20 % - Markeringsfarve6 2 3 2 6" xfId="11479" xr:uid="{00000000-0005-0000-0000-00000E3F0000}"/>
    <cellStyle name="20 % - Markeringsfarve6 2 3 2 6 2" xfId="27798" xr:uid="{00000000-0005-0000-0000-00000F3F0000}"/>
    <cellStyle name="20 % - Markeringsfarve6 2 3 2 6 3" xfId="42764" xr:uid="{00000000-0005-0000-0000-0000103F0000}"/>
    <cellStyle name="20 % - Markeringsfarve6 2 3 2 7" xfId="20776" xr:uid="{00000000-0005-0000-0000-0000113F0000}"/>
    <cellStyle name="20 % - Markeringsfarve6 2 3 2 8" xfId="35765" xr:uid="{00000000-0005-0000-0000-0000123F0000}"/>
    <cellStyle name="20 % - Markeringsfarve6 2 3 2 9" xfId="53982" xr:uid="{00000000-0005-0000-0000-0000133F0000}"/>
    <cellStyle name="20 % - Markeringsfarve6 2 3 3" xfId="2927" xr:uid="{00000000-0005-0000-0000-0000143F0000}"/>
    <cellStyle name="20 % - Markeringsfarve6 2 3 3 2" xfId="2928" xr:uid="{00000000-0005-0000-0000-0000153F0000}"/>
    <cellStyle name="20 % - Markeringsfarve6 2 3 3 2 2" xfId="2929" xr:uid="{00000000-0005-0000-0000-0000163F0000}"/>
    <cellStyle name="20 % - Markeringsfarve6 2 3 3 2 2 2" xfId="7774" xr:uid="{00000000-0005-0000-0000-0000173F0000}"/>
    <cellStyle name="20 % - Markeringsfarve6 2 3 3 2 2 2 2" xfId="15675" xr:uid="{00000000-0005-0000-0000-0000183F0000}"/>
    <cellStyle name="20 % - Markeringsfarve6 2 3 3 2 2 2 2 2" xfId="31989" xr:uid="{00000000-0005-0000-0000-0000193F0000}"/>
    <cellStyle name="20 % - Markeringsfarve6 2 3 3 2 2 2 2 3" xfId="46953" xr:uid="{00000000-0005-0000-0000-00001A3F0000}"/>
    <cellStyle name="20 % - Markeringsfarve6 2 3 3 2 2 2 3" xfId="24967" xr:uid="{00000000-0005-0000-0000-00001B3F0000}"/>
    <cellStyle name="20 % - Markeringsfarve6 2 3 3 2 2 2 4" xfId="39954" xr:uid="{00000000-0005-0000-0000-00001C3F0000}"/>
    <cellStyle name="20 % - Markeringsfarve6 2 3 3 2 2 3" xfId="11486" xr:uid="{00000000-0005-0000-0000-00001D3F0000}"/>
    <cellStyle name="20 % - Markeringsfarve6 2 3 3 2 2 3 2" xfId="27805" xr:uid="{00000000-0005-0000-0000-00001E3F0000}"/>
    <cellStyle name="20 % - Markeringsfarve6 2 3 3 2 2 3 3" xfId="42771" xr:uid="{00000000-0005-0000-0000-00001F3F0000}"/>
    <cellStyle name="20 % - Markeringsfarve6 2 3 3 2 2 4" xfId="20783" xr:uid="{00000000-0005-0000-0000-0000203F0000}"/>
    <cellStyle name="20 % - Markeringsfarve6 2 3 3 2 2 5" xfId="35772" xr:uid="{00000000-0005-0000-0000-0000213F0000}"/>
    <cellStyle name="20 % - Markeringsfarve6 2 3 3 2 3" xfId="6329" xr:uid="{00000000-0005-0000-0000-0000223F0000}"/>
    <cellStyle name="20 % - Markeringsfarve6 2 3 3 2 3 2" xfId="14246" xr:uid="{00000000-0005-0000-0000-0000233F0000}"/>
    <cellStyle name="20 % - Markeringsfarve6 2 3 3 2 3 2 2" xfId="30560" xr:uid="{00000000-0005-0000-0000-0000243F0000}"/>
    <cellStyle name="20 % - Markeringsfarve6 2 3 3 2 3 2 3" xfId="45524" xr:uid="{00000000-0005-0000-0000-0000253F0000}"/>
    <cellStyle name="20 % - Markeringsfarve6 2 3 3 2 3 3" xfId="23538" xr:uid="{00000000-0005-0000-0000-0000263F0000}"/>
    <cellStyle name="20 % - Markeringsfarve6 2 3 3 2 3 4" xfId="38525" xr:uid="{00000000-0005-0000-0000-0000273F0000}"/>
    <cellStyle name="20 % - Markeringsfarve6 2 3 3 2 4" xfId="11485" xr:uid="{00000000-0005-0000-0000-0000283F0000}"/>
    <cellStyle name="20 % - Markeringsfarve6 2 3 3 2 4 2" xfId="27804" xr:uid="{00000000-0005-0000-0000-0000293F0000}"/>
    <cellStyle name="20 % - Markeringsfarve6 2 3 3 2 4 3" xfId="42770" xr:uid="{00000000-0005-0000-0000-00002A3F0000}"/>
    <cellStyle name="20 % - Markeringsfarve6 2 3 3 2 5" xfId="20782" xr:uid="{00000000-0005-0000-0000-00002B3F0000}"/>
    <cellStyle name="20 % - Markeringsfarve6 2 3 3 2 6" xfId="35771" xr:uid="{00000000-0005-0000-0000-00002C3F0000}"/>
    <cellStyle name="20 % - Markeringsfarve6 2 3 3 3" xfId="2930" xr:uid="{00000000-0005-0000-0000-00002D3F0000}"/>
    <cellStyle name="20 % - Markeringsfarve6 2 3 3 3 2" xfId="7004" xr:uid="{00000000-0005-0000-0000-00002E3F0000}"/>
    <cellStyle name="20 % - Markeringsfarve6 2 3 3 3 2 2" xfId="14915" xr:uid="{00000000-0005-0000-0000-00002F3F0000}"/>
    <cellStyle name="20 % - Markeringsfarve6 2 3 3 3 2 2 2" xfId="31229" xr:uid="{00000000-0005-0000-0000-0000303F0000}"/>
    <cellStyle name="20 % - Markeringsfarve6 2 3 3 3 2 2 3" xfId="46193" xr:uid="{00000000-0005-0000-0000-0000313F0000}"/>
    <cellStyle name="20 % - Markeringsfarve6 2 3 3 3 2 3" xfId="24207" xr:uid="{00000000-0005-0000-0000-0000323F0000}"/>
    <cellStyle name="20 % - Markeringsfarve6 2 3 3 3 2 4" xfId="39194" xr:uid="{00000000-0005-0000-0000-0000333F0000}"/>
    <cellStyle name="20 % - Markeringsfarve6 2 3 3 3 3" xfId="11487" xr:uid="{00000000-0005-0000-0000-0000343F0000}"/>
    <cellStyle name="20 % - Markeringsfarve6 2 3 3 3 3 2" xfId="27806" xr:uid="{00000000-0005-0000-0000-0000353F0000}"/>
    <cellStyle name="20 % - Markeringsfarve6 2 3 3 3 3 3" xfId="42772" xr:uid="{00000000-0005-0000-0000-0000363F0000}"/>
    <cellStyle name="20 % - Markeringsfarve6 2 3 3 3 4" xfId="20784" xr:uid="{00000000-0005-0000-0000-0000373F0000}"/>
    <cellStyle name="20 % - Markeringsfarve6 2 3 3 3 5" xfId="35773" xr:uid="{00000000-0005-0000-0000-0000383F0000}"/>
    <cellStyle name="20 % - Markeringsfarve6 2 3 3 4" xfId="2931" xr:uid="{00000000-0005-0000-0000-0000393F0000}"/>
    <cellStyle name="20 % - Markeringsfarve6 2 3 3 4 2" xfId="8458" xr:uid="{00000000-0005-0000-0000-00003A3F0000}"/>
    <cellStyle name="20 % - Markeringsfarve6 2 3 3 4 2 2" xfId="16349" xr:uid="{00000000-0005-0000-0000-00003B3F0000}"/>
    <cellStyle name="20 % - Markeringsfarve6 2 3 3 4 2 2 2" xfId="32663" xr:uid="{00000000-0005-0000-0000-00003C3F0000}"/>
    <cellStyle name="20 % - Markeringsfarve6 2 3 3 4 2 2 3" xfId="47627" xr:uid="{00000000-0005-0000-0000-00003D3F0000}"/>
    <cellStyle name="20 % - Markeringsfarve6 2 3 3 4 2 3" xfId="25641" xr:uid="{00000000-0005-0000-0000-00003E3F0000}"/>
    <cellStyle name="20 % - Markeringsfarve6 2 3 3 4 2 4" xfId="40628" xr:uid="{00000000-0005-0000-0000-00003F3F0000}"/>
    <cellStyle name="20 % - Markeringsfarve6 2 3 3 4 3" xfId="11488" xr:uid="{00000000-0005-0000-0000-0000403F0000}"/>
    <cellStyle name="20 % - Markeringsfarve6 2 3 3 4 3 2" xfId="27807" xr:uid="{00000000-0005-0000-0000-0000413F0000}"/>
    <cellStyle name="20 % - Markeringsfarve6 2 3 3 4 3 3" xfId="42773" xr:uid="{00000000-0005-0000-0000-0000423F0000}"/>
    <cellStyle name="20 % - Markeringsfarve6 2 3 3 4 4" xfId="20785" xr:uid="{00000000-0005-0000-0000-0000433F0000}"/>
    <cellStyle name="20 % - Markeringsfarve6 2 3 3 4 5" xfId="35774" xr:uid="{00000000-0005-0000-0000-0000443F0000}"/>
    <cellStyle name="20 % - Markeringsfarve6 2 3 3 5" xfId="5702" xr:uid="{00000000-0005-0000-0000-0000453F0000}"/>
    <cellStyle name="20 % - Markeringsfarve6 2 3 3 5 2" xfId="13620" xr:uid="{00000000-0005-0000-0000-0000463F0000}"/>
    <cellStyle name="20 % - Markeringsfarve6 2 3 3 5 2 2" xfId="29934" xr:uid="{00000000-0005-0000-0000-0000473F0000}"/>
    <cellStyle name="20 % - Markeringsfarve6 2 3 3 5 2 3" xfId="44898" xr:uid="{00000000-0005-0000-0000-0000483F0000}"/>
    <cellStyle name="20 % - Markeringsfarve6 2 3 3 5 3" xfId="22912" xr:uid="{00000000-0005-0000-0000-0000493F0000}"/>
    <cellStyle name="20 % - Markeringsfarve6 2 3 3 5 4" xfId="37899" xr:uid="{00000000-0005-0000-0000-00004A3F0000}"/>
    <cellStyle name="20 % - Markeringsfarve6 2 3 3 6" xfId="11484" xr:uid="{00000000-0005-0000-0000-00004B3F0000}"/>
    <cellStyle name="20 % - Markeringsfarve6 2 3 3 6 2" xfId="27803" xr:uid="{00000000-0005-0000-0000-00004C3F0000}"/>
    <cellStyle name="20 % - Markeringsfarve6 2 3 3 6 3" xfId="42769" xr:uid="{00000000-0005-0000-0000-00004D3F0000}"/>
    <cellStyle name="20 % - Markeringsfarve6 2 3 3 7" xfId="20781" xr:uid="{00000000-0005-0000-0000-00004E3F0000}"/>
    <cellStyle name="20 % - Markeringsfarve6 2 3 3 8" xfId="35770" xr:uid="{00000000-0005-0000-0000-00004F3F0000}"/>
    <cellStyle name="20 % - Markeringsfarve6 2 3 3 9" xfId="56526" xr:uid="{00000000-0005-0000-0000-0000503F0000}"/>
    <cellStyle name="20 % - Markeringsfarve6 2 3 4" xfId="2932" xr:uid="{00000000-0005-0000-0000-0000513F0000}"/>
    <cellStyle name="20 % - Markeringsfarve6 2 3 4 2" xfId="2933" xr:uid="{00000000-0005-0000-0000-0000523F0000}"/>
    <cellStyle name="20 % - Markeringsfarve6 2 3 4 2 2" xfId="2934" xr:uid="{00000000-0005-0000-0000-0000533F0000}"/>
    <cellStyle name="20 % - Markeringsfarve6 2 3 4 2 2 2" xfId="7960" xr:uid="{00000000-0005-0000-0000-0000543F0000}"/>
    <cellStyle name="20 % - Markeringsfarve6 2 3 4 2 2 2 2" xfId="15861" xr:uid="{00000000-0005-0000-0000-0000553F0000}"/>
    <cellStyle name="20 % - Markeringsfarve6 2 3 4 2 2 2 2 2" xfId="32175" xr:uid="{00000000-0005-0000-0000-0000563F0000}"/>
    <cellStyle name="20 % - Markeringsfarve6 2 3 4 2 2 2 2 3" xfId="47139" xr:uid="{00000000-0005-0000-0000-0000573F0000}"/>
    <cellStyle name="20 % - Markeringsfarve6 2 3 4 2 2 2 3" xfId="25153" xr:uid="{00000000-0005-0000-0000-0000583F0000}"/>
    <cellStyle name="20 % - Markeringsfarve6 2 3 4 2 2 2 4" xfId="40140" xr:uid="{00000000-0005-0000-0000-0000593F0000}"/>
    <cellStyle name="20 % - Markeringsfarve6 2 3 4 2 2 3" xfId="11491" xr:uid="{00000000-0005-0000-0000-00005A3F0000}"/>
    <cellStyle name="20 % - Markeringsfarve6 2 3 4 2 2 3 2" xfId="27810" xr:uid="{00000000-0005-0000-0000-00005B3F0000}"/>
    <cellStyle name="20 % - Markeringsfarve6 2 3 4 2 2 3 3" xfId="42776" xr:uid="{00000000-0005-0000-0000-00005C3F0000}"/>
    <cellStyle name="20 % - Markeringsfarve6 2 3 4 2 2 4" xfId="20788" xr:uid="{00000000-0005-0000-0000-00005D3F0000}"/>
    <cellStyle name="20 % - Markeringsfarve6 2 3 4 2 2 5" xfId="35777" xr:uid="{00000000-0005-0000-0000-00005E3F0000}"/>
    <cellStyle name="20 % - Markeringsfarve6 2 3 4 2 3" xfId="6489" xr:uid="{00000000-0005-0000-0000-00005F3F0000}"/>
    <cellStyle name="20 % - Markeringsfarve6 2 3 4 2 3 2" xfId="14403" xr:uid="{00000000-0005-0000-0000-0000603F0000}"/>
    <cellStyle name="20 % - Markeringsfarve6 2 3 4 2 3 2 2" xfId="30717" xr:uid="{00000000-0005-0000-0000-0000613F0000}"/>
    <cellStyle name="20 % - Markeringsfarve6 2 3 4 2 3 2 3" xfId="45681" xr:uid="{00000000-0005-0000-0000-0000623F0000}"/>
    <cellStyle name="20 % - Markeringsfarve6 2 3 4 2 3 3" xfId="23695" xr:uid="{00000000-0005-0000-0000-0000633F0000}"/>
    <cellStyle name="20 % - Markeringsfarve6 2 3 4 2 3 4" xfId="38682" xr:uid="{00000000-0005-0000-0000-0000643F0000}"/>
    <cellStyle name="20 % - Markeringsfarve6 2 3 4 2 4" xfId="11490" xr:uid="{00000000-0005-0000-0000-0000653F0000}"/>
    <cellStyle name="20 % - Markeringsfarve6 2 3 4 2 4 2" xfId="27809" xr:uid="{00000000-0005-0000-0000-0000663F0000}"/>
    <cellStyle name="20 % - Markeringsfarve6 2 3 4 2 4 3" xfId="42775" xr:uid="{00000000-0005-0000-0000-0000673F0000}"/>
    <cellStyle name="20 % - Markeringsfarve6 2 3 4 2 5" xfId="20787" xr:uid="{00000000-0005-0000-0000-0000683F0000}"/>
    <cellStyle name="20 % - Markeringsfarve6 2 3 4 2 6" xfId="35776" xr:uid="{00000000-0005-0000-0000-0000693F0000}"/>
    <cellStyle name="20 % - Markeringsfarve6 2 3 4 3" xfId="2935" xr:uid="{00000000-0005-0000-0000-00006A3F0000}"/>
    <cellStyle name="20 % - Markeringsfarve6 2 3 4 3 2" xfId="7236" xr:uid="{00000000-0005-0000-0000-00006B3F0000}"/>
    <cellStyle name="20 % - Markeringsfarve6 2 3 4 3 2 2" xfId="15146" xr:uid="{00000000-0005-0000-0000-00006C3F0000}"/>
    <cellStyle name="20 % - Markeringsfarve6 2 3 4 3 2 2 2" xfId="31460" xr:uid="{00000000-0005-0000-0000-00006D3F0000}"/>
    <cellStyle name="20 % - Markeringsfarve6 2 3 4 3 2 2 3" xfId="46424" xr:uid="{00000000-0005-0000-0000-00006E3F0000}"/>
    <cellStyle name="20 % - Markeringsfarve6 2 3 4 3 2 3" xfId="24438" xr:uid="{00000000-0005-0000-0000-00006F3F0000}"/>
    <cellStyle name="20 % - Markeringsfarve6 2 3 4 3 2 4" xfId="39425" xr:uid="{00000000-0005-0000-0000-0000703F0000}"/>
    <cellStyle name="20 % - Markeringsfarve6 2 3 4 3 3" xfId="11492" xr:uid="{00000000-0005-0000-0000-0000713F0000}"/>
    <cellStyle name="20 % - Markeringsfarve6 2 3 4 3 3 2" xfId="27811" xr:uid="{00000000-0005-0000-0000-0000723F0000}"/>
    <cellStyle name="20 % - Markeringsfarve6 2 3 4 3 3 3" xfId="42777" xr:uid="{00000000-0005-0000-0000-0000733F0000}"/>
    <cellStyle name="20 % - Markeringsfarve6 2 3 4 3 4" xfId="20789" xr:uid="{00000000-0005-0000-0000-0000743F0000}"/>
    <cellStyle name="20 % - Markeringsfarve6 2 3 4 3 5" xfId="35778" xr:uid="{00000000-0005-0000-0000-0000753F0000}"/>
    <cellStyle name="20 % - Markeringsfarve6 2 3 4 4" xfId="2936" xr:uid="{00000000-0005-0000-0000-0000763F0000}"/>
    <cellStyle name="20 % - Markeringsfarve6 2 3 4 4 2" xfId="8693" xr:uid="{00000000-0005-0000-0000-0000773F0000}"/>
    <cellStyle name="20 % - Markeringsfarve6 2 3 4 4 2 2" xfId="16574" xr:uid="{00000000-0005-0000-0000-0000783F0000}"/>
    <cellStyle name="20 % - Markeringsfarve6 2 3 4 4 2 2 2" xfId="32888" xr:uid="{00000000-0005-0000-0000-0000793F0000}"/>
    <cellStyle name="20 % - Markeringsfarve6 2 3 4 4 2 2 3" xfId="47852" xr:uid="{00000000-0005-0000-0000-00007A3F0000}"/>
    <cellStyle name="20 % - Markeringsfarve6 2 3 4 4 2 3" xfId="25866" xr:uid="{00000000-0005-0000-0000-00007B3F0000}"/>
    <cellStyle name="20 % - Markeringsfarve6 2 3 4 4 2 4" xfId="40853" xr:uid="{00000000-0005-0000-0000-00007C3F0000}"/>
    <cellStyle name="20 % - Markeringsfarve6 2 3 4 4 3" xfId="11493" xr:uid="{00000000-0005-0000-0000-00007D3F0000}"/>
    <cellStyle name="20 % - Markeringsfarve6 2 3 4 4 3 2" xfId="27812" xr:uid="{00000000-0005-0000-0000-00007E3F0000}"/>
    <cellStyle name="20 % - Markeringsfarve6 2 3 4 4 3 3" xfId="42778" xr:uid="{00000000-0005-0000-0000-00007F3F0000}"/>
    <cellStyle name="20 % - Markeringsfarve6 2 3 4 4 4" xfId="20790" xr:uid="{00000000-0005-0000-0000-0000803F0000}"/>
    <cellStyle name="20 % - Markeringsfarve6 2 3 4 4 5" xfId="35779" xr:uid="{00000000-0005-0000-0000-0000813F0000}"/>
    <cellStyle name="20 % - Markeringsfarve6 2 3 4 5" xfId="5703" xr:uid="{00000000-0005-0000-0000-0000823F0000}"/>
    <cellStyle name="20 % - Markeringsfarve6 2 3 4 5 2" xfId="13621" xr:uid="{00000000-0005-0000-0000-0000833F0000}"/>
    <cellStyle name="20 % - Markeringsfarve6 2 3 4 5 2 2" xfId="29935" xr:uid="{00000000-0005-0000-0000-0000843F0000}"/>
    <cellStyle name="20 % - Markeringsfarve6 2 3 4 5 2 3" xfId="44899" xr:uid="{00000000-0005-0000-0000-0000853F0000}"/>
    <cellStyle name="20 % - Markeringsfarve6 2 3 4 5 3" xfId="22913" xr:uid="{00000000-0005-0000-0000-0000863F0000}"/>
    <cellStyle name="20 % - Markeringsfarve6 2 3 4 5 4" xfId="37900" xr:uid="{00000000-0005-0000-0000-0000873F0000}"/>
    <cellStyle name="20 % - Markeringsfarve6 2 3 4 6" xfId="11489" xr:uid="{00000000-0005-0000-0000-0000883F0000}"/>
    <cellStyle name="20 % - Markeringsfarve6 2 3 4 6 2" xfId="27808" xr:uid="{00000000-0005-0000-0000-0000893F0000}"/>
    <cellStyle name="20 % - Markeringsfarve6 2 3 4 6 3" xfId="42774" xr:uid="{00000000-0005-0000-0000-00008A3F0000}"/>
    <cellStyle name="20 % - Markeringsfarve6 2 3 4 7" xfId="20786" xr:uid="{00000000-0005-0000-0000-00008B3F0000}"/>
    <cellStyle name="20 % - Markeringsfarve6 2 3 4 8" xfId="35775" xr:uid="{00000000-0005-0000-0000-00008C3F0000}"/>
    <cellStyle name="20 % - Markeringsfarve6 2 3 5" xfId="2937" xr:uid="{00000000-0005-0000-0000-00008D3F0000}"/>
    <cellStyle name="20 % - Markeringsfarve6 2 3 5 2" xfId="2938" xr:uid="{00000000-0005-0000-0000-00008E3F0000}"/>
    <cellStyle name="20 % - Markeringsfarve6 2 3 5 2 2" xfId="2939" xr:uid="{00000000-0005-0000-0000-00008F3F0000}"/>
    <cellStyle name="20 % - Markeringsfarve6 2 3 5 2 2 2" xfId="8077" xr:uid="{00000000-0005-0000-0000-0000903F0000}"/>
    <cellStyle name="20 % - Markeringsfarve6 2 3 5 2 2 2 2" xfId="15978" xr:uid="{00000000-0005-0000-0000-0000913F0000}"/>
    <cellStyle name="20 % - Markeringsfarve6 2 3 5 2 2 2 2 2" xfId="32292" xr:uid="{00000000-0005-0000-0000-0000923F0000}"/>
    <cellStyle name="20 % - Markeringsfarve6 2 3 5 2 2 2 2 3" xfId="47256" xr:uid="{00000000-0005-0000-0000-0000933F0000}"/>
    <cellStyle name="20 % - Markeringsfarve6 2 3 5 2 2 2 3" xfId="25270" xr:uid="{00000000-0005-0000-0000-0000943F0000}"/>
    <cellStyle name="20 % - Markeringsfarve6 2 3 5 2 2 2 4" xfId="40257" xr:uid="{00000000-0005-0000-0000-0000953F0000}"/>
    <cellStyle name="20 % - Markeringsfarve6 2 3 5 2 2 3" xfId="11496" xr:uid="{00000000-0005-0000-0000-0000963F0000}"/>
    <cellStyle name="20 % - Markeringsfarve6 2 3 5 2 2 3 2" xfId="27815" xr:uid="{00000000-0005-0000-0000-0000973F0000}"/>
    <cellStyle name="20 % - Markeringsfarve6 2 3 5 2 2 3 3" xfId="42781" xr:uid="{00000000-0005-0000-0000-0000983F0000}"/>
    <cellStyle name="20 % - Markeringsfarve6 2 3 5 2 2 4" xfId="20793" xr:uid="{00000000-0005-0000-0000-0000993F0000}"/>
    <cellStyle name="20 % - Markeringsfarve6 2 3 5 2 2 5" xfId="35782" xr:uid="{00000000-0005-0000-0000-00009A3F0000}"/>
    <cellStyle name="20 % - Markeringsfarve6 2 3 5 2 3" xfId="6588" xr:uid="{00000000-0005-0000-0000-00009B3F0000}"/>
    <cellStyle name="20 % - Markeringsfarve6 2 3 5 2 3 2" xfId="14502" xr:uid="{00000000-0005-0000-0000-00009C3F0000}"/>
    <cellStyle name="20 % - Markeringsfarve6 2 3 5 2 3 2 2" xfId="30816" xr:uid="{00000000-0005-0000-0000-00009D3F0000}"/>
    <cellStyle name="20 % - Markeringsfarve6 2 3 5 2 3 2 3" xfId="45780" xr:uid="{00000000-0005-0000-0000-00009E3F0000}"/>
    <cellStyle name="20 % - Markeringsfarve6 2 3 5 2 3 3" xfId="23794" xr:uid="{00000000-0005-0000-0000-00009F3F0000}"/>
    <cellStyle name="20 % - Markeringsfarve6 2 3 5 2 3 4" xfId="38781" xr:uid="{00000000-0005-0000-0000-0000A03F0000}"/>
    <cellStyle name="20 % - Markeringsfarve6 2 3 5 2 4" xfId="11495" xr:uid="{00000000-0005-0000-0000-0000A13F0000}"/>
    <cellStyle name="20 % - Markeringsfarve6 2 3 5 2 4 2" xfId="27814" xr:uid="{00000000-0005-0000-0000-0000A23F0000}"/>
    <cellStyle name="20 % - Markeringsfarve6 2 3 5 2 4 3" xfId="42780" xr:uid="{00000000-0005-0000-0000-0000A33F0000}"/>
    <cellStyle name="20 % - Markeringsfarve6 2 3 5 2 5" xfId="20792" xr:uid="{00000000-0005-0000-0000-0000A43F0000}"/>
    <cellStyle name="20 % - Markeringsfarve6 2 3 5 2 6" xfId="35781" xr:uid="{00000000-0005-0000-0000-0000A53F0000}"/>
    <cellStyle name="20 % - Markeringsfarve6 2 3 5 3" xfId="2940" xr:uid="{00000000-0005-0000-0000-0000A63F0000}"/>
    <cellStyle name="20 % - Markeringsfarve6 2 3 5 3 2" xfId="7353" xr:uid="{00000000-0005-0000-0000-0000A73F0000}"/>
    <cellStyle name="20 % - Markeringsfarve6 2 3 5 3 2 2" xfId="15263" xr:uid="{00000000-0005-0000-0000-0000A83F0000}"/>
    <cellStyle name="20 % - Markeringsfarve6 2 3 5 3 2 2 2" xfId="31577" xr:uid="{00000000-0005-0000-0000-0000A93F0000}"/>
    <cellStyle name="20 % - Markeringsfarve6 2 3 5 3 2 2 3" xfId="46541" xr:uid="{00000000-0005-0000-0000-0000AA3F0000}"/>
    <cellStyle name="20 % - Markeringsfarve6 2 3 5 3 2 3" xfId="24555" xr:uid="{00000000-0005-0000-0000-0000AB3F0000}"/>
    <cellStyle name="20 % - Markeringsfarve6 2 3 5 3 2 4" xfId="39542" xr:uid="{00000000-0005-0000-0000-0000AC3F0000}"/>
    <cellStyle name="20 % - Markeringsfarve6 2 3 5 3 3" xfId="11497" xr:uid="{00000000-0005-0000-0000-0000AD3F0000}"/>
    <cellStyle name="20 % - Markeringsfarve6 2 3 5 3 3 2" xfId="27816" xr:uid="{00000000-0005-0000-0000-0000AE3F0000}"/>
    <cellStyle name="20 % - Markeringsfarve6 2 3 5 3 3 3" xfId="42782" xr:uid="{00000000-0005-0000-0000-0000AF3F0000}"/>
    <cellStyle name="20 % - Markeringsfarve6 2 3 5 3 4" xfId="20794" xr:uid="{00000000-0005-0000-0000-0000B03F0000}"/>
    <cellStyle name="20 % - Markeringsfarve6 2 3 5 3 5" xfId="35783" xr:uid="{00000000-0005-0000-0000-0000B13F0000}"/>
    <cellStyle name="20 % - Markeringsfarve6 2 3 5 4" xfId="2941" xr:uid="{00000000-0005-0000-0000-0000B23F0000}"/>
    <cellStyle name="20 % - Markeringsfarve6 2 3 5 4 2" xfId="8418" xr:uid="{00000000-0005-0000-0000-0000B33F0000}"/>
    <cellStyle name="20 % - Markeringsfarve6 2 3 5 4 2 2" xfId="16311" xr:uid="{00000000-0005-0000-0000-0000B43F0000}"/>
    <cellStyle name="20 % - Markeringsfarve6 2 3 5 4 2 2 2" xfId="32625" xr:uid="{00000000-0005-0000-0000-0000B53F0000}"/>
    <cellStyle name="20 % - Markeringsfarve6 2 3 5 4 2 2 3" xfId="47589" xr:uid="{00000000-0005-0000-0000-0000B63F0000}"/>
    <cellStyle name="20 % - Markeringsfarve6 2 3 5 4 2 3" xfId="25603" xr:uid="{00000000-0005-0000-0000-0000B73F0000}"/>
    <cellStyle name="20 % - Markeringsfarve6 2 3 5 4 2 4" xfId="40590" xr:uid="{00000000-0005-0000-0000-0000B83F0000}"/>
    <cellStyle name="20 % - Markeringsfarve6 2 3 5 4 3" xfId="11498" xr:uid="{00000000-0005-0000-0000-0000B93F0000}"/>
    <cellStyle name="20 % - Markeringsfarve6 2 3 5 4 3 2" xfId="27817" xr:uid="{00000000-0005-0000-0000-0000BA3F0000}"/>
    <cellStyle name="20 % - Markeringsfarve6 2 3 5 4 3 3" xfId="42783" xr:uid="{00000000-0005-0000-0000-0000BB3F0000}"/>
    <cellStyle name="20 % - Markeringsfarve6 2 3 5 4 4" xfId="20795" xr:uid="{00000000-0005-0000-0000-0000BC3F0000}"/>
    <cellStyle name="20 % - Markeringsfarve6 2 3 5 4 5" xfId="35784" xr:uid="{00000000-0005-0000-0000-0000BD3F0000}"/>
    <cellStyle name="20 % - Markeringsfarve6 2 3 5 5" xfId="5704" xr:uid="{00000000-0005-0000-0000-0000BE3F0000}"/>
    <cellStyle name="20 % - Markeringsfarve6 2 3 5 5 2" xfId="13622" xr:uid="{00000000-0005-0000-0000-0000BF3F0000}"/>
    <cellStyle name="20 % - Markeringsfarve6 2 3 5 5 2 2" xfId="29936" xr:uid="{00000000-0005-0000-0000-0000C03F0000}"/>
    <cellStyle name="20 % - Markeringsfarve6 2 3 5 5 2 3" xfId="44900" xr:uid="{00000000-0005-0000-0000-0000C13F0000}"/>
    <cellStyle name="20 % - Markeringsfarve6 2 3 5 5 3" xfId="22914" xr:uid="{00000000-0005-0000-0000-0000C23F0000}"/>
    <cellStyle name="20 % - Markeringsfarve6 2 3 5 5 4" xfId="37901" xr:uid="{00000000-0005-0000-0000-0000C33F0000}"/>
    <cellStyle name="20 % - Markeringsfarve6 2 3 5 6" xfId="11494" xr:uid="{00000000-0005-0000-0000-0000C43F0000}"/>
    <cellStyle name="20 % - Markeringsfarve6 2 3 5 6 2" xfId="27813" xr:uid="{00000000-0005-0000-0000-0000C53F0000}"/>
    <cellStyle name="20 % - Markeringsfarve6 2 3 5 6 3" xfId="42779" xr:uid="{00000000-0005-0000-0000-0000C63F0000}"/>
    <cellStyle name="20 % - Markeringsfarve6 2 3 5 7" xfId="20791" xr:uid="{00000000-0005-0000-0000-0000C73F0000}"/>
    <cellStyle name="20 % - Markeringsfarve6 2 3 5 8" xfId="35780" xr:uid="{00000000-0005-0000-0000-0000C83F0000}"/>
    <cellStyle name="20 % - Markeringsfarve6 2 3 6" xfId="2942" xr:uid="{00000000-0005-0000-0000-0000C93F0000}"/>
    <cellStyle name="20 % - Markeringsfarve6 2 3 6 2" xfId="2943" xr:uid="{00000000-0005-0000-0000-0000CA3F0000}"/>
    <cellStyle name="20 % - Markeringsfarve6 2 3 6 2 2" xfId="2944" xr:uid="{00000000-0005-0000-0000-0000CB3F0000}"/>
    <cellStyle name="20 % - Markeringsfarve6 2 3 6 2 2 2" xfId="8128" xr:uid="{00000000-0005-0000-0000-0000CC3F0000}"/>
    <cellStyle name="20 % - Markeringsfarve6 2 3 6 2 2 2 2" xfId="16029" xr:uid="{00000000-0005-0000-0000-0000CD3F0000}"/>
    <cellStyle name="20 % - Markeringsfarve6 2 3 6 2 2 2 2 2" xfId="32343" xr:uid="{00000000-0005-0000-0000-0000CE3F0000}"/>
    <cellStyle name="20 % - Markeringsfarve6 2 3 6 2 2 2 2 3" xfId="47307" xr:uid="{00000000-0005-0000-0000-0000CF3F0000}"/>
    <cellStyle name="20 % - Markeringsfarve6 2 3 6 2 2 2 3" xfId="25321" xr:uid="{00000000-0005-0000-0000-0000D03F0000}"/>
    <cellStyle name="20 % - Markeringsfarve6 2 3 6 2 2 2 4" xfId="40308" xr:uid="{00000000-0005-0000-0000-0000D13F0000}"/>
    <cellStyle name="20 % - Markeringsfarve6 2 3 6 2 2 3" xfId="11501" xr:uid="{00000000-0005-0000-0000-0000D23F0000}"/>
    <cellStyle name="20 % - Markeringsfarve6 2 3 6 2 2 3 2" xfId="27820" xr:uid="{00000000-0005-0000-0000-0000D33F0000}"/>
    <cellStyle name="20 % - Markeringsfarve6 2 3 6 2 2 3 3" xfId="42786" xr:uid="{00000000-0005-0000-0000-0000D43F0000}"/>
    <cellStyle name="20 % - Markeringsfarve6 2 3 6 2 2 4" xfId="20798" xr:uid="{00000000-0005-0000-0000-0000D53F0000}"/>
    <cellStyle name="20 % - Markeringsfarve6 2 3 6 2 2 5" xfId="35787" xr:uid="{00000000-0005-0000-0000-0000D63F0000}"/>
    <cellStyle name="20 % - Markeringsfarve6 2 3 6 2 3" xfId="6630" xr:uid="{00000000-0005-0000-0000-0000D73F0000}"/>
    <cellStyle name="20 % - Markeringsfarve6 2 3 6 2 3 2" xfId="14544" xr:uid="{00000000-0005-0000-0000-0000D83F0000}"/>
    <cellStyle name="20 % - Markeringsfarve6 2 3 6 2 3 2 2" xfId="30858" xr:uid="{00000000-0005-0000-0000-0000D93F0000}"/>
    <cellStyle name="20 % - Markeringsfarve6 2 3 6 2 3 2 3" xfId="45822" xr:uid="{00000000-0005-0000-0000-0000DA3F0000}"/>
    <cellStyle name="20 % - Markeringsfarve6 2 3 6 2 3 3" xfId="23836" xr:uid="{00000000-0005-0000-0000-0000DB3F0000}"/>
    <cellStyle name="20 % - Markeringsfarve6 2 3 6 2 3 4" xfId="38823" xr:uid="{00000000-0005-0000-0000-0000DC3F0000}"/>
    <cellStyle name="20 % - Markeringsfarve6 2 3 6 2 4" xfId="11500" xr:uid="{00000000-0005-0000-0000-0000DD3F0000}"/>
    <cellStyle name="20 % - Markeringsfarve6 2 3 6 2 4 2" xfId="27819" xr:uid="{00000000-0005-0000-0000-0000DE3F0000}"/>
    <cellStyle name="20 % - Markeringsfarve6 2 3 6 2 4 3" xfId="42785" xr:uid="{00000000-0005-0000-0000-0000DF3F0000}"/>
    <cellStyle name="20 % - Markeringsfarve6 2 3 6 2 5" xfId="20797" xr:uid="{00000000-0005-0000-0000-0000E03F0000}"/>
    <cellStyle name="20 % - Markeringsfarve6 2 3 6 2 6" xfId="35786" xr:uid="{00000000-0005-0000-0000-0000E13F0000}"/>
    <cellStyle name="20 % - Markeringsfarve6 2 3 6 3" xfId="2945" xr:uid="{00000000-0005-0000-0000-0000E23F0000}"/>
    <cellStyle name="20 % - Markeringsfarve6 2 3 6 3 2" xfId="7405" xr:uid="{00000000-0005-0000-0000-0000E33F0000}"/>
    <cellStyle name="20 % - Markeringsfarve6 2 3 6 3 2 2" xfId="15315" xr:uid="{00000000-0005-0000-0000-0000E43F0000}"/>
    <cellStyle name="20 % - Markeringsfarve6 2 3 6 3 2 2 2" xfId="31629" xr:uid="{00000000-0005-0000-0000-0000E53F0000}"/>
    <cellStyle name="20 % - Markeringsfarve6 2 3 6 3 2 2 3" xfId="46593" xr:uid="{00000000-0005-0000-0000-0000E63F0000}"/>
    <cellStyle name="20 % - Markeringsfarve6 2 3 6 3 2 3" xfId="24607" xr:uid="{00000000-0005-0000-0000-0000E73F0000}"/>
    <cellStyle name="20 % - Markeringsfarve6 2 3 6 3 2 4" xfId="39594" xr:uid="{00000000-0005-0000-0000-0000E83F0000}"/>
    <cellStyle name="20 % - Markeringsfarve6 2 3 6 3 3" xfId="11502" xr:uid="{00000000-0005-0000-0000-0000E93F0000}"/>
    <cellStyle name="20 % - Markeringsfarve6 2 3 6 3 3 2" xfId="27821" xr:uid="{00000000-0005-0000-0000-0000EA3F0000}"/>
    <cellStyle name="20 % - Markeringsfarve6 2 3 6 3 3 3" xfId="42787" xr:uid="{00000000-0005-0000-0000-0000EB3F0000}"/>
    <cellStyle name="20 % - Markeringsfarve6 2 3 6 3 4" xfId="20799" xr:uid="{00000000-0005-0000-0000-0000EC3F0000}"/>
    <cellStyle name="20 % - Markeringsfarve6 2 3 6 3 5" xfId="35788" xr:uid="{00000000-0005-0000-0000-0000ED3F0000}"/>
    <cellStyle name="20 % - Markeringsfarve6 2 3 6 4" xfId="2946" xr:uid="{00000000-0005-0000-0000-0000EE3F0000}"/>
    <cellStyle name="20 % - Markeringsfarve6 2 3 6 4 2" xfId="8650" xr:uid="{00000000-0005-0000-0000-0000EF3F0000}"/>
    <cellStyle name="20 % - Markeringsfarve6 2 3 6 4 2 2" xfId="16533" xr:uid="{00000000-0005-0000-0000-0000F03F0000}"/>
    <cellStyle name="20 % - Markeringsfarve6 2 3 6 4 2 2 2" xfId="32847" xr:uid="{00000000-0005-0000-0000-0000F13F0000}"/>
    <cellStyle name="20 % - Markeringsfarve6 2 3 6 4 2 2 3" xfId="47811" xr:uid="{00000000-0005-0000-0000-0000F23F0000}"/>
    <cellStyle name="20 % - Markeringsfarve6 2 3 6 4 2 3" xfId="25825" xr:uid="{00000000-0005-0000-0000-0000F33F0000}"/>
    <cellStyle name="20 % - Markeringsfarve6 2 3 6 4 2 4" xfId="40812" xr:uid="{00000000-0005-0000-0000-0000F43F0000}"/>
    <cellStyle name="20 % - Markeringsfarve6 2 3 6 4 3" xfId="11503" xr:uid="{00000000-0005-0000-0000-0000F53F0000}"/>
    <cellStyle name="20 % - Markeringsfarve6 2 3 6 4 3 2" xfId="27822" xr:uid="{00000000-0005-0000-0000-0000F63F0000}"/>
    <cellStyle name="20 % - Markeringsfarve6 2 3 6 4 3 3" xfId="42788" xr:uid="{00000000-0005-0000-0000-0000F73F0000}"/>
    <cellStyle name="20 % - Markeringsfarve6 2 3 6 4 4" xfId="20800" xr:uid="{00000000-0005-0000-0000-0000F83F0000}"/>
    <cellStyle name="20 % - Markeringsfarve6 2 3 6 4 5" xfId="35789" xr:uid="{00000000-0005-0000-0000-0000F93F0000}"/>
    <cellStyle name="20 % - Markeringsfarve6 2 3 6 5" xfId="5705" xr:uid="{00000000-0005-0000-0000-0000FA3F0000}"/>
    <cellStyle name="20 % - Markeringsfarve6 2 3 6 5 2" xfId="13623" xr:uid="{00000000-0005-0000-0000-0000FB3F0000}"/>
    <cellStyle name="20 % - Markeringsfarve6 2 3 6 5 2 2" xfId="29937" xr:uid="{00000000-0005-0000-0000-0000FC3F0000}"/>
    <cellStyle name="20 % - Markeringsfarve6 2 3 6 5 2 3" xfId="44901" xr:uid="{00000000-0005-0000-0000-0000FD3F0000}"/>
    <cellStyle name="20 % - Markeringsfarve6 2 3 6 5 3" xfId="22915" xr:uid="{00000000-0005-0000-0000-0000FE3F0000}"/>
    <cellStyle name="20 % - Markeringsfarve6 2 3 6 5 4" xfId="37902" xr:uid="{00000000-0005-0000-0000-0000FF3F0000}"/>
    <cellStyle name="20 % - Markeringsfarve6 2 3 6 6" xfId="11499" xr:uid="{00000000-0005-0000-0000-000000400000}"/>
    <cellStyle name="20 % - Markeringsfarve6 2 3 6 6 2" xfId="27818" xr:uid="{00000000-0005-0000-0000-000001400000}"/>
    <cellStyle name="20 % - Markeringsfarve6 2 3 6 6 3" xfId="42784" xr:uid="{00000000-0005-0000-0000-000002400000}"/>
    <cellStyle name="20 % - Markeringsfarve6 2 3 6 7" xfId="20796" xr:uid="{00000000-0005-0000-0000-000003400000}"/>
    <cellStyle name="20 % - Markeringsfarve6 2 3 6 8" xfId="35785" xr:uid="{00000000-0005-0000-0000-000004400000}"/>
    <cellStyle name="20 % - Markeringsfarve6 2 3 7" xfId="2947" xr:uid="{00000000-0005-0000-0000-000005400000}"/>
    <cellStyle name="20 % - Markeringsfarve6 2 3 7 2" xfId="2948" xr:uid="{00000000-0005-0000-0000-000006400000}"/>
    <cellStyle name="20 % - Markeringsfarve6 2 3 7 2 2" xfId="7603" xr:uid="{00000000-0005-0000-0000-000007400000}"/>
    <cellStyle name="20 % - Markeringsfarve6 2 3 7 2 2 2" xfId="15504" xr:uid="{00000000-0005-0000-0000-000008400000}"/>
    <cellStyle name="20 % - Markeringsfarve6 2 3 7 2 2 2 2" xfId="31818" xr:uid="{00000000-0005-0000-0000-000009400000}"/>
    <cellStyle name="20 % - Markeringsfarve6 2 3 7 2 2 2 3" xfId="46782" xr:uid="{00000000-0005-0000-0000-00000A400000}"/>
    <cellStyle name="20 % - Markeringsfarve6 2 3 7 2 2 3" xfId="24796" xr:uid="{00000000-0005-0000-0000-00000B400000}"/>
    <cellStyle name="20 % - Markeringsfarve6 2 3 7 2 2 4" xfId="39783" xr:uid="{00000000-0005-0000-0000-00000C400000}"/>
    <cellStyle name="20 % - Markeringsfarve6 2 3 7 2 3" xfId="11505" xr:uid="{00000000-0005-0000-0000-00000D400000}"/>
    <cellStyle name="20 % - Markeringsfarve6 2 3 7 2 3 2" xfId="27824" xr:uid="{00000000-0005-0000-0000-00000E400000}"/>
    <cellStyle name="20 % - Markeringsfarve6 2 3 7 2 3 3" xfId="42790" xr:uid="{00000000-0005-0000-0000-00000F400000}"/>
    <cellStyle name="20 % - Markeringsfarve6 2 3 7 2 4" xfId="20802" xr:uid="{00000000-0005-0000-0000-000010400000}"/>
    <cellStyle name="20 % - Markeringsfarve6 2 3 7 2 5" xfId="35791" xr:uid="{00000000-0005-0000-0000-000011400000}"/>
    <cellStyle name="20 % - Markeringsfarve6 2 3 7 3" xfId="6188" xr:uid="{00000000-0005-0000-0000-000012400000}"/>
    <cellStyle name="20 % - Markeringsfarve6 2 3 7 3 2" xfId="14105" xr:uid="{00000000-0005-0000-0000-000013400000}"/>
    <cellStyle name="20 % - Markeringsfarve6 2 3 7 3 2 2" xfId="30419" xr:uid="{00000000-0005-0000-0000-000014400000}"/>
    <cellStyle name="20 % - Markeringsfarve6 2 3 7 3 2 3" xfId="45383" xr:uid="{00000000-0005-0000-0000-000015400000}"/>
    <cellStyle name="20 % - Markeringsfarve6 2 3 7 3 3" xfId="23397" xr:uid="{00000000-0005-0000-0000-000016400000}"/>
    <cellStyle name="20 % - Markeringsfarve6 2 3 7 3 4" xfId="38384" xr:uid="{00000000-0005-0000-0000-000017400000}"/>
    <cellStyle name="20 % - Markeringsfarve6 2 3 7 4" xfId="11504" xr:uid="{00000000-0005-0000-0000-000018400000}"/>
    <cellStyle name="20 % - Markeringsfarve6 2 3 7 4 2" xfId="27823" xr:uid="{00000000-0005-0000-0000-000019400000}"/>
    <cellStyle name="20 % - Markeringsfarve6 2 3 7 4 3" xfId="42789" xr:uid="{00000000-0005-0000-0000-00001A400000}"/>
    <cellStyle name="20 % - Markeringsfarve6 2 3 7 5" xfId="20801" xr:uid="{00000000-0005-0000-0000-00001B400000}"/>
    <cellStyle name="20 % - Markeringsfarve6 2 3 7 6" xfId="35790" xr:uid="{00000000-0005-0000-0000-00001C400000}"/>
    <cellStyle name="20 % - Markeringsfarve6 2 3 8" xfId="2949" xr:uid="{00000000-0005-0000-0000-00001D400000}"/>
    <cellStyle name="20 % - Markeringsfarve6 2 3 8 2" xfId="6831" xr:uid="{00000000-0005-0000-0000-00001E400000}"/>
    <cellStyle name="20 % - Markeringsfarve6 2 3 8 2 2" xfId="14742" xr:uid="{00000000-0005-0000-0000-00001F400000}"/>
    <cellStyle name="20 % - Markeringsfarve6 2 3 8 2 2 2" xfId="31056" xr:uid="{00000000-0005-0000-0000-000020400000}"/>
    <cellStyle name="20 % - Markeringsfarve6 2 3 8 2 2 3" xfId="46020" xr:uid="{00000000-0005-0000-0000-000021400000}"/>
    <cellStyle name="20 % - Markeringsfarve6 2 3 8 2 3" xfId="24034" xr:uid="{00000000-0005-0000-0000-000022400000}"/>
    <cellStyle name="20 % - Markeringsfarve6 2 3 8 2 4" xfId="39021" xr:uid="{00000000-0005-0000-0000-000023400000}"/>
    <cellStyle name="20 % - Markeringsfarve6 2 3 8 3" xfId="11506" xr:uid="{00000000-0005-0000-0000-000024400000}"/>
    <cellStyle name="20 % - Markeringsfarve6 2 3 8 3 2" xfId="27825" xr:uid="{00000000-0005-0000-0000-000025400000}"/>
    <cellStyle name="20 % - Markeringsfarve6 2 3 8 3 3" xfId="42791" xr:uid="{00000000-0005-0000-0000-000026400000}"/>
    <cellStyle name="20 % - Markeringsfarve6 2 3 8 4" xfId="20803" xr:uid="{00000000-0005-0000-0000-000027400000}"/>
    <cellStyle name="20 % - Markeringsfarve6 2 3 8 5" xfId="35792" xr:uid="{00000000-0005-0000-0000-000028400000}"/>
    <cellStyle name="20 % - Markeringsfarve6 2 3 9" xfId="2950" xr:uid="{00000000-0005-0000-0000-000029400000}"/>
    <cellStyle name="20 % - Markeringsfarve6 2 3 9 2" xfId="8503" xr:uid="{00000000-0005-0000-0000-00002A400000}"/>
    <cellStyle name="20 % - Markeringsfarve6 2 3 9 2 2" xfId="16392" xr:uid="{00000000-0005-0000-0000-00002B400000}"/>
    <cellStyle name="20 % - Markeringsfarve6 2 3 9 2 2 2" xfId="32706" xr:uid="{00000000-0005-0000-0000-00002C400000}"/>
    <cellStyle name="20 % - Markeringsfarve6 2 3 9 2 2 3" xfId="47670" xr:uid="{00000000-0005-0000-0000-00002D400000}"/>
    <cellStyle name="20 % - Markeringsfarve6 2 3 9 2 3" xfId="25684" xr:uid="{00000000-0005-0000-0000-00002E400000}"/>
    <cellStyle name="20 % - Markeringsfarve6 2 3 9 2 4" xfId="40671" xr:uid="{00000000-0005-0000-0000-00002F400000}"/>
    <cellStyle name="20 % - Markeringsfarve6 2 3 9 3" xfId="11507" xr:uid="{00000000-0005-0000-0000-000030400000}"/>
    <cellStyle name="20 % - Markeringsfarve6 2 3 9 3 2" xfId="27826" xr:uid="{00000000-0005-0000-0000-000031400000}"/>
    <cellStyle name="20 % - Markeringsfarve6 2 3 9 3 3" xfId="42792" xr:uid="{00000000-0005-0000-0000-000032400000}"/>
    <cellStyle name="20 % - Markeringsfarve6 2 3 9 4" xfId="20804" xr:uid="{00000000-0005-0000-0000-000033400000}"/>
    <cellStyle name="20 % - Markeringsfarve6 2 3 9 5" xfId="35793" xr:uid="{00000000-0005-0000-0000-000034400000}"/>
    <cellStyle name="20 % - Markeringsfarve6 2 4" xfId="2951" xr:uid="{00000000-0005-0000-0000-000035400000}"/>
    <cellStyle name="20 % - Markeringsfarve6 2 4 2" xfId="2952" xr:uid="{00000000-0005-0000-0000-000036400000}"/>
    <cellStyle name="20 % - Markeringsfarve6 2 4 2 2" xfId="2953" xr:uid="{00000000-0005-0000-0000-000037400000}"/>
    <cellStyle name="20 % - Markeringsfarve6 2 4 2 2 2" xfId="7644" xr:uid="{00000000-0005-0000-0000-000038400000}"/>
    <cellStyle name="20 % - Markeringsfarve6 2 4 2 2 2 2" xfId="15545" xr:uid="{00000000-0005-0000-0000-000039400000}"/>
    <cellStyle name="20 % - Markeringsfarve6 2 4 2 2 2 2 2" xfId="31859" xr:uid="{00000000-0005-0000-0000-00003A400000}"/>
    <cellStyle name="20 % - Markeringsfarve6 2 4 2 2 2 2 3" xfId="46823" xr:uid="{00000000-0005-0000-0000-00003B400000}"/>
    <cellStyle name="20 % - Markeringsfarve6 2 4 2 2 2 3" xfId="24837" xr:uid="{00000000-0005-0000-0000-00003C400000}"/>
    <cellStyle name="20 % - Markeringsfarve6 2 4 2 2 2 4" xfId="39824" xr:uid="{00000000-0005-0000-0000-00003D400000}"/>
    <cellStyle name="20 % - Markeringsfarve6 2 4 2 2 3" xfId="11510" xr:uid="{00000000-0005-0000-0000-00003E400000}"/>
    <cellStyle name="20 % - Markeringsfarve6 2 4 2 2 3 2" xfId="27829" xr:uid="{00000000-0005-0000-0000-00003F400000}"/>
    <cellStyle name="20 % - Markeringsfarve6 2 4 2 2 3 3" xfId="42795" xr:uid="{00000000-0005-0000-0000-000040400000}"/>
    <cellStyle name="20 % - Markeringsfarve6 2 4 2 2 4" xfId="20807" xr:uid="{00000000-0005-0000-0000-000041400000}"/>
    <cellStyle name="20 % - Markeringsfarve6 2 4 2 2 5" xfId="35796" xr:uid="{00000000-0005-0000-0000-000042400000}"/>
    <cellStyle name="20 % - Markeringsfarve6 2 4 2 3" xfId="6221" xr:uid="{00000000-0005-0000-0000-000043400000}"/>
    <cellStyle name="20 % - Markeringsfarve6 2 4 2 3 2" xfId="14138" xr:uid="{00000000-0005-0000-0000-000044400000}"/>
    <cellStyle name="20 % - Markeringsfarve6 2 4 2 3 2 2" xfId="30452" xr:uid="{00000000-0005-0000-0000-000045400000}"/>
    <cellStyle name="20 % - Markeringsfarve6 2 4 2 3 2 3" xfId="45416" xr:uid="{00000000-0005-0000-0000-000046400000}"/>
    <cellStyle name="20 % - Markeringsfarve6 2 4 2 3 3" xfId="23430" xr:uid="{00000000-0005-0000-0000-000047400000}"/>
    <cellStyle name="20 % - Markeringsfarve6 2 4 2 3 4" xfId="38417" xr:uid="{00000000-0005-0000-0000-000048400000}"/>
    <cellStyle name="20 % - Markeringsfarve6 2 4 2 4" xfId="11509" xr:uid="{00000000-0005-0000-0000-000049400000}"/>
    <cellStyle name="20 % - Markeringsfarve6 2 4 2 4 2" xfId="27828" xr:uid="{00000000-0005-0000-0000-00004A400000}"/>
    <cellStyle name="20 % - Markeringsfarve6 2 4 2 4 3" xfId="42794" xr:uid="{00000000-0005-0000-0000-00004B400000}"/>
    <cellStyle name="20 % - Markeringsfarve6 2 4 2 5" xfId="20806" xr:uid="{00000000-0005-0000-0000-00004C400000}"/>
    <cellStyle name="20 % - Markeringsfarve6 2 4 2 6" xfId="35795" xr:uid="{00000000-0005-0000-0000-00004D400000}"/>
    <cellStyle name="20 % - Markeringsfarve6 2 4 2 7" xfId="57151" xr:uid="{00000000-0005-0000-0000-00004E400000}"/>
    <cellStyle name="20 % - Markeringsfarve6 2 4 3" xfId="2954" xr:uid="{00000000-0005-0000-0000-00004F400000}"/>
    <cellStyle name="20 % - Markeringsfarve6 2 4 3 2" xfId="6874" xr:uid="{00000000-0005-0000-0000-000050400000}"/>
    <cellStyle name="20 % - Markeringsfarve6 2 4 3 2 2" xfId="14785" xr:uid="{00000000-0005-0000-0000-000051400000}"/>
    <cellStyle name="20 % - Markeringsfarve6 2 4 3 2 2 2" xfId="31099" xr:uid="{00000000-0005-0000-0000-000052400000}"/>
    <cellStyle name="20 % - Markeringsfarve6 2 4 3 2 2 3" xfId="46063" xr:uid="{00000000-0005-0000-0000-000053400000}"/>
    <cellStyle name="20 % - Markeringsfarve6 2 4 3 2 3" xfId="24077" xr:uid="{00000000-0005-0000-0000-000054400000}"/>
    <cellStyle name="20 % - Markeringsfarve6 2 4 3 2 4" xfId="39064" xr:uid="{00000000-0005-0000-0000-000055400000}"/>
    <cellStyle name="20 % - Markeringsfarve6 2 4 3 3" xfId="11511" xr:uid="{00000000-0005-0000-0000-000056400000}"/>
    <cellStyle name="20 % - Markeringsfarve6 2 4 3 3 2" xfId="27830" xr:uid="{00000000-0005-0000-0000-000057400000}"/>
    <cellStyle name="20 % - Markeringsfarve6 2 4 3 3 3" xfId="42796" xr:uid="{00000000-0005-0000-0000-000058400000}"/>
    <cellStyle name="20 % - Markeringsfarve6 2 4 3 4" xfId="20808" xr:uid="{00000000-0005-0000-0000-000059400000}"/>
    <cellStyle name="20 % - Markeringsfarve6 2 4 3 5" xfId="35797" xr:uid="{00000000-0005-0000-0000-00005A400000}"/>
    <cellStyle name="20 % - Markeringsfarve6 2 4 4" xfId="2955" xr:uid="{00000000-0005-0000-0000-00005B400000}"/>
    <cellStyle name="20 % - Markeringsfarve6 2 4 4 2" xfId="8299" xr:uid="{00000000-0005-0000-0000-00005C400000}"/>
    <cellStyle name="20 % - Markeringsfarve6 2 4 4 2 2" xfId="16193" xr:uid="{00000000-0005-0000-0000-00005D400000}"/>
    <cellStyle name="20 % - Markeringsfarve6 2 4 4 2 2 2" xfId="32507" xr:uid="{00000000-0005-0000-0000-00005E400000}"/>
    <cellStyle name="20 % - Markeringsfarve6 2 4 4 2 2 3" xfId="47471" xr:uid="{00000000-0005-0000-0000-00005F400000}"/>
    <cellStyle name="20 % - Markeringsfarve6 2 4 4 2 3" xfId="25485" xr:uid="{00000000-0005-0000-0000-000060400000}"/>
    <cellStyle name="20 % - Markeringsfarve6 2 4 4 2 4" xfId="40472" xr:uid="{00000000-0005-0000-0000-000061400000}"/>
    <cellStyle name="20 % - Markeringsfarve6 2 4 4 3" xfId="11512" xr:uid="{00000000-0005-0000-0000-000062400000}"/>
    <cellStyle name="20 % - Markeringsfarve6 2 4 4 3 2" xfId="27831" xr:uid="{00000000-0005-0000-0000-000063400000}"/>
    <cellStyle name="20 % - Markeringsfarve6 2 4 4 3 3" xfId="42797" xr:uid="{00000000-0005-0000-0000-000064400000}"/>
    <cellStyle name="20 % - Markeringsfarve6 2 4 4 4" xfId="20809" xr:uid="{00000000-0005-0000-0000-000065400000}"/>
    <cellStyle name="20 % - Markeringsfarve6 2 4 4 5" xfId="35798" xr:uid="{00000000-0005-0000-0000-000066400000}"/>
    <cellStyle name="20 % - Markeringsfarve6 2 4 5" xfId="5706" xr:uid="{00000000-0005-0000-0000-000067400000}"/>
    <cellStyle name="20 % - Markeringsfarve6 2 4 5 2" xfId="13624" xr:uid="{00000000-0005-0000-0000-000068400000}"/>
    <cellStyle name="20 % - Markeringsfarve6 2 4 5 2 2" xfId="29938" xr:uid="{00000000-0005-0000-0000-000069400000}"/>
    <cellStyle name="20 % - Markeringsfarve6 2 4 5 2 3" xfId="44902" xr:uid="{00000000-0005-0000-0000-00006A400000}"/>
    <cellStyle name="20 % - Markeringsfarve6 2 4 5 3" xfId="22916" xr:uid="{00000000-0005-0000-0000-00006B400000}"/>
    <cellStyle name="20 % - Markeringsfarve6 2 4 5 4" xfId="37903" xr:uid="{00000000-0005-0000-0000-00006C400000}"/>
    <cellStyle name="20 % - Markeringsfarve6 2 4 6" xfId="11508" xr:uid="{00000000-0005-0000-0000-00006D400000}"/>
    <cellStyle name="20 % - Markeringsfarve6 2 4 6 2" xfId="27827" xr:uid="{00000000-0005-0000-0000-00006E400000}"/>
    <cellStyle name="20 % - Markeringsfarve6 2 4 6 3" xfId="42793" xr:uid="{00000000-0005-0000-0000-00006F400000}"/>
    <cellStyle name="20 % - Markeringsfarve6 2 4 7" xfId="20805" xr:uid="{00000000-0005-0000-0000-000070400000}"/>
    <cellStyle name="20 % - Markeringsfarve6 2 4 8" xfId="35794" xr:uid="{00000000-0005-0000-0000-000071400000}"/>
    <cellStyle name="20 % - Markeringsfarve6 2 4 9" xfId="53984" xr:uid="{00000000-0005-0000-0000-000072400000}"/>
    <cellStyle name="20 % - Markeringsfarve6 2 5" xfId="2956" xr:uid="{00000000-0005-0000-0000-000073400000}"/>
    <cellStyle name="20 % - Markeringsfarve6 2 5 2" xfId="2957" xr:uid="{00000000-0005-0000-0000-000074400000}"/>
    <cellStyle name="20 % - Markeringsfarve6 2 5 2 2" xfId="2958" xr:uid="{00000000-0005-0000-0000-000075400000}"/>
    <cellStyle name="20 % - Markeringsfarve6 2 5 2 2 2" xfId="7772" xr:uid="{00000000-0005-0000-0000-000076400000}"/>
    <cellStyle name="20 % - Markeringsfarve6 2 5 2 2 2 2" xfId="15673" xr:uid="{00000000-0005-0000-0000-000077400000}"/>
    <cellStyle name="20 % - Markeringsfarve6 2 5 2 2 2 2 2" xfId="31987" xr:uid="{00000000-0005-0000-0000-000078400000}"/>
    <cellStyle name="20 % - Markeringsfarve6 2 5 2 2 2 2 3" xfId="46951" xr:uid="{00000000-0005-0000-0000-000079400000}"/>
    <cellStyle name="20 % - Markeringsfarve6 2 5 2 2 2 3" xfId="24965" xr:uid="{00000000-0005-0000-0000-00007A400000}"/>
    <cellStyle name="20 % - Markeringsfarve6 2 5 2 2 2 4" xfId="39952" xr:uid="{00000000-0005-0000-0000-00007B400000}"/>
    <cellStyle name="20 % - Markeringsfarve6 2 5 2 2 3" xfId="11515" xr:uid="{00000000-0005-0000-0000-00007C400000}"/>
    <cellStyle name="20 % - Markeringsfarve6 2 5 2 2 3 2" xfId="27834" xr:uid="{00000000-0005-0000-0000-00007D400000}"/>
    <cellStyle name="20 % - Markeringsfarve6 2 5 2 2 3 3" xfId="42800" xr:uid="{00000000-0005-0000-0000-00007E400000}"/>
    <cellStyle name="20 % - Markeringsfarve6 2 5 2 2 4" xfId="20812" xr:uid="{00000000-0005-0000-0000-00007F400000}"/>
    <cellStyle name="20 % - Markeringsfarve6 2 5 2 2 5" xfId="35801" xr:uid="{00000000-0005-0000-0000-000080400000}"/>
    <cellStyle name="20 % - Markeringsfarve6 2 5 2 3" xfId="6327" xr:uid="{00000000-0005-0000-0000-000081400000}"/>
    <cellStyle name="20 % - Markeringsfarve6 2 5 2 3 2" xfId="14244" xr:uid="{00000000-0005-0000-0000-000082400000}"/>
    <cellStyle name="20 % - Markeringsfarve6 2 5 2 3 2 2" xfId="30558" xr:uid="{00000000-0005-0000-0000-000083400000}"/>
    <cellStyle name="20 % - Markeringsfarve6 2 5 2 3 2 3" xfId="45522" xr:uid="{00000000-0005-0000-0000-000084400000}"/>
    <cellStyle name="20 % - Markeringsfarve6 2 5 2 3 3" xfId="23536" xr:uid="{00000000-0005-0000-0000-000085400000}"/>
    <cellStyle name="20 % - Markeringsfarve6 2 5 2 3 4" xfId="38523" xr:uid="{00000000-0005-0000-0000-000086400000}"/>
    <cellStyle name="20 % - Markeringsfarve6 2 5 2 4" xfId="11514" xr:uid="{00000000-0005-0000-0000-000087400000}"/>
    <cellStyle name="20 % - Markeringsfarve6 2 5 2 4 2" xfId="27833" xr:uid="{00000000-0005-0000-0000-000088400000}"/>
    <cellStyle name="20 % - Markeringsfarve6 2 5 2 4 3" xfId="42799" xr:uid="{00000000-0005-0000-0000-000089400000}"/>
    <cellStyle name="20 % - Markeringsfarve6 2 5 2 5" xfId="20811" xr:uid="{00000000-0005-0000-0000-00008A400000}"/>
    <cellStyle name="20 % - Markeringsfarve6 2 5 2 6" xfId="35800" xr:uid="{00000000-0005-0000-0000-00008B400000}"/>
    <cellStyle name="20 % - Markeringsfarve6 2 5 3" xfId="2959" xr:uid="{00000000-0005-0000-0000-00008C400000}"/>
    <cellStyle name="20 % - Markeringsfarve6 2 5 3 2" xfId="7002" xr:uid="{00000000-0005-0000-0000-00008D400000}"/>
    <cellStyle name="20 % - Markeringsfarve6 2 5 3 2 2" xfId="14913" xr:uid="{00000000-0005-0000-0000-00008E400000}"/>
    <cellStyle name="20 % - Markeringsfarve6 2 5 3 2 2 2" xfId="31227" xr:uid="{00000000-0005-0000-0000-00008F400000}"/>
    <cellStyle name="20 % - Markeringsfarve6 2 5 3 2 2 3" xfId="46191" xr:uid="{00000000-0005-0000-0000-000090400000}"/>
    <cellStyle name="20 % - Markeringsfarve6 2 5 3 2 3" xfId="24205" xr:uid="{00000000-0005-0000-0000-000091400000}"/>
    <cellStyle name="20 % - Markeringsfarve6 2 5 3 2 4" xfId="39192" xr:uid="{00000000-0005-0000-0000-000092400000}"/>
    <cellStyle name="20 % - Markeringsfarve6 2 5 3 3" xfId="11516" xr:uid="{00000000-0005-0000-0000-000093400000}"/>
    <cellStyle name="20 % - Markeringsfarve6 2 5 3 3 2" xfId="27835" xr:uid="{00000000-0005-0000-0000-000094400000}"/>
    <cellStyle name="20 % - Markeringsfarve6 2 5 3 3 3" xfId="42801" xr:uid="{00000000-0005-0000-0000-000095400000}"/>
    <cellStyle name="20 % - Markeringsfarve6 2 5 3 4" xfId="20813" xr:uid="{00000000-0005-0000-0000-000096400000}"/>
    <cellStyle name="20 % - Markeringsfarve6 2 5 3 5" xfId="35802" xr:uid="{00000000-0005-0000-0000-000097400000}"/>
    <cellStyle name="20 % - Markeringsfarve6 2 5 4" xfId="2960" xr:uid="{00000000-0005-0000-0000-000098400000}"/>
    <cellStyle name="20 % - Markeringsfarve6 2 5 4 2" xfId="8603" xr:uid="{00000000-0005-0000-0000-000099400000}"/>
    <cellStyle name="20 % - Markeringsfarve6 2 5 4 2 2" xfId="16489" xr:uid="{00000000-0005-0000-0000-00009A400000}"/>
    <cellStyle name="20 % - Markeringsfarve6 2 5 4 2 2 2" xfId="32803" xr:uid="{00000000-0005-0000-0000-00009B400000}"/>
    <cellStyle name="20 % - Markeringsfarve6 2 5 4 2 2 3" xfId="47767" xr:uid="{00000000-0005-0000-0000-00009C400000}"/>
    <cellStyle name="20 % - Markeringsfarve6 2 5 4 2 3" xfId="25781" xr:uid="{00000000-0005-0000-0000-00009D400000}"/>
    <cellStyle name="20 % - Markeringsfarve6 2 5 4 2 4" xfId="40768" xr:uid="{00000000-0005-0000-0000-00009E400000}"/>
    <cellStyle name="20 % - Markeringsfarve6 2 5 4 3" xfId="11517" xr:uid="{00000000-0005-0000-0000-00009F400000}"/>
    <cellStyle name="20 % - Markeringsfarve6 2 5 4 3 2" xfId="27836" xr:uid="{00000000-0005-0000-0000-0000A0400000}"/>
    <cellStyle name="20 % - Markeringsfarve6 2 5 4 3 3" xfId="42802" xr:uid="{00000000-0005-0000-0000-0000A1400000}"/>
    <cellStyle name="20 % - Markeringsfarve6 2 5 4 4" xfId="20814" xr:uid="{00000000-0005-0000-0000-0000A2400000}"/>
    <cellStyle name="20 % - Markeringsfarve6 2 5 4 5" xfId="35803" xr:uid="{00000000-0005-0000-0000-0000A3400000}"/>
    <cellStyle name="20 % - Markeringsfarve6 2 5 5" xfId="5707" xr:uid="{00000000-0005-0000-0000-0000A4400000}"/>
    <cellStyle name="20 % - Markeringsfarve6 2 5 5 2" xfId="13625" xr:uid="{00000000-0005-0000-0000-0000A5400000}"/>
    <cellStyle name="20 % - Markeringsfarve6 2 5 5 2 2" xfId="29939" xr:uid="{00000000-0005-0000-0000-0000A6400000}"/>
    <cellStyle name="20 % - Markeringsfarve6 2 5 5 2 3" xfId="44903" xr:uid="{00000000-0005-0000-0000-0000A7400000}"/>
    <cellStyle name="20 % - Markeringsfarve6 2 5 5 3" xfId="22917" xr:uid="{00000000-0005-0000-0000-0000A8400000}"/>
    <cellStyle name="20 % - Markeringsfarve6 2 5 5 4" xfId="37904" xr:uid="{00000000-0005-0000-0000-0000A9400000}"/>
    <cellStyle name="20 % - Markeringsfarve6 2 5 6" xfId="11513" xr:uid="{00000000-0005-0000-0000-0000AA400000}"/>
    <cellStyle name="20 % - Markeringsfarve6 2 5 6 2" xfId="27832" xr:uid="{00000000-0005-0000-0000-0000AB400000}"/>
    <cellStyle name="20 % - Markeringsfarve6 2 5 6 3" xfId="42798" xr:uid="{00000000-0005-0000-0000-0000AC400000}"/>
    <cellStyle name="20 % - Markeringsfarve6 2 5 7" xfId="20810" xr:uid="{00000000-0005-0000-0000-0000AD400000}"/>
    <cellStyle name="20 % - Markeringsfarve6 2 5 8" xfId="35799" xr:uid="{00000000-0005-0000-0000-0000AE400000}"/>
    <cellStyle name="20 % - Markeringsfarve6 2 5 9" xfId="56528" xr:uid="{00000000-0005-0000-0000-0000AF400000}"/>
    <cellStyle name="20 % - Markeringsfarve6 2 6" xfId="2961" xr:uid="{00000000-0005-0000-0000-0000B0400000}"/>
    <cellStyle name="20 % - Markeringsfarve6 2 6 2" xfId="2962" xr:uid="{00000000-0005-0000-0000-0000B1400000}"/>
    <cellStyle name="20 % - Markeringsfarve6 2 6 2 2" xfId="2963" xr:uid="{00000000-0005-0000-0000-0000B2400000}"/>
    <cellStyle name="20 % - Markeringsfarve6 2 6 2 2 2" xfId="7882" xr:uid="{00000000-0005-0000-0000-0000B3400000}"/>
    <cellStyle name="20 % - Markeringsfarve6 2 6 2 2 2 2" xfId="15783" xr:uid="{00000000-0005-0000-0000-0000B4400000}"/>
    <cellStyle name="20 % - Markeringsfarve6 2 6 2 2 2 2 2" xfId="32097" xr:uid="{00000000-0005-0000-0000-0000B5400000}"/>
    <cellStyle name="20 % - Markeringsfarve6 2 6 2 2 2 2 3" xfId="47061" xr:uid="{00000000-0005-0000-0000-0000B6400000}"/>
    <cellStyle name="20 % - Markeringsfarve6 2 6 2 2 2 3" xfId="25075" xr:uid="{00000000-0005-0000-0000-0000B7400000}"/>
    <cellStyle name="20 % - Markeringsfarve6 2 6 2 2 2 4" xfId="40062" xr:uid="{00000000-0005-0000-0000-0000B8400000}"/>
    <cellStyle name="20 % - Markeringsfarve6 2 6 2 2 3" xfId="11520" xr:uid="{00000000-0005-0000-0000-0000B9400000}"/>
    <cellStyle name="20 % - Markeringsfarve6 2 6 2 2 3 2" xfId="27839" xr:uid="{00000000-0005-0000-0000-0000BA400000}"/>
    <cellStyle name="20 % - Markeringsfarve6 2 6 2 2 3 3" xfId="42805" xr:uid="{00000000-0005-0000-0000-0000BB400000}"/>
    <cellStyle name="20 % - Markeringsfarve6 2 6 2 2 4" xfId="20817" xr:uid="{00000000-0005-0000-0000-0000BC400000}"/>
    <cellStyle name="20 % - Markeringsfarve6 2 6 2 2 5" xfId="35806" xr:uid="{00000000-0005-0000-0000-0000BD400000}"/>
    <cellStyle name="20 % - Markeringsfarve6 2 6 2 3" xfId="6423" xr:uid="{00000000-0005-0000-0000-0000BE400000}"/>
    <cellStyle name="20 % - Markeringsfarve6 2 6 2 3 2" xfId="14337" xr:uid="{00000000-0005-0000-0000-0000BF400000}"/>
    <cellStyle name="20 % - Markeringsfarve6 2 6 2 3 2 2" xfId="30651" xr:uid="{00000000-0005-0000-0000-0000C0400000}"/>
    <cellStyle name="20 % - Markeringsfarve6 2 6 2 3 2 3" xfId="45615" xr:uid="{00000000-0005-0000-0000-0000C1400000}"/>
    <cellStyle name="20 % - Markeringsfarve6 2 6 2 3 3" xfId="23629" xr:uid="{00000000-0005-0000-0000-0000C2400000}"/>
    <cellStyle name="20 % - Markeringsfarve6 2 6 2 3 4" xfId="38616" xr:uid="{00000000-0005-0000-0000-0000C3400000}"/>
    <cellStyle name="20 % - Markeringsfarve6 2 6 2 4" xfId="11519" xr:uid="{00000000-0005-0000-0000-0000C4400000}"/>
    <cellStyle name="20 % - Markeringsfarve6 2 6 2 4 2" xfId="27838" xr:uid="{00000000-0005-0000-0000-0000C5400000}"/>
    <cellStyle name="20 % - Markeringsfarve6 2 6 2 4 3" xfId="42804" xr:uid="{00000000-0005-0000-0000-0000C6400000}"/>
    <cellStyle name="20 % - Markeringsfarve6 2 6 2 5" xfId="20816" xr:uid="{00000000-0005-0000-0000-0000C7400000}"/>
    <cellStyle name="20 % - Markeringsfarve6 2 6 2 6" xfId="35805" xr:uid="{00000000-0005-0000-0000-0000C8400000}"/>
    <cellStyle name="20 % - Markeringsfarve6 2 6 3" xfId="2964" xr:uid="{00000000-0005-0000-0000-0000C9400000}"/>
    <cellStyle name="20 % - Markeringsfarve6 2 6 3 2" xfId="7158" xr:uid="{00000000-0005-0000-0000-0000CA400000}"/>
    <cellStyle name="20 % - Markeringsfarve6 2 6 3 2 2" xfId="15068" xr:uid="{00000000-0005-0000-0000-0000CB400000}"/>
    <cellStyle name="20 % - Markeringsfarve6 2 6 3 2 2 2" xfId="31382" xr:uid="{00000000-0005-0000-0000-0000CC400000}"/>
    <cellStyle name="20 % - Markeringsfarve6 2 6 3 2 2 3" xfId="46346" xr:uid="{00000000-0005-0000-0000-0000CD400000}"/>
    <cellStyle name="20 % - Markeringsfarve6 2 6 3 2 3" xfId="24360" xr:uid="{00000000-0005-0000-0000-0000CE400000}"/>
    <cellStyle name="20 % - Markeringsfarve6 2 6 3 2 4" xfId="39347" xr:uid="{00000000-0005-0000-0000-0000CF400000}"/>
    <cellStyle name="20 % - Markeringsfarve6 2 6 3 3" xfId="11521" xr:uid="{00000000-0005-0000-0000-0000D0400000}"/>
    <cellStyle name="20 % - Markeringsfarve6 2 6 3 3 2" xfId="27840" xr:uid="{00000000-0005-0000-0000-0000D1400000}"/>
    <cellStyle name="20 % - Markeringsfarve6 2 6 3 3 3" xfId="42806" xr:uid="{00000000-0005-0000-0000-0000D2400000}"/>
    <cellStyle name="20 % - Markeringsfarve6 2 6 3 4" xfId="20818" xr:uid="{00000000-0005-0000-0000-0000D3400000}"/>
    <cellStyle name="20 % - Markeringsfarve6 2 6 3 5" xfId="35807" xr:uid="{00000000-0005-0000-0000-0000D4400000}"/>
    <cellStyle name="20 % - Markeringsfarve6 2 6 4" xfId="2965" xr:uid="{00000000-0005-0000-0000-0000D5400000}"/>
    <cellStyle name="20 % - Markeringsfarve6 2 6 4 2" xfId="8254" xr:uid="{00000000-0005-0000-0000-0000D6400000}"/>
    <cellStyle name="20 % - Markeringsfarve6 2 6 4 2 2" xfId="16150" xr:uid="{00000000-0005-0000-0000-0000D7400000}"/>
    <cellStyle name="20 % - Markeringsfarve6 2 6 4 2 2 2" xfId="32464" xr:uid="{00000000-0005-0000-0000-0000D8400000}"/>
    <cellStyle name="20 % - Markeringsfarve6 2 6 4 2 2 3" xfId="47428" xr:uid="{00000000-0005-0000-0000-0000D9400000}"/>
    <cellStyle name="20 % - Markeringsfarve6 2 6 4 2 3" xfId="25442" xr:uid="{00000000-0005-0000-0000-0000DA400000}"/>
    <cellStyle name="20 % - Markeringsfarve6 2 6 4 2 4" xfId="40429" xr:uid="{00000000-0005-0000-0000-0000DB400000}"/>
    <cellStyle name="20 % - Markeringsfarve6 2 6 4 3" xfId="11522" xr:uid="{00000000-0005-0000-0000-0000DC400000}"/>
    <cellStyle name="20 % - Markeringsfarve6 2 6 4 3 2" xfId="27841" xr:uid="{00000000-0005-0000-0000-0000DD400000}"/>
    <cellStyle name="20 % - Markeringsfarve6 2 6 4 3 3" xfId="42807" xr:uid="{00000000-0005-0000-0000-0000DE400000}"/>
    <cellStyle name="20 % - Markeringsfarve6 2 6 4 4" xfId="20819" xr:uid="{00000000-0005-0000-0000-0000DF400000}"/>
    <cellStyle name="20 % - Markeringsfarve6 2 6 4 5" xfId="35808" xr:uid="{00000000-0005-0000-0000-0000E0400000}"/>
    <cellStyle name="20 % - Markeringsfarve6 2 6 5" xfId="5708" xr:uid="{00000000-0005-0000-0000-0000E1400000}"/>
    <cellStyle name="20 % - Markeringsfarve6 2 6 5 2" xfId="13626" xr:uid="{00000000-0005-0000-0000-0000E2400000}"/>
    <cellStyle name="20 % - Markeringsfarve6 2 6 5 2 2" xfId="29940" xr:uid="{00000000-0005-0000-0000-0000E3400000}"/>
    <cellStyle name="20 % - Markeringsfarve6 2 6 5 2 3" xfId="44904" xr:uid="{00000000-0005-0000-0000-0000E4400000}"/>
    <cellStyle name="20 % - Markeringsfarve6 2 6 5 3" xfId="22918" xr:uid="{00000000-0005-0000-0000-0000E5400000}"/>
    <cellStyle name="20 % - Markeringsfarve6 2 6 5 4" xfId="37905" xr:uid="{00000000-0005-0000-0000-0000E6400000}"/>
    <cellStyle name="20 % - Markeringsfarve6 2 6 6" xfId="11518" xr:uid="{00000000-0005-0000-0000-0000E7400000}"/>
    <cellStyle name="20 % - Markeringsfarve6 2 6 6 2" xfId="27837" xr:uid="{00000000-0005-0000-0000-0000E8400000}"/>
    <cellStyle name="20 % - Markeringsfarve6 2 6 6 3" xfId="42803" xr:uid="{00000000-0005-0000-0000-0000E9400000}"/>
    <cellStyle name="20 % - Markeringsfarve6 2 6 7" xfId="20815" xr:uid="{00000000-0005-0000-0000-0000EA400000}"/>
    <cellStyle name="20 % - Markeringsfarve6 2 6 8" xfId="35804" xr:uid="{00000000-0005-0000-0000-0000EB400000}"/>
    <cellStyle name="20 % - Markeringsfarve6 2 7" xfId="2966" xr:uid="{00000000-0005-0000-0000-0000EC400000}"/>
    <cellStyle name="20 % - Markeringsfarve6 2 7 2" xfId="2967" xr:uid="{00000000-0005-0000-0000-0000ED400000}"/>
    <cellStyle name="20 % - Markeringsfarve6 2 7 2 2" xfId="2968" xr:uid="{00000000-0005-0000-0000-0000EE400000}"/>
    <cellStyle name="20 % - Markeringsfarve6 2 7 2 2 2" xfId="7999" xr:uid="{00000000-0005-0000-0000-0000EF400000}"/>
    <cellStyle name="20 % - Markeringsfarve6 2 7 2 2 2 2" xfId="15900" xr:uid="{00000000-0005-0000-0000-0000F0400000}"/>
    <cellStyle name="20 % - Markeringsfarve6 2 7 2 2 2 2 2" xfId="32214" xr:uid="{00000000-0005-0000-0000-0000F1400000}"/>
    <cellStyle name="20 % - Markeringsfarve6 2 7 2 2 2 2 3" xfId="47178" xr:uid="{00000000-0005-0000-0000-0000F2400000}"/>
    <cellStyle name="20 % - Markeringsfarve6 2 7 2 2 2 3" xfId="25192" xr:uid="{00000000-0005-0000-0000-0000F3400000}"/>
    <cellStyle name="20 % - Markeringsfarve6 2 7 2 2 2 4" xfId="40179" xr:uid="{00000000-0005-0000-0000-0000F4400000}"/>
    <cellStyle name="20 % - Markeringsfarve6 2 7 2 2 3" xfId="11525" xr:uid="{00000000-0005-0000-0000-0000F5400000}"/>
    <cellStyle name="20 % - Markeringsfarve6 2 7 2 2 3 2" xfId="27844" xr:uid="{00000000-0005-0000-0000-0000F6400000}"/>
    <cellStyle name="20 % - Markeringsfarve6 2 7 2 2 3 3" xfId="42810" xr:uid="{00000000-0005-0000-0000-0000F7400000}"/>
    <cellStyle name="20 % - Markeringsfarve6 2 7 2 2 4" xfId="20822" xr:uid="{00000000-0005-0000-0000-0000F8400000}"/>
    <cellStyle name="20 % - Markeringsfarve6 2 7 2 2 5" xfId="35811" xr:uid="{00000000-0005-0000-0000-0000F9400000}"/>
    <cellStyle name="20 % - Markeringsfarve6 2 7 2 3" xfId="6522" xr:uid="{00000000-0005-0000-0000-0000FA400000}"/>
    <cellStyle name="20 % - Markeringsfarve6 2 7 2 3 2" xfId="14436" xr:uid="{00000000-0005-0000-0000-0000FB400000}"/>
    <cellStyle name="20 % - Markeringsfarve6 2 7 2 3 2 2" xfId="30750" xr:uid="{00000000-0005-0000-0000-0000FC400000}"/>
    <cellStyle name="20 % - Markeringsfarve6 2 7 2 3 2 3" xfId="45714" xr:uid="{00000000-0005-0000-0000-0000FD400000}"/>
    <cellStyle name="20 % - Markeringsfarve6 2 7 2 3 3" xfId="23728" xr:uid="{00000000-0005-0000-0000-0000FE400000}"/>
    <cellStyle name="20 % - Markeringsfarve6 2 7 2 3 4" xfId="38715" xr:uid="{00000000-0005-0000-0000-0000FF400000}"/>
    <cellStyle name="20 % - Markeringsfarve6 2 7 2 4" xfId="11524" xr:uid="{00000000-0005-0000-0000-000000410000}"/>
    <cellStyle name="20 % - Markeringsfarve6 2 7 2 4 2" xfId="27843" xr:uid="{00000000-0005-0000-0000-000001410000}"/>
    <cellStyle name="20 % - Markeringsfarve6 2 7 2 4 3" xfId="42809" xr:uid="{00000000-0005-0000-0000-000002410000}"/>
    <cellStyle name="20 % - Markeringsfarve6 2 7 2 5" xfId="20821" xr:uid="{00000000-0005-0000-0000-000003410000}"/>
    <cellStyle name="20 % - Markeringsfarve6 2 7 2 6" xfId="35810" xr:uid="{00000000-0005-0000-0000-000004410000}"/>
    <cellStyle name="20 % - Markeringsfarve6 2 7 3" xfId="2969" xr:uid="{00000000-0005-0000-0000-000005410000}"/>
    <cellStyle name="20 % - Markeringsfarve6 2 7 3 2" xfId="7275" xr:uid="{00000000-0005-0000-0000-000006410000}"/>
    <cellStyle name="20 % - Markeringsfarve6 2 7 3 2 2" xfId="15185" xr:uid="{00000000-0005-0000-0000-000007410000}"/>
    <cellStyle name="20 % - Markeringsfarve6 2 7 3 2 2 2" xfId="31499" xr:uid="{00000000-0005-0000-0000-000008410000}"/>
    <cellStyle name="20 % - Markeringsfarve6 2 7 3 2 2 3" xfId="46463" xr:uid="{00000000-0005-0000-0000-000009410000}"/>
    <cellStyle name="20 % - Markeringsfarve6 2 7 3 2 3" xfId="24477" xr:uid="{00000000-0005-0000-0000-00000A410000}"/>
    <cellStyle name="20 % - Markeringsfarve6 2 7 3 2 4" xfId="39464" xr:uid="{00000000-0005-0000-0000-00000B410000}"/>
    <cellStyle name="20 % - Markeringsfarve6 2 7 3 3" xfId="11526" xr:uid="{00000000-0005-0000-0000-00000C410000}"/>
    <cellStyle name="20 % - Markeringsfarve6 2 7 3 3 2" xfId="27845" xr:uid="{00000000-0005-0000-0000-00000D410000}"/>
    <cellStyle name="20 % - Markeringsfarve6 2 7 3 3 3" xfId="42811" xr:uid="{00000000-0005-0000-0000-00000E410000}"/>
    <cellStyle name="20 % - Markeringsfarve6 2 7 3 4" xfId="20823" xr:uid="{00000000-0005-0000-0000-00000F410000}"/>
    <cellStyle name="20 % - Markeringsfarve6 2 7 3 5" xfId="35812" xr:uid="{00000000-0005-0000-0000-000010410000}"/>
    <cellStyle name="20 % - Markeringsfarve6 2 7 4" xfId="2970" xr:uid="{00000000-0005-0000-0000-000011410000}"/>
    <cellStyle name="20 % - Markeringsfarve6 2 7 4 2" xfId="8207" xr:uid="{00000000-0005-0000-0000-000012410000}"/>
    <cellStyle name="20 % - Markeringsfarve6 2 7 4 2 2" xfId="16104" xr:uid="{00000000-0005-0000-0000-000013410000}"/>
    <cellStyle name="20 % - Markeringsfarve6 2 7 4 2 2 2" xfId="32418" xr:uid="{00000000-0005-0000-0000-000014410000}"/>
    <cellStyle name="20 % - Markeringsfarve6 2 7 4 2 2 3" xfId="47382" xr:uid="{00000000-0005-0000-0000-000015410000}"/>
    <cellStyle name="20 % - Markeringsfarve6 2 7 4 2 3" xfId="25396" xr:uid="{00000000-0005-0000-0000-000016410000}"/>
    <cellStyle name="20 % - Markeringsfarve6 2 7 4 2 4" xfId="40383" xr:uid="{00000000-0005-0000-0000-000017410000}"/>
    <cellStyle name="20 % - Markeringsfarve6 2 7 4 3" xfId="11527" xr:uid="{00000000-0005-0000-0000-000018410000}"/>
    <cellStyle name="20 % - Markeringsfarve6 2 7 4 3 2" xfId="27846" xr:uid="{00000000-0005-0000-0000-000019410000}"/>
    <cellStyle name="20 % - Markeringsfarve6 2 7 4 3 3" xfId="42812" xr:uid="{00000000-0005-0000-0000-00001A410000}"/>
    <cellStyle name="20 % - Markeringsfarve6 2 7 4 4" xfId="20824" xr:uid="{00000000-0005-0000-0000-00001B410000}"/>
    <cellStyle name="20 % - Markeringsfarve6 2 7 4 5" xfId="35813" xr:uid="{00000000-0005-0000-0000-00001C410000}"/>
    <cellStyle name="20 % - Markeringsfarve6 2 7 5" xfId="5709" xr:uid="{00000000-0005-0000-0000-00001D410000}"/>
    <cellStyle name="20 % - Markeringsfarve6 2 7 5 2" xfId="13627" xr:uid="{00000000-0005-0000-0000-00001E410000}"/>
    <cellStyle name="20 % - Markeringsfarve6 2 7 5 2 2" xfId="29941" xr:uid="{00000000-0005-0000-0000-00001F410000}"/>
    <cellStyle name="20 % - Markeringsfarve6 2 7 5 2 3" xfId="44905" xr:uid="{00000000-0005-0000-0000-000020410000}"/>
    <cellStyle name="20 % - Markeringsfarve6 2 7 5 3" xfId="22919" xr:uid="{00000000-0005-0000-0000-000021410000}"/>
    <cellStyle name="20 % - Markeringsfarve6 2 7 5 4" xfId="37906" xr:uid="{00000000-0005-0000-0000-000022410000}"/>
    <cellStyle name="20 % - Markeringsfarve6 2 7 6" xfId="11523" xr:uid="{00000000-0005-0000-0000-000023410000}"/>
    <cellStyle name="20 % - Markeringsfarve6 2 7 6 2" xfId="27842" xr:uid="{00000000-0005-0000-0000-000024410000}"/>
    <cellStyle name="20 % - Markeringsfarve6 2 7 6 3" xfId="42808" xr:uid="{00000000-0005-0000-0000-000025410000}"/>
    <cellStyle name="20 % - Markeringsfarve6 2 7 7" xfId="20820" xr:uid="{00000000-0005-0000-0000-000026410000}"/>
    <cellStyle name="20 % - Markeringsfarve6 2 7 8" xfId="35809" xr:uid="{00000000-0005-0000-0000-000027410000}"/>
    <cellStyle name="20 % - Markeringsfarve6 2 8" xfId="2971" xr:uid="{00000000-0005-0000-0000-000028410000}"/>
    <cellStyle name="20 % - Markeringsfarve6 2 8 2" xfId="2972" xr:uid="{00000000-0005-0000-0000-000029410000}"/>
    <cellStyle name="20 % - Markeringsfarve6 2 8 2 2" xfId="2973" xr:uid="{00000000-0005-0000-0000-00002A410000}"/>
    <cellStyle name="20 % - Markeringsfarve6 2 8 2 2 2" xfId="8126" xr:uid="{00000000-0005-0000-0000-00002B410000}"/>
    <cellStyle name="20 % - Markeringsfarve6 2 8 2 2 2 2" xfId="16027" xr:uid="{00000000-0005-0000-0000-00002C410000}"/>
    <cellStyle name="20 % - Markeringsfarve6 2 8 2 2 2 2 2" xfId="32341" xr:uid="{00000000-0005-0000-0000-00002D410000}"/>
    <cellStyle name="20 % - Markeringsfarve6 2 8 2 2 2 2 3" xfId="47305" xr:uid="{00000000-0005-0000-0000-00002E410000}"/>
    <cellStyle name="20 % - Markeringsfarve6 2 8 2 2 2 3" xfId="25319" xr:uid="{00000000-0005-0000-0000-00002F410000}"/>
    <cellStyle name="20 % - Markeringsfarve6 2 8 2 2 2 4" xfId="40306" xr:uid="{00000000-0005-0000-0000-000030410000}"/>
    <cellStyle name="20 % - Markeringsfarve6 2 8 2 2 3" xfId="11530" xr:uid="{00000000-0005-0000-0000-000031410000}"/>
    <cellStyle name="20 % - Markeringsfarve6 2 8 2 2 3 2" xfId="27849" xr:uid="{00000000-0005-0000-0000-000032410000}"/>
    <cellStyle name="20 % - Markeringsfarve6 2 8 2 2 3 3" xfId="42815" xr:uid="{00000000-0005-0000-0000-000033410000}"/>
    <cellStyle name="20 % - Markeringsfarve6 2 8 2 2 4" xfId="20827" xr:uid="{00000000-0005-0000-0000-000034410000}"/>
    <cellStyle name="20 % - Markeringsfarve6 2 8 2 2 5" xfId="35816" xr:uid="{00000000-0005-0000-0000-000035410000}"/>
    <cellStyle name="20 % - Markeringsfarve6 2 8 2 3" xfId="6628" xr:uid="{00000000-0005-0000-0000-000036410000}"/>
    <cellStyle name="20 % - Markeringsfarve6 2 8 2 3 2" xfId="14542" xr:uid="{00000000-0005-0000-0000-000037410000}"/>
    <cellStyle name="20 % - Markeringsfarve6 2 8 2 3 2 2" xfId="30856" xr:uid="{00000000-0005-0000-0000-000038410000}"/>
    <cellStyle name="20 % - Markeringsfarve6 2 8 2 3 2 3" xfId="45820" xr:uid="{00000000-0005-0000-0000-000039410000}"/>
    <cellStyle name="20 % - Markeringsfarve6 2 8 2 3 3" xfId="23834" xr:uid="{00000000-0005-0000-0000-00003A410000}"/>
    <cellStyle name="20 % - Markeringsfarve6 2 8 2 3 4" xfId="38821" xr:uid="{00000000-0005-0000-0000-00003B410000}"/>
    <cellStyle name="20 % - Markeringsfarve6 2 8 2 4" xfId="11529" xr:uid="{00000000-0005-0000-0000-00003C410000}"/>
    <cellStyle name="20 % - Markeringsfarve6 2 8 2 4 2" xfId="27848" xr:uid="{00000000-0005-0000-0000-00003D410000}"/>
    <cellStyle name="20 % - Markeringsfarve6 2 8 2 4 3" xfId="42814" xr:uid="{00000000-0005-0000-0000-00003E410000}"/>
    <cellStyle name="20 % - Markeringsfarve6 2 8 2 5" xfId="20826" xr:uid="{00000000-0005-0000-0000-00003F410000}"/>
    <cellStyle name="20 % - Markeringsfarve6 2 8 2 6" xfId="35815" xr:uid="{00000000-0005-0000-0000-000040410000}"/>
    <cellStyle name="20 % - Markeringsfarve6 2 8 3" xfId="2974" xr:uid="{00000000-0005-0000-0000-000041410000}"/>
    <cellStyle name="20 % - Markeringsfarve6 2 8 3 2" xfId="7403" xr:uid="{00000000-0005-0000-0000-000042410000}"/>
    <cellStyle name="20 % - Markeringsfarve6 2 8 3 2 2" xfId="15313" xr:uid="{00000000-0005-0000-0000-000043410000}"/>
    <cellStyle name="20 % - Markeringsfarve6 2 8 3 2 2 2" xfId="31627" xr:uid="{00000000-0005-0000-0000-000044410000}"/>
    <cellStyle name="20 % - Markeringsfarve6 2 8 3 2 2 3" xfId="46591" xr:uid="{00000000-0005-0000-0000-000045410000}"/>
    <cellStyle name="20 % - Markeringsfarve6 2 8 3 2 3" xfId="24605" xr:uid="{00000000-0005-0000-0000-000046410000}"/>
    <cellStyle name="20 % - Markeringsfarve6 2 8 3 2 4" xfId="39592" xr:uid="{00000000-0005-0000-0000-000047410000}"/>
    <cellStyle name="20 % - Markeringsfarve6 2 8 3 3" xfId="11531" xr:uid="{00000000-0005-0000-0000-000048410000}"/>
    <cellStyle name="20 % - Markeringsfarve6 2 8 3 3 2" xfId="27850" xr:uid="{00000000-0005-0000-0000-000049410000}"/>
    <cellStyle name="20 % - Markeringsfarve6 2 8 3 3 3" xfId="42816" xr:uid="{00000000-0005-0000-0000-00004A410000}"/>
    <cellStyle name="20 % - Markeringsfarve6 2 8 3 4" xfId="20828" xr:uid="{00000000-0005-0000-0000-00004B410000}"/>
    <cellStyle name="20 % - Markeringsfarve6 2 8 3 5" xfId="35817" xr:uid="{00000000-0005-0000-0000-00004C410000}"/>
    <cellStyle name="20 % - Markeringsfarve6 2 8 4" xfId="2975" xr:uid="{00000000-0005-0000-0000-00004D410000}"/>
    <cellStyle name="20 % - Markeringsfarve6 2 8 4 2" xfId="8548" xr:uid="{00000000-0005-0000-0000-00004E410000}"/>
    <cellStyle name="20 % - Markeringsfarve6 2 8 4 2 2" xfId="16436" xr:uid="{00000000-0005-0000-0000-00004F410000}"/>
    <cellStyle name="20 % - Markeringsfarve6 2 8 4 2 2 2" xfId="32750" xr:uid="{00000000-0005-0000-0000-000050410000}"/>
    <cellStyle name="20 % - Markeringsfarve6 2 8 4 2 2 3" xfId="47714" xr:uid="{00000000-0005-0000-0000-000051410000}"/>
    <cellStyle name="20 % - Markeringsfarve6 2 8 4 2 3" xfId="25728" xr:uid="{00000000-0005-0000-0000-000052410000}"/>
    <cellStyle name="20 % - Markeringsfarve6 2 8 4 2 4" xfId="40715" xr:uid="{00000000-0005-0000-0000-000053410000}"/>
    <cellStyle name="20 % - Markeringsfarve6 2 8 4 3" xfId="11532" xr:uid="{00000000-0005-0000-0000-000054410000}"/>
    <cellStyle name="20 % - Markeringsfarve6 2 8 4 3 2" xfId="27851" xr:uid="{00000000-0005-0000-0000-000055410000}"/>
    <cellStyle name="20 % - Markeringsfarve6 2 8 4 3 3" xfId="42817" xr:uid="{00000000-0005-0000-0000-000056410000}"/>
    <cellStyle name="20 % - Markeringsfarve6 2 8 4 4" xfId="20829" xr:uid="{00000000-0005-0000-0000-000057410000}"/>
    <cellStyle name="20 % - Markeringsfarve6 2 8 4 5" xfId="35818" xr:uid="{00000000-0005-0000-0000-000058410000}"/>
    <cellStyle name="20 % - Markeringsfarve6 2 8 5" xfId="5710" xr:uid="{00000000-0005-0000-0000-000059410000}"/>
    <cellStyle name="20 % - Markeringsfarve6 2 8 5 2" xfId="13628" xr:uid="{00000000-0005-0000-0000-00005A410000}"/>
    <cellStyle name="20 % - Markeringsfarve6 2 8 5 2 2" xfId="29942" xr:uid="{00000000-0005-0000-0000-00005B410000}"/>
    <cellStyle name="20 % - Markeringsfarve6 2 8 5 2 3" xfId="44906" xr:uid="{00000000-0005-0000-0000-00005C410000}"/>
    <cellStyle name="20 % - Markeringsfarve6 2 8 5 3" xfId="22920" xr:uid="{00000000-0005-0000-0000-00005D410000}"/>
    <cellStyle name="20 % - Markeringsfarve6 2 8 5 4" xfId="37907" xr:uid="{00000000-0005-0000-0000-00005E410000}"/>
    <cellStyle name="20 % - Markeringsfarve6 2 8 6" xfId="11528" xr:uid="{00000000-0005-0000-0000-00005F410000}"/>
    <cellStyle name="20 % - Markeringsfarve6 2 8 6 2" xfId="27847" xr:uid="{00000000-0005-0000-0000-000060410000}"/>
    <cellStyle name="20 % - Markeringsfarve6 2 8 6 3" xfId="42813" xr:uid="{00000000-0005-0000-0000-000061410000}"/>
    <cellStyle name="20 % - Markeringsfarve6 2 8 7" xfId="20825" xr:uid="{00000000-0005-0000-0000-000062410000}"/>
    <cellStyle name="20 % - Markeringsfarve6 2 8 8" xfId="35814" xr:uid="{00000000-0005-0000-0000-000063410000}"/>
    <cellStyle name="20 % - Markeringsfarve6 2 9" xfId="2976" xr:uid="{00000000-0005-0000-0000-000064410000}"/>
    <cellStyle name="20 % - Markeringsfarve6 2 9 2" xfId="2977" xr:uid="{00000000-0005-0000-0000-000065410000}"/>
    <cellStyle name="20 % - Markeringsfarve6 2 9 2 2" xfId="7525" xr:uid="{00000000-0005-0000-0000-000066410000}"/>
    <cellStyle name="20 % - Markeringsfarve6 2 9 2 2 2" xfId="15426" xr:uid="{00000000-0005-0000-0000-000067410000}"/>
    <cellStyle name="20 % - Markeringsfarve6 2 9 2 2 2 2" xfId="31740" xr:uid="{00000000-0005-0000-0000-000068410000}"/>
    <cellStyle name="20 % - Markeringsfarve6 2 9 2 2 2 3" xfId="46704" xr:uid="{00000000-0005-0000-0000-000069410000}"/>
    <cellStyle name="20 % - Markeringsfarve6 2 9 2 2 3" xfId="24718" xr:uid="{00000000-0005-0000-0000-00006A410000}"/>
    <cellStyle name="20 % - Markeringsfarve6 2 9 2 2 4" xfId="39705" xr:uid="{00000000-0005-0000-0000-00006B410000}"/>
    <cellStyle name="20 % - Markeringsfarve6 2 9 2 3" xfId="11534" xr:uid="{00000000-0005-0000-0000-00006C410000}"/>
    <cellStyle name="20 % - Markeringsfarve6 2 9 2 3 2" xfId="27853" xr:uid="{00000000-0005-0000-0000-00006D410000}"/>
    <cellStyle name="20 % - Markeringsfarve6 2 9 2 3 3" xfId="42819" xr:uid="{00000000-0005-0000-0000-00006E410000}"/>
    <cellStyle name="20 % - Markeringsfarve6 2 9 2 4" xfId="20831" xr:uid="{00000000-0005-0000-0000-00006F410000}"/>
    <cellStyle name="20 % - Markeringsfarve6 2 9 2 5" xfId="35820" xr:uid="{00000000-0005-0000-0000-000070410000}"/>
    <cellStyle name="20 % - Markeringsfarve6 2 9 3" xfId="6122" xr:uid="{00000000-0005-0000-0000-000071410000}"/>
    <cellStyle name="20 % - Markeringsfarve6 2 9 3 2" xfId="14039" xr:uid="{00000000-0005-0000-0000-000072410000}"/>
    <cellStyle name="20 % - Markeringsfarve6 2 9 3 2 2" xfId="30353" xr:uid="{00000000-0005-0000-0000-000073410000}"/>
    <cellStyle name="20 % - Markeringsfarve6 2 9 3 2 3" xfId="45317" xr:uid="{00000000-0005-0000-0000-000074410000}"/>
    <cellStyle name="20 % - Markeringsfarve6 2 9 3 3" xfId="23331" xr:uid="{00000000-0005-0000-0000-000075410000}"/>
    <cellStyle name="20 % - Markeringsfarve6 2 9 3 4" xfId="38318" xr:uid="{00000000-0005-0000-0000-000076410000}"/>
    <cellStyle name="20 % - Markeringsfarve6 2 9 4" xfId="11533" xr:uid="{00000000-0005-0000-0000-000077410000}"/>
    <cellStyle name="20 % - Markeringsfarve6 2 9 4 2" xfId="27852" xr:uid="{00000000-0005-0000-0000-000078410000}"/>
    <cellStyle name="20 % - Markeringsfarve6 2 9 4 3" xfId="42818" xr:uid="{00000000-0005-0000-0000-000079410000}"/>
    <cellStyle name="20 % - Markeringsfarve6 2 9 5" xfId="20830" xr:uid="{00000000-0005-0000-0000-00007A410000}"/>
    <cellStyle name="20 % - Markeringsfarve6 2 9 6" xfId="35819" xr:uid="{00000000-0005-0000-0000-00007B410000}"/>
    <cellStyle name="20 % - Markeringsfarve6 3" xfId="2978" xr:uid="{00000000-0005-0000-0000-00007C410000}"/>
    <cellStyle name="20 % - Markeringsfarve6 3 10" xfId="2979" xr:uid="{00000000-0005-0000-0000-00007D410000}"/>
    <cellStyle name="20 % - Markeringsfarve6 3 10 2" xfId="6738" xr:uid="{00000000-0005-0000-0000-00007E410000}"/>
    <cellStyle name="20 % - Markeringsfarve6 3 10 2 2" xfId="14650" xr:uid="{00000000-0005-0000-0000-00007F410000}"/>
    <cellStyle name="20 % - Markeringsfarve6 3 10 2 2 2" xfId="30964" xr:uid="{00000000-0005-0000-0000-000080410000}"/>
    <cellStyle name="20 % - Markeringsfarve6 3 10 2 2 3" xfId="45928" xr:uid="{00000000-0005-0000-0000-000081410000}"/>
    <cellStyle name="20 % - Markeringsfarve6 3 10 2 3" xfId="23942" xr:uid="{00000000-0005-0000-0000-000082410000}"/>
    <cellStyle name="20 % - Markeringsfarve6 3 10 2 4" xfId="38929" xr:uid="{00000000-0005-0000-0000-000083410000}"/>
    <cellStyle name="20 % - Markeringsfarve6 3 10 3" xfId="11536" xr:uid="{00000000-0005-0000-0000-000084410000}"/>
    <cellStyle name="20 % - Markeringsfarve6 3 10 3 2" xfId="27855" xr:uid="{00000000-0005-0000-0000-000085410000}"/>
    <cellStyle name="20 % - Markeringsfarve6 3 10 3 3" xfId="42821" xr:uid="{00000000-0005-0000-0000-000086410000}"/>
    <cellStyle name="20 % - Markeringsfarve6 3 10 4" xfId="20833" xr:uid="{00000000-0005-0000-0000-000087410000}"/>
    <cellStyle name="20 % - Markeringsfarve6 3 10 5" xfId="35822" xr:uid="{00000000-0005-0000-0000-000088410000}"/>
    <cellStyle name="20 % - Markeringsfarve6 3 11" xfId="2980" xr:uid="{00000000-0005-0000-0000-000089410000}"/>
    <cellStyle name="20 % - Markeringsfarve6 3 11 2" xfId="8782" xr:uid="{00000000-0005-0000-0000-00008A410000}"/>
    <cellStyle name="20 % - Markeringsfarve6 3 11 2 2" xfId="16658" xr:uid="{00000000-0005-0000-0000-00008B410000}"/>
    <cellStyle name="20 % - Markeringsfarve6 3 11 2 2 2" xfId="32972" xr:uid="{00000000-0005-0000-0000-00008C410000}"/>
    <cellStyle name="20 % - Markeringsfarve6 3 11 2 2 3" xfId="47936" xr:uid="{00000000-0005-0000-0000-00008D410000}"/>
    <cellStyle name="20 % - Markeringsfarve6 3 11 2 3" xfId="25950" xr:uid="{00000000-0005-0000-0000-00008E410000}"/>
    <cellStyle name="20 % - Markeringsfarve6 3 11 2 4" xfId="40937" xr:uid="{00000000-0005-0000-0000-00008F410000}"/>
    <cellStyle name="20 % - Markeringsfarve6 3 11 3" xfId="11537" xr:uid="{00000000-0005-0000-0000-000090410000}"/>
    <cellStyle name="20 % - Markeringsfarve6 3 11 3 2" xfId="27856" xr:uid="{00000000-0005-0000-0000-000091410000}"/>
    <cellStyle name="20 % - Markeringsfarve6 3 11 3 3" xfId="42822" xr:uid="{00000000-0005-0000-0000-000092410000}"/>
    <cellStyle name="20 % - Markeringsfarve6 3 11 4" xfId="20834" xr:uid="{00000000-0005-0000-0000-000093410000}"/>
    <cellStyle name="20 % - Markeringsfarve6 3 11 5" xfId="35823" xr:uid="{00000000-0005-0000-0000-000094410000}"/>
    <cellStyle name="20 % - Markeringsfarve6 3 12" xfId="5711" xr:uid="{00000000-0005-0000-0000-000095410000}"/>
    <cellStyle name="20 % - Markeringsfarve6 3 12 2" xfId="13629" xr:uid="{00000000-0005-0000-0000-000096410000}"/>
    <cellStyle name="20 % - Markeringsfarve6 3 12 2 2" xfId="29943" xr:uid="{00000000-0005-0000-0000-000097410000}"/>
    <cellStyle name="20 % - Markeringsfarve6 3 12 2 3" xfId="44907" xr:uid="{00000000-0005-0000-0000-000098410000}"/>
    <cellStyle name="20 % - Markeringsfarve6 3 12 3" xfId="22921" xr:uid="{00000000-0005-0000-0000-000099410000}"/>
    <cellStyle name="20 % - Markeringsfarve6 3 12 4" xfId="37908" xr:uid="{00000000-0005-0000-0000-00009A410000}"/>
    <cellStyle name="20 % - Markeringsfarve6 3 13" xfId="11535" xr:uid="{00000000-0005-0000-0000-00009B410000}"/>
    <cellStyle name="20 % - Markeringsfarve6 3 13 2" xfId="27854" xr:uid="{00000000-0005-0000-0000-00009C410000}"/>
    <cellStyle name="20 % - Markeringsfarve6 3 13 3" xfId="42820" xr:uid="{00000000-0005-0000-0000-00009D410000}"/>
    <cellStyle name="20 % - Markeringsfarve6 3 14" xfId="20832" xr:uid="{00000000-0005-0000-0000-00009E410000}"/>
    <cellStyle name="20 % - Markeringsfarve6 3 15" xfId="35821" xr:uid="{00000000-0005-0000-0000-00009F410000}"/>
    <cellStyle name="20 % - Markeringsfarve6 3 16" xfId="53344" xr:uid="{00000000-0005-0000-0000-0000A0410000}"/>
    <cellStyle name="20 % - Markeringsfarve6 3 2" xfId="2981" xr:uid="{00000000-0005-0000-0000-0000A1410000}"/>
    <cellStyle name="20 % - Markeringsfarve6 3 2 10" xfId="5712" xr:uid="{00000000-0005-0000-0000-0000A2410000}"/>
    <cellStyle name="20 % - Markeringsfarve6 3 2 10 2" xfId="13630" xr:uid="{00000000-0005-0000-0000-0000A3410000}"/>
    <cellStyle name="20 % - Markeringsfarve6 3 2 10 2 2" xfId="29944" xr:uid="{00000000-0005-0000-0000-0000A4410000}"/>
    <cellStyle name="20 % - Markeringsfarve6 3 2 10 2 3" xfId="44908" xr:uid="{00000000-0005-0000-0000-0000A5410000}"/>
    <cellStyle name="20 % - Markeringsfarve6 3 2 10 3" xfId="22922" xr:uid="{00000000-0005-0000-0000-0000A6410000}"/>
    <cellStyle name="20 % - Markeringsfarve6 3 2 10 4" xfId="37909" xr:uid="{00000000-0005-0000-0000-0000A7410000}"/>
    <cellStyle name="20 % - Markeringsfarve6 3 2 11" xfId="11538" xr:uid="{00000000-0005-0000-0000-0000A8410000}"/>
    <cellStyle name="20 % - Markeringsfarve6 3 2 11 2" xfId="27857" xr:uid="{00000000-0005-0000-0000-0000A9410000}"/>
    <cellStyle name="20 % - Markeringsfarve6 3 2 11 3" xfId="42823" xr:uid="{00000000-0005-0000-0000-0000AA410000}"/>
    <cellStyle name="20 % - Markeringsfarve6 3 2 12" xfId="20835" xr:uid="{00000000-0005-0000-0000-0000AB410000}"/>
    <cellStyle name="20 % - Markeringsfarve6 3 2 13" xfId="35824" xr:uid="{00000000-0005-0000-0000-0000AC410000}"/>
    <cellStyle name="20 % - Markeringsfarve6 3 2 14" xfId="53981" xr:uid="{00000000-0005-0000-0000-0000AD410000}"/>
    <cellStyle name="20 % - Markeringsfarve6 3 2 2" xfId="2982" xr:uid="{00000000-0005-0000-0000-0000AE410000}"/>
    <cellStyle name="20 % - Markeringsfarve6 3 2 2 2" xfId="2983" xr:uid="{00000000-0005-0000-0000-0000AF410000}"/>
    <cellStyle name="20 % - Markeringsfarve6 3 2 2 2 2" xfId="2984" xr:uid="{00000000-0005-0000-0000-0000B0410000}"/>
    <cellStyle name="20 % - Markeringsfarve6 3 2 2 2 2 2" xfId="7671" xr:uid="{00000000-0005-0000-0000-0000B1410000}"/>
    <cellStyle name="20 % - Markeringsfarve6 3 2 2 2 2 2 2" xfId="15572" xr:uid="{00000000-0005-0000-0000-0000B2410000}"/>
    <cellStyle name="20 % - Markeringsfarve6 3 2 2 2 2 2 2 2" xfId="31886" xr:uid="{00000000-0005-0000-0000-0000B3410000}"/>
    <cellStyle name="20 % - Markeringsfarve6 3 2 2 2 2 2 2 3" xfId="46850" xr:uid="{00000000-0005-0000-0000-0000B4410000}"/>
    <cellStyle name="20 % - Markeringsfarve6 3 2 2 2 2 2 3" xfId="24864" xr:uid="{00000000-0005-0000-0000-0000B5410000}"/>
    <cellStyle name="20 % - Markeringsfarve6 3 2 2 2 2 2 4" xfId="39851" xr:uid="{00000000-0005-0000-0000-0000B6410000}"/>
    <cellStyle name="20 % - Markeringsfarve6 3 2 2 2 2 3" xfId="11541" xr:uid="{00000000-0005-0000-0000-0000B7410000}"/>
    <cellStyle name="20 % - Markeringsfarve6 3 2 2 2 2 3 2" xfId="27860" xr:uid="{00000000-0005-0000-0000-0000B8410000}"/>
    <cellStyle name="20 % - Markeringsfarve6 3 2 2 2 2 3 3" xfId="42826" xr:uid="{00000000-0005-0000-0000-0000B9410000}"/>
    <cellStyle name="20 % - Markeringsfarve6 3 2 2 2 2 4" xfId="20838" xr:uid="{00000000-0005-0000-0000-0000BA410000}"/>
    <cellStyle name="20 % - Markeringsfarve6 3 2 2 2 2 5" xfId="35827" xr:uid="{00000000-0005-0000-0000-0000BB410000}"/>
    <cellStyle name="20 % - Markeringsfarve6 3 2 2 2 3" xfId="6244" xr:uid="{00000000-0005-0000-0000-0000BC410000}"/>
    <cellStyle name="20 % - Markeringsfarve6 3 2 2 2 3 2" xfId="14161" xr:uid="{00000000-0005-0000-0000-0000BD410000}"/>
    <cellStyle name="20 % - Markeringsfarve6 3 2 2 2 3 2 2" xfId="30475" xr:uid="{00000000-0005-0000-0000-0000BE410000}"/>
    <cellStyle name="20 % - Markeringsfarve6 3 2 2 2 3 2 3" xfId="45439" xr:uid="{00000000-0005-0000-0000-0000BF410000}"/>
    <cellStyle name="20 % - Markeringsfarve6 3 2 2 2 3 3" xfId="23453" xr:uid="{00000000-0005-0000-0000-0000C0410000}"/>
    <cellStyle name="20 % - Markeringsfarve6 3 2 2 2 3 4" xfId="38440" xr:uid="{00000000-0005-0000-0000-0000C1410000}"/>
    <cellStyle name="20 % - Markeringsfarve6 3 2 2 2 4" xfId="11540" xr:uid="{00000000-0005-0000-0000-0000C2410000}"/>
    <cellStyle name="20 % - Markeringsfarve6 3 2 2 2 4 2" xfId="27859" xr:uid="{00000000-0005-0000-0000-0000C3410000}"/>
    <cellStyle name="20 % - Markeringsfarve6 3 2 2 2 4 3" xfId="42825" xr:uid="{00000000-0005-0000-0000-0000C4410000}"/>
    <cellStyle name="20 % - Markeringsfarve6 3 2 2 2 5" xfId="20837" xr:uid="{00000000-0005-0000-0000-0000C5410000}"/>
    <cellStyle name="20 % - Markeringsfarve6 3 2 2 2 6" xfId="35826" xr:uid="{00000000-0005-0000-0000-0000C6410000}"/>
    <cellStyle name="20 % - Markeringsfarve6 3 2 2 3" xfId="2985" xr:uid="{00000000-0005-0000-0000-0000C7410000}"/>
    <cellStyle name="20 % - Markeringsfarve6 3 2 2 3 2" xfId="6901" xr:uid="{00000000-0005-0000-0000-0000C8410000}"/>
    <cellStyle name="20 % - Markeringsfarve6 3 2 2 3 2 2" xfId="14812" xr:uid="{00000000-0005-0000-0000-0000C9410000}"/>
    <cellStyle name="20 % - Markeringsfarve6 3 2 2 3 2 2 2" xfId="31126" xr:uid="{00000000-0005-0000-0000-0000CA410000}"/>
    <cellStyle name="20 % - Markeringsfarve6 3 2 2 3 2 2 3" xfId="46090" xr:uid="{00000000-0005-0000-0000-0000CB410000}"/>
    <cellStyle name="20 % - Markeringsfarve6 3 2 2 3 2 3" xfId="24104" xr:uid="{00000000-0005-0000-0000-0000CC410000}"/>
    <cellStyle name="20 % - Markeringsfarve6 3 2 2 3 2 4" xfId="39091" xr:uid="{00000000-0005-0000-0000-0000CD410000}"/>
    <cellStyle name="20 % - Markeringsfarve6 3 2 2 3 3" xfId="11542" xr:uid="{00000000-0005-0000-0000-0000CE410000}"/>
    <cellStyle name="20 % - Markeringsfarve6 3 2 2 3 3 2" xfId="27861" xr:uid="{00000000-0005-0000-0000-0000CF410000}"/>
    <cellStyle name="20 % - Markeringsfarve6 3 2 2 3 3 3" xfId="42827" xr:uid="{00000000-0005-0000-0000-0000D0410000}"/>
    <cellStyle name="20 % - Markeringsfarve6 3 2 2 3 4" xfId="20839" xr:uid="{00000000-0005-0000-0000-0000D1410000}"/>
    <cellStyle name="20 % - Markeringsfarve6 3 2 2 3 5" xfId="35828" xr:uid="{00000000-0005-0000-0000-0000D2410000}"/>
    <cellStyle name="20 % - Markeringsfarve6 3 2 2 4" xfId="2986" xr:uid="{00000000-0005-0000-0000-0000D3410000}"/>
    <cellStyle name="20 % - Markeringsfarve6 3 2 2 4 2" xfId="8721" xr:uid="{00000000-0005-0000-0000-0000D4410000}"/>
    <cellStyle name="20 % - Markeringsfarve6 3 2 2 4 2 2" xfId="16601" xr:uid="{00000000-0005-0000-0000-0000D5410000}"/>
    <cellStyle name="20 % - Markeringsfarve6 3 2 2 4 2 2 2" xfId="32915" xr:uid="{00000000-0005-0000-0000-0000D6410000}"/>
    <cellStyle name="20 % - Markeringsfarve6 3 2 2 4 2 2 3" xfId="47879" xr:uid="{00000000-0005-0000-0000-0000D7410000}"/>
    <cellStyle name="20 % - Markeringsfarve6 3 2 2 4 2 3" xfId="25893" xr:uid="{00000000-0005-0000-0000-0000D8410000}"/>
    <cellStyle name="20 % - Markeringsfarve6 3 2 2 4 2 4" xfId="40880" xr:uid="{00000000-0005-0000-0000-0000D9410000}"/>
    <cellStyle name="20 % - Markeringsfarve6 3 2 2 4 3" xfId="11543" xr:uid="{00000000-0005-0000-0000-0000DA410000}"/>
    <cellStyle name="20 % - Markeringsfarve6 3 2 2 4 3 2" xfId="27862" xr:uid="{00000000-0005-0000-0000-0000DB410000}"/>
    <cellStyle name="20 % - Markeringsfarve6 3 2 2 4 3 3" xfId="42828" xr:uid="{00000000-0005-0000-0000-0000DC410000}"/>
    <cellStyle name="20 % - Markeringsfarve6 3 2 2 4 4" xfId="20840" xr:uid="{00000000-0005-0000-0000-0000DD410000}"/>
    <cellStyle name="20 % - Markeringsfarve6 3 2 2 4 5" xfId="35829" xr:uid="{00000000-0005-0000-0000-0000DE410000}"/>
    <cellStyle name="20 % - Markeringsfarve6 3 2 2 5" xfId="5713" xr:uid="{00000000-0005-0000-0000-0000DF410000}"/>
    <cellStyle name="20 % - Markeringsfarve6 3 2 2 5 2" xfId="13631" xr:uid="{00000000-0005-0000-0000-0000E0410000}"/>
    <cellStyle name="20 % - Markeringsfarve6 3 2 2 5 2 2" xfId="29945" xr:uid="{00000000-0005-0000-0000-0000E1410000}"/>
    <cellStyle name="20 % - Markeringsfarve6 3 2 2 5 2 3" xfId="44909" xr:uid="{00000000-0005-0000-0000-0000E2410000}"/>
    <cellStyle name="20 % - Markeringsfarve6 3 2 2 5 3" xfId="22923" xr:uid="{00000000-0005-0000-0000-0000E3410000}"/>
    <cellStyle name="20 % - Markeringsfarve6 3 2 2 5 4" xfId="37910" xr:uid="{00000000-0005-0000-0000-0000E4410000}"/>
    <cellStyle name="20 % - Markeringsfarve6 3 2 2 6" xfId="11539" xr:uid="{00000000-0005-0000-0000-0000E5410000}"/>
    <cellStyle name="20 % - Markeringsfarve6 3 2 2 6 2" xfId="27858" xr:uid="{00000000-0005-0000-0000-0000E6410000}"/>
    <cellStyle name="20 % - Markeringsfarve6 3 2 2 6 3" xfId="42824" xr:uid="{00000000-0005-0000-0000-0000E7410000}"/>
    <cellStyle name="20 % - Markeringsfarve6 3 2 2 7" xfId="20836" xr:uid="{00000000-0005-0000-0000-0000E8410000}"/>
    <cellStyle name="20 % - Markeringsfarve6 3 2 2 8" xfId="35825" xr:uid="{00000000-0005-0000-0000-0000E9410000}"/>
    <cellStyle name="20 % - Markeringsfarve6 3 2 2 9" xfId="57148" xr:uid="{00000000-0005-0000-0000-0000EA410000}"/>
    <cellStyle name="20 % - Markeringsfarve6 3 2 3" xfId="2987" xr:uid="{00000000-0005-0000-0000-0000EB410000}"/>
    <cellStyle name="20 % - Markeringsfarve6 3 2 3 2" xfId="2988" xr:uid="{00000000-0005-0000-0000-0000EC410000}"/>
    <cellStyle name="20 % - Markeringsfarve6 3 2 3 2 2" xfId="2989" xr:uid="{00000000-0005-0000-0000-0000ED410000}"/>
    <cellStyle name="20 % - Markeringsfarve6 3 2 3 2 2 2" xfId="7776" xr:uid="{00000000-0005-0000-0000-0000EE410000}"/>
    <cellStyle name="20 % - Markeringsfarve6 3 2 3 2 2 2 2" xfId="15677" xr:uid="{00000000-0005-0000-0000-0000EF410000}"/>
    <cellStyle name="20 % - Markeringsfarve6 3 2 3 2 2 2 2 2" xfId="31991" xr:uid="{00000000-0005-0000-0000-0000F0410000}"/>
    <cellStyle name="20 % - Markeringsfarve6 3 2 3 2 2 2 2 3" xfId="46955" xr:uid="{00000000-0005-0000-0000-0000F1410000}"/>
    <cellStyle name="20 % - Markeringsfarve6 3 2 3 2 2 2 3" xfId="24969" xr:uid="{00000000-0005-0000-0000-0000F2410000}"/>
    <cellStyle name="20 % - Markeringsfarve6 3 2 3 2 2 2 4" xfId="39956" xr:uid="{00000000-0005-0000-0000-0000F3410000}"/>
    <cellStyle name="20 % - Markeringsfarve6 3 2 3 2 2 3" xfId="11546" xr:uid="{00000000-0005-0000-0000-0000F4410000}"/>
    <cellStyle name="20 % - Markeringsfarve6 3 2 3 2 2 3 2" xfId="27865" xr:uid="{00000000-0005-0000-0000-0000F5410000}"/>
    <cellStyle name="20 % - Markeringsfarve6 3 2 3 2 2 3 3" xfId="42831" xr:uid="{00000000-0005-0000-0000-0000F6410000}"/>
    <cellStyle name="20 % - Markeringsfarve6 3 2 3 2 2 4" xfId="20843" xr:uid="{00000000-0005-0000-0000-0000F7410000}"/>
    <cellStyle name="20 % - Markeringsfarve6 3 2 3 2 2 5" xfId="35832" xr:uid="{00000000-0005-0000-0000-0000F8410000}"/>
    <cellStyle name="20 % - Markeringsfarve6 3 2 3 2 3" xfId="6331" xr:uid="{00000000-0005-0000-0000-0000F9410000}"/>
    <cellStyle name="20 % - Markeringsfarve6 3 2 3 2 3 2" xfId="14248" xr:uid="{00000000-0005-0000-0000-0000FA410000}"/>
    <cellStyle name="20 % - Markeringsfarve6 3 2 3 2 3 2 2" xfId="30562" xr:uid="{00000000-0005-0000-0000-0000FB410000}"/>
    <cellStyle name="20 % - Markeringsfarve6 3 2 3 2 3 2 3" xfId="45526" xr:uid="{00000000-0005-0000-0000-0000FC410000}"/>
    <cellStyle name="20 % - Markeringsfarve6 3 2 3 2 3 3" xfId="23540" xr:uid="{00000000-0005-0000-0000-0000FD410000}"/>
    <cellStyle name="20 % - Markeringsfarve6 3 2 3 2 3 4" xfId="38527" xr:uid="{00000000-0005-0000-0000-0000FE410000}"/>
    <cellStyle name="20 % - Markeringsfarve6 3 2 3 2 4" xfId="11545" xr:uid="{00000000-0005-0000-0000-0000FF410000}"/>
    <cellStyle name="20 % - Markeringsfarve6 3 2 3 2 4 2" xfId="27864" xr:uid="{00000000-0005-0000-0000-000000420000}"/>
    <cellStyle name="20 % - Markeringsfarve6 3 2 3 2 4 3" xfId="42830" xr:uid="{00000000-0005-0000-0000-000001420000}"/>
    <cellStyle name="20 % - Markeringsfarve6 3 2 3 2 5" xfId="20842" xr:uid="{00000000-0005-0000-0000-000002420000}"/>
    <cellStyle name="20 % - Markeringsfarve6 3 2 3 2 6" xfId="35831" xr:uid="{00000000-0005-0000-0000-000003420000}"/>
    <cellStyle name="20 % - Markeringsfarve6 3 2 3 3" xfId="2990" xr:uid="{00000000-0005-0000-0000-000004420000}"/>
    <cellStyle name="20 % - Markeringsfarve6 3 2 3 3 2" xfId="7006" xr:uid="{00000000-0005-0000-0000-000005420000}"/>
    <cellStyle name="20 % - Markeringsfarve6 3 2 3 3 2 2" xfId="14917" xr:uid="{00000000-0005-0000-0000-000006420000}"/>
    <cellStyle name="20 % - Markeringsfarve6 3 2 3 3 2 2 2" xfId="31231" xr:uid="{00000000-0005-0000-0000-000007420000}"/>
    <cellStyle name="20 % - Markeringsfarve6 3 2 3 3 2 2 3" xfId="46195" xr:uid="{00000000-0005-0000-0000-000008420000}"/>
    <cellStyle name="20 % - Markeringsfarve6 3 2 3 3 2 3" xfId="24209" xr:uid="{00000000-0005-0000-0000-000009420000}"/>
    <cellStyle name="20 % - Markeringsfarve6 3 2 3 3 2 4" xfId="39196" xr:uid="{00000000-0005-0000-0000-00000A420000}"/>
    <cellStyle name="20 % - Markeringsfarve6 3 2 3 3 3" xfId="11547" xr:uid="{00000000-0005-0000-0000-00000B420000}"/>
    <cellStyle name="20 % - Markeringsfarve6 3 2 3 3 3 2" xfId="27866" xr:uid="{00000000-0005-0000-0000-00000C420000}"/>
    <cellStyle name="20 % - Markeringsfarve6 3 2 3 3 3 3" xfId="42832" xr:uid="{00000000-0005-0000-0000-00000D420000}"/>
    <cellStyle name="20 % - Markeringsfarve6 3 2 3 3 4" xfId="20844" xr:uid="{00000000-0005-0000-0000-00000E420000}"/>
    <cellStyle name="20 % - Markeringsfarve6 3 2 3 3 5" xfId="35833" xr:uid="{00000000-0005-0000-0000-00000F420000}"/>
    <cellStyle name="20 % - Markeringsfarve6 3 2 3 4" xfId="2991" xr:uid="{00000000-0005-0000-0000-000010420000}"/>
    <cellStyle name="20 % - Markeringsfarve6 3 2 3 4 2" xfId="8446" xr:uid="{00000000-0005-0000-0000-000011420000}"/>
    <cellStyle name="20 % - Markeringsfarve6 3 2 3 4 2 2" xfId="16338" xr:uid="{00000000-0005-0000-0000-000012420000}"/>
    <cellStyle name="20 % - Markeringsfarve6 3 2 3 4 2 2 2" xfId="32652" xr:uid="{00000000-0005-0000-0000-000013420000}"/>
    <cellStyle name="20 % - Markeringsfarve6 3 2 3 4 2 2 3" xfId="47616" xr:uid="{00000000-0005-0000-0000-000014420000}"/>
    <cellStyle name="20 % - Markeringsfarve6 3 2 3 4 2 3" xfId="25630" xr:uid="{00000000-0005-0000-0000-000015420000}"/>
    <cellStyle name="20 % - Markeringsfarve6 3 2 3 4 2 4" xfId="40617" xr:uid="{00000000-0005-0000-0000-000016420000}"/>
    <cellStyle name="20 % - Markeringsfarve6 3 2 3 4 3" xfId="11548" xr:uid="{00000000-0005-0000-0000-000017420000}"/>
    <cellStyle name="20 % - Markeringsfarve6 3 2 3 4 3 2" xfId="27867" xr:uid="{00000000-0005-0000-0000-000018420000}"/>
    <cellStyle name="20 % - Markeringsfarve6 3 2 3 4 3 3" xfId="42833" xr:uid="{00000000-0005-0000-0000-000019420000}"/>
    <cellStyle name="20 % - Markeringsfarve6 3 2 3 4 4" xfId="20845" xr:uid="{00000000-0005-0000-0000-00001A420000}"/>
    <cellStyle name="20 % - Markeringsfarve6 3 2 3 4 5" xfId="35834" xr:uid="{00000000-0005-0000-0000-00001B420000}"/>
    <cellStyle name="20 % - Markeringsfarve6 3 2 3 5" xfId="5714" xr:uid="{00000000-0005-0000-0000-00001C420000}"/>
    <cellStyle name="20 % - Markeringsfarve6 3 2 3 5 2" xfId="13632" xr:uid="{00000000-0005-0000-0000-00001D420000}"/>
    <cellStyle name="20 % - Markeringsfarve6 3 2 3 5 2 2" xfId="29946" xr:uid="{00000000-0005-0000-0000-00001E420000}"/>
    <cellStyle name="20 % - Markeringsfarve6 3 2 3 5 2 3" xfId="44910" xr:uid="{00000000-0005-0000-0000-00001F420000}"/>
    <cellStyle name="20 % - Markeringsfarve6 3 2 3 5 3" xfId="22924" xr:uid="{00000000-0005-0000-0000-000020420000}"/>
    <cellStyle name="20 % - Markeringsfarve6 3 2 3 5 4" xfId="37911" xr:uid="{00000000-0005-0000-0000-000021420000}"/>
    <cellStyle name="20 % - Markeringsfarve6 3 2 3 6" xfId="11544" xr:uid="{00000000-0005-0000-0000-000022420000}"/>
    <cellStyle name="20 % - Markeringsfarve6 3 2 3 6 2" xfId="27863" xr:uid="{00000000-0005-0000-0000-000023420000}"/>
    <cellStyle name="20 % - Markeringsfarve6 3 2 3 6 3" xfId="42829" xr:uid="{00000000-0005-0000-0000-000024420000}"/>
    <cellStyle name="20 % - Markeringsfarve6 3 2 3 7" xfId="20841" xr:uid="{00000000-0005-0000-0000-000025420000}"/>
    <cellStyle name="20 % - Markeringsfarve6 3 2 3 8" xfId="35830" xr:uid="{00000000-0005-0000-0000-000026420000}"/>
    <cellStyle name="20 % - Markeringsfarve6 3 2 4" xfId="2992" xr:uid="{00000000-0005-0000-0000-000027420000}"/>
    <cellStyle name="20 % - Markeringsfarve6 3 2 4 2" xfId="2993" xr:uid="{00000000-0005-0000-0000-000028420000}"/>
    <cellStyle name="20 % - Markeringsfarve6 3 2 4 2 2" xfId="2994" xr:uid="{00000000-0005-0000-0000-000029420000}"/>
    <cellStyle name="20 % - Markeringsfarve6 3 2 4 2 2 2" xfId="7909" xr:uid="{00000000-0005-0000-0000-00002A420000}"/>
    <cellStyle name="20 % - Markeringsfarve6 3 2 4 2 2 2 2" xfId="15810" xr:uid="{00000000-0005-0000-0000-00002B420000}"/>
    <cellStyle name="20 % - Markeringsfarve6 3 2 4 2 2 2 2 2" xfId="32124" xr:uid="{00000000-0005-0000-0000-00002C420000}"/>
    <cellStyle name="20 % - Markeringsfarve6 3 2 4 2 2 2 2 3" xfId="47088" xr:uid="{00000000-0005-0000-0000-00002D420000}"/>
    <cellStyle name="20 % - Markeringsfarve6 3 2 4 2 2 2 3" xfId="25102" xr:uid="{00000000-0005-0000-0000-00002E420000}"/>
    <cellStyle name="20 % - Markeringsfarve6 3 2 4 2 2 2 4" xfId="40089" xr:uid="{00000000-0005-0000-0000-00002F420000}"/>
    <cellStyle name="20 % - Markeringsfarve6 3 2 4 2 2 3" xfId="11551" xr:uid="{00000000-0005-0000-0000-000030420000}"/>
    <cellStyle name="20 % - Markeringsfarve6 3 2 4 2 2 3 2" xfId="27870" xr:uid="{00000000-0005-0000-0000-000031420000}"/>
    <cellStyle name="20 % - Markeringsfarve6 3 2 4 2 2 3 3" xfId="42836" xr:uid="{00000000-0005-0000-0000-000032420000}"/>
    <cellStyle name="20 % - Markeringsfarve6 3 2 4 2 2 4" xfId="20848" xr:uid="{00000000-0005-0000-0000-000033420000}"/>
    <cellStyle name="20 % - Markeringsfarve6 3 2 4 2 2 5" xfId="35837" xr:uid="{00000000-0005-0000-0000-000034420000}"/>
    <cellStyle name="20 % - Markeringsfarve6 3 2 4 2 3" xfId="6446" xr:uid="{00000000-0005-0000-0000-000035420000}"/>
    <cellStyle name="20 % - Markeringsfarve6 3 2 4 2 3 2" xfId="14360" xr:uid="{00000000-0005-0000-0000-000036420000}"/>
    <cellStyle name="20 % - Markeringsfarve6 3 2 4 2 3 2 2" xfId="30674" xr:uid="{00000000-0005-0000-0000-000037420000}"/>
    <cellStyle name="20 % - Markeringsfarve6 3 2 4 2 3 2 3" xfId="45638" xr:uid="{00000000-0005-0000-0000-000038420000}"/>
    <cellStyle name="20 % - Markeringsfarve6 3 2 4 2 3 3" xfId="23652" xr:uid="{00000000-0005-0000-0000-000039420000}"/>
    <cellStyle name="20 % - Markeringsfarve6 3 2 4 2 3 4" xfId="38639" xr:uid="{00000000-0005-0000-0000-00003A420000}"/>
    <cellStyle name="20 % - Markeringsfarve6 3 2 4 2 4" xfId="11550" xr:uid="{00000000-0005-0000-0000-00003B420000}"/>
    <cellStyle name="20 % - Markeringsfarve6 3 2 4 2 4 2" xfId="27869" xr:uid="{00000000-0005-0000-0000-00003C420000}"/>
    <cellStyle name="20 % - Markeringsfarve6 3 2 4 2 4 3" xfId="42835" xr:uid="{00000000-0005-0000-0000-00003D420000}"/>
    <cellStyle name="20 % - Markeringsfarve6 3 2 4 2 5" xfId="20847" xr:uid="{00000000-0005-0000-0000-00003E420000}"/>
    <cellStyle name="20 % - Markeringsfarve6 3 2 4 2 6" xfId="35836" xr:uid="{00000000-0005-0000-0000-00003F420000}"/>
    <cellStyle name="20 % - Markeringsfarve6 3 2 4 3" xfId="2995" xr:uid="{00000000-0005-0000-0000-000040420000}"/>
    <cellStyle name="20 % - Markeringsfarve6 3 2 4 3 2" xfId="7185" xr:uid="{00000000-0005-0000-0000-000041420000}"/>
    <cellStyle name="20 % - Markeringsfarve6 3 2 4 3 2 2" xfId="15095" xr:uid="{00000000-0005-0000-0000-000042420000}"/>
    <cellStyle name="20 % - Markeringsfarve6 3 2 4 3 2 2 2" xfId="31409" xr:uid="{00000000-0005-0000-0000-000043420000}"/>
    <cellStyle name="20 % - Markeringsfarve6 3 2 4 3 2 2 3" xfId="46373" xr:uid="{00000000-0005-0000-0000-000044420000}"/>
    <cellStyle name="20 % - Markeringsfarve6 3 2 4 3 2 3" xfId="24387" xr:uid="{00000000-0005-0000-0000-000045420000}"/>
    <cellStyle name="20 % - Markeringsfarve6 3 2 4 3 2 4" xfId="39374" xr:uid="{00000000-0005-0000-0000-000046420000}"/>
    <cellStyle name="20 % - Markeringsfarve6 3 2 4 3 3" xfId="11552" xr:uid="{00000000-0005-0000-0000-000047420000}"/>
    <cellStyle name="20 % - Markeringsfarve6 3 2 4 3 3 2" xfId="27871" xr:uid="{00000000-0005-0000-0000-000048420000}"/>
    <cellStyle name="20 % - Markeringsfarve6 3 2 4 3 3 3" xfId="42837" xr:uid="{00000000-0005-0000-0000-000049420000}"/>
    <cellStyle name="20 % - Markeringsfarve6 3 2 4 3 4" xfId="20849" xr:uid="{00000000-0005-0000-0000-00004A420000}"/>
    <cellStyle name="20 % - Markeringsfarve6 3 2 4 3 5" xfId="35838" xr:uid="{00000000-0005-0000-0000-00004B420000}"/>
    <cellStyle name="20 % - Markeringsfarve6 3 2 4 4" xfId="2996" xr:uid="{00000000-0005-0000-0000-00004C420000}"/>
    <cellStyle name="20 % - Markeringsfarve6 3 2 4 4 2" xfId="8681" xr:uid="{00000000-0005-0000-0000-00004D420000}"/>
    <cellStyle name="20 % - Markeringsfarve6 3 2 4 4 2 2" xfId="16562" xr:uid="{00000000-0005-0000-0000-00004E420000}"/>
    <cellStyle name="20 % - Markeringsfarve6 3 2 4 4 2 2 2" xfId="32876" xr:uid="{00000000-0005-0000-0000-00004F420000}"/>
    <cellStyle name="20 % - Markeringsfarve6 3 2 4 4 2 2 3" xfId="47840" xr:uid="{00000000-0005-0000-0000-000050420000}"/>
    <cellStyle name="20 % - Markeringsfarve6 3 2 4 4 2 3" xfId="25854" xr:uid="{00000000-0005-0000-0000-000051420000}"/>
    <cellStyle name="20 % - Markeringsfarve6 3 2 4 4 2 4" xfId="40841" xr:uid="{00000000-0005-0000-0000-000052420000}"/>
    <cellStyle name="20 % - Markeringsfarve6 3 2 4 4 3" xfId="11553" xr:uid="{00000000-0005-0000-0000-000053420000}"/>
    <cellStyle name="20 % - Markeringsfarve6 3 2 4 4 3 2" xfId="27872" xr:uid="{00000000-0005-0000-0000-000054420000}"/>
    <cellStyle name="20 % - Markeringsfarve6 3 2 4 4 3 3" xfId="42838" xr:uid="{00000000-0005-0000-0000-000055420000}"/>
    <cellStyle name="20 % - Markeringsfarve6 3 2 4 4 4" xfId="20850" xr:uid="{00000000-0005-0000-0000-000056420000}"/>
    <cellStyle name="20 % - Markeringsfarve6 3 2 4 4 5" xfId="35839" xr:uid="{00000000-0005-0000-0000-000057420000}"/>
    <cellStyle name="20 % - Markeringsfarve6 3 2 4 5" xfId="5715" xr:uid="{00000000-0005-0000-0000-000058420000}"/>
    <cellStyle name="20 % - Markeringsfarve6 3 2 4 5 2" xfId="13633" xr:uid="{00000000-0005-0000-0000-000059420000}"/>
    <cellStyle name="20 % - Markeringsfarve6 3 2 4 5 2 2" xfId="29947" xr:uid="{00000000-0005-0000-0000-00005A420000}"/>
    <cellStyle name="20 % - Markeringsfarve6 3 2 4 5 2 3" xfId="44911" xr:uid="{00000000-0005-0000-0000-00005B420000}"/>
    <cellStyle name="20 % - Markeringsfarve6 3 2 4 5 3" xfId="22925" xr:uid="{00000000-0005-0000-0000-00005C420000}"/>
    <cellStyle name="20 % - Markeringsfarve6 3 2 4 5 4" xfId="37912" xr:uid="{00000000-0005-0000-0000-00005D420000}"/>
    <cellStyle name="20 % - Markeringsfarve6 3 2 4 6" xfId="11549" xr:uid="{00000000-0005-0000-0000-00005E420000}"/>
    <cellStyle name="20 % - Markeringsfarve6 3 2 4 6 2" xfId="27868" xr:uid="{00000000-0005-0000-0000-00005F420000}"/>
    <cellStyle name="20 % - Markeringsfarve6 3 2 4 6 3" xfId="42834" xr:uid="{00000000-0005-0000-0000-000060420000}"/>
    <cellStyle name="20 % - Markeringsfarve6 3 2 4 7" xfId="20846" xr:uid="{00000000-0005-0000-0000-000061420000}"/>
    <cellStyle name="20 % - Markeringsfarve6 3 2 4 8" xfId="35835" xr:uid="{00000000-0005-0000-0000-000062420000}"/>
    <cellStyle name="20 % - Markeringsfarve6 3 2 5" xfId="2997" xr:uid="{00000000-0005-0000-0000-000063420000}"/>
    <cellStyle name="20 % - Markeringsfarve6 3 2 5 2" xfId="2998" xr:uid="{00000000-0005-0000-0000-000064420000}"/>
    <cellStyle name="20 % - Markeringsfarve6 3 2 5 2 2" xfId="2999" xr:uid="{00000000-0005-0000-0000-000065420000}"/>
    <cellStyle name="20 % - Markeringsfarve6 3 2 5 2 2 2" xfId="8026" xr:uid="{00000000-0005-0000-0000-000066420000}"/>
    <cellStyle name="20 % - Markeringsfarve6 3 2 5 2 2 2 2" xfId="15927" xr:uid="{00000000-0005-0000-0000-000067420000}"/>
    <cellStyle name="20 % - Markeringsfarve6 3 2 5 2 2 2 2 2" xfId="32241" xr:uid="{00000000-0005-0000-0000-000068420000}"/>
    <cellStyle name="20 % - Markeringsfarve6 3 2 5 2 2 2 2 3" xfId="47205" xr:uid="{00000000-0005-0000-0000-000069420000}"/>
    <cellStyle name="20 % - Markeringsfarve6 3 2 5 2 2 2 3" xfId="25219" xr:uid="{00000000-0005-0000-0000-00006A420000}"/>
    <cellStyle name="20 % - Markeringsfarve6 3 2 5 2 2 2 4" xfId="40206" xr:uid="{00000000-0005-0000-0000-00006B420000}"/>
    <cellStyle name="20 % - Markeringsfarve6 3 2 5 2 2 3" xfId="11556" xr:uid="{00000000-0005-0000-0000-00006C420000}"/>
    <cellStyle name="20 % - Markeringsfarve6 3 2 5 2 2 3 2" xfId="27875" xr:uid="{00000000-0005-0000-0000-00006D420000}"/>
    <cellStyle name="20 % - Markeringsfarve6 3 2 5 2 2 3 3" xfId="42841" xr:uid="{00000000-0005-0000-0000-00006E420000}"/>
    <cellStyle name="20 % - Markeringsfarve6 3 2 5 2 2 4" xfId="20853" xr:uid="{00000000-0005-0000-0000-00006F420000}"/>
    <cellStyle name="20 % - Markeringsfarve6 3 2 5 2 2 5" xfId="35842" xr:uid="{00000000-0005-0000-0000-000070420000}"/>
    <cellStyle name="20 % - Markeringsfarve6 3 2 5 2 3" xfId="6545" xr:uid="{00000000-0005-0000-0000-000071420000}"/>
    <cellStyle name="20 % - Markeringsfarve6 3 2 5 2 3 2" xfId="14459" xr:uid="{00000000-0005-0000-0000-000072420000}"/>
    <cellStyle name="20 % - Markeringsfarve6 3 2 5 2 3 2 2" xfId="30773" xr:uid="{00000000-0005-0000-0000-000073420000}"/>
    <cellStyle name="20 % - Markeringsfarve6 3 2 5 2 3 2 3" xfId="45737" xr:uid="{00000000-0005-0000-0000-000074420000}"/>
    <cellStyle name="20 % - Markeringsfarve6 3 2 5 2 3 3" xfId="23751" xr:uid="{00000000-0005-0000-0000-000075420000}"/>
    <cellStyle name="20 % - Markeringsfarve6 3 2 5 2 3 4" xfId="38738" xr:uid="{00000000-0005-0000-0000-000076420000}"/>
    <cellStyle name="20 % - Markeringsfarve6 3 2 5 2 4" xfId="11555" xr:uid="{00000000-0005-0000-0000-000077420000}"/>
    <cellStyle name="20 % - Markeringsfarve6 3 2 5 2 4 2" xfId="27874" xr:uid="{00000000-0005-0000-0000-000078420000}"/>
    <cellStyle name="20 % - Markeringsfarve6 3 2 5 2 4 3" xfId="42840" xr:uid="{00000000-0005-0000-0000-000079420000}"/>
    <cellStyle name="20 % - Markeringsfarve6 3 2 5 2 5" xfId="20852" xr:uid="{00000000-0005-0000-0000-00007A420000}"/>
    <cellStyle name="20 % - Markeringsfarve6 3 2 5 2 6" xfId="35841" xr:uid="{00000000-0005-0000-0000-00007B420000}"/>
    <cellStyle name="20 % - Markeringsfarve6 3 2 5 3" xfId="3000" xr:uid="{00000000-0005-0000-0000-00007C420000}"/>
    <cellStyle name="20 % - Markeringsfarve6 3 2 5 3 2" xfId="7302" xr:uid="{00000000-0005-0000-0000-00007D420000}"/>
    <cellStyle name="20 % - Markeringsfarve6 3 2 5 3 2 2" xfId="15212" xr:uid="{00000000-0005-0000-0000-00007E420000}"/>
    <cellStyle name="20 % - Markeringsfarve6 3 2 5 3 2 2 2" xfId="31526" xr:uid="{00000000-0005-0000-0000-00007F420000}"/>
    <cellStyle name="20 % - Markeringsfarve6 3 2 5 3 2 2 3" xfId="46490" xr:uid="{00000000-0005-0000-0000-000080420000}"/>
    <cellStyle name="20 % - Markeringsfarve6 3 2 5 3 2 3" xfId="24504" xr:uid="{00000000-0005-0000-0000-000081420000}"/>
    <cellStyle name="20 % - Markeringsfarve6 3 2 5 3 2 4" xfId="39491" xr:uid="{00000000-0005-0000-0000-000082420000}"/>
    <cellStyle name="20 % - Markeringsfarve6 3 2 5 3 3" xfId="11557" xr:uid="{00000000-0005-0000-0000-000083420000}"/>
    <cellStyle name="20 % - Markeringsfarve6 3 2 5 3 3 2" xfId="27876" xr:uid="{00000000-0005-0000-0000-000084420000}"/>
    <cellStyle name="20 % - Markeringsfarve6 3 2 5 3 3 3" xfId="42842" xr:uid="{00000000-0005-0000-0000-000085420000}"/>
    <cellStyle name="20 % - Markeringsfarve6 3 2 5 3 4" xfId="20854" xr:uid="{00000000-0005-0000-0000-000086420000}"/>
    <cellStyle name="20 % - Markeringsfarve6 3 2 5 3 5" xfId="35843" xr:uid="{00000000-0005-0000-0000-000087420000}"/>
    <cellStyle name="20 % - Markeringsfarve6 3 2 5 4" xfId="3001" xr:uid="{00000000-0005-0000-0000-000088420000}"/>
    <cellStyle name="20 % - Markeringsfarve6 3 2 5 4 2" xfId="8405" xr:uid="{00000000-0005-0000-0000-000089420000}"/>
    <cellStyle name="20 % - Markeringsfarve6 3 2 5 4 2 2" xfId="16298" xr:uid="{00000000-0005-0000-0000-00008A420000}"/>
    <cellStyle name="20 % - Markeringsfarve6 3 2 5 4 2 2 2" xfId="32612" xr:uid="{00000000-0005-0000-0000-00008B420000}"/>
    <cellStyle name="20 % - Markeringsfarve6 3 2 5 4 2 2 3" xfId="47576" xr:uid="{00000000-0005-0000-0000-00008C420000}"/>
    <cellStyle name="20 % - Markeringsfarve6 3 2 5 4 2 3" xfId="25590" xr:uid="{00000000-0005-0000-0000-00008D420000}"/>
    <cellStyle name="20 % - Markeringsfarve6 3 2 5 4 2 4" xfId="40577" xr:uid="{00000000-0005-0000-0000-00008E420000}"/>
    <cellStyle name="20 % - Markeringsfarve6 3 2 5 4 3" xfId="11558" xr:uid="{00000000-0005-0000-0000-00008F420000}"/>
    <cellStyle name="20 % - Markeringsfarve6 3 2 5 4 3 2" xfId="27877" xr:uid="{00000000-0005-0000-0000-000090420000}"/>
    <cellStyle name="20 % - Markeringsfarve6 3 2 5 4 3 3" xfId="42843" xr:uid="{00000000-0005-0000-0000-000091420000}"/>
    <cellStyle name="20 % - Markeringsfarve6 3 2 5 4 4" xfId="20855" xr:uid="{00000000-0005-0000-0000-000092420000}"/>
    <cellStyle name="20 % - Markeringsfarve6 3 2 5 4 5" xfId="35844" xr:uid="{00000000-0005-0000-0000-000093420000}"/>
    <cellStyle name="20 % - Markeringsfarve6 3 2 5 5" xfId="5716" xr:uid="{00000000-0005-0000-0000-000094420000}"/>
    <cellStyle name="20 % - Markeringsfarve6 3 2 5 5 2" xfId="13634" xr:uid="{00000000-0005-0000-0000-000095420000}"/>
    <cellStyle name="20 % - Markeringsfarve6 3 2 5 5 2 2" xfId="29948" xr:uid="{00000000-0005-0000-0000-000096420000}"/>
    <cellStyle name="20 % - Markeringsfarve6 3 2 5 5 2 3" xfId="44912" xr:uid="{00000000-0005-0000-0000-000097420000}"/>
    <cellStyle name="20 % - Markeringsfarve6 3 2 5 5 3" xfId="22926" xr:uid="{00000000-0005-0000-0000-000098420000}"/>
    <cellStyle name="20 % - Markeringsfarve6 3 2 5 5 4" xfId="37913" xr:uid="{00000000-0005-0000-0000-000099420000}"/>
    <cellStyle name="20 % - Markeringsfarve6 3 2 5 6" xfId="11554" xr:uid="{00000000-0005-0000-0000-00009A420000}"/>
    <cellStyle name="20 % - Markeringsfarve6 3 2 5 6 2" xfId="27873" xr:uid="{00000000-0005-0000-0000-00009B420000}"/>
    <cellStyle name="20 % - Markeringsfarve6 3 2 5 6 3" xfId="42839" xr:uid="{00000000-0005-0000-0000-00009C420000}"/>
    <cellStyle name="20 % - Markeringsfarve6 3 2 5 7" xfId="20851" xr:uid="{00000000-0005-0000-0000-00009D420000}"/>
    <cellStyle name="20 % - Markeringsfarve6 3 2 5 8" xfId="35840" xr:uid="{00000000-0005-0000-0000-00009E420000}"/>
    <cellStyle name="20 % - Markeringsfarve6 3 2 6" xfId="3002" xr:uid="{00000000-0005-0000-0000-00009F420000}"/>
    <cellStyle name="20 % - Markeringsfarve6 3 2 6 2" xfId="3003" xr:uid="{00000000-0005-0000-0000-0000A0420000}"/>
    <cellStyle name="20 % - Markeringsfarve6 3 2 6 2 2" xfId="3004" xr:uid="{00000000-0005-0000-0000-0000A1420000}"/>
    <cellStyle name="20 % - Markeringsfarve6 3 2 6 2 2 2" xfId="8130" xr:uid="{00000000-0005-0000-0000-0000A2420000}"/>
    <cellStyle name="20 % - Markeringsfarve6 3 2 6 2 2 2 2" xfId="16031" xr:uid="{00000000-0005-0000-0000-0000A3420000}"/>
    <cellStyle name="20 % - Markeringsfarve6 3 2 6 2 2 2 2 2" xfId="32345" xr:uid="{00000000-0005-0000-0000-0000A4420000}"/>
    <cellStyle name="20 % - Markeringsfarve6 3 2 6 2 2 2 2 3" xfId="47309" xr:uid="{00000000-0005-0000-0000-0000A5420000}"/>
    <cellStyle name="20 % - Markeringsfarve6 3 2 6 2 2 2 3" xfId="25323" xr:uid="{00000000-0005-0000-0000-0000A6420000}"/>
    <cellStyle name="20 % - Markeringsfarve6 3 2 6 2 2 2 4" xfId="40310" xr:uid="{00000000-0005-0000-0000-0000A7420000}"/>
    <cellStyle name="20 % - Markeringsfarve6 3 2 6 2 2 3" xfId="11561" xr:uid="{00000000-0005-0000-0000-0000A8420000}"/>
    <cellStyle name="20 % - Markeringsfarve6 3 2 6 2 2 3 2" xfId="27880" xr:uid="{00000000-0005-0000-0000-0000A9420000}"/>
    <cellStyle name="20 % - Markeringsfarve6 3 2 6 2 2 3 3" xfId="42846" xr:uid="{00000000-0005-0000-0000-0000AA420000}"/>
    <cellStyle name="20 % - Markeringsfarve6 3 2 6 2 2 4" xfId="20858" xr:uid="{00000000-0005-0000-0000-0000AB420000}"/>
    <cellStyle name="20 % - Markeringsfarve6 3 2 6 2 2 5" xfId="35847" xr:uid="{00000000-0005-0000-0000-0000AC420000}"/>
    <cellStyle name="20 % - Markeringsfarve6 3 2 6 2 3" xfId="6632" xr:uid="{00000000-0005-0000-0000-0000AD420000}"/>
    <cellStyle name="20 % - Markeringsfarve6 3 2 6 2 3 2" xfId="14546" xr:uid="{00000000-0005-0000-0000-0000AE420000}"/>
    <cellStyle name="20 % - Markeringsfarve6 3 2 6 2 3 2 2" xfId="30860" xr:uid="{00000000-0005-0000-0000-0000AF420000}"/>
    <cellStyle name="20 % - Markeringsfarve6 3 2 6 2 3 2 3" xfId="45824" xr:uid="{00000000-0005-0000-0000-0000B0420000}"/>
    <cellStyle name="20 % - Markeringsfarve6 3 2 6 2 3 3" xfId="23838" xr:uid="{00000000-0005-0000-0000-0000B1420000}"/>
    <cellStyle name="20 % - Markeringsfarve6 3 2 6 2 3 4" xfId="38825" xr:uid="{00000000-0005-0000-0000-0000B2420000}"/>
    <cellStyle name="20 % - Markeringsfarve6 3 2 6 2 4" xfId="11560" xr:uid="{00000000-0005-0000-0000-0000B3420000}"/>
    <cellStyle name="20 % - Markeringsfarve6 3 2 6 2 4 2" xfId="27879" xr:uid="{00000000-0005-0000-0000-0000B4420000}"/>
    <cellStyle name="20 % - Markeringsfarve6 3 2 6 2 4 3" xfId="42845" xr:uid="{00000000-0005-0000-0000-0000B5420000}"/>
    <cellStyle name="20 % - Markeringsfarve6 3 2 6 2 5" xfId="20857" xr:uid="{00000000-0005-0000-0000-0000B6420000}"/>
    <cellStyle name="20 % - Markeringsfarve6 3 2 6 2 6" xfId="35846" xr:uid="{00000000-0005-0000-0000-0000B7420000}"/>
    <cellStyle name="20 % - Markeringsfarve6 3 2 6 3" xfId="3005" xr:uid="{00000000-0005-0000-0000-0000B8420000}"/>
    <cellStyle name="20 % - Markeringsfarve6 3 2 6 3 2" xfId="7407" xr:uid="{00000000-0005-0000-0000-0000B9420000}"/>
    <cellStyle name="20 % - Markeringsfarve6 3 2 6 3 2 2" xfId="15317" xr:uid="{00000000-0005-0000-0000-0000BA420000}"/>
    <cellStyle name="20 % - Markeringsfarve6 3 2 6 3 2 2 2" xfId="31631" xr:uid="{00000000-0005-0000-0000-0000BB420000}"/>
    <cellStyle name="20 % - Markeringsfarve6 3 2 6 3 2 2 3" xfId="46595" xr:uid="{00000000-0005-0000-0000-0000BC420000}"/>
    <cellStyle name="20 % - Markeringsfarve6 3 2 6 3 2 3" xfId="24609" xr:uid="{00000000-0005-0000-0000-0000BD420000}"/>
    <cellStyle name="20 % - Markeringsfarve6 3 2 6 3 2 4" xfId="39596" xr:uid="{00000000-0005-0000-0000-0000BE420000}"/>
    <cellStyle name="20 % - Markeringsfarve6 3 2 6 3 3" xfId="11562" xr:uid="{00000000-0005-0000-0000-0000BF420000}"/>
    <cellStyle name="20 % - Markeringsfarve6 3 2 6 3 3 2" xfId="27881" xr:uid="{00000000-0005-0000-0000-0000C0420000}"/>
    <cellStyle name="20 % - Markeringsfarve6 3 2 6 3 3 3" xfId="42847" xr:uid="{00000000-0005-0000-0000-0000C1420000}"/>
    <cellStyle name="20 % - Markeringsfarve6 3 2 6 3 4" xfId="20859" xr:uid="{00000000-0005-0000-0000-0000C2420000}"/>
    <cellStyle name="20 % - Markeringsfarve6 3 2 6 3 5" xfId="35848" xr:uid="{00000000-0005-0000-0000-0000C3420000}"/>
    <cellStyle name="20 % - Markeringsfarve6 3 2 6 4" xfId="3006" xr:uid="{00000000-0005-0000-0000-0000C4420000}"/>
    <cellStyle name="20 % - Markeringsfarve6 3 2 6 4 2" xfId="8649" xr:uid="{00000000-0005-0000-0000-0000C5420000}"/>
    <cellStyle name="20 % - Markeringsfarve6 3 2 6 4 2 2" xfId="16532" xr:uid="{00000000-0005-0000-0000-0000C6420000}"/>
    <cellStyle name="20 % - Markeringsfarve6 3 2 6 4 2 2 2" xfId="32846" xr:uid="{00000000-0005-0000-0000-0000C7420000}"/>
    <cellStyle name="20 % - Markeringsfarve6 3 2 6 4 2 2 3" xfId="47810" xr:uid="{00000000-0005-0000-0000-0000C8420000}"/>
    <cellStyle name="20 % - Markeringsfarve6 3 2 6 4 2 3" xfId="25824" xr:uid="{00000000-0005-0000-0000-0000C9420000}"/>
    <cellStyle name="20 % - Markeringsfarve6 3 2 6 4 2 4" xfId="40811" xr:uid="{00000000-0005-0000-0000-0000CA420000}"/>
    <cellStyle name="20 % - Markeringsfarve6 3 2 6 4 3" xfId="11563" xr:uid="{00000000-0005-0000-0000-0000CB420000}"/>
    <cellStyle name="20 % - Markeringsfarve6 3 2 6 4 3 2" xfId="27882" xr:uid="{00000000-0005-0000-0000-0000CC420000}"/>
    <cellStyle name="20 % - Markeringsfarve6 3 2 6 4 3 3" xfId="42848" xr:uid="{00000000-0005-0000-0000-0000CD420000}"/>
    <cellStyle name="20 % - Markeringsfarve6 3 2 6 4 4" xfId="20860" xr:uid="{00000000-0005-0000-0000-0000CE420000}"/>
    <cellStyle name="20 % - Markeringsfarve6 3 2 6 4 5" xfId="35849" xr:uid="{00000000-0005-0000-0000-0000CF420000}"/>
    <cellStyle name="20 % - Markeringsfarve6 3 2 6 5" xfId="5717" xr:uid="{00000000-0005-0000-0000-0000D0420000}"/>
    <cellStyle name="20 % - Markeringsfarve6 3 2 6 5 2" xfId="13635" xr:uid="{00000000-0005-0000-0000-0000D1420000}"/>
    <cellStyle name="20 % - Markeringsfarve6 3 2 6 5 2 2" xfId="29949" xr:uid="{00000000-0005-0000-0000-0000D2420000}"/>
    <cellStyle name="20 % - Markeringsfarve6 3 2 6 5 2 3" xfId="44913" xr:uid="{00000000-0005-0000-0000-0000D3420000}"/>
    <cellStyle name="20 % - Markeringsfarve6 3 2 6 5 3" xfId="22927" xr:uid="{00000000-0005-0000-0000-0000D4420000}"/>
    <cellStyle name="20 % - Markeringsfarve6 3 2 6 5 4" xfId="37914" xr:uid="{00000000-0005-0000-0000-0000D5420000}"/>
    <cellStyle name="20 % - Markeringsfarve6 3 2 6 6" xfId="11559" xr:uid="{00000000-0005-0000-0000-0000D6420000}"/>
    <cellStyle name="20 % - Markeringsfarve6 3 2 6 6 2" xfId="27878" xr:uid="{00000000-0005-0000-0000-0000D7420000}"/>
    <cellStyle name="20 % - Markeringsfarve6 3 2 6 6 3" xfId="42844" xr:uid="{00000000-0005-0000-0000-0000D8420000}"/>
    <cellStyle name="20 % - Markeringsfarve6 3 2 6 7" xfId="20856" xr:uid="{00000000-0005-0000-0000-0000D9420000}"/>
    <cellStyle name="20 % - Markeringsfarve6 3 2 6 8" xfId="35845" xr:uid="{00000000-0005-0000-0000-0000DA420000}"/>
    <cellStyle name="20 % - Markeringsfarve6 3 2 7" xfId="3007" xr:uid="{00000000-0005-0000-0000-0000DB420000}"/>
    <cellStyle name="20 % - Markeringsfarve6 3 2 7 2" xfId="3008" xr:uid="{00000000-0005-0000-0000-0000DC420000}"/>
    <cellStyle name="20 % - Markeringsfarve6 3 2 7 2 2" xfId="7552" xr:uid="{00000000-0005-0000-0000-0000DD420000}"/>
    <cellStyle name="20 % - Markeringsfarve6 3 2 7 2 2 2" xfId="15453" xr:uid="{00000000-0005-0000-0000-0000DE420000}"/>
    <cellStyle name="20 % - Markeringsfarve6 3 2 7 2 2 2 2" xfId="31767" xr:uid="{00000000-0005-0000-0000-0000DF420000}"/>
    <cellStyle name="20 % - Markeringsfarve6 3 2 7 2 2 2 3" xfId="46731" xr:uid="{00000000-0005-0000-0000-0000E0420000}"/>
    <cellStyle name="20 % - Markeringsfarve6 3 2 7 2 2 3" xfId="24745" xr:uid="{00000000-0005-0000-0000-0000E1420000}"/>
    <cellStyle name="20 % - Markeringsfarve6 3 2 7 2 2 4" xfId="39732" xr:uid="{00000000-0005-0000-0000-0000E2420000}"/>
    <cellStyle name="20 % - Markeringsfarve6 3 2 7 2 3" xfId="11565" xr:uid="{00000000-0005-0000-0000-0000E3420000}"/>
    <cellStyle name="20 % - Markeringsfarve6 3 2 7 2 3 2" xfId="27884" xr:uid="{00000000-0005-0000-0000-0000E4420000}"/>
    <cellStyle name="20 % - Markeringsfarve6 3 2 7 2 3 3" xfId="42850" xr:uid="{00000000-0005-0000-0000-0000E5420000}"/>
    <cellStyle name="20 % - Markeringsfarve6 3 2 7 2 4" xfId="20862" xr:uid="{00000000-0005-0000-0000-0000E6420000}"/>
    <cellStyle name="20 % - Markeringsfarve6 3 2 7 2 5" xfId="35851" xr:uid="{00000000-0005-0000-0000-0000E7420000}"/>
    <cellStyle name="20 % - Markeringsfarve6 3 2 7 3" xfId="6145" xr:uid="{00000000-0005-0000-0000-0000E8420000}"/>
    <cellStyle name="20 % - Markeringsfarve6 3 2 7 3 2" xfId="14062" xr:uid="{00000000-0005-0000-0000-0000E9420000}"/>
    <cellStyle name="20 % - Markeringsfarve6 3 2 7 3 2 2" xfId="30376" xr:uid="{00000000-0005-0000-0000-0000EA420000}"/>
    <cellStyle name="20 % - Markeringsfarve6 3 2 7 3 2 3" xfId="45340" xr:uid="{00000000-0005-0000-0000-0000EB420000}"/>
    <cellStyle name="20 % - Markeringsfarve6 3 2 7 3 3" xfId="23354" xr:uid="{00000000-0005-0000-0000-0000EC420000}"/>
    <cellStyle name="20 % - Markeringsfarve6 3 2 7 3 4" xfId="38341" xr:uid="{00000000-0005-0000-0000-0000ED420000}"/>
    <cellStyle name="20 % - Markeringsfarve6 3 2 7 4" xfId="11564" xr:uid="{00000000-0005-0000-0000-0000EE420000}"/>
    <cellStyle name="20 % - Markeringsfarve6 3 2 7 4 2" xfId="27883" xr:uid="{00000000-0005-0000-0000-0000EF420000}"/>
    <cellStyle name="20 % - Markeringsfarve6 3 2 7 4 3" xfId="42849" xr:uid="{00000000-0005-0000-0000-0000F0420000}"/>
    <cellStyle name="20 % - Markeringsfarve6 3 2 7 5" xfId="20861" xr:uid="{00000000-0005-0000-0000-0000F1420000}"/>
    <cellStyle name="20 % - Markeringsfarve6 3 2 7 6" xfId="35850" xr:uid="{00000000-0005-0000-0000-0000F2420000}"/>
    <cellStyle name="20 % - Markeringsfarve6 3 2 8" xfId="3009" xr:uid="{00000000-0005-0000-0000-0000F3420000}"/>
    <cellStyle name="20 % - Markeringsfarve6 3 2 8 2" xfId="6780" xr:uid="{00000000-0005-0000-0000-0000F4420000}"/>
    <cellStyle name="20 % - Markeringsfarve6 3 2 8 2 2" xfId="14691" xr:uid="{00000000-0005-0000-0000-0000F5420000}"/>
    <cellStyle name="20 % - Markeringsfarve6 3 2 8 2 2 2" xfId="31005" xr:uid="{00000000-0005-0000-0000-0000F6420000}"/>
    <cellStyle name="20 % - Markeringsfarve6 3 2 8 2 2 3" xfId="45969" xr:uid="{00000000-0005-0000-0000-0000F7420000}"/>
    <cellStyle name="20 % - Markeringsfarve6 3 2 8 2 3" xfId="23983" xr:uid="{00000000-0005-0000-0000-0000F8420000}"/>
    <cellStyle name="20 % - Markeringsfarve6 3 2 8 2 4" xfId="38970" xr:uid="{00000000-0005-0000-0000-0000F9420000}"/>
    <cellStyle name="20 % - Markeringsfarve6 3 2 8 3" xfId="11566" xr:uid="{00000000-0005-0000-0000-0000FA420000}"/>
    <cellStyle name="20 % - Markeringsfarve6 3 2 8 3 2" xfId="27885" xr:uid="{00000000-0005-0000-0000-0000FB420000}"/>
    <cellStyle name="20 % - Markeringsfarve6 3 2 8 3 3" xfId="42851" xr:uid="{00000000-0005-0000-0000-0000FC420000}"/>
    <cellStyle name="20 % - Markeringsfarve6 3 2 8 4" xfId="20863" xr:uid="{00000000-0005-0000-0000-0000FD420000}"/>
    <cellStyle name="20 % - Markeringsfarve6 3 2 8 5" xfId="35852" xr:uid="{00000000-0005-0000-0000-0000FE420000}"/>
    <cellStyle name="20 % - Markeringsfarve6 3 2 9" xfId="3010" xr:uid="{00000000-0005-0000-0000-0000FF420000}"/>
    <cellStyle name="20 % - Markeringsfarve6 3 2 9 2" xfId="8502" xr:uid="{00000000-0005-0000-0000-000000430000}"/>
    <cellStyle name="20 % - Markeringsfarve6 3 2 9 2 2" xfId="16391" xr:uid="{00000000-0005-0000-0000-000001430000}"/>
    <cellStyle name="20 % - Markeringsfarve6 3 2 9 2 2 2" xfId="32705" xr:uid="{00000000-0005-0000-0000-000002430000}"/>
    <cellStyle name="20 % - Markeringsfarve6 3 2 9 2 2 3" xfId="47669" xr:uid="{00000000-0005-0000-0000-000003430000}"/>
    <cellStyle name="20 % - Markeringsfarve6 3 2 9 2 3" xfId="25683" xr:uid="{00000000-0005-0000-0000-000004430000}"/>
    <cellStyle name="20 % - Markeringsfarve6 3 2 9 2 4" xfId="40670" xr:uid="{00000000-0005-0000-0000-000005430000}"/>
    <cellStyle name="20 % - Markeringsfarve6 3 2 9 3" xfId="11567" xr:uid="{00000000-0005-0000-0000-000006430000}"/>
    <cellStyle name="20 % - Markeringsfarve6 3 2 9 3 2" xfId="27886" xr:uid="{00000000-0005-0000-0000-000007430000}"/>
    <cellStyle name="20 % - Markeringsfarve6 3 2 9 3 3" xfId="42852" xr:uid="{00000000-0005-0000-0000-000008430000}"/>
    <cellStyle name="20 % - Markeringsfarve6 3 2 9 4" xfId="20864" xr:uid="{00000000-0005-0000-0000-000009430000}"/>
    <cellStyle name="20 % - Markeringsfarve6 3 2 9 5" xfId="35853" xr:uid="{00000000-0005-0000-0000-00000A430000}"/>
    <cellStyle name="20 % - Markeringsfarve6 3 3" xfId="3011" xr:uid="{00000000-0005-0000-0000-00000B430000}"/>
    <cellStyle name="20 % - Markeringsfarve6 3 3 10" xfId="5718" xr:uid="{00000000-0005-0000-0000-00000C430000}"/>
    <cellStyle name="20 % - Markeringsfarve6 3 3 10 2" xfId="13636" xr:uid="{00000000-0005-0000-0000-00000D430000}"/>
    <cellStyle name="20 % - Markeringsfarve6 3 3 10 2 2" xfId="29950" xr:uid="{00000000-0005-0000-0000-00000E430000}"/>
    <cellStyle name="20 % - Markeringsfarve6 3 3 10 2 3" xfId="44914" xr:uid="{00000000-0005-0000-0000-00000F430000}"/>
    <cellStyle name="20 % - Markeringsfarve6 3 3 10 3" xfId="22928" xr:uid="{00000000-0005-0000-0000-000010430000}"/>
    <cellStyle name="20 % - Markeringsfarve6 3 3 10 4" xfId="37915" xr:uid="{00000000-0005-0000-0000-000011430000}"/>
    <cellStyle name="20 % - Markeringsfarve6 3 3 11" xfId="11568" xr:uid="{00000000-0005-0000-0000-000012430000}"/>
    <cellStyle name="20 % - Markeringsfarve6 3 3 11 2" xfId="27887" xr:uid="{00000000-0005-0000-0000-000013430000}"/>
    <cellStyle name="20 % - Markeringsfarve6 3 3 11 3" xfId="42853" xr:uid="{00000000-0005-0000-0000-000014430000}"/>
    <cellStyle name="20 % - Markeringsfarve6 3 3 12" xfId="20865" xr:uid="{00000000-0005-0000-0000-000015430000}"/>
    <cellStyle name="20 % - Markeringsfarve6 3 3 13" xfId="35854" xr:uid="{00000000-0005-0000-0000-000016430000}"/>
    <cellStyle name="20 % - Markeringsfarve6 3 3 14" xfId="56525" xr:uid="{00000000-0005-0000-0000-000017430000}"/>
    <cellStyle name="20 % - Markeringsfarve6 3 3 2" xfId="3012" xr:uid="{00000000-0005-0000-0000-000018430000}"/>
    <cellStyle name="20 % - Markeringsfarve6 3 3 2 2" xfId="3013" xr:uid="{00000000-0005-0000-0000-000019430000}"/>
    <cellStyle name="20 % - Markeringsfarve6 3 3 2 2 2" xfId="3014" xr:uid="{00000000-0005-0000-0000-00001A430000}"/>
    <cellStyle name="20 % - Markeringsfarve6 3 3 2 2 2 2" xfId="7710" xr:uid="{00000000-0005-0000-0000-00001B430000}"/>
    <cellStyle name="20 % - Markeringsfarve6 3 3 2 2 2 2 2" xfId="15611" xr:uid="{00000000-0005-0000-0000-00001C430000}"/>
    <cellStyle name="20 % - Markeringsfarve6 3 3 2 2 2 2 2 2" xfId="31925" xr:uid="{00000000-0005-0000-0000-00001D430000}"/>
    <cellStyle name="20 % - Markeringsfarve6 3 3 2 2 2 2 2 3" xfId="46889" xr:uid="{00000000-0005-0000-0000-00001E430000}"/>
    <cellStyle name="20 % - Markeringsfarve6 3 3 2 2 2 2 3" xfId="24903" xr:uid="{00000000-0005-0000-0000-00001F430000}"/>
    <cellStyle name="20 % - Markeringsfarve6 3 3 2 2 2 2 4" xfId="39890" xr:uid="{00000000-0005-0000-0000-000020430000}"/>
    <cellStyle name="20 % - Markeringsfarve6 3 3 2 2 2 3" xfId="11571" xr:uid="{00000000-0005-0000-0000-000021430000}"/>
    <cellStyle name="20 % - Markeringsfarve6 3 3 2 2 2 3 2" xfId="27890" xr:uid="{00000000-0005-0000-0000-000022430000}"/>
    <cellStyle name="20 % - Markeringsfarve6 3 3 2 2 2 3 3" xfId="42856" xr:uid="{00000000-0005-0000-0000-000023430000}"/>
    <cellStyle name="20 % - Markeringsfarve6 3 3 2 2 2 4" xfId="20868" xr:uid="{00000000-0005-0000-0000-000024430000}"/>
    <cellStyle name="20 % - Markeringsfarve6 3 3 2 2 2 5" xfId="35857" xr:uid="{00000000-0005-0000-0000-000025430000}"/>
    <cellStyle name="20 % - Markeringsfarve6 3 3 2 2 3" xfId="6277" xr:uid="{00000000-0005-0000-0000-000026430000}"/>
    <cellStyle name="20 % - Markeringsfarve6 3 3 2 2 3 2" xfId="14194" xr:uid="{00000000-0005-0000-0000-000027430000}"/>
    <cellStyle name="20 % - Markeringsfarve6 3 3 2 2 3 2 2" xfId="30508" xr:uid="{00000000-0005-0000-0000-000028430000}"/>
    <cellStyle name="20 % - Markeringsfarve6 3 3 2 2 3 2 3" xfId="45472" xr:uid="{00000000-0005-0000-0000-000029430000}"/>
    <cellStyle name="20 % - Markeringsfarve6 3 3 2 2 3 3" xfId="23486" xr:uid="{00000000-0005-0000-0000-00002A430000}"/>
    <cellStyle name="20 % - Markeringsfarve6 3 3 2 2 3 4" xfId="38473" xr:uid="{00000000-0005-0000-0000-00002B430000}"/>
    <cellStyle name="20 % - Markeringsfarve6 3 3 2 2 4" xfId="11570" xr:uid="{00000000-0005-0000-0000-00002C430000}"/>
    <cellStyle name="20 % - Markeringsfarve6 3 3 2 2 4 2" xfId="27889" xr:uid="{00000000-0005-0000-0000-00002D430000}"/>
    <cellStyle name="20 % - Markeringsfarve6 3 3 2 2 4 3" xfId="42855" xr:uid="{00000000-0005-0000-0000-00002E430000}"/>
    <cellStyle name="20 % - Markeringsfarve6 3 3 2 2 5" xfId="20867" xr:uid="{00000000-0005-0000-0000-00002F430000}"/>
    <cellStyle name="20 % - Markeringsfarve6 3 3 2 2 6" xfId="35856" xr:uid="{00000000-0005-0000-0000-000030430000}"/>
    <cellStyle name="20 % - Markeringsfarve6 3 3 2 3" xfId="3015" xr:uid="{00000000-0005-0000-0000-000031430000}"/>
    <cellStyle name="20 % - Markeringsfarve6 3 3 2 3 2" xfId="6940" xr:uid="{00000000-0005-0000-0000-000032430000}"/>
    <cellStyle name="20 % - Markeringsfarve6 3 3 2 3 2 2" xfId="14851" xr:uid="{00000000-0005-0000-0000-000033430000}"/>
    <cellStyle name="20 % - Markeringsfarve6 3 3 2 3 2 2 2" xfId="31165" xr:uid="{00000000-0005-0000-0000-000034430000}"/>
    <cellStyle name="20 % - Markeringsfarve6 3 3 2 3 2 2 3" xfId="46129" xr:uid="{00000000-0005-0000-0000-000035430000}"/>
    <cellStyle name="20 % - Markeringsfarve6 3 3 2 3 2 3" xfId="24143" xr:uid="{00000000-0005-0000-0000-000036430000}"/>
    <cellStyle name="20 % - Markeringsfarve6 3 3 2 3 2 4" xfId="39130" xr:uid="{00000000-0005-0000-0000-000037430000}"/>
    <cellStyle name="20 % - Markeringsfarve6 3 3 2 3 3" xfId="11572" xr:uid="{00000000-0005-0000-0000-000038430000}"/>
    <cellStyle name="20 % - Markeringsfarve6 3 3 2 3 3 2" xfId="27891" xr:uid="{00000000-0005-0000-0000-000039430000}"/>
    <cellStyle name="20 % - Markeringsfarve6 3 3 2 3 3 3" xfId="42857" xr:uid="{00000000-0005-0000-0000-00003A430000}"/>
    <cellStyle name="20 % - Markeringsfarve6 3 3 2 3 4" xfId="20869" xr:uid="{00000000-0005-0000-0000-00003B430000}"/>
    <cellStyle name="20 % - Markeringsfarve6 3 3 2 3 5" xfId="35858" xr:uid="{00000000-0005-0000-0000-00003C430000}"/>
    <cellStyle name="20 % - Markeringsfarve6 3 3 2 4" xfId="3016" xr:uid="{00000000-0005-0000-0000-00003D430000}"/>
    <cellStyle name="20 % - Markeringsfarve6 3 3 2 4 2" xfId="8589" xr:uid="{00000000-0005-0000-0000-00003E430000}"/>
    <cellStyle name="20 % - Markeringsfarve6 3 3 2 4 2 2" xfId="16476" xr:uid="{00000000-0005-0000-0000-00003F430000}"/>
    <cellStyle name="20 % - Markeringsfarve6 3 3 2 4 2 2 2" xfId="32790" xr:uid="{00000000-0005-0000-0000-000040430000}"/>
    <cellStyle name="20 % - Markeringsfarve6 3 3 2 4 2 2 3" xfId="47754" xr:uid="{00000000-0005-0000-0000-000041430000}"/>
    <cellStyle name="20 % - Markeringsfarve6 3 3 2 4 2 3" xfId="25768" xr:uid="{00000000-0005-0000-0000-000042430000}"/>
    <cellStyle name="20 % - Markeringsfarve6 3 3 2 4 2 4" xfId="40755" xr:uid="{00000000-0005-0000-0000-000043430000}"/>
    <cellStyle name="20 % - Markeringsfarve6 3 3 2 4 3" xfId="11573" xr:uid="{00000000-0005-0000-0000-000044430000}"/>
    <cellStyle name="20 % - Markeringsfarve6 3 3 2 4 3 2" xfId="27892" xr:uid="{00000000-0005-0000-0000-000045430000}"/>
    <cellStyle name="20 % - Markeringsfarve6 3 3 2 4 3 3" xfId="42858" xr:uid="{00000000-0005-0000-0000-000046430000}"/>
    <cellStyle name="20 % - Markeringsfarve6 3 3 2 4 4" xfId="20870" xr:uid="{00000000-0005-0000-0000-000047430000}"/>
    <cellStyle name="20 % - Markeringsfarve6 3 3 2 4 5" xfId="35859" xr:uid="{00000000-0005-0000-0000-000048430000}"/>
    <cellStyle name="20 % - Markeringsfarve6 3 3 2 5" xfId="5719" xr:uid="{00000000-0005-0000-0000-000049430000}"/>
    <cellStyle name="20 % - Markeringsfarve6 3 3 2 5 2" xfId="13637" xr:uid="{00000000-0005-0000-0000-00004A430000}"/>
    <cellStyle name="20 % - Markeringsfarve6 3 3 2 5 2 2" xfId="29951" xr:uid="{00000000-0005-0000-0000-00004B430000}"/>
    <cellStyle name="20 % - Markeringsfarve6 3 3 2 5 2 3" xfId="44915" xr:uid="{00000000-0005-0000-0000-00004C430000}"/>
    <cellStyle name="20 % - Markeringsfarve6 3 3 2 5 3" xfId="22929" xr:uid="{00000000-0005-0000-0000-00004D430000}"/>
    <cellStyle name="20 % - Markeringsfarve6 3 3 2 5 4" xfId="37916" xr:uid="{00000000-0005-0000-0000-00004E430000}"/>
    <cellStyle name="20 % - Markeringsfarve6 3 3 2 6" xfId="11569" xr:uid="{00000000-0005-0000-0000-00004F430000}"/>
    <cellStyle name="20 % - Markeringsfarve6 3 3 2 6 2" xfId="27888" xr:uid="{00000000-0005-0000-0000-000050430000}"/>
    <cellStyle name="20 % - Markeringsfarve6 3 3 2 6 3" xfId="42854" xr:uid="{00000000-0005-0000-0000-000051430000}"/>
    <cellStyle name="20 % - Markeringsfarve6 3 3 2 7" xfId="20866" xr:uid="{00000000-0005-0000-0000-000052430000}"/>
    <cellStyle name="20 % - Markeringsfarve6 3 3 2 8" xfId="35855" xr:uid="{00000000-0005-0000-0000-000053430000}"/>
    <cellStyle name="20 % - Markeringsfarve6 3 3 3" xfId="3017" xr:uid="{00000000-0005-0000-0000-000054430000}"/>
    <cellStyle name="20 % - Markeringsfarve6 3 3 3 2" xfId="3018" xr:uid="{00000000-0005-0000-0000-000055430000}"/>
    <cellStyle name="20 % - Markeringsfarve6 3 3 3 2 2" xfId="3019" xr:uid="{00000000-0005-0000-0000-000056430000}"/>
    <cellStyle name="20 % - Markeringsfarve6 3 3 3 2 2 2" xfId="7777" xr:uid="{00000000-0005-0000-0000-000057430000}"/>
    <cellStyle name="20 % - Markeringsfarve6 3 3 3 2 2 2 2" xfId="15678" xr:uid="{00000000-0005-0000-0000-000058430000}"/>
    <cellStyle name="20 % - Markeringsfarve6 3 3 3 2 2 2 2 2" xfId="31992" xr:uid="{00000000-0005-0000-0000-000059430000}"/>
    <cellStyle name="20 % - Markeringsfarve6 3 3 3 2 2 2 2 3" xfId="46956" xr:uid="{00000000-0005-0000-0000-00005A430000}"/>
    <cellStyle name="20 % - Markeringsfarve6 3 3 3 2 2 2 3" xfId="24970" xr:uid="{00000000-0005-0000-0000-00005B430000}"/>
    <cellStyle name="20 % - Markeringsfarve6 3 3 3 2 2 2 4" xfId="39957" xr:uid="{00000000-0005-0000-0000-00005C430000}"/>
    <cellStyle name="20 % - Markeringsfarve6 3 3 3 2 2 3" xfId="11576" xr:uid="{00000000-0005-0000-0000-00005D430000}"/>
    <cellStyle name="20 % - Markeringsfarve6 3 3 3 2 2 3 2" xfId="27895" xr:uid="{00000000-0005-0000-0000-00005E430000}"/>
    <cellStyle name="20 % - Markeringsfarve6 3 3 3 2 2 3 3" xfId="42861" xr:uid="{00000000-0005-0000-0000-00005F430000}"/>
    <cellStyle name="20 % - Markeringsfarve6 3 3 3 2 2 4" xfId="20873" xr:uid="{00000000-0005-0000-0000-000060430000}"/>
    <cellStyle name="20 % - Markeringsfarve6 3 3 3 2 2 5" xfId="35862" xr:uid="{00000000-0005-0000-0000-000061430000}"/>
    <cellStyle name="20 % - Markeringsfarve6 3 3 3 2 3" xfId="6332" xr:uid="{00000000-0005-0000-0000-000062430000}"/>
    <cellStyle name="20 % - Markeringsfarve6 3 3 3 2 3 2" xfId="14249" xr:uid="{00000000-0005-0000-0000-000063430000}"/>
    <cellStyle name="20 % - Markeringsfarve6 3 3 3 2 3 2 2" xfId="30563" xr:uid="{00000000-0005-0000-0000-000064430000}"/>
    <cellStyle name="20 % - Markeringsfarve6 3 3 3 2 3 2 3" xfId="45527" xr:uid="{00000000-0005-0000-0000-000065430000}"/>
    <cellStyle name="20 % - Markeringsfarve6 3 3 3 2 3 3" xfId="23541" xr:uid="{00000000-0005-0000-0000-000066430000}"/>
    <cellStyle name="20 % - Markeringsfarve6 3 3 3 2 3 4" xfId="38528" xr:uid="{00000000-0005-0000-0000-000067430000}"/>
    <cellStyle name="20 % - Markeringsfarve6 3 3 3 2 4" xfId="11575" xr:uid="{00000000-0005-0000-0000-000068430000}"/>
    <cellStyle name="20 % - Markeringsfarve6 3 3 3 2 4 2" xfId="27894" xr:uid="{00000000-0005-0000-0000-000069430000}"/>
    <cellStyle name="20 % - Markeringsfarve6 3 3 3 2 4 3" xfId="42860" xr:uid="{00000000-0005-0000-0000-00006A430000}"/>
    <cellStyle name="20 % - Markeringsfarve6 3 3 3 2 5" xfId="20872" xr:uid="{00000000-0005-0000-0000-00006B430000}"/>
    <cellStyle name="20 % - Markeringsfarve6 3 3 3 2 6" xfId="35861" xr:uid="{00000000-0005-0000-0000-00006C430000}"/>
    <cellStyle name="20 % - Markeringsfarve6 3 3 3 3" xfId="3020" xr:uid="{00000000-0005-0000-0000-00006D430000}"/>
    <cellStyle name="20 % - Markeringsfarve6 3 3 3 3 2" xfId="7007" xr:uid="{00000000-0005-0000-0000-00006E430000}"/>
    <cellStyle name="20 % - Markeringsfarve6 3 3 3 3 2 2" xfId="14918" xr:uid="{00000000-0005-0000-0000-00006F430000}"/>
    <cellStyle name="20 % - Markeringsfarve6 3 3 3 3 2 2 2" xfId="31232" xr:uid="{00000000-0005-0000-0000-000070430000}"/>
    <cellStyle name="20 % - Markeringsfarve6 3 3 3 3 2 2 3" xfId="46196" xr:uid="{00000000-0005-0000-0000-000071430000}"/>
    <cellStyle name="20 % - Markeringsfarve6 3 3 3 3 2 3" xfId="24210" xr:uid="{00000000-0005-0000-0000-000072430000}"/>
    <cellStyle name="20 % - Markeringsfarve6 3 3 3 3 2 4" xfId="39197" xr:uid="{00000000-0005-0000-0000-000073430000}"/>
    <cellStyle name="20 % - Markeringsfarve6 3 3 3 3 3" xfId="11577" xr:uid="{00000000-0005-0000-0000-000074430000}"/>
    <cellStyle name="20 % - Markeringsfarve6 3 3 3 3 3 2" xfId="27896" xr:uid="{00000000-0005-0000-0000-000075430000}"/>
    <cellStyle name="20 % - Markeringsfarve6 3 3 3 3 3 3" xfId="42862" xr:uid="{00000000-0005-0000-0000-000076430000}"/>
    <cellStyle name="20 % - Markeringsfarve6 3 3 3 3 4" xfId="20874" xr:uid="{00000000-0005-0000-0000-000077430000}"/>
    <cellStyle name="20 % - Markeringsfarve6 3 3 3 3 5" xfId="35863" xr:uid="{00000000-0005-0000-0000-000078430000}"/>
    <cellStyle name="20 % - Markeringsfarve6 3 3 3 4" xfId="3021" xr:uid="{00000000-0005-0000-0000-000079430000}"/>
    <cellStyle name="20 % - Markeringsfarve6 3 3 3 4 2" xfId="8239" xr:uid="{00000000-0005-0000-0000-00007A430000}"/>
    <cellStyle name="20 % - Markeringsfarve6 3 3 3 4 2 2" xfId="16136" xr:uid="{00000000-0005-0000-0000-00007B430000}"/>
    <cellStyle name="20 % - Markeringsfarve6 3 3 3 4 2 2 2" xfId="32450" xr:uid="{00000000-0005-0000-0000-00007C430000}"/>
    <cellStyle name="20 % - Markeringsfarve6 3 3 3 4 2 2 3" xfId="47414" xr:uid="{00000000-0005-0000-0000-00007D430000}"/>
    <cellStyle name="20 % - Markeringsfarve6 3 3 3 4 2 3" xfId="25428" xr:uid="{00000000-0005-0000-0000-00007E430000}"/>
    <cellStyle name="20 % - Markeringsfarve6 3 3 3 4 2 4" xfId="40415" xr:uid="{00000000-0005-0000-0000-00007F430000}"/>
    <cellStyle name="20 % - Markeringsfarve6 3 3 3 4 3" xfId="11578" xr:uid="{00000000-0005-0000-0000-000080430000}"/>
    <cellStyle name="20 % - Markeringsfarve6 3 3 3 4 3 2" xfId="27897" xr:uid="{00000000-0005-0000-0000-000081430000}"/>
    <cellStyle name="20 % - Markeringsfarve6 3 3 3 4 3 3" xfId="42863" xr:uid="{00000000-0005-0000-0000-000082430000}"/>
    <cellStyle name="20 % - Markeringsfarve6 3 3 3 4 4" xfId="20875" xr:uid="{00000000-0005-0000-0000-000083430000}"/>
    <cellStyle name="20 % - Markeringsfarve6 3 3 3 4 5" xfId="35864" xr:uid="{00000000-0005-0000-0000-000084430000}"/>
    <cellStyle name="20 % - Markeringsfarve6 3 3 3 5" xfId="5720" xr:uid="{00000000-0005-0000-0000-000085430000}"/>
    <cellStyle name="20 % - Markeringsfarve6 3 3 3 5 2" xfId="13638" xr:uid="{00000000-0005-0000-0000-000086430000}"/>
    <cellStyle name="20 % - Markeringsfarve6 3 3 3 5 2 2" xfId="29952" xr:uid="{00000000-0005-0000-0000-000087430000}"/>
    <cellStyle name="20 % - Markeringsfarve6 3 3 3 5 2 3" xfId="44916" xr:uid="{00000000-0005-0000-0000-000088430000}"/>
    <cellStyle name="20 % - Markeringsfarve6 3 3 3 5 3" xfId="22930" xr:uid="{00000000-0005-0000-0000-000089430000}"/>
    <cellStyle name="20 % - Markeringsfarve6 3 3 3 5 4" xfId="37917" xr:uid="{00000000-0005-0000-0000-00008A430000}"/>
    <cellStyle name="20 % - Markeringsfarve6 3 3 3 6" xfId="11574" xr:uid="{00000000-0005-0000-0000-00008B430000}"/>
    <cellStyle name="20 % - Markeringsfarve6 3 3 3 6 2" xfId="27893" xr:uid="{00000000-0005-0000-0000-00008C430000}"/>
    <cellStyle name="20 % - Markeringsfarve6 3 3 3 6 3" xfId="42859" xr:uid="{00000000-0005-0000-0000-00008D430000}"/>
    <cellStyle name="20 % - Markeringsfarve6 3 3 3 7" xfId="20871" xr:uid="{00000000-0005-0000-0000-00008E430000}"/>
    <cellStyle name="20 % - Markeringsfarve6 3 3 3 8" xfId="35860" xr:uid="{00000000-0005-0000-0000-00008F430000}"/>
    <cellStyle name="20 % - Markeringsfarve6 3 3 4" xfId="3022" xr:uid="{00000000-0005-0000-0000-000090430000}"/>
    <cellStyle name="20 % - Markeringsfarve6 3 3 4 2" xfId="3023" xr:uid="{00000000-0005-0000-0000-000091430000}"/>
    <cellStyle name="20 % - Markeringsfarve6 3 3 4 2 2" xfId="3024" xr:uid="{00000000-0005-0000-0000-000092430000}"/>
    <cellStyle name="20 % - Markeringsfarve6 3 3 4 2 2 2" xfId="7948" xr:uid="{00000000-0005-0000-0000-000093430000}"/>
    <cellStyle name="20 % - Markeringsfarve6 3 3 4 2 2 2 2" xfId="15849" xr:uid="{00000000-0005-0000-0000-000094430000}"/>
    <cellStyle name="20 % - Markeringsfarve6 3 3 4 2 2 2 2 2" xfId="32163" xr:uid="{00000000-0005-0000-0000-000095430000}"/>
    <cellStyle name="20 % - Markeringsfarve6 3 3 4 2 2 2 2 3" xfId="47127" xr:uid="{00000000-0005-0000-0000-000096430000}"/>
    <cellStyle name="20 % - Markeringsfarve6 3 3 4 2 2 2 3" xfId="25141" xr:uid="{00000000-0005-0000-0000-000097430000}"/>
    <cellStyle name="20 % - Markeringsfarve6 3 3 4 2 2 2 4" xfId="40128" xr:uid="{00000000-0005-0000-0000-000098430000}"/>
    <cellStyle name="20 % - Markeringsfarve6 3 3 4 2 2 3" xfId="11581" xr:uid="{00000000-0005-0000-0000-000099430000}"/>
    <cellStyle name="20 % - Markeringsfarve6 3 3 4 2 2 3 2" xfId="27900" xr:uid="{00000000-0005-0000-0000-00009A430000}"/>
    <cellStyle name="20 % - Markeringsfarve6 3 3 4 2 2 3 3" xfId="42866" xr:uid="{00000000-0005-0000-0000-00009B430000}"/>
    <cellStyle name="20 % - Markeringsfarve6 3 3 4 2 2 4" xfId="20878" xr:uid="{00000000-0005-0000-0000-00009C430000}"/>
    <cellStyle name="20 % - Markeringsfarve6 3 3 4 2 2 5" xfId="35867" xr:uid="{00000000-0005-0000-0000-00009D430000}"/>
    <cellStyle name="20 % - Markeringsfarve6 3 3 4 2 3" xfId="6479" xr:uid="{00000000-0005-0000-0000-00009E430000}"/>
    <cellStyle name="20 % - Markeringsfarve6 3 3 4 2 3 2" xfId="14393" xr:uid="{00000000-0005-0000-0000-00009F430000}"/>
    <cellStyle name="20 % - Markeringsfarve6 3 3 4 2 3 2 2" xfId="30707" xr:uid="{00000000-0005-0000-0000-0000A0430000}"/>
    <cellStyle name="20 % - Markeringsfarve6 3 3 4 2 3 2 3" xfId="45671" xr:uid="{00000000-0005-0000-0000-0000A1430000}"/>
    <cellStyle name="20 % - Markeringsfarve6 3 3 4 2 3 3" xfId="23685" xr:uid="{00000000-0005-0000-0000-0000A2430000}"/>
    <cellStyle name="20 % - Markeringsfarve6 3 3 4 2 3 4" xfId="38672" xr:uid="{00000000-0005-0000-0000-0000A3430000}"/>
    <cellStyle name="20 % - Markeringsfarve6 3 3 4 2 4" xfId="11580" xr:uid="{00000000-0005-0000-0000-0000A4430000}"/>
    <cellStyle name="20 % - Markeringsfarve6 3 3 4 2 4 2" xfId="27899" xr:uid="{00000000-0005-0000-0000-0000A5430000}"/>
    <cellStyle name="20 % - Markeringsfarve6 3 3 4 2 4 3" xfId="42865" xr:uid="{00000000-0005-0000-0000-0000A6430000}"/>
    <cellStyle name="20 % - Markeringsfarve6 3 3 4 2 5" xfId="20877" xr:uid="{00000000-0005-0000-0000-0000A7430000}"/>
    <cellStyle name="20 % - Markeringsfarve6 3 3 4 2 6" xfId="35866" xr:uid="{00000000-0005-0000-0000-0000A8430000}"/>
    <cellStyle name="20 % - Markeringsfarve6 3 3 4 3" xfId="3025" xr:uid="{00000000-0005-0000-0000-0000A9430000}"/>
    <cellStyle name="20 % - Markeringsfarve6 3 3 4 3 2" xfId="7224" xr:uid="{00000000-0005-0000-0000-0000AA430000}"/>
    <cellStyle name="20 % - Markeringsfarve6 3 3 4 3 2 2" xfId="15134" xr:uid="{00000000-0005-0000-0000-0000AB430000}"/>
    <cellStyle name="20 % - Markeringsfarve6 3 3 4 3 2 2 2" xfId="31448" xr:uid="{00000000-0005-0000-0000-0000AC430000}"/>
    <cellStyle name="20 % - Markeringsfarve6 3 3 4 3 2 2 3" xfId="46412" xr:uid="{00000000-0005-0000-0000-0000AD430000}"/>
    <cellStyle name="20 % - Markeringsfarve6 3 3 4 3 2 3" xfId="24426" xr:uid="{00000000-0005-0000-0000-0000AE430000}"/>
    <cellStyle name="20 % - Markeringsfarve6 3 3 4 3 2 4" xfId="39413" xr:uid="{00000000-0005-0000-0000-0000AF430000}"/>
    <cellStyle name="20 % - Markeringsfarve6 3 3 4 3 3" xfId="11582" xr:uid="{00000000-0005-0000-0000-0000B0430000}"/>
    <cellStyle name="20 % - Markeringsfarve6 3 3 4 3 3 2" xfId="27901" xr:uid="{00000000-0005-0000-0000-0000B1430000}"/>
    <cellStyle name="20 % - Markeringsfarve6 3 3 4 3 3 3" xfId="42867" xr:uid="{00000000-0005-0000-0000-0000B2430000}"/>
    <cellStyle name="20 % - Markeringsfarve6 3 3 4 3 4" xfId="20879" xr:uid="{00000000-0005-0000-0000-0000B3430000}"/>
    <cellStyle name="20 % - Markeringsfarve6 3 3 4 3 5" xfId="35868" xr:uid="{00000000-0005-0000-0000-0000B4430000}"/>
    <cellStyle name="20 % - Markeringsfarve6 3 3 4 4" xfId="3026" xr:uid="{00000000-0005-0000-0000-0000B5430000}"/>
    <cellStyle name="20 % - Markeringsfarve6 3 3 4 4 2" xfId="6755" xr:uid="{00000000-0005-0000-0000-0000B6430000}"/>
    <cellStyle name="20 % - Markeringsfarve6 3 3 4 4 2 2" xfId="14666" xr:uid="{00000000-0005-0000-0000-0000B7430000}"/>
    <cellStyle name="20 % - Markeringsfarve6 3 3 4 4 2 2 2" xfId="30980" xr:uid="{00000000-0005-0000-0000-0000B8430000}"/>
    <cellStyle name="20 % - Markeringsfarve6 3 3 4 4 2 2 3" xfId="45944" xr:uid="{00000000-0005-0000-0000-0000B9430000}"/>
    <cellStyle name="20 % - Markeringsfarve6 3 3 4 4 2 3" xfId="23958" xr:uid="{00000000-0005-0000-0000-0000BA430000}"/>
    <cellStyle name="20 % - Markeringsfarve6 3 3 4 4 2 4" xfId="38945" xr:uid="{00000000-0005-0000-0000-0000BB430000}"/>
    <cellStyle name="20 % - Markeringsfarve6 3 3 4 4 3" xfId="11583" xr:uid="{00000000-0005-0000-0000-0000BC430000}"/>
    <cellStyle name="20 % - Markeringsfarve6 3 3 4 4 3 2" xfId="27902" xr:uid="{00000000-0005-0000-0000-0000BD430000}"/>
    <cellStyle name="20 % - Markeringsfarve6 3 3 4 4 3 3" xfId="42868" xr:uid="{00000000-0005-0000-0000-0000BE430000}"/>
    <cellStyle name="20 % - Markeringsfarve6 3 3 4 4 4" xfId="20880" xr:uid="{00000000-0005-0000-0000-0000BF430000}"/>
    <cellStyle name="20 % - Markeringsfarve6 3 3 4 4 5" xfId="35869" xr:uid="{00000000-0005-0000-0000-0000C0430000}"/>
    <cellStyle name="20 % - Markeringsfarve6 3 3 4 5" xfId="5721" xr:uid="{00000000-0005-0000-0000-0000C1430000}"/>
    <cellStyle name="20 % - Markeringsfarve6 3 3 4 5 2" xfId="13639" xr:uid="{00000000-0005-0000-0000-0000C2430000}"/>
    <cellStyle name="20 % - Markeringsfarve6 3 3 4 5 2 2" xfId="29953" xr:uid="{00000000-0005-0000-0000-0000C3430000}"/>
    <cellStyle name="20 % - Markeringsfarve6 3 3 4 5 2 3" xfId="44917" xr:uid="{00000000-0005-0000-0000-0000C4430000}"/>
    <cellStyle name="20 % - Markeringsfarve6 3 3 4 5 3" xfId="22931" xr:uid="{00000000-0005-0000-0000-0000C5430000}"/>
    <cellStyle name="20 % - Markeringsfarve6 3 3 4 5 4" xfId="37918" xr:uid="{00000000-0005-0000-0000-0000C6430000}"/>
    <cellStyle name="20 % - Markeringsfarve6 3 3 4 6" xfId="11579" xr:uid="{00000000-0005-0000-0000-0000C7430000}"/>
    <cellStyle name="20 % - Markeringsfarve6 3 3 4 6 2" xfId="27898" xr:uid="{00000000-0005-0000-0000-0000C8430000}"/>
    <cellStyle name="20 % - Markeringsfarve6 3 3 4 6 3" xfId="42864" xr:uid="{00000000-0005-0000-0000-0000C9430000}"/>
    <cellStyle name="20 % - Markeringsfarve6 3 3 4 7" xfId="20876" xr:uid="{00000000-0005-0000-0000-0000CA430000}"/>
    <cellStyle name="20 % - Markeringsfarve6 3 3 4 8" xfId="35865" xr:uid="{00000000-0005-0000-0000-0000CB430000}"/>
    <cellStyle name="20 % - Markeringsfarve6 3 3 5" xfId="3027" xr:uid="{00000000-0005-0000-0000-0000CC430000}"/>
    <cellStyle name="20 % - Markeringsfarve6 3 3 5 2" xfId="3028" xr:uid="{00000000-0005-0000-0000-0000CD430000}"/>
    <cellStyle name="20 % - Markeringsfarve6 3 3 5 2 2" xfId="3029" xr:uid="{00000000-0005-0000-0000-0000CE430000}"/>
    <cellStyle name="20 % - Markeringsfarve6 3 3 5 2 2 2" xfId="8065" xr:uid="{00000000-0005-0000-0000-0000CF430000}"/>
    <cellStyle name="20 % - Markeringsfarve6 3 3 5 2 2 2 2" xfId="15966" xr:uid="{00000000-0005-0000-0000-0000D0430000}"/>
    <cellStyle name="20 % - Markeringsfarve6 3 3 5 2 2 2 2 2" xfId="32280" xr:uid="{00000000-0005-0000-0000-0000D1430000}"/>
    <cellStyle name="20 % - Markeringsfarve6 3 3 5 2 2 2 2 3" xfId="47244" xr:uid="{00000000-0005-0000-0000-0000D2430000}"/>
    <cellStyle name="20 % - Markeringsfarve6 3 3 5 2 2 2 3" xfId="25258" xr:uid="{00000000-0005-0000-0000-0000D3430000}"/>
    <cellStyle name="20 % - Markeringsfarve6 3 3 5 2 2 2 4" xfId="40245" xr:uid="{00000000-0005-0000-0000-0000D4430000}"/>
    <cellStyle name="20 % - Markeringsfarve6 3 3 5 2 2 3" xfId="11586" xr:uid="{00000000-0005-0000-0000-0000D5430000}"/>
    <cellStyle name="20 % - Markeringsfarve6 3 3 5 2 2 3 2" xfId="27905" xr:uid="{00000000-0005-0000-0000-0000D6430000}"/>
    <cellStyle name="20 % - Markeringsfarve6 3 3 5 2 2 3 3" xfId="42871" xr:uid="{00000000-0005-0000-0000-0000D7430000}"/>
    <cellStyle name="20 % - Markeringsfarve6 3 3 5 2 2 4" xfId="20883" xr:uid="{00000000-0005-0000-0000-0000D8430000}"/>
    <cellStyle name="20 % - Markeringsfarve6 3 3 5 2 2 5" xfId="35872" xr:uid="{00000000-0005-0000-0000-0000D9430000}"/>
    <cellStyle name="20 % - Markeringsfarve6 3 3 5 2 3" xfId="6578" xr:uid="{00000000-0005-0000-0000-0000DA430000}"/>
    <cellStyle name="20 % - Markeringsfarve6 3 3 5 2 3 2" xfId="14492" xr:uid="{00000000-0005-0000-0000-0000DB430000}"/>
    <cellStyle name="20 % - Markeringsfarve6 3 3 5 2 3 2 2" xfId="30806" xr:uid="{00000000-0005-0000-0000-0000DC430000}"/>
    <cellStyle name="20 % - Markeringsfarve6 3 3 5 2 3 2 3" xfId="45770" xr:uid="{00000000-0005-0000-0000-0000DD430000}"/>
    <cellStyle name="20 % - Markeringsfarve6 3 3 5 2 3 3" xfId="23784" xr:uid="{00000000-0005-0000-0000-0000DE430000}"/>
    <cellStyle name="20 % - Markeringsfarve6 3 3 5 2 3 4" xfId="38771" xr:uid="{00000000-0005-0000-0000-0000DF430000}"/>
    <cellStyle name="20 % - Markeringsfarve6 3 3 5 2 4" xfId="11585" xr:uid="{00000000-0005-0000-0000-0000E0430000}"/>
    <cellStyle name="20 % - Markeringsfarve6 3 3 5 2 4 2" xfId="27904" xr:uid="{00000000-0005-0000-0000-0000E1430000}"/>
    <cellStyle name="20 % - Markeringsfarve6 3 3 5 2 4 3" xfId="42870" xr:uid="{00000000-0005-0000-0000-0000E2430000}"/>
    <cellStyle name="20 % - Markeringsfarve6 3 3 5 2 5" xfId="20882" xr:uid="{00000000-0005-0000-0000-0000E3430000}"/>
    <cellStyle name="20 % - Markeringsfarve6 3 3 5 2 6" xfId="35871" xr:uid="{00000000-0005-0000-0000-0000E4430000}"/>
    <cellStyle name="20 % - Markeringsfarve6 3 3 5 3" xfId="3030" xr:uid="{00000000-0005-0000-0000-0000E5430000}"/>
    <cellStyle name="20 % - Markeringsfarve6 3 3 5 3 2" xfId="7341" xr:uid="{00000000-0005-0000-0000-0000E6430000}"/>
    <cellStyle name="20 % - Markeringsfarve6 3 3 5 3 2 2" xfId="15251" xr:uid="{00000000-0005-0000-0000-0000E7430000}"/>
    <cellStyle name="20 % - Markeringsfarve6 3 3 5 3 2 2 2" xfId="31565" xr:uid="{00000000-0005-0000-0000-0000E8430000}"/>
    <cellStyle name="20 % - Markeringsfarve6 3 3 5 3 2 2 3" xfId="46529" xr:uid="{00000000-0005-0000-0000-0000E9430000}"/>
    <cellStyle name="20 % - Markeringsfarve6 3 3 5 3 2 3" xfId="24543" xr:uid="{00000000-0005-0000-0000-0000EA430000}"/>
    <cellStyle name="20 % - Markeringsfarve6 3 3 5 3 2 4" xfId="39530" xr:uid="{00000000-0005-0000-0000-0000EB430000}"/>
    <cellStyle name="20 % - Markeringsfarve6 3 3 5 3 3" xfId="11587" xr:uid="{00000000-0005-0000-0000-0000EC430000}"/>
    <cellStyle name="20 % - Markeringsfarve6 3 3 5 3 3 2" xfId="27906" xr:uid="{00000000-0005-0000-0000-0000ED430000}"/>
    <cellStyle name="20 % - Markeringsfarve6 3 3 5 3 3 3" xfId="42872" xr:uid="{00000000-0005-0000-0000-0000EE430000}"/>
    <cellStyle name="20 % - Markeringsfarve6 3 3 5 3 4" xfId="20884" xr:uid="{00000000-0005-0000-0000-0000EF430000}"/>
    <cellStyle name="20 % - Markeringsfarve6 3 3 5 3 5" xfId="35873" xr:uid="{00000000-0005-0000-0000-0000F0430000}"/>
    <cellStyle name="20 % - Markeringsfarve6 3 3 5 4" xfId="3031" xr:uid="{00000000-0005-0000-0000-0000F1430000}"/>
    <cellStyle name="20 % - Markeringsfarve6 3 3 5 4 2" xfId="8539" xr:uid="{00000000-0005-0000-0000-0000F2430000}"/>
    <cellStyle name="20 % - Markeringsfarve6 3 3 5 4 2 2" xfId="16427" xr:uid="{00000000-0005-0000-0000-0000F3430000}"/>
    <cellStyle name="20 % - Markeringsfarve6 3 3 5 4 2 2 2" xfId="32741" xr:uid="{00000000-0005-0000-0000-0000F4430000}"/>
    <cellStyle name="20 % - Markeringsfarve6 3 3 5 4 2 2 3" xfId="47705" xr:uid="{00000000-0005-0000-0000-0000F5430000}"/>
    <cellStyle name="20 % - Markeringsfarve6 3 3 5 4 2 3" xfId="25719" xr:uid="{00000000-0005-0000-0000-0000F6430000}"/>
    <cellStyle name="20 % - Markeringsfarve6 3 3 5 4 2 4" xfId="40706" xr:uid="{00000000-0005-0000-0000-0000F7430000}"/>
    <cellStyle name="20 % - Markeringsfarve6 3 3 5 4 3" xfId="11588" xr:uid="{00000000-0005-0000-0000-0000F8430000}"/>
    <cellStyle name="20 % - Markeringsfarve6 3 3 5 4 3 2" xfId="27907" xr:uid="{00000000-0005-0000-0000-0000F9430000}"/>
    <cellStyle name="20 % - Markeringsfarve6 3 3 5 4 3 3" xfId="42873" xr:uid="{00000000-0005-0000-0000-0000FA430000}"/>
    <cellStyle name="20 % - Markeringsfarve6 3 3 5 4 4" xfId="20885" xr:uid="{00000000-0005-0000-0000-0000FB430000}"/>
    <cellStyle name="20 % - Markeringsfarve6 3 3 5 4 5" xfId="35874" xr:uid="{00000000-0005-0000-0000-0000FC430000}"/>
    <cellStyle name="20 % - Markeringsfarve6 3 3 5 5" xfId="5722" xr:uid="{00000000-0005-0000-0000-0000FD430000}"/>
    <cellStyle name="20 % - Markeringsfarve6 3 3 5 5 2" xfId="13640" xr:uid="{00000000-0005-0000-0000-0000FE430000}"/>
    <cellStyle name="20 % - Markeringsfarve6 3 3 5 5 2 2" xfId="29954" xr:uid="{00000000-0005-0000-0000-0000FF430000}"/>
    <cellStyle name="20 % - Markeringsfarve6 3 3 5 5 2 3" xfId="44918" xr:uid="{00000000-0005-0000-0000-000000440000}"/>
    <cellStyle name="20 % - Markeringsfarve6 3 3 5 5 3" xfId="22932" xr:uid="{00000000-0005-0000-0000-000001440000}"/>
    <cellStyle name="20 % - Markeringsfarve6 3 3 5 5 4" xfId="37919" xr:uid="{00000000-0005-0000-0000-000002440000}"/>
    <cellStyle name="20 % - Markeringsfarve6 3 3 5 6" xfId="11584" xr:uid="{00000000-0005-0000-0000-000003440000}"/>
    <cellStyle name="20 % - Markeringsfarve6 3 3 5 6 2" xfId="27903" xr:uid="{00000000-0005-0000-0000-000004440000}"/>
    <cellStyle name="20 % - Markeringsfarve6 3 3 5 6 3" xfId="42869" xr:uid="{00000000-0005-0000-0000-000005440000}"/>
    <cellStyle name="20 % - Markeringsfarve6 3 3 5 7" xfId="20881" xr:uid="{00000000-0005-0000-0000-000006440000}"/>
    <cellStyle name="20 % - Markeringsfarve6 3 3 5 8" xfId="35870" xr:uid="{00000000-0005-0000-0000-000007440000}"/>
    <cellStyle name="20 % - Markeringsfarve6 3 3 6" xfId="3032" xr:uid="{00000000-0005-0000-0000-000008440000}"/>
    <cellStyle name="20 % - Markeringsfarve6 3 3 6 2" xfId="3033" xr:uid="{00000000-0005-0000-0000-000009440000}"/>
    <cellStyle name="20 % - Markeringsfarve6 3 3 6 2 2" xfId="3034" xr:uid="{00000000-0005-0000-0000-00000A440000}"/>
    <cellStyle name="20 % - Markeringsfarve6 3 3 6 2 2 2" xfId="8131" xr:uid="{00000000-0005-0000-0000-00000B440000}"/>
    <cellStyle name="20 % - Markeringsfarve6 3 3 6 2 2 2 2" xfId="16032" xr:uid="{00000000-0005-0000-0000-00000C440000}"/>
    <cellStyle name="20 % - Markeringsfarve6 3 3 6 2 2 2 2 2" xfId="32346" xr:uid="{00000000-0005-0000-0000-00000D440000}"/>
    <cellStyle name="20 % - Markeringsfarve6 3 3 6 2 2 2 2 3" xfId="47310" xr:uid="{00000000-0005-0000-0000-00000E440000}"/>
    <cellStyle name="20 % - Markeringsfarve6 3 3 6 2 2 2 3" xfId="25324" xr:uid="{00000000-0005-0000-0000-00000F440000}"/>
    <cellStyle name="20 % - Markeringsfarve6 3 3 6 2 2 2 4" xfId="40311" xr:uid="{00000000-0005-0000-0000-000010440000}"/>
    <cellStyle name="20 % - Markeringsfarve6 3 3 6 2 2 3" xfId="11591" xr:uid="{00000000-0005-0000-0000-000011440000}"/>
    <cellStyle name="20 % - Markeringsfarve6 3 3 6 2 2 3 2" xfId="27910" xr:uid="{00000000-0005-0000-0000-000012440000}"/>
    <cellStyle name="20 % - Markeringsfarve6 3 3 6 2 2 3 3" xfId="42876" xr:uid="{00000000-0005-0000-0000-000013440000}"/>
    <cellStyle name="20 % - Markeringsfarve6 3 3 6 2 2 4" xfId="20888" xr:uid="{00000000-0005-0000-0000-000014440000}"/>
    <cellStyle name="20 % - Markeringsfarve6 3 3 6 2 2 5" xfId="35877" xr:uid="{00000000-0005-0000-0000-000015440000}"/>
    <cellStyle name="20 % - Markeringsfarve6 3 3 6 2 3" xfId="6633" xr:uid="{00000000-0005-0000-0000-000016440000}"/>
    <cellStyle name="20 % - Markeringsfarve6 3 3 6 2 3 2" xfId="14547" xr:uid="{00000000-0005-0000-0000-000017440000}"/>
    <cellStyle name="20 % - Markeringsfarve6 3 3 6 2 3 2 2" xfId="30861" xr:uid="{00000000-0005-0000-0000-000018440000}"/>
    <cellStyle name="20 % - Markeringsfarve6 3 3 6 2 3 2 3" xfId="45825" xr:uid="{00000000-0005-0000-0000-000019440000}"/>
    <cellStyle name="20 % - Markeringsfarve6 3 3 6 2 3 3" xfId="23839" xr:uid="{00000000-0005-0000-0000-00001A440000}"/>
    <cellStyle name="20 % - Markeringsfarve6 3 3 6 2 3 4" xfId="38826" xr:uid="{00000000-0005-0000-0000-00001B440000}"/>
    <cellStyle name="20 % - Markeringsfarve6 3 3 6 2 4" xfId="11590" xr:uid="{00000000-0005-0000-0000-00001C440000}"/>
    <cellStyle name="20 % - Markeringsfarve6 3 3 6 2 4 2" xfId="27909" xr:uid="{00000000-0005-0000-0000-00001D440000}"/>
    <cellStyle name="20 % - Markeringsfarve6 3 3 6 2 4 3" xfId="42875" xr:uid="{00000000-0005-0000-0000-00001E440000}"/>
    <cellStyle name="20 % - Markeringsfarve6 3 3 6 2 5" xfId="20887" xr:uid="{00000000-0005-0000-0000-00001F440000}"/>
    <cellStyle name="20 % - Markeringsfarve6 3 3 6 2 6" xfId="35876" xr:uid="{00000000-0005-0000-0000-000020440000}"/>
    <cellStyle name="20 % - Markeringsfarve6 3 3 6 3" xfId="3035" xr:uid="{00000000-0005-0000-0000-000021440000}"/>
    <cellStyle name="20 % - Markeringsfarve6 3 3 6 3 2" xfId="7408" xr:uid="{00000000-0005-0000-0000-000022440000}"/>
    <cellStyle name="20 % - Markeringsfarve6 3 3 6 3 2 2" xfId="15318" xr:uid="{00000000-0005-0000-0000-000023440000}"/>
    <cellStyle name="20 % - Markeringsfarve6 3 3 6 3 2 2 2" xfId="31632" xr:uid="{00000000-0005-0000-0000-000024440000}"/>
    <cellStyle name="20 % - Markeringsfarve6 3 3 6 3 2 2 3" xfId="46596" xr:uid="{00000000-0005-0000-0000-000025440000}"/>
    <cellStyle name="20 % - Markeringsfarve6 3 3 6 3 2 3" xfId="24610" xr:uid="{00000000-0005-0000-0000-000026440000}"/>
    <cellStyle name="20 % - Markeringsfarve6 3 3 6 3 2 4" xfId="39597" xr:uid="{00000000-0005-0000-0000-000027440000}"/>
    <cellStyle name="20 % - Markeringsfarve6 3 3 6 3 3" xfId="11592" xr:uid="{00000000-0005-0000-0000-000028440000}"/>
    <cellStyle name="20 % - Markeringsfarve6 3 3 6 3 3 2" xfId="27911" xr:uid="{00000000-0005-0000-0000-000029440000}"/>
    <cellStyle name="20 % - Markeringsfarve6 3 3 6 3 3 3" xfId="42877" xr:uid="{00000000-0005-0000-0000-00002A440000}"/>
    <cellStyle name="20 % - Markeringsfarve6 3 3 6 3 4" xfId="20889" xr:uid="{00000000-0005-0000-0000-00002B440000}"/>
    <cellStyle name="20 % - Markeringsfarve6 3 3 6 3 5" xfId="35878" xr:uid="{00000000-0005-0000-0000-00002C440000}"/>
    <cellStyle name="20 % - Markeringsfarve6 3 3 6 4" xfId="3036" xr:uid="{00000000-0005-0000-0000-00002D440000}"/>
    <cellStyle name="20 % - Markeringsfarve6 3 3 6 4 2" xfId="8779" xr:uid="{00000000-0005-0000-0000-00002E440000}"/>
    <cellStyle name="20 % - Markeringsfarve6 3 3 6 4 2 2" xfId="16655" xr:uid="{00000000-0005-0000-0000-00002F440000}"/>
    <cellStyle name="20 % - Markeringsfarve6 3 3 6 4 2 2 2" xfId="32969" xr:uid="{00000000-0005-0000-0000-000030440000}"/>
    <cellStyle name="20 % - Markeringsfarve6 3 3 6 4 2 2 3" xfId="47933" xr:uid="{00000000-0005-0000-0000-000031440000}"/>
    <cellStyle name="20 % - Markeringsfarve6 3 3 6 4 2 3" xfId="25947" xr:uid="{00000000-0005-0000-0000-000032440000}"/>
    <cellStyle name="20 % - Markeringsfarve6 3 3 6 4 2 4" xfId="40934" xr:uid="{00000000-0005-0000-0000-000033440000}"/>
    <cellStyle name="20 % - Markeringsfarve6 3 3 6 4 3" xfId="11593" xr:uid="{00000000-0005-0000-0000-000034440000}"/>
    <cellStyle name="20 % - Markeringsfarve6 3 3 6 4 3 2" xfId="27912" xr:uid="{00000000-0005-0000-0000-000035440000}"/>
    <cellStyle name="20 % - Markeringsfarve6 3 3 6 4 3 3" xfId="42878" xr:uid="{00000000-0005-0000-0000-000036440000}"/>
    <cellStyle name="20 % - Markeringsfarve6 3 3 6 4 4" xfId="20890" xr:uid="{00000000-0005-0000-0000-000037440000}"/>
    <cellStyle name="20 % - Markeringsfarve6 3 3 6 4 5" xfId="35879" xr:uid="{00000000-0005-0000-0000-000038440000}"/>
    <cellStyle name="20 % - Markeringsfarve6 3 3 6 5" xfId="5723" xr:uid="{00000000-0005-0000-0000-000039440000}"/>
    <cellStyle name="20 % - Markeringsfarve6 3 3 6 5 2" xfId="13641" xr:uid="{00000000-0005-0000-0000-00003A440000}"/>
    <cellStyle name="20 % - Markeringsfarve6 3 3 6 5 2 2" xfId="29955" xr:uid="{00000000-0005-0000-0000-00003B440000}"/>
    <cellStyle name="20 % - Markeringsfarve6 3 3 6 5 2 3" xfId="44919" xr:uid="{00000000-0005-0000-0000-00003C440000}"/>
    <cellStyle name="20 % - Markeringsfarve6 3 3 6 5 3" xfId="22933" xr:uid="{00000000-0005-0000-0000-00003D440000}"/>
    <cellStyle name="20 % - Markeringsfarve6 3 3 6 5 4" xfId="37920" xr:uid="{00000000-0005-0000-0000-00003E440000}"/>
    <cellStyle name="20 % - Markeringsfarve6 3 3 6 6" xfId="11589" xr:uid="{00000000-0005-0000-0000-00003F440000}"/>
    <cellStyle name="20 % - Markeringsfarve6 3 3 6 6 2" xfId="27908" xr:uid="{00000000-0005-0000-0000-000040440000}"/>
    <cellStyle name="20 % - Markeringsfarve6 3 3 6 6 3" xfId="42874" xr:uid="{00000000-0005-0000-0000-000041440000}"/>
    <cellStyle name="20 % - Markeringsfarve6 3 3 6 7" xfId="20886" xr:uid="{00000000-0005-0000-0000-000042440000}"/>
    <cellStyle name="20 % - Markeringsfarve6 3 3 6 8" xfId="35875" xr:uid="{00000000-0005-0000-0000-000043440000}"/>
    <cellStyle name="20 % - Markeringsfarve6 3 3 7" xfId="3037" xr:uid="{00000000-0005-0000-0000-000044440000}"/>
    <cellStyle name="20 % - Markeringsfarve6 3 3 7 2" xfId="3038" xr:uid="{00000000-0005-0000-0000-000045440000}"/>
    <cellStyle name="20 % - Markeringsfarve6 3 3 7 2 2" xfId="7591" xr:uid="{00000000-0005-0000-0000-000046440000}"/>
    <cellStyle name="20 % - Markeringsfarve6 3 3 7 2 2 2" xfId="15492" xr:uid="{00000000-0005-0000-0000-000047440000}"/>
    <cellStyle name="20 % - Markeringsfarve6 3 3 7 2 2 2 2" xfId="31806" xr:uid="{00000000-0005-0000-0000-000048440000}"/>
    <cellStyle name="20 % - Markeringsfarve6 3 3 7 2 2 2 3" xfId="46770" xr:uid="{00000000-0005-0000-0000-000049440000}"/>
    <cellStyle name="20 % - Markeringsfarve6 3 3 7 2 2 3" xfId="24784" xr:uid="{00000000-0005-0000-0000-00004A440000}"/>
    <cellStyle name="20 % - Markeringsfarve6 3 3 7 2 2 4" xfId="39771" xr:uid="{00000000-0005-0000-0000-00004B440000}"/>
    <cellStyle name="20 % - Markeringsfarve6 3 3 7 2 3" xfId="11595" xr:uid="{00000000-0005-0000-0000-00004C440000}"/>
    <cellStyle name="20 % - Markeringsfarve6 3 3 7 2 3 2" xfId="27914" xr:uid="{00000000-0005-0000-0000-00004D440000}"/>
    <cellStyle name="20 % - Markeringsfarve6 3 3 7 2 3 3" xfId="42880" xr:uid="{00000000-0005-0000-0000-00004E440000}"/>
    <cellStyle name="20 % - Markeringsfarve6 3 3 7 2 4" xfId="20892" xr:uid="{00000000-0005-0000-0000-00004F440000}"/>
    <cellStyle name="20 % - Markeringsfarve6 3 3 7 2 5" xfId="35881" xr:uid="{00000000-0005-0000-0000-000050440000}"/>
    <cellStyle name="20 % - Markeringsfarve6 3 3 7 3" xfId="6178" xr:uid="{00000000-0005-0000-0000-000051440000}"/>
    <cellStyle name="20 % - Markeringsfarve6 3 3 7 3 2" xfId="14095" xr:uid="{00000000-0005-0000-0000-000052440000}"/>
    <cellStyle name="20 % - Markeringsfarve6 3 3 7 3 2 2" xfId="30409" xr:uid="{00000000-0005-0000-0000-000053440000}"/>
    <cellStyle name="20 % - Markeringsfarve6 3 3 7 3 2 3" xfId="45373" xr:uid="{00000000-0005-0000-0000-000054440000}"/>
    <cellStyle name="20 % - Markeringsfarve6 3 3 7 3 3" xfId="23387" xr:uid="{00000000-0005-0000-0000-000055440000}"/>
    <cellStyle name="20 % - Markeringsfarve6 3 3 7 3 4" xfId="38374" xr:uid="{00000000-0005-0000-0000-000056440000}"/>
    <cellStyle name="20 % - Markeringsfarve6 3 3 7 4" xfId="11594" xr:uid="{00000000-0005-0000-0000-000057440000}"/>
    <cellStyle name="20 % - Markeringsfarve6 3 3 7 4 2" xfId="27913" xr:uid="{00000000-0005-0000-0000-000058440000}"/>
    <cellStyle name="20 % - Markeringsfarve6 3 3 7 4 3" xfId="42879" xr:uid="{00000000-0005-0000-0000-000059440000}"/>
    <cellStyle name="20 % - Markeringsfarve6 3 3 7 5" xfId="20891" xr:uid="{00000000-0005-0000-0000-00005A440000}"/>
    <cellStyle name="20 % - Markeringsfarve6 3 3 7 6" xfId="35880" xr:uid="{00000000-0005-0000-0000-00005B440000}"/>
    <cellStyle name="20 % - Markeringsfarve6 3 3 8" xfId="3039" xr:uid="{00000000-0005-0000-0000-00005C440000}"/>
    <cellStyle name="20 % - Markeringsfarve6 3 3 8 2" xfId="6819" xr:uid="{00000000-0005-0000-0000-00005D440000}"/>
    <cellStyle name="20 % - Markeringsfarve6 3 3 8 2 2" xfId="14730" xr:uid="{00000000-0005-0000-0000-00005E440000}"/>
    <cellStyle name="20 % - Markeringsfarve6 3 3 8 2 2 2" xfId="31044" xr:uid="{00000000-0005-0000-0000-00005F440000}"/>
    <cellStyle name="20 % - Markeringsfarve6 3 3 8 2 2 3" xfId="46008" xr:uid="{00000000-0005-0000-0000-000060440000}"/>
    <cellStyle name="20 % - Markeringsfarve6 3 3 8 2 3" xfId="24022" xr:uid="{00000000-0005-0000-0000-000061440000}"/>
    <cellStyle name="20 % - Markeringsfarve6 3 3 8 2 4" xfId="39009" xr:uid="{00000000-0005-0000-0000-000062440000}"/>
    <cellStyle name="20 % - Markeringsfarve6 3 3 8 3" xfId="11596" xr:uid="{00000000-0005-0000-0000-000063440000}"/>
    <cellStyle name="20 % - Markeringsfarve6 3 3 8 3 2" xfId="27915" xr:uid="{00000000-0005-0000-0000-000064440000}"/>
    <cellStyle name="20 % - Markeringsfarve6 3 3 8 3 3" xfId="42881" xr:uid="{00000000-0005-0000-0000-000065440000}"/>
    <cellStyle name="20 % - Markeringsfarve6 3 3 8 4" xfId="20893" xr:uid="{00000000-0005-0000-0000-000066440000}"/>
    <cellStyle name="20 % - Markeringsfarve6 3 3 8 5" xfId="35882" xr:uid="{00000000-0005-0000-0000-000067440000}"/>
    <cellStyle name="20 % - Markeringsfarve6 3 3 9" xfId="3040" xr:uid="{00000000-0005-0000-0000-000068440000}"/>
    <cellStyle name="20 % - Markeringsfarve6 3 3 9 2" xfId="8298" xr:uid="{00000000-0005-0000-0000-000069440000}"/>
    <cellStyle name="20 % - Markeringsfarve6 3 3 9 2 2" xfId="16192" xr:uid="{00000000-0005-0000-0000-00006A440000}"/>
    <cellStyle name="20 % - Markeringsfarve6 3 3 9 2 2 2" xfId="32506" xr:uid="{00000000-0005-0000-0000-00006B440000}"/>
    <cellStyle name="20 % - Markeringsfarve6 3 3 9 2 2 3" xfId="47470" xr:uid="{00000000-0005-0000-0000-00006C440000}"/>
    <cellStyle name="20 % - Markeringsfarve6 3 3 9 2 3" xfId="25484" xr:uid="{00000000-0005-0000-0000-00006D440000}"/>
    <cellStyle name="20 % - Markeringsfarve6 3 3 9 2 4" xfId="40471" xr:uid="{00000000-0005-0000-0000-00006E440000}"/>
    <cellStyle name="20 % - Markeringsfarve6 3 3 9 3" xfId="11597" xr:uid="{00000000-0005-0000-0000-00006F440000}"/>
    <cellStyle name="20 % - Markeringsfarve6 3 3 9 3 2" xfId="27916" xr:uid="{00000000-0005-0000-0000-000070440000}"/>
    <cellStyle name="20 % - Markeringsfarve6 3 3 9 3 3" xfId="42882" xr:uid="{00000000-0005-0000-0000-000071440000}"/>
    <cellStyle name="20 % - Markeringsfarve6 3 3 9 4" xfId="20894" xr:uid="{00000000-0005-0000-0000-000072440000}"/>
    <cellStyle name="20 % - Markeringsfarve6 3 3 9 5" xfId="35883" xr:uid="{00000000-0005-0000-0000-000073440000}"/>
    <cellStyle name="20 % - Markeringsfarve6 3 4" xfId="3041" xr:uid="{00000000-0005-0000-0000-000074440000}"/>
    <cellStyle name="20 % - Markeringsfarve6 3 4 2" xfId="3042" xr:uid="{00000000-0005-0000-0000-000075440000}"/>
    <cellStyle name="20 % - Markeringsfarve6 3 4 2 2" xfId="3043" xr:uid="{00000000-0005-0000-0000-000076440000}"/>
    <cellStyle name="20 % - Markeringsfarve6 3 4 2 2 2" xfId="7632" xr:uid="{00000000-0005-0000-0000-000077440000}"/>
    <cellStyle name="20 % - Markeringsfarve6 3 4 2 2 2 2" xfId="15533" xr:uid="{00000000-0005-0000-0000-000078440000}"/>
    <cellStyle name="20 % - Markeringsfarve6 3 4 2 2 2 2 2" xfId="31847" xr:uid="{00000000-0005-0000-0000-000079440000}"/>
    <cellStyle name="20 % - Markeringsfarve6 3 4 2 2 2 2 3" xfId="46811" xr:uid="{00000000-0005-0000-0000-00007A440000}"/>
    <cellStyle name="20 % - Markeringsfarve6 3 4 2 2 2 3" xfId="24825" xr:uid="{00000000-0005-0000-0000-00007B440000}"/>
    <cellStyle name="20 % - Markeringsfarve6 3 4 2 2 2 4" xfId="39812" xr:uid="{00000000-0005-0000-0000-00007C440000}"/>
    <cellStyle name="20 % - Markeringsfarve6 3 4 2 2 3" xfId="11600" xr:uid="{00000000-0005-0000-0000-00007D440000}"/>
    <cellStyle name="20 % - Markeringsfarve6 3 4 2 2 3 2" xfId="27919" xr:uid="{00000000-0005-0000-0000-00007E440000}"/>
    <cellStyle name="20 % - Markeringsfarve6 3 4 2 2 3 3" xfId="42885" xr:uid="{00000000-0005-0000-0000-00007F440000}"/>
    <cellStyle name="20 % - Markeringsfarve6 3 4 2 2 4" xfId="20897" xr:uid="{00000000-0005-0000-0000-000080440000}"/>
    <cellStyle name="20 % - Markeringsfarve6 3 4 2 2 5" xfId="35886" xr:uid="{00000000-0005-0000-0000-000081440000}"/>
    <cellStyle name="20 % - Markeringsfarve6 3 4 2 3" xfId="6211" xr:uid="{00000000-0005-0000-0000-000082440000}"/>
    <cellStyle name="20 % - Markeringsfarve6 3 4 2 3 2" xfId="14128" xr:uid="{00000000-0005-0000-0000-000083440000}"/>
    <cellStyle name="20 % - Markeringsfarve6 3 4 2 3 2 2" xfId="30442" xr:uid="{00000000-0005-0000-0000-000084440000}"/>
    <cellStyle name="20 % - Markeringsfarve6 3 4 2 3 2 3" xfId="45406" xr:uid="{00000000-0005-0000-0000-000085440000}"/>
    <cellStyle name="20 % - Markeringsfarve6 3 4 2 3 3" xfId="23420" xr:uid="{00000000-0005-0000-0000-000086440000}"/>
    <cellStyle name="20 % - Markeringsfarve6 3 4 2 3 4" xfId="38407" xr:uid="{00000000-0005-0000-0000-000087440000}"/>
    <cellStyle name="20 % - Markeringsfarve6 3 4 2 4" xfId="11599" xr:uid="{00000000-0005-0000-0000-000088440000}"/>
    <cellStyle name="20 % - Markeringsfarve6 3 4 2 4 2" xfId="27918" xr:uid="{00000000-0005-0000-0000-000089440000}"/>
    <cellStyle name="20 % - Markeringsfarve6 3 4 2 4 3" xfId="42884" xr:uid="{00000000-0005-0000-0000-00008A440000}"/>
    <cellStyle name="20 % - Markeringsfarve6 3 4 2 5" xfId="20896" xr:uid="{00000000-0005-0000-0000-00008B440000}"/>
    <cellStyle name="20 % - Markeringsfarve6 3 4 2 6" xfId="35885" xr:uid="{00000000-0005-0000-0000-00008C440000}"/>
    <cellStyle name="20 % - Markeringsfarve6 3 4 3" xfId="3044" xr:uid="{00000000-0005-0000-0000-00008D440000}"/>
    <cellStyle name="20 % - Markeringsfarve6 3 4 3 2" xfId="6862" xr:uid="{00000000-0005-0000-0000-00008E440000}"/>
    <cellStyle name="20 % - Markeringsfarve6 3 4 3 2 2" xfId="14773" xr:uid="{00000000-0005-0000-0000-00008F440000}"/>
    <cellStyle name="20 % - Markeringsfarve6 3 4 3 2 2 2" xfId="31087" xr:uid="{00000000-0005-0000-0000-000090440000}"/>
    <cellStyle name="20 % - Markeringsfarve6 3 4 3 2 2 3" xfId="46051" xr:uid="{00000000-0005-0000-0000-000091440000}"/>
    <cellStyle name="20 % - Markeringsfarve6 3 4 3 2 3" xfId="24065" xr:uid="{00000000-0005-0000-0000-000092440000}"/>
    <cellStyle name="20 % - Markeringsfarve6 3 4 3 2 4" xfId="39052" xr:uid="{00000000-0005-0000-0000-000093440000}"/>
    <cellStyle name="20 % - Markeringsfarve6 3 4 3 3" xfId="11601" xr:uid="{00000000-0005-0000-0000-000094440000}"/>
    <cellStyle name="20 % - Markeringsfarve6 3 4 3 3 2" xfId="27920" xr:uid="{00000000-0005-0000-0000-000095440000}"/>
    <cellStyle name="20 % - Markeringsfarve6 3 4 3 3 3" xfId="42886" xr:uid="{00000000-0005-0000-0000-000096440000}"/>
    <cellStyle name="20 % - Markeringsfarve6 3 4 3 4" xfId="20898" xr:uid="{00000000-0005-0000-0000-000097440000}"/>
    <cellStyle name="20 % - Markeringsfarve6 3 4 3 5" xfId="35887" xr:uid="{00000000-0005-0000-0000-000098440000}"/>
    <cellStyle name="20 % - Markeringsfarve6 3 4 4" xfId="3045" xr:uid="{00000000-0005-0000-0000-000099440000}"/>
    <cellStyle name="20 % - Markeringsfarve6 3 4 4 2" xfId="8499" xr:uid="{00000000-0005-0000-0000-00009A440000}"/>
    <cellStyle name="20 % - Markeringsfarve6 3 4 4 2 2" xfId="16388" xr:uid="{00000000-0005-0000-0000-00009B440000}"/>
    <cellStyle name="20 % - Markeringsfarve6 3 4 4 2 2 2" xfId="32702" xr:uid="{00000000-0005-0000-0000-00009C440000}"/>
    <cellStyle name="20 % - Markeringsfarve6 3 4 4 2 2 3" xfId="47666" xr:uid="{00000000-0005-0000-0000-00009D440000}"/>
    <cellStyle name="20 % - Markeringsfarve6 3 4 4 2 3" xfId="25680" xr:uid="{00000000-0005-0000-0000-00009E440000}"/>
    <cellStyle name="20 % - Markeringsfarve6 3 4 4 2 4" xfId="40667" xr:uid="{00000000-0005-0000-0000-00009F440000}"/>
    <cellStyle name="20 % - Markeringsfarve6 3 4 4 3" xfId="11602" xr:uid="{00000000-0005-0000-0000-0000A0440000}"/>
    <cellStyle name="20 % - Markeringsfarve6 3 4 4 3 2" xfId="27921" xr:uid="{00000000-0005-0000-0000-0000A1440000}"/>
    <cellStyle name="20 % - Markeringsfarve6 3 4 4 3 3" xfId="42887" xr:uid="{00000000-0005-0000-0000-0000A2440000}"/>
    <cellStyle name="20 % - Markeringsfarve6 3 4 4 4" xfId="20899" xr:uid="{00000000-0005-0000-0000-0000A3440000}"/>
    <cellStyle name="20 % - Markeringsfarve6 3 4 4 5" xfId="35888" xr:uid="{00000000-0005-0000-0000-0000A4440000}"/>
    <cellStyle name="20 % - Markeringsfarve6 3 4 5" xfId="5724" xr:uid="{00000000-0005-0000-0000-0000A5440000}"/>
    <cellStyle name="20 % - Markeringsfarve6 3 4 5 2" xfId="13642" xr:uid="{00000000-0005-0000-0000-0000A6440000}"/>
    <cellStyle name="20 % - Markeringsfarve6 3 4 5 2 2" xfId="29956" xr:uid="{00000000-0005-0000-0000-0000A7440000}"/>
    <cellStyle name="20 % - Markeringsfarve6 3 4 5 2 3" xfId="44920" xr:uid="{00000000-0005-0000-0000-0000A8440000}"/>
    <cellStyle name="20 % - Markeringsfarve6 3 4 5 3" xfId="22934" xr:uid="{00000000-0005-0000-0000-0000A9440000}"/>
    <cellStyle name="20 % - Markeringsfarve6 3 4 5 4" xfId="37921" xr:uid="{00000000-0005-0000-0000-0000AA440000}"/>
    <cellStyle name="20 % - Markeringsfarve6 3 4 6" xfId="11598" xr:uid="{00000000-0005-0000-0000-0000AB440000}"/>
    <cellStyle name="20 % - Markeringsfarve6 3 4 6 2" xfId="27917" xr:uid="{00000000-0005-0000-0000-0000AC440000}"/>
    <cellStyle name="20 % - Markeringsfarve6 3 4 6 3" xfId="42883" xr:uid="{00000000-0005-0000-0000-0000AD440000}"/>
    <cellStyle name="20 % - Markeringsfarve6 3 4 7" xfId="20895" xr:uid="{00000000-0005-0000-0000-0000AE440000}"/>
    <cellStyle name="20 % - Markeringsfarve6 3 4 8" xfId="35884" xr:uid="{00000000-0005-0000-0000-0000AF440000}"/>
    <cellStyle name="20 % - Markeringsfarve6 3 5" xfId="3046" xr:uid="{00000000-0005-0000-0000-0000B0440000}"/>
    <cellStyle name="20 % - Markeringsfarve6 3 5 2" xfId="3047" xr:uid="{00000000-0005-0000-0000-0000B1440000}"/>
    <cellStyle name="20 % - Markeringsfarve6 3 5 2 2" xfId="3048" xr:uid="{00000000-0005-0000-0000-0000B2440000}"/>
    <cellStyle name="20 % - Markeringsfarve6 3 5 2 2 2" xfId="7775" xr:uid="{00000000-0005-0000-0000-0000B3440000}"/>
    <cellStyle name="20 % - Markeringsfarve6 3 5 2 2 2 2" xfId="15676" xr:uid="{00000000-0005-0000-0000-0000B4440000}"/>
    <cellStyle name="20 % - Markeringsfarve6 3 5 2 2 2 2 2" xfId="31990" xr:uid="{00000000-0005-0000-0000-0000B5440000}"/>
    <cellStyle name="20 % - Markeringsfarve6 3 5 2 2 2 2 3" xfId="46954" xr:uid="{00000000-0005-0000-0000-0000B6440000}"/>
    <cellStyle name="20 % - Markeringsfarve6 3 5 2 2 2 3" xfId="24968" xr:uid="{00000000-0005-0000-0000-0000B7440000}"/>
    <cellStyle name="20 % - Markeringsfarve6 3 5 2 2 2 4" xfId="39955" xr:uid="{00000000-0005-0000-0000-0000B8440000}"/>
    <cellStyle name="20 % - Markeringsfarve6 3 5 2 2 3" xfId="11605" xr:uid="{00000000-0005-0000-0000-0000B9440000}"/>
    <cellStyle name="20 % - Markeringsfarve6 3 5 2 2 3 2" xfId="27924" xr:uid="{00000000-0005-0000-0000-0000BA440000}"/>
    <cellStyle name="20 % - Markeringsfarve6 3 5 2 2 3 3" xfId="42890" xr:uid="{00000000-0005-0000-0000-0000BB440000}"/>
    <cellStyle name="20 % - Markeringsfarve6 3 5 2 2 4" xfId="20902" xr:uid="{00000000-0005-0000-0000-0000BC440000}"/>
    <cellStyle name="20 % - Markeringsfarve6 3 5 2 2 5" xfId="35891" xr:uid="{00000000-0005-0000-0000-0000BD440000}"/>
    <cellStyle name="20 % - Markeringsfarve6 3 5 2 3" xfId="6330" xr:uid="{00000000-0005-0000-0000-0000BE440000}"/>
    <cellStyle name="20 % - Markeringsfarve6 3 5 2 3 2" xfId="14247" xr:uid="{00000000-0005-0000-0000-0000BF440000}"/>
    <cellStyle name="20 % - Markeringsfarve6 3 5 2 3 2 2" xfId="30561" xr:uid="{00000000-0005-0000-0000-0000C0440000}"/>
    <cellStyle name="20 % - Markeringsfarve6 3 5 2 3 2 3" xfId="45525" xr:uid="{00000000-0005-0000-0000-0000C1440000}"/>
    <cellStyle name="20 % - Markeringsfarve6 3 5 2 3 3" xfId="23539" xr:uid="{00000000-0005-0000-0000-0000C2440000}"/>
    <cellStyle name="20 % - Markeringsfarve6 3 5 2 3 4" xfId="38526" xr:uid="{00000000-0005-0000-0000-0000C3440000}"/>
    <cellStyle name="20 % - Markeringsfarve6 3 5 2 4" xfId="11604" xr:uid="{00000000-0005-0000-0000-0000C4440000}"/>
    <cellStyle name="20 % - Markeringsfarve6 3 5 2 4 2" xfId="27923" xr:uid="{00000000-0005-0000-0000-0000C5440000}"/>
    <cellStyle name="20 % - Markeringsfarve6 3 5 2 4 3" xfId="42889" xr:uid="{00000000-0005-0000-0000-0000C6440000}"/>
    <cellStyle name="20 % - Markeringsfarve6 3 5 2 5" xfId="20901" xr:uid="{00000000-0005-0000-0000-0000C7440000}"/>
    <cellStyle name="20 % - Markeringsfarve6 3 5 2 6" xfId="35890" xr:uid="{00000000-0005-0000-0000-0000C8440000}"/>
    <cellStyle name="20 % - Markeringsfarve6 3 5 3" xfId="3049" xr:uid="{00000000-0005-0000-0000-0000C9440000}"/>
    <cellStyle name="20 % - Markeringsfarve6 3 5 3 2" xfId="7005" xr:uid="{00000000-0005-0000-0000-0000CA440000}"/>
    <cellStyle name="20 % - Markeringsfarve6 3 5 3 2 2" xfId="14916" xr:uid="{00000000-0005-0000-0000-0000CB440000}"/>
    <cellStyle name="20 % - Markeringsfarve6 3 5 3 2 2 2" xfId="31230" xr:uid="{00000000-0005-0000-0000-0000CC440000}"/>
    <cellStyle name="20 % - Markeringsfarve6 3 5 3 2 2 3" xfId="46194" xr:uid="{00000000-0005-0000-0000-0000CD440000}"/>
    <cellStyle name="20 % - Markeringsfarve6 3 5 3 2 3" xfId="24208" xr:uid="{00000000-0005-0000-0000-0000CE440000}"/>
    <cellStyle name="20 % - Markeringsfarve6 3 5 3 2 4" xfId="39195" xr:uid="{00000000-0005-0000-0000-0000CF440000}"/>
    <cellStyle name="20 % - Markeringsfarve6 3 5 3 3" xfId="11606" xr:uid="{00000000-0005-0000-0000-0000D0440000}"/>
    <cellStyle name="20 % - Markeringsfarve6 3 5 3 3 2" xfId="27925" xr:uid="{00000000-0005-0000-0000-0000D1440000}"/>
    <cellStyle name="20 % - Markeringsfarve6 3 5 3 3 3" xfId="42891" xr:uid="{00000000-0005-0000-0000-0000D2440000}"/>
    <cellStyle name="20 % - Markeringsfarve6 3 5 3 4" xfId="20903" xr:uid="{00000000-0005-0000-0000-0000D3440000}"/>
    <cellStyle name="20 % - Markeringsfarve6 3 5 3 5" xfId="35892" xr:uid="{00000000-0005-0000-0000-0000D4440000}"/>
    <cellStyle name="20 % - Markeringsfarve6 3 5 4" xfId="3050" xr:uid="{00000000-0005-0000-0000-0000D5440000}"/>
    <cellStyle name="20 % - Markeringsfarve6 3 5 4 2" xfId="8713" xr:uid="{00000000-0005-0000-0000-0000D6440000}"/>
    <cellStyle name="20 % - Markeringsfarve6 3 5 4 2 2" xfId="16593" xr:uid="{00000000-0005-0000-0000-0000D7440000}"/>
    <cellStyle name="20 % - Markeringsfarve6 3 5 4 2 2 2" xfId="32907" xr:uid="{00000000-0005-0000-0000-0000D8440000}"/>
    <cellStyle name="20 % - Markeringsfarve6 3 5 4 2 2 3" xfId="47871" xr:uid="{00000000-0005-0000-0000-0000D9440000}"/>
    <cellStyle name="20 % - Markeringsfarve6 3 5 4 2 3" xfId="25885" xr:uid="{00000000-0005-0000-0000-0000DA440000}"/>
    <cellStyle name="20 % - Markeringsfarve6 3 5 4 2 4" xfId="40872" xr:uid="{00000000-0005-0000-0000-0000DB440000}"/>
    <cellStyle name="20 % - Markeringsfarve6 3 5 4 3" xfId="11607" xr:uid="{00000000-0005-0000-0000-0000DC440000}"/>
    <cellStyle name="20 % - Markeringsfarve6 3 5 4 3 2" xfId="27926" xr:uid="{00000000-0005-0000-0000-0000DD440000}"/>
    <cellStyle name="20 % - Markeringsfarve6 3 5 4 3 3" xfId="42892" xr:uid="{00000000-0005-0000-0000-0000DE440000}"/>
    <cellStyle name="20 % - Markeringsfarve6 3 5 4 4" xfId="20904" xr:uid="{00000000-0005-0000-0000-0000DF440000}"/>
    <cellStyle name="20 % - Markeringsfarve6 3 5 4 5" xfId="35893" xr:uid="{00000000-0005-0000-0000-0000E0440000}"/>
    <cellStyle name="20 % - Markeringsfarve6 3 5 5" xfId="5725" xr:uid="{00000000-0005-0000-0000-0000E1440000}"/>
    <cellStyle name="20 % - Markeringsfarve6 3 5 5 2" xfId="13643" xr:uid="{00000000-0005-0000-0000-0000E2440000}"/>
    <cellStyle name="20 % - Markeringsfarve6 3 5 5 2 2" xfId="29957" xr:uid="{00000000-0005-0000-0000-0000E3440000}"/>
    <cellStyle name="20 % - Markeringsfarve6 3 5 5 2 3" xfId="44921" xr:uid="{00000000-0005-0000-0000-0000E4440000}"/>
    <cellStyle name="20 % - Markeringsfarve6 3 5 5 3" xfId="22935" xr:uid="{00000000-0005-0000-0000-0000E5440000}"/>
    <cellStyle name="20 % - Markeringsfarve6 3 5 5 4" xfId="37922" xr:uid="{00000000-0005-0000-0000-0000E6440000}"/>
    <cellStyle name="20 % - Markeringsfarve6 3 5 6" xfId="11603" xr:uid="{00000000-0005-0000-0000-0000E7440000}"/>
    <cellStyle name="20 % - Markeringsfarve6 3 5 6 2" xfId="27922" xr:uid="{00000000-0005-0000-0000-0000E8440000}"/>
    <cellStyle name="20 % - Markeringsfarve6 3 5 6 3" xfId="42888" xr:uid="{00000000-0005-0000-0000-0000E9440000}"/>
    <cellStyle name="20 % - Markeringsfarve6 3 5 7" xfId="20900" xr:uid="{00000000-0005-0000-0000-0000EA440000}"/>
    <cellStyle name="20 % - Markeringsfarve6 3 5 8" xfId="35889" xr:uid="{00000000-0005-0000-0000-0000EB440000}"/>
    <cellStyle name="20 % - Markeringsfarve6 3 6" xfId="3051" xr:uid="{00000000-0005-0000-0000-0000EC440000}"/>
    <cellStyle name="20 % - Markeringsfarve6 3 6 2" xfId="3052" xr:uid="{00000000-0005-0000-0000-0000ED440000}"/>
    <cellStyle name="20 % - Markeringsfarve6 3 6 2 2" xfId="3053" xr:uid="{00000000-0005-0000-0000-0000EE440000}"/>
    <cellStyle name="20 % - Markeringsfarve6 3 6 2 2 2" xfId="7870" xr:uid="{00000000-0005-0000-0000-0000EF440000}"/>
    <cellStyle name="20 % - Markeringsfarve6 3 6 2 2 2 2" xfId="15771" xr:uid="{00000000-0005-0000-0000-0000F0440000}"/>
    <cellStyle name="20 % - Markeringsfarve6 3 6 2 2 2 2 2" xfId="32085" xr:uid="{00000000-0005-0000-0000-0000F1440000}"/>
    <cellStyle name="20 % - Markeringsfarve6 3 6 2 2 2 2 3" xfId="47049" xr:uid="{00000000-0005-0000-0000-0000F2440000}"/>
    <cellStyle name="20 % - Markeringsfarve6 3 6 2 2 2 3" xfId="25063" xr:uid="{00000000-0005-0000-0000-0000F3440000}"/>
    <cellStyle name="20 % - Markeringsfarve6 3 6 2 2 2 4" xfId="40050" xr:uid="{00000000-0005-0000-0000-0000F4440000}"/>
    <cellStyle name="20 % - Markeringsfarve6 3 6 2 2 3" xfId="11610" xr:uid="{00000000-0005-0000-0000-0000F5440000}"/>
    <cellStyle name="20 % - Markeringsfarve6 3 6 2 2 3 2" xfId="27929" xr:uid="{00000000-0005-0000-0000-0000F6440000}"/>
    <cellStyle name="20 % - Markeringsfarve6 3 6 2 2 3 3" xfId="42895" xr:uid="{00000000-0005-0000-0000-0000F7440000}"/>
    <cellStyle name="20 % - Markeringsfarve6 3 6 2 2 4" xfId="20907" xr:uid="{00000000-0005-0000-0000-0000F8440000}"/>
    <cellStyle name="20 % - Markeringsfarve6 3 6 2 2 5" xfId="35896" xr:uid="{00000000-0005-0000-0000-0000F9440000}"/>
    <cellStyle name="20 % - Markeringsfarve6 3 6 2 3" xfId="6413" xr:uid="{00000000-0005-0000-0000-0000FA440000}"/>
    <cellStyle name="20 % - Markeringsfarve6 3 6 2 3 2" xfId="14327" xr:uid="{00000000-0005-0000-0000-0000FB440000}"/>
    <cellStyle name="20 % - Markeringsfarve6 3 6 2 3 2 2" xfId="30641" xr:uid="{00000000-0005-0000-0000-0000FC440000}"/>
    <cellStyle name="20 % - Markeringsfarve6 3 6 2 3 2 3" xfId="45605" xr:uid="{00000000-0005-0000-0000-0000FD440000}"/>
    <cellStyle name="20 % - Markeringsfarve6 3 6 2 3 3" xfId="23619" xr:uid="{00000000-0005-0000-0000-0000FE440000}"/>
    <cellStyle name="20 % - Markeringsfarve6 3 6 2 3 4" xfId="38606" xr:uid="{00000000-0005-0000-0000-0000FF440000}"/>
    <cellStyle name="20 % - Markeringsfarve6 3 6 2 4" xfId="11609" xr:uid="{00000000-0005-0000-0000-000000450000}"/>
    <cellStyle name="20 % - Markeringsfarve6 3 6 2 4 2" xfId="27928" xr:uid="{00000000-0005-0000-0000-000001450000}"/>
    <cellStyle name="20 % - Markeringsfarve6 3 6 2 4 3" xfId="42894" xr:uid="{00000000-0005-0000-0000-000002450000}"/>
    <cellStyle name="20 % - Markeringsfarve6 3 6 2 5" xfId="20906" xr:uid="{00000000-0005-0000-0000-000003450000}"/>
    <cellStyle name="20 % - Markeringsfarve6 3 6 2 6" xfId="35895" xr:uid="{00000000-0005-0000-0000-000004450000}"/>
    <cellStyle name="20 % - Markeringsfarve6 3 6 3" xfId="3054" xr:uid="{00000000-0005-0000-0000-000005450000}"/>
    <cellStyle name="20 % - Markeringsfarve6 3 6 3 2" xfId="7146" xr:uid="{00000000-0005-0000-0000-000006450000}"/>
    <cellStyle name="20 % - Markeringsfarve6 3 6 3 2 2" xfId="15056" xr:uid="{00000000-0005-0000-0000-000007450000}"/>
    <cellStyle name="20 % - Markeringsfarve6 3 6 3 2 2 2" xfId="31370" xr:uid="{00000000-0005-0000-0000-000008450000}"/>
    <cellStyle name="20 % - Markeringsfarve6 3 6 3 2 2 3" xfId="46334" xr:uid="{00000000-0005-0000-0000-000009450000}"/>
    <cellStyle name="20 % - Markeringsfarve6 3 6 3 2 3" xfId="24348" xr:uid="{00000000-0005-0000-0000-00000A450000}"/>
    <cellStyle name="20 % - Markeringsfarve6 3 6 3 2 4" xfId="39335" xr:uid="{00000000-0005-0000-0000-00000B450000}"/>
    <cellStyle name="20 % - Markeringsfarve6 3 6 3 3" xfId="11611" xr:uid="{00000000-0005-0000-0000-00000C450000}"/>
    <cellStyle name="20 % - Markeringsfarve6 3 6 3 3 2" xfId="27930" xr:uid="{00000000-0005-0000-0000-00000D450000}"/>
    <cellStyle name="20 % - Markeringsfarve6 3 6 3 3 3" xfId="42896" xr:uid="{00000000-0005-0000-0000-00000E450000}"/>
    <cellStyle name="20 % - Markeringsfarve6 3 6 3 4" xfId="20908" xr:uid="{00000000-0005-0000-0000-00000F450000}"/>
    <cellStyle name="20 % - Markeringsfarve6 3 6 3 5" xfId="35897" xr:uid="{00000000-0005-0000-0000-000010450000}"/>
    <cellStyle name="20 % - Markeringsfarve6 3 6 4" xfId="3055" xr:uid="{00000000-0005-0000-0000-000011450000}"/>
    <cellStyle name="20 % - Markeringsfarve6 3 6 4 2" xfId="8437" xr:uid="{00000000-0005-0000-0000-000012450000}"/>
    <cellStyle name="20 % - Markeringsfarve6 3 6 4 2 2" xfId="16329" xr:uid="{00000000-0005-0000-0000-000013450000}"/>
    <cellStyle name="20 % - Markeringsfarve6 3 6 4 2 2 2" xfId="32643" xr:uid="{00000000-0005-0000-0000-000014450000}"/>
    <cellStyle name="20 % - Markeringsfarve6 3 6 4 2 2 3" xfId="47607" xr:uid="{00000000-0005-0000-0000-000015450000}"/>
    <cellStyle name="20 % - Markeringsfarve6 3 6 4 2 3" xfId="25621" xr:uid="{00000000-0005-0000-0000-000016450000}"/>
    <cellStyle name="20 % - Markeringsfarve6 3 6 4 2 4" xfId="40608" xr:uid="{00000000-0005-0000-0000-000017450000}"/>
    <cellStyle name="20 % - Markeringsfarve6 3 6 4 3" xfId="11612" xr:uid="{00000000-0005-0000-0000-000018450000}"/>
    <cellStyle name="20 % - Markeringsfarve6 3 6 4 3 2" xfId="27931" xr:uid="{00000000-0005-0000-0000-000019450000}"/>
    <cellStyle name="20 % - Markeringsfarve6 3 6 4 3 3" xfId="42897" xr:uid="{00000000-0005-0000-0000-00001A450000}"/>
    <cellStyle name="20 % - Markeringsfarve6 3 6 4 4" xfId="20909" xr:uid="{00000000-0005-0000-0000-00001B450000}"/>
    <cellStyle name="20 % - Markeringsfarve6 3 6 4 5" xfId="35898" xr:uid="{00000000-0005-0000-0000-00001C450000}"/>
    <cellStyle name="20 % - Markeringsfarve6 3 6 5" xfId="5726" xr:uid="{00000000-0005-0000-0000-00001D450000}"/>
    <cellStyle name="20 % - Markeringsfarve6 3 6 5 2" xfId="13644" xr:uid="{00000000-0005-0000-0000-00001E450000}"/>
    <cellStyle name="20 % - Markeringsfarve6 3 6 5 2 2" xfId="29958" xr:uid="{00000000-0005-0000-0000-00001F450000}"/>
    <cellStyle name="20 % - Markeringsfarve6 3 6 5 2 3" xfId="44922" xr:uid="{00000000-0005-0000-0000-000020450000}"/>
    <cellStyle name="20 % - Markeringsfarve6 3 6 5 3" xfId="22936" xr:uid="{00000000-0005-0000-0000-000021450000}"/>
    <cellStyle name="20 % - Markeringsfarve6 3 6 5 4" xfId="37923" xr:uid="{00000000-0005-0000-0000-000022450000}"/>
    <cellStyle name="20 % - Markeringsfarve6 3 6 6" xfId="11608" xr:uid="{00000000-0005-0000-0000-000023450000}"/>
    <cellStyle name="20 % - Markeringsfarve6 3 6 6 2" xfId="27927" xr:uid="{00000000-0005-0000-0000-000024450000}"/>
    <cellStyle name="20 % - Markeringsfarve6 3 6 6 3" xfId="42893" xr:uid="{00000000-0005-0000-0000-000025450000}"/>
    <cellStyle name="20 % - Markeringsfarve6 3 6 7" xfId="20905" xr:uid="{00000000-0005-0000-0000-000026450000}"/>
    <cellStyle name="20 % - Markeringsfarve6 3 6 8" xfId="35894" xr:uid="{00000000-0005-0000-0000-000027450000}"/>
    <cellStyle name="20 % - Markeringsfarve6 3 7" xfId="3056" xr:uid="{00000000-0005-0000-0000-000028450000}"/>
    <cellStyle name="20 % - Markeringsfarve6 3 7 2" xfId="3057" xr:uid="{00000000-0005-0000-0000-000029450000}"/>
    <cellStyle name="20 % - Markeringsfarve6 3 7 2 2" xfId="3058" xr:uid="{00000000-0005-0000-0000-00002A450000}"/>
    <cellStyle name="20 % - Markeringsfarve6 3 7 2 2 2" xfId="7987" xr:uid="{00000000-0005-0000-0000-00002B450000}"/>
    <cellStyle name="20 % - Markeringsfarve6 3 7 2 2 2 2" xfId="15888" xr:uid="{00000000-0005-0000-0000-00002C450000}"/>
    <cellStyle name="20 % - Markeringsfarve6 3 7 2 2 2 2 2" xfId="32202" xr:uid="{00000000-0005-0000-0000-00002D450000}"/>
    <cellStyle name="20 % - Markeringsfarve6 3 7 2 2 2 2 3" xfId="47166" xr:uid="{00000000-0005-0000-0000-00002E450000}"/>
    <cellStyle name="20 % - Markeringsfarve6 3 7 2 2 2 3" xfId="25180" xr:uid="{00000000-0005-0000-0000-00002F450000}"/>
    <cellStyle name="20 % - Markeringsfarve6 3 7 2 2 2 4" xfId="40167" xr:uid="{00000000-0005-0000-0000-000030450000}"/>
    <cellStyle name="20 % - Markeringsfarve6 3 7 2 2 3" xfId="11615" xr:uid="{00000000-0005-0000-0000-000031450000}"/>
    <cellStyle name="20 % - Markeringsfarve6 3 7 2 2 3 2" xfId="27934" xr:uid="{00000000-0005-0000-0000-000032450000}"/>
    <cellStyle name="20 % - Markeringsfarve6 3 7 2 2 3 3" xfId="42900" xr:uid="{00000000-0005-0000-0000-000033450000}"/>
    <cellStyle name="20 % - Markeringsfarve6 3 7 2 2 4" xfId="20912" xr:uid="{00000000-0005-0000-0000-000034450000}"/>
    <cellStyle name="20 % - Markeringsfarve6 3 7 2 2 5" xfId="35901" xr:uid="{00000000-0005-0000-0000-000035450000}"/>
    <cellStyle name="20 % - Markeringsfarve6 3 7 2 3" xfId="6512" xr:uid="{00000000-0005-0000-0000-000036450000}"/>
    <cellStyle name="20 % - Markeringsfarve6 3 7 2 3 2" xfId="14426" xr:uid="{00000000-0005-0000-0000-000037450000}"/>
    <cellStyle name="20 % - Markeringsfarve6 3 7 2 3 2 2" xfId="30740" xr:uid="{00000000-0005-0000-0000-000038450000}"/>
    <cellStyle name="20 % - Markeringsfarve6 3 7 2 3 2 3" xfId="45704" xr:uid="{00000000-0005-0000-0000-000039450000}"/>
    <cellStyle name="20 % - Markeringsfarve6 3 7 2 3 3" xfId="23718" xr:uid="{00000000-0005-0000-0000-00003A450000}"/>
    <cellStyle name="20 % - Markeringsfarve6 3 7 2 3 4" xfId="38705" xr:uid="{00000000-0005-0000-0000-00003B450000}"/>
    <cellStyle name="20 % - Markeringsfarve6 3 7 2 4" xfId="11614" xr:uid="{00000000-0005-0000-0000-00003C450000}"/>
    <cellStyle name="20 % - Markeringsfarve6 3 7 2 4 2" xfId="27933" xr:uid="{00000000-0005-0000-0000-00003D450000}"/>
    <cellStyle name="20 % - Markeringsfarve6 3 7 2 4 3" xfId="42899" xr:uid="{00000000-0005-0000-0000-00003E450000}"/>
    <cellStyle name="20 % - Markeringsfarve6 3 7 2 5" xfId="20911" xr:uid="{00000000-0005-0000-0000-00003F450000}"/>
    <cellStyle name="20 % - Markeringsfarve6 3 7 2 6" xfId="35900" xr:uid="{00000000-0005-0000-0000-000040450000}"/>
    <cellStyle name="20 % - Markeringsfarve6 3 7 3" xfId="3059" xr:uid="{00000000-0005-0000-0000-000041450000}"/>
    <cellStyle name="20 % - Markeringsfarve6 3 7 3 2" xfId="7263" xr:uid="{00000000-0005-0000-0000-000042450000}"/>
    <cellStyle name="20 % - Markeringsfarve6 3 7 3 2 2" xfId="15173" xr:uid="{00000000-0005-0000-0000-000043450000}"/>
    <cellStyle name="20 % - Markeringsfarve6 3 7 3 2 2 2" xfId="31487" xr:uid="{00000000-0005-0000-0000-000044450000}"/>
    <cellStyle name="20 % - Markeringsfarve6 3 7 3 2 2 3" xfId="46451" xr:uid="{00000000-0005-0000-0000-000045450000}"/>
    <cellStyle name="20 % - Markeringsfarve6 3 7 3 2 3" xfId="24465" xr:uid="{00000000-0005-0000-0000-000046450000}"/>
    <cellStyle name="20 % - Markeringsfarve6 3 7 3 2 4" xfId="39452" xr:uid="{00000000-0005-0000-0000-000047450000}"/>
    <cellStyle name="20 % - Markeringsfarve6 3 7 3 3" xfId="11616" xr:uid="{00000000-0005-0000-0000-000048450000}"/>
    <cellStyle name="20 % - Markeringsfarve6 3 7 3 3 2" xfId="27935" xr:uid="{00000000-0005-0000-0000-000049450000}"/>
    <cellStyle name="20 % - Markeringsfarve6 3 7 3 3 3" xfId="42901" xr:uid="{00000000-0005-0000-0000-00004A450000}"/>
    <cellStyle name="20 % - Markeringsfarve6 3 7 3 4" xfId="20913" xr:uid="{00000000-0005-0000-0000-00004B450000}"/>
    <cellStyle name="20 % - Markeringsfarve6 3 7 3 5" xfId="35902" xr:uid="{00000000-0005-0000-0000-00004C450000}"/>
    <cellStyle name="20 % - Markeringsfarve6 3 7 4" xfId="3060" xr:uid="{00000000-0005-0000-0000-00004D450000}"/>
    <cellStyle name="20 % - Markeringsfarve6 3 7 4 2" xfId="8672" xr:uid="{00000000-0005-0000-0000-00004E450000}"/>
    <cellStyle name="20 % - Markeringsfarve6 3 7 4 2 2" xfId="16554" xr:uid="{00000000-0005-0000-0000-00004F450000}"/>
    <cellStyle name="20 % - Markeringsfarve6 3 7 4 2 2 2" xfId="32868" xr:uid="{00000000-0005-0000-0000-000050450000}"/>
    <cellStyle name="20 % - Markeringsfarve6 3 7 4 2 2 3" xfId="47832" xr:uid="{00000000-0005-0000-0000-000051450000}"/>
    <cellStyle name="20 % - Markeringsfarve6 3 7 4 2 3" xfId="25846" xr:uid="{00000000-0005-0000-0000-000052450000}"/>
    <cellStyle name="20 % - Markeringsfarve6 3 7 4 2 4" xfId="40833" xr:uid="{00000000-0005-0000-0000-000053450000}"/>
    <cellStyle name="20 % - Markeringsfarve6 3 7 4 3" xfId="11617" xr:uid="{00000000-0005-0000-0000-000054450000}"/>
    <cellStyle name="20 % - Markeringsfarve6 3 7 4 3 2" xfId="27936" xr:uid="{00000000-0005-0000-0000-000055450000}"/>
    <cellStyle name="20 % - Markeringsfarve6 3 7 4 3 3" xfId="42902" xr:uid="{00000000-0005-0000-0000-000056450000}"/>
    <cellStyle name="20 % - Markeringsfarve6 3 7 4 4" xfId="20914" xr:uid="{00000000-0005-0000-0000-000057450000}"/>
    <cellStyle name="20 % - Markeringsfarve6 3 7 4 5" xfId="35903" xr:uid="{00000000-0005-0000-0000-000058450000}"/>
    <cellStyle name="20 % - Markeringsfarve6 3 7 5" xfId="5727" xr:uid="{00000000-0005-0000-0000-000059450000}"/>
    <cellStyle name="20 % - Markeringsfarve6 3 7 5 2" xfId="13645" xr:uid="{00000000-0005-0000-0000-00005A450000}"/>
    <cellStyle name="20 % - Markeringsfarve6 3 7 5 2 2" xfId="29959" xr:uid="{00000000-0005-0000-0000-00005B450000}"/>
    <cellStyle name="20 % - Markeringsfarve6 3 7 5 2 3" xfId="44923" xr:uid="{00000000-0005-0000-0000-00005C450000}"/>
    <cellStyle name="20 % - Markeringsfarve6 3 7 5 3" xfId="22937" xr:uid="{00000000-0005-0000-0000-00005D450000}"/>
    <cellStyle name="20 % - Markeringsfarve6 3 7 5 4" xfId="37924" xr:uid="{00000000-0005-0000-0000-00005E450000}"/>
    <cellStyle name="20 % - Markeringsfarve6 3 7 6" xfId="11613" xr:uid="{00000000-0005-0000-0000-00005F450000}"/>
    <cellStyle name="20 % - Markeringsfarve6 3 7 6 2" xfId="27932" xr:uid="{00000000-0005-0000-0000-000060450000}"/>
    <cellStyle name="20 % - Markeringsfarve6 3 7 6 3" xfId="42898" xr:uid="{00000000-0005-0000-0000-000061450000}"/>
    <cellStyle name="20 % - Markeringsfarve6 3 7 7" xfId="20910" xr:uid="{00000000-0005-0000-0000-000062450000}"/>
    <cellStyle name="20 % - Markeringsfarve6 3 7 8" xfId="35899" xr:uid="{00000000-0005-0000-0000-000063450000}"/>
    <cellStyle name="20 % - Markeringsfarve6 3 8" xfId="3061" xr:uid="{00000000-0005-0000-0000-000064450000}"/>
    <cellStyle name="20 % - Markeringsfarve6 3 8 2" xfId="3062" xr:uid="{00000000-0005-0000-0000-000065450000}"/>
    <cellStyle name="20 % - Markeringsfarve6 3 8 2 2" xfId="3063" xr:uid="{00000000-0005-0000-0000-000066450000}"/>
    <cellStyle name="20 % - Markeringsfarve6 3 8 2 2 2" xfId="8129" xr:uid="{00000000-0005-0000-0000-000067450000}"/>
    <cellStyle name="20 % - Markeringsfarve6 3 8 2 2 2 2" xfId="16030" xr:uid="{00000000-0005-0000-0000-000068450000}"/>
    <cellStyle name="20 % - Markeringsfarve6 3 8 2 2 2 2 2" xfId="32344" xr:uid="{00000000-0005-0000-0000-000069450000}"/>
    <cellStyle name="20 % - Markeringsfarve6 3 8 2 2 2 2 3" xfId="47308" xr:uid="{00000000-0005-0000-0000-00006A450000}"/>
    <cellStyle name="20 % - Markeringsfarve6 3 8 2 2 2 3" xfId="25322" xr:uid="{00000000-0005-0000-0000-00006B450000}"/>
    <cellStyle name="20 % - Markeringsfarve6 3 8 2 2 2 4" xfId="40309" xr:uid="{00000000-0005-0000-0000-00006C450000}"/>
    <cellStyle name="20 % - Markeringsfarve6 3 8 2 2 3" xfId="11620" xr:uid="{00000000-0005-0000-0000-00006D450000}"/>
    <cellStyle name="20 % - Markeringsfarve6 3 8 2 2 3 2" xfId="27939" xr:uid="{00000000-0005-0000-0000-00006E450000}"/>
    <cellStyle name="20 % - Markeringsfarve6 3 8 2 2 3 3" xfId="42905" xr:uid="{00000000-0005-0000-0000-00006F450000}"/>
    <cellStyle name="20 % - Markeringsfarve6 3 8 2 2 4" xfId="20917" xr:uid="{00000000-0005-0000-0000-000070450000}"/>
    <cellStyle name="20 % - Markeringsfarve6 3 8 2 2 5" xfId="35906" xr:uid="{00000000-0005-0000-0000-000071450000}"/>
    <cellStyle name="20 % - Markeringsfarve6 3 8 2 3" xfId="6631" xr:uid="{00000000-0005-0000-0000-000072450000}"/>
    <cellStyle name="20 % - Markeringsfarve6 3 8 2 3 2" xfId="14545" xr:uid="{00000000-0005-0000-0000-000073450000}"/>
    <cellStyle name="20 % - Markeringsfarve6 3 8 2 3 2 2" xfId="30859" xr:uid="{00000000-0005-0000-0000-000074450000}"/>
    <cellStyle name="20 % - Markeringsfarve6 3 8 2 3 2 3" xfId="45823" xr:uid="{00000000-0005-0000-0000-000075450000}"/>
    <cellStyle name="20 % - Markeringsfarve6 3 8 2 3 3" xfId="23837" xr:uid="{00000000-0005-0000-0000-000076450000}"/>
    <cellStyle name="20 % - Markeringsfarve6 3 8 2 3 4" xfId="38824" xr:uid="{00000000-0005-0000-0000-000077450000}"/>
    <cellStyle name="20 % - Markeringsfarve6 3 8 2 4" xfId="11619" xr:uid="{00000000-0005-0000-0000-000078450000}"/>
    <cellStyle name="20 % - Markeringsfarve6 3 8 2 4 2" xfId="27938" xr:uid="{00000000-0005-0000-0000-000079450000}"/>
    <cellStyle name="20 % - Markeringsfarve6 3 8 2 4 3" xfId="42904" xr:uid="{00000000-0005-0000-0000-00007A450000}"/>
    <cellStyle name="20 % - Markeringsfarve6 3 8 2 5" xfId="20916" xr:uid="{00000000-0005-0000-0000-00007B450000}"/>
    <cellStyle name="20 % - Markeringsfarve6 3 8 2 6" xfId="35905" xr:uid="{00000000-0005-0000-0000-00007C450000}"/>
    <cellStyle name="20 % - Markeringsfarve6 3 8 3" xfId="3064" xr:uid="{00000000-0005-0000-0000-00007D450000}"/>
    <cellStyle name="20 % - Markeringsfarve6 3 8 3 2" xfId="7406" xr:uid="{00000000-0005-0000-0000-00007E450000}"/>
    <cellStyle name="20 % - Markeringsfarve6 3 8 3 2 2" xfId="15316" xr:uid="{00000000-0005-0000-0000-00007F450000}"/>
    <cellStyle name="20 % - Markeringsfarve6 3 8 3 2 2 2" xfId="31630" xr:uid="{00000000-0005-0000-0000-000080450000}"/>
    <cellStyle name="20 % - Markeringsfarve6 3 8 3 2 2 3" xfId="46594" xr:uid="{00000000-0005-0000-0000-000081450000}"/>
    <cellStyle name="20 % - Markeringsfarve6 3 8 3 2 3" xfId="24608" xr:uid="{00000000-0005-0000-0000-000082450000}"/>
    <cellStyle name="20 % - Markeringsfarve6 3 8 3 2 4" xfId="39595" xr:uid="{00000000-0005-0000-0000-000083450000}"/>
    <cellStyle name="20 % - Markeringsfarve6 3 8 3 3" xfId="11621" xr:uid="{00000000-0005-0000-0000-000084450000}"/>
    <cellStyle name="20 % - Markeringsfarve6 3 8 3 3 2" xfId="27940" xr:uid="{00000000-0005-0000-0000-000085450000}"/>
    <cellStyle name="20 % - Markeringsfarve6 3 8 3 3 3" xfId="42906" xr:uid="{00000000-0005-0000-0000-000086450000}"/>
    <cellStyle name="20 % - Markeringsfarve6 3 8 3 4" xfId="20918" xr:uid="{00000000-0005-0000-0000-000087450000}"/>
    <cellStyle name="20 % - Markeringsfarve6 3 8 3 5" xfId="35907" xr:uid="{00000000-0005-0000-0000-000088450000}"/>
    <cellStyle name="20 % - Markeringsfarve6 3 8 4" xfId="3065" xr:uid="{00000000-0005-0000-0000-000089450000}"/>
    <cellStyle name="20 % - Markeringsfarve6 3 8 4 2" xfId="8395" xr:uid="{00000000-0005-0000-0000-00008A450000}"/>
    <cellStyle name="20 % - Markeringsfarve6 3 8 4 2 2" xfId="16288" xr:uid="{00000000-0005-0000-0000-00008B450000}"/>
    <cellStyle name="20 % - Markeringsfarve6 3 8 4 2 2 2" xfId="32602" xr:uid="{00000000-0005-0000-0000-00008C450000}"/>
    <cellStyle name="20 % - Markeringsfarve6 3 8 4 2 2 3" xfId="47566" xr:uid="{00000000-0005-0000-0000-00008D450000}"/>
    <cellStyle name="20 % - Markeringsfarve6 3 8 4 2 3" xfId="25580" xr:uid="{00000000-0005-0000-0000-00008E450000}"/>
    <cellStyle name="20 % - Markeringsfarve6 3 8 4 2 4" xfId="40567" xr:uid="{00000000-0005-0000-0000-00008F450000}"/>
    <cellStyle name="20 % - Markeringsfarve6 3 8 4 3" xfId="11622" xr:uid="{00000000-0005-0000-0000-000090450000}"/>
    <cellStyle name="20 % - Markeringsfarve6 3 8 4 3 2" xfId="27941" xr:uid="{00000000-0005-0000-0000-000091450000}"/>
    <cellStyle name="20 % - Markeringsfarve6 3 8 4 3 3" xfId="42907" xr:uid="{00000000-0005-0000-0000-000092450000}"/>
    <cellStyle name="20 % - Markeringsfarve6 3 8 4 4" xfId="20919" xr:uid="{00000000-0005-0000-0000-000093450000}"/>
    <cellStyle name="20 % - Markeringsfarve6 3 8 4 5" xfId="35908" xr:uid="{00000000-0005-0000-0000-000094450000}"/>
    <cellStyle name="20 % - Markeringsfarve6 3 8 5" xfId="5728" xr:uid="{00000000-0005-0000-0000-000095450000}"/>
    <cellStyle name="20 % - Markeringsfarve6 3 8 5 2" xfId="13646" xr:uid="{00000000-0005-0000-0000-000096450000}"/>
    <cellStyle name="20 % - Markeringsfarve6 3 8 5 2 2" xfId="29960" xr:uid="{00000000-0005-0000-0000-000097450000}"/>
    <cellStyle name="20 % - Markeringsfarve6 3 8 5 2 3" xfId="44924" xr:uid="{00000000-0005-0000-0000-000098450000}"/>
    <cellStyle name="20 % - Markeringsfarve6 3 8 5 3" xfId="22938" xr:uid="{00000000-0005-0000-0000-000099450000}"/>
    <cellStyle name="20 % - Markeringsfarve6 3 8 5 4" xfId="37925" xr:uid="{00000000-0005-0000-0000-00009A450000}"/>
    <cellStyle name="20 % - Markeringsfarve6 3 8 6" xfId="11618" xr:uid="{00000000-0005-0000-0000-00009B450000}"/>
    <cellStyle name="20 % - Markeringsfarve6 3 8 6 2" xfId="27937" xr:uid="{00000000-0005-0000-0000-00009C450000}"/>
    <cellStyle name="20 % - Markeringsfarve6 3 8 6 3" xfId="42903" xr:uid="{00000000-0005-0000-0000-00009D450000}"/>
    <cellStyle name="20 % - Markeringsfarve6 3 8 7" xfId="20915" xr:uid="{00000000-0005-0000-0000-00009E450000}"/>
    <cellStyle name="20 % - Markeringsfarve6 3 8 8" xfId="35904" xr:uid="{00000000-0005-0000-0000-00009F450000}"/>
    <cellStyle name="20 % - Markeringsfarve6 3 9" xfId="3066" xr:uid="{00000000-0005-0000-0000-0000A0450000}"/>
    <cellStyle name="20 % - Markeringsfarve6 3 9 2" xfId="3067" xr:uid="{00000000-0005-0000-0000-0000A1450000}"/>
    <cellStyle name="20 % - Markeringsfarve6 3 9 2 2" xfId="7513" xr:uid="{00000000-0005-0000-0000-0000A2450000}"/>
    <cellStyle name="20 % - Markeringsfarve6 3 9 2 2 2" xfId="15414" xr:uid="{00000000-0005-0000-0000-0000A3450000}"/>
    <cellStyle name="20 % - Markeringsfarve6 3 9 2 2 2 2" xfId="31728" xr:uid="{00000000-0005-0000-0000-0000A4450000}"/>
    <cellStyle name="20 % - Markeringsfarve6 3 9 2 2 2 3" xfId="46692" xr:uid="{00000000-0005-0000-0000-0000A5450000}"/>
    <cellStyle name="20 % - Markeringsfarve6 3 9 2 2 3" xfId="24706" xr:uid="{00000000-0005-0000-0000-0000A6450000}"/>
    <cellStyle name="20 % - Markeringsfarve6 3 9 2 2 4" xfId="39693" xr:uid="{00000000-0005-0000-0000-0000A7450000}"/>
    <cellStyle name="20 % - Markeringsfarve6 3 9 2 3" xfId="11624" xr:uid="{00000000-0005-0000-0000-0000A8450000}"/>
    <cellStyle name="20 % - Markeringsfarve6 3 9 2 3 2" xfId="27943" xr:uid="{00000000-0005-0000-0000-0000A9450000}"/>
    <cellStyle name="20 % - Markeringsfarve6 3 9 2 3 3" xfId="42909" xr:uid="{00000000-0005-0000-0000-0000AA450000}"/>
    <cellStyle name="20 % - Markeringsfarve6 3 9 2 4" xfId="20921" xr:uid="{00000000-0005-0000-0000-0000AB450000}"/>
    <cellStyle name="20 % - Markeringsfarve6 3 9 2 5" xfId="35910" xr:uid="{00000000-0005-0000-0000-0000AC450000}"/>
    <cellStyle name="20 % - Markeringsfarve6 3 9 3" xfId="6112" xr:uid="{00000000-0005-0000-0000-0000AD450000}"/>
    <cellStyle name="20 % - Markeringsfarve6 3 9 3 2" xfId="14029" xr:uid="{00000000-0005-0000-0000-0000AE450000}"/>
    <cellStyle name="20 % - Markeringsfarve6 3 9 3 2 2" xfId="30343" xr:uid="{00000000-0005-0000-0000-0000AF450000}"/>
    <cellStyle name="20 % - Markeringsfarve6 3 9 3 2 3" xfId="45307" xr:uid="{00000000-0005-0000-0000-0000B0450000}"/>
    <cellStyle name="20 % - Markeringsfarve6 3 9 3 3" xfId="23321" xr:uid="{00000000-0005-0000-0000-0000B1450000}"/>
    <cellStyle name="20 % - Markeringsfarve6 3 9 3 4" xfId="38308" xr:uid="{00000000-0005-0000-0000-0000B2450000}"/>
    <cellStyle name="20 % - Markeringsfarve6 3 9 4" xfId="11623" xr:uid="{00000000-0005-0000-0000-0000B3450000}"/>
    <cellStyle name="20 % - Markeringsfarve6 3 9 4 2" xfId="27942" xr:uid="{00000000-0005-0000-0000-0000B4450000}"/>
    <cellStyle name="20 % - Markeringsfarve6 3 9 4 3" xfId="42908" xr:uid="{00000000-0005-0000-0000-0000B5450000}"/>
    <cellStyle name="20 % - Markeringsfarve6 3 9 5" xfId="20920" xr:uid="{00000000-0005-0000-0000-0000B6450000}"/>
    <cellStyle name="20 % - Markeringsfarve6 3 9 6" xfId="35909" xr:uid="{00000000-0005-0000-0000-0000B7450000}"/>
    <cellStyle name="20 % - Markeringsfarve6 4" xfId="3068" xr:uid="{00000000-0005-0000-0000-0000B8450000}"/>
    <cellStyle name="20 % - Markeringsfarve6 4 10" xfId="5729" xr:uid="{00000000-0005-0000-0000-0000B9450000}"/>
    <cellStyle name="20 % - Markeringsfarve6 4 10 2" xfId="13647" xr:uid="{00000000-0005-0000-0000-0000BA450000}"/>
    <cellStyle name="20 % - Markeringsfarve6 4 10 2 2" xfId="29961" xr:uid="{00000000-0005-0000-0000-0000BB450000}"/>
    <cellStyle name="20 % - Markeringsfarve6 4 10 2 3" xfId="44925" xr:uid="{00000000-0005-0000-0000-0000BC450000}"/>
    <cellStyle name="20 % - Markeringsfarve6 4 10 3" xfId="22939" xr:uid="{00000000-0005-0000-0000-0000BD450000}"/>
    <cellStyle name="20 % - Markeringsfarve6 4 10 4" xfId="37926" xr:uid="{00000000-0005-0000-0000-0000BE450000}"/>
    <cellStyle name="20 % - Markeringsfarve6 4 11" xfId="11625" xr:uid="{00000000-0005-0000-0000-0000BF450000}"/>
    <cellStyle name="20 % - Markeringsfarve6 4 11 2" xfId="27944" xr:uid="{00000000-0005-0000-0000-0000C0450000}"/>
    <cellStyle name="20 % - Markeringsfarve6 4 11 3" xfId="42910" xr:uid="{00000000-0005-0000-0000-0000C1450000}"/>
    <cellStyle name="20 % - Markeringsfarve6 4 12" xfId="20922" xr:uid="{00000000-0005-0000-0000-0000C2450000}"/>
    <cellStyle name="20 % - Markeringsfarve6 4 13" xfId="35911" xr:uid="{00000000-0005-0000-0000-0000C3450000}"/>
    <cellStyle name="20 % - Markeringsfarve6 4 14" xfId="53343" xr:uid="{00000000-0005-0000-0000-0000C4450000}"/>
    <cellStyle name="20 % - Markeringsfarve6 4 2" xfId="3069" xr:uid="{00000000-0005-0000-0000-0000C5450000}"/>
    <cellStyle name="20 % - Markeringsfarve6 4 2 2" xfId="3070" xr:uid="{00000000-0005-0000-0000-0000C6450000}"/>
    <cellStyle name="20 % - Markeringsfarve6 4 2 2 2" xfId="3071" xr:uid="{00000000-0005-0000-0000-0000C7450000}"/>
    <cellStyle name="20 % - Markeringsfarve6 4 2 2 2 2" xfId="7657" xr:uid="{00000000-0005-0000-0000-0000C8450000}"/>
    <cellStyle name="20 % - Markeringsfarve6 4 2 2 2 2 2" xfId="15558" xr:uid="{00000000-0005-0000-0000-0000C9450000}"/>
    <cellStyle name="20 % - Markeringsfarve6 4 2 2 2 2 2 2" xfId="31872" xr:uid="{00000000-0005-0000-0000-0000CA450000}"/>
    <cellStyle name="20 % - Markeringsfarve6 4 2 2 2 2 2 3" xfId="46836" xr:uid="{00000000-0005-0000-0000-0000CB450000}"/>
    <cellStyle name="20 % - Markeringsfarve6 4 2 2 2 2 3" xfId="24850" xr:uid="{00000000-0005-0000-0000-0000CC450000}"/>
    <cellStyle name="20 % - Markeringsfarve6 4 2 2 2 2 4" xfId="39837" xr:uid="{00000000-0005-0000-0000-0000CD450000}"/>
    <cellStyle name="20 % - Markeringsfarve6 4 2 2 2 3" xfId="11628" xr:uid="{00000000-0005-0000-0000-0000CE450000}"/>
    <cellStyle name="20 % - Markeringsfarve6 4 2 2 2 3 2" xfId="27947" xr:uid="{00000000-0005-0000-0000-0000CF450000}"/>
    <cellStyle name="20 % - Markeringsfarve6 4 2 2 2 3 3" xfId="42913" xr:uid="{00000000-0005-0000-0000-0000D0450000}"/>
    <cellStyle name="20 % - Markeringsfarve6 4 2 2 2 4" xfId="20925" xr:uid="{00000000-0005-0000-0000-0000D1450000}"/>
    <cellStyle name="20 % - Markeringsfarve6 4 2 2 2 5" xfId="35914" xr:uid="{00000000-0005-0000-0000-0000D2450000}"/>
    <cellStyle name="20 % - Markeringsfarve6 4 2 2 3" xfId="6232" xr:uid="{00000000-0005-0000-0000-0000D3450000}"/>
    <cellStyle name="20 % - Markeringsfarve6 4 2 2 3 2" xfId="14149" xr:uid="{00000000-0005-0000-0000-0000D4450000}"/>
    <cellStyle name="20 % - Markeringsfarve6 4 2 2 3 2 2" xfId="30463" xr:uid="{00000000-0005-0000-0000-0000D5450000}"/>
    <cellStyle name="20 % - Markeringsfarve6 4 2 2 3 2 3" xfId="45427" xr:uid="{00000000-0005-0000-0000-0000D6450000}"/>
    <cellStyle name="20 % - Markeringsfarve6 4 2 2 3 3" xfId="23441" xr:uid="{00000000-0005-0000-0000-0000D7450000}"/>
    <cellStyle name="20 % - Markeringsfarve6 4 2 2 3 4" xfId="38428" xr:uid="{00000000-0005-0000-0000-0000D8450000}"/>
    <cellStyle name="20 % - Markeringsfarve6 4 2 2 4" xfId="11627" xr:uid="{00000000-0005-0000-0000-0000D9450000}"/>
    <cellStyle name="20 % - Markeringsfarve6 4 2 2 4 2" xfId="27946" xr:uid="{00000000-0005-0000-0000-0000DA450000}"/>
    <cellStyle name="20 % - Markeringsfarve6 4 2 2 4 3" xfId="42912" xr:uid="{00000000-0005-0000-0000-0000DB450000}"/>
    <cellStyle name="20 % - Markeringsfarve6 4 2 2 5" xfId="20924" xr:uid="{00000000-0005-0000-0000-0000DC450000}"/>
    <cellStyle name="20 % - Markeringsfarve6 4 2 2 6" xfId="35913" xr:uid="{00000000-0005-0000-0000-0000DD450000}"/>
    <cellStyle name="20 % - Markeringsfarve6 4 2 2 7" xfId="57147" xr:uid="{00000000-0005-0000-0000-0000DE450000}"/>
    <cellStyle name="20 % - Markeringsfarve6 4 2 3" xfId="3072" xr:uid="{00000000-0005-0000-0000-0000DF450000}"/>
    <cellStyle name="20 % - Markeringsfarve6 4 2 3 2" xfId="6887" xr:uid="{00000000-0005-0000-0000-0000E0450000}"/>
    <cellStyle name="20 % - Markeringsfarve6 4 2 3 2 2" xfId="14798" xr:uid="{00000000-0005-0000-0000-0000E1450000}"/>
    <cellStyle name="20 % - Markeringsfarve6 4 2 3 2 2 2" xfId="31112" xr:uid="{00000000-0005-0000-0000-0000E2450000}"/>
    <cellStyle name="20 % - Markeringsfarve6 4 2 3 2 2 3" xfId="46076" xr:uid="{00000000-0005-0000-0000-0000E3450000}"/>
    <cellStyle name="20 % - Markeringsfarve6 4 2 3 2 3" xfId="24090" xr:uid="{00000000-0005-0000-0000-0000E4450000}"/>
    <cellStyle name="20 % - Markeringsfarve6 4 2 3 2 4" xfId="39077" xr:uid="{00000000-0005-0000-0000-0000E5450000}"/>
    <cellStyle name="20 % - Markeringsfarve6 4 2 3 3" xfId="11629" xr:uid="{00000000-0005-0000-0000-0000E6450000}"/>
    <cellStyle name="20 % - Markeringsfarve6 4 2 3 3 2" xfId="27948" xr:uid="{00000000-0005-0000-0000-0000E7450000}"/>
    <cellStyle name="20 % - Markeringsfarve6 4 2 3 3 3" xfId="42914" xr:uid="{00000000-0005-0000-0000-0000E8450000}"/>
    <cellStyle name="20 % - Markeringsfarve6 4 2 3 4" xfId="20926" xr:uid="{00000000-0005-0000-0000-0000E9450000}"/>
    <cellStyle name="20 % - Markeringsfarve6 4 2 3 5" xfId="35915" xr:uid="{00000000-0005-0000-0000-0000EA450000}"/>
    <cellStyle name="20 % - Markeringsfarve6 4 2 4" xfId="3073" xr:uid="{00000000-0005-0000-0000-0000EB450000}"/>
    <cellStyle name="20 % - Markeringsfarve6 4 2 4 2" xfId="8295" xr:uid="{00000000-0005-0000-0000-0000EC450000}"/>
    <cellStyle name="20 % - Markeringsfarve6 4 2 4 2 2" xfId="16189" xr:uid="{00000000-0005-0000-0000-0000ED450000}"/>
    <cellStyle name="20 % - Markeringsfarve6 4 2 4 2 2 2" xfId="32503" xr:uid="{00000000-0005-0000-0000-0000EE450000}"/>
    <cellStyle name="20 % - Markeringsfarve6 4 2 4 2 2 3" xfId="47467" xr:uid="{00000000-0005-0000-0000-0000EF450000}"/>
    <cellStyle name="20 % - Markeringsfarve6 4 2 4 2 3" xfId="25481" xr:uid="{00000000-0005-0000-0000-0000F0450000}"/>
    <cellStyle name="20 % - Markeringsfarve6 4 2 4 2 4" xfId="40468" xr:uid="{00000000-0005-0000-0000-0000F1450000}"/>
    <cellStyle name="20 % - Markeringsfarve6 4 2 4 3" xfId="11630" xr:uid="{00000000-0005-0000-0000-0000F2450000}"/>
    <cellStyle name="20 % - Markeringsfarve6 4 2 4 3 2" xfId="27949" xr:uid="{00000000-0005-0000-0000-0000F3450000}"/>
    <cellStyle name="20 % - Markeringsfarve6 4 2 4 3 3" xfId="42915" xr:uid="{00000000-0005-0000-0000-0000F4450000}"/>
    <cellStyle name="20 % - Markeringsfarve6 4 2 4 4" xfId="20927" xr:uid="{00000000-0005-0000-0000-0000F5450000}"/>
    <cellStyle name="20 % - Markeringsfarve6 4 2 4 5" xfId="35916" xr:uid="{00000000-0005-0000-0000-0000F6450000}"/>
    <cellStyle name="20 % - Markeringsfarve6 4 2 5" xfId="5730" xr:uid="{00000000-0005-0000-0000-0000F7450000}"/>
    <cellStyle name="20 % - Markeringsfarve6 4 2 5 2" xfId="13648" xr:uid="{00000000-0005-0000-0000-0000F8450000}"/>
    <cellStyle name="20 % - Markeringsfarve6 4 2 5 2 2" xfId="29962" xr:uid="{00000000-0005-0000-0000-0000F9450000}"/>
    <cellStyle name="20 % - Markeringsfarve6 4 2 5 2 3" xfId="44926" xr:uid="{00000000-0005-0000-0000-0000FA450000}"/>
    <cellStyle name="20 % - Markeringsfarve6 4 2 5 3" xfId="22940" xr:uid="{00000000-0005-0000-0000-0000FB450000}"/>
    <cellStyle name="20 % - Markeringsfarve6 4 2 5 4" xfId="37927" xr:uid="{00000000-0005-0000-0000-0000FC450000}"/>
    <cellStyle name="20 % - Markeringsfarve6 4 2 6" xfId="11626" xr:uid="{00000000-0005-0000-0000-0000FD450000}"/>
    <cellStyle name="20 % - Markeringsfarve6 4 2 6 2" xfId="27945" xr:uid="{00000000-0005-0000-0000-0000FE450000}"/>
    <cellStyle name="20 % - Markeringsfarve6 4 2 6 3" xfId="42911" xr:uid="{00000000-0005-0000-0000-0000FF450000}"/>
    <cellStyle name="20 % - Markeringsfarve6 4 2 7" xfId="20923" xr:uid="{00000000-0005-0000-0000-000000460000}"/>
    <cellStyle name="20 % - Markeringsfarve6 4 2 8" xfId="35912" xr:uid="{00000000-0005-0000-0000-000001460000}"/>
    <cellStyle name="20 % - Markeringsfarve6 4 2 9" xfId="53980" xr:uid="{00000000-0005-0000-0000-000002460000}"/>
    <cellStyle name="20 % - Markeringsfarve6 4 3" xfId="3074" xr:uid="{00000000-0005-0000-0000-000003460000}"/>
    <cellStyle name="20 % - Markeringsfarve6 4 3 2" xfId="3075" xr:uid="{00000000-0005-0000-0000-000004460000}"/>
    <cellStyle name="20 % - Markeringsfarve6 4 3 2 2" xfId="3076" xr:uid="{00000000-0005-0000-0000-000005460000}"/>
    <cellStyle name="20 % - Markeringsfarve6 4 3 2 2 2" xfId="7778" xr:uid="{00000000-0005-0000-0000-000006460000}"/>
    <cellStyle name="20 % - Markeringsfarve6 4 3 2 2 2 2" xfId="15679" xr:uid="{00000000-0005-0000-0000-000007460000}"/>
    <cellStyle name="20 % - Markeringsfarve6 4 3 2 2 2 2 2" xfId="31993" xr:uid="{00000000-0005-0000-0000-000008460000}"/>
    <cellStyle name="20 % - Markeringsfarve6 4 3 2 2 2 2 3" xfId="46957" xr:uid="{00000000-0005-0000-0000-000009460000}"/>
    <cellStyle name="20 % - Markeringsfarve6 4 3 2 2 2 3" xfId="24971" xr:uid="{00000000-0005-0000-0000-00000A460000}"/>
    <cellStyle name="20 % - Markeringsfarve6 4 3 2 2 2 4" xfId="39958" xr:uid="{00000000-0005-0000-0000-00000B460000}"/>
    <cellStyle name="20 % - Markeringsfarve6 4 3 2 2 3" xfId="11633" xr:uid="{00000000-0005-0000-0000-00000C460000}"/>
    <cellStyle name="20 % - Markeringsfarve6 4 3 2 2 3 2" xfId="27952" xr:uid="{00000000-0005-0000-0000-00000D460000}"/>
    <cellStyle name="20 % - Markeringsfarve6 4 3 2 2 3 3" xfId="42918" xr:uid="{00000000-0005-0000-0000-00000E460000}"/>
    <cellStyle name="20 % - Markeringsfarve6 4 3 2 2 4" xfId="20930" xr:uid="{00000000-0005-0000-0000-00000F460000}"/>
    <cellStyle name="20 % - Markeringsfarve6 4 3 2 2 5" xfId="35919" xr:uid="{00000000-0005-0000-0000-000010460000}"/>
    <cellStyle name="20 % - Markeringsfarve6 4 3 2 3" xfId="6333" xr:uid="{00000000-0005-0000-0000-000011460000}"/>
    <cellStyle name="20 % - Markeringsfarve6 4 3 2 3 2" xfId="14250" xr:uid="{00000000-0005-0000-0000-000012460000}"/>
    <cellStyle name="20 % - Markeringsfarve6 4 3 2 3 2 2" xfId="30564" xr:uid="{00000000-0005-0000-0000-000013460000}"/>
    <cellStyle name="20 % - Markeringsfarve6 4 3 2 3 2 3" xfId="45528" xr:uid="{00000000-0005-0000-0000-000014460000}"/>
    <cellStyle name="20 % - Markeringsfarve6 4 3 2 3 3" xfId="23542" xr:uid="{00000000-0005-0000-0000-000015460000}"/>
    <cellStyle name="20 % - Markeringsfarve6 4 3 2 3 4" xfId="38529" xr:uid="{00000000-0005-0000-0000-000016460000}"/>
    <cellStyle name="20 % - Markeringsfarve6 4 3 2 4" xfId="11632" xr:uid="{00000000-0005-0000-0000-000017460000}"/>
    <cellStyle name="20 % - Markeringsfarve6 4 3 2 4 2" xfId="27951" xr:uid="{00000000-0005-0000-0000-000018460000}"/>
    <cellStyle name="20 % - Markeringsfarve6 4 3 2 4 3" xfId="42917" xr:uid="{00000000-0005-0000-0000-000019460000}"/>
    <cellStyle name="20 % - Markeringsfarve6 4 3 2 5" xfId="20929" xr:uid="{00000000-0005-0000-0000-00001A460000}"/>
    <cellStyle name="20 % - Markeringsfarve6 4 3 2 6" xfId="35918" xr:uid="{00000000-0005-0000-0000-00001B460000}"/>
    <cellStyle name="20 % - Markeringsfarve6 4 3 3" xfId="3077" xr:uid="{00000000-0005-0000-0000-00001C460000}"/>
    <cellStyle name="20 % - Markeringsfarve6 4 3 3 2" xfId="7008" xr:uid="{00000000-0005-0000-0000-00001D460000}"/>
    <cellStyle name="20 % - Markeringsfarve6 4 3 3 2 2" xfId="14919" xr:uid="{00000000-0005-0000-0000-00001E460000}"/>
    <cellStyle name="20 % - Markeringsfarve6 4 3 3 2 2 2" xfId="31233" xr:uid="{00000000-0005-0000-0000-00001F460000}"/>
    <cellStyle name="20 % - Markeringsfarve6 4 3 3 2 2 3" xfId="46197" xr:uid="{00000000-0005-0000-0000-000020460000}"/>
    <cellStyle name="20 % - Markeringsfarve6 4 3 3 2 3" xfId="24211" xr:uid="{00000000-0005-0000-0000-000021460000}"/>
    <cellStyle name="20 % - Markeringsfarve6 4 3 3 2 4" xfId="39198" xr:uid="{00000000-0005-0000-0000-000022460000}"/>
    <cellStyle name="20 % - Markeringsfarve6 4 3 3 3" xfId="11634" xr:uid="{00000000-0005-0000-0000-000023460000}"/>
    <cellStyle name="20 % - Markeringsfarve6 4 3 3 3 2" xfId="27953" xr:uid="{00000000-0005-0000-0000-000024460000}"/>
    <cellStyle name="20 % - Markeringsfarve6 4 3 3 3 3" xfId="42919" xr:uid="{00000000-0005-0000-0000-000025460000}"/>
    <cellStyle name="20 % - Markeringsfarve6 4 3 3 4" xfId="20931" xr:uid="{00000000-0005-0000-0000-000026460000}"/>
    <cellStyle name="20 % - Markeringsfarve6 4 3 3 5" xfId="35920" xr:uid="{00000000-0005-0000-0000-000027460000}"/>
    <cellStyle name="20 % - Markeringsfarve6 4 3 4" xfId="3078" xr:uid="{00000000-0005-0000-0000-000028460000}"/>
    <cellStyle name="20 % - Markeringsfarve6 4 3 4 2" xfId="8580" xr:uid="{00000000-0005-0000-0000-000029460000}"/>
    <cellStyle name="20 % - Markeringsfarve6 4 3 4 2 2" xfId="16467" xr:uid="{00000000-0005-0000-0000-00002A460000}"/>
    <cellStyle name="20 % - Markeringsfarve6 4 3 4 2 2 2" xfId="32781" xr:uid="{00000000-0005-0000-0000-00002B460000}"/>
    <cellStyle name="20 % - Markeringsfarve6 4 3 4 2 2 3" xfId="47745" xr:uid="{00000000-0005-0000-0000-00002C460000}"/>
    <cellStyle name="20 % - Markeringsfarve6 4 3 4 2 3" xfId="25759" xr:uid="{00000000-0005-0000-0000-00002D460000}"/>
    <cellStyle name="20 % - Markeringsfarve6 4 3 4 2 4" xfId="40746" xr:uid="{00000000-0005-0000-0000-00002E460000}"/>
    <cellStyle name="20 % - Markeringsfarve6 4 3 4 3" xfId="11635" xr:uid="{00000000-0005-0000-0000-00002F460000}"/>
    <cellStyle name="20 % - Markeringsfarve6 4 3 4 3 2" xfId="27954" xr:uid="{00000000-0005-0000-0000-000030460000}"/>
    <cellStyle name="20 % - Markeringsfarve6 4 3 4 3 3" xfId="42920" xr:uid="{00000000-0005-0000-0000-000031460000}"/>
    <cellStyle name="20 % - Markeringsfarve6 4 3 4 4" xfId="20932" xr:uid="{00000000-0005-0000-0000-000032460000}"/>
    <cellStyle name="20 % - Markeringsfarve6 4 3 4 5" xfId="35921" xr:uid="{00000000-0005-0000-0000-000033460000}"/>
    <cellStyle name="20 % - Markeringsfarve6 4 3 5" xfId="5731" xr:uid="{00000000-0005-0000-0000-000034460000}"/>
    <cellStyle name="20 % - Markeringsfarve6 4 3 5 2" xfId="13649" xr:uid="{00000000-0005-0000-0000-000035460000}"/>
    <cellStyle name="20 % - Markeringsfarve6 4 3 5 2 2" xfId="29963" xr:uid="{00000000-0005-0000-0000-000036460000}"/>
    <cellStyle name="20 % - Markeringsfarve6 4 3 5 2 3" xfId="44927" xr:uid="{00000000-0005-0000-0000-000037460000}"/>
    <cellStyle name="20 % - Markeringsfarve6 4 3 5 3" xfId="22941" xr:uid="{00000000-0005-0000-0000-000038460000}"/>
    <cellStyle name="20 % - Markeringsfarve6 4 3 5 4" xfId="37928" xr:uid="{00000000-0005-0000-0000-000039460000}"/>
    <cellStyle name="20 % - Markeringsfarve6 4 3 6" xfId="11631" xr:uid="{00000000-0005-0000-0000-00003A460000}"/>
    <cellStyle name="20 % - Markeringsfarve6 4 3 6 2" xfId="27950" xr:uid="{00000000-0005-0000-0000-00003B460000}"/>
    <cellStyle name="20 % - Markeringsfarve6 4 3 6 3" xfId="42916" xr:uid="{00000000-0005-0000-0000-00003C460000}"/>
    <cellStyle name="20 % - Markeringsfarve6 4 3 7" xfId="20928" xr:uid="{00000000-0005-0000-0000-00003D460000}"/>
    <cellStyle name="20 % - Markeringsfarve6 4 3 8" xfId="35917" xr:uid="{00000000-0005-0000-0000-00003E460000}"/>
    <cellStyle name="20 % - Markeringsfarve6 4 3 9" xfId="56524" xr:uid="{00000000-0005-0000-0000-00003F460000}"/>
    <cellStyle name="20 % - Markeringsfarve6 4 4" xfId="3079" xr:uid="{00000000-0005-0000-0000-000040460000}"/>
    <cellStyle name="20 % - Markeringsfarve6 4 4 2" xfId="3080" xr:uid="{00000000-0005-0000-0000-000041460000}"/>
    <cellStyle name="20 % - Markeringsfarve6 4 4 2 2" xfId="3081" xr:uid="{00000000-0005-0000-0000-000042460000}"/>
    <cellStyle name="20 % - Markeringsfarve6 4 4 2 2 2" xfId="7895" xr:uid="{00000000-0005-0000-0000-000043460000}"/>
    <cellStyle name="20 % - Markeringsfarve6 4 4 2 2 2 2" xfId="15796" xr:uid="{00000000-0005-0000-0000-000044460000}"/>
    <cellStyle name="20 % - Markeringsfarve6 4 4 2 2 2 2 2" xfId="32110" xr:uid="{00000000-0005-0000-0000-000045460000}"/>
    <cellStyle name="20 % - Markeringsfarve6 4 4 2 2 2 2 3" xfId="47074" xr:uid="{00000000-0005-0000-0000-000046460000}"/>
    <cellStyle name="20 % - Markeringsfarve6 4 4 2 2 2 3" xfId="25088" xr:uid="{00000000-0005-0000-0000-000047460000}"/>
    <cellStyle name="20 % - Markeringsfarve6 4 4 2 2 2 4" xfId="40075" xr:uid="{00000000-0005-0000-0000-000048460000}"/>
    <cellStyle name="20 % - Markeringsfarve6 4 4 2 2 3" xfId="11638" xr:uid="{00000000-0005-0000-0000-000049460000}"/>
    <cellStyle name="20 % - Markeringsfarve6 4 4 2 2 3 2" xfId="27957" xr:uid="{00000000-0005-0000-0000-00004A460000}"/>
    <cellStyle name="20 % - Markeringsfarve6 4 4 2 2 3 3" xfId="42923" xr:uid="{00000000-0005-0000-0000-00004B460000}"/>
    <cellStyle name="20 % - Markeringsfarve6 4 4 2 2 4" xfId="20935" xr:uid="{00000000-0005-0000-0000-00004C460000}"/>
    <cellStyle name="20 % - Markeringsfarve6 4 4 2 2 5" xfId="35924" xr:uid="{00000000-0005-0000-0000-00004D460000}"/>
    <cellStyle name="20 % - Markeringsfarve6 4 4 2 3" xfId="6434" xr:uid="{00000000-0005-0000-0000-00004E460000}"/>
    <cellStyle name="20 % - Markeringsfarve6 4 4 2 3 2" xfId="14348" xr:uid="{00000000-0005-0000-0000-00004F460000}"/>
    <cellStyle name="20 % - Markeringsfarve6 4 4 2 3 2 2" xfId="30662" xr:uid="{00000000-0005-0000-0000-000050460000}"/>
    <cellStyle name="20 % - Markeringsfarve6 4 4 2 3 2 3" xfId="45626" xr:uid="{00000000-0005-0000-0000-000051460000}"/>
    <cellStyle name="20 % - Markeringsfarve6 4 4 2 3 3" xfId="23640" xr:uid="{00000000-0005-0000-0000-000052460000}"/>
    <cellStyle name="20 % - Markeringsfarve6 4 4 2 3 4" xfId="38627" xr:uid="{00000000-0005-0000-0000-000053460000}"/>
    <cellStyle name="20 % - Markeringsfarve6 4 4 2 4" xfId="11637" xr:uid="{00000000-0005-0000-0000-000054460000}"/>
    <cellStyle name="20 % - Markeringsfarve6 4 4 2 4 2" xfId="27956" xr:uid="{00000000-0005-0000-0000-000055460000}"/>
    <cellStyle name="20 % - Markeringsfarve6 4 4 2 4 3" xfId="42922" xr:uid="{00000000-0005-0000-0000-000056460000}"/>
    <cellStyle name="20 % - Markeringsfarve6 4 4 2 5" xfId="20934" xr:uid="{00000000-0005-0000-0000-000057460000}"/>
    <cellStyle name="20 % - Markeringsfarve6 4 4 2 6" xfId="35923" xr:uid="{00000000-0005-0000-0000-000058460000}"/>
    <cellStyle name="20 % - Markeringsfarve6 4 4 3" xfId="3082" xr:uid="{00000000-0005-0000-0000-000059460000}"/>
    <cellStyle name="20 % - Markeringsfarve6 4 4 3 2" xfId="7171" xr:uid="{00000000-0005-0000-0000-00005A460000}"/>
    <cellStyle name="20 % - Markeringsfarve6 4 4 3 2 2" xfId="15081" xr:uid="{00000000-0005-0000-0000-00005B460000}"/>
    <cellStyle name="20 % - Markeringsfarve6 4 4 3 2 2 2" xfId="31395" xr:uid="{00000000-0005-0000-0000-00005C460000}"/>
    <cellStyle name="20 % - Markeringsfarve6 4 4 3 2 2 3" xfId="46359" xr:uid="{00000000-0005-0000-0000-00005D460000}"/>
    <cellStyle name="20 % - Markeringsfarve6 4 4 3 2 3" xfId="24373" xr:uid="{00000000-0005-0000-0000-00005E460000}"/>
    <cellStyle name="20 % - Markeringsfarve6 4 4 3 2 4" xfId="39360" xr:uid="{00000000-0005-0000-0000-00005F460000}"/>
    <cellStyle name="20 % - Markeringsfarve6 4 4 3 3" xfId="11639" xr:uid="{00000000-0005-0000-0000-000060460000}"/>
    <cellStyle name="20 % - Markeringsfarve6 4 4 3 3 2" xfId="27958" xr:uid="{00000000-0005-0000-0000-000061460000}"/>
    <cellStyle name="20 % - Markeringsfarve6 4 4 3 3 3" xfId="42924" xr:uid="{00000000-0005-0000-0000-000062460000}"/>
    <cellStyle name="20 % - Markeringsfarve6 4 4 3 4" xfId="20936" xr:uid="{00000000-0005-0000-0000-000063460000}"/>
    <cellStyle name="20 % - Markeringsfarve6 4 4 3 5" xfId="35925" xr:uid="{00000000-0005-0000-0000-000064460000}"/>
    <cellStyle name="20 % - Markeringsfarve6 4 4 4" xfId="3083" xr:uid="{00000000-0005-0000-0000-000065460000}"/>
    <cellStyle name="20 % - Markeringsfarve6 4 4 4 2" xfId="8229" xr:uid="{00000000-0005-0000-0000-000066460000}"/>
    <cellStyle name="20 % - Markeringsfarve6 4 4 4 2 2" xfId="16126" xr:uid="{00000000-0005-0000-0000-000067460000}"/>
    <cellStyle name="20 % - Markeringsfarve6 4 4 4 2 2 2" xfId="32440" xr:uid="{00000000-0005-0000-0000-000068460000}"/>
    <cellStyle name="20 % - Markeringsfarve6 4 4 4 2 2 3" xfId="47404" xr:uid="{00000000-0005-0000-0000-000069460000}"/>
    <cellStyle name="20 % - Markeringsfarve6 4 4 4 2 3" xfId="25418" xr:uid="{00000000-0005-0000-0000-00006A460000}"/>
    <cellStyle name="20 % - Markeringsfarve6 4 4 4 2 4" xfId="40405" xr:uid="{00000000-0005-0000-0000-00006B460000}"/>
    <cellStyle name="20 % - Markeringsfarve6 4 4 4 3" xfId="11640" xr:uid="{00000000-0005-0000-0000-00006C460000}"/>
    <cellStyle name="20 % - Markeringsfarve6 4 4 4 3 2" xfId="27959" xr:uid="{00000000-0005-0000-0000-00006D460000}"/>
    <cellStyle name="20 % - Markeringsfarve6 4 4 4 3 3" xfId="42925" xr:uid="{00000000-0005-0000-0000-00006E460000}"/>
    <cellStyle name="20 % - Markeringsfarve6 4 4 4 4" xfId="20937" xr:uid="{00000000-0005-0000-0000-00006F460000}"/>
    <cellStyle name="20 % - Markeringsfarve6 4 4 4 5" xfId="35926" xr:uid="{00000000-0005-0000-0000-000070460000}"/>
    <cellStyle name="20 % - Markeringsfarve6 4 4 5" xfId="5732" xr:uid="{00000000-0005-0000-0000-000071460000}"/>
    <cellStyle name="20 % - Markeringsfarve6 4 4 5 2" xfId="13650" xr:uid="{00000000-0005-0000-0000-000072460000}"/>
    <cellStyle name="20 % - Markeringsfarve6 4 4 5 2 2" xfId="29964" xr:uid="{00000000-0005-0000-0000-000073460000}"/>
    <cellStyle name="20 % - Markeringsfarve6 4 4 5 2 3" xfId="44928" xr:uid="{00000000-0005-0000-0000-000074460000}"/>
    <cellStyle name="20 % - Markeringsfarve6 4 4 5 3" xfId="22942" xr:uid="{00000000-0005-0000-0000-000075460000}"/>
    <cellStyle name="20 % - Markeringsfarve6 4 4 5 4" xfId="37929" xr:uid="{00000000-0005-0000-0000-000076460000}"/>
    <cellStyle name="20 % - Markeringsfarve6 4 4 6" xfId="11636" xr:uid="{00000000-0005-0000-0000-000077460000}"/>
    <cellStyle name="20 % - Markeringsfarve6 4 4 6 2" xfId="27955" xr:uid="{00000000-0005-0000-0000-000078460000}"/>
    <cellStyle name="20 % - Markeringsfarve6 4 4 6 3" xfId="42921" xr:uid="{00000000-0005-0000-0000-000079460000}"/>
    <cellStyle name="20 % - Markeringsfarve6 4 4 7" xfId="20933" xr:uid="{00000000-0005-0000-0000-00007A460000}"/>
    <cellStyle name="20 % - Markeringsfarve6 4 4 8" xfId="35922" xr:uid="{00000000-0005-0000-0000-00007B460000}"/>
    <cellStyle name="20 % - Markeringsfarve6 4 5" xfId="3084" xr:uid="{00000000-0005-0000-0000-00007C460000}"/>
    <cellStyle name="20 % - Markeringsfarve6 4 5 2" xfId="3085" xr:uid="{00000000-0005-0000-0000-00007D460000}"/>
    <cellStyle name="20 % - Markeringsfarve6 4 5 2 2" xfId="3086" xr:uid="{00000000-0005-0000-0000-00007E460000}"/>
    <cellStyle name="20 % - Markeringsfarve6 4 5 2 2 2" xfId="8012" xr:uid="{00000000-0005-0000-0000-00007F460000}"/>
    <cellStyle name="20 % - Markeringsfarve6 4 5 2 2 2 2" xfId="15913" xr:uid="{00000000-0005-0000-0000-000080460000}"/>
    <cellStyle name="20 % - Markeringsfarve6 4 5 2 2 2 2 2" xfId="32227" xr:uid="{00000000-0005-0000-0000-000081460000}"/>
    <cellStyle name="20 % - Markeringsfarve6 4 5 2 2 2 2 3" xfId="47191" xr:uid="{00000000-0005-0000-0000-000082460000}"/>
    <cellStyle name="20 % - Markeringsfarve6 4 5 2 2 2 3" xfId="25205" xr:uid="{00000000-0005-0000-0000-000083460000}"/>
    <cellStyle name="20 % - Markeringsfarve6 4 5 2 2 2 4" xfId="40192" xr:uid="{00000000-0005-0000-0000-000084460000}"/>
    <cellStyle name="20 % - Markeringsfarve6 4 5 2 2 3" xfId="11643" xr:uid="{00000000-0005-0000-0000-000085460000}"/>
    <cellStyle name="20 % - Markeringsfarve6 4 5 2 2 3 2" xfId="27962" xr:uid="{00000000-0005-0000-0000-000086460000}"/>
    <cellStyle name="20 % - Markeringsfarve6 4 5 2 2 3 3" xfId="42928" xr:uid="{00000000-0005-0000-0000-000087460000}"/>
    <cellStyle name="20 % - Markeringsfarve6 4 5 2 2 4" xfId="20940" xr:uid="{00000000-0005-0000-0000-000088460000}"/>
    <cellStyle name="20 % - Markeringsfarve6 4 5 2 2 5" xfId="35929" xr:uid="{00000000-0005-0000-0000-000089460000}"/>
    <cellStyle name="20 % - Markeringsfarve6 4 5 2 3" xfId="6533" xr:uid="{00000000-0005-0000-0000-00008A460000}"/>
    <cellStyle name="20 % - Markeringsfarve6 4 5 2 3 2" xfId="14447" xr:uid="{00000000-0005-0000-0000-00008B460000}"/>
    <cellStyle name="20 % - Markeringsfarve6 4 5 2 3 2 2" xfId="30761" xr:uid="{00000000-0005-0000-0000-00008C460000}"/>
    <cellStyle name="20 % - Markeringsfarve6 4 5 2 3 2 3" xfId="45725" xr:uid="{00000000-0005-0000-0000-00008D460000}"/>
    <cellStyle name="20 % - Markeringsfarve6 4 5 2 3 3" xfId="23739" xr:uid="{00000000-0005-0000-0000-00008E460000}"/>
    <cellStyle name="20 % - Markeringsfarve6 4 5 2 3 4" xfId="38726" xr:uid="{00000000-0005-0000-0000-00008F460000}"/>
    <cellStyle name="20 % - Markeringsfarve6 4 5 2 4" xfId="11642" xr:uid="{00000000-0005-0000-0000-000090460000}"/>
    <cellStyle name="20 % - Markeringsfarve6 4 5 2 4 2" xfId="27961" xr:uid="{00000000-0005-0000-0000-000091460000}"/>
    <cellStyle name="20 % - Markeringsfarve6 4 5 2 4 3" xfId="42927" xr:uid="{00000000-0005-0000-0000-000092460000}"/>
    <cellStyle name="20 % - Markeringsfarve6 4 5 2 5" xfId="20939" xr:uid="{00000000-0005-0000-0000-000093460000}"/>
    <cellStyle name="20 % - Markeringsfarve6 4 5 2 6" xfId="35928" xr:uid="{00000000-0005-0000-0000-000094460000}"/>
    <cellStyle name="20 % - Markeringsfarve6 4 5 3" xfId="3087" xr:uid="{00000000-0005-0000-0000-000095460000}"/>
    <cellStyle name="20 % - Markeringsfarve6 4 5 3 2" xfId="7288" xr:uid="{00000000-0005-0000-0000-000096460000}"/>
    <cellStyle name="20 % - Markeringsfarve6 4 5 3 2 2" xfId="15198" xr:uid="{00000000-0005-0000-0000-000097460000}"/>
    <cellStyle name="20 % - Markeringsfarve6 4 5 3 2 2 2" xfId="31512" xr:uid="{00000000-0005-0000-0000-000098460000}"/>
    <cellStyle name="20 % - Markeringsfarve6 4 5 3 2 2 3" xfId="46476" xr:uid="{00000000-0005-0000-0000-000099460000}"/>
    <cellStyle name="20 % - Markeringsfarve6 4 5 3 2 3" xfId="24490" xr:uid="{00000000-0005-0000-0000-00009A460000}"/>
    <cellStyle name="20 % - Markeringsfarve6 4 5 3 2 4" xfId="39477" xr:uid="{00000000-0005-0000-0000-00009B460000}"/>
    <cellStyle name="20 % - Markeringsfarve6 4 5 3 3" xfId="11644" xr:uid="{00000000-0005-0000-0000-00009C460000}"/>
    <cellStyle name="20 % - Markeringsfarve6 4 5 3 3 2" xfId="27963" xr:uid="{00000000-0005-0000-0000-00009D460000}"/>
    <cellStyle name="20 % - Markeringsfarve6 4 5 3 3 3" xfId="42929" xr:uid="{00000000-0005-0000-0000-00009E460000}"/>
    <cellStyle name="20 % - Markeringsfarve6 4 5 3 4" xfId="20941" xr:uid="{00000000-0005-0000-0000-00009F460000}"/>
    <cellStyle name="20 % - Markeringsfarve6 4 5 3 5" xfId="35930" xr:uid="{00000000-0005-0000-0000-0000A0460000}"/>
    <cellStyle name="20 % - Markeringsfarve6 4 5 4" xfId="3088" xr:uid="{00000000-0005-0000-0000-0000A1460000}"/>
    <cellStyle name="20 % - Markeringsfarve6 4 5 4 2" xfId="8566" xr:uid="{00000000-0005-0000-0000-0000A2460000}"/>
    <cellStyle name="20 % - Markeringsfarve6 4 5 4 2 2" xfId="16453" xr:uid="{00000000-0005-0000-0000-0000A3460000}"/>
    <cellStyle name="20 % - Markeringsfarve6 4 5 4 2 2 2" xfId="32767" xr:uid="{00000000-0005-0000-0000-0000A4460000}"/>
    <cellStyle name="20 % - Markeringsfarve6 4 5 4 2 2 3" xfId="47731" xr:uid="{00000000-0005-0000-0000-0000A5460000}"/>
    <cellStyle name="20 % - Markeringsfarve6 4 5 4 2 3" xfId="25745" xr:uid="{00000000-0005-0000-0000-0000A6460000}"/>
    <cellStyle name="20 % - Markeringsfarve6 4 5 4 2 4" xfId="40732" xr:uid="{00000000-0005-0000-0000-0000A7460000}"/>
    <cellStyle name="20 % - Markeringsfarve6 4 5 4 3" xfId="11645" xr:uid="{00000000-0005-0000-0000-0000A8460000}"/>
    <cellStyle name="20 % - Markeringsfarve6 4 5 4 3 2" xfId="27964" xr:uid="{00000000-0005-0000-0000-0000A9460000}"/>
    <cellStyle name="20 % - Markeringsfarve6 4 5 4 3 3" xfId="42930" xr:uid="{00000000-0005-0000-0000-0000AA460000}"/>
    <cellStyle name="20 % - Markeringsfarve6 4 5 4 4" xfId="20942" xr:uid="{00000000-0005-0000-0000-0000AB460000}"/>
    <cellStyle name="20 % - Markeringsfarve6 4 5 4 5" xfId="35931" xr:uid="{00000000-0005-0000-0000-0000AC460000}"/>
    <cellStyle name="20 % - Markeringsfarve6 4 5 5" xfId="5733" xr:uid="{00000000-0005-0000-0000-0000AD460000}"/>
    <cellStyle name="20 % - Markeringsfarve6 4 5 5 2" xfId="13651" xr:uid="{00000000-0005-0000-0000-0000AE460000}"/>
    <cellStyle name="20 % - Markeringsfarve6 4 5 5 2 2" xfId="29965" xr:uid="{00000000-0005-0000-0000-0000AF460000}"/>
    <cellStyle name="20 % - Markeringsfarve6 4 5 5 2 3" xfId="44929" xr:uid="{00000000-0005-0000-0000-0000B0460000}"/>
    <cellStyle name="20 % - Markeringsfarve6 4 5 5 3" xfId="22943" xr:uid="{00000000-0005-0000-0000-0000B1460000}"/>
    <cellStyle name="20 % - Markeringsfarve6 4 5 5 4" xfId="37930" xr:uid="{00000000-0005-0000-0000-0000B2460000}"/>
    <cellStyle name="20 % - Markeringsfarve6 4 5 6" xfId="11641" xr:uid="{00000000-0005-0000-0000-0000B3460000}"/>
    <cellStyle name="20 % - Markeringsfarve6 4 5 6 2" xfId="27960" xr:uid="{00000000-0005-0000-0000-0000B4460000}"/>
    <cellStyle name="20 % - Markeringsfarve6 4 5 6 3" xfId="42926" xr:uid="{00000000-0005-0000-0000-0000B5460000}"/>
    <cellStyle name="20 % - Markeringsfarve6 4 5 7" xfId="20938" xr:uid="{00000000-0005-0000-0000-0000B6460000}"/>
    <cellStyle name="20 % - Markeringsfarve6 4 5 8" xfId="35927" xr:uid="{00000000-0005-0000-0000-0000B7460000}"/>
    <cellStyle name="20 % - Markeringsfarve6 4 6" xfId="3089" xr:uid="{00000000-0005-0000-0000-0000B8460000}"/>
    <cellStyle name="20 % - Markeringsfarve6 4 6 2" xfId="3090" xr:uid="{00000000-0005-0000-0000-0000B9460000}"/>
    <cellStyle name="20 % - Markeringsfarve6 4 6 2 2" xfId="3091" xr:uid="{00000000-0005-0000-0000-0000BA460000}"/>
    <cellStyle name="20 % - Markeringsfarve6 4 6 2 2 2" xfId="8132" xr:uid="{00000000-0005-0000-0000-0000BB460000}"/>
    <cellStyle name="20 % - Markeringsfarve6 4 6 2 2 2 2" xfId="16033" xr:uid="{00000000-0005-0000-0000-0000BC460000}"/>
    <cellStyle name="20 % - Markeringsfarve6 4 6 2 2 2 2 2" xfId="32347" xr:uid="{00000000-0005-0000-0000-0000BD460000}"/>
    <cellStyle name="20 % - Markeringsfarve6 4 6 2 2 2 2 3" xfId="47311" xr:uid="{00000000-0005-0000-0000-0000BE460000}"/>
    <cellStyle name="20 % - Markeringsfarve6 4 6 2 2 2 3" xfId="25325" xr:uid="{00000000-0005-0000-0000-0000BF460000}"/>
    <cellStyle name="20 % - Markeringsfarve6 4 6 2 2 2 4" xfId="40312" xr:uid="{00000000-0005-0000-0000-0000C0460000}"/>
    <cellStyle name="20 % - Markeringsfarve6 4 6 2 2 3" xfId="11648" xr:uid="{00000000-0005-0000-0000-0000C1460000}"/>
    <cellStyle name="20 % - Markeringsfarve6 4 6 2 2 3 2" xfId="27967" xr:uid="{00000000-0005-0000-0000-0000C2460000}"/>
    <cellStyle name="20 % - Markeringsfarve6 4 6 2 2 3 3" xfId="42933" xr:uid="{00000000-0005-0000-0000-0000C3460000}"/>
    <cellStyle name="20 % - Markeringsfarve6 4 6 2 2 4" xfId="20945" xr:uid="{00000000-0005-0000-0000-0000C4460000}"/>
    <cellStyle name="20 % - Markeringsfarve6 4 6 2 2 5" xfId="35934" xr:uid="{00000000-0005-0000-0000-0000C5460000}"/>
    <cellStyle name="20 % - Markeringsfarve6 4 6 2 3" xfId="6634" xr:uid="{00000000-0005-0000-0000-0000C6460000}"/>
    <cellStyle name="20 % - Markeringsfarve6 4 6 2 3 2" xfId="14548" xr:uid="{00000000-0005-0000-0000-0000C7460000}"/>
    <cellStyle name="20 % - Markeringsfarve6 4 6 2 3 2 2" xfId="30862" xr:uid="{00000000-0005-0000-0000-0000C8460000}"/>
    <cellStyle name="20 % - Markeringsfarve6 4 6 2 3 2 3" xfId="45826" xr:uid="{00000000-0005-0000-0000-0000C9460000}"/>
    <cellStyle name="20 % - Markeringsfarve6 4 6 2 3 3" xfId="23840" xr:uid="{00000000-0005-0000-0000-0000CA460000}"/>
    <cellStyle name="20 % - Markeringsfarve6 4 6 2 3 4" xfId="38827" xr:uid="{00000000-0005-0000-0000-0000CB460000}"/>
    <cellStyle name="20 % - Markeringsfarve6 4 6 2 4" xfId="11647" xr:uid="{00000000-0005-0000-0000-0000CC460000}"/>
    <cellStyle name="20 % - Markeringsfarve6 4 6 2 4 2" xfId="27966" xr:uid="{00000000-0005-0000-0000-0000CD460000}"/>
    <cellStyle name="20 % - Markeringsfarve6 4 6 2 4 3" xfId="42932" xr:uid="{00000000-0005-0000-0000-0000CE460000}"/>
    <cellStyle name="20 % - Markeringsfarve6 4 6 2 5" xfId="20944" xr:uid="{00000000-0005-0000-0000-0000CF460000}"/>
    <cellStyle name="20 % - Markeringsfarve6 4 6 2 6" xfId="35933" xr:uid="{00000000-0005-0000-0000-0000D0460000}"/>
    <cellStyle name="20 % - Markeringsfarve6 4 6 3" xfId="3092" xr:uid="{00000000-0005-0000-0000-0000D1460000}"/>
    <cellStyle name="20 % - Markeringsfarve6 4 6 3 2" xfId="7409" xr:uid="{00000000-0005-0000-0000-0000D2460000}"/>
    <cellStyle name="20 % - Markeringsfarve6 4 6 3 2 2" xfId="15319" xr:uid="{00000000-0005-0000-0000-0000D3460000}"/>
    <cellStyle name="20 % - Markeringsfarve6 4 6 3 2 2 2" xfId="31633" xr:uid="{00000000-0005-0000-0000-0000D4460000}"/>
    <cellStyle name="20 % - Markeringsfarve6 4 6 3 2 2 3" xfId="46597" xr:uid="{00000000-0005-0000-0000-0000D5460000}"/>
    <cellStyle name="20 % - Markeringsfarve6 4 6 3 2 3" xfId="24611" xr:uid="{00000000-0005-0000-0000-0000D6460000}"/>
    <cellStyle name="20 % - Markeringsfarve6 4 6 3 2 4" xfId="39598" xr:uid="{00000000-0005-0000-0000-0000D7460000}"/>
    <cellStyle name="20 % - Markeringsfarve6 4 6 3 3" xfId="11649" xr:uid="{00000000-0005-0000-0000-0000D8460000}"/>
    <cellStyle name="20 % - Markeringsfarve6 4 6 3 3 2" xfId="27968" xr:uid="{00000000-0005-0000-0000-0000D9460000}"/>
    <cellStyle name="20 % - Markeringsfarve6 4 6 3 3 3" xfId="42934" xr:uid="{00000000-0005-0000-0000-0000DA460000}"/>
    <cellStyle name="20 % - Markeringsfarve6 4 6 3 4" xfId="20946" xr:uid="{00000000-0005-0000-0000-0000DB460000}"/>
    <cellStyle name="20 % - Markeringsfarve6 4 6 3 5" xfId="35935" xr:uid="{00000000-0005-0000-0000-0000DC460000}"/>
    <cellStyle name="20 % - Markeringsfarve6 4 6 4" xfId="3093" xr:uid="{00000000-0005-0000-0000-0000DD460000}"/>
    <cellStyle name="20 % - Markeringsfarve6 4 6 4 2" xfId="8781" xr:uid="{00000000-0005-0000-0000-0000DE460000}"/>
    <cellStyle name="20 % - Markeringsfarve6 4 6 4 2 2" xfId="16657" xr:uid="{00000000-0005-0000-0000-0000DF460000}"/>
    <cellStyle name="20 % - Markeringsfarve6 4 6 4 2 2 2" xfId="32971" xr:uid="{00000000-0005-0000-0000-0000E0460000}"/>
    <cellStyle name="20 % - Markeringsfarve6 4 6 4 2 2 3" xfId="47935" xr:uid="{00000000-0005-0000-0000-0000E1460000}"/>
    <cellStyle name="20 % - Markeringsfarve6 4 6 4 2 3" xfId="25949" xr:uid="{00000000-0005-0000-0000-0000E2460000}"/>
    <cellStyle name="20 % - Markeringsfarve6 4 6 4 2 4" xfId="40936" xr:uid="{00000000-0005-0000-0000-0000E3460000}"/>
    <cellStyle name="20 % - Markeringsfarve6 4 6 4 3" xfId="11650" xr:uid="{00000000-0005-0000-0000-0000E4460000}"/>
    <cellStyle name="20 % - Markeringsfarve6 4 6 4 3 2" xfId="27969" xr:uid="{00000000-0005-0000-0000-0000E5460000}"/>
    <cellStyle name="20 % - Markeringsfarve6 4 6 4 3 3" xfId="42935" xr:uid="{00000000-0005-0000-0000-0000E6460000}"/>
    <cellStyle name="20 % - Markeringsfarve6 4 6 4 4" xfId="20947" xr:uid="{00000000-0005-0000-0000-0000E7460000}"/>
    <cellStyle name="20 % - Markeringsfarve6 4 6 4 5" xfId="35936" xr:uid="{00000000-0005-0000-0000-0000E8460000}"/>
    <cellStyle name="20 % - Markeringsfarve6 4 6 5" xfId="5734" xr:uid="{00000000-0005-0000-0000-0000E9460000}"/>
    <cellStyle name="20 % - Markeringsfarve6 4 6 5 2" xfId="13652" xr:uid="{00000000-0005-0000-0000-0000EA460000}"/>
    <cellStyle name="20 % - Markeringsfarve6 4 6 5 2 2" xfId="29966" xr:uid="{00000000-0005-0000-0000-0000EB460000}"/>
    <cellStyle name="20 % - Markeringsfarve6 4 6 5 2 3" xfId="44930" xr:uid="{00000000-0005-0000-0000-0000EC460000}"/>
    <cellStyle name="20 % - Markeringsfarve6 4 6 5 3" xfId="22944" xr:uid="{00000000-0005-0000-0000-0000ED460000}"/>
    <cellStyle name="20 % - Markeringsfarve6 4 6 5 4" xfId="37931" xr:uid="{00000000-0005-0000-0000-0000EE460000}"/>
    <cellStyle name="20 % - Markeringsfarve6 4 6 6" xfId="11646" xr:uid="{00000000-0005-0000-0000-0000EF460000}"/>
    <cellStyle name="20 % - Markeringsfarve6 4 6 6 2" xfId="27965" xr:uid="{00000000-0005-0000-0000-0000F0460000}"/>
    <cellStyle name="20 % - Markeringsfarve6 4 6 6 3" xfId="42931" xr:uid="{00000000-0005-0000-0000-0000F1460000}"/>
    <cellStyle name="20 % - Markeringsfarve6 4 6 7" xfId="20943" xr:uid="{00000000-0005-0000-0000-0000F2460000}"/>
    <cellStyle name="20 % - Markeringsfarve6 4 6 8" xfId="35932" xr:uid="{00000000-0005-0000-0000-0000F3460000}"/>
    <cellStyle name="20 % - Markeringsfarve6 4 7" xfId="3094" xr:uid="{00000000-0005-0000-0000-0000F4460000}"/>
    <cellStyle name="20 % - Markeringsfarve6 4 7 2" xfId="3095" xr:uid="{00000000-0005-0000-0000-0000F5460000}"/>
    <cellStyle name="20 % - Markeringsfarve6 4 7 2 2" xfId="7538" xr:uid="{00000000-0005-0000-0000-0000F6460000}"/>
    <cellStyle name="20 % - Markeringsfarve6 4 7 2 2 2" xfId="15439" xr:uid="{00000000-0005-0000-0000-0000F7460000}"/>
    <cellStyle name="20 % - Markeringsfarve6 4 7 2 2 2 2" xfId="31753" xr:uid="{00000000-0005-0000-0000-0000F8460000}"/>
    <cellStyle name="20 % - Markeringsfarve6 4 7 2 2 2 3" xfId="46717" xr:uid="{00000000-0005-0000-0000-0000F9460000}"/>
    <cellStyle name="20 % - Markeringsfarve6 4 7 2 2 3" xfId="24731" xr:uid="{00000000-0005-0000-0000-0000FA460000}"/>
    <cellStyle name="20 % - Markeringsfarve6 4 7 2 2 4" xfId="39718" xr:uid="{00000000-0005-0000-0000-0000FB460000}"/>
    <cellStyle name="20 % - Markeringsfarve6 4 7 2 3" xfId="11652" xr:uid="{00000000-0005-0000-0000-0000FC460000}"/>
    <cellStyle name="20 % - Markeringsfarve6 4 7 2 3 2" xfId="27971" xr:uid="{00000000-0005-0000-0000-0000FD460000}"/>
    <cellStyle name="20 % - Markeringsfarve6 4 7 2 3 3" xfId="42937" xr:uid="{00000000-0005-0000-0000-0000FE460000}"/>
    <cellStyle name="20 % - Markeringsfarve6 4 7 2 4" xfId="20949" xr:uid="{00000000-0005-0000-0000-0000FF460000}"/>
    <cellStyle name="20 % - Markeringsfarve6 4 7 2 5" xfId="35938" xr:uid="{00000000-0005-0000-0000-000000470000}"/>
    <cellStyle name="20 % - Markeringsfarve6 4 7 3" xfId="6133" xr:uid="{00000000-0005-0000-0000-000001470000}"/>
    <cellStyle name="20 % - Markeringsfarve6 4 7 3 2" xfId="14050" xr:uid="{00000000-0005-0000-0000-000002470000}"/>
    <cellStyle name="20 % - Markeringsfarve6 4 7 3 2 2" xfId="30364" xr:uid="{00000000-0005-0000-0000-000003470000}"/>
    <cellStyle name="20 % - Markeringsfarve6 4 7 3 2 3" xfId="45328" xr:uid="{00000000-0005-0000-0000-000004470000}"/>
    <cellStyle name="20 % - Markeringsfarve6 4 7 3 3" xfId="23342" xr:uid="{00000000-0005-0000-0000-000005470000}"/>
    <cellStyle name="20 % - Markeringsfarve6 4 7 3 4" xfId="38329" xr:uid="{00000000-0005-0000-0000-000006470000}"/>
    <cellStyle name="20 % - Markeringsfarve6 4 7 4" xfId="11651" xr:uid="{00000000-0005-0000-0000-000007470000}"/>
    <cellStyle name="20 % - Markeringsfarve6 4 7 4 2" xfId="27970" xr:uid="{00000000-0005-0000-0000-000008470000}"/>
    <cellStyle name="20 % - Markeringsfarve6 4 7 4 3" xfId="42936" xr:uid="{00000000-0005-0000-0000-000009470000}"/>
    <cellStyle name="20 % - Markeringsfarve6 4 7 5" xfId="20948" xr:uid="{00000000-0005-0000-0000-00000A470000}"/>
    <cellStyle name="20 % - Markeringsfarve6 4 7 6" xfId="35937" xr:uid="{00000000-0005-0000-0000-00000B470000}"/>
    <cellStyle name="20 % - Markeringsfarve6 4 8" xfId="3096" xr:uid="{00000000-0005-0000-0000-00000C470000}"/>
    <cellStyle name="20 % - Markeringsfarve6 4 8 2" xfId="6766" xr:uid="{00000000-0005-0000-0000-00000D470000}"/>
    <cellStyle name="20 % - Markeringsfarve6 4 8 2 2" xfId="14677" xr:uid="{00000000-0005-0000-0000-00000E470000}"/>
    <cellStyle name="20 % - Markeringsfarve6 4 8 2 2 2" xfId="30991" xr:uid="{00000000-0005-0000-0000-00000F470000}"/>
    <cellStyle name="20 % - Markeringsfarve6 4 8 2 2 3" xfId="45955" xr:uid="{00000000-0005-0000-0000-000010470000}"/>
    <cellStyle name="20 % - Markeringsfarve6 4 8 2 3" xfId="23969" xr:uid="{00000000-0005-0000-0000-000011470000}"/>
    <cellStyle name="20 % - Markeringsfarve6 4 8 2 4" xfId="38956" xr:uid="{00000000-0005-0000-0000-000012470000}"/>
    <cellStyle name="20 % - Markeringsfarve6 4 8 3" xfId="11653" xr:uid="{00000000-0005-0000-0000-000013470000}"/>
    <cellStyle name="20 % - Markeringsfarve6 4 8 3 2" xfId="27972" xr:uid="{00000000-0005-0000-0000-000014470000}"/>
    <cellStyle name="20 % - Markeringsfarve6 4 8 3 3" xfId="42938" xr:uid="{00000000-0005-0000-0000-000015470000}"/>
    <cellStyle name="20 % - Markeringsfarve6 4 8 4" xfId="20950" xr:uid="{00000000-0005-0000-0000-000016470000}"/>
    <cellStyle name="20 % - Markeringsfarve6 4 8 5" xfId="35939" xr:uid="{00000000-0005-0000-0000-000017470000}"/>
    <cellStyle name="20 % - Markeringsfarve6 4 9" xfId="3097" xr:uid="{00000000-0005-0000-0000-000018470000}"/>
    <cellStyle name="20 % - Markeringsfarve6 4 9 2" xfId="8646" xr:uid="{00000000-0005-0000-0000-000019470000}"/>
    <cellStyle name="20 % - Markeringsfarve6 4 9 2 2" xfId="16529" xr:uid="{00000000-0005-0000-0000-00001A470000}"/>
    <cellStyle name="20 % - Markeringsfarve6 4 9 2 2 2" xfId="32843" xr:uid="{00000000-0005-0000-0000-00001B470000}"/>
    <cellStyle name="20 % - Markeringsfarve6 4 9 2 2 3" xfId="47807" xr:uid="{00000000-0005-0000-0000-00001C470000}"/>
    <cellStyle name="20 % - Markeringsfarve6 4 9 2 3" xfId="25821" xr:uid="{00000000-0005-0000-0000-00001D470000}"/>
    <cellStyle name="20 % - Markeringsfarve6 4 9 2 4" xfId="40808" xr:uid="{00000000-0005-0000-0000-00001E470000}"/>
    <cellStyle name="20 % - Markeringsfarve6 4 9 3" xfId="11654" xr:uid="{00000000-0005-0000-0000-00001F470000}"/>
    <cellStyle name="20 % - Markeringsfarve6 4 9 3 2" xfId="27973" xr:uid="{00000000-0005-0000-0000-000020470000}"/>
    <cellStyle name="20 % - Markeringsfarve6 4 9 3 3" xfId="42939" xr:uid="{00000000-0005-0000-0000-000021470000}"/>
    <cellStyle name="20 % - Markeringsfarve6 4 9 4" xfId="20951" xr:uid="{00000000-0005-0000-0000-000022470000}"/>
    <cellStyle name="20 % - Markeringsfarve6 4 9 5" xfId="35940" xr:uid="{00000000-0005-0000-0000-000023470000}"/>
    <cellStyle name="20 % - Markeringsfarve6 5" xfId="3098" xr:uid="{00000000-0005-0000-0000-000024470000}"/>
    <cellStyle name="20 % - Markeringsfarve6 5 10" xfId="5735" xr:uid="{00000000-0005-0000-0000-000025470000}"/>
    <cellStyle name="20 % - Markeringsfarve6 5 10 2" xfId="13653" xr:uid="{00000000-0005-0000-0000-000026470000}"/>
    <cellStyle name="20 % - Markeringsfarve6 5 10 2 2" xfId="29967" xr:uid="{00000000-0005-0000-0000-000027470000}"/>
    <cellStyle name="20 % - Markeringsfarve6 5 10 2 3" xfId="44931" xr:uid="{00000000-0005-0000-0000-000028470000}"/>
    <cellStyle name="20 % - Markeringsfarve6 5 10 3" xfId="22945" xr:uid="{00000000-0005-0000-0000-000029470000}"/>
    <cellStyle name="20 % - Markeringsfarve6 5 10 4" xfId="37932" xr:uid="{00000000-0005-0000-0000-00002A470000}"/>
    <cellStyle name="20 % - Markeringsfarve6 5 11" xfId="11655" xr:uid="{00000000-0005-0000-0000-00002B470000}"/>
    <cellStyle name="20 % - Markeringsfarve6 5 11 2" xfId="27974" xr:uid="{00000000-0005-0000-0000-00002C470000}"/>
    <cellStyle name="20 % - Markeringsfarve6 5 11 3" xfId="42940" xr:uid="{00000000-0005-0000-0000-00002D470000}"/>
    <cellStyle name="20 % - Markeringsfarve6 5 12" xfId="20952" xr:uid="{00000000-0005-0000-0000-00002E470000}"/>
    <cellStyle name="20 % - Markeringsfarve6 5 13" xfId="35941" xr:uid="{00000000-0005-0000-0000-00002F470000}"/>
    <cellStyle name="20 % - Markeringsfarve6 5 14" xfId="53342" xr:uid="{00000000-0005-0000-0000-000030470000}"/>
    <cellStyle name="20 % - Markeringsfarve6 5 2" xfId="3099" xr:uid="{00000000-0005-0000-0000-000031470000}"/>
    <cellStyle name="20 % - Markeringsfarve6 5 2 2" xfId="3100" xr:uid="{00000000-0005-0000-0000-000032470000}"/>
    <cellStyle name="20 % - Markeringsfarve6 5 2 2 2" xfId="3101" xr:uid="{00000000-0005-0000-0000-000033470000}"/>
    <cellStyle name="20 % - Markeringsfarve6 5 2 2 2 2" xfId="7696" xr:uid="{00000000-0005-0000-0000-000034470000}"/>
    <cellStyle name="20 % - Markeringsfarve6 5 2 2 2 2 2" xfId="15597" xr:uid="{00000000-0005-0000-0000-000035470000}"/>
    <cellStyle name="20 % - Markeringsfarve6 5 2 2 2 2 2 2" xfId="31911" xr:uid="{00000000-0005-0000-0000-000036470000}"/>
    <cellStyle name="20 % - Markeringsfarve6 5 2 2 2 2 2 3" xfId="46875" xr:uid="{00000000-0005-0000-0000-000037470000}"/>
    <cellStyle name="20 % - Markeringsfarve6 5 2 2 2 2 3" xfId="24889" xr:uid="{00000000-0005-0000-0000-000038470000}"/>
    <cellStyle name="20 % - Markeringsfarve6 5 2 2 2 2 4" xfId="39876" xr:uid="{00000000-0005-0000-0000-000039470000}"/>
    <cellStyle name="20 % - Markeringsfarve6 5 2 2 2 3" xfId="11658" xr:uid="{00000000-0005-0000-0000-00003A470000}"/>
    <cellStyle name="20 % - Markeringsfarve6 5 2 2 2 3 2" xfId="27977" xr:uid="{00000000-0005-0000-0000-00003B470000}"/>
    <cellStyle name="20 % - Markeringsfarve6 5 2 2 2 3 3" xfId="42943" xr:uid="{00000000-0005-0000-0000-00003C470000}"/>
    <cellStyle name="20 % - Markeringsfarve6 5 2 2 2 4" xfId="20955" xr:uid="{00000000-0005-0000-0000-00003D470000}"/>
    <cellStyle name="20 % - Markeringsfarve6 5 2 2 2 5" xfId="35944" xr:uid="{00000000-0005-0000-0000-00003E470000}"/>
    <cellStyle name="20 % - Markeringsfarve6 5 2 2 3" xfId="6265" xr:uid="{00000000-0005-0000-0000-00003F470000}"/>
    <cellStyle name="20 % - Markeringsfarve6 5 2 2 3 2" xfId="14182" xr:uid="{00000000-0005-0000-0000-000040470000}"/>
    <cellStyle name="20 % - Markeringsfarve6 5 2 2 3 2 2" xfId="30496" xr:uid="{00000000-0005-0000-0000-000041470000}"/>
    <cellStyle name="20 % - Markeringsfarve6 5 2 2 3 2 3" xfId="45460" xr:uid="{00000000-0005-0000-0000-000042470000}"/>
    <cellStyle name="20 % - Markeringsfarve6 5 2 2 3 3" xfId="23474" xr:uid="{00000000-0005-0000-0000-000043470000}"/>
    <cellStyle name="20 % - Markeringsfarve6 5 2 2 3 4" xfId="38461" xr:uid="{00000000-0005-0000-0000-000044470000}"/>
    <cellStyle name="20 % - Markeringsfarve6 5 2 2 4" xfId="11657" xr:uid="{00000000-0005-0000-0000-000045470000}"/>
    <cellStyle name="20 % - Markeringsfarve6 5 2 2 4 2" xfId="27976" xr:uid="{00000000-0005-0000-0000-000046470000}"/>
    <cellStyle name="20 % - Markeringsfarve6 5 2 2 4 3" xfId="42942" xr:uid="{00000000-0005-0000-0000-000047470000}"/>
    <cellStyle name="20 % - Markeringsfarve6 5 2 2 5" xfId="20954" xr:uid="{00000000-0005-0000-0000-000048470000}"/>
    <cellStyle name="20 % - Markeringsfarve6 5 2 2 6" xfId="35943" xr:uid="{00000000-0005-0000-0000-000049470000}"/>
    <cellStyle name="20 % - Markeringsfarve6 5 2 2 7" xfId="57146" xr:uid="{00000000-0005-0000-0000-00004A470000}"/>
    <cellStyle name="20 % - Markeringsfarve6 5 2 3" xfId="3102" xr:uid="{00000000-0005-0000-0000-00004B470000}"/>
    <cellStyle name="20 % - Markeringsfarve6 5 2 3 2" xfId="6926" xr:uid="{00000000-0005-0000-0000-00004C470000}"/>
    <cellStyle name="20 % - Markeringsfarve6 5 2 3 2 2" xfId="14837" xr:uid="{00000000-0005-0000-0000-00004D470000}"/>
    <cellStyle name="20 % - Markeringsfarve6 5 2 3 2 2 2" xfId="31151" xr:uid="{00000000-0005-0000-0000-00004E470000}"/>
    <cellStyle name="20 % - Markeringsfarve6 5 2 3 2 2 3" xfId="46115" xr:uid="{00000000-0005-0000-0000-00004F470000}"/>
    <cellStyle name="20 % - Markeringsfarve6 5 2 3 2 3" xfId="24129" xr:uid="{00000000-0005-0000-0000-000050470000}"/>
    <cellStyle name="20 % - Markeringsfarve6 5 2 3 2 4" xfId="39116" xr:uid="{00000000-0005-0000-0000-000051470000}"/>
    <cellStyle name="20 % - Markeringsfarve6 5 2 3 3" xfId="11659" xr:uid="{00000000-0005-0000-0000-000052470000}"/>
    <cellStyle name="20 % - Markeringsfarve6 5 2 3 3 2" xfId="27978" xr:uid="{00000000-0005-0000-0000-000053470000}"/>
    <cellStyle name="20 % - Markeringsfarve6 5 2 3 3 3" xfId="42944" xr:uid="{00000000-0005-0000-0000-000054470000}"/>
    <cellStyle name="20 % - Markeringsfarve6 5 2 3 4" xfId="20956" xr:uid="{00000000-0005-0000-0000-000055470000}"/>
    <cellStyle name="20 % - Markeringsfarve6 5 2 3 5" xfId="35945" xr:uid="{00000000-0005-0000-0000-000056470000}"/>
    <cellStyle name="20 % - Markeringsfarve6 5 2 4" xfId="3103" xr:uid="{00000000-0005-0000-0000-000057470000}"/>
    <cellStyle name="20 % - Markeringsfarve6 5 2 4 2" xfId="8740" xr:uid="{00000000-0005-0000-0000-000058470000}"/>
    <cellStyle name="20 % - Markeringsfarve6 5 2 4 2 2" xfId="16619" xr:uid="{00000000-0005-0000-0000-000059470000}"/>
    <cellStyle name="20 % - Markeringsfarve6 5 2 4 2 2 2" xfId="32933" xr:uid="{00000000-0005-0000-0000-00005A470000}"/>
    <cellStyle name="20 % - Markeringsfarve6 5 2 4 2 2 3" xfId="47897" xr:uid="{00000000-0005-0000-0000-00005B470000}"/>
    <cellStyle name="20 % - Markeringsfarve6 5 2 4 2 3" xfId="25911" xr:uid="{00000000-0005-0000-0000-00005C470000}"/>
    <cellStyle name="20 % - Markeringsfarve6 5 2 4 2 4" xfId="40898" xr:uid="{00000000-0005-0000-0000-00005D470000}"/>
    <cellStyle name="20 % - Markeringsfarve6 5 2 4 3" xfId="11660" xr:uid="{00000000-0005-0000-0000-00005E470000}"/>
    <cellStyle name="20 % - Markeringsfarve6 5 2 4 3 2" xfId="27979" xr:uid="{00000000-0005-0000-0000-00005F470000}"/>
    <cellStyle name="20 % - Markeringsfarve6 5 2 4 3 3" xfId="42945" xr:uid="{00000000-0005-0000-0000-000060470000}"/>
    <cellStyle name="20 % - Markeringsfarve6 5 2 4 4" xfId="20957" xr:uid="{00000000-0005-0000-0000-000061470000}"/>
    <cellStyle name="20 % - Markeringsfarve6 5 2 4 5" xfId="35946" xr:uid="{00000000-0005-0000-0000-000062470000}"/>
    <cellStyle name="20 % - Markeringsfarve6 5 2 5" xfId="5736" xr:uid="{00000000-0005-0000-0000-000063470000}"/>
    <cellStyle name="20 % - Markeringsfarve6 5 2 5 2" xfId="13654" xr:uid="{00000000-0005-0000-0000-000064470000}"/>
    <cellStyle name="20 % - Markeringsfarve6 5 2 5 2 2" xfId="29968" xr:uid="{00000000-0005-0000-0000-000065470000}"/>
    <cellStyle name="20 % - Markeringsfarve6 5 2 5 2 3" xfId="44932" xr:uid="{00000000-0005-0000-0000-000066470000}"/>
    <cellStyle name="20 % - Markeringsfarve6 5 2 5 3" xfId="22946" xr:uid="{00000000-0005-0000-0000-000067470000}"/>
    <cellStyle name="20 % - Markeringsfarve6 5 2 5 4" xfId="37933" xr:uid="{00000000-0005-0000-0000-000068470000}"/>
    <cellStyle name="20 % - Markeringsfarve6 5 2 6" xfId="11656" xr:uid="{00000000-0005-0000-0000-000069470000}"/>
    <cellStyle name="20 % - Markeringsfarve6 5 2 6 2" xfId="27975" xr:uid="{00000000-0005-0000-0000-00006A470000}"/>
    <cellStyle name="20 % - Markeringsfarve6 5 2 6 3" xfId="42941" xr:uid="{00000000-0005-0000-0000-00006B470000}"/>
    <cellStyle name="20 % - Markeringsfarve6 5 2 7" xfId="20953" xr:uid="{00000000-0005-0000-0000-00006C470000}"/>
    <cellStyle name="20 % - Markeringsfarve6 5 2 8" xfId="35942" xr:uid="{00000000-0005-0000-0000-00006D470000}"/>
    <cellStyle name="20 % - Markeringsfarve6 5 2 9" xfId="53979" xr:uid="{00000000-0005-0000-0000-00006E470000}"/>
    <cellStyle name="20 % - Markeringsfarve6 5 3" xfId="3104" xr:uid="{00000000-0005-0000-0000-00006F470000}"/>
    <cellStyle name="20 % - Markeringsfarve6 5 3 2" xfId="3105" xr:uid="{00000000-0005-0000-0000-000070470000}"/>
    <cellStyle name="20 % - Markeringsfarve6 5 3 2 2" xfId="3106" xr:uid="{00000000-0005-0000-0000-000071470000}"/>
    <cellStyle name="20 % - Markeringsfarve6 5 3 2 2 2" xfId="7779" xr:uid="{00000000-0005-0000-0000-000072470000}"/>
    <cellStyle name="20 % - Markeringsfarve6 5 3 2 2 2 2" xfId="15680" xr:uid="{00000000-0005-0000-0000-000073470000}"/>
    <cellStyle name="20 % - Markeringsfarve6 5 3 2 2 2 2 2" xfId="31994" xr:uid="{00000000-0005-0000-0000-000074470000}"/>
    <cellStyle name="20 % - Markeringsfarve6 5 3 2 2 2 2 3" xfId="46958" xr:uid="{00000000-0005-0000-0000-000075470000}"/>
    <cellStyle name="20 % - Markeringsfarve6 5 3 2 2 2 3" xfId="24972" xr:uid="{00000000-0005-0000-0000-000076470000}"/>
    <cellStyle name="20 % - Markeringsfarve6 5 3 2 2 2 4" xfId="39959" xr:uid="{00000000-0005-0000-0000-000077470000}"/>
    <cellStyle name="20 % - Markeringsfarve6 5 3 2 2 3" xfId="11663" xr:uid="{00000000-0005-0000-0000-000078470000}"/>
    <cellStyle name="20 % - Markeringsfarve6 5 3 2 2 3 2" xfId="27982" xr:uid="{00000000-0005-0000-0000-000079470000}"/>
    <cellStyle name="20 % - Markeringsfarve6 5 3 2 2 3 3" xfId="42948" xr:uid="{00000000-0005-0000-0000-00007A470000}"/>
    <cellStyle name="20 % - Markeringsfarve6 5 3 2 2 4" xfId="20960" xr:uid="{00000000-0005-0000-0000-00007B470000}"/>
    <cellStyle name="20 % - Markeringsfarve6 5 3 2 2 5" xfId="35949" xr:uid="{00000000-0005-0000-0000-00007C470000}"/>
    <cellStyle name="20 % - Markeringsfarve6 5 3 2 3" xfId="6334" xr:uid="{00000000-0005-0000-0000-00007D470000}"/>
    <cellStyle name="20 % - Markeringsfarve6 5 3 2 3 2" xfId="14251" xr:uid="{00000000-0005-0000-0000-00007E470000}"/>
    <cellStyle name="20 % - Markeringsfarve6 5 3 2 3 2 2" xfId="30565" xr:uid="{00000000-0005-0000-0000-00007F470000}"/>
    <cellStyle name="20 % - Markeringsfarve6 5 3 2 3 2 3" xfId="45529" xr:uid="{00000000-0005-0000-0000-000080470000}"/>
    <cellStyle name="20 % - Markeringsfarve6 5 3 2 3 3" xfId="23543" xr:uid="{00000000-0005-0000-0000-000081470000}"/>
    <cellStyle name="20 % - Markeringsfarve6 5 3 2 3 4" xfId="38530" xr:uid="{00000000-0005-0000-0000-000082470000}"/>
    <cellStyle name="20 % - Markeringsfarve6 5 3 2 4" xfId="11662" xr:uid="{00000000-0005-0000-0000-000083470000}"/>
    <cellStyle name="20 % - Markeringsfarve6 5 3 2 4 2" xfId="27981" xr:uid="{00000000-0005-0000-0000-000084470000}"/>
    <cellStyle name="20 % - Markeringsfarve6 5 3 2 4 3" xfId="42947" xr:uid="{00000000-0005-0000-0000-000085470000}"/>
    <cellStyle name="20 % - Markeringsfarve6 5 3 2 5" xfId="20959" xr:uid="{00000000-0005-0000-0000-000086470000}"/>
    <cellStyle name="20 % - Markeringsfarve6 5 3 2 6" xfId="35948" xr:uid="{00000000-0005-0000-0000-000087470000}"/>
    <cellStyle name="20 % - Markeringsfarve6 5 3 3" xfId="3107" xr:uid="{00000000-0005-0000-0000-000088470000}"/>
    <cellStyle name="20 % - Markeringsfarve6 5 3 3 2" xfId="7009" xr:uid="{00000000-0005-0000-0000-000089470000}"/>
    <cellStyle name="20 % - Markeringsfarve6 5 3 3 2 2" xfId="14920" xr:uid="{00000000-0005-0000-0000-00008A470000}"/>
    <cellStyle name="20 % - Markeringsfarve6 5 3 3 2 2 2" xfId="31234" xr:uid="{00000000-0005-0000-0000-00008B470000}"/>
    <cellStyle name="20 % - Markeringsfarve6 5 3 3 2 2 3" xfId="46198" xr:uid="{00000000-0005-0000-0000-00008C470000}"/>
    <cellStyle name="20 % - Markeringsfarve6 5 3 3 2 3" xfId="24212" xr:uid="{00000000-0005-0000-0000-00008D470000}"/>
    <cellStyle name="20 % - Markeringsfarve6 5 3 3 2 4" xfId="39199" xr:uid="{00000000-0005-0000-0000-00008E470000}"/>
    <cellStyle name="20 % - Markeringsfarve6 5 3 3 3" xfId="11664" xr:uid="{00000000-0005-0000-0000-00008F470000}"/>
    <cellStyle name="20 % - Markeringsfarve6 5 3 3 3 2" xfId="27983" xr:uid="{00000000-0005-0000-0000-000090470000}"/>
    <cellStyle name="20 % - Markeringsfarve6 5 3 3 3 3" xfId="42949" xr:uid="{00000000-0005-0000-0000-000091470000}"/>
    <cellStyle name="20 % - Markeringsfarve6 5 3 3 4" xfId="20961" xr:uid="{00000000-0005-0000-0000-000092470000}"/>
    <cellStyle name="20 % - Markeringsfarve6 5 3 3 5" xfId="35950" xr:uid="{00000000-0005-0000-0000-000093470000}"/>
    <cellStyle name="20 % - Markeringsfarve6 5 3 4" xfId="3108" xr:uid="{00000000-0005-0000-0000-000094470000}"/>
    <cellStyle name="20 % - Markeringsfarve6 5 3 4 2" xfId="8464" xr:uid="{00000000-0005-0000-0000-000095470000}"/>
    <cellStyle name="20 % - Markeringsfarve6 5 3 4 2 2" xfId="16355" xr:uid="{00000000-0005-0000-0000-000096470000}"/>
    <cellStyle name="20 % - Markeringsfarve6 5 3 4 2 2 2" xfId="32669" xr:uid="{00000000-0005-0000-0000-000097470000}"/>
    <cellStyle name="20 % - Markeringsfarve6 5 3 4 2 2 3" xfId="47633" xr:uid="{00000000-0005-0000-0000-000098470000}"/>
    <cellStyle name="20 % - Markeringsfarve6 5 3 4 2 3" xfId="25647" xr:uid="{00000000-0005-0000-0000-000099470000}"/>
    <cellStyle name="20 % - Markeringsfarve6 5 3 4 2 4" xfId="40634" xr:uid="{00000000-0005-0000-0000-00009A470000}"/>
    <cellStyle name="20 % - Markeringsfarve6 5 3 4 3" xfId="11665" xr:uid="{00000000-0005-0000-0000-00009B470000}"/>
    <cellStyle name="20 % - Markeringsfarve6 5 3 4 3 2" xfId="27984" xr:uid="{00000000-0005-0000-0000-00009C470000}"/>
    <cellStyle name="20 % - Markeringsfarve6 5 3 4 3 3" xfId="42950" xr:uid="{00000000-0005-0000-0000-00009D470000}"/>
    <cellStyle name="20 % - Markeringsfarve6 5 3 4 4" xfId="20962" xr:uid="{00000000-0005-0000-0000-00009E470000}"/>
    <cellStyle name="20 % - Markeringsfarve6 5 3 4 5" xfId="35951" xr:uid="{00000000-0005-0000-0000-00009F470000}"/>
    <cellStyle name="20 % - Markeringsfarve6 5 3 5" xfId="5737" xr:uid="{00000000-0005-0000-0000-0000A0470000}"/>
    <cellStyle name="20 % - Markeringsfarve6 5 3 5 2" xfId="13655" xr:uid="{00000000-0005-0000-0000-0000A1470000}"/>
    <cellStyle name="20 % - Markeringsfarve6 5 3 5 2 2" xfId="29969" xr:uid="{00000000-0005-0000-0000-0000A2470000}"/>
    <cellStyle name="20 % - Markeringsfarve6 5 3 5 2 3" xfId="44933" xr:uid="{00000000-0005-0000-0000-0000A3470000}"/>
    <cellStyle name="20 % - Markeringsfarve6 5 3 5 3" xfId="22947" xr:uid="{00000000-0005-0000-0000-0000A4470000}"/>
    <cellStyle name="20 % - Markeringsfarve6 5 3 5 4" xfId="37934" xr:uid="{00000000-0005-0000-0000-0000A5470000}"/>
    <cellStyle name="20 % - Markeringsfarve6 5 3 6" xfId="11661" xr:uid="{00000000-0005-0000-0000-0000A6470000}"/>
    <cellStyle name="20 % - Markeringsfarve6 5 3 6 2" xfId="27980" xr:uid="{00000000-0005-0000-0000-0000A7470000}"/>
    <cellStyle name="20 % - Markeringsfarve6 5 3 6 3" xfId="42946" xr:uid="{00000000-0005-0000-0000-0000A8470000}"/>
    <cellStyle name="20 % - Markeringsfarve6 5 3 7" xfId="20958" xr:uid="{00000000-0005-0000-0000-0000A9470000}"/>
    <cellStyle name="20 % - Markeringsfarve6 5 3 8" xfId="35947" xr:uid="{00000000-0005-0000-0000-0000AA470000}"/>
    <cellStyle name="20 % - Markeringsfarve6 5 3 9" xfId="56523" xr:uid="{00000000-0005-0000-0000-0000AB470000}"/>
    <cellStyle name="20 % - Markeringsfarve6 5 4" xfId="3109" xr:uid="{00000000-0005-0000-0000-0000AC470000}"/>
    <cellStyle name="20 % - Markeringsfarve6 5 4 2" xfId="3110" xr:uid="{00000000-0005-0000-0000-0000AD470000}"/>
    <cellStyle name="20 % - Markeringsfarve6 5 4 2 2" xfId="3111" xr:uid="{00000000-0005-0000-0000-0000AE470000}"/>
    <cellStyle name="20 % - Markeringsfarve6 5 4 2 2 2" xfId="7934" xr:uid="{00000000-0005-0000-0000-0000AF470000}"/>
    <cellStyle name="20 % - Markeringsfarve6 5 4 2 2 2 2" xfId="15835" xr:uid="{00000000-0005-0000-0000-0000B0470000}"/>
    <cellStyle name="20 % - Markeringsfarve6 5 4 2 2 2 2 2" xfId="32149" xr:uid="{00000000-0005-0000-0000-0000B1470000}"/>
    <cellStyle name="20 % - Markeringsfarve6 5 4 2 2 2 2 3" xfId="47113" xr:uid="{00000000-0005-0000-0000-0000B2470000}"/>
    <cellStyle name="20 % - Markeringsfarve6 5 4 2 2 2 3" xfId="25127" xr:uid="{00000000-0005-0000-0000-0000B3470000}"/>
    <cellStyle name="20 % - Markeringsfarve6 5 4 2 2 2 4" xfId="40114" xr:uid="{00000000-0005-0000-0000-0000B4470000}"/>
    <cellStyle name="20 % - Markeringsfarve6 5 4 2 2 3" xfId="11668" xr:uid="{00000000-0005-0000-0000-0000B5470000}"/>
    <cellStyle name="20 % - Markeringsfarve6 5 4 2 2 3 2" xfId="27987" xr:uid="{00000000-0005-0000-0000-0000B6470000}"/>
    <cellStyle name="20 % - Markeringsfarve6 5 4 2 2 3 3" xfId="42953" xr:uid="{00000000-0005-0000-0000-0000B7470000}"/>
    <cellStyle name="20 % - Markeringsfarve6 5 4 2 2 4" xfId="20965" xr:uid="{00000000-0005-0000-0000-0000B8470000}"/>
    <cellStyle name="20 % - Markeringsfarve6 5 4 2 2 5" xfId="35954" xr:uid="{00000000-0005-0000-0000-0000B9470000}"/>
    <cellStyle name="20 % - Markeringsfarve6 5 4 2 3" xfId="6467" xr:uid="{00000000-0005-0000-0000-0000BA470000}"/>
    <cellStyle name="20 % - Markeringsfarve6 5 4 2 3 2" xfId="14381" xr:uid="{00000000-0005-0000-0000-0000BB470000}"/>
    <cellStyle name="20 % - Markeringsfarve6 5 4 2 3 2 2" xfId="30695" xr:uid="{00000000-0005-0000-0000-0000BC470000}"/>
    <cellStyle name="20 % - Markeringsfarve6 5 4 2 3 2 3" xfId="45659" xr:uid="{00000000-0005-0000-0000-0000BD470000}"/>
    <cellStyle name="20 % - Markeringsfarve6 5 4 2 3 3" xfId="23673" xr:uid="{00000000-0005-0000-0000-0000BE470000}"/>
    <cellStyle name="20 % - Markeringsfarve6 5 4 2 3 4" xfId="38660" xr:uid="{00000000-0005-0000-0000-0000BF470000}"/>
    <cellStyle name="20 % - Markeringsfarve6 5 4 2 4" xfId="11667" xr:uid="{00000000-0005-0000-0000-0000C0470000}"/>
    <cellStyle name="20 % - Markeringsfarve6 5 4 2 4 2" xfId="27986" xr:uid="{00000000-0005-0000-0000-0000C1470000}"/>
    <cellStyle name="20 % - Markeringsfarve6 5 4 2 4 3" xfId="42952" xr:uid="{00000000-0005-0000-0000-0000C2470000}"/>
    <cellStyle name="20 % - Markeringsfarve6 5 4 2 5" xfId="20964" xr:uid="{00000000-0005-0000-0000-0000C3470000}"/>
    <cellStyle name="20 % - Markeringsfarve6 5 4 2 6" xfId="35953" xr:uid="{00000000-0005-0000-0000-0000C4470000}"/>
    <cellStyle name="20 % - Markeringsfarve6 5 4 3" xfId="3112" xr:uid="{00000000-0005-0000-0000-0000C5470000}"/>
    <cellStyle name="20 % - Markeringsfarve6 5 4 3 2" xfId="7210" xr:uid="{00000000-0005-0000-0000-0000C6470000}"/>
    <cellStyle name="20 % - Markeringsfarve6 5 4 3 2 2" xfId="15120" xr:uid="{00000000-0005-0000-0000-0000C7470000}"/>
    <cellStyle name="20 % - Markeringsfarve6 5 4 3 2 2 2" xfId="31434" xr:uid="{00000000-0005-0000-0000-0000C8470000}"/>
    <cellStyle name="20 % - Markeringsfarve6 5 4 3 2 2 3" xfId="46398" xr:uid="{00000000-0005-0000-0000-0000C9470000}"/>
    <cellStyle name="20 % - Markeringsfarve6 5 4 3 2 3" xfId="24412" xr:uid="{00000000-0005-0000-0000-0000CA470000}"/>
    <cellStyle name="20 % - Markeringsfarve6 5 4 3 2 4" xfId="39399" xr:uid="{00000000-0005-0000-0000-0000CB470000}"/>
    <cellStyle name="20 % - Markeringsfarve6 5 4 3 3" xfId="11669" xr:uid="{00000000-0005-0000-0000-0000CC470000}"/>
    <cellStyle name="20 % - Markeringsfarve6 5 4 3 3 2" xfId="27988" xr:uid="{00000000-0005-0000-0000-0000CD470000}"/>
    <cellStyle name="20 % - Markeringsfarve6 5 4 3 3 3" xfId="42954" xr:uid="{00000000-0005-0000-0000-0000CE470000}"/>
    <cellStyle name="20 % - Markeringsfarve6 5 4 3 4" xfId="20966" xr:uid="{00000000-0005-0000-0000-0000CF470000}"/>
    <cellStyle name="20 % - Markeringsfarve6 5 4 3 5" xfId="35955" xr:uid="{00000000-0005-0000-0000-0000D0470000}"/>
    <cellStyle name="20 % - Markeringsfarve6 5 4 4" xfId="3113" xr:uid="{00000000-0005-0000-0000-0000D1470000}"/>
    <cellStyle name="20 % - Markeringsfarve6 5 4 4 2" xfId="8698" xr:uid="{00000000-0005-0000-0000-0000D2470000}"/>
    <cellStyle name="20 % - Markeringsfarve6 5 4 4 2 2" xfId="16579" xr:uid="{00000000-0005-0000-0000-0000D3470000}"/>
    <cellStyle name="20 % - Markeringsfarve6 5 4 4 2 2 2" xfId="32893" xr:uid="{00000000-0005-0000-0000-0000D4470000}"/>
    <cellStyle name="20 % - Markeringsfarve6 5 4 4 2 2 3" xfId="47857" xr:uid="{00000000-0005-0000-0000-0000D5470000}"/>
    <cellStyle name="20 % - Markeringsfarve6 5 4 4 2 3" xfId="25871" xr:uid="{00000000-0005-0000-0000-0000D6470000}"/>
    <cellStyle name="20 % - Markeringsfarve6 5 4 4 2 4" xfId="40858" xr:uid="{00000000-0005-0000-0000-0000D7470000}"/>
    <cellStyle name="20 % - Markeringsfarve6 5 4 4 3" xfId="11670" xr:uid="{00000000-0005-0000-0000-0000D8470000}"/>
    <cellStyle name="20 % - Markeringsfarve6 5 4 4 3 2" xfId="27989" xr:uid="{00000000-0005-0000-0000-0000D9470000}"/>
    <cellStyle name="20 % - Markeringsfarve6 5 4 4 3 3" xfId="42955" xr:uid="{00000000-0005-0000-0000-0000DA470000}"/>
    <cellStyle name="20 % - Markeringsfarve6 5 4 4 4" xfId="20967" xr:uid="{00000000-0005-0000-0000-0000DB470000}"/>
    <cellStyle name="20 % - Markeringsfarve6 5 4 4 5" xfId="35956" xr:uid="{00000000-0005-0000-0000-0000DC470000}"/>
    <cellStyle name="20 % - Markeringsfarve6 5 4 5" xfId="5738" xr:uid="{00000000-0005-0000-0000-0000DD470000}"/>
    <cellStyle name="20 % - Markeringsfarve6 5 4 5 2" xfId="13656" xr:uid="{00000000-0005-0000-0000-0000DE470000}"/>
    <cellStyle name="20 % - Markeringsfarve6 5 4 5 2 2" xfId="29970" xr:uid="{00000000-0005-0000-0000-0000DF470000}"/>
    <cellStyle name="20 % - Markeringsfarve6 5 4 5 2 3" xfId="44934" xr:uid="{00000000-0005-0000-0000-0000E0470000}"/>
    <cellStyle name="20 % - Markeringsfarve6 5 4 5 3" xfId="22948" xr:uid="{00000000-0005-0000-0000-0000E1470000}"/>
    <cellStyle name="20 % - Markeringsfarve6 5 4 5 4" xfId="37935" xr:uid="{00000000-0005-0000-0000-0000E2470000}"/>
    <cellStyle name="20 % - Markeringsfarve6 5 4 6" xfId="11666" xr:uid="{00000000-0005-0000-0000-0000E3470000}"/>
    <cellStyle name="20 % - Markeringsfarve6 5 4 6 2" xfId="27985" xr:uid="{00000000-0005-0000-0000-0000E4470000}"/>
    <cellStyle name="20 % - Markeringsfarve6 5 4 6 3" xfId="42951" xr:uid="{00000000-0005-0000-0000-0000E5470000}"/>
    <cellStyle name="20 % - Markeringsfarve6 5 4 7" xfId="20963" xr:uid="{00000000-0005-0000-0000-0000E6470000}"/>
    <cellStyle name="20 % - Markeringsfarve6 5 4 8" xfId="35952" xr:uid="{00000000-0005-0000-0000-0000E7470000}"/>
    <cellStyle name="20 % - Markeringsfarve6 5 5" xfId="3114" xr:uid="{00000000-0005-0000-0000-0000E8470000}"/>
    <cellStyle name="20 % - Markeringsfarve6 5 5 2" xfId="3115" xr:uid="{00000000-0005-0000-0000-0000E9470000}"/>
    <cellStyle name="20 % - Markeringsfarve6 5 5 2 2" xfId="3116" xr:uid="{00000000-0005-0000-0000-0000EA470000}"/>
    <cellStyle name="20 % - Markeringsfarve6 5 5 2 2 2" xfId="8051" xr:uid="{00000000-0005-0000-0000-0000EB470000}"/>
    <cellStyle name="20 % - Markeringsfarve6 5 5 2 2 2 2" xfId="15952" xr:uid="{00000000-0005-0000-0000-0000EC470000}"/>
    <cellStyle name="20 % - Markeringsfarve6 5 5 2 2 2 2 2" xfId="32266" xr:uid="{00000000-0005-0000-0000-0000ED470000}"/>
    <cellStyle name="20 % - Markeringsfarve6 5 5 2 2 2 2 3" xfId="47230" xr:uid="{00000000-0005-0000-0000-0000EE470000}"/>
    <cellStyle name="20 % - Markeringsfarve6 5 5 2 2 2 3" xfId="25244" xr:uid="{00000000-0005-0000-0000-0000EF470000}"/>
    <cellStyle name="20 % - Markeringsfarve6 5 5 2 2 2 4" xfId="40231" xr:uid="{00000000-0005-0000-0000-0000F0470000}"/>
    <cellStyle name="20 % - Markeringsfarve6 5 5 2 2 3" xfId="11673" xr:uid="{00000000-0005-0000-0000-0000F1470000}"/>
    <cellStyle name="20 % - Markeringsfarve6 5 5 2 2 3 2" xfId="27992" xr:uid="{00000000-0005-0000-0000-0000F2470000}"/>
    <cellStyle name="20 % - Markeringsfarve6 5 5 2 2 3 3" xfId="42958" xr:uid="{00000000-0005-0000-0000-0000F3470000}"/>
    <cellStyle name="20 % - Markeringsfarve6 5 5 2 2 4" xfId="20970" xr:uid="{00000000-0005-0000-0000-0000F4470000}"/>
    <cellStyle name="20 % - Markeringsfarve6 5 5 2 2 5" xfId="35959" xr:uid="{00000000-0005-0000-0000-0000F5470000}"/>
    <cellStyle name="20 % - Markeringsfarve6 5 5 2 3" xfId="6566" xr:uid="{00000000-0005-0000-0000-0000F6470000}"/>
    <cellStyle name="20 % - Markeringsfarve6 5 5 2 3 2" xfId="14480" xr:uid="{00000000-0005-0000-0000-0000F7470000}"/>
    <cellStyle name="20 % - Markeringsfarve6 5 5 2 3 2 2" xfId="30794" xr:uid="{00000000-0005-0000-0000-0000F8470000}"/>
    <cellStyle name="20 % - Markeringsfarve6 5 5 2 3 2 3" xfId="45758" xr:uid="{00000000-0005-0000-0000-0000F9470000}"/>
    <cellStyle name="20 % - Markeringsfarve6 5 5 2 3 3" xfId="23772" xr:uid="{00000000-0005-0000-0000-0000FA470000}"/>
    <cellStyle name="20 % - Markeringsfarve6 5 5 2 3 4" xfId="38759" xr:uid="{00000000-0005-0000-0000-0000FB470000}"/>
    <cellStyle name="20 % - Markeringsfarve6 5 5 2 4" xfId="11672" xr:uid="{00000000-0005-0000-0000-0000FC470000}"/>
    <cellStyle name="20 % - Markeringsfarve6 5 5 2 4 2" xfId="27991" xr:uid="{00000000-0005-0000-0000-0000FD470000}"/>
    <cellStyle name="20 % - Markeringsfarve6 5 5 2 4 3" xfId="42957" xr:uid="{00000000-0005-0000-0000-0000FE470000}"/>
    <cellStyle name="20 % - Markeringsfarve6 5 5 2 5" xfId="20969" xr:uid="{00000000-0005-0000-0000-0000FF470000}"/>
    <cellStyle name="20 % - Markeringsfarve6 5 5 2 6" xfId="35958" xr:uid="{00000000-0005-0000-0000-000000480000}"/>
    <cellStyle name="20 % - Markeringsfarve6 5 5 3" xfId="3117" xr:uid="{00000000-0005-0000-0000-000001480000}"/>
    <cellStyle name="20 % - Markeringsfarve6 5 5 3 2" xfId="7327" xr:uid="{00000000-0005-0000-0000-000002480000}"/>
    <cellStyle name="20 % - Markeringsfarve6 5 5 3 2 2" xfId="15237" xr:uid="{00000000-0005-0000-0000-000003480000}"/>
    <cellStyle name="20 % - Markeringsfarve6 5 5 3 2 2 2" xfId="31551" xr:uid="{00000000-0005-0000-0000-000004480000}"/>
    <cellStyle name="20 % - Markeringsfarve6 5 5 3 2 2 3" xfId="46515" xr:uid="{00000000-0005-0000-0000-000005480000}"/>
    <cellStyle name="20 % - Markeringsfarve6 5 5 3 2 3" xfId="24529" xr:uid="{00000000-0005-0000-0000-000006480000}"/>
    <cellStyle name="20 % - Markeringsfarve6 5 5 3 2 4" xfId="39516" xr:uid="{00000000-0005-0000-0000-000007480000}"/>
    <cellStyle name="20 % - Markeringsfarve6 5 5 3 3" xfId="11674" xr:uid="{00000000-0005-0000-0000-000008480000}"/>
    <cellStyle name="20 % - Markeringsfarve6 5 5 3 3 2" xfId="27993" xr:uid="{00000000-0005-0000-0000-000009480000}"/>
    <cellStyle name="20 % - Markeringsfarve6 5 5 3 3 3" xfId="42959" xr:uid="{00000000-0005-0000-0000-00000A480000}"/>
    <cellStyle name="20 % - Markeringsfarve6 5 5 3 4" xfId="20971" xr:uid="{00000000-0005-0000-0000-00000B480000}"/>
    <cellStyle name="20 % - Markeringsfarve6 5 5 3 5" xfId="35960" xr:uid="{00000000-0005-0000-0000-00000C480000}"/>
    <cellStyle name="20 % - Markeringsfarve6 5 5 4" xfId="3118" xr:uid="{00000000-0005-0000-0000-00000D480000}"/>
    <cellStyle name="20 % - Markeringsfarve6 5 5 4 2" xfId="8423" xr:uid="{00000000-0005-0000-0000-00000E480000}"/>
    <cellStyle name="20 % - Markeringsfarve6 5 5 4 2 2" xfId="16316" xr:uid="{00000000-0005-0000-0000-00000F480000}"/>
    <cellStyle name="20 % - Markeringsfarve6 5 5 4 2 2 2" xfId="32630" xr:uid="{00000000-0005-0000-0000-000010480000}"/>
    <cellStyle name="20 % - Markeringsfarve6 5 5 4 2 2 3" xfId="47594" xr:uid="{00000000-0005-0000-0000-000011480000}"/>
    <cellStyle name="20 % - Markeringsfarve6 5 5 4 2 3" xfId="25608" xr:uid="{00000000-0005-0000-0000-000012480000}"/>
    <cellStyle name="20 % - Markeringsfarve6 5 5 4 2 4" xfId="40595" xr:uid="{00000000-0005-0000-0000-000013480000}"/>
    <cellStyle name="20 % - Markeringsfarve6 5 5 4 3" xfId="11675" xr:uid="{00000000-0005-0000-0000-000014480000}"/>
    <cellStyle name="20 % - Markeringsfarve6 5 5 4 3 2" xfId="27994" xr:uid="{00000000-0005-0000-0000-000015480000}"/>
    <cellStyle name="20 % - Markeringsfarve6 5 5 4 3 3" xfId="42960" xr:uid="{00000000-0005-0000-0000-000016480000}"/>
    <cellStyle name="20 % - Markeringsfarve6 5 5 4 4" xfId="20972" xr:uid="{00000000-0005-0000-0000-000017480000}"/>
    <cellStyle name="20 % - Markeringsfarve6 5 5 4 5" xfId="35961" xr:uid="{00000000-0005-0000-0000-000018480000}"/>
    <cellStyle name="20 % - Markeringsfarve6 5 5 5" xfId="5739" xr:uid="{00000000-0005-0000-0000-000019480000}"/>
    <cellStyle name="20 % - Markeringsfarve6 5 5 5 2" xfId="13657" xr:uid="{00000000-0005-0000-0000-00001A480000}"/>
    <cellStyle name="20 % - Markeringsfarve6 5 5 5 2 2" xfId="29971" xr:uid="{00000000-0005-0000-0000-00001B480000}"/>
    <cellStyle name="20 % - Markeringsfarve6 5 5 5 2 3" xfId="44935" xr:uid="{00000000-0005-0000-0000-00001C480000}"/>
    <cellStyle name="20 % - Markeringsfarve6 5 5 5 3" xfId="22949" xr:uid="{00000000-0005-0000-0000-00001D480000}"/>
    <cellStyle name="20 % - Markeringsfarve6 5 5 5 4" xfId="37936" xr:uid="{00000000-0005-0000-0000-00001E480000}"/>
    <cellStyle name="20 % - Markeringsfarve6 5 5 6" xfId="11671" xr:uid="{00000000-0005-0000-0000-00001F480000}"/>
    <cellStyle name="20 % - Markeringsfarve6 5 5 6 2" xfId="27990" xr:uid="{00000000-0005-0000-0000-000020480000}"/>
    <cellStyle name="20 % - Markeringsfarve6 5 5 6 3" xfId="42956" xr:uid="{00000000-0005-0000-0000-000021480000}"/>
    <cellStyle name="20 % - Markeringsfarve6 5 5 7" xfId="20968" xr:uid="{00000000-0005-0000-0000-000022480000}"/>
    <cellStyle name="20 % - Markeringsfarve6 5 5 8" xfId="35957" xr:uid="{00000000-0005-0000-0000-000023480000}"/>
    <cellStyle name="20 % - Markeringsfarve6 5 6" xfId="3119" xr:uid="{00000000-0005-0000-0000-000024480000}"/>
    <cellStyle name="20 % - Markeringsfarve6 5 6 2" xfId="3120" xr:uid="{00000000-0005-0000-0000-000025480000}"/>
    <cellStyle name="20 % - Markeringsfarve6 5 6 2 2" xfId="3121" xr:uid="{00000000-0005-0000-0000-000026480000}"/>
    <cellStyle name="20 % - Markeringsfarve6 5 6 2 2 2" xfId="8133" xr:uid="{00000000-0005-0000-0000-000027480000}"/>
    <cellStyle name="20 % - Markeringsfarve6 5 6 2 2 2 2" xfId="16034" xr:uid="{00000000-0005-0000-0000-000028480000}"/>
    <cellStyle name="20 % - Markeringsfarve6 5 6 2 2 2 2 2" xfId="32348" xr:uid="{00000000-0005-0000-0000-000029480000}"/>
    <cellStyle name="20 % - Markeringsfarve6 5 6 2 2 2 2 3" xfId="47312" xr:uid="{00000000-0005-0000-0000-00002A480000}"/>
    <cellStyle name="20 % - Markeringsfarve6 5 6 2 2 2 3" xfId="25326" xr:uid="{00000000-0005-0000-0000-00002B480000}"/>
    <cellStyle name="20 % - Markeringsfarve6 5 6 2 2 2 4" xfId="40313" xr:uid="{00000000-0005-0000-0000-00002C480000}"/>
    <cellStyle name="20 % - Markeringsfarve6 5 6 2 2 3" xfId="11678" xr:uid="{00000000-0005-0000-0000-00002D480000}"/>
    <cellStyle name="20 % - Markeringsfarve6 5 6 2 2 3 2" xfId="27997" xr:uid="{00000000-0005-0000-0000-00002E480000}"/>
    <cellStyle name="20 % - Markeringsfarve6 5 6 2 2 3 3" xfId="42963" xr:uid="{00000000-0005-0000-0000-00002F480000}"/>
    <cellStyle name="20 % - Markeringsfarve6 5 6 2 2 4" xfId="20975" xr:uid="{00000000-0005-0000-0000-000030480000}"/>
    <cellStyle name="20 % - Markeringsfarve6 5 6 2 2 5" xfId="35964" xr:uid="{00000000-0005-0000-0000-000031480000}"/>
    <cellStyle name="20 % - Markeringsfarve6 5 6 2 3" xfId="6635" xr:uid="{00000000-0005-0000-0000-000032480000}"/>
    <cellStyle name="20 % - Markeringsfarve6 5 6 2 3 2" xfId="14549" xr:uid="{00000000-0005-0000-0000-000033480000}"/>
    <cellStyle name="20 % - Markeringsfarve6 5 6 2 3 2 2" xfId="30863" xr:uid="{00000000-0005-0000-0000-000034480000}"/>
    <cellStyle name="20 % - Markeringsfarve6 5 6 2 3 2 3" xfId="45827" xr:uid="{00000000-0005-0000-0000-000035480000}"/>
    <cellStyle name="20 % - Markeringsfarve6 5 6 2 3 3" xfId="23841" xr:uid="{00000000-0005-0000-0000-000036480000}"/>
    <cellStyle name="20 % - Markeringsfarve6 5 6 2 3 4" xfId="38828" xr:uid="{00000000-0005-0000-0000-000037480000}"/>
    <cellStyle name="20 % - Markeringsfarve6 5 6 2 4" xfId="11677" xr:uid="{00000000-0005-0000-0000-000038480000}"/>
    <cellStyle name="20 % - Markeringsfarve6 5 6 2 4 2" xfId="27996" xr:uid="{00000000-0005-0000-0000-000039480000}"/>
    <cellStyle name="20 % - Markeringsfarve6 5 6 2 4 3" xfId="42962" xr:uid="{00000000-0005-0000-0000-00003A480000}"/>
    <cellStyle name="20 % - Markeringsfarve6 5 6 2 5" xfId="20974" xr:uid="{00000000-0005-0000-0000-00003B480000}"/>
    <cellStyle name="20 % - Markeringsfarve6 5 6 2 6" xfId="35963" xr:uid="{00000000-0005-0000-0000-00003C480000}"/>
    <cellStyle name="20 % - Markeringsfarve6 5 6 3" xfId="3122" xr:uid="{00000000-0005-0000-0000-00003D480000}"/>
    <cellStyle name="20 % - Markeringsfarve6 5 6 3 2" xfId="7410" xr:uid="{00000000-0005-0000-0000-00003E480000}"/>
    <cellStyle name="20 % - Markeringsfarve6 5 6 3 2 2" xfId="15320" xr:uid="{00000000-0005-0000-0000-00003F480000}"/>
    <cellStyle name="20 % - Markeringsfarve6 5 6 3 2 2 2" xfId="31634" xr:uid="{00000000-0005-0000-0000-000040480000}"/>
    <cellStyle name="20 % - Markeringsfarve6 5 6 3 2 2 3" xfId="46598" xr:uid="{00000000-0005-0000-0000-000041480000}"/>
    <cellStyle name="20 % - Markeringsfarve6 5 6 3 2 3" xfId="24612" xr:uid="{00000000-0005-0000-0000-000042480000}"/>
    <cellStyle name="20 % - Markeringsfarve6 5 6 3 2 4" xfId="39599" xr:uid="{00000000-0005-0000-0000-000043480000}"/>
    <cellStyle name="20 % - Markeringsfarve6 5 6 3 3" xfId="11679" xr:uid="{00000000-0005-0000-0000-000044480000}"/>
    <cellStyle name="20 % - Markeringsfarve6 5 6 3 3 2" xfId="27998" xr:uid="{00000000-0005-0000-0000-000045480000}"/>
    <cellStyle name="20 % - Markeringsfarve6 5 6 3 3 3" xfId="42964" xr:uid="{00000000-0005-0000-0000-000046480000}"/>
    <cellStyle name="20 % - Markeringsfarve6 5 6 3 4" xfId="20976" xr:uid="{00000000-0005-0000-0000-000047480000}"/>
    <cellStyle name="20 % - Markeringsfarve6 5 6 3 5" xfId="35965" xr:uid="{00000000-0005-0000-0000-000048480000}"/>
    <cellStyle name="20 % - Markeringsfarve6 5 6 4" xfId="3123" xr:uid="{00000000-0005-0000-0000-000049480000}"/>
    <cellStyle name="20 % - Markeringsfarve6 5 6 4 2" xfId="8648" xr:uid="{00000000-0005-0000-0000-00004A480000}"/>
    <cellStyle name="20 % - Markeringsfarve6 5 6 4 2 2" xfId="16531" xr:uid="{00000000-0005-0000-0000-00004B480000}"/>
    <cellStyle name="20 % - Markeringsfarve6 5 6 4 2 2 2" xfId="32845" xr:uid="{00000000-0005-0000-0000-00004C480000}"/>
    <cellStyle name="20 % - Markeringsfarve6 5 6 4 2 2 3" xfId="47809" xr:uid="{00000000-0005-0000-0000-00004D480000}"/>
    <cellStyle name="20 % - Markeringsfarve6 5 6 4 2 3" xfId="25823" xr:uid="{00000000-0005-0000-0000-00004E480000}"/>
    <cellStyle name="20 % - Markeringsfarve6 5 6 4 2 4" xfId="40810" xr:uid="{00000000-0005-0000-0000-00004F480000}"/>
    <cellStyle name="20 % - Markeringsfarve6 5 6 4 3" xfId="11680" xr:uid="{00000000-0005-0000-0000-000050480000}"/>
    <cellStyle name="20 % - Markeringsfarve6 5 6 4 3 2" xfId="27999" xr:uid="{00000000-0005-0000-0000-000051480000}"/>
    <cellStyle name="20 % - Markeringsfarve6 5 6 4 3 3" xfId="42965" xr:uid="{00000000-0005-0000-0000-000052480000}"/>
    <cellStyle name="20 % - Markeringsfarve6 5 6 4 4" xfId="20977" xr:uid="{00000000-0005-0000-0000-000053480000}"/>
    <cellStyle name="20 % - Markeringsfarve6 5 6 4 5" xfId="35966" xr:uid="{00000000-0005-0000-0000-000054480000}"/>
    <cellStyle name="20 % - Markeringsfarve6 5 6 5" xfId="5740" xr:uid="{00000000-0005-0000-0000-000055480000}"/>
    <cellStyle name="20 % - Markeringsfarve6 5 6 5 2" xfId="13658" xr:uid="{00000000-0005-0000-0000-000056480000}"/>
    <cellStyle name="20 % - Markeringsfarve6 5 6 5 2 2" xfId="29972" xr:uid="{00000000-0005-0000-0000-000057480000}"/>
    <cellStyle name="20 % - Markeringsfarve6 5 6 5 2 3" xfId="44936" xr:uid="{00000000-0005-0000-0000-000058480000}"/>
    <cellStyle name="20 % - Markeringsfarve6 5 6 5 3" xfId="22950" xr:uid="{00000000-0005-0000-0000-000059480000}"/>
    <cellStyle name="20 % - Markeringsfarve6 5 6 5 4" xfId="37937" xr:uid="{00000000-0005-0000-0000-00005A480000}"/>
    <cellStyle name="20 % - Markeringsfarve6 5 6 6" xfId="11676" xr:uid="{00000000-0005-0000-0000-00005B480000}"/>
    <cellStyle name="20 % - Markeringsfarve6 5 6 6 2" xfId="27995" xr:uid="{00000000-0005-0000-0000-00005C480000}"/>
    <cellStyle name="20 % - Markeringsfarve6 5 6 6 3" xfId="42961" xr:uid="{00000000-0005-0000-0000-00005D480000}"/>
    <cellStyle name="20 % - Markeringsfarve6 5 6 7" xfId="20973" xr:uid="{00000000-0005-0000-0000-00005E480000}"/>
    <cellStyle name="20 % - Markeringsfarve6 5 6 8" xfId="35962" xr:uid="{00000000-0005-0000-0000-00005F480000}"/>
    <cellStyle name="20 % - Markeringsfarve6 5 7" xfId="3124" xr:uid="{00000000-0005-0000-0000-000060480000}"/>
    <cellStyle name="20 % - Markeringsfarve6 5 7 2" xfId="3125" xr:uid="{00000000-0005-0000-0000-000061480000}"/>
    <cellStyle name="20 % - Markeringsfarve6 5 7 2 2" xfId="7577" xr:uid="{00000000-0005-0000-0000-000062480000}"/>
    <cellStyle name="20 % - Markeringsfarve6 5 7 2 2 2" xfId="15478" xr:uid="{00000000-0005-0000-0000-000063480000}"/>
    <cellStyle name="20 % - Markeringsfarve6 5 7 2 2 2 2" xfId="31792" xr:uid="{00000000-0005-0000-0000-000064480000}"/>
    <cellStyle name="20 % - Markeringsfarve6 5 7 2 2 2 3" xfId="46756" xr:uid="{00000000-0005-0000-0000-000065480000}"/>
    <cellStyle name="20 % - Markeringsfarve6 5 7 2 2 3" xfId="24770" xr:uid="{00000000-0005-0000-0000-000066480000}"/>
    <cellStyle name="20 % - Markeringsfarve6 5 7 2 2 4" xfId="39757" xr:uid="{00000000-0005-0000-0000-000067480000}"/>
    <cellStyle name="20 % - Markeringsfarve6 5 7 2 3" xfId="11682" xr:uid="{00000000-0005-0000-0000-000068480000}"/>
    <cellStyle name="20 % - Markeringsfarve6 5 7 2 3 2" xfId="28001" xr:uid="{00000000-0005-0000-0000-000069480000}"/>
    <cellStyle name="20 % - Markeringsfarve6 5 7 2 3 3" xfId="42967" xr:uid="{00000000-0005-0000-0000-00006A480000}"/>
    <cellStyle name="20 % - Markeringsfarve6 5 7 2 4" xfId="20979" xr:uid="{00000000-0005-0000-0000-00006B480000}"/>
    <cellStyle name="20 % - Markeringsfarve6 5 7 2 5" xfId="35968" xr:uid="{00000000-0005-0000-0000-00006C480000}"/>
    <cellStyle name="20 % - Markeringsfarve6 5 7 3" xfId="6166" xr:uid="{00000000-0005-0000-0000-00006D480000}"/>
    <cellStyle name="20 % - Markeringsfarve6 5 7 3 2" xfId="14083" xr:uid="{00000000-0005-0000-0000-00006E480000}"/>
    <cellStyle name="20 % - Markeringsfarve6 5 7 3 2 2" xfId="30397" xr:uid="{00000000-0005-0000-0000-00006F480000}"/>
    <cellStyle name="20 % - Markeringsfarve6 5 7 3 2 3" xfId="45361" xr:uid="{00000000-0005-0000-0000-000070480000}"/>
    <cellStyle name="20 % - Markeringsfarve6 5 7 3 3" xfId="23375" xr:uid="{00000000-0005-0000-0000-000071480000}"/>
    <cellStyle name="20 % - Markeringsfarve6 5 7 3 4" xfId="38362" xr:uid="{00000000-0005-0000-0000-000072480000}"/>
    <cellStyle name="20 % - Markeringsfarve6 5 7 4" xfId="11681" xr:uid="{00000000-0005-0000-0000-000073480000}"/>
    <cellStyle name="20 % - Markeringsfarve6 5 7 4 2" xfId="28000" xr:uid="{00000000-0005-0000-0000-000074480000}"/>
    <cellStyle name="20 % - Markeringsfarve6 5 7 4 3" xfId="42966" xr:uid="{00000000-0005-0000-0000-000075480000}"/>
    <cellStyle name="20 % - Markeringsfarve6 5 7 5" xfId="20978" xr:uid="{00000000-0005-0000-0000-000076480000}"/>
    <cellStyle name="20 % - Markeringsfarve6 5 7 6" xfId="35967" xr:uid="{00000000-0005-0000-0000-000077480000}"/>
    <cellStyle name="20 % - Markeringsfarve6 5 8" xfId="3126" xr:uid="{00000000-0005-0000-0000-000078480000}"/>
    <cellStyle name="20 % - Markeringsfarve6 5 8 2" xfId="6805" xr:uid="{00000000-0005-0000-0000-000079480000}"/>
    <cellStyle name="20 % - Markeringsfarve6 5 8 2 2" xfId="14716" xr:uid="{00000000-0005-0000-0000-00007A480000}"/>
    <cellStyle name="20 % - Markeringsfarve6 5 8 2 2 2" xfId="31030" xr:uid="{00000000-0005-0000-0000-00007B480000}"/>
    <cellStyle name="20 % - Markeringsfarve6 5 8 2 2 3" xfId="45994" xr:uid="{00000000-0005-0000-0000-00007C480000}"/>
    <cellStyle name="20 % - Markeringsfarve6 5 8 2 3" xfId="24008" xr:uid="{00000000-0005-0000-0000-00007D480000}"/>
    <cellStyle name="20 % - Markeringsfarve6 5 8 2 4" xfId="38995" xr:uid="{00000000-0005-0000-0000-00007E480000}"/>
    <cellStyle name="20 % - Markeringsfarve6 5 8 3" xfId="11683" xr:uid="{00000000-0005-0000-0000-00007F480000}"/>
    <cellStyle name="20 % - Markeringsfarve6 5 8 3 2" xfId="28002" xr:uid="{00000000-0005-0000-0000-000080480000}"/>
    <cellStyle name="20 % - Markeringsfarve6 5 8 3 3" xfId="42968" xr:uid="{00000000-0005-0000-0000-000081480000}"/>
    <cellStyle name="20 % - Markeringsfarve6 5 8 4" xfId="20980" xr:uid="{00000000-0005-0000-0000-000082480000}"/>
    <cellStyle name="20 % - Markeringsfarve6 5 8 5" xfId="35969" xr:uid="{00000000-0005-0000-0000-000083480000}"/>
    <cellStyle name="20 % - Markeringsfarve6 5 9" xfId="3127" xr:uid="{00000000-0005-0000-0000-000084480000}"/>
    <cellStyle name="20 % - Markeringsfarve6 5 9 2" xfId="8501" xr:uid="{00000000-0005-0000-0000-000085480000}"/>
    <cellStyle name="20 % - Markeringsfarve6 5 9 2 2" xfId="16390" xr:uid="{00000000-0005-0000-0000-000086480000}"/>
    <cellStyle name="20 % - Markeringsfarve6 5 9 2 2 2" xfId="32704" xr:uid="{00000000-0005-0000-0000-000087480000}"/>
    <cellStyle name="20 % - Markeringsfarve6 5 9 2 2 3" xfId="47668" xr:uid="{00000000-0005-0000-0000-000088480000}"/>
    <cellStyle name="20 % - Markeringsfarve6 5 9 2 3" xfId="25682" xr:uid="{00000000-0005-0000-0000-000089480000}"/>
    <cellStyle name="20 % - Markeringsfarve6 5 9 2 4" xfId="40669" xr:uid="{00000000-0005-0000-0000-00008A480000}"/>
    <cellStyle name="20 % - Markeringsfarve6 5 9 3" xfId="11684" xr:uid="{00000000-0005-0000-0000-00008B480000}"/>
    <cellStyle name="20 % - Markeringsfarve6 5 9 3 2" xfId="28003" xr:uid="{00000000-0005-0000-0000-00008C480000}"/>
    <cellStyle name="20 % - Markeringsfarve6 5 9 3 3" xfId="42969" xr:uid="{00000000-0005-0000-0000-00008D480000}"/>
    <cellStyle name="20 % - Markeringsfarve6 5 9 4" xfId="20981" xr:uid="{00000000-0005-0000-0000-00008E480000}"/>
    <cellStyle name="20 % - Markeringsfarve6 5 9 5" xfId="35970" xr:uid="{00000000-0005-0000-0000-00008F480000}"/>
    <cellStyle name="20 % - Markeringsfarve6 6" xfId="3128" xr:uid="{00000000-0005-0000-0000-000090480000}"/>
    <cellStyle name="20 % - Markeringsfarve6 6 2" xfId="3129" xr:uid="{00000000-0005-0000-0000-000091480000}"/>
    <cellStyle name="20 % - Markeringsfarve6 6 2 2" xfId="3130" xr:uid="{00000000-0005-0000-0000-000092480000}"/>
    <cellStyle name="20 % - Markeringsfarve6 6 2 2 2" xfId="7618" xr:uid="{00000000-0005-0000-0000-000093480000}"/>
    <cellStyle name="20 % - Markeringsfarve6 6 2 2 2 2" xfId="15519" xr:uid="{00000000-0005-0000-0000-000094480000}"/>
    <cellStyle name="20 % - Markeringsfarve6 6 2 2 2 2 2" xfId="31833" xr:uid="{00000000-0005-0000-0000-000095480000}"/>
    <cellStyle name="20 % - Markeringsfarve6 6 2 2 2 2 3" xfId="46797" xr:uid="{00000000-0005-0000-0000-000096480000}"/>
    <cellStyle name="20 % - Markeringsfarve6 6 2 2 2 3" xfId="24811" xr:uid="{00000000-0005-0000-0000-000097480000}"/>
    <cellStyle name="20 % - Markeringsfarve6 6 2 2 2 4" xfId="39798" xr:uid="{00000000-0005-0000-0000-000098480000}"/>
    <cellStyle name="20 % - Markeringsfarve6 6 2 2 3" xfId="11687" xr:uid="{00000000-0005-0000-0000-000099480000}"/>
    <cellStyle name="20 % - Markeringsfarve6 6 2 2 3 2" xfId="28006" xr:uid="{00000000-0005-0000-0000-00009A480000}"/>
    <cellStyle name="20 % - Markeringsfarve6 6 2 2 3 3" xfId="42972" xr:uid="{00000000-0005-0000-0000-00009B480000}"/>
    <cellStyle name="20 % - Markeringsfarve6 6 2 2 4" xfId="20984" xr:uid="{00000000-0005-0000-0000-00009C480000}"/>
    <cellStyle name="20 % - Markeringsfarve6 6 2 2 5" xfId="35973" xr:uid="{00000000-0005-0000-0000-00009D480000}"/>
    <cellStyle name="20 % - Markeringsfarve6 6 2 2 6" xfId="57145" xr:uid="{00000000-0005-0000-0000-00009E480000}"/>
    <cellStyle name="20 % - Markeringsfarve6 6 2 3" xfId="6199" xr:uid="{00000000-0005-0000-0000-00009F480000}"/>
    <cellStyle name="20 % - Markeringsfarve6 6 2 3 2" xfId="14116" xr:uid="{00000000-0005-0000-0000-0000A0480000}"/>
    <cellStyle name="20 % - Markeringsfarve6 6 2 3 2 2" xfId="30430" xr:uid="{00000000-0005-0000-0000-0000A1480000}"/>
    <cellStyle name="20 % - Markeringsfarve6 6 2 3 2 3" xfId="45394" xr:uid="{00000000-0005-0000-0000-0000A2480000}"/>
    <cellStyle name="20 % - Markeringsfarve6 6 2 3 3" xfId="23408" xr:uid="{00000000-0005-0000-0000-0000A3480000}"/>
    <cellStyle name="20 % - Markeringsfarve6 6 2 3 4" xfId="38395" xr:uid="{00000000-0005-0000-0000-0000A4480000}"/>
    <cellStyle name="20 % - Markeringsfarve6 6 2 4" xfId="11686" xr:uid="{00000000-0005-0000-0000-0000A5480000}"/>
    <cellStyle name="20 % - Markeringsfarve6 6 2 4 2" xfId="28005" xr:uid="{00000000-0005-0000-0000-0000A6480000}"/>
    <cellStyle name="20 % - Markeringsfarve6 6 2 4 3" xfId="42971" xr:uid="{00000000-0005-0000-0000-0000A7480000}"/>
    <cellStyle name="20 % - Markeringsfarve6 6 2 5" xfId="20983" xr:uid="{00000000-0005-0000-0000-0000A8480000}"/>
    <cellStyle name="20 % - Markeringsfarve6 6 2 6" xfId="35972" xr:uid="{00000000-0005-0000-0000-0000A9480000}"/>
    <cellStyle name="20 % - Markeringsfarve6 6 2 7" xfId="53978" xr:uid="{00000000-0005-0000-0000-0000AA480000}"/>
    <cellStyle name="20 % - Markeringsfarve6 6 3" xfId="3131" xr:uid="{00000000-0005-0000-0000-0000AB480000}"/>
    <cellStyle name="20 % - Markeringsfarve6 6 3 2" xfId="6848" xr:uid="{00000000-0005-0000-0000-0000AC480000}"/>
    <cellStyle name="20 % - Markeringsfarve6 6 3 2 2" xfId="14759" xr:uid="{00000000-0005-0000-0000-0000AD480000}"/>
    <cellStyle name="20 % - Markeringsfarve6 6 3 2 2 2" xfId="31073" xr:uid="{00000000-0005-0000-0000-0000AE480000}"/>
    <cellStyle name="20 % - Markeringsfarve6 6 3 2 2 3" xfId="46037" xr:uid="{00000000-0005-0000-0000-0000AF480000}"/>
    <cellStyle name="20 % - Markeringsfarve6 6 3 2 3" xfId="24051" xr:uid="{00000000-0005-0000-0000-0000B0480000}"/>
    <cellStyle name="20 % - Markeringsfarve6 6 3 2 4" xfId="39038" xr:uid="{00000000-0005-0000-0000-0000B1480000}"/>
    <cellStyle name="20 % - Markeringsfarve6 6 3 3" xfId="11688" xr:uid="{00000000-0005-0000-0000-0000B2480000}"/>
    <cellStyle name="20 % - Markeringsfarve6 6 3 3 2" xfId="28007" xr:uid="{00000000-0005-0000-0000-0000B3480000}"/>
    <cellStyle name="20 % - Markeringsfarve6 6 3 3 3" xfId="42973" xr:uid="{00000000-0005-0000-0000-0000B4480000}"/>
    <cellStyle name="20 % - Markeringsfarve6 6 3 4" xfId="20985" xr:uid="{00000000-0005-0000-0000-0000B5480000}"/>
    <cellStyle name="20 % - Markeringsfarve6 6 3 5" xfId="35974" xr:uid="{00000000-0005-0000-0000-0000B6480000}"/>
    <cellStyle name="20 % - Markeringsfarve6 6 3 6" xfId="56522" xr:uid="{00000000-0005-0000-0000-0000B7480000}"/>
    <cellStyle name="20 % - Markeringsfarve6 6 4" xfId="3132" xr:uid="{00000000-0005-0000-0000-0000B8480000}"/>
    <cellStyle name="20 % - Markeringsfarve6 6 4 2" xfId="8297" xr:uid="{00000000-0005-0000-0000-0000B9480000}"/>
    <cellStyle name="20 % - Markeringsfarve6 6 4 2 2" xfId="16191" xr:uid="{00000000-0005-0000-0000-0000BA480000}"/>
    <cellStyle name="20 % - Markeringsfarve6 6 4 2 2 2" xfId="32505" xr:uid="{00000000-0005-0000-0000-0000BB480000}"/>
    <cellStyle name="20 % - Markeringsfarve6 6 4 2 2 3" xfId="47469" xr:uid="{00000000-0005-0000-0000-0000BC480000}"/>
    <cellStyle name="20 % - Markeringsfarve6 6 4 2 3" xfId="25483" xr:uid="{00000000-0005-0000-0000-0000BD480000}"/>
    <cellStyle name="20 % - Markeringsfarve6 6 4 2 4" xfId="40470" xr:uid="{00000000-0005-0000-0000-0000BE480000}"/>
    <cellStyle name="20 % - Markeringsfarve6 6 4 3" xfId="11689" xr:uid="{00000000-0005-0000-0000-0000BF480000}"/>
    <cellStyle name="20 % - Markeringsfarve6 6 4 3 2" xfId="28008" xr:uid="{00000000-0005-0000-0000-0000C0480000}"/>
    <cellStyle name="20 % - Markeringsfarve6 6 4 3 3" xfId="42974" xr:uid="{00000000-0005-0000-0000-0000C1480000}"/>
    <cellStyle name="20 % - Markeringsfarve6 6 4 4" xfId="20986" xr:uid="{00000000-0005-0000-0000-0000C2480000}"/>
    <cellStyle name="20 % - Markeringsfarve6 6 4 5" xfId="35975" xr:uid="{00000000-0005-0000-0000-0000C3480000}"/>
    <cellStyle name="20 % - Markeringsfarve6 6 5" xfId="5741" xr:uid="{00000000-0005-0000-0000-0000C4480000}"/>
    <cellStyle name="20 % - Markeringsfarve6 6 5 2" xfId="13659" xr:uid="{00000000-0005-0000-0000-0000C5480000}"/>
    <cellStyle name="20 % - Markeringsfarve6 6 5 2 2" xfId="29973" xr:uid="{00000000-0005-0000-0000-0000C6480000}"/>
    <cellStyle name="20 % - Markeringsfarve6 6 5 2 3" xfId="44937" xr:uid="{00000000-0005-0000-0000-0000C7480000}"/>
    <cellStyle name="20 % - Markeringsfarve6 6 5 3" xfId="22951" xr:uid="{00000000-0005-0000-0000-0000C8480000}"/>
    <cellStyle name="20 % - Markeringsfarve6 6 5 4" xfId="37938" xr:uid="{00000000-0005-0000-0000-0000C9480000}"/>
    <cellStyle name="20 % - Markeringsfarve6 6 6" xfId="11685" xr:uid="{00000000-0005-0000-0000-0000CA480000}"/>
    <cellStyle name="20 % - Markeringsfarve6 6 6 2" xfId="28004" xr:uid="{00000000-0005-0000-0000-0000CB480000}"/>
    <cellStyle name="20 % - Markeringsfarve6 6 6 3" xfId="42970" xr:uid="{00000000-0005-0000-0000-0000CC480000}"/>
    <cellStyle name="20 % - Markeringsfarve6 6 7" xfId="20982" xr:uid="{00000000-0005-0000-0000-0000CD480000}"/>
    <cellStyle name="20 % - Markeringsfarve6 6 8" xfId="35971" xr:uid="{00000000-0005-0000-0000-0000CE480000}"/>
    <cellStyle name="20 % - Markeringsfarve6 6 9" xfId="53341" xr:uid="{00000000-0005-0000-0000-0000CF480000}"/>
    <cellStyle name="20 % - Markeringsfarve6 7" xfId="3133" xr:uid="{00000000-0005-0000-0000-0000D0480000}"/>
    <cellStyle name="20 % - Markeringsfarve6 7 2" xfId="3134" xr:uid="{00000000-0005-0000-0000-0000D1480000}"/>
    <cellStyle name="20 % - Markeringsfarve6 7 2 2" xfId="3135" xr:uid="{00000000-0005-0000-0000-0000D2480000}"/>
    <cellStyle name="20 % - Markeringsfarve6 7 2 2 2" xfId="7771" xr:uid="{00000000-0005-0000-0000-0000D3480000}"/>
    <cellStyle name="20 % - Markeringsfarve6 7 2 2 2 2" xfId="15672" xr:uid="{00000000-0005-0000-0000-0000D4480000}"/>
    <cellStyle name="20 % - Markeringsfarve6 7 2 2 2 2 2" xfId="31986" xr:uid="{00000000-0005-0000-0000-0000D5480000}"/>
    <cellStyle name="20 % - Markeringsfarve6 7 2 2 2 2 3" xfId="46950" xr:uid="{00000000-0005-0000-0000-0000D6480000}"/>
    <cellStyle name="20 % - Markeringsfarve6 7 2 2 2 3" xfId="24964" xr:uid="{00000000-0005-0000-0000-0000D7480000}"/>
    <cellStyle name="20 % - Markeringsfarve6 7 2 2 2 4" xfId="39951" xr:uid="{00000000-0005-0000-0000-0000D8480000}"/>
    <cellStyle name="20 % - Markeringsfarve6 7 2 2 3" xfId="11692" xr:uid="{00000000-0005-0000-0000-0000D9480000}"/>
    <cellStyle name="20 % - Markeringsfarve6 7 2 2 3 2" xfId="28011" xr:uid="{00000000-0005-0000-0000-0000DA480000}"/>
    <cellStyle name="20 % - Markeringsfarve6 7 2 2 3 3" xfId="42977" xr:uid="{00000000-0005-0000-0000-0000DB480000}"/>
    <cellStyle name="20 % - Markeringsfarve6 7 2 2 4" xfId="20989" xr:uid="{00000000-0005-0000-0000-0000DC480000}"/>
    <cellStyle name="20 % - Markeringsfarve6 7 2 2 5" xfId="35978" xr:uid="{00000000-0005-0000-0000-0000DD480000}"/>
    <cellStyle name="20 % - Markeringsfarve6 7 2 3" xfId="6326" xr:uid="{00000000-0005-0000-0000-0000DE480000}"/>
    <cellStyle name="20 % - Markeringsfarve6 7 2 3 2" xfId="14243" xr:uid="{00000000-0005-0000-0000-0000DF480000}"/>
    <cellStyle name="20 % - Markeringsfarve6 7 2 3 2 2" xfId="30557" xr:uid="{00000000-0005-0000-0000-0000E0480000}"/>
    <cellStyle name="20 % - Markeringsfarve6 7 2 3 2 3" xfId="45521" xr:uid="{00000000-0005-0000-0000-0000E1480000}"/>
    <cellStyle name="20 % - Markeringsfarve6 7 2 3 3" xfId="23535" xr:uid="{00000000-0005-0000-0000-0000E2480000}"/>
    <cellStyle name="20 % - Markeringsfarve6 7 2 3 4" xfId="38522" xr:uid="{00000000-0005-0000-0000-0000E3480000}"/>
    <cellStyle name="20 % - Markeringsfarve6 7 2 4" xfId="11691" xr:uid="{00000000-0005-0000-0000-0000E4480000}"/>
    <cellStyle name="20 % - Markeringsfarve6 7 2 4 2" xfId="28010" xr:uid="{00000000-0005-0000-0000-0000E5480000}"/>
    <cellStyle name="20 % - Markeringsfarve6 7 2 4 3" xfId="42976" xr:uid="{00000000-0005-0000-0000-0000E6480000}"/>
    <cellStyle name="20 % - Markeringsfarve6 7 2 5" xfId="20988" xr:uid="{00000000-0005-0000-0000-0000E7480000}"/>
    <cellStyle name="20 % - Markeringsfarve6 7 2 6" xfId="35977" xr:uid="{00000000-0005-0000-0000-0000E8480000}"/>
    <cellStyle name="20 % - Markeringsfarve6 7 2 7" xfId="57122" xr:uid="{00000000-0005-0000-0000-0000E9480000}"/>
    <cellStyle name="20 % - Markeringsfarve6 7 3" xfId="3136" xr:uid="{00000000-0005-0000-0000-0000EA480000}"/>
    <cellStyle name="20 % - Markeringsfarve6 7 3 2" xfId="7001" xr:uid="{00000000-0005-0000-0000-0000EB480000}"/>
    <cellStyle name="20 % - Markeringsfarve6 7 3 2 2" xfId="14912" xr:uid="{00000000-0005-0000-0000-0000EC480000}"/>
    <cellStyle name="20 % - Markeringsfarve6 7 3 2 2 2" xfId="31226" xr:uid="{00000000-0005-0000-0000-0000ED480000}"/>
    <cellStyle name="20 % - Markeringsfarve6 7 3 2 2 3" xfId="46190" xr:uid="{00000000-0005-0000-0000-0000EE480000}"/>
    <cellStyle name="20 % - Markeringsfarve6 7 3 2 3" xfId="24204" xr:uid="{00000000-0005-0000-0000-0000EF480000}"/>
    <cellStyle name="20 % - Markeringsfarve6 7 3 2 4" xfId="39191" xr:uid="{00000000-0005-0000-0000-0000F0480000}"/>
    <cellStyle name="20 % - Markeringsfarve6 7 3 3" xfId="11693" xr:uid="{00000000-0005-0000-0000-0000F1480000}"/>
    <cellStyle name="20 % - Markeringsfarve6 7 3 3 2" xfId="28012" xr:uid="{00000000-0005-0000-0000-0000F2480000}"/>
    <cellStyle name="20 % - Markeringsfarve6 7 3 3 3" xfId="42978" xr:uid="{00000000-0005-0000-0000-0000F3480000}"/>
    <cellStyle name="20 % - Markeringsfarve6 7 3 4" xfId="20990" xr:uid="{00000000-0005-0000-0000-0000F4480000}"/>
    <cellStyle name="20 % - Markeringsfarve6 7 3 5" xfId="35979" xr:uid="{00000000-0005-0000-0000-0000F5480000}"/>
    <cellStyle name="20 % - Markeringsfarve6 7 4" xfId="3137" xr:uid="{00000000-0005-0000-0000-0000F6480000}"/>
    <cellStyle name="20 % - Markeringsfarve6 7 4 2" xfId="8609" xr:uid="{00000000-0005-0000-0000-0000F7480000}"/>
    <cellStyle name="20 % - Markeringsfarve6 7 4 2 2" xfId="16495" xr:uid="{00000000-0005-0000-0000-0000F8480000}"/>
    <cellStyle name="20 % - Markeringsfarve6 7 4 2 2 2" xfId="32809" xr:uid="{00000000-0005-0000-0000-0000F9480000}"/>
    <cellStyle name="20 % - Markeringsfarve6 7 4 2 2 3" xfId="47773" xr:uid="{00000000-0005-0000-0000-0000FA480000}"/>
    <cellStyle name="20 % - Markeringsfarve6 7 4 2 3" xfId="25787" xr:uid="{00000000-0005-0000-0000-0000FB480000}"/>
    <cellStyle name="20 % - Markeringsfarve6 7 4 2 4" xfId="40774" xr:uid="{00000000-0005-0000-0000-0000FC480000}"/>
    <cellStyle name="20 % - Markeringsfarve6 7 4 3" xfId="11694" xr:uid="{00000000-0005-0000-0000-0000FD480000}"/>
    <cellStyle name="20 % - Markeringsfarve6 7 4 3 2" xfId="28013" xr:uid="{00000000-0005-0000-0000-0000FE480000}"/>
    <cellStyle name="20 % - Markeringsfarve6 7 4 3 3" xfId="42979" xr:uid="{00000000-0005-0000-0000-0000FF480000}"/>
    <cellStyle name="20 % - Markeringsfarve6 7 4 4" xfId="20991" xr:uid="{00000000-0005-0000-0000-000000490000}"/>
    <cellStyle name="20 % - Markeringsfarve6 7 4 5" xfId="35980" xr:uid="{00000000-0005-0000-0000-000001490000}"/>
    <cellStyle name="20 % - Markeringsfarve6 7 5" xfId="5742" xr:uid="{00000000-0005-0000-0000-000002490000}"/>
    <cellStyle name="20 % - Markeringsfarve6 7 5 2" xfId="13660" xr:uid="{00000000-0005-0000-0000-000003490000}"/>
    <cellStyle name="20 % - Markeringsfarve6 7 5 2 2" xfId="29974" xr:uid="{00000000-0005-0000-0000-000004490000}"/>
    <cellStyle name="20 % - Markeringsfarve6 7 5 2 3" xfId="44938" xr:uid="{00000000-0005-0000-0000-000005490000}"/>
    <cellStyle name="20 % - Markeringsfarve6 7 5 3" xfId="22952" xr:uid="{00000000-0005-0000-0000-000006490000}"/>
    <cellStyle name="20 % - Markeringsfarve6 7 5 4" xfId="37939" xr:uid="{00000000-0005-0000-0000-000007490000}"/>
    <cellStyle name="20 % - Markeringsfarve6 7 6" xfId="11690" xr:uid="{00000000-0005-0000-0000-000008490000}"/>
    <cellStyle name="20 % - Markeringsfarve6 7 6 2" xfId="28009" xr:uid="{00000000-0005-0000-0000-000009490000}"/>
    <cellStyle name="20 % - Markeringsfarve6 7 6 3" xfId="42975" xr:uid="{00000000-0005-0000-0000-00000A490000}"/>
    <cellStyle name="20 % - Markeringsfarve6 7 7" xfId="20987" xr:uid="{00000000-0005-0000-0000-00000B490000}"/>
    <cellStyle name="20 % - Markeringsfarve6 7 8" xfId="35976" xr:uid="{00000000-0005-0000-0000-00000C490000}"/>
    <cellStyle name="20 % - Markeringsfarve6 7 9" xfId="53955" xr:uid="{00000000-0005-0000-0000-00000D490000}"/>
    <cellStyle name="20 % - Markeringsfarve6 8" xfId="3138" xr:uid="{00000000-0005-0000-0000-00000E490000}"/>
    <cellStyle name="20 % - Markeringsfarve6 8 2" xfId="3139" xr:uid="{00000000-0005-0000-0000-00000F490000}"/>
    <cellStyle name="20 % - Markeringsfarve6 8 2 2" xfId="3140" xr:uid="{00000000-0005-0000-0000-000010490000}"/>
    <cellStyle name="20 % - Markeringsfarve6 8 2 2 2" xfId="7856" xr:uid="{00000000-0005-0000-0000-000011490000}"/>
    <cellStyle name="20 % - Markeringsfarve6 8 2 2 2 2" xfId="15757" xr:uid="{00000000-0005-0000-0000-000012490000}"/>
    <cellStyle name="20 % - Markeringsfarve6 8 2 2 2 2 2" xfId="32071" xr:uid="{00000000-0005-0000-0000-000013490000}"/>
    <cellStyle name="20 % - Markeringsfarve6 8 2 2 2 2 3" xfId="47035" xr:uid="{00000000-0005-0000-0000-000014490000}"/>
    <cellStyle name="20 % - Markeringsfarve6 8 2 2 2 3" xfId="25049" xr:uid="{00000000-0005-0000-0000-000015490000}"/>
    <cellStyle name="20 % - Markeringsfarve6 8 2 2 2 4" xfId="40036" xr:uid="{00000000-0005-0000-0000-000016490000}"/>
    <cellStyle name="20 % - Markeringsfarve6 8 2 2 3" xfId="11697" xr:uid="{00000000-0005-0000-0000-000017490000}"/>
    <cellStyle name="20 % - Markeringsfarve6 8 2 2 3 2" xfId="28016" xr:uid="{00000000-0005-0000-0000-000018490000}"/>
    <cellStyle name="20 % - Markeringsfarve6 8 2 2 3 3" xfId="42982" xr:uid="{00000000-0005-0000-0000-000019490000}"/>
    <cellStyle name="20 % - Markeringsfarve6 8 2 2 4" xfId="20994" xr:uid="{00000000-0005-0000-0000-00001A490000}"/>
    <cellStyle name="20 % - Markeringsfarve6 8 2 2 5" xfId="35983" xr:uid="{00000000-0005-0000-0000-00001B490000}"/>
    <cellStyle name="20 % - Markeringsfarve6 8 2 3" xfId="6401" xr:uid="{00000000-0005-0000-0000-00001C490000}"/>
    <cellStyle name="20 % - Markeringsfarve6 8 2 3 2" xfId="14315" xr:uid="{00000000-0005-0000-0000-00001D490000}"/>
    <cellStyle name="20 % - Markeringsfarve6 8 2 3 2 2" xfId="30629" xr:uid="{00000000-0005-0000-0000-00001E490000}"/>
    <cellStyle name="20 % - Markeringsfarve6 8 2 3 2 3" xfId="45593" xr:uid="{00000000-0005-0000-0000-00001F490000}"/>
    <cellStyle name="20 % - Markeringsfarve6 8 2 3 3" xfId="23607" xr:uid="{00000000-0005-0000-0000-000020490000}"/>
    <cellStyle name="20 % - Markeringsfarve6 8 2 3 4" xfId="38594" xr:uid="{00000000-0005-0000-0000-000021490000}"/>
    <cellStyle name="20 % - Markeringsfarve6 8 2 4" xfId="11696" xr:uid="{00000000-0005-0000-0000-000022490000}"/>
    <cellStyle name="20 % - Markeringsfarve6 8 2 4 2" xfId="28015" xr:uid="{00000000-0005-0000-0000-000023490000}"/>
    <cellStyle name="20 % - Markeringsfarve6 8 2 4 3" xfId="42981" xr:uid="{00000000-0005-0000-0000-000024490000}"/>
    <cellStyle name="20 % - Markeringsfarve6 8 2 5" xfId="20993" xr:uid="{00000000-0005-0000-0000-000025490000}"/>
    <cellStyle name="20 % - Markeringsfarve6 8 2 6" xfId="35982" xr:uid="{00000000-0005-0000-0000-000026490000}"/>
    <cellStyle name="20 % - Markeringsfarve6 8 3" xfId="3141" xr:uid="{00000000-0005-0000-0000-000027490000}"/>
    <cellStyle name="20 % - Markeringsfarve6 8 3 2" xfId="7132" xr:uid="{00000000-0005-0000-0000-000028490000}"/>
    <cellStyle name="20 % - Markeringsfarve6 8 3 2 2" xfId="15042" xr:uid="{00000000-0005-0000-0000-000029490000}"/>
    <cellStyle name="20 % - Markeringsfarve6 8 3 2 2 2" xfId="31356" xr:uid="{00000000-0005-0000-0000-00002A490000}"/>
    <cellStyle name="20 % - Markeringsfarve6 8 3 2 2 3" xfId="46320" xr:uid="{00000000-0005-0000-0000-00002B490000}"/>
    <cellStyle name="20 % - Markeringsfarve6 8 3 2 3" xfId="24334" xr:uid="{00000000-0005-0000-0000-00002C490000}"/>
    <cellStyle name="20 % - Markeringsfarve6 8 3 2 4" xfId="39321" xr:uid="{00000000-0005-0000-0000-00002D490000}"/>
    <cellStyle name="20 % - Markeringsfarve6 8 3 3" xfId="11698" xr:uid="{00000000-0005-0000-0000-00002E490000}"/>
    <cellStyle name="20 % - Markeringsfarve6 8 3 3 2" xfId="28017" xr:uid="{00000000-0005-0000-0000-00002F490000}"/>
    <cellStyle name="20 % - Markeringsfarve6 8 3 3 3" xfId="42983" xr:uid="{00000000-0005-0000-0000-000030490000}"/>
    <cellStyle name="20 % - Markeringsfarve6 8 3 4" xfId="20995" xr:uid="{00000000-0005-0000-0000-000031490000}"/>
    <cellStyle name="20 % - Markeringsfarve6 8 3 5" xfId="35984" xr:uid="{00000000-0005-0000-0000-000032490000}"/>
    <cellStyle name="20 % - Markeringsfarve6 8 4" xfId="3142" xr:uid="{00000000-0005-0000-0000-000033490000}"/>
    <cellStyle name="20 % - Markeringsfarve6 8 4 2" xfId="8259" xr:uid="{00000000-0005-0000-0000-000034490000}"/>
    <cellStyle name="20 % - Markeringsfarve6 8 4 2 2" xfId="16155" xr:uid="{00000000-0005-0000-0000-000035490000}"/>
    <cellStyle name="20 % - Markeringsfarve6 8 4 2 2 2" xfId="32469" xr:uid="{00000000-0005-0000-0000-000036490000}"/>
    <cellStyle name="20 % - Markeringsfarve6 8 4 2 2 3" xfId="47433" xr:uid="{00000000-0005-0000-0000-000037490000}"/>
    <cellStyle name="20 % - Markeringsfarve6 8 4 2 3" xfId="25447" xr:uid="{00000000-0005-0000-0000-000038490000}"/>
    <cellStyle name="20 % - Markeringsfarve6 8 4 2 4" xfId="40434" xr:uid="{00000000-0005-0000-0000-000039490000}"/>
    <cellStyle name="20 % - Markeringsfarve6 8 4 3" xfId="11699" xr:uid="{00000000-0005-0000-0000-00003A490000}"/>
    <cellStyle name="20 % - Markeringsfarve6 8 4 3 2" xfId="28018" xr:uid="{00000000-0005-0000-0000-00003B490000}"/>
    <cellStyle name="20 % - Markeringsfarve6 8 4 3 3" xfId="42984" xr:uid="{00000000-0005-0000-0000-00003C490000}"/>
    <cellStyle name="20 % - Markeringsfarve6 8 4 4" xfId="20996" xr:uid="{00000000-0005-0000-0000-00003D490000}"/>
    <cellStyle name="20 % - Markeringsfarve6 8 4 5" xfId="35985" xr:uid="{00000000-0005-0000-0000-00003E490000}"/>
    <cellStyle name="20 % - Markeringsfarve6 8 5" xfId="5743" xr:uid="{00000000-0005-0000-0000-00003F490000}"/>
    <cellStyle name="20 % - Markeringsfarve6 8 5 2" xfId="13661" xr:uid="{00000000-0005-0000-0000-000040490000}"/>
    <cellStyle name="20 % - Markeringsfarve6 8 5 2 2" xfId="29975" xr:uid="{00000000-0005-0000-0000-000041490000}"/>
    <cellStyle name="20 % - Markeringsfarve6 8 5 2 3" xfId="44939" xr:uid="{00000000-0005-0000-0000-000042490000}"/>
    <cellStyle name="20 % - Markeringsfarve6 8 5 3" xfId="22953" xr:uid="{00000000-0005-0000-0000-000043490000}"/>
    <cellStyle name="20 % - Markeringsfarve6 8 5 4" xfId="37940" xr:uid="{00000000-0005-0000-0000-000044490000}"/>
    <cellStyle name="20 % - Markeringsfarve6 8 6" xfId="11695" xr:uid="{00000000-0005-0000-0000-000045490000}"/>
    <cellStyle name="20 % - Markeringsfarve6 8 6 2" xfId="28014" xr:uid="{00000000-0005-0000-0000-000046490000}"/>
    <cellStyle name="20 % - Markeringsfarve6 8 6 3" xfId="42980" xr:uid="{00000000-0005-0000-0000-000047490000}"/>
    <cellStyle name="20 % - Markeringsfarve6 8 7" xfId="20992" xr:uid="{00000000-0005-0000-0000-000048490000}"/>
    <cellStyle name="20 % - Markeringsfarve6 8 8" xfId="35981" xr:uid="{00000000-0005-0000-0000-000049490000}"/>
    <cellStyle name="20 % - Markeringsfarve6 9" xfId="3143" xr:uid="{00000000-0005-0000-0000-00004A490000}"/>
    <cellStyle name="20 % - Markeringsfarve6 9 2" xfId="3144" xr:uid="{00000000-0005-0000-0000-00004B490000}"/>
    <cellStyle name="20 % - Markeringsfarve6 9 2 2" xfId="3145" xr:uid="{00000000-0005-0000-0000-00004C490000}"/>
    <cellStyle name="20 % - Markeringsfarve6 9 2 2 2" xfId="7973" xr:uid="{00000000-0005-0000-0000-00004D490000}"/>
    <cellStyle name="20 % - Markeringsfarve6 9 2 2 2 2" xfId="15874" xr:uid="{00000000-0005-0000-0000-00004E490000}"/>
    <cellStyle name="20 % - Markeringsfarve6 9 2 2 2 2 2" xfId="32188" xr:uid="{00000000-0005-0000-0000-00004F490000}"/>
    <cellStyle name="20 % - Markeringsfarve6 9 2 2 2 2 3" xfId="47152" xr:uid="{00000000-0005-0000-0000-000050490000}"/>
    <cellStyle name="20 % - Markeringsfarve6 9 2 2 2 3" xfId="25166" xr:uid="{00000000-0005-0000-0000-000051490000}"/>
    <cellStyle name="20 % - Markeringsfarve6 9 2 2 2 4" xfId="40153" xr:uid="{00000000-0005-0000-0000-000052490000}"/>
    <cellStyle name="20 % - Markeringsfarve6 9 2 2 3" xfId="11702" xr:uid="{00000000-0005-0000-0000-000053490000}"/>
    <cellStyle name="20 % - Markeringsfarve6 9 2 2 3 2" xfId="28021" xr:uid="{00000000-0005-0000-0000-000054490000}"/>
    <cellStyle name="20 % - Markeringsfarve6 9 2 2 3 3" xfId="42987" xr:uid="{00000000-0005-0000-0000-000055490000}"/>
    <cellStyle name="20 % - Markeringsfarve6 9 2 2 4" xfId="20999" xr:uid="{00000000-0005-0000-0000-000056490000}"/>
    <cellStyle name="20 % - Markeringsfarve6 9 2 2 5" xfId="35988" xr:uid="{00000000-0005-0000-0000-000057490000}"/>
    <cellStyle name="20 % - Markeringsfarve6 9 2 3" xfId="6500" xr:uid="{00000000-0005-0000-0000-000058490000}"/>
    <cellStyle name="20 % - Markeringsfarve6 9 2 3 2" xfId="14414" xr:uid="{00000000-0005-0000-0000-000059490000}"/>
    <cellStyle name="20 % - Markeringsfarve6 9 2 3 2 2" xfId="30728" xr:uid="{00000000-0005-0000-0000-00005A490000}"/>
    <cellStyle name="20 % - Markeringsfarve6 9 2 3 2 3" xfId="45692" xr:uid="{00000000-0005-0000-0000-00005B490000}"/>
    <cellStyle name="20 % - Markeringsfarve6 9 2 3 3" xfId="23706" xr:uid="{00000000-0005-0000-0000-00005C490000}"/>
    <cellStyle name="20 % - Markeringsfarve6 9 2 3 4" xfId="38693" xr:uid="{00000000-0005-0000-0000-00005D490000}"/>
    <cellStyle name="20 % - Markeringsfarve6 9 2 4" xfId="11701" xr:uid="{00000000-0005-0000-0000-00005E490000}"/>
    <cellStyle name="20 % - Markeringsfarve6 9 2 4 2" xfId="28020" xr:uid="{00000000-0005-0000-0000-00005F490000}"/>
    <cellStyle name="20 % - Markeringsfarve6 9 2 4 3" xfId="42986" xr:uid="{00000000-0005-0000-0000-000060490000}"/>
    <cellStyle name="20 % - Markeringsfarve6 9 2 5" xfId="20998" xr:uid="{00000000-0005-0000-0000-000061490000}"/>
    <cellStyle name="20 % - Markeringsfarve6 9 2 6" xfId="35987" xr:uid="{00000000-0005-0000-0000-000062490000}"/>
    <cellStyle name="20 % - Markeringsfarve6 9 3" xfId="3146" xr:uid="{00000000-0005-0000-0000-000063490000}"/>
    <cellStyle name="20 % - Markeringsfarve6 9 3 2" xfId="7249" xr:uid="{00000000-0005-0000-0000-000064490000}"/>
    <cellStyle name="20 % - Markeringsfarve6 9 3 2 2" xfId="15159" xr:uid="{00000000-0005-0000-0000-000065490000}"/>
    <cellStyle name="20 % - Markeringsfarve6 9 3 2 2 2" xfId="31473" xr:uid="{00000000-0005-0000-0000-000066490000}"/>
    <cellStyle name="20 % - Markeringsfarve6 9 3 2 2 3" xfId="46437" xr:uid="{00000000-0005-0000-0000-000067490000}"/>
    <cellStyle name="20 % - Markeringsfarve6 9 3 2 3" xfId="24451" xr:uid="{00000000-0005-0000-0000-000068490000}"/>
    <cellStyle name="20 % - Markeringsfarve6 9 3 2 4" xfId="39438" xr:uid="{00000000-0005-0000-0000-000069490000}"/>
    <cellStyle name="20 % - Markeringsfarve6 9 3 3" xfId="11703" xr:uid="{00000000-0005-0000-0000-00006A490000}"/>
    <cellStyle name="20 % - Markeringsfarve6 9 3 3 2" xfId="28022" xr:uid="{00000000-0005-0000-0000-00006B490000}"/>
    <cellStyle name="20 % - Markeringsfarve6 9 3 3 3" xfId="42988" xr:uid="{00000000-0005-0000-0000-00006C490000}"/>
    <cellStyle name="20 % - Markeringsfarve6 9 3 4" xfId="21000" xr:uid="{00000000-0005-0000-0000-00006D490000}"/>
    <cellStyle name="20 % - Markeringsfarve6 9 3 5" xfId="35989" xr:uid="{00000000-0005-0000-0000-00006E490000}"/>
    <cellStyle name="20 % - Markeringsfarve6 9 4" xfId="3147" xr:uid="{00000000-0005-0000-0000-00006F490000}"/>
    <cellStyle name="20 % - Markeringsfarve6 9 4 2" xfId="8212" xr:uid="{00000000-0005-0000-0000-000070490000}"/>
    <cellStyle name="20 % - Markeringsfarve6 9 4 2 2" xfId="16109" xr:uid="{00000000-0005-0000-0000-000071490000}"/>
    <cellStyle name="20 % - Markeringsfarve6 9 4 2 2 2" xfId="32423" xr:uid="{00000000-0005-0000-0000-000072490000}"/>
    <cellStyle name="20 % - Markeringsfarve6 9 4 2 2 3" xfId="47387" xr:uid="{00000000-0005-0000-0000-000073490000}"/>
    <cellStyle name="20 % - Markeringsfarve6 9 4 2 3" xfId="25401" xr:uid="{00000000-0005-0000-0000-000074490000}"/>
    <cellStyle name="20 % - Markeringsfarve6 9 4 2 4" xfId="40388" xr:uid="{00000000-0005-0000-0000-000075490000}"/>
    <cellStyle name="20 % - Markeringsfarve6 9 4 3" xfId="11704" xr:uid="{00000000-0005-0000-0000-000076490000}"/>
    <cellStyle name="20 % - Markeringsfarve6 9 4 3 2" xfId="28023" xr:uid="{00000000-0005-0000-0000-000077490000}"/>
    <cellStyle name="20 % - Markeringsfarve6 9 4 3 3" xfId="42989" xr:uid="{00000000-0005-0000-0000-000078490000}"/>
    <cellStyle name="20 % - Markeringsfarve6 9 4 4" xfId="21001" xr:uid="{00000000-0005-0000-0000-000079490000}"/>
    <cellStyle name="20 % - Markeringsfarve6 9 4 5" xfId="35990" xr:uid="{00000000-0005-0000-0000-00007A490000}"/>
    <cellStyle name="20 % - Markeringsfarve6 9 5" xfId="5744" xr:uid="{00000000-0005-0000-0000-00007B490000}"/>
    <cellStyle name="20 % - Markeringsfarve6 9 5 2" xfId="13662" xr:uid="{00000000-0005-0000-0000-00007C490000}"/>
    <cellStyle name="20 % - Markeringsfarve6 9 5 2 2" xfId="29976" xr:uid="{00000000-0005-0000-0000-00007D490000}"/>
    <cellStyle name="20 % - Markeringsfarve6 9 5 2 3" xfId="44940" xr:uid="{00000000-0005-0000-0000-00007E490000}"/>
    <cellStyle name="20 % - Markeringsfarve6 9 5 3" xfId="22954" xr:uid="{00000000-0005-0000-0000-00007F490000}"/>
    <cellStyle name="20 % - Markeringsfarve6 9 5 4" xfId="37941" xr:uid="{00000000-0005-0000-0000-000080490000}"/>
    <cellStyle name="20 % - Markeringsfarve6 9 6" xfId="11700" xr:uid="{00000000-0005-0000-0000-000081490000}"/>
    <cellStyle name="20 % - Markeringsfarve6 9 6 2" xfId="28019" xr:uid="{00000000-0005-0000-0000-000082490000}"/>
    <cellStyle name="20 % - Markeringsfarve6 9 6 3" xfId="42985" xr:uid="{00000000-0005-0000-0000-000083490000}"/>
    <cellStyle name="20 % - Markeringsfarve6 9 7" xfId="20997" xr:uid="{00000000-0005-0000-0000-000084490000}"/>
    <cellStyle name="20 % - Markeringsfarve6 9 8" xfId="35986" xr:uid="{00000000-0005-0000-0000-000085490000}"/>
    <cellStyle name="20% - Accent1" xfId="1132" builtinId="30" customBuiltin="1"/>
    <cellStyle name="20% - Accent1 10" xfId="51063" xr:uid="{00000000-0005-0000-0000-000087490000}"/>
    <cellStyle name="20% - Accent1 11" xfId="51666" xr:uid="{00000000-0005-0000-0000-000088490000}"/>
    <cellStyle name="20% - Accent1 12" xfId="52085" xr:uid="{00000000-0005-0000-0000-000089490000}"/>
    <cellStyle name="20% - Accent1 13" xfId="53145" xr:uid="{00000000-0005-0000-0000-00008A490000}"/>
    <cellStyle name="20% - Accent1 14" xfId="1544" xr:uid="{00000000-0005-0000-0000-00008B490000}"/>
    <cellStyle name="20% - Accent1 2" xfId="8929" xr:uid="{00000000-0005-0000-0000-00008C490000}"/>
    <cellStyle name="20% - Accent1 2 2" xfId="16705" xr:uid="{00000000-0005-0000-0000-00008D490000}"/>
    <cellStyle name="20% - Accent1 2 2 2" xfId="33018" xr:uid="{00000000-0005-0000-0000-00008E490000}"/>
    <cellStyle name="20% - Accent1 2 2 3" xfId="47982" xr:uid="{00000000-0005-0000-0000-00008F490000}"/>
    <cellStyle name="20% - Accent1 2 3" xfId="25996" xr:uid="{00000000-0005-0000-0000-000090490000}"/>
    <cellStyle name="20% - Accent1 2 4" xfId="40983" xr:uid="{00000000-0005-0000-0000-000091490000}"/>
    <cellStyle name="20% - Accent1 2 5" xfId="53183" xr:uid="{00000000-0005-0000-0000-000092490000}"/>
    <cellStyle name="20% - Accent1 3" xfId="9714" xr:uid="{00000000-0005-0000-0000-000093490000}"/>
    <cellStyle name="20% - Accent1 3 2" xfId="26044" xr:uid="{00000000-0005-0000-0000-000094490000}"/>
    <cellStyle name="20% - Accent1 3 3" xfId="41024" xr:uid="{00000000-0005-0000-0000-000095490000}"/>
    <cellStyle name="20% - Accent1 3 4" xfId="56419" xr:uid="{00000000-0005-0000-0000-000096490000}"/>
    <cellStyle name="20% - Accent1 4" xfId="19025" xr:uid="{00000000-0005-0000-0000-000097490000}"/>
    <cellStyle name="20% - Accent1 5" xfId="34022" xr:uid="{00000000-0005-0000-0000-000098490000}"/>
    <cellStyle name="20% - Accent1 6" xfId="49286" xr:uid="{00000000-0005-0000-0000-000099490000}"/>
    <cellStyle name="20% - Accent1 7" xfId="49691" xr:uid="{00000000-0005-0000-0000-00009A490000}"/>
    <cellStyle name="20% - Accent1 8" xfId="50100" xr:uid="{00000000-0005-0000-0000-00009B490000}"/>
    <cellStyle name="20% - Accent1 9" xfId="50505" xr:uid="{00000000-0005-0000-0000-00009C490000}"/>
    <cellStyle name="20% - Accent2" xfId="1136" builtinId="34" customBuiltin="1"/>
    <cellStyle name="20% - Accent2 10" xfId="51066" xr:uid="{00000000-0005-0000-0000-00009E490000}"/>
    <cellStyle name="20% - Accent2 11" xfId="51668" xr:uid="{00000000-0005-0000-0000-00009F490000}"/>
    <cellStyle name="20% - Accent2 12" xfId="52087" xr:uid="{00000000-0005-0000-0000-0000A0490000}"/>
    <cellStyle name="20% - Accent2 13" xfId="53147" xr:uid="{00000000-0005-0000-0000-0000A1490000}"/>
    <cellStyle name="20% - Accent2 14" xfId="1546" xr:uid="{00000000-0005-0000-0000-0000A2490000}"/>
    <cellStyle name="20% - Accent2 2" xfId="8931" xr:uid="{00000000-0005-0000-0000-0000A3490000}"/>
    <cellStyle name="20% - Accent2 2 2" xfId="16707" xr:uid="{00000000-0005-0000-0000-0000A4490000}"/>
    <cellStyle name="20% - Accent2 2 2 2" xfId="33020" xr:uid="{00000000-0005-0000-0000-0000A5490000}"/>
    <cellStyle name="20% - Accent2 2 2 3" xfId="47984" xr:uid="{00000000-0005-0000-0000-0000A6490000}"/>
    <cellStyle name="20% - Accent2 2 3" xfId="25998" xr:uid="{00000000-0005-0000-0000-0000A7490000}"/>
    <cellStyle name="20% - Accent2 2 4" xfId="40985" xr:uid="{00000000-0005-0000-0000-0000A8490000}"/>
    <cellStyle name="20% - Accent2 2 5" xfId="53184" xr:uid="{00000000-0005-0000-0000-0000A9490000}"/>
    <cellStyle name="20% - Accent2 3" xfId="9716" xr:uid="{00000000-0005-0000-0000-0000AA490000}"/>
    <cellStyle name="20% - Accent2 3 2" xfId="26046" xr:uid="{00000000-0005-0000-0000-0000AB490000}"/>
    <cellStyle name="20% - Accent2 3 3" xfId="41026" xr:uid="{00000000-0005-0000-0000-0000AC490000}"/>
    <cellStyle name="20% - Accent2 3 4" xfId="56421" xr:uid="{00000000-0005-0000-0000-0000AD490000}"/>
    <cellStyle name="20% - Accent2 4" xfId="19027" xr:uid="{00000000-0005-0000-0000-0000AE490000}"/>
    <cellStyle name="20% - Accent2 5" xfId="34024" xr:uid="{00000000-0005-0000-0000-0000AF490000}"/>
    <cellStyle name="20% - Accent2 6" xfId="49288" xr:uid="{00000000-0005-0000-0000-0000B0490000}"/>
    <cellStyle name="20% - Accent2 7" xfId="49693" xr:uid="{00000000-0005-0000-0000-0000B1490000}"/>
    <cellStyle name="20% - Accent2 8" xfId="50102" xr:uid="{00000000-0005-0000-0000-0000B2490000}"/>
    <cellStyle name="20% - Accent2 9" xfId="50507" xr:uid="{00000000-0005-0000-0000-0000B3490000}"/>
    <cellStyle name="20% - Accent3" xfId="1140" builtinId="38" customBuiltin="1"/>
    <cellStyle name="20% - Accent3 10" xfId="51068" xr:uid="{00000000-0005-0000-0000-0000B5490000}"/>
    <cellStyle name="20% - Accent3 11" xfId="51670" xr:uid="{00000000-0005-0000-0000-0000B6490000}"/>
    <cellStyle name="20% - Accent3 12" xfId="52089" xr:uid="{00000000-0005-0000-0000-0000B7490000}"/>
    <cellStyle name="20% - Accent3 13" xfId="53149" xr:uid="{00000000-0005-0000-0000-0000B8490000}"/>
    <cellStyle name="20% - Accent3 14" xfId="1548" xr:uid="{00000000-0005-0000-0000-0000B9490000}"/>
    <cellStyle name="20% - Accent3 2" xfId="8933" xr:uid="{00000000-0005-0000-0000-0000BA490000}"/>
    <cellStyle name="20% - Accent3 2 2" xfId="16709" xr:uid="{00000000-0005-0000-0000-0000BB490000}"/>
    <cellStyle name="20% - Accent3 2 2 2" xfId="33022" xr:uid="{00000000-0005-0000-0000-0000BC490000}"/>
    <cellStyle name="20% - Accent3 2 2 3" xfId="47986" xr:uid="{00000000-0005-0000-0000-0000BD490000}"/>
    <cellStyle name="20% - Accent3 2 3" xfId="26000" xr:uid="{00000000-0005-0000-0000-0000BE490000}"/>
    <cellStyle name="20% - Accent3 2 4" xfId="40987" xr:uid="{00000000-0005-0000-0000-0000BF490000}"/>
    <cellStyle name="20% - Accent3 2 5" xfId="53185" xr:uid="{00000000-0005-0000-0000-0000C0490000}"/>
    <cellStyle name="20% - Accent3 3" xfId="9718" xr:uid="{00000000-0005-0000-0000-0000C1490000}"/>
    <cellStyle name="20% - Accent3 3 2" xfId="26048" xr:uid="{00000000-0005-0000-0000-0000C2490000}"/>
    <cellStyle name="20% - Accent3 3 3" xfId="41028" xr:uid="{00000000-0005-0000-0000-0000C3490000}"/>
    <cellStyle name="20% - Accent3 3 4" xfId="56423" xr:uid="{00000000-0005-0000-0000-0000C4490000}"/>
    <cellStyle name="20% - Accent3 4" xfId="19029" xr:uid="{00000000-0005-0000-0000-0000C5490000}"/>
    <cellStyle name="20% - Accent3 5" xfId="34026" xr:uid="{00000000-0005-0000-0000-0000C6490000}"/>
    <cellStyle name="20% - Accent3 6" xfId="49290" xr:uid="{00000000-0005-0000-0000-0000C7490000}"/>
    <cellStyle name="20% - Accent3 7" xfId="49695" xr:uid="{00000000-0005-0000-0000-0000C8490000}"/>
    <cellStyle name="20% - Accent3 8" xfId="50104" xr:uid="{00000000-0005-0000-0000-0000C9490000}"/>
    <cellStyle name="20% - Accent3 9" xfId="50509" xr:uid="{00000000-0005-0000-0000-0000CA490000}"/>
    <cellStyle name="20% - Accent4" xfId="1144" builtinId="42" customBuiltin="1"/>
    <cellStyle name="20% - Accent4 10" xfId="51070" xr:uid="{00000000-0005-0000-0000-0000CC490000}"/>
    <cellStyle name="20% - Accent4 11" xfId="51672" xr:uid="{00000000-0005-0000-0000-0000CD490000}"/>
    <cellStyle name="20% - Accent4 12" xfId="52091" xr:uid="{00000000-0005-0000-0000-0000CE490000}"/>
    <cellStyle name="20% - Accent4 13" xfId="53151" xr:uid="{00000000-0005-0000-0000-0000CF490000}"/>
    <cellStyle name="20% - Accent4 14" xfId="1550" xr:uid="{00000000-0005-0000-0000-0000D0490000}"/>
    <cellStyle name="20% - Accent4 2" xfId="8935" xr:uid="{00000000-0005-0000-0000-0000D1490000}"/>
    <cellStyle name="20% - Accent4 2 2" xfId="16711" xr:uid="{00000000-0005-0000-0000-0000D2490000}"/>
    <cellStyle name="20% - Accent4 2 2 2" xfId="33024" xr:uid="{00000000-0005-0000-0000-0000D3490000}"/>
    <cellStyle name="20% - Accent4 2 2 3" xfId="47988" xr:uid="{00000000-0005-0000-0000-0000D4490000}"/>
    <cellStyle name="20% - Accent4 2 3" xfId="26002" xr:uid="{00000000-0005-0000-0000-0000D5490000}"/>
    <cellStyle name="20% - Accent4 2 4" xfId="40989" xr:uid="{00000000-0005-0000-0000-0000D6490000}"/>
    <cellStyle name="20% - Accent4 2 5" xfId="53186" xr:uid="{00000000-0005-0000-0000-0000D7490000}"/>
    <cellStyle name="20% - Accent4 3" xfId="9720" xr:uid="{00000000-0005-0000-0000-0000D8490000}"/>
    <cellStyle name="20% - Accent4 3 2" xfId="26050" xr:uid="{00000000-0005-0000-0000-0000D9490000}"/>
    <cellStyle name="20% - Accent4 3 3" xfId="41030" xr:uid="{00000000-0005-0000-0000-0000DA490000}"/>
    <cellStyle name="20% - Accent4 3 4" xfId="56425" xr:uid="{00000000-0005-0000-0000-0000DB490000}"/>
    <cellStyle name="20% - Accent4 4" xfId="19031" xr:uid="{00000000-0005-0000-0000-0000DC490000}"/>
    <cellStyle name="20% - Accent4 5" xfId="34028" xr:uid="{00000000-0005-0000-0000-0000DD490000}"/>
    <cellStyle name="20% - Accent4 6" xfId="49292" xr:uid="{00000000-0005-0000-0000-0000DE490000}"/>
    <cellStyle name="20% - Accent4 7" xfId="49697" xr:uid="{00000000-0005-0000-0000-0000DF490000}"/>
    <cellStyle name="20% - Accent4 8" xfId="50106" xr:uid="{00000000-0005-0000-0000-0000E0490000}"/>
    <cellStyle name="20% - Accent4 9" xfId="50511" xr:uid="{00000000-0005-0000-0000-0000E1490000}"/>
    <cellStyle name="20% - Accent5" xfId="1148" builtinId="46" customBuiltin="1"/>
    <cellStyle name="20% - Accent5 10" xfId="50513" xr:uid="{00000000-0005-0000-0000-0000E3490000}"/>
    <cellStyle name="20% - Accent5 11" xfId="51073" xr:uid="{00000000-0005-0000-0000-0000E4490000}"/>
    <cellStyle name="20% - Accent5 12" xfId="51674" xr:uid="{00000000-0005-0000-0000-0000E5490000}"/>
    <cellStyle name="20% - Accent5 13" xfId="52093" xr:uid="{00000000-0005-0000-0000-0000E6490000}"/>
    <cellStyle name="20% - Accent5 14" xfId="53153" xr:uid="{00000000-0005-0000-0000-0000E7490000}"/>
    <cellStyle name="20% - Accent5 15" xfId="1552" xr:uid="{00000000-0005-0000-0000-0000E8490000}"/>
    <cellStyle name="20% - Accent5 2" xfId="1580" xr:uid="{00000000-0005-0000-0000-0000E9490000}"/>
    <cellStyle name="20% - Accent5 2 2" xfId="10143" xr:uid="{00000000-0005-0000-0000-0000EA490000}"/>
    <cellStyle name="20% - Accent5 2 2 2" xfId="26462" xr:uid="{00000000-0005-0000-0000-0000EB490000}"/>
    <cellStyle name="20% - Accent5 2 2 3" xfId="41428" xr:uid="{00000000-0005-0000-0000-0000EC490000}"/>
    <cellStyle name="20% - Accent5 2 3" xfId="19440" xr:uid="{00000000-0005-0000-0000-0000ED490000}"/>
    <cellStyle name="20% - Accent5 2 4" xfId="34429" xr:uid="{00000000-0005-0000-0000-0000EE490000}"/>
    <cellStyle name="20% - Accent5 2 5" xfId="53187" xr:uid="{00000000-0005-0000-0000-0000EF490000}"/>
    <cellStyle name="20% - Accent5 3" xfId="8937" xr:uid="{00000000-0005-0000-0000-0000F0490000}"/>
    <cellStyle name="20% - Accent5 3 2" xfId="16713" xr:uid="{00000000-0005-0000-0000-0000F1490000}"/>
    <cellStyle name="20% - Accent5 3 2 2" xfId="33026" xr:uid="{00000000-0005-0000-0000-0000F2490000}"/>
    <cellStyle name="20% - Accent5 3 2 3" xfId="47990" xr:uid="{00000000-0005-0000-0000-0000F3490000}"/>
    <cellStyle name="20% - Accent5 3 3" xfId="26004" xr:uid="{00000000-0005-0000-0000-0000F4490000}"/>
    <cellStyle name="20% - Accent5 3 4" xfId="40991" xr:uid="{00000000-0005-0000-0000-0000F5490000}"/>
    <cellStyle name="20% - Accent5 3 5" xfId="56427" xr:uid="{00000000-0005-0000-0000-0000F6490000}"/>
    <cellStyle name="20% - Accent5 4" xfId="9722" xr:uid="{00000000-0005-0000-0000-0000F7490000}"/>
    <cellStyle name="20% - Accent5 4 2" xfId="26052" xr:uid="{00000000-0005-0000-0000-0000F8490000}"/>
    <cellStyle name="20% - Accent5 4 3" xfId="41032" xr:uid="{00000000-0005-0000-0000-0000F9490000}"/>
    <cellStyle name="20% - Accent5 5" xfId="19033" xr:uid="{00000000-0005-0000-0000-0000FA490000}"/>
    <cellStyle name="20% - Accent5 6" xfId="34030" xr:uid="{00000000-0005-0000-0000-0000FB490000}"/>
    <cellStyle name="20% - Accent5 7" xfId="49294" xr:uid="{00000000-0005-0000-0000-0000FC490000}"/>
    <cellStyle name="20% - Accent5 8" xfId="49699" xr:uid="{00000000-0005-0000-0000-0000FD490000}"/>
    <cellStyle name="20% - Accent5 9" xfId="50108" xr:uid="{00000000-0005-0000-0000-0000FE490000}"/>
    <cellStyle name="20% - Accent6" xfId="1152" builtinId="50" customBuiltin="1"/>
    <cellStyle name="20% - Accent6 10" xfId="51075" xr:uid="{00000000-0005-0000-0000-0000004A0000}"/>
    <cellStyle name="20% - Accent6 11" xfId="51676" xr:uid="{00000000-0005-0000-0000-0000014A0000}"/>
    <cellStyle name="20% - Accent6 12" xfId="52095" xr:uid="{00000000-0005-0000-0000-0000024A0000}"/>
    <cellStyle name="20% - Accent6 13" xfId="53155" xr:uid="{00000000-0005-0000-0000-0000034A0000}"/>
    <cellStyle name="20% - Accent6 14" xfId="1554" xr:uid="{00000000-0005-0000-0000-0000044A0000}"/>
    <cellStyle name="20% - Accent6 2" xfId="8939" xr:uid="{00000000-0005-0000-0000-0000054A0000}"/>
    <cellStyle name="20% - Accent6 2 2" xfId="16715" xr:uid="{00000000-0005-0000-0000-0000064A0000}"/>
    <cellStyle name="20% - Accent6 2 2 2" xfId="33028" xr:uid="{00000000-0005-0000-0000-0000074A0000}"/>
    <cellStyle name="20% - Accent6 2 2 3" xfId="47992" xr:uid="{00000000-0005-0000-0000-0000084A0000}"/>
    <cellStyle name="20% - Accent6 2 3" xfId="26006" xr:uid="{00000000-0005-0000-0000-0000094A0000}"/>
    <cellStyle name="20% - Accent6 2 4" xfId="40993" xr:uid="{00000000-0005-0000-0000-00000A4A0000}"/>
    <cellStyle name="20% - Accent6 2 5" xfId="53188" xr:uid="{00000000-0005-0000-0000-00000B4A0000}"/>
    <cellStyle name="20% - Accent6 3" xfId="9724" xr:uid="{00000000-0005-0000-0000-00000C4A0000}"/>
    <cellStyle name="20% - Accent6 3 2" xfId="26054" xr:uid="{00000000-0005-0000-0000-00000D4A0000}"/>
    <cellStyle name="20% - Accent6 3 3" xfId="41034" xr:uid="{00000000-0005-0000-0000-00000E4A0000}"/>
    <cellStyle name="20% - Accent6 3 4" xfId="56429" xr:uid="{00000000-0005-0000-0000-00000F4A0000}"/>
    <cellStyle name="20% - Accent6 4" xfId="19035" xr:uid="{00000000-0005-0000-0000-0000104A0000}"/>
    <cellStyle name="20% - Accent6 5" xfId="34032" xr:uid="{00000000-0005-0000-0000-0000114A0000}"/>
    <cellStyle name="20% - Accent6 6" xfId="49296" xr:uid="{00000000-0005-0000-0000-0000124A0000}"/>
    <cellStyle name="20% - Accent6 7" xfId="49701" xr:uid="{00000000-0005-0000-0000-0000134A0000}"/>
    <cellStyle name="20% - Accent6 8" xfId="50110" xr:uid="{00000000-0005-0000-0000-0000144A0000}"/>
    <cellStyle name="20% - Accent6 9" xfId="50515" xr:uid="{00000000-0005-0000-0000-0000154A0000}"/>
    <cellStyle name="20% - Colore 1" xfId="1" xr:uid="{00000000-0005-0000-0000-0000164A0000}"/>
    <cellStyle name="20% - Colore 2" xfId="2" xr:uid="{00000000-0005-0000-0000-0000174A0000}"/>
    <cellStyle name="20% - Colore 3" xfId="3" xr:uid="{00000000-0005-0000-0000-0000184A0000}"/>
    <cellStyle name="20% - Colore 4" xfId="4" xr:uid="{00000000-0005-0000-0000-0000194A0000}"/>
    <cellStyle name="20% - Colore 5" xfId="5" xr:uid="{00000000-0005-0000-0000-00001A4A0000}"/>
    <cellStyle name="20% - Colore 6" xfId="6" xr:uid="{00000000-0005-0000-0000-00001B4A0000}"/>
    <cellStyle name="2x indented GHG Textfiels" xfId="3148" xr:uid="{00000000-0005-0000-0000-00001C4A0000}"/>
    <cellStyle name="2x indented GHG Textfiels 2" xfId="11705" xr:uid="{00000000-0005-0000-0000-00001D4A0000}"/>
    <cellStyle name="2x indented GHG Textfiels 2 2" xfId="28024" xr:uid="{00000000-0005-0000-0000-00001E4A0000}"/>
    <cellStyle name="2x indented GHG Textfiels 3" xfId="21002" xr:uid="{00000000-0005-0000-0000-00001F4A0000}"/>
    <cellStyle name="40 % - Markeringsfarve1 10" xfId="3150" xr:uid="{00000000-0005-0000-0000-0000204A0000}"/>
    <cellStyle name="40 % - Markeringsfarve1 10 2" xfId="3151" xr:uid="{00000000-0005-0000-0000-0000214A0000}"/>
    <cellStyle name="40 % - Markeringsfarve1 10 2 2" xfId="3152" xr:uid="{00000000-0005-0000-0000-0000224A0000}"/>
    <cellStyle name="40 % - Markeringsfarve1 10 2 2 2" xfId="8134" xr:uid="{00000000-0005-0000-0000-0000234A0000}"/>
    <cellStyle name="40 % - Markeringsfarve1 10 2 2 2 2" xfId="16035" xr:uid="{00000000-0005-0000-0000-0000244A0000}"/>
    <cellStyle name="40 % - Markeringsfarve1 10 2 2 2 2 2" xfId="32349" xr:uid="{00000000-0005-0000-0000-0000254A0000}"/>
    <cellStyle name="40 % - Markeringsfarve1 10 2 2 2 2 3" xfId="47313" xr:uid="{00000000-0005-0000-0000-0000264A0000}"/>
    <cellStyle name="40 % - Markeringsfarve1 10 2 2 2 3" xfId="25327" xr:uid="{00000000-0005-0000-0000-0000274A0000}"/>
    <cellStyle name="40 % - Markeringsfarve1 10 2 2 2 4" xfId="40314" xr:uid="{00000000-0005-0000-0000-0000284A0000}"/>
    <cellStyle name="40 % - Markeringsfarve1 10 2 2 3" xfId="11709" xr:uid="{00000000-0005-0000-0000-0000294A0000}"/>
    <cellStyle name="40 % - Markeringsfarve1 10 2 2 3 2" xfId="28028" xr:uid="{00000000-0005-0000-0000-00002A4A0000}"/>
    <cellStyle name="40 % - Markeringsfarve1 10 2 2 3 3" xfId="42993" xr:uid="{00000000-0005-0000-0000-00002B4A0000}"/>
    <cellStyle name="40 % - Markeringsfarve1 10 2 2 4" xfId="21006" xr:uid="{00000000-0005-0000-0000-00002C4A0000}"/>
    <cellStyle name="40 % - Markeringsfarve1 10 2 2 5" xfId="35994" xr:uid="{00000000-0005-0000-0000-00002D4A0000}"/>
    <cellStyle name="40 % - Markeringsfarve1 10 2 3" xfId="6636" xr:uid="{00000000-0005-0000-0000-00002E4A0000}"/>
    <cellStyle name="40 % - Markeringsfarve1 10 2 3 2" xfId="14550" xr:uid="{00000000-0005-0000-0000-00002F4A0000}"/>
    <cellStyle name="40 % - Markeringsfarve1 10 2 3 2 2" xfId="30864" xr:uid="{00000000-0005-0000-0000-0000304A0000}"/>
    <cellStyle name="40 % - Markeringsfarve1 10 2 3 2 3" xfId="45828" xr:uid="{00000000-0005-0000-0000-0000314A0000}"/>
    <cellStyle name="40 % - Markeringsfarve1 10 2 3 3" xfId="23842" xr:uid="{00000000-0005-0000-0000-0000324A0000}"/>
    <cellStyle name="40 % - Markeringsfarve1 10 2 3 4" xfId="38829" xr:uid="{00000000-0005-0000-0000-0000334A0000}"/>
    <cellStyle name="40 % - Markeringsfarve1 10 2 4" xfId="11708" xr:uid="{00000000-0005-0000-0000-0000344A0000}"/>
    <cellStyle name="40 % - Markeringsfarve1 10 2 4 2" xfId="28027" xr:uid="{00000000-0005-0000-0000-0000354A0000}"/>
    <cellStyle name="40 % - Markeringsfarve1 10 2 4 3" xfId="42992" xr:uid="{00000000-0005-0000-0000-0000364A0000}"/>
    <cellStyle name="40 % - Markeringsfarve1 10 2 5" xfId="21005" xr:uid="{00000000-0005-0000-0000-0000374A0000}"/>
    <cellStyle name="40 % - Markeringsfarve1 10 2 6" xfId="35993" xr:uid="{00000000-0005-0000-0000-0000384A0000}"/>
    <cellStyle name="40 % - Markeringsfarve1 10 3" xfId="3153" xr:uid="{00000000-0005-0000-0000-0000394A0000}"/>
    <cellStyle name="40 % - Markeringsfarve1 10 3 2" xfId="7411" xr:uid="{00000000-0005-0000-0000-00003A4A0000}"/>
    <cellStyle name="40 % - Markeringsfarve1 10 3 2 2" xfId="15321" xr:uid="{00000000-0005-0000-0000-00003B4A0000}"/>
    <cellStyle name="40 % - Markeringsfarve1 10 3 2 2 2" xfId="31635" xr:uid="{00000000-0005-0000-0000-00003C4A0000}"/>
    <cellStyle name="40 % - Markeringsfarve1 10 3 2 2 3" xfId="46599" xr:uid="{00000000-0005-0000-0000-00003D4A0000}"/>
    <cellStyle name="40 % - Markeringsfarve1 10 3 2 3" xfId="24613" xr:uid="{00000000-0005-0000-0000-00003E4A0000}"/>
    <cellStyle name="40 % - Markeringsfarve1 10 3 2 4" xfId="39600" xr:uid="{00000000-0005-0000-0000-00003F4A0000}"/>
    <cellStyle name="40 % - Markeringsfarve1 10 3 3" xfId="11710" xr:uid="{00000000-0005-0000-0000-0000404A0000}"/>
    <cellStyle name="40 % - Markeringsfarve1 10 3 3 2" xfId="28029" xr:uid="{00000000-0005-0000-0000-0000414A0000}"/>
    <cellStyle name="40 % - Markeringsfarve1 10 3 3 3" xfId="42994" xr:uid="{00000000-0005-0000-0000-0000424A0000}"/>
    <cellStyle name="40 % - Markeringsfarve1 10 3 4" xfId="21007" xr:uid="{00000000-0005-0000-0000-0000434A0000}"/>
    <cellStyle name="40 % - Markeringsfarve1 10 3 5" xfId="35995" xr:uid="{00000000-0005-0000-0000-0000444A0000}"/>
    <cellStyle name="40 % - Markeringsfarve1 10 4" xfId="3154" xr:uid="{00000000-0005-0000-0000-0000454A0000}"/>
    <cellStyle name="40 % - Markeringsfarve1 10 4 2" xfId="8500" xr:uid="{00000000-0005-0000-0000-0000464A0000}"/>
    <cellStyle name="40 % - Markeringsfarve1 10 4 2 2" xfId="16389" xr:uid="{00000000-0005-0000-0000-0000474A0000}"/>
    <cellStyle name="40 % - Markeringsfarve1 10 4 2 2 2" xfId="32703" xr:uid="{00000000-0005-0000-0000-0000484A0000}"/>
    <cellStyle name="40 % - Markeringsfarve1 10 4 2 2 3" xfId="47667" xr:uid="{00000000-0005-0000-0000-0000494A0000}"/>
    <cellStyle name="40 % - Markeringsfarve1 10 4 2 3" xfId="25681" xr:uid="{00000000-0005-0000-0000-00004A4A0000}"/>
    <cellStyle name="40 % - Markeringsfarve1 10 4 2 4" xfId="40668" xr:uid="{00000000-0005-0000-0000-00004B4A0000}"/>
    <cellStyle name="40 % - Markeringsfarve1 10 4 3" xfId="11711" xr:uid="{00000000-0005-0000-0000-00004C4A0000}"/>
    <cellStyle name="40 % - Markeringsfarve1 10 4 3 2" xfId="28030" xr:uid="{00000000-0005-0000-0000-00004D4A0000}"/>
    <cellStyle name="40 % - Markeringsfarve1 10 4 3 3" xfId="42995" xr:uid="{00000000-0005-0000-0000-00004E4A0000}"/>
    <cellStyle name="40 % - Markeringsfarve1 10 4 4" xfId="21008" xr:uid="{00000000-0005-0000-0000-00004F4A0000}"/>
    <cellStyle name="40 % - Markeringsfarve1 10 4 5" xfId="35996" xr:uid="{00000000-0005-0000-0000-0000504A0000}"/>
    <cellStyle name="40 % - Markeringsfarve1 10 5" xfId="5746" xr:uid="{00000000-0005-0000-0000-0000514A0000}"/>
    <cellStyle name="40 % - Markeringsfarve1 10 5 2" xfId="13664" xr:uid="{00000000-0005-0000-0000-0000524A0000}"/>
    <cellStyle name="40 % - Markeringsfarve1 10 5 2 2" xfId="29978" xr:uid="{00000000-0005-0000-0000-0000534A0000}"/>
    <cellStyle name="40 % - Markeringsfarve1 10 5 2 3" xfId="44942" xr:uid="{00000000-0005-0000-0000-0000544A0000}"/>
    <cellStyle name="40 % - Markeringsfarve1 10 5 3" xfId="22956" xr:uid="{00000000-0005-0000-0000-0000554A0000}"/>
    <cellStyle name="40 % - Markeringsfarve1 10 5 4" xfId="37943" xr:uid="{00000000-0005-0000-0000-0000564A0000}"/>
    <cellStyle name="40 % - Markeringsfarve1 10 6" xfId="11707" xr:uid="{00000000-0005-0000-0000-0000574A0000}"/>
    <cellStyle name="40 % - Markeringsfarve1 10 6 2" xfId="28026" xr:uid="{00000000-0005-0000-0000-0000584A0000}"/>
    <cellStyle name="40 % - Markeringsfarve1 10 6 3" xfId="42991" xr:uid="{00000000-0005-0000-0000-0000594A0000}"/>
    <cellStyle name="40 % - Markeringsfarve1 10 7" xfId="21004" xr:uid="{00000000-0005-0000-0000-00005A4A0000}"/>
    <cellStyle name="40 % - Markeringsfarve1 10 8" xfId="35992" xr:uid="{00000000-0005-0000-0000-00005B4A0000}"/>
    <cellStyle name="40 % - Markeringsfarve1 11" xfId="3155" xr:uid="{00000000-0005-0000-0000-00005C4A0000}"/>
    <cellStyle name="40 % - Markeringsfarve1 11 2" xfId="3156" xr:uid="{00000000-0005-0000-0000-00005D4A0000}"/>
    <cellStyle name="40 % - Markeringsfarve1 11 2 2" xfId="7489" xr:uid="{00000000-0005-0000-0000-00005E4A0000}"/>
    <cellStyle name="40 % - Markeringsfarve1 11 2 2 2" xfId="15390" xr:uid="{00000000-0005-0000-0000-00005F4A0000}"/>
    <cellStyle name="40 % - Markeringsfarve1 11 2 2 2 2" xfId="31704" xr:uid="{00000000-0005-0000-0000-0000604A0000}"/>
    <cellStyle name="40 % - Markeringsfarve1 11 2 2 2 3" xfId="46668" xr:uid="{00000000-0005-0000-0000-0000614A0000}"/>
    <cellStyle name="40 % - Markeringsfarve1 11 2 2 3" xfId="24682" xr:uid="{00000000-0005-0000-0000-0000624A0000}"/>
    <cellStyle name="40 % - Markeringsfarve1 11 2 2 4" xfId="39669" xr:uid="{00000000-0005-0000-0000-0000634A0000}"/>
    <cellStyle name="40 % - Markeringsfarve1 11 2 3" xfId="11713" xr:uid="{00000000-0005-0000-0000-0000644A0000}"/>
    <cellStyle name="40 % - Markeringsfarve1 11 2 3 2" xfId="28032" xr:uid="{00000000-0005-0000-0000-0000654A0000}"/>
    <cellStyle name="40 % - Markeringsfarve1 11 2 3 3" xfId="42997" xr:uid="{00000000-0005-0000-0000-0000664A0000}"/>
    <cellStyle name="40 % - Markeringsfarve1 11 2 4" xfId="21010" xr:uid="{00000000-0005-0000-0000-0000674A0000}"/>
    <cellStyle name="40 % - Markeringsfarve1 11 2 5" xfId="35998" xr:uid="{00000000-0005-0000-0000-0000684A0000}"/>
    <cellStyle name="40 % - Markeringsfarve1 11 3" xfId="3157" xr:uid="{00000000-0005-0000-0000-0000694A0000}"/>
    <cellStyle name="40 % - Markeringsfarve1 11 3 2" xfId="8726" xr:uid="{00000000-0005-0000-0000-00006A4A0000}"/>
    <cellStyle name="40 % - Markeringsfarve1 11 3 2 2" xfId="16606" xr:uid="{00000000-0005-0000-0000-00006B4A0000}"/>
    <cellStyle name="40 % - Markeringsfarve1 11 3 2 2 2" xfId="32920" xr:uid="{00000000-0005-0000-0000-00006C4A0000}"/>
    <cellStyle name="40 % - Markeringsfarve1 11 3 2 2 3" xfId="47884" xr:uid="{00000000-0005-0000-0000-00006D4A0000}"/>
    <cellStyle name="40 % - Markeringsfarve1 11 3 2 3" xfId="25898" xr:uid="{00000000-0005-0000-0000-00006E4A0000}"/>
    <cellStyle name="40 % - Markeringsfarve1 11 3 2 4" xfId="40885" xr:uid="{00000000-0005-0000-0000-00006F4A0000}"/>
    <cellStyle name="40 % - Markeringsfarve1 11 3 3" xfId="11714" xr:uid="{00000000-0005-0000-0000-0000704A0000}"/>
    <cellStyle name="40 % - Markeringsfarve1 11 3 3 2" xfId="28033" xr:uid="{00000000-0005-0000-0000-0000714A0000}"/>
    <cellStyle name="40 % - Markeringsfarve1 11 3 3 3" xfId="42998" xr:uid="{00000000-0005-0000-0000-0000724A0000}"/>
    <cellStyle name="40 % - Markeringsfarve1 11 3 4" xfId="21011" xr:uid="{00000000-0005-0000-0000-0000734A0000}"/>
    <cellStyle name="40 % - Markeringsfarve1 11 3 5" xfId="35999" xr:uid="{00000000-0005-0000-0000-0000744A0000}"/>
    <cellStyle name="40 % - Markeringsfarve1 11 4" xfId="5747" xr:uid="{00000000-0005-0000-0000-0000754A0000}"/>
    <cellStyle name="40 % - Markeringsfarve1 11 4 2" xfId="13665" xr:uid="{00000000-0005-0000-0000-0000764A0000}"/>
    <cellStyle name="40 % - Markeringsfarve1 11 4 2 2" xfId="29979" xr:uid="{00000000-0005-0000-0000-0000774A0000}"/>
    <cellStyle name="40 % - Markeringsfarve1 11 4 2 3" xfId="44943" xr:uid="{00000000-0005-0000-0000-0000784A0000}"/>
    <cellStyle name="40 % - Markeringsfarve1 11 4 3" xfId="22957" xr:uid="{00000000-0005-0000-0000-0000794A0000}"/>
    <cellStyle name="40 % - Markeringsfarve1 11 4 4" xfId="37944" xr:uid="{00000000-0005-0000-0000-00007A4A0000}"/>
    <cellStyle name="40 % - Markeringsfarve1 11 5" xfId="11712" xr:uid="{00000000-0005-0000-0000-00007B4A0000}"/>
    <cellStyle name="40 % - Markeringsfarve1 11 5 2" xfId="28031" xr:uid="{00000000-0005-0000-0000-00007C4A0000}"/>
    <cellStyle name="40 % - Markeringsfarve1 11 5 3" xfId="42996" xr:uid="{00000000-0005-0000-0000-00007D4A0000}"/>
    <cellStyle name="40 % - Markeringsfarve1 11 6" xfId="21009" xr:uid="{00000000-0005-0000-0000-00007E4A0000}"/>
    <cellStyle name="40 % - Markeringsfarve1 11 7" xfId="35997" xr:uid="{00000000-0005-0000-0000-00007F4A0000}"/>
    <cellStyle name="40 % - Markeringsfarve1 12" xfId="3158" xr:uid="{00000000-0005-0000-0000-0000804A0000}"/>
    <cellStyle name="40 % - Markeringsfarve1 12 2" xfId="3159" xr:uid="{00000000-0005-0000-0000-0000814A0000}"/>
    <cellStyle name="40 % - Markeringsfarve1 12 2 2" xfId="8451" xr:uid="{00000000-0005-0000-0000-0000824A0000}"/>
    <cellStyle name="40 % - Markeringsfarve1 12 2 2 2" xfId="16343" xr:uid="{00000000-0005-0000-0000-0000834A0000}"/>
    <cellStyle name="40 % - Markeringsfarve1 12 2 2 2 2" xfId="32657" xr:uid="{00000000-0005-0000-0000-0000844A0000}"/>
    <cellStyle name="40 % - Markeringsfarve1 12 2 2 2 3" xfId="47621" xr:uid="{00000000-0005-0000-0000-0000854A0000}"/>
    <cellStyle name="40 % - Markeringsfarve1 12 2 2 3" xfId="25635" xr:uid="{00000000-0005-0000-0000-0000864A0000}"/>
    <cellStyle name="40 % - Markeringsfarve1 12 2 2 4" xfId="40622" xr:uid="{00000000-0005-0000-0000-0000874A0000}"/>
    <cellStyle name="40 % - Markeringsfarve1 12 2 3" xfId="11716" xr:uid="{00000000-0005-0000-0000-0000884A0000}"/>
    <cellStyle name="40 % - Markeringsfarve1 12 2 3 2" xfId="28035" xr:uid="{00000000-0005-0000-0000-0000894A0000}"/>
    <cellStyle name="40 % - Markeringsfarve1 12 2 3 3" xfId="43000" xr:uid="{00000000-0005-0000-0000-00008A4A0000}"/>
    <cellStyle name="40 % - Markeringsfarve1 12 2 4" xfId="21013" xr:uid="{00000000-0005-0000-0000-00008B4A0000}"/>
    <cellStyle name="40 % - Markeringsfarve1 12 2 5" xfId="36001" xr:uid="{00000000-0005-0000-0000-00008C4A0000}"/>
    <cellStyle name="40 % - Markeringsfarve1 12 3" xfId="5748" xr:uid="{00000000-0005-0000-0000-00008D4A0000}"/>
    <cellStyle name="40 % - Markeringsfarve1 12 3 2" xfId="13666" xr:uid="{00000000-0005-0000-0000-00008E4A0000}"/>
    <cellStyle name="40 % - Markeringsfarve1 12 3 2 2" xfId="29980" xr:uid="{00000000-0005-0000-0000-00008F4A0000}"/>
    <cellStyle name="40 % - Markeringsfarve1 12 3 2 3" xfId="44944" xr:uid="{00000000-0005-0000-0000-0000904A0000}"/>
    <cellStyle name="40 % - Markeringsfarve1 12 3 3" xfId="22958" xr:uid="{00000000-0005-0000-0000-0000914A0000}"/>
    <cellStyle name="40 % - Markeringsfarve1 12 3 4" xfId="37945" xr:uid="{00000000-0005-0000-0000-0000924A0000}"/>
    <cellStyle name="40 % - Markeringsfarve1 12 4" xfId="11715" xr:uid="{00000000-0005-0000-0000-0000934A0000}"/>
    <cellStyle name="40 % - Markeringsfarve1 12 4 2" xfId="28034" xr:uid="{00000000-0005-0000-0000-0000944A0000}"/>
    <cellStyle name="40 % - Markeringsfarve1 12 4 3" xfId="42999" xr:uid="{00000000-0005-0000-0000-0000954A0000}"/>
    <cellStyle name="40 % - Markeringsfarve1 12 5" xfId="21012" xr:uid="{00000000-0005-0000-0000-0000964A0000}"/>
    <cellStyle name="40 % - Markeringsfarve1 12 6" xfId="36000" xr:uid="{00000000-0005-0000-0000-0000974A0000}"/>
    <cellStyle name="40 % - Markeringsfarve1 13" xfId="3160" xr:uid="{00000000-0005-0000-0000-0000984A0000}"/>
    <cellStyle name="40 % - Markeringsfarve1 13 2" xfId="3161" xr:uid="{00000000-0005-0000-0000-0000994A0000}"/>
    <cellStyle name="40 % - Markeringsfarve1 13 2 2" xfId="8686" xr:uid="{00000000-0005-0000-0000-00009A4A0000}"/>
    <cellStyle name="40 % - Markeringsfarve1 13 2 2 2" xfId="16567" xr:uid="{00000000-0005-0000-0000-00009B4A0000}"/>
    <cellStyle name="40 % - Markeringsfarve1 13 2 2 2 2" xfId="32881" xr:uid="{00000000-0005-0000-0000-00009C4A0000}"/>
    <cellStyle name="40 % - Markeringsfarve1 13 2 2 2 3" xfId="47845" xr:uid="{00000000-0005-0000-0000-00009D4A0000}"/>
    <cellStyle name="40 % - Markeringsfarve1 13 2 2 3" xfId="25859" xr:uid="{00000000-0005-0000-0000-00009E4A0000}"/>
    <cellStyle name="40 % - Markeringsfarve1 13 2 2 4" xfId="40846" xr:uid="{00000000-0005-0000-0000-00009F4A0000}"/>
    <cellStyle name="40 % - Markeringsfarve1 13 2 3" xfId="11718" xr:uid="{00000000-0005-0000-0000-0000A04A0000}"/>
    <cellStyle name="40 % - Markeringsfarve1 13 2 3 2" xfId="28037" xr:uid="{00000000-0005-0000-0000-0000A14A0000}"/>
    <cellStyle name="40 % - Markeringsfarve1 13 2 3 3" xfId="43002" xr:uid="{00000000-0005-0000-0000-0000A24A0000}"/>
    <cellStyle name="40 % - Markeringsfarve1 13 2 4" xfId="21015" xr:uid="{00000000-0005-0000-0000-0000A34A0000}"/>
    <cellStyle name="40 % - Markeringsfarve1 13 2 5" xfId="36003" xr:uid="{00000000-0005-0000-0000-0000A44A0000}"/>
    <cellStyle name="40 % - Markeringsfarve1 13 3" xfId="5749" xr:uid="{00000000-0005-0000-0000-0000A54A0000}"/>
    <cellStyle name="40 % - Markeringsfarve1 13 3 2" xfId="13667" xr:uid="{00000000-0005-0000-0000-0000A64A0000}"/>
    <cellStyle name="40 % - Markeringsfarve1 13 3 2 2" xfId="29981" xr:uid="{00000000-0005-0000-0000-0000A74A0000}"/>
    <cellStyle name="40 % - Markeringsfarve1 13 3 2 3" xfId="44945" xr:uid="{00000000-0005-0000-0000-0000A84A0000}"/>
    <cellStyle name="40 % - Markeringsfarve1 13 3 3" xfId="22959" xr:uid="{00000000-0005-0000-0000-0000A94A0000}"/>
    <cellStyle name="40 % - Markeringsfarve1 13 3 4" xfId="37946" xr:uid="{00000000-0005-0000-0000-0000AA4A0000}"/>
    <cellStyle name="40 % - Markeringsfarve1 13 4" xfId="11717" xr:uid="{00000000-0005-0000-0000-0000AB4A0000}"/>
    <cellStyle name="40 % - Markeringsfarve1 13 4 2" xfId="28036" xr:uid="{00000000-0005-0000-0000-0000AC4A0000}"/>
    <cellStyle name="40 % - Markeringsfarve1 13 4 3" xfId="43001" xr:uid="{00000000-0005-0000-0000-0000AD4A0000}"/>
    <cellStyle name="40 % - Markeringsfarve1 13 5" xfId="21014" xr:uid="{00000000-0005-0000-0000-0000AE4A0000}"/>
    <cellStyle name="40 % - Markeringsfarve1 13 6" xfId="36002" xr:uid="{00000000-0005-0000-0000-0000AF4A0000}"/>
    <cellStyle name="40 % - Markeringsfarve1 14" xfId="3162" xr:uid="{00000000-0005-0000-0000-0000B04A0000}"/>
    <cellStyle name="40 % - Markeringsfarve1 14 2" xfId="3163" xr:uid="{00000000-0005-0000-0000-0000B14A0000}"/>
    <cellStyle name="40 % - Markeringsfarve1 14 2 2" xfId="6708" xr:uid="{00000000-0005-0000-0000-0000B24A0000}"/>
    <cellStyle name="40 % - Markeringsfarve1 14 2 2 2" xfId="14621" xr:uid="{00000000-0005-0000-0000-0000B34A0000}"/>
    <cellStyle name="40 % - Markeringsfarve1 14 2 2 2 2" xfId="30935" xr:uid="{00000000-0005-0000-0000-0000B44A0000}"/>
    <cellStyle name="40 % - Markeringsfarve1 14 2 2 2 3" xfId="45899" xr:uid="{00000000-0005-0000-0000-0000B54A0000}"/>
    <cellStyle name="40 % - Markeringsfarve1 14 2 2 3" xfId="23913" xr:uid="{00000000-0005-0000-0000-0000B64A0000}"/>
    <cellStyle name="40 % - Markeringsfarve1 14 2 2 4" xfId="38900" xr:uid="{00000000-0005-0000-0000-0000B74A0000}"/>
    <cellStyle name="40 % - Markeringsfarve1 14 2 3" xfId="11720" xr:uid="{00000000-0005-0000-0000-0000B84A0000}"/>
    <cellStyle name="40 % - Markeringsfarve1 14 2 3 2" xfId="28039" xr:uid="{00000000-0005-0000-0000-0000B94A0000}"/>
    <cellStyle name="40 % - Markeringsfarve1 14 2 3 3" xfId="43004" xr:uid="{00000000-0005-0000-0000-0000BA4A0000}"/>
    <cellStyle name="40 % - Markeringsfarve1 14 2 4" xfId="21017" xr:uid="{00000000-0005-0000-0000-0000BB4A0000}"/>
    <cellStyle name="40 % - Markeringsfarve1 14 2 5" xfId="36005" xr:uid="{00000000-0005-0000-0000-0000BC4A0000}"/>
    <cellStyle name="40 % - Markeringsfarve1 14 3" xfId="5745" xr:uid="{00000000-0005-0000-0000-0000BD4A0000}"/>
    <cellStyle name="40 % - Markeringsfarve1 14 3 2" xfId="13663" xr:uid="{00000000-0005-0000-0000-0000BE4A0000}"/>
    <cellStyle name="40 % - Markeringsfarve1 14 3 2 2" xfId="29977" xr:uid="{00000000-0005-0000-0000-0000BF4A0000}"/>
    <cellStyle name="40 % - Markeringsfarve1 14 3 2 3" xfId="44941" xr:uid="{00000000-0005-0000-0000-0000C04A0000}"/>
    <cellStyle name="40 % - Markeringsfarve1 14 3 3" xfId="22955" xr:uid="{00000000-0005-0000-0000-0000C14A0000}"/>
    <cellStyle name="40 % - Markeringsfarve1 14 3 4" xfId="37942" xr:uid="{00000000-0005-0000-0000-0000C24A0000}"/>
    <cellStyle name="40 % - Markeringsfarve1 14 4" xfId="11719" xr:uid="{00000000-0005-0000-0000-0000C34A0000}"/>
    <cellStyle name="40 % - Markeringsfarve1 14 4 2" xfId="28038" xr:uid="{00000000-0005-0000-0000-0000C44A0000}"/>
    <cellStyle name="40 % - Markeringsfarve1 14 4 3" xfId="43003" xr:uid="{00000000-0005-0000-0000-0000C54A0000}"/>
    <cellStyle name="40 % - Markeringsfarve1 14 5" xfId="21016" xr:uid="{00000000-0005-0000-0000-0000C64A0000}"/>
    <cellStyle name="40 % - Markeringsfarve1 14 6" xfId="36004" xr:uid="{00000000-0005-0000-0000-0000C74A0000}"/>
    <cellStyle name="40 % - Markeringsfarve1 15" xfId="3164" xr:uid="{00000000-0005-0000-0000-0000C84A0000}"/>
    <cellStyle name="40 % - Markeringsfarve1 15 2" xfId="6710" xr:uid="{00000000-0005-0000-0000-0000C94A0000}"/>
    <cellStyle name="40 % - Markeringsfarve1 15 2 2" xfId="14623" xr:uid="{00000000-0005-0000-0000-0000CA4A0000}"/>
    <cellStyle name="40 % - Markeringsfarve1 15 2 2 2" xfId="30937" xr:uid="{00000000-0005-0000-0000-0000CB4A0000}"/>
    <cellStyle name="40 % - Markeringsfarve1 15 2 2 3" xfId="45901" xr:uid="{00000000-0005-0000-0000-0000CC4A0000}"/>
    <cellStyle name="40 % - Markeringsfarve1 15 2 3" xfId="23915" xr:uid="{00000000-0005-0000-0000-0000CD4A0000}"/>
    <cellStyle name="40 % - Markeringsfarve1 15 2 4" xfId="38902" xr:uid="{00000000-0005-0000-0000-0000CE4A0000}"/>
    <cellStyle name="40 % - Markeringsfarve1 15 3" xfId="11721" xr:uid="{00000000-0005-0000-0000-0000CF4A0000}"/>
    <cellStyle name="40 % - Markeringsfarve1 15 3 2" xfId="28040" xr:uid="{00000000-0005-0000-0000-0000D04A0000}"/>
    <cellStyle name="40 % - Markeringsfarve1 15 3 3" xfId="43005" xr:uid="{00000000-0005-0000-0000-0000D14A0000}"/>
    <cellStyle name="40 % - Markeringsfarve1 15 4" xfId="21018" xr:uid="{00000000-0005-0000-0000-0000D24A0000}"/>
    <cellStyle name="40 % - Markeringsfarve1 15 5" xfId="36006" xr:uid="{00000000-0005-0000-0000-0000D34A0000}"/>
    <cellStyle name="40 % - Markeringsfarve1 16" xfId="3165" xr:uid="{00000000-0005-0000-0000-0000D44A0000}"/>
    <cellStyle name="40 % - Markeringsfarve1 16 2" xfId="8223" xr:uid="{00000000-0005-0000-0000-0000D54A0000}"/>
    <cellStyle name="40 % - Markeringsfarve1 16 2 2" xfId="16120" xr:uid="{00000000-0005-0000-0000-0000D64A0000}"/>
    <cellStyle name="40 % - Markeringsfarve1 16 2 2 2" xfId="32434" xr:uid="{00000000-0005-0000-0000-0000D74A0000}"/>
    <cellStyle name="40 % - Markeringsfarve1 16 2 2 3" xfId="47398" xr:uid="{00000000-0005-0000-0000-0000D84A0000}"/>
    <cellStyle name="40 % - Markeringsfarve1 16 2 3" xfId="25412" xr:uid="{00000000-0005-0000-0000-0000D94A0000}"/>
    <cellStyle name="40 % - Markeringsfarve1 16 2 4" xfId="40399" xr:uid="{00000000-0005-0000-0000-0000DA4A0000}"/>
    <cellStyle name="40 % - Markeringsfarve1 16 3" xfId="11722" xr:uid="{00000000-0005-0000-0000-0000DB4A0000}"/>
    <cellStyle name="40 % - Markeringsfarve1 16 3 2" xfId="28041" xr:uid="{00000000-0005-0000-0000-0000DC4A0000}"/>
    <cellStyle name="40 % - Markeringsfarve1 16 3 3" xfId="43006" xr:uid="{00000000-0005-0000-0000-0000DD4A0000}"/>
    <cellStyle name="40 % - Markeringsfarve1 16 4" xfId="21019" xr:uid="{00000000-0005-0000-0000-0000DE4A0000}"/>
    <cellStyle name="40 % - Markeringsfarve1 16 5" xfId="36007" xr:uid="{00000000-0005-0000-0000-0000DF4A0000}"/>
    <cellStyle name="40 % - Markeringsfarve1 17" xfId="3166" xr:uid="{00000000-0005-0000-0000-0000E04A0000}"/>
    <cellStyle name="40 % - Markeringsfarve1 17 2" xfId="8780" xr:uid="{00000000-0005-0000-0000-0000E14A0000}"/>
    <cellStyle name="40 % - Markeringsfarve1 17 2 2" xfId="16656" xr:uid="{00000000-0005-0000-0000-0000E24A0000}"/>
    <cellStyle name="40 % - Markeringsfarve1 17 2 2 2" xfId="32970" xr:uid="{00000000-0005-0000-0000-0000E34A0000}"/>
    <cellStyle name="40 % - Markeringsfarve1 17 2 2 3" xfId="47934" xr:uid="{00000000-0005-0000-0000-0000E44A0000}"/>
    <cellStyle name="40 % - Markeringsfarve1 17 2 3" xfId="25948" xr:uid="{00000000-0005-0000-0000-0000E54A0000}"/>
    <cellStyle name="40 % - Markeringsfarve1 17 2 4" xfId="40935" xr:uid="{00000000-0005-0000-0000-0000E64A0000}"/>
    <cellStyle name="40 % - Markeringsfarve1 17 3" xfId="11723" xr:uid="{00000000-0005-0000-0000-0000E74A0000}"/>
    <cellStyle name="40 % - Markeringsfarve1 17 3 2" xfId="28042" xr:uid="{00000000-0005-0000-0000-0000E84A0000}"/>
    <cellStyle name="40 % - Markeringsfarve1 17 3 3" xfId="43007" xr:uid="{00000000-0005-0000-0000-0000E94A0000}"/>
    <cellStyle name="40 % - Markeringsfarve1 17 4" xfId="21020" xr:uid="{00000000-0005-0000-0000-0000EA4A0000}"/>
    <cellStyle name="40 % - Markeringsfarve1 17 5" xfId="36008" xr:uid="{00000000-0005-0000-0000-0000EB4A0000}"/>
    <cellStyle name="40 % - Markeringsfarve1 18" xfId="5385" xr:uid="{00000000-0005-0000-0000-0000EC4A0000}"/>
    <cellStyle name="40 % - Markeringsfarve1 18 2" xfId="13313" xr:uid="{00000000-0005-0000-0000-0000ED4A0000}"/>
    <cellStyle name="40 % - Markeringsfarve1 18 2 2" xfId="29627" xr:uid="{00000000-0005-0000-0000-0000EE4A0000}"/>
    <cellStyle name="40 % - Markeringsfarve1 18 2 3" xfId="44591" xr:uid="{00000000-0005-0000-0000-0000EF4A0000}"/>
    <cellStyle name="40 % - Markeringsfarve1 18 3" xfId="22605" xr:uid="{00000000-0005-0000-0000-0000F04A0000}"/>
    <cellStyle name="40 % - Markeringsfarve1 18 4" xfId="37592" xr:uid="{00000000-0005-0000-0000-0000F14A0000}"/>
    <cellStyle name="40 % - Markeringsfarve1 19" xfId="3149" xr:uid="{00000000-0005-0000-0000-0000F24A0000}"/>
    <cellStyle name="40 % - Markeringsfarve1 19 2" xfId="11706" xr:uid="{00000000-0005-0000-0000-0000F34A0000}"/>
    <cellStyle name="40 % - Markeringsfarve1 19 2 2" xfId="28025" xr:uid="{00000000-0005-0000-0000-0000F44A0000}"/>
    <cellStyle name="40 % - Markeringsfarve1 19 2 3" xfId="42990" xr:uid="{00000000-0005-0000-0000-0000F54A0000}"/>
    <cellStyle name="40 % - Markeringsfarve1 19 3" xfId="21003" xr:uid="{00000000-0005-0000-0000-0000F64A0000}"/>
    <cellStyle name="40 % - Markeringsfarve1 19 4" xfId="35991" xr:uid="{00000000-0005-0000-0000-0000F74A0000}"/>
    <cellStyle name="40 % - Markeringsfarve1 2" xfId="3167" xr:uid="{00000000-0005-0000-0000-0000F84A0000}"/>
    <cellStyle name="40 % - Markeringsfarve1 2 10" xfId="3168" xr:uid="{00000000-0005-0000-0000-0000F94A0000}"/>
    <cellStyle name="40 % - Markeringsfarve1 2 10 2" xfId="6743" xr:uid="{00000000-0005-0000-0000-0000FA4A0000}"/>
    <cellStyle name="40 % - Markeringsfarve1 2 10 2 2" xfId="14654" xr:uid="{00000000-0005-0000-0000-0000FB4A0000}"/>
    <cellStyle name="40 % - Markeringsfarve1 2 10 2 2 2" xfId="30968" xr:uid="{00000000-0005-0000-0000-0000FC4A0000}"/>
    <cellStyle name="40 % - Markeringsfarve1 2 10 2 2 3" xfId="45932" xr:uid="{00000000-0005-0000-0000-0000FD4A0000}"/>
    <cellStyle name="40 % - Markeringsfarve1 2 10 2 3" xfId="23946" xr:uid="{00000000-0005-0000-0000-0000FE4A0000}"/>
    <cellStyle name="40 % - Markeringsfarve1 2 10 2 4" xfId="38933" xr:uid="{00000000-0005-0000-0000-0000FF4A0000}"/>
    <cellStyle name="40 % - Markeringsfarve1 2 10 3" xfId="11725" xr:uid="{00000000-0005-0000-0000-0000004B0000}"/>
    <cellStyle name="40 % - Markeringsfarve1 2 10 3 2" xfId="28044" xr:uid="{00000000-0005-0000-0000-0000014B0000}"/>
    <cellStyle name="40 % - Markeringsfarve1 2 10 3 3" xfId="43009" xr:uid="{00000000-0005-0000-0000-0000024B0000}"/>
    <cellStyle name="40 % - Markeringsfarve1 2 10 4" xfId="21022" xr:uid="{00000000-0005-0000-0000-0000034B0000}"/>
    <cellStyle name="40 % - Markeringsfarve1 2 10 5" xfId="36010" xr:uid="{00000000-0005-0000-0000-0000044B0000}"/>
    <cellStyle name="40 % - Markeringsfarve1 2 11" xfId="3169" xr:uid="{00000000-0005-0000-0000-0000054B0000}"/>
    <cellStyle name="40 % - Markeringsfarve1 2 11 2" xfId="8410" xr:uid="{00000000-0005-0000-0000-0000064B0000}"/>
    <cellStyle name="40 % - Markeringsfarve1 2 11 2 2" xfId="16303" xr:uid="{00000000-0005-0000-0000-0000074B0000}"/>
    <cellStyle name="40 % - Markeringsfarve1 2 11 2 2 2" xfId="32617" xr:uid="{00000000-0005-0000-0000-0000084B0000}"/>
    <cellStyle name="40 % - Markeringsfarve1 2 11 2 2 3" xfId="47581" xr:uid="{00000000-0005-0000-0000-0000094B0000}"/>
    <cellStyle name="40 % - Markeringsfarve1 2 11 2 3" xfId="25595" xr:uid="{00000000-0005-0000-0000-00000A4B0000}"/>
    <cellStyle name="40 % - Markeringsfarve1 2 11 2 4" xfId="40582" xr:uid="{00000000-0005-0000-0000-00000B4B0000}"/>
    <cellStyle name="40 % - Markeringsfarve1 2 11 3" xfId="11726" xr:uid="{00000000-0005-0000-0000-00000C4B0000}"/>
    <cellStyle name="40 % - Markeringsfarve1 2 11 3 2" xfId="28045" xr:uid="{00000000-0005-0000-0000-00000D4B0000}"/>
    <cellStyle name="40 % - Markeringsfarve1 2 11 3 3" xfId="43010" xr:uid="{00000000-0005-0000-0000-00000E4B0000}"/>
    <cellStyle name="40 % - Markeringsfarve1 2 11 4" xfId="21023" xr:uid="{00000000-0005-0000-0000-00000F4B0000}"/>
    <cellStyle name="40 % - Markeringsfarve1 2 11 5" xfId="36011" xr:uid="{00000000-0005-0000-0000-0000104B0000}"/>
    <cellStyle name="40 % - Markeringsfarve1 2 12" xfId="5750" xr:uid="{00000000-0005-0000-0000-0000114B0000}"/>
    <cellStyle name="40 % - Markeringsfarve1 2 12 2" xfId="13668" xr:uid="{00000000-0005-0000-0000-0000124B0000}"/>
    <cellStyle name="40 % - Markeringsfarve1 2 12 2 2" xfId="29982" xr:uid="{00000000-0005-0000-0000-0000134B0000}"/>
    <cellStyle name="40 % - Markeringsfarve1 2 12 2 3" xfId="44946" xr:uid="{00000000-0005-0000-0000-0000144B0000}"/>
    <cellStyle name="40 % - Markeringsfarve1 2 12 3" xfId="22960" xr:uid="{00000000-0005-0000-0000-0000154B0000}"/>
    <cellStyle name="40 % - Markeringsfarve1 2 12 4" xfId="37947" xr:uid="{00000000-0005-0000-0000-0000164B0000}"/>
    <cellStyle name="40 % - Markeringsfarve1 2 13" xfId="11724" xr:uid="{00000000-0005-0000-0000-0000174B0000}"/>
    <cellStyle name="40 % - Markeringsfarve1 2 13 2" xfId="28043" xr:uid="{00000000-0005-0000-0000-0000184B0000}"/>
    <cellStyle name="40 % - Markeringsfarve1 2 13 3" xfId="43008" xr:uid="{00000000-0005-0000-0000-0000194B0000}"/>
    <cellStyle name="40 % - Markeringsfarve1 2 14" xfId="21021" xr:uid="{00000000-0005-0000-0000-00001A4B0000}"/>
    <cellStyle name="40 % - Markeringsfarve1 2 15" xfId="36009" xr:uid="{00000000-0005-0000-0000-00001B4B0000}"/>
    <cellStyle name="40 % - Markeringsfarve1 2 16" xfId="53340" xr:uid="{00000000-0005-0000-0000-00001C4B0000}"/>
    <cellStyle name="40 % - Markeringsfarve1 2 2" xfId="3170" xr:uid="{00000000-0005-0000-0000-00001D4B0000}"/>
    <cellStyle name="40 % - Markeringsfarve1 2 2 10" xfId="5751" xr:uid="{00000000-0005-0000-0000-00001E4B0000}"/>
    <cellStyle name="40 % - Markeringsfarve1 2 2 10 2" xfId="13669" xr:uid="{00000000-0005-0000-0000-00001F4B0000}"/>
    <cellStyle name="40 % - Markeringsfarve1 2 2 10 2 2" xfId="29983" xr:uid="{00000000-0005-0000-0000-0000204B0000}"/>
    <cellStyle name="40 % - Markeringsfarve1 2 2 10 2 3" xfId="44947" xr:uid="{00000000-0005-0000-0000-0000214B0000}"/>
    <cellStyle name="40 % - Markeringsfarve1 2 2 10 3" xfId="22961" xr:uid="{00000000-0005-0000-0000-0000224B0000}"/>
    <cellStyle name="40 % - Markeringsfarve1 2 2 10 4" xfId="37948" xr:uid="{00000000-0005-0000-0000-0000234B0000}"/>
    <cellStyle name="40 % - Markeringsfarve1 2 2 11" xfId="11727" xr:uid="{00000000-0005-0000-0000-0000244B0000}"/>
    <cellStyle name="40 % - Markeringsfarve1 2 2 11 2" xfId="28046" xr:uid="{00000000-0005-0000-0000-0000254B0000}"/>
    <cellStyle name="40 % - Markeringsfarve1 2 2 11 3" xfId="43011" xr:uid="{00000000-0005-0000-0000-0000264B0000}"/>
    <cellStyle name="40 % - Markeringsfarve1 2 2 12" xfId="21024" xr:uid="{00000000-0005-0000-0000-0000274B0000}"/>
    <cellStyle name="40 % - Markeringsfarve1 2 2 13" xfId="36012" xr:uid="{00000000-0005-0000-0000-0000284B0000}"/>
    <cellStyle name="40 % - Markeringsfarve1 2 2 14" xfId="53339" xr:uid="{00000000-0005-0000-0000-0000294B0000}"/>
    <cellStyle name="40 % - Markeringsfarve1 2 2 2" xfId="3171" xr:uid="{00000000-0005-0000-0000-00002A4B0000}"/>
    <cellStyle name="40 % - Markeringsfarve1 2 2 2 2" xfId="3172" xr:uid="{00000000-0005-0000-0000-00002B4B0000}"/>
    <cellStyle name="40 % - Markeringsfarve1 2 2 2 2 2" xfId="3173" xr:uid="{00000000-0005-0000-0000-00002C4B0000}"/>
    <cellStyle name="40 % - Markeringsfarve1 2 2 2 2 2 2" xfId="7674" xr:uid="{00000000-0005-0000-0000-00002D4B0000}"/>
    <cellStyle name="40 % - Markeringsfarve1 2 2 2 2 2 2 2" xfId="15575" xr:uid="{00000000-0005-0000-0000-00002E4B0000}"/>
    <cellStyle name="40 % - Markeringsfarve1 2 2 2 2 2 2 2 2" xfId="31889" xr:uid="{00000000-0005-0000-0000-00002F4B0000}"/>
    <cellStyle name="40 % - Markeringsfarve1 2 2 2 2 2 2 2 3" xfId="46853" xr:uid="{00000000-0005-0000-0000-0000304B0000}"/>
    <cellStyle name="40 % - Markeringsfarve1 2 2 2 2 2 2 3" xfId="24867" xr:uid="{00000000-0005-0000-0000-0000314B0000}"/>
    <cellStyle name="40 % - Markeringsfarve1 2 2 2 2 2 2 4" xfId="39854" xr:uid="{00000000-0005-0000-0000-0000324B0000}"/>
    <cellStyle name="40 % - Markeringsfarve1 2 2 2 2 2 3" xfId="11730" xr:uid="{00000000-0005-0000-0000-0000334B0000}"/>
    <cellStyle name="40 % - Markeringsfarve1 2 2 2 2 2 3 2" xfId="28049" xr:uid="{00000000-0005-0000-0000-0000344B0000}"/>
    <cellStyle name="40 % - Markeringsfarve1 2 2 2 2 2 3 3" xfId="43014" xr:uid="{00000000-0005-0000-0000-0000354B0000}"/>
    <cellStyle name="40 % - Markeringsfarve1 2 2 2 2 2 4" xfId="21027" xr:uid="{00000000-0005-0000-0000-0000364B0000}"/>
    <cellStyle name="40 % - Markeringsfarve1 2 2 2 2 2 5" xfId="36015" xr:uid="{00000000-0005-0000-0000-0000374B0000}"/>
    <cellStyle name="40 % - Markeringsfarve1 2 2 2 2 3" xfId="6247" xr:uid="{00000000-0005-0000-0000-0000384B0000}"/>
    <cellStyle name="40 % - Markeringsfarve1 2 2 2 2 3 2" xfId="14164" xr:uid="{00000000-0005-0000-0000-0000394B0000}"/>
    <cellStyle name="40 % - Markeringsfarve1 2 2 2 2 3 2 2" xfId="30478" xr:uid="{00000000-0005-0000-0000-00003A4B0000}"/>
    <cellStyle name="40 % - Markeringsfarve1 2 2 2 2 3 2 3" xfId="45442" xr:uid="{00000000-0005-0000-0000-00003B4B0000}"/>
    <cellStyle name="40 % - Markeringsfarve1 2 2 2 2 3 3" xfId="23456" xr:uid="{00000000-0005-0000-0000-00003C4B0000}"/>
    <cellStyle name="40 % - Markeringsfarve1 2 2 2 2 3 4" xfId="38443" xr:uid="{00000000-0005-0000-0000-00003D4B0000}"/>
    <cellStyle name="40 % - Markeringsfarve1 2 2 2 2 4" xfId="11729" xr:uid="{00000000-0005-0000-0000-00003E4B0000}"/>
    <cellStyle name="40 % - Markeringsfarve1 2 2 2 2 4 2" xfId="28048" xr:uid="{00000000-0005-0000-0000-00003F4B0000}"/>
    <cellStyle name="40 % - Markeringsfarve1 2 2 2 2 4 3" xfId="43013" xr:uid="{00000000-0005-0000-0000-0000404B0000}"/>
    <cellStyle name="40 % - Markeringsfarve1 2 2 2 2 5" xfId="21026" xr:uid="{00000000-0005-0000-0000-0000414B0000}"/>
    <cellStyle name="40 % - Markeringsfarve1 2 2 2 2 6" xfId="36014" xr:uid="{00000000-0005-0000-0000-0000424B0000}"/>
    <cellStyle name="40 % - Markeringsfarve1 2 2 2 2 7" xfId="57143" xr:uid="{00000000-0005-0000-0000-0000434B0000}"/>
    <cellStyle name="40 % - Markeringsfarve1 2 2 2 3" xfId="3174" xr:uid="{00000000-0005-0000-0000-0000444B0000}"/>
    <cellStyle name="40 % - Markeringsfarve1 2 2 2 3 2" xfId="6904" xr:uid="{00000000-0005-0000-0000-0000454B0000}"/>
    <cellStyle name="40 % - Markeringsfarve1 2 2 2 3 2 2" xfId="14815" xr:uid="{00000000-0005-0000-0000-0000464B0000}"/>
    <cellStyle name="40 % - Markeringsfarve1 2 2 2 3 2 2 2" xfId="31129" xr:uid="{00000000-0005-0000-0000-0000474B0000}"/>
    <cellStyle name="40 % - Markeringsfarve1 2 2 2 3 2 2 3" xfId="46093" xr:uid="{00000000-0005-0000-0000-0000484B0000}"/>
    <cellStyle name="40 % - Markeringsfarve1 2 2 2 3 2 3" xfId="24107" xr:uid="{00000000-0005-0000-0000-0000494B0000}"/>
    <cellStyle name="40 % - Markeringsfarve1 2 2 2 3 2 4" xfId="39094" xr:uid="{00000000-0005-0000-0000-00004A4B0000}"/>
    <cellStyle name="40 % - Markeringsfarve1 2 2 2 3 3" xfId="11731" xr:uid="{00000000-0005-0000-0000-00004B4B0000}"/>
    <cellStyle name="40 % - Markeringsfarve1 2 2 2 3 3 2" xfId="28050" xr:uid="{00000000-0005-0000-0000-00004C4B0000}"/>
    <cellStyle name="40 % - Markeringsfarve1 2 2 2 3 3 3" xfId="43015" xr:uid="{00000000-0005-0000-0000-00004D4B0000}"/>
    <cellStyle name="40 % - Markeringsfarve1 2 2 2 3 4" xfId="21028" xr:uid="{00000000-0005-0000-0000-00004E4B0000}"/>
    <cellStyle name="40 % - Markeringsfarve1 2 2 2 3 5" xfId="36016" xr:uid="{00000000-0005-0000-0000-00004F4B0000}"/>
    <cellStyle name="40 % - Markeringsfarve1 2 2 2 4" xfId="3175" xr:uid="{00000000-0005-0000-0000-0000504B0000}"/>
    <cellStyle name="40 % - Markeringsfarve1 2 2 2 4 2" xfId="8296" xr:uid="{00000000-0005-0000-0000-0000514B0000}"/>
    <cellStyle name="40 % - Markeringsfarve1 2 2 2 4 2 2" xfId="16190" xr:uid="{00000000-0005-0000-0000-0000524B0000}"/>
    <cellStyle name="40 % - Markeringsfarve1 2 2 2 4 2 2 2" xfId="32504" xr:uid="{00000000-0005-0000-0000-0000534B0000}"/>
    <cellStyle name="40 % - Markeringsfarve1 2 2 2 4 2 2 3" xfId="47468" xr:uid="{00000000-0005-0000-0000-0000544B0000}"/>
    <cellStyle name="40 % - Markeringsfarve1 2 2 2 4 2 3" xfId="25482" xr:uid="{00000000-0005-0000-0000-0000554B0000}"/>
    <cellStyle name="40 % - Markeringsfarve1 2 2 2 4 2 4" xfId="40469" xr:uid="{00000000-0005-0000-0000-0000564B0000}"/>
    <cellStyle name="40 % - Markeringsfarve1 2 2 2 4 3" xfId="11732" xr:uid="{00000000-0005-0000-0000-0000574B0000}"/>
    <cellStyle name="40 % - Markeringsfarve1 2 2 2 4 3 2" xfId="28051" xr:uid="{00000000-0005-0000-0000-0000584B0000}"/>
    <cellStyle name="40 % - Markeringsfarve1 2 2 2 4 3 3" xfId="43016" xr:uid="{00000000-0005-0000-0000-0000594B0000}"/>
    <cellStyle name="40 % - Markeringsfarve1 2 2 2 4 4" xfId="21029" xr:uid="{00000000-0005-0000-0000-00005A4B0000}"/>
    <cellStyle name="40 % - Markeringsfarve1 2 2 2 4 5" xfId="36017" xr:uid="{00000000-0005-0000-0000-00005B4B0000}"/>
    <cellStyle name="40 % - Markeringsfarve1 2 2 2 5" xfId="5752" xr:uid="{00000000-0005-0000-0000-00005C4B0000}"/>
    <cellStyle name="40 % - Markeringsfarve1 2 2 2 5 2" xfId="13670" xr:uid="{00000000-0005-0000-0000-00005D4B0000}"/>
    <cellStyle name="40 % - Markeringsfarve1 2 2 2 5 2 2" xfId="29984" xr:uid="{00000000-0005-0000-0000-00005E4B0000}"/>
    <cellStyle name="40 % - Markeringsfarve1 2 2 2 5 2 3" xfId="44948" xr:uid="{00000000-0005-0000-0000-00005F4B0000}"/>
    <cellStyle name="40 % - Markeringsfarve1 2 2 2 5 3" xfId="22962" xr:uid="{00000000-0005-0000-0000-0000604B0000}"/>
    <cellStyle name="40 % - Markeringsfarve1 2 2 2 5 4" xfId="37949" xr:uid="{00000000-0005-0000-0000-0000614B0000}"/>
    <cellStyle name="40 % - Markeringsfarve1 2 2 2 6" xfId="11728" xr:uid="{00000000-0005-0000-0000-0000624B0000}"/>
    <cellStyle name="40 % - Markeringsfarve1 2 2 2 6 2" xfId="28047" xr:uid="{00000000-0005-0000-0000-0000634B0000}"/>
    <cellStyle name="40 % - Markeringsfarve1 2 2 2 6 3" xfId="43012" xr:uid="{00000000-0005-0000-0000-0000644B0000}"/>
    <cellStyle name="40 % - Markeringsfarve1 2 2 2 7" xfId="21025" xr:uid="{00000000-0005-0000-0000-0000654B0000}"/>
    <cellStyle name="40 % - Markeringsfarve1 2 2 2 8" xfId="36013" xr:uid="{00000000-0005-0000-0000-0000664B0000}"/>
    <cellStyle name="40 % - Markeringsfarve1 2 2 2 9" xfId="53976" xr:uid="{00000000-0005-0000-0000-0000674B0000}"/>
    <cellStyle name="40 % - Markeringsfarve1 2 2 3" xfId="3176" xr:uid="{00000000-0005-0000-0000-0000684B0000}"/>
    <cellStyle name="40 % - Markeringsfarve1 2 2 3 2" xfId="3177" xr:uid="{00000000-0005-0000-0000-0000694B0000}"/>
    <cellStyle name="40 % - Markeringsfarve1 2 2 3 2 2" xfId="3178" xr:uid="{00000000-0005-0000-0000-00006A4B0000}"/>
    <cellStyle name="40 % - Markeringsfarve1 2 2 3 2 2 2" xfId="7782" xr:uid="{00000000-0005-0000-0000-00006B4B0000}"/>
    <cellStyle name="40 % - Markeringsfarve1 2 2 3 2 2 2 2" xfId="15683" xr:uid="{00000000-0005-0000-0000-00006C4B0000}"/>
    <cellStyle name="40 % - Markeringsfarve1 2 2 3 2 2 2 2 2" xfId="31997" xr:uid="{00000000-0005-0000-0000-00006D4B0000}"/>
    <cellStyle name="40 % - Markeringsfarve1 2 2 3 2 2 2 2 3" xfId="46961" xr:uid="{00000000-0005-0000-0000-00006E4B0000}"/>
    <cellStyle name="40 % - Markeringsfarve1 2 2 3 2 2 2 3" xfId="24975" xr:uid="{00000000-0005-0000-0000-00006F4B0000}"/>
    <cellStyle name="40 % - Markeringsfarve1 2 2 3 2 2 2 4" xfId="39962" xr:uid="{00000000-0005-0000-0000-0000704B0000}"/>
    <cellStyle name="40 % - Markeringsfarve1 2 2 3 2 2 3" xfId="11735" xr:uid="{00000000-0005-0000-0000-0000714B0000}"/>
    <cellStyle name="40 % - Markeringsfarve1 2 2 3 2 2 3 2" xfId="28054" xr:uid="{00000000-0005-0000-0000-0000724B0000}"/>
    <cellStyle name="40 % - Markeringsfarve1 2 2 3 2 2 3 3" xfId="43019" xr:uid="{00000000-0005-0000-0000-0000734B0000}"/>
    <cellStyle name="40 % - Markeringsfarve1 2 2 3 2 2 4" xfId="21032" xr:uid="{00000000-0005-0000-0000-0000744B0000}"/>
    <cellStyle name="40 % - Markeringsfarve1 2 2 3 2 2 5" xfId="36020" xr:uid="{00000000-0005-0000-0000-0000754B0000}"/>
    <cellStyle name="40 % - Markeringsfarve1 2 2 3 2 3" xfId="6337" xr:uid="{00000000-0005-0000-0000-0000764B0000}"/>
    <cellStyle name="40 % - Markeringsfarve1 2 2 3 2 3 2" xfId="14254" xr:uid="{00000000-0005-0000-0000-0000774B0000}"/>
    <cellStyle name="40 % - Markeringsfarve1 2 2 3 2 3 2 2" xfId="30568" xr:uid="{00000000-0005-0000-0000-0000784B0000}"/>
    <cellStyle name="40 % - Markeringsfarve1 2 2 3 2 3 2 3" xfId="45532" xr:uid="{00000000-0005-0000-0000-0000794B0000}"/>
    <cellStyle name="40 % - Markeringsfarve1 2 2 3 2 3 3" xfId="23546" xr:uid="{00000000-0005-0000-0000-00007A4B0000}"/>
    <cellStyle name="40 % - Markeringsfarve1 2 2 3 2 3 4" xfId="38533" xr:uid="{00000000-0005-0000-0000-00007B4B0000}"/>
    <cellStyle name="40 % - Markeringsfarve1 2 2 3 2 4" xfId="11734" xr:uid="{00000000-0005-0000-0000-00007C4B0000}"/>
    <cellStyle name="40 % - Markeringsfarve1 2 2 3 2 4 2" xfId="28053" xr:uid="{00000000-0005-0000-0000-00007D4B0000}"/>
    <cellStyle name="40 % - Markeringsfarve1 2 2 3 2 4 3" xfId="43018" xr:uid="{00000000-0005-0000-0000-00007E4B0000}"/>
    <cellStyle name="40 % - Markeringsfarve1 2 2 3 2 5" xfId="21031" xr:uid="{00000000-0005-0000-0000-00007F4B0000}"/>
    <cellStyle name="40 % - Markeringsfarve1 2 2 3 2 6" xfId="36019" xr:uid="{00000000-0005-0000-0000-0000804B0000}"/>
    <cellStyle name="40 % - Markeringsfarve1 2 2 3 3" xfId="3179" xr:uid="{00000000-0005-0000-0000-0000814B0000}"/>
    <cellStyle name="40 % - Markeringsfarve1 2 2 3 3 2" xfId="7012" xr:uid="{00000000-0005-0000-0000-0000824B0000}"/>
    <cellStyle name="40 % - Markeringsfarve1 2 2 3 3 2 2" xfId="14923" xr:uid="{00000000-0005-0000-0000-0000834B0000}"/>
    <cellStyle name="40 % - Markeringsfarve1 2 2 3 3 2 2 2" xfId="31237" xr:uid="{00000000-0005-0000-0000-0000844B0000}"/>
    <cellStyle name="40 % - Markeringsfarve1 2 2 3 3 2 2 3" xfId="46201" xr:uid="{00000000-0005-0000-0000-0000854B0000}"/>
    <cellStyle name="40 % - Markeringsfarve1 2 2 3 3 2 3" xfId="24215" xr:uid="{00000000-0005-0000-0000-0000864B0000}"/>
    <cellStyle name="40 % - Markeringsfarve1 2 2 3 3 2 4" xfId="39202" xr:uid="{00000000-0005-0000-0000-0000874B0000}"/>
    <cellStyle name="40 % - Markeringsfarve1 2 2 3 3 3" xfId="11736" xr:uid="{00000000-0005-0000-0000-0000884B0000}"/>
    <cellStyle name="40 % - Markeringsfarve1 2 2 3 3 3 2" xfId="28055" xr:uid="{00000000-0005-0000-0000-0000894B0000}"/>
    <cellStyle name="40 % - Markeringsfarve1 2 2 3 3 3 3" xfId="43020" xr:uid="{00000000-0005-0000-0000-00008A4B0000}"/>
    <cellStyle name="40 % - Markeringsfarve1 2 2 3 3 4" xfId="21033" xr:uid="{00000000-0005-0000-0000-00008B4B0000}"/>
    <cellStyle name="40 % - Markeringsfarve1 2 2 3 3 5" xfId="36021" xr:uid="{00000000-0005-0000-0000-00008C4B0000}"/>
    <cellStyle name="40 % - Markeringsfarve1 2 2 3 4" xfId="3180" xr:uid="{00000000-0005-0000-0000-00008D4B0000}"/>
    <cellStyle name="40 % - Markeringsfarve1 2 2 3 4 2" xfId="8594" xr:uid="{00000000-0005-0000-0000-00008E4B0000}"/>
    <cellStyle name="40 % - Markeringsfarve1 2 2 3 4 2 2" xfId="16481" xr:uid="{00000000-0005-0000-0000-00008F4B0000}"/>
    <cellStyle name="40 % - Markeringsfarve1 2 2 3 4 2 2 2" xfId="32795" xr:uid="{00000000-0005-0000-0000-0000904B0000}"/>
    <cellStyle name="40 % - Markeringsfarve1 2 2 3 4 2 2 3" xfId="47759" xr:uid="{00000000-0005-0000-0000-0000914B0000}"/>
    <cellStyle name="40 % - Markeringsfarve1 2 2 3 4 2 3" xfId="25773" xr:uid="{00000000-0005-0000-0000-0000924B0000}"/>
    <cellStyle name="40 % - Markeringsfarve1 2 2 3 4 2 4" xfId="40760" xr:uid="{00000000-0005-0000-0000-0000934B0000}"/>
    <cellStyle name="40 % - Markeringsfarve1 2 2 3 4 3" xfId="11737" xr:uid="{00000000-0005-0000-0000-0000944B0000}"/>
    <cellStyle name="40 % - Markeringsfarve1 2 2 3 4 3 2" xfId="28056" xr:uid="{00000000-0005-0000-0000-0000954B0000}"/>
    <cellStyle name="40 % - Markeringsfarve1 2 2 3 4 3 3" xfId="43021" xr:uid="{00000000-0005-0000-0000-0000964B0000}"/>
    <cellStyle name="40 % - Markeringsfarve1 2 2 3 4 4" xfId="21034" xr:uid="{00000000-0005-0000-0000-0000974B0000}"/>
    <cellStyle name="40 % - Markeringsfarve1 2 2 3 4 5" xfId="36022" xr:uid="{00000000-0005-0000-0000-0000984B0000}"/>
    <cellStyle name="40 % - Markeringsfarve1 2 2 3 5" xfId="5753" xr:uid="{00000000-0005-0000-0000-0000994B0000}"/>
    <cellStyle name="40 % - Markeringsfarve1 2 2 3 5 2" xfId="13671" xr:uid="{00000000-0005-0000-0000-00009A4B0000}"/>
    <cellStyle name="40 % - Markeringsfarve1 2 2 3 5 2 2" xfId="29985" xr:uid="{00000000-0005-0000-0000-00009B4B0000}"/>
    <cellStyle name="40 % - Markeringsfarve1 2 2 3 5 2 3" xfId="44949" xr:uid="{00000000-0005-0000-0000-00009C4B0000}"/>
    <cellStyle name="40 % - Markeringsfarve1 2 2 3 5 3" xfId="22963" xr:uid="{00000000-0005-0000-0000-00009D4B0000}"/>
    <cellStyle name="40 % - Markeringsfarve1 2 2 3 5 4" xfId="37950" xr:uid="{00000000-0005-0000-0000-00009E4B0000}"/>
    <cellStyle name="40 % - Markeringsfarve1 2 2 3 6" xfId="11733" xr:uid="{00000000-0005-0000-0000-00009F4B0000}"/>
    <cellStyle name="40 % - Markeringsfarve1 2 2 3 6 2" xfId="28052" xr:uid="{00000000-0005-0000-0000-0000A04B0000}"/>
    <cellStyle name="40 % - Markeringsfarve1 2 2 3 6 3" xfId="43017" xr:uid="{00000000-0005-0000-0000-0000A14B0000}"/>
    <cellStyle name="40 % - Markeringsfarve1 2 2 3 7" xfId="21030" xr:uid="{00000000-0005-0000-0000-0000A24B0000}"/>
    <cellStyle name="40 % - Markeringsfarve1 2 2 3 8" xfId="36018" xr:uid="{00000000-0005-0000-0000-0000A34B0000}"/>
    <cellStyle name="40 % - Markeringsfarve1 2 2 3 9" xfId="56520" xr:uid="{00000000-0005-0000-0000-0000A44B0000}"/>
    <cellStyle name="40 % - Markeringsfarve1 2 2 4" xfId="3181" xr:uid="{00000000-0005-0000-0000-0000A54B0000}"/>
    <cellStyle name="40 % - Markeringsfarve1 2 2 4 2" xfId="3182" xr:uid="{00000000-0005-0000-0000-0000A64B0000}"/>
    <cellStyle name="40 % - Markeringsfarve1 2 2 4 2 2" xfId="3183" xr:uid="{00000000-0005-0000-0000-0000A74B0000}"/>
    <cellStyle name="40 % - Markeringsfarve1 2 2 4 2 2 2" xfId="7912" xr:uid="{00000000-0005-0000-0000-0000A84B0000}"/>
    <cellStyle name="40 % - Markeringsfarve1 2 2 4 2 2 2 2" xfId="15813" xr:uid="{00000000-0005-0000-0000-0000A94B0000}"/>
    <cellStyle name="40 % - Markeringsfarve1 2 2 4 2 2 2 2 2" xfId="32127" xr:uid="{00000000-0005-0000-0000-0000AA4B0000}"/>
    <cellStyle name="40 % - Markeringsfarve1 2 2 4 2 2 2 2 3" xfId="47091" xr:uid="{00000000-0005-0000-0000-0000AB4B0000}"/>
    <cellStyle name="40 % - Markeringsfarve1 2 2 4 2 2 2 3" xfId="25105" xr:uid="{00000000-0005-0000-0000-0000AC4B0000}"/>
    <cellStyle name="40 % - Markeringsfarve1 2 2 4 2 2 2 4" xfId="40092" xr:uid="{00000000-0005-0000-0000-0000AD4B0000}"/>
    <cellStyle name="40 % - Markeringsfarve1 2 2 4 2 2 3" xfId="11740" xr:uid="{00000000-0005-0000-0000-0000AE4B0000}"/>
    <cellStyle name="40 % - Markeringsfarve1 2 2 4 2 2 3 2" xfId="28059" xr:uid="{00000000-0005-0000-0000-0000AF4B0000}"/>
    <cellStyle name="40 % - Markeringsfarve1 2 2 4 2 2 3 3" xfId="43024" xr:uid="{00000000-0005-0000-0000-0000B04B0000}"/>
    <cellStyle name="40 % - Markeringsfarve1 2 2 4 2 2 4" xfId="21037" xr:uid="{00000000-0005-0000-0000-0000B14B0000}"/>
    <cellStyle name="40 % - Markeringsfarve1 2 2 4 2 2 5" xfId="36025" xr:uid="{00000000-0005-0000-0000-0000B24B0000}"/>
    <cellStyle name="40 % - Markeringsfarve1 2 2 4 2 3" xfId="6449" xr:uid="{00000000-0005-0000-0000-0000B34B0000}"/>
    <cellStyle name="40 % - Markeringsfarve1 2 2 4 2 3 2" xfId="14363" xr:uid="{00000000-0005-0000-0000-0000B44B0000}"/>
    <cellStyle name="40 % - Markeringsfarve1 2 2 4 2 3 2 2" xfId="30677" xr:uid="{00000000-0005-0000-0000-0000B54B0000}"/>
    <cellStyle name="40 % - Markeringsfarve1 2 2 4 2 3 2 3" xfId="45641" xr:uid="{00000000-0005-0000-0000-0000B64B0000}"/>
    <cellStyle name="40 % - Markeringsfarve1 2 2 4 2 3 3" xfId="23655" xr:uid="{00000000-0005-0000-0000-0000B74B0000}"/>
    <cellStyle name="40 % - Markeringsfarve1 2 2 4 2 3 4" xfId="38642" xr:uid="{00000000-0005-0000-0000-0000B84B0000}"/>
    <cellStyle name="40 % - Markeringsfarve1 2 2 4 2 4" xfId="11739" xr:uid="{00000000-0005-0000-0000-0000B94B0000}"/>
    <cellStyle name="40 % - Markeringsfarve1 2 2 4 2 4 2" xfId="28058" xr:uid="{00000000-0005-0000-0000-0000BA4B0000}"/>
    <cellStyle name="40 % - Markeringsfarve1 2 2 4 2 4 3" xfId="43023" xr:uid="{00000000-0005-0000-0000-0000BB4B0000}"/>
    <cellStyle name="40 % - Markeringsfarve1 2 2 4 2 5" xfId="21036" xr:uid="{00000000-0005-0000-0000-0000BC4B0000}"/>
    <cellStyle name="40 % - Markeringsfarve1 2 2 4 2 6" xfId="36024" xr:uid="{00000000-0005-0000-0000-0000BD4B0000}"/>
    <cellStyle name="40 % - Markeringsfarve1 2 2 4 3" xfId="3184" xr:uid="{00000000-0005-0000-0000-0000BE4B0000}"/>
    <cellStyle name="40 % - Markeringsfarve1 2 2 4 3 2" xfId="7188" xr:uid="{00000000-0005-0000-0000-0000BF4B0000}"/>
    <cellStyle name="40 % - Markeringsfarve1 2 2 4 3 2 2" xfId="15098" xr:uid="{00000000-0005-0000-0000-0000C04B0000}"/>
    <cellStyle name="40 % - Markeringsfarve1 2 2 4 3 2 2 2" xfId="31412" xr:uid="{00000000-0005-0000-0000-0000C14B0000}"/>
    <cellStyle name="40 % - Markeringsfarve1 2 2 4 3 2 2 3" xfId="46376" xr:uid="{00000000-0005-0000-0000-0000C24B0000}"/>
    <cellStyle name="40 % - Markeringsfarve1 2 2 4 3 2 3" xfId="24390" xr:uid="{00000000-0005-0000-0000-0000C34B0000}"/>
    <cellStyle name="40 % - Markeringsfarve1 2 2 4 3 2 4" xfId="39377" xr:uid="{00000000-0005-0000-0000-0000C44B0000}"/>
    <cellStyle name="40 % - Markeringsfarve1 2 2 4 3 3" xfId="11741" xr:uid="{00000000-0005-0000-0000-0000C54B0000}"/>
    <cellStyle name="40 % - Markeringsfarve1 2 2 4 3 3 2" xfId="28060" xr:uid="{00000000-0005-0000-0000-0000C64B0000}"/>
    <cellStyle name="40 % - Markeringsfarve1 2 2 4 3 3 3" xfId="43025" xr:uid="{00000000-0005-0000-0000-0000C74B0000}"/>
    <cellStyle name="40 % - Markeringsfarve1 2 2 4 3 4" xfId="21038" xr:uid="{00000000-0005-0000-0000-0000C84B0000}"/>
    <cellStyle name="40 % - Markeringsfarve1 2 2 4 3 5" xfId="36026" xr:uid="{00000000-0005-0000-0000-0000C94B0000}"/>
    <cellStyle name="40 % - Markeringsfarve1 2 2 4 4" xfId="3185" xr:uid="{00000000-0005-0000-0000-0000CA4B0000}"/>
    <cellStyle name="40 % - Markeringsfarve1 2 2 4 4 2" xfId="8245" xr:uid="{00000000-0005-0000-0000-0000CB4B0000}"/>
    <cellStyle name="40 % - Markeringsfarve1 2 2 4 4 2 2" xfId="16142" xr:uid="{00000000-0005-0000-0000-0000CC4B0000}"/>
    <cellStyle name="40 % - Markeringsfarve1 2 2 4 4 2 2 2" xfId="32456" xr:uid="{00000000-0005-0000-0000-0000CD4B0000}"/>
    <cellStyle name="40 % - Markeringsfarve1 2 2 4 4 2 2 3" xfId="47420" xr:uid="{00000000-0005-0000-0000-0000CE4B0000}"/>
    <cellStyle name="40 % - Markeringsfarve1 2 2 4 4 2 3" xfId="25434" xr:uid="{00000000-0005-0000-0000-0000CF4B0000}"/>
    <cellStyle name="40 % - Markeringsfarve1 2 2 4 4 2 4" xfId="40421" xr:uid="{00000000-0005-0000-0000-0000D04B0000}"/>
    <cellStyle name="40 % - Markeringsfarve1 2 2 4 4 3" xfId="11742" xr:uid="{00000000-0005-0000-0000-0000D14B0000}"/>
    <cellStyle name="40 % - Markeringsfarve1 2 2 4 4 3 2" xfId="28061" xr:uid="{00000000-0005-0000-0000-0000D24B0000}"/>
    <cellStyle name="40 % - Markeringsfarve1 2 2 4 4 3 3" xfId="43026" xr:uid="{00000000-0005-0000-0000-0000D34B0000}"/>
    <cellStyle name="40 % - Markeringsfarve1 2 2 4 4 4" xfId="21039" xr:uid="{00000000-0005-0000-0000-0000D44B0000}"/>
    <cellStyle name="40 % - Markeringsfarve1 2 2 4 4 5" xfId="36027" xr:uid="{00000000-0005-0000-0000-0000D54B0000}"/>
    <cellStyle name="40 % - Markeringsfarve1 2 2 4 5" xfId="5754" xr:uid="{00000000-0005-0000-0000-0000D64B0000}"/>
    <cellStyle name="40 % - Markeringsfarve1 2 2 4 5 2" xfId="13672" xr:uid="{00000000-0005-0000-0000-0000D74B0000}"/>
    <cellStyle name="40 % - Markeringsfarve1 2 2 4 5 2 2" xfId="29986" xr:uid="{00000000-0005-0000-0000-0000D84B0000}"/>
    <cellStyle name="40 % - Markeringsfarve1 2 2 4 5 2 3" xfId="44950" xr:uid="{00000000-0005-0000-0000-0000D94B0000}"/>
    <cellStyle name="40 % - Markeringsfarve1 2 2 4 5 3" xfId="22964" xr:uid="{00000000-0005-0000-0000-0000DA4B0000}"/>
    <cellStyle name="40 % - Markeringsfarve1 2 2 4 5 4" xfId="37951" xr:uid="{00000000-0005-0000-0000-0000DB4B0000}"/>
    <cellStyle name="40 % - Markeringsfarve1 2 2 4 6" xfId="11738" xr:uid="{00000000-0005-0000-0000-0000DC4B0000}"/>
    <cellStyle name="40 % - Markeringsfarve1 2 2 4 6 2" xfId="28057" xr:uid="{00000000-0005-0000-0000-0000DD4B0000}"/>
    <cellStyle name="40 % - Markeringsfarve1 2 2 4 6 3" xfId="43022" xr:uid="{00000000-0005-0000-0000-0000DE4B0000}"/>
    <cellStyle name="40 % - Markeringsfarve1 2 2 4 7" xfId="21035" xr:uid="{00000000-0005-0000-0000-0000DF4B0000}"/>
    <cellStyle name="40 % - Markeringsfarve1 2 2 4 8" xfId="36023" xr:uid="{00000000-0005-0000-0000-0000E04B0000}"/>
    <cellStyle name="40 % - Markeringsfarve1 2 2 5" xfId="3186" xr:uid="{00000000-0005-0000-0000-0000E14B0000}"/>
    <cellStyle name="40 % - Markeringsfarve1 2 2 5 2" xfId="3187" xr:uid="{00000000-0005-0000-0000-0000E24B0000}"/>
    <cellStyle name="40 % - Markeringsfarve1 2 2 5 2 2" xfId="3188" xr:uid="{00000000-0005-0000-0000-0000E34B0000}"/>
    <cellStyle name="40 % - Markeringsfarve1 2 2 5 2 2 2" xfId="8029" xr:uid="{00000000-0005-0000-0000-0000E44B0000}"/>
    <cellStyle name="40 % - Markeringsfarve1 2 2 5 2 2 2 2" xfId="15930" xr:uid="{00000000-0005-0000-0000-0000E54B0000}"/>
    <cellStyle name="40 % - Markeringsfarve1 2 2 5 2 2 2 2 2" xfId="32244" xr:uid="{00000000-0005-0000-0000-0000E64B0000}"/>
    <cellStyle name="40 % - Markeringsfarve1 2 2 5 2 2 2 2 3" xfId="47208" xr:uid="{00000000-0005-0000-0000-0000E74B0000}"/>
    <cellStyle name="40 % - Markeringsfarve1 2 2 5 2 2 2 3" xfId="25222" xr:uid="{00000000-0005-0000-0000-0000E84B0000}"/>
    <cellStyle name="40 % - Markeringsfarve1 2 2 5 2 2 2 4" xfId="40209" xr:uid="{00000000-0005-0000-0000-0000E94B0000}"/>
    <cellStyle name="40 % - Markeringsfarve1 2 2 5 2 2 3" xfId="11745" xr:uid="{00000000-0005-0000-0000-0000EA4B0000}"/>
    <cellStyle name="40 % - Markeringsfarve1 2 2 5 2 2 3 2" xfId="28064" xr:uid="{00000000-0005-0000-0000-0000EB4B0000}"/>
    <cellStyle name="40 % - Markeringsfarve1 2 2 5 2 2 3 3" xfId="43029" xr:uid="{00000000-0005-0000-0000-0000EC4B0000}"/>
    <cellStyle name="40 % - Markeringsfarve1 2 2 5 2 2 4" xfId="21042" xr:uid="{00000000-0005-0000-0000-0000ED4B0000}"/>
    <cellStyle name="40 % - Markeringsfarve1 2 2 5 2 2 5" xfId="36030" xr:uid="{00000000-0005-0000-0000-0000EE4B0000}"/>
    <cellStyle name="40 % - Markeringsfarve1 2 2 5 2 3" xfId="6548" xr:uid="{00000000-0005-0000-0000-0000EF4B0000}"/>
    <cellStyle name="40 % - Markeringsfarve1 2 2 5 2 3 2" xfId="14462" xr:uid="{00000000-0005-0000-0000-0000F04B0000}"/>
    <cellStyle name="40 % - Markeringsfarve1 2 2 5 2 3 2 2" xfId="30776" xr:uid="{00000000-0005-0000-0000-0000F14B0000}"/>
    <cellStyle name="40 % - Markeringsfarve1 2 2 5 2 3 2 3" xfId="45740" xr:uid="{00000000-0005-0000-0000-0000F24B0000}"/>
    <cellStyle name="40 % - Markeringsfarve1 2 2 5 2 3 3" xfId="23754" xr:uid="{00000000-0005-0000-0000-0000F34B0000}"/>
    <cellStyle name="40 % - Markeringsfarve1 2 2 5 2 3 4" xfId="38741" xr:uid="{00000000-0005-0000-0000-0000F44B0000}"/>
    <cellStyle name="40 % - Markeringsfarve1 2 2 5 2 4" xfId="11744" xr:uid="{00000000-0005-0000-0000-0000F54B0000}"/>
    <cellStyle name="40 % - Markeringsfarve1 2 2 5 2 4 2" xfId="28063" xr:uid="{00000000-0005-0000-0000-0000F64B0000}"/>
    <cellStyle name="40 % - Markeringsfarve1 2 2 5 2 4 3" xfId="43028" xr:uid="{00000000-0005-0000-0000-0000F74B0000}"/>
    <cellStyle name="40 % - Markeringsfarve1 2 2 5 2 5" xfId="21041" xr:uid="{00000000-0005-0000-0000-0000F84B0000}"/>
    <cellStyle name="40 % - Markeringsfarve1 2 2 5 2 6" xfId="36029" xr:uid="{00000000-0005-0000-0000-0000F94B0000}"/>
    <cellStyle name="40 % - Markeringsfarve1 2 2 5 3" xfId="3189" xr:uid="{00000000-0005-0000-0000-0000FA4B0000}"/>
    <cellStyle name="40 % - Markeringsfarve1 2 2 5 3 2" xfId="7305" xr:uid="{00000000-0005-0000-0000-0000FB4B0000}"/>
    <cellStyle name="40 % - Markeringsfarve1 2 2 5 3 2 2" xfId="15215" xr:uid="{00000000-0005-0000-0000-0000FC4B0000}"/>
    <cellStyle name="40 % - Markeringsfarve1 2 2 5 3 2 2 2" xfId="31529" xr:uid="{00000000-0005-0000-0000-0000FD4B0000}"/>
    <cellStyle name="40 % - Markeringsfarve1 2 2 5 3 2 2 3" xfId="46493" xr:uid="{00000000-0005-0000-0000-0000FE4B0000}"/>
    <cellStyle name="40 % - Markeringsfarve1 2 2 5 3 2 3" xfId="24507" xr:uid="{00000000-0005-0000-0000-0000FF4B0000}"/>
    <cellStyle name="40 % - Markeringsfarve1 2 2 5 3 2 4" xfId="39494" xr:uid="{00000000-0005-0000-0000-0000004C0000}"/>
    <cellStyle name="40 % - Markeringsfarve1 2 2 5 3 3" xfId="11746" xr:uid="{00000000-0005-0000-0000-0000014C0000}"/>
    <cellStyle name="40 % - Markeringsfarve1 2 2 5 3 3 2" xfId="28065" xr:uid="{00000000-0005-0000-0000-0000024C0000}"/>
    <cellStyle name="40 % - Markeringsfarve1 2 2 5 3 3 3" xfId="43030" xr:uid="{00000000-0005-0000-0000-0000034C0000}"/>
    <cellStyle name="40 % - Markeringsfarve1 2 2 5 3 4" xfId="21043" xr:uid="{00000000-0005-0000-0000-0000044C0000}"/>
    <cellStyle name="40 % - Markeringsfarve1 2 2 5 3 5" xfId="36031" xr:uid="{00000000-0005-0000-0000-0000054C0000}"/>
    <cellStyle name="40 % - Markeringsfarve1 2 2 5 4" xfId="3190" xr:uid="{00000000-0005-0000-0000-0000064C0000}"/>
    <cellStyle name="40 % - Markeringsfarve1 2 2 5 4 2" xfId="6706" xr:uid="{00000000-0005-0000-0000-0000074C0000}"/>
    <cellStyle name="40 % - Markeringsfarve1 2 2 5 4 2 2" xfId="14619" xr:uid="{00000000-0005-0000-0000-0000084C0000}"/>
    <cellStyle name="40 % - Markeringsfarve1 2 2 5 4 2 2 2" xfId="30933" xr:uid="{00000000-0005-0000-0000-0000094C0000}"/>
    <cellStyle name="40 % - Markeringsfarve1 2 2 5 4 2 2 3" xfId="45897" xr:uid="{00000000-0005-0000-0000-00000A4C0000}"/>
    <cellStyle name="40 % - Markeringsfarve1 2 2 5 4 2 3" xfId="23911" xr:uid="{00000000-0005-0000-0000-00000B4C0000}"/>
    <cellStyle name="40 % - Markeringsfarve1 2 2 5 4 2 4" xfId="38898" xr:uid="{00000000-0005-0000-0000-00000C4C0000}"/>
    <cellStyle name="40 % - Markeringsfarve1 2 2 5 4 3" xfId="11747" xr:uid="{00000000-0005-0000-0000-00000D4C0000}"/>
    <cellStyle name="40 % - Markeringsfarve1 2 2 5 4 3 2" xfId="28066" xr:uid="{00000000-0005-0000-0000-00000E4C0000}"/>
    <cellStyle name="40 % - Markeringsfarve1 2 2 5 4 3 3" xfId="43031" xr:uid="{00000000-0005-0000-0000-00000F4C0000}"/>
    <cellStyle name="40 % - Markeringsfarve1 2 2 5 4 4" xfId="21044" xr:uid="{00000000-0005-0000-0000-0000104C0000}"/>
    <cellStyle name="40 % - Markeringsfarve1 2 2 5 4 5" xfId="36032" xr:uid="{00000000-0005-0000-0000-0000114C0000}"/>
    <cellStyle name="40 % - Markeringsfarve1 2 2 5 5" xfId="5755" xr:uid="{00000000-0005-0000-0000-0000124C0000}"/>
    <cellStyle name="40 % - Markeringsfarve1 2 2 5 5 2" xfId="13673" xr:uid="{00000000-0005-0000-0000-0000134C0000}"/>
    <cellStyle name="40 % - Markeringsfarve1 2 2 5 5 2 2" xfId="29987" xr:uid="{00000000-0005-0000-0000-0000144C0000}"/>
    <cellStyle name="40 % - Markeringsfarve1 2 2 5 5 2 3" xfId="44951" xr:uid="{00000000-0005-0000-0000-0000154C0000}"/>
    <cellStyle name="40 % - Markeringsfarve1 2 2 5 5 3" xfId="22965" xr:uid="{00000000-0005-0000-0000-0000164C0000}"/>
    <cellStyle name="40 % - Markeringsfarve1 2 2 5 5 4" xfId="37952" xr:uid="{00000000-0005-0000-0000-0000174C0000}"/>
    <cellStyle name="40 % - Markeringsfarve1 2 2 5 6" xfId="11743" xr:uid="{00000000-0005-0000-0000-0000184C0000}"/>
    <cellStyle name="40 % - Markeringsfarve1 2 2 5 6 2" xfId="28062" xr:uid="{00000000-0005-0000-0000-0000194C0000}"/>
    <cellStyle name="40 % - Markeringsfarve1 2 2 5 6 3" xfId="43027" xr:uid="{00000000-0005-0000-0000-00001A4C0000}"/>
    <cellStyle name="40 % - Markeringsfarve1 2 2 5 7" xfId="21040" xr:uid="{00000000-0005-0000-0000-00001B4C0000}"/>
    <cellStyle name="40 % - Markeringsfarve1 2 2 5 8" xfId="36028" xr:uid="{00000000-0005-0000-0000-00001C4C0000}"/>
    <cellStyle name="40 % - Markeringsfarve1 2 2 6" xfId="3191" xr:uid="{00000000-0005-0000-0000-00001D4C0000}"/>
    <cellStyle name="40 % - Markeringsfarve1 2 2 6 2" xfId="3192" xr:uid="{00000000-0005-0000-0000-00001E4C0000}"/>
    <cellStyle name="40 % - Markeringsfarve1 2 2 6 2 2" xfId="3193" xr:uid="{00000000-0005-0000-0000-00001F4C0000}"/>
    <cellStyle name="40 % - Markeringsfarve1 2 2 6 2 2 2" xfId="8136" xr:uid="{00000000-0005-0000-0000-0000204C0000}"/>
    <cellStyle name="40 % - Markeringsfarve1 2 2 6 2 2 2 2" xfId="16037" xr:uid="{00000000-0005-0000-0000-0000214C0000}"/>
    <cellStyle name="40 % - Markeringsfarve1 2 2 6 2 2 2 2 2" xfId="32351" xr:uid="{00000000-0005-0000-0000-0000224C0000}"/>
    <cellStyle name="40 % - Markeringsfarve1 2 2 6 2 2 2 2 3" xfId="47315" xr:uid="{00000000-0005-0000-0000-0000234C0000}"/>
    <cellStyle name="40 % - Markeringsfarve1 2 2 6 2 2 2 3" xfId="25329" xr:uid="{00000000-0005-0000-0000-0000244C0000}"/>
    <cellStyle name="40 % - Markeringsfarve1 2 2 6 2 2 2 4" xfId="40316" xr:uid="{00000000-0005-0000-0000-0000254C0000}"/>
    <cellStyle name="40 % - Markeringsfarve1 2 2 6 2 2 3" xfId="11750" xr:uid="{00000000-0005-0000-0000-0000264C0000}"/>
    <cellStyle name="40 % - Markeringsfarve1 2 2 6 2 2 3 2" xfId="28069" xr:uid="{00000000-0005-0000-0000-0000274C0000}"/>
    <cellStyle name="40 % - Markeringsfarve1 2 2 6 2 2 3 3" xfId="43034" xr:uid="{00000000-0005-0000-0000-0000284C0000}"/>
    <cellStyle name="40 % - Markeringsfarve1 2 2 6 2 2 4" xfId="21047" xr:uid="{00000000-0005-0000-0000-0000294C0000}"/>
    <cellStyle name="40 % - Markeringsfarve1 2 2 6 2 2 5" xfId="36035" xr:uid="{00000000-0005-0000-0000-00002A4C0000}"/>
    <cellStyle name="40 % - Markeringsfarve1 2 2 6 2 3" xfId="6638" xr:uid="{00000000-0005-0000-0000-00002B4C0000}"/>
    <cellStyle name="40 % - Markeringsfarve1 2 2 6 2 3 2" xfId="14552" xr:uid="{00000000-0005-0000-0000-00002C4C0000}"/>
    <cellStyle name="40 % - Markeringsfarve1 2 2 6 2 3 2 2" xfId="30866" xr:uid="{00000000-0005-0000-0000-00002D4C0000}"/>
    <cellStyle name="40 % - Markeringsfarve1 2 2 6 2 3 2 3" xfId="45830" xr:uid="{00000000-0005-0000-0000-00002E4C0000}"/>
    <cellStyle name="40 % - Markeringsfarve1 2 2 6 2 3 3" xfId="23844" xr:uid="{00000000-0005-0000-0000-00002F4C0000}"/>
    <cellStyle name="40 % - Markeringsfarve1 2 2 6 2 3 4" xfId="38831" xr:uid="{00000000-0005-0000-0000-0000304C0000}"/>
    <cellStyle name="40 % - Markeringsfarve1 2 2 6 2 4" xfId="11749" xr:uid="{00000000-0005-0000-0000-0000314C0000}"/>
    <cellStyle name="40 % - Markeringsfarve1 2 2 6 2 4 2" xfId="28068" xr:uid="{00000000-0005-0000-0000-0000324C0000}"/>
    <cellStyle name="40 % - Markeringsfarve1 2 2 6 2 4 3" xfId="43033" xr:uid="{00000000-0005-0000-0000-0000334C0000}"/>
    <cellStyle name="40 % - Markeringsfarve1 2 2 6 2 5" xfId="21046" xr:uid="{00000000-0005-0000-0000-0000344C0000}"/>
    <cellStyle name="40 % - Markeringsfarve1 2 2 6 2 6" xfId="36034" xr:uid="{00000000-0005-0000-0000-0000354C0000}"/>
    <cellStyle name="40 % - Markeringsfarve1 2 2 6 3" xfId="3194" xr:uid="{00000000-0005-0000-0000-0000364C0000}"/>
    <cellStyle name="40 % - Markeringsfarve1 2 2 6 3 2" xfId="7413" xr:uid="{00000000-0005-0000-0000-0000374C0000}"/>
    <cellStyle name="40 % - Markeringsfarve1 2 2 6 3 2 2" xfId="15323" xr:uid="{00000000-0005-0000-0000-0000384C0000}"/>
    <cellStyle name="40 % - Markeringsfarve1 2 2 6 3 2 2 2" xfId="31637" xr:uid="{00000000-0005-0000-0000-0000394C0000}"/>
    <cellStyle name="40 % - Markeringsfarve1 2 2 6 3 2 2 3" xfId="46601" xr:uid="{00000000-0005-0000-0000-00003A4C0000}"/>
    <cellStyle name="40 % - Markeringsfarve1 2 2 6 3 2 3" xfId="24615" xr:uid="{00000000-0005-0000-0000-00003B4C0000}"/>
    <cellStyle name="40 % - Markeringsfarve1 2 2 6 3 2 4" xfId="39602" xr:uid="{00000000-0005-0000-0000-00003C4C0000}"/>
    <cellStyle name="40 % - Markeringsfarve1 2 2 6 3 3" xfId="11751" xr:uid="{00000000-0005-0000-0000-00003D4C0000}"/>
    <cellStyle name="40 % - Markeringsfarve1 2 2 6 3 3 2" xfId="28070" xr:uid="{00000000-0005-0000-0000-00003E4C0000}"/>
    <cellStyle name="40 % - Markeringsfarve1 2 2 6 3 3 3" xfId="43035" xr:uid="{00000000-0005-0000-0000-00003F4C0000}"/>
    <cellStyle name="40 % - Markeringsfarve1 2 2 6 3 4" xfId="21048" xr:uid="{00000000-0005-0000-0000-0000404C0000}"/>
    <cellStyle name="40 % - Markeringsfarve1 2 2 6 3 5" xfId="36036" xr:uid="{00000000-0005-0000-0000-0000414C0000}"/>
    <cellStyle name="40 % - Markeringsfarve1 2 2 6 4" xfId="3195" xr:uid="{00000000-0005-0000-0000-0000424C0000}"/>
    <cellStyle name="40 % - Markeringsfarve1 2 2 6 4 2" xfId="7083" xr:uid="{00000000-0005-0000-0000-0000434C0000}"/>
    <cellStyle name="40 % - Markeringsfarve1 2 2 6 4 2 2" xfId="14994" xr:uid="{00000000-0005-0000-0000-0000444C0000}"/>
    <cellStyle name="40 % - Markeringsfarve1 2 2 6 4 2 2 2" xfId="31308" xr:uid="{00000000-0005-0000-0000-0000454C0000}"/>
    <cellStyle name="40 % - Markeringsfarve1 2 2 6 4 2 2 3" xfId="46272" xr:uid="{00000000-0005-0000-0000-0000464C0000}"/>
    <cellStyle name="40 % - Markeringsfarve1 2 2 6 4 2 3" xfId="24286" xr:uid="{00000000-0005-0000-0000-0000474C0000}"/>
    <cellStyle name="40 % - Markeringsfarve1 2 2 6 4 2 4" xfId="39273" xr:uid="{00000000-0005-0000-0000-0000484C0000}"/>
    <cellStyle name="40 % - Markeringsfarve1 2 2 6 4 3" xfId="11752" xr:uid="{00000000-0005-0000-0000-0000494C0000}"/>
    <cellStyle name="40 % - Markeringsfarve1 2 2 6 4 3 2" xfId="28071" xr:uid="{00000000-0005-0000-0000-00004A4C0000}"/>
    <cellStyle name="40 % - Markeringsfarve1 2 2 6 4 3 3" xfId="43036" xr:uid="{00000000-0005-0000-0000-00004B4C0000}"/>
    <cellStyle name="40 % - Markeringsfarve1 2 2 6 4 4" xfId="21049" xr:uid="{00000000-0005-0000-0000-00004C4C0000}"/>
    <cellStyle name="40 % - Markeringsfarve1 2 2 6 4 5" xfId="36037" xr:uid="{00000000-0005-0000-0000-00004D4C0000}"/>
    <cellStyle name="40 % - Markeringsfarve1 2 2 6 5" xfId="5756" xr:uid="{00000000-0005-0000-0000-00004E4C0000}"/>
    <cellStyle name="40 % - Markeringsfarve1 2 2 6 5 2" xfId="13674" xr:uid="{00000000-0005-0000-0000-00004F4C0000}"/>
    <cellStyle name="40 % - Markeringsfarve1 2 2 6 5 2 2" xfId="29988" xr:uid="{00000000-0005-0000-0000-0000504C0000}"/>
    <cellStyle name="40 % - Markeringsfarve1 2 2 6 5 2 3" xfId="44952" xr:uid="{00000000-0005-0000-0000-0000514C0000}"/>
    <cellStyle name="40 % - Markeringsfarve1 2 2 6 5 3" xfId="22966" xr:uid="{00000000-0005-0000-0000-0000524C0000}"/>
    <cellStyle name="40 % - Markeringsfarve1 2 2 6 5 4" xfId="37953" xr:uid="{00000000-0005-0000-0000-0000534C0000}"/>
    <cellStyle name="40 % - Markeringsfarve1 2 2 6 6" xfId="11748" xr:uid="{00000000-0005-0000-0000-0000544C0000}"/>
    <cellStyle name="40 % - Markeringsfarve1 2 2 6 6 2" xfId="28067" xr:uid="{00000000-0005-0000-0000-0000554C0000}"/>
    <cellStyle name="40 % - Markeringsfarve1 2 2 6 6 3" xfId="43032" xr:uid="{00000000-0005-0000-0000-0000564C0000}"/>
    <cellStyle name="40 % - Markeringsfarve1 2 2 6 7" xfId="21045" xr:uid="{00000000-0005-0000-0000-0000574C0000}"/>
    <cellStyle name="40 % - Markeringsfarve1 2 2 6 8" xfId="36033" xr:uid="{00000000-0005-0000-0000-0000584C0000}"/>
    <cellStyle name="40 % - Markeringsfarve1 2 2 7" xfId="3196" xr:uid="{00000000-0005-0000-0000-0000594C0000}"/>
    <cellStyle name="40 % - Markeringsfarve1 2 2 7 2" xfId="3197" xr:uid="{00000000-0005-0000-0000-00005A4C0000}"/>
    <cellStyle name="40 % - Markeringsfarve1 2 2 7 2 2" xfId="7555" xr:uid="{00000000-0005-0000-0000-00005B4C0000}"/>
    <cellStyle name="40 % - Markeringsfarve1 2 2 7 2 2 2" xfId="15456" xr:uid="{00000000-0005-0000-0000-00005C4C0000}"/>
    <cellStyle name="40 % - Markeringsfarve1 2 2 7 2 2 2 2" xfId="31770" xr:uid="{00000000-0005-0000-0000-00005D4C0000}"/>
    <cellStyle name="40 % - Markeringsfarve1 2 2 7 2 2 2 3" xfId="46734" xr:uid="{00000000-0005-0000-0000-00005E4C0000}"/>
    <cellStyle name="40 % - Markeringsfarve1 2 2 7 2 2 3" xfId="24748" xr:uid="{00000000-0005-0000-0000-00005F4C0000}"/>
    <cellStyle name="40 % - Markeringsfarve1 2 2 7 2 2 4" xfId="39735" xr:uid="{00000000-0005-0000-0000-0000604C0000}"/>
    <cellStyle name="40 % - Markeringsfarve1 2 2 7 2 3" xfId="11754" xr:uid="{00000000-0005-0000-0000-0000614C0000}"/>
    <cellStyle name="40 % - Markeringsfarve1 2 2 7 2 3 2" xfId="28073" xr:uid="{00000000-0005-0000-0000-0000624C0000}"/>
    <cellStyle name="40 % - Markeringsfarve1 2 2 7 2 3 3" xfId="43038" xr:uid="{00000000-0005-0000-0000-0000634C0000}"/>
    <cellStyle name="40 % - Markeringsfarve1 2 2 7 2 4" xfId="21051" xr:uid="{00000000-0005-0000-0000-0000644C0000}"/>
    <cellStyle name="40 % - Markeringsfarve1 2 2 7 2 5" xfId="36039" xr:uid="{00000000-0005-0000-0000-0000654C0000}"/>
    <cellStyle name="40 % - Markeringsfarve1 2 2 7 3" xfId="6148" xr:uid="{00000000-0005-0000-0000-0000664C0000}"/>
    <cellStyle name="40 % - Markeringsfarve1 2 2 7 3 2" xfId="14065" xr:uid="{00000000-0005-0000-0000-0000674C0000}"/>
    <cellStyle name="40 % - Markeringsfarve1 2 2 7 3 2 2" xfId="30379" xr:uid="{00000000-0005-0000-0000-0000684C0000}"/>
    <cellStyle name="40 % - Markeringsfarve1 2 2 7 3 2 3" xfId="45343" xr:uid="{00000000-0005-0000-0000-0000694C0000}"/>
    <cellStyle name="40 % - Markeringsfarve1 2 2 7 3 3" xfId="23357" xr:uid="{00000000-0005-0000-0000-00006A4C0000}"/>
    <cellStyle name="40 % - Markeringsfarve1 2 2 7 3 4" xfId="38344" xr:uid="{00000000-0005-0000-0000-00006B4C0000}"/>
    <cellStyle name="40 % - Markeringsfarve1 2 2 7 4" xfId="11753" xr:uid="{00000000-0005-0000-0000-00006C4C0000}"/>
    <cellStyle name="40 % - Markeringsfarve1 2 2 7 4 2" xfId="28072" xr:uid="{00000000-0005-0000-0000-00006D4C0000}"/>
    <cellStyle name="40 % - Markeringsfarve1 2 2 7 4 3" xfId="43037" xr:uid="{00000000-0005-0000-0000-00006E4C0000}"/>
    <cellStyle name="40 % - Markeringsfarve1 2 2 7 5" xfId="21050" xr:uid="{00000000-0005-0000-0000-00006F4C0000}"/>
    <cellStyle name="40 % - Markeringsfarve1 2 2 7 6" xfId="36038" xr:uid="{00000000-0005-0000-0000-0000704C0000}"/>
    <cellStyle name="40 % - Markeringsfarve1 2 2 8" xfId="3198" xr:uid="{00000000-0005-0000-0000-0000714C0000}"/>
    <cellStyle name="40 % - Markeringsfarve1 2 2 8 2" xfId="6783" xr:uid="{00000000-0005-0000-0000-0000724C0000}"/>
    <cellStyle name="40 % - Markeringsfarve1 2 2 8 2 2" xfId="14694" xr:uid="{00000000-0005-0000-0000-0000734C0000}"/>
    <cellStyle name="40 % - Markeringsfarve1 2 2 8 2 2 2" xfId="31008" xr:uid="{00000000-0005-0000-0000-0000744C0000}"/>
    <cellStyle name="40 % - Markeringsfarve1 2 2 8 2 2 3" xfId="45972" xr:uid="{00000000-0005-0000-0000-0000754C0000}"/>
    <cellStyle name="40 % - Markeringsfarve1 2 2 8 2 3" xfId="23986" xr:uid="{00000000-0005-0000-0000-0000764C0000}"/>
    <cellStyle name="40 % - Markeringsfarve1 2 2 8 2 4" xfId="38973" xr:uid="{00000000-0005-0000-0000-0000774C0000}"/>
    <cellStyle name="40 % - Markeringsfarve1 2 2 8 3" xfId="11755" xr:uid="{00000000-0005-0000-0000-0000784C0000}"/>
    <cellStyle name="40 % - Markeringsfarve1 2 2 8 3 2" xfId="28074" xr:uid="{00000000-0005-0000-0000-0000794C0000}"/>
    <cellStyle name="40 % - Markeringsfarve1 2 2 8 3 3" xfId="43039" xr:uid="{00000000-0005-0000-0000-00007A4C0000}"/>
    <cellStyle name="40 % - Markeringsfarve1 2 2 8 4" xfId="21052" xr:uid="{00000000-0005-0000-0000-00007B4C0000}"/>
    <cellStyle name="40 % - Markeringsfarve1 2 2 8 5" xfId="36040" xr:uid="{00000000-0005-0000-0000-00007C4C0000}"/>
    <cellStyle name="40 % - Markeringsfarve1 2 2 9" xfId="3199" xr:uid="{00000000-0005-0000-0000-00007D4C0000}"/>
    <cellStyle name="40 % - Markeringsfarve1 2 2 9 2" xfId="8647" xr:uid="{00000000-0005-0000-0000-00007E4C0000}"/>
    <cellStyle name="40 % - Markeringsfarve1 2 2 9 2 2" xfId="16530" xr:uid="{00000000-0005-0000-0000-00007F4C0000}"/>
    <cellStyle name="40 % - Markeringsfarve1 2 2 9 2 2 2" xfId="32844" xr:uid="{00000000-0005-0000-0000-0000804C0000}"/>
    <cellStyle name="40 % - Markeringsfarve1 2 2 9 2 2 3" xfId="47808" xr:uid="{00000000-0005-0000-0000-0000814C0000}"/>
    <cellStyle name="40 % - Markeringsfarve1 2 2 9 2 3" xfId="25822" xr:uid="{00000000-0005-0000-0000-0000824C0000}"/>
    <cellStyle name="40 % - Markeringsfarve1 2 2 9 2 4" xfId="40809" xr:uid="{00000000-0005-0000-0000-0000834C0000}"/>
    <cellStyle name="40 % - Markeringsfarve1 2 2 9 3" xfId="11756" xr:uid="{00000000-0005-0000-0000-0000844C0000}"/>
    <cellStyle name="40 % - Markeringsfarve1 2 2 9 3 2" xfId="28075" xr:uid="{00000000-0005-0000-0000-0000854C0000}"/>
    <cellStyle name="40 % - Markeringsfarve1 2 2 9 3 3" xfId="43040" xr:uid="{00000000-0005-0000-0000-0000864C0000}"/>
    <cellStyle name="40 % - Markeringsfarve1 2 2 9 4" xfId="21053" xr:uid="{00000000-0005-0000-0000-0000874C0000}"/>
    <cellStyle name="40 % - Markeringsfarve1 2 2 9 5" xfId="36041" xr:uid="{00000000-0005-0000-0000-0000884C0000}"/>
    <cellStyle name="40 % - Markeringsfarve1 2 3" xfId="3200" xr:uid="{00000000-0005-0000-0000-0000894C0000}"/>
    <cellStyle name="40 % - Markeringsfarve1 2 3 10" xfId="5757" xr:uid="{00000000-0005-0000-0000-00008A4C0000}"/>
    <cellStyle name="40 % - Markeringsfarve1 2 3 10 2" xfId="13675" xr:uid="{00000000-0005-0000-0000-00008B4C0000}"/>
    <cellStyle name="40 % - Markeringsfarve1 2 3 10 2 2" xfId="29989" xr:uid="{00000000-0005-0000-0000-00008C4C0000}"/>
    <cellStyle name="40 % - Markeringsfarve1 2 3 10 2 3" xfId="44953" xr:uid="{00000000-0005-0000-0000-00008D4C0000}"/>
    <cellStyle name="40 % - Markeringsfarve1 2 3 10 3" xfId="22967" xr:uid="{00000000-0005-0000-0000-00008E4C0000}"/>
    <cellStyle name="40 % - Markeringsfarve1 2 3 10 4" xfId="37954" xr:uid="{00000000-0005-0000-0000-00008F4C0000}"/>
    <cellStyle name="40 % - Markeringsfarve1 2 3 11" xfId="11757" xr:uid="{00000000-0005-0000-0000-0000904C0000}"/>
    <cellStyle name="40 % - Markeringsfarve1 2 3 11 2" xfId="28076" xr:uid="{00000000-0005-0000-0000-0000914C0000}"/>
    <cellStyle name="40 % - Markeringsfarve1 2 3 11 3" xfId="43041" xr:uid="{00000000-0005-0000-0000-0000924C0000}"/>
    <cellStyle name="40 % - Markeringsfarve1 2 3 12" xfId="21054" xr:uid="{00000000-0005-0000-0000-0000934C0000}"/>
    <cellStyle name="40 % - Markeringsfarve1 2 3 13" xfId="36042" xr:uid="{00000000-0005-0000-0000-0000944C0000}"/>
    <cellStyle name="40 % - Markeringsfarve1 2 3 14" xfId="53338" xr:uid="{00000000-0005-0000-0000-0000954C0000}"/>
    <cellStyle name="40 % - Markeringsfarve1 2 3 2" xfId="3201" xr:uid="{00000000-0005-0000-0000-0000964C0000}"/>
    <cellStyle name="40 % - Markeringsfarve1 2 3 2 2" xfId="3202" xr:uid="{00000000-0005-0000-0000-0000974C0000}"/>
    <cellStyle name="40 % - Markeringsfarve1 2 3 2 2 2" xfId="3203" xr:uid="{00000000-0005-0000-0000-0000984C0000}"/>
    <cellStyle name="40 % - Markeringsfarve1 2 3 2 2 2 2" xfId="7713" xr:uid="{00000000-0005-0000-0000-0000994C0000}"/>
    <cellStyle name="40 % - Markeringsfarve1 2 3 2 2 2 2 2" xfId="15614" xr:uid="{00000000-0005-0000-0000-00009A4C0000}"/>
    <cellStyle name="40 % - Markeringsfarve1 2 3 2 2 2 2 2 2" xfId="31928" xr:uid="{00000000-0005-0000-0000-00009B4C0000}"/>
    <cellStyle name="40 % - Markeringsfarve1 2 3 2 2 2 2 2 3" xfId="46892" xr:uid="{00000000-0005-0000-0000-00009C4C0000}"/>
    <cellStyle name="40 % - Markeringsfarve1 2 3 2 2 2 2 3" xfId="24906" xr:uid="{00000000-0005-0000-0000-00009D4C0000}"/>
    <cellStyle name="40 % - Markeringsfarve1 2 3 2 2 2 2 4" xfId="39893" xr:uid="{00000000-0005-0000-0000-00009E4C0000}"/>
    <cellStyle name="40 % - Markeringsfarve1 2 3 2 2 2 3" xfId="11760" xr:uid="{00000000-0005-0000-0000-00009F4C0000}"/>
    <cellStyle name="40 % - Markeringsfarve1 2 3 2 2 2 3 2" xfId="28079" xr:uid="{00000000-0005-0000-0000-0000A04C0000}"/>
    <cellStyle name="40 % - Markeringsfarve1 2 3 2 2 2 3 3" xfId="43044" xr:uid="{00000000-0005-0000-0000-0000A14C0000}"/>
    <cellStyle name="40 % - Markeringsfarve1 2 3 2 2 2 4" xfId="21057" xr:uid="{00000000-0005-0000-0000-0000A24C0000}"/>
    <cellStyle name="40 % - Markeringsfarve1 2 3 2 2 2 5" xfId="36045" xr:uid="{00000000-0005-0000-0000-0000A34C0000}"/>
    <cellStyle name="40 % - Markeringsfarve1 2 3 2 2 3" xfId="6280" xr:uid="{00000000-0005-0000-0000-0000A44C0000}"/>
    <cellStyle name="40 % - Markeringsfarve1 2 3 2 2 3 2" xfId="14197" xr:uid="{00000000-0005-0000-0000-0000A54C0000}"/>
    <cellStyle name="40 % - Markeringsfarve1 2 3 2 2 3 2 2" xfId="30511" xr:uid="{00000000-0005-0000-0000-0000A64C0000}"/>
    <cellStyle name="40 % - Markeringsfarve1 2 3 2 2 3 2 3" xfId="45475" xr:uid="{00000000-0005-0000-0000-0000A74C0000}"/>
    <cellStyle name="40 % - Markeringsfarve1 2 3 2 2 3 3" xfId="23489" xr:uid="{00000000-0005-0000-0000-0000A84C0000}"/>
    <cellStyle name="40 % - Markeringsfarve1 2 3 2 2 3 4" xfId="38476" xr:uid="{00000000-0005-0000-0000-0000A94C0000}"/>
    <cellStyle name="40 % - Markeringsfarve1 2 3 2 2 4" xfId="11759" xr:uid="{00000000-0005-0000-0000-0000AA4C0000}"/>
    <cellStyle name="40 % - Markeringsfarve1 2 3 2 2 4 2" xfId="28078" xr:uid="{00000000-0005-0000-0000-0000AB4C0000}"/>
    <cellStyle name="40 % - Markeringsfarve1 2 3 2 2 4 3" xfId="43043" xr:uid="{00000000-0005-0000-0000-0000AC4C0000}"/>
    <cellStyle name="40 % - Markeringsfarve1 2 3 2 2 5" xfId="21056" xr:uid="{00000000-0005-0000-0000-0000AD4C0000}"/>
    <cellStyle name="40 % - Markeringsfarve1 2 3 2 2 6" xfId="36044" xr:uid="{00000000-0005-0000-0000-0000AE4C0000}"/>
    <cellStyle name="40 % - Markeringsfarve1 2 3 2 2 7" xfId="57142" xr:uid="{00000000-0005-0000-0000-0000AF4C0000}"/>
    <cellStyle name="40 % - Markeringsfarve1 2 3 2 3" xfId="3204" xr:uid="{00000000-0005-0000-0000-0000B04C0000}"/>
    <cellStyle name="40 % - Markeringsfarve1 2 3 2 3 2" xfId="6943" xr:uid="{00000000-0005-0000-0000-0000B14C0000}"/>
    <cellStyle name="40 % - Markeringsfarve1 2 3 2 3 2 2" xfId="14854" xr:uid="{00000000-0005-0000-0000-0000B24C0000}"/>
    <cellStyle name="40 % - Markeringsfarve1 2 3 2 3 2 2 2" xfId="31168" xr:uid="{00000000-0005-0000-0000-0000B34C0000}"/>
    <cellStyle name="40 % - Markeringsfarve1 2 3 2 3 2 2 3" xfId="46132" xr:uid="{00000000-0005-0000-0000-0000B44C0000}"/>
    <cellStyle name="40 % - Markeringsfarve1 2 3 2 3 2 3" xfId="24146" xr:uid="{00000000-0005-0000-0000-0000B54C0000}"/>
    <cellStyle name="40 % - Markeringsfarve1 2 3 2 3 2 4" xfId="39133" xr:uid="{00000000-0005-0000-0000-0000B64C0000}"/>
    <cellStyle name="40 % - Markeringsfarve1 2 3 2 3 3" xfId="11761" xr:uid="{00000000-0005-0000-0000-0000B74C0000}"/>
    <cellStyle name="40 % - Markeringsfarve1 2 3 2 3 3 2" xfId="28080" xr:uid="{00000000-0005-0000-0000-0000B84C0000}"/>
    <cellStyle name="40 % - Markeringsfarve1 2 3 2 3 3 3" xfId="43045" xr:uid="{00000000-0005-0000-0000-0000B94C0000}"/>
    <cellStyle name="40 % - Markeringsfarve1 2 3 2 3 4" xfId="21058" xr:uid="{00000000-0005-0000-0000-0000BA4C0000}"/>
    <cellStyle name="40 % - Markeringsfarve1 2 3 2 3 5" xfId="36046" xr:uid="{00000000-0005-0000-0000-0000BB4C0000}"/>
    <cellStyle name="40 % - Markeringsfarve1 2 3 2 4" xfId="3205" xr:uid="{00000000-0005-0000-0000-0000BC4C0000}"/>
    <cellStyle name="40 % - Markeringsfarve1 2 3 2 4 2" xfId="8776" xr:uid="{00000000-0005-0000-0000-0000BD4C0000}"/>
    <cellStyle name="40 % - Markeringsfarve1 2 3 2 4 2 2" xfId="16652" xr:uid="{00000000-0005-0000-0000-0000BE4C0000}"/>
    <cellStyle name="40 % - Markeringsfarve1 2 3 2 4 2 2 2" xfId="32966" xr:uid="{00000000-0005-0000-0000-0000BF4C0000}"/>
    <cellStyle name="40 % - Markeringsfarve1 2 3 2 4 2 2 3" xfId="47930" xr:uid="{00000000-0005-0000-0000-0000C04C0000}"/>
    <cellStyle name="40 % - Markeringsfarve1 2 3 2 4 2 3" xfId="25944" xr:uid="{00000000-0005-0000-0000-0000C14C0000}"/>
    <cellStyle name="40 % - Markeringsfarve1 2 3 2 4 2 4" xfId="40931" xr:uid="{00000000-0005-0000-0000-0000C24C0000}"/>
    <cellStyle name="40 % - Markeringsfarve1 2 3 2 4 3" xfId="11762" xr:uid="{00000000-0005-0000-0000-0000C34C0000}"/>
    <cellStyle name="40 % - Markeringsfarve1 2 3 2 4 3 2" xfId="28081" xr:uid="{00000000-0005-0000-0000-0000C44C0000}"/>
    <cellStyle name="40 % - Markeringsfarve1 2 3 2 4 3 3" xfId="43046" xr:uid="{00000000-0005-0000-0000-0000C54C0000}"/>
    <cellStyle name="40 % - Markeringsfarve1 2 3 2 4 4" xfId="21059" xr:uid="{00000000-0005-0000-0000-0000C64C0000}"/>
    <cellStyle name="40 % - Markeringsfarve1 2 3 2 4 5" xfId="36047" xr:uid="{00000000-0005-0000-0000-0000C74C0000}"/>
    <cellStyle name="40 % - Markeringsfarve1 2 3 2 5" xfId="5758" xr:uid="{00000000-0005-0000-0000-0000C84C0000}"/>
    <cellStyle name="40 % - Markeringsfarve1 2 3 2 5 2" xfId="13676" xr:uid="{00000000-0005-0000-0000-0000C94C0000}"/>
    <cellStyle name="40 % - Markeringsfarve1 2 3 2 5 2 2" xfId="29990" xr:uid="{00000000-0005-0000-0000-0000CA4C0000}"/>
    <cellStyle name="40 % - Markeringsfarve1 2 3 2 5 2 3" xfId="44954" xr:uid="{00000000-0005-0000-0000-0000CB4C0000}"/>
    <cellStyle name="40 % - Markeringsfarve1 2 3 2 5 3" xfId="22968" xr:uid="{00000000-0005-0000-0000-0000CC4C0000}"/>
    <cellStyle name="40 % - Markeringsfarve1 2 3 2 5 4" xfId="37955" xr:uid="{00000000-0005-0000-0000-0000CD4C0000}"/>
    <cellStyle name="40 % - Markeringsfarve1 2 3 2 6" xfId="11758" xr:uid="{00000000-0005-0000-0000-0000CE4C0000}"/>
    <cellStyle name="40 % - Markeringsfarve1 2 3 2 6 2" xfId="28077" xr:uid="{00000000-0005-0000-0000-0000CF4C0000}"/>
    <cellStyle name="40 % - Markeringsfarve1 2 3 2 6 3" xfId="43042" xr:uid="{00000000-0005-0000-0000-0000D04C0000}"/>
    <cellStyle name="40 % - Markeringsfarve1 2 3 2 7" xfId="21055" xr:uid="{00000000-0005-0000-0000-0000D14C0000}"/>
    <cellStyle name="40 % - Markeringsfarve1 2 3 2 8" xfId="36043" xr:uid="{00000000-0005-0000-0000-0000D24C0000}"/>
    <cellStyle name="40 % - Markeringsfarve1 2 3 2 9" xfId="53975" xr:uid="{00000000-0005-0000-0000-0000D34C0000}"/>
    <cellStyle name="40 % - Markeringsfarve1 2 3 3" xfId="3206" xr:uid="{00000000-0005-0000-0000-0000D44C0000}"/>
    <cellStyle name="40 % - Markeringsfarve1 2 3 3 2" xfId="3207" xr:uid="{00000000-0005-0000-0000-0000D54C0000}"/>
    <cellStyle name="40 % - Markeringsfarve1 2 3 3 2 2" xfId="3208" xr:uid="{00000000-0005-0000-0000-0000D64C0000}"/>
    <cellStyle name="40 % - Markeringsfarve1 2 3 3 2 2 2" xfId="7783" xr:uid="{00000000-0005-0000-0000-0000D74C0000}"/>
    <cellStyle name="40 % - Markeringsfarve1 2 3 3 2 2 2 2" xfId="15684" xr:uid="{00000000-0005-0000-0000-0000D84C0000}"/>
    <cellStyle name="40 % - Markeringsfarve1 2 3 3 2 2 2 2 2" xfId="31998" xr:uid="{00000000-0005-0000-0000-0000D94C0000}"/>
    <cellStyle name="40 % - Markeringsfarve1 2 3 3 2 2 2 2 3" xfId="46962" xr:uid="{00000000-0005-0000-0000-0000DA4C0000}"/>
    <cellStyle name="40 % - Markeringsfarve1 2 3 3 2 2 2 3" xfId="24976" xr:uid="{00000000-0005-0000-0000-0000DB4C0000}"/>
    <cellStyle name="40 % - Markeringsfarve1 2 3 3 2 2 2 4" xfId="39963" xr:uid="{00000000-0005-0000-0000-0000DC4C0000}"/>
    <cellStyle name="40 % - Markeringsfarve1 2 3 3 2 2 3" xfId="11765" xr:uid="{00000000-0005-0000-0000-0000DD4C0000}"/>
    <cellStyle name="40 % - Markeringsfarve1 2 3 3 2 2 3 2" xfId="28084" xr:uid="{00000000-0005-0000-0000-0000DE4C0000}"/>
    <cellStyle name="40 % - Markeringsfarve1 2 3 3 2 2 3 3" xfId="43049" xr:uid="{00000000-0005-0000-0000-0000DF4C0000}"/>
    <cellStyle name="40 % - Markeringsfarve1 2 3 3 2 2 4" xfId="21062" xr:uid="{00000000-0005-0000-0000-0000E04C0000}"/>
    <cellStyle name="40 % - Markeringsfarve1 2 3 3 2 2 5" xfId="36050" xr:uid="{00000000-0005-0000-0000-0000E14C0000}"/>
    <cellStyle name="40 % - Markeringsfarve1 2 3 3 2 3" xfId="6338" xr:uid="{00000000-0005-0000-0000-0000E24C0000}"/>
    <cellStyle name="40 % - Markeringsfarve1 2 3 3 2 3 2" xfId="14255" xr:uid="{00000000-0005-0000-0000-0000E34C0000}"/>
    <cellStyle name="40 % - Markeringsfarve1 2 3 3 2 3 2 2" xfId="30569" xr:uid="{00000000-0005-0000-0000-0000E44C0000}"/>
    <cellStyle name="40 % - Markeringsfarve1 2 3 3 2 3 2 3" xfId="45533" xr:uid="{00000000-0005-0000-0000-0000E54C0000}"/>
    <cellStyle name="40 % - Markeringsfarve1 2 3 3 2 3 3" xfId="23547" xr:uid="{00000000-0005-0000-0000-0000E64C0000}"/>
    <cellStyle name="40 % - Markeringsfarve1 2 3 3 2 3 4" xfId="38534" xr:uid="{00000000-0005-0000-0000-0000E74C0000}"/>
    <cellStyle name="40 % - Markeringsfarve1 2 3 3 2 4" xfId="11764" xr:uid="{00000000-0005-0000-0000-0000E84C0000}"/>
    <cellStyle name="40 % - Markeringsfarve1 2 3 3 2 4 2" xfId="28083" xr:uid="{00000000-0005-0000-0000-0000E94C0000}"/>
    <cellStyle name="40 % - Markeringsfarve1 2 3 3 2 4 3" xfId="43048" xr:uid="{00000000-0005-0000-0000-0000EA4C0000}"/>
    <cellStyle name="40 % - Markeringsfarve1 2 3 3 2 5" xfId="21061" xr:uid="{00000000-0005-0000-0000-0000EB4C0000}"/>
    <cellStyle name="40 % - Markeringsfarve1 2 3 3 2 6" xfId="36049" xr:uid="{00000000-0005-0000-0000-0000EC4C0000}"/>
    <cellStyle name="40 % - Markeringsfarve1 2 3 3 3" xfId="3209" xr:uid="{00000000-0005-0000-0000-0000ED4C0000}"/>
    <cellStyle name="40 % - Markeringsfarve1 2 3 3 3 2" xfId="7013" xr:uid="{00000000-0005-0000-0000-0000EE4C0000}"/>
    <cellStyle name="40 % - Markeringsfarve1 2 3 3 3 2 2" xfId="14924" xr:uid="{00000000-0005-0000-0000-0000EF4C0000}"/>
    <cellStyle name="40 % - Markeringsfarve1 2 3 3 3 2 2 2" xfId="31238" xr:uid="{00000000-0005-0000-0000-0000F04C0000}"/>
    <cellStyle name="40 % - Markeringsfarve1 2 3 3 3 2 2 3" xfId="46202" xr:uid="{00000000-0005-0000-0000-0000F14C0000}"/>
    <cellStyle name="40 % - Markeringsfarve1 2 3 3 3 2 3" xfId="24216" xr:uid="{00000000-0005-0000-0000-0000F24C0000}"/>
    <cellStyle name="40 % - Markeringsfarve1 2 3 3 3 2 4" xfId="39203" xr:uid="{00000000-0005-0000-0000-0000F34C0000}"/>
    <cellStyle name="40 % - Markeringsfarve1 2 3 3 3 3" xfId="11766" xr:uid="{00000000-0005-0000-0000-0000F44C0000}"/>
    <cellStyle name="40 % - Markeringsfarve1 2 3 3 3 3 2" xfId="28085" xr:uid="{00000000-0005-0000-0000-0000F54C0000}"/>
    <cellStyle name="40 % - Markeringsfarve1 2 3 3 3 3 3" xfId="43050" xr:uid="{00000000-0005-0000-0000-0000F64C0000}"/>
    <cellStyle name="40 % - Markeringsfarve1 2 3 3 3 4" xfId="21063" xr:uid="{00000000-0005-0000-0000-0000F74C0000}"/>
    <cellStyle name="40 % - Markeringsfarve1 2 3 3 3 5" xfId="36051" xr:uid="{00000000-0005-0000-0000-0000F84C0000}"/>
    <cellStyle name="40 % - Markeringsfarve1 2 3 3 4" xfId="3210" xr:uid="{00000000-0005-0000-0000-0000F94C0000}"/>
    <cellStyle name="40 % - Markeringsfarve1 2 3 3 4 2" xfId="8496" xr:uid="{00000000-0005-0000-0000-0000FA4C0000}"/>
    <cellStyle name="40 % - Markeringsfarve1 2 3 3 4 2 2" xfId="16385" xr:uid="{00000000-0005-0000-0000-0000FB4C0000}"/>
    <cellStyle name="40 % - Markeringsfarve1 2 3 3 4 2 2 2" xfId="32699" xr:uid="{00000000-0005-0000-0000-0000FC4C0000}"/>
    <cellStyle name="40 % - Markeringsfarve1 2 3 3 4 2 2 3" xfId="47663" xr:uid="{00000000-0005-0000-0000-0000FD4C0000}"/>
    <cellStyle name="40 % - Markeringsfarve1 2 3 3 4 2 3" xfId="25677" xr:uid="{00000000-0005-0000-0000-0000FE4C0000}"/>
    <cellStyle name="40 % - Markeringsfarve1 2 3 3 4 2 4" xfId="40664" xr:uid="{00000000-0005-0000-0000-0000FF4C0000}"/>
    <cellStyle name="40 % - Markeringsfarve1 2 3 3 4 3" xfId="11767" xr:uid="{00000000-0005-0000-0000-0000004D0000}"/>
    <cellStyle name="40 % - Markeringsfarve1 2 3 3 4 3 2" xfId="28086" xr:uid="{00000000-0005-0000-0000-0000014D0000}"/>
    <cellStyle name="40 % - Markeringsfarve1 2 3 3 4 3 3" xfId="43051" xr:uid="{00000000-0005-0000-0000-0000024D0000}"/>
    <cellStyle name="40 % - Markeringsfarve1 2 3 3 4 4" xfId="21064" xr:uid="{00000000-0005-0000-0000-0000034D0000}"/>
    <cellStyle name="40 % - Markeringsfarve1 2 3 3 4 5" xfId="36052" xr:uid="{00000000-0005-0000-0000-0000044D0000}"/>
    <cellStyle name="40 % - Markeringsfarve1 2 3 3 5" xfId="5759" xr:uid="{00000000-0005-0000-0000-0000054D0000}"/>
    <cellStyle name="40 % - Markeringsfarve1 2 3 3 5 2" xfId="13677" xr:uid="{00000000-0005-0000-0000-0000064D0000}"/>
    <cellStyle name="40 % - Markeringsfarve1 2 3 3 5 2 2" xfId="29991" xr:uid="{00000000-0005-0000-0000-0000074D0000}"/>
    <cellStyle name="40 % - Markeringsfarve1 2 3 3 5 2 3" xfId="44955" xr:uid="{00000000-0005-0000-0000-0000084D0000}"/>
    <cellStyle name="40 % - Markeringsfarve1 2 3 3 5 3" xfId="22969" xr:uid="{00000000-0005-0000-0000-0000094D0000}"/>
    <cellStyle name="40 % - Markeringsfarve1 2 3 3 5 4" xfId="37956" xr:uid="{00000000-0005-0000-0000-00000A4D0000}"/>
    <cellStyle name="40 % - Markeringsfarve1 2 3 3 6" xfId="11763" xr:uid="{00000000-0005-0000-0000-00000B4D0000}"/>
    <cellStyle name="40 % - Markeringsfarve1 2 3 3 6 2" xfId="28082" xr:uid="{00000000-0005-0000-0000-00000C4D0000}"/>
    <cellStyle name="40 % - Markeringsfarve1 2 3 3 6 3" xfId="43047" xr:uid="{00000000-0005-0000-0000-00000D4D0000}"/>
    <cellStyle name="40 % - Markeringsfarve1 2 3 3 7" xfId="21060" xr:uid="{00000000-0005-0000-0000-00000E4D0000}"/>
    <cellStyle name="40 % - Markeringsfarve1 2 3 3 8" xfId="36048" xr:uid="{00000000-0005-0000-0000-00000F4D0000}"/>
    <cellStyle name="40 % - Markeringsfarve1 2 3 3 9" xfId="56519" xr:uid="{00000000-0005-0000-0000-0000104D0000}"/>
    <cellStyle name="40 % - Markeringsfarve1 2 3 4" xfId="3211" xr:uid="{00000000-0005-0000-0000-0000114D0000}"/>
    <cellStyle name="40 % - Markeringsfarve1 2 3 4 2" xfId="3212" xr:uid="{00000000-0005-0000-0000-0000124D0000}"/>
    <cellStyle name="40 % - Markeringsfarve1 2 3 4 2 2" xfId="3213" xr:uid="{00000000-0005-0000-0000-0000134D0000}"/>
    <cellStyle name="40 % - Markeringsfarve1 2 3 4 2 2 2" xfId="7951" xr:uid="{00000000-0005-0000-0000-0000144D0000}"/>
    <cellStyle name="40 % - Markeringsfarve1 2 3 4 2 2 2 2" xfId="15852" xr:uid="{00000000-0005-0000-0000-0000154D0000}"/>
    <cellStyle name="40 % - Markeringsfarve1 2 3 4 2 2 2 2 2" xfId="32166" xr:uid="{00000000-0005-0000-0000-0000164D0000}"/>
    <cellStyle name="40 % - Markeringsfarve1 2 3 4 2 2 2 2 3" xfId="47130" xr:uid="{00000000-0005-0000-0000-0000174D0000}"/>
    <cellStyle name="40 % - Markeringsfarve1 2 3 4 2 2 2 3" xfId="25144" xr:uid="{00000000-0005-0000-0000-0000184D0000}"/>
    <cellStyle name="40 % - Markeringsfarve1 2 3 4 2 2 2 4" xfId="40131" xr:uid="{00000000-0005-0000-0000-0000194D0000}"/>
    <cellStyle name="40 % - Markeringsfarve1 2 3 4 2 2 3" xfId="11770" xr:uid="{00000000-0005-0000-0000-00001A4D0000}"/>
    <cellStyle name="40 % - Markeringsfarve1 2 3 4 2 2 3 2" xfId="28089" xr:uid="{00000000-0005-0000-0000-00001B4D0000}"/>
    <cellStyle name="40 % - Markeringsfarve1 2 3 4 2 2 3 3" xfId="43054" xr:uid="{00000000-0005-0000-0000-00001C4D0000}"/>
    <cellStyle name="40 % - Markeringsfarve1 2 3 4 2 2 4" xfId="21067" xr:uid="{00000000-0005-0000-0000-00001D4D0000}"/>
    <cellStyle name="40 % - Markeringsfarve1 2 3 4 2 2 5" xfId="36055" xr:uid="{00000000-0005-0000-0000-00001E4D0000}"/>
    <cellStyle name="40 % - Markeringsfarve1 2 3 4 2 3" xfId="6482" xr:uid="{00000000-0005-0000-0000-00001F4D0000}"/>
    <cellStyle name="40 % - Markeringsfarve1 2 3 4 2 3 2" xfId="14396" xr:uid="{00000000-0005-0000-0000-0000204D0000}"/>
    <cellStyle name="40 % - Markeringsfarve1 2 3 4 2 3 2 2" xfId="30710" xr:uid="{00000000-0005-0000-0000-0000214D0000}"/>
    <cellStyle name="40 % - Markeringsfarve1 2 3 4 2 3 2 3" xfId="45674" xr:uid="{00000000-0005-0000-0000-0000224D0000}"/>
    <cellStyle name="40 % - Markeringsfarve1 2 3 4 2 3 3" xfId="23688" xr:uid="{00000000-0005-0000-0000-0000234D0000}"/>
    <cellStyle name="40 % - Markeringsfarve1 2 3 4 2 3 4" xfId="38675" xr:uid="{00000000-0005-0000-0000-0000244D0000}"/>
    <cellStyle name="40 % - Markeringsfarve1 2 3 4 2 4" xfId="11769" xr:uid="{00000000-0005-0000-0000-0000254D0000}"/>
    <cellStyle name="40 % - Markeringsfarve1 2 3 4 2 4 2" xfId="28088" xr:uid="{00000000-0005-0000-0000-0000264D0000}"/>
    <cellStyle name="40 % - Markeringsfarve1 2 3 4 2 4 3" xfId="43053" xr:uid="{00000000-0005-0000-0000-0000274D0000}"/>
    <cellStyle name="40 % - Markeringsfarve1 2 3 4 2 5" xfId="21066" xr:uid="{00000000-0005-0000-0000-0000284D0000}"/>
    <cellStyle name="40 % - Markeringsfarve1 2 3 4 2 6" xfId="36054" xr:uid="{00000000-0005-0000-0000-0000294D0000}"/>
    <cellStyle name="40 % - Markeringsfarve1 2 3 4 3" xfId="3214" xr:uid="{00000000-0005-0000-0000-00002A4D0000}"/>
    <cellStyle name="40 % - Markeringsfarve1 2 3 4 3 2" xfId="7227" xr:uid="{00000000-0005-0000-0000-00002B4D0000}"/>
    <cellStyle name="40 % - Markeringsfarve1 2 3 4 3 2 2" xfId="15137" xr:uid="{00000000-0005-0000-0000-00002C4D0000}"/>
    <cellStyle name="40 % - Markeringsfarve1 2 3 4 3 2 2 2" xfId="31451" xr:uid="{00000000-0005-0000-0000-00002D4D0000}"/>
    <cellStyle name="40 % - Markeringsfarve1 2 3 4 3 2 2 3" xfId="46415" xr:uid="{00000000-0005-0000-0000-00002E4D0000}"/>
    <cellStyle name="40 % - Markeringsfarve1 2 3 4 3 2 3" xfId="24429" xr:uid="{00000000-0005-0000-0000-00002F4D0000}"/>
    <cellStyle name="40 % - Markeringsfarve1 2 3 4 3 2 4" xfId="39416" xr:uid="{00000000-0005-0000-0000-0000304D0000}"/>
    <cellStyle name="40 % - Markeringsfarve1 2 3 4 3 3" xfId="11771" xr:uid="{00000000-0005-0000-0000-0000314D0000}"/>
    <cellStyle name="40 % - Markeringsfarve1 2 3 4 3 3 2" xfId="28090" xr:uid="{00000000-0005-0000-0000-0000324D0000}"/>
    <cellStyle name="40 % - Markeringsfarve1 2 3 4 3 3 3" xfId="43055" xr:uid="{00000000-0005-0000-0000-0000334D0000}"/>
    <cellStyle name="40 % - Markeringsfarve1 2 3 4 3 4" xfId="21068" xr:uid="{00000000-0005-0000-0000-0000344D0000}"/>
    <cellStyle name="40 % - Markeringsfarve1 2 3 4 3 5" xfId="36056" xr:uid="{00000000-0005-0000-0000-0000354D0000}"/>
    <cellStyle name="40 % - Markeringsfarve1 2 3 4 4" xfId="3215" xr:uid="{00000000-0005-0000-0000-0000364D0000}"/>
    <cellStyle name="40 % - Markeringsfarve1 2 3 4 4 2" xfId="8717" xr:uid="{00000000-0005-0000-0000-0000374D0000}"/>
    <cellStyle name="40 % - Markeringsfarve1 2 3 4 4 2 2" xfId="16597" xr:uid="{00000000-0005-0000-0000-0000384D0000}"/>
    <cellStyle name="40 % - Markeringsfarve1 2 3 4 4 2 2 2" xfId="32911" xr:uid="{00000000-0005-0000-0000-0000394D0000}"/>
    <cellStyle name="40 % - Markeringsfarve1 2 3 4 4 2 2 3" xfId="47875" xr:uid="{00000000-0005-0000-0000-00003A4D0000}"/>
    <cellStyle name="40 % - Markeringsfarve1 2 3 4 4 2 3" xfId="25889" xr:uid="{00000000-0005-0000-0000-00003B4D0000}"/>
    <cellStyle name="40 % - Markeringsfarve1 2 3 4 4 2 4" xfId="40876" xr:uid="{00000000-0005-0000-0000-00003C4D0000}"/>
    <cellStyle name="40 % - Markeringsfarve1 2 3 4 4 3" xfId="11772" xr:uid="{00000000-0005-0000-0000-00003D4D0000}"/>
    <cellStyle name="40 % - Markeringsfarve1 2 3 4 4 3 2" xfId="28091" xr:uid="{00000000-0005-0000-0000-00003E4D0000}"/>
    <cellStyle name="40 % - Markeringsfarve1 2 3 4 4 3 3" xfId="43056" xr:uid="{00000000-0005-0000-0000-00003F4D0000}"/>
    <cellStyle name="40 % - Markeringsfarve1 2 3 4 4 4" xfId="21069" xr:uid="{00000000-0005-0000-0000-0000404D0000}"/>
    <cellStyle name="40 % - Markeringsfarve1 2 3 4 4 5" xfId="36057" xr:uid="{00000000-0005-0000-0000-0000414D0000}"/>
    <cellStyle name="40 % - Markeringsfarve1 2 3 4 5" xfId="5760" xr:uid="{00000000-0005-0000-0000-0000424D0000}"/>
    <cellStyle name="40 % - Markeringsfarve1 2 3 4 5 2" xfId="13678" xr:uid="{00000000-0005-0000-0000-0000434D0000}"/>
    <cellStyle name="40 % - Markeringsfarve1 2 3 4 5 2 2" xfId="29992" xr:uid="{00000000-0005-0000-0000-0000444D0000}"/>
    <cellStyle name="40 % - Markeringsfarve1 2 3 4 5 2 3" xfId="44956" xr:uid="{00000000-0005-0000-0000-0000454D0000}"/>
    <cellStyle name="40 % - Markeringsfarve1 2 3 4 5 3" xfId="22970" xr:uid="{00000000-0005-0000-0000-0000464D0000}"/>
    <cellStyle name="40 % - Markeringsfarve1 2 3 4 5 4" xfId="37957" xr:uid="{00000000-0005-0000-0000-0000474D0000}"/>
    <cellStyle name="40 % - Markeringsfarve1 2 3 4 6" xfId="11768" xr:uid="{00000000-0005-0000-0000-0000484D0000}"/>
    <cellStyle name="40 % - Markeringsfarve1 2 3 4 6 2" xfId="28087" xr:uid="{00000000-0005-0000-0000-0000494D0000}"/>
    <cellStyle name="40 % - Markeringsfarve1 2 3 4 6 3" xfId="43052" xr:uid="{00000000-0005-0000-0000-00004A4D0000}"/>
    <cellStyle name="40 % - Markeringsfarve1 2 3 4 7" xfId="21065" xr:uid="{00000000-0005-0000-0000-00004B4D0000}"/>
    <cellStyle name="40 % - Markeringsfarve1 2 3 4 8" xfId="36053" xr:uid="{00000000-0005-0000-0000-00004C4D0000}"/>
    <cellStyle name="40 % - Markeringsfarve1 2 3 5" xfId="3216" xr:uid="{00000000-0005-0000-0000-00004D4D0000}"/>
    <cellStyle name="40 % - Markeringsfarve1 2 3 5 2" xfId="3217" xr:uid="{00000000-0005-0000-0000-00004E4D0000}"/>
    <cellStyle name="40 % - Markeringsfarve1 2 3 5 2 2" xfId="3218" xr:uid="{00000000-0005-0000-0000-00004F4D0000}"/>
    <cellStyle name="40 % - Markeringsfarve1 2 3 5 2 2 2" xfId="8068" xr:uid="{00000000-0005-0000-0000-0000504D0000}"/>
    <cellStyle name="40 % - Markeringsfarve1 2 3 5 2 2 2 2" xfId="15969" xr:uid="{00000000-0005-0000-0000-0000514D0000}"/>
    <cellStyle name="40 % - Markeringsfarve1 2 3 5 2 2 2 2 2" xfId="32283" xr:uid="{00000000-0005-0000-0000-0000524D0000}"/>
    <cellStyle name="40 % - Markeringsfarve1 2 3 5 2 2 2 2 3" xfId="47247" xr:uid="{00000000-0005-0000-0000-0000534D0000}"/>
    <cellStyle name="40 % - Markeringsfarve1 2 3 5 2 2 2 3" xfId="25261" xr:uid="{00000000-0005-0000-0000-0000544D0000}"/>
    <cellStyle name="40 % - Markeringsfarve1 2 3 5 2 2 2 4" xfId="40248" xr:uid="{00000000-0005-0000-0000-0000554D0000}"/>
    <cellStyle name="40 % - Markeringsfarve1 2 3 5 2 2 3" xfId="11775" xr:uid="{00000000-0005-0000-0000-0000564D0000}"/>
    <cellStyle name="40 % - Markeringsfarve1 2 3 5 2 2 3 2" xfId="28094" xr:uid="{00000000-0005-0000-0000-0000574D0000}"/>
    <cellStyle name="40 % - Markeringsfarve1 2 3 5 2 2 3 3" xfId="43059" xr:uid="{00000000-0005-0000-0000-0000584D0000}"/>
    <cellStyle name="40 % - Markeringsfarve1 2 3 5 2 2 4" xfId="21072" xr:uid="{00000000-0005-0000-0000-0000594D0000}"/>
    <cellStyle name="40 % - Markeringsfarve1 2 3 5 2 2 5" xfId="36060" xr:uid="{00000000-0005-0000-0000-00005A4D0000}"/>
    <cellStyle name="40 % - Markeringsfarve1 2 3 5 2 3" xfId="6581" xr:uid="{00000000-0005-0000-0000-00005B4D0000}"/>
    <cellStyle name="40 % - Markeringsfarve1 2 3 5 2 3 2" xfId="14495" xr:uid="{00000000-0005-0000-0000-00005C4D0000}"/>
    <cellStyle name="40 % - Markeringsfarve1 2 3 5 2 3 2 2" xfId="30809" xr:uid="{00000000-0005-0000-0000-00005D4D0000}"/>
    <cellStyle name="40 % - Markeringsfarve1 2 3 5 2 3 2 3" xfId="45773" xr:uid="{00000000-0005-0000-0000-00005E4D0000}"/>
    <cellStyle name="40 % - Markeringsfarve1 2 3 5 2 3 3" xfId="23787" xr:uid="{00000000-0005-0000-0000-00005F4D0000}"/>
    <cellStyle name="40 % - Markeringsfarve1 2 3 5 2 3 4" xfId="38774" xr:uid="{00000000-0005-0000-0000-0000604D0000}"/>
    <cellStyle name="40 % - Markeringsfarve1 2 3 5 2 4" xfId="11774" xr:uid="{00000000-0005-0000-0000-0000614D0000}"/>
    <cellStyle name="40 % - Markeringsfarve1 2 3 5 2 4 2" xfId="28093" xr:uid="{00000000-0005-0000-0000-0000624D0000}"/>
    <cellStyle name="40 % - Markeringsfarve1 2 3 5 2 4 3" xfId="43058" xr:uid="{00000000-0005-0000-0000-0000634D0000}"/>
    <cellStyle name="40 % - Markeringsfarve1 2 3 5 2 5" xfId="21071" xr:uid="{00000000-0005-0000-0000-0000644D0000}"/>
    <cellStyle name="40 % - Markeringsfarve1 2 3 5 2 6" xfId="36059" xr:uid="{00000000-0005-0000-0000-0000654D0000}"/>
    <cellStyle name="40 % - Markeringsfarve1 2 3 5 3" xfId="3219" xr:uid="{00000000-0005-0000-0000-0000664D0000}"/>
    <cellStyle name="40 % - Markeringsfarve1 2 3 5 3 2" xfId="7344" xr:uid="{00000000-0005-0000-0000-0000674D0000}"/>
    <cellStyle name="40 % - Markeringsfarve1 2 3 5 3 2 2" xfId="15254" xr:uid="{00000000-0005-0000-0000-0000684D0000}"/>
    <cellStyle name="40 % - Markeringsfarve1 2 3 5 3 2 2 2" xfId="31568" xr:uid="{00000000-0005-0000-0000-0000694D0000}"/>
    <cellStyle name="40 % - Markeringsfarve1 2 3 5 3 2 2 3" xfId="46532" xr:uid="{00000000-0005-0000-0000-00006A4D0000}"/>
    <cellStyle name="40 % - Markeringsfarve1 2 3 5 3 2 3" xfId="24546" xr:uid="{00000000-0005-0000-0000-00006B4D0000}"/>
    <cellStyle name="40 % - Markeringsfarve1 2 3 5 3 2 4" xfId="39533" xr:uid="{00000000-0005-0000-0000-00006C4D0000}"/>
    <cellStyle name="40 % - Markeringsfarve1 2 3 5 3 3" xfId="11776" xr:uid="{00000000-0005-0000-0000-00006D4D0000}"/>
    <cellStyle name="40 % - Markeringsfarve1 2 3 5 3 3 2" xfId="28095" xr:uid="{00000000-0005-0000-0000-00006E4D0000}"/>
    <cellStyle name="40 % - Markeringsfarve1 2 3 5 3 3 3" xfId="43060" xr:uid="{00000000-0005-0000-0000-00006F4D0000}"/>
    <cellStyle name="40 % - Markeringsfarve1 2 3 5 3 4" xfId="21073" xr:uid="{00000000-0005-0000-0000-0000704D0000}"/>
    <cellStyle name="40 % - Markeringsfarve1 2 3 5 3 5" xfId="36061" xr:uid="{00000000-0005-0000-0000-0000714D0000}"/>
    <cellStyle name="40 % - Markeringsfarve1 2 3 5 4" xfId="3220" xr:uid="{00000000-0005-0000-0000-0000724D0000}"/>
    <cellStyle name="40 % - Markeringsfarve1 2 3 5 4 2" xfId="8440" xr:uid="{00000000-0005-0000-0000-0000734D0000}"/>
    <cellStyle name="40 % - Markeringsfarve1 2 3 5 4 2 2" xfId="16332" xr:uid="{00000000-0005-0000-0000-0000744D0000}"/>
    <cellStyle name="40 % - Markeringsfarve1 2 3 5 4 2 2 2" xfId="32646" xr:uid="{00000000-0005-0000-0000-0000754D0000}"/>
    <cellStyle name="40 % - Markeringsfarve1 2 3 5 4 2 2 3" xfId="47610" xr:uid="{00000000-0005-0000-0000-0000764D0000}"/>
    <cellStyle name="40 % - Markeringsfarve1 2 3 5 4 2 3" xfId="25624" xr:uid="{00000000-0005-0000-0000-0000774D0000}"/>
    <cellStyle name="40 % - Markeringsfarve1 2 3 5 4 2 4" xfId="40611" xr:uid="{00000000-0005-0000-0000-0000784D0000}"/>
    <cellStyle name="40 % - Markeringsfarve1 2 3 5 4 3" xfId="11777" xr:uid="{00000000-0005-0000-0000-0000794D0000}"/>
    <cellStyle name="40 % - Markeringsfarve1 2 3 5 4 3 2" xfId="28096" xr:uid="{00000000-0005-0000-0000-00007A4D0000}"/>
    <cellStyle name="40 % - Markeringsfarve1 2 3 5 4 3 3" xfId="43061" xr:uid="{00000000-0005-0000-0000-00007B4D0000}"/>
    <cellStyle name="40 % - Markeringsfarve1 2 3 5 4 4" xfId="21074" xr:uid="{00000000-0005-0000-0000-00007C4D0000}"/>
    <cellStyle name="40 % - Markeringsfarve1 2 3 5 4 5" xfId="36062" xr:uid="{00000000-0005-0000-0000-00007D4D0000}"/>
    <cellStyle name="40 % - Markeringsfarve1 2 3 5 5" xfId="5761" xr:uid="{00000000-0005-0000-0000-00007E4D0000}"/>
    <cellStyle name="40 % - Markeringsfarve1 2 3 5 5 2" xfId="13679" xr:uid="{00000000-0005-0000-0000-00007F4D0000}"/>
    <cellStyle name="40 % - Markeringsfarve1 2 3 5 5 2 2" xfId="29993" xr:uid="{00000000-0005-0000-0000-0000804D0000}"/>
    <cellStyle name="40 % - Markeringsfarve1 2 3 5 5 2 3" xfId="44957" xr:uid="{00000000-0005-0000-0000-0000814D0000}"/>
    <cellStyle name="40 % - Markeringsfarve1 2 3 5 5 3" xfId="22971" xr:uid="{00000000-0005-0000-0000-0000824D0000}"/>
    <cellStyle name="40 % - Markeringsfarve1 2 3 5 5 4" xfId="37958" xr:uid="{00000000-0005-0000-0000-0000834D0000}"/>
    <cellStyle name="40 % - Markeringsfarve1 2 3 5 6" xfId="11773" xr:uid="{00000000-0005-0000-0000-0000844D0000}"/>
    <cellStyle name="40 % - Markeringsfarve1 2 3 5 6 2" xfId="28092" xr:uid="{00000000-0005-0000-0000-0000854D0000}"/>
    <cellStyle name="40 % - Markeringsfarve1 2 3 5 6 3" xfId="43057" xr:uid="{00000000-0005-0000-0000-0000864D0000}"/>
    <cellStyle name="40 % - Markeringsfarve1 2 3 5 7" xfId="21070" xr:uid="{00000000-0005-0000-0000-0000874D0000}"/>
    <cellStyle name="40 % - Markeringsfarve1 2 3 5 8" xfId="36058" xr:uid="{00000000-0005-0000-0000-0000884D0000}"/>
    <cellStyle name="40 % - Markeringsfarve1 2 3 6" xfId="3221" xr:uid="{00000000-0005-0000-0000-0000894D0000}"/>
    <cellStyle name="40 % - Markeringsfarve1 2 3 6 2" xfId="3222" xr:uid="{00000000-0005-0000-0000-00008A4D0000}"/>
    <cellStyle name="40 % - Markeringsfarve1 2 3 6 2 2" xfId="3223" xr:uid="{00000000-0005-0000-0000-00008B4D0000}"/>
    <cellStyle name="40 % - Markeringsfarve1 2 3 6 2 2 2" xfId="8137" xr:uid="{00000000-0005-0000-0000-00008C4D0000}"/>
    <cellStyle name="40 % - Markeringsfarve1 2 3 6 2 2 2 2" xfId="16038" xr:uid="{00000000-0005-0000-0000-00008D4D0000}"/>
    <cellStyle name="40 % - Markeringsfarve1 2 3 6 2 2 2 2 2" xfId="32352" xr:uid="{00000000-0005-0000-0000-00008E4D0000}"/>
    <cellStyle name="40 % - Markeringsfarve1 2 3 6 2 2 2 2 3" xfId="47316" xr:uid="{00000000-0005-0000-0000-00008F4D0000}"/>
    <cellStyle name="40 % - Markeringsfarve1 2 3 6 2 2 2 3" xfId="25330" xr:uid="{00000000-0005-0000-0000-0000904D0000}"/>
    <cellStyle name="40 % - Markeringsfarve1 2 3 6 2 2 2 4" xfId="40317" xr:uid="{00000000-0005-0000-0000-0000914D0000}"/>
    <cellStyle name="40 % - Markeringsfarve1 2 3 6 2 2 3" xfId="11780" xr:uid="{00000000-0005-0000-0000-0000924D0000}"/>
    <cellStyle name="40 % - Markeringsfarve1 2 3 6 2 2 3 2" xfId="28099" xr:uid="{00000000-0005-0000-0000-0000934D0000}"/>
    <cellStyle name="40 % - Markeringsfarve1 2 3 6 2 2 3 3" xfId="43064" xr:uid="{00000000-0005-0000-0000-0000944D0000}"/>
    <cellStyle name="40 % - Markeringsfarve1 2 3 6 2 2 4" xfId="21077" xr:uid="{00000000-0005-0000-0000-0000954D0000}"/>
    <cellStyle name="40 % - Markeringsfarve1 2 3 6 2 2 5" xfId="36065" xr:uid="{00000000-0005-0000-0000-0000964D0000}"/>
    <cellStyle name="40 % - Markeringsfarve1 2 3 6 2 3" xfId="6639" xr:uid="{00000000-0005-0000-0000-0000974D0000}"/>
    <cellStyle name="40 % - Markeringsfarve1 2 3 6 2 3 2" xfId="14553" xr:uid="{00000000-0005-0000-0000-0000984D0000}"/>
    <cellStyle name="40 % - Markeringsfarve1 2 3 6 2 3 2 2" xfId="30867" xr:uid="{00000000-0005-0000-0000-0000994D0000}"/>
    <cellStyle name="40 % - Markeringsfarve1 2 3 6 2 3 2 3" xfId="45831" xr:uid="{00000000-0005-0000-0000-00009A4D0000}"/>
    <cellStyle name="40 % - Markeringsfarve1 2 3 6 2 3 3" xfId="23845" xr:uid="{00000000-0005-0000-0000-00009B4D0000}"/>
    <cellStyle name="40 % - Markeringsfarve1 2 3 6 2 3 4" xfId="38832" xr:uid="{00000000-0005-0000-0000-00009C4D0000}"/>
    <cellStyle name="40 % - Markeringsfarve1 2 3 6 2 4" xfId="11779" xr:uid="{00000000-0005-0000-0000-00009D4D0000}"/>
    <cellStyle name="40 % - Markeringsfarve1 2 3 6 2 4 2" xfId="28098" xr:uid="{00000000-0005-0000-0000-00009E4D0000}"/>
    <cellStyle name="40 % - Markeringsfarve1 2 3 6 2 4 3" xfId="43063" xr:uid="{00000000-0005-0000-0000-00009F4D0000}"/>
    <cellStyle name="40 % - Markeringsfarve1 2 3 6 2 5" xfId="21076" xr:uid="{00000000-0005-0000-0000-0000A04D0000}"/>
    <cellStyle name="40 % - Markeringsfarve1 2 3 6 2 6" xfId="36064" xr:uid="{00000000-0005-0000-0000-0000A14D0000}"/>
    <cellStyle name="40 % - Markeringsfarve1 2 3 6 3" xfId="3224" xr:uid="{00000000-0005-0000-0000-0000A24D0000}"/>
    <cellStyle name="40 % - Markeringsfarve1 2 3 6 3 2" xfId="7414" xr:uid="{00000000-0005-0000-0000-0000A34D0000}"/>
    <cellStyle name="40 % - Markeringsfarve1 2 3 6 3 2 2" xfId="15324" xr:uid="{00000000-0005-0000-0000-0000A44D0000}"/>
    <cellStyle name="40 % - Markeringsfarve1 2 3 6 3 2 2 2" xfId="31638" xr:uid="{00000000-0005-0000-0000-0000A54D0000}"/>
    <cellStyle name="40 % - Markeringsfarve1 2 3 6 3 2 2 3" xfId="46602" xr:uid="{00000000-0005-0000-0000-0000A64D0000}"/>
    <cellStyle name="40 % - Markeringsfarve1 2 3 6 3 2 3" xfId="24616" xr:uid="{00000000-0005-0000-0000-0000A74D0000}"/>
    <cellStyle name="40 % - Markeringsfarve1 2 3 6 3 2 4" xfId="39603" xr:uid="{00000000-0005-0000-0000-0000A84D0000}"/>
    <cellStyle name="40 % - Markeringsfarve1 2 3 6 3 3" xfId="11781" xr:uid="{00000000-0005-0000-0000-0000A94D0000}"/>
    <cellStyle name="40 % - Markeringsfarve1 2 3 6 3 3 2" xfId="28100" xr:uid="{00000000-0005-0000-0000-0000AA4D0000}"/>
    <cellStyle name="40 % - Markeringsfarve1 2 3 6 3 3 3" xfId="43065" xr:uid="{00000000-0005-0000-0000-0000AB4D0000}"/>
    <cellStyle name="40 % - Markeringsfarve1 2 3 6 3 4" xfId="21078" xr:uid="{00000000-0005-0000-0000-0000AC4D0000}"/>
    <cellStyle name="40 % - Markeringsfarve1 2 3 6 3 5" xfId="36066" xr:uid="{00000000-0005-0000-0000-0000AD4D0000}"/>
    <cellStyle name="40 % - Markeringsfarve1 2 3 6 4" xfId="3225" xr:uid="{00000000-0005-0000-0000-0000AE4D0000}"/>
    <cellStyle name="40 % - Markeringsfarve1 2 3 6 4 2" xfId="8675" xr:uid="{00000000-0005-0000-0000-0000AF4D0000}"/>
    <cellStyle name="40 % - Markeringsfarve1 2 3 6 4 2 2" xfId="16557" xr:uid="{00000000-0005-0000-0000-0000B04D0000}"/>
    <cellStyle name="40 % - Markeringsfarve1 2 3 6 4 2 2 2" xfId="32871" xr:uid="{00000000-0005-0000-0000-0000B14D0000}"/>
    <cellStyle name="40 % - Markeringsfarve1 2 3 6 4 2 2 3" xfId="47835" xr:uid="{00000000-0005-0000-0000-0000B24D0000}"/>
    <cellStyle name="40 % - Markeringsfarve1 2 3 6 4 2 3" xfId="25849" xr:uid="{00000000-0005-0000-0000-0000B34D0000}"/>
    <cellStyle name="40 % - Markeringsfarve1 2 3 6 4 2 4" xfId="40836" xr:uid="{00000000-0005-0000-0000-0000B44D0000}"/>
    <cellStyle name="40 % - Markeringsfarve1 2 3 6 4 3" xfId="11782" xr:uid="{00000000-0005-0000-0000-0000B54D0000}"/>
    <cellStyle name="40 % - Markeringsfarve1 2 3 6 4 3 2" xfId="28101" xr:uid="{00000000-0005-0000-0000-0000B64D0000}"/>
    <cellStyle name="40 % - Markeringsfarve1 2 3 6 4 3 3" xfId="43066" xr:uid="{00000000-0005-0000-0000-0000B74D0000}"/>
    <cellStyle name="40 % - Markeringsfarve1 2 3 6 4 4" xfId="21079" xr:uid="{00000000-0005-0000-0000-0000B84D0000}"/>
    <cellStyle name="40 % - Markeringsfarve1 2 3 6 4 5" xfId="36067" xr:uid="{00000000-0005-0000-0000-0000B94D0000}"/>
    <cellStyle name="40 % - Markeringsfarve1 2 3 6 5" xfId="5762" xr:uid="{00000000-0005-0000-0000-0000BA4D0000}"/>
    <cellStyle name="40 % - Markeringsfarve1 2 3 6 5 2" xfId="13680" xr:uid="{00000000-0005-0000-0000-0000BB4D0000}"/>
    <cellStyle name="40 % - Markeringsfarve1 2 3 6 5 2 2" xfId="29994" xr:uid="{00000000-0005-0000-0000-0000BC4D0000}"/>
    <cellStyle name="40 % - Markeringsfarve1 2 3 6 5 2 3" xfId="44958" xr:uid="{00000000-0005-0000-0000-0000BD4D0000}"/>
    <cellStyle name="40 % - Markeringsfarve1 2 3 6 5 3" xfId="22972" xr:uid="{00000000-0005-0000-0000-0000BE4D0000}"/>
    <cellStyle name="40 % - Markeringsfarve1 2 3 6 5 4" xfId="37959" xr:uid="{00000000-0005-0000-0000-0000BF4D0000}"/>
    <cellStyle name="40 % - Markeringsfarve1 2 3 6 6" xfId="11778" xr:uid="{00000000-0005-0000-0000-0000C04D0000}"/>
    <cellStyle name="40 % - Markeringsfarve1 2 3 6 6 2" xfId="28097" xr:uid="{00000000-0005-0000-0000-0000C14D0000}"/>
    <cellStyle name="40 % - Markeringsfarve1 2 3 6 6 3" xfId="43062" xr:uid="{00000000-0005-0000-0000-0000C24D0000}"/>
    <cellStyle name="40 % - Markeringsfarve1 2 3 6 7" xfId="21075" xr:uid="{00000000-0005-0000-0000-0000C34D0000}"/>
    <cellStyle name="40 % - Markeringsfarve1 2 3 6 8" xfId="36063" xr:uid="{00000000-0005-0000-0000-0000C44D0000}"/>
    <cellStyle name="40 % - Markeringsfarve1 2 3 7" xfId="3226" xr:uid="{00000000-0005-0000-0000-0000C54D0000}"/>
    <cellStyle name="40 % - Markeringsfarve1 2 3 7 2" xfId="3227" xr:uid="{00000000-0005-0000-0000-0000C64D0000}"/>
    <cellStyle name="40 % - Markeringsfarve1 2 3 7 2 2" xfId="7594" xr:uid="{00000000-0005-0000-0000-0000C74D0000}"/>
    <cellStyle name="40 % - Markeringsfarve1 2 3 7 2 2 2" xfId="15495" xr:uid="{00000000-0005-0000-0000-0000C84D0000}"/>
    <cellStyle name="40 % - Markeringsfarve1 2 3 7 2 2 2 2" xfId="31809" xr:uid="{00000000-0005-0000-0000-0000C94D0000}"/>
    <cellStyle name="40 % - Markeringsfarve1 2 3 7 2 2 2 3" xfId="46773" xr:uid="{00000000-0005-0000-0000-0000CA4D0000}"/>
    <cellStyle name="40 % - Markeringsfarve1 2 3 7 2 2 3" xfId="24787" xr:uid="{00000000-0005-0000-0000-0000CB4D0000}"/>
    <cellStyle name="40 % - Markeringsfarve1 2 3 7 2 2 4" xfId="39774" xr:uid="{00000000-0005-0000-0000-0000CC4D0000}"/>
    <cellStyle name="40 % - Markeringsfarve1 2 3 7 2 3" xfId="11784" xr:uid="{00000000-0005-0000-0000-0000CD4D0000}"/>
    <cellStyle name="40 % - Markeringsfarve1 2 3 7 2 3 2" xfId="28103" xr:uid="{00000000-0005-0000-0000-0000CE4D0000}"/>
    <cellStyle name="40 % - Markeringsfarve1 2 3 7 2 3 3" xfId="43068" xr:uid="{00000000-0005-0000-0000-0000CF4D0000}"/>
    <cellStyle name="40 % - Markeringsfarve1 2 3 7 2 4" xfId="21081" xr:uid="{00000000-0005-0000-0000-0000D04D0000}"/>
    <cellStyle name="40 % - Markeringsfarve1 2 3 7 2 5" xfId="36069" xr:uid="{00000000-0005-0000-0000-0000D14D0000}"/>
    <cellStyle name="40 % - Markeringsfarve1 2 3 7 3" xfId="6181" xr:uid="{00000000-0005-0000-0000-0000D24D0000}"/>
    <cellStyle name="40 % - Markeringsfarve1 2 3 7 3 2" xfId="14098" xr:uid="{00000000-0005-0000-0000-0000D34D0000}"/>
    <cellStyle name="40 % - Markeringsfarve1 2 3 7 3 2 2" xfId="30412" xr:uid="{00000000-0005-0000-0000-0000D44D0000}"/>
    <cellStyle name="40 % - Markeringsfarve1 2 3 7 3 2 3" xfId="45376" xr:uid="{00000000-0005-0000-0000-0000D54D0000}"/>
    <cellStyle name="40 % - Markeringsfarve1 2 3 7 3 3" xfId="23390" xr:uid="{00000000-0005-0000-0000-0000D64D0000}"/>
    <cellStyle name="40 % - Markeringsfarve1 2 3 7 3 4" xfId="38377" xr:uid="{00000000-0005-0000-0000-0000D74D0000}"/>
    <cellStyle name="40 % - Markeringsfarve1 2 3 7 4" xfId="11783" xr:uid="{00000000-0005-0000-0000-0000D84D0000}"/>
    <cellStyle name="40 % - Markeringsfarve1 2 3 7 4 2" xfId="28102" xr:uid="{00000000-0005-0000-0000-0000D94D0000}"/>
    <cellStyle name="40 % - Markeringsfarve1 2 3 7 4 3" xfId="43067" xr:uid="{00000000-0005-0000-0000-0000DA4D0000}"/>
    <cellStyle name="40 % - Markeringsfarve1 2 3 7 5" xfId="21080" xr:uid="{00000000-0005-0000-0000-0000DB4D0000}"/>
    <cellStyle name="40 % - Markeringsfarve1 2 3 7 6" xfId="36068" xr:uid="{00000000-0005-0000-0000-0000DC4D0000}"/>
    <cellStyle name="40 % - Markeringsfarve1 2 3 8" xfId="3228" xr:uid="{00000000-0005-0000-0000-0000DD4D0000}"/>
    <cellStyle name="40 % - Markeringsfarve1 2 3 8 2" xfId="6822" xr:uid="{00000000-0005-0000-0000-0000DE4D0000}"/>
    <cellStyle name="40 % - Markeringsfarve1 2 3 8 2 2" xfId="14733" xr:uid="{00000000-0005-0000-0000-0000DF4D0000}"/>
    <cellStyle name="40 % - Markeringsfarve1 2 3 8 2 2 2" xfId="31047" xr:uid="{00000000-0005-0000-0000-0000E04D0000}"/>
    <cellStyle name="40 % - Markeringsfarve1 2 3 8 2 2 3" xfId="46011" xr:uid="{00000000-0005-0000-0000-0000E14D0000}"/>
    <cellStyle name="40 % - Markeringsfarve1 2 3 8 2 3" xfId="24025" xr:uid="{00000000-0005-0000-0000-0000E24D0000}"/>
    <cellStyle name="40 % - Markeringsfarve1 2 3 8 2 4" xfId="39012" xr:uid="{00000000-0005-0000-0000-0000E34D0000}"/>
    <cellStyle name="40 % - Markeringsfarve1 2 3 8 3" xfId="11785" xr:uid="{00000000-0005-0000-0000-0000E44D0000}"/>
    <cellStyle name="40 % - Markeringsfarve1 2 3 8 3 2" xfId="28104" xr:uid="{00000000-0005-0000-0000-0000E54D0000}"/>
    <cellStyle name="40 % - Markeringsfarve1 2 3 8 3 3" xfId="43069" xr:uid="{00000000-0005-0000-0000-0000E64D0000}"/>
    <cellStyle name="40 % - Markeringsfarve1 2 3 8 4" xfId="21082" xr:uid="{00000000-0005-0000-0000-0000E74D0000}"/>
    <cellStyle name="40 % - Markeringsfarve1 2 3 8 5" xfId="36070" xr:uid="{00000000-0005-0000-0000-0000E84D0000}"/>
    <cellStyle name="40 % - Markeringsfarve1 2 3 9" xfId="3229" xr:uid="{00000000-0005-0000-0000-0000E94D0000}"/>
    <cellStyle name="40 % - Markeringsfarve1 2 3 9 2" xfId="8544" xr:uid="{00000000-0005-0000-0000-0000EA4D0000}"/>
    <cellStyle name="40 % - Markeringsfarve1 2 3 9 2 2" xfId="16432" xr:uid="{00000000-0005-0000-0000-0000EB4D0000}"/>
    <cellStyle name="40 % - Markeringsfarve1 2 3 9 2 2 2" xfId="32746" xr:uid="{00000000-0005-0000-0000-0000EC4D0000}"/>
    <cellStyle name="40 % - Markeringsfarve1 2 3 9 2 2 3" xfId="47710" xr:uid="{00000000-0005-0000-0000-0000ED4D0000}"/>
    <cellStyle name="40 % - Markeringsfarve1 2 3 9 2 3" xfId="25724" xr:uid="{00000000-0005-0000-0000-0000EE4D0000}"/>
    <cellStyle name="40 % - Markeringsfarve1 2 3 9 2 4" xfId="40711" xr:uid="{00000000-0005-0000-0000-0000EF4D0000}"/>
    <cellStyle name="40 % - Markeringsfarve1 2 3 9 3" xfId="11786" xr:uid="{00000000-0005-0000-0000-0000F04D0000}"/>
    <cellStyle name="40 % - Markeringsfarve1 2 3 9 3 2" xfId="28105" xr:uid="{00000000-0005-0000-0000-0000F14D0000}"/>
    <cellStyle name="40 % - Markeringsfarve1 2 3 9 3 3" xfId="43070" xr:uid="{00000000-0005-0000-0000-0000F24D0000}"/>
    <cellStyle name="40 % - Markeringsfarve1 2 3 9 4" xfId="21083" xr:uid="{00000000-0005-0000-0000-0000F34D0000}"/>
    <cellStyle name="40 % - Markeringsfarve1 2 3 9 5" xfId="36071" xr:uid="{00000000-0005-0000-0000-0000F44D0000}"/>
    <cellStyle name="40 % - Markeringsfarve1 2 4" xfId="3230" xr:uid="{00000000-0005-0000-0000-0000F54D0000}"/>
    <cellStyle name="40 % - Markeringsfarve1 2 4 2" xfId="3231" xr:uid="{00000000-0005-0000-0000-0000F64D0000}"/>
    <cellStyle name="40 % - Markeringsfarve1 2 4 2 2" xfId="3232" xr:uid="{00000000-0005-0000-0000-0000F74D0000}"/>
    <cellStyle name="40 % - Markeringsfarve1 2 4 2 2 2" xfId="7635" xr:uid="{00000000-0005-0000-0000-0000F84D0000}"/>
    <cellStyle name="40 % - Markeringsfarve1 2 4 2 2 2 2" xfId="15536" xr:uid="{00000000-0005-0000-0000-0000F94D0000}"/>
    <cellStyle name="40 % - Markeringsfarve1 2 4 2 2 2 2 2" xfId="31850" xr:uid="{00000000-0005-0000-0000-0000FA4D0000}"/>
    <cellStyle name="40 % - Markeringsfarve1 2 4 2 2 2 2 3" xfId="46814" xr:uid="{00000000-0005-0000-0000-0000FB4D0000}"/>
    <cellStyle name="40 % - Markeringsfarve1 2 4 2 2 2 3" xfId="24828" xr:uid="{00000000-0005-0000-0000-0000FC4D0000}"/>
    <cellStyle name="40 % - Markeringsfarve1 2 4 2 2 2 4" xfId="39815" xr:uid="{00000000-0005-0000-0000-0000FD4D0000}"/>
    <cellStyle name="40 % - Markeringsfarve1 2 4 2 2 3" xfId="11789" xr:uid="{00000000-0005-0000-0000-0000FE4D0000}"/>
    <cellStyle name="40 % - Markeringsfarve1 2 4 2 2 3 2" xfId="28108" xr:uid="{00000000-0005-0000-0000-0000FF4D0000}"/>
    <cellStyle name="40 % - Markeringsfarve1 2 4 2 2 3 3" xfId="43073" xr:uid="{00000000-0005-0000-0000-0000004E0000}"/>
    <cellStyle name="40 % - Markeringsfarve1 2 4 2 2 4" xfId="21086" xr:uid="{00000000-0005-0000-0000-0000014E0000}"/>
    <cellStyle name="40 % - Markeringsfarve1 2 4 2 2 5" xfId="36074" xr:uid="{00000000-0005-0000-0000-0000024E0000}"/>
    <cellStyle name="40 % - Markeringsfarve1 2 4 2 3" xfId="6214" xr:uid="{00000000-0005-0000-0000-0000034E0000}"/>
    <cellStyle name="40 % - Markeringsfarve1 2 4 2 3 2" xfId="14131" xr:uid="{00000000-0005-0000-0000-0000044E0000}"/>
    <cellStyle name="40 % - Markeringsfarve1 2 4 2 3 2 2" xfId="30445" xr:uid="{00000000-0005-0000-0000-0000054E0000}"/>
    <cellStyle name="40 % - Markeringsfarve1 2 4 2 3 2 3" xfId="45409" xr:uid="{00000000-0005-0000-0000-0000064E0000}"/>
    <cellStyle name="40 % - Markeringsfarve1 2 4 2 3 3" xfId="23423" xr:uid="{00000000-0005-0000-0000-0000074E0000}"/>
    <cellStyle name="40 % - Markeringsfarve1 2 4 2 3 4" xfId="38410" xr:uid="{00000000-0005-0000-0000-0000084E0000}"/>
    <cellStyle name="40 % - Markeringsfarve1 2 4 2 4" xfId="11788" xr:uid="{00000000-0005-0000-0000-0000094E0000}"/>
    <cellStyle name="40 % - Markeringsfarve1 2 4 2 4 2" xfId="28107" xr:uid="{00000000-0005-0000-0000-00000A4E0000}"/>
    <cellStyle name="40 % - Markeringsfarve1 2 4 2 4 3" xfId="43072" xr:uid="{00000000-0005-0000-0000-00000B4E0000}"/>
    <cellStyle name="40 % - Markeringsfarve1 2 4 2 5" xfId="21085" xr:uid="{00000000-0005-0000-0000-00000C4E0000}"/>
    <cellStyle name="40 % - Markeringsfarve1 2 4 2 6" xfId="36073" xr:uid="{00000000-0005-0000-0000-00000D4E0000}"/>
    <cellStyle name="40 % - Markeringsfarve1 2 4 2 7" xfId="57144" xr:uid="{00000000-0005-0000-0000-00000E4E0000}"/>
    <cellStyle name="40 % - Markeringsfarve1 2 4 3" xfId="3233" xr:uid="{00000000-0005-0000-0000-00000F4E0000}"/>
    <cellStyle name="40 % - Markeringsfarve1 2 4 3 2" xfId="6865" xr:uid="{00000000-0005-0000-0000-0000104E0000}"/>
    <cellStyle name="40 % - Markeringsfarve1 2 4 3 2 2" xfId="14776" xr:uid="{00000000-0005-0000-0000-0000114E0000}"/>
    <cellStyle name="40 % - Markeringsfarve1 2 4 3 2 2 2" xfId="31090" xr:uid="{00000000-0005-0000-0000-0000124E0000}"/>
    <cellStyle name="40 % - Markeringsfarve1 2 4 3 2 2 3" xfId="46054" xr:uid="{00000000-0005-0000-0000-0000134E0000}"/>
    <cellStyle name="40 % - Markeringsfarve1 2 4 3 2 3" xfId="24068" xr:uid="{00000000-0005-0000-0000-0000144E0000}"/>
    <cellStyle name="40 % - Markeringsfarve1 2 4 3 2 4" xfId="39055" xr:uid="{00000000-0005-0000-0000-0000154E0000}"/>
    <cellStyle name="40 % - Markeringsfarve1 2 4 3 3" xfId="11790" xr:uid="{00000000-0005-0000-0000-0000164E0000}"/>
    <cellStyle name="40 % - Markeringsfarve1 2 4 3 3 2" xfId="28109" xr:uid="{00000000-0005-0000-0000-0000174E0000}"/>
    <cellStyle name="40 % - Markeringsfarve1 2 4 3 3 3" xfId="43074" xr:uid="{00000000-0005-0000-0000-0000184E0000}"/>
    <cellStyle name="40 % - Markeringsfarve1 2 4 3 4" xfId="21087" xr:uid="{00000000-0005-0000-0000-0000194E0000}"/>
    <cellStyle name="40 % - Markeringsfarve1 2 4 3 5" xfId="36075" xr:uid="{00000000-0005-0000-0000-00001A4E0000}"/>
    <cellStyle name="40 % - Markeringsfarve1 2 4 4" xfId="3234" xr:uid="{00000000-0005-0000-0000-00001B4E0000}"/>
    <cellStyle name="40 % - Markeringsfarve1 2 4 4 2" xfId="8399" xr:uid="{00000000-0005-0000-0000-00001C4E0000}"/>
    <cellStyle name="40 % - Markeringsfarve1 2 4 4 2 2" xfId="16292" xr:uid="{00000000-0005-0000-0000-00001D4E0000}"/>
    <cellStyle name="40 % - Markeringsfarve1 2 4 4 2 2 2" xfId="32606" xr:uid="{00000000-0005-0000-0000-00001E4E0000}"/>
    <cellStyle name="40 % - Markeringsfarve1 2 4 4 2 2 3" xfId="47570" xr:uid="{00000000-0005-0000-0000-00001F4E0000}"/>
    <cellStyle name="40 % - Markeringsfarve1 2 4 4 2 3" xfId="25584" xr:uid="{00000000-0005-0000-0000-0000204E0000}"/>
    <cellStyle name="40 % - Markeringsfarve1 2 4 4 2 4" xfId="40571" xr:uid="{00000000-0005-0000-0000-0000214E0000}"/>
    <cellStyle name="40 % - Markeringsfarve1 2 4 4 3" xfId="11791" xr:uid="{00000000-0005-0000-0000-0000224E0000}"/>
    <cellStyle name="40 % - Markeringsfarve1 2 4 4 3 2" xfId="28110" xr:uid="{00000000-0005-0000-0000-0000234E0000}"/>
    <cellStyle name="40 % - Markeringsfarve1 2 4 4 3 3" xfId="43075" xr:uid="{00000000-0005-0000-0000-0000244E0000}"/>
    <cellStyle name="40 % - Markeringsfarve1 2 4 4 4" xfId="21088" xr:uid="{00000000-0005-0000-0000-0000254E0000}"/>
    <cellStyle name="40 % - Markeringsfarve1 2 4 4 5" xfId="36076" xr:uid="{00000000-0005-0000-0000-0000264E0000}"/>
    <cellStyle name="40 % - Markeringsfarve1 2 4 5" xfId="5763" xr:uid="{00000000-0005-0000-0000-0000274E0000}"/>
    <cellStyle name="40 % - Markeringsfarve1 2 4 5 2" xfId="13681" xr:uid="{00000000-0005-0000-0000-0000284E0000}"/>
    <cellStyle name="40 % - Markeringsfarve1 2 4 5 2 2" xfId="29995" xr:uid="{00000000-0005-0000-0000-0000294E0000}"/>
    <cellStyle name="40 % - Markeringsfarve1 2 4 5 2 3" xfId="44959" xr:uid="{00000000-0005-0000-0000-00002A4E0000}"/>
    <cellStyle name="40 % - Markeringsfarve1 2 4 5 3" xfId="22973" xr:uid="{00000000-0005-0000-0000-00002B4E0000}"/>
    <cellStyle name="40 % - Markeringsfarve1 2 4 5 4" xfId="37960" xr:uid="{00000000-0005-0000-0000-00002C4E0000}"/>
    <cellStyle name="40 % - Markeringsfarve1 2 4 6" xfId="11787" xr:uid="{00000000-0005-0000-0000-00002D4E0000}"/>
    <cellStyle name="40 % - Markeringsfarve1 2 4 6 2" xfId="28106" xr:uid="{00000000-0005-0000-0000-00002E4E0000}"/>
    <cellStyle name="40 % - Markeringsfarve1 2 4 6 3" xfId="43071" xr:uid="{00000000-0005-0000-0000-00002F4E0000}"/>
    <cellStyle name="40 % - Markeringsfarve1 2 4 7" xfId="21084" xr:uid="{00000000-0005-0000-0000-0000304E0000}"/>
    <cellStyle name="40 % - Markeringsfarve1 2 4 8" xfId="36072" xr:uid="{00000000-0005-0000-0000-0000314E0000}"/>
    <cellStyle name="40 % - Markeringsfarve1 2 4 9" xfId="53977" xr:uid="{00000000-0005-0000-0000-0000324E0000}"/>
    <cellStyle name="40 % - Markeringsfarve1 2 5" xfId="3235" xr:uid="{00000000-0005-0000-0000-0000334E0000}"/>
    <cellStyle name="40 % - Markeringsfarve1 2 5 2" xfId="3236" xr:uid="{00000000-0005-0000-0000-0000344E0000}"/>
    <cellStyle name="40 % - Markeringsfarve1 2 5 2 2" xfId="3237" xr:uid="{00000000-0005-0000-0000-0000354E0000}"/>
    <cellStyle name="40 % - Markeringsfarve1 2 5 2 2 2" xfId="7781" xr:uid="{00000000-0005-0000-0000-0000364E0000}"/>
    <cellStyle name="40 % - Markeringsfarve1 2 5 2 2 2 2" xfId="15682" xr:uid="{00000000-0005-0000-0000-0000374E0000}"/>
    <cellStyle name="40 % - Markeringsfarve1 2 5 2 2 2 2 2" xfId="31996" xr:uid="{00000000-0005-0000-0000-0000384E0000}"/>
    <cellStyle name="40 % - Markeringsfarve1 2 5 2 2 2 2 3" xfId="46960" xr:uid="{00000000-0005-0000-0000-0000394E0000}"/>
    <cellStyle name="40 % - Markeringsfarve1 2 5 2 2 2 3" xfId="24974" xr:uid="{00000000-0005-0000-0000-00003A4E0000}"/>
    <cellStyle name="40 % - Markeringsfarve1 2 5 2 2 2 4" xfId="39961" xr:uid="{00000000-0005-0000-0000-00003B4E0000}"/>
    <cellStyle name="40 % - Markeringsfarve1 2 5 2 2 3" xfId="11794" xr:uid="{00000000-0005-0000-0000-00003C4E0000}"/>
    <cellStyle name="40 % - Markeringsfarve1 2 5 2 2 3 2" xfId="28113" xr:uid="{00000000-0005-0000-0000-00003D4E0000}"/>
    <cellStyle name="40 % - Markeringsfarve1 2 5 2 2 3 3" xfId="43078" xr:uid="{00000000-0005-0000-0000-00003E4E0000}"/>
    <cellStyle name="40 % - Markeringsfarve1 2 5 2 2 4" xfId="21091" xr:uid="{00000000-0005-0000-0000-00003F4E0000}"/>
    <cellStyle name="40 % - Markeringsfarve1 2 5 2 2 5" xfId="36079" xr:uid="{00000000-0005-0000-0000-0000404E0000}"/>
    <cellStyle name="40 % - Markeringsfarve1 2 5 2 3" xfId="6336" xr:uid="{00000000-0005-0000-0000-0000414E0000}"/>
    <cellStyle name="40 % - Markeringsfarve1 2 5 2 3 2" xfId="14253" xr:uid="{00000000-0005-0000-0000-0000424E0000}"/>
    <cellStyle name="40 % - Markeringsfarve1 2 5 2 3 2 2" xfId="30567" xr:uid="{00000000-0005-0000-0000-0000434E0000}"/>
    <cellStyle name="40 % - Markeringsfarve1 2 5 2 3 2 3" xfId="45531" xr:uid="{00000000-0005-0000-0000-0000444E0000}"/>
    <cellStyle name="40 % - Markeringsfarve1 2 5 2 3 3" xfId="23545" xr:uid="{00000000-0005-0000-0000-0000454E0000}"/>
    <cellStyle name="40 % - Markeringsfarve1 2 5 2 3 4" xfId="38532" xr:uid="{00000000-0005-0000-0000-0000464E0000}"/>
    <cellStyle name="40 % - Markeringsfarve1 2 5 2 4" xfId="11793" xr:uid="{00000000-0005-0000-0000-0000474E0000}"/>
    <cellStyle name="40 % - Markeringsfarve1 2 5 2 4 2" xfId="28112" xr:uid="{00000000-0005-0000-0000-0000484E0000}"/>
    <cellStyle name="40 % - Markeringsfarve1 2 5 2 4 3" xfId="43077" xr:uid="{00000000-0005-0000-0000-0000494E0000}"/>
    <cellStyle name="40 % - Markeringsfarve1 2 5 2 5" xfId="21090" xr:uid="{00000000-0005-0000-0000-00004A4E0000}"/>
    <cellStyle name="40 % - Markeringsfarve1 2 5 2 6" xfId="36078" xr:uid="{00000000-0005-0000-0000-00004B4E0000}"/>
    <cellStyle name="40 % - Markeringsfarve1 2 5 3" xfId="3238" xr:uid="{00000000-0005-0000-0000-00004C4E0000}"/>
    <cellStyle name="40 % - Markeringsfarve1 2 5 3 2" xfId="7011" xr:uid="{00000000-0005-0000-0000-00004D4E0000}"/>
    <cellStyle name="40 % - Markeringsfarve1 2 5 3 2 2" xfId="14922" xr:uid="{00000000-0005-0000-0000-00004E4E0000}"/>
    <cellStyle name="40 % - Markeringsfarve1 2 5 3 2 2 2" xfId="31236" xr:uid="{00000000-0005-0000-0000-00004F4E0000}"/>
    <cellStyle name="40 % - Markeringsfarve1 2 5 3 2 2 3" xfId="46200" xr:uid="{00000000-0005-0000-0000-0000504E0000}"/>
    <cellStyle name="40 % - Markeringsfarve1 2 5 3 2 3" xfId="24214" xr:uid="{00000000-0005-0000-0000-0000514E0000}"/>
    <cellStyle name="40 % - Markeringsfarve1 2 5 3 2 4" xfId="39201" xr:uid="{00000000-0005-0000-0000-0000524E0000}"/>
    <cellStyle name="40 % - Markeringsfarve1 2 5 3 3" xfId="11795" xr:uid="{00000000-0005-0000-0000-0000534E0000}"/>
    <cellStyle name="40 % - Markeringsfarve1 2 5 3 3 2" xfId="28114" xr:uid="{00000000-0005-0000-0000-0000544E0000}"/>
    <cellStyle name="40 % - Markeringsfarve1 2 5 3 3 3" xfId="43079" xr:uid="{00000000-0005-0000-0000-0000554E0000}"/>
    <cellStyle name="40 % - Markeringsfarve1 2 5 3 4" xfId="21092" xr:uid="{00000000-0005-0000-0000-0000564E0000}"/>
    <cellStyle name="40 % - Markeringsfarve1 2 5 3 5" xfId="36080" xr:uid="{00000000-0005-0000-0000-0000574E0000}"/>
    <cellStyle name="40 % - Markeringsfarve1 2 5 4" xfId="3239" xr:uid="{00000000-0005-0000-0000-0000584E0000}"/>
    <cellStyle name="40 % - Markeringsfarve1 2 5 4 2" xfId="8643" xr:uid="{00000000-0005-0000-0000-0000594E0000}"/>
    <cellStyle name="40 % - Markeringsfarve1 2 5 4 2 2" xfId="16526" xr:uid="{00000000-0005-0000-0000-00005A4E0000}"/>
    <cellStyle name="40 % - Markeringsfarve1 2 5 4 2 2 2" xfId="32840" xr:uid="{00000000-0005-0000-0000-00005B4E0000}"/>
    <cellStyle name="40 % - Markeringsfarve1 2 5 4 2 2 3" xfId="47804" xr:uid="{00000000-0005-0000-0000-00005C4E0000}"/>
    <cellStyle name="40 % - Markeringsfarve1 2 5 4 2 3" xfId="25818" xr:uid="{00000000-0005-0000-0000-00005D4E0000}"/>
    <cellStyle name="40 % - Markeringsfarve1 2 5 4 2 4" xfId="40805" xr:uid="{00000000-0005-0000-0000-00005E4E0000}"/>
    <cellStyle name="40 % - Markeringsfarve1 2 5 4 3" xfId="11796" xr:uid="{00000000-0005-0000-0000-00005F4E0000}"/>
    <cellStyle name="40 % - Markeringsfarve1 2 5 4 3 2" xfId="28115" xr:uid="{00000000-0005-0000-0000-0000604E0000}"/>
    <cellStyle name="40 % - Markeringsfarve1 2 5 4 3 3" xfId="43080" xr:uid="{00000000-0005-0000-0000-0000614E0000}"/>
    <cellStyle name="40 % - Markeringsfarve1 2 5 4 4" xfId="21093" xr:uid="{00000000-0005-0000-0000-0000624E0000}"/>
    <cellStyle name="40 % - Markeringsfarve1 2 5 4 5" xfId="36081" xr:uid="{00000000-0005-0000-0000-0000634E0000}"/>
    <cellStyle name="40 % - Markeringsfarve1 2 5 5" xfId="5764" xr:uid="{00000000-0005-0000-0000-0000644E0000}"/>
    <cellStyle name="40 % - Markeringsfarve1 2 5 5 2" xfId="13682" xr:uid="{00000000-0005-0000-0000-0000654E0000}"/>
    <cellStyle name="40 % - Markeringsfarve1 2 5 5 2 2" xfId="29996" xr:uid="{00000000-0005-0000-0000-0000664E0000}"/>
    <cellStyle name="40 % - Markeringsfarve1 2 5 5 2 3" xfId="44960" xr:uid="{00000000-0005-0000-0000-0000674E0000}"/>
    <cellStyle name="40 % - Markeringsfarve1 2 5 5 3" xfId="22974" xr:uid="{00000000-0005-0000-0000-0000684E0000}"/>
    <cellStyle name="40 % - Markeringsfarve1 2 5 5 4" xfId="37961" xr:uid="{00000000-0005-0000-0000-0000694E0000}"/>
    <cellStyle name="40 % - Markeringsfarve1 2 5 6" xfId="11792" xr:uid="{00000000-0005-0000-0000-00006A4E0000}"/>
    <cellStyle name="40 % - Markeringsfarve1 2 5 6 2" xfId="28111" xr:uid="{00000000-0005-0000-0000-00006B4E0000}"/>
    <cellStyle name="40 % - Markeringsfarve1 2 5 6 3" xfId="43076" xr:uid="{00000000-0005-0000-0000-00006C4E0000}"/>
    <cellStyle name="40 % - Markeringsfarve1 2 5 7" xfId="21089" xr:uid="{00000000-0005-0000-0000-00006D4E0000}"/>
    <cellStyle name="40 % - Markeringsfarve1 2 5 8" xfId="36077" xr:uid="{00000000-0005-0000-0000-00006E4E0000}"/>
    <cellStyle name="40 % - Markeringsfarve1 2 5 9" xfId="56521" xr:uid="{00000000-0005-0000-0000-00006F4E0000}"/>
    <cellStyle name="40 % - Markeringsfarve1 2 6" xfId="3240" xr:uid="{00000000-0005-0000-0000-0000704E0000}"/>
    <cellStyle name="40 % - Markeringsfarve1 2 6 2" xfId="3241" xr:uid="{00000000-0005-0000-0000-0000714E0000}"/>
    <cellStyle name="40 % - Markeringsfarve1 2 6 2 2" xfId="3242" xr:uid="{00000000-0005-0000-0000-0000724E0000}"/>
    <cellStyle name="40 % - Markeringsfarve1 2 6 2 2 2" xfId="7873" xr:uid="{00000000-0005-0000-0000-0000734E0000}"/>
    <cellStyle name="40 % - Markeringsfarve1 2 6 2 2 2 2" xfId="15774" xr:uid="{00000000-0005-0000-0000-0000744E0000}"/>
    <cellStyle name="40 % - Markeringsfarve1 2 6 2 2 2 2 2" xfId="32088" xr:uid="{00000000-0005-0000-0000-0000754E0000}"/>
    <cellStyle name="40 % - Markeringsfarve1 2 6 2 2 2 2 3" xfId="47052" xr:uid="{00000000-0005-0000-0000-0000764E0000}"/>
    <cellStyle name="40 % - Markeringsfarve1 2 6 2 2 2 3" xfId="25066" xr:uid="{00000000-0005-0000-0000-0000774E0000}"/>
    <cellStyle name="40 % - Markeringsfarve1 2 6 2 2 2 4" xfId="40053" xr:uid="{00000000-0005-0000-0000-0000784E0000}"/>
    <cellStyle name="40 % - Markeringsfarve1 2 6 2 2 3" xfId="11799" xr:uid="{00000000-0005-0000-0000-0000794E0000}"/>
    <cellStyle name="40 % - Markeringsfarve1 2 6 2 2 3 2" xfId="28118" xr:uid="{00000000-0005-0000-0000-00007A4E0000}"/>
    <cellStyle name="40 % - Markeringsfarve1 2 6 2 2 3 3" xfId="43083" xr:uid="{00000000-0005-0000-0000-00007B4E0000}"/>
    <cellStyle name="40 % - Markeringsfarve1 2 6 2 2 4" xfId="21096" xr:uid="{00000000-0005-0000-0000-00007C4E0000}"/>
    <cellStyle name="40 % - Markeringsfarve1 2 6 2 2 5" xfId="36084" xr:uid="{00000000-0005-0000-0000-00007D4E0000}"/>
    <cellStyle name="40 % - Markeringsfarve1 2 6 2 3" xfId="6416" xr:uid="{00000000-0005-0000-0000-00007E4E0000}"/>
    <cellStyle name="40 % - Markeringsfarve1 2 6 2 3 2" xfId="14330" xr:uid="{00000000-0005-0000-0000-00007F4E0000}"/>
    <cellStyle name="40 % - Markeringsfarve1 2 6 2 3 2 2" xfId="30644" xr:uid="{00000000-0005-0000-0000-0000804E0000}"/>
    <cellStyle name="40 % - Markeringsfarve1 2 6 2 3 2 3" xfId="45608" xr:uid="{00000000-0005-0000-0000-0000814E0000}"/>
    <cellStyle name="40 % - Markeringsfarve1 2 6 2 3 3" xfId="23622" xr:uid="{00000000-0005-0000-0000-0000824E0000}"/>
    <cellStyle name="40 % - Markeringsfarve1 2 6 2 3 4" xfId="38609" xr:uid="{00000000-0005-0000-0000-0000834E0000}"/>
    <cellStyle name="40 % - Markeringsfarve1 2 6 2 4" xfId="11798" xr:uid="{00000000-0005-0000-0000-0000844E0000}"/>
    <cellStyle name="40 % - Markeringsfarve1 2 6 2 4 2" xfId="28117" xr:uid="{00000000-0005-0000-0000-0000854E0000}"/>
    <cellStyle name="40 % - Markeringsfarve1 2 6 2 4 3" xfId="43082" xr:uid="{00000000-0005-0000-0000-0000864E0000}"/>
    <cellStyle name="40 % - Markeringsfarve1 2 6 2 5" xfId="21095" xr:uid="{00000000-0005-0000-0000-0000874E0000}"/>
    <cellStyle name="40 % - Markeringsfarve1 2 6 2 6" xfId="36083" xr:uid="{00000000-0005-0000-0000-0000884E0000}"/>
    <cellStyle name="40 % - Markeringsfarve1 2 6 3" xfId="3243" xr:uid="{00000000-0005-0000-0000-0000894E0000}"/>
    <cellStyle name="40 % - Markeringsfarve1 2 6 3 2" xfId="7149" xr:uid="{00000000-0005-0000-0000-00008A4E0000}"/>
    <cellStyle name="40 % - Markeringsfarve1 2 6 3 2 2" xfId="15059" xr:uid="{00000000-0005-0000-0000-00008B4E0000}"/>
    <cellStyle name="40 % - Markeringsfarve1 2 6 3 2 2 2" xfId="31373" xr:uid="{00000000-0005-0000-0000-00008C4E0000}"/>
    <cellStyle name="40 % - Markeringsfarve1 2 6 3 2 2 3" xfId="46337" xr:uid="{00000000-0005-0000-0000-00008D4E0000}"/>
    <cellStyle name="40 % - Markeringsfarve1 2 6 3 2 3" xfId="24351" xr:uid="{00000000-0005-0000-0000-00008E4E0000}"/>
    <cellStyle name="40 % - Markeringsfarve1 2 6 3 2 4" xfId="39338" xr:uid="{00000000-0005-0000-0000-00008F4E0000}"/>
    <cellStyle name="40 % - Markeringsfarve1 2 6 3 3" xfId="11800" xr:uid="{00000000-0005-0000-0000-0000904E0000}"/>
    <cellStyle name="40 % - Markeringsfarve1 2 6 3 3 2" xfId="28119" xr:uid="{00000000-0005-0000-0000-0000914E0000}"/>
    <cellStyle name="40 % - Markeringsfarve1 2 6 3 3 3" xfId="43084" xr:uid="{00000000-0005-0000-0000-0000924E0000}"/>
    <cellStyle name="40 % - Markeringsfarve1 2 6 3 4" xfId="21097" xr:uid="{00000000-0005-0000-0000-0000934E0000}"/>
    <cellStyle name="40 % - Markeringsfarve1 2 6 3 5" xfId="36085" xr:uid="{00000000-0005-0000-0000-0000944E0000}"/>
    <cellStyle name="40 % - Markeringsfarve1 2 6 4" xfId="3244" xr:uid="{00000000-0005-0000-0000-0000954E0000}"/>
    <cellStyle name="40 % - Markeringsfarve1 2 6 4 2" xfId="8292" xr:uid="{00000000-0005-0000-0000-0000964E0000}"/>
    <cellStyle name="40 % - Markeringsfarve1 2 6 4 2 2" xfId="16186" xr:uid="{00000000-0005-0000-0000-0000974E0000}"/>
    <cellStyle name="40 % - Markeringsfarve1 2 6 4 2 2 2" xfId="32500" xr:uid="{00000000-0005-0000-0000-0000984E0000}"/>
    <cellStyle name="40 % - Markeringsfarve1 2 6 4 2 2 3" xfId="47464" xr:uid="{00000000-0005-0000-0000-0000994E0000}"/>
    <cellStyle name="40 % - Markeringsfarve1 2 6 4 2 3" xfId="25478" xr:uid="{00000000-0005-0000-0000-00009A4E0000}"/>
    <cellStyle name="40 % - Markeringsfarve1 2 6 4 2 4" xfId="40465" xr:uid="{00000000-0005-0000-0000-00009B4E0000}"/>
    <cellStyle name="40 % - Markeringsfarve1 2 6 4 3" xfId="11801" xr:uid="{00000000-0005-0000-0000-00009C4E0000}"/>
    <cellStyle name="40 % - Markeringsfarve1 2 6 4 3 2" xfId="28120" xr:uid="{00000000-0005-0000-0000-00009D4E0000}"/>
    <cellStyle name="40 % - Markeringsfarve1 2 6 4 3 3" xfId="43085" xr:uid="{00000000-0005-0000-0000-00009E4E0000}"/>
    <cellStyle name="40 % - Markeringsfarve1 2 6 4 4" xfId="21098" xr:uid="{00000000-0005-0000-0000-00009F4E0000}"/>
    <cellStyle name="40 % - Markeringsfarve1 2 6 4 5" xfId="36086" xr:uid="{00000000-0005-0000-0000-0000A04E0000}"/>
    <cellStyle name="40 % - Markeringsfarve1 2 6 5" xfId="5765" xr:uid="{00000000-0005-0000-0000-0000A14E0000}"/>
    <cellStyle name="40 % - Markeringsfarve1 2 6 5 2" xfId="13683" xr:uid="{00000000-0005-0000-0000-0000A24E0000}"/>
    <cellStyle name="40 % - Markeringsfarve1 2 6 5 2 2" xfId="29997" xr:uid="{00000000-0005-0000-0000-0000A34E0000}"/>
    <cellStyle name="40 % - Markeringsfarve1 2 6 5 2 3" xfId="44961" xr:uid="{00000000-0005-0000-0000-0000A44E0000}"/>
    <cellStyle name="40 % - Markeringsfarve1 2 6 5 3" xfId="22975" xr:uid="{00000000-0005-0000-0000-0000A54E0000}"/>
    <cellStyle name="40 % - Markeringsfarve1 2 6 5 4" xfId="37962" xr:uid="{00000000-0005-0000-0000-0000A64E0000}"/>
    <cellStyle name="40 % - Markeringsfarve1 2 6 6" xfId="11797" xr:uid="{00000000-0005-0000-0000-0000A74E0000}"/>
    <cellStyle name="40 % - Markeringsfarve1 2 6 6 2" xfId="28116" xr:uid="{00000000-0005-0000-0000-0000A84E0000}"/>
    <cellStyle name="40 % - Markeringsfarve1 2 6 6 3" xfId="43081" xr:uid="{00000000-0005-0000-0000-0000A94E0000}"/>
    <cellStyle name="40 % - Markeringsfarve1 2 6 7" xfId="21094" xr:uid="{00000000-0005-0000-0000-0000AA4E0000}"/>
    <cellStyle name="40 % - Markeringsfarve1 2 6 8" xfId="36082" xr:uid="{00000000-0005-0000-0000-0000AB4E0000}"/>
    <cellStyle name="40 % - Markeringsfarve1 2 7" xfId="3245" xr:uid="{00000000-0005-0000-0000-0000AC4E0000}"/>
    <cellStyle name="40 % - Markeringsfarve1 2 7 2" xfId="3246" xr:uid="{00000000-0005-0000-0000-0000AD4E0000}"/>
    <cellStyle name="40 % - Markeringsfarve1 2 7 2 2" xfId="3247" xr:uid="{00000000-0005-0000-0000-0000AE4E0000}"/>
    <cellStyle name="40 % - Markeringsfarve1 2 7 2 2 2" xfId="7990" xr:uid="{00000000-0005-0000-0000-0000AF4E0000}"/>
    <cellStyle name="40 % - Markeringsfarve1 2 7 2 2 2 2" xfId="15891" xr:uid="{00000000-0005-0000-0000-0000B04E0000}"/>
    <cellStyle name="40 % - Markeringsfarve1 2 7 2 2 2 2 2" xfId="32205" xr:uid="{00000000-0005-0000-0000-0000B14E0000}"/>
    <cellStyle name="40 % - Markeringsfarve1 2 7 2 2 2 2 3" xfId="47169" xr:uid="{00000000-0005-0000-0000-0000B24E0000}"/>
    <cellStyle name="40 % - Markeringsfarve1 2 7 2 2 2 3" xfId="25183" xr:uid="{00000000-0005-0000-0000-0000B34E0000}"/>
    <cellStyle name="40 % - Markeringsfarve1 2 7 2 2 2 4" xfId="40170" xr:uid="{00000000-0005-0000-0000-0000B44E0000}"/>
    <cellStyle name="40 % - Markeringsfarve1 2 7 2 2 3" xfId="11804" xr:uid="{00000000-0005-0000-0000-0000B54E0000}"/>
    <cellStyle name="40 % - Markeringsfarve1 2 7 2 2 3 2" xfId="28123" xr:uid="{00000000-0005-0000-0000-0000B64E0000}"/>
    <cellStyle name="40 % - Markeringsfarve1 2 7 2 2 3 3" xfId="43088" xr:uid="{00000000-0005-0000-0000-0000B74E0000}"/>
    <cellStyle name="40 % - Markeringsfarve1 2 7 2 2 4" xfId="21101" xr:uid="{00000000-0005-0000-0000-0000B84E0000}"/>
    <cellStyle name="40 % - Markeringsfarve1 2 7 2 2 5" xfId="36089" xr:uid="{00000000-0005-0000-0000-0000B94E0000}"/>
    <cellStyle name="40 % - Markeringsfarve1 2 7 2 3" xfId="6515" xr:uid="{00000000-0005-0000-0000-0000BA4E0000}"/>
    <cellStyle name="40 % - Markeringsfarve1 2 7 2 3 2" xfId="14429" xr:uid="{00000000-0005-0000-0000-0000BB4E0000}"/>
    <cellStyle name="40 % - Markeringsfarve1 2 7 2 3 2 2" xfId="30743" xr:uid="{00000000-0005-0000-0000-0000BC4E0000}"/>
    <cellStyle name="40 % - Markeringsfarve1 2 7 2 3 2 3" xfId="45707" xr:uid="{00000000-0005-0000-0000-0000BD4E0000}"/>
    <cellStyle name="40 % - Markeringsfarve1 2 7 2 3 3" xfId="23721" xr:uid="{00000000-0005-0000-0000-0000BE4E0000}"/>
    <cellStyle name="40 % - Markeringsfarve1 2 7 2 3 4" xfId="38708" xr:uid="{00000000-0005-0000-0000-0000BF4E0000}"/>
    <cellStyle name="40 % - Markeringsfarve1 2 7 2 4" xfId="11803" xr:uid="{00000000-0005-0000-0000-0000C04E0000}"/>
    <cellStyle name="40 % - Markeringsfarve1 2 7 2 4 2" xfId="28122" xr:uid="{00000000-0005-0000-0000-0000C14E0000}"/>
    <cellStyle name="40 % - Markeringsfarve1 2 7 2 4 3" xfId="43087" xr:uid="{00000000-0005-0000-0000-0000C24E0000}"/>
    <cellStyle name="40 % - Markeringsfarve1 2 7 2 5" xfId="21100" xr:uid="{00000000-0005-0000-0000-0000C34E0000}"/>
    <cellStyle name="40 % - Markeringsfarve1 2 7 2 6" xfId="36088" xr:uid="{00000000-0005-0000-0000-0000C44E0000}"/>
    <cellStyle name="40 % - Markeringsfarve1 2 7 3" xfId="3248" xr:uid="{00000000-0005-0000-0000-0000C54E0000}"/>
    <cellStyle name="40 % - Markeringsfarve1 2 7 3 2" xfId="7266" xr:uid="{00000000-0005-0000-0000-0000C64E0000}"/>
    <cellStyle name="40 % - Markeringsfarve1 2 7 3 2 2" xfId="15176" xr:uid="{00000000-0005-0000-0000-0000C74E0000}"/>
    <cellStyle name="40 % - Markeringsfarve1 2 7 3 2 2 2" xfId="31490" xr:uid="{00000000-0005-0000-0000-0000C84E0000}"/>
    <cellStyle name="40 % - Markeringsfarve1 2 7 3 2 2 3" xfId="46454" xr:uid="{00000000-0005-0000-0000-0000C94E0000}"/>
    <cellStyle name="40 % - Markeringsfarve1 2 7 3 2 3" xfId="24468" xr:uid="{00000000-0005-0000-0000-0000CA4E0000}"/>
    <cellStyle name="40 % - Markeringsfarve1 2 7 3 2 4" xfId="39455" xr:uid="{00000000-0005-0000-0000-0000CB4E0000}"/>
    <cellStyle name="40 % - Markeringsfarve1 2 7 3 3" xfId="11805" xr:uid="{00000000-0005-0000-0000-0000CC4E0000}"/>
    <cellStyle name="40 % - Markeringsfarve1 2 7 3 3 2" xfId="28124" xr:uid="{00000000-0005-0000-0000-0000CD4E0000}"/>
    <cellStyle name="40 % - Markeringsfarve1 2 7 3 3 3" xfId="43089" xr:uid="{00000000-0005-0000-0000-0000CE4E0000}"/>
    <cellStyle name="40 % - Markeringsfarve1 2 7 3 4" xfId="21102" xr:uid="{00000000-0005-0000-0000-0000CF4E0000}"/>
    <cellStyle name="40 % - Markeringsfarve1 2 7 3 5" xfId="36090" xr:uid="{00000000-0005-0000-0000-0000D04E0000}"/>
    <cellStyle name="40 % - Markeringsfarve1 2 7 4" xfId="3249" xr:uid="{00000000-0005-0000-0000-0000D14E0000}"/>
    <cellStyle name="40 % - Markeringsfarve1 2 7 4 2" xfId="8584" xr:uid="{00000000-0005-0000-0000-0000D24E0000}"/>
    <cellStyle name="40 % - Markeringsfarve1 2 7 4 2 2" xfId="16471" xr:uid="{00000000-0005-0000-0000-0000D34E0000}"/>
    <cellStyle name="40 % - Markeringsfarve1 2 7 4 2 2 2" xfId="32785" xr:uid="{00000000-0005-0000-0000-0000D44E0000}"/>
    <cellStyle name="40 % - Markeringsfarve1 2 7 4 2 2 3" xfId="47749" xr:uid="{00000000-0005-0000-0000-0000D54E0000}"/>
    <cellStyle name="40 % - Markeringsfarve1 2 7 4 2 3" xfId="25763" xr:uid="{00000000-0005-0000-0000-0000D64E0000}"/>
    <cellStyle name="40 % - Markeringsfarve1 2 7 4 2 4" xfId="40750" xr:uid="{00000000-0005-0000-0000-0000D74E0000}"/>
    <cellStyle name="40 % - Markeringsfarve1 2 7 4 3" xfId="11806" xr:uid="{00000000-0005-0000-0000-0000D84E0000}"/>
    <cellStyle name="40 % - Markeringsfarve1 2 7 4 3 2" xfId="28125" xr:uid="{00000000-0005-0000-0000-0000D94E0000}"/>
    <cellStyle name="40 % - Markeringsfarve1 2 7 4 3 3" xfId="43090" xr:uid="{00000000-0005-0000-0000-0000DA4E0000}"/>
    <cellStyle name="40 % - Markeringsfarve1 2 7 4 4" xfId="21103" xr:uid="{00000000-0005-0000-0000-0000DB4E0000}"/>
    <cellStyle name="40 % - Markeringsfarve1 2 7 4 5" xfId="36091" xr:uid="{00000000-0005-0000-0000-0000DC4E0000}"/>
    <cellStyle name="40 % - Markeringsfarve1 2 7 5" xfId="5766" xr:uid="{00000000-0005-0000-0000-0000DD4E0000}"/>
    <cellStyle name="40 % - Markeringsfarve1 2 7 5 2" xfId="13684" xr:uid="{00000000-0005-0000-0000-0000DE4E0000}"/>
    <cellStyle name="40 % - Markeringsfarve1 2 7 5 2 2" xfId="29998" xr:uid="{00000000-0005-0000-0000-0000DF4E0000}"/>
    <cellStyle name="40 % - Markeringsfarve1 2 7 5 2 3" xfId="44962" xr:uid="{00000000-0005-0000-0000-0000E04E0000}"/>
    <cellStyle name="40 % - Markeringsfarve1 2 7 5 3" xfId="22976" xr:uid="{00000000-0005-0000-0000-0000E14E0000}"/>
    <cellStyle name="40 % - Markeringsfarve1 2 7 5 4" xfId="37963" xr:uid="{00000000-0005-0000-0000-0000E24E0000}"/>
    <cellStyle name="40 % - Markeringsfarve1 2 7 6" xfId="11802" xr:uid="{00000000-0005-0000-0000-0000E34E0000}"/>
    <cellStyle name="40 % - Markeringsfarve1 2 7 6 2" xfId="28121" xr:uid="{00000000-0005-0000-0000-0000E44E0000}"/>
    <cellStyle name="40 % - Markeringsfarve1 2 7 6 3" xfId="43086" xr:uid="{00000000-0005-0000-0000-0000E54E0000}"/>
    <cellStyle name="40 % - Markeringsfarve1 2 7 7" xfId="21099" xr:uid="{00000000-0005-0000-0000-0000E64E0000}"/>
    <cellStyle name="40 % - Markeringsfarve1 2 7 8" xfId="36087" xr:uid="{00000000-0005-0000-0000-0000E74E0000}"/>
    <cellStyle name="40 % - Markeringsfarve1 2 8" xfId="3250" xr:uid="{00000000-0005-0000-0000-0000E84E0000}"/>
    <cellStyle name="40 % - Markeringsfarve1 2 8 2" xfId="3251" xr:uid="{00000000-0005-0000-0000-0000E94E0000}"/>
    <cellStyle name="40 % - Markeringsfarve1 2 8 2 2" xfId="3252" xr:uid="{00000000-0005-0000-0000-0000EA4E0000}"/>
    <cellStyle name="40 % - Markeringsfarve1 2 8 2 2 2" xfId="8135" xr:uid="{00000000-0005-0000-0000-0000EB4E0000}"/>
    <cellStyle name="40 % - Markeringsfarve1 2 8 2 2 2 2" xfId="16036" xr:uid="{00000000-0005-0000-0000-0000EC4E0000}"/>
    <cellStyle name="40 % - Markeringsfarve1 2 8 2 2 2 2 2" xfId="32350" xr:uid="{00000000-0005-0000-0000-0000ED4E0000}"/>
    <cellStyle name="40 % - Markeringsfarve1 2 8 2 2 2 2 3" xfId="47314" xr:uid="{00000000-0005-0000-0000-0000EE4E0000}"/>
    <cellStyle name="40 % - Markeringsfarve1 2 8 2 2 2 3" xfId="25328" xr:uid="{00000000-0005-0000-0000-0000EF4E0000}"/>
    <cellStyle name="40 % - Markeringsfarve1 2 8 2 2 2 4" xfId="40315" xr:uid="{00000000-0005-0000-0000-0000F04E0000}"/>
    <cellStyle name="40 % - Markeringsfarve1 2 8 2 2 3" xfId="11809" xr:uid="{00000000-0005-0000-0000-0000F14E0000}"/>
    <cellStyle name="40 % - Markeringsfarve1 2 8 2 2 3 2" xfId="28128" xr:uid="{00000000-0005-0000-0000-0000F24E0000}"/>
    <cellStyle name="40 % - Markeringsfarve1 2 8 2 2 3 3" xfId="43093" xr:uid="{00000000-0005-0000-0000-0000F34E0000}"/>
    <cellStyle name="40 % - Markeringsfarve1 2 8 2 2 4" xfId="21106" xr:uid="{00000000-0005-0000-0000-0000F44E0000}"/>
    <cellStyle name="40 % - Markeringsfarve1 2 8 2 2 5" xfId="36094" xr:uid="{00000000-0005-0000-0000-0000F54E0000}"/>
    <cellStyle name="40 % - Markeringsfarve1 2 8 2 3" xfId="6637" xr:uid="{00000000-0005-0000-0000-0000F64E0000}"/>
    <cellStyle name="40 % - Markeringsfarve1 2 8 2 3 2" xfId="14551" xr:uid="{00000000-0005-0000-0000-0000F74E0000}"/>
    <cellStyle name="40 % - Markeringsfarve1 2 8 2 3 2 2" xfId="30865" xr:uid="{00000000-0005-0000-0000-0000F84E0000}"/>
    <cellStyle name="40 % - Markeringsfarve1 2 8 2 3 2 3" xfId="45829" xr:uid="{00000000-0005-0000-0000-0000F94E0000}"/>
    <cellStyle name="40 % - Markeringsfarve1 2 8 2 3 3" xfId="23843" xr:uid="{00000000-0005-0000-0000-0000FA4E0000}"/>
    <cellStyle name="40 % - Markeringsfarve1 2 8 2 3 4" xfId="38830" xr:uid="{00000000-0005-0000-0000-0000FB4E0000}"/>
    <cellStyle name="40 % - Markeringsfarve1 2 8 2 4" xfId="11808" xr:uid="{00000000-0005-0000-0000-0000FC4E0000}"/>
    <cellStyle name="40 % - Markeringsfarve1 2 8 2 4 2" xfId="28127" xr:uid="{00000000-0005-0000-0000-0000FD4E0000}"/>
    <cellStyle name="40 % - Markeringsfarve1 2 8 2 4 3" xfId="43092" xr:uid="{00000000-0005-0000-0000-0000FE4E0000}"/>
    <cellStyle name="40 % - Markeringsfarve1 2 8 2 5" xfId="21105" xr:uid="{00000000-0005-0000-0000-0000FF4E0000}"/>
    <cellStyle name="40 % - Markeringsfarve1 2 8 2 6" xfId="36093" xr:uid="{00000000-0005-0000-0000-0000004F0000}"/>
    <cellStyle name="40 % - Markeringsfarve1 2 8 3" xfId="3253" xr:uid="{00000000-0005-0000-0000-0000014F0000}"/>
    <cellStyle name="40 % - Markeringsfarve1 2 8 3 2" xfId="7412" xr:uid="{00000000-0005-0000-0000-0000024F0000}"/>
    <cellStyle name="40 % - Markeringsfarve1 2 8 3 2 2" xfId="15322" xr:uid="{00000000-0005-0000-0000-0000034F0000}"/>
    <cellStyle name="40 % - Markeringsfarve1 2 8 3 2 2 2" xfId="31636" xr:uid="{00000000-0005-0000-0000-0000044F0000}"/>
    <cellStyle name="40 % - Markeringsfarve1 2 8 3 2 2 3" xfId="46600" xr:uid="{00000000-0005-0000-0000-0000054F0000}"/>
    <cellStyle name="40 % - Markeringsfarve1 2 8 3 2 3" xfId="24614" xr:uid="{00000000-0005-0000-0000-0000064F0000}"/>
    <cellStyle name="40 % - Markeringsfarve1 2 8 3 2 4" xfId="39601" xr:uid="{00000000-0005-0000-0000-0000074F0000}"/>
    <cellStyle name="40 % - Markeringsfarve1 2 8 3 3" xfId="11810" xr:uid="{00000000-0005-0000-0000-0000084F0000}"/>
    <cellStyle name="40 % - Markeringsfarve1 2 8 3 3 2" xfId="28129" xr:uid="{00000000-0005-0000-0000-0000094F0000}"/>
    <cellStyle name="40 % - Markeringsfarve1 2 8 3 3 3" xfId="43094" xr:uid="{00000000-0005-0000-0000-00000A4F0000}"/>
    <cellStyle name="40 % - Markeringsfarve1 2 8 3 4" xfId="21107" xr:uid="{00000000-0005-0000-0000-00000B4F0000}"/>
    <cellStyle name="40 % - Markeringsfarve1 2 8 3 5" xfId="36095" xr:uid="{00000000-0005-0000-0000-00000C4F0000}"/>
    <cellStyle name="40 % - Markeringsfarve1 2 8 4" xfId="3254" xr:uid="{00000000-0005-0000-0000-00000D4F0000}"/>
    <cellStyle name="40 % - Markeringsfarve1 2 8 4 2" xfId="8234" xr:uid="{00000000-0005-0000-0000-00000E4F0000}"/>
    <cellStyle name="40 % - Markeringsfarve1 2 8 4 2 2" xfId="16131" xr:uid="{00000000-0005-0000-0000-00000F4F0000}"/>
    <cellStyle name="40 % - Markeringsfarve1 2 8 4 2 2 2" xfId="32445" xr:uid="{00000000-0005-0000-0000-0000104F0000}"/>
    <cellStyle name="40 % - Markeringsfarve1 2 8 4 2 2 3" xfId="47409" xr:uid="{00000000-0005-0000-0000-0000114F0000}"/>
    <cellStyle name="40 % - Markeringsfarve1 2 8 4 2 3" xfId="25423" xr:uid="{00000000-0005-0000-0000-0000124F0000}"/>
    <cellStyle name="40 % - Markeringsfarve1 2 8 4 2 4" xfId="40410" xr:uid="{00000000-0005-0000-0000-0000134F0000}"/>
    <cellStyle name="40 % - Markeringsfarve1 2 8 4 3" xfId="11811" xr:uid="{00000000-0005-0000-0000-0000144F0000}"/>
    <cellStyle name="40 % - Markeringsfarve1 2 8 4 3 2" xfId="28130" xr:uid="{00000000-0005-0000-0000-0000154F0000}"/>
    <cellStyle name="40 % - Markeringsfarve1 2 8 4 3 3" xfId="43095" xr:uid="{00000000-0005-0000-0000-0000164F0000}"/>
    <cellStyle name="40 % - Markeringsfarve1 2 8 4 4" xfId="21108" xr:uid="{00000000-0005-0000-0000-0000174F0000}"/>
    <cellStyle name="40 % - Markeringsfarve1 2 8 4 5" xfId="36096" xr:uid="{00000000-0005-0000-0000-0000184F0000}"/>
    <cellStyle name="40 % - Markeringsfarve1 2 8 5" xfId="5767" xr:uid="{00000000-0005-0000-0000-0000194F0000}"/>
    <cellStyle name="40 % - Markeringsfarve1 2 8 5 2" xfId="13685" xr:uid="{00000000-0005-0000-0000-00001A4F0000}"/>
    <cellStyle name="40 % - Markeringsfarve1 2 8 5 2 2" xfId="29999" xr:uid="{00000000-0005-0000-0000-00001B4F0000}"/>
    <cellStyle name="40 % - Markeringsfarve1 2 8 5 2 3" xfId="44963" xr:uid="{00000000-0005-0000-0000-00001C4F0000}"/>
    <cellStyle name="40 % - Markeringsfarve1 2 8 5 3" xfId="22977" xr:uid="{00000000-0005-0000-0000-00001D4F0000}"/>
    <cellStyle name="40 % - Markeringsfarve1 2 8 5 4" xfId="37964" xr:uid="{00000000-0005-0000-0000-00001E4F0000}"/>
    <cellStyle name="40 % - Markeringsfarve1 2 8 6" xfId="11807" xr:uid="{00000000-0005-0000-0000-00001F4F0000}"/>
    <cellStyle name="40 % - Markeringsfarve1 2 8 6 2" xfId="28126" xr:uid="{00000000-0005-0000-0000-0000204F0000}"/>
    <cellStyle name="40 % - Markeringsfarve1 2 8 6 3" xfId="43091" xr:uid="{00000000-0005-0000-0000-0000214F0000}"/>
    <cellStyle name="40 % - Markeringsfarve1 2 8 7" xfId="21104" xr:uid="{00000000-0005-0000-0000-0000224F0000}"/>
    <cellStyle name="40 % - Markeringsfarve1 2 8 8" xfId="36092" xr:uid="{00000000-0005-0000-0000-0000234F0000}"/>
    <cellStyle name="40 % - Markeringsfarve1 2 9" xfId="3255" xr:uid="{00000000-0005-0000-0000-0000244F0000}"/>
    <cellStyle name="40 % - Markeringsfarve1 2 9 2" xfId="3256" xr:uid="{00000000-0005-0000-0000-0000254F0000}"/>
    <cellStyle name="40 % - Markeringsfarve1 2 9 2 2" xfId="7516" xr:uid="{00000000-0005-0000-0000-0000264F0000}"/>
    <cellStyle name="40 % - Markeringsfarve1 2 9 2 2 2" xfId="15417" xr:uid="{00000000-0005-0000-0000-0000274F0000}"/>
    <cellStyle name="40 % - Markeringsfarve1 2 9 2 2 2 2" xfId="31731" xr:uid="{00000000-0005-0000-0000-0000284F0000}"/>
    <cellStyle name="40 % - Markeringsfarve1 2 9 2 2 2 3" xfId="46695" xr:uid="{00000000-0005-0000-0000-0000294F0000}"/>
    <cellStyle name="40 % - Markeringsfarve1 2 9 2 2 3" xfId="24709" xr:uid="{00000000-0005-0000-0000-00002A4F0000}"/>
    <cellStyle name="40 % - Markeringsfarve1 2 9 2 2 4" xfId="39696" xr:uid="{00000000-0005-0000-0000-00002B4F0000}"/>
    <cellStyle name="40 % - Markeringsfarve1 2 9 2 3" xfId="11813" xr:uid="{00000000-0005-0000-0000-00002C4F0000}"/>
    <cellStyle name="40 % - Markeringsfarve1 2 9 2 3 2" xfId="28132" xr:uid="{00000000-0005-0000-0000-00002D4F0000}"/>
    <cellStyle name="40 % - Markeringsfarve1 2 9 2 3 3" xfId="43097" xr:uid="{00000000-0005-0000-0000-00002E4F0000}"/>
    <cellStyle name="40 % - Markeringsfarve1 2 9 2 4" xfId="21110" xr:uid="{00000000-0005-0000-0000-00002F4F0000}"/>
    <cellStyle name="40 % - Markeringsfarve1 2 9 2 5" xfId="36098" xr:uid="{00000000-0005-0000-0000-0000304F0000}"/>
    <cellStyle name="40 % - Markeringsfarve1 2 9 3" xfId="6115" xr:uid="{00000000-0005-0000-0000-0000314F0000}"/>
    <cellStyle name="40 % - Markeringsfarve1 2 9 3 2" xfId="14032" xr:uid="{00000000-0005-0000-0000-0000324F0000}"/>
    <cellStyle name="40 % - Markeringsfarve1 2 9 3 2 2" xfId="30346" xr:uid="{00000000-0005-0000-0000-0000334F0000}"/>
    <cellStyle name="40 % - Markeringsfarve1 2 9 3 2 3" xfId="45310" xr:uid="{00000000-0005-0000-0000-0000344F0000}"/>
    <cellStyle name="40 % - Markeringsfarve1 2 9 3 3" xfId="23324" xr:uid="{00000000-0005-0000-0000-0000354F0000}"/>
    <cellStyle name="40 % - Markeringsfarve1 2 9 3 4" xfId="38311" xr:uid="{00000000-0005-0000-0000-0000364F0000}"/>
    <cellStyle name="40 % - Markeringsfarve1 2 9 4" xfId="11812" xr:uid="{00000000-0005-0000-0000-0000374F0000}"/>
    <cellStyle name="40 % - Markeringsfarve1 2 9 4 2" xfId="28131" xr:uid="{00000000-0005-0000-0000-0000384F0000}"/>
    <cellStyle name="40 % - Markeringsfarve1 2 9 4 3" xfId="43096" xr:uid="{00000000-0005-0000-0000-0000394F0000}"/>
    <cellStyle name="40 % - Markeringsfarve1 2 9 5" xfId="21109" xr:uid="{00000000-0005-0000-0000-00003A4F0000}"/>
    <cellStyle name="40 % - Markeringsfarve1 2 9 6" xfId="36097" xr:uid="{00000000-0005-0000-0000-00003B4F0000}"/>
    <cellStyle name="40 % - Markeringsfarve1 3" xfId="3257" xr:uid="{00000000-0005-0000-0000-00003C4F0000}"/>
    <cellStyle name="40 % - Markeringsfarve1 3 10" xfId="3258" xr:uid="{00000000-0005-0000-0000-00003D4F0000}"/>
    <cellStyle name="40 % - Markeringsfarve1 3 10 2" xfId="6729" xr:uid="{00000000-0005-0000-0000-00003E4F0000}"/>
    <cellStyle name="40 % - Markeringsfarve1 3 10 2 2" xfId="14641" xr:uid="{00000000-0005-0000-0000-00003F4F0000}"/>
    <cellStyle name="40 % - Markeringsfarve1 3 10 2 2 2" xfId="30955" xr:uid="{00000000-0005-0000-0000-0000404F0000}"/>
    <cellStyle name="40 % - Markeringsfarve1 3 10 2 2 3" xfId="45919" xr:uid="{00000000-0005-0000-0000-0000414F0000}"/>
    <cellStyle name="40 % - Markeringsfarve1 3 10 2 3" xfId="23933" xr:uid="{00000000-0005-0000-0000-0000424F0000}"/>
    <cellStyle name="40 % - Markeringsfarve1 3 10 2 4" xfId="38920" xr:uid="{00000000-0005-0000-0000-0000434F0000}"/>
    <cellStyle name="40 % - Markeringsfarve1 3 10 3" xfId="11815" xr:uid="{00000000-0005-0000-0000-0000444F0000}"/>
    <cellStyle name="40 % - Markeringsfarve1 3 10 3 2" xfId="28134" xr:uid="{00000000-0005-0000-0000-0000454F0000}"/>
    <cellStyle name="40 % - Markeringsfarve1 3 10 3 3" xfId="43099" xr:uid="{00000000-0005-0000-0000-0000464F0000}"/>
    <cellStyle name="40 % - Markeringsfarve1 3 10 4" xfId="21112" xr:uid="{00000000-0005-0000-0000-0000474F0000}"/>
    <cellStyle name="40 % - Markeringsfarve1 3 10 5" xfId="36100" xr:uid="{00000000-0005-0000-0000-0000484F0000}"/>
    <cellStyle name="40 % - Markeringsfarve1 3 11" xfId="3259" xr:uid="{00000000-0005-0000-0000-0000494F0000}"/>
    <cellStyle name="40 % - Markeringsfarve1 3 11 2" xfId="8569" xr:uid="{00000000-0005-0000-0000-00004A4F0000}"/>
    <cellStyle name="40 % - Markeringsfarve1 3 11 2 2" xfId="16456" xr:uid="{00000000-0005-0000-0000-00004B4F0000}"/>
    <cellStyle name="40 % - Markeringsfarve1 3 11 2 2 2" xfId="32770" xr:uid="{00000000-0005-0000-0000-00004C4F0000}"/>
    <cellStyle name="40 % - Markeringsfarve1 3 11 2 2 3" xfId="47734" xr:uid="{00000000-0005-0000-0000-00004D4F0000}"/>
    <cellStyle name="40 % - Markeringsfarve1 3 11 2 3" xfId="25748" xr:uid="{00000000-0005-0000-0000-00004E4F0000}"/>
    <cellStyle name="40 % - Markeringsfarve1 3 11 2 4" xfId="40735" xr:uid="{00000000-0005-0000-0000-00004F4F0000}"/>
    <cellStyle name="40 % - Markeringsfarve1 3 11 3" xfId="11816" xr:uid="{00000000-0005-0000-0000-0000504F0000}"/>
    <cellStyle name="40 % - Markeringsfarve1 3 11 3 2" xfId="28135" xr:uid="{00000000-0005-0000-0000-0000514F0000}"/>
    <cellStyle name="40 % - Markeringsfarve1 3 11 3 3" xfId="43100" xr:uid="{00000000-0005-0000-0000-0000524F0000}"/>
    <cellStyle name="40 % - Markeringsfarve1 3 11 4" xfId="21113" xr:uid="{00000000-0005-0000-0000-0000534F0000}"/>
    <cellStyle name="40 % - Markeringsfarve1 3 11 5" xfId="36101" xr:uid="{00000000-0005-0000-0000-0000544F0000}"/>
    <cellStyle name="40 % - Markeringsfarve1 3 12" xfId="5768" xr:uid="{00000000-0005-0000-0000-0000554F0000}"/>
    <cellStyle name="40 % - Markeringsfarve1 3 12 2" xfId="13686" xr:uid="{00000000-0005-0000-0000-0000564F0000}"/>
    <cellStyle name="40 % - Markeringsfarve1 3 12 2 2" xfId="30000" xr:uid="{00000000-0005-0000-0000-0000574F0000}"/>
    <cellStyle name="40 % - Markeringsfarve1 3 12 2 3" xfId="44964" xr:uid="{00000000-0005-0000-0000-0000584F0000}"/>
    <cellStyle name="40 % - Markeringsfarve1 3 12 3" xfId="22978" xr:uid="{00000000-0005-0000-0000-0000594F0000}"/>
    <cellStyle name="40 % - Markeringsfarve1 3 12 4" xfId="37965" xr:uid="{00000000-0005-0000-0000-00005A4F0000}"/>
    <cellStyle name="40 % - Markeringsfarve1 3 13" xfId="11814" xr:uid="{00000000-0005-0000-0000-00005B4F0000}"/>
    <cellStyle name="40 % - Markeringsfarve1 3 13 2" xfId="28133" xr:uid="{00000000-0005-0000-0000-00005C4F0000}"/>
    <cellStyle name="40 % - Markeringsfarve1 3 13 3" xfId="43098" xr:uid="{00000000-0005-0000-0000-00005D4F0000}"/>
    <cellStyle name="40 % - Markeringsfarve1 3 14" xfId="21111" xr:uid="{00000000-0005-0000-0000-00005E4F0000}"/>
    <cellStyle name="40 % - Markeringsfarve1 3 15" xfId="36099" xr:uid="{00000000-0005-0000-0000-00005F4F0000}"/>
    <cellStyle name="40 % - Markeringsfarve1 3 16" xfId="53337" xr:uid="{00000000-0005-0000-0000-0000604F0000}"/>
    <cellStyle name="40 % - Markeringsfarve1 3 2" xfId="3260" xr:uid="{00000000-0005-0000-0000-0000614F0000}"/>
    <cellStyle name="40 % - Markeringsfarve1 3 2 10" xfId="5769" xr:uid="{00000000-0005-0000-0000-0000624F0000}"/>
    <cellStyle name="40 % - Markeringsfarve1 3 2 10 2" xfId="13687" xr:uid="{00000000-0005-0000-0000-0000634F0000}"/>
    <cellStyle name="40 % - Markeringsfarve1 3 2 10 2 2" xfId="30001" xr:uid="{00000000-0005-0000-0000-0000644F0000}"/>
    <cellStyle name="40 % - Markeringsfarve1 3 2 10 2 3" xfId="44965" xr:uid="{00000000-0005-0000-0000-0000654F0000}"/>
    <cellStyle name="40 % - Markeringsfarve1 3 2 10 3" xfId="22979" xr:uid="{00000000-0005-0000-0000-0000664F0000}"/>
    <cellStyle name="40 % - Markeringsfarve1 3 2 10 4" xfId="37966" xr:uid="{00000000-0005-0000-0000-0000674F0000}"/>
    <cellStyle name="40 % - Markeringsfarve1 3 2 11" xfId="11817" xr:uid="{00000000-0005-0000-0000-0000684F0000}"/>
    <cellStyle name="40 % - Markeringsfarve1 3 2 11 2" xfId="28136" xr:uid="{00000000-0005-0000-0000-0000694F0000}"/>
    <cellStyle name="40 % - Markeringsfarve1 3 2 11 3" xfId="43101" xr:uid="{00000000-0005-0000-0000-00006A4F0000}"/>
    <cellStyle name="40 % - Markeringsfarve1 3 2 12" xfId="21114" xr:uid="{00000000-0005-0000-0000-00006B4F0000}"/>
    <cellStyle name="40 % - Markeringsfarve1 3 2 13" xfId="36102" xr:uid="{00000000-0005-0000-0000-00006C4F0000}"/>
    <cellStyle name="40 % - Markeringsfarve1 3 2 14" xfId="53974" xr:uid="{00000000-0005-0000-0000-00006D4F0000}"/>
    <cellStyle name="40 % - Markeringsfarve1 3 2 2" xfId="3261" xr:uid="{00000000-0005-0000-0000-00006E4F0000}"/>
    <cellStyle name="40 % - Markeringsfarve1 3 2 2 2" xfId="3262" xr:uid="{00000000-0005-0000-0000-00006F4F0000}"/>
    <cellStyle name="40 % - Markeringsfarve1 3 2 2 2 2" xfId="3263" xr:uid="{00000000-0005-0000-0000-0000704F0000}"/>
    <cellStyle name="40 % - Markeringsfarve1 3 2 2 2 2 2" xfId="7662" xr:uid="{00000000-0005-0000-0000-0000714F0000}"/>
    <cellStyle name="40 % - Markeringsfarve1 3 2 2 2 2 2 2" xfId="15563" xr:uid="{00000000-0005-0000-0000-0000724F0000}"/>
    <cellStyle name="40 % - Markeringsfarve1 3 2 2 2 2 2 2 2" xfId="31877" xr:uid="{00000000-0005-0000-0000-0000734F0000}"/>
    <cellStyle name="40 % - Markeringsfarve1 3 2 2 2 2 2 2 3" xfId="46841" xr:uid="{00000000-0005-0000-0000-0000744F0000}"/>
    <cellStyle name="40 % - Markeringsfarve1 3 2 2 2 2 2 3" xfId="24855" xr:uid="{00000000-0005-0000-0000-0000754F0000}"/>
    <cellStyle name="40 % - Markeringsfarve1 3 2 2 2 2 2 4" xfId="39842" xr:uid="{00000000-0005-0000-0000-0000764F0000}"/>
    <cellStyle name="40 % - Markeringsfarve1 3 2 2 2 2 3" xfId="11820" xr:uid="{00000000-0005-0000-0000-0000774F0000}"/>
    <cellStyle name="40 % - Markeringsfarve1 3 2 2 2 2 3 2" xfId="28139" xr:uid="{00000000-0005-0000-0000-0000784F0000}"/>
    <cellStyle name="40 % - Markeringsfarve1 3 2 2 2 2 3 3" xfId="43104" xr:uid="{00000000-0005-0000-0000-0000794F0000}"/>
    <cellStyle name="40 % - Markeringsfarve1 3 2 2 2 2 4" xfId="21117" xr:uid="{00000000-0005-0000-0000-00007A4F0000}"/>
    <cellStyle name="40 % - Markeringsfarve1 3 2 2 2 2 5" xfId="36105" xr:uid="{00000000-0005-0000-0000-00007B4F0000}"/>
    <cellStyle name="40 % - Markeringsfarve1 3 2 2 2 3" xfId="6237" xr:uid="{00000000-0005-0000-0000-00007C4F0000}"/>
    <cellStyle name="40 % - Markeringsfarve1 3 2 2 2 3 2" xfId="14154" xr:uid="{00000000-0005-0000-0000-00007D4F0000}"/>
    <cellStyle name="40 % - Markeringsfarve1 3 2 2 2 3 2 2" xfId="30468" xr:uid="{00000000-0005-0000-0000-00007E4F0000}"/>
    <cellStyle name="40 % - Markeringsfarve1 3 2 2 2 3 2 3" xfId="45432" xr:uid="{00000000-0005-0000-0000-00007F4F0000}"/>
    <cellStyle name="40 % - Markeringsfarve1 3 2 2 2 3 3" xfId="23446" xr:uid="{00000000-0005-0000-0000-0000804F0000}"/>
    <cellStyle name="40 % - Markeringsfarve1 3 2 2 2 3 4" xfId="38433" xr:uid="{00000000-0005-0000-0000-0000814F0000}"/>
    <cellStyle name="40 % - Markeringsfarve1 3 2 2 2 4" xfId="11819" xr:uid="{00000000-0005-0000-0000-0000824F0000}"/>
    <cellStyle name="40 % - Markeringsfarve1 3 2 2 2 4 2" xfId="28138" xr:uid="{00000000-0005-0000-0000-0000834F0000}"/>
    <cellStyle name="40 % - Markeringsfarve1 3 2 2 2 4 3" xfId="43103" xr:uid="{00000000-0005-0000-0000-0000844F0000}"/>
    <cellStyle name="40 % - Markeringsfarve1 3 2 2 2 5" xfId="21116" xr:uid="{00000000-0005-0000-0000-0000854F0000}"/>
    <cellStyle name="40 % - Markeringsfarve1 3 2 2 2 6" xfId="36104" xr:uid="{00000000-0005-0000-0000-0000864F0000}"/>
    <cellStyle name="40 % - Markeringsfarve1 3 2 2 3" xfId="3264" xr:uid="{00000000-0005-0000-0000-0000874F0000}"/>
    <cellStyle name="40 % - Markeringsfarve1 3 2 2 3 2" xfId="6892" xr:uid="{00000000-0005-0000-0000-0000884F0000}"/>
    <cellStyle name="40 % - Markeringsfarve1 3 2 2 3 2 2" xfId="14803" xr:uid="{00000000-0005-0000-0000-0000894F0000}"/>
    <cellStyle name="40 % - Markeringsfarve1 3 2 2 3 2 2 2" xfId="31117" xr:uid="{00000000-0005-0000-0000-00008A4F0000}"/>
    <cellStyle name="40 % - Markeringsfarve1 3 2 2 3 2 2 3" xfId="46081" xr:uid="{00000000-0005-0000-0000-00008B4F0000}"/>
    <cellStyle name="40 % - Markeringsfarve1 3 2 2 3 2 3" xfId="24095" xr:uid="{00000000-0005-0000-0000-00008C4F0000}"/>
    <cellStyle name="40 % - Markeringsfarve1 3 2 2 3 2 4" xfId="39082" xr:uid="{00000000-0005-0000-0000-00008D4F0000}"/>
    <cellStyle name="40 % - Markeringsfarve1 3 2 2 3 3" xfId="11821" xr:uid="{00000000-0005-0000-0000-00008E4F0000}"/>
    <cellStyle name="40 % - Markeringsfarve1 3 2 2 3 3 2" xfId="28140" xr:uid="{00000000-0005-0000-0000-00008F4F0000}"/>
    <cellStyle name="40 % - Markeringsfarve1 3 2 2 3 3 3" xfId="43105" xr:uid="{00000000-0005-0000-0000-0000904F0000}"/>
    <cellStyle name="40 % - Markeringsfarve1 3 2 2 3 4" xfId="21118" xr:uid="{00000000-0005-0000-0000-0000914F0000}"/>
    <cellStyle name="40 % - Markeringsfarve1 3 2 2 3 5" xfId="36106" xr:uid="{00000000-0005-0000-0000-0000924F0000}"/>
    <cellStyle name="40 % - Markeringsfarve1 3 2 2 4" xfId="3265" xr:uid="{00000000-0005-0000-0000-0000934F0000}"/>
    <cellStyle name="40 % - Markeringsfarve1 3 2 2 4 2" xfId="8498" xr:uid="{00000000-0005-0000-0000-0000944F0000}"/>
    <cellStyle name="40 % - Markeringsfarve1 3 2 2 4 2 2" xfId="16387" xr:uid="{00000000-0005-0000-0000-0000954F0000}"/>
    <cellStyle name="40 % - Markeringsfarve1 3 2 2 4 2 2 2" xfId="32701" xr:uid="{00000000-0005-0000-0000-0000964F0000}"/>
    <cellStyle name="40 % - Markeringsfarve1 3 2 2 4 2 2 3" xfId="47665" xr:uid="{00000000-0005-0000-0000-0000974F0000}"/>
    <cellStyle name="40 % - Markeringsfarve1 3 2 2 4 2 3" xfId="25679" xr:uid="{00000000-0005-0000-0000-0000984F0000}"/>
    <cellStyle name="40 % - Markeringsfarve1 3 2 2 4 2 4" xfId="40666" xr:uid="{00000000-0005-0000-0000-0000994F0000}"/>
    <cellStyle name="40 % - Markeringsfarve1 3 2 2 4 3" xfId="11822" xr:uid="{00000000-0005-0000-0000-00009A4F0000}"/>
    <cellStyle name="40 % - Markeringsfarve1 3 2 2 4 3 2" xfId="28141" xr:uid="{00000000-0005-0000-0000-00009B4F0000}"/>
    <cellStyle name="40 % - Markeringsfarve1 3 2 2 4 3 3" xfId="43106" xr:uid="{00000000-0005-0000-0000-00009C4F0000}"/>
    <cellStyle name="40 % - Markeringsfarve1 3 2 2 4 4" xfId="21119" xr:uid="{00000000-0005-0000-0000-00009D4F0000}"/>
    <cellStyle name="40 % - Markeringsfarve1 3 2 2 4 5" xfId="36107" xr:uid="{00000000-0005-0000-0000-00009E4F0000}"/>
    <cellStyle name="40 % - Markeringsfarve1 3 2 2 5" xfId="5770" xr:uid="{00000000-0005-0000-0000-00009F4F0000}"/>
    <cellStyle name="40 % - Markeringsfarve1 3 2 2 5 2" xfId="13688" xr:uid="{00000000-0005-0000-0000-0000A04F0000}"/>
    <cellStyle name="40 % - Markeringsfarve1 3 2 2 5 2 2" xfId="30002" xr:uid="{00000000-0005-0000-0000-0000A14F0000}"/>
    <cellStyle name="40 % - Markeringsfarve1 3 2 2 5 2 3" xfId="44966" xr:uid="{00000000-0005-0000-0000-0000A24F0000}"/>
    <cellStyle name="40 % - Markeringsfarve1 3 2 2 5 3" xfId="22980" xr:uid="{00000000-0005-0000-0000-0000A34F0000}"/>
    <cellStyle name="40 % - Markeringsfarve1 3 2 2 5 4" xfId="37967" xr:uid="{00000000-0005-0000-0000-0000A44F0000}"/>
    <cellStyle name="40 % - Markeringsfarve1 3 2 2 6" xfId="11818" xr:uid="{00000000-0005-0000-0000-0000A54F0000}"/>
    <cellStyle name="40 % - Markeringsfarve1 3 2 2 6 2" xfId="28137" xr:uid="{00000000-0005-0000-0000-0000A64F0000}"/>
    <cellStyle name="40 % - Markeringsfarve1 3 2 2 6 3" xfId="43102" xr:uid="{00000000-0005-0000-0000-0000A74F0000}"/>
    <cellStyle name="40 % - Markeringsfarve1 3 2 2 7" xfId="21115" xr:uid="{00000000-0005-0000-0000-0000A84F0000}"/>
    <cellStyle name="40 % - Markeringsfarve1 3 2 2 8" xfId="36103" xr:uid="{00000000-0005-0000-0000-0000A94F0000}"/>
    <cellStyle name="40 % - Markeringsfarve1 3 2 2 9" xfId="57141" xr:uid="{00000000-0005-0000-0000-0000AA4F0000}"/>
    <cellStyle name="40 % - Markeringsfarve1 3 2 3" xfId="3266" xr:uid="{00000000-0005-0000-0000-0000AB4F0000}"/>
    <cellStyle name="40 % - Markeringsfarve1 3 2 3 2" xfId="3267" xr:uid="{00000000-0005-0000-0000-0000AC4F0000}"/>
    <cellStyle name="40 % - Markeringsfarve1 3 2 3 2 2" xfId="3268" xr:uid="{00000000-0005-0000-0000-0000AD4F0000}"/>
    <cellStyle name="40 % - Markeringsfarve1 3 2 3 2 2 2" xfId="7785" xr:uid="{00000000-0005-0000-0000-0000AE4F0000}"/>
    <cellStyle name="40 % - Markeringsfarve1 3 2 3 2 2 2 2" xfId="15686" xr:uid="{00000000-0005-0000-0000-0000AF4F0000}"/>
    <cellStyle name="40 % - Markeringsfarve1 3 2 3 2 2 2 2 2" xfId="32000" xr:uid="{00000000-0005-0000-0000-0000B04F0000}"/>
    <cellStyle name="40 % - Markeringsfarve1 3 2 3 2 2 2 2 3" xfId="46964" xr:uid="{00000000-0005-0000-0000-0000B14F0000}"/>
    <cellStyle name="40 % - Markeringsfarve1 3 2 3 2 2 2 3" xfId="24978" xr:uid="{00000000-0005-0000-0000-0000B24F0000}"/>
    <cellStyle name="40 % - Markeringsfarve1 3 2 3 2 2 2 4" xfId="39965" xr:uid="{00000000-0005-0000-0000-0000B34F0000}"/>
    <cellStyle name="40 % - Markeringsfarve1 3 2 3 2 2 3" xfId="11825" xr:uid="{00000000-0005-0000-0000-0000B44F0000}"/>
    <cellStyle name="40 % - Markeringsfarve1 3 2 3 2 2 3 2" xfId="28144" xr:uid="{00000000-0005-0000-0000-0000B54F0000}"/>
    <cellStyle name="40 % - Markeringsfarve1 3 2 3 2 2 3 3" xfId="43109" xr:uid="{00000000-0005-0000-0000-0000B64F0000}"/>
    <cellStyle name="40 % - Markeringsfarve1 3 2 3 2 2 4" xfId="21122" xr:uid="{00000000-0005-0000-0000-0000B74F0000}"/>
    <cellStyle name="40 % - Markeringsfarve1 3 2 3 2 2 5" xfId="36110" xr:uid="{00000000-0005-0000-0000-0000B84F0000}"/>
    <cellStyle name="40 % - Markeringsfarve1 3 2 3 2 3" xfId="6340" xr:uid="{00000000-0005-0000-0000-0000B94F0000}"/>
    <cellStyle name="40 % - Markeringsfarve1 3 2 3 2 3 2" xfId="14257" xr:uid="{00000000-0005-0000-0000-0000BA4F0000}"/>
    <cellStyle name="40 % - Markeringsfarve1 3 2 3 2 3 2 2" xfId="30571" xr:uid="{00000000-0005-0000-0000-0000BB4F0000}"/>
    <cellStyle name="40 % - Markeringsfarve1 3 2 3 2 3 2 3" xfId="45535" xr:uid="{00000000-0005-0000-0000-0000BC4F0000}"/>
    <cellStyle name="40 % - Markeringsfarve1 3 2 3 2 3 3" xfId="23549" xr:uid="{00000000-0005-0000-0000-0000BD4F0000}"/>
    <cellStyle name="40 % - Markeringsfarve1 3 2 3 2 3 4" xfId="38536" xr:uid="{00000000-0005-0000-0000-0000BE4F0000}"/>
    <cellStyle name="40 % - Markeringsfarve1 3 2 3 2 4" xfId="11824" xr:uid="{00000000-0005-0000-0000-0000BF4F0000}"/>
    <cellStyle name="40 % - Markeringsfarve1 3 2 3 2 4 2" xfId="28143" xr:uid="{00000000-0005-0000-0000-0000C04F0000}"/>
    <cellStyle name="40 % - Markeringsfarve1 3 2 3 2 4 3" xfId="43108" xr:uid="{00000000-0005-0000-0000-0000C14F0000}"/>
    <cellStyle name="40 % - Markeringsfarve1 3 2 3 2 5" xfId="21121" xr:uid="{00000000-0005-0000-0000-0000C24F0000}"/>
    <cellStyle name="40 % - Markeringsfarve1 3 2 3 2 6" xfId="36109" xr:uid="{00000000-0005-0000-0000-0000C34F0000}"/>
    <cellStyle name="40 % - Markeringsfarve1 3 2 3 3" xfId="3269" xr:uid="{00000000-0005-0000-0000-0000C44F0000}"/>
    <cellStyle name="40 % - Markeringsfarve1 3 2 3 3 2" xfId="7015" xr:uid="{00000000-0005-0000-0000-0000C54F0000}"/>
    <cellStyle name="40 % - Markeringsfarve1 3 2 3 3 2 2" xfId="14926" xr:uid="{00000000-0005-0000-0000-0000C64F0000}"/>
    <cellStyle name="40 % - Markeringsfarve1 3 2 3 3 2 2 2" xfId="31240" xr:uid="{00000000-0005-0000-0000-0000C74F0000}"/>
    <cellStyle name="40 % - Markeringsfarve1 3 2 3 3 2 2 3" xfId="46204" xr:uid="{00000000-0005-0000-0000-0000C84F0000}"/>
    <cellStyle name="40 % - Markeringsfarve1 3 2 3 3 2 3" xfId="24218" xr:uid="{00000000-0005-0000-0000-0000C94F0000}"/>
    <cellStyle name="40 % - Markeringsfarve1 3 2 3 3 2 4" xfId="39205" xr:uid="{00000000-0005-0000-0000-0000CA4F0000}"/>
    <cellStyle name="40 % - Markeringsfarve1 3 2 3 3 3" xfId="11826" xr:uid="{00000000-0005-0000-0000-0000CB4F0000}"/>
    <cellStyle name="40 % - Markeringsfarve1 3 2 3 3 3 2" xfId="28145" xr:uid="{00000000-0005-0000-0000-0000CC4F0000}"/>
    <cellStyle name="40 % - Markeringsfarve1 3 2 3 3 3 3" xfId="43110" xr:uid="{00000000-0005-0000-0000-0000CD4F0000}"/>
    <cellStyle name="40 % - Markeringsfarve1 3 2 3 3 4" xfId="21123" xr:uid="{00000000-0005-0000-0000-0000CE4F0000}"/>
    <cellStyle name="40 % - Markeringsfarve1 3 2 3 3 5" xfId="36111" xr:uid="{00000000-0005-0000-0000-0000CF4F0000}"/>
    <cellStyle name="40 % - Markeringsfarve1 3 2 3 4" xfId="3270" xr:uid="{00000000-0005-0000-0000-0000D04F0000}"/>
    <cellStyle name="40 % - Markeringsfarve1 3 2 3 4 2" xfId="8743" xr:uid="{00000000-0005-0000-0000-0000D14F0000}"/>
    <cellStyle name="40 % - Markeringsfarve1 3 2 3 4 2 2" xfId="16622" xr:uid="{00000000-0005-0000-0000-0000D24F0000}"/>
    <cellStyle name="40 % - Markeringsfarve1 3 2 3 4 2 2 2" xfId="32936" xr:uid="{00000000-0005-0000-0000-0000D34F0000}"/>
    <cellStyle name="40 % - Markeringsfarve1 3 2 3 4 2 2 3" xfId="47900" xr:uid="{00000000-0005-0000-0000-0000D44F0000}"/>
    <cellStyle name="40 % - Markeringsfarve1 3 2 3 4 2 3" xfId="25914" xr:uid="{00000000-0005-0000-0000-0000D54F0000}"/>
    <cellStyle name="40 % - Markeringsfarve1 3 2 3 4 2 4" xfId="40901" xr:uid="{00000000-0005-0000-0000-0000D64F0000}"/>
    <cellStyle name="40 % - Markeringsfarve1 3 2 3 4 3" xfId="11827" xr:uid="{00000000-0005-0000-0000-0000D74F0000}"/>
    <cellStyle name="40 % - Markeringsfarve1 3 2 3 4 3 2" xfId="28146" xr:uid="{00000000-0005-0000-0000-0000D84F0000}"/>
    <cellStyle name="40 % - Markeringsfarve1 3 2 3 4 3 3" xfId="43111" xr:uid="{00000000-0005-0000-0000-0000D94F0000}"/>
    <cellStyle name="40 % - Markeringsfarve1 3 2 3 4 4" xfId="21124" xr:uid="{00000000-0005-0000-0000-0000DA4F0000}"/>
    <cellStyle name="40 % - Markeringsfarve1 3 2 3 4 5" xfId="36112" xr:uid="{00000000-0005-0000-0000-0000DB4F0000}"/>
    <cellStyle name="40 % - Markeringsfarve1 3 2 3 5" xfId="5771" xr:uid="{00000000-0005-0000-0000-0000DC4F0000}"/>
    <cellStyle name="40 % - Markeringsfarve1 3 2 3 5 2" xfId="13689" xr:uid="{00000000-0005-0000-0000-0000DD4F0000}"/>
    <cellStyle name="40 % - Markeringsfarve1 3 2 3 5 2 2" xfId="30003" xr:uid="{00000000-0005-0000-0000-0000DE4F0000}"/>
    <cellStyle name="40 % - Markeringsfarve1 3 2 3 5 2 3" xfId="44967" xr:uid="{00000000-0005-0000-0000-0000DF4F0000}"/>
    <cellStyle name="40 % - Markeringsfarve1 3 2 3 5 3" xfId="22981" xr:uid="{00000000-0005-0000-0000-0000E04F0000}"/>
    <cellStyle name="40 % - Markeringsfarve1 3 2 3 5 4" xfId="37968" xr:uid="{00000000-0005-0000-0000-0000E14F0000}"/>
    <cellStyle name="40 % - Markeringsfarve1 3 2 3 6" xfId="11823" xr:uid="{00000000-0005-0000-0000-0000E24F0000}"/>
    <cellStyle name="40 % - Markeringsfarve1 3 2 3 6 2" xfId="28142" xr:uid="{00000000-0005-0000-0000-0000E34F0000}"/>
    <cellStyle name="40 % - Markeringsfarve1 3 2 3 6 3" xfId="43107" xr:uid="{00000000-0005-0000-0000-0000E44F0000}"/>
    <cellStyle name="40 % - Markeringsfarve1 3 2 3 7" xfId="21120" xr:uid="{00000000-0005-0000-0000-0000E54F0000}"/>
    <cellStyle name="40 % - Markeringsfarve1 3 2 3 8" xfId="36108" xr:uid="{00000000-0005-0000-0000-0000E64F0000}"/>
    <cellStyle name="40 % - Markeringsfarve1 3 2 4" xfId="3271" xr:uid="{00000000-0005-0000-0000-0000E74F0000}"/>
    <cellStyle name="40 % - Markeringsfarve1 3 2 4 2" xfId="3272" xr:uid="{00000000-0005-0000-0000-0000E84F0000}"/>
    <cellStyle name="40 % - Markeringsfarve1 3 2 4 2 2" xfId="3273" xr:uid="{00000000-0005-0000-0000-0000E94F0000}"/>
    <cellStyle name="40 % - Markeringsfarve1 3 2 4 2 2 2" xfId="7900" xr:uid="{00000000-0005-0000-0000-0000EA4F0000}"/>
    <cellStyle name="40 % - Markeringsfarve1 3 2 4 2 2 2 2" xfId="15801" xr:uid="{00000000-0005-0000-0000-0000EB4F0000}"/>
    <cellStyle name="40 % - Markeringsfarve1 3 2 4 2 2 2 2 2" xfId="32115" xr:uid="{00000000-0005-0000-0000-0000EC4F0000}"/>
    <cellStyle name="40 % - Markeringsfarve1 3 2 4 2 2 2 2 3" xfId="47079" xr:uid="{00000000-0005-0000-0000-0000ED4F0000}"/>
    <cellStyle name="40 % - Markeringsfarve1 3 2 4 2 2 2 3" xfId="25093" xr:uid="{00000000-0005-0000-0000-0000EE4F0000}"/>
    <cellStyle name="40 % - Markeringsfarve1 3 2 4 2 2 2 4" xfId="40080" xr:uid="{00000000-0005-0000-0000-0000EF4F0000}"/>
    <cellStyle name="40 % - Markeringsfarve1 3 2 4 2 2 3" xfId="11830" xr:uid="{00000000-0005-0000-0000-0000F04F0000}"/>
    <cellStyle name="40 % - Markeringsfarve1 3 2 4 2 2 3 2" xfId="28149" xr:uid="{00000000-0005-0000-0000-0000F14F0000}"/>
    <cellStyle name="40 % - Markeringsfarve1 3 2 4 2 2 3 3" xfId="43114" xr:uid="{00000000-0005-0000-0000-0000F24F0000}"/>
    <cellStyle name="40 % - Markeringsfarve1 3 2 4 2 2 4" xfId="21127" xr:uid="{00000000-0005-0000-0000-0000F34F0000}"/>
    <cellStyle name="40 % - Markeringsfarve1 3 2 4 2 2 5" xfId="36115" xr:uid="{00000000-0005-0000-0000-0000F44F0000}"/>
    <cellStyle name="40 % - Markeringsfarve1 3 2 4 2 3" xfId="6439" xr:uid="{00000000-0005-0000-0000-0000F54F0000}"/>
    <cellStyle name="40 % - Markeringsfarve1 3 2 4 2 3 2" xfId="14353" xr:uid="{00000000-0005-0000-0000-0000F64F0000}"/>
    <cellStyle name="40 % - Markeringsfarve1 3 2 4 2 3 2 2" xfId="30667" xr:uid="{00000000-0005-0000-0000-0000F74F0000}"/>
    <cellStyle name="40 % - Markeringsfarve1 3 2 4 2 3 2 3" xfId="45631" xr:uid="{00000000-0005-0000-0000-0000F84F0000}"/>
    <cellStyle name="40 % - Markeringsfarve1 3 2 4 2 3 3" xfId="23645" xr:uid="{00000000-0005-0000-0000-0000F94F0000}"/>
    <cellStyle name="40 % - Markeringsfarve1 3 2 4 2 3 4" xfId="38632" xr:uid="{00000000-0005-0000-0000-0000FA4F0000}"/>
    <cellStyle name="40 % - Markeringsfarve1 3 2 4 2 4" xfId="11829" xr:uid="{00000000-0005-0000-0000-0000FB4F0000}"/>
    <cellStyle name="40 % - Markeringsfarve1 3 2 4 2 4 2" xfId="28148" xr:uid="{00000000-0005-0000-0000-0000FC4F0000}"/>
    <cellStyle name="40 % - Markeringsfarve1 3 2 4 2 4 3" xfId="43113" xr:uid="{00000000-0005-0000-0000-0000FD4F0000}"/>
    <cellStyle name="40 % - Markeringsfarve1 3 2 4 2 5" xfId="21126" xr:uid="{00000000-0005-0000-0000-0000FE4F0000}"/>
    <cellStyle name="40 % - Markeringsfarve1 3 2 4 2 6" xfId="36114" xr:uid="{00000000-0005-0000-0000-0000FF4F0000}"/>
    <cellStyle name="40 % - Markeringsfarve1 3 2 4 3" xfId="3274" xr:uid="{00000000-0005-0000-0000-000000500000}"/>
    <cellStyle name="40 % - Markeringsfarve1 3 2 4 3 2" xfId="7176" xr:uid="{00000000-0005-0000-0000-000001500000}"/>
    <cellStyle name="40 % - Markeringsfarve1 3 2 4 3 2 2" xfId="15086" xr:uid="{00000000-0005-0000-0000-000002500000}"/>
    <cellStyle name="40 % - Markeringsfarve1 3 2 4 3 2 2 2" xfId="31400" xr:uid="{00000000-0005-0000-0000-000003500000}"/>
    <cellStyle name="40 % - Markeringsfarve1 3 2 4 3 2 2 3" xfId="46364" xr:uid="{00000000-0005-0000-0000-000004500000}"/>
    <cellStyle name="40 % - Markeringsfarve1 3 2 4 3 2 3" xfId="24378" xr:uid="{00000000-0005-0000-0000-000005500000}"/>
    <cellStyle name="40 % - Markeringsfarve1 3 2 4 3 2 4" xfId="39365" xr:uid="{00000000-0005-0000-0000-000006500000}"/>
    <cellStyle name="40 % - Markeringsfarve1 3 2 4 3 3" xfId="11831" xr:uid="{00000000-0005-0000-0000-000007500000}"/>
    <cellStyle name="40 % - Markeringsfarve1 3 2 4 3 3 2" xfId="28150" xr:uid="{00000000-0005-0000-0000-000008500000}"/>
    <cellStyle name="40 % - Markeringsfarve1 3 2 4 3 3 3" xfId="43115" xr:uid="{00000000-0005-0000-0000-000009500000}"/>
    <cellStyle name="40 % - Markeringsfarve1 3 2 4 3 4" xfId="21128" xr:uid="{00000000-0005-0000-0000-00000A500000}"/>
    <cellStyle name="40 % - Markeringsfarve1 3 2 4 3 5" xfId="36116" xr:uid="{00000000-0005-0000-0000-00000B500000}"/>
    <cellStyle name="40 % - Markeringsfarve1 3 2 4 4" xfId="3275" xr:uid="{00000000-0005-0000-0000-00000C500000}"/>
    <cellStyle name="40 % - Markeringsfarve1 3 2 4 4 2" xfId="8467" xr:uid="{00000000-0005-0000-0000-00000D500000}"/>
    <cellStyle name="40 % - Markeringsfarve1 3 2 4 4 2 2" xfId="16358" xr:uid="{00000000-0005-0000-0000-00000E500000}"/>
    <cellStyle name="40 % - Markeringsfarve1 3 2 4 4 2 2 2" xfId="32672" xr:uid="{00000000-0005-0000-0000-00000F500000}"/>
    <cellStyle name="40 % - Markeringsfarve1 3 2 4 4 2 2 3" xfId="47636" xr:uid="{00000000-0005-0000-0000-000010500000}"/>
    <cellStyle name="40 % - Markeringsfarve1 3 2 4 4 2 3" xfId="25650" xr:uid="{00000000-0005-0000-0000-000011500000}"/>
    <cellStyle name="40 % - Markeringsfarve1 3 2 4 4 2 4" xfId="40637" xr:uid="{00000000-0005-0000-0000-000012500000}"/>
    <cellStyle name="40 % - Markeringsfarve1 3 2 4 4 3" xfId="11832" xr:uid="{00000000-0005-0000-0000-000013500000}"/>
    <cellStyle name="40 % - Markeringsfarve1 3 2 4 4 3 2" xfId="28151" xr:uid="{00000000-0005-0000-0000-000014500000}"/>
    <cellStyle name="40 % - Markeringsfarve1 3 2 4 4 3 3" xfId="43116" xr:uid="{00000000-0005-0000-0000-000015500000}"/>
    <cellStyle name="40 % - Markeringsfarve1 3 2 4 4 4" xfId="21129" xr:uid="{00000000-0005-0000-0000-000016500000}"/>
    <cellStyle name="40 % - Markeringsfarve1 3 2 4 4 5" xfId="36117" xr:uid="{00000000-0005-0000-0000-000017500000}"/>
    <cellStyle name="40 % - Markeringsfarve1 3 2 4 5" xfId="5772" xr:uid="{00000000-0005-0000-0000-000018500000}"/>
    <cellStyle name="40 % - Markeringsfarve1 3 2 4 5 2" xfId="13690" xr:uid="{00000000-0005-0000-0000-000019500000}"/>
    <cellStyle name="40 % - Markeringsfarve1 3 2 4 5 2 2" xfId="30004" xr:uid="{00000000-0005-0000-0000-00001A500000}"/>
    <cellStyle name="40 % - Markeringsfarve1 3 2 4 5 2 3" xfId="44968" xr:uid="{00000000-0005-0000-0000-00001B500000}"/>
    <cellStyle name="40 % - Markeringsfarve1 3 2 4 5 3" xfId="22982" xr:uid="{00000000-0005-0000-0000-00001C500000}"/>
    <cellStyle name="40 % - Markeringsfarve1 3 2 4 5 4" xfId="37969" xr:uid="{00000000-0005-0000-0000-00001D500000}"/>
    <cellStyle name="40 % - Markeringsfarve1 3 2 4 6" xfId="11828" xr:uid="{00000000-0005-0000-0000-00001E500000}"/>
    <cellStyle name="40 % - Markeringsfarve1 3 2 4 6 2" xfId="28147" xr:uid="{00000000-0005-0000-0000-00001F500000}"/>
    <cellStyle name="40 % - Markeringsfarve1 3 2 4 6 3" xfId="43112" xr:uid="{00000000-0005-0000-0000-000020500000}"/>
    <cellStyle name="40 % - Markeringsfarve1 3 2 4 7" xfId="21125" xr:uid="{00000000-0005-0000-0000-000021500000}"/>
    <cellStyle name="40 % - Markeringsfarve1 3 2 4 8" xfId="36113" xr:uid="{00000000-0005-0000-0000-000022500000}"/>
    <cellStyle name="40 % - Markeringsfarve1 3 2 5" xfId="3276" xr:uid="{00000000-0005-0000-0000-000023500000}"/>
    <cellStyle name="40 % - Markeringsfarve1 3 2 5 2" xfId="3277" xr:uid="{00000000-0005-0000-0000-000024500000}"/>
    <cellStyle name="40 % - Markeringsfarve1 3 2 5 2 2" xfId="3278" xr:uid="{00000000-0005-0000-0000-000025500000}"/>
    <cellStyle name="40 % - Markeringsfarve1 3 2 5 2 2 2" xfId="8017" xr:uid="{00000000-0005-0000-0000-000026500000}"/>
    <cellStyle name="40 % - Markeringsfarve1 3 2 5 2 2 2 2" xfId="15918" xr:uid="{00000000-0005-0000-0000-000027500000}"/>
    <cellStyle name="40 % - Markeringsfarve1 3 2 5 2 2 2 2 2" xfId="32232" xr:uid="{00000000-0005-0000-0000-000028500000}"/>
    <cellStyle name="40 % - Markeringsfarve1 3 2 5 2 2 2 2 3" xfId="47196" xr:uid="{00000000-0005-0000-0000-000029500000}"/>
    <cellStyle name="40 % - Markeringsfarve1 3 2 5 2 2 2 3" xfId="25210" xr:uid="{00000000-0005-0000-0000-00002A500000}"/>
    <cellStyle name="40 % - Markeringsfarve1 3 2 5 2 2 2 4" xfId="40197" xr:uid="{00000000-0005-0000-0000-00002B500000}"/>
    <cellStyle name="40 % - Markeringsfarve1 3 2 5 2 2 3" xfId="11835" xr:uid="{00000000-0005-0000-0000-00002C500000}"/>
    <cellStyle name="40 % - Markeringsfarve1 3 2 5 2 2 3 2" xfId="28154" xr:uid="{00000000-0005-0000-0000-00002D500000}"/>
    <cellStyle name="40 % - Markeringsfarve1 3 2 5 2 2 3 3" xfId="43119" xr:uid="{00000000-0005-0000-0000-00002E500000}"/>
    <cellStyle name="40 % - Markeringsfarve1 3 2 5 2 2 4" xfId="21132" xr:uid="{00000000-0005-0000-0000-00002F500000}"/>
    <cellStyle name="40 % - Markeringsfarve1 3 2 5 2 2 5" xfId="36120" xr:uid="{00000000-0005-0000-0000-000030500000}"/>
    <cellStyle name="40 % - Markeringsfarve1 3 2 5 2 3" xfId="6538" xr:uid="{00000000-0005-0000-0000-000031500000}"/>
    <cellStyle name="40 % - Markeringsfarve1 3 2 5 2 3 2" xfId="14452" xr:uid="{00000000-0005-0000-0000-000032500000}"/>
    <cellStyle name="40 % - Markeringsfarve1 3 2 5 2 3 2 2" xfId="30766" xr:uid="{00000000-0005-0000-0000-000033500000}"/>
    <cellStyle name="40 % - Markeringsfarve1 3 2 5 2 3 2 3" xfId="45730" xr:uid="{00000000-0005-0000-0000-000034500000}"/>
    <cellStyle name="40 % - Markeringsfarve1 3 2 5 2 3 3" xfId="23744" xr:uid="{00000000-0005-0000-0000-000035500000}"/>
    <cellStyle name="40 % - Markeringsfarve1 3 2 5 2 3 4" xfId="38731" xr:uid="{00000000-0005-0000-0000-000036500000}"/>
    <cellStyle name="40 % - Markeringsfarve1 3 2 5 2 4" xfId="11834" xr:uid="{00000000-0005-0000-0000-000037500000}"/>
    <cellStyle name="40 % - Markeringsfarve1 3 2 5 2 4 2" xfId="28153" xr:uid="{00000000-0005-0000-0000-000038500000}"/>
    <cellStyle name="40 % - Markeringsfarve1 3 2 5 2 4 3" xfId="43118" xr:uid="{00000000-0005-0000-0000-000039500000}"/>
    <cellStyle name="40 % - Markeringsfarve1 3 2 5 2 5" xfId="21131" xr:uid="{00000000-0005-0000-0000-00003A500000}"/>
    <cellStyle name="40 % - Markeringsfarve1 3 2 5 2 6" xfId="36119" xr:uid="{00000000-0005-0000-0000-00003B500000}"/>
    <cellStyle name="40 % - Markeringsfarve1 3 2 5 3" xfId="3279" xr:uid="{00000000-0005-0000-0000-00003C500000}"/>
    <cellStyle name="40 % - Markeringsfarve1 3 2 5 3 2" xfId="7293" xr:uid="{00000000-0005-0000-0000-00003D500000}"/>
    <cellStyle name="40 % - Markeringsfarve1 3 2 5 3 2 2" xfId="15203" xr:uid="{00000000-0005-0000-0000-00003E500000}"/>
    <cellStyle name="40 % - Markeringsfarve1 3 2 5 3 2 2 2" xfId="31517" xr:uid="{00000000-0005-0000-0000-00003F500000}"/>
    <cellStyle name="40 % - Markeringsfarve1 3 2 5 3 2 2 3" xfId="46481" xr:uid="{00000000-0005-0000-0000-000040500000}"/>
    <cellStyle name="40 % - Markeringsfarve1 3 2 5 3 2 3" xfId="24495" xr:uid="{00000000-0005-0000-0000-000041500000}"/>
    <cellStyle name="40 % - Markeringsfarve1 3 2 5 3 2 4" xfId="39482" xr:uid="{00000000-0005-0000-0000-000042500000}"/>
    <cellStyle name="40 % - Markeringsfarve1 3 2 5 3 3" xfId="11836" xr:uid="{00000000-0005-0000-0000-000043500000}"/>
    <cellStyle name="40 % - Markeringsfarve1 3 2 5 3 3 2" xfId="28155" xr:uid="{00000000-0005-0000-0000-000044500000}"/>
    <cellStyle name="40 % - Markeringsfarve1 3 2 5 3 3 3" xfId="43120" xr:uid="{00000000-0005-0000-0000-000045500000}"/>
    <cellStyle name="40 % - Markeringsfarve1 3 2 5 3 4" xfId="21133" xr:uid="{00000000-0005-0000-0000-000046500000}"/>
    <cellStyle name="40 % - Markeringsfarve1 3 2 5 3 5" xfId="36121" xr:uid="{00000000-0005-0000-0000-000047500000}"/>
    <cellStyle name="40 % - Markeringsfarve1 3 2 5 4" xfId="3280" xr:uid="{00000000-0005-0000-0000-000048500000}"/>
    <cellStyle name="40 % - Markeringsfarve1 3 2 5 4 2" xfId="8701" xr:uid="{00000000-0005-0000-0000-000049500000}"/>
    <cellStyle name="40 % - Markeringsfarve1 3 2 5 4 2 2" xfId="16582" xr:uid="{00000000-0005-0000-0000-00004A500000}"/>
    <cellStyle name="40 % - Markeringsfarve1 3 2 5 4 2 2 2" xfId="32896" xr:uid="{00000000-0005-0000-0000-00004B500000}"/>
    <cellStyle name="40 % - Markeringsfarve1 3 2 5 4 2 2 3" xfId="47860" xr:uid="{00000000-0005-0000-0000-00004C500000}"/>
    <cellStyle name="40 % - Markeringsfarve1 3 2 5 4 2 3" xfId="25874" xr:uid="{00000000-0005-0000-0000-00004D500000}"/>
    <cellStyle name="40 % - Markeringsfarve1 3 2 5 4 2 4" xfId="40861" xr:uid="{00000000-0005-0000-0000-00004E500000}"/>
    <cellStyle name="40 % - Markeringsfarve1 3 2 5 4 3" xfId="11837" xr:uid="{00000000-0005-0000-0000-00004F500000}"/>
    <cellStyle name="40 % - Markeringsfarve1 3 2 5 4 3 2" xfId="28156" xr:uid="{00000000-0005-0000-0000-000050500000}"/>
    <cellStyle name="40 % - Markeringsfarve1 3 2 5 4 3 3" xfId="43121" xr:uid="{00000000-0005-0000-0000-000051500000}"/>
    <cellStyle name="40 % - Markeringsfarve1 3 2 5 4 4" xfId="21134" xr:uid="{00000000-0005-0000-0000-000052500000}"/>
    <cellStyle name="40 % - Markeringsfarve1 3 2 5 4 5" xfId="36122" xr:uid="{00000000-0005-0000-0000-000053500000}"/>
    <cellStyle name="40 % - Markeringsfarve1 3 2 5 5" xfId="5773" xr:uid="{00000000-0005-0000-0000-000054500000}"/>
    <cellStyle name="40 % - Markeringsfarve1 3 2 5 5 2" xfId="13691" xr:uid="{00000000-0005-0000-0000-000055500000}"/>
    <cellStyle name="40 % - Markeringsfarve1 3 2 5 5 2 2" xfId="30005" xr:uid="{00000000-0005-0000-0000-000056500000}"/>
    <cellStyle name="40 % - Markeringsfarve1 3 2 5 5 2 3" xfId="44969" xr:uid="{00000000-0005-0000-0000-000057500000}"/>
    <cellStyle name="40 % - Markeringsfarve1 3 2 5 5 3" xfId="22983" xr:uid="{00000000-0005-0000-0000-000058500000}"/>
    <cellStyle name="40 % - Markeringsfarve1 3 2 5 5 4" xfId="37970" xr:uid="{00000000-0005-0000-0000-000059500000}"/>
    <cellStyle name="40 % - Markeringsfarve1 3 2 5 6" xfId="11833" xr:uid="{00000000-0005-0000-0000-00005A500000}"/>
    <cellStyle name="40 % - Markeringsfarve1 3 2 5 6 2" xfId="28152" xr:uid="{00000000-0005-0000-0000-00005B500000}"/>
    <cellStyle name="40 % - Markeringsfarve1 3 2 5 6 3" xfId="43117" xr:uid="{00000000-0005-0000-0000-00005C500000}"/>
    <cellStyle name="40 % - Markeringsfarve1 3 2 5 7" xfId="21130" xr:uid="{00000000-0005-0000-0000-00005D500000}"/>
    <cellStyle name="40 % - Markeringsfarve1 3 2 5 8" xfId="36118" xr:uid="{00000000-0005-0000-0000-00005E500000}"/>
    <cellStyle name="40 % - Markeringsfarve1 3 2 6" xfId="3281" xr:uid="{00000000-0005-0000-0000-00005F500000}"/>
    <cellStyle name="40 % - Markeringsfarve1 3 2 6 2" xfId="3282" xr:uid="{00000000-0005-0000-0000-000060500000}"/>
    <cellStyle name="40 % - Markeringsfarve1 3 2 6 2 2" xfId="3283" xr:uid="{00000000-0005-0000-0000-000061500000}"/>
    <cellStyle name="40 % - Markeringsfarve1 3 2 6 2 2 2" xfId="8139" xr:uid="{00000000-0005-0000-0000-000062500000}"/>
    <cellStyle name="40 % - Markeringsfarve1 3 2 6 2 2 2 2" xfId="16040" xr:uid="{00000000-0005-0000-0000-000063500000}"/>
    <cellStyle name="40 % - Markeringsfarve1 3 2 6 2 2 2 2 2" xfId="32354" xr:uid="{00000000-0005-0000-0000-000064500000}"/>
    <cellStyle name="40 % - Markeringsfarve1 3 2 6 2 2 2 2 3" xfId="47318" xr:uid="{00000000-0005-0000-0000-000065500000}"/>
    <cellStyle name="40 % - Markeringsfarve1 3 2 6 2 2 2 3" xfId="25332" xr:uid="{00000000-0005-0000-0000-000066500000}"/>
    <cellStyle name="40 % - Markeringsfarve1 3 2 6 2 2 2 4" xfId="40319" xr:uid="{00000000-0005-0000-0000-000067500000}"/>
    <cellStyle name="40 % - Markeringsfarve1 3 2 6 2 2 3" xfId="11840" xr:uid="{00000000-0005-0000-0000-000068500000}"/>
    <cellStyle name="40 % - Markeringsfarve1 3 2 6 2 2 3 2" xfId="28159" xr:uid="{00000000-0005-0000-0000-000069500000}"/>
    <cellStyle name="40 % - Markeringsfarve1 3 2 6 2 2 3 3" xfId="43124" xr:uid="{00000000-0005-0000-0000-00006A500000}"/>
    <cellStyle name="40 % - Markeringsfarve1 3 2 6 2 2 4" xfId="21137" xr:uid="{00000000-0005-0000-0000-00006B500000}"/>
    <cellStyle name="40 % - Markeringsfarve1 3 2 6 2 2 5" xfId="36125" xr:uid="{00000000-0005-0000-0000-00006C500000}"/>
    <cellStyle name="40 % - Markeringsfarve1 3 2 6 2 3" xfId="6641" xr:uid="{00000000-0005-0000-0000-00006D500000}"/>
    <cellStyle name="40 % - Markeringsfarve1 3 2 6 2 3 2" xfId="14555" xr:uid="{00000000-0005-0000-0000-00006E500000}"/>
    <cellStyle name="40 % - Markeringsfarve1 3 2 6 2 3 2 2" xfId="30869" xr:uid="{00000000-0005-0000-0000-00006F500000}"/>
    <cellStyle name="40 % - Markeringsfarve1 3 2 6 2 3 2 3" xfId="45833" xr:uid="{00000000-0005-0000-0000-000070500000}"/>
    <cellStyle name="40 % - Markeringsfarve1 3 2 6 2 3 3" xfId="23847" xr:uid="{00000000-0005-0000-0000-000071500000}"/>
    <cellStyle name="40 % - Markeringsfarve1 3 2 6 2 3 4" xfId="38834" xr:uid="{00000000-0005-0000-0000-000072500000}"/>
    <cellStyle name="40 % - Markeringsfarve1 3 2 6 2 4" xfId="11839" xr:uid="{00000000-0005-0000-0000-000073500000}"/>
    <cellStyle name="40 % - Markeringsfarve1 3 2 6 2 4 2" xfId="28158" xr:uid="{00000000-0005-0000-0000-000074500000}"/>
    <cellStyle name="40 % - Markeringsfarve1 3 2 6 2 4 3" xfId="43123" xr:uid="{00000000-0005-0000-0000-000075500000}"/>
    <cellStyle name="40 % - Markeringsfarve1 3 2 6 2 5" xfId="21136" xr:uid="{00000000-0005-0000-0000-000076500000}"/>
    <cellStyle name="40 % - Markeringsfarve1 3 2 6 2 6" xfId="36124" xr:uid="{00000000-0005-0000-0000-000077500000}"/>
    <cellStyle name="40 % - Markeringsfarve1 3 2 6 3" xfId="3284" xr:uid="{00000000-0005-0000-0000-000078500000}"/>
    <cellStyle name="40 % - Markeringsfarve1 3 2 6 3 2" xfId="7416" xr:uid="{00000000-0005-0000-0000-000079500000}"/>
    <cellStyle name="40 % - Markeringsfarve1 3 2 6 3 2 2" xfId="15326" xr:uid="{00000000-0005-0000-0000-00007A500000}"/>
    <cellStyle name="40 % - Markeringsfarve1 3 2 6 3 2 2 2" xfId="31640" xr:uid="{00000000-0005-0000-0000-00007B500000}"/>
    <cellStyle name="40 % - Markeringsfarve1 3 2 6 3 2 2 3" xfId="46604" xr:uid="{00000000-0005-0000-0000-00007C500000}"/>
    <cellStyle name="40 % - Markeringsfarve1 3 2 6 3 2 3" xfId="24618" xr:uid="{00000000-0005-0000-0000-00007D500000}"/>
    <cellStyle name="40 % - Markeringsfarve1 3 2 6 3 2 4" xfId="39605" xr:uid="{00000000-0005-0000-0000-00007E500000}"/>
    <cellStyle name="40 % - Markeringsfarve1 3 2 6 3 3" xfId="11841" xr:uid="{00000000-0005-0000-0000-00007F500000}"/>
    <cellStyle name="40 % - Markeringsfarve1 3 2 6 3 3 2" xfId="28160" xr:uid="{00000000-0005-0000-0000-000080500000}"/>
    <cellStyle name="40 % - Markeringsfarve1 3 2 6 3 3 3" xfId="43125" xr:uid="{00000000-0005-0000-0000-000081500000}"/>
    <cellStyle name="40 % - Markeringsfarve1 3 2 6 3 4" xfId="21138" xr:uid="{00000000-0005-0000-0000-000082500000}"/>
    <cellStyle name="40 % - Markeringsfarve1 3 2 6 3 5" xfId="36126" xr:uid="{00000000-0005-0000-0000-000083500000}"/>
    <cellStyle name="40 % - Markeringsfarve1 3 2 6 4" xfId="3285" xr:uid="{00000000-0005-0000-0000-000084500000}"/>
    <cellStyle name="40 % - Markeringsfarve1 3 2 6 4 2" xfId="8426" xr:uid="{00000000-0005-0000-0000-000085500000}"/>
    <cellStyle name="40 % - Markeringsfarve1 3 2 6 4 2 2" xfId="16319" xr:uid="{00000000-0005-0000-0000-000086500000}"/>
    <cellStyle name="40 % - Markeringsfarve1 3 2 6 4 2 2 2" xfId="32633" xr:uid="{00000000-0005-0000-0000-000087500000}"/>
    <cellStyle name="40 % - Markeringsfarve1 3 2 6 4 2 2 3" xfId="47597" xr:uid="{00000000-0005-0000-0000-000088500000}"/>
    <cellStyle name="40 % - Markeringsfarve1 3 2 6 4 2 3" xfId="25611" xr:uid="{00000000-0005-0000-0000-000089500000}"/>
    <cellStyle name="40 % - Markeringsfarve1 3 2 6 4 2 4" xfId="40598" xr:uid="{00000000-0005-0000-0000-00008A500000}"/>
    <cellStyle name="40 % - Markeringsfarve1 3 2 6 4 3" xfId="11842" xr:uid="{00000000-0005-0000-0000-00008B500000}"/>
    <cellStyle name="40 % - Markeringsfarve1 3 2 6 4 3 2" xfId="28161" xr:uid="{00000000-0005-0000-0000-00008C500000}"/>
    <cellStyle name="40 % - Markeringsfarve1 3 2 6 4 3 3" xfId="43126" xr:uid="{00000000-0005-0000-0000-00008D500000}"/>
    <cellStyle name="40 % - Markeringsfarve1 3 2 6 4 4" xfId="21139" xr:uid="{00000000-0005-0000-0000-00008E500000}"/>
    <cellStyle name="40 % - Markeringsfarve1 3 2 6 4 5" xfId="36127" xr:uid="{00000000-0005-0000-0000-00008F500000}"/>
    <cellStyle name="40 % - Markeringsfarve1 3 2 6 5" xfId="5774" xr:uid="{00000000-0005-0000-0000-000090500000}"/>
    <cellStyle name="40 % - Markeringsfarve1 3 2 6 5 2" xfId="13692" xr:uid="{00000000-0005-0000-0000-000091500000}"/>
    <cellStyle name="40 % - Markeringsfarve1 3 2 6 5 2 2" xfId="30006" xr:uid="{00000000-0005-0000-0000-000092500000}"/>
    <cellStyle name="40 % - Markeringsfarve1 3 2 6 5 2 3" xfId="44970" xr:uid="{00000000-0005-0000-0000-000093500000}"/>
    <cellStyle name="40 % - Markeringsfarve1 3 2 6 5 3" xfId="22984" xr:uid="{00000000-0005-0000-0000-000094500000}"/>
    <cellStyle name="40 % - Markeringsfarve1 3 2 6 5 4" xfId="37971" xr:uid="{00000000-0005-0000-0000-000095500000}"/>
    <cellStyle name="40 % - Markeringsfarve1 3 2 6 6" xfId="11838" xr:uid="{00000000-0005-0000-0000-000096500000}"/>
    <cellStyle name="40 % - Markeringsfarve1 3 2 6 6 2" xfId="28157" xr:uid="{00000000-0005-0000-0000-000097500000}"/>
    <cellStyle name="40 % - Markeringsfarve1 3 2 6 6 3" xfId="43122" xr:uid="{00000000-0005-0000-0000-000098500000}"/>
    <cellStyle name="40 % - Markeringsfarve1 3 2 6 7" xfId="21135" xr:uid="{00000000-0005-0000-0000-000099500000}"/>
    <cellStyle name="40 % - Markeringsfarve1 3 2 6 8" xfId="36123" xr:uid="{00000000-0005-0000-0000-00009A500000}"/>
    <cellStyle name="40 % - Markeringsfarve1 3 2 7" xfId="3286" xr:uid="{00000000-0005-0000-0000-00009B500000}"/>
    <cellStyle name="40 % - Markeringsfarve1 3 2 7 2" xfId="3287" xr:uid="{00000000-0005-0000-0000-00009C500000}"/>
    <cellStyle name="40 % - Markeringsfarve1 3 2 7 2 2" xfId="7543" xr:uid="{00000000-0005-0000-0000-00009D500000}"/>
    <cellStyle name="40 % - Markeringsfarve1 3 2 7 2 2 2" xfId="15444" xr:uid="{00000000-0005-0000-0000-00009E500000}"/>
    <cellStyle name="40 % - Markeringsfarve1 3 2 7 2 2 2 2" xfId="31758" xr:uid="{00000000-0005-0000-0000-00009F500000}"/>
    <cellStyle name="40 % - Markeringsfarve1 3 2 7 2 2 2 3" xfId="46722" xr:uid="{00000000-0005-0000-0000-0000A0500000}"/>
    <cellStyle name="40 % - Markeringsfarve1 3 2 7 2 2 3" xfId="24736" xr:uid="{00000000-0005-0000-0000-0000A1500000}"/>
    <cellStyle name="40 % - Markeringsfarve1 3 2 7 2 2 4" xfId="39723" xr:uid="{00000000-0005-0000-0000-0000A2500000}"/>
    <cellStyle name="40 % - Markeringsfarve1 3 2 7 2 3" xfId="11844" xr:uid="{00000000-0005-0000-0000-0000A3500000}"/>
    <cellStyle name="40 % - Markeringsfarve1 3 2 7 2 3 2" xfId="28163" xr:uid="{00000000-0005-0000-0000-0000A4500000}"/>
    <cellStyle name="40 % - Markeringsfarve1 3 2 7 2 3 3" xfId="43128" xr:uid="{00000000-0005-0000-0000-0000A5500000}"/>
    <cellStyle name="40 % - Markeringsfarve1 3 2 7 2 4" xfId="21141" xr:uid="{00000000-0005-0000-0000-0000A6500000}"/>
    <cellStyle name="40 % - Markeringsfarve1 3 2 7 2 5" xfId="36129" xr:uid="{00000000-0005-0000-0000-0000A7500000}"/>
    <cellStyle name="40 % - Markeringsfarve1 3 2 7 3" xfId="6138" xr:uid="{00000000-0005-0000-0000-0000A8500000}"/>
    <cellStyle name="40 % - Markeringsfarve1 3 2 7 3 2" xfId="14055" xr:uid="{00000000-0005-0000-0000-0000A9500000}"/>
    <cellStyle name="40 % - Markeringsfarve1 3 2 7 3 2 2" xfId="30369" xr:uid="{00000000-0005-0000-0000-0000AA500000}"/>
    <cellStyle name="40 % - Markeringsfarve1 3 2 7 3 2 3" xfId="45333" xr:uid="{00000000-0005-0000-0000-0000AB500000}"/>
    <cellStyle name="40 % - Markeringsfarve1 3 2 7 3 3" xfId="23347" xr:uid="{00000000-0005-0000-0000-0000AC500000}"/>
    <cellStyle name="40 % - Markeringsfarve1 3 2 7 3 4" xfId="38334" xr:uid="{00000000-0005-0000-0000-0000AD500000}"/>
    <cellStyle name="40 % - Markeringsfarve1 3 2 7 4" xfId="11843" xr:uid="{00000000-0005-0000-0000-0000AE500000}"/>
    <cellStyle name="40 % - Markeringsfarve1 3 2 7 4 2" xfId="28162" xr:uid="{00000000-0005-0000-0000-0000AF500000}"/>
    <cellStyle name="40 % - Markeringsfarve1 3 2 7 4 3" xfId="43127" xr:uid="{00000000-0005-0000-0000-0000B0500000}"/>
    <cellStyle name="40 % - Markeringsfarve1 3 2 7 5" xfId="21140" xr:uid="{00000000-0005-0000-0000-0000B1500000}"/>
    <cellStyle name="40 % - Markeringsfarve1 3 2 7 6" xfId="36128" xr:uid="{00000000-0005-0000-0000-0000B2500000}"/>
    <cellStyle name="40 % - Markeringsfarve1 3 2 8" xfId="3288" xr:uid="{00000000-0005-0000-0000-0000B3500000}"/>
    <cellStyle name="40 % - Markeringsfarve1 3 2 8 2" xfId="6771" xr:uid="{00000000-0005-0000-0000-0000B4500000}"/>
    <cellStyle name="40 % - Markeringsfarve1 3 2 8 2 2" xfId="14682" xr:uid="{00000000-0005-0000-0000-0000B5500000}"/>
    <cellStyle name="40 % - Markeringsfarve1 3 2 8 2 2 2" xfId="30996" xr:uid="{00000000-0005-0000-0000-0000B6500000}"/>
    <cellStyle name="40 % - Markeringsfarve1 3 2 8 2 2 3" xfId="45960" xr:uid="{00000000-0005-0000-0000-0000B7500000}"/>
    <cellStyle name="40 % - Markeringsfarve1 3 2 8 2 3" xfId="23974" xr:uid="{00000000-0005-0000-0000-0000B8500000}"/>
    <cellStyle name="40 % - Markeringsfarve1 3 2 8 2 4" xfId="38961" xr:uid="{00000000-0005-0000-0000-0000B9500000}"/>
    <cellStyle name="40 % - Markeringsfarve1 3 2 8 3" xfId="11845" xr:uid="{00000000-0005-0000-0000-0000BA500000}"/>
    <cellStyle name="40 % - Markeringsfarve1 3 2 8 3 2" xfId="28164" xr:uid="{00000000-0005-0000-0000-0000BB500000}"/>
    <cellStyle name="40 % - Markeringsfarve1 3 2 8 3 3" xfId="43129" xr:uid="{00000000-0005-0000-0000-0000BC500000}"/>
    <cellStyle name="40 % - Markeringsfarve1 3 2 8 4" xfId="21142" xr:uid="{00000000-0005-0000-0000-0000BD500000}"/>
    <cellStyle name="40 % - Markeringsfarve1 3 2 8 5" xfId="36130" xr:uid="{00000000-0005-0000-0000-0000BE500000}"/>
    <cellStyle name="40 % - Markeringsfarve1 3 2 9" xfId="3289" xr:uid="{00000000-0005-0000-0000-0000BF500000}"/>
    <cellStyle name="40 % - Markeringsfarve1 3 2 9 2" xfId="8778" xr:uid="{00000000-0005-0000-0000-0000C0500000}"/>
    <cellStyle name="40 % - Markeringsfarve1 3 2 9 2 2" xfId="16654" xr:uid="{00000000-0005-0000-0000-0000C1500000}"/>
    <cellStyle name="40 % - Markeringsfarve1 3 2 9 2 2 2" xfId="32968" xr:uid="{00000000-0005-0000-0000-0000C2500000}"/>
    <cellStyle name="40 % - Markeringsfarve1 3 2 9 2 2 3" xfId="47932" xr:uid="{00000000-0005-0000-0000-0000C3500000}"/>
    <cellStyle name="40 % - Markeringsfarve1 3 2 9 2 3" xfId="25946" xr:uid="{00000000-0005-0000-0000-0000C4500000}"/>
    <cellStyle name="40 % - Markeringsfarve1 3 2 9 2 4" xfId="40933" xr:uid="{00000000-0005-0000-0000-0000C5500000}"/>
    <cellStyle name="40 % - Markeringsfarve1 3 2 9 3" xfId="11846" xr:uid="{00000000-0005-0000-0000-0000C6500000}"/>
    <cellStyle name="40 % - Markeringsfarve1 3 2 9 3 2" xfId="28165" xr:uid="{00000000-0005-0000-0000-0000C7500000}"/>
    <cellStyle name="40 % - Markeringsfarve1 3 2 9 3 3" xfId="43130" xr:uid="{00000000-0005-0000-0000-0000C8500000}"/>
    <cellStyle name="40 % - Markeringsfarve1 3 2 9 4" xfId="21143" xr:uid="{00000000-0005-0000-0000-0000C9500000}"/>
    <cellStyle name="40 % - Markeringsfarve1 3 2 9 5" xfId="36131" xr:uid="{00000000-0005-0000-0000-0000CA500000}"/>
    <cellStyle name="40 % - Markeringsfarve1 3 3" xfId="3290" xr:uid="{00000000-0005-0000-0000-0000CB500000}"/>
    <cellStyle name="40 % - Markeringsfarve1 3 3 10" xfId="5775" xr:uid="{00000000-0005-0000-0000-0000CC500000}"/>
    <cellStyle name="40 % - Markeringsfarve1 3 3 10 2" xfId="13693" xr:uid="{00000000-0005-0000-0000-0000CD500000}"/>
    <cellStyle name="40 % - Markeringsfarve1 3 3 10 2 2" xfId="30007" xr:uid="{00000000-0005-0000-0000-0000CE500000}"/>
    <cellStyle name="40 % - Markeringsfarve1 3 3 10 2 3" xfId="44971" xr:uid="{00000000-0005-0000-0000-0000CF500000}"/>
    <cellStyle name="40 % - Markeringsfarve1 3 3 10 3" xfId="22985" xr:uid="{00000000-0005-0000-0000-0000D0500000}"/>
    <cellStyle name="40 % - Markeringsfarve1 3 3 10 4" xfId="37972" xr:uid="{00000000-0005-0000-0000-0000D1500000}"/>
    <cellStyle name="40 % - Markeringsfarve1 3 3 11" xfId="11847" xr:uid="{00000000-0005-0000-0000-0000D2500000}"/>
    <cellStyle name="40 % - Markeringsfarve1 3 3 11 2" xfId="28166" xr:uid="{00000000-0005-0000-0000-0000D3500000}"/>
    <cellStyle name="40 % - Markeringsfarve1 3 3 11 3" xfId="43131" xr:uid="{00000000-0005-0000-0000-0000D4500000}"/>
    <cellStyle name="40 % - Markeringsfarve1 3 3 12" xfId="21144" xr:uid="{00000000-0005-0000-0000-0000D5500000}"/>
    <cellStyle name="40 % - Markeringsfarve1 3 3 13" xfId="36132" xr:uid="{00000000-0005-0000-0000-0000D6500000}"/>
    <cellStyle name="40 % - Markeringsfarve1 3 3 14" xfId="56518" xr:uid="{00000000-0005-0000-0000-0000D7500000}"/>
    <cellStyle name="40 % - Markeringsfarve1 3 3 2" xfId="3291" xr:uid="{00000000-0005-0000-0000-0000D8500000}"/>
    <cellStyle name="40 % - Markeringsfarve1 3 3 2 2" xfId="3292" xr:uid="{00000000-0005-0000-0000-0000D9500000}"/>
    <cellStyle name="40 % - Markeringsfarve1 3 3 2 2 2" xfId="3293" xr:uid="{00000000-0005-0000-0000-0000DA500000}"/>
    <cellStyle name="40 % - Markeringsfarve1 3 3 2 2 2 2" xfId="7701" xr:uid="{00000000-0005-0000-0000-0000DB500000}"/>
    <cellStyle name="40 % - Markeringsfarve1 3 3 2 2 2 2 2" xfId="15602" xr:uid="{00000000-0005-0000-0000-0000DC500000}"/>
    <cellStyle name="40 % - Markeringsfarve1 3 3 2 2 2 2 2 2" xfId="31916" xr:uid="{00000000-0005-0000-0000-0000DD500000}"/>
    <cellStyle name="40 % - Markeringsfarve1 3 3 2 2 2 2 2 3" xfId="46880" xr:uid="{00000000-0005-0000-0000-0000DE500000}"/>
    <cellStyle name="40 % - Markeringsfarve1 3 3 2 2 2 2 3" xfId="24894" xr:uid="{00000000-0005-0000-0000-0000DF500000}"/>
    <cellStyle name="40 % - Markeringsfarve1 3 3 2 2 2 2 4" xfId="39881" xr:uid="{00000000-0005-0000-0000-0000E0500000}"/>
    <cellStyle name="40 % - Markeringsfarve1 3 3 2 2 2 3" xfId="11850" xr:uid="{00000000-0005-0000-0000-0000E1500000}"/>
    <cellStyle name="40 % - Markeringsfarve1 3 3 2 2 2 3 2" xfId="28169" xr:uid="{00000000-0005-0000-0000-0000E2500000}"/>
    <cellStyle name="40 % - Markeringsfarve1 3 3 2 2 2 3 3" xfId="43134" xr:uid="{00000000-0005-0000-0000-0000E3500000}"/>
    <cellStyle name="40 % - Markeringsfarve1 3 3 2 2 2 4" xfId="21147" xr:uid="{00000000-0005-0000-0000-0000E4500000}"/>
    <cellStyle name="40 % - Markeringsfarve1 3 3 2 2 2 5" xfId="36135" xr:uid="{00000000-0005-0000-0000-0000E5500000}"/>
    <cellStyle name="40 % - Markeringsfarve1 3 3 2 2 3" xfId="6270" xr:uid="{00000000-0005-0000-0000-0000E6500000}"/>
    <cellStyle name="40 % - Markeringsfarve1 3 3 2 2 3 2" xfId="14187" xr:uid="{00000000-0005-0000-0000-0000E7500000}"/>
    <cellStyle name="40 % - Markeringsfarve1 3 3 2 2 3 2 2" xfId="30501" xr:uid="{00000000-0005-0000-0000-0000E8500000}"/>
    <cellStyle name="40 % - Markeringsfarve1 3 3 2 2 3 2 3" xfId="45465" xr:uid="{00000000-0005-0000-0000-0000E9500000}"/>
    <cellStyle name="40 % - Markeringsfarve1 3 3 2 2 3 3" xfId="23479" xr:uid="{00000000-0005-0000-0000-0000EA500000}"/>
    <cellStyle name="40 % - Markeringsfarve1 3 3 2 2 3 4" xfId="38466" xr:uid="{00000000-0005-0000-0000-0000EB500000}"/>
    <cellStyle name="40 % - Markeringsfarve1 3 3 2 2 4" xfId="11849" xr:uid="{00000000-0005-0000-0000-0000EC500000}"/>
    <cellStyle name="40 % - Markeringsfarve1 3 3 2 2 4 2" xfId="28168" xr:uid="{00000000-0005-0000-0000-0000ED500000}"/>
    <cellStyle name="40 % - Markeringsfarve1 3 3 2 2 4 3" xfId="43133" xr:uid="{00000000-0005-0000-0000-0000EE500000}"/>
    <cellStyle name="40 % - Markeringsfarve1 3 3 2 2 5" xfId="21146" xr:uid="{00000000-0005-0000-0000-0000EF500000}"/>
    <cellStyle name="40 % - Markeringsfarve1 3 3 2 2 6" xfId="36134" xr:uid="{00000000-0005-0000-0000-0000F0500000}"/>
    <cellStyle name="40 % - Markeringsfarve1 3 3 2 3" xfId="3294" xr:uid="{00000000-0005-0000-0000-0000F1500000}"/>
    <cellStyle name="40 % - Markeringsfarve1 3 3 2 3 2" xfId="6931" xr:uid="{00000000-0005-0000-0000-0000F2500000}"/>
    <cellStyle name="40 % - Markeringsfarve1 3 3 2 3 2 2" xfId="14842" xr:uid="{00000000-0005-0000-0000-0000F3500000}"/>
    <cellStyle name="40 % - Markeringsfarve1 3 3 2 3 2 2 2" xfId="31156" xr:uid="{00000000-0005-0000-0000-0000F4500000}"/>
    <cellStyle name="40 % - Markeringsfarve1 3 3 2 3 2 2 3" xfId="46120" xr:uid="{00000000-0005-0000-0000-0000F5500000}"/>
    <cellStyle name="40 % - Markeringsfarve1 3 3 2 3 2 3" xfId="24134" xr:uid="{00000000-0005-0000-0000-0000F6500000}"/>
    <cellStyle name="40 % - Markeringsfarve1 3 3 2 3 2 4" xfId="39121" xr:uid="{00000000-0005-0000-0000-0000F7500000}"/>
    <cellStyle name="40 % - Markeringsfarve1 3 3 2 3 3" xfId="11851" xr:uid="{00000000-0005-0000-0000-0000F8500000}"/>
    <cellStyle name="40 % - Markeringsfarve1 3 3 2 3 3 2" xfId="28170" xr:uid="{00000000-0005-0000-0000-0000F9500000}"/>
    <cellStyle name="40 % - Markeringsfarve1 3 3 2 3 3 3" xfId="43135" xr:uid="{00000000-0005-0000-0000-0000FA500000}"/>
    <cellStyle name="40 % - Markeringsfarve1 3 3 2 3 4" xfId="21148" xr:uid="{00000000-0005-0000-0000-0000FB500000}"/>
    <cellStyle name="40 % - Markeringsfarve1 3 3 2 3 5" xfId="36136" xr:uid="{00000000-0005-0000-0000-0000FC500000}"/>
    <cellStyle name="40 % - Markeringsfarve1 3 3 2 4" xfId="3295" xr:uid="{00000000-0005-0000-0000-0000FD500000}"/>
    <cellStyle name="40 % - Markeringsfarve1 3 3 2 4 2" xfId="8294" xr:uid="{00000000-0005-0000-0000-0000FE500000}"/>
    <cellStyle name="40 % - Markeringsfarve1 3 3 2 4 2 2" xfId="16188" xr:uid="{00000000-0005-0000-0000-0000FF500000}"/>
    <cellStyle name="40 % - Markeringsfarve1 3 3 2 4 2 2 2" xfId="32502" xr:uid="{00000000-0005-0000-0000-000000510000}"/>
    <cellStyle name="40 % - Markeringsfarve1 3 3 2 4 2 2 3" xfId="47466" xr:uid="{00000000-0005-0000-0000-000001510000}"/>
    <cellStyle name="40 % - Markeringsfarve1 3 3 2 4 2 3" xfId="25480" xr:uid="{00000000-0005-0000-0000-000002510000}"/>
    <cellStyle name="40 % - Markeringsfarve1 3 3 2 4 2 4" xfId="40467" xr:uid="{00000000-0005-0000-0000-000003510000}"/>
    <cellStyle name="40 % - Markeringsfarve1 3 3 2 4 3" xfId="11852" xr:uid="{00000000-0005-0000-0000-000004510000}"/>
    <cellStyle name="40 % - Markeringsfarve1 3 3 2 4 3 2" xfId="28171" xr:uid="{00000000-0005-0000-0000-000005510000}"/>
    <cellStyle name="40 % - Markeringsfarve1 3 3 2 4 3 3" xfId="43136" xr:uid="{00000000-0005-0000-0000-000006510000}"/>
    <cellStyle name="40 % - Markeringsfarve1 3 3 2 4 4" xfId="21149" xr:uid="{00000000-0005-0000-0000-000007510000}"/>
    <cellStyle name="40 % - Markeringsfarve1 3 3 2 4 5" xfId="36137" xr:uid="{00000000-0005-0000-0000-000008510000}"/>
    <cellStyle name="40 % - Markeringsfarve1 3 3 2 5" xfId="5776" xr:uid="{00000000-0005-0000-0000-000009510000}"/>
    <cellStyle name="40 % - Markeringsfarve1 3 3 2 5 2" xfId="13694" xr:uid="{00000000-0005-0000-0000-00000A510000}"/>
    <cellStyle name="40 % - Markeringsfarve1 3 3 2 5 2 2" xfId="30008" xr:uid="{00000000-0005-0000-0000-00000B510000}"/>
    <cellStyle name="40 % - Markeringsfarve1 3 3 2 5 2 3" xfId="44972" xr:uid="{00000000-0005-0000-0000-00000C510000}"/>
    <cellStyle name="40 % - Markeringsfarve1 3 3 2 5 3" xfId="22986" xr:uid="{00000000-0005-0000-0000-00000D510000}"/>
    <cellStyle name="40 % - Markeringsfarve1 3 3 2 5 4" xfId="37973" xr:uid="{00000000-0005-0000-0000-00000E510000}"/>
    <cellStyle name="40 % - Markeringsfarve1 3 3 2 6" xfId="11848" xr:uid="{00000000-0005-0000-0000-00000F510000}"/>
    <cellStyle name="40 % - Markeringsfarve1 3 3 2 6 2" xfId="28167" xr:uid="{00000000-0005-0000-0000-000010510000}"/>
    <cellStyle name="40 % - Markeringsfarve1 3 3 2 6 3" xfId="43132" xr:uid="{00000000-0005-0000-0000-000011510000}"/>
    <cellStyle name="40 % - Markeringsfarve1 3 3 2 7" xfId="21145" xr:uid="{00000000-0005-0000-0000-000012510000}"/>
    <cellStyle name="40 % - Markeringsfarve1 3 3 2 8" xfId="36133" xr:uid="{00000000-0005-0000-0000-000013510000}"/>
    <cellStyle name="40 % - Markeringsfarve1 3 3 3" xfId="3296" xr:uid="{00000000-0005-0000-0000-000014510000}"/>
    <cellStyle name="40 % - Markeringsfarve1 3 3 3 2" xfId="3297" xr:uid="{00000000-0005-0000-0000-000015510000}"/>
    <cellStyle name="40 % - Markeringsfarve1 3 3 3 2 2" xfId="3298" xr:uid="{00000000-0005-0000-0000-000016510000}"/>
    <cellStyle name="40 % - Markeringsfarve1 3 3 3 2 2 2" xfId="7786" xr:uid="{00000000-0005-0000-0000-000017510000}"/>
    <cellStyle name="40 % - Markeringsfarve1 3 3 3 2 2 2 2" xfId="15687" xr:uid="{00000000-0005-0000-0000-000018510000}"/>
    <cellStyle name="40 % - Markeringsfarve1 3 3 3 2 2 2 2 2" xfId="32001" xr:uid="{00000000-0005-0000-0000-000019510000}"/>
    <cellStyle name="40 % - Markeringsfarve1 3 3 3 2 2 2 2 3" xfId="46965" xr:uid="{00000000-0005-0000-0000-00001A510000}"/>
    <cellStyle name="40 % - Markeringsfarve1 3 3 3 2 2 2 3" xfId="24979" xr:uid="{00000000-0005-0000-0000-00001B510000}"/>
    <cellStyle name="40 % - Markeringsfarve1 3 3 3 2 2 2 4" xfId="39966" xr:uid="{00000000-0005-0000-0000-00001C510000}"/>
    <cellStyle name="40 % - Markeringsfarve1 3 3 3 2 2 3" xfId="11855" xr:uid="{00000000-0005-0000-0000-00001D510000}"/>
    <cellStyle name="40 % - Markeringsfarve1 3 3 3 2 2 3 2" xfId="28174" xr:uid="{00000000-0005-0000-0000-00001E510000}"/>
    <cellStyle name="40 % - Markeringsfarve1 3 3 3 2 2 3 3" xfId="43139" xr:uid="{00000000-0005-0000-0000-00001F510000}"/>
    <cellStyle name="40 % - Markeringsfarve1 3 3 3 2 2 4" xfId="21152" xr:uid="{00000000-0005-0000-0000-000020510000}"/>
    <cellStyle name="40 % - Markeringsfarve1 3 3 3 2 2 5" xfId="36140" xr:uid="{00000000-0005-0000-0000-000021510000}"/>
    <cellStyle name="40 % - Markeringsfarve1 3 3 3 2 3" xfId="6341" xr:uid="{00000000-0005-0000-0000-000022510000}"/>
    <cellStyle name="40 % - Markeringsfarve1 3 3 3 2 3 2" xfId="14258" xr:uid="{00000000-0005-0000-0000-000023510000}"/>
    <cellStyle name="40 % - Markeringsfarve1 3 3 3 2 3 2 2" xfId="30572" xr:uid="{00000000-0005-0000-0000-000024510000}"/>
    <cellStyle name="40 % - Markeringsfarve1 3 3 3 2 3 2 3" xfId="45536" xr:uid="{00000000-0005-0000-0000-000025510000}"/>
    <cellStyle name="40 % - Markeringsfarve1 3 3 3 2 3 3" xfId="23550" xr:uid="{00000000-0005-0000-0000-000026510000}"/>
    <cellStyle name="40 % - Markeringsfarve1 3 3 3 2 3 4" xfId="38537" xr:uid="{00000000-0005-0000-0000-000027510000}"/>
    <cellStyle name="40 % - Markeringsfarve1 3 3 3 2 4" xfId="11854" xr:uid="{00000000-0005-0000-0000-000028510000}"/>
    <cellStyle name="40 % - Markeringsfarve1 3 3 3 2 4 2" xfId="28173" xr:uid="{00000000-0005-0000-0000-000029510000}"/>
    <cellStyle name="40 % - Markeringsfarve1 3 3 3 2 4 3" xfId="43138" xr:uid="{00000000-0005-0000-0000-00002A510000}"/>
    <cellStyle name="40 % - Markeringsfarve1 3 3 3 2 5" xfId="21151" xr:uid="{00000000-0005-0000-0000-00002B510000}"/>
    <cellStyle name="40 % - Markeringsfarve1 3 3 3 2 6" xfId="36139" xr:uid="{00000000-0005-0000-0000-00002C510000}"/>
    <cellStyle name="40 % - Markeringsfarve1 3 3 3 3" xfId="3299" xr:uid="{00000000-0005-0000-0000-00002D510000}"/>
    <cellStyle name="40 % - Markeringsfarve1 3 3 3 3 2" xfId="7016" xr:uid="{00000000-0005-0000-0000-00002E510000}"/>
    <cellStyle name="40 % - Markeringsfarve1 3 3 3 3 2 2" xfId="14927" xr:uid="{00000000-0005-0000-0000-00002F510000}"/>
    <cellStyle name="40 % - Markeringsfarve1 3 3 3 3 2 2 2" xfId="31241" xr:uid="{00000000-0005-0000-0000-000030510000}"/>
    <cellStyle name="40 % - Markeringsfarve1 3 3 3 3 2 2 3" xfId="46205" xr:uid="{00000000-0005-0000-0000-000031510000}"/>
    <cellStyle name="40 % - Markeringsfarve1 3 3 3 3 2 3" xfId="24219" xr:uid="{00000000-0005-0000-0000-000032510000}"/>
    <cellStyle name="40 % - Markeringsfarve1 3 3 3 3 2 4" xfId="39206" xr:uid="{00000000-0005-0000-0000-000033510000}"/>
    <cellStyle name="40 % - Markeringsfarve1 3 3 3 3 3" xfId="11856" xr:uid="{00000000-0005-0000-0000-000034510000}"/>
    <cellStyle name="40 % - Markeringsfarve1 3 3 3 3 3 2" xfId="28175" xr:uid="{00000000-0005-0000-0000-000035510000}"/>
    <cellStyle name="40 % - Markeringsfarve1 3 3 3 3 3 3" xfId="43140" xr:uid="{00000000-0005-0000-0000-000036510000}"/>
    <cellStyle name="40 % - Markeringsfarve1 3 3 3 3 4" xfId="21153" xr:uid="{00000000-0005-0000-0000-000037510000}"/>
    <cellStyle name="40 % - Markeringsfarve1 3 3 3 3 5" xfId="36141" xr:uid="{00000000-0005-0000-0000-000038510000}"/>
    <cellStyle name="40 % - Markeringsfarve1 3 3 3 4" xfId="3300" xr:uid="{00000000-0005-0000-0000-000039510000}"/>
    <cellStyle name="40 % - Markeringsfarve1 3 3 3 4 2" xfId="8612" xr:uid="{00000000-0005-0000-0000-00003A510000}"/>
    <cellStyle name="40 % - Markeringsfarve1 3 3 3 4 2 2" xfId="16498" xr:uid="{00000000-0005-0000-0000-00003B510000}"/>
    <cellStyle name="40 % - Markeringsfarve1 3 3 3 4 2 2 2" xfId="32812" xr:uid="{00000000-0005-0000-0000-00003C510000}"/>
    <cellStyle name="40 % - Markeringsfarve1 3 3 3 4 2 2 3" xfId="47776" xr:uid="{00000000-0005-0000-0000-00003D510000}"/>
    <cellStyle name="40 % - Markeringsfarve1 3 3 3 4 2 3" xfId="25790" xr:uid="{00000000-0005-0000-0000-00003E510000}"/>
    <cellStyle name="40 % - Markeringsfarve1 3 3 3 4 2 4" xfId="40777" xr:uid="{00000000-0005-0000-0000-00003F510000}"/>
    <cellStyle name="40 % - Markeringsfarve1 3 3 3 4 3" xfId="11857" xr:uid="{00000000-0005-0000-0000-000040510000}"/>
    <cellStyle name="40 % - Markeringsfarve1 3 3 3 4 3 2" xfId="28176" xr:uid="{00000000-0005-0000-0000-000041510000}"/>
    <cellStyle name="40 % - Markeringsfarve1 3 3 3 4 3 3" xfId="43141" xr:uid="{00000000-0005-0000-0000-000042510000}"/>
    <cellStyle name="40 % - Markeringsfarve1 3 3 3 4 4" xfId="21154" xr:uid="{00000000-0005-0000-0000-000043510000}"/>
    <cellStyle name="40 % - Markeringsfarve1 3 3 3 4 5" xfId="36142" xr:uid="{00000000-0005-0000-0000-000044510000}"/>
    <cellStyle name="40 % - Markeringsfarve1 3 3 3 5" xfId="5777" xr:uid="{00000000-0005-0000-0000-000045510000}"/>
    <cellStyle name="40 % - Markeringsfarve1 3 3 3 5 2" xfId="13695" xr:uid="{00000000-0005-0000-0000-000046510000}"/>
    <cellStyle name="40 % - Markeringsfarve1 3 3 3 5 2 2" xfId="30009" xr:uid="{00000000-0005-0000-0000-000047510000}"/>
    <cellStyle name="40 % - Markeringsfarve1 3 3 3 5 2 3" xfId="44973" xr:uid="{00000000-0005-0000-0000-000048510000}"/>
    <cellStyle name="40 % - Markeringsfarve1 3 3 3 5 3" xfId="22987" xr:uid="{00000000-0005-0000-0000-000049510000}"/>
    <cellStyle name="40 % - Markeringsfarve1 3 3 3 5 4" xfId="37974" xr:uid="{00000000-0005-0000-0000-00004A510000}"/>
    <cellStyle name="40 % - Markeringsfarve1 3 3 3 6" xfId="11853" xr:uid="{00000000-0005-0000-0000-00004B510000}"/>
    <cellStyle name="40 % - Markeringsfarve1 3 3 3 6 2" xfId="28172" xr:uid="{00000000-0005-0000-0000-00004C510000}"/>
    <cellStyle name="40 % - Markeringsfarve1 3 3 3 6 3" xfId="43137" xr:uid="{00000000-0005-0000-0000-00004D510000}"/>
    <cellStyle name="40 % - Markeringsfarve1 3 3 3 7" xfId="21150" xr:uid="{00000000-0005-0000-0000-00004E510000}"/>
    <cellStyle name="40 % - Markeringsfarve1 3 3 3 8" xfId="36138" xr:uid="{00000000-0005-0000-0000-00004F510000}"/>
    <cellStyle name="40 % - Markeringsfarve1 3 3 4" xfId="3301" xr:uid="{00000000-0005-0000-0000-000050510000}"/>
    <cellStyle name="40 % - Markeringsfarve1 3 3 4 2" xfId="3302" xr:uid="{00000000-0005-0000-0000-000051510000}"/>
    <cellStyle name="40 % - Markeringsfarve1 3 3 4 2 2" xfId="3303" xr:uid="{00000000-0005-0000-0000-000052510000}"/>
    <cellStyle name="40 % - Markeringsfarve1 3 3 4 2 2 2" xfId="7939" xr:uid="{00000000-0005-0000-0000-000053510000}"/>
    <cellStyle name="40 % - Markeringsfarve1 3 3 4 2 2 2 2" xfId="15840" xr:uid="{00000000-0005-0000-0000-000054510000}"/>
    <cellStyle name="40 % - Markeringsfarve1 3 3 4 2 2 2 2 2" xfId="32154" xr:uid="{00000000-0005-0000-0000-000055510000}"/>
    <cellStyle name="40 % - Markeringsfarve1 3 3 4 2 2 2 2 3" xfId="47118" xr:uid="{00000000-0005-0000-0000-000056510000}"/>
    <cellStyle name="40 % - Markeringsfarve1 3 3 4 2 2 2 3" xfId="25132" xr:uid="{00000000-0005-0000-0000-000057510000}"/>
    <cellStyle name="40 % - Markeringsfarve1 3 3 4 2 2 2 4" xfId="40119" xr:uid="{00000000-0005-0000-0000-000058510000}"/>
    <cellStyle name="40 % - Markeringsfarve1 3 3 4 2 2 3" xfId="11860" xr:uid="{00000000-0005-0000-0000-000059510000}"/>
    <cellStyle name="40 % - Markeringsfarve1 3 3 4 2 2 3 2" xfId="28179" xr:uid="{00000000-0005-0000-0000-00005A510000}"/>
    <cellStyle name="40 % - Markeringsfarve1 3 3 4 2 2 3 3" xfId="43144" xr:uid="{00000000-0005-0000-0000-00005B510000}"/>
    <cellStyle name="40 % - Markeringsfarve1 3 3 4 2 2 4" xfId="21157" xr:uid="{00000000-0005-0000-0000-00005C510000}"/>
    <cellStyle name="40 % - Markeringsfarve1 3 3 4 2 2 5" xfId="36145" xr:uid="{00000000-0005-0000-0000-00005D510000}"/>
    <cellStyle name="40 % - Markeringsfarve1 3 3 4 2 3" xfId="6472" xr:uid="{00000000-0005-0000-0000-00005E510000}"/>
    <cellStyle name="40 % - Markeringsfarve1 3 3 4 2 3 2" xfId="14386" xr:uid="{00000000-0005-0000-0000-00005F510000}"/>
    <cellStyle name="40 % - Markeringsfarve1 3 3 4 2 3 2 2" xfId="30700" xr:uid="{00000000-0005-0000-0000-000060510000}"/>
    <cellStyle name="40 % - Markeringsfarve1 3 3 4 2 3 2 3" xfId="45664" xr:uid="{00000000-0005-0000-0000-000061510000}"/>
    <cellStyle name="40 % - Markeringsfarve1 3 3 4 2 3 3" xfId="23678" xr:uid="{00000000-0005-0000-0000-000062510000}"/>
    <cellStyle name="40 % - Markeringsfarve1 3 3 4 2 3 4" xfId="38665" xr:uid="{00000000-0005-0000-0000-000063510000}"/>
    <cellStyle name="40 % - Markeringsfarve1 3 3 4 2 4" xfId="11859" xr:uid="{00000000-0005-0000-0000-000064510000}"/>
    <cellStyle name="40 % - Markeringsfarve1 3 3 4 2 4 2" xfId="28178" xr:uid="{00000000-0005-0000-0000-000065510000}"/>
    <cellStyle name="40 % - Markeringsfarve1 3 3 4 2 4 3" xfId="43143" xr:uid="{00000000-0005-0000-0000-000066510000}"/>
    <cellStyle name="40 % - Markeringsfarve1 3 3 4 2 5" xfId="21156" xr:uid="{00000000-0005-0000-0000-000067510000}"/>
    <cellStyle name="40 % - Markeringsfarve1 3 3 4 2 6" xfId="36144" xr:uid="{00000000-0005-0000-0000-000068510000}"/>
    <cellStyle name="40 % - Markeringsfarve1 3 3 4 3" xfId="3304" xr:uid="{00000000-0005-0000-0000-000069510000}"/>
    <cellStyle name="40 % - Markeringsfarve1 3 3 4 3 2" xfId="7215" xr:uid="{00000000-0005-0000-0000-00006A510000}"/>
    <cellStyle name="40 % - Markeringsfarve1 3 3 4 3 2 2" xfId="15125" xr:uid="{00000000-0005-0000-0000-00006B510000}"/>
    <cellStyle name="40 % - Markeringsfarve1 3 3 4 3 2 2 2" xfId="31439" xr:uid="{00000000-0005-0000-0000-00006C510000}"/>
    <cellStyle name="40 % - Markeringsfarve1 3 3 4 3 2 2 3" xfId="46403" xr:uid="{00000000-0005-0000-0000-00006D510000}"/>
    <cellStyle name="40 % - Markeringsfarve1 3 3 4 3 2 3" xfId="24417" xr:uid="{00000000-0005-0000-0000-00006E510000}"/>
    <cellStyle name="40 % - Markeringsfarve1 3 3 4 3 2 4" xfId="39404" xr:uid="{00000000-0005-0000-0000-00006F510000}"/>
    <cellStyle name="40 % - Markeringsfarve1 3 3 4 3 3" xfId="11861" xr:uid="{00000000-0005-0000-0000-000070510000}"/>
    <cellStyle name="40 % - Markeringsfarve1 3 3 4 3 3 2" xfId="28180" xr:uid="{00000000-0005-0000-0000-000071510000}"/>
    <cellStyle name="40 % - Markeringsfarve1 3 3 4 3 3 3" xfId="43145" xr:uid="{00000000-0005-0000-0000-000072510000}"/>
    <cellStyle name="40 % - Markeringsfarve1 3 3 4 3 4" xfId="21158" xr:uid="{00000000-0005-0000-0000-000073510000}"/>
    <cellStyle name="40 % - Markeringsfarve1 3 3 4 3 5" xfId="36146" xr:uid="{00000000-0005-0000-0000-000074510000}"/>
    <cellStyle name="40 % - Markeringsfarve1 3 3 4 4" xfId="3305" xr:uid="{00000000-0005-0000-0000-000075510000}"/>
    <cellStyle name="40 % - Markeringsfarve1 3 3 4 4 2" xfId="8263" xr:uid="{00000000-0005-0000-0000-000076510000}"/>
    <cellStyle name="40 % - Markeringsfarve1 3 3 4 4 2 2" xfId="16159" xr:uid="{00000000-0005-0000-0000-000077510000}"/>
    <cellStyle name="40 % - Markeringsfarve1 3 3 4 4 2 2 2" xfId="32473" xr:uid="{00000000-0005-0000-0000-000078510000}"/>
    <cellStyle name="40 % - Markeringsfarve1 3 3 4 4 2 2 3" xfId="47437" xr:uid="{00000000-0005-0000-0000-000079510000}"/>
    <cellStyle name="40 % - Markeringsfarve1 3 3 4 4 2 3" xfId="25451" xr:uid="{00000000-0005-0000-0000-00007A510000}"/>
    <cellStyle name="40 % - Markeringsfarve1 3 3 4 4 2 4" xfId="40438" xr:uid="{00000000-0005-0000-0000-00007B510000}"/>
    <cellStyle name="40 % - Markeringsfarve1 3 3 4 4 3" xfId="11862" xr:uid="{00000000-0005-0000-0000-00007C510000}"/>
    <cellStyle name="40 % - Markeringsfarve1 3 3 4 4 3 2" xfId="28181" xr:uid="{00000000-0005-0000-0000-00007D510000}"/>
    <cellStyle name="40 % - Markeringsfarve1 3 3 4 4 3 3" xfId="43146" xr:uid="{00000000-0005-0000-0000-00007E510000}"/>
    <cellStyle name="40 % - Markeringsfarve1 3 3 4 4 4" xfId="21159" xr:uid="{00000000-0005-0000-0000-00007F510000}"/>
    <cellStyle name="40 % - Markeringsfarve1 3 3 4 4 5" xfId="36147" xr:uid="{00000000-0005-0000-0000-000080510000}"/>
    <cellStyle name="40 % - Markeringsfarve1 3 3 4 5" xfId="5778" xr:uid="{00000000-0005-0000-0000-000081510000}"/>
    <cellStyle name="40 % - Markeringsfarve1 3 3 4 5 2" xfId="13696" xr:uid="{00000000-0005-0000-0000-000082510000}"/>
    <cellStyle name="40 % - Markeringsfarve1 3 3 4 5 2 2" xfId="30010" xr:uid="{00000000-0005-0000-0000-000083510000}"/>
    <cellStyle name="40 % - Markeringsfarve1 3 3 4 5 2 3" xfId="44974" xr:uid="{00000000-0005-0000-0000-000084510000}"/>
    <cellStyle name="40 % - Markeringsfarve1 3 3 4 5 3" xfId="22988" xr:uid="{00000000-0005-0000-0000-000085510000}"/>
    <cellStyle name="40 % - Markeringsfarve1 3 3 4 5 4" xfId="37975" xr:uid="{00000000-0005-0000-0000-000086510000}"/>
    <cellStyle name="40 % - Markeringsfarve1 3 3 4 6" xfId="11858" xr:uid="{00000000-0005-0000-0000-000087510000}"/>
    <cellStyle name="40 % - Markeringsfarve1 3 3 4 6 2" xfId="28177" xr:uid="{00000000-0005-0000-0000-000088510000}"/>
    <cellStyle name="40 % - Markeringsfarve1 3 3 4 6 3" xfId="43142" xr:uid="{00000000-0005-0000-0000-000089510000}"/>
    <cellStyle name="40 % - Markeringsfarve1 3 3 4 7" xfId="21155" xr:uid="{00000000-0005-0000-0000-00008A510000}"/>
    <cellStyle name="40 % - Markeringsfarve1 3 3 4 8" xfId="36143" xr:uid="{00000000-0005-0000-0000-00008B510000}"/>
    <cellStyle name="40 % - Markeringsfarve1 3 3 5" xfId="3306" xr:uid="{00000000-0005-0000-0000-00008C510000}"/>
    <cellStyle name="40 % - Markeringsfarve1 3 3 5 2" xfId="3307" xr:uid="{00000000-0005-0000-0000-00008D510000}"/>
    <cellStyle name="40 % - Markeringsfarve1 3 3 5 2 2" xfId="3308" xr:uid="{00000000-0005-0000-0000-00008E510000}"/>
    <cellStyle name="40 % - Markeringsfarve1 3 3 5 2 2 2" xfId="8056" xr:uid="{00000000-0005-0000-0000-00008F510000}"/>
    <cellStyle name="40 % - Markeringsfarve1 3 3 5 2 2 2 2" xfId="15957" xr:uid="{00000000-0005-0000-0000-000090510000}"/>
    <cellStyle name="40 % - Markeringsfarve1 3 3 5 2 2 2 2 2" xfId="32271" xr:uid="{00000000-0005-0000-0000-000091510000}"/>
    <cellStyle name="40 % - Markeringsfarve1 3 3 5 2 2 2 2 3" xfId="47235" xr:uid="{00000000-0005-0000-0000-000092510000}"/>
    <cellStyle name="40 % - Markeringsfarve1 3 3 5 2 2 2 3" xfId="25249" xr:uid="{00000000-0005-0000-0000-000093510000}"/>
    <cellStyle name="40 % - Markeringsfarve1 3 3 5 2 2 2 4" xfId="40236" xr:uid="{00000000-0005-0000-0000-000094510000}"/>
    <cellStyle name="40 % - Markeringsfarve1 3 3 5 2 2 3" xfId="11865" xr:uid="{00000000-0005-0000-0000-000095510000}"/>
    <cellStyle name="40 % - Markeringsfarve1 3 3 5 2 2 3 2" xfId="28184" xr:uid="{00000000-0005-0000-0000-000096510000}"/>
    <cellStyle name="40 % - Markeringsfarve1 3 3 5 2 2 3 3" xfId="43149" xr:uid="{00000000-0005-0000-0000-000097510000}"/>
    <cellStyle name="40 % - Markeringsfarve1 3 3 5 2 2 4" xfId="21162" xr:uid="{00000000-0005-0000-0000-000098510000}"/>
    <cellStyle name="40 % - Markeringsfarve1 3 3 5 2 2 5" xfId="36150" xr:uid="{00000000-0005-0000-0000-000099510000}"/>
    <cellStyle name="40 % - Markeringsfarve1 3 3 5 2 3" xfId="6571" xr:uid="{00000000-0005-0000-0000-00009A510000}"/>
    <cellStyle name="40 % - Markeringsfarve1 3 3 5 2 3 2" xfId="14485" xr:uid="{00000000-0005-0000-0000-00009B510000}"/>
    <cellStyle name="40 % - Markeringsfarve1 3 3 5 2 3 2 2" xfId="30799" xr:uid="{00000000-0005-0000-0000-00009C510000}"/>
    <cellStyle name="40 % - Markeringsfarve1 3 3 5 2 3 2 3" xfId="45763" xr:uid="{00000000-0005-0000-0000-00009D510000}"/>
    <cellStyle name="40 % - Markeringsfarve1 3 3 5 2 3 3" xfId="23777" xr:uid="{00000000-0005-0000-0000-00009E510000}"/>
    <cellStyle name="40 % - Markeringsfarve1 3 3 5 2 3 4" xfId="38764" xr:uid="{00000000-0005-0000-0000-00009F510000}"/>
    <cellStyle name="40 % - Markeringsfarve1 3 3 5 2 4" xfId="11864" xr:uid="{00000000-0005-0000-0000-0000A0510000}"/>
    <cellStyle name="40 % - Markeringsfarve1 3 3 5 2 4 2" xfId="28183" xr:uid="{00000000-0005-0000-0000-0000A1510000}"/>
    <cellStyle name="40 % - Markeringsfarve1 3 3 5 2 4 3" xfId="43148" xr:uid="{00000000-0005-0000-0000-0000A2510000}"/>
    <cellStyle name="40 % - Markeringsfarve1 3 3 5 2 5" xfId="21161" xr:uid="{00000000-0005-0000-0000-0000A3510000}"/>
    <cellStyle name="40 % - Markeringsfarve1 3 3 5 2 6" xfId="36149" xr:uid="{00000000-0005-0000-0000-0000A4510000}"/>
    <cellStyle name="40 % - Markeringsfarve1 3 3 5 3" xfId="3309" xr:uid="{00000000-0005-0000-0000-0000A5510000}"/>
    <cellStyle name="40 % - Markeringsfarve1 3 3 5 3 2" xfId="7332" xr:uid="{00000000-0005-0000-0000-0000A6510000}"/>
    <cellStyle name="40 % - Markeringsfarve1 3 3 5 3 2 2" xfId="15242" xr:uid="{00000000-0005-0000-0000-0000A7510000}"/>
    <cellStyle name="40 % - Markeringsfarve1 3 3 5 3 2 2 2" xfId="31556" xr:uid="{00000000-0005-0000-0000-0000A8510000}"/>
    <cellStyle name="40 % - Markeringsfarve1 3 3 5 3 2 2 3" xfId="46520" xr:uid="{00000000-0005-0000-0000-0000A9510000}"/>
    <cellStyle name="40 % - Markeringsfarve1 3 3 5 3 2 3" xfId="24534" xr:uid="{00000000-0005-0000-0000-0000AA510000}"/>
    <cellStyle name="40 % - Markeringsfarve1 3 3 5 3 2 4" xfId="39521" xr:uid="{00000000-0005-0000-0000-0000AB510000}"/>
    <cellStyle name="40 % - Markeringsfarve1 3 3 5 3 3" xfId="11866" xr:uid="{00000000-0005-0000-0000-0000AC510000}"/>
    <cellStyle name="40 % - Markeringsfarve1 3 3 5 3 3 2" xfId="28185" xr:uid="{00000000-0005-0000-0000-0000AD510000}"/>
    <cellStyle name="40 % - Markeringsfarve1 3 3 5 3 3 3" xfId="43150" xr:uid="{00000000-0005-0000-0000-0000AE510000}"/>
    <cellStyle name="40 % - Markeringsfarve1 3 3 5 3 4" xfId="21163" xr:uid="{00000000-0005-0000-0000-0000AF510000}"/>
    <cellStyle name="40 % - Markeringsfarve1 3 3 5 3 5" xfId="36151" xr:uid="{00000000-0005-0000-0000-0000B0510000}"/>
    <cellStyle name="40 % - Markeringsfarve1 3 3 5 4" xfId="3310" xr:uid="{00000000-0005-0000-0000-0000B1510000}"/>
    <cellStyle name="40 % - Markeringsfarve1 3 3 5 4 2" xfId="8216" xr:uid="{00000000-0005-0000-0000-0000B2510000}"/>
    <cellStyle name="40 % - Markeringsfarve1 3 3 5 4 2 2" xfId="16113" xr:uid="{00000000-0005-0000-0000-0000B3510000}"/>
    <cellStyle name="40 % - Markeringsfarve1 3 3 5 4 2 2 2" xfId="32427" xr:uid="{00000000-0005-0000-0000-0000B4510000}"/>
    <cellStyle name="40 % - Markeringsfarve1 3 3 5 4 2 2 3" xfId="47391" xr:uid="{00000000-0005-0000-0000-0000B5510000}"/>
    <cellStyle name="40 % - Markeringsfarve1 3 3 5 4 2 3" xfId="25405" xr:uid="{00000000-0005-0000-0000-0000B6510000}"/>
    <cellStyle name="40 % - Markeringsfarve1 3 3 5 4 2 4" xfId="40392" xr:uid="{00000000-0005-0000-0000-0000B7510000}"/>
    <cellStyle name="40 % - Markeringsfarve1 3 3 5 4 3" xfId="11867" xr:uid="{00000000-0005-0000-0000-0000B8510000}"/>
    <cellStyle name="40 % - Markeringsfarve1 3 3 5 4 3 2" xfId="28186" xr:uid="{00000000-0005-0000-0000-0000B9510000}"/>
    <cellStyle name="40 % - Markeringsfarve1 3 3 5 4 3 3" xfId="43151" xr:uid="{00000000-0005-0000-0000-0000BA510000}"/>
    <cellStyle name="40 % - Markeringsfarve1 3 3 5 4 4" xfId="21164" xr:uid="{00000000-0005-0000-0000-0000BB510000}"/>
    <cellStyle name="40 % - Markeringsfarve1 3 3 5 4 5" xfId="36152" xr:uid="{00000000-0005-0000-0000-0000BC510000}"/>
    <cellStyle name="40 % - Markeringsfarve1 3 3 5 5" xfId="5779" xr:uid="{00000000-0005-0000-0000-0000BD510000}"/>
    <cellStyle name="40 % - Markeringsfarve1 3 3 5 5 2" xfId="13697" xr:uid="{00000000-0005-0000-0000-0000BE510000}"/>
    <cellStyle name="40 % - Markeringsfarve1 3 3 5 5 2 2" xfId="30011" xr:uid="{00000000-0005-0000-0000-0000BF510000}"/>
    <cellStyle name="40 % - Markeringsfarve1 3 3 5 5 2 3" xfId="44975" xr:uid="{00000000-0005-0000-0000-0000C0510000}"/>
    <cellStyle name="40 % - Markeringsfarve1 3 3 5 5 3" xfId="22989" xr:uid="{00000000-0005-0000-0000-0000C1510000}"/>
    <cellStyle name="40 % - Markeringsfarve1 3 3 5 5 4" xfId="37976" xr:uid="{00000000-0005-0000-0000-0000C2510000}"/>
    <cellStyle name="40 % - Markeringsfarve1 3 3 5 6" xfId="11863" xr:uid="{00000000-0005-0000-0000-0000C3510000}"/>
    <cellStyle name="40 % - Markeringsfarve1 3 3 5 6 2" xfId="28182" xr:uid="{00000000-0005-0000-0000-0000C4510000}"/>
    <cellStyle name="40 % - Markeringsfarve1 3 3 5 6 3" xfId="43147" xr:uid="{00000000-0005-0000-0000-0000C5510000}"/>
    <cellStyle name="40 % - Markeringsfarve1 3 3 5 7" xfId="21160" xr:uid="{00000000-0005-0000-0000-0000C6510000}"/>
    <cellStyle name="40 % - Markeringsfarve1 3 3 5 8" xfId="36148" xr:uid="{00000000-0005-0000-0000-0000C7510000}"/>
    <cellStyle name="40 % - Markeringsfarve1 3 3 6" xfId="3311" xr:uid="{00000000-0005-0000-0000-0000C8510000}"/>
    <cellStyle name="40 % - Markeringsfarve1 3 3 6 2" xfId="3312" xr:uid="{00000000-0005-0000-0000-0000C9510000}"/>
    <cellStyle name="40 % - Markeringsfarve1 3 3 6 2 2" xfId="3313" xr:uid="{00000000-0005-0000-0000-0000CA510000}"/>
    <cellStyle name="40 % - Markeringsfarve1 3 3 6 2 2 2" xfId="8140" xr:uid="{00000000-0005-0000-0000-0000CB510000}"/>
    <cellStyle name="40 % - Markeringsfarve1 3 3 6 2 2 2 2" xfId="16041" xr:uid="{00000000-0005-0000-0000-0000CC510000}"/>
    <cellStyle name="40 % - Markeringsfarve1 3 3 6 2 2 2 2 2" xfId="32355" xr:uid="{00000000-0005-0000-0000-0000CD510000}"/>
    <cellStyle name="40 % - Markeringsfarve1 3 3 6 2 2 2 2 3" xfId="47319" xr:uid="{00000000-0005-0000-0000-0000CE510000}"/>
    <cellStyle name="40 % - Markeringsfarve1 3 3 6 2 2 2 3" xfId="25333" xr:uid="{00000000-0005-0000-0000-0000CF510000}"/>
    <cellStyle name="40 % - Markeringsfarve1 3 3 6 2 2 2 4" xfId="40320" xr:uid="{00000000-0005-0000-0000-0000D0510000}"/>
    <cellStyle name="40 % - Markeringsfarve1 3 3 6 2 2 3" xfId="11870" xr:uid="{00000000-0005-0000-0000-0000D1510000}"/>
    <cellStyle name="40 % - Markeringsfarve1 3 3 6 2 2 3 2" xfId="28189" xr:uid="{00000000-0005-0000-0000-0000D2510000}"/>
    <cellStyle name="40 % - Markeringsfarve1 3 3 6 2 2 3 3" xfId="43154" xr:uid="{00000000-0005-0000-0000-0000D3510000}"/>
    <cellStyle name="40 % - Markeringsfarve1 3 3 6 2 2 4" xfId="21167" xr:uid="{00000000-0005-0000-0000-0000D4510000}"/>
    <cellStyle name="40 % - Markeringsfarve1 3 3 6 2 2 5" xfId="36155" xr:uid="{00000000-0005-0000-0000-0000D5510000}"/>
    <cellStyle name="40 % - Markeringsfarve1 3 3 6 2 3" xfId="6642" xr:uid="{00000000-0005-0000-0000-0000D6510000}"/>
    <cellStyle name="40 % - Markeringsfarve1 3 3 6 2 3 2" xfId="14556" xr:uid="{00000000-0005-0000-0000-0000D7510000}"/>
    <cellStyle name="40 % - Markeringsfarve1 3 3 6 2 3 2 2" xfId="30870" xr:uid="{00000000-0005-0000-0000-0000D8510000}"/>
    <cellStyle name="40 % - Markeringsfarve1 3 3 6 2 3 2 3" xfId="45834" xr:uid="{00000000-0005-0000-0000-0000D9510000}"/>
    <cellStyle name="40 % - Markeringsfarve1 3 3 6 2 3 3" xfId="23848" xr:uid="{00000000-0005-0000-0000-0000DA510000}"/>
    <cellStyle name="40 % - Markeringsfarve1 3 3 6 2 3 4" xfId="38835" xr:uid="{00000000-0005-0000-0000-0000DB510000}"/>
    <cellStyle name="40 % - Markeringsfarve1 3 3 6 2 4" xfId="11869" xr:uid="{00000000-0005-0000-0000-0000DC510000}"/>
    <cellStyle name="40 % - Markeringsfarve1 3 3 6 2 4 2" xfId="28188" xr:uid="{00000000-0005-0000-0000-0000DD510000}"/>
    <cellStyle name="40 % - Markeringsfarve1 3 3 6 2 4 3" xfId="43153" xr:uid="{00000000-0005-0000-0000-0000DE510000}"/>
    <cellStyle name="40 % - Markeringsfarve1 3 3 6 2 5" xfId="21166" xr:uid="{00000000-0005-0000-0000-0000DF510000}"/>
    <cellStyle name="40 % - Markeringsfarve1 3 3 6 2 6" xfId="36154" xr:uid="{00000000-0005-0000-0000-0000E0510000}"/>
    <cellStyle name="40 % - Markeringsfarve1 3 3 6 3" xfId="3314" xr:uid="{00000000-0005-0000-0000-0000E1510000}"/>
    <cellStyle name="40 % - Markeringsfarve1 3 3 6 3 2" xfId="7417" xr:uid="{00000000-0005-0000-0000-0000E2510000}"/>
    <cellStyle name="40 % - Markeringsfarve1 3 3 6 3 2 2" xfId="15327" xr:uid="{00000000-0005-0000-0000-0000E3510000}"/>
    <cellStyle name="40 % - Markeringsfarve1 3 3 6 3 2 2 2" xfId="31641" xr:uid="{00000000-0005-0000-0000-0000E4510000}"/>
    <cellStyle name="40 % - Markeringsfarve1 3 3 6 3 2 2 3" xfId="46605" xr:uid="{00000000-0005-0000-0000-0000E5510000}"/>
    <cellStyle name="40 % - Markeringsfarve1 3 3 6 3 2 3" xfId="24619" xr:uid="{00000000-0005-0000-0000-0000E6510000}"/>
    <cellStyle name="40 % - Markeringsfarve1 3 3 6 3 2 4" xfId="39606" xr:uid="{00000000-0005-0000-0000-0000E7510000}"/>
    <cellStyle name="40 % - Markeringsfarve1 3 3 6 3 3" xfId="11871" xr:uid="{00000000-0005-0000-0000-0000E8510000}"/>
    <cellStyle name="40 % - Markeringsfarve1 3 3 6 3 3 2" xfId="28190" xr:uid="{00000000-0005-0000-0000-0000E9510000}"/>
    <cellStyle name="40 % - Markeringsfarve1 3 3 6 3 3 3" xfId="43155" xr:uid="{00000000-0005-0000-0000-0000EA510000}"/>
    <cellStyle name="40 % - Markeringsfarve1 3 3 6 3 4" xfId="21168" xr:uid="{00000000-0005-0000-0000-0000EB510000}"/>
    <cellStyle name="40 % - Markeringsfarve1 3 3 6 3 5" xfId="36156" xr:uid="{00000000-0005-0000-0000-0000EC510000}"/>
    <cellStyle name="40 % - Markeringsfarve1 3 3 6 4" xfId="3315" xr:uid="{00000000-0005-0000-0000-0000ED510000}"/>
    <cellStyle name="40 % - Markeringsfarve1 3 3 6 4 2" xfId="8557" xr:uid="{00000000-0005-0000-0000-0000EE510000}"/>
    <cellStyle name="40 % - Markeringsfarve1 3 3 6 4 2 2" xfId="16445" xr:uid="{00000000-0005-0000-0000-0000EF510000}"/>
    <cellStyle name="40 % - Markeringsfarve1 3 3 6 4 2 2 2" xfId="32759" xr:uid="{00000000-0005-0000-0000-0000F0510000}"/>
    <cellStyle name="40 % - Markeringsfarve1 3 3 6 4 2 2 3" xfId="47723" xr:uid="{00000000-0005-0000-0000-0000F1510000}"/>
    <cellStyle name="40 % - Markeringsfarve1 3 3 6 4 2 3" xfId="25737" xr:uid="{00000000-0005-0000-0000-0000F2510000}"/>
    <cellStyle name="40 % - Markeringsfarve1 3 3 6 4 2 4" xfId="40724" xr:uid="{00000000-0005-0000-0000-0000F3510000}"/>
    <cellStyle name="40 % - Markeringsfarve1 3 3 6 4 3" xfId="11872" xr:uid="{00000000-0005-0000-0000-0000F4510000}"/>
    <cellStyle name="40 % - Markeringsfarve1 3 3 6 4 3 2" xfId="28191" xr:uid="{00000000-0005-0000-0000-0000F5510000}"/>
    <cellStyle name="40 % - Markeringsfarve1 3 3 6 4 3 3" xfId="43156" xr:uid="{00000000-0005-0000-0000-0000F6510000}"/>
    <cellStyle name="40 % - Markeringsfarve1 3 3 6 4 4" xfId="21169" xr:uid="{00000000-0005-0000-0000-0000F7510000}"/>
    <cellStyle name="40 % - Markeringsfarve1 3 3 6 4 5" xfId="36157" xr:uid="{00000000-0005-0000-0000-0000F8510000}"/>
    <cellStyle name="40 % - Markeringsfarve1 3 3 6 5" xfId="5780" xr:uid="{00000000-0005-0000-0000-0000F9510000}"/>
    <cellStyle name="40 % - Markeringsfarve1 3 3 6 5 2" xfId="13698" xr:uid="{00000000-0005-0000-0000-0000FA510000}"/>
    <cellStyle name="40 % - Markeringsfarve1 3 3 6 5 2 2" xfId="30012" xr:uid="{00000000-0005-0000-0000-0000FB510000}"/>
    <cellStyle name="40 % - Markeringsfarve1 3 3 6 5 2 3" xfId="44976" xr:uid="{00000000-0005-0000-0000-0000FC510000}"/>
    <cellStyle name="40 % - Markeringsfarve1 3 3 6 5 3" xfId="22990" xr:uid="{00000000-0005-0000-0000-0000FD510000}"/>
    <cellStyle name="40 % - Markeringsfarve1 3 3 6 5 4" xfId="37977" xr:uid="{00000000-0005-0000-0000-0000FE510000}"/>
    <cellStyle name="40 % - Markeringsfarve1 3 3 6 6" xfId="11868" xr:uid="{00000000-0005-0000-0000-0000FF510000}"/>
    <cellStyle name="40 % - Markeringsfarve1 3 3 6 6 2" xfId="28187" xr:uid="{00000000-0005-0000-0000-000000520000}"/>
    <cellStyle name="40 % - Markeringsfarve1 3 3 6 6 3" xfId="43152" xr:uid="{00000000-0005-0000-0000-000001520000}"/>
    <cellStyle name="40 % - Markeringsfarve1 3 3 6 7" xfId="21165" xr:uid="{00000000-0005-0000-0000-000002520000}"/>
    <cellStyle name="40 % - Markeringsfarve1 3 3 6 8" xfId="36153" xr:uid="{00000000-0005-0000-0000-000003520000}"/>
    <cellStyle name="40 % - Markeringsfarve1 3 3 7" xfId="3316" xr:uid="{00000000-0005-0000-0000-000004520000}"/>
    <cellStyle name="40 % - Markeringsfarve1 3 3 7 2" xfId="3317" xr:uid="{00000000-0005-0000-0000-000005520000}"/>
    <cellStyle name="40 % - Markeringsfarve1 3 3 7 2 2" xfId="7582" xr:uid="{00000000-0005-0000-0000-000006520000}"/>
    <cellStyle name="40 % - Markeringsfarve1 3 3 7 2 2 2" xfId="15483" xr:uid="{00000000-0005-0000-0000-000007520000}"/>
    <cellStyle name="40 % - Markeringsfarve1 3 3 7 2 2 2 2" xfId="31797" xr:uid="{00000000-0005-0000-0000-000008520000}"/>
    <cellStyle name="40 % - Markeringsfarve1 3 3 7 2 2 2 3" xfId="46761" xr:uid="{00000000-0005-0000-0000-000009520000}"/>
    <cellStyle name="40 % - Markeringsfarve1 3 3 7 2 2 3" xfId="24775" xr:uid="{00000000-0005-0000-0000-00000A520000}"/>
    <cellStyle name="40 % - Markeringsfarve1 3 3 7 2 2 4" xfId="39762" xr:uid="{00000000-0005-0000-0000-00000B520000}"/>
    <cellStyle name="40 % - Markeringsfarve1 3 3 7 2 3" xfId="11874" xr:uid="{00000000-0005-0000-0000-00000C520000}"/>
    <cellStyle name="40 % - Markeringsfarve1 3 3 7 2 3 2" xfId="28193" xr:uid="{00000000-0005-0000-0000-00000D520000}"/>
    <cellStyle name="40 % - Markeringsfarve1 3 3 7 2 3 3" xfId="43158" xr:uid="{00000000-0005-0000-0000-00000E520000}"/>
    <cellStyle name="40 % - Markeringsfarve1 3 3 7 2 4" xfId="21171" xr:uid="{00000000-0005-0000-0000-00000F520000}"/>
    <cellStyle name="40 % - Markeringsfarve1 3 3 7 2 5" xfId="36159" xr:uid="{00000000-0005-0000-0000-000010520000}"/>
    <cellStyle name="40 % - Markeringsfarve1 3 3 7 3" xfId="6171" xr:uid="{00000000-0005-0000-0000-000011520000}"/>
    <cellStyle name="40 % - Markeringsfarve1 3 3 7 3 2" xfId="14088" xr:uid="{00000000-0005-0000-0000-000012520000}"/>
    <cellStyle name="40 % - Markeringsfarve1 3 3 7 3 2 2" xfId="30402" xr:uid="{00000000-0005-0000-0000-000013520000}"/>
    <cellStyle name="40 % - Markeringsfarve1 3 3 7 3 2 3" xfId="45366" xr:uid="{00000000-0005-0000-0000-000014520000}"/>
    <cellStyle name="40 % - Markeringsfarve1 3 3 7 3 3" xfId="23380" xr:uid="{00000000-0005-0000-0000-000015520000}"/>
    <cellStyle name="40 % - Markeringsfarve1 3 3 7 3 4" xfId="38367" xr:uid="{00000000-0005-0000-0000-000016520000}"/>
    <cellStyle name="40 % - Markeringsfarve1 3 3 7 4" xfId="11873" xr:uid="{00000000-0005-0000-0000-000017520000}"/>
    <cellStyle name="40 % - Markeringsfarve1 3 3 7 4 2" xfId="28192" xr:uid="{00000000-0005-0000-0000-000018520000}"/>
    <cellStyle name="40 % - Markeringsfarve1 3 3 7 4 3" xfId="43157" xr:uid="{00000000-0005-0000-0000-000019520000}"/>
    <cellStyle name="40 % - Markeringsfarve1 3 3 7 5" xfId="21170" xr:uid="{00000000-0005-0000-0000-00001A520000}"/>
    <cellStyle name="40 % - Markeringsfarve1 3 3 7 6" xfId="36158" xr:uid="{00000000-0005-0000-0000-00001B520000}"/>
    <cellStyle name="40 % - Markeringsfarve1 3 3 8" xfId="3318" xr:uid="{00000000-0005-0000-0000-00001C520000}"/>
    <cellStyle name="40 % - Markeringsfarve1 3 3 8 2" xfId="6810" xr:uid="{00000000-0005-0000-0000-00001D520000}"/>
    <cellStyle name="40 % - Markeringsfarve1 3 3 8 2 2" xfId="14721" xr:uid="{00000000-0005-0000-0000-00001E520000}"/>
    <cellStyle name="40 % - Markeringsfarve1 3 3 8 2 2 2" xfId="31035" xr:uid="{00000000-0005-0000-0000-00001F520000}"/>
    <cellStyle name="40 % - Markeringsfarve1 3 3 8 2 2 3" xfId="45999" xr:uid="{00000000-0005-0000-0000-000020520000}"/>
    <cellStyle name="40 % - Markeringsfarve1 3 3 8 2 3" xfId="24013" xr:uid="{00000000-0005-0000-0000-000021520000}"/>
    <cellStyle name="40 % - Markeringsfarve1 3 3 8 2 4" xfId="39000" xr:uid="{00000000-0005-0000-0000-000022520000}"/>
    <cellStyle name="40 % - Markeringsfarve1 3 3 8 3" xfId="11875" xr:uid="{00000000-0005-0000-0000-000023520000}"/>
    <cellStyle name="40 % - Markeringsfarve1 3 3 8 3 2" xfId="28194" xr:uid="{00000000-0005-0000-0000-000024520000}"/>
    <cellStyle name="40 % - Markeringsfarve1 3 3 8 3 3" xfId="43159" xr:uid="{00000000-0005-0000-0000-000025520000}"/>
    <cellStyle name="40 % - Markeringsfarve1 3 3 8 4" xfId="21172" xr:uid="{00000000-0005-0000-0000-000026520000}"/>
    <cellStyle name="40 % - Markeringsfarve1 3 3 8 5" xfId="36160" xr:uid="{00000000-0005-0000-0000-000027520000}"/>
    <cellStyle name="40 % - Markeringsfarve1 3 3 9" xfId="3319" xr:uid="{00000000-0005-0000-0000-000028520000}"/>
    <cellStyle name="40 % - Markeringsfarve1 3 3 9 2" xfId="8645" xr:uid="{00000000-0005-0000-0000-000029520000}"/>
    <cellStyle name="40 % - Markeringsfarve1 3 3 9 2 2" xfId="16528" xr:uid="{00000000-0005-0000-0000-00002A520000}"/>
    <cellStyle name="40 % - Markeringsfarve1 3 3 9 2 2 2" xfId="32842" xr:uid="{00000000-0005-0000-0000-00002B520000}"/>
    <cellStyle name="40 % - Markeringsfarve1 3 3 9 2 2 3" xfId="47806" xr:uid="{00000000-0005-0000-0000-00002C520000}"/>
    <cellStyle name="40 % - Markeringsfarve1 3 3 9 2 3" xfId="25820" xr:uid="{00000000-0005-0000-0000-00002D520000}"/>
    <cellStyle name="40 % - Markeringsfarve1 3 3 9 2 4" xfId="40807" xr:uid="{00000000-0005-0000-0000-00002E520000}"/>
    <cellStyle name="40 % - Markeringsfarve1 3 3 9 3" xfId="11876" xr:uid="{00000000-0005-0000-0000-00002F520000}"/>
    <cellStyle name="40 % - Markeringsfarve1 3 3 9 3 2" xfId="28195" xr:uid="{00000000-0005-0000-0000-000030520000}"/>
    <cellStyle name="40 % - Markeringsfarve1 3 3 9 3 3" xfId="43160" xr:uid="{00000000-0005-0000-0000-000031520000}"/>
    <cellStyle name="40 % - Markeringsfarve1 3 3 9 4" xfId="21173" xr:uid="{00000000-0005-0000-0000-000032520000}"/>
    <cellStyle name="40 % - Markeringsfarve1 3 3 9 5" xfId="36161" xr:uid="{00000000-0005-0000-0000-000033520000}"/>
    <cellStyle name="40 % - Markeringsfarve1 3 4" xfId="3320" xr:uid="{00000000-0005-0000-0000-000034520000}"/>
    <cellStyle name="40 % - Markeringsfarve1 3 4 2" xfId="3321" xr:uid="{00000000-0005-0000-0000-000035520000}"/>
    <cellStyle name="40 % - Markeringsfarve1 3 4 2 2" xfId="3322" xr:uid="{00000000-0005-0000-0000-000036520000}"/>
    <cellStyle name="40 % - Markeringsfarve1 3 4 2 2 2" xfId="7623" xr:uid="{00000000-0005-0000-0000-000037520000}"/>
    <cellStyle name="40 % - Markeringsfarve1 3 4 2 2 2 2" xfId="15524" xr:uid="{00000000-0005-0000-0000-000038520000}"/>
    <cellStyle name="40 % - Markeringsfarve1 3 4 2 2 2 2 2" xfId="31838" xr:uid="{00000000-0005-0000-0000-000039520000}"/>
    <cellStyle name="40 % - Markeringsfarve1 3 4 2 2 2 2 3" xfId="46802" xr:uid="{00000000-0005-0000-0000-00003A520000}"/>
    <cellStyle name="40 % - Markeringsfarve1 3 4 2 2 2 3" xfId="24816" xr:uid="{00000000-0005-0000-0000-00003B520000}"/>
    <cellStyle name="40 % - Markeringsfarve1 3 4 2 2 2 4" xfId="39803" xr:uid="{00000000-0005-0000-0000-00003C520000}"/>
    <cellStyle name="40 % - Markeringsfarve1 3 4 2 2 3" xfId="11879" xr:uid="{00000000-0005-0000-0000-00003D520000}"/>
    <cellStyle name="40 % - Markeringsfarve1 3 4 2 2 3 2" xfId="28198" xr:uid="{00000000-0005-0000-0000-00003E520000}"/>
    <cellStyle name="40 % - Markeringsfarve1 3 4 2 2 3 3" xfId="43163" xr:uid="{00000000-0005-0000-0000-00003F520000}"/>
    <cellStyle name="40 % - Markeringsfarve1 3 4 2 2 4" xfId="21176" xr:uid="{00000000-0005-0000-0000-000040520000}"/>
    <cellStyle name="40 % - Markeringsfarve1 3 4 2 2 5" xfId="36164" xr:uid="{00000000-0005-0000-0000-000041520000}"/>
    <cellStyle name="40 % - Markeringsfarve1 3 4 2 3" xfId="6204" xr:uid="{00000000-0005-0000-0000-000042520000}"/>
    <cellStyle name="40 % - Markeringsfarve1 3 4 2 3 2" xfId="14121" xr:uid="{00000000-0005-0000-0000-000043520000}"/>
    <cellStyle name="40 % - Markeringsfarve1 3 4 2 3 2 2" xfId="30435" xr:uid="{00000000-0005-0000-0000-000044520000}"/>
    <cellStyle name="40 % - Markeringsfarve1 3 4 2 3 2 3" xfId="45399" xr:uid="{00000000-0005-0000-0000-000045520000}"/>
    <cellStyle name="40 % - Markeringsfarve1 3 4 2 3 3" xfId="23413" xr:uid="{00000000-0005-0000-0000-000046520000}"/>
    <cellStyle name="40 % - Markeringsfarve1 3 4 2 3 4" xfId="38400" xr:uid="{00000000-0005-0000-0000-000047520000}"/>
    <cellStyle name="40 % - Markeringsfarve1 3 4 2 4" xfId="11878" xr:uid="{00000000-0005-0000-0000-000048520000}"/>
    <cellStyle name="40 % - Markeringsfarve1 3 4 2 4 2" xfId="28197" xr:uid="{00000000-0005-0000-0000-000049520000}"/>
    <cellStyle name="40 % - Markeringsfarve1 3 4 2 4 3" xfId="43162" xr:uid="{00000000-0005-0000-0000-00004A520000}"/>
    <cellStyle name="40 % - Markeringsfarve1 3 4 2 5" xfId="21175" xr:uid="{00000000-0005-0000-0000-00004B520000}"/>
    <cellStyle name="40 % - Markeringsfarve1 3 4 2 6" xfId="36163" xr:uid="{00000000-0005-0000-0000-00004C520000}"/>
    <cellStyle name="40 % - Markeringsfarve1 3 4 3" xfId="3323" xr:uid="{00000000-0005-0000-0000-00004D520000}"/>
    <cellStyle name="40 % - Markeringsfarve1 3 4 3 2" xfId="6853" xr:uid="{00000000-0005-0000-0000-00004E520000}"/>
    <cellStyle name="40 % - Markeringsfarve1 3 4 3 2 2" xfId="14764" xr:uid="{00000000-0005-0000-0000-00004F520000}"/>
    <cellStyle name="40 % - Markeringsfarve1 3 4 3 2 2 2" xfId="31078" xr:uid="{00000000-0005-0000-0000-000050520000}"/>
    <cellStyle name="40 % - Markeringsfarve1 3 4 3 2 2 3" xfId="46042" xr:uid="{00000000-0005-0000-0000-000051520000}"/>
    <cellStyle name="40 % - Markeringsfarve1 3 4 3 2 3" xfId="24056" xr:uid="{00000000-0005-0000-0000-000052520000}"/>
    <cellStyle name="40 % - Markeringsfarve1 3 4 3 2 4" xfId="39043" xr:uid="{00000000-0005-0000-0000-000053520000}"/>
    <cellStyle name="40 % - Markeringsfarve1 3 4 3 3" xfId="11880" xr:uid="{00000000-0005-0000-0000-000054520000}"/>
    <cellStyle name="40 % - Markeringsfarve1 3 4 3 3 2" xfId="28199" xr:uid="{00000000-0005-0000-0000-000055520000}"/>
    <cellStyle name="40 % - Markeringsfarve1 3 4 3 3 3" xfId="43164" xr:uid="{00000000-0005-0000-0000-000056520000}"/>
    <cellStyle name="40 % - Markeringsfarve1 3 4 3 4" xfId="21177" xr:uid="{00000000-0005-0000-0000-000057520000}"/>
    <cellStyle name="40 % - Markeringsfarve1 3 4 3 5" xfId="36165" xr:uid="{00000000-0005-0000-0000-000058520000}"/>
    <cellStyle name="40 % - Markeringsfarve1 3 4 4" xfId="3324" xr:uid="{00000000-0005-0000-0000-000059520000}"/>
    <cellStyle name="40 % - Markeringsfarve1 3 4 4 2" xfId="8777" xr:uid="{00000000-0005-0000-0000-00005A520000}"/>
    <cellStyle name="40 % - Markeringsfarve1 3 4 4 2 2" xfId="16653" xr:uid="{00000000-0005-0000-0000-00005B520000}"/>
    <cellStyle name="40 % - Markeringsfarve1 3 4 4 2 2 2" xfId="32967" xr:uid="{00000000-0005-0000-0000-00005C520000}"/>
    <cellStyle name="40 % - Markeringsfarve1 3 4 4 2 2 3" xfId="47931" xr:uid="{00000000-0005-0000-0000-00005D520000}"/>
    <cellStyle name="40 % - Markeringsfarve1 3 4 4 2 3" xfId="25945" xr:uid="{00000000-0005-0000-0000-00005E520000}"/>
    <cellStyle name="40 % - Markeringsfarve1 3 4 4 2 4" xfId="40932" xr:uid="{00000000-0005-0000-0000-00005F520000}"/>
    <cellStyle name="40 % - Markeringsfarve1 3 4 4 3" xfId="11881" xr:uid="{00000000-0005-0000-0000-000060520000}"/>
    <cellStyle name="40 % - Markeringsfarve1 3 4 4 3 2" xfId="28200" xr:uid="{00000000-0005-0000-0000-000061520000}"/>
    <cellStyle name="40 % - Markeringsfarve1 3 4 4 3 3" xfId="43165" xr:uid="{00000000-0005-0000-0000-000062520000}"/>
    <cellStyle name="40 % - Markeringsfarve1 3 4 4 4" xfId="21178" xr:uid="{00000000-0005-0000-0000-000063520000}"/>
    <cellStyle name="40 % - Markeringsfarve1 3 4 4 5" xfId="36166" xr:uid="{00000000-0005-0000-0000-000064520000}"/>
    <cellStyle name="40 % - Markeringsfarve1 3 4 5" xfId="5781" xr:uid="{00000000-0005-0000-0000-000065520000}"/>
    <cellStyle name="40 % - Markeringsfarve1 3 4 5 2" xfId="13699" xr:uid="{00000000-0005-0000-0000-000066520000}"/>
    <cellStyle name="40 % - Markeringsfarve1 3 4 5 2 2" xfId="30013" xr:uid="{00000000-0005-0000-0000-000067520000}"/>
    <cellStyle name="40 % - Markeringsfarve1 3 4 5 2 3" xfId="44977" xr:uid="{00000000-0005-0000-0000-000068520000}"/>
    <cellStyle name="40 % - Markeringsfarve1 3 4 5 3" xfId="22991" xr:uid="{00000000-0005-0000-0000-000069520000}"/>
    <cellStyle name="40 % - Markeringsfarve1 3 4 5 4" xfId="37978" xr:uid="{00000000-0005-0000-0000-00006A520000}"/>
    <cellStyle name="40 % - Markeringsfarve1 3 4 6" xfId="11877" xr:uid="{00000000-0005-0000-0000-00006B520000}"/>
    <cellStyle name="40 % - Markeringsfarve1 3 4 6 2" xfId="28196" xr:uid="{00000000-0005-0000-0000-00006C520000}"/>
    <cellStyle name="40 % - Markeringsfarve1 3 4 6 3" xfId="43161" xr:uid="{00000000-0005-0000-0000-00006D520000}"/>
    <cellStyle name="40 % - Markeringsfarve1 3 4 7" xfId="21174" xr:uid="{00000000-0005-0000-0000-00006E520000}"/>
    <cellStyle name="40 % - Markeringsfarve1 3 4 8" xfId="36162" xr:uid="{00000000-0005-0000-0000-00006F520000}"/>
    <cellStyle name="40 % - Markeringsfarve1 3 5" xfId="3325" xr:uid="{00000000-0005-0000-0000-000070520000}"/>
    <cellStyle name="40 % - Markeringsfarve1 3 5 2" xfId="3326" xr:uid="{00000000-0005-0000-0000-000071520000}"/>
    <cellStyle name="40 % - Markeringsfarve1 3 5 2 2" xfId="3327" xr:uid="{00000000-0005-0000-0000-000072520000}"/>
    <cellStyle name="40 % - Markeringsfarve1 3 5 2 2 2" xfId="7784" xr:uid="{00000000-0005-0000-0000-000073520000}"/>
    <cellStyle name="40 % - Markeringsfarve1 3 5 2 2 2 2" xfId="15685" xr:uid="{00000000-0005-0000-0000-000074520000}"/>
    <cellStyle name="40 % - Markeringsfarve1 3 5 2 2 2 2 2" xfId="31999" xr:uid="{00000000-0005-0000-0000-000075520000}"/>
    <cellStyle name="40 % - Markeringsfarve1 3 5 2 2 2 2 3" xfId="46963" xr:uid="{00000000-0005-0000-0000-000076520000}"/>
    <cellStyle name="40 % - Markeringsfarve1 3 5 2 2 2 3" xfId="24977" xr:uid="{00000000-0005-0000-0000-000077520000}"/>
    <cellStyle name="40 % - Markeringsfarve1 3 5 2 2 2 4" xfId="39964" xr:uid="{00000000-0005-0000-0000-000078520000}"/>
    <cellStyle name="40 % - Markeringsfarve1 3 5 2 2 3" xfId="11884" xr:uid="{00000000-0005-0000-0000-000079520000}"/>
    <cellStyle name="40 % - Markeringsfarve1 3 5 2 2 3 2" xfId="28203" xr:uid="{00000000-0005-0000-0000-00007A520000}"/>
    <cellStyle name="40 % - Markeringsfarve1 3 5 2 2 3 3" xfId="43168" xr:uid="{00000000-0005-0000-0000-00007B520000}"/>
    <cellStyle name="40 % - Markeringsfarve1 3 5 2 2 4" xfId="21181" xr:uid="{00000000-0005-0000-0000-00007C520000}"/>
    <cellStyle name="40 % - Markeringsfarve1 3 5 2 2 5" xfId="36169" xr:uid="{00000000-0005-0000-0000-00007D520000}"/>
    <cellStyle name="40 % - Markeringsfarve1 3 5 2 3" xfId="6339" xr:uid="{00000000-0005-0000-0000-00007E520000}"/>
    <cellStyle name="40 % - Markeringsfarve1 3 5 2 3 2" xfId="14256" xr:uid="{00000000-0005-0000-0000-00007F520000}"/>
    <cellStyle name="40 % - Markeringsfarve1 3 5 2 3 2 2" xfId="30570" xr:uid="{00000000-0005-0000-0000-000080520000}"/>
    <cellStyle name="40 % - Markeringsfarve1 3 5 2 3 2 3" xfId="45534" xr:uid="{00000000-0005-0000-0000-000081520000}"/>
    <cellStyle name="40 % - Markeringsfarve1 3 5 2 3 3" xfId="23548" xr:uid="{00000000-0005-0000-0000-000082520000}"/>
    <cellStyle name="40 % - Markeringsfarve1 3 5 2 3 4" xfId="38535" xr:uid="{00000000-0005-0000-0000-000083520000}"/>
    <cellStyle name="40 % - Markeringsfarve1 3 5 2 4" xfId="11883" xr:uid="{00000000-0005-0000-0000-000084520000}"/>
    <cellStyle name="40 % - Markeringsfarve1 3 5 2 4 2" xfId="28202" xr:uid="{00000000-0005-0000-0000-000085520000}"/>
    <cellStyle name="40 % - Markeringsfarve1 3 5 2 4 3" xfId="43167" xr:uid="{00000000-0005-0000-0000-000086520000}"/>
    <cellStyle name="40 % - Markeringsfarve1 3 5 2 5" xfId="21180" xr:uid="{00000000-0005-0000-0000-000087520000}"/>
    <cellStyle name="40 % - Markeringsfarve1 3 5 2 6" xfId="36168" xr:uid="{00000000-0005-0000-0000-000088520000}"/>
    <cellStyle name="40 % - Markeringsfarve1 3 5 3" xfId="3328" xr:uid="{00000000-0005-0000-0000-000089520000}"/>
    <cellStyle name="40 % - Markeringsfarve1 3 5 3 2" xfId="7014" xr:uid="{00000000-0005-0000-0000-00008A520000}"/>
    <cellStyle name="40 % - Markeringsfarve1 3 5 3 2 2" xfId="14925" xr:uid="{00000000-0005-0000-0000-00008B520000}"/>
    <cellStyle name="40 % - Markeringsfarve1 3 5 3 2 2 2" xfId="31239" xr:uid="{00000000-0005-0000-0000-00008C520000}"/>
    <cellStyle name="40 % - Markeringsfarve1 3 5 3 2 2 3" xfId="46203" xr:uid="{00000000-0005-0000-0000-00008D520000}"/>
    <cellStyle name="40 % - Markeringsfarve1 3 5 3 2 3" xfId="24217" xr:uid="{00000000-0005-0000-0000-00008E520000}"/>
    <cellStyle name="40 % - Markeringsfarve1 3 5 3 2 4" xfId="39204" xr:uid="{00000000-0005-0000-0000-00008F520000}"/>
    <cellStyle name="40 % - Markeringsfarve1 3 5 3 3" xfId="11885" xr:uid="{00000000-0005-0000-0000-000090520000}"/>
    <cellStyle name="40 % - Markeringsfarve1 3 5 3 3 2" xfId="28204" xr:uid="{00000000-0005-0000-0000-000091520000}"/>
    <cellStyle name="40 % - Markeringsfarve1 3 5 3 3 3" xfId="43169" xr:uid="{00000000-0005-0000-0000-000092520000}"/>
    <cellStyle name="40 % - Markeringsfarve1 3 5 3 4" xfId="21182" xr:uid="{00000000-0005-0000-0000-000093520000}"/>
    <cellStyle name="40 % - Markeringsfarve1 3 5 3 5" xfId="36170" xr:uid="{00000000-0005-0000-0000-000094520000}"/>
    <cellStyle name="40 % - Markeringsfarve1 3 5 4" xfId="3329" xr:uid="{00000000-0005-0000-0000-000095520000}"/>
    <cellStyle name="40 % - Markeringsfarve1 3 5 4 2" xfId="8497" xr:uid="{00000000-0005-0000-0000-000096520000}"/>
    <cellStyle name="40 % - Markeringsfarve1 3 5 4 2 2" xfId="16386" xr:uid="{00000000-0005-0000-0000-000097520000}"/>
    <cellStyle name="40 % - Markeringsfarve1 3 5 4 2 2 2" xfId="32700" xr:uid="{00000000-0005-0000-0000-000098520000}"/>
    <cellStyle name="40 % - Markeringsfarve1 3 5 4 2 2 3" xfId="47664" xr:uid="{00000000-0005-0000-0000-000099520000}"/>
    <cellStyle name="40 % - Markeringsfarve1 3 5 4 2 3" xfId="25678" xr:uid="{00000000-0005-0000-0000-00009A520000}"/>
    <cellStyle name="40 % - Markeringsfarve1 3 5 4 2 4" xfId="40665" xr:uid="{00000000-0005-0000-0000-00009B520000}"/>
    <cellStyle name="40 % - Markeringsfarve1 3 5 4 3" xfId="11886" xr:uid="{00000000-0005-0000-0000-00009C520000}"/>
    <cellStyle name="40 % - Markeringsfarve1 3 5 4 3 2" xfId="28205" xr:uid="{00000000-0005-0000-0000-00009D520000}"/>
    <cellStyle name="40 % - Markeringsfarve1 3 5 4 3 3" xfId="43170" xr:uid="{00000000-0005-0000-0000-00009E520000}"/>
    <cellStyle name="40 % - Markeringsfarve1 3 5 4 4" xfId="21183" xr:uid="{00000000-0005-0000-0000-00009F520000}"/>
    <cellStyle name="40 % - Markeringsfarve1 3 5 4 5" xfId="36171" xr:uid="{00000000-0005-0000-0000-0000A0520000}"/>
    <cellStyle name="40 % - Markeringsfarve1 3 5 5" xfId="5782" xr:uid="{00000000-0005-0000-0000-0000A1520000}"/>
    <cellStyle name="40 % - Markeringsfarve1 3 5 5 2" xfId="13700" xr:uid="{00000000-0005-0000-0000-0000A2520000}"/>
    <cellStyle name="40 % - Markeringsfarve1 3 5 5 2 2" xfId="30014" xr:uid="{00000000-0005-0000-0000-0000A3520000}"/>
    <cellStyle name="40 % - Markeringsfarve1 3 5 5 2 3" xfId="44978" xr:uid="{00000000-0005-0000-0000-0000A4520000}"/>
    <cellStyle name="40 % - Markeringsfarve1 3 5 5 3" xfId="22992" xr:uid="{00000000-0005-0000-0000-0000A5520000}"/>
    <cellStyle name="40 % - Markeringsfarve1 3 5 5 4" xfId="37979" xr:uid="{00000000-0005-0000-0000-0000A6520000}"/>
    <cellStyle name="40 % - Markeringsfarve1 3 5 6" xfId="11882" xr:uid="{00000000-0005-0000-0000-0000A7520000}"/>
    <cellStyle name="40 % - Markeringsfarve1 3 5 6 2" xfId="28201" xr:uid="{00000000-0005-0000-0000-0000A8520000}"/>
    <cellStyle name="40 % - Markeringsfarve1 3 5 6 3" xfId="43166" xr:uid="{00000000-0005-0000-0000-0000A9520000}"/>
    <cellStyle name="40 % - Markeringsfarve1 3 5 7" xfId="21179" xr:uid="{00000000-0005-0000-0000-0000AA520000}"/>
    <cellStyle name="40 % - Markeringsfarve1 3 5 8" xfId="36167" xr:uid="{00000000-0005-0000-0000-0000AB520000}"/>
    <cellStyle name="40 % - Markeringsfarve1 3 6" xfId="3330" xr:uid="{00000000-0005-0000-0000-0000AC520000}"/>
    <cellStyle name="40 % - Markeringsfarve1 3 6 2" xfId="3331" xr:uid="{00000000-0005-0000-0000-0000AD520000}"/>
    <cellStyle name="40 % - Markeringsfarve1 3 6 2 2" xfId="3332" xr:uid="{00000000-0005-0000-0000-0000AE520000}"/>
    <cellStyle name="40 % - Markeringsfarve1 3 6 2 2 2" xfId="7861" xr:uid="{00000000-0005-0000-0000-0000AF520000}"/>
    <cellStyle name="40 % - Markeringsfarve1 3 6 2 2 2 2" xfId="15762" xr:uid="{00000000-0005-0000-0000-0000B0520000}"/>
    <cellStyle name="40 % - Markeringsfarve1 3 6 2 2 2 2 2" xfId="32076" xr:uid="{00000000-0005-0000-0000-0000B1520000}"/>
    <cellStyle name="40 % - Markeringsfarve1 3 6 2 2 2 2 3" xfId="47040" xr:uid="{00000000-0005-0000-0000-0000B2520000}"/>
    <cellStyle name="40 % - Markeringsfarve1 3 6 2 2 2 3" xfId="25054" xr:uid="{00000000-0005-0000-0000-0000B3520000}"/>
    <cellStyle name="40 % - Markeringsfarve1 3 6 2 2 2 4" xfId="40041" xr:uid="{00000000-0005-0000-0000-0000B4520000}"/>
    <cellStyle name="40 % - Markeringsfarve1 3 6 2 2 3" xfId="11889" xr:uid="{00000000-0005-0000-0000-0000B5520000}"/>
    <cellStyle name="40 % - Markeringsfarve1 3 6 2 2 3 2" xfId="28208" xr:uid="{00000000-0005-0000-0000-0000B6520000}"/>
    <cellStyle name="40 % - Markeringsfarve1 3 6 2 2 3 3" xfId="43173" xr:uid="{00000000-0005-0000-0000-0000B7520000}"/>
    <cellStyle name="40 % - Markeringsfarve1 3 6 2 2 4" xfId="21186" xr:uid="{00000000-0005-0000-0000-0000B8520000}"/>
    <cellStyle name="40 % - Markeringsfarve1 3 6 2 2 5" xfId="36174" xr:uid="{00000000-0005-0000-0000-0000B9520000}"/>
    <cellStyle name="40 % - Markeringsfarve1 3 6 2 3" xfId="6406" xr:uid="{00000000-0005-0000-0000-0000BA520000}"/>
    <cellStyle name="40 % - Markeringsfarve1 3 6 2 3 2" xfId="14320" xr:uid="{00000000-0005-0000-0000-0000BB520000}"/>
    <cellStyle name="40 % - Markeringsfarve1 3 6 2 3 2 2" xfId="30634" xr:uid="{00000000-0005-0000-0000-0000BC520000}"/>
    <cellStyle name="40 % - Markeringsfarve1 3 6 2 3 2 3" xfId="45598" xr:uid="{00000000-0005-0000-0000-0000BD520000}"/>
    <cellStyle name="40 % - Markeringsfarve1 3 6 2 3 3" xfId="23612" xr:uid="{00000000-0005-0000-0000-0000BE520000}"/>
    <cellStyle name="40 % - Markeringsfarve1 3 6 2 3 4" xfId="38599" xr:uid="{00000000-0005-0000-0000-0000BF520000}"/>
    <cellStyle name="40 % - Markeringsfarve1 3 6 2 4" xfId="11888" xr:uid="{00000000-0005-0000-0000-0000C0520000}"/>
    <cellStyle name="40 % - Markeringsfarve1 3 6 2 4 2" xfId="28207" xr:uid="{00000000-0005-0000-0000-0000C1520000}"/>
    <cellStyle name="40 % - Markeringsfarve1 3 6 2 4 3" xfId="43172" xr:uid="{00000000-0005-0000-0000-0000C2520000}"/>
    <cellStyle name="40 % - Markeringsfarve1 3 6 2 5" xfId="21185" xr:uid="{00000000-0005-0000-0000-0000C3520000}"/>
    <cellStyle name="40 % - Markeringsfarve1 3 6 2 6" xfId="36173" xr:uid="{00000000-0005-0000-0000-0000C4520000}"/>
    <cellStyle name="40 % - Markeringsfarve1 3 6 3" xfId="3333" xr:uid="{00000000-0005-0000-0000-0000C5520000}"/>
    <cellStyle name="40 % - Markeringsfarve1 3 6 3 2" xfId="7137" xr:uid="{00000000-0005-0000-0000-0000C6520000}"/>
    <cellStyle name="40 % - Markeringsfarve1 3 6 3 2 2" xfId="15047" xr:uid="{00000000-0005-0000-0000-0000C7520000}"/>
    <cellStyle name="40 % - Markeringsfarve1 3 6 3 2 2 2" xfId="31361" xr:uid="{00000000-0005-0000-0000-0000C8520000}"/>
    <cellStyle name="40 % - Markeringsfarve1 3 6 3 2 2 3" xfId="46325" xr:uid="{00000000-0005-0000-0000-0000C9520000}"/>
    <cellStyle name="40 % - Markeringsfarve1 3 6 3 2 3" xfId="24339" xr:uid="{00000000-0005-0000-0000-0000CA520000}"/>
    <cellStyle name="40 % - Markeringsfarve1 3 6 3 2 4" xfId="39326" xr:uid="{00000000-0005-0000-0000-0000CB520000}"/>
    <cellStyle name="40 % - Markeringsfarve1 3 6 3 3" xfId="11890" xr:uid="{00000000-0005-0000-0000-0000CC520000}"/>
    <cellStyle name="40 % - Markeringsfarve1 3 6 3 3 2" xfId="28209" xr:uid="{00000000-0005-0000-0000-0000CD520000}"/>
    <cellStyle name="40 % - Markeringsfarve1 3 6 3 3 3" xfId="43174" xr:uid="{00000000-0005-0000-0000-0000CE520000}"/>
    <cellStyle name="40 % - Markeringsfarve1 3 6 3 4" xfId="21187" xr:uid="{00000000-0005-0000-0000-0000CF520000}"/>
    <cellStyle name="40 % - Markeringsfarve1 3 6 3 5" xfId="36175" xr:uid="{00000000-0005-0000-0000-0000D0520000}"/>
    <cellStyle name="40 % - Markeringsfarve1 3 6 4" xfId="3334" xr:uid="{00000000-0005-0000-0000-0000D1520000}"/>
    <cellStyle name="40 % - Markeringsfarve1 3 6 4 2" xfId="8730" xr:uid="{00000000-0005-0000-0000-0000D2520000}"/>
    <cellStyle name="40 % - Markeringsfarve1 3 6 4 2 2" xfId="16610" xr:uid="{00000000-0005-0000-0000-0000D3520000}"/>
    <cellStyle name="40 % - Markeringsfarve1 3 6 4 2 2 2" xfId="32924" xr:uid="{00000000-0005-0000-0000-0000D4520000}"/>
    <cellStyle name="40 % - Markeringsfarve1 3 6 4 2 2 3" xfId="47888" xr:uid="{00000000-0005-0000-0000-0000D5520000}"/>
    <cellStyle name="40 % - Markeringsfarve1 3 6 4 2 3" xfId="25902" xr:uid="{00000000-0005-0000-0000-0000D6520000}"/>
    <cellStyle name="40 % - Markeringsfarve1 3 6 4 2 4" xfId="40889" xr:uid="{00000000-0005-0000-0000-0000D7520000}"/>
    <cellStyle name="40 % - Markeringsfarve1 3 6 4 3" xfId="11891" xr:uid="{00000000-0005-0000-0000-0000D8520000}"/>
    <cellStyle name="40 % - Markeringsfarve1 3 6 4 3 2" xfId="28210" xr:uid="{00000000-0005-0000-0000-0000D9520000}"/>
    <cellStyle name="40 % - Markeringsfarve1 3 6 4 3 3" xfId="43175" xr:uid="{00000000-0005-0000-0000-0000DA520000}"/>
    <cellStyle name="40 % - Markeringsfarve1 3 6 4 4" xfId="21188" xr:uid="{00000000-0005-0000-0000-0000DB520000}"/>
    <cellStyle name="40 % - Markeringsfarve1 3 6 4 5" xfId="36176" xr:uid="{00000000-0005-0000-0000-0000DC520000}"/>
    <cellStyle name="40 % - Markeringsfarve1 3 6 5" xfId="5783" xr:uid="{00000000-0005-0000-0000-0000DD520000}"/>
    <cellStyle name="40 % - Markeringsfarve1 3 6 5 2" xfId="13701" xr:uid="{00000000-0005-0000-0000-0000DE520000}"/>
    <cellStyle name="40 % - Markeringsfarve1 3 6 5 2 2" xfId="30015" xr:uid="{00000000-0005-0000-0000-0000DF520000}"/>
    <cellStyle name="40 % - Markeringsfarve1 3 6 5 2 3" xfId="44979" xr:uid="{00000000-0005-0000-0000-0000E0520000}"/>
    <cellStyle name="40 % - Markeringsfarve1 3 6 5 3" xfId="22993" xr:uid="{00000000-0005-0000-0000-0000E1520000}"/>
    <cellStyle name="40 % - Markeringsfarve1 3 6 5 4" xfId="37980" xr:uid="{00000000-0005-0000-0000-0000E2520000}"/>
    <cellStyle name="40 % - Markeringsfarve1 3 6 6" xfId="11887" xr:uid="{00000000-0005-0000-0000-0000E3520000}"/>
    <cellStyle name="40 % - Markeringsfarve1 3 6 6 2" xfId="28206" xr:uid="{00000000-0005-0000-0000-0000E4520000}"/>
    <cellStyle name="40 % - Markeringsfarve1 3 6 6 3" xfId="43171" xr:uid="{00000000-0005-0000-0000-0000E5520000}"/>
    <cellStyle name="40 % - Markeringsfarve1 3 6 7" xfId="21184" xr:uid="{00000000-0005-0000-0000-0000E6520000}"/>
    <cellStyle name="40 % - Markeringsfarve1 3 6 8" xfId="36172" xr:uid="{00000000-0005-0000-0000-0000E7520000}"/>
    <cellStyle name="40 % - Markeringsfarve1 3 7" xfId="3335" xr:uid="{00000000-0005-0000-0000-0000E8520000}"/>
    <cellStyle name="40 % - Markeringsfarve1 3 7 2" xfId="3336" xr:uid="{00000000-0005-0000-0000-0000E9520000}"/>
    <cellStyle name="40 % - Markeringsfarve1 3 7 2 2" xfId="3337" xr:uid="{00000000-0005-0000-0000-0000EA520000}"/>
    <cellStyle name="40 % - Markeringsfarve1 3 7 2 2 2" xfId="7978" xr:uid="{00000000-0005-0000-0000-0000EB520000}"/>
    <cellStyle name="40 % - Markeringsfarve1 3 7 2 2 2 2" xfId="15879" xr:uid="{00000000-0005-0000-0000-0000EC520000}"/>
    <cellStyle name="40 % - Markeringsfarve1 3 7 2 2 2 2 2" xfId="32193" xr:uid="{00000000-0005-0000-0000-0000ED520000}"/>
    <cellStyle name="40 % - Markeringsfarve1 3 7 2 2 2 2 3" xfId="47157" xr:uid="{00000000-0005-0000-0000-0000EE520000}"/>
    <cellStyle name="40 % - Markeringsfarve1 3 7 2 2 2 3" xfId="25171" xr:uid="{00000000-0005-0000-0000-0000EF520000}"/>
    <cellStyle name="40 % - Markeringsfarve1 3 7 2 2 2 4" xfId="40158" xr:uid="{00000000-0005-0000-0000-0000F0520000}"/>
    <cellStyle name="40 % - Markeringsfarve1 3 7 2 2 3" xfId="11894" xr:uid="{00000000-0005-0000-0000-0000F1520000}"/>
    <cellStyle name="40 % - Markeringsfarve1 3 7 2 2 3 2" xfId="28213" xr:uid="{00000000-0005-0000-0000-0000F2520000}"/>
    <cellStyle name="40 % - Markeringsfarve1 3 7 2 2 3 3" xfId="43178" xr:uid="{00000000-0005-0000-0000-0000F3520000}"/>
    <cellStyle name="40 % - Markeringsfarve1 3 7 2 2 4" xfId="21191" xr:uid="{00000000-0005-0000-0000-0000F4520000}"/>
    <cellStyle name="40 % - Markeringsfarve1 3 7 2 2 5" xfId="36179" xr:uid="{00000000-0005-0000-0000-0000F5520000}"/>
    <cellStyle name="40 % - Markeringsfarve1 3 7 2 3" xfId="6505" xr:uid="{00000000-0005-0000-0000-0000F6520000}"/>
    <cellStyle name="40 % - Markeringsfarve1 3 7 2 3 2" xfId="14419" xr:uid="{00000000-0005-0000-0000-0000F7520000}"/>
    <cellStyle name="40 % - Markeringsfarve1 3 7 2 3 2 2" xfId="30733" xr:uid="{00000000-0005-0000-0000-0000F8520000}"/>
    <cellStyle name="40 % - Markeringsfarve1 3 7 2 3 2 3" xfId="45697" xr:uid="{00000000-0005-0000-0000-0000F9520000}"/>
    <cellStyle name="40 % - Markeringsfarve1 3 7 2 3 3" xfId="23711" xr:uid="{00000000-0005-0000-0000-0000FA520000}"/>
    <cellStyle name="40 % - Markeringsfarve1 3 7 2 3 4" xfId="38698" xr:uid="{00000000-0005-0000-0000-0000FB520000}"/>
    <cellStyle name="40 % - Markeringsfarve1 3 7 2 4" xfId="11893" xr:uid="{00000000-0005-0000-0000-0000FC520000}"/>
    <cellStyle name="40 % - Markeringsfarve1 3 7 2 4 2" xfId="28212" xr:uid="{00000000-0005-0000-0000-0000FD520000}"/>
    <cellStyle name="40 % - Markeringsfarve1 3 7 2 4 3" xfId="43177" xr:uid="{00000000-0005-0000-0000-0000FE520000}"/>
    <cellStyle name="40 % - Markeringsfarve1 3 7 2 5" xfId="21190" xr:uid="{00000000-0005-0000-0000-0000FF520000}"/>
    <cellStyle name="40 % - Markeringsfarve1 3 7 2 6" xfId="36178" xr:uid="{00000000-0005-0000-0000-000000530000}"/>
    <cellStyle name="40 % - Markeringsfarve1 3 7 3" xfId="3338" xr:uid="{00000000-0005-0000-0000-000001530000}"/>
    <cellStyle name="40 % - Markeringsfarve1 3 7 3 2" xfId="7254" xr:uid="{00000000-0005-0000-0000-000002530000}"/>
    <cellStyle name="40 % - Markeringsfarve1 3 7 3 2 2" xfId="15164" xr:uid="{00000000-0005-0000-0000-000003530000}"/>
    <cellStyle name="40 % - Markeringsfarve1 3 7 3 2 2 2" xfId="31478" xr:uid="{00000000-0005-0000-0000-000004530000}"/>
    <cellStyle name="40 % - Markeringsfarve1 3 7 3 2 2 3" xfId="46442" xr:uid="{00000000-0005-0000-0000-000005530000}"/>
    <cellStyle name="40 % - Markeringsfarve1 3 7 3 2 3" xfId="24456" xr:uid="{00000000-0005-0000-0000-000006530000}"/>
    <cellStyle name="40 % - Markeringsfarve1 3 7 3 2 4" xfId="39443" xr:uid="{00000000-0005-0000-0000-000007530000}"/>
    <cellStyle name="40 % - Markeringsfarve1 3 7 3 3" xfId="11895" xr:uid="{00000000-0005-0000-0000-000008530000}"/>
    <cellStyle name="40 % - Markeringsfarve1 3 7 3 3 2" xfId="28214" xr:uid="{00000000-0005-0000-0000-000009530000}"/>
    <cellStyle name="40 % - Markeringsfarve1 3 7 3 3 3" xfId="43179" xr:uid="{00000000-0005-0000-0000-00000A530000}"/>
    <cellStyle name="40 % - Markeringsfarve1 3 7 3 4" xfId="21192" xr:uid="{00000000-0005-0000-0000-00000B530000}"/>
    <cellStyle name="40 % - Markeringsfarve1 3 7 3 5" xfId="36180" xr:uid="{00000000-0005-0000-0000-00000C530000}"/>
    <cellStyle name="40 % - Markeringsfarve1 3 7 4" xfId="3339" xr:uid="{00000000-0005-0000-0000-00000D530000}"/>
    <cellStyle name="40 % - Markeringsfarve1 3 7 4 2" xfId="8454" xr:uid="{00000000-0005-0000-0000-00000E530000}"/>
    <cellStyle name="40 % - Markeringsfarve1 3 7 4 2 2" xfId="16346" xr:uid="{00000000-0005-0000-0000-00000F530000}"/>
    <cellStyle name="40 % - Markeringsfarve1 3 7 4 2 2 2" xfId="32660" xr:uid="{00000000-0005-0000-0000-000010530000}"/>
    <cellStyle name="40 % - Markeringsfarve1 3 7 4 2 2 3" xfId="47624" xr:uid="{00000000-0005-0000-0000-000011530000}"/>
    <cellStyle name="40 % - Markeringsfarve1 3 7 4 2 3" xfId="25638" xr:uid="{00000000-0005-0000-0000-000012530000}"/>
    <cellStyle name="40 % - Markeringsfarve1 3 7 4 2 4" xfId="40625" xr:uid="{00000000-0005-0000-0000-000013530000}"/>
    <cellStyle name="40 % - Markeringsfarve1 3 7 4 3" xfId="11896" xr:uid="{00000000-0005-0000-0000-000014530000}"/>
    <cellStyle name="40 % - Markeringsfarve1 3 7 4 3 2" xfId="28215" xr:uid="{00000000-0005-0000-0000-000015530000}"/>
    <cellStyle name="40 % - Markeringsfarve1 3 7 4 3 3" xfId="43180" xr:uid="{00000000-0005-0000-0000-000016530000}"/>
    <cellStyle name="40 % - Markeringsfarve1 3 7 4 4" xfId="21193" xr:uid="{00000000-0005-0000-0000-000017530000}"/>
    <cellStyle name="40 % - Markeringsfarve1 3 7 4 5" xfId="36181" xr:uid="{00000000-0005-0000-0000-000018530000}"/>
    <cellStyle name="40 % - Markeringsfarve1 3 7 5" xfId="5784" xr:uid="{00000000-0005-0000-0000-000019530000}"/>
    <cellStyle name="40 % - Markeringsfarve1 3 7 5 2" xfId="13702" xr:uid="{00000000-0005-0000-0000-00001A530000}"/>
    <cellStyle name="40 % - Markeringsfarve1 3 7 5 2 2" xfId="30016" xr:uid="{00000000-0005-0000-0000-00001B530000}"/>
    <cellStyle name="40 % - Markeringsfarve1 3 7 5 2 3" xfId="44980" xr:uid="{00000000-0005-0000-0000-00001C530000}"/>
    <cellStyle name="40 % - Markeringsfarve1 3 7 5 3" xfId="22994" xr:uid="{00000000-0005-0000-0000-00001D530000}"/>
    <cellStyle name="40 % - Markeringsfarve1 3 7 5 4" xfId="37981" xr:uid="{00000000-0005-0000-0000-00001E530000}"/>
    <cellStyle name="40 % - Markeringsfarve1 3 7 6" xfId="11892" xr:uid="{00000000-0005-0000-0000-00001F530000}"/>
    <cellStyle name="40 % - Markeringsfarve1 3 7 6 2" xfId="28211" xr:uid="{00000000-0005-0000-0000-000020530000}"/>
    <cellStyle name="40 % - Markeringsfarve1 3 7 6 3" xfId="43176" xr:uid="{00000000-0005-0000-0000-000021530000}"/>
    <cellStyle name="40 % - Markeringsfarve1 3 7 7" xfId="21189" xr:uid="{00000000-0005-0000-0000-000022530000}"/>
    <cellStyle name="40 % - Markeringsfarve1 3 7 8" xfId="36177" xr:uid="{00000000-0005-0000-0000-000023530000}"/>
    <cellStyle name="40 % - Markeringsfarve1 3 8" xfId="3340" xr:uid="{00000000-0005-0000-0000-000024530000}"/>
    <cellStyle name="40 % - Markeringsfarve1 3 8 2" xfId="3341" xr:uid="{00000000-0005-0000-0000-000025530000}"/>
    <cellStyle name="40 % - Markeringsfarve1 3 8 2 2" xfId="3342" xr:uid="{00000000-0005-0000-0000-000026530000}"/>
    <cellStyle name="40 % - Markeringsfarve1 3 8 2 2 2" xfId="8138" xr:uid="{00000000-0005-0000-0000-000027530000}"/>
    <cellStyle name="40 % - Markeringsfarve1 3 8 2 2 2 2" xfId="16039" xr:uid="{00000000-0005-0000-0000-000028530000}"/>
    <cellStyle name="40 % - Markeringsfarve1 3 8 2 2 2 2 2" xfId="32353" xr:uid="{00000000-0005-0000-0000-000029530000}"/>
    <cellStyle name="40 % - Markeringsfarve1 3 8 2 2 2 2 3" xfId="47317" xr:uid="{00000000-0005-0000-0000-00002A530000}"/>
    <cellStyle name="40 % - Markeringsfarve1 3 8 2 2 2 3" xfId="25331" xr:uid="{00000000-0005-0000-0000-00002B530000}"/>
    <cellStyle name="40 % - Markeringsfarve1 3 8 2 2 2 4" xfId="40318" xr:uid="{00000000-0005-0000-0000-00002C530000}"/>
    <cellStyle name="40 % - Markeringsfarve1 3 8 2 2 3" xfId="11899" xr:uid="{00000000-0005-0000-0000-00002D530000}"/>
    <cellStyle name="40 % - Markeringsfarve1 3 8 2 2 3 2" xfId="28218" xr:uid="{00000000-0005-0000-0000-00002E530000}"/>
    <cellStyle name="40 % - Markeringsfarve1 3 8 2 2 3 3" xfId="43183" xr:uid="{00000000-0005-0000-0000-00002F530000}"/>
    <cellStyle name="40 % - Markeringsfarve1 3 8 2 2 4" xfId="21196" xr:uid="{00000000-0005-0000-0000-000030530000}"/>
    <cellStyle name="40 % - Markeringsfarve1 3 8 2 2 5" xfId="36184" xr:uid="{00000000-0005-0000-0000-000031530000}"/>
    <cellStyle name="40 % - Markeringsfarve1 3 8 2 3" xfId="6640" xr:uid="{00000000-0005-0000-0000-000032530000}"/>
    <cellStyle name="40 % - Markeringsfarve1 3 8 2 3 2" xfId="14554" xr:uid="{00000000-0005-0000-0000-000033530000}"/>
    <cellStyle name="40 % - Markeringsfarve1 3 8 2 3 2 2" xfId="30868" xr:uid="{00000000-0005-0000-0000-000034530000}"/>
    <cellStyle name="40 % - Markeringsfarve1 3 8 2 3 2 3" xfId="45832" xr:uid="{00000000-0005-0000-0000-000035530000}"/>
    <cellStyle name="40 % - Markeringsfarve1 3 8 2 3 3" xfId="23846" xr:uid="{00000000-0005-0000-0000-000036530000}"/>
    <cellStyle name="40 % - Markeringsfarve1 3 8 2 3 4" xfId="38833" xr:uid="{00000000-0005-0000-0000-000037530000}"/>
    <cellStyle name="40 % - Markeringsfarve1 3 8 2 4" xfId="11898" xr:uid="{00000000-0005-0000-0000-000038530000}"/>
    <cellStyle name="40 % - Markeringsfarve1 3 8 2 4 2" xfId="28217" xr:uid="{00000000-0005-0000-0000-000039530000}"/>
    <cellStyle name="40 % - Markeringsfarve1 3 8 2 4 3" xfId="43182" xr:uid="{00000000-0005-0000-0000-00003A530000}"/>
    <cellStyle name="40 % - Markeringsfarve1 3 8 2 5" xfId="21195" xr:uid="{00000000-0005-0000-0000-00003B530000}"/>
    <cellStyle name="40 % - Markeringsfarve1 3 8 2 6" xfId="36183" xr:uid="{00000000-0005-0000-0000-00003C530000}"/>
    <cellStyle name="40 % - Markeringsfarve1 3 8 3" xfId="3343" xr:uid="{00000000-0005-0000-0000-00003D530000}"/>
    <cellStyle name="40 % - Markeringsfarve1 3 8 3 2" xfId="7415" xr:uid="{00000000-0005-0000-0000-00003E530000}"/>
    <cellStyle name="40 % - Markeringsfarve1 3 8 3 2 2" xfId="15325" xr:uid="{00000000-0005-0000-0000-00003F530000}"/>
    <cellStyle name="40 % - Markeringsfarve1 3 8 3 2 2 2" xfId="31639" xr:uid="{00000000-0005-0000-0000-000040530000}"/>
    <cellStyle name="40 % - Markeringsfarve1 3 8 3 2 2 3" xfId="46603" xr:uid="{00000000-0005-0000-0000-000041530000}"/>
    <cellStyle name="40 % - Markeringsfarve1 3 8 3 2 3" xfId="24617" xr:uid="{00000000-0005-0000-0000-000042530000}"/>
    <cellStyle name="40 % - Markeringsfarve1 3 8 3 2 4" xfId="39604" xr:uid="{00000000-0005-0000-0000-000043530000}"/>
    <cellStyle name="40 % - Markeringsfarve1 3 8 3 3" xfId="11900" xr:uid="{00000000-0005-0000-0000-000044530000}"/>
    <cellStyle name="40 % - Markeringsfarve1 3 8 3 3 2" xfId="28219" xr:uid="{00000000-0005-0000-0000-000045530000}"/>
    <cellStyle name="40 % - Markeringsfarve1 3 8 3 3 3" xfId="43184" xr:uid="{00000000-0005-0000-0000-000046530000}"/>
    <cellStyle name="40 % - Markeringsfarve1 3 8 3 4" xfId="21197" xr:uid="{00000000-0005-0000-0000-000047530000}"/>
    <cellStyle name="40 % - Markeringsfarve1 3 8 3 5" xfId="36185" xr:uid="{00000000-0005-0000-0000-000048530000}"/>
    <cellStyle name="40 % - Markeringsfarve1 3 8 4" xfId="3344" xr:uid="{00000000-0005-0000-0000-000049530000}"/>
    <cellStyle name="40 % - Markeringsfarve1 3 8 4 2" xfId="8689" xr:uid="{00000000-0005-0000-0000-00004A530000}"/>
    <cellStyle name="40 % - Markeringsfarve1 3 8 4 2 2" xfId="16570" xr:uid="{00000000-0005-0000-0000-00004B530000}"/>
    <cellStyle name="40 % - Markeringsfarve1 3 8 4 2 2 2" xfId="32884" xr:uid="{00000000-0005-0000-0000-00004C530000}"/>
    <cellStyle name="40 % - Markeringsfarve1 3 8 4 2 2 3" xfId="47848" xr:uid="{00000000-0005-0000-0000-00004D530000}"/>
    <cellStyle name="40 % - Markeringsfarve1 3 8 4 2 3" xfId="25862" xr:uid="{00000000-0005-0000-0000-00004E530000}"/>
    <cellStyle name="40 % - Markeringsfarve1 3 8 4 2 4" xfId="40849" xr:uid="{00000000-0005-0000-0000-00004F530000}"/>
    <cellStyle name="40 % - Markeringsfarve1 3 8 4 3" xfId="11901" xr:uid="{00000000-0005-0000-0000-000050530000}"/>
    <cellStyle name="40 % - Markeringsfarve1 3 8 4 3 2" xfId="28220" xr:uid="{00000000-0005-0000-0000-000051530000}"/>
    <cellStyle name="40 % - Markeringsfarve1 3 8 4 3 3" xfId="43185" xr:uid="{00000000-0005-0000-0000-000052530000}"/>
    <cellStyle name="40 % - Markeringsfarve1 3 8 4 4" xfId="21198" xr:uid="{00000000-0005-0000-0000-000053530000}"/>
    <cellStyle name="40 % - Markeringsfarve1 3 8 4 5" xfId="36186" xr:uid="{00000000-0005-0000-0000-000054530000}"/>
    <cellStyle name="40 % - Markeringsfarve1 3 8 5" xfId="5785" xr:uid="{00000000-0005-0000-0000-000055530000}"/>
    <cellStyle name="40 % - Markeringsfarve1 3 8 5 2" xfId="13703" xr:uid="{00000000-0005-0000-0000-000056530000}"/>
    <cellStyle name="40 % - Markeringsfarve1 3 8 5 2 2" xfId="30017" xr:uid="{00000000-0005-0000-0000-000057530000}"/>
    <cellStyle name="40 % - Markeringsfarve1 3 8 5 2 3" xfId="44981" xr:uid="{00000000-0005-0000-0000-000058530000}"/>
    <cellStyle name="40 % - Markeringsfarve1 3 8 5 3" xfId="22995" xr:uid="{00000000-0005-0000-0000-000059530000}"/>
    <cellStyle name="40 % - Markeringsfarve1 3 8 5 4" xfId="37982" xr:uid="{00000000-0005-0000-0000-00005A530000}"/>
    <cellStyle name="40 % - Markeringsfarve1 3 8 6" xfId="11897" xr:uid="{00000000-0005-0000-0000-00005B530000}"/>
    <cellStyle name="40 % - Markeringsfarve1 3 8 6 2" xfId="28216" xr:uid="{00000000-0005-0000-0000-00005C530000}"/>
    <cellStyle name="40 % - Markeringsfarve1 3 8 6 3" xfId="43181" xr:uid="{00000000-0005-0000-0000-00005D530000}"/>
    <cellStyle name="40 % - Markeringsfarve1 3 8 7" xfId="21194" xr:uid="{00000000-0005-0000-0000-00005E530000}"/>
    <cellStyle name="40 % - Markeringsfarve1 3 8 8" xfId="36182" xr:uid="{00000000-0005-0000-0000-00005F530000}"/>
    <cellStyle name="40 % - Markeringsfarve1 3 9" xfId="3345" xr:uid="{00000000-0005-0000-0000-000060530000}"/>
    <cellStyle name="40 % - Markeringsfarve1 3 9 2" xfId="3346" xr:uid="{00000000-0005-0000-0000-000061530000}"/>
    <cellStyle name="40 % - Markeringsfarve1 3 9 2 2" xfId="7504" xr:uid="{00000000-0005-0000-0000-000062530000}"/>
    <cellStyle name="40 % - Markeringsfarve1 3 9 2 2 2" xfId="15405" xr:uid="{00000000-0005-0000-0000-000063530000}"/>
    <cellStyle name="40 % - Markeringsfarve1 3 9 2 2 2 2" xfId="31719" xr:uid="{00000000-0005-0000-0000-000064530000}"/>
    <cellStyle name="40 % - Markeringsfarve1 3 9 2 2 2 3" xfId="46683" xr:uid="{00000000-0005-0000-0000-000065530000}"/>
    <cellStyle name="40 % - Markeringsfarve1 3 9 2 2 3" xfId="24697" xr:uid="{00000000-0005-0000-0000-000066530000}"/>
    <cellStyle name="40 % - Markeringsfarve1 3 9 2 2 4" xfId="39684" xr:uid="{00000000-0005-0000-0000-000067530000}"/>
    <cellStyle name="40 % - Markeringsfarve1 3 9 2 3" xfId="11903" xr:uid="{00000000-0005-0000-0000-000068530000}"/>
    <cellStyle name="40 % - Markeringsfarve1 3 9 2 3 2" xfId="28222" xr:uid="{00000000-0005-0000-0000-000069530000}"/>
    <cellStyle name="40 % - Markeringsfarve1 3 9 2 3 3" xfId="43187" xr:uid="{00000000-0005-0000-0000-00006A530000}"/>
    <cellStyle name="40 % - Markeringsfarve1 3 9 2 4" xfId="21200" xr:uid="{00000000-0005-0000-0000-00006B530000}"/>
    <cellStyle name="40 % - Markeringsfarve1 3 9 2 5" xfId="36188" xr:uid="{00000000-0005-0000-0000-00006C530000}"/>
    <cellStyle name="40 % - Markeringsfarve1 3 9 3" xfId="6105" xr:uid="{00000000-0005-0000-0000-00006D530000}"/>
    <cellStyle name="40 % - Markeringsfarve1 3 9 3 2" xfId="14022" xr:uid="{00000000-0005-0000-0000-00006E530000}"/>
    <cellStyle name="40 % - Markeringsfarve1 3 9 3 2 2" xfId="30336" xr:uid="{00000000-0005-0000-0000-00006F530000}"/>
    <cellStyle name="40 % - Markeringsfarve1 3 9 3 2 3" xfId="45300" xr:uid="{00000000-0005-0000-0000-000070530000}"/>
    <cellStyle name="40 % - Markeringsfarve1 3 9 3 3" xfId="23314" xr:uid="{00000000-0005-0000-0000-000071530000}"/>
    <cellStyle name="40 % - Markeringsfarve1 3 9 3 4" xfId="38301" xr:uid="{00000000-0005-0000-0000-000072530000}"/>
    <cellStyle name="40 % - Markeringsfarve1 3 9 4" xfId="11902" xr:uid="{00000000-0005-0000-0000-000073530000}"/>
    <cellStyle name="40 % - Markeringsfarve1 3 9 4 2" xfId="28221" xr:uid="{00000000-0005-0000-0000-000074530000}"/>
    <cellStyle name="40 % - Markeringsfarve1 3 9 4 3" xfId="43186" xr:uid="{00000000-0005-0000-0000-000075530000}"/>
    <cellStyle name="40 % - Markeringsfarve1 3 9 5" xfId="21199" xr:uid="{00000000-0005-0000-0000-000076530000}"/>
    <cellStyle name="40 % - Markeringsfarve1 3 9 6" xfId="36187" xr:uid="{00000000-0005-0000-0000-000077530000}"/>
    <cellStyle name="40 % - Markeringsfarve1 4" xfId="3347" xr:uid="{00000000-0005-0000-0000-000078530000}"/>
    <cellStyle name="40 % - Markeringsfarve1 4 10" xfId="5786" xr:uid="{00000000-0005-0000-0000-000079530000}"/>
    <cellStyle name="40 % - Markeringsfarve1 4 10 2" xfId="13704" xr:uid="{00000000-0005-0000-0000-00007A530000}"/>
    <cellStyle name="40 % - Markeringsfarve1 4 10 2 2" xfId="30018" xr:uid="{00000000-0005-0000-0000-00007B530000}"/>
    <cellStyle name="40 % - Markeringsfarve1 4 10 2 3" xfId="44982" xr:uid="{00000000-0005-0000-0000-00007C530000}"/>
    <cellStyle name="40 % - Markeringsfarve1 4 10 3" xfId="22996" xr:uid="{00000000-0005-0000-0000-00007D530000}"/>
    <cellStyle name="40 % - Markeringsfarve1 4 10 4" xfId="37983" xr:uid="{00000000-0005-0000-0000-00007E530000}"/>
    <cellStyle name="40 % - Markeringsfarve1 4 11" xfId="11904" xr:uid="{00000000-0005-0000-0000-00007F530000}"/>
    <cellStyle name="40 % - Markeringsfarve1 4 11 2" xfId="28223" xr:uid="{00000000-0005-0000-0000-000080530000}"/>
    <cellStyle name="40 % - Markeringsfarve1 4 11 3" xfId="43188" xr:uid="{00000000-0005-0000-0000-000081530000}"/>
    <cellStyle name="40 % - Markeringsfarve1 4 12" xfId="21201" xr:uid="{00000000-0005-0000-0000-000082530000}"/>
    <cellStyle name="40 % - Markeringsfarve1 4 13" xfId="36189" xr:uid="{00000000-0005-0000-0000-000083530000}"/>
    <cellStyle name="40 % - Markeringsfarve1 4 14" xfId="53336" xr:uid="{00000000-0005-0000-0000-000084530000}"/>
    <cellStyle name="40 % - Markeringsfarve1 4 2" xfId="3348" xr:uid="{00000000-0005-0000-0000-000085530000}"/>
    <cellStyle name="40 % - Markeringsfarve1 4 2 2" xfId="3349" xr:uid="{00000000-0005-0000-0000-000086530000}"/>
    <cellStyle name="40 % - Markeringsfarve1 4 2 2 2" xfId="3350" xr:uid="{00000000-0005-0000-0000-000087530000}"/>
    <cellStyle name="40 % - Markeringsfarve1 4 2 2 2 2" xfId="7648" xr:uid="{00000000-0005-0000-0000-000088530000}"/>
    <cellStyle name="40 % - Markeringsfarve1 4 2 2 2 2 2" xfId="15549" xr:uid="{00000000-0005-0000-0000-000089530000}"/>
    <cellStyle name="40 % - Markeringsfarve1 4 2 2 2 2 2 2" xfId="31863" xr:uid="{00000000-0005-0000-0000-00008A530000}"/>
    <cellStyle name="40 % - Markeringsfarve1 4 2 2 2 2 2 3" xfId="46827" xr:uid="{00000000-0005-0000-0000-00008B530000}"/>
    <cellStyle name="40 % - Markeringsfarve1 4 2 2 2 2 3" xfId="24841" xr:uid="{00000000-0005-0000-0000-00008C530000}"/>
    <cellStyle name="40 % - Markeringsfarve1 4 2 2 2 2 4" xfId="39828" xr:uid="{00000000-0005-0000-0000-00008D530000}"/>
    <cellStyle name="40 % - Markeringsfarve1 4 2 2 2 3" xfId="11907" xr:uid="{00000000-0005-0000-0000-00008E530000}"/>
    <cellStyle name="40 % - Markeringsfarve1 4 2 2 2 3 2" xfId="28226" xr:uid="{00000000-0005-0000-0000-00008F530000}"/>
    <cellStyle name="40 % - Markeringsfarve1 4 2 2 2 3 3" xfId="43191" xr:uid="{00000000-0005-0000-0000-000090530000}"/>
    <cellStyle name="40 % - Markeringsfarve1 4 2 2 2 4" xfId="21204" xr:uid="{00000000-0005-0000-0000-000091530000}"/>
    <cellStyle name="40 % - Markeringsfarve1 4 2 2 2 5" xfId="36192" xr:uid="{00000000-0005-0000-0000-000092530000}"/>
    <cellStyle name="40 % - Markeringsfarve1 4 2 2 3" xfId="6225" xr:uid="{00000000-0005-0000-0000-000093530000}"/>
    <cellStyle name="40 % - Markeringsfarve1 4 2 2 3 2" xfId="14142" xr:uid="{00000000-0005-0000-0000-000094530000}"/>
    <cellStyle name="40 % - Markeringsfarve1 4 2 2 3 2 2" xfId="30456" xr:uid="{00000000-0005-0000-0000-000095530000}"/>
    <cellStyle name="40 % - Markeringsfarve1 4 2 2 3 2 3" xfId="45420" xr:uid="{00000000-0005-0000-0000-000096530000}"/>
    <cellStyle name="40 % - Markeringsfarve1 4 2 2 3 3" xfId="23434" xr:uid="{00000000-0005-0000-0000-000097530000}"/>
    <cellStyle name="40 % - Markeringsfarve1 4 2 2 3 4" xfId="38421" xr:uid="{00000000-0005-0000-0000-000098530000}"/>
    <cellStyle name="40 % - Markeringsfarve1 4 2 2 4" xfId="11906" xr:uid="{00000000-0005-0000-0000-000099530000}"/>
    <cellStyle name="40 % - Markeringsfarve1 4 2 2 4 2" xfId="28225" xr:uid="{00000000-0005-0000-0000-00009A530000}"/>
    <cellStyle name="40 % - Markeringsfarve1 4 2 2 4 3" xfId="43190" xr:uid="{00000000-0005-0000-0000-00009B530000}"/>
    <cellStyle name="40 % - Markeringsfarve1 4 2 2 5" xfId="21203" xr:uid="{00000000-0005-0000-0000-00009C530000}"/>
    <cellStyle name="40 % - Markeringsfarve1 4 2 2 6" xfId="36191" xr:uid="{00000000-0005-0000-0000-00009D530000}"/>
    <cellStyle name="40 % - Markeringsfarve1 4 2 2 7" xfId="57140" xr:uid="{00000000-0005-0000-0000-00009E530000}"/>
    <cellStyle name="40 % - Markeringsfarve1 4 2 3" xfId="3351" xr:uid="{00000000-0005-0000-0000-00009F530000}"/>
    <cellStyle name="40 % - Markeringsfarve1 4 2 3 2" xfId="6878" xr:uid="{00000000-0005-0000-0000-0000A0530000}"/>
    <cellStyle name="40 % - Markeringsfarve1 4 2 3 2 2" xfId="14789" xr:uid="{00000000-0005-0000-0000-0000A1530000}"/>
    <cellStyle name="40 % - Markeringsfarve1 4 2 3 2 2 2" xfId="31103" xr:uid="{00000000-0005-0000-0000-0000A2530000}"/>
    <cellStyle name="40 % - Markeringsfarve1 4 2 3 2 2 3" xfId="46067" xr:uid="{00000000-0005-0000-0000-0000A3530000}"/>
    <cellStyle name="40 % - Markeringsfarve1 4 2 3 2 3" xfId="24081" xr:uid="{00000000-0005-0000-0000-0000A4530000}"/>
    <cellStyle name="40 % - Markeringsfarve1 4 2 3 2 4" xfId="39068" xr:uid="{00000000-0005-0000-0000-0000A5530000}"/>
    <cellStyle name="40 % - Markeringsfarve1 4 2 3 3" xfId="11908" xr:uid="{00000000-0005-0000-0000-0000A6530000}"/>
    <cellStyle name="40 % - Markeringsfarve1 4 2 3 3 2" xfId="28227" xr:uid="{00000000-0005-0000-0000-0000A7530000}"/>
    <cellStyle name="40 % - Markeringsfarve1 4 2 3 3 3" xfId="43192" xr:uid="{00000000-0005-0000-0000-0000A8530000}"/>
    <cellStyle name="40 % - Markeringsfarve1 4 2 3 4" xfId="21205" xr:uid="{00000000-0005-0000-0000-0000A9530000}"/>
    <cellStyle name="40 % - Markeringsfarve1 4 2 3 5" xfId="36193" xr:uid="{00000000-0005-0000-0000-0000AA530000}"/>
    <cellStyle name="40 % - Markeringsfarve1 4 2 4" xfId="3352" xr:uid="{00000000-0005-0000-0000-0000AB530000}"/>
    <cellStyle name="40 % - Markeringsfarve1 4 2 4 2" xfId="8644" xr:uid="{00000000-0005-0000-0000-0000AC530000}"/>
    <cellStyle name="40 % - Markeringsfarve1 4 2 4 2 2" xfId="16527" xr:uid="{00000000-0005-0000-0000-0000AD530000}"/>
    <cellStyle name="40 % - Markeringsfarve1 4 2 4 2 2 2" xfId="32841" xr:uid="{00000000-0005-0000-0000-0000AE530000}"/>
    <cellStyle name="40 % - Markeringsfarve1 4 2 4 2 2 3" xfId="47805" xr:uid="{00000000-0005-0000-0000-0000AF530000}"/>
    <cellStyle name="40 % - Markeringsfarve1 4 2 4 2 3" xfId="25819" xr:uid="{00000000-0005-0000-0000-0000B0530000}"/>
    <cellStyle name="40 % - Markeringsfarve1 4 2 4 2 4" xfId="40806" xr:uid="{00000000-0005-0000-0000-0000B1530000}"/>
    <cellStyle name="40 % - Markeringsfarve1 4 2 4 3" xfId="11909" xr:uid="{00000000-0005-0000-0000-0000B2530000}"/>
    <cellStyle name="40 % - Markeringsfarve1 4 2 4 3 2" xfId="28228" xr:uid="{00000000-0005-0000-0000-0000B3530000}"/>
    <cellStyle name="40 % - Markeringsfarve1 4 2 4 3 3" xfId="43193" xr:uid="{00000000-0005-0000-0000-0000B4530000}"/>
    <cellStyle name="40 % - Markeringsfarve1 4 2 4 4" xfId="21206" xr:uid="{00000000-0005-0000-0000-0000B5530000}"/>
    <cellStyle name="40 % - Markeringsfarve1 4 2 4 5" xfId="36194" xr:uid="{00000000-0005-0000-0000-0000B6530000}"/>
    <cellStyle name="40 % - Markeringsfarve1 4 2 5" xfId="5787" xr:uid="{00000000-0005-0000-0000-0000B7530000}"/>
    <cellStyle name="40 % - Markeringsfarve1 4 2 5 2" xfId="13705" xr:uid="{00000000-0005-0000-0000-0000B8530000}"/>
    <cellStyle name="40 % - Markeringsfarve1 4 2 5 2 2" xfId="30019" xr:uid="{00000000-0005-0000-0000-0000B9530000}"/>
    <cellStyle name="40 % - Markeringsfarve1 4 2 5 2 3" xfId="44983" xr:uid="{00000000-0005-0000-0000-0000BA530000}"/>
    <cellStyle name="40 % - Markeringsfarve1 4 2 5 3" xfId="22997" xr:uid="{00000000-0005-0000-0000-0000BB530000}"/>
    <cellStyle name="40 % - Markeringsfarve1 4 2 5 4" xfId="37984" xr:uid="{00000000-0005-0000-0000-0000BC530000}"/>
    <cellStyle name="40 % - Markeringsfarve1 4 2 6" xfId="11905" xr:uid="{00000000-0005-0000-0000-0000BD530000}"/>
    <cellStyle name="40 % - Markeringsfarve1 4 2 6 2" xfId="28224" xr:uid="{00000000-0005-0000-0000-0000BE530000}"/>
    <cellStyle name="40 % - Markeringsfarve1 4 2 6 3" xfId="43189" xr:uid="{00000000-0005-0000-0000-0000BF530000}"/>
    <cellStyle name="40 % - Markeringsfarve1 4 2 7" xfId="21202" xr:uid="{00000000-0005-0000-0000-0000C0530000}"/>
    <cellStyle name="40 % - Markeringsfarve1 4 2 8" xfId="36190" xr:uid="{00000000-0005-0000-0000-0000C1530000}"/>
    <cellStyle name="40 % - Markeringsfarve1 4 2 9" xfId="53973" xr:uid="{00000000-0005-0000-0000-0000C2530000}"/>
    <cellStyle name="40 % - Markeringsfarve1 4 3" xfId="3353" xr:uid="{00000000-0005-0000-0000-0000C3530000}"/>
    <cellStyle name="40 % - Markeringsfarve1 4 3 2" xfId="3354" xr:uid="{00000000-0005-0000-0000-0000C4530000}"/>
    <cellStyle name="40 % - Markeringsfarve1 4 3 2 2" xfId="3355" xr:uid="{00000000-0005-0000-0000-0000C5530000}"/>
    <cellStyle name="40 % - Markeringsfarve1 4 3 2 2 2" xfId="7787" xr:uid="{00000000-0005-0000-0000-0000C6530000}"/>
    <cellStyle name="40 % - Markeringsfarve1 4 3 2 2 2 2" xfId="15688" xr:uid="{00000000-0005-0000-0000-0000C7530000}"/>
    <cellStyle name="40 % - Markeringsfarve1 4 3 2 2 2 2 2" xfId="32002" xr:uid="{00000000-0005-0000-0000-0000C8530000}"/>
    <cellStyle name="40 % - Markeringsfarve1 4 3 2 2 2 2 3" xfId="46966" xr:uid="{00000000-0005-0000-0000-0000C9530000}"/>
    <cellStyle name="40 % - Markeringsfarve1 4 3 2 2 2 3" xfId="24980" xr:uid="{00000000-0005-0000-0000-0000CA530000}"/>
    <cellStyle name="40 % - Markeringsfarve1 4 3 2 2 2 4" xfId="39967" xr:uid="{00000000-0005-0000-0000-0000CB530000}"/>
    <cellStyle name="40 % - Markeringsfarve1 4 3 2 2 3" xfId="11912" xr:uid="{00000000-0005-0000-0000-0000CC530000}"/>
    <cellStyle name="40 % - Markeringsfarve1 4 3 2 2 3 2" xfId="28231" xr:uid="{00000000-0005-0000-0000-0000CD530000}"/>
    <cellStyle name="40 % - Markeringsfarve1 4 3 2 2 3 3" xfId="43196" xr:uid="{00000000-0005-0000-0000-0000CE530000}"/>
    <cellStyle name="40 % - Markeringsfarve1 4 3 2 2 4" xfId="21209" xr:uid="{00000000-0005-0000-0000-0000CF530000}"/>
    <cellStyle name="40 % - Markeringsfarve1 4 3 2 2 5" xfId="36197" xr:uid="{00000000-0005-0000-0000-0000D0530000}"/>
    <cellStyle name="40 % - Markeringsfarve1 4 3 2 3" xfId="6342" xr:uid="{00000000-0005-0000-0000-0000D1530000}"/>
    <cellStyle name="40 % - Markeringsfarve1 4 3 2 3 2" xfId="14259" xr:uid="{00000000-0005-0000-0000-0000D2530000}"/>
    <cellStyle name="40 % - Markeringsfarve1 4 3 2 3 2 2" xfId="30573" xr:uid="{00000000-0005-0000-0000-0000D3530000}"/>
    <cellStyle name="40 % - Markeringsfarve1 4 3 2 3 2 3" xfId="45537" xr:uid="{00000000-0005-0000-0000-0000D4530000}"/>
    <cellStyle name="40 % - Markeringsfarve1 4 3 2 3 3" xfId="23551" xr:uid="{00000000-0005-0000-0000-0000D5530000}"/>
    <cellStyle name="40 % - Markeringsfarve1 4 3 2 3 4" xfId="38538" xr:uid="{00000000-0005-0000-0000-0000D6530000}"/>
    <cellStyle name="40 % - Markeringsfarve1 4 3 2 4" xfId="11911" xr:uid="{00000000-0005-0000-0000-0000D7530000}"/>
    <cellStyle name="40 % - Markeringsfarve1 4 3 2 4 2" xfId="28230" xr:uid="{00000000-0005-0000-0000-0000D8530000}"/>
    <cellStyle name="40 % - Markeringsfarve1 4 3 2 4 3" xfId="43195" xr:uid="{00000000-0005-0000-0000-0000D9530000}"/>
    <cellStyle name="40 % - Markeringsfarve1 4 3 2 5" xfId="21208" xr:uid="{00000000-0005-0000-0000-0000DA530000}"/>
    <cellStyle name="40 % - Markeringsfarve1 4 3 2 6" xfId="36196" xr:uid="{00000000-0005-0000-0000-0000DB530000}"/>
    <cellStyle name="40 % - Markeringsfarve1 4 3 3" xfId="3356" xr:uid="{00000000-0005-0000-0000-0000DC530000}"/>
    <cellStyle name="40 % - Markeringsfarve1 4 3 3 2" xfId="7017" xr:uid="{00000000-0005-0000-0000-0000DD530000}"/>
    <cellStyle name="40 % - Markeringsfarve1 4 3 3 2 2" xfId="14928" xr:uid="{00000000-0005-0000-0000-0000DE530000}"/>
    <cellStyle name="40 % - Markeringsfarve1 4 3 3 2 2 2" xfId="31242" xr:uid="{00000000-0005-0000-0000-0000DF530000}"/>
    <cellStyle name="40 % - Markeringsfarve1 4 3 3 2 2 3" xfId="46206" xr:uid="{00000000-0005-0000-0000-0000E0530000}"/>
    <cellStyle name="40 % - Markeringsfarve1 4 3 3 2 3" xfId="24220" xr:uid="{00000000-0005-0000-0000-0000E1530000}"/>
    <cellStyle name="40 % - Markeringsfarve1 4 3 3 2 4" xfId="39207" xr:uid="{00000000-0005-0000-0000-0000E2530000}"/>
    <cellStyle name="40 % - Markeringsfarve1 4 3 3 3" xfId="11913" xr:uid="{00000000-0005-0000-0000-0000E3530000}"/>
    <cellStyle name="40 % - Markeringsfarve1 4 3 3 3 2" xfId="28232" xr:uid="{00000000-0005-0000-0000-0000E4530000}"/>
    <cellStyle name="40 % - Markeringsfarve1 4 3 3 3 3" xfId="43197" xr:uid="{00000000-0005-0000-0000-0000E5530000}"/>
    <cellStyle name="40 % - Markeringsfarve1 4 3 3 4" xfId="21210" xr:uid="{00000000-0005-0000-0000-0000E6530000}"/>
    <cellStyle name="40 % - Markeringsfarve1 4 3 3 5" xfId="36198" xr:uid="{00000000-0005-0000-0000-0000E7530000}"/>
    <cellStyle name="40 % - Markeringsfarve1 4 3 4" xfId="3357" xr:uid="{00000000-0005-0000-0000-0000E8530000}"/>
    <cellStyle name="40 % - Markeringsfarve1 4 3 4 2" xfId="8293" xr:uid="{00000000-0005-0000-0000-0000E9530000}"/>
    <cellStyle name="40 % - Markeringsfarve1 4 3 4 2 2" xfId="16187" xr:uid="{00000000-0005-0000-0000-0000EA530000}"/>
    <cellStyle name="40 % - Markeringsfarve1 4 3 4 2 2 2" xfId="32501" xr:uid="{00000000-0005-0000-0000-0000EB530000}"/>
    <cellStyle name="40 % - Markeringsfarve1 4 3 4 2 2 3" xfId="47465" xr:uid="{00000000-0005-0000-0000-0000EC530000}"/>
    <cellStyle name="40 % - Markeringsfarve1 4 3 4 2 3" xfId="25479" xr:uid="{00000000-0005-0000-0000-0000ED530000}"/>
    <cellStyle name="40 % - Markeringsfarve1 4 3 4 2 4" xfId="40466" xr:uid="{00000000-0005-0000-0000-0000EE530000}"/>
    <cellStyle name="40 % - Markeringsfarve1 4 3 4 3" xfId="11914" xr:uid="{00000000-0005-0000-0000-0000EF530000}"/>
    <cellStyle name="40 % - Markeringsfarve1 4 3 4 3 2" xfId="28233" xr:uid="{00000000-0005-0000-0000-0000F0530000}"/>
    <cellStyle name="40 % - Markeringsfarve1 4 3 4 3 3" xfId="43198" xr:uid="{00000000-0005-0000-0000-0000F1530000}"/>
    <cellStyle name="40 % - Markeringsfarve1 4 3 4 4" xfId="21211" xr:uid="{00000000-0005-0000-0000-0000F2530000}"/>
    <cellStyle name="40 % - Markeringsfarve1 4 3 4 5" xfId="36199" xr:uid="{00000000-0005-0000-0000-0000F3530000}"/>
    <cellStyle name="40 % - Markeringsfarve1 4 3 5" xfId="5788" xr:uid="{00000000-0005-0000-0000-0000F4530000}"/>
    <cellStyle name="40 % - Markeringsfarve1 4 3 5 2" xfId="13706" xr:uid="{00000000-0005-0000-0000-0000F5530000}"/>
    <cellStyle name="40 % - Markeringsfarve1 4 3 5 2 2" xfId="30020" xr:uid="{00000000-0005-0000-0000-0000F6530000}"/>
    <cellStyle name="40 % - Markeringsfarve1 4 3 5 2 3" xfId="44984" xr:uid="{00000000-0005-0000-0000-0000F7530000}"/>
    <cellStyle name="40 % - Markeringsfarve1 4 3 5 3" xfId="22998" xr:uid="{00000000-0005-0000-0000-0000F8530000}"/>
    <cellStyle name="40 % - Markeringsfarve1 4 3 5 4" xfId="37985" xr:uid="{00000000-0005-0000-0000-0000F9530000}"/>
    <cellStyle name="40 % - Markeringsfarve1 4 3 6" xfId="11910" xr:uid="{00000000-0005-0000-0000-0000FA530000}"/>
    <cellStyle name="40 % - Markeringsfarve1 4 3 6 2" xfId="28229" xr:uid="{00000000-0005-0000-0000-0000FB530000}"/>
    <cellStyle name="40 % - Markeringsfarve1 4 3 6 3" xfId="43194" xr:uid="{00000000-0005-0000-0000-0000FC530000}"/>
    <cellStyle name="40 % - Markeringsfarve1 4 3 7" xfId="21207" xr:uid="{00000000-0005-0000-0000-0000FD530000}"/>
    <cellStyle name="40 % - Markeringsfarve1 4 3 8" xfId="36195" xr:uid="{00000000-0005-0000-0000-0000FE530000}"/>
    <cellStyle name="40 % - Markeringsfarve1 4 3 9" xfId="56517" xr:uid="{00000000-0005-0000-0000-0000FF530000}"/>
    <cellStyle name="40 % - Markeringsfarve1 4 4" xfId="3358" xr:uid="{00000000-0005-0000-0000-000000540000}"/>
    <cellStyle name="40 % - Markeringsfarve1 4 4 2" xfId="3359" xr:uid="{00000000-0005-0000-0000-000001540000}"/>
    <cellStyle name="40 % - Markeringsfarve1 4 4 2 2" xfId="3360" xr:uid="{00000000-0005-0000-0000-000002540000}"/>
    <cellStyle name="40 % - Markeringsfarve1 4 4 2 2 2" xfId="7886" xr:uid="{00000000-0005-0000-0000-000003540000}"/>
    <cellStyle name="40 % - Markeringsfarve1 4 4 2 2 2 2" xfId="15787" xr:uid="{00000000-0005-0000-0000-000004540000}"/>
    <cellStyle name="40 % - Markeringsfarve1 4 4 2 2 2 2 2" xfId="32101" xr:uid="{00000000-0005-0000-0000-000005540000}"/>
    <cellStyle name="40 % - Markeringsfarve1 4 4 2 2 2 2 3" xfId="47065" xr:uid="{00000000-0005-0000-0000-000006540000}"/>
    <cellStyle name="40 % - Markeringsfarve1 4 4 2 2 2 3" xfId="25079" xr:uid="{00000000-0005-0000-0000-000007540000}"/>
    <cellStyle name="40 % - Markeringsfarve1 4 4 2 2 2 4" xfId="40066" xr:uid="{00000000-0005-0000-0000-000008540000}"/>
    <cellStyle name="40 % - Markeringsfarve1 4 4 2 2 3" xfId="11917" xr:uid="{00000000-0005-0000-0000-000009540000}"/>
    <cellStyle name="40 % - Markeringsfarve1 4 4 2 2 3 2" xfId="28236" xr:uid="{00000000-0005-0000-0000-00000A540000}"/>
    <cellStyle name="40 % - Markeringsfarve1 4 4 2 2 3 3" xfId="43201" xr:uid="{00000000-0005-0000-0000-00000B540000}"/>
    <cellStyle name="40 % - Markeringsfarve1 4 4 2 2 4" xfId="21214" xr:uid="{00000000-0005-0000-0000-00000C540000}"/>
    <cellStyle name="40 % - Markeringsfarve1 4 4 2 2 5" xfId="36202" xr:uid="{00000000-0005-0000-0000-00000D540000}"/>
    <cellStyle name="40 % - Markeringsfarve1 4 4 2 3" xfId="6427" xr:uid="{00000000-0005-0000-0000-00000E540000}"/>
    <cellStyle name="40 % - Markeringsfarve1 4 4 2 3 2" xfId="14341" xr:uid="{00000000-0005-0000-0000-00000F540000}"/>
    <cellStyle name="40 % - Markeringsfarve1 4 4 2 3 2 2" xfId="30655" xr:uid="{00000000-0005-0000-0000-000010540000}"/>
    <cellStyle name="40 % - Markeringsfarve1 4 4 2 3 2 3" xfId="45619" xr:uid="{00000000-0005-0000-0000-000011540000}"/>
    <cellStyle name="40 % - Markeringsfarve1 4 4 2 3 3" xfId="23633" xr:uid="{00000000-0005-0000-0000-000012540000}"/>
    <cellStyle name="40 % - Markeringsfarve1 4 4 2 3 4" xfId="38620" xr:uid="{00000000-0005-0000-0000-000013540000}"/>
    <cellStyle name="40 % - Markeringsfarve1 4 4 2 4" xfId="11916" xr:uid="{00000000-0005-0000-0000-000014540000}"/>
    <cellStyle name="40 % - Markeringsfarve1 4 4 2 4 2" xfId="28235" xr:uid="{00000000-0005-0000-0000-000015540000}"/>
    <cellStyle name="40 % - Markeringsfarve1 4 4 2 4 3" xfId="43200" xr:uid="{00000000-0005-0000-0000-000016540000}"/>
    <cellStyle name="40 % - Markeringsfarve1 4 4 2 5" xfId="21213" xr:uid="{00000000-0005-0000-0000-000017540000}"/>
    <cellStyle name="40 % - Markeringsfarve1 4 4 2 6" xfId="36201" xr:uid="{00000000-0005-0000-0000-000018540000}"/>
    <cellStyle name="40 % - Markeringsfarve1 4 4 3" xfId="3361" xr:uid="{00000000-0005-0000-0000-000019540000}"/>
    <cellStyle name="40 % - Markeringsfarve1 4 4 3 2" xfId="7162" xr:uid="{00000000-0005-0000-0000-00001A540000}"/>
    <cellStyle name="40 % - Markeringsfarve1 4 4 3 2 2" xfId="15072" xr:uid="{00000000-0005-0000-0000-00001B540000}"/>
    <cellStyle name="40 % - Markeringsfarve1 4 4 3 2 2 2" xfId="31386" xr:uid="{00000000-0005-0000-0000-00001C540000}"/>
    <cellStyle name="40 % - Markeringsfarve1 4 4 3 2 2 3" xfId="46350" xr:uid="{00000000-0005-0000-0000-00001D540000}"/>
    <cellStyle name="40 % - Markeringsfarve1 4 4 3 2 3" xfId="24364" xr:uid="{00000000-0005-0000-0000-00001E540000}"/>
    <cellStyle name="40 % - Markeringsfarve1 4 4 3 2 4" xfId="39351" xr:uid="{00000000-0005-0000-0000-00001F540000}"/>
    <cellStyle name="40 % - Markeringsfarve1 4 4 3 3" xfId="11918" xr:uid="{00000000-0005-0000-0000-000020540000}"/>
    <cellStyle name="40 % - Markeringsfarve1 4 4 3 3 2" xfId="28237" xr:uid="{00000000-0005-0000-0000-000021540000}"/>
    <cellStyle name="40 % - Markeringsfarve1 4 4 3 3 3" xfId="43202" xr:uid="{00000000-0005-0000-0000-000022540000}"/>
    <cellStyle name="40 % - Markeringsfarve1 4 4 3 4" xfId="21215" xr:uid="{00000000-0005-0000-0000-000023540000}"/>
    <cellStyle name="40 % - Markeringsfarve1 4 4 3 5" xfId="36203" xr:uid="{00000000-0005-0000-0000-000024540000}"/>
    <cellStyle name="40 % - Markeringsfarve1 4 4 4" xfId="3362" xr:uid="{00000000-0005-0000-0000-000025540000}"/>
    <cellStyle name="40 % - Markeringsfarve1 4 4 4 2" xfId="8598" xr:uid="{00000000-0005-0000-0000-000026540000}"/>
    <cellStyle name="40 % - Markeringsfarve1 4 4 4 2 2" xfId="16484" xr:uid="{00000000-0005-0000-0000-000027540000}"/>
    <cellStyle name="40 % - Markeringsfarve1 4 4 4 2 2 2" xfId="32798" xr:uid="{00000000-0005-0000-0000-000028540000}"/>
    <cellStyle name="40 % - Markeringsfarve1 4 4 4 2 2 3" xfId="47762" xr:uid="{00000000-0005-0000-0000-000029540000}"/>
    <cellStyle name="40 % - Markeringsfarve1 4 4 4 2 3" xfId="25776" xr:uid="{00000000-0005-0000-0000-00002A540000}"/>
    <cellStyle name="40 % - Markeringsfarve1 4 4 4 2 4" xfId="40763" xr:uid="{00000000-0005-0000-0000-00002B540000}"/>
    <cellStyle name="40 % - Markeringsfarve1 4 4 4 3" xfId="11919" xr:uid="{00000000-0005-0000-0000-00002C540000}"/>
    <cellStyle name="40 % - Markeringsfarve1 4 4 4 3 2" xfId="28238" xr:uid="{00000000-0005-0000-0000-00002D540000}"/>
    <cellStyle name="40 % - Markeringsfarve1 4 4 4 3 3" xfId="43203" xr:uid="{00000000-0005-0000-0000-00002E540000}"/>
    <cellStyle name="40 % - Markeringsfarve1 4 4 4 4" xfId="21216" xr:uid="{00000000-0005-0000-0000-00002F540000}"/>
    <cellStyle name="40 % - Markeringsfarve1 4 4 4 5" xfId="36204" xr:uid="{00000000-0005-0000-0000-000030540000}"/>
    <cellStyle name="40 % - Markeringsfarve1 4 4 5" xfId="5789" xr:uid="{00000000-0005-0000-0000-000031540000}"/>
    <cellStyle name="40 % - Markeringsfarve1 4 4 5 2" xfId="13707" xr:uid="{00000000-0005-0000-0000-000032540000}"/>
    <cellStyle name="40 % - Markeringsfarve1 4 4 5 2 2" xfId="30021" xr:uid="{00000000-0005-0000-0000-000033540000}"/>
    <cellStyle name="40 % - Markeringsfarve1 4 4 5 2 3" xfId="44985" xr:uid="{00000000-0005-0000-0000-000034540000}"/>
    <cellStyle name="40 % - Markeringsfarve1 4 4 5 3" xfId="22999" xr:uid="{00000000-0005-0000-0000-000035540000}"/>
    <cellStyle name="40 % - Markeringsfarve1 4 4 5 4" xfId="37986" xr:uid="{00000000-0005-0000-0000-000036540000}"/>
    <cellStyle name="40 % - Markeringsfarve1 4 4 6" xfId="11915" xr:uid="{00000000-0005-0000-0000-000037540000}"/>
    <cellStyle name="40 % - Markeringsfarve1 4 4 6 2" xfId="28234" xr:uid="{00000000-0005-0000-0000-000038540000}"/>
    <cellStyle name="40 % - Markeringsfarve1 4 4 6 3" xfId="43199" xr:uid="{00000000-0005-0000-0000-000039540000}"/>
    <cellStyle name="40 % - Markeringsfarve1 4 4 7" xfId="21212" xr:uid="{00000000-0005-0000-0000-00003A540000}"/>
    <cellStyle name="40 % - Markeringsfarve1 4 4 8" xfId="36200" xr:uid="{00000000-0005-0000-0000-00003B540000}"/>
    <cellStyle name="40 % - Markeringsfarve1 4 5" xfId="3363" xr:uid="{00000000-0005-0000-0000-00003C540000}"/>
    <cellStyle name="40 % - Markeringsfarve1 4 5 2" xfId="3364" xr:uid="{00000000-0005-0000-0000-00003D540000}"/>
    <cellStyle name="40 % - Markeringsfarve1 4 5 2 2" xfId="3365" xr:uid="{00000000-0005-0000-0000-00003E540000}"/>
    <cellStyle name="40 % - Markeringsfarve1 4 5 2 2 2" xfId="8003" xr:uid="{00000000-0005-0000-0000-00003F540000}"/>
    <cellStyle name="40 % - Markeringsfarve1 4 5 2 2 2 2" xfId="15904" xr:uid="{00000000-0005-0000-0000-000040540000}"/>
    <cellStyle name="40 % - Markeringsfarve1 4 5 2 2 2 2 2" xfId="32218" xr:uid="{00000000-0005-0000-0000-000041540000}"/>
    <cellStyle name="40 % - Markeringsfarve1 4 5 2 2 2 2 3" xfId="47182" xr:uid="{00000000-0005-0000-0000-000042540000}"/>
    <cellStyle name="40 % - Markeringsfarve1 4 5 2 2 2 3" xfId="25196" xr:uid="{00000000-0005-0000-0000-000043540000}"/>
    <cellStyle name="40 % - Markeringsfarve1 4 5 2 2 2 4" xfId="40183" xr:uid="{00000000-0005-0000-0000-000044540000}"/>
    <cellStyle name="40 % - Markeringsfarve1 4 5 2 2 3" xfId="11922" xr:uid="{00000000-0005-0000-0000-000045540000}"/>
    <cellStyle name="40 % - Markeringsfarve1 4 5 2 2 3 2" xfId="28241" xr:uid="{00000000-0005-0000-0000-000046540000}"/>
    <cellStyle name="40 % - Markeringsfarve1 4 5 2 2 3 3" xfId="43206" xr:uid="{00000000-0005-0000-0000-000047540000}"/>
    <cellStyle name="40 % - Markeringsfarve1 4 5 2 2 4" xfId="21219" xr:uid="{00000000-0005-0000-0000-000048540000}"/>
    <cellStyle name="40 % - Markeringsfarve1 4 5 2 2 5" xfId="36207" xr:uid="{00000000-0005-0000-0000-000049540000}"/>
    <cellStyle name="40 % - Markeringsfarve1 4 5 2 3" xfId="6526" xr:uid="{00000000-0005-0000-0000-00004A540000}"/>
    <cellStyle name="40 % - Markeringsfarve1 4 5 2 3 2" xfId="14440" xr:uid="{00000000-0005-0000-0000-00004B540000}"/>
    <cellStyle name="40 % - Markeringsfarve1 4 5 2 3 2 2" xfId="30754" xr:uid="{00000000-0005-0000-0000-00004C540000}"/>
    <cellStyle name="40 % - Markeringsfarve1 4 5 2 3 2 3" xfId="45718" xr:uid="{00000000-0005-0000-0000-00004D540000}"/>
    <cellStyle name="40 % - Markeringsfarve1 4 5 2 3 3" xfId="23732" xr:uid="{00000000-0005-0000-0000-00004E540000}"/>
    <cellStyle name="40 % - Markeringsfarve1 4 5 2 3 4" xfId="38719" xr:uid="{00000000-0005-0000-0000-00004F540000}"/>
    <cellStyle name="40 % - Markeringsfarve1 4 5 2 4" xfId="11921" xr:uid="{00000000-0005-0000-0000-000050540000}"/>
    <cellStyle name="40 % - Markeringsfarve1 4 5 2 4 2" xfId="28240" xr:uid="{00000000-0005-0000-0000-000051540000}"/>
    <cellStyle name="40 % - Markeringsfarve1 4 5 2 4 3" xfId="43205" xr:uid="{00000000-0005-0000-0000-000052540000}"/>
    <cellStyle name="40 % - Markeringsfarve1 4 5 2 5" xfId="21218" xr:uid="{00000000-0005-0000-0000-000053540000}"/>
    <cellStyle name="40 % - Markeringsfarve1 4 5 2 6" xfId="36206" xr:uid="{00000000-0005-0000-0000-000054540000}"/>
    <cellStyle name="40 % - Markeringsfarve1 4 5 3" xfId="3366" xr:uid="{00000000-0005-0000-0000-000055540000}"/>
    <cellStyle name="40 % - Markeringsfarve1 4 5 3 2" xfId="7279" xr:uid="{00000000-0005-0000-0000-000056540000}"/>
    <cellStyle name="40 % - Markeringsfarve1 4 5 3 2 2" xfId="15189" xr:uid="{00000000-0005-0000-0000-000057540000}"/>
    <cellStyle name="40 % - Markeringsfarve1 4 5 3 2 2 2" xfId="31503" xr:uid="{00000000-0005-0000-0000-000058540000}"/>
    <cellStyle name="40 % - Markeringsfarve1 4 5 3 2 2 3" xfId="46467" xr:uid="{00000000-0005-0000-0000-000059540000}"/>
    <cellStyle name="40 % - Markeringsfarve1 4 5 3 2 3" xfId="24481" xr:uid="{00000000-0005-0000-0000-00005A540000}"/>
    <cellStyle name="40 % - Markeringsfarve1 4 5 3 2 4" xfId="39468" xr:uid="{00000000-0005-0000-0000-00005B540000}"/>
    <cellStyle name="40 % - Markeringsfarve1 4 5 3 3" xfId="11923" xr:uid="{00000000-0005-0000-0000-00005C540000}"/>
    <cellStyle name="40 % - Markeringsfarve1 4 5 3 3 2" xfId="28242" xr:uid="{00000000-0005-0000-0000-00005D540000}"/>
    <cellStyle name="40 % - Markeringsfarve1 4 5 3 3 3" xfId="43207" xr:uid="{00000000-0005-0000-0000-00005E540000}"/>
    <cellStyle name="40 % - Markeringsfarve1 4 5 3 4" xfId="21220" xr:uid="{00000000-0005-0000-0000-00005F540000}"/>
    <cellStyle name="40 % - Markeringsfarve1 4 5 3 5" xfId="36208" xr:uid="{00000000-0005-0000-0000-000060540000}"/>
    <cellStyle name="40 % - Markeringsfarve1 4 5 4" xfId="3367" xr:uid="{00000000-0005-0000-0000-000061540000}"/>
    <cellStyle name="40 % - Markeringsfarve1 4 5 4 2" xfId="8250" xr:uid="{00000000-0005-0000-0000-000062540000}"/>
    <cellStyle name="40 % - Markeringsfarve1 4 5 4 2 2" xfId="16146" xr:uid="{00000000-0005-0000-0000-000063540000}"/>
    <cellStyle name="40 % - Markeringsfarve1 4 5 4 2 2 2" xfId="32460" xr:uid="{00000000-0005-0000-0000-000064540000}"/>
    <cellStyle name="40 % - Markeringsfarve1 4 5 4 2 2 3" xfId="47424" xr:uid="{00000000-0005-0000-0000-000065540000}"/>
    <cellStyle name="40 % - Markeringsfarve1 4 5 4 2 3" xfId="25438" xr:uid="{00000000-0005-0000-0000-000066540000}"/>
    <cellStyle name="40 % - Markeringsfarve1 4 5 4 2 4" xfId="40425" xr:uid="{00000000-0005-0000-0000-000067540000}"/>
    <cellStyle name="40 % - Markeringsfarve1 4 5 4 3" xfId="11924" xr:uid="{00000000-0005-0000-0000-000068540000}"/>
    <cellStyle name="40 % - Markeringsfarve1 4 5 4 3 2" xfId="28243" xr:uid="{00000000-0005-0000-0000-000069540000}"/>
    <cellStyle name="40 % - Markeringsfarve1 4 5 4 3 3" xfId="43208" xr:uid="{00000000-0005-0000-0000-00006A540000}"/>
    <cellStyle name="40 % - Markeringsfarve1 4 5 4 4" xfId="21221" xr:uid="{00000000-0005-0000-0000-00006B540000}"/>
    <cellStyle name="40 % - Markeringsfarve1 4 5 4 5" xfId="36209" xr:uid="{00000000-0005-0000-0000-00006C540000}"/>
    <cellStyle name="40 % - Markeringsfarve1 4 5 5" xfId="5790" xr:uid="{00000000-0005-0000-0000-00006D540000}"/>
    <cellStyle name="40 % - Markeringsfarve1 4 5 5 2" xfId="13708" xr:uid="{00000000-0005-0000-0000-00006E540000}"/>
    <cellStyle name="40 % - Markeringsfarve1 4 5 5 2 2" xfId="30022" xr:uid="{00000000-0005-0000-0000-00006F540000}"/>
    <cellStyle name="40 % - Markeringsfarve1 4 5 5 2 3" xfId="44986" xr:uid="{00000000-0005-0000-0000-000070540000}"/>
    <cellStyle name="40 % - Markeringsfarve1 4 5 5 3" xfId="23000" xr:uid="{00000000-0005-0000-0000-000071540000}"/>
    <cellStyle name="40 % - Markeringsfarve1 4 5 5 4" xfId="37987" xr:uid="{00000000-0005-0000-0000-000072540000}"/>
    <cellStyle name="40 % - Markeringsfarve1 4 5 6" xfId="11920" xr:uid="{00000000-0005-0000-0000-000073540000}"/>
    <cellStyle name="40 % - Markeringsfarve1 4 5 6 2" xfId="28239" xr:uid="{00000000-0005-0000-0000-000074540000}"/>
    <cellStyle name="40 % - Markeringsfarve1 4 5 6 3" xfId="43204" xr:uid="{00000000-0005-0000-0000-000075540000}"/>
    <cellStyle name="40 % - Markeringsfarve1 4 5 7" xfId="21217" xr:uid="{00000000-0005-0000-0000-000076540000}"/>
    <cellStyle name="40 % - Markeringsfarve1 4 5 8" xfId="36205" xr:uid="{00000000-0005-0000-0000-000077540000}"/>
    <cellStyle name="40 % - Markeringsfarve1 4 6" xfId="3368" xr:uid="{00000000-0005-0000-0000-000078540000}"/>
    <cellStyle name="40 % - Markeringsfarve1 4 6 2" xfId="3369" xr:uid="{00000000-0005-0000-0000-000079540000}"/>
    <cellStyle name="40 % - Markeringsfarve1 4 6 2 2" xfId="3370" xr:uid="{00000000-0005-0000-0000-00007A540000}"/>
    <cellStyle name="40 % - Markeringsfarve1 4 6 2 2 2" xfId="8141" xr:uid="{00000000-0005-0000-0000-00007B540000}"/>
    <cellStyle name="40 % - Markeringsfarve1 4 6 2 2 2 2" xfId="16042" xr:uid="{00000000-0005-0000-0000-00007C540000}"/>
    <cellStyle name="40 % - Markeringsfarve1 4 6 2 2 2 2 2" xfId="32356" xr:uid="{00000000-0005-0000-0000-00007D540000}"/>
    <cellStyle name="40 % - Markeringsfarve1 4 6 2 2 2 2 3" xfId="47320" xr:uid="{00000000-0005-0000-0000-00007E540000}"/>
    <cellStyle name="40 % - Markeringsfarve1 4 6 2 2 2 3" xfId="25334" xr:uid="{00000000-0005-0000-0000-00007F540000}"/>
    <cellStyle name="40 % - Markeringsfarve1 4 6 2 2 2 4" xfId="40321" xr:uid="{00000000-0005-0000-0000-000080540000}"/>
    <cellStyle name="40 % - Markeringsfarve1 4 6 2 2 3" xfId="11927" xr:uid="{00000000-0005-0000-0000-000081540000}"/>
    <cellStyle name="40 % - Markeringsfarve1 4 6 2 2 3 2" xfId="28246" xr:uid="{00000000-0005-0000-0000-000082540000}"/>
    <cellStyle name="40 % - Markeringsfarve1 4 6 2 2 3 3" xfId="43211" xr:uid="{00000000-0005-0000-0000-000083540000}"/>
    <cellStyle name="40 % - Markeringsfarve1 4 6 2 2 4" xfId="21224" xr:uid="{00000000-0005-0000-0000-000084540000}"/>
    <cellStyle name="40 % - Markeringsfarve1 4 6 2 2 5" xfId="36212" xr:uid="{00000000-0005-0000-0000-000085540000}"/>
    <cellStyle name="40 % - Markeringsfarve1 4 6 2 3" xfId="6643" xr:uid="{00000000-0005-0000-0000-000086540000}"/>
    <cellStyle name="40 % - Markeringsfarve1 4 6 2 3 2" xfId="14557" xr:uid="{00000000-0005-0000-0000-000087540000}"/>
    <cellStyle name="40 % - Markeringsfarve1 4 6 2 3 2 2" xfId="30871" xr:uid="{00000000-0005-0000-0000-000088540000}"/>
    <cellStyle name="40 % - Markeringsfarve1 4 6 2 3 2 3" xfId="45835" xr:uid="{00000000-0005-0000-0000-000089540000}"/>
    <cellStyle name="40 % - Markeringsfarve1 4 6 2 3 3" xfId="23849" xr:uid="{00000000-0005-0000-0000-00008A540000}"/>
    <cellStyle name="40 % - Markeringsfarve1 4 6 2 3 4" xfId="38836" xr:uid="{00000000-0005-0000-0000-00008B540000}"/>
    <cellStyle name="40 % - Markeringsfarve1 4 6 2 4" xfId="11926" xr:uid="{00000000-0005-0000-0000-00008C540000}"/>
    <cellStyle name="40 % - Markeringsfarve1 4 6 2 4 2" xfId="28245" xr:uid="{00000000-0005-0000-0000-00008D540000}"/>
    <cellStyle name="40 % - Markeringsfarve1 4 6 2 4 3" xfId="43210" xr:uid="{00000000-0005-0000-0000-00008E540000}"/>
    <cellStyle name="40 % - Markeringsfarve1 4 6 2 5" xfId="21223" xr:uid="{00000000-0005-0000-0000-00008F540000}"/>
    <cellStyle name="40 % - Markeringsfarve1 4 6 2 6" xfId="36211" xr:uid="{00000000-0005-0000-0000-000090540000}"/>
    <cellStyle name="40 % - Markeringsfarve1 4 6 3" xfId="3371" xr:uid="{00000000-0005-0000-0000-000091540000}"/>
    <cellStyle name="40 % - Markeringsfarve1 4 6 3 2" xfId="7418" xr:uid="{00000000-0005-0000-0000-000092540000}"/>
    <cellStyle name="40 % - Markeringsfarve1 4 6 3 2 2" xfId="15328" xr:uid="{00000000-0005-0000-0000-000093540000}"/>
    <cellStyle name="40 % - Markeringsfarve1 4 6 3 2 2 2" xfId="31642" xr:uid="{00000000-0005-0000-0000-000094540000}"/>
    <cellStyle name="40 % - Markeringsfarve1 4 6 3 2 2 3" xfId="46606" xr:uid="{00000000-0005-0000-0000-000095540000}"/>
    <cellStyle name="40 % - Markeringsfarve1 4 6 3 2 3" xfId="24620" xr:uid="{00000000-0005-0000-0000-000096540000}"/>
    <cellStyle name="40 % - Markeringsfarve1 4 6 3 2 4" xfId="39607" xr:uid="{00000000-0005-0000-0000-000097540000}"/>
    <cellStyle name="40 % - Markeringsfarve1 4 6 3 3" xfId="11928" xr:uid="{00000000-0005-0000-0000-000098540000}"/>
    <cellStyle name="40 % - Markeringsfarve1 4 6 3 3 2" xfId="28247" xr:uid="{00000000-0005-0000-0000-000099540000}"/>
    <cellStyle name="40 % - Markeringsfarve1 4 6 3 3 3" xfId="43212" xr:uid="{00000000-0005-0000-0000-00009A540000}"/>
    <cellStyle name="40 % - Markeringsfarve1 4 6 3 4" xfId="21225" xr:uid="{00000000-0005-0000-0000-00009B540000}"/>
    <cellStyle name="40 % - Markeringsfarve1 4 6 3 5" xfId="36213" xr:uid="{00000000-0005-0000-0000-00009C540000}"/>
    <cellStyle name="40 % - Markeringsfarve1 4 6 4" xfId="3372" xr:uid="{00000000-0005-0000-0000-00009D540000}"/>
    <cellStyle name="40 % - Markeringsfarve1 4 6 4 2" xfId="6722" xr:uid="{00000000-0005-0000-0000-00009E540000}"/>
    <cellStyle name="40 % - Markeringsfarve1 4 6 4 2 2" xfId="14635" xr:uid="{00000000-0005-0000-0000-00009F540000}"/>
    <cellStyle name="40 % - Markeringsfarve1 4 6 4 2 2 2" xfId="30949" xr:uid="{00000000-0005-0000-0000-0000A0540000}"/>
    <cellStyle name="40 % - Markeringsfarve1 4 6 4 2 2 3" xfId="45913" xr:uid="{00000000-0005-0000-0000-0000A1540000}"/>
    <cellStyle name="40 % - Markeringsfarve1 4 6 4 2 3" xfId="23927" xr:uid="{00000000-0005-0000-0000-0000A2540000}"/>
    <cellStyle name="40 % - Markeringsfarve1 4 6 4 2 4" xfId="38914" xr:uid="{00000000-0005-0000-0000-0000A3540000}"/>
    <cellStyle name="40 % - Markeringsfarve1 4 6 4 3" xfId="11929" xr:uid="{00000000-0005-0000-0000-0000A4540000}"/>
    <cellStyle name="40 % - Markeringsfarve1 4 6 4 3 2" xfId="28248" xr:uid="{00000000-0005-0000-0000-0000A5540000}"/>
    <cellStyle name="40 % - Markeringsfarve1 4 6 4 3 3" xfId="43213" xr:uid="{00000000-0005-0000-0000-0000A6540000}"/>
    <cellStyle name="40 % - Markeringsfarve1 4 6 4 4" xfId="21226" xr:uid="{00000000-0005-0000-0000-0000A7540000}"/>
    <cellStyle name="40 % - Markeringsfarve1 4 6 4 5" xfId="36214" xr:uid="{00000000-0005-0000-0000-0000A8540000}"/>
    <cellStyle name="40 % - Markeringsfarve1 4 6 5" xfId="5791" xr:uid="{00000000-0005-0000-0000-0000A9540000}"/>
    <cellStyle name="40 % - Markeringsfarve1 4 6 5 2" xfId="13709" xr:uid="{00000000-0005-0000-0000-0000AA540000}"/>
    <cellStyle name="40 % - Markeringsfarve1 4 6 5 2 2" xfId="30023" xr:uid="{00000000-0005-0000-0000-0000AB540000}"/>
    <cellStyle name="40 % - Markeringsfarve1 4 6 5 2 3" xfId="44987" xr:uid="{00000000-0005-0000-0000-0000AC540000}"/>
    <cellStyle name="40 % - Markeringsfarve1 4 6 5 3" xfId="23001" xr:uid="{00000000-0005-0000-0000-0000AD540000}"/>
    <cellStyle name="40 % - Markeringsfarve1 4 6 5 4" xfId="37988" xr:uid="{00000000-0005-0000-0000-0000AE540000}"/>
    <cellStyle name="40 % - Markeringsfarve1 4 6 6" xfId="11925" xr:uid="{00000000-0005-0000-0000-0000AF540000}"/>
    <cellStyle name="40 % - Markeringsfarve1 4 6 6 2" xfId="28244" xr:uid="{00000000-0005-0000-0000-0000B0540000}"/>
    <cellStyle name="40 % - Markeringsfarve1 4 6 6 3" xfId="43209" xr:uid="{00000000-0005-0000-0000-0000B1540000}"/>
    <cellStyle name="40 % - Markeringsfarve1 4 6 7" xfId="21222" xr:uid="{00000000-0005-0000-0000-0000B2540000}"/>
    <cellStyle name="40 % - Markeringsfarve1 4 6 8" xfId="36210" xr:uid="{00000000-0005-0000-0000-0000B3540000}"/>
    <cellStyle name="40 % - Markeringsfarve1 4 7" xfId="3373" xr:uid="{00000000-0005-0000-0000-0000B4540000}"/>
    <cellStyle name="40 % - Markeringsfarve1 4 7 2" xfId="3374" xr:uid="{00000000-0005-0000-0000-0000B5540000}"/>
    <cellStyle name="40 % - Markeringsfarve1 4 7 2 2" xfId="7529" xr:uid="{00000000-0005-0000-0000-0000B6540000}"/>
    <cellStyle name="40 % - Markeringsfarve1 4 7 2 2 2" xfId="15430" xr:uid="{00000000-0005-0000-0000-0000B7540000}"/>
    <cellStyle name="40 % - Markeringsfarve1 4 7 2 2 2 2" xfId="31744" xr:uid="{00000000-0005-0000-0000-0000B8540000}"/>
    <cellStyle name="40 % - Markeringsfarve1 4 7 2 2 2 3" xfId="46708" xr:uid="{00000000-0005-0000-0000-0000B9540000}"/>
    <cellStyle name="40 % - Markeringsfarve1 4 7 2 2 3" xfId="24722" xr:uid="{00000000-0005-0000-0000-0000BA540000}"/>
    <cellStyle name="40 % - Markeringsfarve1 4 7 2 2 4" xfId="39709" xr:uid="{00000000-0005-0000-0000-0000BB540000}"/>
    <cellStyle name="40 % - Markeringsfarve1 4 7 2 3" xfId="11931" xr:uid="{00000000-0005-0000-0000-0000BC540000}"/>
    <cellStyle name="40 % - Markeringsfarve1 4 7 2 3 2" xfId="28250" xr:uid="{00000000-0005-0000-0000-0000BD540000}"/>
    <cellStyle name="40 % - Markeringsfarve1 4 7 2 3 3" xfId="43215" xr:uid="{00000000-0005-0000-0000-0000BE540000}"/>
    <cellStyle name="40 % - Markeringsfarve1 4 7 2 4" xfId="21228" xr:uid="{00000000-0005-0000-0000-0000BF540000}"/>
    <cellStyle name="40 % - Markeringsfarve1 4 7 2 5" xfId="36216" xr:uid="{00000000-0005-0000-0000-0000C0540000}"/>
    <cellStyle name="40 % - Markeringsfarve1 4 7 3" xfId="6126" xr:uid="{00000000-0005-0000-0000-0000C1540000}"/>
    <cellStyle name="40 % - Markeringsfarve1 4 7 3 2" xfId="14043" xr:uid="{00000000-0005-0000-0000-0000C2540000}"/>
    <cellStyle name="40 % - Markeringsfarve1 4 7 3 2 2" xfId="30357" xr:uid="{00000000-0005-0000-0000-0000C3540000}"/>
    <cellStyle name="40 % - Markeringsfarve1 4 7 3 2 3" xfId="45321" xr:uid="{00000000-0005-0000-0000-0000C4540000}"/>
    <cellStyle name="40 % - Markeringsfarve1 4 7 3 3" xfId="23335" xr:uid="{00000000-0005-0000-0000-0000C5540000}"/>
    <cellStyle name="40 % - Markeringsfarve1 4 7 3 4" xfId="38322" xr:uid="{00000000-0005-0000-0000-0000C6540000}"/>
    <cellStyle name="40 % - Markeringsfarve1 4 7 4" xfId="11930" xr:uid="{00000000-0005-0000-0000-0000C7540000}"/>
    <cellStyle name="40 % - Markeringsfarve1 4 7 4 2" xfId="28249" xr:uid="{00000000-0005-0000-0000-0000C8540000}"/>
    <cellStyle name="40 % - Markeringsfarve1 4 7 4 3" xfId="43214" xr:uid="{00000000-0005-0000-0000-0000C9540000}"/>
    <cellStyle name="40 % - Markeringsfarve1 4 7 5" xfId="21227" xr:uid="{00000000-0005-0000-0000-0000CA540000}"/>
    <cellStyle name="40 % - Markeringsfarve1 4 7 6" xfId="36215" xr:uid="{00000000-0005-0000-0000-0000CB540000}"/>
    <cellStyle name="40 % - Markeringsfarve1 4 8" xfId="3375" xr:uid="{00000000-0005-0000-0000-0000CC540000}"/>
    <cellStyle name="40 % - Markeringsfarve1 4 8 2" xfId="6757" xr:uid="{00000000-0005-0000-0000-0000CD540000}"/>
    <cellStyle name="40 % - Markeringsfarve1 4 8 2 2" xfId="14668" xr:uid="{00000000-0005-0000-0000-0000CE540000}"/>
    <cellStyle name="40 % - Markeringsfarve1 4 8 2 2 2" xfId="30982" xr:uid="{00000000-0005-0000-0000-0000CF540000}"/>
    <cellStyle name="40 % - Markeringsfarve1 4 8 2 2 3" xfId="45946" xr:uid="{00000000-0005-0000-0000-0000D0540000}"/>
    <cellStyle name="40 % - Markeringsfarve1 4 8 2 3" xfId="23960" xr:uid="{00000000-0005-0000-0000-0000D1540000}"/>
    <cellStyle name="40 % - Markeringsfarve1 4 8 2 4" xfId="38947" xr:uid="{00000000-0005-0000-0000-0000D2540000}"/>
    <cellStyle name="40 % - Markeringsfarve1 4 8 3" xfId="11932" xr:uid="{00000000-0005-0000-0000-0000D3540000}"/>
    <cellStyle name="40 % - Markeringsfarve1 4 8 3 2" xfId="28251" xr:uid="{00000000-0005-0000-0000-0000D4540000}"/>
    <cellStyle name="40 % - Markeringsfarve1 4 8 3 3" xfId="43216" xr:uid="{00000000-0005-0000-0000-0000D5540000}"/>
    <cellStyle name="40 % - Markeringsfarve1 4 8 4" xfId="21229" xr:uid="{00000000-0005-0000-0000-0000D6540000}"/>
    <cellStyle name="40 % - Markeringsfarve1 4 8 5" xfId="36217" xr:uid="{00000000-0005-0000-0000-0000D7540000}"/>
    <cellStyle name="40 % - Markeringsfarve1 4 9" xfId="3376" xr:uid="{00000000-0005-0000-0000-0000D8540000}"/>
    <cellStyle name="40 % - Markeringsfarve1 4 9 2" xfId="8413" xr:uid="{00000000-0005-0000-0000-0000D9540000}"/>
    <cellStyle name="40 % - Markeringsfarve1 4 9 2 2" xfId="16306" xr:uid="{00000000-0005-0000-0000-0000DA540000}"/>
    <cellStyle name="40 % - Markeringsfarve1 4 9 2 2 2" xfId="32620" xr:uid="{00000000-0005-0000-0000-0000DB540000}"/>
    <cellStyle name="40 % - Markeringsfarve1 4 9 2 2 3" xfId="47584" xr:uid="{00000000-0005-0000-0000-0000DC540000}"/>
    <cellStyle name="40 % - Markeringsfarve1 4 9 2 3" xfId="25598" xr:uid="{00000000-0005-0000-0000-0000DD540000}"/>
    <cellStyle name="40 % - Markeringsfarve1 4 9 2 4" xfId="40585" xr:uid="{00000000-0005-0000-0000-0000DE540000}"/>
    <cellStyle name="40 % - Markeringsfarve1 4 9 3" xfId="11933" xr:uid="{00000000-0005-0000-0000-0000DF540000}"/>
    <cellStyle name="40 % - Markeringsfarve1 4 9 3 2" xfId="28252" xr:uid="{00000000-0005-0000-0000-0000E0540000}"/>
    <cellStyle name="40 % - Markeringsfarve1 4 9 3 3" xfId="43217" xr:uid="{00000000-0005-0000-0000-0000E1540000}"/>
    <cellStyle name="40 % - Markeringsfarve1 4 9 4" xfId="21230" xr:uid="{00000000-0005-0000-0000-0000E2540000}"/>
    <cellStyle name="40 % - Markeringsfarve1 4 9 5" xfId="36218" xr:uid="{00000000-0005-0000-0000-0000E3540000}"/>
    <cellStyle name="40 % - Markeringsfarve1 5" xfId="3377" xr:uid="{00000000-0005-0000-0000-0000E4540000}"/>
    <cellStyle name="40 % - Markeringsfarve1 5 10" xfId="5792" xr:uid="{00000000-0005-0000-0000-0000E5540000}"/>
    <cellStyle name="40 % - Markeringsfarve1 5 10 2" xfId="13710" xr:uid="{00000000-0005-0000-0000-0000E6540000}"/>
    <cellStyle name="40 % - Markeringsfarve1 5 10 2 2" xfId="30024" xr:uid="{00000000-0005-0000-0000-0000E7540000}"/>
    <cellStyle name="40 % - Markeringsfarve1 5 10 2 3" xfId="44988" xr:uid="{00000000-0005-0000-0000-0000E8540000}"/>
    <cellStyle name="40 % - Markeringsfarve1 5 10 3" xfId="23002" xr:uid="{00000000-0005-0000-0000-0000E9540000}"/>
    <cellStyle name="40 % - Markeringsfarve1 5 10 4" xfId="37989" xr:uid="{00000000-0005-0000-0000-0000EA540000}"/>
    <cellStyle name="40 % - Markeringsfarve1 5 11" xfId="11934" xr:uid="{00000000-0005-0000-0000-0000EB540000}"/>
    <cellStyle name="40 % - Markeringsfarve1 5 11 2" xfId="28253" xr:uid="{00000000-0005-0000-0000-0000EC540000}"/>
    <cellStyle name="40 % - Markeringsfarve1 5 11 3" xfId="43218" xr:uid="{00000000-0005-0000-0000-0000ED540000}"/>
    <cellStyle name="40 % - Markeringsfarve1 5 12" xfId="21231" xr:uid="{00000000-0005-0000-0000-0000EE540000}"/>
    <cellStyle name="40 % - Markeringsfarve1 5 13" xfId="36219" xr:uid="{00000000-0005-0000-0000-0000EF540000}"/>
    <cellStyle name="40 % - Markeringsfarve1 5 14" xfId="53335" xr:uid="{00000000-0005-0000-0000-0000F0540000}"/>
    <cellStyle name="40 % - Markeringsfarve1 5 2" xfId="3378" xr:uid="{00000000-0005-0000-0000-0000F1540000}"/>
    <cellStyle name="40 % - Markeringsfarve1 5 2 2" xfId="3379" xr:uid="{00000000-0005-0000-0000-0000F2540000}"/>
    <cellStyle name="40 % - Markeringsfarve1 5 2 2 2" xfId="3380" xr:uid="{00000000-0005-0000-0000-0000F3540000}"/>
    <cellStyle name="40 % - Markeringsfarve1 5 2 2 2 2" xfId="7687" xr:uid="{00000000-0005-0000-0000-0000F4540000}"/>
    <cellStyle name="40 % - Markeringsfarve1 5 2 2 2 2 2" xfId="15588" xr:uid="{00000000-0005-0000-0000-0000F5540000}"/>
    <cellStyle name="40 % - Markeringsfarve1 5 2 2 2 2 2 2" xfId="31902" xr:uid="{00000000-0005-0000-0000-0000F6540000}"/>
    <cellStyle name="40 % - Markeringsfarve1 5 2 2 2 2 2 3" xfId="46866" xr:uid="{00000000-0005-0000-0000-0000F7540000}"/>
    <cellStyle name="40 % - Markeringsfarve1 5 2 2 2 2 3" xfId="24880" xr:uid="{00000000-0005-0000-0000-0000F8540000}"/>
    <cellStyle name="40 % - Markeringsfarve1 5 2 2 2 2 4" xfId="39867" xr:uid="{00000000-0005-0000-0000-0000F9540000}"/>
    <cellStyle name="40 % - Markeringsfarve1 5 2 2 2 3" xfId="11937" xr:uid="{00000000-0005-0000-0000-0000FA540000}"/>
    <cellStyle name="40 % - Markeringsfarve1 5 2 2 2 3 2" xfId="28256" xr:uid="{00000000-0005-0000-0000-0000FB540000}"/>
    <cellStyle name="40 % - Markeringsfarve1 5 2 2 2 3 3" xfId="43221" xr:uid="{00000000-0005-0000-0000-0000FC540000}"/>
    <cellStyle name="40 % - Markeringsfarve1 5 2 2 2 4" xfId="21234" xr:uid="{00000000-0005-0000-0000-0000FD540000}"/>
    <cellStyle name="40 % - Markeringsfarve1 5 2 2 2 5" xfId="36222" xr:uid="{00000000-0005-0000-0000-0000FE540000}"/>
    <cellStyle name="40 % - Markeringsfarve1 5 2 2 3" xfId="6258" xr:uid="{00000000-0005-0000-0000-0000FF540000}"/>
    <cellStyle name="40 % - Markeringsfarve1 5 2 2 3 2" xfId="14175" xr:uid="{00000000-0005-0000-0000-000000550000}"/>
    <cellStyle name="40 % - Markeringsfarve1 5 2 2 3 2 2" xfId="30489" xr:uid="{00000000-0005-0000-0000-000001550000}"/>
    <cellStyle name="40 % - Markeringsfarve1 5 2 2 3 2 3" xfId="45453" xr:uid="{00000000-0005-0000-0000-000002550000}"/>
    <cellStyle name="40 % - Markeringsfarve1 5 2 2 3 3" xfId="23467" xr:uid="{00000000-0005-0000-0000-000003550000}"/>
    <cellStyle name="40 % - Markeringsfarve1 5 2 2 3 4" xfId="38454" xr:uid="{00000000-0005-0000-0000-000004550000}"/>
    <cellStyle name="40 % - Markeringsfarve1 5 2 2 4" xfId="11936" xr:uid="{00000000-0005-0000-0000-000005550000}"/>
    <cellStyle name="40 % - Markeringsfarve1 5 2 2 4 2" xfId="28255" xr:uid="{00000000-0005-0000-0000-000006550000}"/>
    <cellStyle name="40 % - Markeringsfarve1 5 2 2 4 3" xfId="43220" xr:uid="{00000000-0005-0000-0000-000007550000}"/>
    <cellStyle name="40 % - Markeringsfarve1 5 2 2 5" xfId="21233" xr:uid="{00000000-0005-0000-0000-000008550000}"/>
    <cellStyle name="40 % - Markeringsfarve1 5 2 2 6" xfId="36221" xr:uid="{00000000-0005-0000-0000-000009550000}"/>
    <cellStyle name="40 % - Markeringsfarve1 5 2 2 7" xfId="57139" xr:uid="{00000000-0005-0000-0000-00000A550000}"/>
    <cellStyle name="40 % - Markeringsfarve1 5 2 3" xfId="3381" xr:uid="{00000000-0005-0000-0000-00000B550000}"/>
    <cellStyle name="40 % - Markeringsfarve1 5 2 3 2" xfId="6917" xr:uid="{00000000-0005-0000-0000-00000C550000}"/>
    <cellStyle name="40 % - Markeringsfarve1 5 2 3 2 2" xfId="14828" xr:uid="{00000000-0005-0000-0000-00000D550000}"/>
    <cellStyle name="40 % - Markeringsfarve1 5 2 3 2 2 2" xfId="31142" xr:uid="{00000000-0005-0000-0000-00000E550000}"/>
    <cellStyle name="40 % - Markeringsfarve1 5 2 3 2 2 3" xfId="46106" xr:uid="{00000000-0005-0000-0000-00000F550000}"/>
    <cellStyle name="40 % - Markeringsfarve1 5 2 3 2 3" xfId="24120" xr:uid="{00000000-0005-0000-0000-000010550000}"/>
    <cellStyle name="40 % - Markeringsfarve1 5 2 3 2 4" xfId="39107" xr:uid="{00000000-0005-0000-0000-000011550000}"/>
    <cellStyle name="40 % - Markeringsfarve1 5 2 3 3" xfId="11938" xr:uid="{00000000-0005-0000-0000-000012550000}"/>
    <cellStyle name="40 % - Markeringsfarve1 5 2 3 3 2" xfId="28257" xr:uid="{00000000-0005-0000-0000-000013550000}"/>
    <cellStyle name="40 % - Markeringsfarve1 5 2 3 3 3" xfId="43222" xr:uid="{00000000-0005-0000-0000-000014550000}"/>
    <cellStyle name="40 % - Markeringsfarve1 5 2 3 4" xfId="21235" xr:uid="{00000000-0005-0000-0000-000015550000}"/>
    <cellStyle name="40 % - Markeringsfarve1 5 2 3 5" xfId="36223" xr:uid="{00000000-0005-0000-0000-000016550000}"/>
    <cellStyle name="40 % - Markeringsfarve1 5 2 4" xfId="3382" xr:uid="{00000000-0005-0000-0000-000017550000}"/>
    <cellStyle name="40 % - Markeringsfarve1 5 2 4 2" xfId="8530" xr:uid="{00000000-0005-0000-0000-000018550000}"/>
    <cellStyle name="40 % - Markeringsfarve1 5 2 4 2 2" xfId="16418" xr:uid="{00000000-0005-0000-0000-000019550000}"/>
    <cellStyle name="40 % - Markeringsfarve1 5 2 4 2 2 2" xfId="32732" xr:uid="{00000000-0005-0000-0000-00001A550000}"/>
    <cellStyle name="40 % - Markeringsfarve1 5 2 4 2 2 3" xfId="47696" xr:uid="{00000000-0005-0000-0000-00001B550000}"/>
    <cellStyle name="40 % - Markeringsfarve1 5 2 4 2 3" xfId="25710" xr:uid="{00000000-0005-0000-0000-00001C550000}"/>
    <cellStyle name="40 % - Markeringsfarve1 5 2 4 2 4" xfId="40697" xr:uid="{00000000-0005-0000-0000-00001D550000}"/>
    <cellStyle name="40 % - Markeringsfarve1 5 2 4 3" xfId="11939" xr:uid="{00000000-0005-0000-0000-00001E550000}"/>
    <cellStyle name="40 % - Markeringsfarve1 5 2 4 3 2" xfId="28258" xr:uid="{00000000-0005-0000-0000-00001F550000}"/>
    <cellStyle name="40 % - Markeringsfarve1 5 2 4 3 3" xfId="43223" xr:uid="{00000000-0005-0000-0000-000020550000}"/>
    <cellStyle name="40 % - Markeringsfarve1 5 2 4 4" xfId="21236" xr:uid="{00000000-0005-0000-0000-000021550000}"/>
    <cellStyle name="40 % - Markeringsfarve1 5 2 4 5" xfId="36224" xr:uid="{00000000-0005-0000-0000-000022550000}"/>
    <cellStyle name="40 % - Markeringsfarve1 5 2 5" xfId="5793" xr:uid="{00000000-0005-0000-0000-000023550000}"/>
    <cellStyle name="40 % - Markeringsfarve1 5 2 5 2" xfId="13711" xr:uid="{00000000-0005-0000-0000-000024550000}"/>
    <cellStyle name="40 % - Markeringsfarve1 5 2 5 2 2" xfId="30025" xr:uid="{00000000-0005-0000-0000-000025550000}"/>
    <cellStyle name="40 % - Markeringsfarve1 5 2 5 2 3" xfId="44989" xr:uid="{00000000-0005-0000-0000-000026550000}"/>
    <cellStyle name="40 % - Markeringsfarve1 5 2 5 3" xfId="23003" xr:uid="{00000000-0005-0000-0000-000027550000}"/>
    <cellStyle name="40 % - Markeringsfarve1 5 2 5 4" xfId="37990" xr:uid="{00000000-0005-0000-0000-000028550000}"/>
    <cellStyle name="40 % - Markeringsfarve1 5 2 6" xfId="11935" xr:uid="{00000000-0005-0000-0000-000029550000}"/>
    <cellStyle name="40 % - Markeringsfarve1 5 2 6 2" xfId="28254" xr:uid="{00000000-0005-0000-0000-00002A550000}"/>
    <cellStyle name="40 % - Markeringsfarve1 5 2 6 3" xfId="43219" xr:uid="{00000000-0005-0000-0000-00002B550000}"/>
    <cellStyle name="40 % - Markeringsfarve1 5 2 7" xfId="21232" xr:uid="{00000000-0005-0000-0000-00002C550000}"/>
    <cellStyle name="40 % - Markeringsfarve1 5 2 8" xfId="36220" xr:uid="{00000000-0005-0000-0000-00002D550000}"/>
    <cellStyle name="40 % - Markeringsfarve1 5 2 9" xfId="53972" xr:uid="{00000000-0005-0000-0000-00002E550000}"/>
    <cellStyle name="40 % - Markeringsfarve1 5 3" xfId="3383" xr:uid="{00000000-0005-0000-0000-00002F550000}"/>
    <cellStyle name="40 % - Markeringsfarve1 5 3 2" xfId="3384" xr:uid="{00000000-0005-0000-0000-000030550000}"/>
    <cellStyle name="40 % - Markeringsfarve1 5 3 2 2" xfId="3385" xr:uid="{00000000-0005-0000-0000-000031550000}"/>
    <cellStyle name="40 % - Markeringsfarve1 5 3 2 2 2" xfId="7788" xr:uid="{00000000-0005-0000-0000-000032550000}"/>
    <cellStyle name="40 % - Markeringsfarve1 5 3 2 2 2 2" xfId="15689" xr:uid="{00000000-0005-0000-0000-000033550000}"/>
    <cellStyle name="40 % - Markeringsfarve1 5 3 2 2 2 2 2" xfId="32003" xr:uid="{00000000-0005-0000-0000-000034550000}"/>
    <cellStyle name="40 % - Markeringsfarve1 5 3 2 2 2 2 3" xfId="46967" xr:uid="{00000000-0005-0000-0000-000035550000}"/>
    <cellStyle name="40 % - Markeringsfarve1 5 3 2 2 2 3" xfId="24981" xr:uid="{00000000-0005-0000-0000-000036550000}"/>
    <cellStyle name="40 % - Markeringsfarve1 5 3 2 2 2 4" xfId="39968" xr:uid="{00000000-0005-0000-0000-000037550000}"/>
    <cellStyle name="40 % - Markeringsfarve1 5 3 2 2 3" xfId="11942" xr:uid="{00000000-0005-0000-0000-000038550000}"/>
    <cellStyle name="40 % - Markeringsfarve1 5 3 2 2 3 2" xfId="28261" xr:uid="{00000000-0005-0000-0000-000039550000}"/>
    <cellStyle name="40 % - Markeringsfarve1 5 3 2 2 3 3" xfId="43226" xr:uid="{00000000-0005-0000-0000-00003A550000}"/>
    <cellStyle name="40 % - Markeringsfarve1 5 3 2 2 4" xfId="21239" xr:uid="{00000000-0005-0000-0000-00003B550000}"/>
    <cellStyle name="40 % - Markeringsfarve1 5 3 2 2 5" xfId="36227" xr:uid="{00000000-0005-0000-0000-00003C550000}"/>
    <cellStyle name="40 % - Markeringsfarve1 5 3 2 3" xfId="6343" xr:uid="{00000000-0005-0000-0000-00003D550000}"/>
    <cellStyle name="40 % - Markeringsfarve1 5 3 2 3 2" xfId="14260" xr:uid="{00000000-0005-0000-0000-00003E550000}"/>
    <cellStyle name="40 % - Markeringsfarve1 5 3 2 3 2 2" xfId="30574" xr:uid="{00000000-0005-0000-0000-00003F550000}"/>
    <cellStyle name="40 % - Markeringsfarve1 5 3 2 3 2 3" xfId="45538" xr:uid="{00000000-0005-0000-0000-000040550000}"/>
    <cellStyle name="40 % - Markeringsfarve1 5 3 2 3 3" xfId="23552" xr:uid="{00000000-0005-0000-0000-000041550000}"/>
    <cellStyle name="40 % - Markeringsfarve1 5 3 2 3 4" xfId="38539" xr:uid="{00000000-0005-0000-0000-000042550000}"/>
    <cellStyle name="40 % - Markeringsfarve1 5 3 2 4" xfId="11941" xr:uid="{00000000-0005-0000-0000-000043550000}"/>
    <cellStyle name="40 % - Markeringsfarve1 5 3 2 4 2" xfId="28260" xr:uid="{00000000-0005-0000-0000-000044550000}"/>
    <cellStyle name="40 % - Markeringsfarve1 5 3 2 4 3" xfId="43225" xr:uid="{00000000-0005-0000-0000-000045550000}"/>
    <cellStyle name="40 % - Markeringsfarve1 5 3 2 5" xfId="21238" xr:uid="{00000000-0005-0000-0000-000046550000}"/>
    <cellStyle name="40 % - Markeringsfarve1 5 3 2 6" xfId="36226" xr:uid="{00000000-0005-0000-0000-000047550000}"/>
    <cellStyle name="40 % - Markeringsfarve1 5 3 3" xfId="3386" xr:uid="{00000000-0005-0000-0000-000048550000}"/>
    <cellStyle name="40 % - Markeringsfarve1 5 3 3 2" xfId="7018" xr:uid="{00000000-0005-0000-0000-000049550000}"/>
    <cellStyle name="40 % - Markeringsfarve1 5 3 3 2 2" xfId="14929" xr:uid="{00000000-0005-0000-0000-00004A550000}"/>
    <cellStyle name="40 % - Markeringsfarve1 5 3 3 2 2 2" xfId="31243" xr:uid="{00000000-0005-0000-0000-00004B550000}"/>
    <cellStyle name="40 % - Markeringsfarve1 5 3 3 2 2 3" xfId="46207" xr:uid="{00000000-0005-0000-0000-00004C550000}"/>
    <cellStyle name="40 % - Markeringsfarve1 5 3 3 2 3" xfId="24221" xr:uid="{00000000-0005-0000-0000-00004D550000}"/>
    <cellStyle name="40 % - Markeringsfarve1 5 3 3 2 4" xfId="39208" xr:uid="{00000000-0005-0000-0000-00004E550000}"/>
    <cellStyle name="40 % - Markeringsfarve1 5 3 3 3" xfId="11943" xr:uid="{00000000-0005-0000-0000-00004F550000}"/>
    <cellStyle name="40 % - Markeringsfarve1 5 3 3 3 2" xfId="28262" xr:uid="{00000000-0005-0000-0000-000050550000}"/>
    <cellStyle name="40 % - Markeringsfarve1 5 3 3 3 3" xfId="43227" xr:uid="{00000000-0005-0000-0000-000051550000}"/>
    <cellStyle name="40 % - Markeringsfarve1 5 3 3 4" xfId="21240" xr:uid="{00000000-0005-0000-0000-000052550000}"/>
    <cellStyle name="40 % - Markeringsfarve1 5 3 3 5" xfId="36228" xr:uid="{00000000-0005-0000-0000-000053550000}"/>
    <cellStyle name="40 % - Markeringsfarve1 5 3 4" xfId="3387" xr:uid="{00000000-0005-0000-0000-000054550000}"/>
    <cellStyle name="40 % - Markeringsfarve1 5 3 4 2" xfId="8775" xr:uid="{00000000-0005-0000-0000-000055550000}"/>
    <cellStyle name="40 % - Markeringsfarve1 5 3 4 2 2" xfId="16651" xr:uid="{00000000-0005-0000-0000-000056550000}"/>
    <cellStyle name="40 % - Markeringsfarve1 5 3 4 2 2 2" xfId="32965" xr:uid="{00000000-0005-0000-0000-000057550000}"/>
    <cellStyle name="40 % - Markeringsfarve1 5 3 4 2 2 3" xfId="47929" xr:uid="{00000000-0005-0000-0000-000058550000}"/>
    <cellStyle name="40 % - Markeringsfarve1 5 3 4 2 3" xfId="25943" xr:uid="{00000000-0005-0000-0000-000059550000}"/>
    <cellStyle name="40 % - Markeringsfarve1 5 3 4 2 4" xfId="40930" xr:uid="{00000000-0005-0000-0000-00005A550000}"/>
    <cellStyle name="40 % - Markeringsfarve1 5 3 4 3" xfId="11944" xr:uid="{00000000-0005-0000-0000-00005B550000}"/>
    <cellStyle name="40 % - Markeringsfarve1 5 3 4 3 2" xfId="28263" xr:uid="{00000000-0005-0000-0000-00005C550000}"/>
    <cellStyle name="40 % - Markeringsfarve1 5 3 4 3 3" xfId="43228" xr:uid="{00000000-0005-0000-0000-00005D550000}"/>
    <cellStyle name="40 % - Markeringsfarve1 5 3 4 4" xfId="21241" xr:uid="{00000000-0005-0000-0000-00005E550000}"/>
    <cellStyle name="40 % - Markeringsfarve1 5 3 4 5" xfId="36229" xr:uid="{00000000-0005-0000-0000-00005F550000}"/>
    <cellStyle name="40 % - Markeringsfarve1 5 3 5" xfId="5794" xr:uid="{00000000-0005-0000-0000-000060550000}"/>
    <cellStyle name="40 % - Markeringsfarve1 5 3 5 2" xfId="13712" xr:uid="{00000000-0005-0000-0000-000061550000}"/>
    <cellStyle name="40 % - Markeringsfarve1 5 3 5 2 2" xfId="30026" xr:uid="{00000000-0005-0000-0000-000062550000}"/>
    <cellStyle name="40 % - Markeringsfarve1 5 3 5 2 3" xfId="44990" xr:uid="{00000000-0005-0000-0000-000063550000}"/>
    <cellStyle name="40 % - Markeringsfarve1 5 3 5 3" xfId="23004" xr:uid="{00000000-0005-0000-0000-000064550000}"/>
    <cellStyle name="40 % - Markeringsfarve1 5 3 5 4" xfId="37991" xr:uid="{00000000-0005-0000-0000-000065550000}"/>
    <cellStyle name="40 % - Markeringsfarve1 5 3 6" xfId="11940" xr:uid="{00000000-0005-0000-0000-000066550000}"/>
    <cellStyle name="40 % - Markeringsfarve1 5 3 6 2" xfId="28259" xr:uid="{00000000-0005-0000-0000-000067550000}"/>
    <cellStyle name="40 % - Markeringsfarve1 5 3 6 3" xfId="43224" xr:uid="{00000000-0005-0000-0000-000068550000}"/>
    <cellStyle name="40 % - Markeringsfarve1 5 3 7" xfId="21237" xr:uid="{00000000-0005-0000-0000-000069550000}"/>
    <cellStyle name="40 % - Markeringsfarve1 5 3 8" xfId="36225" xr:uid="{00000000-0005-0000-0000-00006A550000}"/>
    <cellStyle name="40 % - Markeringsfarve1 5 3 9" xfId="56516" xr:uid="{00000000-0005-0000-0000-00006B550000}"/>
    <cellStyle name="40 % - Markeringsfarve1 5 4" xfId="3388" xr:uid="{00000000-0005-0000-0000-00006C550000}"/>
    <cellStyle name="40 % - Markeringsfarve1 5 4 2" xfId="3389" xr:uid="{00000000-0005-0000-0000-00006D550000}"/>
    <cellStyle name="40 % - Markeringsfarve1 5 4 2 2" xfId="3390" xr:uid="{00000000-0005-0000-0000-00006E550000}"/>
    <cellStyle name="40 % - Markeringsfarve1 5 4 2 2 2" xfId="7925" xr:uid="{00000000-0005-0000-0000-00006F550000}"/>
    <cellStyle name="40 % - Markeringsfarve1 5 4 2 2 2 2" xfId="15826" xr:uid="{00000000-0005-0000-0000-000070550000}"/>
    <cellStyle name="40 % - Markeringsfarve1 5 4 2 2 2 2 2" xfId="32140" xr:uid="{00000000-0005-0000-0000-000071550000}"/>
    <cellStyle name="40 % - Markeringsfarve1 5 4 2 2 2 2 3" xfId="47104" xr:uid="{00000000-0005-0000-0000-000072550000}"/>
    <cellStyle name="40 % - Markeringsfarve1 5 4 2 2 2 3" xfId="25118" xr:uid="{00000000-0005-0000-0000-000073550000}"/>
    <cellStyle name="40 % - Markeringsfarve1 5 4 2 2 2 4" xfId="40105" xr:uid="{00000000-0005-0000-0000-000074550000}"/>
    <cellStyle name="40 % - Markeringsfarve1 5 4 2 2 3" xfId="11947" xr:uid="{00000000-0005-0000-0000-000075550000}"/>
    <cellStyle name="40 % - Markeringsfarve1 5 4 2 2 3 2" xfId="28266" xr:uid="{00000000-0005-0000-0000-000076550000}"/>
    <cellStyle name="40 % - Markeringsfarve1 5 4 2 2 3 3" xfId="43231" xr:uid="{00000000-0005-0000-0000-000077550000}"/>
    <cellStyle name="40 % - Markeringsfarve1 5 4 2 2 4" xfId="21244" xr:uid="{00000000-0005-0000-0000-000078550000}"/>
    <cellStyle name="40 % - Markeringsfarve1 5 4 2 2 5" xfId="36232" xr:uid="{00000000-0005-0000-0000-000079550000}"/>
    <cellStyle name="40 % - Markeringsfarve1 5 4 2 3" xfId="6460" xr:uid="{00000000-0005-0000-0000-00007A550000}"/>
    <cellStyle name="40 % - Markeringsfarve1 5 4 2 3 2" xfId="14374" xr:uid="{00000000-0005-0000-0000-00007B550000}"/>
    <cellStyle name="40 % - Markeringsfarve1 5 4 2 3 2 2" xfId="30688" xr:uid="{00000000-0005-0000-0000-00007C550000}"/>
    <cellStyle name="40 % - Markeringsfarve1 5 4 2 3 2 3" xfId="45652" xr:uid="{00000000-0005-0000-0000-00007D550000}"/>
    <cellStyle name="40 % - Markeringsfarve1 5 4 2 3 3" xfId="23666" xr:uid="{00000000-0005-0000-0000-00007E550000}"/>
    <cellStyle name="40 % - Markeringsfarve1 5 4 2 3 4" xfId="38653" xr:uid="{00000000-0005-0000-0000-00007F550000}"/>
    <cellStyle name="40 % - Markeringsfarve1 5 4 2 4" xfId="11946" xr:uid="{00000000-0005-0000-0000-000080550000}"/>
    <cellStyle name="40 % - Markeringsfarve1 5 4 2 4 2" xfId="28265" xr:uid="{00000000-0005-0000-0000-000081550000}"/>
    <cellStyle name="40 % - Markeringsfarve1 5 4 2 4 3" xfId="43230" xr:uid="{00000000-0005-0000-0000-000082550000}"/>
    <cellStyle name="40 % - Markeringsfarve1 5 4 2 5" xfId="21243" xr:uid="{00000000-0005-0000-0000-000083550000}"/>
    <cellStyle name="40 % - Markeringsfarve1 5 4 2 6" xfId="36231" xr:uid="{00000000-0005-0000-0000-000084550000}"/>
    <cellStyle name="40 % - Markeringsfarve1 5 4 3" xfId="3391" xr:uid="{00000000-0005-0000-0000-000085550000}"/>
    <cellStyle name="40 % - Markeringsfarve1 5 4 3 2" xfId="7201" xr:uid="{00000000-0005-0000-0000-000086550000}"/>
    <cellStyle name="40 % - Markeringsfarve1 5 4 3 2 2" xfId="15111" xr:uid="{00000000-0005-0000-0000-000087550000}"/>
    <cellStyle name="40 % - Markeringsfarve1 5 4 3 2 2 2" xfId="31425" xr:uid="{00000000-0005-0000-0000-000088550000}"/>
    <cellStyle name="40 % - Markeringsfarve1 5 4 3 2 2 3" xfId="46389" xr:uid="{00000000-0005-0000-0000-000089550000}"/>
    <cellStyle name="40 % - Markeringsfarve1 5 4 3 2 3" xfId="24403" xr:uid="{00000000-0005-0000-0000-00008A550000}"/>
    <cellStyle name="40 % - Markeringsfarve1 5 4 3 2 4" xfId="39390" xr:uid="{00000000-0005-0000-0000-00008B550000}"/>
    <cellStyle name="40 % - Markeringsfarve1 5 4 3 3" xfId="11948" xr:uid="{00000000-0005-0000-0000-00008C550000}"/>
    <cellStyle name="40 % - Markeringsfarve1 5 4 3 3 2" xfId="28267" xr:uid="{00000000-0005-0000-0000-00008D550000}"/>
    <cellStyle name="40 % - Markeringsfarve1 5 4 3 3 3" xfId="43232" xr:uid="{00000000-0005-0000-0000-00008E550000}"/>
    <cellStyle name="40 % - Markeringsfarve1 5 4 3 4" xfId="21245" xr:uid="{00000000-0005-0000-0000-00008F550000}"/>
    <cellStyle name="40 % - Markeringsfarve1 5 4 3 5" xfId="36233" xr:uid="{00000000-0005-0000-0000-000090550000}"/>
    <cellStyle name="40 % - Markeringsfarve1 5 4 4" xfId="3392" xr:uid="{00000000-0005-0000-0000-000091550000}"/>
    <cellStyle name="40 % - Markeringsfarve1 5 4 4 2" xfId="8495" xr:uid="{00000000-0005-0000-0000-000092550000}"/>
    <cellStyle name="40 % - Markeringsfarve1 5 4 4 2 2" xfId="16384" xr:uid="{00000000-0005-0000-0000-000093550000}"/>
    <cellStyle name="40 % - Markeringsfarve1 5 4 4 2 2 2" xfId="32698" xr:uid="{00000000-0005-0000-0000-000094550000}"/>
    <cellStyle name="40 % - Markeringsfarve1 5 4 4 2 2 3" xfId="47662" xr:uid="{00000000-0005-0000-0000-000095550000}"/>
    <cellStyle name="40 % - Markeringsfarve1 5 4 4 2 3" xfId="25676" xr:uid="{00000000-0005-0000-0000-000096550000}"/>
    <cellStyle name="40 % - Markeringsfarve1 5 4 4 2 4" xfId="40663" xr:uid="{00000000-0005-0000-0000-000097550000}"/>
    <cellStyle name="40 % - Markeringsfarve1 5 4 4 3" xfId="11949" xr:uid="{00000000-0005-0000-0000-000098550000}"/>
    <cellStyle name="40 % - Markeringsfarve1 5 4 4 3 2" xfId="28268" xr:uid="{00000000-0005-0000-0000-000099550000}"/>
    <cellStyle name="40 % - Markeringsfarve1 5 4 4 3 3" xfId="43233" xr:uid="{00000000-0005-0000-0000-00009A550000}"/>
    <cellStyle name="40 % - Markeringsfarve1 5 4 4 4" xfId="21246" xr:uid="{00000000-0005-0000-0000-00009B550000}"/>
    <cellStyle name="40 % - Markeringsfarve1 5 4 4 5" xfId="36234" xr:uid="{00000000-0005-0000-0000-00009C550000}"/>
    <cellStyle name="40 % - Markeringsfarve1 5 4 5" xfId="5795" xr:uid="{00000000-0005-0000-0000-00009D550000}"/>
    <cellStyle name="40 % - Markeringsfarve1 5 4 5 2" xfId="13713" xr:uid="{00000000-0005-0000-0000-00009E550000}"/>
    <cellStyle name="40 % - Markeringsfarve1 5 4 5 2 2" xfId="30027" xr:uid="{00000000-0005-0000-0000-00009F550000}"/>
    <cellStyle name="40 % - Markeringsfarve1 5 4 5 2 3" xfId="44991" xr:uid="{00000000-0005-0000-0000-0000A0550000}"/>
    <cellStyle name="40 % - Markeringsfarve1 5 4 5 3" xfId="23005" xr:uid="{00000000-0005-0000-0000-0000A1550000}"/>
    <cellStyle name="40 % - Markeringsfarve1 5 4 5 4" xfId="37992" xr:uid="{00000000-0005-0000-0000-0000A2550000}"/>
    <cellStyle name="40 % - Markeringsfarve1 5 4 6" xfId="11945" xr:uid="{00000000-0005-0000-0000-0000A3550000}"/>
    <cellStyle name="40 % - Markeringsfarve1 5 4 6 2" xfId="28264" xr:uid="{00000000-0005-0000-0000-0000A4550000}"/>
    <cellStyle name="40 % - Markeringsfarve1 5 4 6 3" xfId="43229" xr:uid="{00000000-0005-0000-0000-0000A5550000}"/>
    <cellStyle name="40 % - Markeringsfarve1 5 4 7" xfId="21242" xr:uid="{00000000-0005-0000-0000-0000A6550000}"/>
    <cellStyle name="40 % - Markeringsfarve1 5 4 8" xfId="36230" xr:uid="{00000000-0005-0000-0000-0000A7550000}"/>
    <cellStyle name="40 % - Markeringsfarve1 5 5" xfId="3393" xr:uid="{00000000-0005-0000-0000-0000A8550000}"/>
    <cellStyle name="40 % - Markeringsfarve1 5 5 2" xfId="3394" xr:uid="{00000000-0005-0000-0000-0000A9550000}"/>
    <cellStyle name="40 % - Markeringsfarve1 5 5 2 2" xfId="3395" xr:uid="{00000000-0005-0000-0000-0000AA550000}"/>
    <cellStyle name="40 % - Markeringsfarve1 5 5 2 2 2" xfId="8042" xr:uid="{00000000-0005-0000-0000-0000AB550000}"/>
    <cellStyle name="40 % - Markeringsfarve1 5 5 2 2 2 2" xfId="15943" xr:uid="{00000000-0005-0000-0000-0000AC550000}"/>
    <cellStyle name="40 % - Markeringsfarve1 5 5 2 2 2 2 2" xfId="32257" xr:uid="{00000000-0005-0000-0000-0000AD550000}"/>
    <cellStyle name="40 % - Markeringsfarve1 5 5 2 2 2 2 3" xfId="47221" xr:uid="{00000000-0005-0000-0000-0000AE550000}"/>
    <cellStyle name="40 % - Markeringsfarve1 5 5 2 2 2 3" xfId="25235" xr:uid="{00000000-0005-0000-0000-0000AF550000}"/>
    <cellStyle name="40 % - Markeringsfarve1 5 5 2 2 2 4" xfId="40222" xr:uid="{00000000-0005-0000-0000-0000B0550000}"/>
    <cellStyle name="40 % - Markeringsfarve1 5 5 2 2 3" xfId="11952" xr:uid="{00000000-0005-0000-0000-0000B1550000}"/>
    <cellStyle name="40 % - Markeringsfarve1 5 5 2 2 3 2" xfId="28271" xr:uid="{00000000-0005-0000-0000-0000B2550000}"/>
    <cellStyle name="40 % - Markeringsfarve1 5 5 2 2 3 3" xfId="43236" xr:uid="{00000000-0005-0000-0000-0000B3550000}"/>
    <cellStyle name="40 % - Markeringsfarve1 5 5 2 2 4" xfId="21249" xr:uid="{00000000-0005-0000-0000-0000B4550000}"/>
    <cellStyle name="40 % - Markeringsfarve1 5 5 2 2 5" xfId="36237" xr:uid="{00000000-0005-0000-0000-0000B5550000}"/>
    <cellStyle name="40 % - Markeringsfarve1 5 5 2 3" xfId="6559" xr:uid="{00000000-0005-0000-0000-0000B6550000}"/>
    <cellStyle name="40 % - Markeringsfarve1 5 5 2 3 2" xfId="14473" xr:uid="{00000000-0005-0000-0000-0000B7550000}"/>
    <cellStyle name="40 % - Markeringsfarve1 5 5 2 3 2 2" xfId="30787" xr:uid="{00000000-0005-0000-0000-0000B8550000}"/>
    <cellStyle name="40 % - Markeringsfarve1 5 5 2 3 2 3" xfId="45751" xr:uid="{00000000-0005-0000-0000-0000B9550000}"/>
    <cellStyle name="40 % - Markeringsfarve1 5 5 2 3 3" xfId="23765" xr:uid="{00000000-0005-0000-0000-0000BA550000}"/>
    <cellStyle name="40 % - Markeringsfarve1 5 5 2 3 4" xfId="38752" xr:uid="{00000000-0005-0000-0000-0000BB550000}"/>
    <cellStyle name="40 % - Markeringsfarve1 5 5 2 4" xfId="11951" xr:uid="{00000000-0005-0000-0000-0000BC550000}"/>
    <cellStyle name="40 % - Markeringsfarve1 5 5 2 4 2" xfId="28270" xr:uid="{00000000-0005-0000-0000-0000BD550000}"/>
    <cellStyle name="40 % - Markeringsfarve1 5 5 2 4 3" xfId="43235" xr:uid="{00000000-0005-0000-0000-0000BE550000}"/>
    <cellStyle name="40 % - Markeringsfarve1 5 5 2 5" xfId="21248" xr:uid="{00000000-0005-0000-0000-0000BF550000}"/>
    <cellStyle name="40 % - Markeringsfarve1 5 5 2 6" xfId="36236" xr:uid="{00000000-0005-0000-0000-0000C0550000}"/>
    <cellStyle name="40 % - Markeringsfarve1 5 5 3" xfId="3396" xr:uid="{00000000-0005-0000-0000-0000C1550000}"/>
    <cellStyle name="40 % - Markeringsfarve1 5 5 3 2" xfId="7318" xr:uid="{00000000-0005-0000-0000-0000C2550000}"/>
    <cellStyle name="40 % - Markeringsfarve1 5 5 3 2 2" xfId="15228" xr:uid="{00000000-0005-0000-0000-0000C3550000}"/>
    <cellStyle name="40 % - Markeringsfarve1 5 5 3 2 2 2" xfId="31542" xr:uid="{00000000-0005-0000-0000-0000C4550000}"/>
    <cellStyle name="40 % - Markeringsfarve1 5 5 3 2 2 3" xfId="46506" xr:uid="{00000000-0005-0000-0000-0000C5550000}"/>
    <cellStyle name="40 % - Markeringsfarve1 5 5 3 2 3" xfId="24520" xr:uid="{00000000-0005-0000-0000-0000C6550000}"/>
    <cellStyle name="40 % - Markeringsfarve1 5 5 3 2 4" xfId="39507" xr:uid="{00000000-0005-0000-0000-0000C7550000}"/>
    <cellStyle name="40 % - Markeringsfarve1 5 5 3 3" xfId="11953" xr:uid="{00000000-0005-0000-0000-0000C8550000}"/>
    <cellStyle name="40 % - Markeringsfarve1 5 5 3 3 2" xfId="28272" xr:uid="{00000000-0005-0000-0000-0000C9550000}"/>
    <cellStyle name="40 % - Markeringsfarve1 5 5 3 3 3" xfId="43237" xr:uid="{00000000-0005-0000-0000-0000CA550000}"/>
    <cellStyle name="40 % - Markeringsfarve1 5 5 3 4" xfId="21250" xr:uid="{00000000-0005-0000-0000-0000CB550000}"/>
    <cellStyle name="40 % - Markeringsfarve1 5 5 3 5" xfId="36238" xr:uid="{00000000-0005-0000-0000-0000CC550000}"/>
    <cellStyle name="40 % - Markeringsfarve1 5 5 4" xfId="3397" xr:uid="{00000000-0005-0000-0000-0000CD550000}"/>
    <cellStyle name="40 % - Markeringsfarve1 5 5 4 2" xfId="6704" xr:uid="{00000000-0005-0000-0000-0000CE550000}"/>
    <cellStyle name="40 % - Markeringsfarve1 5 5 4 2 2" xfId="14617" xr:uid="{00000000-0005-0000-0000-0000CF550000}"/>
    <cellStyle name="40 % - Markeringsfarve1 5 5 4 2 2 2" xfId="30931" xr:uid="{00000000-0005-0000-0000-0000D0550000}"/>
    <cellStyle name="40 % - Markeringsfarve1 5 5 4 2 2 3" xfId="45895" xr:uid="{00000000-0005-0000-0000-0000D1550000}"/>
    <cellStyle name="40 % - Markeringsfarve1 5 5 4 2 3" xfId="23909" xr:uid="{00000000-0005-0000-0000-0000D2550000}"/>
    <cellStyle name="40 % - Markeringsfarve1 5 5 4 2 4" xfId="38896" xr:uid="{00000000-0005-0000-0000-0000D3550000}"/>
    <cellStyle name="40 % - Markeringsfarve1 5 5 4 3" xfId="11954" xr:uid="{00000000-0005-0000-0000-0000D4550000}"/>
    <cellStyle name="40 % - Markeringsfarve1 5 5 4 3 2" xfId="28273" xr:uid="{00000000-0005-0000-0000-0000D5550000}"/>
    <cellStyle name="40 % - Markeringsfarve1 5 5 4 3 3" xfId="43238" xr:uid="{00000000-0005-0000-0000-0000D6550000}"/>
    <cellStyle name="40 % - Markeringsfarve1 5 5 4 4" xfId="21251" xr:uid="{00000000-0005-0000-0000-0000D7550000}"/>
    <cellStyle name="40 % - Markeringsfarve1 5 5 4 5" xfId="36239" xr:uid="{00000000-0005-0000-0000-0000D8550000}"/>
    <cellStyle name="40 % - Markeringsfarve1 5 5 5" xfId="5796" xr:uid="{00000000-0005-0000-0000-0000D9550000}"/>
    <cellStyle name="40 % - Markeringsfarve1 5 5 5 2" xfId="13714" xr:uid="{00000000-0005-0000-0000-0000DA550000}"/>
    <cellStyle name="40 % - Markeringsfarve1 5 5 5 2 2" xfId="30028" xr:uid="{00000000-0005-0000-0000-0000DB550000}"/>
    <cellStyle name="40 % - Markeringsfarve1 5 5 5 2 3" xfId="44992" xr:uid="{00000000-0005-0000-0000-0000DC550000}"/>
    <cellStyle name="40 % - Markeringsfarve1 5 5 5 3" xfId="23006" xr:uid="{00000000-0005-0000-0000-0000DD550000}"/>
    <cellStyle name="40 % - Markeringsfarve1 5 5 5 4" xfId="37993" xr:uid="{00000000-0005-0000-0000-0000DE550000}"/>
    <cellStyle name="40 % - Markeringsfarve1 5 5 6" xfId="11950" xr:uid="{00000000-0005-0000-0000-0000DF550000}"/>
    <cellStyle name="40 % - Markeringsfarve1 5 5 6 2" xfId="28269" xr:uid="{00000000-0005-0000-0000-0000E0550000}"/>
    <cellStyle name="40 % - Markeringsfarve1 5 5 6 3" xfId="43234" xr:uid="{00000000-0005-0000-0000-0000E1550000}"/>
    <cellStyle name="40 % - Markeringsfarve1 5 5 7" xfId="21247" xr:uid="{00000000-0005-0000-0000-0000E2550000}"/>
    <cellStyle name="40 % - Markeringsfarve1 5 5 8" xfId="36235" xr:uid="{00000000-0005-0000-0000-0000E3550000}"/>
    <cellStyle name="40 % - Markeringsfarve1 5 6" xfId="3398" xr:uid="{00000000-0005-0000-0000-0000E4550000}"/>
    <cellStyle name="40 % - Markeringsfarve1 5 6 2" xfId="3399" xr:uid="{00000000-0005-0000-0000-0000E5550000}"/>
    <cellStyle name="40 % - Markeringsfarve1 5 6 2 2" xfId="3400" xr:uid="{00000000-0005-0000-0000-0000E6550000}"/>
    <cellStyle name="40 % - Markeringsfarve1 5 6 2 2 2" xfId="8142" xr:uid="{00000000-0005-0000-0000-0000E7550000}"/>
    <cellStyle name="40 % - Markeringsfarve1 5 6 2 2 2 2" xfId="16043" xr:uid="{00000000-0005-0000-0000-0000E8550000}"/>
    <cellStyle name="40 % - Markeringsfarve1 5 6 2 2 2 2 2" xfId="32357" xr:uid="{00000000-0005-0000-0000-0000E9550000}"/>
    <cellStyle name="40 % - Markeringsfarve1 5 6 2 2 2 2 3" xfId="47321" xr:uid="{00000000-0005-0000-0000-0000EA550000}"/>
    <cellStyle name="40 % - Markeringsfarve1 5 6 2 2 2 3" xfId="25335" xr:uid="{00000000-0005-0000-0000-0000EB550000}"/>
    <cellStyle name="40 % - Markeringsfarve1 5 6 2 2 2 4" xfId="40322" xr:uid="{00000000-0005-0000-0000-0000EC550000}"/>
    <cellStyle name="40 % - Markeringsfarve1 5 6 2 2 3" xfId="11957" xr:uid="{00000000-0005-0000-0000-0000ED550000}"/>
    <cellStyle name="40 % - Markeringsfarve1 5 6 2 2 3 2" xfId="28276" xr:uid="{00000000-0005-0000-0000-0000EE550000}"/>
    <cellStyle name="40 % - Markeringsfarve1 5 6 2 2 3 3" xfId="43241" xr:uid="{00000000-0005-0000-0000-0000EF550000}"/>
    <cellStyle name="40 % - Markeringsfarve1 5 6 2 2 4" xfId="21254" xr:uid="{00000000-0005-0000-0000-0000F0550000}"/>
    <cellStyle name="40 % - Markeringsfarve1 5 6 2 2 5" xfId="36242" xr:uid="{00000000-0005-0000-0000-0000F1550000}"/>
    <cellStyle name="40 % - Markeringsfarve1 5 6 2 3" xfId="6644" xr:uid="{00000000-0005-0000-0000-0000F2550000}"/>
    <cellStyle name="40 % - Markeringsfarve1 5 6 2 3 2" xfId="14558" xr:uid="{00000000-0005-0000-0000-0000F3550000}"/>
    <cellStyle name="40 % - Markeringsfarve1 5 6 2 3 2 2" xfId="30872" xr:uid="{00000000-0005-0000-0000-0000F4550000}"/>
    <cellStyle name="40 % - Markeringsfarve1 5 6 2 3 2 3" xfId="45836" xr:uid="{00000000-0005-0000-0000-0000F5550000}"/>
    <cellStyle name="40 % - Markeringsfarve1 5 6 2 3 3" xfId="23850" xr:uid="{00000000-0005-0000-0000-0000F6550000}"/>
    <cellStyle name="40 % - Markeringsfarve1 5 6 2 3 4" xfId="38837" xr:uid="{00000000-0005-0000-0000-0000F7550000}"/>
    <cellStyle name="40 % - Markeringsfarve1 5 6 2 4" xfId="11956" xr:uid="{00000000-0005-0000-0000-0000F8550000}"/>
    <cellStyle name="40 % - Markeringsfarve1 5 6 2 4 2" xfId="28275" xr:uid="{00000000-0005-0000-0000-0000F9550000}"/>
    <cellStyle name="40 % - Markeringsfarve1 5 6 2 4 3" xfId="43240" xr:uid="{00000000-0005-0000-0000-0000FA550000}"/>
    <cellStyle name="40 % - Markeringsfarve1 5 6 2 5" xfId="21253" xr:uid="{00000000-0005-0000-0000-0000FB550000}"/>
    <cellStyle name="40 % - Markeringsfarve1 5 6 2 6" xfId="36241" xr:uid="{00000000-0005-0000-0000-0000FC550000}"/>
    <cellStyle name="40 % - Markeringsfarve1 5 6 3" xfId="3401" xr:uid="{00000000-0005-0000-0000-0000FD550000}"/>
    <cellStyle name="40 % - Markeringsfarve1 5 6 3 2" xfId="7419" xr:uid="{00000000-0005-0000-0000-0000FE550000}"/>
    <cellStyle name="40 % - Markeringsfarve1 5 6 3 2 2" xfId="15329" xr:uid="{00000000-0005-0000-0000-0000FF550000}"/>
    <cellStyle name="40 % - Markeringsfarve1 5 6 3 2 2 2" xfId="31643" xr:uid="{00000000-0005-0000-0000-000000560000}"/>
    <cellStyle name="40 % - Markeringsfarve1 5 6 3 2 2 3" xfId="46607" xr:uid="{00000000-0005-0000-0000-000001560000}"/>
    <cellStyle name="40 % - Markeringsfarve1 5 6 3 2 3" xfId="24621" xr:uid="{00000000-0005-0000-0000-000002560000}"/>
    <cellStyle name="40 % - Markeringsfarve1 5 6 3 2 4" xfId="39608" xr:uid="{00000000-0005-0000-0000-000003560000}"/>
    <cellStyle name="40 % - Markeringsfarve1 5 6 3 3" xfId="11958" xr:uid="{00000000-0005-0000-0000-000004560000}"/>
    <cellStyle name="40 % - Markeringsfarve1 5 6 3 3 2" xfId="28277" xr:uid="{00000000-0005-0000-0000-000005560000}"/>
    <cellStyle name="40 % - Markeringsfarve1 5 6 3 3 3" xfId="43242" xr:uid="{00000000-0005-0000-0000-000006560000}"/>
    <cellStyle name="40 % - Markeringsfarve1 5 6 3 4" xfId="21255" xr:uid="{00000000-0005-0000-0000-000007560000}"/>
    <cellStyle name="40 % - Markeringsfarve1 5 6 3 5" xfId="36243" xr:uid="{00000000-0005-0000-0000-000008560000}"/>
    <cellStyle name="40 % - Markeringsfarve1 5 6 4" xfId="3402" xr:uid="{00000000-0005-0000-0000-000009560000}"/>
    <cellStyle name="40 % - Markeringsfarve1 5 6 4 2" xfId="8705" xr:uid="{00000000-0005-0000-0000-00000A560000}"/>
    <cellStyle name="40 % - Markeringsfarve1 5 6 4 2 2" xfId="16585" xr:uid="{00000000-0005-0000-0000-00000B560000}"/>
    <cellStyle name="40 % - Markeringsfarve1 5 6 4 2 2 2" xfId="32899" xr:uid="{00000000-0005-0000-0000-00000C560000}"/>
    <cellStyle name="40 % - Markeringsfarve1 5 6 4 2 2 3" xfId="47863" xr:uid="{00000000-0005-0000-0000-00000D560000}"/>
    <cellStyle name="40 % - Markeringsfarve1 5 6 4 2 3" xfId="25877" xr:uid="{00000000-0005-0000-0000-00000E560000}"/>
    <cellStyle name="40 % - Markeringsfarve1 5 6 4 2 4" xfId="40864" xr:uid="{00000000-0005-0000-0000-00000F560000}"/>
    <cellStyle name="40 % - Markeringsfarve1 5 6 4 3" xfId="11959" xr:uid="{00000000-0005-0000-0000-000010560000}"/>
    <cellStyle name="40 % - Markeringsfarve1 5 6 4 3 2" xfId="28278" xr:uid="{00000000-0005-0000-0000-000011560000}"/>
    <cellStyle name="40 % - Markeringsfarve1 5 6 4 3 3" xfId="43243" xr:uid="{00000000-0005-0000-0000-000012560000}"/>
    <cellStyle name="40 % - Markeringsfarve1 5 6 4 4" xfId="21256" xr:uid="{00000000-0005-0000-0000-000013560000}"/>
    <cellStyle name="40 % - Markeringsfarve1 5 6 4 5" xfId="36244" xr:uid="{00000000-0005-0000-0000-000014560000}"/>
    <cellStyle name="40 % - Markeringsfarve1 5 6 5" xfId="5797" xr:uid="{00000000-0005-0000-0000-000015560000}"/>
    <cellStyle name="40 % - Markeringsfarve1 5 6 5 2" xfId="13715" xr:uid="{00000000-0005-0000-0000-000016560000}"/>
    <cellStyle name="40 % - Markeringsfarve1 5 6 5 2 2" xfId="30029" xr:uid="{00000000-0005-0000-0000-000017560000}"/>
    <cellStyle name="40 % - Markeringsfarve1 5 6 5 2 3" xfId="44993" xr:uid="{00000000-0005-0000-0000-000018560000}"/>
    <cellStyle name="40 % - Markeringsfarve1 5 6 5 3" xfId="23007" xr:uid="{00000000-0005-0000-0000-000019560000}"/>
    <cellStyle name="40 % - Markeringsfarve1 5 6 5 4" xfId="37994" xr:uid="{00000000-0005-0000-0000-00001A560000}"/>
    <cellStyle name="40 % - Markeringsfarve1 5 6 6" xfId="11955" xr:uid="{00000000-0005-0000-0000-00001B560000}"/>
    <cellStyle name="40 % - Markeringsfarve1 5 6 6 2" xfId="28274" xr:uid="{00000000-0005-0000-0000-00001C560000}"/>
    <cellStyle name="40 % - Markeringsfarve1 5 6 6 3" xfId="43239" xr:uid="{00000000-0005-0000-0000-00001D560000}"/>
    <cellStyle name="40 % - Markeringsfarve1 5 6 7" xfId="21252" xr:uid="{00000000-0005-0000-0000-00001E560000}"/>
    <cellStyle name="40 % - Markeringsfarve1 5 6 8" xfId="36240" xr:uid="{00000000-0005-0000-0000-00001F560000}"/>
    <cellStyle name="40 % - Markeringsfarve1 5 7" xfId="3403" xr:uid="{00000000-0005-0000-0000-000020560000}"/>
    <cellStyle name="40 % - Markeringsfarve1 5 7 2" xfId="3404" xr:uid="{00000000-0005-0000-0000-000021560000}"/>
    <cellStyle name="40 % - Markeringsfarve1 5 7 2 2" xfId="7568" xr:uid="{00000000-0005-0000-0000-000022560000}"/>
    <cellStyle name="40 % - Markeringsfarve1 5 7 2 2 2" xfId="15469" xr:uid="{00000000-0005-0000-0000-000023560000}"/>
    <cellStyle name="40 % - Markeringsfarve1 5 7 2 2 2 2" xfId="31783" xr:uid="{00000000-0005-0000-0000-000024560000}"/>
    <cellStyle name="40 % - Markeringsfarve1 5 7 2 2 2 3" xfId="46747" xr:uid="{00000000-0005-0000-0000-000025560000}"/>
    <cellStyle name="40 % - Markeringsfarve1 5 7 2 2 3" xfId="24761" xr:uid="{00000000-0005-0000-0000-000026560000}"/>
    <cellStyle name="40 % - Markeringsfarve1 5 7 2 2 4" xfId="39748" xr:uid="{00000000-0005-0000-0000-000027560000}"/>
    <cellStyle name="40 % - Markeringsfarve1 5 7 2 3" xfId="11961" xr:uid="{00000000-0005-0000-0000-000028560000}"/>
    <cellStyle name="40 % - Markeringsfarve1 5 7 2 3 2" xfId="28280" xr:uid="{00000000-0005-0000-0000-000029560000}"/>
    <cellStyle name="40 % - Markeringsfarve1 5 7 2 3 3" xfId="43245" xr:uid="{00000000-0005-0000-0000-00002A560000}"/>
    <cellStyle name="40 % - Markeringsfarve1 5 7 2 4" xfId="21258" xr:uid="{00000000-0005-0000-0000-00002B560000}"/>
    <cellStyle name="40 % - Markeringsfarve1 5 7 2 5" xfId="36246" xr:uid="{00000000-0005-0000-0000-00002C560000}"/>
    <cellStyle name="40 % - Markeringsfarve1 5 7 3" xfId="6159" xr:uid="{00000000-0005-0000-0000-00002D560000}"/>
    <cellStyle name="40 % - Markeringsfarve1 5 7 3 2" xfId="14076" xr:uid="{00000000-0005-0000-0000-00002E560000}"/>
    <cellStyle name="40 % - Markeringsfarve1 5 7 3 2 2" xfId="30390" xr:uid="{00000000-0005-0000-0000-00002F560000}"/>
    <cellStyle name="40 % - Markeringsfarve1 5 7 3 2 3" xfId="45354" xr:uid="{00000000-0005-0000-0000-000030560000}"/>
    <cellStyle name="40 % - Markeringsfarve1 5 7 3 3" xfId="23368" xr:uid="{00000000-0005-0000-0000-000031560000}"/>
    <cellStyle name="40 % - Markeringsfarve1 5 7 3 4" xfId="38355" xr:uid="{00000000-0005-0000-0000-000032560000}"/>
    <cellStyle name="40 % - Markeringsfarve1 5 7 4" xfId="11960" xr:uid="{00000000-0005-0000-0000-000033560000}"/>
    <cellStyle name="40 % - Markeringsfarve1 5 7 4 2" xfId="28279" xr:uid="{00000000-0005-0000-0000-000034560000}"/>
    <cellStyle name="40 % - Markeringsfarve1 5 7 4 3" xfId="43244" xr:uid="{00000000-0005-0000-0000-000035560000}"/>
    <cellStyle name="40 % - Markeringsfarve1 5 7 5" xfId="21257" xr:uid="{00000000-0005-0000-0000-000036560000}"/>
    <cellStyle name="40 % - Markeringsfarve1 5 7 6" xfId="36245" xr:uid="{00000000-0005-0000-0000-000037560000}"/>
    <cellStyle name="40 % - Markeringsfarve1 5 8" xfId="3405" xr:uid="{00000000-0005-0000-0000-000038560000}"/>
    <cellStyle name="40 % - Markeringsfarve1 5 8 2" xfId="6796" xr:uid="{00000000-0005-0000-0000-000039560000}"/>
    <cellStyle name="40 % - Markeringsfarve1 5 8 2 2" xfId="14707" xr:uid="{00000000-0005-0000-0000-00003A560000}"/>
    <cellStyle name="40 % - Markeringsfarve1 5 8 2 2 2" xfId="31021" xr:uid="{00000000-0005-0000-0000-00003B560000}"/>
    <cellStyle name="40 % - Markeringsfarve1 5 8 2 2 3" xfId="45985" xr:uid="{00000000-0005-0000-0000-00003C560000}"/>
    <cellStyle name="40 % - Markeringsfarve1 5 8 2 3" xfId="23999" xr:uid="{00000000-0005-0000-0000-00003D560000}"/>
    <cellStyle name="40 % - Markeringsfarve1 5 8 2 4" xfId="38986" xr:uid="{00000000-0005-0000-0000-00003E560000}"/>
    <cellStyle name="40 % - Markeringsfarve1 5 8 3" xfId="11962" xr:uid="{00000000-0005-0000-0000-00003F560000}"/>
    <cellStyle name="40 % - Markeringsfarve1 5 8 3 2" xfId="28281" xr:uid="{00000000-0005-0000-0000-000040560000}"/>
    <cellStyle name="40 % - Markeringsfarve1 5 8 3 3" xfId="43246" xr:uid="{00000000-0005-0000-0000-000041560000}"/>
    <cellStyle name="40 % - Markeringsfarve1 5 8 4" xfId="21259" xr:uid="{00000000-0005-0000-0000-000042560000}"/>
    <cellStyle name="40 % - Markeringsfarve1 5 8 5" xfId="36247" xr:uid="{00000000-0005-0000-0000-000043560000}"/>
    <cellStyle name="40 % - Markeringsfarve1 5 9" xfId="3406" xr:uid="{00000000-0005-0000-0000-000044560000}"/>
    <cellStyle name="40 % - Markeringsfarve1 5 9 2" xfId="6693" xr:uid="{00000000-0005-0000-0000-000045560000}"/>
    <cellStyle name="40 % - Markeringsfarve1 5 9 2 2" xfId="14606" xr:uid="{00000000-0005-0000-0000-000046560000}"/>
    <cellStyle name="40 % - Markeringsfarve1 5 9 2 2 2" xfId="30920" xr:uid="{00000000-0005-0000-0000-000047560000}"/>
    <cellStyle name="40 % - Markeringsfarve1 5 9 2 2 3" xfId="45884" xr:uid="{00000000-0005-0000-0000-000048560000}"/>
    <cellStyle name="40 % - Markeringsfarve1 5 9 2 3" xfId="23898" xr:uid="{00000000-0005-0000-0000-000049560000}"/>
    <cellStyle name="40 % - Markeringsfarve1 5 9 2 4" xfId="38885" xr:uid="{00000000-0005-0000-0000-00004A560000}"/>
    <cellStyle name="40 % - Markeringsfarve1 5 9 3" xfId="11963" xr:uid="{00000000-0005-0000-0000-00004B560000}"/>
    <cellStyle name="40 % - Markeringsfarve1 5 9 3 2" xfId="28282" xr:uid="{00000000-0005-0000-0000-00004C560000}"/>
    <cellStyle name="40 % - Markeringsfarve1 5 9 3 3" xfId="43247" xr:uid="{00000000-0005-0000-0000-00004D560000}"/>
    <cellStyle name="40 % - Markeringsfarve1 5 9 4" xfId="21260" xr:uid="{00000000-0005-0000-0000-00004E560000}"/>
    <cellStyle name="40 % - Markeringsfarve1 5 9 5" xfId="36248" xr:uid="{00000000-0005-0000-0000-00004F560000}"/>
    <cellStyle name="40 % - Markeringsfarve1 6" xfId="3407" xr:uid="{00000000-0005-0000-0000-000050560000}"/>
    <cellStyle name="40 % - Markeringsfarve1 6 2" xfId="3408" xr:uid="{00000000-0005-0000-0000-000051560000}"/>
    <cellStyle name="40 % - Markeringsfarve1 6 2 2" xfId="3409" xr:uid="{00000000-0005-0000-0000-000052560000}"/>
    <cellStyle name="40 % - Markeringsfarve1 6 2 2 2" xfId="7609" xr:uid="{00000000-0005-0000-0000-000053560000}"/>
    <cellStyle name="40 % - Markeringsfarve1 6 2 2 2 2" xfId="15510" xr:uid="{00000000-0005-0000-0000-000054560000}"/>
    <cellStyle name="40 % - Markeringsfarve1 6 2 2 2 2 2" xfId="31824" xr:uid="{00000000-0005-0000-0000-000055560000}"/>
    <cellStyle name="40 % - Markeringsfarve1 6 2 2 2 2 3" xfId="46788" xr:uid="{00000000-0005-0000-0000-000056560000}"/>
    <cellStyle name="40 % - Markeringsfarve1 6 2 2 2 3" xfId="24802" xr:uid="{00000000-0005-0000-0000-000057560000}"/>
    <cellStyle name="40 % - Markeringsfarve1 6 2 2 2 4" xfId="39789" xr:uid="{00000000-0005-0000-0000-000058560000}"/>
    <cellStyle name="40 % - Markeringsfarve1 6 2 2 3" xfId="11966" xr:uid="{00000000-0005-0000-0000-000059560000}"/>
    <cellStyle name="40 % - Markeringsfarve1 6 2 2 3 2" xfId="28285" xr:uid="{00000000-0005-0000-0000-00005A560000}"/>
    <cellStyle name="40 % - Markeringsfarve1 6 2 2 3 3" xfId="43250" xr:uid="{00000000-0005-0000-0000-00005B560000}"/>
    <cellStyle name="40 % - Markeringsfarve1 6 2 2 4" xfId="21263" xr:uid="{00000000-0005-0000-0000-00005C560000}"/>
    <cellStyle name="40 % - Markeringsfarve1 6 2 2 5" xfId="36251" xr:uid="{00000000-0005-0000-0000-00005D560000}"/>
    <cellStyle name="40 % - Markeringsfarve1 6 2 2 6" xfId="57138" xr:uid="{00000000-0005-0000-0000-00005E560000}"/>
    <cellStyle name="40 % - Markeringsfarve1 6 2 3" xfId="6192" xr:uid="{00000000-0005-0000-0000-00005F560000}"/>
    <cellStyle name="40 % - Markeringsfarve1 6 2 3 2" xfId="14109" xr:uid="{00000000-0005-0000-0000-000060560000}"/>
    <cellStyle name="40 % - Markeringsfarve1 6 2 3 2 2" xfId="30423" xr:uid="{00000000-0005-0000-0000-000061560000}"/>
    <cellStyle name="40 % - Markeringsfarve1 6 2 3 2 3" xfId="45387" xr:uid="{00000000-0005-0000-0000-000062560000}"/>
    <cellStyle name="40 % - Markeringsfarve1 6 2 3 3" xfId="23401" xr:uid="{00000000-0005-0000-0000-000063560000}"/>
    <cellStyle name="40 % - Markeringsfarve1 6 2 3 4" xfId="38388" xr:uid="{00000000-0005-0000-0000-000064560000}"/>
    <cellStyle name="40 % - Markeringsfarve1 6 2 4" xfId="11965" xr:uid="{00000000-0005-0000-0000-000065560000}"/>
    <cellStyle name="40 % - Markeringsfarve1 6 2 4 2" xfId="28284" xr:uid="{00000000-0005-0000-0000-000066560000}"/>
    <cellStyle name="40 % - Markeringsfarve1 6 2 4 3" xfId="43249" xr:uid="{00000000-0005-0000-0000-000067560000}"/>
    <cellStyle name="40 % - Markeringsfarve1 6 2 5" xfId="21262" xr:uid="{00000000-0005-0000-0000-000068560000}"/>
    <cellStyle name="40 % - Markeringsfarve1 6 2 6" xfId="36250" xr:uid="{00000000-0005-0000-0000-000069560000}"/>
    <cellStyle name="40 % - Markeringsfarve1 6 2 7" xfId="53971" xr:uid="{00000000-0005-0000-0000-00006A560000}"/>
    <cellStyle name="40 % - Markeringsfarve1 6 3" xfId="3410" xr:uid="{00000000-0005-0000-0000-00006B560000}"/>
    <cellStyle name="40 % - Markeringsfarve1 6 3 2" xfId="6839" xr:uid="{00000000-0005-0000-0000-00006C560000}"/>
    <cellStyle name="40 % - Markeringsfarve1 6 3 2 2" xfId="14750" xr:uid="{00000000-0005-0000-0000-00006D560000}"/>
    <cellStyle name="40 % - Markeringsfarve1 6 3 2 2 2" xfId="31064" xr:uid="{00000000-0005-0000-0000-00006E560000}"/>
    <cellStyle name="40 % - Markeringsfarve1 6 3 2 2 3" xfId="46028" xr:uid="{00000000-0005-0000-0000-00006F560000}"/>
    <cellStyle name="40 % - Markeringsfarve1 6 3 2 3" xfId="24042" xr:uid="{00000000-0005-0000-0000-000070560000}"/>
    <cellStyle name="40 % - Markeringsfarve1 6 3 2 4" xfId="39029" xr:uid="{00000000-0005-0000-0000-000071560000}"/>
    <cellStyle name="40 % - Markeringsfarve1 6 3 3" xfId="11967" xr:uid="{00000000-0005-0000-0000-000072560000}"/>
    <cellStyle name="40 % - Markeringsfarve1 6 3 3 2" xfId="28286" xr:uid="{00000000-0005-0000-0000-000073560000}"/>
    <cellStyle name="40 % - Markeringsfarve1 6 3 3 3" xfId="43251" xr:uid="{00000000-0005-0000-0000-000074560000}"/>
    <cellStyle name="40 % - Markeringsfarve1 6 3 4" xfId="21264" xr:uid="{00000000-0005-0000-0000-000075560000}"/>
    <cellStyle name="40 % - Markeringsfarve1 6 3 5" xfId="36252" xr:uid="{00000000-0005-0000-0000-000076560000}"/>
    <cellStyle name="40 % - Markeringsfarve1 6 3 6" xfId="56515" xr:uid="{00000000-0005-0000-0000-000077560000}"/>
    <cellStyle name="40 % - Markeringsfarve1 6 4" xfId="3411" xr:uid="{00000000-0005-0000-0000-000078560000}"/>
    <cellStyle name="40 % - Markeringsfarve1 6 4 2" xfId="8430" xr:uid="{00000000-0005-0000-0000-000079560000}"/>
    <cellStyle name="40 % - Markeringsfarve1 6 4 2 2" xfId="16322" xr:uid="{00000000-0005-0000-0000-00007A560000}"/>
    <cellStyle name="40 % - Markeringsfarve1 6 4 2 2 2" xfId="32636" xr:uid="{00000000-0005-0000-0000-00007B560000}"/>
    <cellStyle name="40 % - Markeringsfarve1 6 4 2 2 3" xfId="47600" xr:uid="{00000000-0005-0000-0000-00007C560000}"/>
    <cellStyle name="40 % - Markeringsfarve1 6 4 2 3" xfId="25614" xr:uid="{00000000-0005-0000-0000-00007D560000}"/>
    <cellStyle name="40 % - Markeringsfarve1 6 4 2 4" xfId="40601" xr:uid="{00000000-0005-0000-0000-00007E560000}"/>
    <cellStyle name="40 % - Markeringsfarve1 6 4 3" xfId="11968" xr:uid="{00000000-0005-0000-0000-00007F560000}"/>
    <cellStyle name="40 % - Markeringsfarve1 6 4 3 2" xfId="28287" xr:uid="{00000000-0005-0000-0000-000080560000}"/>
    <cellStyle name="40 % - Markeringsfarve1 6 4 3 3" xfId="43252" xr:uid="{00000000-0005-0000-0000-000081560000}"/>
    <cellStyle name="40 % - Markeringsfarve1 6 4 4" xfId="21265" xr:uid="{00000000-0005-0000-0000-000082560000}"/>
    <cellStyle name="40 % - Markeringsfarve1 6 4 5" xfId="36253" xr:uid="{00000000-0005-0000-0000-000083560000}"/>
    <cellStyle name="40 % - Markeringsfarve1 6 5" xfId="5798" xr:uid="{00000000-0005-0000-0000-000084560000}"/>
    <cellStyle name="40 % - Markeringsfarve1 6 5 2" xfId="13716" xr:uid="{00000000-0005-0000-0000-000085560000}"/>
    <cellStyle name="40 % - Markeringsfarve1 6 5 2 2" xfId="30030" xr:uid="{00000000-0005-0000-0000-000086560000}"/>
    <cellStyle name="40 % - Markeringsfarve1 6 5 2 3" xfId="44994" xr:uid="{00000000-0005-0000-0000-000087560000}"/>
    <cellStyle name="40 % - Markeringsfarve1 6 5 3" xfId="23008" xr:uid="{00000000-0005-0000-0000-000088560000}"/>
    <cellStyle name="40 % - Markeringsfarve1 6 5 4" xfId="37995" xr:uid="{00000000-0005-0000-0000-000089560000}"/>
    <cellStyle name="40 % - Markeringsfarve1 6 6" xfId="11964" xr:uid="{00000000-0005-0000-0000-00008A560000}"/>
    <cellStyle name="40 % - Markeringsfarve1 6 6 2" xfId="28283" xr:uid="{00000000-0005-0000-0000-00008B560000}"/>
    <cellStyle name="40 % - Markeringsfarve1 6 6 3" xfId="43248" xr:uid="{00000000-0005-0000-0000-00008C560000}"/>
    <cellStyle name="40 % - Markeringsfarve1 6 7" xfId="21261" xr:uid="{00000000-0005-0000-0000-00008D560000}"/>
    <cellStyle name="40 % - Markeringsfarve1 6 8" xfId="36249" xr:uid="{00000000-0005-0000-0000-00008E560000}"/>
    <cellStyle name="40 % - Markeringsfarve1 6 9" xfId="53334" xr:uid="{00000000-0005-0000-0000-00008F560000}"/>
    <cellStyle name="40 % - Markeringsfarve1 7" xfId="3412" xr:uid="{00000000-0005-0000-0000-000090560000}"/>
    <cellStyle name="40 % - Markeringsfarve1 7 2" xfId="3413" xr:uid="{00000000-0005-0000-0000-000091560000}"/>
    <cellStyle name="40 % - Markeringsfarve1 7 2 2" xfId="3414" xr:uid="{00000000-0005-0000-0000-000092560000}"/>
    <cellStyle name="40 % - Markeringsfarve1 7 2 2 2" xfId="7780" xr:uid="{00000000-0005-0000-0000-000093560000}"/>
    <cellStyle name="40 % - Markeringsfarve1 7 2 2 2 2" xfId="15681" xr:uid="{00000000-0005-0000-0000-000094560000}"/>
    <cellStyle name="40 % - Markeringsfarve1 7 2 2 2 2 2" xfId="31995" xr:uid="{00000000-0005-0000-0000-000095560000}"/>
    <cellStyle name="40 % - Markeringsfarve1 7 2 2 2 2 3" xfId="46959" xr:uid="{00000000-0005-0000-0000-000096560000}"/>
    <cellStyle name="40 % - Markeringsfarve1 7 2 2 2 3" xfId="24973" xr:uid="{00000000-0005-0000-0000-000097560000}"/>
    <cellStyle name="40 % - Markeringsfarve1 7 2 2 2 4" xfId="39960" xr:uid="{00000000-0005-0000-0000-000098560000}"/>
    <cellStyle name="40 % - Markeringsfarve1 7 2 2 3" xfId="11971" xr:uid="{00000000-0005-0000-0000-000099560000}"/>
    <cellStyle name="40 % - Markeringsfarve1 7 2 2 3 2" xfId="28290" xr:uid="{00000000-0005-0000-0000-00009A560000}"/>
    <cellStyle name="40 % - Markeringsfarve1 7 2 2 3 3" xfId="43255" xr:uid="{00000000-0005-0000-0000-00009B560000}"/>
    <cellStyle name="40 % - Markeringsfarve1 7 2 2 4" xfId="21268" xr:uid="{00000000-0005-0000-0000-00009C560000}"/>
    <cellStyle name="40 % - Markeringsfarve1 7 2 2 5" xfId="36256" xr:uid="{00000000-0005-0000-0000-00009D560000}"/>
    <cellStyle name="40 % - Markeringsfarve1 7 2 3" xfId="6335" xr:uid="{00000000-0005-0000-0000-00009E560000}"/>
    <cellStyle name="40 % - Markeringsfarve1 7 2 3 2" xfId="14252" xr:uid="{00000000-0005-0000-0000-00009F560000}"/>
    <cellStyle name="40 % - Markeringsfarve1 7 2 3 2 2" xfId="30566" xr:uid="{00000000-0005-0000-0000-0000A0560000}"/>
    <cellStyle name="40 % - Markeringsfarve1 7 2 3 2 3" xfId="45530" xr:uid="{00000000-0005-0000-0000-0000A1560000}"/>
    <cellStyle name="40 % - Markeringsfarve1 7 2 3 3" xfId="23544" xr:uid="{00000000-0005-0000-0000-0000A2560000}"/>
    <cellStyle name="40 % - Markeringsfarve1 7 2 3 4" xfId="38531" xr:uid="{00000000-0005-0000-0000-0000A3560000}"/>
    <cellStyle name="40 % - Markeringsfarve1 7 2 4" xfId="11970" xr:uid="{00000000-0005-0000-0000-0000A4560000}"/>
    <cellStyle name="40 % - Markeringsfarve1 7 2 4 2" xfId="28289" xr:uid="{00000000-0005-0000-0000-0000A5560000}"/>
    <cellStyle name="40 % - Markeringsfarve1 7 2 4 3" xfId="43254" xr:uid="{00000000-0005-0000-0000-0000A6560000}"/>
    <cellStyle name="40 % - Markeringsfarve1 7 2 5" xfId="21267" xr:uid="{00000000-0005-0000-0000-0000A7560000}"/>
    <cellStyle name="40 % - Markeringsfarve1 7 2 6" xfId="36255" xr:uid="{00000000-0005-0000-0000-0000A8560000}"/>
    <cellStyle name="40 % - Markeringsfarve1 7 2 7" xfId="57113" xr:uid="{00000000-0005-0000-0000-0000A9560000}"/>
    <cellStyle name="40 % - Markeringsfarve1 7 3" xfId="3415" xr:uid="{00000000-0005-0000-0000-0000AA560000}"/>
    <cellStyle name="40 % - Markeringsfarve1 7 3 2" xfId="7010" xr:uid="{00000000-0005-0000-0000-0000AB560000}"/>
    <cellStyle name="40 % - Markeringsfarve1 7 3 2 2" xfId="14921" xr:uid="{00000000-0005-0000-0000-0000AC560000}"/>
    <cellStyle name="40 % - Markeringsfarve1 7 3 2 2 2" xfId="31235" xr:uid="{00000000-0005-0000-0000-0000AD560000}"/>
    <cellStyle name="40 % - Markeringsfarve1 7 3 2 2 3" xfId="46199" xr:uid="{00000000-0005-0000-0000-0000AE560000}"/>
    <cellStyle name="40 % - Markeringsfarve1 7 3 2 3" xfId="24213" xr:uid="{00000000-0005-0000-0000-0000AF560000}"/>
    <cellStyle name="40 % - Markeringsfarve1 7 3 2 4" xfId="39200" xr:uid="{00000000-0005-0000-0000-0000B0560000}"/>
    <cellStyle name="40 % - Markeringsfarve1 7 3 3" xfId="11972" xr:uid="{00000000-0005-0000-0000-0000B1560000}"/>
    <cellStyle name="40 % - Markeringsfarve1 7 3 3 2" xfId="28291" xr:uid="{00000000-0005-0000-0000-0000B2560000}"/>
    <cellStyle name="40 % - Markeringsfarve1 7 3 3 3" xfId="43256" xr:uid="{00000000-0005-0000-0000-0000B3560000}"/>
    <cellStyle name="40 % - Markeringsfarve1 7 3 4" xfId="21269" xr:uid="{00000000-0005-0000-0000-0000B4560000}"/>
    <cellStyle name="40 % - Markeringsfarve1 7 3 5" xfId="36257" xr:uid="{00000000-0005-0000-0000-0000B5560000}"/>
    <cellStyle name="40 % - Markeringsfarve1 7 4" xfId="3416" xr:uid="{00000000-0005-0000-0000-0000B6560000}"/>
    <cellStyle name="40 % - Markeringsfarve1 7 4 2" xfId="8666" xr:uid="{00000000-0005-0000-0000-0000B7560000}"/>
    <cellStyle name="40 % - Markeringsfarve1 7 4 2 2" xfId="16548" xr:uid="{00000000-0005-0000-0000-0000B8560000}"/>
    <cellStyle name="40 % - Markeringsfarve1 7 4 2 2 2" xfId="32862" xr:uid="{00000000-0005-0000-0000-0000B9560000}"/>
    <cellStyle name="40 % - Markeringsfarve1 7 4 2 2 3" xfId="47826" xr:uid="{00000000-0005-0000-0000-0000BA560000}"/>
    <cellStyle name="40 % - Markeringsfarve1 7 4 2 3" xfId="25840" xr:uid="{00000000-0005-0000-0000-0000BB560000}"/>
    <cellStyle name="40 % - Markeringsfarve1 7 4 2 4" xfId="40827" xr:uid="{00000000-0005-0000-0000-0000BC560000}"/>
    <cellStyle name="40 % - Markeringsfarve1 7 4 3" xfId="11973" xr:uid="{00000000-0005-0000-0000-0000BD560000}"/>
    <cellStyle name="40 % - Markeringsfarve1 7 4 3 2" xfId="28292" xr:uid="{00000000-0005-0000-0000-0000BE560000}"/>
    <cellStyle name="40 % - Markeringsfarve1 7 4 3 3" xfId="43257" xr:uid="{00000000-0005-0000-0000-0000BF560000}"/>
    <cellStyle name="40 % - Markeringsfarve1 7 4 4" xfId="21270" xr:uid="{00000000-0005-0000-0000-0000C0560000}"/>
    <cellStyle name="40 % - Markeringsfarve1 7 4 5" xfId="36258" xr:uid="{00000000-0005-0000-0000-0000C1560000}"/>
    <cellStyle name="40 % - Markeringsfarve1 7 5" xfId="5799" xr:uid="{00000000-0005-0000-0000-0000C2560000}"/>
    <cellStyle name="40 % - Markeringsfarve1 7 5 2" xfId="13717" xr:uid="{00000000-0005-0000-0000-0000C3560000}"/>
    <cellStyle name="40 % - Markeringsfarve1 7 5 2 2" xfId="30031" xr:uid="{00000000-0005-0000-0000-0000C4560000}"/>
    <cellStyle name="40 % - Markeringsfarve1 7 5 2 3" xfId="44995" xr:uid="{00000000-0005-0000-0000-0000C5560000}"/>
    <cellStyle name="40 % - Markeringsfarve1 7 5 3" xfId="23009" xr:uid="{00000000-0005-0000-0000-0000C6560000}"/>
    <cellStyle name="40 % - Markeringsfarve1 7 5 4" xfId="37996" xr:uid="{00000000-0005-0000-0000-0000C7560000}"/>
    <cellStyle name="40 % - Markeringsfarve1 7 6" xfId="11969" xr:uid="{00000000-0005-0000-0000-0000C8560000}"/>
    <cellStyle name="40 % - Markeringsfarve1 7 6 2" xfId="28288" xr:uid="{00000000-0005-0000-0000-0000C9560000}"/>
    <cellStyle name="40 % - Markeringsfarve1 7 6 3" xfId="43253" xr:uid="{00000000-0005-0000-0000-0000CA560000}"/>
    <cellStyle name="40 % - Markeringsfarve1 7 7" xfId="21266" xr:uid="{00000000-0005-0000-0000-0000CB560000}"/>
    <cellStyle name="40 % - Markeringsfarve1 7 8" xfId="36254" xr:uid="{00000000-0005-0000-0000-0000CC560000}"/>
    <cellStyle name="40 % - Markeringsfarve1 7 9" xfId="53946" xr:uid="{00000000-0005-0000-0000-0000CD560000}"/>
    <cellStyle name="40 % - Markeringsfarve1 8" xfId="3417" xr:uid="{00000000-0005-0000-0000-0000CE560000}"/>
    <cellStyle name="40 % - Markeringsfarve1 8 2" xfId="3418" xr:uid="{00000000-0005-0000-0000-0000CF560000}"/>
    <cellStyle name="40 % - Markeringsfarve1 8 2 2" xfId="3419" xr:uid="{00000000-0005-0000-0000-0000D0560000}"/>
    <cellStyle name="40 % - Markeringsfarve1 8 2 2 2" xfId="7847" xr:uid="{00000000-0005-0000-0000-0000D1560000}"/>
    <cellStyle name="40 % - Markeringsfarve1 8 2 2 2 2" xfId="15748" xr:uid="{00000000-0005-0000-0000-0000D2560000}"/>
    <cellStyle name="40 % - Markeringsfarve1 8 2 2 2 2 2" xfId="32062" xr:uid="{00000000-0005-0000-0000-0000D3560000}"/>
    <cellStyle name="40 % - Markeringsfarve1 8 2 2 2 2 3" xfId="47026" xr:uid="{00000000-0005-0000-0000-0000D4560000}"/>
    <cellStyle name="40 % - Markeringsfarve1 8 2 2 2 3" xfId="25040" xr:uid="{00000000-0005-0000-0000-0000D5560000}"/>
    <cellStyle name="40 % - Markeringsfarve1 8 2 2 2 4" xfId="40027" xr:uid="{00000000-0005-0000-0000-0000D6560000}"/>
    <cellStyle name="40 % - Markeringsfarve1 8 2 2 3" xfId="11976" xr:uid="{00000000-0005-0000-0000-0000D7560000}"/>
    <cellStyle name="40 % - Markeringsfarve1 8 2 2 3 2" xfId="28295" xr:uid="{00000000-0005-0000-0000-0000D8560000}"/>
    <cellStyle name="40 % - Markeringsfarve1 8 2 2 3 3" xfId="43260" xr:uid="{00000000-0005-0000-0000-0000D9560000}"/>
    <cellStyle name="40 % - Markeringsfarve1 8 2 2 4" xfId="21273" xr:uid="{00000000-0005-0000-0000-0000DA560000}"/>
    <cellStyle name="40 % - Markeringsfarve1 8 2 2 5" xfId="36261" xr:uid="{00000000-0005-0000-0000-0000DB560000}"/>
    <cellStyle name="40 % - Markeringsfarve1 8 2 3" xfId="6394" xr:uid="{00000000-0005-0000-0000-0000DC560000}"/>
    <cellStyle name="40 % - Markeringsfarve1 8 2 3 2" xfId="14308" xr:uid="{00000000-0005-0000-0000-0000DD560000}"/>
    <cellStyle name="40 % - Markeringsfarve1 8 2 3 2 2" xfId="30622" xr:uid="{00000000-0005-0000-0000-0000DE560000}"/>
    <cellStyle name="40 % - Markeringsfarve1 8 2 3 2 3" xfId="45586" xr:uid="{00000000-0005-0000-0000-0000DF560000}"/>
    <cellStyle name="40 % - Markeringsfarve1 8 2 3 3" xfId="23600" xr:uid="{00000000-0005-0000-0000-0000E0560000}"/>
    <cellStyle name="40 % - Markeringsfarve1 8 2 3 4" xfId="38587" xr:uid="{00000000-0005-0000-0000-0000E1560000}"/>
    <cellStyle name="40 % - Markeringsfarve1 8 2 4" xfId="11975" xr:uid="{00000000-0005-0000-0000-0000E2560000}"/>
    <cellStyle name="40 % - Markeringsfarve1 8 2 4 2" xfId="28294" xr:uid="{00000000-0005-0000-0000-0000E3560000}"/>
    <cellStyle name="40 % - Markeringsfarve1 8 2 4 3" xfId="43259" xr:uid="{00000000-0005-0000-0000-0000E4560000}"/>
    <cellStyle name="40 % - Markeringsfarve1 8 2 5" xfId="21272" xr:uid="{00000000-0005-0000-0000-0000E5560000}"/>
    <cellStyle name="40 % - Markeringsfarve1 8 2 6" xfId="36260" xr:uid="{00000000-0005-0000-0000-0000E6560000}"/>
    <cellStyle name="40 % - Markeringsfarve1 8 3" xfId="3420" xr:uid="{00000000-0005-0000-0000-0000E7560000}"/>
    <cellStyle name="40 % - Markeringsfarve1 8 3 2" xfId="7123" xr:uid="{00000000-0005-0000-0000-0000E8560000}"/>
    <cellStyle name="40 % - Markeringsfarve1 8 3 2 2" xfId="15033" xr:uid="{00000000-0005-0000-0000-0000E9560000}"/>
    <cellStyle name="40 % - Markeringsfarve1 8 3 2 2 2" xfId="31347" xr:uid="{00000000-0005-0000-0000-0000EA560000}"/>
    <cellStyle name="40 % - Markeringsfarve1 8 3 2 2 3" xfId="46311" xr:uid="{00000000-0005-0000-0000-0000EB560000}"/>
    <cellStyle name="40 % - Markeringsfarve1 8 3 2 3" xfId="24325" xr:uid="{00000000-0005-0000-0000-0000EC560000}"/>
    <cellStyle name="40 % - Markeringsfarve1 8 3 2 4" xfId="39312" xr:uid="{00000000-0005-0000-0000-0000ED560000}"/>
    <cellStyle name="40 % - Markeringsfarve1 8 3 3" xfId="11977" xr:uid="{00000000-0005-0000-0000-0000EE560000}"/>
    <cellStyle name="40 % - Markeringsfarve1 8 3 3 2" xfId="28296" xr:uid="{00000000-0005-0000-0000-0000EF560000}"/>
    <cellStyle name="40 % - Markeringsfarve1 8 3 3 3" xfId="43261" xr:uid="{00000000-0005-0000-0000-0000F0560000}"/>
    <cellStyle name="40 % - Markeringsfarve1 8 3 4" xfId="21274" xr:uid="{00000000-0005-0000-0000-0000F1560000}"/>
    <cellStyle name="40 % - Markeringsfarve1 8 3 5" xfId="36262" xr:uid="{00000000-0005-0000-0000-0000F2560000}"/>
    <cellStyle name="40 % - Markeringsfarve1 8 4" xfId="3421" xr:uid="{00000000-0005-0000-0000-0000F3560000}"/>
    <cellStyle name="40 % - Markeringsfarve1 8 4 2" xfId="8388" xr:uid="{00000000-0005-0000-0000-0000F4560000}"/>
    <cellStyle name="40 % - Markeringsfarve1 8 4 2 2" xfId="16281" xr:uid="{00000000-0005-0000-0000-0000F5560000}"/>
    <cellStyle name="40 % - Markeringsfarve1 8 4 2 2 2" xfId="32595" xr:uid="{00000000-0005-0000-0000-0000F6560000}"/>
    <cellStyle name="40 % - Markeringsfarve1 8 4 2 2 3" xfId="47559" xr:uid="{00000000-0005-0000-0000-0000F7560000}"/>
    <cellStyle name="40 % - Markeringsfarve1 8 4 2 3" xfId="25573" xr:uid="{00000000-0005-0000-0000-0000F8560000}"/>
    <cellStyle name="40 % - Markeringsfarve1 8 4 2 4" xfId="40560" xr:uid="{00000000-0005-0000-0000-0000F9560000}"/>
    <cellStyle name="40 % - Markeringsfarve1 8 4 3" xfId="11978" xr:uid="{00000000-0005-0000-0000-0000FA560000}"/>
    <cellStyle name="40 % - Markeringsfarve1 8 4 3 2" xfId="28297" xr:uid="{00000000-0005-0000-0000-0000FB560000}"/>
    <cellStyle name="40 % - Markeringsfarve1 8 4 3 3" xfId="43262" xr:uid="{00000000-0005-0000-0000-0000FC560000}"/>
    <cellStyle name="40 % - Markeringsfarve1 8 4 4" xfId="21275" xr:uid="{00000000-0005-0000-0000-0000FD560000}"/>
    <cellStyle name="40 % - Markeringsfarve1 8 4 5" xfId="36263" xr:uid="{00000000-0005-0000-0000-0000FE560000}"/>
    <cellStyle name="40 % - Markeringsfarve1 8 5" xfId="5800" xr:uid="{00000000-0005-0000-0000-0000FF560000}"/>
    <cellStyle name="40 % - Markeringsfarve1 8 5 2" xfId="13718" xr:uid="{00000000-0005-0000-0000-000000570000}"/>
    <cellStyle name="40 % - Markeringsfarve1 8 5 2 2" xfId="30032" xr:uid="{00000000-0005-0000-0000-000001570000}"/>
    <cellStyle name="40 % - Markeringsfarve1 8 5 2 3" xfId="44996" xr:uid="{00000000-0005-0000-0000-000002570000}"/>
    <cellStyle name="40 % - Markeringsfarve1 8 5 3" xfId="23010" xr:uid="{00000000-0005-0000-0000-000003570000}"/>
    <cellStyle name="40 % - Markeringsfarve1 8 5 4" xfId="37997" xr:uid="{00000000-0005-0000-0000-000004570000}"/>
    <cellStyle name="40 % - Markeringsfarve1 8 6" xfId="11974" xr:uid="{00000000-0005-0000-0000-000005570000}"/>
    <cellStyle name="40 % - Markeringsfarve1 8 6 2" xfId="28293" xr:uid="{00000000-0005-0000-0000-000006570000}"/>
    <cellStyle name="40 % - Markeringsfarve1 8 6 3" xfId="43258" xr:uid="{00000000-0005-0000-0000-000007570000}"/>
    <cellStyle name="40 % - Markeringsfarve1 8 7" xfId="21271" xr:uid="{00000000-0005-0000-0000-000008570000}"/>
    <cellStyle name="40 % - Markeringsfarve1 8 8" xfId="36259" xr:uid="{00000000-0005-0000-0000-000009570000}"/>
    <cellStyle name="40 % - Markeringsfarve1 9" xfId="3422" xr:uid="{00000000-0005-0000-0000-00000A570000}"/>
    <cellStyle name="40 % - Markeringsfarve1 9 2" xfId="3423" xr:uid="{00000000-0005-0000-0000-00000B570000}"/>
    <cellStyle name="40 % - Markeringsfarve1 9 2 2" xfId="3424" xr:uid="{00000000-0005-0000-0000-00000C570000}"/>
    <cellStyle name="40 % - Markeringsfarve1 9 2 2 2" xfId="7964" xr:uid="{00000000-0005-0000-0000-00000D570000}"/>
    <cellStyle name="40 % - Markeringsfarve1 9 2 2 2 2" xfId="15865" xr:uid="{00000000-0005-0000-0000-00000E570000}"/>
    <cellStyle name="40 % - Markeringsfarve1 9 2 2 2 2 2" xfId="32179" xr:uid="{00000000-0005-0000-0000-00000F570000}"/>
    <cellStyle name="40 % - Markeringsfarve1 9 2 2 2 2 3" xfId="47143" xr:uid="{00000000-0005-0000-0000-000010570000}"/>
    <cellStyle name="40 % - Markeringsfarve1 9 2 2 2 3" xfId="25157" xr:uid="{00000000-0005-0000-0000-000011570000}"/>
    <cellStyle name="40 % - Markeringsfarve1 9 2 2 2 4" xfId="40144" xr:uid="{00000000-0005-0000-0000-000012570000}"/>
    <cellStyle name="40 % - Markeringsfarve1 9 2 2 3" xfId="11981" xr:uid="{00000000-0005-0000-0000-000013570000}"/>
    <cellStyle name="40 % - Markeringsfarve1 9 2 2 3 2" xfId="28300" xr:uid="{00000000-0005-0000-0000-000014570000}"/>
    <cellStyle name="40 % - Markeringsfarve1 9 2 2 3 3" xfId="43265" xr:uid="{00000000-0005-0000-0000-000015570000}"/>
    <cellStyle name="40 % - Markeringsfarve1 9 2 2 4" xfId="21278" xr:uid="{00000000-0005-0000-0000-000016570000}"/>
    <cellStyle name="40 % - Markeringsfarve1 9 2 2 5" xfId="36266" xr:uid="{00000000-0005-0000-0000-000017570000}"/>
    <cellStyle name="40 % - Markeringsfarve1 9 2 3" xfId="6493" xr:uid="{00000000-0005-0000-0000-000018570000}"/>
    <cellStyle name="40 % - Markeringsfarve1 9 2 3 2" xfId="14407" xr:uid="{00000000-0005-0000-0000-000019570000}"/>
    <cellStyle name="40 % - Markeringsfarve1 9 2 3 2 2" xfId="30721" xr:uid="{00000000-0005-0000-0000-00001A570000}"/>
    <cellStyle name="40 % - Markeringsfarve1 9 2 3 2 3" xfId="45685" xr:uid="{00000000-0005-0000-0000-00001B570000}"/>
    <cellStyle name="40 % - Markeringsfarve1 9 2 3 3" xfId="23699" xr:uid="{00000000-0005-0000-0000-00001C570000}"/>
    <cellStyle name="40 % - Markeringsfarve1 9 2 3 4" xfId="38686" xr:uid="{00000000-0005-0000-0000-00001D570000}"/>
    <cellStyle name="40 % - Markeringsfarve1 9 2 4" xfId="11980" xr:uid="{00000000-0005-0000-0000-00001E570000}"/>
    <cellStyle name="40 % - Markeringsfarve1 9 2 4 2" xfId="28299" xr:uid="{00000000-0005-0000-0000-00001F570000}"/>
    <cellStyle name="40 % - Markeringsfarve1 9 2 4 3" xfId="43264" xr:uid="{00000000-0005-0000-0000-000020570000}"/>
    <cellStyle name="40 % - Markeringsfarve1 9 2 5" xfId="21277" xr:uid="{00000000-0005-0000-0000-000021570000}"/>
    <cellStyle name="40 % - Markeringsfarve1 9 2 6" xfId="36265" xr:uid="{00000000-0005-0000-0000-000022570000}"/>
    <cellStyle name="40 % - Markeringsfarve1 9 3" xfId="3425" xr:uid="{00000000-0005-0000-0000-000023570000}"/>
    <cellStyle name="40 % - Markeringsfarve1 9 3 2" xfId="7240" xr:uid="{00000000-0005-0000-0000-000024570000}"/>
    <cellStyle name="40 % - Markeringsfarve1 9 3 2 2" xfId="15150" xr:uid="{00000000-0005-0000-0000-000025570000}"/>
    <cellStyle name="40 % - Markeringsfarve1 9 3 2 2 2" xfId="31464" xr:uid="{00000000-0005-0000-0000-000026570000}"/>
    <cellStyle name="40 % - Markeringsfarve1 9 3 2 2 3" xfId="46428" xr:uid="{00000000-0005-0000-0000-000027570000}"/>
    <cellStyle name="40 % - Markeringsfarve1 9 3 2 3" xfId="24442" xr:uid="{00000000-0005-0000-0000-000028570000}"/>
    <cellStyle name="40 % - Markeringsfarve1 9 3 2 4" xfId="39429" xr:uid="{00000000-0005-0000-0000-000029570000}"/>
    <cellStyle name="40 % - Markeringsfarve1 9 3 3" xfId="11982" xr:uid="{00000000-0005-0000-0000-00002A570000}"/>
    <cellStyle name="40 % - Markeringsfarve1 9 3 3 2" xfId="28301" xr:uid="{00000000-0005-0000-0000-00002B570000}"/>
    <cellStyle name="40 % - Markeringsfarve1 9 3 3 3" xfId="43266" xr:uid="{00000000-0005-0000-0000-00002C570000}"/>
    <cellStyle name="40 % - Markeringsfarve1 9 3 4" xfId="21279" xr:uid="{00000000-0005-0000-0000-00002D570000}"/>
    <cellStyle name="40 % - Markeringsfarve1 9 3 5" xfId="36267" xr:uid="{00000000-0005-0000-0000-00002E570000}"/>
    <cellStyle name="40 % - Markeringsfarve1 9 4" xfId="3426" xr:uid="{00000000-0005-0000-0000-00002F570000}"/>
    <cellStyle name="40 % - Markeringsfarve1 9 4 2" xfId="8637" xr:uid="{00000000-0005-0000-0000-000030570000}"/>
    <cellStyle name="40 % - Markeringsfarve1 9 4 2 2" xfId="16520" xr:uid="{00000000-0005-0000-0000-000031570000}"/>
    <cellStyle name="40 % - Markeringsfarve1 9 4 2 2 2" xfId="32834" xr:uid="{00000000-0005-0000-0000-000032570000}"/>
    <cellStyle name="40 % - Markeringsfarve1 9 4 2 2 3" xfId="47798" xr:uid="{00000000-0005-0000-0000-000033570000}"/>
    <cellStyle name="40 % - Markeringsfarve1 9 4 2 3" xfId="25812" xr:uid="{00000000-0005-0000-0000-000034570000}"/>
    <cellStyle name="40 % - Markeringsfarve1 9 4 2 4" xfId="40799" xr:uid="{00000000-0005-0000-0000-000035570000}"/>
    <cellStyle name="40 % - Markeringsfarve1 9 4 3" xfId="11983" xr:uid="{00000000-0005-0000-0000-000036570000}"/>
    <cellStyle name="40 % - Markeringsfarve1 9 4 3 2" xfId="28302" xr:uid="{00000000-0005-0000-0000-000037570000}"/>
    <cellStyle name="40 % - Markeringsfarve1 9 4 3 3" xfId="43267" xr:uid="{00000000-0005-0000-0000-000038570000}"/>
    <cellStyle name="40 % - Markeringsfarve1 9 4 4" xfId="21280" xr:uid="{00000000-0005-0000-0000-000039570000}"/>
    <cellStyle name="40 % - Markeringsfarve1 9 4 5" xfId="36268" xr:uid="{00000000-0005-0000-0000-00003A570000}"/>
    <cellStyle name="40 % - Markeringsfarve1 9 5" xfId="5801" xr:uid="{00000000-0005-0000-0000-00003B570000}"/>
    <cellStyle name="40 % - Markeringsfarve1 9 5 2" xfId="13719" xr:uid="{00000000-0005-0000-0000-00003C570000}"/>
    <cellStyle name="40 % - Markeringsfarve1 9 5 2 2" xfId="30033" xr:uid="{00000000-0005-0000-0000-00003D570000}"/>
    <cellStyle name="40 % - Markeringsfarve1 9 5 2 3" xfId="44997" xr:uid="{00000000-0005-0000-0000-00003E570000}"/>
    <cellStyle name="40 % - Markeringsfarve1 9 5 3" xfId="23011" xr:uid="{00000000-0005-0000-0000-00003F570000}"/>
    <cellStyle name="40 % - Markeringsfarve1 9 5 4" xfId="37998" xr:uid="{00000000-0005-0000-0000-000040570000}"/>
    <cellStyle name="40 % - Markeringsfarve1 9 6" xfId="11979" xr:uid="{00000000-0005-0000-0000-000041570000}"/>
    <cellStyle name="40 % - Markeringsfarve1 9 6 2" xfId="28298" xr:uid="{00000000-0005-0000-0000-000042570000}"/>
    <cellStyle name="40 % - Markeringsfarve1 9 6 3" xfId="43263" xr:uid="{00000000-0005-0000-0000-000043570000}"/>
    <cellStyle name="40 % - Markeringsfarve1 9 7" xfId="21276" xr:uid="{00000000-0005-0000-0000-000044570000}"/>
    <cellStyle name="40 % - Markeringsfarve1 9 8" xfId="36264" xr:uid="{00000000-0005-0000-0000-000045570000}"/>
    <cellStyle name="40 % - Markeringsfarve2 10" xfId="3427" xr:uid="{00000000-0005-0000-0000-000046570000}"/>
    <cellStyle name="40 % - Markeringsfarve2 10 2" xfId="3428" xr:uid="{00000000-0005-0000-0000-000047570000}"/>
    <cellStyle name="40 % - Markeringsfarve2 10 2 2" xfId="8143" xr:uid="{00000000-0005-0000-0000-000048570000}"/>
    <cellStyle name="40 % - Markeringsfarve2 10 2 2 2" xfId="16044" xr:uid="{00000000-0005-0000-0000-000049570000}"/>
    <cellStyle name="40 % - Markeringsfarve2 10 2 2 2 2" xfId="32358" xr:uid="{00000000-0005-0000-0000-00004A570000}"/>
    <cellStyle name="40 % - Markeringsfarve2 10 2 2 2 3" xfId="47322" xr:uid="{00000000-0005-0000-0000-00004B570000}"/>
    <cellStyle name="40 % - Markeringsfarve2 10 2 2 3" xfId="25336" xr:uid="{00000000-0005-0000-0000-00004C570000}"/>
    <cellStyle name="40 % - Markeringsfarve2 10 2 2 4" xfId="40323" xr:uid="{00000000-0005-0000-0000-00004D570000}"/>
    <cellStyle name="40 % - Markeringsfarve2 10 2 3" xfId="11985" xr:uid="{00000000-0005-0000-0000-00004E570000}"/>
    <cellStyle name="40 % - Markeringsfarve2 10 2 3 2" xfId="28304" xr:uid="{00000000-0005-0000-0000-00004F570000}"/>
    <cellStyle name="40 % - Markeringsfarve2 10 2 3 3" xfId="43269" xr:uid="{00000000-0005-0000-0000-000050570000}"/>
    <cellStyle name="40 % - Markeringsfarve2 10 2 4" xfId="21282" xr:uid="{00000000-0005-0000-0000-000051570000}"/>
    <cellStyle name="40 % - Markeringsfarve2 10 2 5" xfId="36270" xr:uid="{00000000-0005-0000-0000-000052570000}"/>
    <cellStyle name="40 % - Markeringsfarve2 10 3" xfId="3429" xr:uid="{00000000-0005-0000-0000-000053570000}"/>
    <cellStyle name="40 % - Markeringsfarve2 10 3 2" xfId="7420" xr:uid="{00000000-0005-0000-0000-000054570000}"/>
    <cellStyle name="40 % - Markeringsfarve2 10 3 2 2" xfId="15330" xr:uid="{00000000-0005-0000-0000-000055570000}"/>
    <cellStyle name="40 % - Markeringsfarve2 10 3 2 2 2" xfId="31644" xr:uid="{00000000-0005-0000-0000-000056570000}"/>
    <cellStyle name="40 % - Markeringsfarve2 10 3 2 2 3" xfId="46608" xr:uid="{00000000-0005-0000-0000-000057570000}"/>
    <cellStyle name="40 % - Markeringsfarve2 10 3 2 3" xfId="24622" xr:uid="{00000000-0005-0000-0000-000058570000}"/>
    <cellStyle name="40 % - Markeringsfarve2 10 3 2 4" xfId="39609" xr:uid="{00000000-0005-0000-0000-000059570000}"/>
    <cellStyle name="40 % - Markeringsfarve2 10 3 3" xfId="11986" xr:uid="{00000000-0005-0000-0000-00005A570000}"/>
    <cellStyle name="40 % - Markeringsfarve2 10 3 3 2" xfId="28305" xr:uid="{00000000-0005-0000-0000-00005B570000}"/>
    <cellStyle name="40 % - Markeringsfarve2 10 3 3 3" xfId="43270" xr:uid="{00000000-0005-0000-0000-00005C570000}"/>
    <cellStyle name="40 % - Markeringsfarve2 10 3 4" xfId="21283" xr:uid="{00000000-0005-0000-0000-00005D570000}"/>
    <cellStyle name="40 % - Markeringsfarve2 10 3 5" xfId="36271" xr:uid="{00000000-0005-0000-0000-00005E570000}"/>
    <cellStyle name="40 % - Markeringsfarve2 10 4" xfId="5802" xr:uid="{00000000-0005-0000-0000-00005F570000}"/>
    <cellStyle name="40 % - Markeringsfarve2 10 4 2" xfId="13720" xr:uid="{00000000-0005-0000-0000-000060570000}"/>
    <cellStyle name="40 % - Markeringsfarve2 10 4 2 2" xfId="30034" xr:uid="{00000000-0005-0000-0000-000061570000}"/>
    <cellStyle name="40 % - Markeringsfarve2 10 4 2 3" xfId="44998" xr:uid="{00000000-0005-0000-0000-000062570000}"/>
    <cellStyle name="40 % - Markeringsfarve2 10 4 3" xfId="23012" xr:uid="{00000000-0005-0000-0000-000063570000}"/>
    <cellStyle name="40 % - Markeringsfarve2 10 4 4" xfId="37999" xr:uid="{00000000-0005-0000-0000-000064570000}"/>
    <cellStyle name="40 % - Markeringsfarve2 10 5" xfId="11984" xr:uid="{00000000-0005-0000-0000-000065570000}"/>
    <cellStyle name="40 % - Markeringsfarve2 10 5 2" xfId="28303" xr:uid="{00000000-0005-0000-0000-000066570000}"/>
    <cellStyle name="40 % - Markeringsfarve2 10 5 3" xfId="43268" xr:uid="{00000000-0005-0000-0000-000067570000}"/>
    <cellStyle name="40 % - Markeringsfarve2 10 6" xfId="21281" xr:uid="{00000000-0005-0000-0000-000068570000}"/>
    <cellStyle name="40 % - Markeringsfarve2 10 7" xfId="36269" xr:uid="{00000000-0005-0000-0000-000069570000}"/>
    <cellStyle name="40 % - Markeringsfarve2 11" xfId="3430" xr:uid="{00000000-0005-0000-0000-00006A570000}"/>
    <cellStyle name="40 % - Markeringsfarve2 11 2" xfId="3431" xr:uid="{00000000-0005-0000-0000-00006B570000}"/>
    <cellStyle name="40 % - Markeringsfarve2 11 2 2" xfId="7491" xr:uid="{00000000-0005-0000-0000-00006C570000}"/>
    <cellStyle name="40 % - Markeringsfarve2 11 2 2 2" xfId="15392" xr:uid="{00000000-0005-0000-0000-00006D570000}"/>
    <cellStyle name="40 % - Markeringsfarve2 11 2 2 2 2" xfId="31706" xr:uid="{00000000-0005-0000-0000-00006E570000}"/>
    <cellStyle name="40 % - Markeringsfarve2 11 2 2 2 3" xfId="46670" xr:uid="{00000000-0005-0000-0000-00006F570000}"/>
    <cellStyle name="40 % - Markeringsfarve2 11 2 2 3" xfId="24684" xr:uid="{00000000-0005-0000-0000-000070570000}"/>
    <cellStyle name="40 % - Markeringsfarve2 11 2 2 4" xfId="39671" xr:uid="{00000000-0005-0000-0000-000071570000}"/>
    <cellStyle name="40 % - Markeringsfarve2 11 2 3" xfId="11988" xr:uid="{00000000-0005-0000-0000-000072570000}"/>
    <cellStyle name="40 % - Markeringsfarve2 11 2 3 2" xfId="28307" xr:uid="{00000000-0005-0000-0000-000073570000}"/>
    <cellStyle name="40 % - Markeringsfarve2 11 2 3 3" xfId="43272" xr:uid="{00000000-0005-0000-0000-000074570000}"/>
    <cellStyle name="40 % - Markeringsfarve2 11 2 4" xfId="21285" xr:uid="{00000000-0005-0000-0000-000075570000}"/>
    <cellStyle name="40 % - Markeringsfarve2 11 2 5" xfId="36273" xr:uid="{00000000-0005-0000-0000-000076570000}"/>
    <cellStyle name="40 % - Markeringsfarve2 11 3" xfId="5803" xr:uid="{00000000-0005-0000-0000-000077570000}"/>
    <cellStyle name="40 % - Markeringsfarve2 11 3 2" xfId="13721" xr:uid="{00000000-0005-0000-0000-000078570000}"/>
    <cellStyle name="40 % - Markeringsfarve2 11 3 2 2" xfId="30035" xr:uid="{00000000-0005-0000-0000-000079570000}"/>
    <cellStyle name="40 % - Markeringsfarve2 11 3 2 3" xfId="44999" xr:uid="{00000000-0005-0000-0000-00007A570000}"/>
    <cellStyle name="40 % - Markeringsfarve2 11 3 3" xfId="23013" xr:uid="{00000000-0005-0000-0000-00007B570000}"/>
    <cellStyle name="40 % - Markeringsfarve2 11 3 4" xfId="38000" xr:uid="{00000000-0005-0000-0000-00007C570000}"/>
    <cellStyle name="40 % - Markeringsfarve2 11 4" xfId="11987" xr:uid="{00000000-0005-0000-0000-00007D570000}"/>
    <cellStyle name="40 % - Markeringsfarve2 11 4 2" xfId="28306" xr:uid="{00000000-0005-0000-0000-00007E570000}"/>
    <cellStyle name="40 % - Markeringsfarve2 11 4 3" xfId="43271" xr:uid="{00000000-0005-0000-0000-00007F570000}"/>
    <cellStyle name="40 % - Markeringsfarve2 11 5" xfId="21284" xr:uid="{00000000-0005-0000-0000-000080570000}"/>
    <cellStyle name="40 % - Markeringsfarve2 11 6" xfId="36272" xr:uid="{00000000-0005-0000-0000-000081570000}"/>
    <cellStyle name="40 % - Markeringsfarve2 12" xfId="3432" xr:uid="{00000000-0005-0000-0000-000082570000}"/>
    <cellStyle name="40 % - Markeringsfarve2 12 2" xfId="6713" xr:uid="{00000000-0005-0000-0000-000083570000}"/>
    <cellStyle name="40 % - Markeringsfarve2 12 2 2" xfId="14626" xr:uid="{00000000-0005-0000-0000-000084570000}"/>
    <cellStyle name="40 % - Markeringsfarve2 12 2 2 2" xfId="30940" xr:uid="{00000000-0005-0000-0000-000085570000}"/>
    <cellStyle name="40 % - Markeringsfarve2 12 2 2 3" xfId="45904" xr:uid="{00000000-0005-0000-0000-000086570000}"/>
    <cellStyle name="40 % - Markeringsfarve2 12 2 3" xfId="23918" xr:uid="{00000000-0005-0000-0000-000087570000}"/>
    <cellStyle name="40 % - Markeringsfarve2 12 2 4" xfId="38905" xr:uid="{00000000-0005-0000-0000-000088570000}"/>
    <cellStyle name="40 % - Markeringsfarve2 12 3" xfId="11989" xr:uid="{00000000-0005-0000-0000-000089570000}"/>
    <cellStyle name="40 % - Markeringsfarve2 12 3 2" xfId="28308" xr:uid="{00000000-0005-0000-0000-00008A570000}"/>
    <cellStyle name="40 % - Markeringsfarve2 12 3 3" xfId="43273" xr:uid="{00000000-0005-0000-0000-00008B570000}"/>
    <cellStyle name="40 % - Markeringsfarve2 12 4" xfId="21286" xr:uid="{00000000-0005-0000-0000-00008C570000}"/>
    <cellStyle name="40 % - Markeringsfarve2 12 5" xfId="36274" xr:uid="{00000000-0005-0000-0000-00008D570000}"/>
    <cellStyle name="40 % - Markeringsfarve2 13" xfId="5389" xr:uid="{00000000-0005-0000-0000-00008E570000}"/>
    <cellStyle name="40 % - Markeringsfarve2 13 2" xfId="13315" xr:uid="{00000000-0005-0000-0000-00008F570000}"/>
    <cellStyle name="40 % - Markeringsfarve2 13 2 2" xfId="29629" xr:uid="{00000000-0005-0000-0000-000090570000}"/>
    <cellStyle name="40 % - Markeringsfarve2 13 2 3" xfId="44593" xr:uid="{00000000-0005-0000-0000-000091570000}"/>
    <cellStyle name="40 % - Markeringsfarve2 13 3" xfId="22607" xr:uid="{00000000-0005-0000-0000-000092570000}"/>
    <cellStyle name="40 % - Markeringsfarve2 13 4" xfId="37594" xr:uid="{00000000-0005-0000-0000-000093570000}"/>
    <cellStyle name="40 % - Markeringsfarve2 2" xfId="3433" xr:uid="{00000000-0005-0000-0000-000094570000}"/>
    <cellStyle name="40 % - Markeringsfarve2 2 10" xfId="3434" xr:uid="{00000000-0005-0000-0000-000095570000}"/>
    <cellStyle name="40 % - Markeringsfarve2 2 10 2" xfId="6745" xr:uid="{00000000-0005-0000-0000-000096570000}"/>
    <cellStyle name="40 % - Markeringsfarve2 2 10 2 2" xfId="14656" xr:uid="{00000000-0005-0000-0000-000097570000}"/>
    <cellStyle name="40 % - Markeringsfarve2 2 10 2 2 2" xfId="30970" xr:uid="{00000000-0005-0000-0000-000098570000}"/>
    <cellStyle name="40 % - Markeringsfarve2 2 10 2 2 3" xfId="45934" xr:uid="{00000000-0005-0000-0000-000099570000}"/>
    <cellStyle name="40 % - Markeringsfarve2 2 10 2 3" xfId="23948" xr:uid="{00000000-0005-0000-0000-00009A570000}"/>
    <cellStyle name="40 % - Markeringsfarve2 2 10 2 4" xfId="38935" xr:uid="{00000000-0005-0000-0000-00009B570000}"/>
    <cellStyle name="40 % - Markeringsfarve2 2 10 3" xfId="11991" xr:uid="{00000000-0005-0000-0000-00009C570000}"/>
    <cellStyle name="40 % - Markeringsfarve2 2 10 3 2" xfId="28310" xr:uid="{00000000-0005-0000-0000-00009D570000}"/>
    <cellStyle name="40 % - Markeringsfarve2 2 10 3 3" xfId="43275" xr:uid="{00000000-0005-0000-0000-00009E570000}"/>
    <cellStyle name="40 % - Markeringsfarve2 2 10 4" xfId="21288" xr:uid="{00000000-0005-0000-0000-00009F570000}"/>
    <cellStyle name="40 % - Markeringsfarve2 2 10 5" xfId="36276" xr:uid="{00000000-0005-0000-0000-0000A0570000}"/>
    <cellStyle name="40 % - Markeringsfarve2 2 11" xfId="5804" xr:uid="{00000000-0005-0000-0000-0000A1570000}"/>
    <cellStyle name="40 % - Markeringsfarve2 2 11 2" xfId="13722" xr:uid="{00000000-0005-0000-0000-0000A2570000}"/>
    <cellStyle name="40 % - Markeringsfarve2 2 11 2 2" xfId="30036" xr:uid="{00000000-0005-0000-0000-0000A3570000}"/>
    <cellStyle name="40 % - Markeringsfarve2 2 11 2 3" xfId="45000" xr:uid="{00000000-0005-0000-0000-0000A4570000}"/>
    <cellStyle name="40 % - Markeringsfarve2 2 11 3" xfId="23014" xr:uid="{00000000-0005-0000-0000-0000A5570000}"/>
    <cellStyle name="40 % - Markeringsfarve2 2 11 4" xfId="38001" xr:uid="{00000000-0005-0000-0000-0000A6570000}"/>
    <cellStyle name="40 % - Markeringsfarve2 2 12" xfId="11990" xr:uid="{00000000-0005-0000-0000-0000A7570000}"/>
    <cellStyle name="40 % - Markeringsfarve2 2 12 2" xfId="28309" xr:uid="{00000000-0005-0000-0000-0000A8570000}"/>
    <cellStyle name="40 % - Markeringsfarve2 2 12 3" xfId="43274" xr:uid="{00000000-0005-0000-0000-0000A9570000}"/>
    <cellStyle name="40 % - Markeringsfarve2 2 13" xfId="21287" xr:uid="{00000000-0005-0000-0000-0000AA570000}"/>
    <cellStyle name="40 % - Markeringsfarve2 2 14" xfId="36275" xr:uid="{00000000-0005-0000-0000-0000AB570000}"/>
    <cellStyle name="40 % - Markeringsfarve2 2 15" xfId="53333" xr:uid="{00000000-0005-0000-0000-0000AC570000}"/>
    <cellStyle name="40 % - Markeringsfarve2 2 2" xfId="3435" xr:uid="{00000000-0005-0000-0000-0000AD570000}"/>
    <cellStyle name="40 % - Markeringsfarve2 2 2 10" xfId="11992" xr:uid="{00000000-0005-0000-0000-0000AE570000}"/>
    <cellStyle name="40 % - Markeringsfarve2 2 2 10 2" xfId="28311" xr:uid="{00000000-0005-0000-0000-0000AF570000}"/>
    <cellStyle name="40 % - Markeringsfarve2 2 2 10 3" xfId="43276" xr:uid="{00000000-0005-0000-0000-0000B0570000}"/>
    <cellStyle name="40 % - Markeringsfarve2 2 2 11" xfId="21289" xr:uid="{00000000-0005-0000-0000-0000B1570000}"/>
    <cellStyle name="40 % - Markeringsfarve2 2 2 12" xfId="36277" xr:uid="{00000000-0005-0000-0000-0000B2570000}"/>
    <cellStyle name="40 % - Markeringsfarve2 2 2 13" xfId="53332" xr:uid="{00000000-0005-0000-0000-0000B3570000}"/>
    <cellStyle name="40 % - Markeringsfarve2 2 2 2" xfId="3436" xr:uid="{00000000-0005-0000-0000-0000B4570000}"/>
    <cellStyle name="40 % - Markeringsfarve2 2 2 2 2" xfId="3437" xr:uid="{00000000-0005-0000-0000-0000B5570000}"/>
    <cellStyle name="40 % - Markeringsfarve2 2 2 2 2 2" xfId="7676" xr:uid="{00000000-0005-0000-0000-0000B6570000}"/>
    <cellStyle name="40 % - Markeringsfarve2 2 2 2 2 2 2" xfId="15577" xr:uid="{00000000-0005-0000-0000-0000B7570000}"/>
    <cellStyle name="40 % - Markeringsfarve2 2 2 2 2 2 2 2" xfId="31891" xr:uid="{00000000-0005-0000-0000-0000B8570000}"/>
    <cellStyle name="40 % - Markeringsfarve2 2 2 2 2 2 2 3" xfId="46855" xr:uid="{00000000-0005-0000-0000-0000B9570000}"/>
    <cellStyle name="40 % - Markeringsfarve2 2 2 2 2 2 3" xfId="24869" xr:uid="{00000000-0005-0000-0000-0000BA570000}"/>
    <cellStyle name="40 % - Markeringsfarve2 2 2 2 2 2 4" xfId="39856" xr:uid="{00000000-0005-0000-0000-0000BB570000}"/>
    <cellStyle name="40 % - Markeringsfarve2 2 2 2 2 3" xfId="11994" xr:uid="{00000000-0005-0000-0000-0000BC570000}"/>
    <cellStyle name="40 % - Markeringsfarve2 2 2 2 2 3 2" xfId="28313" xr:uid="{00000000-0005-0000-0000-0000BD570000}"/>
    <cellStyle name="40 % - Markeringsfarve2 2 2 2 2 3 3" xfId="43278" xr:uid="{00000000-0005-0000-0000-0000BE570000}"/>
    <cellStyle name="40 % - Markeringsfarve2 2 2 2 2 4" xfId="21291" xr:uid="{00000000-0005-0000-0000-0000BF570000}"/>
    <cellStyle name="40 % - Markeringsfarve2 2 2 2 2 5" xfId="36279" xr:uid="{00000000-0005-0000-0000-0000C0570000}"/>
    <cellStyle name="40 % - Markeringsfarve2 2 2 2 2 6" xfId="57136" xr:uid="{00000000-0005-0000-0000-0000C1570000}"/>
    <cellStyle name="40 % - Markeringsfarve2 2 2 2 3" xfId="3438" xr:uid="{00000000-0005-0000-0000-0000C2570000}"/>
    <cellStyle name="40 % - Markeringsfarve2 2 2 2 3 2" xfId="6906" xr:uid="{00000000-0005-0000-0000-0000C3570000}"/>
    <cellStyle name="40 % - Markeringsfarve2 2 2 2 3 2 2" xfId="14817" xr:uid="{00000000-0005-0000-0000-0000C4570000}"/>
    <cellStyle name="40 % - Markeringsfarve2 2 2 2 3 2 2 2" xfId="31131" xr:uid="{00000000-0005-0000-0000-0000C5570000}"/>
    <cellStyle name="40 % - Markeringsfarve2 2 2 2 3 2 2 3" xfId="46095" xr:uid="{00000000-0005-0000-0000-0000C6570000}"/>
    <cellStyle name="40 % - Markeringsfarve2 2 2 2 3 2 3" xfId="24109" xr:uid="{00000000-0005-0000-0000-0000C7570000}"/>
    <cellStyle name="40 % - Markeringsfarve2 2 2 2 3 2 4" xfId="39096" xr:uid="{00000000-0005-0000-0000-0000C8570000}"/>
    <cellStyle name="40 % - Markeringsfarve2 2 2 2 3 3" xfId="11995" xr:uid="{00000000-0005-0000-0000-0000C9570000}"/>
    <cellStyle name="40 % - Markeringsfarve2 2 2 2 3 3 2" xfId="28314" xr:uid="{00000000-0005-0000-0000-0000CA570000}"/>
    <cellStyle name="40 % - Markeringsfarve2 2 2 2 3 3 3" xfId="43279" xr:uid="{00000000-0005-0000-0000-0000CB570000}"/>
    <cellStyle name="40 % - Markeringsfarve2 2 2 2 3 4" xfId="21292" xr:uid="{00000000-0005-0000-0000-0000CC570000}"/>
    <cellStyle name="40 % - Markeringsfarve2 2 2 2 3 5" xfId="36280" xr:uid="{00000000-0005-0000-0000-0000CD570000}"/>
    <cellStyle name="40 % - Markeringsfarve2 2 2 2 4" xfId="5806" xr:uid="{00000000-0005-0000-0000-0000CE570000}"/>
    <cellStyle name="40 % - Markeringsfarve2 2 2 2 4 2" xfId="13724" xr:uid="{00000000-0005-0000-0000-0000CF570000}"/>
    <cellStyle name="40 % - Markeringsfarve2 2 2 2 4 2 2" xfId="30038" xr:uid="{00000000-0005-0000-0000-0000D0570000}"/>
    <cellStyle name="40 % - Markeringsfarve2 2 2 2 4 2 3" xfId="45002" xr:uid="{00000000-0005-0000-0000-0000D1570000}"/>
    <cellStyle name="40 % - Markeringsfarve2 2 2 2 4 3" xfId="23016" xr:uid="{00000000-0005-0000-0000-0000D2570000}"/>
    <cellStyle name="40 % - Markeringsfarve2 2 2 2 4 4" xfId="38003" xr:uid="{00000000-0005-0000-0000-0000D3570000}"/>
    <cellStyle name="40 % - Markeringsfarve2 2 2 2 5" xfId="11993" xr:uid="{00000000-0005-0000-0000-0000D4570000}"/>
    <cellStyle name="40 % - Markeringsfarve2 2 2 2 5 2" xfId="28312" xr:uid="{00000000-0005-0000-0000-0000D5570000}"/>
    <cellStyle name="40 % - Markeringsfarve2 2 2 2 5 3" xfId="43277" xr:uid="{00000000-0005-0000-0000-0000D6570000}"/>
    <cellStyle name="40 % - Markeringsfarve2 2 2 2 6" xfId="21290" xr:uid="{00000000-0005-0000-0000-0000D7570000}"/>
    <cellStyle name="40 % - Markeringsfarve2 2 2 2 7" xfId="36278" xr:uid="{00000000-0005-0000-0000-0000D8570000}"/>
    <cellStyle name="40 % - Markeringsfarve2 2 2 2 8" xfId="53969" xr:uid="{00000000-0005-0000-0000-0000D9570000}"/>
    <cellStyle name="40 % - Markeringsfarve2 2 2 3" xfId="3439" xr:uid="{00000000-0005-0000-0000-0000DA570000}"/>
    <cellStyle name="40 % - Markeringsfarve2 2 2 3 2" xfId="3440" xr:uid="{00000000-0005-0000-0000-0000DB570000}"/>
    <cellStyle name="40 % - Markeringsfarve2 2 2 3 2 2" xfId="7791" xr:uid="{00000000-0005-0000-0000-0000DC570000}"/>
    <cellStyle name="40 % - Markeringsfarve2 2 2 3 2 2 2" xfId="15692" xr:uid="{00000000-0005-0000-0000-0000DD570000}"/>
    <cellStyle name="40 % - Markeringsfarve2 2 2 3 2 2 2 2" xfId="32006" xr:uid="{00000000-0005-0000-0000-0000DE570000}"/>
    <cellStyle name="40 % - Markeringsfarve2 2 2 3 2 2 2 3" xfId="46970" xr:uid="{00000000-0005-0000-0000-0000DF570000}"/>
    <cellStyle name="40 % - Markeringsfarve2 2 2 3 2 2 3" xfId="24984" xr:uid="{00000000-0005-0000-0000-0000E0570000}"/>
    <cellStyle name="40 % - Markeringsfarve2 2 2 3 2 2 4" xfId="39971" xr:uid="{00000000-0005-0000-0000-0000E1570000}"/>
    <cellStyle name="40 % - Markeringsfarve2 2 2 3 2 3" xfId="11997" xr:uid="{00000000-0005-0000-0000-0000E2570000}"/>
    <cellStyle name="40 % - Markeringsfarve2 2 2 3 2 3 2" xfId="28316" xr:uid="{00000000-0005-0000-0000-0000E3570000}"/>
    <cellStyle name="40 % - Markeringsfarve2 2 2 3 2 3 3" xfId="43281" xr:uid="{00000000-0005-0000-0000-0000E4570000}"/>
    <cellStyle name="40 % - Markeringsfarve2 2 2 3 2 4" xfId="21294" xr:uid="{00000000-0005-0000-0000-0000E5570000}"/>
    <cellStyle name="40 % - Markeringsfarve2 2 2 3 2 5" xfId="36282" xr:uid="{00000000-0005-0000-0000-0000E6570000}"/>
    <cellStyle name="40 % - Markeringsfarve2 2 2 3 3" xfId="3441" xr:uid="{00000000-0005-0000-0000-0000E7570000}"/>
    <cellStyle name="40 % - Markeringsfarve2 2 2 3 3 2" xfId="7021" xr:uid="{00000000-0005-0000-0000-0000E8570000}"/>
    <cellStyle name="40 % - Markeringsfarve2 2 2 3 3 2 2" xfId="14932" xr:uid="{00000000-0005-0000-0000-0000E9570000}"/>
    <cellStyle name="40 % - Markeringsfarve2 2 2 3 3 2 2 2" xfId="31246" xr:uid="{00000000-0005-0000-0000-0000EA570000}"/>
    <cellStyle name="40 % - Markeringsfarve2 2 2 3 3 2 2 3" xfId="46210" xr:uid="{00000000-0005-0000-0000-0000EB570000}"/>
    <cellStyle name="40 % - Markeringsfarve2 2 2 3 3 2 3" xfId="24224" xr:uid="{00000000-0005-0000-0000-0000EC570000}"/>
    <cellStyle name="40 % - Markeringsfarve2 2 2 3 3 2 4" xfId="39211" xr:uid="{00000000-0005-0000-0000-0000ED570000}"/>
    <cellStyle name="40 % - Markeringsfarve2 2 2 3 3 3" xfId="11998" xr:uid="{00000000-0005-0000-0000-0000EE570000}"/>
    <cellStyle name="40 % - Markeringsfarve2 2 2 3 3 3 2" xfId="28317" xr:uid="{00000000-0005-0000-0000-0000EF570000}"/>
    <cellStyle name="40 % - Markeringsfarve2 2 2 3 3 3 3" xfId="43282" xr:uid="{00000000-0005-0000-0000-0000F0570000}"/>
    <cellStyle name="40 % - Markeringsfarve2 2 2 3 3 4" xfId="21295" xr:uid="{00000000-0005-0000-0000-0000F1570000}"/>
    <cellStyle name="40 % - Markeringsfarve2 2 2 3 3 5" xfId="36283" xr:uid="{00000000-0005-0000-0000-0000F2570000}"/>
    <cellStyle name="40 % - Markeringsfarve2 2 2 3 4" xfId="5807" xr:uid="{00000000-0005-0000-0000-0000F3570000}"/>
    <cellStyle name="40 % - Markeringsfarve2 2 2 3 4 2" xfId="13725" xr:uid="{00000000-0005-0000-0000-0000F4570000}"/>
    <cellStyle name="40 % - Markeringsfarve2 2 2 3 4 2 2" xfId="30039" xr:uid="{00000000-0005-0000-0000-0000F5570000}"/>
    <cellStyle name="40 % - Markeringsfarve2 2 2 3 4 2 3" xfId="45003" xr:uid="{00000000-0005-0000-0000-0000F6570000}"/>
    <cellStyle name="40 % - Markeringsfarve2 2 2 3 4 3" xfId="23017" xr:uid="{00000000-0005-0000-0000-0000F7570000}"/>
    <cellStyle name="40 % - Markeringsfarve2 2 2 3 4 4" xfId="38004" xr:uid="{00000000-0005-0000-0000-0000F8570000}"/>
    <cellStyle name="40 % - Markeringsfarve2 2 2 3 5" xfId="11996" xr:uid="{00000000-0005-0000-0000-0000F9570000}"/>
    <cellStyle name="40 % - Markeringsfarve2 2 2 3 5 2" xfId="28315" xr:uid="{00000000-0005-0000-0000-0000FA570000}"/>
    <cellStyle name="40 % - Markeringsfarve2 2 2 3 5 3" xfId="43280" xr:uid="{00000000-0005-0000-0000-0000FB570000}"/>
    <cellStyle name="40 % - Markeringsfarve2 2 2 3 6" xfId="21293" xr:uid="{00000000-0005-0000-0000-0000FC570000}"/>
    <cellStyle name="40 % - Markeringsfarve2 2 2 3 7" xfId="36281" xr:uid="{00000000-0005-0000-0000-0000FD570000}"/>
    <cellStyle name="40 % - Markeringsfarve2 2 2 3 8" xfId="56513" xr:uid="{00000000-0005-0000-0000-0000FE570000}"/>
    <cellStyle name="40 % - Markeringsfarve2 2 2 4" xfId="3442" xr:uid="{00000000-0005-0000-0000-0000FF570000}"/>
    <cellStyle name="40 % - Markeringsfarve2 2 2 4 2" xfId="3443" xr:uid="{00000000-0005-0000-0000-000000580000}"/>
    <cellStyle name="40 % - Markeringsfarve2 2 2 4 2 2" xfId="7914" xr:uid="{00000000-0005-0000-0000-000001580000}"/>
    <cellStyle name="40 % - Markeringsfarve2 2 2 4 2 2 2" xfId="15815" xr:uid="{00000000-0005-0000-0000-000002580000}"/>
    <cellStyle name="40 % - Markeringsfarve2 2 2 4 2 2 2 2" xfId="32129" xr:uid="{00000000-0005-0000-0000-000003580000}"/>
    <cellStyle name="40 % - Markeringsfarve2 2 2 4 2 2 2 3" xfId="47093" xr:uid="{00000000-0005-0000-0000-000004580000}"/>
    <cellStyle name="40 % - Markeringsfarve2 2 2 4 2 2 3" xfId="25107" xr:uid="{00000000-0005-0000-0000-000005580000}"/>
    <cellStyle name="40 % - Markeringsfarve2 2 2 4 2 2 4" xfId="40094" xr:uid="{00000000-0005-0000-0000-000006580000}"/>
    <cellStyle name="40 % - Markeringsfarve2 2 2 4 2 3" xfId="12000" xr:uid="{00000000-0005-0000-0000-000007580000}"/>
    <cellStyle name="40 % - Markeringsfarve2 2 2 4 2 3 2" xfId="28319" xr:uid="{00000000-0005-0000-0000-000008580000}"/>
    <cellStyle name="40 % - Markeringsfarve2 2 2 4 2 3 3" xfId="43284" xr:uid="{00000000-0005-0000-0000-000009580000}"/>
    <cellStyle name="40 % - Markeringsfarve2 2 2 4 2 4" xfId="21297" xr:uid="{00000000-0005-0000-0000-00000A580000}"/>
    <cellStyle name="40 % - Markeringsfarve2 2 2 4 2 5" xfId="36285" xr:uid="{00000000-0005-0000-0000-00000B580000}"/>
    <cellStyle name="40 % - Markeringsfarve2 2 2 4 3" xfId="3444" xr:uid="{00000000-0005-0000-0000-00000C580000}"/>
    <cellStyle name="40 % - Markeringsfarve2 2 2 4 3 2" xfId="7190" xr:uid="{00000000-0005-0000-0000-00000D580000}"/>
    <cellStyle name="40 % - Markeringsfarve2 2 2 4 3 2 2" xfId="15100" xr:uid="{00000000-0005-0000-0000-00000E580000}"/>
    <cellStyle name="40 % - Markeringsfarve2 2 2 4 3 2 2 2" xfId="31414" xr:uid="{00000000-0005-0000-0000-00000F580000}"/>
    <cellStyle name="40 % - Markeringsfarve2 2 2 4 3 2 2 3" xfId="46378" xr:uid="{00000000-0005-0000-0000-000010580000}"/>
    <cellStyle name="40 % - Markeringsfarve2 2 2 4 3 2 3" xfId="24392" xr:uid="{00000000-0005-0000-0000-000011580000}"/>
    <cellStyle name="40 % - Markeringsfarve2 2 2 4 3 2 4" xfId="39379" xr:uid="{00000000-0005-0000-0000-000012580000}"/>
    <cellStyle name="40 % - Markeringsfarve2 2 2 4 3 3" xfId="12001" xr:uid="{00000000-0005-0000-0000-000013580000}"/>
    <cellStyle name="40 % - Markeringsfarve2 2 2 4 3 3 2" xfId="28320" xr:uid="{00000000-0005-0000-0000-000014580000}"/>
    <cellStyle name="40 % - Markeringsfarve2 2 2 4 3 3 3" xfId="43285" xr:uid="{00000000-0005-0000-0000-000015580000}"/>
    <cellStyle name="40 % - Markeringsfarve2 2 2 4 3 4" xfId="21298" xr:uid="{00000000-0005-0000-0000-000016580000}"/>
    <cellStyle name="40 % - Markeringsfarve2 2 2 4 3 5" xfId="36286" xr:uid="{00000000-0005-0000-0000-000017580000}"/>
    <cellStyle name="40 % - Markeringsfarve2 2 2 4 4" xfId="5808" xr:uid="{00000000-0005-0000-0000-000018580000}"/>
    <cellStyle name="40 % - Markeringsfarve2 2 2 4 4 2" xfId="13726" xr:uid="{00000000-0005-0000-0000-000019580000}"/>
    <cellStyle name="40 % - Markeringsfarve2 2 2 4 4 2 2" xfId="30040" xr:uid="{00000000-0005-0000-0000-00001A580000}"/>
    <cellStyle name="40 % - Markeringsfarve2 2 2 4 4 2 3" xfId="45004" xr:uid="{00000000-0005-0000-0000-00001B580000}"/>
    <cellStyle name="40 % - Markeringsfarve2 2 2 4 4 3" xfId="23018" xr:uid="{00000000-0005-0000-0000-00001C580000}"/>
    <cellStyle name="40 % - Markeringsfarve2 2 2 4 4 4" xfId="38005" xr:uid="{00000000-0005-0000-0000-00001D580000}"/>
    <cellStyle name="40 % - Markeringsfarve2 2 2 4 5" xfId="11999" xr:uid="{00000000-0005-0000-0000-00001E580000}"/>
    <cellStyle name="40 % - Markeringsfarve2 2 2 4 5 2" xfId="28318" xr:uid="{00000000-0005-0000-0000-00001F580000}"/>
    <cellStyle name="40 % - Markeringsfarve2 2 2 4 5 3" xfId="43283" xr:uid="{00000000-0005-0000-0000-000020580000}"/>
    <cellStyle name="40 % - Markeringsfarve2 2 2 4 6" xfId="21296" xr:uid="{00000000-0005-0000-0000-000021580000}"/>
    <cellStyle name="40 % - Markeringsfarve2 2 2 4 7" xfId="36284" xr:uid="{00000000-0005-0000-0000-000022580000}"/>
    <cellStyle name="40 % - Markeringsfarve2 2 2 5" xfId="3445" xr:uid="{00000000-0005-0000-0000-000023580000}"/>
    <cellStyle name="40 % - Markeringsfarve2 2 2 5 2" xfId="3446" xr:uid="{00000000-0005-0000-0000-000024580000}"/>
    <cellStyle name="40 % - Markeringsfarve2 2 2 5 2 2" xfId="8031" xr:uid="{00000000-0005-0000-0000-000025580000}"/>
    <cellStyle name="40 % - Markeringsfarve2 2 2 5 2 2 2" xfId="15932" xr:uid="{00000000-0005-0000-0000-000026580000}"/>
    <cellStyle name="40 % - Markeringsfarve2 2 2 5 2 2 2 2" xfId="32246" xr:uid="{00000000-0005-0000-0000-000027580000}"/>
    <cellStyle name="40 % - Markeringsfarve2 2 2 5 2 2 2 3" xfId="47210" xr:uid="{00000000-0005-0000-0000-000028580000}"/>
    <cellStyle name="40 % - Markeringsfarve2 2 2 5 2 2 3" xfId="25224" xr:uid="{00000000-0005-0000-0000-000029580000}"/>
    <cellStyle name="40 % - Markeringsfarve2 2 2 5 2 2 4" xfId="40211" xr:uid="{00000000-0005-0000-0000-00002A580000}"/>
    <cellStyle name="40 % - Markeringsfarve2 2 2 5 2 3" xfId="12003" xr:uid="{00000000-0005-0000-0000-00002B580000}"/>
    <cellStyle name="40 % - Markeringsfarve2 2 2 5 2 3 2" xfId="28322" xr:uid="{00000000-0005-0000-0000-00002C580000}"/>
    <cellStyle name="40 % - Markeringsfarve2 2 2 5 2 3 3" xfId="43287" xr:uid="{00000000-0005-0000-0000-00002D580000}"/>
    <cellStyle name="40 % - Markeringsfarve2 2 2 5 2 4" xfId="21300" xr:uid="{00000000-0005-0000-0000-00002E580000}"/>
    <cellStyle name="40 % - Markeringsfarve2 2 2 5 2 5" xfId="36288" xr:uid="{00000000-0005-0000-0000-00002F580000}"/>
    <cellStyle name="40 % - Markeringsfarve2 2 2 5 3" xfId="3447" xr:uid="{00000000-0005-0000-0000-000030580000}"/>
    <cellStyle name="40 % - Markeringsfarve2 2 2 5 3 2" xfId="7307" xr:uid="{00000000-0005-0000-0000-000031580000}"/>
    <cellStyle name="40 % - Markeringsfarve2 2 2 5 3 2 2" xfId="15217" xr:uid="{00000000-0005-0000-0000-000032580000}"/>
    <cellStyle name="40 % - Markeringsfarve2 2 2 5 3 2 2 2" xfId="31531" xr:uid="{00000000-0005-0000-0000-000033580000}"/>
    <cellStyle name="40 % - Markeringsfarve2 2 2 5 3 2 2 3" xfId="46495" xr:uid="{00000000-0005-0000-0000-000034580000}"/>
    <cellStyle name="40 % - Markeringsfarve2 2 2 5 3 2 3" xfId="24509" xr:uid="{00000000-0005-0000-0000-000035580000}"/>
    <cellStyle name="40 % - Markeringsfarve2 2 2 5 3 2 4" xfId="39496" xr:uid="{00000000-0005-0000-0000-000036580000}"/>
    <cellStyle name="40 % - Markeringsfarve2 2 2 5 3 3" xfId="12004" xr:uid="{00000000-0005-0000-0000-000037580000}"/>
    <cellStyle name="40 % - Markeringsfarve2 2 2 5 3 3 2" xfId="28323" xr:uid="{00000000-0005-0000-0000-000038580000}"/>
    <cellStyle name="40 % - Markeringsfarve2 2 2 5 3 3 3" xfId="43288" xr:uid="{00000000-0005-0000-0000-000039580000}"/>
    <cellStyle name="40 % - Markeringsfarve2 2 2 5 3 4" xfId="21301" xr:uid="{00000000-0005-0000-0000-00003A580000}"/>
    <cellStyle name="40 % - Markeringsfarve2 2 2 5 3 5" xfId="36289" xr:uid="{00000000-0005-0000-0000-00003B580000}"/>
    <cellStyle name="40 % - Markeringsfarve2 2 2 5 4" xfId="5809" xr:uid="{00000000-0005-0000-0000-00003C580000}"/>
    <cellStyle name="40 % - Markeringsfarve2 2 2 5 4 2" xfId="13727" xr:uid="{00000000-0005-0000-0000-00003D580000}"/>
    <cellStyle name="40 % - Markeringsfarve2 2 2 5 4 2 2" xfId="30041" xr:uid="{00000000-0005-0000-0000-00003E580000}"/>
    <cellStyle name="40 % - Markeringsfarve2 2 2 5 4 2 3" xfId="45005" xr:uid="{00000000-0005-0000-0000-00003F580000}"/>
    <cellStyle name="40 % - Markeringsfarve2 2 2 5 4 3" xfId="23019" xr:uid="{00000000-0005-0000-0000-000040580000}"/>
    <cellStyle name="40 % - Markeringsfarve2 2 2 5 4 4" xfId="38006" xr:uid="{00000000-0005-0000-0000-000041580000}"/>
    <cellStyle name="40 % - Markeringsfarve2 2 2 5 5" xfId="12002" xr:uid="{00000000-0005-0000-0000-000042580000}"/>
    <cellStyle name="40 % - Markeringsfarve2 2 2 5 5 2" xfId="28321" xr:uid="{00000000-0005-0000-0000-000043580000}"/>
    <cellStyle name="40 % - Markeringsfarve2 2 2 5 5 3" xfId="43286" xr:uid="{00000000-0005-0000-0000-000044580000}"/>
    <cellStyle name="40 % - Markeringsfarve2 2 2 5 6" xfId="21299" xr:uid="{00000000-0005-0000-0000-000045580000}"/>
    <cellStyle name="40 % - Markeringsfarve2 2 2 5 7" xfId="36287" xr:uid="{00000000-0005-0000-0000-000046580000}"/>
    <cellStyle name="40 % - Markeringsfarve2 2 2 6" xfId="3448" xr:uid="{00000000-0005-0000-0000-000047580000}"/>
    <cellStyle name="40 % - Markeringsfarve2 2 2 6 2" xfId="3449" xr:uid="{00000000-0005-0000-0000-000048580000}"/>
    <cellStyle name="40 % - Markeringsfarve2 2 2 6 2 2" xfId="8145" xr:uid="{00000000-0005-0000-0000-000049580000}"/>
    <cellStyle name="40 % - Markeringsfarve2 2 2 6 2 2 2" xfId="16046" xr:uid="{00000000-0005-0000-0000-00004A580000}"/>
    <cellStyle name="40 % - Markeringsfarve2 2 2 6 2 2 2 2" xfId="32360" xr:uid="{00000000-0005-0000-0000-00004B580000}"/>
    <cellStyle name="40 % - Markeringsfarve2 2 2 6 2 2 2 3" xfId="47324" xr:uid="{00000000-0005-0000-0000-00004C580000}"/>
    <cellStyle name="40 % - Markeringsfarve2 2 2 6 2 2 3" xfId="25338" xr:uid="{00000000-0005-0000-0000-00004D580000}"/>
    <cellStyle name="40 % - Markeringsfarve2 2 2 6 2 2 4" xfId="40325" xr:uid="{00000000-0005-0000-0000-00004E580000}"/>
    <cellStyle name="40 % - Markeringsfarve2 2 2 6 2 3" xfId="12006" xr:uid="{00000000-0005-0000-0000-00004F580000}"/>
    <cellStyle name="40 % - Markeringsfarve2 2 2 6 2 3 2" xfId="28325" xr:uid="{00000000-0005-0000-0000-000050580000}"/>
    <cellStyle name="40 % - Markeringsfarve2 2 2 6 2 3 3" xfId="43290" xr:uid="{00000000-0005-0000-0000-000051580000}"/>
    <cellStyle name="40 % - Markeringsfarve2 2 2 6 2 4" xfId="21303" xr:uid="{00000000-0005-0000-0000-000052580000}"/>
    <cellStyle name="40 % - Markeringsfarve2 2 2 6 2 5" xfId="36291" xr:uid="{00000000-0005-0000-0000-000053580000}"/>
    <cellStyle name="40 % - Markeringsfarve2 2 2 6 3" xfId="3450" xr:uid="{00000000-0005-0000-0000-000054580000}"/>
    <cellStyle name="40 % - Markeringsfarve2 2 2 6 3 2" xfId="7422" xr:uid="{00000000-0005-0000-0000-000055580000}"/>
    <cellStyle name="40 % - Markeringsfarve2 2 2 6 3 2 2" xfId="15332" xr:uid="{00000000-0005-0000-0000-000056580000}"/>
    <cellStyle name="40 % - Markeringsfarve2 2 2 6 3 2 2 2" xfId="31646" xr:uid="{00000000-0005-0000-0000-000057580000}"/>
    <cellStyle name="40 % - Markeringsfarve2 2 2 6 3 2 2 3" xfId="46610" xr:uid="{00000000-0005-0000-0000-000058580000}"/>
    <cellStyle name="40 % - Markeringsfarve2 2 2 6 3 2 3" xfId="24624" xr:uid="{00000000-0005-0000-0000-000059580000}"/>
    <cellStyle name="40 % - Markeringsfarve2 2 2 6 3 2 4" xfId="39611" xr:uid="{00000000-0005-0000-0000-00005A580000}"/>
    <cellStyle name="40 % - Markeringsfarve2 2 2 6 3 3" xfId="12007" xr:uid="{00000000-0005-0000-0000-00005B580000}"/>
    <cellStyle name="40 % - Markeringsfarve2 2 2 6 3 3 2" xfId="28326" xr:uid="{00000000-0005-0000-0000-00005C580000}"/>
    <cellStyle name="40 % - Markeringsfarve2 2 2 6 3 3 3" xfId="43291" xr:uid="{00000000-0005-0000-0000-00005D580000}"/>
    <cellStyle name="40 % - Markeringsfarve2 2 2 6 3 4" xfId="21304" xr:uid="{00000000-0005-0000-0000-00005E580000}"/>
    <cellStyle name="40 % - Markeringsfarve2 2 2 6 3 5" xfId="36292" xr:uid="{00000000-0005-0000-0000-00005F580000}"/>
    <cellStyle name="40 % - Markeringsfarve2 2 2 6 4" xfId="5810" xr:uid="{00000000-0005-0000-0000-000060580000}"/>
    <cellStyle name="40 % - Markeringsfarve2 2 2 6 4 2" xfId="13728" xr:uid="{00000000-0005-0000-0000-000061580000}"/>
    <cellStyle name="40 % - Markeringsfarve2 2 2 6 4 2 2" xfId="30042" xr:uid="{00000000-0005-0000-0000-000062580000}"/>
    <cellStyle name="40 % - Markeringsfarve2 2 2 6 4 2 3" xfId="45006" xr:uid="{00000000-0005-0000-0000-000063580000}"/>
    <cellStyle name="40 % - Markeringsfarve2 2 2 6 4 3" xfId="23020" xr:uid="{00000000-0005-0000-0000-000064580000}"/>
    <cellStyle name="40 % - Markeringsfarve2 2 2 6 4 4" xfId="38007" xr:uid="{00000000-0005-0000-0000-000065580000}"/>
    <cellStyle name="40 % - Markeringsfarve2 2 2 6 5" xfId="12005" xr:uid="{00000000-0005-0000-0000-000066580000}"/>
    <cellStyle name="40 % - Markeringsfarve2 2 2 6 5 2" xfId="28324" xr:uid="{00000000-0005-0000-0000-000067580000}"/>
    <cellStyle name="40 % - Markeringsfarve2 2 2 6 5 3" xfId="43289" xr:uid="{00000000-0005-0000-0000-000068580000}"/>
    <cellStyle name="40 % - Markeringsfarve2 2 2 6 6" xfId="21302" xr:uid="{00000000-0005-0000-0000-000069580000}"/>
    <cellStyle name="40 % - Markeringsfarve2 2 2 6 7" xfId="36290" xr:uid="{00000000-0005-0000-0000-00006A580000}"/>
    <cellStyle name="40 % - Markeringsfarve2 2 2 7" xfId="3451" xr:uid="{00000000-0005-0000-0000-00006B580000}"/>
    <cellStyle name="40 % - Markeringsfarve2 2 2 7 2" xfId="7557" xr:uid="{00000000-0005-0000-0000-00006C580000}"/>
    <cellStyle name="40 % - Markeringsfarve2 2 2 7 2 2" xfId="15458" xr:uid="{00000000-0005-0000-0000-00006D580000}"/>
    <cellStyle name="40 % - Markeringsfarve2 2 2 7 2 2 2" xfId="31772" xr:uid="{00000000-0005-0000-0000-00006E580000}"/>
    <cellStyle name="40 % - Markeringsfarve2 2 2 7 2 2 3" xfId="46736" xr:uid="{00000000-0005-0000-0000-00006F580000}"/>
    <cellStyle name="40 % - Markeringsfarve2 2 2 7 2 3" xfId="24750" xr:uid="{00000000-0005-0000-0000-000070580000}"/>
    <cellStyle name="40 % - Markeringsfarve2 2 2 7 2 4" xfId="39737" xr:uid="{00000000-0005-0000-0000-000071580000}"/>
    <cellStyle name="40 % - Markeringsfarve2 2 2 7 3" xfId="12008" xr:uid="{00000000-0005-0000-0000-000072580000}"/>
    <cellStyle name="40 % - Markeringsfarve2 2 2 7 3 2" xfId="28327" xr:uid="{00000000-0005-0000-0000-000073580000}"/>
    <cellStyle name="40 % - Markeringsfarve2 2 2 7 3 3" xfId="43292" xr:uid="{00000000-0005-0000-0000-000074580000}"/>
    <cellStyle name="40 % - Markeringsfarve2 2 2 7 4" xfId="21305" xr:uid="{00000000-0005-0000-0000-000075580000}"/>
    <cellStyle name="40 % - Markeringsfarve2 2 2 7 5" xfId="36293" xr:uid="{00000000-0005-0000-0000-000076580000}"/>
    <cellStyle name="40 % - Markeringsfarve2 2 2 8" xfId="3452" xr:uid="{00000000-0005-0000-0000-000077580000}"/>
    <cellStyle name="40 % - Markeringsfarve2 2 2 8 2" xfId="6785" xr:uid="{00000000-0005-0000-0000-000078580000}"/>
    <cellStyle name="40 % - Markeringsfarve2 2 2 8 2 2" xfId="14696" xr:uid="{00000000-0005-0000-0000-000079580000}"/>
    <cellStyle name="40 % - Markeringsfarve2 2 2 8 2 2 2" xfId="31010" xr:uid="{00000000-0005-0000-0000-00007A580000}"/>
    <cellStyle name="40 % - Markeringsfarve2 2 2 8 2 2 3" xfId="45974" xr:uid="{00000000-0005-0000-0000-00007B580000}"/>
    <cellStyle name="40 % - Markeringsfarve2 2 2 8 2 3" xfId="23988" xr:uid="{00000000-0005-0000-0000-00007C580000}"/>
    <cellStyle name="40 % - Markeringsfarve2 2 2 8 2 4" xfId="38975" xr:uid="{00000000-0005-0000-0000-00007D580000}"/>
    <cellStyle name="40 % - Markeringsfarve2 2 2 8 3" xfId="12009" xr:uid="{00000000-0005-0000-0000-00007E580000}"/>
    <cellStyle name="40 % - Markeringsfarve2 2 2 8 3 2" xfId="28328" xr:uid="{00000000-0005-0000-0000-00007F580000}"/>
    <cellStyle name="40 % - Markeringsfarve2 2 2 8 3 3" xfId="43293" xr:uid="{00000000-0005-0000-0000-000080580000}"/>
    <cellStyle name="40 % - Markeringsfarve2 2 2 8 4" xfId="21306" xr:uid="{00000000-0005-0000-0000-000081580000}"/>
    <cellStyle name="40 % - Markeringsfarve2 2 2 8 5" xfId="36294" xr:uid="{00000000-0005-0000-0000-000082580000}"/>
    <cellStyle name="40 % - Markeringsfarve2 2 2 9" xfId="5805" xr:uid="{00000000-0005-0000-0000-000083580000}"/>
    <cellStyle name="40 % - Markeringsfarve2 2 2 9 2" xfId="13723" xr:uid="{00000000-0005-0000-0000-000084580000}"/>
    <cellStyle name="40 % - Markeringsfarve2 2 2 9 2 2" xfId="30037" xr:uid="{00000000-0005-0000-0000-000085580000}"/>
    <cellStyle name="40 % - Markeringsfarve2 2 2 9 2 3" xfId="45001" xr:uid="{00000000-0005-0000-0000-000086580000}"/>
    <cellStyle name="40 % - Markeringsfarve2 2 2 9 3" xfId="23015" xr:uid="{00000000-0005-0000-0000-000087580000}"/>
    <cellStyle name="40 % - Markeringsfarve2 2 2 9 4" xfId="38002" xr:uid="{00000000-0005-0000-0000-000088580000}"/>
    <cellStyle name="40 % - Markeringsfarve2 2 3" xfId="3453" xr:uid="{00000000-0005-0000-0000-000089580000}"/>
    <cellStyle name="40 % - Markeringsfarve2 2 3 10" xfId="12010" xr:uid="{00000000-0005-0000-0000-00008A580000}"/>
    <cellStyle name="40 % - Markeringsfarve2 2 3 10 2" xfId="28329" xr:uid="{00000000-0005-0000-0000-00008B580000}"/>
    <cellStyle name="40 % - Markeringsfarve2 2 3 10 3" xfId="43294" xr:uid="{00000000-0005-0000-0000-00008C580000}"/>
    <cellStyle name="40 % - Markeringsfarve2 2 3 11" xfId="21307" xr:uid="{00000000-0005-0000-0000-00008D580000}"/>
    <cellStyle name="40 % - Markeringsfarve2 2 3 12" xfId="36295" xr:uid="{00000000-0005-0000-0000-00008E580000}"/>
    <cellStyle name="40 % - Markeringsfarve2 2 3 13" xfId="53331" xr:uid="{00000000-0005-0000-0000-00008F580000}"/>
    <cellStyle name="40 % - Markeringsfarve2 2 3 2" xfId="3454" xr:uid="{00000000-0005-0000-0000-000090580000}"/>
    <cellStyle name="40 % - Markeringsfarve2 2 3 2 2" xfId="3455" xr:uid="{00000000-0005-0000-0000-000091580000}"/>
    <cellStyle name="40 % - Markeringsfarve2 2 3 2 2 2" xfId="7715" xr:uid="{00000000-0005-0000-0000-000092580000}"/>
    <cellStyle name="40 % - Markeringsfarve2 2 3 2 2 2 2" xfId="15616" xr:uid="{00000000-0005-0000-0000-000093580000}"/>
    <cellStyle name="40 % - Markeringsfarve2 2 3 2 2 2 2 2" xfId="31930" xr:uid="{00000000-0005-0000-0000-000094580000}"/>
    <cellStyle name="40 % - Markeringsfarve2 2 3 2 2 2 2 3" xfId="46894" xr:uid="{00000000-0005-0000-0000-000095580000}"/>
    <cellStyle name="40 % - Markeringsfarve2 2 3 2 2 2 3" xfId="24908" xr:uid="{00000000-0005-0000-0000-000096580000}"/>
    <cellStyle name="40 % - Markeringsfarve2 2 3 2 2 2 4" xfId="39895" xr:uid="{00000000-0005-0000-0000-000097580000}"/>
    <cellStyle name="40 % - Markeringsfarve2 2 3 2 2 3" xfId="12012" xr:uid="{00000000-0005-0000-0000-000098580000}"/>
    <cellStyle name="40 % - Markeringsfarve2 2 3 2 2 3 2" xfId="28331" xr:uid="{00000000-0005-0000-0000-000099580000}"/>
    <cellStyle name="40 % - Markeringsfarve2 2 3 2 2 3 3" xfId="43296" xr:uid="{00000000-0005-0000-0000-00009A580000}"/>
    <cellStyle name="40 % - Markeringsfarve2 2 3 2 2 4" xfId="21309" xr:uid="{00000000-0005-0000-0000-00009B580000}"/>
    <cellStyle name="40 % - Markeringsfarve2 2 3 2 2 5" xfId="36297" xr:uid="{00000000-0005-0000-0000-00009C580000}"/>
    <cellStyle name="40 % - Markeringsfarve2 2 3 2 2 6" xfId="57135" xr:uid="{00000000-0005-0000-0000-00009D580000}"/>
    <cellStyle name="40 % - Markeringsfarve2 2 3 2 3" xfId="3456" xr:uid="{00000000-0005-0000-0000-00009E580000}"/>
    <cellStyle name="40 % - Markeringsfarve2 2 3 2 3 2" xfId="6945" xr:uid="{00000000-0005-0000-0000-00009F580000}"/>
    <cellStyle name="40 % - Markeringsfarve2 2 3 2 3 2 2" xfId="14856" xr:uid="{00000000-0005-0000-0000-0000A0580000}"/>
    <cellStyle name="40 % - Markeringsfarve2 2 3 2 3 2 2 2" xfId="31170" xr:uid="{00000000-0005-0000-0000-0000A1580000}"/>
    <cellStyle name="40 % - Markeringsfarve2 2 3 2 3 2 2 3" xfId="46134" xr:uid="{00000000-0005-0000-0000-0000A2580000}"/>
    <cellStyle name="40 % - Markeringsfarve2 2 3 2 3 2 3" xfId="24148" xr:uid="{00000000-0005-0000-0000-0000A3580000}"/>
    <cellStyle name="40 % - Markeringsfarve2 2 3 2 3 2 4" xfId="39135" xr:uid="{00000000-0005-0000-0000-0000A4580000}"/>
    <cellStyle name="40 % - Markeringsfarve2 2 3 2 3 3" xfId="12013" xr:uid="{00000000-0005-0000-0000-0000A5580000}"/>
    <cellStyle name="40 % - Markeringsfarve2 2 3 2 3 3 2" xfId="28332" xr:uid="{00000000-0005-0000-0000-0000A6580000}"/>
    <cellStyle name="40 % - Markeringsfarve2 2 3 2 3 3 3" xfId="43297" xr:uid="{00000000-0005-0000-0000-0000A7580000}"/>
    <cellStyle name="40 % - Markeringsfarve2 2 3 2 3 4" xfId="21310" xr:uid="{00000000-0005-0000-0000-0000A8580000}"/>
    <cellStyle name="40 % - Markeringsfarve2 2 3 2 3 5" xfId="36298" xr:uid="{00000000-0005-0000-0000-0000A9580000}"/>
    <cellStyle name="40 % - Markeringsfarve2 2 3 2 4" xfId="5812" xr:uid="{00000000-0005-0000-0000-0000AA580000}"/>
    <cellStyle name="40 % - Markeringsfarve2 2 3 2 4 2" xfId="13730" xr:uid="{00000000-0005-0000-0000-0000AB580000}"/>
    <cellStyle name="40 % - Markeringsfarve2 2 3 2 4 2 2" xfId="30044" xr:uid="{00000000-0005-0000-0000-0000AC580000}"/>
    <cellStyle name="40 % - Markeringsfarve2 2 3 2 4 2 3" xfId="45008" xr:uid="{00000000-0005-0000-0000-0000AD580000}"/>
    <cellStyle name="40 % - Markeringsfarve2 2 3 2 4 3" xfId="23022" xr:uid="{00000000-0005-0000-0000-0000AE580000}"/>
    <cellStyle name="40 % - Markeringsfarve2 2 3 2 4 4" xfId="38009" xr:uid="{00000000-0005-0000-0000-0000AF580000}"/>
    <cellStyle name="40 % - Markeringsfarve2 2 3 2 5" xfId="12011" xr:uid="{00000000-0005-0000-0000-0000B0580000}"/>
    <cellStyle name="40 % - Markeringsfarve2 2 3 2 5 2" xfId="28330" xr:uid="{00000000-0005-0000-0000-0000B1580000}"/>
    <cellStyle name="40 % - Markeringsfarve2 2 3 2 5 3" xfId="43295" xr:uid="{00000000-0005-0000-0000-0000B2580000}"/>
    <cellStyle name="40 % - Markeringsfarve2 2 3 2 6" xfId="21308" xr:uid="{00000000-0005-0000-0000-0000B3580000}"/>
    <cellStyle name="40 % - Markeringsfarve2 2 3 2 7" xfId="36296" xr:uid="{00000000-0005-0000-0000-0000B4580000}"/>
    <cellStyle name="40 % - Markeringsfarve2 2 3 2 8" xfId="53968" xr:uid="{00000000-0005-0000-0000-0000B5580000}"/>
    <cellStyle name="40 % - Markeringsfarve2 2 3 3" xfId="3457" xr:uid="{00000000-0005-0000-0000-0000B6580000}"/>
    <cellStyle name="40 % - Markeringsfarve2 2 3 3 2" xfId="3458" xr:uid="{00000000-0005-0000-0000-0000B7580000}"/>
    <cellStyle name="40 % - Markeringsfarve2 2 3 3 2 2" xfId="7792" xr:uid="{00000000-0005-0000-0000-0000B8580000}"/>
    <cellStyle name="40 % - Markeringsfarve2 2 3 3 2 2 2" xfId="15693" xr:uid="{00000000-0005-0000-0000-0000B9580000}"/>
    <cellStyle name="40 % - Markeringsfarve2 2 3 3 2 2 2 2" xfId="32007" xr:uid="{00000000-0005-0000-0000-0000BA580000}"/>
    <cellStyle name="40 % - Markeringsfarve2 2 3 3 2 2 2 3" xfId="46971" xr:uid="{00000000-0005-0000-0000-0000BB580000}"/>
    <cellStyle name="40 % - Markeringsfarve2 2 3 3 2 2 3" xfId="24985" xr:uid="{00000000-0005-0000-0000-0000BC580000}"/>
    <cellStyle name="40 % - Markeringsfarve2 2 3 3 2 2 4" xfId="39972" xr:uid="{00000000-0005-0000-0000-0000BD580000}"/>
    <cellStyle name="40 % - Markeringsfarve2 2 3 3 2 3" xfId="12015" xr:uid="{00000000-0005-0000-0000-0000BE580000}"/>
    <cellStyle name="40 % - Markeringsfarve2 2 3 3 2 3 2" xfId="28334" xr:uid="{00000000-0005-0000-0000-0000BF580000}"/>
    <cellStyle name="40 % - Markeringsfarve2 2 3 3 2 3 3" xfId="43299" xr:uid="{00000000-0005-0000-0000-0000C0580000}"/>
    <cellStyle name="40 % - Markeringsfarve2 2 3 3 2 4" xfId="21312" xr:uid="{00000000-0005-0000-0000-0000C1580000}"/>
    <cellStyle name="40 % - Markeringsfarve2 2 3 3 2 5" xfId="36300" xr:uid="{00000000-0005-0000-0000-0000C2580000}"/>
    <cellStyle name="40 % - Markeringsfarve2 2 3 3 3" xfId="3459" xr:uid="{00000000-0005-0000-0000-0000C3580000}"/>
    <cellStyle name="40 % - Markeringsfarve2 2 3 3 3 2" xfId="7022" xr:uid="{00000000-0005-0000-0000-0000C4580000}"/>
    <cellStyle name="40 % - Markeringsfarve2 2 3 3 3 2 2" xfId="14933" xr:uid="{00000000-0005-0000-0000-0000C5580000}"/>
    <cellStyle name="40 % - Markeringsfarve2 2 3 3 3 2 2 2" xfId="31247" xr:uid="{00000000-0005-0000-0000-0000C6580000}"/>
    <cellStyle name="40 % - Markeringsfarve2 2 3 3 3 2 2 3" xfId="46211" xr:uid="{00000000-0005-0000-0000-0000C7580000}"/>
    <cellStyle name="40 % - Markeringsfarve2 2 3 3 3 2 3" xfId="24225" xr:uid="{00000000-0005-0000-0000-0000C8580000}"/>
    <cellStyle name="40 % - Markeringsfarve2 2 3 3 3 2 4" xfId="39212" xr:uid="{00000000-0005-0000-0000-0000C9580000}"/>
    <cellStyle name="40 % - Markeringsfarve2 2 3 3 3 3" xfId="12016" xr:uid="{00000000-0005-0000-0000-0000CA580000}"/>
    <cellStyle name="40 % - Markeringsfarve2 2 3 3 3 3 2" xfId="28335" xr:uid="{00000000-0005-0000-0000-0000CB580000}"/>
    <cellStyle name="40 % - Markeringsfarve2 2 3 3 3 3 3" xfId="43300" xr:uid="{00000000-0005-0000-0000-0000CC580000}"/>
    <cellStyle name="40 % - Markeringsfarve2 2 3 3 3 4" xfId="21313" xr:uid="{00000000-0005-0000-0000-0000CD580000}"/>
    <cellStyle name="40 % - Markeringsfarve2 2 3 3 3 5" xfId="36301" xr:uid="{00000000-0005-0000-0000-0000CE580000}"/>
    <cellStyle name="40 % - Markeringsfarve2 2 3 3 4" xfId="5813" xr:uid="{00000000-0005-0000-0000-0000CF580000}"/>
    <cellStyle name="40 % - Markeringsfarve2 2 3 3 4 2" xfId="13731" xr:uid="{00000000-0005-0000-0000-0000D0580000}"/>
    <cellStyle name="40 % - Markeringsfarve2 2 3 3 4 2 2" xfId="30045" xr:uid="{00000000-0005-0000-0000-0000D1580000}"/>
    <cellStyle name="40 % - Markeringsfarve2 2 3 3 4 2 3" xfId="45009" xr:uid="{00000000-0005-0000-0000-0000D2580000}"/>
    <cellStyle name="40 % - Markeringsfarve2 2 3 3 4 3" xfId="23023" xr:uid="{00000000-0005-0000-0000-0000D3580000}"/>
    <cellStyle name="40 % - Markeringsfarve2 2 3 3 4 4" xfId="38010" xr:uid="{00000000-0005-0000-0000-0000D4580000}"/>
    <cellStyle name="40 % - Markeringsfarve2 2 3 3 5" xfId="12014" xr:uid="{00000000-0005-0000-0000-0000D5580000}"/>
    <cellStyle name="40 % - Markeringsfarve2 2 3 3 5 2" xfId="28333" xr:uid="{00000000-0005-0000-0000-0000D6580000}"/>
    <cellStyle name="40 % - Markeringsfarve2 2 3 3 5 3" xfId="43298" xr:uid="{00000000-0005-0000-0000-0000D7580000}"/>
    <cellStyle name="40 % - Markeringsfarve2 2 3 3 6" xfId="21311" xr:uid="{00000000-0005-0000-0000-0000D8580000}"/>
    <cellStyle name="40 % - Markeringsfarve2 2 3 3 7" xfId="36299" xr:uid="{00000000-0005-0000-0000-0000D9580000}"/>
    <cellStyle name="40 % - Markeringsfarve2 2 3 3 8" xfId="56512" xr:uid="{00000000-0005-0000-0000-0000DA580000}"/>
    <cellStyle name="40 % - Markeringsfarve2 2 3 4" xfId="3460" xr:uid="{00000000-0005-0000-0000-0000DB580000}"/>
    <cellStyle name="40 % - Markeringsfarve2 2 3 4 2" xfId="3461" xr:uid="{00000000-0005-0000-0000-0000DC580000}"/>
    <cellStyle name="40 % - Markeringsfarve2 2 3 4 2 2" xfId="7953" xr:uid="{00000000-0005-0000-0000-0000DD580000}"/>
    <cellStyle name="40 % - Markeringsfarve2 2 3 4 2 2 2" xfId="15854" xr:uid="{00000000-0005-0000-0000-0000DE580000}"/>
    <cellStyle name="40 % - Markeringsfarve2 2 3 4 2 2 2 2" xfId="32168" xr:uid="{00000000-0005-0000-0000-0000DF580000}"/>
    <cellStyle name="40 % - Markeringsfarve2 2 3 4 2 2 2 3" xfId="47132" xr:uid="{00000000-0005-0000-0000-0000E0580000}"/>
    <cellStyle name="40 % - Markeringsfarve2 2 3 4 2 2 3" xfId="25146" xr:uid="{00000000-0005-0000-0000-0000E1580000}"/>
    <cellStyle name="40 % - Markeringsfarve2 2 3 4 2 2 4" xfId="40133" xr:uid="{00000000-0005-0000-0000-0000E2580000}"/>
    <cellStyle name="40 % - Markeringsfarve2 2 3 4 2 3" xfId="12018" xr:uid="{00000000-0005-0000-0000-0000E3580000}"/>
    <cellStyle name="40 % - Markeringsfarve2 2 3 4 2 3 2" xfId="28337" xr:uid="{00000000-0005-0000-0000-0000E4580000}"/>
    <cellStyle name="40 % - Markeringsfarve2 2 3 4 2 3 3" xfId="43302" xr:uid="{00000000-0005-0000-0000-0000E5580000}"/>
    <cellStyle name="40 % - Markeringsfarve2 2 3 4 2 4" xfId="21315" xr:uid="{00000000-0005-0000-0000-0000E6580000}"/>
    <cellStyle name="40 % - Markeringsfarve2 2 3 4 2 5" xfId="36303" xr:uid="{00000000-0005-0000-0000-0000E7580000}"/>
    <cellStyle name="40 % - Markeringsfarve2 2 3 4 3" xfId="3462" xr:uid="{00000000-0005-0000-0000-0000E8580000}"/>
    <cellStyle name="40 % - Markeringsfarve2 2 3 4 3 2" xfId="7229" xr:uid="{00000000-0005-0000-0000-0000E9580000}"/>
    <cellStyle name="40 % - Markeringsfarve2 2 3 4 3 2 2" xfId="15139" xr:uid="{00000000-0005-0000-0000-0000EA580000}"/>
    <cellStyle name="40 % - Markeringsfarve2 2 3 4 3 2 2 2" xfId="31453" xr:uid="{00000000-0005-0000-0000-0000EB580000}"/>
    <cellStyle name="40 % - Markeringsfarve2 2 3 4 3 2 2 3" xfId="46417" xr:uid="{00000000-0005-0000-0000-0000EC580000}"/>
    <cellStyle name="40 % - Markeringsfarve2 2 3 4 3 2 3" xfId="24431" xr:uid="{00000000-0005-0000-0000-0000ED580000}"/>
    <cellStyle name="40 % - Markeringsfarve2 2 3 4 3 2 4" xfId="39418" xr:uid="{00000000-0005-0000-0000-0000EE580000}"/>
    <cellStyle name="40 % - Markeringsfarve2 2 3 4 3 3" xfId="12019" xr:uid="{00000000-0005-0000-0000-0000EF580000}"/>
    <cellStyle name="40 % - Markeringsfarve2 2 3 4 3 3 2" xfId="28338" xr:uid="{00000000-0005-0000-0000-0000F0580000}"/>
    <cellStyle name="40 % - Markeringsfarve2 2 3 4 3 3 3" xfId="43303" xr:uid="{00000000-0005-0000-0000-0000F1580000}"/>
    <cellStyle name="40 % - Markeringsfarve2 2 3 4 3 4" xfId="21316" xr:uid="{00000000-0005-0000-0000-0000F2580000}"/>
    <cellStyle name="40 % - Markeringsfarve2 2 3 4 3 5" xfId="36304" xr:uid="{00000000-0005-0000-0000-0000F3580000}"/>
    <cellStyle name="40 % - Markeringsfarve2 2 3 4 4" xfId="5814" xr:uid="{00000000-0005-0000-0000-0000F4580000}"/>
    <cellStyle name="40 % - Markeringsfarve2 2 3 4 4 2" xfId="13732" xr:uid="{00000000-0005-0000-0000-0000F5580000}"/>
    <cellStyle name="40 % - Markeringsfarve2 2 3 4 4 2 2" xfId="30046" xr:uid="{00000000-0005-0000-0000-0000F6580000}"/>
    <cellStyle name="40 % - Markeringsfarve2 2 3 4 4 2 3" xfId="45010" xr:uid="{00000000-0005-0000-0000-0000F7580000}"/>
    <cellStyle name="40 % - Markeringsfarve2 2 3 4 4 3" xfId="23024" xr:uid="{00000000-0005-0000-0000-0000F8580000}"/>
    <cellStyle name="40 % - Markeringsfarve2 2 3 4 4 4" xfId="38011" xr:uid="{00000000-0005-0000-0000-0000F9580000}"/>
    <cellStyle name="40 % - Markeringsfarve2 2 3 4 5" xfId="12017" xr:uid="{00000000-0005-0000-0000-0000FA580000}"/>
    <cellStyle name="40 % - Markeringsfarve2 2 3 4 5 2" xfId="28336" xr:uid="{00000000-0005-0000-0000-0000FB580000}"/>
    <cellStyle name="40 % - Markeringsfarve2 2 3 4 5 3" xfId="43301" xr:uid="{00000000-0005-0000-0000-0000FC580000}"/>
    <cellStyle name="40 % - Markeringsfarve2 2 3 4 6" xfId="21314" xr:uid="{00000000-0005-0000-0000-0000FD580000}"/>
    <cellStyle name="40 % - Markeringsfarve2 2 3 4 7" xfId="36302" xr:uid="{00000000-0005-0000-0000-0000FE580000}"/>
    <cellStyle name="40 % - Markeringsfarve2 2 3 5" xfId="3463" xr:uid="{00000000-0005-0000-0000-0000FF580000}"/>
    <cellStyle name="40 % - Markeringsfarve2 2 3 5 2" xfId="3464" xr:uid="{00000000-0005-0000-0000-000000590000}"/>
    <cellStyle name="40 % - Markeringsfarve2 2 3 5 2 2" xfId="8070" xr:uid="{00000000-0005-0000-0000-000001590000}"/>
    <cellStyle name="40 % - Markeringsfarve2 2 3 5 2 2 2" xfId="15971" xr:uid="{00000000-0005-0000-0000-000002590000}"/>
    <cellStyle name="40 % - Markeringsfarve2 2 3 5 2 2 2 2" xfId="32285" xr:uid="{00000000-0005-0000-0000-000003590000}"/>
    <cellStyle name="40 % - Markeringsfarve2 2 3 5 2 2 2 3" xfId="47249" xr:uid="{00000000-0005-0000-0000-000004590000}"/>
    <cellStyle name="40 % - Markeringsfarve2 2 3 5 2 2 3" xfId="25263" xr:uid="{00000000-0005-0000-0000-000005590000}"/>
    <cellStyle name="40 % - Markeringsfarve2 2 3 5 2 2 4" xfId="40250" xr:uid="{00000000-0005-0000-0000-000006590000}"/>
    <cellStyle name="40 % - Markeringsfarve2 2 3 5 2 3" xfId="12021" xr:uid="{00000000-0005-0000-0000-000007590000}"/>
    <cellStyle name="40 % - Markeringsfarve2 2 3 5 2 3 2" xfId="28340" xr:uid="{00000000-0005-0000-0000-000008590000}"/>
    <cellStyle name="40 % - Markeringsfarve2 2 3 5 2 3 3" xfId="43305" xr:uid="{00000000-0005-0000-0000-000009590000}"/>
    <cellStyle name="40 % - Markeringsfarve2 2 3 5 2 4" xfId="21318" xr:uid="{00000000-0005-0000-0000-00000A590000}"/>
    <cellStyle name="40 % - Markeringsfarve2 2 3 5 2 5" xfId="36306" xr:uid="{00000000-0005-0000-0000-00000B590000}"/>
    <cellStyle name="40 % - Markeringsfarve2 2 3 5 3" xfId="3465" xr:uid="{00000000-0005-0000-0000-00000C590000}"/>
    <cellStyle name="40 % - Markeringsfarve2 2 3 5 3 2" xfId="7346" xr:uid="{00000000-0005-0000-0000-00000D590000}"/>
    <cellStyle name="40 % - Markeringsfarve2 2 3 5 3 2 2" xfId="15256" xr:uid="{00000000-0005-0000-0000-00000E590000}"/>
    <cellStyle name="40 % - Markeringsfarve2 2 3 5 3 2 2 2" xfId="31570" xr:uid="{00000000-0005-0000-0000-00000F590000}"/>
    <cellStyle name="40 % - Markeringsfarve2 2 3 5 3 2 2 3" xfId="46534" xr:uid="{00000000-0005-0000-0000-000010590000}"/>
    <cellStyle name="40 % - Markeringsfarve2 2 3 5 3 2 3" xfId="24548" xr:uid="{00000000-0005-0000-0000-000011590000}"/>
    <cellStyle name="40 % - Markeringsfarve2 2 3 5 3 2 4" xfId="39535" xr:uid="{00000000-0005-0000-0000-000012590000}"/>
    <cellStyle name="40 % - Markeringsfarve2 2 3 5 3 3" xfId="12022" xr:uid="{00000000-0005-0000-0000-000013590000}"/>
    <cellStyle name="40 % - Markeringsfarve2 2 3 5 3 3 2" xfId="28341" xr:uid="{00000000-0005-0000-0000-000014590000}"/>
    <cellStyle name="40 % - Markeringsfarve2 2 3 5 3 3 3" xfId="43306" xr:uid="{00000000-0005-0000-0000-000015590000}"/>
    <cellStyle name="40 % - Markeringsfarve2 2 3 5 3 4" xfId="21319" xr:uid="{00000000-0005-0000-0000-000016590000}"/>
    <cellStyle name="40 % - Markeringsfarve2 2 3 5 3 5" xfId="36307" xr:uid="{00000000-0005-0000-0000-000017590000}"/>
    <cellStyle name="40 % - Markeringsfarve2 2 3 5 4" xfId="5815" xr:uid="{00000000-0005-0000-0000-000018590000}"/>
    <cellStyle name="40 % - Markeringsfarve2 2 3 5 4 2" xfId="13733" xr:uid="{00000000-0005-0000-0000-000019590000}"/>
    <cellStyle name="40 % - Markeringsfarve2 2 3 5 4 2 2" xfId="30047" xr:uid="{00000000-0005-0000-0000-00001A590000}"/>
    <cellStyle name="40 % - Markeringsfarve2 2 3 5 4 2 3" xfId="45011" xr:uid="{00000000-0005-0000-0000-00001B590000}"/>
    <cellStyle name="40 % - Markeringsfarve2 2 3 5 4 3" xfId="23025" xr:uid="{00000000-0005-0000-0000-00001C590000}"/>
    <cellStyle name="40 % - Markeringsfarve2 2 3 5 4 4" xfId="38012" xr:uid="{00000000-0005-0000-0000-00001D590000}"/>
    <cellStyle name="40 % - Markeringsfarve2 2 3 5 5" xfId="12020" xr:uid="{00000000-0005-0000-0000-00001E590000}"/>
    <cellStyle name="40 % - Markeringsfarve2 2 3 5 5 2" xfId="28339" xr:uid="{00000000-0005-0000-0000-00001F590000}"/>
    <cellStyle name="40 % - Markeringsfarve2 2 3 5 5 3" xfId="43304" xr:uid="{00000000-0005-0000-0000-000020590000}"/>
    <cellStyle name="40 % - Markeringsfarve2 2 3 5 6" xfId="21317" xr:uid="{00000000-0005-0000-0000-000021590000}"/>
    <cellStyle name="40 % - Markeringsfarve2 2 3 5 7" xfId="36305" xr:uid="{00000000-0005-0000-0000-000022590000}"/>
    <cellStyle name="40 % - Markeringsfarve2 2 3 6" xfId="3466" xr:uid="{00000000-0005-0000-0000-000023590000}"/>
    <cellStyle name="40 % - Markeringsfarve2 2 3 6 2" xfId="3467" xr:uid="{00000000-0005-0000-0000-000024590000}"/>
    <cellStyle name="40 % - Markeringsfarve2 2 3 6 2 2" xfId="8146" xr:uid="{00000000-0005-0000-0000-000025590000}"/>
    <cellStyle name="40 % - Markeringsfarve2 2 3 6 2 2 2" xfId="16047" xr:uid="{00000000-0005-0000-0000-000026590000}"/>
    <cellStyle name="40 % - Markeringsfarve2 2 3 6 2 2 2 2" xfId="32361" xr:uid="{00000000-0005-0000-0000-000027590000}"/>
    <cellStyle name="40 % - Markeringsfarve2 2 3 6 2 2 2 3" xfId="47325" xr:uid="{00000000-0005-0000-0000-000028590000}"/>
    <cellStyle name="40 % - Markeringsfarve2 2 3 6 2 2 3" xfId="25339" xr:uid="{00000000-0005-0000-0000-000029590000}"/>
    <cellStyle name="40 % - Markeringsfarve2 2 3 6 2 2 4" xfId="40326" xr:uid="{00000000-0005-0000-0000-00002A590000}"/>
    <cellStyle name="40 % - Markeringsfarve2 2 3 6 2 3" xfId="12024" xr:uid="{00000000-0005-0000-0000-00002B590000}"/>
    <cellStyle name="40 % - Markeringsfarve2 2 3 6 2 3 2" xfId="28343" xr:uid="{00000000-0005-0000-0000-00002C590000}"/>
    <cellStyle name="40 % - Markeringsfarve2 2 3 6 2 3 3" xfId="43308" xr:uid="{00000000-0005-0000-0000-00002D590000}"/>
    <cellStyle name="40 % - Markeringsfarve2 2 3 6 2 4" xfId="21321" xr:uid="{00000000-0005-0000-0000-00002E590000}"/>
    <cellStyle name="40 % - Markeringsfarve2 2 3 6 2 5" xfId="36309" xr:uid="{00000000-0005-0000-0000-00002F590000}"/>
    <cellStyle name="40 % - Markeringsfarve2 2 3 6 3" xfId="3468" xr:uid="{00000000-0005-0000-0000-000030590000}"/>
    <cellStyle name="40 % - Markeringsfarve2 2 3 6 3 2" xfId="7423" xr:uid="{00000000-0005-0000-0000-000031590000}"/>
    <cellStyle name="40 % - Markeringsfarve2 2 3 6 3 2 2" xfId="15333" xr:uid="{00000000-0005-0000-0000-000032590000}"/>
    <cellStyle name="40 % - Markeringsfarve2 2 3 6 3 2 2 2" xfId="31647" xr:uid="{00000000-0005-0000-0000-000033590000}"/>
    <cellStyle name="40 % - Markeringsfarve2 2 3 6 3 2 2 3" xfId="46611" xr:uid="{00000000-0005-0000-0000-000034590000}"/>
    <cellStyle name="40 % - Markeringsfarve2 2 3 6 3 2 3" xfId="24625" xr:uid="{00000000-0005-0000-0000-000035590000}"/>
    <cellStyle name="40 % - Markeringsfarve2 2 3 6 3 2 4" xfId="39612" xr:uid="{00000000-0005-0000-0000-000036590000}"/>
    <cellStyle name="40 % - Markeringsfarve2 2 3 6 3 3" xfId="12025" xr:uid="{00000000-0005-0000-0000-000037590000}"/>
    <cellStyle name="40 % - Markeringsfarve2 2 3 6 3 3 2" xfId="28344" xr:uid="{00000000-0005-0000-0000-000038590000}"/>
    <cellStyle name="40 % - Markeringsfarve2 2 3 6 3 3 3" xfId="43309" xr:uid="{00000000-0005-0000-0000-000039590000}"/>
    <cellStyle name="40 % - Markeringsfarve2 2 3 6 3 4" xfId="21322" xr:uid="{00000000-0005-0000-0000-00003A590000}"/>
    <cellStyle name="40 % - Markeringsfarve2 2 3 6 3 5" xfId="36310" xr:uid="{00000000-0005-0000-0000-00003B590000}"/>
    <cellStyle name="40 % - Markeringsfarve2 2 3 6 4" xfId="5816" xr:uid="{00000000-0005-0000-0000-00003C590000}"/>
    <cellStyle name="40 % - Markeringsfarve2 2 3 6 4 2" xfId="13734" xr:uid="{00000000-0005-0000-0000-00003D590000}"/>
    <cellStyle name="40 % - Markeringsfarve2 2 3 6 4 2 2" xfId="30048" xr:uid="{00000000-0005-0000-0000-00003E590000}"/>
    <cellStyle name="40 % - Markeringsfarve2 2 3 6 4 2 3" xfId="45012" xr:uid="{00000000-0005-0000-0000-00003F590000}"/>
    <cellStyle name="40 % - Markeringsfarve2 2 3 6 4 3" xfId="23026" xr:uid="{00000000-0005-0000-0000-000040590000}"/>
    <cellStyle name="40 % - Markeringsfarve2 2 3 6 4 4" xfId="38013" xr:uid="{00000000-0005-0000-0000-000041590000}"/>
    <cellStyle name="40 % - Markeringsfarve2 2 3 6 5" xfId="12023" xr:uid="{00000000-0005-0000-0000-000042590000}"/>
    <cellStyle name="40 % - Markeringsfarve2 2 3 6 5 2" xfId="28342" xr:uid="{00000000-0005-0000-0000-000043590000}"/>
    <cellStyle name="40 % - Markeringsfarve2 2 3 6 5 3" xfId="43307" xr:uid="{00000000-0005-0000-0000-000044590000}"/>
    <cellStyle name="40 % - Markeringsfarve2 2 3 6 6" xfId="21320" xr:uid="{00000000-0005-0000-0000-000045590000}"/>
    <cellStyle name="40 % - Markeringsfarve2 2 3 6 7" xfId="36308" xr:uid="{00000000-0005-0000-0000-000046590000}"/>
    <cellStyle name="40 % - Markeringsfarve2 2 3 7" xfId="3469" xr:uid="{00000000-0005-0000-0000-000047590000}"/>
    <cellStyle name="40 % - Markeringsfarve2 2 3 7 2" xfId="7596" xr:uid="{00000000-0005-0000-0000-000048590000}"/>
    <cellStyle name="40 % - Markeringsfarve2 2 3 7 2 2" xfId="15497" xr:uid="{00000000-0005-0000-0000-000049590000}"/>
    <cellStyle name="40 % - Markeringsfarve2 2 3 7 2 2 2" xfId="31811" xr:uid="{00000000-0005-0000-0000-00004A590000}"/>
    <cellStyle name="40 % - Markeringsfarve2 2 3 7 2 2 3" xfId="46775" xr:uid="{00000000-0005-0000-0000-00004B590000}"/>
    <cellStyle name="40 % - Markeringsfarve2 2 3 7 2 3" xfId="24789" xr:uid="{00000000-0005-0000-0000-00004C590000}"/>
    <cellStyle name="40 % - Markeringsfarve2 2 3 7 2 4" xfId="39776" xr:uid="{00000000-0005-0000-0000-00004D590000}"/>
    <cellStyle name="40 % - Markeringsfarve2 2 3 7 3" xfId="12026" xr:uid="{00000000-0005-0000-0000-00004E590000}"/>
    <cellStyle name="40 % - Markeringsfarve2 2 3 7 3 2" xfId="28345" xr:uid="{00000000-0005-0000-0000-00004F590000}"/>
    <cellStyle name="40 % - Markeringsfarve2 2 3 7 3 3" xfId="43310" xr:uid="{00000000-0005-0000-0000-000050590000}"/>
    <cellStyle name="40 % - Markeringsfarve2 2 3 7 4" xfId="21323" xr:uid="{00000000-0005-0000-0000-000051590000}"/>
    <cellStyle name="40 % - Markeringsfarve2 2 3 7 5" xfId="36311" xr:uid="{00000000-0005-0000-0000-000052590000}"/>
    <cellStyle name="40 % - Markeringsfarve2 2 3 8" xfId="3470" xr:uid="{00000000-0005-0000-0000-000053590000}"/>
    <cellStyle name="40 % - Markeringsfarve2 2 3 8 2" xfId="6824" xr:uid="{00000000-0005-0000-0000-000054590000}"/>
    <cellStyle name="40 % - Markeringsfarve2 2 3 8 2 2" xfId="14735" xr:uid="{00000000-0005-0000-0000-000055590000}"/>
    <cellStyle name="40 % - Markeringsfarve2 2 3 8 2 2 2" xfId="31049" xr:uid="{00000000-0005-0000-0000-000056590000}"/>
    <cellStyle name="40 % - Markeringsfarve2 2 3 8 2 2 3" xfId="46013" xr:uid="{00000000-0005-0000-0000-000057590000}"/>
    <cellStyle name="40 % - Markeringsfarve2 2 3 8 2 3" xfId="24027" xr:uid="{00000000-0005-0000-0000-000058590000}"/>
    <cellStyle name="40 % - Markeringsfarve2 2 3 8 2 4" xfId="39014" xr:uid="{00000000-0005-0000-0000-000059590000}"/>
    <cellStyle name="40 % - Markeringsfarve2 2 3 8 3" xfId="12027" xr:uid="{00000000-0005-0000-0000-00005A590000}"/>
    <cellStyle name="40 % - Markeringsfarve2 2 3 8 3 2" xfId="28346" xr:uid="{00000000-0005-0000-0000-00005B590000}"/>
    <cellStyle name="40 % - Markeringsfarve2 2 3 8 3 3" xfId="43311" xr:uid="{00000000-0005-0000-0000-00005C590000}"/>
    <cellStyle name="40 % - Markeringsfarve2 2 3 8 4" xfId="21324" xr:uid="{00000000-0005-0000-0000-00005D590000}"/>
    <cellStyle name="40 % - Markeringsfarve2 2 3 8 5" xfId="36312" xr:uid="{00000000-0005-0000-0000-00005E590000}"/>
    <cellStyle name="40 % - Markeringsfarve2 2 3 9" xfId="5811" xr:uid="{00000000-0005-0000-0000-00005F590000}"/>
    <cellStyle name="40 % - Markeringsfarve2 2 3 9 2" xfId="13729" xr:uid="{00000000-0005-0000-0000-000060590000}"/>
    <cellStyle name="40 % - Markeringsfarve2 2 3 9 2 2" xfId="30043" xr:uid="{00000000-0005-0000-0000-000061590000}"/>
    <cellStyle name="40 % - Markeringsfarve2 2 3 9 2 3" xfId="45007" xr:uid="{00000000-0005-0000-0000-000062590000}"/>
    <cellStyle name="40 % - Markeringsfarve2 2 3 9 3" xfId="23021" xr:uid="{00000000-0005-0000-0000-000063590000}"/>
    <cellStyle name="40 % - Markeringsfarve2 2 3 9 4" xfId="38008" xr:uid="{00000000-0005-0000-0000-000064590000}"/>
    <cellStyle name="40 % - Markeringsfarve2 2 4" xfId="3471" xr:uid="{00000000-0005-0000-0000-000065590000}"/>
    <cellStyle name="40 % - Markeringsfarve2 2 4 2" xfId="3472" xr:uid="{00000000-0005-0000-0000-000066590000}"/>
    <cellStyle name="40 % - Markeringsfarve2 2 4 2 2" xfId="7637" xr:uid="{00000000-0005-0000-0000-000067590000}"/>
    <cellStyle name="40 % - Markeringsfarve2 2 4 2 2 2" xfId="15538" xr:uid="{00000000-0005-0000-0000-000068590000}"/>
    <cellStyle name="40 % - Markeringsfarve2 2 4 2 2 2 2" xfId="31852" xr:uid="{00000000-0005-0000-0000-000069590000}"/>
    <cellStyle name="40 % - Markeringsfarve2 2 4 2 2 2 3" xfId="46816" xr:uid="{00000000-0005-0000-0000-00006A590000}"/>
    <cellStyle name="40 % - Markeringsfarve2 2 4 2 2 3" xfId="24830" xr:uid="{00000000-0005-0000-0000-00006B590000}"/>
    <cellStyle name="40 % - Markeringsfarve2 2 4 2 2 4" xfId="39817" xr:uid="{00000000-0005-0000-0000-00006C590000}"/>
    <cellStyle name="40 % - Markeringsfarve2 2 4 2 3" xfId="12029" xr:uid="{00000000-0005-0000-0000-00006D590000}"/>
    <cellStyle name="40 % - Markeringsfarve2 2 4 2 3 2" xfId="28348" xr:uid="{00000000-0005-0000-0000-00006E590000}"/>
    <cellStyle name="40 % - Markeringsfarve2 2 4 2 3 3" xfId="43313" xr:uid="{00000000-0005-0000-0000-00006F590000}"/>
    <cellStyle name="40 % - Markeringsfarve2 2 4 2 4" xfId="21326" xr:uid="{00000000-0005-0000-0000-000070590000}"/>
    <cellStyle name="40 % - Markeringsfarve2 2 4 2 5" xfId="36314" xr:uid="{00000000-0005-0000-0000-000071590000}"/>
    <cellStyle name="40 % - Markeringsfarve2 2 4 2 6" xfId="57137" xr:uid="{00000000-0005-0000-0000-000072590000}"/>
    <cellStyle name="40 % - Markeringsfarve2 2 4 3" xfId="3473" xr:uid="{00000000-0005-0000-0000-000073590000}"/>
    <cellStyle name="40 % - Markeringsfarve2 2 4 3 2" xfId="6867" xr:uid="{00000000-0005-0000-0000-000074590000}"/>
    <cellStyle name="40 % - Markeringsfarve2 2 4 3 2 2" xfId="14778" xr:uid="{00000000-0005-0000-0000-000075590000}"/>
    <cellStyle name="40 % - Markeringsfarve2 2 4 3 2 2 2" xfId="31092" xr:uid="{00000000-0005-0000-0000-000076590000}"/>
    <cellStyle name="40 % - Markeringsfarve2 2 4 3 2 2 3" xfId="46056" xr:uid="{00000000-0005-0000-0000-000077590000}"/>
    <cellStyle name="40 % - Markeringsfarve2 2 4 3 2 3" xfId="24070" xr:uid="{00000000-0005-0000-0000-000078590000}"/>
    <cellStyle name="40 % - Markeringsfarve2 2 4 3 2 4" xfId="39057" xr:uid="{00000000-0005-0000-0000-000079590000}"/>
    <cellStyle name="40 % - Markeringsfarve2 2 4 3 3" xfId="12030" xr:uid="{00000000-0005-0000-0000-00007A590000}"/>
    <cellStyle name="40 % - Markeringsfarve2 2 4 3 3 2" xfId="28349" xr:uid="{00000000-0005-0000-0000-00007B590000}"/>
    <cellStyle name="40 % - Markeringsfarve2 2 4 3 3 3" xfId="43314" xr:uid="{00000000-0005-0000-0000-00007C590000}"/>
    <cellStyle name="40 % - Markeringsfarve2 2 4 3 4" xfId="21327" xr:uid="{00000000-0005-0000-0000-00007D590000}"/>
    <cellStyle name="40 % - Markeringsfarve2 2 4 3 5" xfId="36315" xr:uid="{00000000-0005-0000-0000-00007E590000}"/>
    <cellStyle name="40 % - Markeringsfarve2 2 4 4" xfId="5817" xr:uid="{00000000-0005-0000-0000-00007F590000}"/>
    <cellStyle name="40 % - Markeringsfarve2 2 4 4 2" xfId="13735" xr:uid="{00000000-0005-0000-0000-000080590000}"/>
    <cellStyle name="40 % - Markeringsfarve2 2 4 4 2 2" xfId="30049" xr:uid="{00000000-0005-0000-0000-000081590000}"/>
    <cellStyle name="40 % - Markeringsfarve2 2 4 4 2 3" xfId="45013" xr:uid="{00000000-0005-0000-0000-000082590000}"/>
    <cellStyle name="40 % - Markeringsfarve2 2 4 4 3" xfId="23027" xr:uid="{00000000-0005-0000-0000-000083590000}"/>
    <cellStyle name="40 % - Markeringsfarve2 2 4 4 4" xfId="38014" xr:uid="{00000000-0005-0000-0000-000084590000}"/>
    <cellStyle name="40 % - Markeringsfarve2 2 4 5" xfId="12028" xr:uid="{00000000-0005-0000-0000-000085590000}"/>
    <cellStyle name="40 % - Markeringsfarve2 2 4 5 2" xfId="28347" xr:uid="{00000000-0005-0000-0000-000086590000}"/>
    <cellStyle name="40 % - Markeringsfarve2 2 4 5 3" xfId="43312" xr:uid="{00000000-0005-0000-0000-000087590000}"/>
    <cellStyle name="40 % - Markeringsfarve2 2 4 6" xfId="21325" xr:uid="{00000000-0005-0000-0000-000088590000}"/>
    <cellStyle name="40 % - Markeringsfarve2 2 4 7" xfId="36313" xr:uid="{00000000-0005-0000-0000-000089590000}"/>
    <cellStyle name="40 % - Markeringsfarve2 2 4 8" xfId="53970" xr:uid="{00000000-0005-0000-0000-00008A590000}"/>
    <cellStyle name="40 % - Markeringsfarve2 2 5" xfId="3474" xr:uid="{00000000-0005-0000-0000-00008B590000}"/>
    <cellStyle name="40 % - Markeringsfarve2 2 5 2" xfId="3475" xr:uid="{00000000-0005-0000-0000-00008C590000}"/>
    <cellStyle name="40 % - Markeringsfarve2 2 5 2 2" xfId="7790" xr:uid="{00000000-0005-0000-0000-00008D590000}"/>
    <cellStyle name="40 % - Markeringsfarve2 2 5 2 2 2" xfId="15691" xr:uid="{00000000-0005-0000-0000-00008E590000}"/>
    <cellStyle name="40 % - Markeringsfarve2 2 5 2 2 2 2" xfId="32005" xr:uid="{00000000-0005-0000-0000-00008F590000}"/>
    <cellStyle name="40 % - Markeringsfarve2 2 5 2 2 2 3" xfId="46969" xr:uid="{00000000-0005-0000-0000-000090590000}"/>
    <cellStyle name="40 % - Markeringsfarve2 2 5 2 2 3" xfId="24983" xr:uid="{00000000-0005-0000-0000-000091590000}"/>
    <cellStyle name="40 % - Markeringsfarve2 2 5 2 2 4" xfId="39970" xr:uid="{00000000-0005-0000-0000-000092590000}"/>
    <cellStyle name="40 % - Markeringsfarve2 2 5 2 3" xfId="12032" xr:uid="{00000000-0005-0000-0000-000093590000}"/>
    <cellStyle name="40 % - Markeringsfarve2 2 5 2 3 2" xfId="28351" xr:uid="{00000000-0005-0000-0000-000094590000}"/>
    <cellStyle name="40 % - Markeringsfarve2 2 5 2 3 3" xfId="43316" xr:uid="{00000000-0005-0000-0000-000095590000}"/>
    <cellStyle name="40 % - Markeringsfarve2 2 5 2 4" xfId="21329" xr:uid="{00000000-0005-0000-0000-000096590000}"/>
    <cellStyle name="40 % - Markeringsfarve2 2 5 2 5" xfId="36317" xr:uid="{00000000-0005-0000-0000-000097590000}"/>
    <cellStyle name="40 % - Markeringsfarve2 2 5 3" xfId="3476" xr:uid="{00000000-0005-0000-0000-000098590000}"/>
    <cellStyle name="40 % - Markeringsfarve2 2 5 3 2" xfId="7020" xr:uid="{00000000-0005-0000-0000-000099590000}"/>
    <cellStyle name="40 % - Markeringsfarve2 2 5 3 2 2" xfId="14931" xr:uid="{00000000-0005-0000-0000-00009A590000}"/>
    <cellStyle name="40 % - Markeringsfarve2 2 5 3 2 2 2" xfId="31245" xr:uid="{00000000-0005-0000-0000-00009B590000}"/>
    <cellStyle name="40 % - Markeringsfarve2 2 5 3 2 2 3" xfId="46209" xr:uid="{00000000-0005-0000-0000-00009C590000}"/>
    <cellStyle name="40 % - Markeringsfarve2 2 5 3 2 3" xfId="24223" xr:uid="{00000000-0005-0000-0000-00009D590000}"/>
    <cellStyle name="40 % - Markeringsfarve2 2 5 3 2 4" xfId="39210" xr:uid="{00000000-0005-0000-0000-00009E590000}"/>
    <cellStyle name="40 % - Markeringsfarve2 2 5 3 3" xfId="12033" xr:uid="{00000000-0005-0000-0000-00009F590000}"/>
    <cellStyle name="40 % - Markeringsfarve2 2 5 3 3 2" xfId="28352" xr:uid="{00000000-0005-0000-0000-0000A0590000}"/>
    <cellStyle name="40 % - Markeringsfarve2 2 5 3 3 3" xfId="43317" xr:uid="{00000000-0005-0000-0000-0000A1590000}"/>
    <cellStyle name="40 % - Markeringsfarve2 2 5 3 4" xfId="21330" xr:uid="{00000000-0005-0000-0000-0000A2590000}"/>
    <cellStyle name="40 % - Markeringsfarve2 2 5 3 5" xfId="36318" xr:uid="{00000000-0005-0000-0000-0000A3590000}"/>
    <cellStyle name="40 % - Markeringsfarve2 2 5 4" xfId="5818" xr:uid="{00000000-0005-0000-0000-0000A4590000}"/>
    <cellStyle name="40 % - Markeringsfarve2 2 5 4 2" xfId="13736" xr:uid="{00000000-0005-0000-0000-0000A5590000}"/>
    <cellStyle name="40 % - Markeringsfarve2 2 5 4 2 2" xfId="30050" xr:uid="{00000000-0005-0000-0000-0000A6590000}"/>
    <cellStyle name="40 % - Markeringsfarve2 2 5 4 2 3" xfId="45014" xr:uid="{00000000-0005-0000-0000-0000A7590000}"/>
    <cellStyle name="40 % - Markeringsfarve2 2 5 4 3" xfId="23028" xr:uid="{00000000-0005-0000-0000-0000A8590000}"/>
    <cellStyle name="40 % - Markeringsfarve2 2 5 4 4" xfId="38015" xr:uid="{00000000-0005-0000-0000-0000A9590000}"/>
    <cellStyle name="40 % - Markeringsfarve2 2 5 5" xfId="12031" xr:uid="{00000000-0005-0000-0000-0000AA590000}"/>
    <cellStyle name="40 % - Markeringsfarve2 2 5 5 2" xfId="28350" xr:uid="{00000000-0005-0000-0000-0000AB590000}"/>
    <cellStyle name="40 % - Markeringsfarve2 2 5 5 3" xfId="43315" xr:uid="{00000000-0005-0000-0000-0000AC590000}"/>
    <cellStyle name="40 % - Markeringsfarve2 2 5 6" xfId="21328" xr:uid="{00000000-0005-0000-0000-0000AD590000}"/>
    <cellStyle name="40 % - Markeringsfarve2 2 5 7" xfId="36316" xr:uid="{00000000-0005-0000-0000-0000AE590000}"/>
    <cellStyle name="40 % - Markeringsfarve2 2 5 8" xfId="56514" xr:uid="{00000000-0005-0000-0000-0000AF590000}"/>
    <cellStyle name="40 % - Markeringsfarve2 2 6" xfId="3477" xr:uid="{00000000-0005-0000-0000-0000B0590000}"/>
    <cellStyle name="40 % - Markeringsfarve2 2 6 2" xfId="3478" xr:uid="{00000000-0005-0000-0000-0000B1590000}"/>
    <cellStyle name="40 % - Markeringsfarve2 2 6 2 2" xfId="7875" xr:uid="{00000000-0005-0000-0000-0000B2590000}"/>
    <cellStyle name="40 % - Markeringsfarve2 2 6 2 2 2" xfId="15776" xr:uid="{00000000-0005-0000-0000-0000B3590000}"/>
    <cellStyle name="40 % - Markeringsfarve2 2 6 2 2 2 2" xfId="32090" xr:uid="{00000000-0005-0000-0000-0000B4590000}"/>
    <cellStyle name="40 % - Markeringsfarve2 2 6 2 2 2 3" xfId="47054" xr:uid="{00000000-0005-0000-0000-0000B5590000}"/>
    <cellStyle name="40 % - Markeringsfarve2 2 6 2 2 3" xfId="25068" xr:uid="{00000000-0005-0000-0000-0000B6590000}"/>
    <cellStyle name="40 % - Markeringsfarve2 2 6 2 2 4" xfId="40055" xr:uid="{00000000-0005-0000-0000-0000B7590000}"/>
    <cellStyle name="40 % - Markeringsfarve2 2 6 2 3" xfId="12035" xr:uid="{00000000-0005-0000-0000-0000B8590000}"/>
    <cellStyle name="40 % - Markeringsfarve2 2 6 2 3 2" xfId="28354" xr:uid="{00000000-0005-0000-0000-0000B9590000}"/>
    <cellStyle name="40 % - Markeringsfarve2 2 6 2 3 3" xfId="43319" xr:uid="{00000000-0005-0000-0000-0000BA590000}"/>
    <cellStyle name="40 % - Markeringsfarve2 2 6 2 4" xfId="21332" xr:uid="{00000000-0005-0000-0000-0000BB590000}"/>
    <cellStyle name="40 % - Markeringsfarve2 2 6 2 5" xfId="36320" xr:uid="{00000000-0005-0000-0000-0000BC590000}"/>
    <cellStyle name="40 % - Markeringsfarve2 2 6 3" xfId="3479" xr:uid="{00000000-0005-0000-0000-0000BD590000}"/>
    <cellStyle name="40 % - Markeringsfarve2 2 6 3 2" xfId="7151" xr:uid="{00000000-0005-0000-0000-0000BE590000}"/>
    <cellStyle name="40 % - Markeringsfarve2 2 6 3 2 2" xfId="15061" xr:uid="{00000000-0005-0000-0000-0000BF590000}"/>
    <cellStyle name="40 % - Markeringsfarve2 2 6 3 2 2 2" xfId="31375" xr:uid="{00000000-0005-0000-0000-0000C0590000}"/>
    <cellStyle name="40 % - Markeringsfarve2 2 6 3 2 2 3" xfId="46339" xr:uid="{00000000-0005-0000-0000-0000C1590000}"/>
    <cellStyle name="40 % - Markeringsfarve2 2 6 3 2 3" xfId="24353" xr:uid="{00000000-0005-0000-0000-0000C2590000}"/>
    <cellStyle name="40 % - Markeringsfarve2 2 6 3 2 4" xfId="39340" xr:uid="{00000000-0005-0000-0000-0000C3590000}"/>
    <cellStyle name="40 % - Markeringsfarve2 2 6 3 3" xfId="12036" xr:uid="{00000000-0005-0000-0000-0000C4590000}"/>
    <cellStyle name="40 % - Markeringsfarve2 2 6 3 3 2" xfId="28355" xr:uid="{00000000-0005-0000-0000-0000C5590000}"/>
    <cellStyle name="40 % - Markeringsfarve2 2 6 3 3 3" xfId="43320" xr:uid="{00000000-0005-0000-0000-0000C6590000}"/>
    <cellStyle name="40 % - Markeringsfarve2 2 6 3 4" xfId="21333" xr:uid="{00000000-0005-0000-0000-0000C7590000}"/>
    <cellStyle name="40 % - Markeringsfarve2 2 6 3 5" xfId="36321" xr:uid="{00000000-0005-0000-0000-0000C8590000}"/>
    <cellStyle name="40 % - Markeringsfarve2 2 6 4" xfId="5819" xr:uid="{00000000-0005-0000-0000-0000C9590000}"/>
    <cellStyle name="40 % - Markeringsfarve2 2 6 4 2" xfId="13737" xr:uid="{00000000-0005-0000-0000-0000CA590000}"/>
    <cellStyle name="40 % - Markeringsfarve2 2 6 4 2 2" xfId="30051" xr:uid="{00000000-0005-0000-0000-0000CB590000}"/>
    <cellStyle name="40 % - Markeringsfarve2 2 6 4 2 3" xfId="45015" xr:uid="{00000000-0005-0000-0000-0000CC590000}"/>
    <cellStyle name="40 % - Markeringsfarve2 2 6 4 3" xfId="23029" xr:uid="{00000000-0005-0000-0000-0000CD590000}"/>
    <cellStyle name="40 % - Markeringsfarve2 2 6 4 4" xfId="38016" xr:uid="{00000000-0005-0000-0000-0000CE590000}"/>
    <cellStyle name="40 % - Markeringsfarve2 2 6 5" xfId="12034" xr:uid="{00000000-0005-0000-0000-0000CF590000}"/>
    <cellStyle name="40 % - Markeringsfarve2 2 6 5 2" xfId="28353" xr:uid="{00000000-0005-0000-0000-0000D0590000}"/>
    <cellStyle name="40 % - Markeringsfarve2 2 6 5 3" xfId="43318" xr:uid="{00000000-0005-0000-0000-0000D1590000}"/>
    <cellStyle name="40 % - Markeringsfarve2 2 6 6" xfId="21331" xr:uid="{00000000-0005-0000-0000-0000D2590000}"/>
    <cellStyle name="40 % - Markeringsfarve2 2 6 7" xfId="36319" xr:uid="{00000000-0005-0000-0000-0000D3590000}"/>
    <cellStyle name="40 % - Markeringsfarve2 2 7" xfId="3480" xr:uid="{00000000-0005-0000-0000-0000D4590000}"/>
    <cellStyle name="40 % - Markeringsfarve2 2 7 2" xfId="3481" xr:uid="{00000000-0005-0000-0000-0000D5590000}"/>
    <cellStyle name="40 % - Markeringsfarve2 2 7 2 2" xfId="7992" xr:uid="{00000000-0005-0000-0000-0000D6590000}"/>
    <cellStyle name="40 % - Markeringsfarve2 2 7 2 2 2" xfId="15893" xr:uid="{00000000-0005-0000-0000-0000D7590000}"/>
    <cellStyle name="40 % - Markeringsfarve2 2 7 2 2 2 2" xfId="32207" xr:uid="{00000000-0005-0000-0000-0000D8590000}"/>
    <cellStyle name="40 % - Markeringsfarve2 2 7 2 2 2 3" xfId="47171" xr:uid="{00000000-0005-0000-0000-0000D9590000}"/>
    <cellStyle name="40 % - Markeringsfarve2 2 7 2 2 3" xfId="25185" xr:uid="{00000000-0005-0000-0000-0000DA590000}"/>
    <cellStyle name="40 % - Markeringsfarve2 2 7 2 2 4" xfId="40172" xr:uid="{00000000-0005-0000-0000-0000DB590000}"/>
    <cellStyle name="40 % - Markeringsfarve2 2 7 2 3" xfId="12038" xr:uid="{00000000-0005-0000-0000-0000DC590000}"/>
    <cellStyle name="40 % - Markeringsfarve2 2 7 2 3 2" xfId="28357" xr:uid="{00000000-0005-0000-0000-0000DD590000}"/>
    <cellStyle name="40 % - Markeringsfarve2 2 7 2 3 3" xfId="43322" xr:uid="{00000000-0005-0000-0000-0000DE590000}"/>
    <cellStyle name="40 % - Markeringsfarve2 2 7 2 4" xfId="21335" xr:uid="{00000000-0005-0000-0000-0000DF590000}"/>
    <cellStyle name="40 % - Markeringsfarve2 2 7 2 5" xfId="36323" xr:uid="{00000000-0005-0000-0000-0000E0590000}"/>
    <cellStyle name="40 % - Markeringsfarve2 2 7 3" xfId="3482" xr:uid="{00000000-0005-0000-0000-0000E1590000}"/>
    <cellStyle name="40 % - Markeringsfarve2 2 7 3 2" xfId="7268" xr:uid="{00000000-0005-0000-0000-0000E2590000}"/>
    <cellStyle name="40 % - Markeringsfarve2 2 7 3 2 2" xfId="15178" xr:uid="{00000000-0005-0000-0000-0000E3590000}"/>
    <cellStyle name="40 % - Markeringsfarve2 2 7 3 2 2 2" xfId="31492" xr:uid="{00000000-0005-0000-0000-0000E4590000}"/>
    <cellStyle name="40 % - Markeringsfarve2 2 7 3 2 2 3" xfId="46456" xr:uid="{00000000-0005-0000-0000-0000E5590000}"/>
    <cellStyle name="40 % - Markeringsfarve2 2 7 3 2 3" xfId="24470" xr:uid="{00000000-0005-0000-0000-0000E6590000}"/>
    <cellStyle name="40 % - Markeringsfarve2 2 7 3 2 4" xfId="39457" xr:uid="{00000000-0005-0000-0000-0000E7590000}"/>
    <cellStyle name="40 % - Markeringsfarve2 2 7 3 3" xfId="12039" xr:uid="{00000000-0005-0000-0000-0000E8590000}"/>
    <cellStyle name="40 % - Markeringsfarve2 2 7 3 3 2" xfId="28358" xr:uid="{00000000-0005-0000-0000-0000E9590000}"/>
    <cellStyle name="40 % - Markeringsfarve2 2 7 3 3 3" xfId="43323" xr:uid="{00000000-0005-0000-0000-0000EA590000}"/>
    <cellStyle name="40 % - Markeringsfarve2 2 7 3 4" xfId="21336" xr:uid="{00000000-0005-0000-0000-0000EB590000}"/>
    <cellStyle name="40 % - Markeringsfarve2 2 7 3 5" xfId="36324" xr:uid="{00000000-0005-0000-0000-0000EC590000}"/>
    <cellStyle name="40 % - Markeringsfarve2 2 7 4" xfId="5820" xr:uid="{00000000-0005-0000-0000-0000ED590000}"/>
    <cellStyle name="40 % - Markeringsfarve2 2 7 4 2" xfId="13738" xr:uid="{00000000-0005-0000-0000-0000EE590000}"/>
    <cellStyle name="40 % - Markeringsfarve2 2 7 4 2 2" xfId="30052" xr:uid="{00000000-0005-0000-0000-0000EF590000}"/>
    <cellStyle name="40 % - Markeringsfarve2 2 7 4 2 3" xfId="45016" xr:uid="{00000000-0005-0000-0000-0000F0590000}"/>
    <cellStyle name="40 % - Markeringsfarve2 2 7 4 3" xfId="23030" xr:uid="{00000000-0005-0000-0000-0000F1590000}"/>
    <cellStyle name="40 % - Markeringsfarve2 2 7 4 4" xfId="38017" xr:uid="{00000000-0005-0000-0000-0000F2590000}"/>
    <cellStyle name="40 % - Markeringsfarve2 2 7 5" xfId="12037" xr:uid="{00000000-0005-0000-0000-0000F3590000}"/>
    <cellStyle name="40 % - Markeringsfarve2 2 7 5 2" xfId="28356" xr:uid="{00000000-0005-0000-0000-0000F4590000}"/>
    <cellStyle name="40 % - Markeringsfarve2 2 7 5 3" xfId="43321" xr:uid="{00000000-0005-0000-0000-0000F5590000}"/>
    <cellStyle name="40 % - Markeringsfarve2 2 7 6" xfId="21334" xr:uid="{00000000-0005-0000-0000-0000F6590000}"/>
    <cellStyle name="40 % - Markeringsfarve2 2 7 7" xfId="36322" xr:uid="{00000000-0005-0000-0000-0000F7590000}"/>
    <cellStyle name="40 % - Markeringsfarve2 2 8" xfId="3483" xr:uid="{00000000-0005-0000-0000-0000F8590000}"/>
    <cellStyle name="40 % - Markeringsfarve2 2 8 2" xfId="3484" xr:uid="{00000000-0005-0000-0000-0000F9590000}"/>
    <cellStyle name="40 % - Markeringsfarve2 2 8 2 2" xfId="8144" xr:uid="{00000000-0005-0000-0000-0000FA590000}"/>
    <cellStyle name="40 % - Markeringsfarve2 2 8 2 2 2" xfId="16045" xr:uid="{00000000-0005-0000-0000-0000FB590000}"/>
    <cellStyle name="40 % - Markeringsfarve2 2 8 2 2 2 2" xfId="32359" xr:uid="{00000000-0005-0000-0000-0000FC590000}"/>
    <cellStyle name="40 % - Markeringsfarve2 2 8 2 2 2 3" xfId="47323" xr:uid="{00000000-0005-0000-0000-0000FD590000}"/>
    <cellStyle name="40 % - Markeringsfarve2 2 8 2 2 3" xfId="25337" xr:uid="{00000000-0005-0000-0000-0000FE590000}"/>
    <cellStyle name="40 % - Markeringsfarve2 2 8 2 2 4" xfId="40324" xr:uid="{00000000-0005-0000-0000-0000FF590000}"/>
    <cellStyle name="40 % - Markeringsfarve2 2 8 2 3" xfId="12041" xr:uid="{00000000-0005-0000-0000-0000005A0000}"/>
    <cellStyle name="40 % - Markeringsfarve2 2 8 2 3 2" xfId="28360" xr:uid="{00000000-0005-0000-0000-0000015A0000}"/>
    <cellStyle name="40 % - Markeringsfarve2 2 8 2 3 3" xfId="43325" xr:uid="{00000000-0005-0000-0000-0000025A0000}"/>
    <cellStyle name="40 % - Markeringsfarve2 2 8 2 4" xfId="21338" xr:uid="{00000000-0005-0000-0000-0000035A0000}"/>
    <cellStyle name="40 % - Markeringsfarve2 2 8 2 5" xfId="36326" xr:uid="{00000000-0005-0000-0000-0000045A0000}"/>
    <cellStyle name="40 % - Markeringsfarve2 2 8 3" xfId="3485" xr:uid="{00000000-0005-0000-0000-0000055A0000}"/>
    <cellStyle name="40 % - Markeringsfarve2 2 8 3 2" xfId="7421" xr:uid="{00000000-0005-0000-0000-0000065A0000}"/>
    <cellStyle name="40 % - Markeringsfarve2 2 8 3 2 2" xfId="15331" xr:uid="{00000000-0005-0000-0000-0000075A0000}"/>
    <cellStyle name="40 % - Markeringsfarve2 2 8 3 2 2 2" xfId="31645" xr:uid="{00000000-0005-0000-0000-0000085A0000}"/>
    <cellStyle name="40 % - Markeringsfarve2 2 8 3 2 2 3" xfId="46609" xr:uid="{00000000-0005-0000-0000-0000095A0000}"/>
    <cellStyle name="40 % - Markeringsfarve2 2 8 3 2 3" xfId="24623" xr:uid="{00000000-0005-0000-0000-00000A5A0000}"/>
    <cellStyle name="40 % - Markeringsfarve2 2 8 3 2 4" xfId="39610" xr:uid="{00000000-0005-0000-0000-00000B5A0000}"/>
    <cellStyle name="40 % - Markeringsfarve2 2 8 3 3" xfId="12042" xr:uid="{00000000-0005-0000-0000-00000C5A0000}"/>
    <cellStyle name="40 % - Markeringsfarve2 2 8 3 3 2" xfId="28361" xr:uid="{00000000-0005-0000-0000-00000D5A0000}"/>
    <cellStyle name="40 % - Markeringsfarve2 2 8 3 3 3" xfId="43326" xr:uid="{00000000-0005-0000-0000-00000E5A0000}"/>
    <cellStyle name="40 % - Markeringsfarve2 2 8 3 4" xfId="21339" xr:uid="{00000000-0005-0000-0000-00000F5A0000}"/>
    <cellStyle name="40 % - Markeringsfarve2 2 8 3 5" xfId="36327" xr:uid="{00000000-0005-0000-0000-0000105A0000}"/>
    <cellStyle name="40 % - Markeringsfarve2 2 8 4" xfId="5821" xr:uid="{00000000-0005-0000-0000-0000115A0000}"/>
    <cellStyle name="40 % - Markeringsfarve2 2 8 4 2" xfId="13739" xr:uid="{00000000-0005-0000-0000-0000125A0000}"/>
    <cellStyle name="40 % - Markeringsfarve2 2 8 4 2 2" xfId="30053" xr:uid="{00000000-0005-0000-0000-0000135A0000}"/>
    <cellStyle name="40 % - Markeringsfarve2 2 8 4 2 3" xfId="45017" xr:uid="{00000000-0005-0000-0000-0000145A0000}"/>
    <cellStyle name="40 % - Markeringsfarve2 2 8 4 3" xfId="23031" xr:uid="{00000000-0005-0000-0000-0000155A0000}"/>
    <cellStyle name="40 % - Markeringsfarve2 2 8 4 4" xfId="38018" xr:uid="{00000000-0005-0000-0000-0000165A0000}"/>
    <cellStyle name="40 % - Markeringsfarve2 2 8 5" xfId="12040" xr:uid="{00000000-0005-0000-0000-0000175A0000}"/>
    <cellStyle name="40 % - Markeringsfarve2 2 8 5 2" xfId="28359" xr:uid="{00000000-0005-0000-0000-0000185A0000}"/>
    <cellStyle name="40 % - Markeringsfarve2 2 8 5 3" xfId="43324" xr:uid="{00000000-0005-0000-0000-0000195A0000}"/>
    <cellStyle name="40 % - Markeringsfarve2 2 8 6" xfId="21337" xr:uid="{00000000-0005-0000-0000-00001A5A0000}"/>
    <cellStyle name="40 % - Markeringsfarve2 2 8 7" xfId="36325" xr:uid="{00000000-0005-0000-0000-00001B5A0000}"/>
    <cellStyle name="40 % - Markeringsfarve2 2 9" xfId="3486" xr:uid="{00000000-0005-0000-0000-00001C5A0000}"/>
    <cellStyle name="40 % - Markeringsfarve2 2 9 2" xfId="7518" xr:uid="{00000000-0005-0000-0000-00001D5A0000}"/>
    <cellStyle name="40 % - Markeringsfarve2 2 9 2 2" xfId="15419" xr:uid="{00000000-0005-0000-0000-00001E5A0000}"/>
    <cellStyle name="40 % - Markeringsfarve2 2 9 2 2 2" xfId="31733" xr:uid="{00000000-0005-0000-0000-00001F5A0000}"/>
    <cellStyle name="40 % - Markeringsfarve2 2 9 2 2 3" xfId="46697" xr:uid="{00000000-0005-0000-0000-0000205A0000}"/>
    <cellStyle name="40 % - Markeringsfarve2 2 9 2 3" xfId="24711" xr:uid="{00000000-0005-0000-0000-0000215A0000}"/>
    <cellStyle name="40 % - Markeringsfarve2 2 9 2 4" xfId="39698" xr:uid="{00000000-0005-0000-0000-0000225A0000}"/>
    <cellStyle name="40 % - Markeringsfarve2 2 9 3" xfId="12043" xr:uid="{00000000-0005-0000-0000-0000235A0000}"/>
    <cellStyle name="40 % - Markeringsfarve2 2 9 3 2" xfId="28362" xr:uid="{00000000-0005-0000-0000-0000245A0000}"/>
    <cellStyle name="40 % - Markeringsfarve2 2 9 3 3" xfId="43327" xr:uid="{00000000-0005-0000-0000-0000255A0000}"/>
    <cellStyle name="40 % - Markeringsfarve2 2 9 4" xfId="21340" xr:uid="{00000000-0005-0000-0000-0000265A0000}"/>
    <cellStyle name="40 % - Markeringsfarve2 2 9 5" xfId="36328" xr:uid="{00000000-0005-0000-0000-0000275A0000}"/>
    <cellStyle name="40 % - Markeringsfarve2 3" xfId="3487" xr:uid="{00000000-0005-0000-0000-0000285A0000}"/>
    <cellStyle name="40 % - Markeringsfarve2 3 10" xfId="3488" xr:uid="{00000000-0005-0000-0000-0000295A0000}"/>
    <cellStyle name="40 % - Markeringsfarve2 3 10 2" xfId="6731" xr:uid="{00000000-0005-0000-0000-00002A5A0000}"/>
    <cellStyle name="40 % - Markeringsfarve2 3 10 2 2" xfId="14643" xr:uid="{00000000-0005-0000-0000-00002B5A0000}"/>
    <cellStyle name="40 % - Markeringsfarve2 3 10 2 2 2" xfId="30957" xr:uid="{00000000-0005-0000-0000-00002C5A0000}"/>
    <cellStyle name="40 % - Markeringsfarve2 3 10 2 2 3" xfId="45921" xr:uid="{00000000-0005-0000-0000-00002D5A0000}"/>
    <cellStyle name="40 % - Markeringsfarve2 3 10 2 3" xfId="23935" xr:uid="{00000000-0005-0000-0000-00002E5A0000}"/>
    <cellStyle name="40 % - Markeringsfarve2 3 10 2 4" xfId="38922" xr:uid="{00000000-0005-0000-0000-00002F5A0000}"/>
    <cellStyle name="40 % - Markeringsfarve2 3 10 3" xfId="12045" xr:uid="{00000000-0005-0000-0000-0000305A0000}"/>
    <cellStyle name="40 % - Markeringsfarve2 3 10 3 2" xfId="28364" xr:uid="{00000000-0005-0000-0000-0000315A0000}"/>
    <cellStyle name="40 % - Markeringsfarve2 3 10 3 3" xfId="43329" xr:uid="{00000000-0005-0000-0000-0000325A0000}"/>
    <cellStyle name="40 % - Markeringsfarve2 3 10 4" xfId="21342" xr:uid="{00000000-0005-0000-0000-0000335A0000}"/>
    <cellStyle name="40 % - Markeringsfarve2 3 10 5" xfId="36330" xr:uid="{00000000-0005-0000-0000-0000345A0000}"/>
    <cellStyle name="40 % - Markeringsfarve2 3 11" xfId="5822" xr:uid="{00000000-0005-0000-0000-0000355A0000}"/>
    <cellStyle name="40 % - Markeringsfarve2 3 11 2" xfId="13740" xr:uid="{00000000-0005-0000-0000-0000365A0000}"/>
    <cellStyle name="40 % - Markeringsfarve2 3 11 2 2" xfId="30054" xr:uid="{00000000-0005-0000-0000-0000375A0000}"/>
    <cellStyle name="40 % - Markeringsfarve2 3 11 2 3" xfId="45018" xr:uid="{00000000-0005-0000-0000-0000385A0000}"/>
    <cellStyle name="40 % - Markeringsfarve2 3 11 3" xfId="23032" xr:uid="{00000000-0005-0000-0000-0000395A0000}"/>
    <cellStyle name="40 % - Markeringsfarve2 3 11 4" xfId="38019" xr:uid="{00000000-0005-0000-0000-00003A5A0000}"/>
    <cellStyle name="40 % - Markeringsfarve2 3 12" xfId="12044" xr:uid="{00000000-0005-0000-0000-00003B5A0000}"/>
    <cellStyle name="40 % - Markeringsfarve2 3 12 2" xfId="28363" xr:uid="{00000000-0005-0000-0000-00003C5A0000}"/>
    <cellStyle name="40 % - Markeringsfarve2 3 12 3" xfId="43328" xr:uid="{00000000-0005-0000-0000-00003D5A0000}"/>
    <cellStyle name="40 % - Markeringsfarve2 3 13" xfId="21341" xr:uid="{00000000-0005-0000-0000-00003E5A0000}"/>
    <cellStyle name="40 % - Markeringsfarve2 3 14" xfId="36329" xr:uid="{00000000-0005-0000-0000-00003F5A0000}"/>
    <cellStyle name="40 % - Markeringsfarve2 3 15" xfId="53330" xr:uid="{00000000-0005-0000-0000-0000405A0000}"/>
    <cellStyle name="40 % - Markeringsfarve2 3 2" xfId="3489" xr:uid="{00000000-0005-0000-0000-0000415A0000}"/>
    <cellStyle name="40 % - Markeringsfarve2 3 2 10" xfId="12046" xr:uid="{00000000-0005-0000-0000-0000425A0000}"/>
    <cellStyle name="40 % - Markeringsfarve2 3 2 10 2" xfId="28365" xr:uid="{00000000-0005-0000-0000-0000435A0000}"/>
    <cellStyle name="40 % - Markeringsfarve2 3 2 10 3" xfId="43330" xr:uid="{00000000-0005-0000-0000-0000445A0000}"/>
    <cellStyle name="40 % - Markeringsfarve2 3 2 11" xfId="21343" xr:uid="{00000000-0005-0000-0000-0000455A0000}"/>
    <cellStyle name="40 % - Markeringsfarve2 3 2 12" xfId="36331" xr:uid="{00000000-0005-0000-0000-0000465A0000}"/>
    <cellStyle name="40 % - Markeringsfarve2 3 2 13" xfId="53967" xr:uid="{00000000-0005-0000-0000-0000475A0000}"/>
    <cellStyle name="40 % - Markeringsfarve2 3 2 2" xfId="3490" xr:uid="{00000000-0005-0000-0000-0000485A0000}"/>
    <cellStyle name="40 % - Markeringsfarve2 3 2 2 2" xfId="3491" xr:uid="{00000000-0005-0000-0000-0000495A0000}"/>
    <cellStyle name="40 % - Markeringsfarve2 3 2 2 2 2" xfId="7664" xr:uid="{00000000-0005-0000-0000-00004A5A0000}"/>
    <cellStyle name="40 % - Markeringsfarve2 3 2 2 2 2 2" xfId="15565" xr:uid="{00000000-0005-0000-0000-00004B5A0000}"/>
    <cellStyle name="40 % - Markeringsfarve2 3 2 2 2 2 2 2" xfId="31879" xr:uid="{00000000-0005-0000-0000-00004C5A0000}"/>
    <cellStyle name="40 % - Markeringsfarve2 3 2 2 2 2 2 3" xfId="46843" xr:uid="{00000000-0005-0000-0000-00004D5A0000}"/>
    <cellStyle name="40 % - Markeringsfarve2 3 2 2 2 2 3" xfId="24857" xr:uid="{00000000-0005-0000-0000-00004E5A0000}"/>
    <cellStyle name="40 % - Markeringsfarve2 3 2 2 2 2 4" xfId="39844" xr:uid="{00000000-0005-0000-0000-00004F5A0000}"/>
    <cellStyle name="40 % - Markeringsfarve2 3 2 2 2 3" xfId="12048" xr:uid="{00000000-0005-0000-0000-0000505A0000}"/>
    <cellStyle name="40 % - Markeringsfarve2 3 2 2 2 3 2" xfId="28367" xr:uid="{00000000-0005-0000-0000-0000515A0000}"/>
    <cellStyle name="40 % - Markeringsfarve2 3 2 2 2 3 3" xfId="43332" xr:uid="{00000000-0005-0000-0000-0000525A0000}"/>
    <cellStyle name="40 % - Markeringsfarve2 3 2 2 2 4" xfId="21345" xr:uid="{00000000-0005-0000-0000-0000535A0000}"/>
    <cellStyle name="40 % - Markeringsfarve2 3 2 2 2 5" xfId="36333" xr:uid="{00000000-0005-0000-0000-0000545A0000}"/>
    <cellStyle name="40 % - Markeringsfarve2 3 2 2 3" xfId="3492" xr:uid="{00000000-0005-0000-0000-0000555A0000}"/>
    <cellStyle name="40 % - Markeringsfarve2 3 2 2 3 2" xfId="6894" xr:uid="{00000000-0005-0000-0000-0000565A0000}"/>
    <cellStyle name="40 % - Markeringsfarve2 3 2 2 3 2 2" xfId="14805" xr:uid="{00000000-0005-0000-0000-0000575A0000}"/>
    <cellStyle name="40 % - Markeringsfarve2 3 2 2 3 2 2 2" xfId="31119" xr:uid="{00000000-0005-0000-0000-0000585A0000}"/>
    <cellStyle name="40 % - Markeringsfarve2 3 2 2 3 2 2 3" xfId="46083" xr:uid="{00000000-0005-0000-0000-0000595A0000}"/>
    <cellStyle name="40 % - Markeringsfarve2 3 2 2 3 2 3" xfId="24097" xr:uid="{00000000-0005-0000-0000-00005A5A0000}"/>
    <cellStyle name="40 % - Markeringsfarve2 3 2 2 3 2 4" xfId="39084" xr:uid="{00000000-0005-0000-0000-00005B5A0000}"/>
    <cellStyle name="40 % - Markeringsfarve2 3 2 2 3 3" xfId="12049" xr:uid="{00000000-0005-0000-0000-00005C5A0000}"/>
    <cellStyle name="40 % - Markeringsfarve2 3 2 2 3 3 2" xfId="28368" xr:uid="{00000000-0005-0000-0000-00005D5A0000}"/>
    <cellStyle name="40 % - Markeringsfarve2 3 2 2 3 3 3" xfId="43333" xr:uid="{00000000-0005-0000-0000-00005E5A0000}"/>
    <cellStyle name="40 % - Markeringsfarve2 3 2 2 3 4" xfId="21346" xr:uid="{00000000-0005-0000-0000-00005F5A0000}"/>
    <cellStyle name="40 % - Markeringsfarve2 3 2 2 3 5" xfId="36334" xr:uid="{00000000-0005-0000-0000-0000605A0000}"/>
    <cellStyle name="40 % - Markeringsfarve2 3 2 2 4" xfId="5824" xr:uid="{00000000-0005-0000-0000-0000615A0000}"/>
    <cellStyle name="40 % - Markeringsfarve2 3 2 2 4 2" xfId="13742" xr:uid="{00000000-0005-0000-0000-0000625A0000}"/>
    <cellStyle name="40 % - Markeringsfarve2 3 2 2 4 2 2" xfId="30056" xr:uid="{00000000-0005-0000-0000-0000635A0000}"/>
    <cellStyle name="40 % - Markeringsfarve2 3 2 2 4 2 3" xfId="45020" xr:uid="{00000000-0005-0000-0000-0000645A0000}"/>
    <cellStyle name="40 % - Markeringsfarve2 3 2 2 4 3" xfId="23034" xr:uid="{00000000-0005-0000-0000-0000655A0000}"/>
    <cellStyle name="40 % - Markeringsfarve2 3 2 2 4 4" xfId="38021" xr:uid="{00000000-0005-0000-0000-0000665A0000}"/>
    <cellStyle name="40 % - Markeringsfarve2 3 2 2 5" xfId="12047" xr:uid="{00000000-0005-0000-0000-0000675A0000}"/>
    <cellStyle name="40 % - Markeringsfarve2 3 2 2 5 2" xfId="28366" xr:uid="{00000000-0005-0000-0000-0000685A0000}"/>
    <cellStyle name="40 % - Markeringsfarve2 3 2 2 5 3" xfId="43331" xr:uid="{00000000-0005-0000-0000-0000695A0000}"/>
    <cellStyle name="40 % - Markeringsfarve2 3 2 2 6" xfId="21344" xr:uid="{00000000-0005-0000-0000-00006A5A0000}"/>
    <cellStyle name="40 % - Markeringsfarve2 3 2 2 7" xfId="36332" xr:uid="{00000000-0005-0000-0000-00006B5A0000}"/>
    <cellStyle name="40 % - Markeringsfarve2 3 2 2 8" xfId="57134" xr:uid="{00000000-0005-0000-0000-00006C5A0000}"/>
    <cellStyle name="40 % - Markeringsfarve2 3 2 3" xfId="3493" xr:uid="{00000000-0005-0000-0000-00006D5A0000}"/>
    <cellStyle name="40 % - Markeringsfarve2 3 2 3 2" xfId="3494" xr:uid="{00000000-0005-0000-0000-00006E5A0000}"/>
    <cellStyle name="40 % - Markeringsfarve2 3 2 3 2 2" xfId="7794" xr:uid="{00000000-0005-0000-0000-00006F5A0000}"/>
    <cellStyle name="40 % - Markeringsfarve2 3 2 3 2 2 2" xfId="15695" xr:uid="{00000000-0005-0000-0000-0000705A0000}"/>
    <cellStyle name="40 % - Markeringsfarve2 3 2 3 2 2 2 2" xfId="32009" xr:uid="{00000000-0005-0000-0000-0000715A0000}"/>
    <cellStyle name="40 % - Markeringsfarve2 3 2 3 2 2 2 3" xfId="46973" xr:uid="{00000000-0005-0000-0000-0000725A0000}"/>
    <cellStyle name="40 % - Markeringsfarve2 3 2 3 2 2 3" xfId="24987" xr:uid="{00000000-0005-0000-0000-0000735A0000}"/>
    <cellStyle name="40 % - Markeringsfarve2 3 2 3 2 2 4" xfId="39974" xr:uid="{00000000-0005-0000-0000-0000745A0000}"/>
    <cellStyle name="40 % - Markeringsfarve2 3 2 3 2 3" xfId="12051" xr:uid="{00000000-0005-0000-0000-0000755A0000}"/>
    <cellStyle name="40 % - Markeringsfarve2 3 2 3 2 3 2" xfId="28370" xr:uid="{00000000-0005-0000-0000-0000765A0000}"/>
    <cellStyle name="40 % - Markeringsfarve2 3 2 3 2 3 3" xfId="43335" xr:uid="{00000000-0005-0000-0000-0000775A0000}"/>
    <cellStyle name="40 % - Markeringsfarve2 3 2 3 2 4" xfId="21348" xr:uid="{00000000-0005-0000-0000-0000785A0000}"/>
    <cellStyle name="40 % - Markeringsfarve2 3 2 3 2 5" xfId="36336" xr:uid="{00000000-0005-0000-0000-0000795A0000}"/>
    <cellStyle name="40 % - Markeringsfarve2 3 2 3 3" xfId="3495" xr:uid="{00000000-0005-0000-0000-00007A5A0000}"/>
    <cellStyle name="40 % - Markeringsfarve2 3 2 3 3 2" xfId="7024" xr:uid="{00000000-0005-0000-0000-00007B5A0000}"/>
    <cellStyle name="40 % - Markeringsfarve2 3 2 3 3 2 2" xfId="14935" xr:uid="{00000000-0005-0000-0000-00007C5A0000}"/>
    <cellStyle name="40 % - Markeringsfarve2 3 2 3 3 2 2 2" xfId="31249" xr:uid="{00000000-0005-0000-0000-00007D5A0000}"/>
    <cellStyle name="40 % - Markeringsfarve2 3 2 3 3 2 2 3" xfId="46213" xr:uid="{00000000-0005-0000-0000-00007E5A0000}"/>
    <cellStyle name="40 % - Markeringsfarve2 3 2 3 3 2 3" xfId="24227" xr:uid="{00000000-0005-0000-0000-00007F5A0000}"/>
    <cellStyle name="40 % - Markeringsfarve2 3 2 3 3 2 4" xfId="39214" xr:uid="{00000000-0005-0000-0000-0000805A0000}"/>
    <cellStyle name="40 % - Markeringsfarve2 3 2 3 3 3" xfId="12052" xr:uid="{00000000-0005-0000-0000-0000815A0000}"/>
    <cellStyle name="40 % - Markeringsfarve2 3 2 3 3 3 2" xfId="28371" xr:uid="{00000000-0005-0000-0000-0000825A0000}"/>
    <cellStyle name="40 % - Markeringsfarve2 3 2 3 3 3 3" xfId="43336" xr:uid="{00000000-0005-0000-0000-0000835A0000}"/>
    <cellStyle name="40 % - Markeringsfarve2 3 2 3 3 4" xfId="21349" xr:uid="{00000000-0005-0000-0000-0000845A0000}"/>
    <cellStyle name="40 % - Markeringsfarve2 3 2 3 3 5" xfId="36337" xr:uid="{00000000-0005-0000-0000-0000855A0000}"/>
    <cellStyle name="40 % - Markeringsfarve2 3 2 3 4" xfId="5825" xr:uid="{00000000-0005-0000-0000-0000865A0000}"/>
    <cellStyle name="40 % - Markeringsfarve2 3 2 3 4 2" xfId="13743" xr:uid="{00000000-0005-0000-0000-0000875A0000}"/>
    <cellStyle name="40 % - Markeringsfarve2 3 2 3 4 2 2" xfId="30057" xr:uid="{00000000-0005-0000-0000-0000885A0000}"/>
    <cellStyle name="40 % - Markeringsfarve2 3 2 3 4 2 3" xfId="45021" xr:uid="{00000000-0005-0000-0000-0000895A0000}"/>
    <cellStyle name="40 % - Markeringsfarve2 3 2 3 4 3" xfId="23035" xr:uid="{00000000-0005-0000-0000-00008A5A0000}"/>
    <cellStyle name="40 % - Markeringsfarve2 3 2 3 4 4" xfId="38022" xr:uid="{00000000-0005-0000-0000-00008B5A0000}"/>
    <cellStyle name="40 % - Markeringsfarve2 3 2 3 5" xfId="12050" xr:uid="{00000000-0005-0000-0000-00008C5A0000}"/>
    <cellStyle name="40 % - Markeringsfarve2 3 2 3 5 2" xfId="28369" xr:uid="{00000000-0005-0000-0000-00008D5A0000}"/>
    <cellStyle name="40 % - Markeringsfarve2 3 2 3 5 3" xfId="43334" xr:uid="{00000000-0005-0000-0000-00008E5A0000}"/>
    <cellStyle name="40 % - Markeringsfarve2 3 2 3 6" xfId="21347" xr:uid="{00000000-0005-0000-0000-00008F5A0000}"/>
    <cellStyle name="40 % - Markeringsfarve2 3 2 3 7" xfId="36335" xr:uid="{00000000-0005-0000-0000-0000905A0000}"/>
    <cellStyle name="40 % - Markeringsfarve2 3 2 4" xfId="3496" xr:uid="{00000000-0005-0000-0000-0000915A0000}"/>
    <cellStyle name="40 % - Markeringsfarve2 3 2 4 2" xfId="3497" xr:uid="{00000000-0005-0000-0000-0000925A0000}"/>
    <cellStyle name="40 % - Markeringsfarve2 3 2 4 2 2" xfId="7902" xr:uid="{00000000-0005-0000-0000-0000935A0000}"/>
    <cellStyle name="40 % - Markeringsfarve2 3 2 4 2 2 2" xfId="15803" xr:uid="{00000000-0005-0000-0000-0000945A0000}"/>
    <cellStyle name="40 % - Markeringsfarve2 3 2 4 2 2 2 2" xfId="32117" xr:uid="{00000000-0005-0000-0000-0000955A0000}"/>
    <cellStyle name="40 % - Markeringsfarve2 3 2 4 2 2 2 3" xfId="47081" xr:uid="{00000000-0005-0000-0000-0000965A0000}"/>
    <cellStyle name="40 % - Markeringsfarve2 3 2 4 2 2 3" xfId="25095" xr:uid="{00000000-0005-0000-0000-0000975A0000}"/>
    <cellStyle name="40 % - Markeringsfarve2 3 2 4 2 2 4" xfId="40082" xr:uid="{00000000-0005-0000-0000-0000985A0000}"/>
    <cellStyle name="40 % - Markeringsfarve2 3 2 4 2 3" xfId="12054" xr:uid="{00000000-0005-0000-0000-0000995A0000}"/>
    <cellStyle name="40 % - Markeringsfarve2 3 2 4 2 3 2" xfId="28373" xr:uid="{00000000-0005-0000-0000-00009A5A0000}"/>
    <cellStyle name="40 % - Markeringsfarve2 3 2 4 2 3 3" xfId="43338" xr:uid="{00000000-0005-0000-0000-00009B5A0000}"/>
    <cellStyle name="40 % - Markeringsfarve2 3 2 4 2 4" xfId="21351" xr:uid="{00000000-0005-0000-0000-00009C5A0000}"/>
    <cellStyle name="40 % - Markeringsfarve2 3 2 4 2 5" xfId="36339" xr:uid="{00000000-0005-0000-0000-00009D5A0000}"/>
    <cellStyle name="40 % - Markeringsfarve2 3 2 4 3" xfId="3498" xr:uid="{00000000-0005-0000-0000-00009E5A0000}"/>
    <cellStyle name="40 % - Markeringsfarve2 3 2 4 3 2" xfId="7178" xr:uid="{00000000-0005-0000-0000-00009F5A0000}"/>
    <cellStyle name="40 % - Markeringsfarve2 3 2 4 3 2 2" xfId="15088" xr:uid="{00000000-0005-0000-0000-0000A05A0000}"/>
    <cellStyle name="40 % - Markeringsfarve2 3 2 4 3 2 2 2" xfId="31402" xr:uid="{00000000-0005-0000-0000-0000A15A0000}"/>
    <cellStyle name="40 % - Markeringsfarve2 3 2 4 3 2 2 3" xfId="46366" xr:uid="{00000000-0005-0000-0000-0000A25A0000}"/>
    <cellStyle name="40 % - Markeringsfarve2 3 2 4 3 2 3" xfId="24380" xr:uid="{00000000-0005-0000-0000-0000A35A0000}"/>
    <cellStyle name="40 % - Markeringsfarve2 3 2 4 3 2 4" xfId="39367" xr:uid="{00000000-0005-0000-0000-0000A45A0000}"/>
    <cellStyle name="40 % - Markeringsfarve2 3 2 4 3 3" xfId="12055" xr:uid="{00000000-0005-0000-0000-0000A55A0000}"/>
    <cellStyle name="40 % - Markeringsfarve2 3 2 4 3 3 2" xfId="28374" xr:uid="{00000000-0005-0000-0000-0000A65A0000}"/>
    <cellStyle name="40 % - Markeringsfarve2 3 2 4 3 3 3" xfId="43339" xr:uid="{00000000-0005-0000-0000-0000A75A0000}"/>
    <cellStyle name="40 % - Markeringsfarve2 3 2 4 3 4" xfId="21352" xr:uid="{00000000-0005-0000-0000-0000A85A0000}"/>
    <cellStyle name="40 % - Markeringsfarve2 3 2 4 3 5" xfId="36340" xr:uid="{00000000-0005-0000-0000-0000A95A0000}"/>
    <cellStyle name="40 % - Markeringsfarve2 3 2 4 4" xfId="5826" xr:uid="{00000000-0005-0000-0000-0000AA5A0000}"/>
    <cellStyle name="40 % - Markeringsfarve2 3 2 4 4 2" xfId="13744" xr:uid="{00000000-0005-0000-0000-0000AB5A0000}"/>
    <cellStyle name="40 % - Markeringsfarve2 3 2 4 4 2 2" xfId="30058" xr:uid="{00000000-0005-0000-0000-0000AC5A0000}"/>
    <cellStyle name="40 % - Markeringsfarve2 3 2 4 4 2 3" xfId="45022" xr:uid="{00000000-0005-0000-0000-0000AD5A0000}"/>
    <cellStyle name="40 % - Markeringsfarve2 3 2 4 4 3" xfId="23036" xr:uid="{00000000-0005-0000-0000-0000AE5A0000}"/>
    <cellStyle name="40 % - Markeringsfarve2 3 2 4 4 4" xfId="38023" xr:uid="{00000000-0005-0000-0000-0000AF5A0000}"/>
    <cellStyle name="40 % - Markeringsfarve2 3 2 4 5" xfId="12053" xr:uid="{00000000-0005-0000-0000-0000B05A0000}"/>
    <cellStyle name="40 % - Markeringsfarve2 3 2 4 5 2" xfId="28372" xr:uid="{00000000-0005-0000-0000-0000B15A0000}"/>
    <cellStyle name="40 % - Markeringsfarve2 3 2 4 5 3" xfId="43337" xr:uid="{00000000-0005-0000-0000-0000B25A0000}"/>
    <cellStyle name="40 % - Markeringsfarve2 3 2 4 6" xfId="21350" xr:uid="{00000000-0005-0000-0000-0000B35A0000}"/>
    <cellStyle name="40 % - Markeringsfarve2 3 2 4 7" xfId="36338" xr:uid="{00000000-0005-0000-0000-0000B45A0000}"/>
    <cellStyle name="40 % - Markeringsfarve2 3 2 5" xfId="3499" xr:uid="{00000000-0005-0000-0000-0000B55A0000}"/>
    <cellStyle name="40 % - Markeringsfarve2 3 2 5 2" xfId="3500" xr:uid="{00000000-0005-0000-0000-0000B65A0000}"/>
    <cellStyle name="40 % - Markeringsfarve2 3 2 5 2 2" xfId="8019" xr:uid="{00000000-0005-0000-0000-0000B75A0000}"/>
    <cellStyle name="40 % - Markeringsfarve2 3 2 5 2 2 2" xfId="15920" xr:uid="{00000000-0005-0000-0000-0000B85A0000}"/>
    <cellStyle name="40 % - Markeringsfarve2 3 2 5 2 2 2 2" xfId="32234" xr:uid="{00000000-0005-0000-0000-0000B95A0000}"/>
    <cellStyle name="40 % - Markeringsfarve2 3 2 5 2 2 2 3" xfId="47198" xr:uid="{00000000-0005-0000-0000-0000BA5A0000}"/>
    <cellStyle name="40 % - Markeringsfarve2 3 2 5 2 2 3" xfId="25212" xr:uid="{00000000-0005-0000-0000-0000BB5A0000}"/>
    <cellStyle name="40 % - Markeringsfarve2 3 2 5 2 2 4" xfId="40199" xr:uid="{00000000-0005-0000-0000-0000BC5A0000}"/>
    <cellStyle name="40 % - Markeringsfarve2 3 2 5 2 3" xfId="12057" xr:uid="{00000000-0005-0000-0000-0000BD5A0000}"/>
    <cellStyle name="40 % - Markeringsfarve2 3 2 5 2 3 2" xfId="28376" xr:uid="{00000000-0005-0000-0000-0000BE5A0000}"/>
    <cellStyle name="40 % - Markeringsfarve2 3 2 5 2 3 3" xfId="43341" xr:uid="{00000000-0005-0000-0000-0000BF5A0000}"/>
    <cellStyle name="40 % - Markeringsfarve2 3 2 5 2 4" xfId="21354" xr:uid="{00000000-0005-0000-0000-0000C05A0000}"/>
    <cellStyle name="40 % - Markeringsfarve2 3 2 5 2 5" xfId="36342" xr:uid="{00000000-0005-0000-0000-0000C15A0000}"/>
    <cellStyle name="40 % - Markeringsfarve2 3 2 5 3" xfId="3501" xr:uid="{00000000-0005-0000-0000-0000C25A0000}"/>
    <cellStyle name="40 % - Markeringsfarve2 3 2 5 3 2" xfId="7295" xr:uid="{00000000-0005-0000-0000-0000C35A0000}"/>
    <cellStyle name="40 % - Markeringsfarve2 3 2 5 3 2 2" xfId="15205" xr:uid="{00000000-0005-0000-0000-0000C45A0000}"/>
    <cellStyle name="40 % - Markeringsfarve2 3 2 5 3 2 2 2" xfId="31519" xr:uid="{00000000-0005-0000-0000-0000C55A0000}"/>
    <cellStyle name="40 % - Markeringsfarve2 3 2 5 3 2 2 3" xfId="46483" xr:uid="{00000000-0005-0000-0000-0000C65A0000}"/>
    <cellStyle name="40 % - Markeringsfarve2 3 2 5 3 2 3" xfId="24497" xr:uid="{00000000-0005-0000-0000-0000C75A0000}"/>
    <cellStyle name="40 % - Markeringsfarve2 3 2 5 3 2 4" xfId="39484" xr:uid="{00000000-0005-0000-0000-0000C85A0000}"/>
    <cellStyle name="40 % - Markeringsfarve2 3 2 5 3 3" xfId="12058" xr:uid="{00000000-0005-0000-0000-0000C95A0000}"/>
    <cellStyle name="40 % - Markeringsfarve2 3 2 5 3 3 2" xfId="28377" xr:uid="{00000000-0005-0000-0000-0000CA5A0000}"/>
    <cellStyle name="40 % - Markeringsfarve2 3 2 5 3 3 3" xfId="43342" xr:uid="{00000000-0005-0000-0000-0000CB5A0000}"/>
    <cellStyle name="40 % - Markeringsfarve2 3 2 5 3 4" xfId="21355" xr:uid="{00000000-0005-0000-0000-0000CC5A0000}"/>
    <cellStyle name="40 % - Markeringsfarve2 3 2 5 3 5" xfId="36343" xr:uid="{00000000-0005-0000-0000-0000CD5A0000}"/>
    <cellStyle name="40 % - Markeringsfarve2 3 2 5 4" xfId="5827" xr:uid="{00000000-0005-0000-0000-0000CE5A0000}"/>
    <cellStyle name="40 % - Markeringsfarve2 3 2 5 4 2" xfId="13745" xr:uid="{00000000-0005-0000-0000-0000CF5A0000}"/>
    <cellStyle name="40 % - Markeringsfarve2 3 2 5 4 2 2" xfId="30059" xr:uid="{00000000-0005-0000-0000-0000D05A0000}"/>
    <cellStyle name="40 % - Markeringsfarve2 3 2 5 4 2 3" xfId="45023" xr:uid="{00000000-0005-0000-0000-0000D15A0000}"/>
    <cellStyle name="40 % - Markeringsfarve2 3 2 5 4 3" xfId="23037" xr:uid="{00000000-0005-0000-0000-0000D25A0000}"/>
    <cellStyle name="40 % - Markeringsfarve2 3 2 5 4 4" xfId="38024" xr:uid="{00000000-0005-0000-0000-0000D35A0000}"/>
    <cellStyle name="40 % - Markeringsfarve2 3 2 5 5" xfId="12056" xr:uid="{00000000-0005-0000-0000-0000D45A0000}"/>
    <cellStyle name="40 % - Markeringsfarve2 3 2 5 5 2" xfId="28375" xr:uid="{00000000-0005-0000-0000-0000D55A0000}"/>
    <cellStyle name="40 % - Markeringsfarve2 3 2 5 5 3" xfId="43340" xr:uid="{00000000-0005-0000-0000-0000D65A0000}"/>
    <cellStyle name="40 % - Markeringsfarve2 3 2 5 6" xfId="21353" xr:uid="{00000000-0005-0000-0000-0000D75A0000}"/>
    <cellStyle name="40 % - Markeringsfarve2 3 2 5 7" xfId="36341" xr:uid="{00000000-0005-0000-0000-0000D85A0000}"/>
    <cellStyle name="40 % - Markeringsfarve2 3 2 6" xfId="3502" xr:uid="{00000000-0005-0000-0000-0000D95A0000}"/>
    <cellStyle name="40 % - Markeringsfarve2 3 2 6 2" xfId="3503" xr:uid="{00000000-0005-0000-0000-0000DA5A0000}"/>
    <cellStyle name="40 % - Markeringsfarve2 3 2 6 2 2" xfId="8148" xr:uid="{00000000-0005-0000-0000-0000DB5A0000}"/>
    <cellStyle name="40 % - Markeringsfarve2 3 2 6 2 2 2" xfId="16049" xr:uid="{00000000-0005-0000-0000-0000DC5A0000}"/>
    <cellStyle name="40 % - Markeringsfarve2 3 2 6 2 2 2 2" xfId="32363" xr:uid="{00000000-0005-0000-0000-0000DD5A0000}"/>
    <cellStyle name="40 % - Markeringsfarve2 3 2 6 2 2 2 3" xfId="47327" xr:uid="{00000000-0005-0000-0000-0000DE5A0000}"/>
    <cellStyle name="40 % - Markeringsfarve2 3 2 6 2 2 3" xfId="25341" xr:uid="{00000000-0005-0000-0000-0000DF5A0000}"/>
    <cellStyle name="40 % - Markeringsfarve2 3 2 6 2 2 4" xfId="40328" xr:uid="{00000000-0005-0000-0000-0000E05A0000}"/>
    <cellStyle name="40 % - Markeringsfarve2 3 2 6 2 3" xfId="12060" xr:uid="{00000000-0005-0000-0000-0000E15A0000}"/>
    <cellStyle name="40 % - Markeringsfarve2 3 2 6 2 3 2" xfId="28379" xr:uid="{00000000-0005-0000-0000-0000E25A0000}"/>
    <cellStyle name="40 % - Markeringsfarve2 3 2 6 2 3 3" xfId="43344" xr:uid="{00000000-0005-0000-0000-0000E35A0000}"/>
    <cellStyle name="40 % - Markeringsfarve2 3 2 6 2 4" xfId="21357" xr:uid="{00000000-0005-0000-0000-0000E45A0000}"/>
    <cellStyle name="40 % - Markeringsfarve2 3 2 6 2 5" xfId="36345" xr:uid="{00000000-0005-0000-0000-0000E55A0000}"/>
    <cellStyle name="40 % - Markeringsfarve2 3 2 6 3" xfId="3504" xr:uid="{00000000-0005-0000-0000-0000E65A0000}"/>
    <cellStyle name="40 % - Markeringsfarve2 3 2 6 3 2" xfId="7425" xr:uid="{00000000-0005-0000-0000-0000E75A0000}"/>
    <cellStyle name="40 % - Markeringsfarve2 3 2 6 3 2 2" xfId="15335" xr:uid="{00000000-0005-0000-0000-0000E85A0000}"/>
    <cellStyle name="40 % - Markeringsfarve2 3 2 6 3 2 2 2" xfId="31649" xr:uid="{00000000-0005-0000-0000-0000E95A0000}"/>
    <cellStyle name="40 % - Markeringsfarve2 3 2 6 3 2 2 3" xfId="46613" xr:uid="{00000000-0005-0000-0000-0000EA5A0000}"/>
    <cellStyle name="40 % - Markeringsfarve2 3 2 6 3 2 3" xfId="24627" xr:uid="{00000000-0005-0000-0000-0000EB5A0000}"/>
    <cellStyle name="40 % - Markeringsfarve2 3 2 6 3 2 4" xfId="39614" xr:uid="{00000000-0005-0000-0000-0000EC5A0000}"/>
    <cellStyle name="40 % - Markeringsfarve2 3 2 6 3 3" xfId="12061" xr:uid="{00000000-0005-0000-0000-0000ED5A0000}"/>
    <cellStyle name="40 % - Markeringsfarve2 3 2 6 3 3 2" xfId="28380" xr:uid="{00000000-0005-0000-0000-0000EE5A0000}"/>
    <cellStyle name="40 % - Markeringsfarve2 3 2 6 3 3 3" xfId="43345" xr:uid="{00000000-0005-0000-0000-0000EF5A0000}"/>
    <cellStyle name="40 % - Markeringsfarve2 3 2 6 3 4" xfId="21358" xr:uid="{00000000-0005-0000-0000-0000F05A0000}"/>
    <cellStyle name="40 % - Markeringsfarve2 3 2 6 3 5" xfId="36346" xr:uid="{00000000-0005-0000-0000-0000F15A0000}"/>
    <cellStyle name="40 % - Markeringsfarve2 3 2 6 4" xfId="5828" xr:uid="{00000000-0005-0000-0000-0000F25A0000}"/>
    <cellStyle name="40 % - Markeringsfarve2 3 2 6 4 2" xfId="13746" xr:uid="{00000000-0005-0000-0000-0000F35A0000}"/>
    <cellStyle name="40 % - Markeringsfarve2 3 2 6 4 2 2" xfId="30060" xr:uid="{00000000-0005-0000-0000-0000F45A0000}"/>
    <cellStyle name="40 % - Markeringsfarve2 3 2 6 4 2 3" xfId="45024" xr:uid="{00000000-0005-0000-0000-0000F55A0000}"/>
    <cellStyle name="40 % - Markeringsfarve2 3 2 6 4 3" xfId="23038" xr:uid="{00000000-0005-0000-0000-0000F65A0000}"/>
    <cellStyle name="40 % - Markeringsfarve2 3 2 6 4 4" xfId="38025" xr:uid="{00000000-0005-0000-0000-0000F75A0000}"/>
    <cellStyle name="40 % - Markeringsfarve2 3 2 6 5" xfId="12059" xr:uid="{00000000-0005-0000-0000-0000F85A0000}"/>
    <cellStyle name="40 % - Markeringsfarve2 3 2 6 5 2" xfId="28378" xr:uid="{00000000-0005-0000-0000-0000F95A0000}"/>
    <cellStyle name="40 % - Markeringsfarve2 3 2 6 5 3" xfId="43343" xr:uid="{00000000-0005-0000-0000-0000FA5A0000}"/>
    <cellStyle name="40 % - Markeringsfarve2 3 2 6 6" xfId="21356" xr:uid="{00000000-0005-0000-0000-0000FB5A0000}"/>
    <cellStyle name="40 % - Markeringsfarve2 3 2 6 7" xfId="36344" xr:uid="{00000000-0005-0000-0000-0000FC5A0000}"/>
    <cellStyle name="40 % - Markeringsfarve2 3 2 7" xfId="3505" xr:uid="{00000000-0005-0000-0000-0000FD5A0000}"/>
    <cellStyle name="40 % - Markeringsfarve2 3 2 7 2" xfId="7545" xr:uid="{00000000-0005-0000-0000-0000FE5A0000}"/>
    <cellStyle name="40 % - Markeringsfarve2 3 2 7 2 2" xfId="15446" xr:uid="{00000000-0005-0000-0000-0000FF5A0000}"/>
    <cellStyle name="40 % - Markeringsfarve2 3 2 7 2 2 2" xfId="31760" xr:uid="{00000000-0005-0000-0000-0000005B0000}"/>
    <cellStyle name="40 % - Markeringsfarve2 3 2 7 2 2 3" xfId="46724" xr:uid="{00000000-0005-0000-0000-0000015B0000}"/>
    <cellStyle name="40 % - Markeringsfarve2 3 2 7 2 3" xfId="24738" xr:uid="{00000000-0005-0000-0000-0000025B0000}"/>
    <cellStyle name="40 % - Markeringsfarve2 3 2 7 2 4" xfId="39725" xr:uid="{00000000-0005-0000-0000-0000035B0000}"/>
    <cellStyle name="40 % - Markeringsfarve2 3 2 7 3" xfId="12062" xr:uid="{00000000-0005-0000-0000-0000045B0000}"/>
    <cellStyle name="40 % - Markeringsfarve2 3 2 7 3 2" xfId="28381" xr:uid="{00000000-0005-0000-0000-0000055B0000}"/>
    <cellStyle name="40 % - Markeringsfarve2 3 2 7 3 3" xfId="43346" xr:uid="{00000000-0005-0000-0000-0000065B0000}"/>
    <cellStyle name="40 % - Markeringsfarve2 3 2 7 4" xfId="21359" xr:uid="{00000000-0005-0000-0000-0000075B0000}"/>
    <cellStyle name="40 % - Markeringsfarve2 3 2 7 5" xfId="36347" xr:uid="{00000000-0005-0000-0000-0000085B0000}"/>
    <cellStyle name="40 % - Markeringsfarve2 3 2 8" xfId="3506" xr:uid="{00000000-0005-0000-0000-0000095B0000}"/>
    <cellStyle name="40 % - Markeringsfarve2 3 2 8 2" xfId="6773" xr:uid="{00000000-0005-0000-0000-00000A5B0000}"/>
    <cellStyle name="40 % - Markeringsfarve2 3 2 8 2 2" xfId="14684" xr:uid="{00000000-0005-0000-0000-00000B5B0000}"/>
    <cellStyle name="40 % - Markeringsfarve2 3 2 8 2 2 2" xfId="30998" xr:uid="{00000000-0005-0000-0000-00000C5B0000}"/>
    <cellStyle name="40 % - Markeringsfarve2 3 2 8 2 2 3" xfId="45962" xr:uid="{00000000-0005-0000-0000-00000D5B0000}"/>
    <cellStyle name="40 % - Markeringsfarve2 3 2 8 2 3" xfId="23976" xr:uid="{00000000-0005-0000-0000-00000E5B0000}"/>
    <cellStyle name="40 % - Markeringsfarve2 3 2 8 2 4" xfId="38963" xr:uid="{00000000-0005-0000-0000-00000F5B0000}"/>
    <cellStyle name="40 % - Markeringsfarve2 3 2 8 3" xfId="12063" xr:uid="{00000000-0005-0000-0000-0000105B0000}"/>
    <cellStyle name="40 % - Markeringsfarve2 3 2 8 3 2" xfId="28382" xr:uid="{00000000-0005-0000-0000-0000115B0000}"/>
    <cellStyle name="40 % - Markeringsfarve2 3 2 8 3 3" xfId="43347" xr:uid="{00000000-0005-0000-0000-0000125B0000}"/>
    <cellStyle name="40 % - Markeringsfarve2 3 2 8 4" xfId="21360" xr:uid="{00000000-0005-0000-0000-0000135B0000}"/>
    <cellStyle name="40 % - Markeringsfarve2 3 2 8 5" xfId="36348" xr:uid="{00000000-0005-0000-0000-0000145B0000}"/>
    <cellStyle name="40 % - Markeringsfarve2 3 2 9" xfId="5823" xr:uid="{00000000-0005-0000-0000-0000155B0000}"/>
    <cellStyle name="40 % - Markeringsfarve2 3 2 9 2" xfId="13741" xr:uid="{00000000-0005-0000-0000-0000165B0000}"/>
    <cellStyle name="40 % - Markeringsfarve2 3 2 9 2 2" xfId="30055" xr:uid="{00000000-0005-0000-0000-0000175B0000}"/>
    <cellStyle name="40 % - Markeringsfarve2 3 2 9 2 3" xfId="45019" xr:uid="{00000000-0005-0000-0000-0000185B0000}"/>
    <cellStyle name="40 % - Markeringsfarve2 3 2 9 3" xfId="23033" xr:uid="{00000000-0005-0000-0000-0000195B0000}"/>
    <cellStyle name="40 % - Markeringsfarve2 3 2 9 4" xfId="38020" xr:uid="{00000000-0005-0000-0000-00001A5B0000}"/>
    <cellStyle name="40 % - Markeringsfarve2 3 3" xfId="3507" xr:uid="{00000000-0005-0000-0000-00001B5B0000}"/>
    <cellStyle name="40 % - Markeringsfarve2 3 3 10" xfId="12064" xr:uid="{00000000-0005-0000-0000-00001C5B0000}"/>
    <cellStyle name="40 % - Markeringsfarve2 3 3 10 2" xfId="28383" xr:uid="{00000000-0005-0000-0000-00001D5B0000}"/>
    <cellStyle name="40 % - Markeringsfarve2 3 3 10 3" xfId="43348" xr:uid="{00000000-0005-0000-0000-00001E5B0000}"/>
    <cellStyle name="40 % - Markeringsfarve2 3 3 11" xfId="21361" xr:uid="{00000000-0005-0000-0000-00001F5B0000}"/>
    <cellStyle name="40 % - Markeringsfarve2 3 3 12" xfId="36349" xr:uid="{00000000-0005-0000-0000-0000205B0000}"/>
    <cellStyle name="40 % - Markeringsfarve2 3 3 13" xfId="56511" xr:uid="{00000000-0005-0000-0000-0000215B0000}"/>
    <cellStyle name="40 % - Markeringsfarve2 3 3 2" xfId="3508" xr:uid="{00000000-0005-0000-0000-0000225B0000}"/>
    <cellStyle name="40 % - Markeringsfarve2 3 3 2 2" xfId="3509" xr:uid="{00000000-0005-0000-0000-0000235B0000}"/>
    <cellStyle name="40 % - Markeringsfarve2 3 3 2 2 2" xfId="7703" xr:uid="{00000000-0005-0000-0000-0000245B0000}"/>
    <cellStyle name="40 % - Markeringsfarve2 3 3 2 2 2 2" xfId="15604" xr:uid="{00000000-0005-0000-0000-0000255B0000}"/>
    <cellStyle name="40 % - Markeringsfarve2 3 3 2 2 2 2 2" xfId="31918" xr:uid="{00000000-0005-0000-0000-0000265B0000}"/>
    <cellStyle name="40 % - Markeringsfarve2 3 3 2 2 2 2 3" xfId="46882" xr:uid="{00000000-0005-0000-0000-0000275B0000}"/>
    <cellStyle name="40 % - Markeringsfarve2 3 3 2 2 2 3" xfId="24896" xr:uid="{00000000-0005-0000-0000-0000285B0000}"/>
    <cellStyle name="40 % - Markeringsfarve2 3 3 2 2 2 4" xfId="39883" xr:uid="{00000000-0005-0000-0000-0000295B0000}"/>
    <cellStyle name="40 % - Markeringsfarve2 3 3 2 2 3" xfId="12066" xr:uid="{00000000-0005-0000-0000-00002A5B0000}"/>
    <cellStyle name="40 % - Markeringsfarve2 3 3 2 2 3 2" xfId="28385" xr:uid="{00000000-0005-0000-0000-00002B5B0000}"/>
    <cellStyle name="40 % - Markeringsfarve2 3 3 2 2 3 3" xfId="43350" xr:uid="{00000000-0005-0000-0000-00002C5B0000}"/>
    <cellStyle name="40 % - Markeringsfarve2 3 3 2 2 4" xfId="21363" xr:uid="{00000000-0005-0000-0000-00002D5B0000}"/>
    <cellStyle name="40 % - Markeringsfarve2 3 3 2 2 5" xfId="36351" xr:uid="{00000000-0005-0000-0000-00002E5B0000}"/>
    <cellStyle name="40 % - Markeringsfarve2 3 3 2 3" xfId="3510" xr:uid="{00000000-0005-0000-0000-00002F5B0000}"/>
    <cellStyle name="40 % - Markeringsfarve2 3 3 2 3 2" xfId="6933" xr:uid="{00000000-0005-0000-0000-0000305B0000}"/>
    <cellStyle name="40 % - Markeringsfarve2 3 3 2 3 2 2" xfId="14844" xr:uid="{00000000-0005-0000-0000-0000315B0000}"/>
    <cellStyle name="40 % - Markeringsfarve2 3 3 2 3 2 2 2" xfId="31158" xr:uid="{00000000-0005-0000-0000-0000325B0000}"/>
    <cellStyle name="40 % - Markeringsfarve2 3 3 2 3 2 2 3" xfId="46122" xr:uid="{00000000-0005-0000-0000-0000335B0000}"/>
    <cellStyle name="40 % - Markeringsfarve2 3 3 2 3 2 3" xfId="24136" xr:uid="{00000000-0005-0000-0000-0000345B0000}"/>
    <cellStyle name="40 % - Markeringsfarve2 3 3 2 3 2 4" xfId="39123" xr:uid="{00000000-0005-0000-0000-0000355B0000}"/>
    <cellStyle name="40 % - Markeringsfarve2 3 3 2 3 3" xfId="12067" xr:uid="{00000000-0005-0000-0000-0000365B0000}"/>
    <cellStyle name="40 % - Markeringsfarve2 3 3 2 3 3 2" xfId="28386" xr:uid="{00000000-0005-0000-0000-0000375B0000}"/>
    <cellStyle name="40 % - Markeringsfarve2 3 3 2 3 3 3" xfId="43351" xr:uid="{00000000-0005-0000-0000-0000385B0000}"/>
    <cellStyle name="40 % - Markeringsfarve2 3 3 2 3 4" xfId="21364" xr:uid="{00000000-0005-0000-0000-0000395B0000}"/>
    <cellStyle name="40 % - Markeringsfarve2 3 3 2 3 5" xfId="36352" xr:uid="{00000000-0005-0000-0000-00003A5B0000}"/>
    <cellStyle name="40 % - Markeringsfarve2 3 3 2 4" xfId="5830" xr:uid="{00000000-0005-0000-0000-00003B5B0000}"/>
    <cellStyle name="40 % - Markeringsfarve2 3 3 2 4 2" xfId="13748" xr:uid="{00000000-0005-0000-0000-00003C5B0000}"/>
    <cellStyle name="40 % - Markeringsfarve2 3 3 2 4 2 2" xfId="30062" xr:uid="{00000000-0005-0000-0000-00003D5B0000}"/>
    <cellStyle name="40 % - Markeringsfarve2 3 3 2 4 2 3" xfId="45026" xr:uid="{00000000-0005-0000-0000-00003E5B0000}"/>
    <cellStyle name="40 % - Markeringsfarve2 3 3 2 4 3" xfId="23040" xr:uid="{00000000-0005-0000-0000-00003F5B0000}"/>
    <cellStyle name="40 % - Markeringsfarve2 3 3 2 4 4" xfId="38027" xr:uid="{00000000-0005-0000-0000-0000405B0000}"/>
    <cellStyle name="40 % - Markeringsfarve2 3 3 2 5" xfId="12065" xr:uid="{00000000-0005-0000-0000-0000415B0000}"/>
    <cellStyle name="40 % - Markeringsfarve2 3 3 2 5 2" xfId="28384" xr:uid="{00000000-0005-0000-0000-0000425B0000}"/>
    <cellStyle name="40 % - Markeringsfarve2 3 3 2 5 3" xfId="43349" xr:uid="{00000000-0005-0000-0000-0000435B0000}"/>
    <cellStyle name="40 % - Markeringsfarve2 3 3 2 6" xfId="21362" xr:uid="{00000000-0005-0000-0000-0000445B0000}"/>
    <cellStyle name="40 % - Markeringsfarve2 3 3 2 7" xfId="36350" xr:uid="{00000000-0005-0000-0000-0000455B0000}"/>
    <cellStyle name="40 % - Markeringsfarve2 3 3 3" xfId="3511" xr:uid="{00000000-0005-0000-0000-0000465B0000}"/>
    <cellStyle name="40 % - Markeringsfarve2 3 3 3 2" xfId="3512" xr:uid="{00000000-0005-0000-0000-0000475B0000}"/>
    <cellStyle name="40 % - Markeringsfarve2 3 3 3 2 2" xfId="7795" xr:uid="{00000000-0005-0000-0000-0000485B0000}"/>
    <cellStyle name="40 % - Markeringsfarve2 3 3 3 2 2 2" xfId="15696" xr:uid="{00000000-0005-0000-0000-0000495B0000}"/>
    <cellStyle name="40 % - Markeringsfarve2 3 3 3 2 2 2 2" xfId="32010" xr:uid="{00000000-0005-0000-0000-00004A5B0000}"/>
    <cellStyle name="40 % - Markeringsfarve2 3 3 3 2 2 2 3" xfId="46974" xr:uid="{00000000-0005-0000-0000-00004B5B0000}"/>
    <cellStyle name="40 % - Markeringsfarve2 3 3 3 2 2 3" xfId="24988" xr:uid="{00000000-0005-0000-0000-00004C5B0000}"/>
    <cellStyle name="40 % - Markeringsfarve2 3 3 3 2 2 4" xfId="39975" xr:uid="{00000000-0005-0000-0000-00004D5B0000}"/>
    <cellStyle name="40 % - Markeringsfarve2 3 3 3 2 3" xfId="12069" xr:uid="{00000000-0005-0000-0000-00004E5B0000}"/>
    <cellStyle name="40 % - Markeringsfarve2 3 3 3 2 3 2" xfId="28388" xr:uid="{00000000-0005-0000-0000-00004F5B0000}"/>
    <cellStyle name="40 % - Markeringsfarve2 3 3 3 2 3 3" xfId="43353" xr:uid="{00000000-0005-0000-0000-0000505B0000}"/>
    <cellStyle name="40 % - Markeringsfarve2 3 3 3 2 4" xfId="21366" xr:uid="{00000000-0005-0000-0000-0000515B0000}"/>
    <cellStyle name="40 % - Markeringsfarve2 3 3 3 2 5" xfId="36354" xr:uid="{00000000-0005-0000-0000-0000525B0000}"/>
    <cellStyle name="40 % - Markeringsfarve2 3 3 3 3" xfId="3513" xr:uid="{00000000-0005-0000-0000-0000535B0000}"/>
    <cellStyle name="40 % - Markeringsfarve2 3 3 3 3 2" xfId="7025" xr:uid="{00000000-0005-0000-0000-0000545B0000}"/>
    <cellStyle name="40 % - Markeringsfarve2 3 3 3 3 2 2" xfId="14936" xr:uid="{00000000-0005-0000-0000-0000555B0000}"/>
    <cellStyle name="40 % - Markeringsfarve2 3 3 3 3 2 2 2" xfId="31250" xr:uid="{00000000-0005-0000-0000-0000565B0000}"/>
    <cellStyle name="40 % - Markeringsfarve2 3 3 3 3 2 2 3" xfId="46214" xr:uid="{00000000-0005-0000-0000-0000575B0000}"/>
    <cellStyle name="40 % - Markeringsfarve2 3 3 3 3 2 3" xfId="24228" xr:uid="{00000000-0005-0000-0000-0000585B0000}"/>
    <cellStyle name="40 % - Markeringsfarve2 3 3 3 3 2 4" xfId="39215" xr:uid="{00000000-0005-0000-0000-0000595B0000}"/>
    <cellStyle name="40 % - Markeringsfarve2 3 3 3 3 3" xfId="12070" xr:uid="{00000000-0005-0000-0000-00005A5B0000}"/>
    <cellStyle name="40 % - Markeringsfarve2 3 3 3 3 3 2" xfId="28389" xr:uid="{00000000-0005-0000-0000-00005B5B0000}"/>
    <cellStyle name="40 % - Markeringsfarve2 3 3 3 3 3 3" xfId="43354" xr:uid="{00000000-0005-0000-0000-00005C5B0000}"/>
    <cellStyle name="40 % - Markeringsfarve2 3 3 3 3 4" xfId="21367" xr:uid="{00000000-0005-0000-0000-00005D5B0000}"/>
    <cellStyle name="40 % - Markeringsfarve2 3 3 3 3 5" xfId="36355" xr:uid="{00000000-0005-0000-0000-00005E5B0000}"/>
    <cellStyle name="40 % - Markeringsfarve2 3 3 3 4" xfId="5831" xr:uid="{00000000-0005-0000-0000-00005F5B0000}"/>
    <cellStyle name="40 % - Markeringsfarve2 3 3 3 4 2" xfId="13749" xr:uid="{00000000-0005-0000-0000-0000605B0000}"/>
    <cellStyle name="40 % - Markeringsfarve2 3 3 3 4 2 2" xfId="30063" xr:uid="{00000000-0005-0000-0000-0000615B0000}"/>
    <cellStyle name="40 % - Markeringsfarve2 3 3 3 4 2 3" xfId="45027" xr:uid="{00000000-0005-0000-0000-0000625B0000}"/>
    <cellStyle name="40 % - Markeringsfarve2 3 3 3 4 3" xfId="23041" xr:uid="{00000000-0005-0000-0000-0000635B0000}"/>
    <cellStyle name="40 % - Markeringsfarve2 3 3 3 4 4" xfId="38028" xr:uid="{00000000-0005-0000-0000-0000645B0000}"/>
    <cellStyle name="40 % - Markeringsfarve2 3 3 3 5" xfId="12068" xr:uid="{00000000-0005-0000-0000-0000655B0000}"/>
    <cellStyle name="40 % - Markeringsfarve2 3 3 3 5 2" xfId="28387" xr:uid="{00000000-0005-0000-0000-0000665B0000}"/>
    <cellStyle name="40 % - Markeringsfarve2 3 3 3 5 3" xfId="43352" xr:uid="{00000000-0005-0000-0000-0000675B0000}"/>
    <cellStyle name="40 % - Markeringsfarve2 3 3 3 6" xfId="21365" xr:uid="{00000000-0005-0000-0000-0000685B0000}"/>
    <cellStyle name="40 % - Markeringsfarve2 3 3 3 7" xfId="36353" xr:uid="{00000000-0005-0000-0000-0000695B0000}"/>
    <cellStyle name="40 % - Markeringsfarve2 3 3 4" xfId="3514" xr:uid="{00000000-0005-0000-0000-00006A5B0000}"/>
    <cellStyle name="40 % - Markeringsfarve2 3 3 4 2" xfId="3515" xr:uid="{00000000-0005-0000-0000-00006B5B0000}"/>
    <cellStyle name="40 % - Markeringsfarve2 3 3 4 2 2" xfId="7941" xr:uid="{00000000-0005-0000-0000-00006C5B0000}"/>
    <cellStyle name="40 % - Markeringsfarve2 3 3 4 2 2 2" xfId="15842" xr:uid="{00000000-0005-0000-0000-00006D5B0000}"/>
    <cellStyle name="40 % - Markeringsfarve2 3 3 4 2 2 2 2" xfId="32156" xr:uid="{00000000-0005-0000-0000-00006E5B0000}"/>
    <cellStyle name="40 % - Markeringsfarve2 3 3 4 2 2 2 3" xfId="47120" xr:uid="{00000000-0005-0000-0000-00006F5B0000}"/>
    <cellStyle name="40 % - Markeringsfarve2 3 3 4 2 2 3" xfId="25134" xr:uid="{00000000-0005-0000-0000-0000705B0000}"/>
    <cellStyle name="40 % - Markeringsfarve2 3 3 4 2 2 4" xfId="40121" xr:uid="{00000000-0005-0000-0000-0000715B0000}"/>
    <cellStyle name="40 % - Markeringsfarve2 3 3 4 2 3" xfId="12072" xr:uid="{00000000-0005-0000-0000-0000725B0000}"/>
    <cellStyle name="40 % - Markeringsfarve2 3 3 4 2 3 2" xfId="28391" xr:uid="{00000000-0005-0000-0000-0000735B0000}"/>
    <cellStyle name="40 % - Markeringsfarve2 3 3 4 2 3 3" xfId="43356" xr:uid="{00000000-0005-0000-0000-0000745B0000}"/>
    <cellStyle name="40 % - Markeringsfarve2 3 3 4 2 4" xfId="21369" xr:uid="{00000000-0005-0000-0000-0000755B0000}"/>
    <cellStyle name="40 % - Markeringsfarve2 3 3 4 2 5" xfId="36357" xr:uid="{00000000-0005-0000-0000-0000765B0000}"/>
    <cellStyle name="40 % - Markeringsfarve2 3 3 4 3" xfId="3516" xr:uid="{00000000-0005-0000-0000-0000775B0000}"/>
    <cellStyle name="40 % - Markeringsfarve2 3 3 4 3 2" xfId="7217" xr:uid="{00000000-0005-0000-0000-0000785B0000}"/>
    <cellStyle name="40 % - Markeringsfarve2 3 3 4 3 2 2" xfId="15127" xr:uid="{00000000-0005-0000-0000-0000795B0000}"/>
    <cellStyle name="40 % - Markeringsfarve2 3 3 4 3 2 2 2" xfId="31441" xr:uid="{00000000-0005-0000-0000-00007A5B0000}"/>
    <cellStyle name="40 % - Markeringsfarve2 3 3 4 3 2 2 3" xfId="46405" xr:uid="{00000000-0005-0000-0000-00007B5B0000}"/>
    <cellStyle name="40 % - Markeringsfarve2 3 3 4 3 2 3" xfId="24419" xr:uid="{00000000-0005-0000-0000-00007C5B0000}"/>
    <cellStyle name="40 % - Markeringsfarve2 3 3 4 3 2 4" xfId="39406" xr:uid="{00000000-0005-0000-0000-00007D5B0000}"/>
    <cellStyle name="40 % - Markeringsfarve2 3 3 4 3 3" xfId="12073" xr:uid="{00000000-0005-0000-0000-00007E5B0000}"/>
    <cellStyle name="40 % - Markeringsfarve2 3 3 4 3 3 2" xfId="28392" xr:uid="{00000000-0005-0000-0000-00007F5B0000}"/>
    <cellStyle name="40 % - Markeringsfarve2 3 3 4 3 3 3" xfId="43357" xr:uid="{00000000-0005-0000-0000-0000805B0000}"/>
    <cellStyle name="40 % - Markeringsfarve2 3 3 4 3 4" xfId="21370" xr:uid="{00000000-0005-0000-0000-0000815B0000}"/>
    <cellStyle name="40 % - Markeringsfarve2 3 3 4 3 5" xfId="36358" xr:uid="{00000000-0005-0000-0000-0000825B0000}"/>
    <cellStyle name="40 % - Markeringsfarve2 3 3 4 4" xfId="5832" xr:uid="{00000000-0005-0000-0000-0000835B0000}"/>
    <cellStyle name="40 % - Markeringsfarve2 3 3 4 4 2" xfId="13750" xr:uid="{00000000-0005-0000-0000-0000845B0000}"/>
    <cellStyle name="40 % - Markeringsfarve2 3 3 4 4 2 2" xfId="30064" xr:uid="{00000000-0005-0000-0000-0000855B0000}"/>
    <cellStyle name="40 % - Markeringsfarve2 3 3 4 4 2 3" xfId="45028" xr:uid="{00000000-0005-0000-0000-0000865B0000}"/>
    <cellStyle name="40 % - Markeringsfarve2 3 3 4 4 3" xfId="23042" xr:uid="{00000000-0005-0000-0000-0000875B0000}"/>
    <cellStyle name="40 % - Markeringsfarve2 3 3 4 4 4" xfId="38029" xr:uid="{00000000-0005-0000-0000-0000885B0000}"/>
    <cellStyle name="40 % - Markeringsfarve2 3 3 4 5" xfId="12071" xr:uid="{00000000-0005-0000-0000-0000895B0000}"/>
    <cellStyle name="40 % - Markeringsfarve2 3 3 4 5 2" xfId="28390" xr:uid="{00000000-0005-0000-0000-00008A5B0000}"/>
    <cellStyle name="40 % - Markeringsfarve2 3 3 4 5 3" xfId="43355" xr:uid="{00000000-0005-0000-0000-00008B5B0000}"/>
    <cellStyle name="40 % - Markeringsfarve2 3 3 4 6" xfId="21368" xr:uid="{00000000-0005-0000-0000-00008C5B0000}"/>
    <cellStyle name="40 % - Markeringsfarve2 3 3 4 7" xfId="36356" xr:uid="{00000000-0005-0000-0000-00008D5B0000}"/>
    <cellStyle name="40 % - Markeringsfarve2 3 3 5" xfId="3517" xr:uid="{00000000-0005-0000-0000-00008E5B0000}"/>
    <cellStyle name="40 % - Markeringsfarve2 3 3 5 2" xfId="3518" xr:uid="{00000000-0005-0000-0000-00008F5B0000}"/>
    <cellStyle name="40 % - Markeringsfarve2 3 3 5 2 2" xfId="8058" xr:uid="{00000000-0005-0000-0000-0000905B0000}"/>
    <cellStyle name="40 % - Markeringsfarve2 3 3 5 2 2 2" xfId="15959" xr:uid="{00000000-0005-0000-0000-0000915B0000}"/>
    <cellStyle name="40 % - Markeringsfarve2 3 3 5 2 2 2 2" xfId="32273" xr:uid="{00000000-0005-0000-0000-0000925B0000}"/>
    <cellStyle name="40 % - Markeringsfarve2 3 3 5 2 2 2 3" xfId="47237" xr:uid="{00000000-0005-0000-0000-0000935B0000}"/>
    <cellStyle name="40 % - Markeringsfarve2 3 3 5 2 2 3" xfId="25251" xr:uid="{00000000-0005-0000-0000-0000945B0000}"/>
    <cellStyle name="40 % - Markeringsfarve2 3 3 5 2 2 4" xfId="40238" xr:uid="{00000000-0005-0000-0000-0000955B0000}"/>
    <cellStyle name="40 % - Markeringsfarve2 3 3 5 2 3" xfId="12075" xr:uid="{00000000-0005-0000-0000-0000965B0000}"/>
    <cellStyle name="40 % - Markeringsfarve2 3 3 5 2 3 2" xfId="28394" xr:uid="{00000000-0005-0000-0000-0000975B0000}"/>
    <cellStyle name="40 % - Markeringsfarve2 3 3 5 2 3 3" xfId="43359" xr:uid="{00000000-0005-0000-0000-0000985B0000}"/>
    <cellStyle name="40 % - Markeringsfarve2 3 3 5 2 4" xfId="21372" xr:uid="{00000000-0005-0000-0000-0000995B0000}"/>
    <cellStyle name="40 % - Markeringsfarve2 3 3 5 2 5" xfId="36360" xr:uid="{00000000-0005-0000-0000-00009A5B0000}"/>
    <cellStyle name="40 % - Markeringsfarve2 3 3 5 3" xfId="3519" xr:uid="{00000000-0005-0000-0000-00009B5B0000}"/>
    <cellStyle name="40 % - Markeringsfarve2 3 3 5 3 2" xfId="7334" xr:uid="{00000000-0005-0000-0000-00009C5B0000}"/>
    <cellStyle name="40 % - Markeringsfarve2 3 3 5 3 2 2" xfId="15244" xr:uid="{00000000-0005-0000-0000-00009D5B0000}"/>
    <cellStyle name="40 % - Markeringsfarve2 3 3 5 3 2 2 2" xfId="31558" xr:uid="{00000000-0005-0000-0000-00009E5B0000}"/>
    <cellStyle name="40 % - Markeringsfarve2 3 3 5 3 2 2 3" xfId="46522" xr:uid="{00000000-0005-0000-0000-00009F5B0000}"/>
    <cellStyle name="40 % - Markeringsfarve2 3 3 5 3 2 3" xfId="24536" xr:uid="{00000000-0005-0000-0000-0000A05B0000}"/>
    <cellStyle name="40 % - Markeringsfarve2 3 3 5 3 2 4" xfId="39523" xr:uid="{00000000-0005-0000-0000-0000A15B0000}"/>
    <cellStyle name="40 % - Markeringsfarve2 3 3 5 3 3" xfId="12076" xr:uid="{00000000-0005-0000-0000-0000A25B0000}"/>
    <cellStyle name="40 % - Markeringsfarve2 3 3 5 3 3 2" xfId="28395" xr:uid="{00000000-0005-0000-0000-0000A35B0000}"/>
    <cellStyle name="40 % - Markeringsfarve2 3 3 5 3 3 3" xfId="43360" xr:uid="{00000000-0005-0000-0000-0000A45B0000}"/>
    <cellStyle name="40 % - Markeringsfarve2 3 3 5 3 4" xfId="21373" xr:uid="{00000000-0005-0000-0000-0000A55B0000}"/>
    <cellStyle name="40 % - Markeringsfarve2 3 3 5 3 5" xfId="36361" xr:uid="{00000000-0005-0000-0000-0000A65B0000}"/>
    <cellStyle name="40 % - Markeringsfarve2 3 3 5 4" xfId="5833" xr:uid="{00000000-0005-0000-0000-0000A75B0000}"/>
    <cellStyle name="40 % - Markeringsfarve2 3 3 5 4 2" xfId="13751" xr:uid="{00000000-0005-0000-0000-0000A85B0000}"/>
    <cellStyle name="40 % - Markeringsfarve2 3 3 5 4 2 2" xfId="30065" xr:uid="{00000000-0005-0000-0000-0000A95B0000}"/>
    <cellStyle name="40 % - Markeringsfarve2 3 3 5 4 2 3" xfId="45029" xr:uid="{00000000-0005-0000-0000-0000AA5B0000}"/>
    <cellStyle name="40 % - Markeringsfarve2 3 3 5 4 3" xfId="23043" xr:uid="{00000000-0005-0000-0000-0000AB5B0000}"/>
    <cellStyle name="40 % - Markeringsfarve2 3 3 5 4 4" xfId="38030" xr:uid="{00000000-0005-0000-0000-0000AC5B0000}"/>
    <cellStyle name="40 % - Markeringsfarve2 3 3 5 5" xfId="12074" xr:uid="{00000000-0005-0000-0000-0000AD5B0000}"/>
    <cellStyle name="40 % - Markeringsfarve2 3 3 5 5 2" xfId="28393" xr:uid="{00000000-0005-0000-0000-0000AE5B0000}"/>
    <cellStyle name="40 % - Markeringsfarve2 3 3 5 5 3" xfId="43358" xr:uid="{00000000-0005-0000-0000-0000AF5B0000}"/>
    <cellStyle name="40 % - Markeringsfarve2 3 3 5 6" xfId="21371" xr:uid="{00000000-0005-0000-0000-0000B05B0000}"/>
    <cellStyle name="40 % - Markeringsfarve2 3 3 5 7" xfId="36359" xr:uid="{00000000-0005-0000-0000-0000B15B0000}"/>
    <cellStyle name="40 % - Markeringsfarve2 3 3 6" xfId="3520" xr:uid="{00000000-0005-0000-0000-0000B25B0000}"/>
    <cellStyle name="40 % - Markeringsfarve2 3 3 6 2" xfId="3521" xr:uid="{00000000-0005-0000-0000-0000B35B0000}"/>
    <cellStyle name="40 % - Markeringsfarve2 3 3 6 2 2" xfId="8149" xr:uid="{00000000-0005-0000-0000-0000B45B0000}"/>
    <cellStyle name="40 % - Markeringsfarve2 3 3 6 2 2 2" xfId="16050" xr:uid="{00000000-0005-0000-0000-0000B55B0000}"/>
    <cellStyle name="40 % - Markeringsfarve2 3 3 6 2 2 2 2" xfId="32364" xr:uid="{00000000-0005-0000-0000-0000B65B0000}"/>
    <cellStyle name="40 % - Markeringsfarve2 3 3 6 2 2 2 3" xfId="47328" xr:uid="{00000000-0005-0000-0000-0000B75B0000}"/>
    <cellStyle name="40 % - Markeringsfarve2 3 3 6 2 2 3" xfId="25342" xr:uid="{00000000-0005-0000-0000-0000B85B0000}"/>
    <cellStyle name="40 % - Markeringsfarve2 3 3 6 2 2 4" xfId="40329" xr:uid="{00000000-0005-0000-0000-0000B95B0000}"/>
    <cellStyle name="40 % - Markeringsfarve2 3 3 6 2 3" xfId="12078" xr:uid="{00000000-0005-0000-0000-0000BA5B0000}"/>
    <cellStyle name="40 % - Markeringsfarve2 3 3 6 2 3 2" xfId="28397" xr:uid="{00000000-0005-0000-0000-0000BB5B0000}"/>
    <cellStyle name="40 % - Markeringsfarve2 3 3 6 2 3 3" xfId="43362" xr:uid="{00000000-0005-0000-0000-0000BC5B0000}"/>
    <cellStyle name="40 % - Markeringsfarve2 3 3 6 2 4" xfId="21375" xr:uid="{00000000-0005-0000-0000-0000BD5B0000}"/>
    <cellStyle name="40 % - Markeringsfarve2 3 3 6 2 5" xfId="36363" xr:uid="{00000000-0005-0000-0000-0000BE5B0000}"/>
    <cellStyle name="40 % - Markeringsfarve2 3 3 6 3" xfId="3522" xr:uid="{00000000-0005-0000-0000-0000BF5B0000}"/>
    <cellStyle name="40 % - Markeringsfarve2 3 3 6 3 2" xfId="7426" xr:uid="{00000000-0005-0000-0000-0000C05B0000}"/>
    <cellStyle name="40 % - Markeringsfarve2 3 3 6 3 2 2" xfId="15336" xr:uid="{00000000-0005-0000-0000-0000C15B0000}"/>
    <cellStyle name="40 % - Markeringsfarve2 3 3 6 3 2 2 2" xfId="31650" xr:uid="{00000000-0005-0000-0000-0000C25B0000}"/>
    <cellStyle name="40 % - Markeringsfarve2 3 3 6 3 2 2 3" xfId="46614" xr:uid="{00000000-0005-0000-0000-0000C35B0000}"/>
    <cellStyle name="40 % - Markeringsfarve2 3 3 6 3 2 3" xfId="24628" xr:uid="{00000000-0005-0000-0000-0000C45B0000}"/>
    <cellStyle name="40 % - Markeringsfarve2 3 3 6 3 2 4" xfId="39615" xr:uid="{00000000-0005-0000-0000-0000C55B0000}"/>
    <cellStyle name="40 % - Markeringsfarve2 3 3 6 3 3" xfId="12079" xr:uid="{00000000-0005-0000-0000-0000C65B0000}"/>
    <cellStyle name="40 % - Markeringsfarve2 3 3 6 3 3 2" xfId="28398" xr:uid="{00000000-0005-0000-0000-0000C75B0000}"/>
    <cellStyle name="40 % - Markeringsfarve2 3 3 6 3 3 3" xfId="43363" xr:uid="{00000000-0005-0000-0000-0000C85B0000}"/>
    <cellStyle name="40 % - Markeringsfarve2 3 3 6 3 4" xfId="21376" xr:uid="{00000000-0005-0000-0000-0000C95B0000}"/>
    <cellStyle name="40 % - Markeringsfarve2 3 3 6 3 5" xfId="36364" xr:uid="{00000000-0005-0000-0000-0000CA5B0000}"/>
    <cellStyle name="40 % - Markeringsfarve2 3 3 6 4" xfId="5834" xr:uid="{00000000-0005-0000-0000-0000CB5B0000}"/>
    <cellStyle name="40 % - Markeringsfarve2 3 3 6 4 2" xfId="13752" xr:uid="{00000000-0005-0000-0000-0000CC5B0000}"/>
    <cellStyle name="40 % - Markeringsfarve2 3 3 6 4 2 2" xfId="30066" xr:uid="{00000000-0005-0000-0000-0000CD5B0000}"/>
    <cellStyle name="40 % - Markeringsfarve2 3 3 6 4 2 3" xfId="45030" xr:uid="{00000000-0005-0000-0000-0000CE5B0000}"/>
    <cellStyle name="40 % - Markeringsfarve2 3 3 6 4 3" xfId="23044" xr:uid="{00000000-0005-0000-0000-0000CF5B0000}"/>
    <cellStyle name="40 % - Markeringsfarve2 3 3 6 4 4" xfId="38031" xr:uid="{00000000-0005-0000-0000-0000D05B0000}"/>
    <cellStyle name="40 % - Markeringsfarve2 3 3 6 5" xfId="12077" xr:uid="{00000000-0005-0000-0000-0000D15B0000}"/>
    <cellStyle name="40 % - Markeringsfarve2 3 3 6 5 2" xfId="28396" xr:uid="{00000000-0005-0000-0000-0000D25B0000}"/>
    <cellStyle name="40 % - Markeringsfarve2 3 3 6 5 3" xfId="43361" xr:uid="{00000000-0005-0000-0000-0000D35B0000}"/>
    <cellStyle name="40 % - Markeringsfarve2 3 3 6 6" xfId="21374" xr:uid="{00000000-0005-0000-0000-0000D45B0000}"/>
    <cellStyle name="40 % - Markeringsfarve2 3 3 6 7" xfId="36362" xr:uid="{00000000-0005-0000-0000-0000D55B0000}"/>
    <cellStyle name="40 % - Markeringsfarve2 3 3 7" xfId="3523" xr:uid="{00000000-0005-0000-0000-0000D65B0000}"/>
    <cellStyle name="40 % - Markeringsfarve2 3 3 7 2" xfId="7584" xr:uid="{00000000-0005-0000-0000-0000D75B0000}"/>
    <cellStyle name="40 % - Markeringsfarve2 3 3 7 2 2" xfId="15485" xr:uid="{00000000-0005-0000-0000-0000D85B0000}"/>
    <cellStyle name="40 % - Markeringsfarve2 3 3 7 2 2 2" xfId="31799" xr:uid="{00000000-0005-0000-0000-0000D95B0000}"/>
    <cellStyle name="40 % - Markeringsfarve2 3 3 7 2 2 3" xfId="46763" xr:uid="{00000000-0005-0000-0000-0000DA5B0000}"/>
    <cellStyle name="40 % - Markeringsfarve2 3 3 7 2 3" xfId="24777" xr:uid="{00000000-0005-0000-0000-0000DB5B0000}"/>
    <cellStyle name="40 % - Markeringsfarve2 3 3 7 2 4" xfId="39764" xr:uid="{00000000-0005-0000-0000-0000DC5B0000}"/>
    <cellStyle name="40 % - Markeringsfarve2 3 3 7 3" xfId="12080" xr:uid="{00000000-0005-0000-0000-0000DD5B0000}"/>
    <cellStyle name="40 % - Markeringsfarve2 3 3 7 3 2" xfId="28399" xr:uid="{00000000-0005-0000-0000-0000DE5B0000}"/>
    <cellStyle name="40 % - Markeringsfarve2 3 3 7 3 3" xfId="43364" xr:uid="{00000000-0005-0000-0000-0000DF5B0000}"/>
    <cellStyle name="40 % - Markeringsfarve2 3 3 7 4" xfId="21377" xr:uid="{00000000-0005-0000-0000-0000E05B0000}"/>
    <cellStyle name="40 % - Markeringsfarve2 3 3 7 5" xfId="36365" xr:uid="{00000000-0005-0000-0000-0000E15B0000}"/>
    <cellStyle name="40 % - Markeringsfarve2 3 3 8" xfId="3524" xr:uid="{00000000-0005-0000-0000-0000E25B0000}"/>
    <cellStyle name="40 % - Markeringsfarve2 3 3 8 2" xfId="6812" xr:uid="{00000000-0005-0000-0000-0000E35B0000}"/>
    <cellStyle name="40 % - Markeringsfarve2 3 3 8 2 2" xfId="14723" xr:uid="{00000000-0005-0000-0000-0000E45B0000}"/>
    <cellStyle name="40 % - Markeringsfarve2 3 3 8 2 2 2" xfId="31037" xr:uid="{00000000-0005-0000-0000-0000E55B0000}"/>
    <cellStyle name="40 % - Markeringsfarve2 3 3 8 2 2 3" xfId="46001" xr:uid="{00000000-0005-0000-0000-0000E65B0000}"/>
    <cellStyle name="40 % - Markeringsfarve2 3 3 8 2 3" xfId="24015" xr:uid="{00000000-0005-0000-0000-0000E75B0000}"/>
    <cellStyle name="40 % - Markeringsfarve2 3 3 8 2 4" xfId="39002" xr:uid="{00000000-0005-0000-0000-0000E85B0000}"/>
    <cellStyle name="40 % - Markeringsfarve2 3 3 8 3" xfId="12081" xr:uid="{00000000-0005-0000-0000-0000E95B0000}"/>
    <cellStyle name="40 % - Markeringsfarve2 3 3 8 3 2" xfId="28400" xr:uid="{00000000-0005-0000-0000-0000EA5B0000}"/>
    <cellStyle name="40 % - Markeringsfarve2 3 3 8 3 3" xfId="43365" xr:uid="{00000000-0005-0000-0000-0000EB5B0000}"/>
    <cellStyle name="40 % - Markeringsfarve2 3 3 8 4" xfId="21378" xr:uid="{00000000-0005-0000-0000-0000EC5B0000}"/>
    <cellStyle name="40 % - Markeringsfarve2 3 3 8 5" xfId="36366" xr:uid="{00000000-0005-0000-0000-0000ED5B0000}"/>
    <cellStyle name="40 % - Markeringsfarve2 3 3 9" xfId="5829" xr:uid="{00000000-0005-0000-0000-0000EE5B0000}"/>
    <cellStyle name="40 % - Markeringsfarve2 3 3 9 2" xfId="13747" xr:uid="{00000000-0005-0000-0000-0000EF5B0000}"/>
    <cellStyle name="40 % - Markeringsfarve2 3 3 9 2 2" xfId="30061" xr:uid="{00000000-0005-0000-0000-0000F05B0000}"/>
    <cellStyle name="40 % - Markeringsfarve2 3 3 9 2 3" xfId="45025" xr:uid="{00000000-0005-0000-0000-0000F15B0000}"/>
    <cellStyle name="40 % - Markeringsfarve2 3 3 9 3" xfId="23039" xr:uid="{00000000-0005-0000-0000-0000F25B0000}"/>
    <cellStyle name="40 % - Markeringsfarve2 3 3 9 4" xfId="38026" xr:uid="{00000000-0005-0000-0000-0000F35B0000}"/>
    <cellStyle name="40 % - Markeringsfarve2 3 4" xfId="3525" xr:uid="{00000000-0005-0000-0000-0000F45B0000}"/>
    <cellStyle name="40 % - Markeringsfarve2 3 4 2" xfId="3526" xr:uid="{00000000-0005-0000-0000-0000F55B0000}"/>
    <cellStyle name="40 % - Markeringsfarve2 3 4 2 2" xfId="7625" xr:uid="{00000000-0005-0000-0000-0000F65B0000}"/>
    <cellStyle name="40 % - Markeringsfarve2 3 4 2 2 2" xfId="15526" xr:uid="{00000000-0005-0000-0000-0000F75B0000}"/>
    <cellStyle name="40 % - Markeringsfarve2 3 4 2 2 2 2" xfId="31840" xr:uid="{00000000-0005-0000-0000-0000F85B0000}"/>
    <cellStyle name="40 % - Markeringsfarve2 3 4 2 2 2 3" xfId="46804" xr:uid="{00000000-0005-0000-0000-0000F95B0000}"/>
    <cellStyle name="40 % - Markeringsfarve2 3 4 2 2 3" xfId="24818" xr:uid="{00000000-0005-0000-0000-0000FA5B0000}"/>
    <cellStyle name="40 % - Markeringsfarve2 3 4 2 2 4" xfId="39805" xr:uid="{00000000-0005-0000-0000-0000FB5B0000}"/>
    <cellStyle name="40 % - Markeringsfarve2 3 4 2 3" xfId="12083" xr:uid="{00000000-0005-0000-0000-0000FC5B0000}"/>
    <cellStyle name="40 % - Markeringsfarve2 3 4 2 3 2" xfId="28402" xr:uid="{00000000-0005-0000-0000-0000FD5B0000}"/>
    <cellStyle name="40 % - Markeringsfarve2 3 4 2 3 3" xfId="43367" xr:uid="{00000000-0005-0000-0000-0000FE5B0000}"/>
    <cellStyle name="40 % - Markeringsfarve2 3 4 2 4" xfId="21380" xr:uid="{00000000-0005-0000-0000-0000FF5B0000}"/>
    <cellStyle name="40 % - Markeringsfarve2 3 4 2 5" xfId="36368" xr:uid="{00000000-0005-0000-0000-0000005C0000}"/>
    <cellStyle name="40 % - Markeringsfarve2 3 4 3" xfId="3527" xr:uid="{00000000-0005-0000-0000-0000015C0000}"/>
    <cellStyle name="40 % - Markeringsfarve2 3 4 3 2" xfId="6855" xr:uid="{00000000-0005-0000-0000-0000025C0000}"/>
    <cellStyle name="40 % - Markeringsfarve2 3 4 3 2 2" xfId="14766" xr:uid="{00000000-0005-0000-0000-0000035C0000}"/>
    <cellStyle name="40 % - Markeringsfarve2 3 4 3 2 2 2" xfId="31080" xr:uid="{00000000-0005-0000-0000-0000045C0000}"/>
    <cellStyle name="40 % - Markeringsfarve2 3 4 3 2 2 3" xfId="46044" xr:uid="{00000000-0005-0000-0000-0000055C0000}"/>
    <cellStyle name="40 % - Markeringsfarve2 3 4 3 2 3" xfId="24058" xr:uid="{00000000-0005-0000-0000-0000065C0000}"/>
    <cellStyle name="40 % - Markeringsfarve2 3 4 3 2 4" xfId="39045" xr:uid="{00000000-0005-0000-0000-0000075C0000}"/>
    <cellStyle name="40 % - Markeringsfarve2 3 4 3 3" xfId="12084" xr:uid="{00000000-0005-0000-0000-0000085C0000}"/>
    <cellStyle name="40 % - Markeringsfarve2 3 4 3 3 2" xfId="28403" xr:uid="{00000000-0005-0000-0000-0000095C0000}"/>
    <cellStyle name="40 % - Markeringsfarve2 3 4 3 3 3" xfId="43368" xr:uid="{00000000-0005-0000-0000-00000A5C0000}"/>
    <cellStyle name="40 % - Markeringsfarve2 3 4 3 4" xfId="21381" xr:uid="{00000000-0005-0000-0000-00000B5C0000}"/>
    <cellStyle name="40 % - Markeringsfarve2 3 4 3 5" xfId="36369" xr:uid="{00000000-0005-0000-0000-00000C5C0000}"/>
    <cellStyle name="40 % - Markeringsfarve2 3 4 4" xfId="5835" xr:uid="{00000000-0005-0000-0000-00000D5C0000}"/>
    <cellStyle name="40 % - Markeringsfarve2 3 4 4 2" xfId="13753" xr:uid="{00000000-0005-0000-0000-00000E5C0000}"/>
    <cellStyle name="40 % - Markeringsfarve2 3 4 4 2 2" xfId="30067" xr:uid="{00000000-0005-0000-0000-00000F5C0000}"/>
    <cellStyle name="40 % - Markeringsfarve2 3 4 4 2 3" xfId="45031" xr:uid="{00000000-0005-0000-0000-0000105C0000}"/>
    <cellStyle name="40 % - Markeringsfarve2 3 4 4 3" xfId="23045" xr:uid="{00000000-0005-0000-0000-0000115C0000}"/>
    <cellStyle name="40 % - Markeringsfarve2 3 4 4 4" xfId="38032" xr:uid="{00000000-0005-0000-0000-0000125C0000}"/>
    <cellStyle name="40 % - Markeringsfarve2 3 4 5" xfId="12082" xr:uid="{00000000-0005-0000-0000-0000135C0000}"/>
    <cellStyle name="40 % - Markeringsfarve2 3 4 5 2" xfId="28401" xr:uid="{00000000-0005-0000-0000-0000145C0000}"/>
    <cellStyle name="40 % - Markeringsfarve2 3 4 5 3" xfId="43366" xr:uid="{00000000-0005-0000-0000-0000155C0000}"/>
    <cellStyle name="40 % - Markeringsfarve2 3 4 6" xfId="21379" xr:uid="{00000000-0005-0000-0000-0000165C0000}"/>
    <cellStyle name="40 % - Markeringsfarve2 3 4 7" xfId="36367" xr:uid="{00000000-0005-0000-0000-0000175C0000}"/>
    <cellStyle name="40 % - Markeringsfarve2 3 5" xfId="3528" xr:uid="{00000000-0005-0000-0000-0000185C0000}"/>
    <cellStyle name="40 % - Markeringsfarve2 3 5 2" xfId="3529" xr:uid="{00000000-0005-0000-0000-0000195C0000}"/>
    <cellStyle name="40 % - Markeringsfarve2 3 5 2 2" xfId="7793" xr:uid="{00000000-0005-0000-0000-00001A5C0000}"/>
    <cellStyle name="40 % - Markeringsfarve2 3 5 2 2 2" xfId="15694" xr:uid="{00000000-0005-0000-0000-00001B5C0000}"/>
    <cellStyle name="40 % - Markeringsfarve2 3 5 2 2 2 2" xfId="32008" xr:uid="{00000000-0005-0000-0000-00001C5C0000}"/>
    <cellStyle name="40 % - Markeringsfarve2 3 5 2 2 2 3" xfId="46972" xr:uid="{00000000-0005-0000-0000-00001D5C0000}"/>
    <cellStyle name="40 % - Markeringsfarve2 3 5 2 2 3" xfId="24986" xr:uid="{00000000-0005-0000-0000-00001E5C0000}"/>
    <cellStyle name="40 % - Markeringsfarve2 3 5 2 2 4" xfId="39973" xr:uid="{00000000-0005-0000-0000-00001F5C0000}"/>
    <cellStyle name="40 % - Markeringsfarve2 3 5 2 3" xfId="12086" xr:uid="{00000000-0005-0000-0000-0000205C0000}"/>
    <cellStyle name="40 % - Markeringsfarve2 3 5 2 3 2" xfId="28405" xr:uid="{00000000-0005-0000-0000-0000215C0000}"/>
    <cellStyle name="40 % - Markeringsfarve2 3 5 2 3 3" xfId="43370" xr:uid="{00000000-0005-0000-0000-0000225C0000}"/>
    <cellStyle name="40 % - Markeringsfarve2 3 5 2 4" xfId="21383" xr:uid="{00000000-0005-0000-0000-0000235C0000}"/>
    <cellStyle name="40 % - Markeringsfarve2 3 5 2 5" xfId="36371" xr:uid="{00000000-0005-0000-0000-0000245C0000}"/>
    <cellStyle name="40 % - Markeringsfarve2 3 5 3" xfId="3530" xr:uid="{00000000-0005-0000-0000-0000255C0000}"/>
    <cellStyle name="40 % - Markeringsfarve2 3 5 3 2" xfId="7023" xr:uid="{00000000-0005-0000-0000-0000265C0000}"/>
    <cellStyle name="40 % - Markeringsfarve2 3 5 3 2 2" xfId="14934" xr:uid="{00000000-0005-0000-0000-0000275C0000}"/>
    <cellStyle name="40 % - Markeringsfarve2 3 5 3 2 2 2" xfId="31248" xr:uid="{00000000-0005-0000-0000-0000285C0000}"/>
    <cellStyle name="40 % - Markeringsfarve2 3 5 3 2 2 3" xfId="46212" xr:uid="{00000000-0005-0000-0000-0000295C0000}"/>
    <cellStyle name="40 % - Markeringsfarve2 3 5 3 2 3" xfId="24226" xr:uid="{00000000-0005-0000-0000-00002A5C0000}"/>
    <cellStyle name="40 % - Markeringsfarve2 3 5 3 2 4" xfId="39213" xr:uid="{00000000-0005-0000-0000-00002B5C0000}"/>
    <cellStyle name="40 % - Markeringsfarve2 3 5 3 3" xfId="12087" xr:uid="{00000000-0005-0000-0000-00002C5C0000}"/>
    <cellStyle name="40 % - Markeringsfarve2 3 5 3 3 2" xfId="28406" xr:uid="{00000000-0005-0000-0000-00002D5C0000}"/>
    <cellStyle name="40 % - Markeringsfarve2 3 5 3 3 3" xfId="43371" xr:uid="{00000000-0005-0000-0000-00002E5C0000}"/>
    <cellStyle name="40 % - Markeringsfarve2 3 5 3 4" xfId="21384" xr:uid="{00000000-0005-0000-0000-00002F5C0000}"/>
    <cellStyle name="40 % - Markeringsfarve2 3 5 3 5" xfId="36372" xr:uid="{00000000-0005-0000-0000-0000305C0000}"/>
    <cellStyle name="40 % - Markeringsfarve2 3 5 4" xfId="5836" xr:uid="{00000000-0005-0000-0000-0000315C0000}"/>
    <cellStyle name="40 % - Markeringsfarve2 3 5 4 2" xfId="13754" xr:uid="{00000000-0005-0000-0000-0000325C0000}"/>
    <cellStyle name="40 % - Markeringsfarve2 3 5 4 2 2" xfId="30068" xr:uid="{00000000-0005-0000-0000-0000335C0000}"/>
    <cellStyle name="40 % - Markeringsfarve2 3 5 4 2 3" xfId="45032" xr:uid="{00000000-0005-0000-0000-0000345C0000}"/>
    <cellStyle name="40 % - Markeringsfarve2 3 5 4 3" xfId="23046" xr:uid="{00000000-0005-0000-0000-0000355C0000}"/>
    <cellStyle name="40 % - Markeringsfarve2 3 5 4 4" xfId="38033" xr:uid="{00000000-0005-0000-0000-0000365C0000}"/>
    <cellStyle name="40 % - Markeringsfarve2 3 5 5" xfId="12085" xr:uid="{00000000-0005-0000-0000-0000375C0000}"/>
    <cellStyle name="40 % - Markeringsfarve2 3 5 5 2" xfId="28404" xr:uid="{00000000-0005-0000-0000-0000385C0000}"/>
    <cellStyle name="40 % - Markeringsfarve2 3 5 5 3" xfId="43369" xr:uid="{00000000-0005-0000-0000-0000395C0000}"/>
    <cellStyle name="40 % - Markeringsfarve2 3 5 6" xfId="21382" xr:uid="{00000000-0005-0000-0000-00003A5C0000}"/>
    <cellStyle name="40 % - Markeringsfarve2 3 5 7" xfId="36370" xr:uid="{00000000-0005-0000-0000-00003B5C0000}"/>
    <cellStyle name="40 % - Markeringsfarve2 3 6" xfId="3531" xr:uid="{00000000-0005-0000-0000-00003C5C0000}"/>
    <cellStyle name="40 % - Markeringsfarve2 3 6 2" xfId="3532" xr:uid="{00000000-0005-0000-0000-00003D5C0000}"/>
    <cellStyle name="40 % - Markeringsfarve2 3 6 2 2" xfId="7863" xr:uid="{00000000-0005-0000-0000-00003E5C0000}"/>
    <cellStyle name="40 % - Markeringsfarve2 3 6 2 2 2" xfId="15764" xr:uid="{00000000-0005-0000-0000-00003F5C0000}"/>
    <cellStyle name="40 % - Markeringsfarve2 3 6 2 2 2 2" xfId="32078" xr:uid="{00000000-0005-0000-0000-0000405C0000}"/>
    <cellStyle name="40 % - Markeringsfarve2 3 6 2 2 2 3" xfId="47042" xr:uid="{00000000-0005-0000-0000-0000415C0000}"/>
    <cellStyle name="40 % - Markeringsfarve2 3 6 2 2 3" xfId="25056" xr:uid="{00000000-0005-0000-0000-0000425C0000}"/>
    <cellStyle name="40 % - Markeringsfarve2 3 6 2 2 4" xfId="40043" xr:uid="{00000000-0005-0000-0000-0000435C0000}"/>
    <cellStyle name="40 % - Markeringsfarve2 3 6 2 3" xfId="12089" xr:uid="{00000000-0005-0000-0000-0000445C0000}"/>
    <cellStyle name="40 % - Markeringsfarve2 3 6 2 3 2" xfId="28408" xr:uid="{00000000-0005-0000-0000-0000455C0000}"/>
    <cellStyle name="40 % - Markeringsfarve2 3 6 2 3 3" xfId="43373" xr:uid="{00000000-0005-0000-0000-0000465C0000}"/>
    <cellStyle name="40 % - Markeringsfarve2 3 6 2 4" xfId="21386" xr:uid="{00000000-0005-0000-0000-0000475C0000}"/>
    <cellStyle name="40 % - Markeringsfarve2 3 6 2 5" xfId="36374" xr:uid="{00000000-0005-0000-0000-0000485C0000}"/>
    <cellStyle name="40 % - Markeringsfarve2 3 6 3" xfId="3533" xr:uid="{00000000-0005-0000-0000-0000495C0000}"/>
    <cellStyle name="40 % - Markeringsfarve2 3 6 3 2" xfId="7139" xr:uid="{00000000-0005-0000-0000-00004A5C0000}"/>
    <cellStyle name="40 % - Markeringsfarve2 3 6 3 2 2" xfId="15049" xr:uid="{00000000-0005-0000-0000-00004B5C0000}"/>
    <cellStyle name="40 % - Markeringsfarve2 3 6 3 2 2 2" xfId="31363" xr:uid="{00000000-0005-0000-0000-00004C5C0000}"/>
    <cellStyle name="40 % - Markeringsfarve2 3 6 3 2 2 3" xfId="46327" xr:uid="{00000000-0005-0000-0000-00004D5C0000}"/>
    <cellStyle name="40 % - Markeringsfarve2 3 6 3 2 3" xfId="24341" xr:uid="{00000000-0005-0000-0000-00004E5C0000}"/>
    <cellStyle name="40 % - Markeringsfarve2 3 6 3 2 4" xfId="39328" xr:uid="{00000000-0005-0000-0000-00004F5C0000}"/>
    <cellStyle name="40 % - Markeringsfarve2 3 6 3 3" xfId="12090" xr:uid="{00000000-0005-0000-0000-0000505C0000}"/>
    <cellStyle name="40 % - Markeringsfarve2 3 6 3 3 2" xfId="28409" xr:uid="{00000000-0005-0000-0000-0000515C0000}"/>
    <cellStyle name="40 % - Markeringsfarve2 3 6 3 3 3" xfId="43374" xr:uid="{00000000-0005-0000-0000-0000525C0000}"/>
    <cellStyle name="40 % - Markeringsfarve2 3 6 3 4" xfId="21387" xr:uid="{00000000-0005-0000-0000-0000535C0000}"/>
    <cellStyle name="40 % - Markeringsfarve2 3 6 3 5" xfId="36375" xr:uid="{00000000-0005-0000-0000-0000545C0000}"/>
    <cellStyle name="40 % - Markeringsfarve2 3 6 4" xfId="5837" xr:uid="{00000000-0005-0000-0000-0000555C0000}"/>
    <cellStyle name="40 % - Markeringsfarve2 3 6 4 2" xfId="13755" xr:uid="{00000000-0005-0000-0000-0000565C0000}"/>
    <cellStyle name="40 % - Markeringsfarve2 3 6 4 2 2" xfId="30069" xr:uid="{00000000-0005-0000-0000-0000575C0000}"/>
    <cellStyle name="40 % - Markeringsfarve2 3 6 4 2 3" xfId="45033" xr:uid="{00000000-0005-0000-0000-0000585C0000}"/>
    <cellStyle name="40 % - Markeringsfarve2 3 6 4 3" xfId="23047" xr:uid="{00000000-0005-0000-0000-0000595C0000}"/>
    <cellStyle name="40 % - Markeringsfarve2 3 6 4 4" xfId="38034" xr:uid="{00000000-0005-0000-0000-00005A5C0000}"/>
    <cellStyle name="40 % - Markeringsfarve2 3 6 5" xfId="12088" xr:uid="{00000000-0005-0000-0000-00005B5C0000}"/>
    <cellStyle name="40 % - Markeringsfarve2 3 6 5 2" xfId="28407" xr:uid="{00000000-0005-0000-0000-00005C5C0000}"/>
    <cellStyle name="40 % - Markeringsfarve2 3 6 5 3" xfId="43372" xr:uid="{00000000-0005-0000-0000-00005D5C0000}"/>
    <cellStyle name="40 % - Markeringsfarve2 3 6 6" xfId="21385" xr:uid="{00000000-0005-0000-0000-00005E5C0000}"/>
    <cellStyle name="40 % - Markeringsfarve2 3 6 7" xfId="36373" xr:uid="{00000000-0005-0000-0000-00005F5C0000}"/>
    <cellStyle name="40 % - Markeringsfarve2 3 7" xfId="3534" xr:uid="{00000000-0005-0000-0000-0000605C0000}"/>
    <cellStyle name="40 % - Markeringsfarve2 3 7 2" xfId="3535" xr:uid="{00000000-0005-0000-0000-0000615C0000}"/>
    <cellStyle name="40 % - Markeringsfarve2 3 7 2 2" xfId="7980" xr:uid="{00000000-0005-0000-0000-0000625C0000}"/>
    <cellStyle name="40 % - Markeringsfarve2 3 7 2 2 2" xfId="15881" xr:uid="{00000000-0005-0000-0000-0000635C0000}"/>
    <cellStyle name="40 % - Markeringsfarve2 3 7 2 2 2 2" xfId="32195" xr:uid="{00000000-0005-0000-0000-0000645C0000}"/>
    <cellStyle name="40 % - Markeringsfarve2 3 7 2 2 2 3" xfId="47159" xr:uid="{00000000-0005-0000-0000-0000655C0000}"/>
    <cellStyle name="40 % - Markeringsfarve2 3 7 2 2 3" xfId="25173" xr:uid="{00000000-0005-0000-0000-0000665C0000}"/>
    <cellStyle name="40 % - Markeringsfarve2 3 7 2 2 4" xfId="40160" xr:uid="{00000000-0005-0000-0000-0000675C0000}"/>
    <cellStyle name="40 % - Markeringsfarve2 3 7 2 3" xfId="12092" xr:uid="{00000000-0005-0000-0000-0000685C0000}"/>
    <cellStyle name="40 % - Markeringsfarve2 3 7 2 3 2" xfId="28411" xr:uid="{00000000-0005-0000-0000-0000695C0000}"/>
    <cellStyle name="40 % - Markeringsfarve2 3 7 2 3 3" xfId="43376" xr:uid="{00000000-0005-0000-0000-00006A5C0000}"/>
    <cellStyle name="40 % - Markeringsfarve2 3 7 2 4" xfId="21389" xr:uid="{00000000-0005-0000-0000-00006B5C0000}"/>
    <cellStyle name="40 % - Markeringsfarve2 3 7 2 5" xfId="36377" xr:uid="{00000000-0005-0000-0000-00006C5C0000}"/>
    <cellStyle name="40 % - Markeringsfarve2 3 7 3" xfId="3536" xr:uid="{00000000-0005-0000-0000-00006D5C0000}"/>
    <cellStyle name="40 % - Markeringsfarve2 3 7 3 2" xfId="7256" xr:uid="{00000000-0005-0000-0000-00006E5C0000}"/>
    <cellStyle name="40 % - Markeringsfarve2 3 7 3 2 2" xfId="15166" xr:uid="{00000000-0005-0000-0000-00006F5C0000}"/>
    <cellStyle name="40 % - Markeringsfarve2 3 7 3 2 2 2" xfId="31480" xr:uid="{00000000-0005-0000-0000-0000705C0000}"/>
    <cellStyle name="40 % - Markeringsfarve2 3 7 3 2 2 3" xfId="46444" xr:uid="{00000000-0005-0000-0000-0000715C0000}"/>
    <cellStyle name="40 % - Markeringsfarve2 3 7 3 2 3" xfId="24458" xr:uid="{00000000-0005-0000-0000-0000725C0000}"/>
    <cellStyle name="40 % - Markeringsfarve2 3 7 3 2 4" xfId="39445" xr:uid="{00000000-0005-0000-0000-0000735C0000}"/>
    <cellStyle name="40 % - Markeringsfarve2 3 7 3 3" xfId="12093" xr:uid="{00000000-0005-0000-0000-0000745C0000}"/>
    <cellStyle name="40 % - Markeringsfarve2 3 7 3 3 2" xfId="28412" xr:uid="{00000000-0005-0000-0000-0000755C0000}"/>
    <cellStyle name="40 % - Markeringsfarve2 3 7 3 3 3" xfId="43377" xr:uid="{00000000-0005-0000-0000-0000765C0000}"/>
    <cellStyle name="40 % - Markeringsfarve2 3 7 3 4" xfId="21390" xr:uid="{00000000-0005-0000-0000-0000775C0000}"/>
    <cellStyle name="40 % - Markeringsfarve2 3 7 3 5" xfId="36378" xr:uid="{00000000-0005-0000-0000-0000785C0000}"/>
    <cellStyle name="40 % - Markeringsfarve2 3 7 4" xfId="5838" xr:uid="{00000000-0005-0000-0000-0000795C0000}"/>
    <cellStyle name="40 % - Markeringsfarve2 3 7 4 2" xfId="13756" xr:uid="{00000000-0005-0000-0000-00007A5C0000}"/>
    <cellStyle name="40 % - Markeringsfarve2 3 7 4 2 2" xfId="30070" xr:uid="{00000000-0005-0000-0000-00007B5C0000}"/>
    <cellStyle name="40 % - Markeringsfarve2 3 7 4 2 3" xfId="45034" xr:uid="{00000000-0005-0000-0000-00007C5C0000}"/>
    <cellStyle name="40 % - Markeringsfarve2 3 7 4 3" xfId="23048" xr:uid="{00000000-0005-0000-0000-00007D5C0000}"/>
    <cellStyle name="40 % - Markeringsfarve2 3 7 4 4" xfId="38035" xr:uid="{00000000-0005-0000-0000-00007E5C0000}"/>
    <cellStyle name="40 % - Markeringsfarve2 3 7 5" xfId="12091" xr:uid="{00000000-0005-0000-0000-00007F5C0000}"/>
    <cellStyle name="40 % - Markeringsfarve2 3 7 5 2" xfId="28410" xr:uid="{00000000-0005-0000-0000-0000805C0000}"/>
    <cellStyle name="40 % - Markeringsfarve2 3 7 5 3" xfId="43375" xr:uid="{00000000-0005-0000-0000-0000815C0000}"/>
    <cellStyle name="40 % - Markeringsfarve2 3 7 6" xfId="21388" xr:uid="{00000000-0005-0000-0000-0000825C0000}"/>
    <cellStyle name="40 % - Markeringsfarve2 3 7 7" xfId="36376" xr:uid="{00000000-0005-0000-0000-0000835C0000}"/>
    <cellStyle name="40 % - Markeringsfarve2 3 8" xfId="3537" xr:uid="{00000000-0005-0000-0000-0000845C0000}"/>
    <cellStyle name="40 % - Markeringsfarve2 3 8 2" xfId="3538" xr:uid="{00000000-0005-0000-0000-0000855C0000}"/>
    <cellStyle name="40 % - Markeringsfarve2 3 8 2 2" xfId="8147" xr:uid="{00000000-0005-0000-0000-0000865C0000}"/>
    <cellStyle name="40 % - Markeringsfarve2 3 8 2 2 2" xfId="16048" xr:uid="{00000000-0005-0000-0000-0000875C0000}"/>
    <cellStyle name="40 % - Markeringsfarve2 3 8 2 2 2 2" xfId="32362" xr:uid="{00000000-0005-0000-0000-0000885C0000}"/>
    <cellStyle name="40 % - Markeringsfarve2 3 8 2 2 2 3" xfId="47326" xr:uid="{00000000-0005-0000-0000-0000895C0000}"/>
    <cellStyle name="40 % - Markeringsfarve2 3 8 2 2 3" xfId="25340" xr:uid="{00000000-0005-0000-0000-00008A5C0000}"/>
    <cellStyle name="40 % - Markeringsfarve2 3 8 2 2 4" xfId="40327" xr:uid="{00000000-0005-0000-0000-00008B5C0000}"/>
    <cellStyle name="40 % - Markeringsfarve2 3 8 2 3" xfId="12095" xr:uid="{00000000-0005-0000-0000-00008C5C0000}"/>
    <cellStyle name="40 % - Markeringsfarve2 3 8 2 3 2" xfId="28414" xr:uid="{00000000-0005-0000-0000-00008D5C0000}"/>
    <cellStyle name="40 % - Markeringsfarve2 3 8 2 3 3" xfId="43379" xr:uid="{00000000-0005-0000-0000-00008E5C0000}"/>
    <cellStyle name="40 % - Markeringsfarve2 3 8 2 4" xfId="21392" xr:uid="{00000000-0005-0000-0000-00008F5C0000}"/>
    <cellStyle name="40 % - Markeringsfarve2 3 8 2 5" xfId="36380" xr:uid="{00000000-0005-0000-0000-0000905C0000}"/>
    <cellStyle name="40 % - Markeringsfarve2 3 8 3" xfId="3539" xr:uid="{00000000-0005-0000-0000-0000915C0000}"/>
    <cellStyle name="40 % - Markeringsfarve2 3 8 3 2" xfId="7424" xr:uid="{00000000-0005-0000-0000-0000925C0000}"/>
    <cellStyle name="40 % - Markeringsfarve2 3 8 3 2 2" xfId="15334" xr:uid="{00000000-0005-0000-0000-0000935C0000}"/>
    <cellStyle name="40 % - Markeringsfarve2 3 8 3 2 2 2" xfId="31648" xr:uid="{00000000-0005-0000-0000-0000945C0000}"/>
    <cellStyle name="40 % - Markeringsfarve2 3 8 3 2 2 3" xfId="46612" xr:uid="{00000000-0005-0000-0000-0000955C0000}"/>
    <cellStyle name="40 % - Markeringsfarve2 3 8 3 2 3" xfId="24626" xr:uid="{00000000-0005-0000-0000-0000965C0000}"/>
    <cellStyle name="40 % - Markeringsfarve2 3 8 3 2 4" xfId="39613" xr:uid="{00000000-0005-0000-0000-0000975C0000}"/>
    <cellStyle name="40 % - Markeringsfarve2 3 8 3 3" xfId="12096" xr:uid="{00000000-0005-0000-0000-0000985C0000}"/>
    <cellStyle name="40 % - Markeringsfarve2 3 8 3 3 2" xfId="28415" xr:uid="{00000000-0005-0000-0000-0000995C0000}"/>
    <cellStyle name="40 % - Markeringsfarve2 3 8 3 3 3" xfId="43380" xr:uid="{00000000-0005-0000-0000-00009A5C0000}"/>
    <cellStyle name="40 % - Markeringsfarve2 3 8 3 4" xfId="21393" xr:uid="{00000000-0005-0000-0000-00009B5C0000}"/>
    <cellStyle name="40 % - Markeringsfarve2 3 8 3 5" xfId="36381" xr:uid="{00000000-0005-0000-0000-00009C5C0000}"/>
    <cellStyle name="40 % - Markeringsfarve2 3 8 4" xfId="5839" xr:uid="{00000000-0005-0000-0000-00009D5C0000}"/>
    <cellStyle name="40 % - Markeringsfarve2 3 8 4 2" xfId="13757" xr:uid="{00000000-0005-0000-0000-00009E5C0000}"/>
    <cellStyle name="40 % - Markeringsfarve2 3 8 4 2 2" xfId="30071" xr:uid="{00000000-0005-0000-0000-00009F5C0000}"/>
    <cellStyle name="40 % - Markeringsfarve2 3 8 4 2 3" xfId="45035" xr:uid="{00000000-0005-0000-0000-0000A05C0000}"/>
    <cellStyle name="40 % - Markeringsfarve2 3 8 4 3" xfId="23049" xr:uid="{00000000-0005-0000-0000-0000A15C0000}"/>
    <cellStyle name="40 % - Markeringsfarve2 3 8 4 4" xfId="38036" xr:uid="{00000000-0005-0000-0000-0000A25C0000}"/>
    <cellStyle name="40 % - Markeringsfarve2 3 8 5" xfId="12094" xr:uid="{00000000-0005-0000-0000-0000A35C0000}"/>
    <cellStyle name="40 % - Markeringsfarve2 3 8 5 2" xfId="28413" xr:uid="{00000000-0005-0000-0000-0000A45C0000}"/>
    <cellStyle name="40 % - Markeringsfarve2 3 8 5 3" xfId="43378" xr:uid="{00000000-0005-0000-0000-0000A55C0000}"/>
    <cellStyle name="40 % - Markeringsfarve2 3 8 6" xfId="21391" xr:uid="{00000000-0005-0000-0000-0000A65C0000}"/>
    <cellStyle name="40 % - Markeringsfarve2 3 8 7" xfId="36379" xr:uid="{00000000-0005-0000-0000-0000A75C0000}"/>
    <cellStyle name="40 % - Markeringsfarve2 3 9" xfId="3540" xr:uid="{00000000-0005-0000-0000-0000A85C0000}"/>
    <cellStyle name="40 % - Markeringsfarve2 3 9 2" xfId="7506" xr:uid="{00000000-0005-0000-0000-0000A95C0000}"/>
    <cellStyle name="40 % - Markeringsfarve2 3 9 2 2" xfId="15407" xr:uid="{00000000-0005-0000-0000-0000AA5C0000}"/>
    <cellStyle name="40 % - Markeringsfarve2 3 9 2 2 2" xfId="31721" xr:uid="{00000000-0005-0000-0000-0000AB5C0000}"/>
    <cellStyle name="40 % - Markeringsfarve2 3 9 2 2 3" xfId="46685" xr:uid="{00000000-0005-0000-0000-0000AC5C0000}"/>
    <cellStyle name="40 % - Markeringsfarve2 3 9 2 3" xfId="24699" xr:uid="{00000000-0005-0000-0000-0000AD5C0000}"/>
    <cellStyle name="40 % - Markeringsfarve2 3 9 2 4" xfId="39686" xr:uid="{00000000-0005-0000-0000-0000AE5C0000}"/>
    <cellStyle name="40 % - Markeringsfarve2 3 9 3" xfId="12097" xr:uid="{00000000-0005-0000-0000-0000AF5C0000}"/>
    <cellStyle name="40 % - Markeringsfarve2 3 9 3 2" xfId="28416" xr:uid="{00000000-0005-0000-0000-0000B05C0000}"/>
    <cellStyle name="40 % - Markeringsfarve2 3 9 3 3" xfId="43381" xr:uid="{00000000-0005-0000-0000-0000B15C0000}"/>
    <cellStyle name="40 % - Markeringsfarve2 3 9 4" xfId="21394" xr:uid="{00000000-0005-0000-0000-0000B25C0000}"/>
    <cellStyle name="40 % - Markeringsfarve2 3 9 5" xfId="36382" xr:uid="{00000000-0005-0000-0000-0000B35C0000}"/>
    <cellStyle name="40 % - Markeringsfarve2 4" xfId="3541" xr:uid="{00000000-0005-0000-0000-0000B45C0000}"/>
    <cellStyle name="40 % - Markeringsfarve2 4 10" xfId="12098" xr:uid="{00000000-0005-0000-0000-0000B55C0000}"/>
    <cellStyle name="40 % - Markeringsfarve2 4 10 2" xfId="28417" xr:uid="{00000000-0005-0000-0000-0000B65C0000}"/>
    <cellStyle name="40 % - Markeringsfarve2 4 10 3" xfId="43382" xr:uid="{00000000-0005-0000-0000-0000B75C0000}"/>
    <cellStyle name="40 % - Markeringsfarve2 4 11" xfId="21395" xr:uid="{00000000-0005-0000-0000-0000B85C0000}"/>
    <cellStyle name="40 % - Markeringsfarve2 4 12" xfId="36383" xr:uid="{00000000-0005-0000-0000-0000B95C0000}"/>
    <cellStyle name="40 % - Markeringsfarve2 4 13" xfId="53329" xr:uid="{00000000-0005-0000-0000-0000BA5C0000}"/>
    <cellStyle name="40 % - Markeringsfarve2 4 2" xfId="3542" xr:uid="{00000000-0005-0000-0000-0000BB5C0000}"/>
    <cellStyle name="40 % - Markeringsfarve2 4 2 2" xfId="3543" xr:uid="{00000000-0005-0000-0000-0000BC5C0000}"/>
    <cellStyle name="40 % - Markeringsfarve2 4 2 2 2" xfId="7650" xr:uid="{00000000-0005-0000-0000-0000BD5C0000}"/>
    <cellStyle name="40 % - Markeringsfarve2 4 2 2 2 2" xfId="15551" xr:uid="{00000000-0005-0000-0000-0000BE5C0000}"/>
    <cellStyle name="40 % - Markeringsfarve2 4 2 2 2 2 2" xfId="31865" xr:uid="{00000000-0005-0000-0000-0000BF5C0000}"/>
    <cellStyle name="40 % - Markeringsfarve2 4 2 2 2 2 3" xfId="46829" xr:uid="{00000000-0005-0000-0000-0000C05C0000}"/>
    <cellStyle name="40 % - Markeringsfarve2 4 2 2 2 3" xfId="24843" xr:uid="{00000000-0005-0000-0000-0000C15C0000}"/>
    <cellStyle name="40 % - Markeringsfarve2 4 2 2 2 4" xfId="39830" xr:uid="{00000000-0005-0000-0000-0000C25C0000}"/>
    <cellStyle name="40 % - Markeringsfarve2 4 2 2 3" xfId="12100" xr:uid="{00000000-0005-0000-0000-0000C35C0000}"/>
    <cellStyle name="40 % - Markeringsfarve2 4 2 2 3 2" xfId="28419" xr:uid="{00000000-0005-0000-0000-0000C45C0000}"/>
    <cellStyle name="40 % - Markeringsfarve2 4 2 2 3 3" xfId="43384" xr:uid="{00000000-0005-0000-0000-0000C55C0000}"/>
    <cellStyle name="40 % - Markeringsfarve2 4 2 2 4" xfId="21397" xr:uid="{00000000-0005-0000-0000-0000C65C0000}"/>
    <cellStyle name="40 % - Markeringsfarve2 4 2 2 5" xfId="36385" xr:uid="{00000000-0005-0000-0000-0000C75C0000}"/>
    <cellStyle name="40 % - Markeringsfarve2 4 2 2 6" xfId="57133" xr:uid="{00000000-0005-0000-0000-0000C85C0000}"/>
    <cellStyle name="40 % - Markeringsfarve2 4 2 3" xfId="3544" xr:uid="{00000000-0005-0000-0000-0000C95C0000}"/>
    <cellStyle name="40 % - Markeringsfarve2 4 2 3 2" xfId="6880" xr:uid="{00000000-0005-0000-0000-0000CA5C0000}"/>
    <cellStyle name="40 % - Markeringsfarve2 4 2 3 2 2" xfId="14791" xr:uid="{00000000-0005-0000-0000-0000CB5C0000}"/>
    <cellStyle name="40 % - Markeringsfarve2 4 2 3 2 2 2" xfId="31105" xr:uid="{00000000-0005-0000-0000-0000CC5C0000}"/>
    <cellStyle name="40 % - Markeringsfarve2 4 2 3 2 2 3" xfId="46069" xr:uid="{00000000-0005-0000-0000-0000CD5C0000}"/>
    <cellStyle name="40 % - Markeringsfarve2 4 2 3 2 3" xfId="24083" xr:uid="{00000000-0005-0000-0000-0000CE5C0000}"/>
    <cellStyle name="40 % - Markeringsfarve2 4 2 3 2 4" xfId="39070" xr:uid="{00000000-0005-0000-0000-0000CF5C0000}"/>
    <cellStyle name="40 % - Markeringsfarve2 4 2 3 3" xfId="12101" xr:uid="{00000000-0005-0000-0000-0000D05C0000}"/>
    <cellStyle name="40 % - Markeringsfarve2 4 2 3 3 2" xfId="28420" xr:uid="{00000000-0005-0000-0000-0000D15C0000}"/>
    <cellStyle name="40 % - Markeringsfarve2 4 2 3 3 3" xfId="43385" xr:uid="{00000000-0005-0000-0000-0000D25C0000}"/>
    <cellStyle name="40 % - Markeringsfarve2 4 2 3 4" xfId="21398" xr:uid="{00000000-0005-0000-0000-0000D35C0000}"/>
    <cellStyle name="40 % - Markeringsfarve2 4 2 3 5" xfId="36386" xr:uid="{00000000-0005-0000-0000-0000D45C0000}"/>
    <cellStyle name="40 % - Markeringsfarve2 4 2 4" xfId="5841" xr:uid="{00000000-0005-0000-0000-0000D55C0000}"/>
    <cellStyle name="40 % - Markeringsfarve2 4 2 4 2" xfId="13759" xr:uid="{00000000-0005-0000-0000-0000D65C0000}"/>
    <cellStyle name="40 % - Markeringsfarve2 4 2 4 2 2" xfId="30073" xr:uid="{00000000-0005-0000-0000-0000D75C0000}"/>
    <cellStyle name="40 % - Markeringsfarve2 4 2 4 2 3" xfId="45037" xr:uid="{00000000-0005-0000-0000-0000D85C0000}"/>
    <cellStyle name="40 % - Markeringsfarve2 4 2 4 3" xfId="23051" xr:uid="{00000000-0005-0000-0000-0000D95C0000}"/>
    <cellStyle name="40 % - Markeringsfarve2 4 2 4 4" xfId="38038" xr:uid="{00000000-0005-0000-0000-0000DA5C0000}"/>
    <cellStyle name="40 % - Markeringsfarve2 4 2 5" xfId="12099" xr:uid="{00000000-0005-0000-0000-0000DB5C0000}"/>
    <cellStyle name="40 % - Markeringsfarve2 4 2 5 2" xfId="28418" xr:uid="{00000000-0005-0000-0000-0000DC5C0000}"/>
    <cellStyle name="40 % - Markeringsfarve2 4 2 5 3" xfId="43383" xr:uid="{00000000-0005-0000-0000-0000DD5C0000}"/>
    <cellStyle name="40 % - Markeringsfarve2 4 2 6" xfId="21396" xr:uid="{00000000-0005-0000-0000-0000DE5C0000}"/>
    <cellStyle name="40 % - Markeringsfarve2 4 2 7" xfId="36384" xr:uid="{00000000-0005-0000-0000-0000DF5C0000}"/>
    <cellStyle name="40 % - Markeringsfarve2 4 2 8" xfId="53966" xr:uid="{00000000-0005-0000-0000-0000E05C0000}"/>
    <cellStyle name="40 % - Markeringsfarve2 4 3" xfId="3545" xr:uid="{00000000-0005-0000-0000-0000E15C0000}"/>
    <cellStyle name="40 % - Markeringsfarve2 4 3 2" xfId="3546" xr:uid="{00000000-0005-0000-0000-0000E25C0000}"/>
    <cellStyle name="40 % - Markeringsfarve2 4 3 2 2" xfId="7796" xr:uid="{00000000-0005-0000-0000-0000E35C0000}"/>
    <cellStyle name="40 % - Markeringsfarve2 4 3 2 2 2" xfId="15697" xr:uid="{00000000-0005-0000-0000-0000E45C0000}"/>
    <cellStyle name="40 % - Markeringsfarve2 4 3 2 2 2 2" xfId="32011" xr:uid="{00000000-0005-0000-0000-0000E55C0000}"/>
    <cellStyle name="40 % - Markeringsfarve2 4 3 2 2 2 3" xfId="46975" xr:uid="{00000000-0005-0000-0000-0000E65C0000}"/>
    <cellStyle name="40 % - Markeringsfarve2 4 3 2 2 3" xfId="24989" xr:uid="{00000000-0005-0000-0000-0000E75C0000}"/>
    <cellStyle name="40 % - Markeringsfarve2 4 3 2 2 4" xfId="39976" xr:uid="{00000000-0005-0000-0000-0000E85C0000}"/>
    <cellStyle name="40 % - Markeringsfarve2 4 3 2 3" xfId="12103" xr:uid="{00000000-0005-0000-0000-0000E95C0000}"/>
    <cellStyle name="40 % - Markeringsfarve2 4 3 2 3 2" xfId="28422" xr:uid="{00000000-0005-0000-0000-0000EA5C0000}"/>
    <cellStyle name="40 % - Markeringsfarve2 4 3 2 3 3" xfId="43387" xr:uid="{00000000-0005-0000-0000-0000EB5C0000}"/>
    <cellStyle name="40 % - Markeringsfarve2 4 3 2 4" xfId="21400" xr:uid="{00000000-0005-0000-0000-0000EC5C0000}"/>
    <cellStyle name="40 % - Markeringsfarve2 4 3 2 5" xfId="36388" xr:uid="{00000000-0005-0000-0000-0000ED5C0000}"/>
    <cellStyle name="40 % - Markeringsfarve2 4 3 3" xfId="3547" xr:uid="{00000000-0005-0000-0000-0000EE5C0000}"/>
    <cellStyle name="40 % - Markeringsfarve2 4 3 3 2" xfId="7026" xr:uid="{00000000-0005-0000-0000-0000EF5C0000}"/>
    <cellStyle name="40 % - Markeringsfarve2 4 3 3 2 2" xfId="14937" xr:uid="{00000000-0005-0000-0000-0000F05C0000}"/>
    <cellStyle name="40 % - Markeringsfarve2 4 3 3 2 2 2" xfId="31251" xr:uid="{00000000-0005-0000-0000-0000F15C0000}"/>
    <cellStyle name="40 % - Markeringsfarve2 4 3 3 2 2 3" xfId="46215" xr:uid="{00000000-0005-0000-0000-0000F25C0000}"/>
    <cellStyle name="40 % - Markeringsfarve2 4 3 3 2 3" xfId="24229" xr:uid="{00000000-0005-0000-0000-0000F35C0000}"/>
    <cellStyle name="40 % - Markeringsfarve2 4 3 3 2 4" xfId="39216" xr:uid="{00000000-0005-0000-0000-0000F45C0000}"/>
    <cellStyle name="40 % - Markeringsfarve2 4 3 3 3" xfId="12104" xr:uid="{00000000-0005-0000-0000-0000F55C0000}"/>
    <cellStyle name="40 % - Markeringsfarve2 4 3 3 3 2" xfId="28423" xr:uid="{00000000-0005-0000-0000-0000F65C0000}"/>
    <cellStyle name="40 % - Markeringsfarve2 4 3 3 3 3" xfId="43388" xr:uid="{00000000-0005-0000-0000-0000F75C0000}"/>
    <cellStyle name="40 % - Markeringsfarve2 4 3 3 4" xfId="21401" xr:uid="{00000000-0005-0000-0000-0000F85C0000}"/>
    <cellStyle name="40 % - Markeringsfarve2 4 3 3 5" xfId="36389" xr:uid="{00000000-0005-0000-0000-0000F95C0000}"/>
    <cellStyle name="40 % - Markeringsfarve2 4 3 4" xfId="5842" xr:uid="{00000000-0005-0000-0000-0000FA5C0000}"/>
    <cellStyle name="40 % - Markeringsfarve2 4 3 4 2" xfId="13760" xr:uid="{00000000-0005-0000-0000-0000FB5C0000}"/>
    <cellStyle name="40 % - Markeringsfarve2 4 3 4 2 2" xfId="30074" xr:uid="{00000000-0005-0000-0000-0000FC5C0000}"/>
    <cellStyle name="40 % - Markeringsfarve2 4 3 4 2 3" xfId="45038" xr:uid="{00000000-0005-0000-0000-0000FD5C0000}"/>
    <cellStyle name="40 % - Markeringsfarve2 4 3 4 3" xfId="23052" xr:uid="{00000000-0005-0000-0000-0000FE5C0000}"/>
    <cellStyle name="40 % - Markeringsfarve2 4 3 4 4" xfId="38039" xr:uid="{00000000-0005-0000-0000-0000FF5C0000}"/>
    <cellStyle name="40 % - Markeringsfarve2 4 3 5" xfId="12102" xr:uid="{00000000-0005-0000-0000-0000005D0000}"/>
    <cellStyle name="40 % - Markeringsfarve2 4 3 5 2" xfId="28421" xr:uid="{00000000-0005-0000-0000-0000015D0000}"/>
    <cellStyle name="40 % - Markeringsfarve2 4 3 5 3" xfId="43386" xr:uid="{00000000-0005-0000-0000-0000025D0000}"/>
    <cellStyle name="40 % - Markeringsfarve2 4 3 6" xfId="21399" xr:uid="{00000000-0005-0000-0000-0000035D0000}"/>
    <cellStyle name="40 % - Markeringsfarve2 4 3 7" xfId="36387" xr:uid="{00000000-0005-0000-0000-0000045D0000}"/>
    <cellStyle name="40 % - Markeringsfarve2 4 3 8" xfId="56510" xr:uid="{00000000-0005-0000-0000-0000055D0000}"/>
    <cellStyle name="40 % - Markeringsfarve2 4 4" xfId="3548" xr:uid="{00000000-0005-0000-0000-0000065D0000}"/>
    <cellStyle name="40 % - Markeringsfarve2 4 4 2" xfId="3549" xr:uid="{00000000-0005-0000-0000-0000075D0000}"/>
    <cellStyle name="40 % - Markeringsfarve2 4 4 2 2" xfId="7888" xr:uid="{00000000-0005-0000-0000-0000085D0000}"/>
    <cellStyle name="40 % - Markeringsfarve2 4 4 2 2 2" xfId="15789" xr:uid="{00000000-0005-0000-0000-0000095D0000}"/>
    <cellStyle name="40 % - Markeringsfarve2 4 4 2 2 2 2" xfId="32103" xr:uid="{00000000-0005-0000-0000-00000A5D0000}"/>
    <cellStyle name="40 % - Markeringsfarve2 4 4 2 2 2 3" xfId="47067" xr:uid="{00000000-0005-0000-0000-00000B5D0000}"/>
    <cellStyle name="40 % - Markeringsfarve2 4 4 2 2 3" xfId="25081" xr:uid="{00000000-0005-0000-0000-00000C5D0000}"/>
    <cellStyle name="40 % - Markeringsfarve2 4 4 2 2 4" xfId="40068" xr:uid="{00000000-0005-0000-0000-00000D5D0000}"/>
    <cellStyle name="40 % - Markeringsfarve2 4 4 2 3" xfId="12106" xr:uid="{00000000-0005-0000-0000-00000E5D0000}"/>
    <cellStyle name="40 % - Markeringsfarve2 4 4 2 3 2" xfId="28425" xr:uid="{00000000-0005-0000-0000-00000F5D0000}"/>
    <cellStyle name="40 % - Markeringsfarve2 4 4 2 3 3" xfId="43390" xr:uid="{00000000-0005-0000-0000-0000105D0000}"/>
    <cellStyle name="40 % - Markeringsfarve2 4 4 2 4" xfId="21403" xr:uid="{00000000-0005-0000-0000-0000115D0000}"/>
    <cellStyle name="40 % - Markeringsfarve2 4 4 2 5" xfId="36391" xr:uid="{00000000-0005-0000-0000-0000125D0000}"/>
    <cellStyle name="40 % - Markeringsfarve2 4 4 3" xfId="3550" xr:uid="{00000000-0005-0000-0000-0000135D0000}"/>
    <cellStyle name="40 % - Markeringsfarve2 4 4 3 2" xfId="7164" xr:uid="{00000000-0005-0000-0000-0000145D0000}"/>
    <cellStyle name="40 % - Markeringsfarve2 4 4 3 2 2" xfId="15074" xr:uid="{00000000-0005-0000-0000-0000155D0000}"/>
    <cellStyle name="40 % - Markeringsfarve2 4 4 3 2 2 2" xfId="31388" xr:uid="{00000000-0005-0000-0000-0000165D0000}"/>
    <cellStyle name="40 % - Markeringsfarve2 4 4 3 2 2 3" xfId="46352" xr:uid="{00000000-0005-0000-0000-0000175D0000}"/>
    <cellStyle name="40 % - Markeringsfarve2 4 4 3 2 3" xfId="24366" xr:uid="{00000000-0005-0000-0000-0000185D0000}"/>
    <cellStyle name="40 % - Markeringsfarve2 4 4 3 2 4" xfId="39353" xr:uid="{00000000-0005-0000-0000-0000195D0000}"/>
    <cellStyle name="40 % - Markeringsfarve2 4 4 3 3" xfId="12107" xr:uid="{00000000-0005-0000-0000-00001A5D0000}"/>
    <cellStyle name="40 % - Markeringsfarve2 4 4 3 3 2" xfId="28426" xr:uid="{00000000-0005-0000-0000-00001B5D0000}"/>
    <cellStyle name="40 % - Markeringsfarve2 4 4 3 3 3" xfId="43391" xr:uid="{00000000-0005-0000-0000-00001C5D0000}"/>
    <cellStyle name="40 % - Markeringsfarve2 4 4 3 4" xfId="21404" xr:uid="{00000000-0005-0000-0000-00001D5D0000}"/>
    <cellStyle name="40 % - Markeringsfarve2 4 4 3 5" xfId="36392" xr:uid="{00000000-0005-0000-0000-00001E5D0000}"/>
    <cellStyle name="40 % - Markeringsfarve2 4 4 4" xfId="5843" xr:uid="{00000000-0005-0000-0000-00001F5D0000}"/>
    <cellStyle name="40 % - Markeringsfarve2 4 4 4 2" xfId="13761" xr:uid="{00000000-0005-0000-0000-0000205D0000}"/>
    <cellStyle name="40 % - Markeringsfarve2 4 4 4 2 2" xfId="30075" xr:uid="{00000000-0005-0000-0000-0000215D0000}"/>
    <cellStyle name="40 % - Markeringsfarve2 4 4 4 2 3" xfId="45039" xr:uid="{00000000-0005-0000-0000-0000225D0000}"/>
    <cellStyle name="40 % - Markeringsfarve2 4 4 4 3" xfId="23053" xr:uid="{00000000-0005-0000-0000-0000235D0000}"/>
    <cellStyle name="40 % - Markeringsfarve2 4 4 4 4" xfId="38040" xr:uid="{00000000-0005-0000-0000-0000245D0000}"/>
    <cellStyle name="40 % - Markeringsfarve2 4 4 5" xfId="12105" xr:uid="{00000000-0005-0000-0000-0000255D0000}"/>
    <cellStyle name="40 % - Markeringsfarve2 4 4 5 2" xfId="28424" xr:uid="{00000000-0005-0000-0000-0000265D0000}"/>
    <cellStyle name="40 % - Markeringsfarve2 4 4 5 3" xfId="43389" xr:uid="{00000000-0005-0000-0000-0000275D0000}"/>
    <cellStyle name="40 % - Markeringsfarve2 4 4 6" xfId="21402" xr:uid="{00000000-0005-0000-0000-0000285D0000}"/>
    <cellStyle name="40 % - Markeringsfarve2 4 4 7" xfId="36390" xr:uid="{00000000-0005-0000-0000-0000295D0000}"/>
    <cellStyle name="40 % - Markeringsfarve2 4 5" xfId="3551" xr:uid="{00000000-0005-0000-0000-00002A5D0000}"/>
    <cellStyle name="40 % - Markeringsfarve2 4 5 2" xfId="3552" xr:uid="{00000000-0005-0000-0000-00002B5D0000}"/>
    <cellStyle name="40 % - Markeringsfarve2 4 5 2 2" xfId="8005" xr:uid="{00000000-0005-0000-0000-00002C5D0000}"/>
    <cellStyle name="40 % - Markeringsfarve2 4 5 2 2 2" xfId="15906" xr:uid="{00000000-0005-0000-0000-00002D5D0000}"/>
    <cellStyle name="40 % - Markeringsfarve2 4 5 2 2 2 2" xfId="32220" xr:uid="{00000000-0005-0000-0000-00002E5D0000}"/>
    <cellStyle name="40 % - Markeringsfarve2 4 5 2 2 2 3" xfId="47184" xr:uid="{00000000-0005-0000-0000-00002F5D0000}"/>
    <cellStyle name="40 % - Markeringsfarve2 4 5 2 2 3" xfId="25198" xr:uid="{00000000-0005-0000-0000-0000305D0000}"/>
    <cellStyle name="40 % - Markeringsfarve2 4 5 2 2 4" xfId="40185" xr:uid="{00000000-0005-0000-0000-0000315D0000}"/>
    <cellStyle name="40 % - Markeringsfarve2 4 5 2 3" xfId="12109" xr:uid="{00000000-0005-0000-0000-0000325D0000}"/>
    <cellStyle name="40 % - Markeringsfarve2 4 5 2 3 2" xfId="28428" xr:uid="{00000000-0005-0000-0000-0000335D0000}"/>
    <cellStyle name="40 % - Markeringsfarve2 4 5 2 3 3" xfId="43393" xr:uid="{00000000-0005-0000-0000-0000345D0000}"/>
    <cellStyle name="40 % - Markeringsfarve2 4 5 2 4" xfId="21406" xr:uid="{00000000-0005-0000-0000-0000355D0000}"/>
    <cellStyle name="40 % - Markeringsfarve2 4 5 2 5" xfId="36394" xr:uid="{00000000-0005-0000-0000-0000365D0000}"/>
    <cellStyle name="40 % - Markeringsfarve2 4 5 3" xfId="3553" xr:uid="{00000000-0005-0000-0000-0000375D0000}"/>
    <cellStyle name="40 % - Markeringsfarve2 4 5 3 2" xfId="7281" xr:uid="{00000000-0005-0000-0000-0000385D0000}"/>
    <cellStyle name="40 % - Markeringsfarve2 4 5 3 2 2" xfId="15191" xr:uid="{00000000-0005-0000-0000-0000395D0000}"/>
    <cellStyle name="40 % - Markeringsfarve2 4 5 3 2 2 2" xfId="31505" xr:uid="{00000000-0005-0000-0000-00003A5D0000}"/>
    <cellStyle name="40 % - Markeringsfarve2 4 5 3 2 2 3" xfId="46469" xr:uid="{00000000-0005-0000-0000-00003B5D0000}"/>
    <cellStyle name="40 % - Markeringsfarve2 4 5 3 2 3" xfId="24483" xr:uid="{00000000-0005-0000-0000-00003C5D0000}"/>
    <cellStyle name="40 % - Markeringsfarve2 4 5 3 2 4" xfId="39470" xr:uid="{00000000-0005-0000-0000-00003D5D0000}"/>
    <cellStyle name="40 % - Markeringsfarve2 4 5 3 3" xfId="12110" xr:uid="{00000000-0005-0000-0000-00003E5D0000}"/>
    <cellStyle name="40 % - Markeringsfarve2 4 5 3 3 2" xfId="28429" xr:uid="{00000000-0005-0000-0000-00003F5D0000}"/>
    <cellStyle name="40 % - Markeringsfarve2 4 5 3 3 3" xfId="43394" xr:uid="{00000000-0005-0000-0000-0000405D0000}"/>
    <cellStyle name="40 % - Markeringsfarve2 4 5 3 4" xfId="21407" xr:uid="{00000000-0005-0000-0000-0000415D0000}"/>
    <cellStyle name="40 % - Markeringsfarve2 4 5 3 5" xfId="36395" xr:uid="{00000000-0005-0000-0000-0000425D0000}"/>
    <cellStyle name="40 % - Markeringsfarve2 4 5 4" xfId="5844" xr:uid="{00000000-0005-0000-0000-0000435D0000}"/>
    <cellStyle name="40 % - Markeringsfarve2 4 5 4 2" xfId="13762" xr:uid="{00000000-0005-0000-0000-0000445D0000}"/>
    <cellStyle name="40 % - Markeringsfarve2 4 5 4 2 2" xfId="30076" xr:uid="{00000000-0005-0000-0000-0000455D0000}"/>
    <cellStyle name="40 % - Markeringsfarve2 4 5 4 2 3" xfId="45040" xr:uid="{00000000-0005-0000-0000-0000465D0000}"/>
    <cellStyle name="40 % - Markeringsfarve2 4 5 4 3" xfId="23054" xr:uid="{00000000-0005-0000-0000-0000475D0000}"/>
    <cellStyle name="40 % - Markeringsfarve2 4 5 4 4" xfId="38041" xr:uid="{00000000-0005-0000-0000-0000485D0000}"/>
    <cellStyle name="40 % - Markeringsfarve2 4 5 5" xfId="12108" xr:uid="{00000000-0005-0000-0000-0000495D0000}"/>
    <cellStyle name="40 % - Markeringsfarve2 4 5 5 2" xfId="28427" xr:uid="{00000000-0005-0000-0000-00004A5D0000}"/>
    <cellStyle name="40 % - Markeringsfarve2 4 5 5 3" xfId="43392" xr:uid="{00000000-0005-0000-0000-00004B5D0000}"/>
    <cellStyle name="40 % - Markeringsfarve2 4 5 6" xfId="21405" xr:uid="{00000000-0005-0000-0000-00004C5D0000}"/>
    <cellStyle name="40 % - Markeringsfarve2 4 5 7" xfId="36393" xr:uid="{00000000-0005-0000-0000-00004D5D0000}"/>
    <cellStyle name="40 % - Markeringsfarve2 4 6" xfId="3554" xr:uid="{00000000-0005-0000-0000-00004E5D0000}"/>
    <cellStyle name="40 % - Markeringsfarve2 4 6 2" xfId="3555" xr:uid="{00000000-0005-0000-0000-00004F5D0000}"/>
    <cellStyle name="40 % - Markeringsfarve2 4 6 2 2" xfId="8150" xr:uid="{00000000-0005-0000-0000-0000505D0000}"/>
    <cellStyle name="40 % - Markeringsfarve2 4 6 2 2 2" xfId="16051" xr:uid="{00000000-0005-0000-0000-0000515D0000}"/>
    <cellStyle name="40 % - Markeringsfarve2 4 6 2 2 2 2" xfId="32365" xr:uid="{00000000-0005-0000-0000-0000525D0000}"/>
    <cellStyle name="40 % - Markeringsfarve2 4 6 2 2 2 3" xfId="47329" xr:uid="{00000000-0005-0000-0000-0000535D0000}"/>
    <cellStyle name="40 % - Markeringsfarve2 4 6 2 2 3" xfId="25343" xr:uid="{00000000-0005-0000-0000-0000545D0000}"/>
    <cellStyle name="40 % - Markeringsfarve2 4 6 2 2 4" xfId="40330" xr:uid="{00000000-0005-0000-0000-0000555D0000}"/>
    <cellStyle name="40 % - Markeringsfarve2 4 6 2 3" xfId="12112" xr:uid="{00000000-0005-0000-0000-0000565D0000}"/>
    <cellStyle name="40 % - Markeringsfarve2 4 6 2 3 2" xfId="28431" xr:uid="{00000000-0005-0000-0000-0000575D0000}"/>
    <cellStyle name="40 % - Markeringsfarve2 4 6 2 3 3" xfId="43396" xr:uid="{00000000-0005-0000-0000-0000585D0000}"/>
    <cellStyle name="40 % - Markeringsfarve2 4 6 2 4" xfId="21409" xr:uid="{00000000-0005-0000-0000-0000595D0000}"/>
    <cellStyle name="40 % - Markeringsfarve2 4 6 2 5" xfId="36397" xr:uid="{00000000-0005-0000-0000-00005A5D0000}"/>
    <cellStyle name="40 % - Markeringsfarve2 4 6 3" xfId="3556" xr:uid="{00000000-0005-0000-0000-00005B5D0000}"/>
    <cellStyle name="40 % - Markeringsfarve2 4 6 3 2" xfId="7427" xr:uid="{00000000-0005-0000-0000-00005C5D0000}"/>
    <cellStyle name="40 % - Markeringsfarve2 4 6 3 2 2" xfId="15337" xr:uid="{00000000-0005-0000-0000-00005D5D0000}"/>
    <cellStyle name="40 % - Markeringsfarve2 4 6 3 2 2 2" xfId="31651" xr:uid="{00000000-0005-0000-0000-00005E5D0000}"/>
    <cellStyle name="40 % - Markeringsfarve2 4 6 3 2 2 3" xfId="46615" xr:uid="{00000000-0005-0000-0000-00005F5D0000}"/>
    <cellStyle name="40 % - Markeringsfarve2 4 6 3 2 3" xfId="24629" xr:uid="{00000000-0005-0000-0000-0000605D0000}"/>
    <cellStyle name="40 % - Markeringsfarve2 4 6 3 2 4" xfId="39616" xr:uid="{00000000-0005-0000-0000-0000615D0000}"/>
    <cellStyle name="40 % - Markeringsfarve2 4 6 3 3" xfId="12113" xr:uid="{00000000-0005-0000-0000-0000625D0000}"/>
    <cellStyle name="40 % - Markeringsfarve2 4 6 3 3 2" xfId="28432" xr:uid="{00000000-0005-0000-0000-0000635D0000}"/>
    <cellStyle name="40 % - Markeringsfarve2 4 6 3 3 3" xfId="43397" xr:uid="{00000000-0005-0000-0000-0000645D0000}"/>
    <cellStyle name="40 % - Markeringsfarve2 4 6 3 4" xfId="21410" xr:uid="{00000000-0005-0000-0000-0000655D0000}"/>
    <cellStyle name="40 % - Markeringsfarve2 4 6 3 5" xfId="36398" xr:uid="{00000000-0005-0000-0000-0000665D0000}"/>
    <cellStyle name="40 % - Markeringsfarve2 4 6 4" xfId="5845" xr:uid="{00000000-0005-0000-0000-0000675D0000}"/>
    <cellStyle name="40 % - Markeringsfarve2 4 6 4 2" xfId="13763" xr:uid="{00000000-0005-0000-0000-0000685D0000}"/>
    <cellStyle name="40 % - Markeringsfarve2 4 6 4 2 2" xfId="30077" xr:uid="{00000000-0005-0000-0000-0000695D0000}"/>
    <cellStyle name="40 % - Markeringsfarve2 4 6 4 2 3" xfId="45041" xr:uid="{00000000-0005-0000-0000-00006A5D0000}"/>
    <cellStyle name="40 % - Markeringsfarve2 4 6 4 3" xfId="23055" xr:uid="{00000000-0005-0000-0000-00006B5D0000}"/>
    <cellStyle name="40 % - Markeringsfarve2 4 6 4 4" xfId="38042" xr:uid="{00000000-0005-0000-0000-00006C5D0000}"/>
    <cellStyle name="40 % - Markeringsfarve2 4 6 5" xfId="12111" xr:uid="{00000000-0005-0000-0000-00006D5D0000}"/>
    <cellStyle name="40 % - Markeringsfarve2 4 6 5 2" xfId="28430" xr:uid="{00000000-0005-0000-0000-00006E5D0000}"/>
    <cellStyle name="40 % - Markeringsfarve2 4 6 5 3" xfId="43395" xr:uid="{00000000-0005-0000-0000-00006F5D0000}"/>
    <cellStyle name="40 % - Markeringsfarve2 4 6 6" xfId="21408" xr:uid="{00000000-0005-0000-0000-0000705D0000}"/>
    <cellStyle name="40 % - Markeringsfarve2 4 6 7" xfId="36396" xr:uid="{00000000-0005-0000-0000-0000715D0000}"/>
    <cellStyle name="40 % - Markeringsfarve2 4 7" xfId="3557" xr:uid="{00000000-0005-0000-0000-0000725D0000}"/>
    <cellStyle name="40 % - Markeringsfarve2 4 7 2" xfId="7531" xr:uid="{00000000-0005-0000-0000-0000735D0000}"/>
    <cellStyle name="40 % - Markeringsfarve2 4 7 2 2" xfId="15432" xr:uid="{00000000-0005-0000-0000-0000745D0000}"/>
    <cellStyle name="40 % - Markeringsfarve2 4 7 2 2 2" xfId="31746" xr:uid="{00000000-0005-0000-0000-0000755D0000}"/>
    <cellStyle name="40 % - Markeringsfarve2 4 7 2 2 3" xfId="46710" xr:uid="{00000000-0005-0000-0000-0000765D0000}"/>
    <cellStyle name="40 % - Markeringsfarve2 4 7 2 3" xfId="24724" xr:uid="{00000000-0005-0000-0000-0000775D0000}"/>
    <cellStyle name="40 % - Markeringsfarve2 4 7 2 4" xfId="39711" xr:uid="{00000000-0005-0000-0000-0000785D0000}"/>
    <cellStyle name="40 % - Markeringsfarve2 4 7 3" xfId="12114" xr:uid="{00000000-0005-0000-0000-0000795D0000}"/>
    <cellStyle name="40 % - Markeringsfarve2 4 7 3 2" xfId="28433" xr:uid="{00000000-0005-0000-0000-00007A5D0000}"/>
    <cellStyle name="40 % - Markeringsfarve2 4 7 3 3" xfId="43398" xr:uid="{00000000-0005-0000-0000-00007B5D0000}"/>
    <cellStyle name="40 % - Markeringsfarve2 4 7 4" xfId="21411" xr:uid="{00000000-0005-0000-0000-00007C5D0000}"/>
    <cellStyle name="40 % - Markeringsfarve2 4 7 5" xfId="36399" xr:uid="{00000000-0005-0000-0000-00007D5D0000}"/>
    <cellStyle name="40 % - Markeringsfarve2 4 8" xfId="3558" xr:uid="{00000000-0005-0000-0000-00007E5D0000}"/>
    <cellStyle name="40 % - Markeringsfarve2 4 8 2" xfId="6759" xr:uid="{00000000-0005-0000-0000-00007F5D0000}"/>
    <cellStyle name="40 % - Markeringsfarve2 4 8 2 2" xfId="14670" xr:uid="{00000000-0005-0000-0000-0000805D0000}"/>
    <cellStyle name="40 % - Markeringsfarve2 4 8 2 2 2" xfId="30984" xr:uid="{00000000-0005-0000-0000-0000815D0000}"/>
    <cellStyle name="40 % - Markeringsfarve2 4 8 2 2 3" xfId="45948" xr:uid="{00000000-0005-0000-0000-0000825D0000}"/>
    <cellStyle name="40 % - Markeringsfarve2 4 8 2 3" xfId="23962" xr:uid="{00000000-0005-0000-0000-0000835D0000}"/>
    <cellStyle name="40 % - Markeringsfarve2 4 8 2 4" xfId="38949" xr:uid="{00000000-0005-0000-0000-0000845D0000}"/>
    <cellStyle name="40 % - Markeringsfarve2 4 8 3" xfId="12115" xr:uid="{00000000-0005-0000-0000-0000855D0000}"/>
    <cellStyle name="40 % - Markeringsfarve2 4 8 3 2" xfId="28434" xr:uid="{00000000-0005-0000-0000-0000865D0000}"/>
    <cellStyle name="40 % - Markeringsfarve2 4 8 3 3" xfId="43399" xr:uid="{00000000-0005-0000-0000-0000875D0000}"/>
    <cellStyle name="40 % - Markeringsfarve2 4 8 4" xfId="21412" xr:uid="{00000000-0005-0000-0000-0000885D0000}"/>
    <cellStyle name="40 % - Markeringsfarve2 4 8 5" xfId="36400" xr:uid="{00000000-0005-0000-0000-0000895D0000}"/>
    <cellStyle name="40 % - Markeringsfarve2 4 9" xfId="5840" xr:uid="{00000000-0005-0000-0000-00008A5D0000}"/>
    <cellStyle name="40 % - Markeringsfarve2 4 9 2" xfId="13758" xr:uid="{00000000-0005-0000-0000-00008B5D0000}"/>
    <cellStyle name="40 % - Markeringsfarve2 4 9 2 2" xfId="30072" xr:uid="{00000000-0005-0000-0000-00008C5D0000}"/>
    <cellStyle name="40 % - Markeringsfarve2 4 9 2 3" xfId="45036" xr:uid="{00000000-0005-0000-0000-00008D5D0000}"/>
    <cellStyle name="40 % - Markeringsfarve2 4 9 3" xfId="23050" xr:uid="{00000000-0005-0000-0000-00008E5D0000}"/>
    <cellStyle name="40 % - Markeringsfarve2 4 9 4" xfId="38037" xr:uid="{00000000-0005-0000-0000-00008F5D0000}"/>
    <cellStyle name="40 % - Markeringsfarve2 5" xfId="3559" xr:uid="{00000000-0005-0000-0000-0000905D0000}"/>
    <cellStyle name="40 % - Markeringsfarve2 5 10" xfId="12116" xr:uid="{00000000-0005-0000-0000-0000915D0000}"/>
    <cellStyle name="40 % - Markeringsfarve2 5 10 2" xfId="28435" xr:uid="{00000000-0005-0000-0000-0000925D0000}"/>
    <cellStyle name="40 % - Markeringsfarve2 5 10 3" xfId="43400" xr:uid="{00000000-0005-0000-0000-0000935D0000}"/>
    <cellStyle name="40 % - Markeringsfarve2 5 11" xfId="21413" xr:uid="{00000000-0005-0000-0000-0000945D0000}"/>
    <cellStyle name="40 % - Markeringsfarve2 5 12" xfId="36401" xr:uid="{00000000-0005-0000-0000-0000955D0000}"/>
    <cellStyle name="40 % - Markeringsfarve2 5 13" xfId="53328" xr:uid="{00000000-0005-0000-0000-0000965D0000}"/>
    <cellStyle name="40 % - Markeringsfarve2 5 2" xfId="3560" xr:uid="{00000000-0005-0000-0000-0000975D0000}"/>
    <cellStyle name="40 % - Markeringsfarve2 5 2 2" xfId="3561" xr:uid="{00000000-0005-0000-0000-0000985D0000}"/>
    <cellStyle name="40 % - Markeringsfarve2 5 2 2 2" xfId="7689" xr:uid="{00000000-0005-0000-0000-0000995D0000}"/>
    <cellStyle name="40 % - Markeringsfarve2 5 2 2 2 2" xfId="15590" xr:uid="{00000000-0005-0000-0000-00009A5D0000}"/>
    <cellStyle name="40 % - Markeringsfarve2 5 2 2 2 2 2" xfId="31904" xr:uid="{00000000-0005-0000-0000-00009B5D0000}"/>
    <cellStyle name="40 % - Markeringsfarve2 5 2 2 2 2 3" xfId="46868" xr:uid="{00000000-0005-0000-0000-00009C5D0000}"/>
    <cellStyle name="40 % - Markeringsfarve2 5 2 2 2 3" xfId="24882" xr:uid="{00000000-0005-0000-0000-00009D5D0000}"/>
    <cellStyle name="40 % - Markeringsfarve2 5 2 2 2 4" xfId="39869" xr:uid="{00000000-0005-0000-0000-00009E5D0000}"/>
    <cellStyle name="40 % - Markeringsfarve2 5 2 2 3" xfId="12118" xr:uid="{00000000-0005-0000-0000-00009F5D0000}"/>
    <cellStyle name="40 % - Markeringsfarve2 5 2 2 3 2" xfId="28437" xr:uid="{00000000-0005-0000-0000-0000A05D0000}"/>
    <cellStyle name="40 % - Markeringsfarve2 5 2 2 3 3" xfId="43402" xr:uid="{00000000-0005-0000-0000-0000A15D0000}"/>
    <cellStyle name="40 % - Markeringsfarve2 5 2 2 4" xfId="21415" xr:uid="{00000000-0005-0000-0000-0000A25D0000}"/>
    <cellStyle name="40 % - Markeringsfarve2 5 2 2 5" xfId="36403" xr:uid="{00000000-0005-0000-0000-0000A35D0000}"/>
    <cellStyle name="40 % - Markeringsfarve2 5 2 2 6" xfId="57132" xr:uid="{00000000-0005-0000-0000-0000A45D0000}"/>
    <cellStyle name="40 % - Markeringsfarve2 5 2 3" xfId="3562" xr:uid="{00000000-0005-0000-0000-0000A55D0000}"/>
    <cellStyle name="40 % - Markeringsfarve2 5 2 3 2" xfId="6919" xr:uid="{00000000-0005-0000-0000-0000A65D0000}"/>
    <cellStyle name="40 % - Markeringsfarve2 5 2 3 2 2" xfId="14830" xr:uid="{00000000-0005-0000-0000-0000A75D0000}"/>
    <cellStyle name="40 % - Markeringsfarve2 5 2 3 2 2 2" xfId="31144" xr:uid="{00000000-0005-0000-0000-0000A85D0000}"/>
    <cellStyle name="40 % - Markeringsfarve2 5 2 3 2 2 3" xfId="46108" xr:uid="{00000000-0005-0000-0000-0000A95D0000}"/>
    <cellStyle name="40 % - Markeringsfarve2 5 2 3 2 3" xfId="24122" xr:uid="{00000000-0005-0000-0000-0000AA5D0000}"/>
    <cellStyle name="40 % - Markeringsfarve2 5 2 3 2 4" xfId="39109" xr:uid="{00000000-0005-0000-0000-0000AB5D0000}"/>
    <cellStyle name="40 % - Markeringsfarve2 5 2 3 3" xfId="12119" xr:uid="{00000000-0005-0000-0000-0000AC5D0000}"/>
    <cellStyle name="40 % - Markeringsfarve2 5 2 3 3 2" xfId="28438" xr:uid="{00000000-0005-0000-0000-0000AD5D0000}"/>
    <cellStyle name="40 % - Markeringsfarve2 5 2 3 3 3" xfId="43403" xr:uid="{00000000-0005-0000-0000-0000AE5D0000}"/>
    <cellStyle name="40 % - Markeringsfarve2 5 2 3 4" xfId="21416" xr:uid="{00000000-0005-0000-0000-0000AF5D0000}"/>
    <cellStyle name="40 % - Markeringsfarve2 5 2 3 5" xfId="36404" xr:uid="{00000000-0005-0000-0000-0000B05D0000}"/>
    <cellStyle name="40 % - Markeringsfarve2 5 2 4" xfId="5847" xr:uid="{00000000-0005-0000-0000-0000B15D0000}"/>
    <cellStyle name="40 % - Markeringsfarve2 5 2 4 2" xfId="13765" xr:uid="{00000000-0005-0000-0000-0000B25D0000}"/>
    <cellStyle name="40 % - Markeringsfarve2 5 2 4 2 2" xfId="30079" xr:uid="{00000000-0005-0000-0000-0000B35D0000}"/>
    <cellStyle name="40 % - Markeringsfarve2 5 2 4 2 3" xfId="45043" xr:uid="{00000000-0005-0000-0000-0000B45D0000}"/>
    <cellStyle name="40 % - Markeringsfarve2 5 2 4 3" xfId="23057" xr:uid="{00000000-0005-0000-0000-0000B55D0000}"/>
    <cellStyle name="40 % - Markeringsfarve2 5 2 4 4" xfId="38044" xr:uid="{00000000-0005-0000-0000-0000B65D0000}"/>
    <cellStyle name="40 % - Markeringsfarve2 5 2 5" xfId="12117" xr:uid="{00000000-0005-0000-0000-0000B75D0000}"/>
    <cellStyle name="40 % - Markeringsfarve2 5 2 5 2" xfId="28436" xr:uid="{00000000-0005-0000-0000-0000B85D0000}"/>
    <cellStyle name="40 % - Markeringsfarve2 5 2 5 3" xfId="43401" xr:uid="{00000000-0005-0000-0000-0000B95D0000}"/>
    <cellStyle name="40 % - Markeringsfarve2 5 2 6" xfId="21414" xr:uid="{00000000-0005-0000-0000-0000BA5D0000}"/>
    <cellStyle name="40 % - Markeringsfarve2 5 2 7" xfId="36402" xr:uid="{00000000-0005-0000-0000-0000BB5D0000}"/>
    <cellStyle name="40 % - Markeringsfarve2 5 2 8" xfId="53965" xr:uid="{00000000-0005-0000-0000-0000BC5D0000}"/>
    <cellStyle name="40 % - Markeringsfarve2 5 3" xfId="3563" xr:uid="{00000000-0005-0000-0000-0000BD5D0000}"/>
    <cellStyle name="40 % - Markeringsfarve2 5 3 2" xfId="3564" xr:uid="{00000000-0005-0000-0000-0000BE5D0000}"/>
    <cellStyle name="40 % - Markeringsfarve2 5 3 2 2" xfId="7797" xr:uid="{00000000-0005-0000-0000-0000BF5D0000}"/>
    <cellStyle name="40 % - Markeringsfarve2 5 3 2 2 2" xfId="15698" xr:uid="{00000000-0005-0000-0000-0000C05D0000}"/>
    <cellStyle name="40 % - Markeringsfarve2 5 3 2 2 2 2" xfId="32012" xr:uid="{00000000-0005-0000-0000-0000C15D0000}"/>
    <cellStyle name="40 % - Markeringsfarve2 5 3 2 2 2 3" xfId="46976" xr:uid="{00000000-0005-0000-0000-0000C25D0000}"/>
    <cellStyle name="40 % - Markeringsfarve2 5 3 2 2 3" xfId="24990" xr:uid="{00000000-0005-0000-0000-0000C35D0000}"/>
    <cellStyle name="40 % - Markeringsfarve2 5 3 2 2 4" xfId="39977" xr:uid="{00000000-0005-0000-0000-0000C45D0000}"/>
    <cellStyle name="40 % - Markeringsfarve2 5 3 2 3" xfId="12121" xr:uid="{00000000-0005-0000-0000-0000C55D0000}"/>
    <cellStyle name="40 % - Markeringsfarve2 5 3 2 3 2" xfId="28440" xr:uid="{00000000-0005-0000-0000-0000C65D0000}"/>
    <cellStyle name="40 % - Markeringsfarve2 5 3 2 3 3" xfId="43405" xr:uid="{00000000-0005-0000-0000-0000C75D0000}"/>
    <cellStyle name="40 % - Markeringsfarve2 5 3 2 4" xfId="21418" xr:uid="{00000000-0005-0000-0000-0000C85D0000}"/>
    <cellStyle name="40 % - Markeringsfarve2 5 3 2 5" xfId="36406" xr:uid="{00000000-0005-0000-0000-0000C95D0000}"/>
    <cellStyle name="40 % - Markeringsfarve2 5 3 3" xfId="3565" xr:uid="{00000000-0005-0000-0000-0000CA5D0000}"/>
    <cellStyle name="40 % - Markeringsfarve2 5 3 3 2" xfId="7027" xr:uid="{00000000-0005-0000-0000-0000CB5D0000}"/>
    <cellStyle name="40 % - Markeringsfarve2 5 3 3 2 2" xfId="14938" xr:uid="{00000000-0005-0000-0000-0000CC5D0000}"/>
    <cellStyle name="40 % - Markeringsfarve2 5 3 3 2 2 2" xfId="31252" xr:uid="{00000000-0005-0000-0000-0000CD5D0000}"/>
    <cellStyle name="40 % - Markeringsfarve2 5 3 3 2 2 3" xfId="46216" xr:uid="{00000000-0005-0000-0000-0000CE5D0000}"/>
    <cellStyle name="40 % - Markeringsfarve2 5 3 3 2 3" xfId="24230" xr:uid="{00000000-0005-0000-0000-0000CF5D0000}"/>
    <cellStyle name="40 % - Markeringsfarve2 5 3 3 2 4" xfId="39217" xr:uid="{00000000-0005-0000-0000-0000D05D0000}"/>
    <cellStyle name="40 % - Markeringsfarve2 5 3 3 3" xfId="12122" xr:uid="{00000000-0005-0000-0000-0000D15D0000}"/>
    <cellStyle name="40 % - Markeringsfarve2 5 3 3 3 2" xfId="28441" xr:uid="{00000000-0005-0000-0000-0000D25D0000}"/>
    <cellStyle name="40 % - Markeringsfarve2 5 3 3 3 3" xfId="43406" xr:uid="{00000000-0005-0000-0000-0000D35D0000}"/>
    <cellStyle name="40 % - Markeringsfarve2 5 3 3 4" xfId="21419" xr:uid="{00000000-0005-0000-0000-0000D45D0000}"/>
    <cellStyle name="40 % - Markeringsfarve2 5 3 3 5" xfId="36407" xr:uid="{00000000-0005-0000-0000-0000D55D0000}"/>
    <cellStyle name="40 % - Markeringsfarve2 5 3 4" xfId="5848" xr:uid="{00000000-0005-0000-0000-0000D65D0000}"/>
    <cellStyle name="40 % - Markeringsfarve2 5 3 4 2" xfId="13766" xr:uid="{00000000-0005-0000-0000-0000D75D0000}"/>
    <cellStyle name="40 % - Markeringsfarve2 5 3 4 2 2" xfId="30080" xr:uid="{00000000-0005-0000-0000-0000D85D0000}"/>
    <cellStyle name="40 % - Markeringsfarve2 5 3 4 2 3" xfId="45044" xr:uid="{00000000-0005-0000-0000-0000D95D0000}"/>
    <cellStyle name="40 % - Markeringsfarve2 5 3 4 3" xfId="23058" xr:uid="{00000000-0005-0000-0000-0000DA5D0000}"/>
    <cellStyle name="40 % - Markeringsfarve2 5 3 4 4" xfId="38045" xr:uid="{00000000-0005-0000-0000-0000DB5D0000}"/>
    <cellStyle name="40 % - Markeringsfarve2 5 3 5" xfId="12120" xr:uid="{00000000-0005-0000-0000-0000DC5D0000}"/>
    <cellStyle name="40 % - Markeringsfarve2 5 3 5 2" xfId="28439" xr:uid="{00000000-0005-0000-0000-0000DD5D0000}"/>
    <cellStyle name="40 % - Markeringsfarve2 5 3 5 3" xfId="43404" xr:uid="{00000000-0005-0000-0000-0000DE5D0000}"/>
    <cellStyle name="40 % - Markeringsfarve2 5 3 6" xfId="21417" xr:uid="{00000000-0005-0000-0000-0000DF5D0000}"/>
    <cellStyle name="40 % - Markeringsfarve2 5 3 7" xfId="36405" xr:uid="{00000000-0005-0000-0000-0000E05D0000}"/>
    <cellStyle name="40 % - Markeringsfarve2 5 3 8" xfId="56509" xr:uid="{00000000-0005-0000-0000-0000E15D0000}"/>
    <cellStyle name="40 % - Markeringsfarve2 5 4" xfId="3566" xr:uid="{00000000-0005-0000-0000-0000E25D0000}"/>
    <cellStyle name="40 % - Markeringsfarve2 5 4 2" xfId="3567" xr:uid="{00000000-0005-0000-0000-0000E35D0000}"/>
    <cellStyle name="40 % - Markeringsfarve2 5 4 2 2" xfId="7927" xr:uid="{00000000-0005-0000-0000-0000E45D0000}"/>
    <cellStyle name="40 % - Markeringsfarve2 5 4 2 2 2" xfId="15828" xr:uid="{00000000-0005-0000-0000-0000E55D0000}"/>
    <cellStyle name="40 % - Markeringsfarve2 5 4 2 2 2 2" xfId="32142" xr:uid="{00000000-0005-0000-0000-0000E65D0000}"/>
    <cellStyle name="40 % - Markeringsfarve2 5 4 2 2 2 3" xfId="47106" xr:uid="{00000000-0005-0000-0000-0000E75D0000}"/>
    <cellStyle name="40 % - Markeringsfarve2 5 4 2 2 3" xfId="25120" xr:uid="{00000000-0005-0000-0000-0000E85D0000}"/>
    <cellStyle name="40 % - Markeringsfarve2 5 4 2 2 4" xfId="40107" xr:uid="{00000000-0005-0000-0000-0000E95D0000}"/>
    <cellStyle name="40 % - Markeringsfarve2 5 4 2 3" xfId="12124" xr:uid="{00000000-0005-0000-0000-0000EA5D0000}"/>
    <cellStyle name="40 % - Markeringsfarve2 5 4 2 3 2" xfId="28443" xr:uid="{00000000-0005-0000-0000-0000EB5D0000}"/>
    <cellStyle name="40 % - Markeringsfarve2 5 4 2 3 3" xfId="43408" xr:uid="{00000000-0005-0000-0000-0000EC5D0000}"/>
    <cellStyle name="40 % - Markeringsfarve2 5 4 2 4" xfId="21421" xr:uid="{00000000-0005-0000-0000-0000ED5D0000}"/>
    <cellStyle name="40 % - Markeringsfarve2 5 4 2 5" xfId="36409" xr:uid="{00000000-0005-0000-0000-0000EE5D0000}"/>
    <cellStyle name="40 % - Markeringsfarve2 5 4 3" xfId="3568" xr:uid="{00000000-0005-0000-0000-0000EF5D0000}"/>
    <cellStyle name="40 % - Markeringsfarve2 5 4 3 2" xfId="7203" xr:uid="{00000000-0005-0000-0000-0000F05D0000}"/>
    <cellStyle name="40 % - Markeringsfarve2 5 4 3 2 2" xfId="15113" xr:uid="{00000000-0005-0000-0000-0000F15D0000}"/>
    <cellStyle name="40 % - Markeringsfarve2 5 4 3 2 2 2" xfId="31427" xr:uid="{00000000-0005-0000-0000-0000F25D0000}"/>
    <cellStyle name="40 % - Markeringsfarve2 5 4 3 2 2 3" xfId="46391" xr:uid="{00000000-0005-0000-0000-0000F35D0000}"/>
    <cellStyle name="40 % - Markeringsfarve2 5 4 3 2 3" xfId="24405" xr:uid="{00000000-0005-0000-0000-0000F45D0000}"/>
    <cellStyle name="40 % - Markeringsfarve2 5 4 3 2 4" xfId="39392" xr:uid="{00000000-0005-0000-0000-0000F55D0000}"/>
    <cellStyle name="40 % - Markeringsfarve2 5 4 3 3" xfId="12125" xr:uid="{00000000-0005-0000-0000-0000F65D0000}"/>
    <cellStyle name="40 % - Markeringsfarve2 5 4 3 3 2" xfId="28444" xr:uid="{00000000-0005-0000-0000-0000F75D0000}"/>
    <cellStyle name="40 % - Markeringsfarve2 5 4 3 3 3" xfId="43409" xr:uid="{00000000-0005-0000-0000-0000F85D0000}"/>
    <cellStyle name="40 % - Markeringsfarve2 5 4 3 4" xfId="21422" xr:uid="{00000000-0005-0000-0000-0000F95D0000}"/>
    <cellStyle name="40 % - Markeringsfarve2 5 4 3 5" xfId="36410" xr:uid="{00000000-0005-0000-0000-0000FA5D0000}"/>
    <cellStyle name="40 % - Markeringsfarve2 5 4 4" xfId="5849" xr:uid="{00000000-0005-0000-0000-0000FB5D0000}"/>
    <cellStyle name="40 % - Markeringsfarve2 5 4 4 2" xfId="13767" xr:uid="{00000000-0005-0000-0000-0000FC5D0000}"/>
    <cellStyle name="40 % - Markeringsfarve2 5 4 4 2 2" xfId="30081" xr:uid="{00000000-0005-0000-0000-0000FD5D0000}"/>
    <cellStyle name="40 % - Markeringsfarve2 5 4 4 2 3" xfId="45045" xr:uid="{00000000-0005-0000-0000-0000FE5D0000}"/>
    <cellStyle name="40 % - Markeringsfarve2 5 4 4 3" xfId="23059" xr:uid="{00000000-0005-0000-0000-0000FF5D0000}"/>
    <cellStyle name="40 % - Markeringsfarve2 5 4 4 4" xfId="38046" xr:uid="{00000000-0005-0000-0000-0000005E0000}"/>
    <cellStyle name="40 % - Markeringsfarve2 5 4 5" xfId="12123" xr:uid="{00000000-0005-0000-0000-0000015E0000}"/>
    <cellStyle name="40 % - Markeringsfarve2 5 4 5 2" xfId="28442" xr:uid="{00000000-0005-0000-0000-0000025E0000}"/>
    <cellStyle name="40 % - Markeringsfarve2 5 4 5 3" xfId="43407" xr:uid="{00000000-0005-0000-0000-0000035E0000}"/>
    <cellStyle name="40 % - Markeringsfarve2 5 4 6" xfId="21420" xr:uid="{00000000-0005-0000-0000-0000045E0000}"/>
    <cellStyle name="40 % - Markeringsfarve2 5 4 7" xfId="36408" xr:uid="{00000000-0005-0000-0000-0000055E0000}"/>
    <cellStyle name="40 % - Markeringsfarve2 5 5" xfId="3569" xr:uid="{00000000-0005-0000-0000-0000065E0000}"/>
    <cellStyle name="40 % - Markeringsfarve2 5 5 2" xfId="3570" xr:uid="{00000000-0005-0000-0000-0000075E0000}"/>
    <cellStyle name="40 % - Markeringsfarve2 5 5 2 2" xfId="8044" xr:uid="{00000000-0005-0000-0000-0000085E0000}"/>
    <cellStyle name="40 % - Markeringsfarve2 5 5 2 2 2" xfId="15945" xr:uid="{00000000-0005-0000-0000-0000095E0000}"/>
    <cellStyle name="40 % - Markeringsfarve2 5 5 2 2 2 2" xfId="32259" xr:uid="{00000000-0005-0000-0000-00000A5E0000}"/>
    <cellStyle name="40 % - Markeringsfarve2 5 5 2 2 2 3" xfId="47223" xr:uid="{00000000-0005-0000-0000-00000B5E0000}"/>
    <cellStyle name="40 % - Markeringsfarve2 5 5 2 2 3" xfId="25237" xr:uid="{00000000-0005-0000-0000-00000C5E0000}"/>
    <cellStyle name="40 % - Markeringsfarve2 5 5 2 2 4" xfId="40224" xr:uid="{00000000-0005-0000-0000-00000D5E0000}"/>
    <cellStyle name="40 % - Markeringsfarve2 5 5 2 3" xfId="12127" xr:uid="{00000000-0005-0000-0000-00000E5E0000}"/>
    <cellStyle name="40 % - Markeringsfarve2 5 5 2 3 2" xfId="28446" xr:uid="{00000000-0005-0000-0000-00000F5E0000}"/>
    <cellStyle name="40 % - Markeringsfarve2 5 5 2 3 3" xfId="43411" xr:uid="{00000000-0005-0000-0000-0000105E0000}"/>
    <cellStyle name="40 % - Markeringsfarve2 5 5 2 4" xfId="21424" xr:uid="{00000000-0005-0000-0000-0000115E0000}"/>
    <cellStyle name="40 % - Markeringsfarve2 5 5 2 5" xfId="36412" xr:uid="{00000000-0005-0000-0000-0000125E0000}"/>
    <cellStyle name="40 % - Markeringsfarve2 5 5 3" xfId="3571" xr:uid="{00000000-0005-0000-0000-0000135E0000}"/>
    <cellStyle name="40 % - Markeringsfarve2 5 5 3 2" xfId="7320" xr:uid="{00000000-0005-0000-0000-0000145E0000}"/>
    <cellStyle name="40 % - Markeringsfarve2 5 5 3 2 2" xfId="15230" xr:uid="{00000000-0005-0000-0000-0000155E0000}"/>
    <cellStyle name="40 % - Markeringsfarve2 5 5 3 2 2 2" xfId="31544" xr:uid="{00000000-0005-0000-0000-0000165E0000}"/>
    <cellStyle name="40 % - Markeringsfarve2 5 5 3 2 2 3" xfId="46508" xr:uid="{00000000-0005-0000-0000-0000175E0000}"/>
    <cellStyle name="40 % - Markeringsfarve2 5 5 3 2 3" xfId="24522" xr:uid="{00000000-0005-0000-0000-0000185E0000}"/>
    <cellStyle name="40 % - Markeringsfarve2 5 5 3 2 4" xfId="39509" xr:uid="{00000000-0005-0000-0000-0000195E0000}"/>
    <cellStyle name="40 % - Markeringsfarve2 5 5 3 3" xfId="12128" xr:uid="{00000000-0005-0000-0000-00001A5E0000}"/>
    <cellStyle name="40 % - Markeringsfarve2 5 5 3 3 2" xfId="28447" xr:uid="{00000000-0005-0000-0000-00001B5E0000}"/>
    <cellStyle name="40 % - Markeringsfarve2 5 5 3 3 3" xfId="43412" xr:uid="{00000000-0005-0000-0000-00001C5E0000}"/>
    <cellStyle name="40 % - Markeringsfarve2 5 5 3 4" xfId="21425" xr:uid="{00000000-0005-0000-0000-00001D5E0000}"/>
    <cellStyle name="40 % - Markeringsfarve2 5 5 3 5" xfId="36413" xr:uid="{00000000-0005-0000-0000-00001E5E0000}"/>
    <cellStyle name="40 % - Markeringsfarve2 5 5 4" xfId="5850" xr:uid="{00000000-0005-0000-0000-00001F5E0000}"/>
    <cellStyle name="40 % - Markeringsfarve2 5 5 4 2" xfId="13768" xr:uid="{00000000-0005-0000-0000-0000205E0000}"/>
    <cellStyle name="40 % - Markeringsfarve2 5 5 4 2 2" xfId="30082" xr:uid="{00000000-0005-0000-0000-0000215E0000}"/>
    <cellStyle name="40 % - Markeringsfarve2 5 5 4 2 3" xfId="45046" xr:uid="{00000000-0005-0000-0000-0000225E0000}"/>
    <cellStyle name="40 % - Markeringsfarve2 5 5 4 3" xfId="23060" xr:uid="{00000000-0005-0000-0000-0000235E0000}"/>
    <cellStyle name="40 % - Markeringsfarve2 5 5 4 4" xfId="38047" xr:uid="{00000000-0005-0000-0000-0000245E0000}"/>
    <cellStyle name="40 % - Markeringsfarve2 5 5 5" xfId="12126" xr:uid="{00000000-0005-0000-0000-0000255E0000}"/>
    <cellStyle name="40 % - Markeringsfarve2 5 5 5 2" xfId="28445" xr:uid="{00000000-0005-0000-0000-0000265E0000}"/>
    <cellStyle name="40 % - Markeringsfarve2 5 5 5 3" xfId="43410" xr:uid="{00000000-0005-0000-0000-0000275E0000}"/>
    <cellStyle name="40 % - Markeringsfarve2 5 5 6" xfId="21423" xr:uid="{00000000-0005-0000-0000-0000285E0000}"/>
    <cellStyle name="40 % - Markeringsfarve2 5 5 7" xfId="36411" xr:uid="{00000000-0005-0000-0000-0000295E0000}"/>
    <cellStyle name="40 % - Markeringsfarve2 5 6" xfId="3572" xr:uid="{00000000-0005-0000-0000-00002A5E0000}"/>
    <cellStyle name="40 % - Markeringsfarve2 5 6 2" xfId="3573" xr:uid="{00000000-0005-0000-0000-00002B5E0000}"/>
    <cellStyle name="40 % - Markeringsfarve2 5 6 2 2" xfId="8151" xr:uid="{00000000-0005-0000-0000-00002C5E0000}"/>
    <cellStyle name="40 % - Markeringsfarve2 5 6 2 2 2" xfId="16052" xr:uid="{00000000-0005-0000-0000-00002D5E0000}"/>
    <cellStyle name="40 % - Markeringsfarve2 5 6 2 2 2 2" xfId="32366" xr:uid="{00000000-0005-0000-0000-00002E5E0000}"/>
    <cellStyle name="40 % - Markeringsfarve2 5 6 2 2 2 3" xfId="47330" xr:uid="{00000000-0005-0000-0000-00002F5E0000}"/>
    <cellStyle name="40 % - Markeringsfarve2 5 6 2 2 3" xfId="25344" xr:uid="{00000000-0005-0000-0000-0000305E0000}"/>
    <cellStyle name="40 % - Markeringsfarve2 5 6 2 2 4" xfId="40331" xr:uid="{00000000-0005-0000-0000-0000315E0000}"/>
    <cellStyle name="40 % - Markeringsfarve2 5 6 2 3" xfId="12130" xr:uid="{00000000-0005-0000-0000-0000325E0000}"/>
    <cellStyle name="40 % - Markeringsfarve2 5 6 2 3 2" xfId="28449" xr:uid="{00000000-0005-0000-0000-0000335E0000}"/>
    <cellStyle name="40 % - Markeringsfarve2 5 6 2 3 3" xfId="43414" xr:uid="{00000000-0005-0000-0000-0000345E0000}"/>
    <cellStyle name="40 % - Markeringsfarve2 5 6 2 4" xfId="21427" xr:uid="{00000000-0005-0000-0000-0000355E0000}"/>
    <cellStyle name="40 % - Markeringsfarve2 5 6 2 5" xfId="36415" xr:uid="{00000000-0005-0000-0000-0000365E0000}"/>
    <cellStyle name="40 % - Markeringsfarve2 5 6 3" xfId="3574" xr:uid="{00000000-0005-0000-0000-0000375E0000}"/>
    <cellStyle name="40 % - Markeringsfarve2 5 6 3 2" xfId="7428" xr:uid="{00000000-0005-0000-0000-0000385E0000}"/>
    <cellStyle name="40 % - Markeringsfarve2 5 6 3 2 2" xfId="15338" xr:uid="{00000000-0005-0000-0000-0000395E0000}"/>
    <cellStyle name="40 % - Markeringsfarve2 5 6 3 2 2 2" xfId="31652" xr:uid="{00000000-0005-0000-0000-00003A5E0000}"/>
    <cellStyle name="40 % - Markeringsfarve2 5 6 3 2 2 3" xfId="46616" xr:uid="{00000000-0005-0000-0000-00003B5E0000}"/>
    <cellStyle name="40 % - Markeringsfarve2 5 6 3 2 3" xfId="24630" xr:uid="{00000000-0005-0000-0000-00003C5E0000}"/>
    <cellStyle name="40 % - Markeringsfarve2 5 6 3 2 4" xfId="39617" xr:uid="{00000000-0005-0000-0000-00003D5E0000}"/>
    <cellStyle name="40 % - Markeringsfarve2 5 6 3 3" xfId="12131" xr:uid="{00000000-0005-0000-0000-00003E5E0000}"/>
    <cellStyle name="40 % - Markeringsfarve2 5 6 3 3 2" xfId="28450" xr:uid="{00000000-0005-0000-0000-00003F5E0000}"/>
    <cellStyle name="40 % - Markeringsfarve2 5 6 3 3 3" xfId="43415" xr:uid="{00000000-0005-0000-0000-0000405E0000}"/>
    <cellStyle name="40 % - Markeringsfarve2 5 6 3 4" xfId="21428" xr:uid="{00000000-0005-0000-0000-0000415E0000}"/>
    <cellStyle name="40 % - Markeringsfarve2 5 6 3 5" xfId="36416" xr:uid="{00000000-0005-0000-0000-0000425E0000}"/>
    <cellStyle name="40 % - Markeringsfarve2 5 6 4" xfId="5851" xr:uid="{00000000-0005-0000-0000-0000435E0000}"/>
    <cellStyle name="40 % - Markeringsfarve2 5 6 4 2" xfId="13769" xr:uid="{00000000-0005-0000-0000-0000445E0000}"/>
    <cellStyle name="40 % - Markeringsfarve2 5 6 4 2 2" xfId="30083" xr:uid="{00000000-0005-0000-0000-0000455E0000}"/>
    <cellStyle name="40 % - Markeringsfarve2 5 6 4 2 3" xfId="45047" xr:uid="{00000000-0005-0000-0000-0000465E0000}"/>
    <cellStyle name="40 % - Markeringsfarve2 5 6 4 3" xfId="23061" xr:uid="{00000000-0005-0000-0000-0000475E0000}"/>
    <cellStyle name="40 % - Markeringsfarve2 5 6 4 4" xfId="38048" xr:uid="{00000000-0005-0000-0000-0000485E0000}"/>
    <cellStyle name="40 % - Markeringsfarve2 5 6 5" xfId="12129" xr:uid="{00000000-0005-0000-0000-0000495E0000}"/>
    <cellStyle name="40 % - Markeringsfarve2 5 6 5 2" xfId="28448" xr:uid="{00000000-0005-0000-0000-00004A5E0000}"/>
    <cellStyle name="40 % - Markeringsfarve2 5 6 5 3" xfId="43413" xr:uid="{00000000-0005-0000-0000-00004B5E0000}"/>
    <cellStyle name="40 % - Markeringsfarve2 5 6 6" xfId="21426" xr:uid="{00000000-0005-0000-0000-00004C5E0000}"/>
    <cellStyle name="40 % - Markeringsfarve2 5 6 7" xfId="36414" xr:uid="{00000000-0005-0000-0000-00004D5E0000}"/>
    <cellStyle name="40 % - Markeringsfarve2 5 7" xfId="3575" xr:uid="{00000000-0005-0000-0000-00004E5E0000}"/>
    <cellStyle name="40 % - Markeringsfarve2 5 7 2" xfId="7570" xr:uid="{00000000-0005-0000-0000-00004F5E0000}"/>
    <cellStyle name="40 % - Markeringsfarve2 5 7 2 2" xfId="15471" xr:uid="{00000000-0005-0000-0000-0000505E0000}"/>
    <cellStyle name="40 % - Markeringsfarve2 5 7 2 2 2" xfId="31785" xr:uid="{00000000-0005-0000-0000-0000515E0000}"/>
    <cellStyle name="40 % - Markeringsfarve2 5 7 2 2 3" xfId="46749" xr:uid="{00000000-0005-0000-0000-0000525E0000}"/>
    <cellStyle name="40 % - Markeringsfarve2 5 7 2 3" xfId="24763" xr:uid="{00000000-0005-0000-0000-0000535E0000}"/>
    <cellStyle name="40 % - Markeringsfarve2 5 7 2 4" xfId="39750" xr:uid="{00000000-0005-0000-0000-0000545E0000}"/>
    <cellStyle name="40 % - Markeringsfarve2 5 7 3" xfId="12132" xr:uid="{00000000-0005-0000-0000-0000555E0000}"/>
    <cellStyle name="40 % - Markeringsfarve2 5 7 3 2" xfId="28451" xr:uid="{00000000-0005-0000-0000-0000565E0000}"/>
    <cellStyle name="40 % - Markeringsfarve2 5 7 3 3" xfId="43416" xr:uid="{00000000-0005-0000-0000-0000575E0000}"/>
    <cellStyle name="40 % - Markeringsfarve2 5 7 4" xfId="21429" xr:uid="{00000000-0005-0000-0000-0000585E0000}"/>
    <cellStyle name="40 % - Markeringsfarve2 5 7 5" xfId="36417" xr:uid="{00000000-0005-0000-0000-0000595E0000}"/>
    <cellStyle name="40 % - Markeringsfarve2 5 8" xfId="3576" xr:uid="{00000000-0005-0000-0000-00005A5E0000}"/>
    <cellStyle name="40 % - Markeringsfarve2 5 8 2" xfId="6798" xr:uid="{00000000-0005-0000-0000-00005B5E0000}"/>
    <cellStyle name="40 % - Markeringsfarve2 5 8 2 2" xfId="14709" xr:uid="{00000000-0005-0000-0000-00005C5E0000}"/>
    <cellStyle name="40 % - Markeringsfarve2 5 8 2 2 2" xfId="31023" xr:uid="{00000000-0005-0000-0000-00005D5E0000}"/>
    <cellStyle name="40 % - Markeringsfarve2 5 8 2 2 3" xfId="45987" xr:uid="{00000000-0005-0000-0000-00005E5E0000}"/>
    <cellStyle name="40 % - Markeringsfarve2 5 8 2 3" xfId="24001" xr:uid="{00000000-0005-0000-0000-00005F5E0000}"/>
    <cellStyle name="40 % - Markeringsfarve2 5 8 2 4" xfId="38988" xr:uid="{00000000-0005-0000-0000-0000605E0000}"/>
    <cellStyle name="40 % - Markeringsfarve2 5 8 3" xfId="12133" xr:uid="{00000000-0005-0000-0000-0000615E0000}"/>
    <cellStyle name="40 % - Markeringsfarve2 5 8 3 2" xfId="28452" xr:uid="{00000000-0005-0000-0000-0000625E0000}"/>
    <cellStyle name="40 % - Markeringsfarve2 5 8 3 3" xfId="43417" xr:uid="{00000000-0005-0000-0000-0000635E0000}"/>
    <cellStyle name="40 % - Markeringsfarve2 5 8 4" xfId="21430" xr:uid="{00000000-0005-0000-0000-0000645E0000}"/>
    <cellStyle name="40 % - Markeringsfarve2 5 8 5" xfId="36418" xr:uid="{00000000-0005-0000-0000-0000655E0000}"/>
    <cellStyle name="40 % - Markeringsfarve2 5 9" xfId="5846" xr:uid="{00000000-0005-0000-0000-0000665E0000}"/>
    <cellStyle name="40 % - Markeringsfarve2 5 9 2" xfId="13764" xr:uid="{00000000-0005-0000-0000-0000675E0000}"/>
    <cellStyle name="40 % - Markeringsfarve2 5 9 2 2" xfId="30078" xr:uid="{00000000-0005-0000-0000-0000685E0000}"/>
    <cellStyle name="40 % - Markeringsfarve2 5 9 2 3" xfId="45042" xr:uid="{00000000-0005-0000-0000-0000695E0000}"/>
    <cellStyle name="40 % - Markeringsfarve2 5 9 3" xfId="23056" xr:uid="{00000000-0005-0000-0000-00006A5E0000}"/>
    <cellStyle name="40 % - Markeringsfarve2 5 9 4" xfId="38043" xr:uid="{00000000-0005-0000-0000-00006B5E0000}"/>
    <cellStyle name="40 % - Markeringsfarve2 6" xfId="3577" xr:uid="{00000000-0005-0000-0000-00006C5E0000}"/>
    <cellStyle name="40 % - Markeringsfarve2 6 2" xfId="3578" xr:uid="{00000000-0005-0000-0000-00006D5E0000}"/>
    <cellStyle name="40 % - Markeringsfarve2 6 2 2" xfId="7611" xr:uid="{00000000-0005-0000-0000-00006E5E0000}"/>
    <cellStyle name="40 % - Markeringsfarve2 6 2 2 2" xfId="15512" xr:uid="{00000000-0005-0000-0000-00006F5E0000}"/>
    <cellStyle name="40 % - Markeringsfarve2 6 2 2 2 2" xfId="31826" xr:uid="{00000000-0005-0000-0000-0000705E0000}"/>
    <cellStyle name="40 % - Markeringsfarve2 6 2 2 2 3" xfId="46790" xr:uid="{00000000-0005-0000-0000-0000715E0000}"/>
    <cellStyle name="40 % - Markeringsfarve2 6 2 2 3" xfId="24804" xr:uid="{00000000-0005-0000-0000-0000725E0000}"/>
    <cellStyle name="40 % - Markeringsfarve2 6 2 2 4" xfId="39791" xr:uid="{00000000-0005-0000-0000-0000735E0000}"/>
    <cellStyle name="40 % - Markeringsfarve2 6 2 2 5" xfId="57131" xr:uid="{00000000-0005-0000-0000-0000745E0000}"/>
    <cellStyle name="40 % - Markeringsfarve2 6 2 3" xfId="12135" xr:uid="{00000000-0005-0000-0000-0000755E0000}"/>
    <cellStyle name="40 % - Markeringsfarve2 6 2 3 2" xfId="28454" xr:uid="{00000000-0005-0000-0000-0000765E0000}"/>
    <cellStyle name="40 % - Markeringsfarve2 6 2 3 3" xfId="43419" xr:uid="{00000000-0005-0000-0000-0000775E0000}"/>
    <cellStyle name="40 % - Markeringsfarve2 6 2 4" xfId="21432" xr:uid="{00000000-0005-0000-0000-0000785E0000}"/>
    <cellStyle name="40 % - Markeringsfarve2 6 2 5" xfId="36420" xr:uid="{00000000-0005-0000-0000-0000795E0000}"/>
    <cellStyle name="40 % - Markeringsfarve2 6 2 6" xfId="53964" xr:uid="{00000000-0005-0000-0000-00007A5E0000}"/>
    <cellStyle name="40 % - Markeringsfarve2 6 3" xfId="3579" xr:uid="{00000000-0005-0000-0000-00007B5E0000}"/>
    <cellStyle name="40 % - Markeringsfarve2 6 3 2" xfId="6841" xr:uid="{00000000-0005-0000-0000-00007C5E0000}"/>
    <cellStyle name="40 % - Markeringsfarve2 6 3 2 2" xfId="14752" xr:uid="{00000000-0005-0000-0000-00007D5E0000}"/>
    <cellStyle name="40 % - Markeringsfarve2 6 3 2 2 2" xfId="31066" xr:uid="{00000000-0005-0000-0000-00007E5E0000}"/>
    <cellStyle name="40 % - Markeringsfarve2 6 3 2 2 3" xfId="46030" xr:uid="{00000000-0005-0000-0000-00007F5E0000}"/>
    <cellStyle name="40 % - Markeringsfarve2 6 3 2 3" xfId="24044" xr:uid="{00000000-0005-0000-0000-0000805E0000}"/>
    <cellStyle name="40 % - Markeringsfarve2 6 3 2 4" xfId="39031" xr:uid="{00000000-0005-0000-0000-0000815E0000}"/>
    <cellStyle name="40 % - Markeringsfarve2 6 3 3" xfId="12136" xr:uid="{00000000-0005-0000-0000-0000825E0000}"/>
    <cellStyle name="40 % - Markeringsfarve2 6 3 3 2" xfId="28455" xr:uid="{00000000-0005-0000-0000-0000835E0000}"/>
    <cellStyle name="40 % - Markeringsfarve2 6 3 3 3" xfId="43420" xr:uid="{00000000-0005-0000-0000-0000845E0000}"/>
    <cellStyle name="40 % - Markeringsfarve2 6 3 4" xfId="21433" xr:uid="{00000000-0005-0000-0000-0000855E0000}"/>
    <cellStyle name="40 % - Markeringsfarve2 6 3 5" xfId="36421" xr:uid="{00000000-0005-0000-0000-0000865E0000}"/>
    <cellStyle name="40 % - Markeringsfarve2 6 3 6" xfId="56508" xr:uid="{00000000-0005-0000-0000-0000875E0000}"/>
    <cellStyle name="40 % - Markeringsfarve2 6 4" xfId="5852" xr:uid="{00000000-0005-0000-0000-0000885E0000}"/>
    <cellStyle name="40 % - Markeringsfarve2 6 4 2" xfId="13770" xr:uid="{00000000-0005-0000-0000-0000895E0000}"/>
    <cellStyle name="40 % - Markeringsfarve2 6 4 2 2" xfId="30084" xr:uid="{00000000-0005-0000-0000-00008A5E0000}"/>
    <cellStyle name="40 % - Markeringsfarve2 6 4 2 3" xfId="45048" xr:uid="{00000000-0005-0000-0000-00008B5E0000}"/>
    <cellStyle name="40 % - Markeringsfarve2 6 4 3" xfId="23062" xr:uid="{00000000-0005-0000-0000-00008C5E0000}"/>
    <cellStyle name="40 % - Markeringsfarve2 6 4 4" xfId="38049" xr:uid="{00000000-0005-0000-0000-00008D5E0000}"/>
    <cellStyle name="40 % - Markeringsfarve2 6 5" xfId="12134" xr:uid="{00000000-0005-0000-0000-00008E5E0000}"/>
    <cellStyle name="40 % - Markeringsfarve2 6 5 2" xfId="28453" xr:uid="{00000000-0005-0000-0000-00008F5E0000}"/>
    <cellStyle name="40 % - Markeringsfarve2 6 5 3" xfId="43418" xr:uid="{00000000-0005-0000-0000-0000905E0000}"/>
    <cellStyle name="40 % - Markeringsfarve2 6 6" xfId="21431" xr:uid="{00000000-0005-0000-0000-0000915E0000}"/>
    <cellStyle name="40 % - Markeringsfarve2 6 7" xfId="36419" xr:uid="{00000000-0005-0000-0000-0000925E0000}"/>
    <cellStyle name="40 % - Markeringsfarve2 6 8" xfId="53327" xr:uid="{00000000-0005-0000-0000-0000935E0000}"/>
    <cellStyle name="40 % - Markeringsfarve2 7" xfId="3580" xr:uid="{00000000-0005-0000-0000-0000945E0000}"/>
    <cellStyle name="40 % - Markeringsfarve2 7 2" xfId="3581" xr:uid="{00000000-0005-0000-0000-0000955E0000}"/>
    <cellStyle name="40 % - Markeringsfarve2 7 2 2" xfId="7789" xr:uid="{00000000-0005-0000-0000-0000965E0000}"/>
    <cellStyle name="40 % - Markeringsfarve2 7 2 2 2" xfId="15690" xr:uid="{00000000-0005-0000-0000-0000975E0000}"/>
    <cellStyle name="40 % - Markeringsfarve2 7 2 2 2 2" xfId="32004" xr:uid="{00000000-0005-0000-0000-0000985E0000}"/>
    <cellStyle name="40 % - Markeringsfarve2 7 2 2 2 3" xfId="46968" xr:uid="{00000000-0005-0000-0000-0000995E0000}"/>
    <cellStyle name="40 % - Markeringsfarve2 7 2 2 3" xfId="24982" xr:uid="{00000000-0005-0000-0000-00009A5E0000}"/>
    <cellStyle name="40 % - Markeringsfarve2 7 2 2 4" xfId="39969" xr:uid="{00000000-0005-0000-0000-00009B5E0000}"/>
    <cellStyle name="40 % - Markeringsfarve2 7 2 3" xfId="12138" xr:uid="{00000000-0005-0000-0000-00009C5E0000}"/>
    <cellStyle name="40 % - Markeringsfarve2 7 2 3 2" xfId="28457" xr:uid="{00000000-0005-0000-0000-00009D5E0000}"/>
    <cellStyle name="40 % - Markeringsfarve2 7 2 3 3" xfId="43422" xr:uid="{00000000-0005-0000-0000-00009E5E0000}"/>
    <cellStyle name="40 % - Markeringsfarve2 7 2 4" xfId="21435" xr:uid="{00000000-0005-0000-0000-00009F5E0000}"/>
    <cellStyle name="40 % - Markeringsfarve2 7 2 5" xfId="36423" xr:uid="{00000000-0005-0000-0000-0000A05E0000}"/>
    <cellStyle name="40 % - Markeringsfarve2 7 2 6" xfId="57115" xr:uid="{00000000-0005-0000-0000-0000A15E0000}"/>
    <cellStyle name="40 % - Markeringsfarve2 7 3" xfId="3582" xr:uid="{00000000-0005-0000-0000-0000A25E0000}"/>
    <cellStyle name="40 % - Markeringsfarve2 7 3 2" xfId="7019" xr:uid="{00000000-0005-0000-0000-0000A35E0000}"/>
    <cellStyle name="40 % - Markeringsfarve2 7 3 2 2" xfId="14930" xr:uid="{00000000-0005-0000-0000-0000A45E0000}"/>
    <cellStyle name="40 % - Markeringsfarve2 7 3 2 2 2" xfId="31244" xr:uid="{00000000-0005-0000-0000-0000A55E0000}"/>
    <cellStyle name="40 % - Markeringsfarve2 7 3 2 2 3" xfId="46208" xr:uid="{00000000-0005-0000-0000-0000A65E0000}"/>
    <cellStyle name="40 % - Markeringsfarve2 7 3 2 3" xfId="24222" xr:uid="{00000000-0005-0000-0000-0000A75E0000}"/>
    <cellStyle name="40 % - Markeringsfarve2 7 3 2 4" xfId="39209" xr:uid="{00000000-0005-0000-0000-0000A85E0000}"/>
    <cellStyle name="40 % - Markeringsfarve2 7 3 3" xfId="12139" xr:uid="{00000000-0005-0000-0000-0000A95E0000}"/>
    <cellStyle name="40 % - Markeringsfarve2 7 3 3 2" xfId="28458" xr:uid="{00000000-0005-0000-0000-0000AA5E0000}"/>
    <cellStyle name="40 % - Markeringsfarve2 7 3 3 3" xfId="43423" xr:uid="{00000000-0005-0000-0000-0000AB5E0000}"/>
    <cellStyle name="40 % - Markeringsfarve2 7 3 4" xfId="21436" xr:uid="{00000000-0005-0000-0000-0000AC5E0000}"/>
    <cellStyle name="40 % - Markeringsfarve2 7 3 5" xfId="36424" xr:uid="{00000000-0005-0000-0000-0000AD5E0000}"/>
    <cellStyle name="40 % - Markeringsfarve2 7 4" xfId="5853" xr:uid="{00000000-0005-0000-0000-0000AE5E0000}"/>
    <cellStyle name="40 % - Markeringsfarve2 7 4 2" xfId="13771" xr:uid="{00000000-0005-0000-0000-0000AF5E0000}"/>
    <cellStyle name="40 % - Markeringsfarve2 7 4 2 2" xfId="30085" xr:uid="{00000000-0005-0000-0000-0000B05E0000}"/>
    <cellStyle name="40 % - Markeringsfarve2 7 4 2 3" xfId="45049" xr:uid="{00000000-0005-0000-0000-0000B15E0000}"/>
    <cellStyle name="40 % - Markeringsfarve2 7 4 3" xfId="23063" xr:uid="{00000000-0005-0000-0000-0000B25E0000}"/>
    <cellStyle name="40 % - Markeringsfarve2 7 4 4" xfId="38050" xr:uid="{00000000-0005-0000-0000-0000B35E0000}"/>
    <cellStyle name="40 % - Markeringsfarve2 7 5" xfId="12137" xr:uid="{00000000-0005-0000-0000-0000B45E0000}"/>
    <cellStyle name="40 % - Markeringsfarve2 7 5 2" xfId="28456" xr:uid="{00000000-0005-0000-0000-0000B55E0000}"/>
    <cellStyle name="40 % - Markeringsfarve2 7 5 3" xfId="43421" xr:uid="{00000000-0005-0000-0000-0000B65E0000}"/>
    <cellStyle name="40 % - Markeringsfarve2 7 6" xfId="21434" xr:uid="{00000000-0005-0000-0000-0000B75E0000}"/>
    <cellStyle name="40 % - Markeringsfarve2 7 7" xfId="36422" xr:uid="{00000000-0005-0000-0000-0000B85E0000}"/>
    <cellStyle name="40 % - Markeringsfarve2 7 8" xfId="53948" xr:uid="{00000000-0005-0000-0000-0000B95E0000}"/>
    <cellStyle name="40 % - Markeringsfarve2 8" xfId="3583" xr:uid="{00000000-0005-0000-0000-0000BA5E0000}"/>
    <cellStyle name="40 % - Markeringsfarve2 8 2" xfId="3584" xr:uid="{00000000-0005-0000-0000-0000BB5E0000}"/>
    <cellStyle name="40 % - Markeringsfarve2 8 2 2" xfId="7849" xr:uid="{00000000-0005-0000-0000-0000BC5E0000}"/>
    <cellStyle name="40 % - Markeringsfarve2 8 2 2 2" xfId="15750" xr:uid="{00000000-0005-0000-0000-0000BD5E0000}"/>
    <cellStyle name="40 % - Markeringsfarve2 8 2 2 2 2" xfId="32064" xr:uid="{00000000-0005-0000-0000-0000BE5E0000}"/>
    <cellStyle name="40 % - Markeringsfarve2 8 2 2 2 3" xfId="47028" xr:uid="{00000000-0005-0000-0000-0000BF5E0000}"/>
    <cellStyle name="40 % - Markeringsfarve2 8 2 2 3" xfId="25042" xr:uid="{00000000-0005-0000-0000-0000C05E0000}"/>
    <cellStyle name="40 % - Markeringsfarve2 8 2 2 4" xfId="40029" xr:uid="{00000000-0005-0000-0000-0000C15E0000}"/>
    <cellStyle name="40 % - Markeringsfarve2 8 2 3" xfId="12141" xr:uid="{00000000-0005-0000-0000-0000C25E0000}"/>
    <cellStyle name="40 % - Markeringsfarve2 8 2 3 2" xfId="28460" xr:uid="{00000000-0005-0000-0000-0000C35E0000}"/>
    <cellStyle name="40 % - Markeringsfarve2 8 2 3 3" xfId="43425" xr:uid="{00000000-0005-0000-0000-0000C45E0000}"/>
    <cellStyle name="40 % - Markeringsfarve2 8 2 4" xfId="21438" xr:uid="{00000000-0005-0000-0000-0000C55E0000}"/>
    <cellStyle name="40 % - Markeringsfarve2 8 2 5" xfId="36426" xr:uid="{00000000-0005-0000-0000-0000C65E0000}"/>
    <cellStyle name="40 % - Markeringsfarve2 8 3" xfId="3585" xr:uid="{00000000-0005-0000-0000-0000C75E0000}"/>
    <cellStyle name="40 % - Markeringsfarve2 8 3 2" xfId="7125" xr:uid="{00000000-0005-0000-0000-0000C85E0000}"/>
    <cellStyle name="40 % - Markeringsfarve2 8 3 2 2" xfId="15035" xr:uid="{00000000-0005-0000-0000-0000C95E0000}"/>
    <cellStyle name="40 % - Markeringsfarve2 8 3 2 2 2" xfId="31349" xr:uid="{00000000-0005-0000-0000-0000CA5E0000}"/>
    <cellStyle name="40 % - Markeringsfarve2 8 3 2 2 3" xfId="46313" xr:uid="{00000000-0005-0000-0000-0000CB5E0000}"/>
    <cellStyle name="40 % - Markeringsfarve2 8 3 2 3" xfId="24327" xr:uid="{00000000-0005-0000-0000-0000CC5E0000}"/>
    <cellStyle name="40 % - Markeringsfarve2 8 3 2 4" xfId="39314" xr:uid="{00000000-0005-0000-0000-0000CD5E0000}"/>
    <cellStyle name="40 % - Markeringsfarve2 8 3 3" xfId="12142" xr:uid="{00000000-0005-0000-0000-0000CE5E0000}"/>
    <cellStyle name="40 % - Markeringsfarve2 8 3 3 2" xfId="28461" xr:uid="{00000000-0005-0000-0000-0000CF5E0000}"/>
    <cellStyle name="40 % - Markeringsfarve2 8 3 3 3" xfId="43426" xr:uid="{00000000-0005-0000-0000-0000D05E0000}"/>
    <cellStyle name="40 % - Markeringsfarve2 8 3 4" xfId="21439" xr:uid="{00000000-0005-0000-0000-0000D15E0000}"/>
    <cellStyle name="40 % - Markeringsfarve2 8 3 5" xfId="36427" xr:uid="{00000000-0005-0000-0000-0000D25E0000}"/>
    <cellStyle name="40 % - Markeringsfarve2 8 4" xfId="5854" xr:uid="{00000000-0005-0000-0000-0000D35E0000}"/>
    <cellStyle name="40 % - Markeringsfarve2 8 4 2" xfId="13772" xr:uid="{00000000-0005-0000-0000-0000D45E0000}"/>
    <cellStyle name="40 % - Markeringsfarve2 8 4 2 2" xfId="30086" xr:uid="{00000000-0005-0000-0000-0000D55E0000}"/>
    <cellStyle name="40 % - Markeringsfarve2 8 4 2 3" xfId="45050" xr:uid="{00000000-0005-0000-0000-0000D65E0000}"/>
    <cellStyle name="40 % - Markeringsfarve2 8 4 3" xfId="23064" xr:uid="{00000000-0005-0000-0000-0000D75E0000}"/>
    <cellStyle name="40 % - Markeringsfarve2 8 4 4" xfId="38051" xr:uid="{00000000-0005-0000-0000-0000D85E0000}"/>
    <cellStyle name="40 % - Markeringsfarve2 8 5" xfId="12140" xr:uid="{00000000-0005-0000-0000-0000D95E0000}"/>
    <cellStyle name="40 % - Markeringsfarve2 8 5 2" xfId="28459" xr:uid="{00000000-0005-0000-0000-0000DA5E0000}"/>
    <cellStyle name="40 % - Markeringsfarve2 8 5 3" xfId="43424" xr:uid="{00000000-0005-0000-0000-0000DB5E0000}"/>
    <cellStyle name="40 % - Markeringsfarve2 8 6" xfId="21437" xr:uid="{00000000-0005-0000-0000-0000DC5E0000}"/>
    <cellStyle name="40 % - Markeringsfarve2 8 7" xfId="36425" xr:uid="{00000000-0005-0000-0000-0000DD5E0000}"/>
    <cellStyle name="40 % - Markeringsfarve2 9" xfId="3586" xr:uid="{00000000-0005-0000-0000-0000DE5E0000}"/>
    <cellStyle name="40 % - Markeringsfarve2 9 2" xfId="3587" xr:uid="{00000000-0005-0000-0000-0000DF5E0000}"/>
    <cellStyle name="40 % - Markeringsfarve2 9 2 2" xfId="7966" xr:uid="{00000000-0005-0000-0000-0000E05E0000}"/>
    <cellStyle name="40 % - Markeringsfarve2 9 2 2 2" xfId="15867" xr:uid="{00000000-0005-0000-0000-0000E15E0000}"/>
    <cellStyle name="40 % - Markeringsfarve2 9 2 2 2 2" xfId="32181" xr:uid="{00000000-0005-0000-0000-0000E25E0000}"/>
    <cellStyle name="40 % - Markeringsfarve2 9 2 2 2 3" xfId="47145" xr:uid="{00000000-0005-0000-0000-0000E35E0000}"/>
    <cellStyle name="40 % - Markeringsfarve2 9 2 2 3" xfId="25159" xr:uid="{00000000-0005-0000-0000-0000E45E0000}"/>
    <cellStyle name="40 % - Markeringsfarve2 9 2 2 4" xfId="40146" xr:uid="{00000000-0005-0000-0000-0000E55E0000}"/>
    <cellStyle name="40 % - Markeringsfarve2 9 2 3" xfId="12144" xr:uid="{00000000-0005-0000-0000-0000E65E0000}"/>
    <cellStyle name="40 % - Markeringsfarve2 9 2 3 2" xfId="28463" xr:uid="{00000000-0005-0000-0000-0000E75E0000}"/>
    <cellStyle name="40 % - Markeringsfarve2 9 2 3 3" xfId="43428" xr:uid="{00000000-0005-0000-0000-0000E85E0000}"/>
    <cellStyle name="40 % - Markeringsfarve2 9 2 4" xfId="21441" xr:uid="{00000000-0005-0000-0000-0000E95E0000}"/>
    <cellStyle name="40 % - Markeringsfarve2 9 2 5" xfId="36429" xr:uid="{00000000-0005-0000-0000-0000EA5E0000}"/>
    <cellStyle name="40 % - Markeringsfarve2 9 3" xfId="3588" xr:uid="{00000000-0005-0000-0000-0000EB5E0000}"/>
    <cellStyle name="40 % - Markeringsfarve2 9 3 2" xfId="7242" xr:uid="{00000000-0005-0000-0000-0000EC5E0000}"/>
    <cellStyle name="40 % - Markeringsfarve2 9 3 2 2" xfId="15152" xr:uid="{00000000-0005-0000-0000-0000ED5E0000}"/>
    <cellStyle name="40 % - Markeringsfarve2 9 3 2 2 2" xfId="31466" xr:uid="{00000000-0005-0000-0000-0000EE5E0000}"/>
    <cellStyle name="40 % - Markeringsfarve2 9 3 2 2 3" xfId="46430" xr:uid="{00000000-0005-0000-0000-0000EF5E0000}"/>
    <cellStyle name="40 % - Markeringsfarve2 9 3 2 3" xfId="24444" xr:uid="{00000000-0005-0000-0000-0000F05E0000}"/>
    <cellStyle name="40 % - Markeringsfarve2 9 3 2 4" xfId="39431" xr:uid="{00000000-0005-0000-0000-0000F15E0000}"/>
    <cellStyle name="40 % - Markeringsfarve2 9 3 3" xfId="12145" xr:uid="{00000000-0005-0000-0000-0000F25E0000}"/>
    <cellStyle name="40 % - Markeringsfarve2 9 3 3 2" xfId="28464" xr:uid="{00000000-0005-0000-0000-0000F35E0000}"/>
    <cellStyle name="40 % - Markeringsfarve2 9 3 3 3" xfId="43429" xr:uid="{00000000-0005-0000-0000-0000F45E0000}"/>
    <cellStyle name="40 % - Markeringsfarve2 9 3 4" xfId="21442" xr:uid="{00000000-0005-0000-0000-0000F55E0000}"/>
    <cellStyle name="40 % - Markeringsfarve2 9 3 5" xfId="36430" xr:uid="{00000000-0005-0000-0000-0000F65E0000}"/>
    <cellStyle name="40 % - Markeringsfarve2 9 4" xfId="5855" xr:uid="{00000000-0005-0000-0000-0000F75E0000}"/>
    <cellStyle name="40 % - Markeringsfarve2 9 4 2" xfId="13773" xr:uid="{00000000-0005-0000-0000-0000F85E0000}"/>
    <cellStyle name="40 % - Markeringsfarve2 9 4 2 2" xfId="30087" xr:uid="{00000000-0005-0000-0000-0000F95E0000}"/>
    <cellStyle name="40 % - Markeringsfarve2 9 4 2 3" xfId="45051" xr:uid="{00000000-0005-0000-0000-0000FA5E0000}"/>
    <cellStyle name="40 % - Markeringsfarve2 9 4 3" xfId="23065" xr:uid="{00000000-0005-0000-0000-0000FB5E0000}"/>
    <cellStyle name="40 % - Markeringsfarve2 9 4 4" xfId="38052" xr:uid="{00000000-0005-0000-0000-0000FC5E0000}"/>
    <cellStyle name="40 % - Markeringsfarve2 9 5" xfId="12143" xr:uid="{00000000-0005-0000-0000-0000FD5E0000}"/>
    <cellStyle name="40 % - Markeringsfarve2 9 5 2" xfId="28462" xr:uid="{00000000-0005-0000-0000-0000FE5E0000}"/>
    <cellStyle name="40 % - Markeringsfarve2 9 5 3" xfId="43427" xr:uid="{00000000-0005-0000-0000-0000FF5E0000}"/>
    <cellStyle name="40 % - Markeringsfarve2 9 6" xfId="21440" xr:uid="{00000000-0005-0000-0000-0000005F0000}"/>
    <cellStyle name="40 % - Markeringsfarve2 9 7" xfId="36428" xr:uid="{00000000-0005-0000-0000-0000015F0000}"/>
    <cellStyle name="40 % - Markeringsfarve3 10" xfId="3590" xr:uid="{00000000-0005-0000-0000-0000025F0000}"/>
    <cellStyle name="40 % - Markeringsfarve3 10 2" xfId="3591" xr:uid="{00000000-0005-0000-0000-0000035F0000}"/>
    <cellStyle name="40 % - Markeringsfarve3 10 2 2" xfId="7493" xr:uid="{00000000-0005-0000-0000-0000045F0000}"/>
    <cellStyle name="40 % - Markeringsfarve3 10 2 2 2" xfId="15394" xr:uid="{00000000-0005-0000-0000-0000055F0000}"/>
    <cellStyle name="40 % - Markeringsfarve3 10 2 2 2 2" xfId="31708" xr:uid="{00000000-0005-0000-0000-0000065F0000}"/>
    <cellStyle name="40 % - Markeringsfarve3 10 2 2 2 3" xfId="46672" xr:uid="{00000000-0005-0000-0000-0000075F0000}"/>
    <cellStyle name="40 % - Markeringsfarve3 10 2 2 3" xfId="24686" xr:uid="{00000000-0005-0000-0000-0000085F0000}"/>
    <cellStyle name="40 % - Markeringsfarve3 10 2 2 4" xfId="39673" xr:uid="{00000000-0005-0000-0000-0000095F0000}"/>
    <cellStyle name="40 % - Markeringsfarve3 10 2 3" xfId="12148" xr:uid="{00000000-0005-0000-0000-00000A5F0000}"/>
    <cellStyle name="40 % - Markeringsfarve3 10 2 3 2" xfId="28467" xr:uid="{00000000-0005-0000-0000-00000B5F0000}"/>
    <cellStyle name="40 % - Markeringsfarve3 10 2 3 3" xfId="43432" xr:uid="{00000000-0005-0000-0000-00000C5F0000}"/>
    <cellStyle name="40 % - Markeringsfarve3 10 2 4" xfId="21445" xr:uid="{00000000-0005-0000-0000-00000D5F0000}"/>
    <cellStyle name="40 % - Markeringsfarve3 10 2 5" xfId="36433" xr:uid="{00000000-0005-0000-0000-00000E5F0000}"/>
    <cellStyle name="40 % - Markeringsfarve3 10 3" xfId="3592" xr:uid="{00000000-0005-0000-0000-00000F5F0000}"/>
    <cellStyle name="40 % - Markeringsfarve3 10 3 2" xfId="8409" xr:uid="{00000000-0005-0000-0000-0000105F0000}"/>
    <cellStyle name="40 % - Markeringsfarve3 10 3 2 2" xfId="16302" xr:uid="{00000000-0005-0000-0000-0000115F0000}"/>
    <cellStyle name="40 % - Markeringsfarve3 10 3 2 2 2" xfId="32616" xr:uid="{00000000-0005-0000-0000-0000125F0000}"/>
    <cellStyle name="40 % - Markeringsfarve3 10 3 2 2 3" xfId="47580" xr:uid="{00000000-0005-0000-0000-0000135F0000}"/>
    <cellStyle name="40 % - Markeringsfarve3 10 3 2 3" xfId="25594" xr:uid="{00000000-0005-0000-0000-0000145F0000}"/>
    <cellStyle name="40 % - Markeringsfarve3 10 3 2 4" xfId="40581" xr:uid="{00000000-0005-0000-0000-0000155F0000}"/>
    <cellStyle name="40 % - Markeringsfarve3 10 3 3" xfId="12149" xr:uid="{00000000-0005-0000-0000-0000165F0000}"/>
    <cellStyle name="40 % - Markeringsfarve3 10 3 3 2" xfId="28468" xr:uid="{00000000-0005-0000-0000-0000175F0000}"/>
    <cellStyle name="40 % - Markeringsfarve3 10 3 3 3" xfId="43433" xr:uid="{00000000-0005-0000-0000-0000185F0000}"/>
    <cellStyle name="40 % - Markeringsfarve3 10 3 4" xfId="21446" xr:uid="{00000000-0005-0000-0000-0000195F0000}"/>
    <cellStyle name="40 % - Markeringsfarve3 10 3 5" xfId="36434" xr:uid="{00000000-0005-0000-0000-00001A5F0000}"/>
    <cellStyle name="40 % - Markeringsfarve3 10 4" xfId="5857" xr:uid="{00000000-0005-0000-0000-00001B5F0000}"/>
    <cellStyle name="40 % - Markeringsfarve3 10 4 2" xfId="13775" xr:uid="{00000000-0005-0000-0000-00001C5F0000}"/>
    <cellStyle name="40 % - Markeringsfarve3 10 4 2 2" xfId="30089" xr:uid="{00000000-0005-0000-0000-00001D5F0000}"/>
    <cellStyle name="40 % - Markeringsfarve3 10 4 2 3" xfId="45053" xr:uid="{00000000-0005-0000-0000-00001E5F0000}"/>
    <cellStyle name="40 % - Markeringsfarve3 10 4 3" xfId="23067" xr:uid="{00000000-0005-0000-0000-00001F5F0000}"/>
    <cellStyle name="40 % - Markeringsfarve3 10 4 4" xfId="38054" xr:uid="{00000000-0005-0000-0000-0000205F0000}"/>
    <cellStyle name="40 % - Markeringsfarve3 10 5" xfId="12147" xr:uid="{00000000-0005-0000-0000-0000215F0000}"/>
    <cellStyle name="40 % - Markeringsfarve3 10 5 2" xfId="28466" xr:uid="{00000000-0005-0000-0000-0000225F0000}"/>
    <cellStyle name="40 % - Markeringsfarve3 10 5 3" xfId="43431" xr:uid="{00000000-0005-0000-0000-0000235F0000}"/>
    <cellStyle name="40 % - Markeringsfarve3 10 6" xfId="21444" xr:uid="{00000000-0005-0000-0000-0000245F0000}"/>
    <cellStyle name="40 % - Markeringsfarve3 10 7" xfId="36432" xr:uid="{00000000-0005-0000-0000-0000255F0000}"/>
    <cellStyle name="40 % - Markeringsfarve3 11" xfId="3593" xr:uid="{00000000-0005-0000-0000-0000265F0000}"/>
    <cellStyle name="40 % - Markeringsfarve3 11 2" xfId="3594" xr:uid="{00000000-0005-0000-0000-0000275F0000}"/>
    <cellStyle name="40 % - Markeringsfarve3 11 2 2" xfId="8641" xr:uid="{00000000-0005-0000-0000-0000285F0000}"/>
    <cellStyle name="40 % - Markeringsfarve3 11 2 2 2" xfId="16524" xr:uid="{00000000-0005-0000-0000-0000295F0000}"/>
    <cellStyle name="40 % - Markeringsfarve3 11 2 2 2 2" xfId="32838" xr:uid="{00000000-0005-0000-0000-00002A5F0000}"/>
    <cellStyle name="40 % - Markeringsfarve3 11 2 2 2 3" xfId="47802" xr:uid="{00000000-0005-0000-0000-00002B5F0000}"/>
    <cellStyle name="40 % - Markeringsfarve3 11 2 2 3" xfId="25816" xr:uid="{00000000-0005-0000-0000-00002C5F0000}"/>
    <cellStyle name="40 % - Markeringsfarve3 11 2 2 4" xfId="40803" xr:uid="{00000000-0005-0000-0000-00002D5F0000}"/>
    <cellStyle name="40 % - Markeringsfarve3 11 2 3" xfId="12151" xr:uid="{00000000-0005-0000-0000-00002E5F0000}"/>
    <cellStyle name="40 % - Markeringsfarve3 11 2 3 2" xfId="28470" xr:uid="{00000000-0005-0000-0000-00002F5F0000}"/>
    <cellStyle name="40 % - Markeringsfarve3 11 2 3 3" xfId="43435" xr:uid="{00000000-0005-0000-0000-0000305F0000}"/>
    <cellStyle name="40 % - Markeringsfarve3 11 2 4" xfId="21448" xr:uid="{00000000-0005-0000-0000-0000315F0000}"/>
    <cellStyle name="40 % - Markeringsfarve3 11 2 5" xfId="36436" xr:uid="{00000000-0005-0000-0000-0000325F0000}"/>
    <cellStyle name="40 % - Markeringsfarve3 11 3" xfId="5858" xr:uid="{00000000-0005-0000-0000-0000335F0000}"/>
    <cellStyle name="40 % - Markeringsfarve3 11 3 2" xfId="13776" xr:uid="{00000000-0005-0000-0000-0000345F0000}"/>
    <cellStyle name="40 % - Markeringsfarve3 11 3 2 2" xfId="30090" xr:uid="{00000000-0005-0000-0000-0000355F0000}"/>
    <cellStyle name="40 % - Markeringsfarve3 11 3 2 3" xfId="45054" xr:uid="{00000000-0005-0000-0000-0000365F0000}"/>
    <cellStyle name="40 % - Markeringsfarve3 11 3 3" xfId="23068" xr:uid="{00000000-0005-0000-0000-0000375F0000}"/>
    <cellStyle name="40 % - Markeringsfarve3 11 3 4" xfId="38055" xr:uid="{00000000-0005-0000-0000-0000385F0000}"/>
    <cellStyle name="40 % - Markeringsfarve3 11 4" xfId="12150" xr:uid="{00000000-0005-0000-0000-0000395F0000}"/>
    <cellStyle name="40 % - Markeringsfarve3 11 4 2" xfId="28469" xr:uid="{00000000-0005-0000-0000-00003A5F0000}"/>
    <cellStyle name="40 % - Markeringsfarve3 11 4 3" xfId="43434" xr:uid="{00000000-0005-0000-0000-00003B5F0000}"/>
    <cellStyle name="40 % - Markeringsfarve3 11 5" xfId="21447" xr:uid="{00000000-0005-0000-0000-00003C5F0000}"/>
    <cellStyle name="40 % - Markeringsfarve3 11 6" xfId="36435" xr:uid="{00000000-0005-0000-0000-00003D5F0000}"/>
    <cellStyle name="40 % - Markeringsfarve3 12" xfId="3595" xr:uid="{00000000-0005-0000-0000-00003E5F0000}"/>
    <cellStyle name="40 % - Markeringsfarve3 12 2" xfId="3596" xr:uid="{00000000-0005-0000-0000-00003F5F0000}"/>
    <cellStyle name="40 % - Markeringsfarve3 12 2 2" xfId="8290" xr:uid="{00000000-0005-0000-0000-0000405F0000}"/>
    <cellStyle name="40 % - Markeringsfarve3 12 2 2 2" xfId="16184" xr:uid="{00000000-0005-0000-0000-0000415F0000}"/>
    <cellStyle name="40 % - Markeringsfarve3 12 2 2 2 2" xfId="32498" xr:uid="{00000000-0005-0000-0000-0000425F0000}"/>
    <cellStyle name="40 % - Markeringsfarve3 12 2 2 2 3" xfId="47462" xr:uid="{00000000-0005-0000-0000-0000435F0000}"/>
    <cellStyle name="40 % - Markeringsfarve3 12 2 2 3" xfId="25476" xr:uid="{00000000-0005-0000-0000-0000445F0000}"/>
    <cellStyle name="40 % - Markeringsfarve3 12 2 2 4" xfId="40463" xr:uid="{00000000-0005-0000-0000-0000455F0000}"/>
    <cellStyle name="40 % - Markeringsfarve3 12 2 3" xfId="12153" xr:uid="{00000000-0005-0000-0000-0000465F0000}"/>
    <cellStyle name="40 % - Markeringsfarve3 12 2 3 2" xfId="28472" xr:uid="{00000000-0005-0000-0000-0000475F0000}"/>
    <cellStyle name="40 % - Markeringsfarve3 12 2 3 3" xfId="43437" xr:uid="{00000000-0005-0000-0000-0000485F0000}"/>
    <cellStyle name="40 % - Markeringsfarve3 12 2 4" xfId="21450" xr:uid="{00000000-0005-0000-0000-0000495F0000}"/>
    <cellStyle name="40 % - Markeringsfarve3 12 2 5" xfId="36438" xr:uid="{00000000-0005-0000-0000-00004A5F0000}"/>
    <cellStyle name="40 % - Markeringsfarve3 12 3" xfId="5859" xr:uid="{00000000-0005-0000-0000-00004B5F0000}"/>
    <cellStyle name="40 % - Markeringsfarve3 12 3 2" xfId="13777" xr:uid="{00000000-0005-0000-0000-00004C5F0000}"/>
    <cellStyle name="40 % - Markeringsfarve3 12 3 2 2" xfId="30091" xr:uid="{00000000-0005-0000-0000-00004D5F0000}"/>
    <cellStyle name="40 % - Markeringsfarve3 12 3 2 3" xfId="45055" xr:uid="{00000000-0005-0000-0000-00004E5F0000}"/>
    <cellStyle name="40 % - Markeringsfarve3 12 3 3" xfId="23069" xr:uid="{00000000-0005-0000-0000-00004F5F0000}"/>
    <cellStyle name="40 % - Markeringsfarve3 12 3 4" xfId="38056" xr:uid="{00000000-0005-0000-0000-0000505F0000}"/>
    <cellStyle name="40 % - Markeringsfarve3 12 4" xfId="12152" xr:uid="{00000000-0005-0000-0000-0000515F0000}"/>
    <cellStyle name="40 % - Markeringsfarve3 12 4 2" xfId="28471" xr:uid="{00000000-0005-0000-0000-0000525F0000}"/>
    <cellStyle name="40 % - Markeringsfarve3 12 4 3" xfId="43436" xr:uid="{00000000-0005-0000-0000-0000535F0000}"/>
    <cellStyle name="40 % - Markeringsfarve3 12 5" xfId="21449" xr:uid="{00000000-0005-0000-0000-0000545F0000}"/>
    <cellStyle name="40 % - Markeringsfarve3 12 6" xfId="36437" xr:uid="{00000000-0005-0000-0000-0000555F0000}"/>
    <cellStyle name="40 % - Markeringsfarve3 13" xfId="3597" xr:uid="{00000000-0005-0000-0000-0000565F0000}"/>
    <cellStyle name="40 % - Markeringsfarve3 13 2" xfId="3598" xr:uid="{00000000-0005-0000-0000-0000575F0000}"/>
    <cellStyle name="40 % - Markeringsfarve3 13 2 2" xfId="8538" xr:uid="{00000000-0005-0000-0000-0000585F0000}"/>
    <cellStyle name="40 % - Markeringsfarve3 13 2 2 2" xfId="16426" xr:uid="{00000000-0005-0000-0000-0000595F0000}"/>
    <cellStyle name="40 % - Markeringsfarve3 13 2 2 2 2" xfId="32740" xr:uid="{00000000-0005-0000-0000-00005A5F0000}"/>
    <cellStyle name="40 % - Markeringsfarve3 13 2 2 2 3" xfId="47704" xr:uid="{00000000-0005-0000-0000-00005B5F0000}"/>
    <cellStyle name="40 % - Markeringsfarve3 13 2 2 3" xfId="25718" xr:uid="{00000000-0005-0000-0000-00005C5F0000}"/>
    <cellStyle name="40 % - Markeringsfarve3 13 2 2 4" xfId="40705" xr:uid="{00000000-0005-0000-0000-00005D5F0000}"/>
    <cellStyle name="40 % - Markeringsfarve3 13 2 3" xfId="12155" xr:uid="{00000000-0005-0000-0000-00005E5F0000}"/>
    <cellStyle name="40 % - Markeringsfarve3 13 2 3 2" xfId="28474" xr:uid="{00000000-0005-0000-0000-00005F5F0000}"/>
    <cellStyle name="40 % - Markeringsfarve3 13 2 3 3" xfId="43439" xr:uid="{00000000-0005-0000-0000-0000605F0000}"/>
    <cellStyle name="40 % - Markeringsfarve3 13 2 4" xfId="21452" xr:uid="{00000000-0005-0000-0000-0000615F0000}"/>
    <cellStyle name="40 % - Markeringsfarve3 13 2 5" xfId="36440" xr:uid="{00000000-0005-0000-0000-0000625F0000}"/>
    <cellStyle name="40 % - Markeringsfarve3 13 3" xfId="5856" xr:uid="{00000000-0005-0000-0000-0000635F0000}"/>
    <cellStyle name="40 % - Markeringsfarve3 13 3 2" xfId="13774" xr:uid="{00000000-0005-0000-0000-0000645F0000}"/>
    <cellStyle name="40 % - Markeringsfarve3 13 3 2 2" xfId="30088" xr:uid="{00000000-0005-0000-0000-0000655F0000}"/>
    <cellStyle name="40 % - Markeringsfarve3 13 3 2 3" xfId="45052" xr:uid="{00000000-0005-0000-0000-0000665F0000}"/>
    <cellStyle name="40 % - Markeringsfarve3 13 3 3" xfId="23066" xr:uid="{00000000-0005-0000-0000-0000675F0000}"/>
    <cellStyle name="40 % - Markeringsfarve3 13 3 4" xfId="38053" xr:uid="{00000000-0005-0000-0000-0000685F0000}"/>
    <cellStyle name="40 % - Markeringsfarve3 13 4" xfId="12154" xr:uid="{00000000-0005-0000-0000-0000695F0000}"/>
    <cellStyle name="40 % - Markeringsfarve3 13 4 2" xfId="28473" xr:uid="{00000000-0005-0000-0000-00006A5F0000}"/>
    <cellStyle name="40 % - Markeringsfarve3 13 4 3" xfId="43438" xr:uid="{00000000-0005-0000-0000-00006B5F0000}"/>
    <cellStyle name="40 % - Markeringsfarve3 13 5" xfId="21451" xr:uid="{00000000-0005-0000-0000-00006C5F0000}"/>
    <cellStyle name="40 % - Markeringsfarve3 13 6" xfId="36439" xr:uid="{00000000-0005-0000-0000-00006D5F0000}"/>
    <cellStyle name="40 % - Markeringsfarve3 14" xfId="3599" xr:uid="{00000000-0005-0000-0000-00006E5F0000}"/>
    <cellStyle name="40 % - Markeringsfarve3 14 2" xfId="6715" xr:uid="{00000000-0005-0000-0000-00006F5F0000}"/>
    <cellStyle name="40 % - Markeringsfarve3 14 2 2" xfId="14628" xr:uid="{00000000-0005-0000-0000-0000705F0000}"/>
    <cellStyle name="40 % - Markeringsfarve3 14 2 2 2" xfId="30942" xr:uid="{00000000-0005-0000-0000-0000715F0000}"/>
    <cellStyle name="40 % - Markeringsfarve3 14 2 2 3" xfId="45906" xr:uid="{00000000-0005-0000-0000-0000725F0000}"/>
    <cellStyle name="40 % - Markeringsfarve3 14 2 3" xfId="23920" xr:uid="{00000000-0005-0000-0000-0000735F0000}"/>
    <cellStyle name="40 % - Markeringsfarve3 14 2 4" xfId="38907" xr:uid="{00000000-0005-0000-0000-0000745F0000}"/>
    <cellStyle name="40 % - Markeringsfarve3 14 3" xfId="12156" xr:uid="{00000000-0005-0000-0000-0000755F0000}"/>
    <cellStyle name="40 % - Markeringsfarve3 14 3 2" xfId="28475" xr:uid="{00000000-0005-0000-0000-0000765F0000}"/>
    <cellStyle name="40 % - Markeringsfarve3 14 3 3" xfId="43440" xr:uid="{00000000-0005-0000-0000-0000775F0000}"/>
    <cellStyle name="40 % - Markeringsfarve3 14 4" xfId="21453" xr:uid="{00000000-0005-0000-0000-0000785F0000}"/>
    <cellStyle name="40 % - Markeringsfarve3 14 5" xfId="36441" xr:uid="{00000000-0005-0000-0000-0000795F0000}"/>
    <cellStyle name="40 % - Markeringsfarve3 15" xfId="3600" xr:uid="{00000000-0005-0000-0000-00007A5F0000}"/>
    <cellStyle name="40 % - Markeringsfarve3 15 2" xfId="8417" xr:uid="{00000000-0005-0000-0000-00007B5F0000}"/>
    <cellStyle name="40 % - Markeringsfarve3 15 2 2" xfId="16310" xr:uid="{00000000-0005-0000-0000-00007C5F0000}"/>
    <cellStyle name="40 % - Markeringsfarve3 15 2 2 2" xfId="32624" xr:uid="{00000000-0005-0000-0000-00007D5F0000}"/>
    <cellStyle name="40 % - Markeringsfarve3 15 2 2 3" xfId="47588" xr:uid="{00000000-0005-0000-0000-00007E5F0000}"/>
    <cellStyle name="40 % - Markeringsfarve3 15 2 3" xfId="25602" xr:uid="{00000000-0005-0000-0000-00007F5F0000}"/>
    <cellStyle name="40 % - Markeringsfarve3 15 2 4" xfId="40589" xr:uid="{00000000-0005-0000-0000-0000805F0000}"/>
    <cellStyle name="40 % - Markeringsfarve3 15 3" xfId="12157" xr:uid="{00000000-0005-0000-0000-0000815F0000}"/>
    <cellStyle name="40 % - Markeringsfarve3 15 3 2" xfId="28476" xr:uid="{00000000-0005-0000-0000-0000825F0000}"/>
    <cellStyle name="40 % - Markeringsfarve3 15 3 3" xfId="43441" xr:uid="{00000000-0005-0000-0000-0000835F0000}"/>
    <cellStyle name="40 % - Markeringsfarve3 15 4" xfId="21454" xr:uid="{00000000-0005-0000-0000-0000845F0000}"/>
    <cellStyle name="40 % - Markeringsfarve3 15 5" xfId="36442" xr:uid="{00000000-0005-0000-0000-0000855F0000}"/>
    <cellStyle name="40 % - Markeringsfarve3 16" xfId="3601" xr:uid="{00000000-0005-0000-0000-0000865F0000}"/>
    <cellStyle name="40 % - Markeringsfarve3 16 2" xfId="8685" xr:uid="{00000000-0005-0000-0000-0000875F0000}"/>
    <cellStyle name="40 % - Markeringsfarve3 16 2 2" xfId="16566" xr:uid="{00000000-0005-0000-0000-0000885F0000}"/>
    <cellStyle name="40 % - Markeringsfarve3 16 2 2 2" xfId="32880" xr:uid="{00000000-0005-0000-0000-0000895F0000}"/>
    <cellStyle name="40 % - Markeringsfarve3 16 2 2 3" xfId="47844" xr:uid="{00000000-0005-0000-0000-00008A5F0000}"/>
    <cellStyle name="40 % - Markeringsfarve3 16 2 3" xfId="25858" xr:uid="{00000000-0005-0000-0000-00008B5F0000}"/>
    <cellStyle name="40 % - Markeringsfarve3 16 2 4" xfId="40845" xr:uid="{00000000-0005-0000-0000-00008C5F0000}"/>
    <cellStyle name="40 % - Markeringsfarve3 16 3" xfId="12158" xr:uid="{00000000-0005-0000-0000-00008D5F0000}"/>
    <cellStyle name="40 % - Markeringsfarve3 16 3 2" xfId="28477" xr:uid="{00000000-0005-0000-0000-00008E5F0000}"/>
    <cellStyle name="40 % - Markeringsfarve3 16 3 3" xfId="43442" xr:uid="{00000000-0005-0000-0000-00008F5F0000}"/>
    <cellStyle name="40 % - Markeringsfarve3 16 4" xfId="21455" xr:uid="{00000000-0005-0000-0000-0000905F0000}"/>
    <cellStyle name="40 % - Markeringsfarve3 16 5" xfId="36443" xr:uid="{00000000-0005-0000-0000-0000915F0000}"/>
    <cellStyle name="40 % - Markeringsfarve3 17" xfId="5393" xr:uid="{00000000-0005-0000-0000-0000925F0000}"/>
    <cellStyle name="40 % - Markeringsfarve3 17 2" xfId="13317" xr:uid="{00000000-0005-0000-0000-0000935F0000}"/>
    <cellStyle name="40 % - Markeringsfarve3 17 2 2" xfId="29631" xr:uid="{00000000-0005-0000-0000-0000945F0000}"/>
    <cellStyle name="40 % - Markeringsfarve3 17 2 3" xfId="44595" xr:uid="{00000000-0005-0000-0000-0000955F0000}"/>
    <cellStyle name="40 % - Markeringsfarve3 17 3" xfId="22609" xr:uid="{00000000-0005-0000-0000-0000965F0000}"/>
    <cellStyle name="40 % - Markeringsfarve3 17 4" xfId="37596" xr:uid="{00000000-0005-0000-0000-0000975F0000}"/>
    <cellStyle name="40 % - Markeringsfarve3 18" xfId="3589" xr:uid="{00000000-0005-0000-0000-0000985F0000}"/>
    <cellStyle name="40 % - Markeringsfarve3 18 2" xfId="12146" xr:uid="{00000000-0005-0000-0000-0000995F0000}"/>
    <cellStyle name="40 % - Markeringsfarve3 18 2 2" xfId="28465" xr:uid="{00000000-0005-0000-0000-00009A5F0000}"/>
    <cellStyle name="40 % - Markeringsfarve3 18 2 3" xfId="43430" xr:uid="{00000000-0005-0000-0000-00009B5F0000}"/>
    <cellStyle name="40 % - Markeringsfarve3 18 3" xfId="21443" xr:uid="{00000000-0005-0000-0000-00009C5F0000}"/>
    <cellStyle name="40 % - Markeringsfarve3 18 4" xfId="36431" xr:uid="{00000000-0005-0000-0000-00009D5F0000}"/>
    <cellStyle name="40 % - Markeringsfarve3 2" xfId="3602" xr:uid="{00000000-0005-0000-0000-00009E5F0000}"/>
    <cellStyle name="40 % - Markeringsfarve3 2 10" xfId="3603" xr:uid="{00000000-0005-0000-0000-00009F5F0000}"/>
    <cellStyle name="40 % - Markeringsfarve3 2 10 2" xfId="6747" xr:uid="{00000000-0005-0000-0000-0000A05F0000}"/>
    <cellStyle name="40 % - Markeringsfarve3 2 10 2 2" xfId="14658" xr:uid="{00000000-0005-0000-0000-0000A15F0000}"/>
    <cellStyle name="40 % - Markeringsfarve3 2 10 2 2 2" xfId="30972" xr:uid="{00000000-0005-0000-0000-0000A25F0000}"/>
    <cellStyle name="40 % - Markeringsfarve3 2 10 2 2 3" xfId="45936" xr:uid="{00000000-0005-0000-0000-0000A35F0000}"/>
    <cellStyle name="40 % - Markeringsfarve3 2 10 2 3" xfId="23950" xr:uid="{00000000-0005-0000-0000-0000A45F0000}"/>
    <cellStyle name="40 % - Markeringsfarve3 2 10 2 4" xfId="38937" xr:uid="{00000000-0005-0000-0000-0000A55F0000}"/>
    <cellStyle name="40 % - Markeringsfarve3 2 10 3" xfId="12160" xr:uid="{00000000-0005-0000-0000-0000A65F0000}"/>
    <cellStyle name="40 % - Markeringsfarve3 2 10 3 2" xfId="28479" xr:uid="{00000000-0005-0000-0000-0000A75F0000}"/>
    <cellStyle name="40 % - Markeringsfarve3 2 10 3 3" xfId="43444" xr:uid="{00000000-0005-0000-0000-0000A85F0000}"/>
    <cellStyle name="40 % - Markeringsfarve3 2 10 4" xfId="21457" xr:uid="{00000000-0005-0000-0000-0000A95F0000}"/>
    <cellStyle name="40 % - Markeringsfarve3 2 10 5" xfId="36445" xr:uid="{00000000-0005-0000-0000-0000AA5F0000}"/>
    <cellStyle name="40 % - Markeringsfarve3 2 11" xfId="3604" xr:uid="{00000000-0005-0000-0000-0000AB5F0000}"/>
    <cellStyle name="40 % - Markeringsfarve3 2 11 2" xfId="8593" xr:uid="{00000000-0005-0000-0000-0000AC5F0000}"/>
    <cellStyle name="40 % - Markeringsfarve3 2 11 2 2" xfId="16480" xr:uid="{00000000-0005-0000-0000-0000AD5F0000}"/>
    <cellStyle name="40 % - Markeringsfarve3 2 11 2 2 2" xfId="32794" xr:uid="{00000000-0005-0000-0000-0000AE5F0000}"/>
    <cellStyle name="40 % - Markeringsfarve3 2 11 2 2 3" xfId="47758" xr:uid="{00000000-0005-0000-0000-0000AF5F0000}"/>
    <cellStyle name="40 % - Markeringsfarve3 2 11 2 3" xfId="25772" xr:uid="{00000000-0005-0000-0000-0000B05F0000}"/>
    <cellStyle name="40 % - Markeringsfarve3 2 11 2 4" xfId="40759" xr:uid="{00000000-0005-0000-0000-0000B15F0000}"/>
    <cellStyle name="40 % - Markeringsfarve3 2 11 3" xfId="12161" xr:uid="{00000000-0005-0000-0000-0000B25F0000}"/>
    <cellStyle name="40 % - Markeringsfarve3 2 11 3 2" xfId="28480" xr:uid="{00000000-0005-0000-0000-0000B35F0000}"/>
    <cellStyle name="40 % - Markeringsfarve3 2 11 3 3" xfId="43445" xr:uid="{00000000-0005-0000-0000-0000B45F0000}"/>
    <cellStyle name="40 % - Markeringsfarve3 2 11 4" xfId="21458" xr:uid="{00000000-0005-0000-0000-0000B55F0000}"/>
    <cellStyle name="40 % - Markeringsfarve3 2 11 5" xfId="36446" xr:uid="{00000000-0005-0000-0000-0000B65F0000}"/>
    <cellStyle name="40 % - Markeringsfarve3 2 12" xfId="5860" xr:uid="{00000000-0005-0000-0000-0000B75F0000}"/>
    <cellStyle name="40 % - Markeringsfarve3 2 12 2" xfId="13778" xr:uid="{00000000-0005-0000-0000-0000B85F0000}"/>
    <cellStyle name="40 % - Markeringsfarve3 2 12 2 2" xfId="30092" xr:uid="{00000000-0005-0000-0000-0000B95F0000}"/>
    <cellStyle name="40 % - Markeringsfarve3 2 12 2 3" xfId="45056" xr:uid="{00000000-0005-0000-0000-0000BA5F0000}"/>
    <cellStyle name="40 % - Markeringsfarve3 2 12 3" xfId="23070" xr:uid="{00000000-0005-0000-0000-0000BB5F0000}"/>
    <cellStyle name="40 % - Markeringsfarve3 2 12 4" xfId="38057" xr:uid="{00000000-0005-0000-0000-0000BC5F0000}"/>
    <cellStyle name="40 % - Markeringsfarve3 2 13" xfId="12159" xr:uid="{00000000-0005-0000-0000-0000BD5F0000}"/>
    <cellStyle name="40 % - Markeringsfarve3 2 13 2" xfId="28478" xr:uid="{00000000-0005-0000-0000-0000BE5F0000}"/>
    <cellStyle name="40 % - Markeringsfarve3 2 13 3" xfId="43443" xr:uid="{00000000-0005-0000-0000-0000BF5F0000}"/>
    <cellStyle name="40 % - Markeringsfarve3 2 14" xfId="21456" xr:uid="{00000000-0005-0000-0000-0000C05F0000}"/>
    <cellStyle name="40 % - Markeringsfarve3 2 15" xfId="36444" xr:uid="{00000000-0005-0000-0000-0000C15F0000}"/>
    <cellStyle name="40 % - Markeringsfarve3 2 16" xfId="53326" xr:uid="{00000000-0005-0000-0000-0000C25F0000}"/>
    <cellStyle name="40 % - Markeringsfarve3 2 2" xfId="3605" xr:uid="{00000000-0005-0000-0000-0000C35F0000}"/>
    <cellStyle name="40 % - Markeringsfarve3 2 2 10" xfId="5861" xr:uid="{00000000-0005-0000-0000-0000C45F0000}"/>
    <cellStyle name="40 % - Markeringsfarve3 2 2 10 2" xfId="13779" xr:uid="{00000000-0005-0000-0000-0000C55F0000}"/>
    <cellStyle name="40 % - Markeringsfarve3 2 2 10 2 2" xfId="30093" xr:uid="{00000000-0005-0000-0000-0000C65F0000}"/>
    <cellStyle name="40 % - Markeringsfarve3 2 2 10 2 3" xfId="45057" xr:uid="{00000000-0005-0000-0000-0000C75F0000}"/>
    <cellStyle name="40 % - Markeringsfarve3 2 2 10 3" xfId="23071" xr:uid="{00000000-0005-0000-0000-0000C85F0000}"/>
    <cellStyle name="40 % - Markeringsfarve3 2 2 10 4" xfId="38058" xr:uid="{00000000-0005-0000-0000-0000C95F0000}"/>
    <cellStyle name="40 % - Markeringsfarve3 2 2 11" xfId="12162" xr:uid="{00000000-0005-0000-0000-0000CA5F0000}"/>
    <cellStyle name="40 % - Markeringsfarve3 2 2 11 2" xfId="28481" xr:uid="{00000000-0005-0000-0000-0000CB5F0000}"/>
    <cellStyle name="40 % - Markeringsfarve3 2 2 11 3" xfId="43446" xr:uid="{00000000-0005-0000-0000-0000CC5F0000}"/>
    <cellStyle name="40 % - Markeringsfarve3 2 2 12" xfId="21459" xr:uid="{00000000-0005-0000-0000-0000CD5F0000}"/>
    <cellStyle name="40 % - Markeringsfarve3 2 2 13" xfId="36447" xr:uid="{00000000-0005-0000-0000-0000CE5F0000}"/>
    <cellStyle name="40 % - Markeringsfarve3 2 2 14" xfId="53325" xr:uid="{00000000-0005-0000-0000-0000CF5F0000}"/>
    <cellStyle name="40 % - Markeringsfarve3 2 2 2" xfId="3606" xr:uid="{00000000-0005-0000-0000-0000D05F0000}"/>
    <cellStyle name="40 % - Markeringsfarve3 2 2 2 2" xfId="3607" xr:uid="{00000000-0005-0000-0000-0000D15F0000}"/>
    <cellStyle name="40 % - Markeringsfarve3 2 2 2 2 2" xfId="3608" xr:uid="{00000000-0005-0000-0000-0000D25F0000}"/>
    <cellStyle name="40 % - Markeringsfarve3 2 2 2 2 2 2" xfId="7678" xr:uid="{00000000-0005-0000-0000-0000D35F0000}"/>
    <cellStyle name="40 % - Markeringsfarve3 2 2 2 2 2 2 2" xfId="15579" xr:uid="{00000000-0005-0000-0000-0000D45F0000}"/>
    <cellStyle name="40 % - Markeringsfarve3 2 2 2 2 2 2 2 2" xfId="31893" xr:uid="{00000000-0005-0000-0000-0000D55F0000}"/>
    <cellStyle name="40 % - Markeringsfarve3 2 2 2 2 2 2 2 3" xfId="46857" xr:uid="{00000000-0005-0000-0000-0000D65F0000}"/>
    <cellStyle name="40 % - Markeringsfarve3 2 2 2 2 2 2 3" xfId="24871" xr:uid="{00000000-0005-0000-0000-0000D75F0000}"/>
    <cellStyle name="40 % - Markeringsfarve3 2 2 2 2 2 2 4" xfId="39858" xr:uid="{00000000-0005-0000-0000-0000D85F0000}"/>
    <cellStyle name="40 % - Markeringsfarve3 2 2 2 2 2 3" xfId="12165" xr:uid="{00000000-0005-0000-0000-0000D95F0000}"/>
    <cellStyle name="40 % - Markeringsfarve3 2 2 2 2 2 3 2" xfId="28484" xr:uid="{00000000-0005-0000-0000-0000DA5F0000}"/>
    <cellStyle name="40 % - Markeringsfarve3 2 2 2 2 2 3 3" xfId="43449" xr:uid="{00000000-0005-0000-0000-0000DB5F0000}"/>
    <cellStyle name="40 % - Markeringsfarve3 2 2 2 2 2 4" xfId="21462" xr:uid="{00000000-0005-0000-0000-0000DC5F0000}"/>
    <cellStyle name="40 % - Markeringsfarve3 2 2 2 2 2 5" xfId="36450" xr:uid="{00000000-0005-0000-0000-0000DD5F0000}"/>
    <cellStyle name="40 % - Markeringsfarve3 2 2 2 2 3" xfId="6250" xr:uid="{00000000-0005-0000-0000-0000DE5F0000}"/>
    <cellStyle name="40 % - Markeringsfarve3 2 2 2 2 3 2" xfId="14167" xr:uid="{00000000-0005-0000-0000-0000DF5F0000}"/>
    <cellStyle name="40 % - Markeringsfarve3 2 2 2 2 3 2 2" xfId="30481" xr:uid="{00000000-0005-0000-0000-0000E05F0000}"/>
    <cellStyle name="40 % - Markeringsfarve3 2 2 2 2 3 2 3" xfId="45445" xr:uid="{00000000-0005-0000-0000-0000E15F0000}"/>
    <cellStyle name="40 % - Markeringsfarve3 2 2 2 2 3 3" xfId="23459" xr:uid="{00000000-0005-0000-0000-0000E25F0000}"/>
    <cellStyle name="40 % - Markeringsfarve3 2 2 2 2 3 4" xfId="38446" xr:uid="{00000000-0005-0000-0000-0000E35F0000}"/>
    <cellStyle name="40 % - Markeringsfarve3 2 2 2 2 4" xfId="12164" xr:uid="{00000000-0005-0000-0000-0000E45F0000}"/>
    <cellStyle name="40 % - Markeringsfarve3 2 2 2 2 4 2" xfId="28483" xr:uid="{00000000-0005-0000-0000-0000E55F0000}"/>
    <cellStyle name="40 % - Markeringsfarve3 2 2 2 2 4 3" xfId="43448" xr:uid="{00000000-0005-0000-0000-0000E65F0000}"/>
    <cellStyle name="40 % - Markeringsfarve3 2 2 2 2 5" xfId="21461" xr:uid="{00000000-0005-0000-0000-0000E75F0000}"/>
    <cellStyle name="40 % - Markeringsfarve3 2 2 2 2 6" xfId="36449" xr:uid="{00000000-0005-0000-0000-0000E85F0000}"/>
    <cellStyle name="40 % - Markeringsfarve3 2 2 2 2 7" xfId="57129" xr:uid="{00000000-0005-0000-0000-0000E95F0000}"/>
    <cellStyle name="40 % - Markeringsfarve3 2 2 2 3" xfId="3609" xr:uid="{00000000-0005-0000-0000-0000EA5F0000}"/>
    <cellStyle name="40 % - Markeringsfarve3 2 2 2 3 2" xfId="6908" xr:uid="{00000000-0005-0000-0000-0000EB5F0000}"/>
    <cellStyle name="40 % - Markeringsfarve3 2 2 2 3 2 2" xfId="14819" xr:uid="{00000000-0005-0000-0000-0000EC5F0000}"/>
    <cellStyle name="40 % - Markeringsfarve3 2 2 2 3 2 2 2" xfId="31133" xr:uid="{00000000-0005-0000-0000-0000ED5F0000}"/>
    <cellStyle name="40 % - Markeringsfarve3 2 2 2 3 2 2 3" xfId="46097" xr:uid="{00000000-0005-0000-0000-0000EE5F0000}"/>
    <cellStyle name="40 % - Markeringsfarve3 2 2 2 3 2 3" xfId="24111" xr:uid="{00000000-0005-0000-0000-0000EF5F0000}"/>
    <cellStyle name="40 % - Markeringsfarve3 2 2 2 3 2 4" xfId="39098" xr:uid="{00000000-0005-0000-0000-0000F05F0000}"/>
    <cellStyle name="40 % - Markeringsfarve3 2 2 2 3 3" xfId="12166" xr:uid="{00000000-0005-0000-0000-0000F15F0000}"/>
    <cellStyle name="40 % - Markeringsfarve3 2 2 2 3 3 2" xfId="28485" xr:uid="{00000000-0005-0000-0000-0000F25F0000}"/>
    <cellStyle name="40 % - Markeringsfarve3 2 2 2 3 3 3" xfId="43450" xr:uid="{00000000-0005-0000-0000-0000F35F0000}"/>
    <cellStyle name="40 % - Markeringsfarve3 2 2 2 3 4" xfId="21463" xr:uid="{00000000-0005-0000-0000-0000F45F0000}"/>
    <cellStyle name="40 % - Markeringsfarve3 2 2 2 3 5" xfId="36451" xr:uid="{00000000-0005-0000-0000-0000F55F0000}"/>
    <cellStyle name="40 % - Markeringsfarve3 2 2 2 4" xfId="3610" xr:uid="{00000000-0005-0000-0000-0000F65F0000}"/>
    <cellStyle name="40 % - Markeringsfarve3 2 2 2 4 2" xfId="6701" xr:uid="{00000000-0005-0000-0000-0000F75F0000}"/>
    <cellStyle name="40 % - Markeringsfarve3 2 2 2 4 2 2" xfId="14614" xr:uid="{00000000-0005-0000-0000-0000F85F0000}"/>
    <cellStyle name="40 % - Markeringsfarve3 2 2 2 4 2 2 2" xfId="30928" xr:uid="{00000000-0005-0000-0000-0000F95F0000}"/>
    <cellStyle name="40 % - Markeringsfarve3 2 2 2 4 2 2 3" xfId="45892" xr:uid="{00000000-0005-0000-0000-0000FA5F0000}"/>
    <cellStyle name="40 % - Markeringsfarve3 2 2 2 4 2 3" xfId="23906" xr:uid="{00000000-0005-0000-0000-0000FB5F0000}"/>
    <cellStyle name="40 % - Markeringsfarve3 2 2 2 4 2 4" xfId="38893" xr:uid="{00000000-0005-0000-0000-0000FC5F0000}"/>
    <cellStyle name="40 % - Markeringsfarve3 2 2 2 4 3" xfId="12167" xr:uid="{00000000-0005-0000-0000-0000FD5F0000}"/>
    <cellStyle name="40 % - Markeringsfarve3 2 2 2 4 3 2" xfId="28486" xr:uid="{00000000-0005-0000-0000-0000FE5F0000}"/>
    <cellStyle name="40 % - Markeringsfarve3 2 2 2 4 3 3" xfId="43451" xr:uid="{00000000-0005-0000-0000-0000FF5F0000}"/>
    <cellStyle name="40 % - Markeringsfarve3 2 2 2 4 4" xfId="21464" xr:uid="{00000000-0005-0000-0000-000000600000}"/>
    <cellStyle name="40 % - Markeringsfarve3 2 2 2 4 5" xfId="36452" xr:uid="{00000000-0005-0000-0000-000001600000}"/>
    <cellStyle name="40 % - Markeringsfarve3 2 2 2 5" xfId="5862" xr:uid="{00000000-0005-0000-0000-000002600000}"/>
    <cellStyle name="40 % - Markeringsfarve3 2 2 2 5 2" xfId="13780" xr:uid="{00000000-0005-0000-0000-000003600000}"/>
    <cellStyle name="40 % - Markeringsfarve3 2 2 2 5 2 2" xfId="30094" xr:uid="{00000000-0005-0000-0000-000004600000}"/>
    <cellStyle name="40 % - Markeringsfarve3 2 2 2 5 2 3" xfId="45058" xr:uid="{00000000-0005-0000-0000-000005600000}"/>
    <cellStyle name="40 % - Markeringsfarve3 2 2 2 5 3" xfId="23072" xr:uid="{00000000-0005-0000-0000-000006600000}"/>
    <cellStyle name="40 % - Markeringsfarve3 2 2 2 5 4" xfId="38059" xr:uid="{00000000-0005-0000-0000-000007600000}"/>
    <cellStyle name="40 % - Markeringsfarve3 2 2 2 6" xfId="12163" xr:uid="{00000000-0005-0000-0000-000008600000}"/>
    <cellStyle name="40 % - Markeringsfarve3 2 2 2 6 2" xfId="28482" xr:uid="{00000000-0005-0000-0000-000009600000}"/>
    <cellStyle name="40 % - Markeringsfarve3 2 2 2 6 3" xfId="43447" xr:uid="{00000000-0005-0000-0000-00000A600000}"/>
    <cellStyle name="40 % - Markeringsfarve3 2 2 2 7" xfId="21460" xr:uid="{00000000-0005-0000-0000-00000B600000}"/>
    <cellStyle name="40 % - Markeringsfarve3 2 2 2 8" xfId="36448" xr:uid="{00000000-0005-0000-0000-00000C600000}"/>
    <cellStyle name="40 % - Markeringsfarve3 2 2 2 9" xfId="53962" xr:uid="{00000000-0005-0000-0000-00000D600000}"/>
    <cellStyle name="40 % - Markeringsfarve3 2 2 3" xfId="3611" xr:uid="{00000000-0005-0000-0000-00000E600000}"/>
    <cellStyle name="40 % - Markeringsfarve3 2 2 3 2" xfId="3612" xr:uid="{00000000-0005-0000-0000-00000F600000}"/>
    <cellStyle name="40 % - Markeringsfarve3 2 2 3 2 2" xfId="3613" xr:uid="{00000000-0005-0000-0000-000010600000}"/>
    <cellStyle name="40 % - Markeringsfarve3 2 2 3 2 2 2" xfId="7799" xr:uid="{00000000-0005-0000-0000-000011600000}"/>
    <cellStyle name="40 % - Markeringsfarve3 2 2 3 2 2 2 2" xfId="15700" xr:uid="{00000000-0005-0000-0000-000012600000}"/>
    <cellStyle name="40 % - Markeringsfarve3 2 2 3 2 2 2 2 2" xfId="32014" xr:uid="{00000000-0005-0000-0000-000013600000}"/>
    <cellStyle name="40 % - Markeringsfarve3 2 2 3 2 2 2 2 3" xfId="46978" xr:uid="{00000000-0005-0000-0000-000014600000}"/>
    <cellStyle name="40 % - Markeringsfarve3 2 2 3 2 2 2 3" xfId="24992" xr:uid="{00000000-0005-0000-0000-000015600000}"/>
    <cellStyle name="40 % - Markeringsfarve3 2 2 3 2 2 2 4" xfId="39979" xr:uid="{00000000-0005-0000-0000-000016600000}"/>
    <cellStyle name="40 % - Markeringsfarve3 2 2 3 2 2 3" xfId="12170" xr:uid="{00000000-0005-0000-0000-000017600000}"/>
    <cellStyle name="40 % - Markeringsfarve3 2 2 3 2 2 3 2" xfId="28489" xr:uid="{00000000-0005-0000-0000-000018600000}"/>
    <cellStyle name="40 % - Markeringsfarve3 2 2 3 2 2 3 3" xfId="43454" xr:uid="{00000000-0005-0000-0000-000019600000}"/>
    <cellStyle name="40 % - Markeringsfarve3 2 2 3 2 2 4" xfId="21467" xr:uid="{00000000-0005-0000-0000-00001A600000}"/>
    <cellStyle name="40 % - Markeringsfarve3 2 2 3 2 2 5" xfId="36455" xr:uid="{00000000-0005-0000-0000-00001B600000}"/>
    <cellStyle name="40 % - Markeringsfarve3 2 2 3 2 3" xfId="6345" xr:uid="{00000000-0005-0000-0000-00001C600000}"/>
    <cellStyle name="40 % - Markeringsfarve3 2 2 3 2 3 2" xfId="14262" xr:uid="{00000000-0005-0000-0000-00001D600000}"/>
    <cellStyle name="40 % - Markeringsfarve3 2 2 3 2 3 2 2" xfId="30576" xr:uid="{00000000-0005-0000-0000-00001E600000}"/>
    <cellStyle name="40 % - Markeringsfarve3 2 2 3 2 3 2 3" xfId="45540" xr:uid="{00000000-0005-0000-0000-00001F600000}"/>
    <cellStyle name="40 % - Markeringsfarve3 2 2 3 2 3 3" xfId="23554" xr:uid="{00000000-0005-0000-0000-000020600000}"/>
    <cellStyle name="40 % - Markeringsfarve3 2 2 3 2 3 4" xfId="38541" xr:uid="{00000000-0005-0000-0000-000021600000}"/>
    <cellStyle name="40 % - Markeringsfarve3 2 2 3 2 4" xfId="12169" xr:uid="{00000000-0005-0000-0000-000022600000}"/>
    <cellStyle name="40 % - Markeringsfarve3 2 2 3 2 4 2" xfId="28488" xr:uid="{00000000-0005-0000-0000-000023600000}"/>
    <cellStyle name="40 % - Markeringsfarve3 2 2 3 2 4 3" xfId="43453" xr:uid="{00000000-0005-0000-0000-000024600000}"/>
    <cellStyle name="40 % - Markeringsfarve3 2 2 3 2 5" xfId="21466" xr:uid="{00000000-0005-0000-0000-000025600000}"/>
    <cellStyle name="40 % - Markeringsfarve3 2 2 3 2 6" xfId="36454" xr:uid="{00000000-0005-0000-0000-000026600000}"/>
    <cellStyle name="40 % - Markeringsfarve3 2 2 3 3" xfId="3614" xr:uid="{00000000-0005-0000-0000-000027600000}"/>
    <cellStyle name="40 % - Markeringsfarve3 2 2 3 3 2" xfId="7029" xr:uid="{00000000-0005-0000-0000-000028600000}"/>
    <cellStyle name="40 % - Markeringsfarve3 2 2 3 3 2 2" xfId="14940" xr:uid="{00000000-0005-0000-0000-000029600000}"/>
    <cellStyle name="40 % - Markeringsfarve3 2 2 3 3 2 2 2" xfId="31254" xr:uid="{00000000-0005-0000-0000-00002A600000}"/>
    <cellStyle name="40 % - Markeringsfarve3 2 2 3 3 2 2 3" xfId="46218" xr:uid="{00000000-0005-0000-0000-00002B600000}"/>
    <cellStyle name="40 % - Markeringsfarve3 2 2 3 3 2 3" xfId="24232" xr:uid="{00000000-0005-0000-0000-00002C600000}"/>
    <cellStyle name="40 % - Markeringsfarve3 2 2 3 3 2 4" xfId="39219" xr:uid="{00000000-0005-0000-0000-00002D600000}"/>
    <cellStyle name="40 % - Markeringsfarve3 2 2 3 3 3" xfId="12171" xr:uid="{00000000-0005-0000-0000-00002E600000}"/>
    <cellStyle name="40 % - Markeringsfarve3 2 2 3 3 3 2" xfId="28490" xr:uid="{00000000-0005-0000-0000-00002F600000}"/>
    <cellStyle name="40 % - Markeringsfarve3 2 2 3 3 3 3" xfId="43455" xr:uid="{00000000-0005-0000-0000-000030600000}"/>
    <cellStyle name="40 % - Markeringsfarve3 2 2 3 3 4" xfId="21468" xr:uid="{00000000-0005-0000-0000-000031600000}"/>
    <cellStyle name="40 % - Markeringsfarve3 2 2 3 3 5" xfId="36456" xr:uid="{00000000-0005-0000-0000-000032600000}"/>
    <cellStyle name="40 % - Markeringsfarve3 2 2 3 4" xfId="3615" xr:uid="{00000000-0005-0000-0000-000033600000}"/>
    <cellStyle name="40 % - Markeringsfarve3 2 2 3 4 2" xfId="6702" xr:uid="{00000000-0005-0000-0000-000034600000}"/>
    <cellStyle name="40 % - Markeringsfarve3 2 2 3 4 2 2" xfId="14615" xr:uid="{00000000-0005-0000-0000-000035600000}"/>
    <cellStyle name="40 % - Markeringsfarve3 2 2 3 4 2 2 2" xfId="30929" xr:uid="{00000000-0005-0000-0000-000036600000}"/>
    <cellStyle name="40 % - Markeringsfarve3 2 2 3 4 2 2 3" xfId="45893" xr:uid="{00000000-0005-0000-0000-000037600000}"/>
    <cellStyle name="40 % - Markeringsfarve3 2 2 3 4 2 3" xfId="23907" xr:uid="{00000000-0005-0000-0000-000038600000}"/>
    <cellStyle name="40 % - Markeringsfarve3 2 2 3 4 2 4" xfId="38894" xr:uid="{00000000-0005-0000-0000-000039600000}"/>
    <cellStyle name="40 % - Markeringsfarve3 2 2 3 4 3" xfId="12172" xr:uid="{00000000-0005-0000-0000-00003A600000}"/>
    <cellStyle name="40 % - Markeringsfarve3 2 2 3 4 3 2" xfId="28491" xr:uid="{00000000-0005-0000-0000-00003B600000}"/>
    <cellStyle name="40 % - Markeringsfarve3 2 2 3 4 3 3" xfId="43456" xr:uid="{00000000-0005-0000-0000-00003C600000}"/>
    <cellStyle name="40 % - Markeringsfarve3 2 2 3 4 4" xfId="21469" xr:uid="{00000000-0005-0000-0000-00003D600000}"/>
    <cellStyle name="40 % - Markeringsfarve3 2 2 3 4 5" xfId="36457" xr:uid="{00000000-0005-0000-0000-00003E600000}"/>
    <cellStyle name="40 % - Markeringsfarve3 2 2 3 5" xfId="5863" xr:uid="{00000000-0005-0000-0000-00003F600000}"/>
    <cellStyle name="40 % - Markeringsfarve3 2 2 3 5 2" xfId="13781" xr:uid="{00000000-0005-0000-0000-000040600000}"/>
    <cellStyle name="40 % - Markeringsfarve3 2 2 3 5 2 2" xfId="30095" xr:uid="{00000000-0005-0000-0000-000041600000}"/>
    <cellStyle name="40 % - Markeringsfarve3 2 2 3 5 2 3" xfId="45059" xr:uid="{00000000-0005-0000-0000-000042600000}"/>
    <cellStyle name="40 % - Markeringsfarve3 2 2 3 5 3" xfId="23073" xr:uid="{00000000-0005-0000-0000-000043600000}"/>
    <cellStyle name="40 % - Markeringsfarve3 2 2 3 5 4" xfId="38060" xr:uid="{00000000-0005-0000-0000-000044600000}"/>
    <cellStyle name="40 % - Markeringsfarve3 2 2 3 6" xfId="12168" xr:uid="{00000000-0005-0000-0000-000045600000}"/>
    <cellStyle name="40 % - Markeringsfarve3 2 2 3 6 2" xfId="28487" xr:uid="{00000000-0005-0000-0000-000046600000}"/>
    <cellStyle name="40 % - Markeringsfarve3 2 2 3 6 3" xfId="43452" xr:uid="{00000000-0005-0000-0000-000047600000}"/>
    <cellStyle name="40 % - Markeringsfarve3 2 2 3 7" xfId="21465" xr:uid="{00000000-0005-0000-0000-000048600000}"/>
    <cellStyle name="40 % - Markeringsfarve3 2 2 3 8" xfId="36453" xr:uid="{00000000-0005-0000-0000-000049600000}"/>
    <cellStyle name="40 % - Markeringsfarve3 2 2 3 9" xfId="56506" xr:uid="{00000000-0005-0000-0000-00004A600000}"/>
    <cellStyle name="40 % - Markeringsfarve3 2 2 4" xfId="3616" xr:uid="{00000000-0005-0000-0000-00004B600000}"/>
    <cellStyle name="40 % - Markeringsfarve3 2 2 4 2" xfId="3617" xr:uid="{00000000-0005-0000-0000-00004C600000}"/>
    <cellStyle name="40 % - Markeringsfarve3 2 2 4 2 2" xfId="3618" xr:uid="{00000000-0005-0000-0000-00004D600000}"/>
    <cellStyle name="40 % - Markeringsfarve3 2 2 4 2 2 2" xfId="7916" xr:uid="{00000000-0005-0000-0000-00004E600000}"/>
    <cellStyle name="40 % - Markeringsfarve3 2 2 4 2 2 2 2" xfId="15817" xr:uid="{00000000-0005-0000-0000-00004F600000}"/>
    <cellStyle name="40 % - Markeringsfarve3 2 2 4 2 2 2 2 2" xfId="32131" xr:uid="{00000000-0005-0000-0000-000050600000}"/>
    <cellStyle name="40 % - Markeringsfarve3 2 2 4 2 2 2 2 3" xfId="47095" xr:uid="{00000000-0005-0000-0000-000051600000}"/>
    <cellStyle name="40 % - Markeringsfarve3 2 2 4 2 2 2 3" xfId="25109" xr:uid="{00000000-0005-0000-0000-000052600000}"/>
    <cellStyle name="40 % - Markeringsfarve3 2 2 4 2 2 2 4" xfId="40096" xr:uid="{00000000-0005-0000-0000-000053600000}"/>
    <cellStyle name="40 % - Markeringsfarve3 2 2 4 2 2 3" xfId="12175" xr:uid="{00000000-0005-0000-0000-000054600000}"/>
    <cellStyle name="40 % - Markeringsfarve3 2 2 4 2 2 3 2" xfId="28494" xr:uid="{00000000-0005-0000-0000-000055600000}"/>
    <cellStyle name="40 % - Markeringsfarve3 2 2 4 2 2 3 3" xfId="43459" xr:uid="{00000000-0005-0000-0000-000056600000}"/>
    <cellStyle name="40 % - Markeringsfarve3 2 2 4 2 2 4" xfId="21472" xr:uid="{00000000-0005-0000-0000-000057600000}"/>
    <cellStyle name="40 % - Markeringsfarve3 2 2 4 2 2 5" xfId="36460" xr:uid="{00000000-0005-0000-0000-000058600000}"/>
    <cellStyle name="40 % - Markeringsfarve3 2 2 4 2 3" xfId="6452" xr:uid="{00000000-0005-0000-0000-000059600000}"/>
    <cellStyle name="40 % - Markeringsfarve3 2 2 4 2 3 2" xfId="14366" xr:uid="{00000000-0005-0000-0000-00005A600000}"/>
    <cellStyle name="40 % - Markeringsfarve3 2 2 4 2 3 2 2" xfId="30680" xr:uid="{00000000-0005-0000-0000-00005B600000}"/>
    <cellStyle name="40 % - Markeringsfarve3 2 2 4 2 3 2 3" xfId="45644" xr:uid="{00000000-0005-0000-0000-00005C600000}"/>
    <cellStyle name="40 % - Markeringsfarve3 2 2 4 2 3 3" xfId="23658" xr:uid="{00000000-0005-0000-0000-00005D600000}"/>
    <cellStyle name="40 % - Markeringsfarve3 2 2 4 2 3 4" xfId="38645" xr:uid="{00000000-0005-0000-0000-00005E600000}"/>
    <cellStyle name="40 % - Markeringsfarve3 2 2 4 2 4" xfId="12174" xr:uid="{00000000-0005-0000-0000-00005F600000}"/>
    <cellStyle name="40 % - Markeringsfarve3 2 2 4 2 4 2" xfId="28493" xr:uid="{00000000-0005-0000-0000-000060600000}"/>
    <cellStyle name="40 % - Markeringsfarve3 2 2 4 2 4 3" xfId="43458" xr:uid="{00000000-0005-0000-0000-000061600000}"/>
    <cellStyle name="40 % - Markeringsfarve3 2 2 4 2 5" xfId="21471" xr:uid="{00000000-0005-0000-0000-000062600000}"/>
    <cellStyle name="40 % - Markeringsfarve3 2 2 4 2 6" xfId="36459" xr:uid="{00000000-0005-0000-0000-000063600000}"/>
    <cellStyle name="40 % - Markeringsfarve3 2 2 4 3" xfId="3619" xr:uid="{00000000-0005-0000-0000-000064600000}"/>
    <cellStyle name="40 % - Markeringsfarve3 2 2 4 3 2" xfId="7192" xr:uid="{00000000-0005-0000-0000-000065600000}"/>
    <cellStyle name="40 % - Markeringsfarve3 2 2 4 3 2 2" xfId="15102" xr:uid="{00000000-0005-0000-0000-000066600000}"/>
    <cellStyle name="40 % - Markeringsfarve3 2 2 4 3 2 2 2" xfId="31416" xr:uid="{00000000-0005-0000-0000-000067600000}"/>
    <cellStyle name="40 % - Markeringsfarve3 2 2 4 3 2 2 3" xfId="46380" xr:uid="{00000000-0005-0000-0000-000068600000}"/>
    <cellStyle name="40 % - Markeringsfarve3 2 2 4 3 2 3" xfId="24394" xr:uid="{00000000-0005-0000-0000-000069600000}"/>
    <cellStyle name="40 % - Markeringsfarve3 2 2 4 3 2 4" xfId="39381" xr:uid="{00000000-0005-0000-0000-00006A600000}"/>
    <cellStyle name="40 % - Markeringsfarve3 2 2 4 3 3" xfId="12176" xr:uid="{00000000-0005-0000-0000-00006B600000}"/>
    <cellStyle name="40 % - Markeringsfarve3 2 2 4 3 3 2" xfId="28495" xr:uid="{00000000-0005-0000-0000-00006C600000}"/>
    <cellStyle name="40 % - Markeringsfarve3 2 2 4 3 3 3" xfId="43460" xr:uid="{00000000-0005-0000-0000-00006D600000}"/>
    <cellStyle name="40 % - Markeringsfarve3 2 2 4 3 4" xfId="21473" xr:uid="{00000000-0005-0000-0000-00006E600000}"/>
    <cellStyle name="40 % - Markeringsfarve3 2 2 4 3 5" xfId="36461" xr:uid="{00000000-0005-0000-0000-00006F600000}"/>
    <cellStyle name="40 % - Markeringsfarve3 2 2 4 4" xfId="3620" xr:uid="{00000000-0005-0000-0000-000070600000}"/>
    <cellStyle name="40 % - Markeringsfarve3 2 2 4 4 2" xfId="8543" xr:uid="{00000000-0005-0000-0000-000071600000}"/>
    <cellStyle name="40 % - Markeringsfarve3 2 2 4 4 2 2" xfId="16431" xr:uid="{00000000-0005-0000-0000-000072600000}"/>
    <cellStyle name="40 % - Markeringsfarve3 2 2 4 4 2 2 2" xfId="32745" xr:uid="{00000000-0005-0000-0000-000073600000}"/>
    <cellStyle name="40 % - Markeringsfarve3 2 2 4 4 2 2 3" xfId="47709" xr:uid="{00000000-0005-0000-0000-000074600000}"/>
    <cellStyle name="40 % - Markeringsfarve3 2 2 4 4 2 3" xfId="25723" xr:uid="{00000000-0005-0000-0000-000075600000}"/>
    <cellStyle name="40 % - Markeringsfarve3 2 2 4 4 2 4" xfId="40710" xr:uid="{00000000-0005-0000-0000-000076600000}"/>
    <cellStyle name="40 % - Markeringsfarve3 2 2 4 4 3" xfId="12177" xr:uid="{00000000-0005-0000-0000-000077600000}"/>
    <cellStyle name="40 % - Markeringsfarve3 2 2 4 4 3 2" xfId="28496" xr:uid="{00000000-0005-0000-0000-000078600000}"/>
    <cellStyle name="40 % - Markeringsfarve3 2 2 4 4 3 3" xfId="43461" xr:uid="{00000000-0005-0000-0000-000079600000}"/>
    <cellStyle name="40 % - Markeringsfarve3 2 2 4 4 4" xfId="21474" xr:uid="{00000000-0005-0000-0000-00007A600000}"/>
    <cellStyle name="40 % - Markeringsfarve3 2 2 4 4 5" xfId="36462" xr:uid="{00000000-0005-0000-0000-00007B600000}"/>
    <cellStyle name="40 % - Markeringsfarve3 2 2 4 5" xfId="5864" xr:uid="{00000000-0005-0000-0000-00007C600000}"/>
    <cellStyle name="40 % - Markeringsfarve3 2 2 4 5 2" xfId="13782" xr:uid="{00000000-0005-0000-0000-00007D600000}"/>
    <cellStyle name="40 % - Markeringsfarve3 2 2 4 5 2 2" xfId="30096" xr:uid="{00000000-0005-0000-0000-00007E600000}"/>
    <cellStyle name="40 % - Markeringsfarve3 2 2 4 5 2 3" xfId="45060" xr:uid="{00000000-0005-0000-0000-00007F600000}"/>
    <cellStyle name="40 % - Markeringsfarve3 2 2 4 5 3" xfId="23074" xr:uid="{00000000-0005-0000-0000-000080600000}"/>
    <cellStyle name="40 % - Markeringsfarve3 2 2 4 5 4" xfId="38061" xr:uid="{00000000-0005-0000-0000-000081600000}"/>
    <cellStyle name="40 % - Markeringsfarve3 2 2 4 6" xfId="12173" xr:uid="{00000000-0005-0000-0000-000082600000}"/>
    <cellStyle name="40 % - Markeringsfarve3 2 2 4 6 2" xfId="28492" xr:uid="{00000000-0005-0000-0000-000083600000}"/>
    <cellStyle name="40 % - Markeringsfarve3 2 2 4 6 3" xfId="43457" xr:uid="{00000000-0005-0000-0000-000084600000}"/>
    <cellStyle name="40 % - Markeringsfarve3 2 2 4 7" xfId="21470" xr:uid="{00000000-0005-0000-0000-000085600000}"/>
    <cellStyle name="40 % - Markeringsfarve3 2 2 4 8" xfId="36458" xr:uid="{00000000-0005-0000-0000-000086600000}"/>
    <cellStyle name="40 % - Markeringsfarve3 2 2 5" xfId="3621" xr:uid="{00000000-0005-0000-0000-000087600000}"/>
    <cellStyle name="40 % - Markeringsfarve3 2 2 5 2" xfId="3622" xr:uid="{00000000-0005-0000-0000-000088600000}"/>
    <cellStyle name="40 % - Markeringsfarve3 2 2 5 2 2" xfId="3623" xr:uid="{00000000-0005-0000-0000-000089600000}"/>
    <cellStyle name="40 % - Markeringsfarve3 2 2 5 2 2 2" xfId="8033" xr:uid="{00000000-0005-0000-0000-00008A600000}"/>
    <cellStyle name="40 % - Markeringsfarve3 2 2 5 2 2 2 2" xfId="15934" xr:uid="{00000000-0005-0000-0000-00008B600000}"/>
    <cellStyle name="40 % - Markeringsfarve3 2 2 5 2 2 2 2 2" xfId="32248" xr:uid="{00000000-0005-0000-0000-00008C600000}"/>
    <cellStyle name="40 % - Markeringsfarve3 2 2 5 2 2 2 2 3" xfId="47212" xr:uid="{00000000-0005-0000-0000-00008D600000}"/>
    <cellStyle name="40 % - Markeringsfarve3 2 2 5 2 2 2 3" xfId="25226" xr:uid="{00000000-0005-0000-0000-00008E600000}"/>
    <cellStyle name="40 % - Markeringsfarve3 2 2 5 2 2 2 4" xfId="40213" xr:uid="{00000000-0005-0000-0000-00008F600000}"/>
    <cellStyle name="40 % - Markeringsfarve3 2 2 5 2 2 3" xfId="12180" xr:uid="{00000000-0005-0000-0000-000090600000}"/>
    <cellStyle name="40 % - Markeringsfarve3 2 2 5 2 2 3 2" xfId="28499" xr:uid="{00000000-0005-0000-0000-000091600000}"/>
    <cellStyle name="40 % - Markeringsfarve3 2 2 5 2 2 3 3" xfId="43464" xr:uid="{00000000-0005-0000-0000-000092600000}"/>
    <cellStyle name="40 % - Markeringsfarve3 2 2 5 2 2 4" xfId="21477" xr:uid="{00000000-0005-0000-0000-000093600000}"/>
    <cellStyle name="40 % - Markeringsfarve3 2 2 5 2 2 5" xfId="36465" xr:uid="{00000000-0005-0000-0000-000094600000}"/>
    <cellStyle name="40 % - Markeringsfarve3 2 2 5 2 3" xfId="6551" xr:uid="{00000000-0005-0000-0000-000095600000}"/>
    <cellStyle name="40 % - Markeringsfarve3 2 2 5 2 3 2" xfId="14465" xr:uid="{00000000-0005-0000-0000-000096600000}"/>
    <cellStyle name="40 % - Markeringsfarve3 2 2 5 2 3 2 2" xfId="30779" xr:uid="{00000000-0005-0000-0000-000097600000}"/>
    <cellStyle name="40 % - Markeringsfarve3 2 2 5 2 3 2 3" xfId="45743" xr:uid="{00000000-0005-0000-0000-000098600000}"/>
    <cellStyle name="40 % - Markeringsfarve3 2 2 5 2 3 3" xfId="23757" xr:uid="{00000000-0005-0000-0000-000099600000}"/>
    <cellStyle name="40 % - Markeringsfarve3 2 2 5 2 3 4" xfId="38744" xr:uid="{00000000-0005-0000-0000-00009A600000}"/>
    <cellStyle name="40 % - Markeringsfarve3 2 2 5 2 4" xfId="12179" xr:uid="{00000000-0005-0000-0000-00009B600000}"/>
    <cellStyle name="40 % - Markeringsfarve3 2 2 5 2 4 2" xfId="28498" xr:uid="{00000000-0005-0000-0000-00009C600000}"/>
    <cellStyle name="40 % - Markeringsfarve3 2 2 5 2 4 3" xfId="43463" xr:uid="{00000000-0005-0000-0000-00009D600000}"/>
    <cellStyle name="40 % - Markeringsfarve3 2 2 5 2 5" xfId="21476" xr:uid="{00000000-0005-0000-0000-00009E600000}"/>
    <cellStyle name="40 % - Markeringsfarve3 2 2 5 2 6" xfId="36464" xr:uid="{00000000-0005-0000-0000-00009F600000}"/>
    <cellStyle name="40 % - Markeringsfarve3 2 2 5 3" xfId="3624" xr:uid="{00000000-0005-0000-0000-0000A0600000}"/>
    <cellStyle name="40 % - Markeringsfarve3 2 2 5 3 2" xfId="7309" xr:uid="{00000000-0005-0000-0000-0000A1600000}"/>
    <cellStyle name="40 % - Markeringsfarve3 2 2 5 3 2 2" xfId="15219" xr:uid="{00000000-0005-0000-0000-0000A2600000}"/>
    <cellStyle name="40 % - Markeringsfarve3 2 2 5 3 2 2 2" xfId="31533" xr:uid="{00000000-0005-0000-0000-0000A3600000}"/>
    <cellStyle name="40 % - Markeringsfarve3 2 2 5 3 2 2 3" xfId="46497" xr:uid="{00000000-0005-0000-0000-0000A4600000}"/>
    <cellStyle name="40 % - Markeringsfarve3 2 2 5 3 2 3" xfId="24511" xr:uid="{00000000-0005-0000-0000-0000A5600000}"/>
    <cellStyle name="40 % - Markeringsfarve3 2 2 5 3 2 4" xfId="39498" xr:uid="{00000000-0005-0000-0000-0000A6600000}"/>
    <cellStyle name="40 % - Markeringsfarve3 2 2 5 3 3" xfId="12181" xr:uid="{00000000-0005-0000-0000-0000A7600000}"/>
    <cellStyle name="40 % - Markeringsfarve3 2 2 5 3 3 2" xfId="28500" xr:uid="{00000000-0005-0000-0000-0000A8600000}"/>
    <cellStyle name="40 % - Markeringsfarve3 2 2 5 3 3 3" xfId="43465" xr:uid="{00000000-0005-0000-0000-0000A9600000}"/>
    <cellStyle name="40 % - Markeringsfarve3 2 2 5 3 4" xfId="21478" xr:uid="{00000000-0005-0000-0000-0000AA600000}"/>
    <cellStyle name="40 % - Markeringsfarve3 2 2 5 3 5" xfId="36466" xr:uid="{00000000-0005-0000-0000-0000AB600000}"/>
    <cellStyle name="40 % - Markeringsfarve3 2 2 5 4" xfId="3625" xr:uid="{00000000-0005-0000-0000-0000AC600000}"/>
    <cellStyle name="40 % - Markeringsfarve3 2 2 5 4 2" xfId="8772" xr:uid="{00000000-0005-0000-0000-0000AD600000}"/>
    <cellStyle name="40 % - Markeringsfarve3 2 2 5 4 2 2" xfId="16648" xr:uid="{00000000-0005-0000-0000-0000AE600000}"/>
    <cellStyle name="40 % - Markeringsfarve3 2 2 5 4 2 2 2" xfId="32962" xr:uid="{00000000-0005-0000-0000-0000AF600000}"/>
    <cellStyle name="40 % - Markeringsfarve3 2 2 5 4 2 2 3" xfId="47926" xr:uid="{00000000-0005-0000-0000-0000B0600000}"/>
    <cellStyle name="40 % - Markeringsfarve3 2 2 5 4 2 3" xfId="25940" xr:uid="{00000000-0005-0000-0000-0000B1600000}"/>
    <cellStyle name="40 % - Markeringsfarve3 2 2 5 4 2 4" xfId="40927" xr:uid="{00000000-0005-0000-0000-0000B2600000}"/>
    <cellStyle name="40 % - Markeringsfarve3 2 2 5 4 3" xfId="12182" xr:uid="{00000000-0005-0000-0000-0000B3600000}"/>
    <cellStyle name="40 % - Markeringsfarve3 2 2 5 4 3 2" xfId="28501" xr:uid="{00000000-0005-0000-0000-0000B4600000}"/>
    <cellStyle name="40 % - Markeringsfarve3 2 2 5 4 3 3" xfId="43466" xr:uid="{00000000-0005-0000-0000-0000B5600000}"/>
    <cellStyle name="40 % - Markeringsfarve3 2 2 5 4 4" xfId="21479" xr:uid="{00000000-0005-0000-0000-0000B6600000}"/>
    <cellStyle name="40 % - Markeringsfarve3 2 2 5 4 5" xfId="36467" xr:uid="{00000000-0005-0000-0000-0000B7600000}"/>
    <cellStyle name="40 % - Markeringsfarve3 2 2 5 5" xfId="5865" xr:uid="{00000000-0005-0000-0000-0000B8600000}"/>
    <cellStyle name="40 % - Markeringsfarve3 2 2 5 5 2" xfId="13783" xr:uid="{00000000-0005-0000-0000-0000B9600000}"/>
    <cellStyle name="40 % - Markeringsfarve3 2 2 5 5 2 2" xfId="30097" xr:uid="{00000000-0005-0000-0000-0000BA600000}"/>
    <cellStyle name="40 % - Markeringsfarve3 2 2 5 5 2 3" xfId="45061" xr:uid="{00000000-0005-0000-0000-0000BB600000}"/>
    <cellStyle name="40 % - Markeringsfarve3 2 2 5 5 3" xfId="23075" xr:uid="{00000000-0005-0000-0000-0000BC600000}"/>
    <cellStyle name="40 % - Markeringsfarve3 2 2 5 5 4" xfId="38062" xr:uid="{00000000-0005-0000-0000-0000BD600000}"/>
    <cellStyle name="40 % - Markeringsfarve3 2 2 5 6" xfId="12178" xr:uid="{00000000-0005-0000-0000-0000BE600000}"/>
    <cellStyle name="40 % - Markeringsfarve3 2 2 5 6 2" xfId="28497" xr:uid="{00000000-0005-0000-0000-0000BF600000}"/>
    <cellStyle name="40 % - Markeringsfarve3 2 2 5 6 3" xfId="43462" xr:uid="{00000000-0005-0000-0000-0000C0600000}"/>
    <cellStyle name="40 % - Markeringsfarve3 2 2 5 7" xfId="21475" xr:uid="{00000000-0005-0000-0000-0000C1600000}"/>
    <cellStyle name="40 % - Markeringsfarve3 2 2 5 8" xfId="36463" xr:uid="{00000000-0005-0000-0000-0000C2600000}"/>
    <cellStyle name="40 % - Markeringsfarve3 2 2 6" xfId="3626" xr:uid="{00000000-0005-0000-0000-0000C3600000}"/>
    <cellStyle name="40 % - Markeringsfarve3 2 2 6 2" xfId="3627" xr:uid="{00000000-0005-0000-0000-0000C4600000}"/>
    <cellStyle name="40 % - Markeringsfarve3 2 2 6 2 2" xfId="3628" xr:uid="{00000000-0005-0000-0000-0000C5600000}"/>
    <cellStyle name="40 % - Markeringsfarve3 2 2 6 2 2 2" xfId="8154" xr:uid="{00000000-0005-0000-0000-0000C6600000}"/>
    <cellStyle name="40 % - Markeringsfarve3 2 2 6 2 2 2 2" xfId="16055" xr:uid="{00000000-0005-0000-0000-0000C7600000}"/>
    <cellStyle name="40 % - Markeringsfarve3 2 2 6 2 2 2 2 2" xfId="32369" xr:uid="{00000000-0005-0000-0000-0000C8600000}"/>
    <cellStyle name="40 % - Markeringsfarve3 2 2 6 2 2 2 2 3" xfId="47333" xr:uid="{00000000-0005-0000-0000-0000C9600000}"/>
    <cellStyle name="40 % - Markeringsfarve3 2 2 6 2 2 2 3" xfId="25347" xr:uid="{00000000-0005-0000-0000-0000CA600000}"/>
    <cellStyle name="40 % - Markeringsfarve3 2 2 6 2 2 2 4" xfId="40334" xr:uid="{00000000-0005-0000-0000-0000CB600000}"/>
    <cellStyle name="40 % - Markeringsfarve3 2 2 6 2 2 3" xfId="12185" xr:uid="{00000000-0005-0000-0000-0000CC600000}"/>
    <cellStyle name="40 % - Markeringsfarve3 2 2 6 2 2 3 2" xfId="28504" xr:uid="{00000000-0005-0000-0000-0000CD600000}"/>
    <cellStyle name="40 % - Markeringsfarve3 2 2 6 2 2 3 3" xfId="43469" xr:uid="{00000000-0005-0000-0000-0000CE600000}"/>
    <cellStyle name="40 % - Markeringsfarve3 2 2 6 2 2 4" xfId="21482" xr:uid="{00000000-0005-0000-0000-0000CF600000}"/>
    <cellStyle name="40 % - Markeringsfarve3 2 2 6 2 2 5" xfId="36470" xr:uid="{00000000-0005-0000-0000-0000D0600000}"/>
    <cellStyle name="40 % - Markeringsfarve3 2 2 6 2 3" xfId="6647" xr:uid="{00000000-0005-0000-0000-0000D1600000}"/>
    <cellStyle name="40 % - Markeringsfarve3 2 2 6 2 3 2" xfId="14561" xr:uid="{00000000-0005-0000-0000-0000D2600000}"/>
    <cellStyle name="40 % - Markeringsfarve3 2 2 6 2 3 2 2" xfId="30875" xr:uid="{00000000-0005-0000-0000-0000D3600000}"/>
    <cellStyle name="40 % - Markeringsfarve3 2 2 6 2 3 2 3" xfId="45839" xr:uid="{00000000-0005-0000-0000-0000D4600000}"/>
    <cellStyle name="40 % - Markeringsfarve3 2 2 6 2 3 3" xfId="23853" xr:uid="{00000000-0005-0000-0000-0000D5600000}"/>
    <cellStyle name="40 % - Markeringsfarve3 2 2 6 2 3 4" xfId="38840" xr:uid="{00000000-0005-0000-0000-0000D6600000}"/>
    <cellStyle name="40 % - Markeringsfarve3 2 2 6 2 4" xfId="12184" xr:uid="{00000000-0005-0000-0000-0000D7600000}"/>
    <cellStyle name="40 % - Markeringsfarve3 2 2 6 2 4 2" xfId="28503" xr:uid="{00000000-0005-0000-0000-0000D8600000}"/>
    <cellStyle name="40 % - Markeringsfarve3 2 2 6 2 4 3" xfId="43468" xr:uid="{00000000-0005-0000-0000-0000D9600000}"/>
    <cellStyle name="40 % - Markeringsfarve3 2 2 6 2 5" xfId="21481" xr:uid="{00000000-0005-0000-0000-0000DA600000}"/>
    <cellStyle name="40 % - Markeringsfarve3 2 2 6 2 6" xfId="36469" xr:uid="{00000000-0005-0000-0000-0000DB600000}"/>
    <cellStyle name="40 % - Markeringsfarve3 2 2 6 3" xfId="3629" xr:uid="{00000000-0005-0000-0000-0000DC600000}"/>
    <cellStyle name="40 % - Markeringsfarve3 2 2 6 3 2" xfId="7431" xr:uid="{00000000-0005-0000-0000-0000DD600000}"/>
    <cellStyle name="40 % - Markeringsfarve3 2 2 6 3 2 2" xfId="15341" xr:uid="{00000000-0005-0000-0000-0000DE600000}"/>
    <cellStyle name="40 % - Markeringsfarve3 2 2 6 3 2 2 2" xfId="31655" xr:uid="{00000000-0005-0000-0000-0000DF600000}"/>
    <cellStyle name="40 % - Markeringsfarve3 2 2 6 3 2 2 3" xfId="46619" xr:uid="{00000000-0005-0000-0000-0000E0600000}"/>
    <cellStyle name="40 % - Markeringsfarve3 2 2 6 3 2 3" xfId="24633" xr:uid="{00000000-0005-0000-0000-0000E1600000}"/>
    <cellStyle name="40 % - Markeringsfarve3 2 2 6 3 2 4" xfId="39620" xr:uid="{00000000-0005-0000-0000-0000E2600000}"/>
    <cellStyle name="40 % - Markeringsfarve3 2 2 6 3 3" xfId="12186" xr:uid="{00000000-0005-0000-0000-0000E3600000}"/>
    <cellStyle name="40 % - Markeringsfarve3 2 2 6 3 3 2" xfId="28505" xr:uid="{00000000-0005-0000-0000-0000E4600000}"/>
    <cellStyle name="40 % - Markeringsfarve3 2 2 6 3 3 3" xfId="43470" xr:uid="{00000000-0005-0000-0000-0000E5600000}"/>
    <cellStyle name="40 % - Markeringsfarve3 2 2 6 3 4" xfId="21483" xr:uid="{00000000-0005-0000-0000-0000E6600000}"/>
    <cellStyle name="40 % - Markeringsfarve3 2 2 6 3 5" xfId="36471" xr:uid="{00000000-0005-0000-0000-0000E7600000}"/>
    <cellStyle name="40 % - Markeringsfarve3 2 2 6 4" xfId="3630" xr:uid="{00000000-0005-0000-0000-0000E8600000}"/>
    <cellStyle name="40 % - Markeringsfarve3 2 2 6 4 2" xfId="8492" xr:uid="{00000000-0005-0000-0000-0000E9600000}"/>
    <cellStyle name="40 % - Markeringsfarve3 2 2 6 4 2 2" xfId="16381" xr:uid="{00000000-0005-0000-0000-0000EA600000}"/>
    <cellStyle name="40 % - Markeringsfarve3 2 2 6 4 2 2 2" xfId="32695" xr:uid="{00000000-0005-0000-0000-0000EB600000}"/>
    <cellStyle name="40 % - Markeringsfarve3 2 2 6 4 2 2 3" xfId="47659" xr:uid="{00000000-0005-0000-0000-0000EC600000}"/>
    <cellStyle name="40 % - Markeringsfarve3 2 2 6 4 2 3" xfId="25673" xr:uid="{00000000-0005-0000-0000-0000ED600000}"/>
    <cellStyle name="40 % - Markeringsfarve3 2 2 6 4 2 4" xfId="40660" xr:uid="{00000000-0005-0000-0000-0000EE600000}"/>
    <cellStyle name="40 % - Markeringsfarve3 2 2 6 4 3" xfId="12187" xr:uid="{00000000-0005-0000-0000-0000EF600000}"/>
    <cellStyle name="40 % - Markeringsfarve3 2 2 6 4 3 2" xfId="28506" xr:uid="{00000000-0005-0000-0000-0000F0600000}"/>
    <cellStyle name="40 % - Markeringsfarve3 2 2 6 4 3 3" xfId="43471" xr:uid="{00000000-0005-0000-0000-0000F1600000}"/>
    <cellStyle name="40 % - Markeringsfarve3 2 2 6 4 4" xfId="21484" xr:uid="{00000000-0005-0000-0000-0000F2600000}"/>
    <cellStyle name="40 % - Markeringsfarve3 2 2 6 4 5" xfId="36472" xr:uid="{00000000-0005-0000-0000-0000F3600000}"/>
    <cellStyle name="40 % - Markeringsfarve3 2 2 6 5" xfId="5866" xr:uid="{00000000-0005-0000-0000-0000F4600000}"/>
    <cellStyle name="40 % - Markeringsfarve3 2 2 6 5 2" xfId="13784" xr:uid="{00000000-0005-0000-0000-0000F5600000}"/>
    <cellStyle name="40 % - Markeringsfarve3 2 2 6 5 2 2" xfId="30098" xr:uid="{00000000-0005-0000-0000-0000F6600000}"/>
    <cellStyle name="40 % - Markeringsfarve3 2 2 6 5 2 3" xfId="45062" xr:uid="{00000000-0005-0000-0000-0000F7600000}"/>
    <cellStyle name="40 % - Markeringsfarve3 2 2 6 5 3" xfId="23076" xr:uid="{00000000-0005-0000-0000-0000F8600000}"/>
    <cellStyle name="40 % - Markeringsfarve3 2 2 6 5 4" xfId="38063" xr:uid="{00000000-0005-0000-0000-0000F9600000}"/>
    <cellStyle name="40 % - Markeringsfarve3 2 2 6 6" xfId="12183" xr:uid="{00000000-0005-0000-0000-0000FA600000}"/>
    <cellStyle name="40 % - Markeringsfarve3 2 2 6 6 2" xfId="28502" xr:uid="{00000000-0005-0000-0000-0000FB600000}"/>
    <cellStyle name="40 % - Markeringsfarve3 2 2 6 6 3" xfId="43467" xr:uid="{00000000-0005-0000-0000-0000FC600000}"/>
    <cellStyle name="40 % - Markeringsfarve3 2 2 6 7" xfId="21480" xr:uid="{00000000-0005-0000-0000-0000FD600000}"/>
    <cellStyle name="40 % - Markeringsfarve3 2 2 6 8" xfId="36468" xr:uid="{00000000-0005-0000-0000-0000FE600000}"/>
    <cellStyle name="40 % - Markeringsfarve3 2 2 7" xfId="3631" xr:uid="{00000000-0005-0000-0000-0000FF600000}"/>
    <cellStyle name="40 % - Markeringsfarve3 2 2 7 2" xfId="3632" xr:uid="{00000000-0005-0000-0000-000000610000}"/>
    <cellStyle name="40 % - Markeringsfarve3 2 2 7 2 2" xfId="7559" xr:uid="{00000000-0005-0000-0000-000001610000}"/>
    <cellStyle name="40 % - Markeringsfarve3 2 2 7 2 2 2" xfId="15460" xr:uid="{00000000-0005-0000-0000-000002610000}"/>
    <cellStyle name="40 % - Markeringsfarve3 2 2 7 2 2 2 2" xfId="31774" xr:uid="{00000000-0005-0000-0000-000003610000}"/>
    <cellStyle name="40 % - Markeringsfarve3 2 2 7 2 2 2 3" xfId="46738" xr:uid="{00000000-0005-0000-0000-000004610000}"/>
    <cellStyle name="40 % - Markeringsfarve3 2 2 7 2 2 3" xfId="24752" xr:uid="{00000000-0005-0000-0000-000005610000}"/>
    <cellStyle name="40 % - Markeringsfarve3 2 2 7 2 2 4" xfId="39739" xr:uid="{00000000-0005-0000-0000-000006610000}"/>
    <cellStyle name="40 % - Markeringsfarve3 2 2 7 2 3" xfId="12189" xr:uid="{00000000-0005-0000-0000-000007610000}"/>
    <cellStyle name="40 % - Markeringsfarve3 2 2 7 2 3 2" xfId="28508" xr:uid="{00000000-0005-0000-0000-000008610000}"/>
    <cellStyle name="40 % - Markeringsfarve3 2 2 7 2 3 3" xfId="43473" xr:uid="{00000000-0005-0000-0000-000009610000}"/>
    <cellStyle name="40 % - Markeringsfarve3 2 2 7 2 4" xfId="21486" xr:uid="{00000000-0005-0000-0000-00000A610000}"/>
    <cellStyle name="40 % - Markeringsfarve3 2 2 7 2 5" xfId="36474" xr:uid="{00000000-0005-0000-0000-00000B610000}"/>
    <cellStyle name="40 % - Markeringsfarve3 2 2 7 3" xfId="6151" xr:uid="{00000000-0005-0000-0000-00000C610000}"/>
    <cellStyle name="40 % - Markeringsfarve3 2 2 7 3 2" xfId="14068" xr:uid="{00000000-0005-0000-0000-00000D610000}"/>
    <cellStyle name="40 % - Markeringsfarve3 2 2 7 3 2 2" xfId="30382" xr:uid="{00000000-0005-0000-0000-00000E610000}"/>
    <cellStyle name="40 % - Markeringsfarve3 2 2 7 3 2 3" xfId="45346" xr:uid="{00000000-0005-0000-0000-00000F610000}"/>
    <cellStyle name="40 % - Markeringsfarve3 2 2 7 3 3" xfId="23360" xr:uid="{00000000-0005-0000-0000-000010610000}"/>
    <cellStyle name="40 % - Markeringsfarve3 2 2 7 3 4" xfId="38347" xr:uid="{00000000-0005-0000-0000-000011610000}"/>
    <cellStyle name="40 % - Markeringsfarve3 2 2 7 4" xfId="12188" xr:uid="{00000000-0005-0000-0000-000012610000}"/>
    <cellStyle name="40 % - Markeringsfarve3 2 2 7 4 2" xfId="28507" xr:uid="{00000000-0005-0000-0000-000013610000}"/>
    <cellStyle name="40 % - Markeringsfarve3 2 2 7 4 3" xfId="43472" xr:uid="{00000000-0005-0000-0000-000014610000}"/>
    <cellStyle name="40 % - Markeringsfarve3 2 2 7 5" xfId="21485" xr:uid="{00000000-0005-0000-0000-000015610000}"/>
    <cellStyle name="40 % - Markeringsfarve3 2 2 7 6" xfId="36473" xr:uid="{00000000-0005-0000-0000-000016610000}"/>
    <cellStyle name="40 % - Markeringsfarve3 2 2 8" xfId="3633" xr:uid="{00000000-0005-0000-0000-000017610000}"/>
    <cellStyle name="40 % - Markeringsfarve3 2 2 8 2" xfId="6787" xr:uid="{00000000-0005-0000-0000-000018610000}"/>
    <cellStyle name="40 % - Markeringsfarve3 2 2 8 2 2" xfId="14698" xr:uid="{00000000-0005-0000-0000-000019610000}"/>
    <cellStyle name="40 % - Markeringsfarve3 2 2 8 2 2 2" xfId="31012" xr:uid="{00000000-0005-0000-0000-00001A610000}"/>
    <cellStyle name="40 % - Markeringsfarve3 2 2 8 2 2 3" xfId="45976" xr:uid="{00000000-0005-0000-0000-00001B610000}"/>
    <cellStyle name="40 % - Markeringsfarve3 2 2 8 2 3" xfId="23990" xr:uid="{00000000-0005-0000-0000-00001C610000}"/>
    <cellStyle name="40 % - Markeringsfarve3 2 2 8 2 4" xfId="38977" xr:uid="{00000000-0005-0000-0000-00001D610000}"/>
    <cellStyle name="40 % - Markeringsfarve3 2 2 8 3" xfId="12190" xr:uid="{00000000-0005-0000-0000-00001E610000}"/>
    <cellStyle name="40 % - Markeringsfarve3 2 2 8 3 2" xfId="28509" xr:uid="{00000000-0005-0000-0000-00001F610000}"/>
    <cellStyle name="40 % - Markeringsfarve3 2 2 8 3 3" xfId="43474" xr:uid="{00000000-0005-0000-0000-000020610000}"/>
    <cellStyle name="40 % - Markeringsfarve3 2 2 8 4" xfId="21487" xr:uid="{00000000-0005-0000-0000-000021610000}"/>
    <cellStyle name="40 % - Markeringsfarve3 2 2 8 5" xfId="36475" xr:uid="{00000000-0005-0000-0000-000022610000}"/>
    <cellStyle name="40 % - Markeringsfarve3 2 2 9" xfId="3634" xr:uid="{00000000-0005-0000-0000-000023610000}"/>
    <cellStyle name="40 % - Markeringsfarve3 2 2 9 2" xfId="8244" xr:uid="{00000000-0005-0000-0000-000024610000}"/>
    <cellStyle name="40 % - Markeringsfarve3 2 2 9 2 2" xfId="16141" xr:uid="{00000000-0005-0000-0000-000025610000}"/>
    <cellStyle name="40 % - Markeringsfarve3 2 2 9 2 2 2" xfId="32455" xr:uid="{00000000-0005-0000-0000-000026610000}"/>
    <cellStyle name="40 % - Markeringsfarve3 2 2 9 2 2 3" xfId="47419" xr:uid="{00000000-0005-0000-0000-000027610000}"/>
    <cellStyle name="40 % - Markeringsfarve3 2 2 9 2 3" xfId="25433" xr:uid="{00000000-0005-0000-0000-000028610000}"/>
    <cellStyle name="40 % - Markeringsfarve3 2 2 9 2 4" xfId="40420" xr:uid="{00000000-0005-0000-0000-000029610000}"/>
    <cellStyle name="40 % - Markeringsfarve3 2 2 9 3" xfId="12191" xr:uid="{00000000-0005-0000-0000-00002A610000}"/>
    <cellStyle name="40 % - Markeringsfarve3 2 2 9 3 2" xfId="28510" xr:uid="{00000000-0005-0000-0000-00002B610000}"/>
    <cellStyle name="40 % - Markeringsfarve3 2 2 9 3 3" xfId="43475" xr:uid="{00000000-0005-0000-0000-00002C610000}"/>
    <cellStyle name="40 % - Markeringsfarve3 2 2 9 4" xfId="21488" xr:uid="{00000000-0005-0000-0000-00002D610000}"/>
    <cellStyle name="40 % - Markeringsfarve3 2 2 9 5" xfId="36476" xr:uid="{00000000-0005-0000-0000-00002E610000}"/>
    <cellStyle name="40 % - Markeringsfarve3 2 3" xfId="3635" xr:uid="{00000000-0005-0000-0000-00002F610000}"/>
    <cellStyle name="40 % - Markeringsfarve3 2 3 10" xfId="5867" xr:uid="{00000000-0005-0000-0000-000030610000}"/>
    <cellStyle name="40 % - Markeringsfarve3 2 3 10 2" xfId="13785" xr:uid="{00000000-0005-0000-0000-000031610000}"/>
    <cellStyle name="40 % - Markeringsfarve3 2 3 10 2 2" xfId="30099" xr:uid="{00000000-0005-0000-0000-000032610000}"/>
    <cellStyle name="40 % - Markeringsfarve3 2 3 10 2 3" xfId="45063" xr:uid="{00000000-0005-0000-0000-000033610000}"/>
    <cellStyle name="40 % - Markeringsfarve3 2 3 10 3" xfId="23077" xr:uid="{00000000-0005-0000-0000-000034610000}"/>
    <cellStyle name="40 % - Markeringsfarve3 2 3 10 4" xfId="38064" xr:uid="{00000000-0005-0000-0000-000035610000}"/>
    <cellStyle name="40 % - Markeringsfarve3 2 3 11" xfId="12192" xr:uid="{00000000-0005-0000-0000-000036610000}"/>
    <cellStyle name="40 % - Markeringsfarve3 2 3 11 2" xfId="28511" xr:uid="{00000000-0005-0000-0000-000037610000}"/>
    <cellStyle name="40 % - Markeringsfarve3 2 3 11 3" xfId="43476" xr:uid="{00000000-0005-0000-0000-000038610000}"/>
    <cellStyle name="40 % - Markeringsfarve3 2 3 12" xfId="21489" xr:uid="{00000000-0005-0000-0000-000039610000}"/>
    <cellStyle name="40 % - Markeringsfarve3 2 3 13" xfId="36477" xr:uid="{00000000-0005-0000-0000-00003A610000}"/>
    <cellStyle name="40 % - Markeringsfarve3 2 3 14" xfId="53380" xr:uid="{00000000-0005-0000-0000-00003B610000}"/>
    <cellStyle name="40 % - Markeringsfarve3 2 3 2" xfId="3636" xr:uid="{00000000-0005-0000-0000-00003C610000}"/>
    <cellStyle name="40 % - Markeringsfarve3 2 3 2 2" xfId="3637" xr:uid="{00000000-0005-0000-0000-00003D610000}"/>
    <cellStyle name="40 % - Markeringsfarve3 2 3 2 2 2" xfId="3638" xr:uid="{00000000-0005-0000-0000-00003E610000}"/>
    <cellStyle name="40 % - Markeringsfarve3 2 3 2 2 2 2" xfId="7717" xr:uid="{00000000-0005-0000-0000-00003F610000}"/>
    <cellStyle name="40 % - Markeringsfarve3 2 3 2 2 2 2 2" xfId="15618" xr:uid="{00000000-0005-0000-0000-000040610000}"/>
    <cellStyle name="40 % - Markeringsfarve3 2 3 2 2 2 2 2 2" xfId="31932" xr:uid="{00000000-0005-0000-0000-000041610000}"/>
    <cellStyle name="40 % - Markeringsfarve3 2 3 2 2 2 2 2 3" xfId="46896" xr:uid="{00000000-0005-0000-0000-000042610000}"/>
    <cellStyle name="40 % - Markeringsfarve3 2 3 2 2 2 2 3" xfId="24910" xr:uid="{00000000-0005-0000-0000-000043610000}"/>
    <cellStyle name="40 % - Markeringsfarve3 2 3 2 2 2 2 4" xfId="39897" xr:uid="{00000000-0005-0000-0000-000044610000}"/>
    <cellStyle name="40 % - Markeringsfarve3 2 3 2 2 2 3" xfId="12195" xr:uid="{00000000-0005-0000-0000-000045610000}"/>
    <cellStyle name="40 % - Markeringsfarve3 2 3 2 2 2 3 2" xfId="28514" xr:uid="{00000000-0005-0000-0000-000046610000}"/>
    <cellStyle name="40 % - Markeringsfarve3 2 3 2 2 2 3 3" xfId="43479" xr:uid="{00000000-0005-0000-0000-000047610000}"/>
    <cellStyle name="40 % - Markeringsfarve3 2 3 2 2 2 4" xfId="21492" xr:uid="{00000000-0005-0000-0000-000048610000}"/>
    <cellStyle name="40 % - Markeringsfarve3 2 3 2 2 2 5" xfId="36480" xr:uid="{00000000-0005-0000-0000-000049610000}"/>
    <cellStyle name="40 % - Markeringsfarve3 2 3 2 2 3" xfId="6283" xr:uid="{00000000-0005-0000-0000-00004A610000}"/>
    <cellStyle name="40 % - Markeringsfarve3 2 3 2 2 3 2" xfId="14200" xr:uid="{00000000-0005-0000-0000-00004B610000}"/>
    <cellStyle name="40 % - Markeringsfarve3 2 3 2 2 3 2 2" xfId="30514" xr:uid="{00000000-0005-0000-0000-00004C610000}"/>
    <cellStyle name="40 % - Markeringsfarve3 2 3 2 2 3 2 3" xfId="45478" xr:uid="{00000000-0005-0000-0000-00004D610000}"/>
    <cellStyle name="40 % - Markeringsfarve3 2 3 2 2 3 3" xfId="23492" xr:uid="{00000000-0005-0000-0000-00004E610000}"/>
    <cellStyle name="40 % - Markeringsfarve3 2 3 2 2 3 4" xfId="38479" xr:uid="{00000000-0005-0000-0000-00004F610000}"/>
    <cellStyle name="40 % - Markeringsfarve3 2 3 2 2 4" xfId="12194" xr:uid="{00000000-0005-0000-0000-000050610000}"/>
    <cellStyle name="40 % - Markeringsfarve3 2 3 2 2 4 2" xfId="28513" xr:uid="{00000000-0005-0000-0000-000051610000}"/>
    <cellStyle name="40 % - Markeringsfarve3 2 3 2 2 4 3" xfId="43478" xr:uid="{00000000-0005-0000-0000-000052610000}"/>
    <cellStyle name="40 % - Markeringsfarve3 2 3 2 2 5" xfId="21491" xr:uid="{00000000-0005-0000-0000-000053610000}"/>
    <cellStyle name="40 % - Markeringsfarve3 2 3 2 2 6" xfId="36479" xr:uid="{00000000-0005-0000-0000-000054610000}"/>
    <cellStyle name="40 % - Markeringsfarve3 2 3 2 2 7" xfId="57184" xr:uid="{00000000-0005-0000-0000-000055610000}"/>
    <cellStyle name="40 % - Markeringsfarve3 2 3 2 3" xfId="3639" xr:uid="{00000000-0005-0000-0000-000056610000}"/>
    <cellStyle name="40 % - Markeringsfarve3 2 3 2 3 2" xfId="6947" xr:uid="{00000000-0005-0000-0000-000057610000}"/>
    <cellStyle name="40 % - Markeringsfarve3 2 3 2 3 2 2" xfId="14858" xr:uid="{00000000-0005-0000-0000-000058610000}"/>
    <cellStyle name="40 % - Markeringsfarve3 2 3 2 3 2 2 2" xfId="31172" xr:uid="{00000000-0005-0000-0000-000059610000}"/>
    <cellStyle name="40 % - Markeringsfarve3 2 3 2 3 2 2 3" xfId="46136" xr:uid="{00000000-0005-0000-0000-00005A610000}"/>
    <cellStyle name="40 % - Markeringsfarve3 2 3 2 3 2 3" xfId="24150" xr:uid="{00000000-0005-0000-0000-00005B610000}"/>
    <cellStyle name="40 % - Markeringsfarve3 2 3 2 3 2 4" xfId="39137" xr:uid="{00000000-0005-0000-0000-00005C610000}"/>
    <cellStyle name="40 % - Markeringsfarve3 2 3 2 3 3" xfId="12196" xr:uid="{00000000-0005-0000-0000-00005D610000}"/>
    <cellStyle name="40 % - Markeringsfarve3 2 3 2 3 3 2" xfId="28515" xr:uid="{00000000-0005-0000-0000-00005E610000}"/>
    <cellStyle name="40 % - Markeringsfarve3 2 3 2 3 3 3" xfId="43480" xr:uid="{00000000-0005-0000-0000-00005F610000}"/>
    <cellStyle name="40 % - Markeringsfarve3 2 3 2 3 4" xfId="21493" xr:uid="{00000000-0005-0000-0000-000060610000}"/>
    <cellStyle name="40 % - Markeringsfarve3 2 3 2 3 5" xfId="36481" xr:uid="{00000000-0005-0000-0000-000061610000}"/>
    <cellStyle name="40 % - Markeringsfarve3 2 3 2 4" xfId="3640" xr:uid="{00000000-0005-0000-0000-000062610000}"/>
    <cellStyle name="40 % - Markeringsfarve3 2 3 2 4 2" xfId="8439" xr:uid="{00000000-0005-0000-0000-000063610000}"/>
    <cellStyle name="40 % - Markeringsfarve3 2 3 2 4 2 2" xfId="16331" xr:uid="{00000000-0005-0000-0000-000064610000}"/>
    <cellStyle name="40 % - Markeringsfarve3 2 3 2 4 2 2 2" xfId="32645" xr:uid="{00000000-0005-0000-0000-000065610000}"/>
    <cellStyle name="40 % - Markeringsfarve3 2 3 2 4 2 2 3" xfId="47609" xr:uid="{00000000-0005-0000-0000-000066610000}"/>
    <cellStyle name="40 % - Markeringsfarve3 2 3 2 4 2 3" xfId="25623" xr:uid="{00000000-0005-0000-0000-000067610000}"/>
    <cellStyle name="40 % - Markeringsfarve3 2 3 2 4 2 4" xfId="40610" xr:uid="{00000000-0005-0000-0000-000068610000}"/>
    <cellStyle name="40 % - Markeringsfarve3 2 3 2 4 3" xfId="12197" xr:uid="{00000000-0005-0000-0000-000069610000}"/>
    <cellStyle name="40 % - Markeringsfarve3 2 3 2 4 3 2" xfId="28516" xr:uid="{00000000-0005-0000-0000-00006A610000}"/>
    <cellStyle name="40 % - Markeringsfarve3 2 3 2 4 3 3" xfId="43481" xr:uid="{00000000-0005-0000-0000-00006B610000}"/>
    <cellStyle name="40 % - Markeringsfarve3 2 3 2 4 4" xfId="21494" xr:uid="{00000000-0005-0000-0000-00006C610000}"/>
    <cellStyle name="40 % - Markeringsfarve3 2 3 2 4 5" xfId="36482" xr:uid="{00000000-0005-0000-0000-00006D610000}"/>
    <cellStyle name="40 % - Markeringsfarve3 2 3 2 5" xfId="5868" xr:uid="{00000000-0005-0000-0000-00006E610000}"/>
    <cellStyle name="40 % - Markeringsfarve3 2 3 2 5 2" xfId="13786" xr:uid="{00000000-0005-0000-0000-00006F610000}"/>
    <cellStyle name="40 % - Markeringsfarve3 2 3 2 5 2 2" xfId="30100" xr:uid="{00000000-0005-0000-0000-000070610000}"/>
    <cellStyle name="40 % - Markeringsfarve3 2 3 2 5 2 3" xfId="45064" xr:uid="{00000000-0005-0000-0000-000071610000}"/>
    <cellStyle name="40 % - Markeringsfarve3 2 3 2 5 3" xfId="23078" xr:uid="{00000000-0005-0000-0000-000072610000}"/>
    <cellStyle name="40 % - Markeringsfarve3 2 3 2 5 4" xfId="38065" xr:uid="{00000000-0005-0000-0000-000073610000}"/>
    <cellStyle name="40 % - Markeringsfarve3 2 3 2 6" xfId="12193" xr:uid="{00000000-0005-0000-0000-000074610000}"/>
    <cellStyle name="40 % - Markeringsfarve3 2 3 2 6 2" xfId="28512" xr:uid="{00000000-0005-0000-0000-000075610000}"/>
    <cellStyle name="40 % - Markeringsfarve3 2 3 2 6 3" xfId="43477" xr:uid="{00000000-0005-0000-0000-000076610000}"/>
    <cellStyle name="40 % - Markeringsfarve3 2 3 2 7" xfId="21490" xr:uid="{00000000-0005-0000-0000-000077610000}"/>
    <cellStyle name="40 % - Markeringsfarve3 2 3 2 8" xfId="36478" xr:uid="{00000000-0005-0000-0000-000078610000}"/>
    <cellStyle name="40 % - Markeringsfarve3 2 3 2 9" xfId="54017" xr:uid="{00000000-0005-0000-0000-000079610000}"/>
    <cellStyle name="40 % - Markeringsfarve3 2 3 3" xfId="3641" xr:uid="{00000000-0005-0000-0000-00007A610000}"/>
    <cellStyle name="40 % - Markeringsfarve3 2 3 3 2" xfId="3642" xr:uid="{00000000-0005-0000-0000-00007B610000}"/>
    <cellStyle name="40 % - Markeringsfarve3 2 3 3 2 2" xfId="3643" xr:uid="{00000000-0005-0000-0000-00007C610000}"/>
    <cellStyle name="40 % - Markeringsfarve3 2 3 3 2 2 2" xfId="7800" xr:uid="{00000000-0005-0000-0000-00007D610000}"/>
    <cellStyle name="40 % - Markeringsfarve3 2 3 3 2 2 2 2" xfId="15701" xr:uid="{00000000-0005-0000-0000-00007E610000}"/>
    <cellStyle name="40 % - Markeringsfarve3 2 3 3 2 2 2 2 2" xfId="32015" xr:uid="{00000000-0005-0000-0000-00007F610000}"/>
    <cellStyle name="40 % - Markeringsfarve3 2 3 3 2 2 2 2 3" xfId="46979" xr:uid="{00000000-0005-0000-0000-000080610000}"/>
    <cellStyle name="40 % - Markeringsfarve3 2 3 3 2 2 2 3" xfId="24993" xr:uid="{00000000-0005-0000-0000-000081610000}"/>
    <cellStyle name="40 % - Markeringsfarve3 2 3 3 2 2 2 4" xfId="39980" xr:uid="{00000000-0005-0000-0000-000082610000}"/>
    <cellStyle name="40 % - Markeringsfarve3 2 3 3 2 2 3" xfId="12200" xr:uid="{00000000-0005-0000-0000-000083610000}"/>
    <cellStyle name="40 % - Markeringsfarve3 2 3 3 2 2 3 2" xfId="28519" xr:uid="{00000000-0005-0000-0000-000084610000}"/>
    <cellStyle name="40 % - Markeringsfarve3 2 3 3 2 2 3 3" xfId="43484" xr:uid="{00000000-0005-0000-0000-000085610000}"/>
    <cellStyle name="40 % - Markeringsfarve3 2 3 3 2 2 4" xfId="21497" xr:uid="{00000000-0005-0000-0000-000086610000}"/>
    <cellStyle name="40 % - Markeringsfarve3 2 3 3 2 2 5" xfId="36485" xr:uid="{00000000-0005-0000-0000-000087610000}"/>
    <cellStyle name="40 % - Markeringsfarve3 2 3 3 2 3" xfId="6346" xr:uid="{00000000-0005-0000-0000-000088610000}"/>
    <cellStyle name="40 % - Markeringsfarve3 2 3 3 2 3 2" xfId="14263" xr:uid="{00000000-0005-0000-0000-000089610000}"/>
    <cellStyle name="40 % - Markeringsfarve3 2 3 3 2 3 2 2" xfId="30577" xr:uid="{00000000-0005-0000-0000-00008A610000}"/>
    <cellStyle name="40 % - Markeringsfarve3 2 3 3 2 3 2 3" xfId="45541" xr:uid="{00000000-0005-0000-0000-00008B610000}"/>
    <cellStyle name="40 % - Markeringsfarve3 2 3 3 2 3 3" xfId="23555" xr:uid="{00000000-0005-0000-0000-00008C610000}"/>
    <cellStyle name="40 % - Markeringsfarve3 2 3 3 2 3 4" xfId="38542" xr:uid="{00000000-0005-0000-0000-00008D610000}"/>
    <cellStyle name="40 % - Markeringsfarve3 2 3 3 2 4" xfId="12199" xr:uid="{00000000-0005-0000-0000-00008E610000}"/>
    <cellStyle name="40 % - Markeringsfarve3 2 3 3 2 4 2" xfId="28518" xr:uid="{00000000-0005-0000-0000-00008F610000}"/>
    <cellStyle name="40 % - Markeringsfarve3 2 3 3 2 4 3" xfId="43483" xr:uid="{00000000-0005-0000-0000-000090610000}"/>
    <cellStyle name="40 % - Markeringsfarve3 2 3 3 2 5" xfId="21496" xr:uid="{00000000-0005-0000-0000-000091610000}"/>
    <cellStyle name="40 % - Markeringsfarve3 2 3 3 2 6" xfId="36484" xr:uid="{00000000-0005-0000-0000-000092610000}"/>
    <cellStyle name="40 % - Markeringsfarve3 2 3 3 3" xfId="3644" xr:uid="{00000000-0005-0000-0000-000093610000}"/>
    <cellStyle name="40 % - Markeringsfarve3 2 3 3 3 2" xfId="7030" xr:uid="{00000000-0005-0000-0000-000094610000}"/>
    <cellStyle name="40 % - Markeringsfarve3 2 3 3 3 2 2" xfId="14941" xr:uid="{00000000-0005-0000-0000-000095610000}"/>
    <cellStyle name="40 % - Markeringsfarve3 2 3 3 3 2 2 2" xfId="31255" xr:uid="{00000000-0005-0000-0000-000096610000}"/>
    <cellStyle name="40 % - Markeringsfarve3 2 3 3 3 2 2 3" xfId="46219" xr:uid="{00000000-0005-0000-0000-000097610000}"/>
    <cellStyle name="40 % - Markeringsfarve3 2 3 3 3 2 3" xfId="24233" xr:uid="{00000000-0005-0000-0000-000098610000}"/>
    <cellStyle name="40 % - Markeringsfarve3 2 3 3 3 2 4" xfId="39220" xr:uid="{00000000-0005-0000-0000-000099610000}"/>
    <cellStyle name="40 % - Markeringsfarve3 2 3 3 3 3" xfId="12201" xr:uid="{00000000-0005-0000-0000-00009A610000}"/>
    <cellStyle name="40 % - Markeringsfarve3 2 3 3 3 3 2" xfId="28520" xr:uid="{00000000-0005-0000-0000-00009B610000}"/>
    <cellStyle name="40 % - Markeringsfarve3 2 3 3 3 3 3" xfId="43485" xr:uid="{00000000-0005-0000-0000-00009C610000}"/>
    <cellStyle name="40 % - Markeringsfarve3 2 3 3 3 4" xfId="21498" xr:uid="{00000000-0005-0000-0000-00009D610000}"/>
    <cellStyle name="40 % - Markeringsfarve3 2 3 3 3 5" xfId="36486" xr:uid="{00000000-0005-0000-0000-00009E610000}"/>
    <cellStyle name="40 % - Markeringsfarve3 2 3 3 4" xfId="3645" xr:uid="{00000000-0005-0000-0000-00009F610000}"/>
    <cellStyle name="40 % - Markeringsfarve3 2 3 3 4 2" xfId="8674" xr:uid="{00000000-0005-0000-0000-0000A0610000}"/>
    <cellStyle name="40 % - Markeringsfarve3 2 3 3 4 2 2" xfId="16556" xr:uid="{00000000-0005-0000-0000-0000A1610000}"/>
    <cellStyle name="40 % - Markeringsfarve3 2 3 3 4 2 2 2" xfId="32870" xr:uid="{00000000-0005-0000-0000-0000A2610000}"/>
    <cellStyle name="40 % - Markeringsfarve3 2 3 3 4 2 2 3" xfId="47834" xr:uid="{00000000-0005-0000-0000-0000A3610000}"/>
    <cellStyle name="40 % - Markeringsfarve3 2 3 3 4 2 3" xfId="25848" xr:uid="{00000000-0005-0000-0000-0000A4610000}"/>
    <cellStyle name="40 % - Markeringsfarve3 2 3 3 4 2 4" xfId="40835" xr:uid="{00000000-0005-0000-0000-0000A5610000}"/>
    <cellStyle name="40 % - Markeringsfarve3 2 3 3 4 3" xfId="12202" xr:uid="{00000000-0005-0000-0000-0000A6610000}"/>
    <cellStyle name="40 % - Markeringsfarve3 2 3 3 4 3 2" xfId="28521" xr:uid="{00000000-0005-0000-0000-0000A7610000}"/>
    <cellStyle name="40 % - Markeringsfarve3 2 3 3 4 3 3" xfId="43486" xr:uid="{00000000-0005-0000-0000-0000A8610000}"/>
    <cellStyle name="40 % - Markeringsfarve3 2 3 3 4 4" xfId="21499" xr:uid="{00000000-0005-0000-0000-0000A9610000}"/>
    <cellStyle name="40 % - Markeringsfarve3 2 3 3 4 5" xfId="36487" xr:uid="{00000000-0005-0000-0000-0000AA610000}"/>
    <cellStyle name="40 % - Markeringsfarve3 2 3 3 5" xfId="5869" xr:uid="{00000000-0005-0000-0000-0000AB610000}"/>
    <cellStyle name="40 % - Markeringsfarve3 2 3 3 5 2" xfId="13787" xr:uid="{00000000-0005-0000-0000-0000AC610000}"/>
    <cellStyle name="40 % - Markeringsfarve3 2 3 3 5 2 2" xfId="30101" xr:uid="{00000000-0005-0000-0000-0000AD610000}"/>
    <cellStyle name="40 % - Markeringsfarve3 2 3 3 5 2 3" xfId="45065" xr:uid="{00000000-0005-0000-0000-0000AE610000}"/>
    <cellStyle name="40 % - Markeringsfarve3 2 3 3 5 3" xfId="23079" xr:uid="{00000000-0005-0000-0000-0000AF610000}"/>
    <cellStyle name="40 % - Markeringsfarve3 2 3 3 5 4" xfId="38066" xr:uid="{00000000-0005-0000-0000-0000B0610000}"/>
    <cellStyle name="40 % - Markeringsfarve3 2 3 3 6" xfId="12198" xr:uid="{00000000-0005-0000-0000-0000B1610000}"/>
    <cellStyle name="40 % - Markeringsfarve3 2 3 3 6 2" xfId="28517" xr:uid="{00000000-0005-0000-0000-0000B2610000}"/>
    <cellStyle name="40 % - Markeringsfarve3 2 3 3 6 3" xfId="43482" xr:uid="{00000000-0005-0000-0000-0000B3610000}"/>
    <cellStyle name="40 % - Markeringsfarve3 2 3 3 7" xfId="21495" xr:uid="{00000000-0005-0000-0000-0000B4610000}"/>
    <cellStyle name="40 % - Markeringsfarve3 2 3 3 8" xfId="36483" xr:uid="{00000000-0005-0000-0000-0000B5610000}"/>
    <cellStyle name="40 % - Markeringsfarve3 2 3 3 9" xfId="56561" xr:uid="{00000000-0005-0000-0000-0000B6610000}"/>
    <cellStyle name="40 % - Markeringsfarve3 2 3 4" xfId="3646" xr:uid="{00000000-0005-0000-0000-0000B7610000}"/>
    <cellStyle name="40 % - Markeringsfarve3 2 3 4 2" xfId="3647" xr:uid="{00000000-0005-0000-0000-0000B8610000}"/>
    <cellStyle name="40 % - Markeringsfarve3 2 3 4 2 2" xfId="3648" xr:uid="{00000000-0005-0000-0000-0000B9610000}"/>
    <cellStyle name="40 % - Markeringsfarve3 2 3 4 2 2 2" xfId="7955" xr:uid="{00000000-0005-0000-0000-0000BA610000}"/>
    <cellStyle name="40 % - Markeringsfarve3 2 3 4 2 2 2 2" xfId="15856" xr:uid="{00000000-0005-0000-0000-0000BB610000}"/>
    <cellStyle name="40 % - Markeringsfarve3 2 3 4 2 2 2 2 2" xfId="32170" xr:uid="{00000000-0005-0000-0000-0000BC610000}"/>
    <cellStyle name="40 % - Markeringsfarve3 2 3 4 2 2 2 2 3" xfId="47134" xr:uid="{00000000-0005-0000-0000-0000BD610000}"/>
    <cellStyle name="40 % - Markeringsfarve3 2 3 4 2 2 2 3" xfId="25148" xr:uid="{00000000-0005-0000-0000-0000BE610000}"/>
    <cellStyle name="40 % - Markeringsfarve3 2 3 4 2 2 2 4" xfId="40135" xr:uid="{00000000-0005-0000-0000-0000BF610000}"/>
    <cellStyle name="40 % - Markeringsfarve3 2 3 4 2 2 3" xfId="12205" xr:uid="{00000000-0005-0000-0000-0000C0610000}"/>
    <cellStyle name="40 % - Markeringsfarve3 2 3 4 2 2 3 2" xfId="28524" xr:uid="{00000000-0005-0000-0000-0000C1610000}"/>
    <cellStyle name="40 % - Markeringsfarve3 2 3 4 2 2 3 3" xfId="43489" xr:uid="{00000000-0005-0000-0000-0000C2610000}"/>
    <cellStyle name="40 % - Markeringsfarve3 2 3 4 2 2 4" xfId="21502" xr:uid="{00000000-0005-0000-0000-0000C3610000}"/>
    <cellStyle name="40 % - Markeringsfarve3 2 3 4 2 2 5" xfId="36490" xr:uid="{00000000-0005-0000-0000-0000C4610000}"/>
    <cellStyle name="40 % - Markeringsfarve3 2 3 4 2 3" xfId="6485" xr:uid="{00000000-0005-0000-0000-0000C5610000}"/>
    <cellStyle name="40 % - Markeringsfarve3 2 3 4 2 3 2" xfId="14399" xr:uid="{00000000-0005-0000-0000-0000C6610000}"/>
    <cellStyle name="40 % - Markeringsfarve3 2 3 4 2 3 2 2" xfId="30713" xr:uid="{00000000-0005-0000-0000-0000C7610000}"/>
    <cellStyle name="40 % - Markeringsfarve3 2 3 4 2 3 2 3" xfId="45677" xr:uid="{00000000-0005-0000-0000-0000C8610000}"/>
    <cellStyle name="40 % - Markeringsfarve3 2 3 4 2 3 3" xfId="23691" xr:uid="{00000000-0005-0000-0000-0000C9610000}"/>
    <cellStyle name="40 % - Markeringsfarve3 2 3 4 2 3 4" xfId="38678" xr:uid="{00000000-0005-0000-0000-0000CA610000}"/>
    <cellStyle name="40 % - Markeringsfarve3 2 3 4 2 4" xfId="12204" xr:uid="{00000000-0005-0000-0000-0000CB610000}"/>
    <cellStyle name="40 % - Markeringsfarve3 2 3 4 2 4 2" xfId="28523" xr:uid="{00000000-0005-0000-0000-0000CC610000}"/>
    <cellStyle name="40 % - Markeringsfarve3 2 3 4 2 4 3" xfId="43488" xr:uid="{00000000-0005-0000-0000-0000CD610000}"/>
    <cellStyle name="40 % - Markeringsfarve3 2 3 4 2 5" xfId="21501" xr:uid="{00000000-0005-0000-0000-0000CE610000}"/>
    <cellStyle name="40 % - Markeringsfarve3 2 3 4 2 6" xfId="36489" xr:uid="{00000000-0005-0000-0000-0000CF610000}"/>
    <cellStyle name="40 % - Markeringsfarve3 2 3 4 3" xfId="3649" xr:uid="{00000000-0005-0000-0000-0000D0610000}"/>
    <cellStyle name="40 % - Markeringsfarve3 2 3 4 3 2" xfId="7231" xr:uid="{00000000-0005-0000-0000-0000D1610000}"/>
    <cellStyle name="40 % - Markeringsfarve3 2 3 4 3 2 2" xfId="15141" xr:uid="{00000000-0005-0000-0000-0000D2610000}"/>
    <cellStyle name="40 % - Markeringsfarve3 2 3 4 3 2 2 2" xfId="31455" xr:uid="{00000000-0005-0000-0000-0000D3610000}"/>
    <cellStyle name="40 % - Markeringsfarve3 2 3 4 3 2 2 3" xfId="46419" xr:uid="{00000000-0005-0000-0000-0000D4610000}"/>
    <cellStyle name="40 % - Markeringsfarve3 2 3 4 3 2 3" xfId="24433" xr:uid="{00000000-0005-0000-0000-0000D5610000}"/>
    <cellStyle name="40 % - Markeringsfarve3 2 3 4 3 2 4" xfId="39420" xr:uid="{00000000-0005-0000-0000-0000D6610000}"/>
    <cellStyle name="40 % - Markeringsfarve3 2 3 4 3 3" xfId="12206" xr:uid="{00000000-0005-0000-0000-0000D7610000}"/>
    <cellStyle name="40 % - Markeringsfarve3 2 3 4 3 3 2" xfId="28525" xr:uid="{00000000-0005-0000-0000-0000D8610000}"/>
    <cellStyle name="40 % - Markeringsfarve3 2 3 4 3 3 3" xfId="43490" xr:uid="{00000000-0005-0000-0000-0000D9610000}"/>
    <cellStyle name="40 % - Markeringsfarve3 2 3 4 3 4" xfId="21503" xr:uid="{00000000-0005-0000-0000-0000DA610000}"/>
    <cellStyle name="40 % - Markeringsfarve3 2 3 4 3 5" xfId="36491" xr:uid="{00000000-0005-0000-0000-0000DB610000}"/>
    <cellStyle name="40 % - Markeringsfarve3 2 3 4 4" xfId="3650" xr:uid="{00000000-0005-0000-0000-0000DC610000}"/>
    <cellStyle name="40 % - Markeringsfarve3 2 3 4 4 2" xfId="8398" xr:uid="{00000000-0005-0000-0000-0000DD610000}"/>
    <cellStyle name="40 % - Markeringsfarve3 2 3 4 4 2 2" xfId="16291" xr:uid="{00000000-0005-0000-0000-0000DE610000}"/>
    <cellStyle name="40 % - Markeringsfarve3 2 3 4 4 2 2 2" xfId="32605" xr:uid="{00000000-0005-0000-0000-0000DF610000}"/>
    <cellStyle name="40 % - Markeringsfarve3 2 3 4 4 2 2 3" xfId="47569" xr:uid="{00000000-0005-0000-0000-0000E0610000}"/>
    <cellStyle name="40 % - Markeringsfarve3 2 3 4 4 2 3" xfId="25583" xr:uid="{00000000-0005-0000-0000-0000E1610000}"/>
    <cellStyle name="40 % - Markeringsfarve3 2 3 4 4 2 4" xfId="40570" xr:uid="{00000000-0005-0000-0000-0000E2610000}"/>
    <cellStyle name="40 % - Markeringsfarve3 2 3 4 4 3" xfId="12207" xr:uid="{00000000-0005-0000-0000-0000E3610000}"/>
    <cellStyle name="40 % - Markeringsfarve3 2 3 4 4 3 2" xfId="28526" xr:uid="{00000000-0005-0000-0000-0000E4610000}"/>
    <cellStyle name="40 % - Markeringsfarve3 2 3 4 4 3 3" xfId="43491" xr:uid="{00000000-0005-0000-0000-0000E5610000}"/>
    <cellStyle name="40 % - Markeringsfarve3 2 3 4 4 4" xfId="21504" xr:uid="{00000000-0005-0000-0000-0000E6610000}"/>
    <cellStyle name="40 % - Markeringsfarve3 2 3 4 4 5" xfId="36492" xr:uid="{00000000-0005-0000-0000-0000E7610000}"/>
    <cellStyle name="40 % - Markeringsfarve3 2 3 4 5" xfId="5870" xr:uid="{00000000-0005-0000-0000-0000E8610000}"/>
    <cellStyle name="40 % - Markeringsfarve3 2 3 4 5 2" xfId="13788" xr:uid="{00000000-0005-0000-0000-0000E9610000}"/>
    <cellStyle name="40 % - Markeringsfarve3 2 3 4 5 2 2" xfId="30102" xr:uid="{00000000-0005-0000-0000-0000EA610000}"/>
    <cellStyle name="40 % - Markeringsfarve3 2 3 4 5 2 3" xfId="45066" xr:uid="{00000000-0005-0000-0000-0000EB610000}"/>
    <cellStyle name="40 % - Markeringsfarve3 2 3 4 5 3" xfId="23080" xr:uid="{00000000-0005-0000-0000-0000EC610000}"/>
    <cellStyle name="40 % - Markeringsfarve3 2 3 4 5 4" xfId="38067" xr:uid="{00000000-0005-0000-0000-0000ED610000}"/>
    <cellStyle name="40 % - Markeringsfarve3 2 3 4 6" xfId="12203" xr:uid="{00000000-0005-0000-0000-0000EE610000}"/>
    <cellStyle name="40 % - Markeringsfarve3 2 3 4 6 2" xfId="28522" xr:uid="{00000000-0005-0000-0000-0000EF610000}"/>
    <cellStyle name="40 % - Markeringsfarve3 2 3 4 6 3" xfId="43487" xr:uid="{00000000-0005-0000-0000-0000F0610000}"/>
    <cellStyle name="40 % - Markeringsfarve3 2 3 4 7" xfId="21500" xr:uid="{00000000-0005-0000-0000-0000F1610000}"/>
    <cellStyle name="40 % - Markeringsfarve3 2 3 4 8" xfId="36488" xr:uid="{00000000-0005-0000-0000-0000F2610000}"/>
    <cellStyle name="40 % - Markeringsfarve3 2 3 5" xfId="3651" xr:uid="{00000000-0005-0000-0000-0000F3610000}"/>
    <cellStyle name="40 % - Markeringsfarve3 2 3 5 2" xfId="3652" xr:uid="{00000000-0005-0000-0000-0000F4610000}"/>
    <cellStyle name="40 % - Markeringsfarve3 2 3 5 2 2" xfId="3653" xr:uid="{00000000-0005-0000-0000-0000F5610000}"/>
    <cellStyle name="40 % - Markeringsfarve3 2 3 5 2 2 2" xfId="8072" xr:uid="{00000000-0005-0000-0000-0000F6610000}"/>
    <cellStyle name="40 % - Markeringsfarve3 2 3 5 2 2 2 2" xfId="15973" xr:uid="{00000000-0005-0000-0000-0000F7610000}"/>
    <cellStyle name="40 % - Markeringsfarve3 2 3 5 2 2 2 2 2" xfId="32287" xr:uid="{00000000-0005-0000-0000-0000F8610000}"/>
    <cellStyle name="40 % - Markeringsfarve3 2 3 5 2 2 2 2 3" xfId="47251" xr:uid="{00000000-0005-0000-0000-0000F9610000}"/>
    <cellStyle name="40 % - Markeringsfarve3 2 3 5 2 2 2 3" xfId="25265" xr:uid="{00000000-0005-0000-0000-0000FA610000}"/>
    <cellStyle name="40 % - Markeringsfarve3 2 3 5 2 2 2 4" xfId="40252" xr:uid="{00000000-0005-0000-0000-0000FB610000}"/>
    <cellStyle name="40 % - Markeringsfarve3 2 3 5 2 2 3" xfId="12210" xr:uid="{00000000-0005-0000-0000-0000FC610000}"/>
    <cellStyle name="40 % - Markeringsfarve3 2 3 5 2 2 3 2" xfId="28529" xr:uid="{00000000-0005-0000-0000-0000FD610000}"/>
    <cellStyle name="40 % - Markeringsfarve3 2 3 5 2 2 3 3" xfId="43494" xr:uid="{00000000-0005-0000-0000-0000FE610000}"/>
    <cellStyle name="40 % - Markeringsfarve3 2 3 5 2 2 4" xfId="21507" xr:uid="{00000000-0005-0000-0000-0000FF610000}"/>
    <cellStyle name="40 % - Markeringsfarve3 2 3 5 2 2 5" xfId="36495" xr:uid="{00000000-0005-0000-0000-000000620000}"/>
    <cellStyle name="40 % - Markeringsfarve3 2 3 5 2 3" xfId="6584" xr:uid="{00000000-0005-0000-0000-000001620000}"/>
    <cellStyle name="40 % - Markeringsfarve3 2 3 5 2 3 2" xfId="14498" xr:uid="{00000000-0005-0000-0000-000002620000}"/>
    <cellStyle name="40 % - Markeringsfarve3 2 3 5 2 3 2 2" xfId="30812" xr:uid="{00000000-0005-0000-0000-000003620000}"/>
    <cellStyle name="40 % - Markeringsfarve3 2 3 5 2 3 2 3" xfId="45776" xr:uid="{00000000-0005-0000-0000-000004620000}"/>
    <cellStyle name="40 % - Markeringsfarve3 2 3 5 2 3 3" xfId="23790" xr:uid="{00000000-0005-0000-0000-000005620000}"/>
    <cellStyle name="40 % - Markeringsfarve3 2 3 5 2 3 4" xfId="38777" xr:uid="{00000000-0005-0000-0000-000006620000}"/>
    <cellStyle name="40 % - Markeringsfarve3 2 3 5 2 4" xfId="12209" xr:uid="{00000000-0005-0000-0000-000007620000}"/>
    <cellStyle name="40 % - Markeringsfarve3 2 3 5 2 4 2" xfId="28528" xr:uid="{00000000-0005-0000-0000-000008620000}"/>
    <cellStyle name="40 % - Markeringsfarve3 2 3 5 2 4 3" xfId="43493" xr:uid="{00000000-0005-0000-0000-000009620000}"/>
    <cellStyle name="40 % - Markeringsfarve3 2 3 5 2 5" xfId="21506" xr:uid="{00000000-0005-0000-0000-00000A620000}"/>
    <cellStyle name="40 % - Markeringsfarve3 2 3 5 2 6" xfId="36494" xr:uid="{00000000-0005-0000-0000-00000B620000}"/>
    <cellStyle name="40 % - Markeringsfarve3 2 3 5 3" xfId="3654" xr:uid="{00000000-0005-0000-0000-00000C620000}"/>
    <cellStyle name="40 % - Markeringsfarve3 2 3 5 3 2" xfId="7348" xr:uid="{00000000-0005-0000-0000-00000D620000}"/>
    <cellStyle name="40 % - Markeringsfarve3 2 3 5 3 2 2" xfId="15258" xr:uid="{00000000-0005-0000-0000-00000E620000}"/>
    <cellStyle name="40 % - Markeringsfarve3 2 3 5 3 2 2 2" xfId="31572" xr:uid="{00000000-0005-0000-0000-00000F620000}"/>
    <cellStyle name="40 % - Markeringsfarve3 2 3 5 3 2 2 3" xfId="46536" xr:uid="{00000000-0005-0000-0000-000010620000}"/>
    <cellStyle name="40 % - Markeringsfarve3 2 3 5 3 2 3" xfId="24550" xr:uid="{00000000-0005-0000-0000-000011620000}"/>
    <cellStyle name="40 % - Markeringsfarve3 2 3 5 3 2 4" xfId="39537" xr:uid="{00000000-0005-0000-0000-000012620000}"/>
    <cellStyle name="40 % - Markeringsfarve3 2 3 5 3 3" xfId="12211" xr:uid="{00000000-0005-0000-0000-000013620000}"/>
    <cellStyle name="40 % - Markeringsfarve3 2 3 5 3 3 2" xfId="28530" xr:uid="{00000000-0005-0000-0000-000014620000}"/>
    <cellStyle name="40 % - Markeringsfarve3 2 3 5 3 3 3" xfId="43495" xr:uid="{00000000-0005-0000-0000-000015620000}"/>
    <cellStyle name="40 % - Markeringsfarve3 2 3 5 3 4" xfId="21508" xr:uid="{00000000-0005-0000-0000-000016620000}"/>
    <cellStyle name="40 % - Markeringsfarve3 2 3 5 3 5" xfId="36496" xr:uid="{00000000-0005-0000-0000-000017620000}"/>
    <cellStyle name="40 % - Markeringsfarve3 2 3 5 4" xfId="3655" xr:uid="{00000000-0005-0000-0000-000018620000}"/>
    <cellStyle name="40 % - Markeringsfarve3 2 3 5 4 2" xfId="8638" xr:uid="{00000000-0005-0000-0000-000019620000}"/>
    <cellStyle name="40 % - Markeringsfarve3 2 3 5 4 2 2" xfId="16521" xr:uid="{00000000-0005-0000-0000-00001A620000}"/>
    <cellStyle name="40 % - Markeringsfarve3 2 3 5 4 2 2 2" xfId="32835" xr:uid="{00000000-0005-0000-0000-00001B620000}"/>
    <cellStyle name="40 % - Markeringsfarve3 2 3 5 4 2 2 3" xfId="47799" xr:uid="{00000000-0005-0000-0000-00001C620000}"/>
    <cellStyle name="40 % - Markeringsfarve3 2 3 5 4 2 3" xfId="25813" xr:uid="{00000000-0005-0000-0000-00001D620000}"/>
    <cellStyle name="40 % - Markeringsfarve3 2 3 5 4 2 4" xfId="40800" xr:uid="{00000000-0005-0000-0000-00001E620000}"/>
    <cellStyle name="40 % - Markeringsfarve3 2 3 5 4 3" xfId="12212" xr:uid="{00000000-0005-0000-0000-00001F620000}"/>
    <cellStyle name="40 % - Markeringsfarve3 2 3 5 4 3 2" xfId="28531" xr:uid="{00000000-0005-0000-0000-000020620000}"/>
    <cellStyle name="40 % - Markeringsfarve3 2 3 5 4 3 3" xfId="43496" xr:uid="{00000000-0005-0000-0000-000021620000}"/>
    <cellStyle name="40 % - Markeringsfarve3 2 3 5 4 4" xfId="21509" xr:uid="{00000000-0005-0000-0000-000022620000}"/>
    <cellStyle name="40 % - Markeringsfarve3 2 3 5 4 5" xfId="36497" xr:uid="{00000000-0005-0000-0000-000023620000}"/>
    <cellStyle name="40 % - Markeringsfarve3 2 3 5 5" xfId="5871" xr:uid="{00000000-0005-0000-0000-000024620000}"/>
    <cellStyle name="40 % - Markeringsfarve3 2 3 5 5 2" xfId="13789" xr:uid="{00000000-0005-0000-0000-000025620000}"/>
    <cellStyle name="40 % - Markeringsfarve3 2 3 5 5 2 2" xfId="30103" xr:uid="{00000000-0005-0000-0000-000026620000}"/>
    <cellStyle name="40 % - Markeringsfarve3 2 3 5 5 2 3" xfId="45067" xr:uid="{00000000-0005-0000-0000-000027620000}"/>
    <cellStyle name="40 % - Markeringsfarve3 2 3 5 5 3" xfId="23081" xr:uid="{00000000-0005-0000-0000-000028620000}"/>
    <cellStyle name="40 % - Markeringsfarve3 2 3 5 5 4" xfId="38068" xr:uid="{00000000-0005-0000-0000-000029620000}"/>
    <cellStyle name="40 % - Markeringsfarve3 2 3 5 6" xfId="12208" xr:uid="{00000000-0005-0000-0000-00002A620000}"/>
    <cellStyle name="40 % - Markeringsfarve3 2 3 5 6 2" xfId="28527" xr:uid="{00000000-0005-0000-0000-00002B620000}"/>
    <cellStyle name="40 % - Markeringsfarve3 2 3 5 6 3" xfId="43492" xr:uid="{00000000-0005-0000-0000-00002C620000}"/>
    <cellStyle name="40 % - Markeringsfarve3 2 3 5 7" xfId="21505" xr:uid="{00000000-0005-0000-0000-00002D620000}"/>
    <cellStyle name="40 % - Markeringsfarve3 2 3 5 8" xfId="36493" xr:uid="{00000000-0005-0000-0000-00002E620000}"/>
    <cellStyle name="40 % - Markeringsfarve3 2 3 6" xfId="3656" xr:uid="{00000000-0005-0000-0000-00002F620000}"/>
    <cellStyle name="40 % - Markeringsfarve3 2 3 6 2" xfId="3657" xr:uid="{00000000-0005-0000-0000-000030620000}"/>
    <cellStyle name="40 % - Markeringsfarve3 2 3 6 2 2" xfId="3658" xr:uid="{00000000-0005-0000-0000-000031620000}"/>
    <cellStyle name="40 % - Markeringsfarve3 2 3 6 2 2 2" xfId="8155" xr:uid="{00000000-0005-0000-0000-000032620000}"/>
    <cellStyle name="40 % - Markeringsfarve3 2 3 6 2 2 2 2" xfId="16056" xr:uid="{00000000-0005-0000-0000-000033620000}"/>
    <cellStyle name="40 % - Markeringsfarve3 2 3 6 2 2 2 2 2" xfId="32370" xr:uid="{00000000-0005-0000-0000-000034620000}"/>
    <cellStyle name="40 % - Markeringsfarve3 2 3 6 2 2 2 2 3" xfId="47334" xr:uid="{00000000-0005-0000-0000-000035620000}"/>
    <cellStyle name="40 % - Markeringsfarve3 2 3 6 2 2 2 3" xfId="25348" xr:uid="{00000000-0005-0000-0000-000036620000}"/>
    <cellStyle name="40 % - Markeringsfarve3 2 3 6 2 2 2 4" xfId="40335" xr:uid="{00000000-0005-0000-0000-000037620000}"/>
    <cellStyle name="40 % - Markeringsfarve3 2 3 6 2 2 3" xfId="12215" xr:uid="{00000000-0005-0000-0000-000038620000}"/>
    <cellStyle name="40 % - Markeringsfarve3 2 3 6 2 2 3 2" xfId="28534" xr:uid="{00000000-0005-0000-0000-000039620000}"/>
    <cellStyle name="40 % - Markeringsfarve3 2 3 6 2 2 3 3" xfId="43499" xr:uid="{00000000-0005-0000-0000-00003A620000}"/>
    <cellStyle name="40 % - Markeringsfarve3 2 3 6 2 2 4" xfId="21512" xr:uid="{00000000-0005-0000-0000-00003B620000}"/>
    <cellStyle name="40 % - Markeringsfarve3 2 3 6 2 2 5" xfId="36500" xr:uid="{00000000-0005-0000-0000-00003C620000}"/>
    <cellStyle name="40 % - Markeringsfarve3 2 3 6 2 3" xfId="6648" xr:uid="{00000000-0005-0000-0000-00003D620000}"/>
    <cellStyle name="40 % - Markeringsfarve3 2 3 6 2 3 2" xfId="14562" xr:uid="{00000000-0005-0000-0000-00003E620000}"/>
    <cellStyle name="40 % - Markeringsfarve3 2 3 6 2 3 2 2" xfId="30876" xr:uid="{00000000-0005-0000-0000-00003F620000}"/>
    <cellStyle name="40 % - Markeringsfarve3 2 3 6 2 3 2 3" xfId="45840" xr:uid="{00000000-0005-0000-0000-000040620000}"/>
    <cellStyle name="40 % - Markeringsfarve3 2 3 6 2 3 3" xfId="23854" xr:uid="{00000000-0005-0000-0000-000041620000}"/>
    <cellStyle name="40 % - Markeringsfarve3 2 3 6 2 3 4" xfId="38841" xr:uid="{00000000-0005-0000-0000-000042620000}"/>
    <cellStyle name="40 % - Markeringsfarve3 2 3 6 2 4" xfId="12214" xr:uid="{00000000-0005-0000-0000-000043620000}"/>
    <cellStyle name="40 % - Markeringsfarve3 2 3 6 2 4 2" xfId="28533" xr:uid="{00000000-0005-0000-0000-000044620000}"/>
    <cellStyle name="40 % - Markeringsfarve3 2 3 6 2 4 3" xfId="43498" xr:uid="{00000000-0005-0000-0000-000045620000}"/>
    <cellStyle name="40 % - Markeringsfarve3 2 3 6 2 5" xfId="21511" xr:uid="{00000000-0005-0000-0000-000046620000}"/>
    <cellStyle name="40 % - Markeringsfarve3 2 3 6 2 6" xfId="36499" xr:uid="{00000000-0005-0000-0000-000047620000}"/>
    <cellStyle name="40 % - Markeringsfarve3 2 3 6 3" xfId="3659" xr:uid="{00000000-0005-0000-0000-000048620000}"/>
    <cellStyle name="40 % - Markeringsfarve3 2 3 6 3 2" xfId="7432" xr:uid="{00000000-0005-0000-0000-000049620000}"/>
    <cellStyle name="40 % - Markeringsfarve3 2 3 6 3 2 2" xfId="15342" xr:uid="{00000000-0005-0000-0000-00004A620000}"/>
    <cellStyle name="40 % - Markeringsfarve3 2 3 6 3 2 2 2" xfId="31656" xr:uid="{00000000-0005-0000-0000-00004B620000}"/>
    <cellStyle name="40 % - Markeringsfarve3 2 3 6 3 2 2 3" xfId="46620" xr:uid="{00000000-0005-0000-0000-00004C620000}"/>
    <cellStyle name="40 % - Markeringsfarve3 2 3 6 3 2 3" xfId="24634" xr:uid="{00000000-0005-0000-0000-00004D620000}"/>
    <cellStyle name="40 % - Markeringsfarve3 2 3 6 3 2 4" xfId="39621" xr:uid="{00000000-0005-0000-0000-00004E620000}"/>
    <cellStyle name="40 % - Markeringsfarve3 2 3 6 3 3" xfId="12216" xr:uid="{00000000-0005-0000-0000-00004F620000}"/>
    <cellStyle name="40 % - Markeringsfarve3 2 3 6 3 3 2" xfId="28535" xr:uid="{00000000-0005-0000-0000-000050620000}"/>
    <cellStyle name="40 % - Markeringsfarve3 2 3 6 3 3 3" xfId="43500" xr:uid="{00000000-0005-0000-0000-000051620000}"/>
    <cellStyle name="40 % - Markeringsfarve3 2 3 6 3 4" xfId="21513" xr:uid="{00000000-0005-0000-0000-000052620000}"/>
    <cellStyle name="40 % - Markeringsfarve3 2 3 6 3 5" xfId="36501" xr:uid="{00000000-0005-0000-0000-000053620000}"/>
    <cellStyle name="40 % - Markeringsfarve3 2 3 6 4" xfId="3660" xr:uid="{00000000-0005-0000-0000-000054620000}"/>
    <cellStyle name="40 % - Markeringsfarve3 2 3 6 4 2" xfId="8287" xr:uid="{00000000-0005-0000-0000-000055620000}"/>
    <cellStyle name="40 % - Markeringsfarve3 2 3 6 4 2 2" xfId="16181" xr:uid="{00000000-0005-0000-0000-000056620000}"/>
    <cellStyle name="40 % - Markeringsfarve3 2 3 6 4 2 2 2" xfId="32495" xr:uid="{00000000-0005-0000-0000-000057620000}"/>
    <cellStyle name="40 % - Markeringsfarve3 2 3 6 4 2 2 3" xfId="47459" xr:uid="{00000000-0005-0000-0000-000058620000}"/>
    <cellStyle name="40 % - Markeringsfarve3 2 3 6 4 2 3" xfId="25473" xr:uid="{00000000-0005-0000-0000-000059620000}"/>
    <cellStyle name="40 % - Markeringsfarve3 2 3 6 4 2 4" xfId="40460" xr:uid="{00000000-0005-0000-0000-00005A620000}"/>
    <cellStyle name="40 % - Markeringsfarve3 2 3 6 4 3" xfId="12217" xr:uid="{00000000-0005-0000-0000-00005B620000}"/>
    <cellStyle name="40 % - Markeringsfarve3 2 3 6 4 3 2" xfId="28536" xr:uid="{00000000-0005-0000-0000-00005C620000}"/>
    <cellStyle name="40 % - Markeringsfarve3 2 3 6 4 3 3" xfId="43501" xr:uid="{00000000-0005-0000-0000-00005D620000}"/>
    <cellStyle name="40 % - Markeringsfarve3 2 3 6 4 4" xfId="21514" xr:uid="{00000000-0005-0000-0000-00005E620000}"/>
    <cellStyle name="40 % - Markeringsfarve3 2 3 6 4 5" xfId="36502" xr:uid="{00000000-0005-0000-0000-00005F620000}"/>
    <cellStyle name="40 % - Markeringsfarve3 2 3 6 5" xfId="5872" xr:uid="{00000000-0005-0000-0000-000060620000}"/>
    <cellStyle name="40 % - Markeringsfarve3 2 3 6 5 2" xfId="13790" xr:uid="{00000000-0005-0000-0000-000061620000}"/>
    <cellStyle name="40 % - Markeringsfarve3 2 3 6 5 2 2" xfId="30104" xr:uid="{00000000-0005-0000-0000-000062620000}"/>
    <cellStyle name="40 % - Markeringsfarve3 2 3 6 5 2 3" xfId="45068" xr:uid="{00000000-0005-0000-0000-000063620000}"/>
    <cellStyle name="40 % - Markeringsfarve3 2 3 6 5 3" xfId="23082" xr:uid="{00000000-0005-0000-0000-000064620000}"/>
    <cellStyle name="40 % - Markeringsfarve3 2 3 6 5 4" xfId="38069" xr:uid="{00000000-0005-0000-0000-000065620000}"/>
    <cellStyle name="40 % - Markeringsfarve3 2 3 6 6" xfId="12213" xr:uid="{00000000-0005-0000-0000-000066620000}"/>
    <cellStyle name="40 % - Markeringsfarve3 2 3 6 6 2" xfId="28532" xr:uid="{00000000-0005-0000-0000-000067620000}"/>
    <cellStyle name="40 % - Markeringsfarve3 2 3 6 6 3" xfId="43497" xr:uid="{00000000-0005-0000-0000-000068620000}"/>
    <cellStyle name="40 % - Markeringsfarve3 2 3 6 7" xfId="21510" xr:uid="{00000000-0005-0000-0000-000069620000}"/>
    <cellStyle name="40 % - Markeringsfarve3 2 3 6 8" xfId="36498" xr:uid="{00000000-0005-0000-0000-00006A620000}"/>
    <cellStyle name="40 % - Markeringsfarve3 2 3 7" xfId="3661" xr:uid="{00000000-0005-0000-0000-00006B620000}"/>
    <cellStyle name="40 % - Markeringsfarve3 2 3 7 2" xfId="3662" xr:uid="{00000000-0005-0000-0000-00006C620000}"/>
    <cellStyle name="40 % - Markeringsfarve3 2 3 7 2 2" xfId="7598" xr:uid="{00000000-0005-0000-0000-00006D620000}"/>
    <cellStyle name="40 % - Markeringsfarve3 2 3 7 2 2 2" xfId="15499" xr:uid="{00000000-0005-0000-0000-00006E620000}"/>
    <cellStyle name="40 % - Markeringsfarve3 2 3 7 2 2 2 2" xfId="31813" xr:uid="{00000000-0005-0000-0000-00006F620000}"/>
    <cellStyle name="40 % - Markeringsfarve3 2 3 7 2 2 2 3" xfId="46777" xr:uid="{00000000-0005-0000-0000-000070620000}"/>
    <cellStyle name="40 % - Markeringsfarve3 2 3 7 2 2 3" xfId="24791" xr:uid="{00000000-0005-0000-0000-000071620000}"/>
    <cellStyle name="40 % - Markeringsfarve3 2 3 7 2 2 4" xfId="39778" xr:uid="{00000000-0005-0000-0000-000072620000}"/>
    <cellStyle name="40 % - Markeringsfarve3 2 3 7 2 3" xfId="12219" xr:uid="{00000000-0005-0000-0000-000073620000}"/>
    <cellStyle name="40 % - Markeringsfarve3 2 3 7 2 3 2" xfId="28538" xr:uid="{00000000-0005-0000-0000-000074620000}"/>
    <cellStyle name="40 % - Markeringsfarve3 2 3 7 2 3 3" xfId="43503" xr:uid="{00000000-0005-0000-0000-000075620000}"/>
    <cellStyle name="40 % - Markeringsfarve3 2 3 7 2 4" xfId="21516" xr:uid="{00000000-0005-0000-0000-000076620000}"/>
    <cellStyle name="40 % - Markeringsfarve3 2 3 7 2 5" xfId="36504" xr:uid="{00000000-0005-0000-0000-000077620000}"/>
    <cellStyle name="40 % - Markeringsfarve3 2 3 7 3" xfId="6184" xr:uid="{00000000-0005-0000-0000-000078620000}"/>
    <cellStyle name="40 % - Markeringsfarve3 2 3 7 3 2" xfId="14101" xr:uid="{00000000-0005-0000-0000-000079620000}"/>
    <cellStyle name="40 % - Markeringsfarve3 2 3 7 3 2 2" xfId="30415" xr:uid="{00000000-0005-0000-0000-00007A620000}"/>
    <cellStyle name="40 % - Markeringsfarve3 2 3 7 3 2 3" xfId="45379" xr:uid="{00000000-0005-0000-0000-00007B620000}"/>
    <cellStyle name="40 % - Markeringsfarve3 2 3 7 3 3" xfId="23393" xr:uid="{00000000-0005-0000-0000-00007C620000}"/>
    <cellStyle name="40 % - Markeringsfarve3 2 3 7 3 4" xfId="38380" xr:uid="{00000000-0005-0000-0000-00007D620000}"/>
    <cellStyle name="40 % - Markeringsfarve3 2 3 7 4" xfId="12218" xr:uid="{00000000-0005-0000-0000-00007E620000}"/>
    <cellStyle name="40 % - Markeringsfarve3 2 3 7 4 2" xfId="28537" xr:uid="{00000000-0005-0000-0000-00007F620000}"/>
    <cellStyle name="40 % - Markeringsfarve3 2 3 7 4 3" xfId="43502" xr:uid="{00000000-0005-0000-0000-000080620000}"/>
    <cellStyle name="40 % - Markeringsfarve3 2 3 7 5" xfId="21515" xr:uid="{00000000-0005-0000-0000-000081620000}"/>
    <cellStyle name="40 % - Markeringsfarve3 2 3 7 6" xfId="36503" xr:uid="{00000000-0005-0000-0000-000082620000}"/>
    <cellStyle name="40 % - Markeringsfarve3 2 3 8" xfId="3663" xr:uid="{00000000-0005-0000-0000-000083620000}"/>
    <cellStyle name="40 % - Markeringsfarve3 2 3 8 2" xfId="6826" xr:uid="{00000000-0005-0000-0000-000084620000}"/>
    <cellStyle name="40 % - Markeringsfarve3 2 3 8 2 2" xfId="14737" xr:uid="{00000000-0005-0000-0000-000085620000}"/>
    <cellStyle name="40 % - Markeringsfarve3 2 3 8 2 2 2" xfId="31051" xr:uid="{00000000-0005-0000-0000-000086620000}"/>
    <cellStyle name="40 % - Markeringsfarve3 2 3 8 2 2 3" xfId="46015" xr:uid="{00000000-0005-0000-0000-000087620000}"/>
    <cellStyle name="40 % - Markeringsfarve3 2 3 8 2 3" xfId="24029" xr:uid="{00000000-0005-0000-0000-000088620000}"/>
    <cellStyle name="40 % - Markeringsfarve3 2 3 8 2 4" xfId="39016" xr:uid="{00000000-0005-0000-0000-000089620000}"/>
    <cellStyle name="40 % - Markeringsfarve3 2 3 8 3" xfId="12220" xr:uid="{00000000-0005-0000-0000-00008A620000}"/>
    <cellStyle name="40 % - Markeringsfarve3 2 3 8 3 2" xfId="28539" xr:uid="{00000000-0005-0000-0000-00008B620000}"/>
    <cellStyle name="40 % - Markeringsfarve3 2 3 8 3 3" xfId="43504" xr:uid="{00000000-0005-0000-0000-00008C620000}"/>
    <cellStyle name="40 % - Markeringsfarve3 2 3 8 4" xfId="21517" xr:uid="{00000000-0005-0000-0000-00008D620000}"/>
    <cellStyle name="40 % - Markeringsfarve3 2 3 8 5" xfId="36505" xr:uid="{00000000-0005-0000-0000-00008E620000}"/>
    <cellStyle name="40 % - Markeringsfarve3 2 3 9" xfId="3664" xr:uid="{00000000-0005-0000-0000-00008F620000}"/>
    <cellStyle name="40 % - Markeringsfarve3 2 3 9 2" xfId="8716" xr:uid="{00000000-0005-0000-0000-000090620000}"/>
    <cellStyle name="40 % - Markeringsfarve3 2 3 9 2 2" xfId="16596" xr:uid="{00000000-0005-0000-0000-000091620000}"/>
    <cellStyle name="40 % - Markeringsfarve3 2 3 9 2 2 2" xfId="32910" xr:uid="{00000000-0005-0000-0000-000092620000}"/>
    <cellStyle name="40 % - Markeringsfarve3 2 3 9 2 2 3" xfId="47874" xr:uid="{00000000-0005-0000-0000-000093620000}"/>
    <cellStyle name="40 % - Markeringsfarve3 2 3 9 2 3" xfId="25888" xr:uid="{00000000-0005-0000-0000-000094620000}"/>
    <cellStyle name="40 % - Markeringsfarve3 2 3 9 2 4" xfId="40875" xr:uid="{00000000-0005-0000-0000-000095620000}"/>
    <cellStyle name="40 % - Markeringsfarve3 2 3 9 3" xfId="12221" xr:uid="{00000000-0005-0000-0000-000096620000}"/>
    <cellStyle name="40 % - Markeringsfarve3 2 3 9 3 2" xfId="28540" xr:uid="{00000000-0005-0000-0000-000097620000}"/>
    <cellStyle name="40 % - Markeringsfarve3 2 3 9 3 3" xfId="43505" xr:uid="{00000000-0005-0000-0000-000098620000}"/>
    <cellStyle name="40 % - Markeringsfarve3 2 3 9 4" xfId="21518" xr:uid="{00000000-0005-0000-0000-000099620000}"/>
    <cellStyle name="40 % - Markeringsfarve3 2 3 9 5" xfId="36506" xr:uid="{00000000-0005-0000-0000-00009A620000}"/>
    <cellStyle name="40 % - Markeringsfarve3 2 4" xfId="3665" xr:uid="{00000000-0005-0000-0000-00009B620000}"/>
    <cellStyle name="40 % - Markeringsfarve3 2 4 2" xfId="3666" xr:uid="{00000000-0005-0000-0000-00009C620000}"/>
    <cellStyle name="40 % - Markeringsfarve3 2 4 2 2" xfId="3667" xr:uid="{00000000-0005-0000-0000-00009D620000}"/>
    <cellStyle name="40 % - Markeringsfarve3 2 4 2 2 2" xfId="7639" xr:uid="{00000000-0005-0000-0000-00009E620000}"/>
    <cellStyle name="40 % - Markeringsfarve3 2 4 2 2 2 2" xfId="15540" xr:uid="{00000000-0005-0000-0000-00009F620000}"/>
    <cellStyle name="40 % - Markeringsfarve3 2 4 2 2 2 2 2" xfId="31854" xr:uid="{00000000-0005-0000-0000-0000A0620000}"/>
    <cellStyle name="40 % - Markeringsfarve3 2 4 2 2 2 2 3" xfId="46818" xr:uid="{00000000-0005-0000-0000-0000A1620000}"/>
    <cellStyle name="40 % - Markeringsfarve3 2 4 2 2 2 3" xfId="24832" xr:uid="{00000000-0005-0000-0000-0000A2620000}"/>
    <cellStyle name="40 % - Markeringsfarve3 2 4 2 2 2 4" xfId="39819" xr:uid="{00000000-0005-0000-0000-0000A3620000}"/>
    <cellStyle name="40 % - Markeringsfarve3 2 4 2 2 3" xfId="12224" xr:uid="{00000000-0005-0000-0000-0000A4620000}"/>
    <cellStyle name="40 % - Markeringsfarve3 2 4 2 2 3 2" xfId="28543" xr:uid="{00000000-0005-0000-0000-0000A5620000}"/>
    <cellStyle name="40 % - Markeringsfarve3 2 4 2 2 3 3" xfId="43508" xr:uid="{00000000-0005-0000-0000-0000A6620000}"/>
    <cellStyle name="40 % - Markeringsfarve3 2 4 2 2 4" xfId="21521" xr:uid="{00000000-0005-0000-0000-0000A7620000}"/>
    <cellStyle name="40 % - Markeringsfarve3 2 4 2 2 5" xfId="36509" xr:uid="{00000000-0005-0000-0000-0000A8620000}"/>
    <cellStyle name="40 % - Markeringsfarve3 2 4 2 3" xfId="6217" xr:uid="{00000000-0005-0000-0000-0000A9620000}"/>
    <cellStyle name="40 % - Markeringsfarve3 2 4 2 3 2" xfId="14134" xr:uid="{00000000-0005-0000-0000-0000AA620000}"/>
    <cellStyle name="40 % - Markeringsfarve3 2 4 2 3 2 2" xfId="30448" xr:uid="{00000000-0005-0000-0000-0000AB620000}"/>
    <cellStyle name="40 % - Markeringsfarve3 2 4 2 3 2 3" xfId="45412" xr:uid="{00000000-0005-0000-0000-0000AC620000}"/>
    <cellStyle name="40 % - Markeringsfarve3 2 4 2 3 3" xfId="23426" xr:uid="{00000000-0005-0000-0000-0000AD620000}"/>
    <cellStyle name="40 % - Markeringsfarve3 2 4 2 3 4" xfId="38413" xr:uid="{00000000-0005-0000-0000-0000AE620000}"/>
    <cellStyle name="40 % - Markeringsfarve3 2 4 2 4" xfId="12223" xr:uid="{00000000-0005-0000-0000-0000AF620000}"/>
    <cellStyle name="40 % - Markeringsfarve3 2 4 2 4 2" xfId="28542" xr:uid="{00000000-0005-0000-0000-0000B0620000}"/>
    <cellStyle name="40 % - Markeringsfarve3 2 4 2 4 3" xfId="43507" xr:uid="{00000000-0005-0000-0000-0000B1620000}"/>
    <cellStyle name="40 % - Markeringsfarve3 2 4 2 5" xfId="21520" xr:uid="{00000000-0005-0000-0000-0000B2620000}"/>
    <cellStyle name="40 % - Markeringsfarve3 2 4 2 6" xfId="36508" xr:uid="{00000000-0005-0000-0000-0000B3620000}"/>
    <cellStyle name="40 % - Markeringsfarve3 2 4 2 7" xfId="57130" xr:uid="{00000000-0005-0000-0000-0000B4620000}"/>
    <cellStyle name="40 % - Markeringsfarve3 2 4 3" xfId="3668" xr:uid="{00000000-0005-0000-0000-0000B5620000}"/>
    <cellStyle name="40 % - Markeringsfarve3 2 4 3 2" xfId="6869" xr:uid="{00000000-0005-0000-0000-0000B6620000}"/>
    <cellStyle name="40 % - Markeringsfarve3 2 4 3 2 2" xfId="14780" xr:uid="{00000000-0005-0000-0000-0000B7620000}"/>
    <cellStyle name="40 % - Markeringsfarve3 2 4 3 2 2 2" xfId="31094" xr:uid="{00000000-0005-0000-0000-0000B8620000}"/>
    <cellStyle name="40 % - Markeringsfarve3 2 4 3 2 2 3" xfId="46058" xr:uid="{00000000-0005-0000-0000-0000B9620000}"/>
    <cellStyle name="40 % - Markeringsfarve3 2 4 3 2 3" xfId="24072" xr:uid="{00000000-0005-0000-0000-0000BA620000}"/>
    <cellStyle name="40 % - Markeringsfarve3 2 4 3 2 4" xfId="39059" xr:uid="{00000000-0005-0000-0000-0000BB620000}"/>
    <cellStyle name="40 % - Markeringsfarve3 2 4 3 3" xfId="12225" xr:uid="{00000000-0005-0000-0000-0000BC620000}"/>
    <cellStyle name="40 % - Markeringsfarve3 2 4 3 3 2" xfId="28544" xr:uid="{00000000-0005-0000-0000-0000BD620000}"/>
    <cellStyle name="40 % - Markeringsfarve3 2 4 3 3 3" xfId="43509" xr:uid="{00000000-0005-0000-0000-0000BE620000}"/>
    <cellStyle name="40 % - Markeringsfarve3 2 4 3 4" xfId="21522" xr:uid="{00000000-0005-0000-0000-0000BF620000}"/>
    <cellStyle name="40 % - Markeringsfarve3 2 4 3 5" xfId="36510" xr:uid="{00000000-0005-0000-0000-0000C0620000}"/>
    <cellStyle name="40 % - Markeringsfarve3 2 4 4" xfId="3669" xr:uid="{00000000-0005-0000-0000-0000C1620000}"/>
    <cellStyle name="40 % - Markeringsfarve3 2 4 4 2" xfId="8583" xr:uid="{00000000-0005-0000-0000-0000C2620000}"/>
    <cellStyle name="40 % - Markeringsfarve3 2 4 4 2 2" xfId="16470" xr:uid="{00000000-0005-0000-0000-0000C3620000}"/>
    <cellStyle name="40 % - Markeringsfarve3 2 4 4 2 2 2" xfId="32784" xr:uid="{00000000-0005-0000-0000-0000C4620000}"/>
    <cellStyle name="40 % - Markeringsfarve3 2 4 4 2 2 3" xfId="47748" xr:uid="{00000000-0005-0000-0000-0000C5620000}"/>
    <cellStyle name="40 % - Markeringsfarve3 2 4 4 2 3" xfId="25762" xr:uid="{00000000-0005-0000-0000-0000C6620000}"/>
    <cellStyle name="40 % - Markeringsfarve3 2 4 4 2 4" xfId="40749" xr:uid="{00000000-0005-0000-0000-0000C7620000}"/>
    <cellStyle name="40 % - Markeringsfarve3 2 4 4 3" xfId="12226" xr:uid="{00000000-0005-0000-0000-0000C8620000}"/>
    <cellStyle name="40 % - Markeringsfarve3 2 4 4 3 2" xfId="28545" xr:uid="{00000000-0005-0000-0000-0000C9620000}"/>
    <cellStyle name="40 % - Markeringsfarve3 2 4 4 3 3" xfId="43510" xr:uid="{00000000-0005-0000-0000-0000CA620000}"/>
    <cellStyle name="40 % - Markeringsfarve3 2 4 4 4" xfId="21523" xr:uid="{00000000-0005-0000-0000-0000CB620000}"/>
    <cellStyle name="40 % - Markeringsfarve3 2 4 4 5" xfId="36511" xr:uid="{00000000-0005-0000-0000-0000CC620000}"/>
    <cellStyle name="40 % - Markeringsfarve3 2 4 5" xfId="5873" xr:uid="{00000000-0005-0000-0000-0000CD620000}"/>
    <cellStyle name="40 % - Markeringsfarve3 2 4 5 2" xfId="13791" xr:uid="{00000000-0005-0000-0000-0000CE620000}"/>
    <cellStyle name="40 % - Markeringsfarve3 2 4 5 2 2" xfId="30105" xr:uid="{00000000-0005-0000-0000-0000CF620000}"/>
    <cellStyle name="40 % - Markeringsfarve3 2 4 5 2 3" xfId="45069" xr:uid="{00000000-0005-0000-0000-0000D0620000}"/>
    <cellStyle name="40 % - Markeringsfarve3 2 4 5 3" xfId="23083" xr:uid="{00000000-0005-0000-0000-0000D1620000}"/>
    <cellStyle name="40 % - Markeringsfarve3 2 4 5 4" xfId="38070" xr:uid="{00000000-0005-0000-0000-0000D2620000}"/>
    <cellStyle name="40 % - Markeringsfarve3 2 4 6" xfId="12222" xr:uid="{00000000-0005-0000-0000-0000D3620000}"/>
    <cellStyle name="40 % - Markeringsfarve3 2 4 6 2" xfId="28541" xr:uid="{00000000-0005-0000-0000-0000D4620000}"/>
    <cellStyle name="40 % - Markeringsfarve3 2 4 6 3" xfId="43506" xr:uid="{00000000-0005-0000-0000-0000D5620000}"/>
    <cellStyle name="40 % - Markeringsfarve3 2 4 7" xfId="21519" xr:uid="{00000000-0005-0000-0000-0000D6620000}"/>
    <cellStyle name="40 % - Markeringsfarve3 2 4 8" xfId="36507" xr:uid="{00000000-0005-0000-0000-0000D7620000}"/>
    <cellStyle name="40 % - Markeringsfarve3 2 4 9" xfId="53963" xr:uid="{00000000-0005-0000-0000-0000D8620000}"/>
    <cellStyle name="40 % - Markeringsfarve3 2 5" xfId="3670" xr:uid="{00000000-0005-0000-0000-0000D9620000}"/>
    <cellStyle name="40 % - Markeringsfarve3 2 5 2" xfId="3671" xr:uid="{00000000-0005-0000-0000-0000DA620000}"/>
    <cellStyle name="40 % - Markeringsfarve3 2 5 2 2" xfId="3672" xr:uid="{00000000-0005-0000-0000-0000DB620000}"/>
    <cellStyle name="40 % - Markeringsfarve3 2 5 2 2 2" xfId="7798" xr:uid="{00000000-0005-0000-0000-0000DC620000}"/>
    <cellStyle name="40 % - Markeringsfarve3 2 5 2 2 2 2" xfId="15699" xr:uid="{00000000-0005-0000-0000-0000DD620000}"/>
    <cellStyle name="40 % - Markeringsfarve3 2 5 2 2 2 2 2" xfId="32013" xr:uid="{00000000-0005-0000-0000-0000DE620000}"/>
    <cellStyle name="40 % - Markeringsfarve3 2 5 2 2 2 2 3" xfId="46977" xr:uid="{00000000-0005-0000-0000-0000DF620000}"/>
    <cellStyle name="40 % - Markeringsfarve3 2 5 2 2 2 3" xfId="24991" xr:uid="{00000000-0005-0000-0000-0000E0620000}"/>
    <cellStyle name="40 % - Markeringsfarve3 2 5 2 2 2 4" xfId="39978" xr:uid="{00000000-0005-0000-0000-0000E1620000}"/>
    <cellStyle name="40 % - Markeringsfarve3 2 5 2 2 3" xfId="12229" xr:uid="{00000000-0005-0000-0000-0000E2620000}"/>
    <cellStyle name="40 % - Markeringsfarve3 2 5 2 2 3 2" xfId="28548" xr:uid="{00000000-0005-0000-0000-0000E3620000}"/>
    <cellStyle name="40 % - Markeringsfarve3 2 5 2 2 3 3" xfId="43513" xr:uid="{00000000-0005-0000-0000-0000E4620000}"/>
    <cellStyle name="40 % - Markeringsfarve3 2 5 2 2 4" xfId="21526" xr:uid="{00000000-0005-0000-0000-0000E5620000}"/>
    <cellStyle name="40 % - Markeringsfarve3 2 5 2 2 5" xfId="36514" xr:uid="{00000000-0005-0000-0000-0000E6620000}"/>
    <cellStyle name="40 % - Markeringsfarve3 2 5 2 3" xfId="6344" xr:uid="{00000000-0005-0000-0000-0000E7620000}"/>
    <cellStyle name="40 % - Markeringsfarve3 2 5 2 3 2" xfId="14261" xr:uid="{00000000-0005-0000-0000-0000E8620000}"/>
    <cellStyle name="40 % - Markeringsfarve3 2 5 2 3 2 2" xfId="30575" xr:uid="{00000000-0005-0000-0000-0000E9620000}"/>
    <cellStyle name="40 % - Markeringsfarve3 2 5 2 3 2 3" xfId="45539" xr:uid="{00000000-0005-0000-0000-0000EA620000}"/>
    <cellStyle name="40 % - Markeringsfarve3 2 5 2 3 3" xfId="23553" xr:uid="{00000000-0005-0000-0000-0000EB620000}"/>
    <cellStyle name="40 % - Markeringsfarve3 2 5 2 3 4" xfId="38540" xr:uid="{00000000-0005-0000-0000-0000EC620000}"/>
    <cellStyle name="40 % - Markeringsfarve3 2 5 2 4" xfId="12228" xr:uid="{00000000-0005-0000-0000-0000ED620000}"/>
    <cellStyle name="40 % - Markeringsfarve3 2 5 2 4 2" xfId="28547" xr:uid="{00000000-0005-0000-0000-0000EE620000}"/>
    <cellStyle name="40 % - Markeringsfarve3 2 5 2 4 3" xfId="43512" xr:uid="{00000000-0005-0000-0000-0000EF620000}"/>
    <cellStyle name="40 % - Markeringsfarve3 2 5 2 5" xfId="21525" xr:uid="{00000000-0005-0000-0000-0000F0620000}"/>
    <cellStyle name="40 % - Markeringsfarve3 2 5 2 6" xfId="36513" xr:uid="{00000000-0005-0000-0000-0000F1620000}"/>
    <cellStyle name="40 % - Markeringsfarve3 2 5 3" xfId="3673" xr:uid="{00000000-0005-0000-0000-0000F2620000}"/>
    <cellStyle name="40 % - Markeringsfarve3 2 5 3 2" xfId="7028" xr:uid="{00000000-0005-0000-0000-0000F3620000}"/>
    <cellStyle name="40 % - Markeringsfarve3 2 5 3 2 2" xfId="14939" xr:uid="{00000000-0005-0000-0000-0000F4620000}"/>
    <cellStyle name="40 % - Markeringsfarve3 2 5 3 2 2 2" xfId="31253" xr:uid="{00000000-0005-0000-0000-0000F5620000}"/>
    <cellStyle name="40 % - Markeringsfarve3 2 5 3 2 2 3" xfId="46217" xr:uid="{00000000-0005-0000-0000-0000F6620000}"/>
    <cellStyle name="40 % - Markeringsfarve3 2 5 3 2 3" xfId="24231" xr:uid="{00000000-0005-0000-0000-0000F7620000}"/>
    <cellStyle name="40 % - Markeringsfarve3 2 5 3 2 4" xfId="39218" xr:uid="{00000000-0005-0000-0000-0000F8620000}"/>
    <cellStyle name="40 % - Markeringsfarve3 2 5 3 3" xfId="12230" xr:uid="{00000000-0005-0000-0000-0000F9620000}"/>
    <cellStyle name="40 % - Markeringsfarve3 2 5 3 3 2" xfId="28549" xr:uid="{00000000-0005-0000-0000-0000FA620000}"/>
    <cellStyle name="40 % - Markeringsfarve3 2 5 3 3 3" xfId="43514" xr:uid="{00000000-0005-0000-0000-0000FB620000}"/>
    <cellStyle name="40 % - Markeringsfarve3 2 5 3 4" xfId="21527" xr:uid="{00000000-0005-0000-0000-0000FC620000}"/>
    <cellStyle name="40 % - Markeringsfarve3 2 5 3 5" xfId="36515" xr:uid="{00000000-0005-0000-0000-0000FD620000}"/>
    <cellStyle name="40 % - Markeringsfarve3 2 5 4" xfId="3674" xr:uid="{00000000-0005-0000-0000-0000FE620000}"/>
    <cellStyle name="40 % - Markeringsfarve3 2 5 4 2" xfId="8233" xr:uid="{00000000-0005-0000-0000-0000FF620000}"/>
    <cellStyle name="40 % - Markeringsfarve3 2 5 4 2 2" xfId="16130" xr:uid="{00000000-0005-0000-0000-000000630000}"/>
    <cellStyle name="40 % - Markeringsfarve3 2 5 4 2 2 2" xfId="32444" xr:uid="{00000000-0005-0000-0000-000001630000}"/>
    <cellStyle name="40 % - Markeringsfarve3 2 5 4 2 2 3" xfId="47408" xr:uid="{00000000-0005-0000-0000-000002630000}"/>
    <cellStyle name="40 % - Markeringsfarve3 2 5 4 2 3" xfId="25422" xr:uid="{00000000-0005-0000-0000-000003630000}"/>
    <cellStyle name="40 % - Markeringsfarve3 2 5 4 2 4" xfId="40409" xr:uid="{00000000-0005-0000-0000-000004630000}"/>
    <cellStyle name="40 % - Markeringsfarve3 2 5 4 3" xfId="12231" xr:uid="{00000000-0005-0000-0000-000005630000}"/>
    <cellStyle name="40 % - Markeringsfarve3 2 5 4 3 2" xfId="28550" xr:uid="{00000000-0005-0000-0000-000006630000}"/>
    <cellStyle name="40 % - Markeringsfarve3 2 5 4 3 3" xfId="43515" xr:uid="{00000000-0005-0000-0000-000007630000}"/>
    <cellStyle name="40 % - Markeringsfarve3 2 5 4 4" xfId="21528" xr:uid="{00000000-0005-0000-0000-000008630000}"/>
    <cellStyle name="40 % - Markeringsfarve3 2 5 4 5" xfId="36516" xr:uid="{00000000-0005-0000-0000-000009630000}"/>
    <cellStyle name="40 % - Markeringsfarve3 2 5 5" xfId="5874" xr:uid="{00000000-0005-0000-0000-00000A630000}"/>
    <cellStyle name="40 % - Markeringsfarve3 2 5 5 2" xfId="13792" xr:uid="{00000000-0005-0000-0000-00000B630000}"/>
    <cellStyle name="40 % - Markeringsfarve3 2 5 5 2 2" xfId="30106" xr:uid="{00000000-0005-0000-0000-00000C630000}"/>
    <cellStyle name="40 % - Markeringsfarve3 2 5 5 2 3" xfId="45070" xr:uid="{00000000-0005-0000-0000-00000D630000}"/>
    <cellStyle name="40 % - Markeringsfarve3 2 5 5 3" xfId="23084" xr:uid="{00000000-0005-0000-0000-00000E630000}"/>
    <cellStyle name="40 % - Markeringsfarve3 2 5 5 4" xfId="38071" xr:uid="{00000000-0005-0000-0000-00000F630000}"/>
    <cellStyle name="40 % - Markeringsfarve3 2 5 6" xfId="12227" xr:uid="{00000000-0005-0000-0000-000010630000}"/>
    <cellStyle name="40 % - Markeringsfarve3 2 5 6 2" xfId="28546" xr:uid="{00000000-0005-0000-0000-000011630000}"/>
    <cellStyle name="40 % - Markeringsfarve3 2 5 6 3" xfId="43511" xr:uid="{00000000-0005-0000-0000-000012630000}"/>
    <cellStyle name="40 % - Markeringsfarve3 2 5 7" xfId="21524" xr:uid="{00000000-0005-0000-0000-000013630000}"/>
    <cellStyle name="40 % - Markeringsfarve3 2 5 8" xfId="36512" xr:uid="{00000000-0005-0000-0000-000014630000}"/>
    <cellStyle name="40 % - Markeringsfarve3 2 5 9" xfId="56507" xr:uid="{00000000-0005-0000-0000-000015630000}"/>
    <cellStyle name="40 % - Markeringsfarve3 2 6" xfId="3675" xr:uid="{00000000-0005-0000-0000-000016630000}"/>
    <cellStyle name="40 % - Markeringsfarve3 2 6 2" xfId="3676" xr:uid="{00000000-0005-0000-0000-000017630000}"/>
    <cellStyle name="40 % - Markeringsfarve3 2 6 2 2" xfId="3677" xr:uid="{00000000-0005-0000-0000-000018630000}"/>
    <cellStyle name="40 % - Markeringsfarve3 2 6 2 2 2" xfId="7877" xr:uid="{00000000-0005-0000-0000-000019630000}"/>
    <cellStyle name="40 % - Markeringsfarve3 2 6 2 2 2 2" xfId="15778" xr:uid="{00000000-0005-0000-0000-00001A630000}"/>
    <cellStyle name="40 % - Markeringsfarve3 2 6 2 2 2 2 2" xfId="32092" xr:uid="{00000000-0005-0000-0000-00001B630000}"/>
    <cellStyle name="40 % - Markeringsfarve3 2 6 2 2 2 2 3" xfId="47056" xr:uid="{00000000-0005-0000-0000-00001C630000}"/>
    <cellStyle name="40 % - Markeringsfarve3 2 6 2 2 2 3" xfId="25070" xr:uid="{00000000-0005-0000-0000-00001D630000}"/>
    <cellStyle name="40 % - Markeringsfarve3 2 6 2 2 2 4" xfId="40057" xr:uid="{00000000-0005-0000-0000-00001E630000}"/>
    <cellStyle name="40 % - Markeringsfarve3 2 6 2 2 3" xfId="12234" xr:uid="{00000000-0005-0000-0000-00001F630000}"/>
    <cellStyle name="40 % - Markeringsfarve3 2 6 2 2 3 2" xfId="28553" xr:uid="{00000000-0005-0000-0000-000020630000}"/>
    <cellStyle name="40 % - Markeringsfarve3 2 6 2 2 3 3" xfId="43518" xr:uid="{00000000-0005-0000-0000-000021630000}"/>
    <cellStyle name="40 % - Markeringsfarve3 2 6 2 2 4" xfId="21531" xr:uid="{00000000-0005-0000-0000-000022630000}"/>
    <cellStyle name="40 % - Markeringsfarve3 2 6 2 2 5" xfId="36519" xr:uid="{00000000-0005-0000-0000-000023630000}"/>
    <cellStyle name="40 % - Markeringsfarve3 2 6 2 3" xfId="6419" xr:uid="{00000000-0005-0000-0000-000024630000}"/>
    <cellStyle name="40 % - Markeringsfarve3 2 6 2 3 2" xfId="14333" xr:uid="{00000000-0005-0000-0000-000025630000}"/>
    <cellStyle name="40 % - Markeringsfarve3 2 6 2 3 2 2" xfId="30647" xr:uid="{00000000-0005-0000-0000-000026630000}"/>
    <cellStyle name="40 % - Markeringsfarve3 2 6 2 3 2 3" xfId="45611" xr:uid="{00000000-0005-0000-0000-000027630000}"/>
    <cellStyle name="40 % - Markeringsfarve3 2 6 2 3 3" xfId="23625" xr:uid="{00000000-0005-0000-0000-000028630000}"/>
    <cellStyle name="40 % - Markeringsfarve3 2 6 2 3 4" xfId="38612" xr:uid="{00000000-0005-0000-0000-000029630000}"/>
    <cellStyle name="40 % - Markeringsfarve3 2 6 2 4" xfId="12233" xr:uid="{00000000-0005-0000-0000-00002A630000}"/>
    <cellStyle name="40 % - Markeringsfarve3 2 6 2 4 2" xfId="28552" xr:uid="{00000000-0005-0000-0000-00002B630000}"/>
    <cellStyle name="40 % - Markeringsfarve3 2 6 2 4 3" xfId="43517" xr:uid="{00000000-0005-0000-0000-00002C630000}"/>
    <cellStyle name="40 % - Markeringsfarve3 2 6 2 5" xfId="21530" xr:uid="{00000000-0005-0000-0000-00002D630000}"/>
    <cellStyle name="40 % - Markeringsfarve3 2 6 2 6" xfId="36518" xr:uid="{00000000-0005-0000-0000-00002E630000}"/>
    <cellStyle name="40 % - Markeringsfarve3 2 6 3" xfId="3678" xr:uid="{00000000-0005-0000-0000-00002F630000}"/>
    <cellStyle name="40 % - Markeringsfarve3 2 6 3 2" xfId="7153" xr:uid="{00000000-0005-0000-0000-000030630000}"/>
    <cellStyle name="40 % - Markeringsfarve3 2 6 3 2 2" xfId="15063" xr:uid="{00000000-0005-0000-0000-000031630000}"/>
    <cellStyle name="40 % - Markeringsfarve3 2 6 3 2 2 2" xfId="31377" xr:uid="{00000000-0005-0000-0000-000032630000}"/>
    <cellStyle name="40 % - Markeringsfarve3 2 6 3 2 2 3" xfId="46341" xr:uid="{00000000-0005-0000-0000-000033630000}"/>
    <cellStyle name="40 % - Markeringsfarve3 2 6 3 2 3" xfId="24355" xr:uid="{00000000-0005-0000-0000-000034630000}"/>
    <cellStyle name="40 % - Markeringsfarve3 2 6 3 2 4" xfId="39342" xr:uid="{00000000-0005-0000-0000-000035630000}"/>
    <cellStyle name="40 % - Markeringsfarve3 2 6 3 3" xfId="12235" xr:uid="{00000000-0005-0000-0000-000036630000}"/>
    <cellStyle name="40 % - Markeringsfarve3 2 6 3 3 2" xfId="28554" xr:uid="{00000000-0005-0000-0000-000037630000}"/>
    <cellStyle name="40 % - Markeringsfarve3 2 6 3 3 3" xfId="43519" xr:uid="{00000000-0005-0000-0000-000038630000}"/>
    <cellStyle name="40 % - Markeringsfarve3 2 6 3 4" xfId="21532" xr:uid="{00000000-0005-0000-0000-000039630000}"/>
    <cellStyle name="40 % - Markeringsfarve3 2 6 3 5" xfId="36520" xr:uid="{00000000-0005-0000-0000-00003A630000}"/>
    <cellStyle name="40 % - Markeringsfarve3 2 6 4" xfId="3679" xr:uid="{00000000-0005-0000-0000-00003B630000}"/>
    <cellStyle name="40 % - Markeringsfarve3 2 6 4 2" xfId="8568" xr:uid="{00000000-0005-0000-0000-00003C630000}"/>
    <cellStyle name="40 % - Markeringsfarve3 2 6 4 2 2" xfId="16455" xr:uid="{00000000-0005-0000-0000-00003D630000}"/>
    <cellStyle name="40 % - Markeringsfarve3 2 6 4 2 2 2" xfId="32769" xr:uid="{00000000-0005-0000-0000-00003E630000}"/>
    <cellStyle name="40 % - Markeringsfarve3 2 6 4 2 2 3" xfId="47733" xr:uid="{00000000-0005-0000-0000-00003F630000}"/>
    <cellStyle name="40 % - Markeringsfarve3 2 6 4 2 3" xfId="25747" xr:uid="{00000000-0005-0000-0000-000040630000}"/>
    <cellStyle name="40 % - Markeringsfarve3 2 6 4 2 4" xfId="40734" xr:uid="{00000000-0005-0000-0000-000041630000}"/>
    <cellStyle name="40 % - Markeringsfarve3 2 6 4 3" xfId="12236" xr:uid="{00000000-0005-0000-0000-000042630000}"/>
    <cellStyle name="40 % - Markeringsfarve3 2 6 4 3 2" xfId="28555" xr:uid="{00000000-0005-0000-0000-000043630000}"/>
    <cellStyle name="40 % - Markeringsfarve3 2 6 4 3 3" xfId="43520" xr:uid="{00000000-0005-0000-0000-000044630000}"/>
    <cellStyle name="40 % - Markeringsfarve3 2 6 4 4" xfId="21533" xr:uid="{00000000-0005-0000-0000-000045630000}"/>
    <cellStyle name="40 % - Markeringsfarve3 2 6 4 5" xfId="36521" xr:uid="{00000000-0005-0000-0000-000046630000}"/>
    <cellStyle name="40 % - Markeringsfarve3 2 6 5" xfId="5875" xr:uid="{00000000-0005-0000-0000-000047630000}"/>
    <cellStyle name="40 % - Markeringsfarve3 2 6 5 2" xfId="13793" xr:uid="{00000000-0005-0000-0000-000048630000}"/>
    <cellStyle name="40 % - Markeringsfarve3 2 6 5 2 2" xfId="30107" xr:uid="{00000000-0005-0000-0000-000049630000}"/>
    <cellStyle name="40 % - Markeringsfarve3 2 6 5 2 3" xfId="45071" xr:uid="{00000000-0005-0000-0000-00004A630000}"/>
    <cellStyle name="40 % - Markeringsfarve3 2 6 5 3" xfId="23085" xr:uid="{00000000-0005-0000-0000-00004B630000}"/>
    <cellStyle name="40 % - Markeringsfarve3 2 6 5 4" xfId="38072" xr:uid="{00000000-0005-0000-0000-00004C630000}"/>
    <cellStyle name="40 % - Markeringsfarve3 2 6 6" xfId="12232" xr:uid="{00000000-0005-0000-0000-00004D630000}"/>
    <cellStyle name="40 % - Markeringsfarve3 2 6 6 2" xfId="28551" xr:uid="{00000000-0005-0000-0000-00004E630000}"/>
    <cellStyle name="40 % - Markeringsfarve3 2 6 6 3" xfId="43516" xr:uid="{00000000-0005-0000-0000-00004F630000}"/>
    <cellStyle name="40 % - Markeringsfarve3 2 6 7" xfId="21529" xr:uid="{00000000-0005-0000-0000-000050630000}"/>
    <cellStyle name="40 % - Markeringsfarve3 2 6 8" xfId="36517" xr:uid="{00000000-0005-0000-0000-000051630000}"/>
    <cellStyle name="40 % - Markeringsfarve3 2 7" xfId="3680" xr:uid="{00000000-0005-0000-0000-000052630000}"/>
    <cellStyle name="40 % - Markeringsfarve3 2 7 2" xfId="3681" xr:uid="{00000000-0005-0000-0000-000053630000}"/>
    <cellStyle name="40 % - Markeringsfarve3 2 7 2 2" xfId="3682" xr:uid="{00000000-0005-0000-0000-000054630000}"/>
    <cellStyle name="40 % - Markeringsfarve3 2 7 2 2 2" xfId="7994" xr:uid="{00000000-0005-0000-0000-000055630000}"/>
    <cellStyle name="40 % - Markeringsfarve3 2 7 2 2 2 2" xfId="15895" xr:uid="{00000000-0005-0000-0000-000056630000}"/>
    <cellStyle name="40 % - Markeringsfarve3 2 7 2 2 2 2 2" xfId="32209" xr:uid="{00000000-0005-0000-0000-000057630000}"/>
    <cellStyle name="40 % - Markeringsfarve3 2 7 2 2 2 2 3" xfId="47173" xr:uid="{00000000-0005-0000-0000-000058630000}"/>
    <cellStyle name="40 % - Markeringsfarve3 2 7 2 2 2 3" xfId="25187" xr:uid="{00000000-0005-0000-0000-000059630000}"/>
    <cellStyle name="40 % - Markeringsfarve3 2 7 2 2 2 4" xfId="40174" xr:uid="{00000000-0005-0000-0000-00005A630000}"/>
    <cellStyle name="40 % - Markeringsfarve3 2 7 2 2 3" xfId="12239" xr:uid="{00000000-0005-0000-0000-00005B630000}"/>
    <cellStyle name="40 % - Markeringsfarve3 2 7 2 2 3 2" xfId="28558" xr:uid="{00000000-0005-0000-0000-00005C630000}"/>
    <cellStyle name="40 % - Markeringsfarve3 2 7 2 2 3 3" xfId="43523" xr:uid="{00000000-0005-0000-0000-00005D630000}"/>
    <cellStyle name="40 % - Markeringsfarve3 2 7 2 2 4" xfId="21536" xr:uid="{00000000-0005-0000-0000-00005E630000}"/>
    <cellStyle name="40 % - Markeringsfarve3 2 7 2 2 5" xfId="36524" xr:uid="{00000000-0005-0000-0000-00005F630000}"/>
    <cellStyle name="40 % - Markeringsfarve3 2 7 2 3" xfId="6518" xr:uid="{00000000-0005-0000-0000-000060630000}"/>
    <cellStyle name="40 % - Markeringsfarve3 2 7 2 3 2" xfId="14432" xr:uid="{00000000-0005-0000-0000-000061630000}"/>
    <cellStyle name="40 % - Markeringsfarve3 2 7 2 3 2 2" xfId="30746" xr:uid="{00000000-0005-0000-0000-000062630000}"/>
    <cellStyle name="40 % - Markeringsfarve3 2 7 2 3 2 3" xfId="45710" xr:uid="{00000000-0005-0000-0000-000063630000}"/>
    <cellStyle name="40 % - Markeringsfarve3 2 7 2 3 3" xfId="23724" xr:uid="{00000000-0005-0000-0000-000064630000}"/>
    <cellStyle name="40 % - Markeringsfarve3 2 7 2 3 4" xfId="38711" xr:uid="{00000000-0005-0000-0000-000065630000}"/>
    <cellStyle name="40 % - Markeringsfarve3 2 7 2 4" xfId="12238" xr:uid="{00000000-0005-0000-0000-000066630000}"/>
    <cellStyle name="40 % - Markeringsfarve3 2 7 2 4 2" xfId="28557" xr:uid="{00000000-0005-0000-0000-000067630000}"/>
    <cellStyle name="40 % - Markeringsfarve3 2 7 2 4 3" xfId="43522" xr:uid="{00000000-0005-0000-0000-000068630000}"/>
    <cellStyle name="40 % - Markeringsfarve3 2 7 2 5" xfId="21535" xr:uid="{00000000-0005-0000-0000-000069630000}"/>
    <cellStyle name="40 % - Markeringsfarve3 2 7 2 6" xfId="36523" xr:uid="{00000000-0005-0000-0000-00006A630000}"/>
    <cellStyle name="40 % - Markeringsfarve3 2 7 3" xfId="3683" xr:uid="{00000000-0005-0000-0000-00006B630000}"/>
    <cellStyle name="40 % - Markeringsfarve3 2 7 3 2" xfId="7270" xr:uid="{00000000-0005-0000-0000-00006C630000}"/>
    <cellStyle name="40 % - Markeringsfarve3 2 7 3 2 2" xfId="15180" xr:uid="{00000000-0005-0000-0000-00006D630000}"/>
    <cellStyle name="40 % - Markeringsfarve3 2 7 3 2 2 2" xfId="31494" xr:uid="{00000000-0005-0000-0000-00006E630000}"/>
    <cellStyle name="40 % - Markeringsfarve3 2 7 3 2 2 3" xfId="46458" xr:uid="{00000000-0005-0000-0000-00006F630000}"/>
    <cellStyle name="40 % - Markeringsfarve3 2 7 3 2 3" xfId="24472" xr:uid="{00000000-0005-0000-0000-000070630000}"/>
    <cellStyle name="40 % - Markeringsfarve3 2 7 3 2 4" xfId="39459" xr:uid="{00000000-0005-0000-0000-000071630000}"/>
    <cellStyle name="40 % - Markeringsfarve3 2 7 3 3" xfId="12240" xr:uid="{00000000-0005-0000-0000-000072630000}"/>
    <cellStyle name="40 % - Markeringsfarve3 2 7 3 3 2" xfId="28559" xr:uid="{00000000-0005-0000-0000-000073630000}"/>
    <cellStyle name="40 % - Markeringsfarve3 2 7 3 3 3" xfId="43524" xr:uid="{00000000-0005-0000-0000-000074630000}"/>
    <cellStyle name="40 % - Markeringsfarve3 2 7 3 4" xfId="21537" xr:uid="{00000000-0005-0000-0000-000075630000}"/>
    <cellStyle name="40 % - Markeringsfarve3 2 7 3 5" xfId="36525" xr:uid="{00000000-0005-0000-0000-000076630000}"/>
    <cellStyle name="40 % - Markeringsfarve3 2 7 4" xfId="3684" xr:uid="{00000000-0005-0000-0000-000077630000}"/>
    <cellStyle name="40 % - Markeringsfarve3 2 7 4 2" xfId="8774" xr:uid="{00000000-0005-0000-0000-000078630000}"/>
    <cellStyle name="40 % - Markeringsfarve3 2 7 4 2 2" xfId="16650" xr:uid="{00000000-0005-0000-0000-000079630000}"/>
    <cellStyle name="40 % - Markeringsfarve3 2 7 4 2 2 2" xfId="32964" xr:uid="{00000000-0005-0000-0000-00007A630000}"/>
    <cellStyle name="40 % - Markeringsfarve3 2 7 4 2 2 3" xfId="47928" xr:uid="{00000000-0005-0000-0000-00007B630000}"/>
    <cellStyle name="40 % - Markeringsfarve3 2 7 4 2 3" xfId="25942" xr:uid="{00000000-0005-0000-0000-00007C630000}"/>
    <cellStyle name="40 % - Markeringsfarve3 2 7 4 2 4" xfId="40929" xr:uid="{00000000-0005-0000-0000-00007D630000}"/>
    <cellStyle name="40 % - Markeringsfarve3 2 7 4 3" xfId="12241" xr:uid="{00000000-0005-0000-0000-00007E630000}"/>
    <cellStyle name="40 % - Markeringsfarve3 2 7 4 3 2" xfId="28560" xr:uid="{00000000-0005-0000-0000-00007F630000}"/>
    <cellStyle name="40 % - Markeringsfarve3 2 7 4 3 3" xfId="43525" xr:uid="{00000000-0005-0000-0000-000080630000}"/>
    <cellStyle name="40 % - Markeringsfarve3 2 7 4 4" xfId="21538" xr:uid="{00000000-0005-0000-0000-000081630000}"/>
    <cellStyle name="40 % - Markeringsfarve3 2 7 4 5" xfId="36526" xr:uid="{00000000-0005-0000-0000-000082630000}"/>
    <cellStyle name="40 % - Markeringsfarve3 2 7 5" xfId="5876" xr:uid="{00000000-0005-0000-0000-000083630000}"/>
    <cellStyle name="40 % - Markeringsfarve3 2 7 5 2" xfId="13794" xr:uid="{00000000-0005-0000-0000-000084630000}"/>
    <cellStyle name="40 % - Markeringsfarve3 2 7 5 2 2" xfId="30108" xr:uid="{00000000-0005-0000-0000-000085630000}"/>
    <cellStyle name="40 % - Markeringsfarve3 2 7 5 2 3" xfId="45072" xr:uid="{00000000-0005-0000-0000-000086630000}"/>
    <cellStyle name="40 % - Markeringsfarve3 2 7 5 3" xfId="23086" xr:uid="{00000000-0005-0000-0000-000087630000}"/>
    <cellStyle name="40 % - Markeringsfarve3 2 7 5 4" xfId="38073" xr:uid="{00000000-0005-0000-0000-000088630000}"/>
    <cellStyle name="40 % - Markeringsfarve3 2 7 6" xfId="12237" xr:uid="{00000000-0005-0000-0000-000089630000}"/>
    <cellStyle name="40 % - Markeringsfarve3 2 7 6 2" xfId="28556" xr:uid="{00000000-0005-0000-0000-00008A630000}"/>
    <cellStyle name="40 % - Markeringsfarve3 2 7 6 3" xfId="43521" xr:uid="{00000000-0005-0000-0000-00008B630000}"/>
    <cellStyle name="40 % - Markeringsfarve3 2 7 7" xfId="21534" xr:uid="{00000000-0005-0000-0000-00008C630000}"/>
    <cellStyle name="40 % - Markeringsfarve3 2 7 8" xfId="36522" xr:uid="{00000000-0005-0000-0000-00008D630000}"/>
    <cellStyle name="40 % - Markeringsfarve3 2 8" xfId="3685" xr:uid="{00000000-0005-0000-0000-00008E630000}"/>
    <cellStyle name="40 % - Markeringsfarve3 2 8 2" xfId="3686" xr:uid="{00000000-0005-0000-0000-00008F630000}"/>
    <cellStyle name="40 % - Markeringsfarve3 2 8 2 2" xfId="3687" xr:uid="{00000000-0005-0000-0000-000090630000}"/>
    <cellStyle name="40 % - Markeringsfarve3 2 8 2 2 2" xfId="8153" xr:uid="{00000000-0005-0000-0000-000091630000}"/>
    <cellStyle name="40 % - Markeringsfarve3 2 8 2 2 2 2" xfId="16054" xr:uid="{00000000-0005-0000-0000-000092630000}"/>
    <cellStyle name="40 % - Markeringsfarve3 2 8 2 2 2 2 2" xfId="32368" xr:uid="{00000000-0005-0000-0000-000093630000}"/>
    <cellStyle name="40 % - Markeringsfarve3 2 8 2 2 2 2 3" xfId="47332" xr:uid="{00000000-0005-0000-0000-000094630000}"/>
    <cellStyle name="40 % - Markeringsfarve3 2 8 2 2 2 3" xfId="25346" xr:uid="{00000000-0005-0000-0000-000095630000}"/>
    <cellStyle name="40 % - Markeringsfarve3 2 8 2 2 2 4" xfId="40333" xr:uid="{00000000-0005-0000-0000-000096630000}"/>
    <cellStyle name="40 % - Markeringsfarve3 2 8 2 2 3" xfId="12244" xr:uid="{00000000-0005-0000-0000-000097630000}"/>
    <cellStyle name="40 % - Markeringsfarve3 2 8 2 2 3 2" xfId="28563" xr:uid="{00000000-0005-0000-0000-000098630000}"/>
    <cellStyle name="40 % - Markeringsfarve3 2 8 2 2 3 3" xfId="43528" xr:uid="{00000000-0005-0000-0000-000099630000}"/>
    <cellStyle name="40 % - Markeringsfarve3 2 8 2 2 4" xfId="21541" xr:uid="{00000000-0005-0000-0000-00009A630000}"/>
    <cellStyle name="40 % - Markeringsfarve3 2 8 2 2 5" xfId="36529" xr:uid="{00000000-0005-0000-0000-00009B630000}"/>
    <cellStyle name="40 % - Markeringsfarve3 2 8 2 3" xfId="6646" xr:uid="{00000000-0005-0000-0000-00009C630000}"/>
    <cellStyle name="40 % - Markeringsfarve3 2 8 2 3 2" xfId="14560" xr:uid="{00000000-0005-0000-0000-00009D630000}"/>
    <cellStyle name="40 % - Markeringsfarve3 2 8 2 3 2 2" xfId="30874" xr:uid="{00000000-0005-0000-0000-00009E630000}"/>
    <cellStyle name="40 % - Markeringsfarve3 2 8 2 3 2 3" xfId="45838" xr:uid="{00000000-0005-0000-0000-00009F630000}"/>
    <cellStyle name="40 % - Markeringsfarve3 2 8 2 3 3" xfId="23852" xr:uid="{00000000-0005-0000-0000-0000A0630000}"/>
    <cellStyle name="40 % - Markeringsfarve3 2 8 2 3 4" xfId="38839" xr:uid="{00000000-0005-0000-0000-0000A1630000}"/>
    <cellStyle name="40 % - Markeringsfarve3 2 8 2 4" xfId="12243" xr:uid="{00000000-0005-0000-0000-0000A2630000}"/>
    <cellStyle name="40 % - Markeringsfarve3 2 8 2 4 2" xfId="28562" xr:uid="{00000000-0005-0000-0000-0000A3630000}"/>
    <cellStyle name="40 % - Markeringsfarve3 2 8 2 4 3" xfId="43527" xr:uid="{00000000-0005-0000-0000-0000A4630000}"/>
    <cellStyle name="40 % - Markeringsfarve3 2 8 2 5" xfId="21540" xr:uid="{00000000-0005-0000-0000-0000A5630000}"/>
    <cellStyle name="40 % - Markeringsfarve3 2 8 2 6" xfId="36528" xr:uid="{00000000-0005-0000-0000-0000A6630000}"/>
    <cellStyle name="40 % - Markeringsfarve3 2 8 3" xfId="3688" xr:uid="{00000000-0005-0000-0000-0000A7630000}"/>
    <cellStyle name="40 % - Markeringsfarve3 2 8 3 2" xfId="7430" xr:uid="{00000000-0005-0000-0000-0000A8630000}"/>
    <cellStyle name="40 % - Markeringsfarve3 2 8 3 2 2" xfId="15340" xr:uid="{00000000-0005-0000-0000-0000A9630000}"/>
    <cellStyle name="40 % - Markeringsfarve3 2 8 3 2 2 2" xfId="31654" xr:uid="{00000000-0005-0000-0000-0000AA630000}"/>
    <cellStyle name="40 % - Markeringsfarve3 2 8 3 2 2 3" xfId="46618" xr:uid="{00000000-0005-0000-0000-0000AB630000}"/>
    <cellStyle name="40 % - Markeringsfarve3 2 8 3 2 3" xfId="24632" xr:uid="{00000000-0005-0000-0000-0000AC630000}"/>
    <cellStyle name="40 % - Markeringsfarve3 2 8 3 2 4" xfId="39619" xr:uid="{00000000-0005-0000-0000-0000AD630000}"/>
    <cellStyle name="40 % - Markeringsfarve3 2 8 3 3" xfId="12245" xr:uid="{00000000-0005-0000-0000-0000AE630000}"/>
    <cellStyle name="40 % - Markeringsfarve3 2 8 3 3 2" xfId="28564" xr:uid="{00000000-0005-0000-0000-0000AF630000}"/>
    <cellStyle name="40 % - Markeringsfarve3 2 8 3 3 3" xfId="43529" xr:uid="{00000000-0005-0000-0000-0000B0630000}"/>
    <cellStyle name="40 % - Markeringsfarve3 2 8 3 4" xfId="21542" xr:uid="{00000000-0005-0000-0000-0000B1630000}"/>
    <cellStyle name="40 % - Markeringsfarve3 2 8 3 5" xfId="36530" xr:uid="{00000000-0005-0000-0000-0000B2630000}"/>
    <cellStyle name="40 % - Markeringsfarve3 2 8 4" xfId="3689" xr:uid="{00000000-0005-0000-0000-0000B3630000}"/>
    <cellStyle name="40 % - Markeringsfarve3 2 8 4 2" xfId="8494" xr:uid="{00000000-0005-0000-0000-0000B4630000}"/>
    <cellStyle name="40 % - Markeringsfarve3 2 8 4 2 2" xfId="16383" xr:uid="{00000000-0005-0000-0000-0000B5630000}"/>
    <cellStyle name="40 % - Markeringsfarve3 2 8 4 2 2 2" xfId="32697" xr:uid="{00000000-0005-0000-0000-0000B6630000}"/>
    <cellStyle name="40 % - Markeringsfarve3 2 8 4 2 2 3" xfId="47661" xr:uid="{00000000-0005-0000-0000-0000B7630000}"/>
    <cellStyle name="40 % - Markeringsfarve3 2 8 4 2 3" xfId="25675" xr:uid="{00000000-0005-0000-0000-0000B8630000}"/>
    <cellStyle name="40 % - Markeringsfarve3 2 8 4 2 4" xfId="40662" xr:uid="{00000000-0005-0000-0000-0000B9630000}"/>
    <cellStyle name="40 % - Markeringsfarve3 2 8 4 3" xfId="12246" xr:uid="{00000000-0005-0000-0000-0000BA630000}"/>
    <cellStyle name="40 % - Markeringsfarve3 2 8 4 3 2" xfId="28565" xr:uid="{00000000-0005-0000-0000-0000BB630000}"/>
    <cellStyle name="40 % - Markeringsfarve3 2 8 4 3 3" xfId="43530" xr:uid="{00000000-0005-0000-0000-0000BC630000}"/>
    <cellStyle name="40 % - Markeringsfarve3 2 8 4 4" xfId="21543" xr:uid="{00000000-0005-0000-0000-0000BD630000}"/>
    <cellStyle name="40 % - Markeringsfarve3 2 8 4 5" xfId="36531" xr:uid="{00000000-0005-0000-0000-0000BE630000}"/>
    <cellStyle name="40 % - Markeringsfarve3 2 8 5" xfId="5877" xr:uid="{00000000-0005-0000-0000-0000BF630000}"/>
    <cellStyle name="40 % - Markeringsfarve3 2 8 5 2" xfId="13795" xr:uid="{00000000-0005-0000-0000-0000C0630000}"/>
    <cellStyle name="40 % - Markeringsfarve3 2 8 5 2 2" xfId="30109" xr:uid="{00000000-0005-0000-0000-0000C1630000}"/>
    <cellStyle name="40 % - Markeringsfarve3 2 8 5 2 3" xfId="45073" xr:uid="{00000000-0005-0000-0000-0000C2630000}"/>
    <cellStyle name="40 % - Markeringsfarve3 2 8 5 3" xfId="23087" xr:uid="{00000000-0005-0000-0000-0000C3630000}"/>
    <cellStyle name="40 % - Markeringsfarve3 2 8 5 4" xfId="38074" xr:uid="{00000000-0005-0000-0000-0000C4630000}"/>
    <cellStyle name="40 % - Markeringsfarve3 2 8 6" xfId="12242" xr:uid="{00000000-0005-0000-0000-0000C5630000}"/>
    <cellStyle name="40 % - Markeringsfarve3 2 8 6 2" xfId="28561" xr:uid="{00000000-0005-0000-0000-0000C6630000}"/>
    <cellStyle name="40 % - Markeringsfarve3 2 8 6 3" xfId="43526" xr:uid="{00000000-0005-0000-0000-0000C7630000}"/>
    <cellStyle name="40 % - Markeringsfarve3 2 8 7" xfId="21539" xr:uid="{00000000-0005-0000-0000-0000C8630000}"/>
    <cellStyle name="40 % - Markeringsfarve3 2 8 8" xfId="36527" xr:uid="{00000000-0005-0000-0000-0000C9630000}"/>
    <cellStyle name="40 % - Markeringsfarve3 2 9" xfId="3690" xr:uid="{00000000-0005-0000-0000-0000CA630000}"/>
    <cellStyle name="40 % - Markeringsfarve3 2 9 2" xfId="3691" xr:uid="{00000000-0005-0000-0000-0000CB630000}"/>
    <cellStyle name="40 % - Markeringsfarve3 2 9 2 2" xfId="7520" xr:uid="{00000000-0005-0000-0000-0000CC630000}"/>
    <cellStyle name="40 % - Markeringsfarve3 2 9 2 2 2" xfId="15421" xr:uid="{00000000-0005-0000-0000-0000CD630000}"/>
    <cellStyle name="40 % - Markeringsfarve3 2 9 2 2 2 2" xfId="31735" xr:uid="{00000000-0005-0000-0000-0000CE630000}"/>
    <cellStyle name="40 % - Markeringsfarve3 2 9 2 2 2 3" xfId="46699" xr:uid="{00000000-0005-0000-0000-0000CF630000}"/>
    <cellStyle name="40 % - Markeringsfarve3 2 9 2 2 3" xfId="24713" xr:uid="{00000000-0005-0000-0000-0000D0630000}"/>
    <cellStyle name="40 % - Markeringsfarve3 2 9 2 2 4" xfId="39700" xr:uid="{00000000-0005-0000-0000-0000D1630000}"/>
    <cellStyle name="40 % - Markeringsfarve3 2 9 2 3" xfId="12248" xr:uid="{00000000-0005-0000-0000-0000D2630000}"/>
    <cellStyle name="40 % - Markeringsfarve3 2 9 2 3 2" xfId="28567" xr:uid="{00000000-0005-0000-0000-0000D3630000}"/>
    <cellStyle name="40 % - Markeringsfarve3 2 9 2 3 3" xfId="43532" xr:uid="{00000000-0005-0000-0000-0000D4630000}"/>
    <cellStyle name="40 % - Markeringsfarve3 2 9 2 4" xfId="21545" xr:uid="{00000000-0005-0000-0000-0000D5630000}"/>
    <cellStyle name="40 % - Markeringsfarve3 2 9 2 5" xfId="36533" xr:uid="{00000000-0005-0000-0000-0000D6630000}"/>
    <cellStyle name="40 % - Markeringsfarve3 2 9 3" xfId="6118" xr:uid="{00000000-0005-0000-0000-0000D7630000}"/>
    <cellStyle name="40 % - Markeringsfarve3 2 9 3 2" xfId="14035" xr:uid="{00000000-0005-0000-0000-0000D8630000}"/>
    <cellStyle name="40 % - Markeringsfarve3 2 9 3 2 2" xfId="30349" xr:uid="{00000000-0005-0000-0000-0000D9630000}"/>
    <cellStyle name="40 % - Markeringsfarve3 2 9 3 2 3" xfId="45313" xr:uid="{00000000-0005-0000-0000-0000DA630000}"/>
    <cellStyle name="40 % - Markeringsfarve3 2 9 3 3" xfId="23327" xr:uid="{00000000-0005-0000-0000-0000DB630000}"/>
    <cellStyle name="40 % - Markeringsfarve3 2 9 3 4" xfId="38314" xr:uid="{00000000-0005-0000-0000-0000DC630000}"/>
    <cellStyle name="40 % - Markeringsfarve3 2 9 4" xfId="12247" xr:uid="{00000000-0005-0000-0000-0000DD630000}"/>
    <cellStyle name="40 % - Markeringsfarve3 2 9 4 2" xfId="28566" xr:uid="{00000000-0005-0000-0000-0000DE630000}"/>
    <cellStyle name="40 % - Markeringsfarve3 2 9 4 3" xfId="43531" xr:uid="{00000000-0005-0000-0000-0000DF630000}"/>
    <cellStyle name="40 % - Markeringsfarve3 2 9 5" xfId="21544" xr:uid="{00000000-0005-0000-0000-0000E0630000}"/>
    <cellStyle name="40 % - Markeringsfarve3 2 9 6" xfId="36532" xr:uid="{00000000-0005-0000-0000-0000E1630000}"/>
    <cellStyle name="40 % - Markeringsfarve3 3" xfId="3692" xr:uid="{00000000-0005-0000-0000-0000E2630000}"/>
    <cellStyle name="40 % - Markeringsfarve3 3 10" xfId="3693" xr:uid="{00000000-0005-0000-0000-0000E3630000}"/>
    <cellStyle name="40 % - Markeringsfarve3 3 10 2" xfId="6733" xr:uid="{00000000-0005-0000-0000-0000E4630000}"/>
    <cellStyle name="40 % - Markeringsfarve3 3 10 2 2" xfId="14645" xr:uid="{00000000-0005-0000-0000-0000E5630000}"/>
    <cellStyle name="40 % - Markeringsfarve3 3 10 2 2 2" xfId="30959" xr:uid="{00000000-0005-0000-0000-0000E6630000}"/>
    <cellStyle name="40 % - Markeringsfarve3 3 10 2 2 3" xfId="45923" xr:uid="{00000000-0005-0000-0000-0000E7630000}"/>
    <cellStyle name="40 % - Markeringsfarve3 3 10 2 3" xfId="23937" xr:uid="{00000000-0005-0000-0000-0000E8630000}"/>
    <cellStyle name="40 % - Markeringsfarve3 3 10 2 4" xfId="38924" xr:uid="{00000000-0005-0000-0000-0000E9630000}"/>
    <cellStyle name="40 % - Markeringsfarve3 3 10 3" xfId="12250" xr:uid="{00000000-0005-0000-0000-0000EA630000}"/>
    <cellStyle name="40 % - Markeringsfarve3 3 10 3 2" xfId="28569" xr:uid="{00000000-0005-0000-0000-0000EB630000}"/>
    <cellStyle name="40 % - Markeringsfarve3 3 10 3 3" xfId="43534" xr:uid="{00000000-0005-0000-0000-0000EC630000}"/>
    <cellStyle name="40 % - Markeringsfarve3 3 10 4" xfId="21547" xr:uid="{00000000-0005-0000-0000-0000ED630000}"/>
    <cellStyle name="40 % - Markeringsfarve3 3 10 5" xfId="36535" xr:uid="{00000000-0005-0000-0000-0000EE630000}"/>
    <cellStyle name="40 % - Markeringsfarve3 3 11" xfId="3694" xr:uid="{00000000-0005-0000-0000-0000EF630000}"/>
    <cellStyle name="40 % - Markeringsfarve3 3 11 2" xfId="8742" xr:uid="{00000000-0005-0000-0000-0000F0630000}"/>
    <cellStyle name="40 % - Markeringsfarve3 3 11 2 2" xfId="16621" xr:uid="{00000000-0005-0000-0000-0000F1630000}"/>
    <cellStyle name="40 % - Markeringsfarve3 3 11 2 2 2" xfId="32935" xr:uid="{00000000-0005-0000-0000-0000F2630000}"/>
    <cellStyle name="40 % - Markeringsfarve3 3 11 2 2 3" xfId="47899" xr:uid="{00000000-0005-0000-0000-0000F3630000}"/>
    <cellStyle name="40 % - Markeringsfarve3 3 11 2 3" xfId="25913" xr:uid="{00000000-0005-0000-0000-0000F4630000}"/>
    <cellStyle name="40 % - Markeringsfarve3 3 11 2 4" xfId="40900" xr:uid="{00000000-0005-0000-0000-0000F5630000}"/>
    <cellStyle name="40 % - Markeringsfarve3 3 11 3" xfId="12251" xr:uid="{00000000-0005-0000-0000-0000F6630000}"/>
    <cellStyle name="40 % - Markeringsfarve3 3 11 3 2" xfId="28570" xr:uid="{00000000-0005-0000-0000-0000F7630000}"/>
    <cellStyle name="40 % - Markeringsfarve3 3 11 3 3" xfId="43535" xr:uid="{00000000-0005-0000-0000-0000F8630000}"/>
    <cellStyle name="40 % - Markeringsfarve3 3 11 4" xfId="21548" xr:uid="{00000000-0005-0000-0000-0000F9630000}"/>
    <cellStyle name="40 % - Markeringsfarve3 3 11 5" xfId="36536" xr:uid="{00000000-0005-0000-0000-0000FA630000}"/>
    <cellStyle name="40 % - Markeringsfarve3 3 12" xfId="5878" xr:uid="{00000000-0005-0000-0000-0000FB630000}"/>
    <cellStyle name="40 % - Markeringsfarve3 3 12 2" xfId="13796" xr:uid="{00000000-0005-0000-0000-0000FC630000}"/>
    <cellStyle name="40 % - Markeringsfarve3 3 12 2 2" xfId="30110" xr:uid="{00000000-0005-0000-0000-0000FD630000}"/>
    <cellStyle name="40 % - Markeringsfarve3 3 12 2 3" xfId="45074" xr:uid="{00000000-0005-0000-0000-0000FE630000}"/>
    <cellStyle name="40 % - Markeringsfarve3 3 12 3" xfId="23088" xr:uid="{00000000-0005-0000-0000-0000FF630000}"/>
    <cellStyle name="40 % - Markeringsfarve3 3 12 4" xfId="38075" xr:uid="{00000000-0005-0000-0000-000000640000}"/>
    <cellStyle name="40 % - Markeringsfarve3 3 13" xfId="12249" xr:uid="{00000000-0005-0000-0000-000001640000}"/>
    <cellStyle name="40 % - Markeringsfarve3 3 13 2" xfId="28568" xr:uid="{00000000-0005-0000-0000-000002640000}"/>
    <cellStyle name="40 % - Markeringsfarve3 3 13 3" xfId="43533" xr:uid="{00000000-0005-0000-0000-000003640000}"/>
    <cellStyle name="40 % - Markeringsfarve3 3 14" xfId="21546" xr:uid="{00000000-0005-0000-0000-000004640000}"/>
    <cellStyle name="40 % - Markeringsfarve3 3 15" xfId="36534" xr:uid="{00000000-0005-0000-0000-000005640000}"/>
    <cellStyle name="40 % - Markeringsfarve3 3 16" xfId="53381" xr:uid="{00000000-0005-0000-0000-000006640000}"/>
    <cellStyle name="40 % - Markeringsfarve3 3 2" xfId="3695" xr:uid="{00000000-0005-0000-0000-000007640000}"/>
    <cellStyle name="40 % - Markeringsfarve3 3 2 10" xfId="5879" xr:uid="{00000000-0005-0000-0000-000008640000}"/>
    <cellStyle name="40 % - Markeringsfarve3 3 2 10 2" xfId="13797" xr:uid="{00000000-0005-0000-0000-000009640000}"/>
    <cellStyle name="40 % - Markeringsfarve3 3 2 10 2 2" xfId="30111" xr:uid="{00000000-0005-0000-0000-00000A640000}"/>
    <cellStyle name="40 % - Markeringsfarve3 3 2 10 2 3" xfId="45075" xr:uid="{00000000-0005-0000-0000-00000B640000}"/>
    <cellStyle name="40 % - Markeringsfarve3 3 2 10 3" xfId="23089" xr:uid="{00000000-0005-0000-0000-00000C640000}"/>
    <cellStyle name="40 % - Markeringsfarve3 3 2 10 4" xfId="38076" xr:uid="{00000000-0005-0000-0000-00000D640000}"/>
    <cellStyle name="40 % - Markeringsfarve3 3 2 11" xfId="12252" xr:uid="{00000000-0005-0000-0000-00000E640000}"/>
    <cellStyle name="40 % - Markeringsfarve3 3 2 11 2" xfId="28571" xr:uid="{00000000-0005-0000-0000-00000F640000}"/>
    <cellStyle name="40 % - Markeringsfarve3 3 2 11 3" xfId="43536" xr:uid="{00000000-0005-0000-0000-000010640000}"/>
    <cellStyle name="40 % - Markeringsfarve3 3 2 12" xfId="21549" xr:uid="{00000000-0005-0000-0000-000011640000}"/>
    <cellStyle name="40 % - Markeringsfarve3 3 2 13" xfId="36537" xr:uid="{00000000-0005-0000-0000-000012640000}"/>
    <cellStyle name="40 % - Markeringsfarve3 3 2 14" xfId="54018" xr:uid="{00000000-0005-0000-0000-000013640000}"/>
    <cellStyle name="40 % - Markeringsfarve3 3 2 2" xfId="3696" xr:uid="{00000000-0005-0000-0000-000014640000}"/>
    <cellStyle name="40 % - Markeringsfarve3 3 2 2 2" xfId="3697" xr:uid="{00000000-0005-0000-0000-000015640000}"/>
    <cellStyle name="40 % - Markeringsfarve3 3 2 2 2 2" xfId="3698" xr:uid="{00000000-0005-0000-0000-000016640000}"/>
    <cellStyle name="40 % - Markeringsfarve3 3 2 2 2 2 2" xfId="7666" xr:uid="{00000000-0005-0000-0000-000017640000}"/>
    <cellStyle name="40 % - Markeringsfarve3 3 2 2 2 2 2 2" xfId="15567" xr:uid="{00000000-0005-0000-0000-000018640000}"/>
    <cellStyle name="40 % - Markeringsfarve3 3 2 2 2 2 2 2 2" xfId="31881" xr:uid="{00000000-0005-0000-0000-000019640000}"/>
    <cellStyle name="40 % - Markeringsfarve3 3 2 2 2 2 2 2 3" xfId="46845" xr:uid="{00000000-0005-0000-0000-00001A640000}"/>
    <cellStyle name="40 % - Markeringsfarve3 3 2 2 2 2 2 3" xfId="24859" xr:uid="{00000000-0005-0000-0000-00001B640000}"/>
    <cellStyle name="40 % - Markeringsfarve3 3 2 2 2 2 2 4" xfId="39846" xr:uid="{00000000-0005-0000-0000-00001C640000}"/>
    <cellStyle name="40 % - Markeringsfarve3 3 2 2 2 2 3" xfId="12255" xr:uid="{00000000-0005-0000-0000-00001D640000}"/>
    <cellStyle name="40 % - Markeringsfarve3 3 2 2 2 2 3 2" xfId="28574" xr:uid="{00000000-0005-0000-0000-00001E640000}"/>
    <cellStyle name="40 % - Markeringsfarve3 3 2 2 2 2 3 3" xfId="43539" xr:uid="{00000000-0005-0000-0000-00001F640000}"/>
    <cellStyle name="40 % - Markeringsfarve3 3 2 2 2 2 4" xfId="21552" xr:uid="{00000000-0005-0000-0000-000020640000}"/>
    <cellStyle name="40 % - Markeringsfarve3 3 2 2 2 2 5" xfId="36540" xr:uid="{00000000-0005-0000-0000-000021640000}"/>
    <cellStyle name="40 % - Markeringsfarve3 3 2 2 2 3" xfId="6240" xr:uid="{00000000-0005-0000-0000-000022640000}"/>
    <cellStyle name="40 % - Markeringsfarve3 3 2 2 2 3 2" xfId="14157" xr:uid="{00000000-0005-0000-0000-000023640000}"/>
    <cellStyle name="40 % - Markeringsfarve3 3 2 2 2 3 2 2" xfId="30471" xr:uid="{00000000-0005-0000-0000-000024640000}"/>
    <cellStyle name="40 % - Markeringsfarve3 3 2 2 2 3 2 3" xfId="45435" xr:uid="{00000000-0005-0000-0000-000025640000}"/>
    <cellStyle name="40 % - Markeringsfarve3 3 2 2 2 3 3" xfId="23449" xr:uid="{00000000-0005-0000-0000-000026640000}"/>
    <cellStyle name="40 % - Markeringsfarve3 3 2 2 2 3 4" xfId="38436" xr:uid="{00000000-0005-0000-0000-000027640000}"/>
    <cellStyle name="40 % - Markeringsfarve3 3 2 2 2 4" xfId="12254" xr:uid="{00000000-0005-0000-0000-000028640000}"/>
    <cellStyle name="40 % - Markeringsfarve3 3 2 2 2 4 2" xfId="28573" xr:uid="{00000000-0005-0000-0000-000029640000}"/>
    <cellStyle name="40 % - Markeringsfarve3 3 2 2 2 4 3" xfId="43538" xr:uid="{00000000-0005-0000-0000-00002A640000}"/>
    <cellStyle name="40 % - Markeringsfarve3 3 2 2 2 5" xfId="21551" xr:uid="{00000000-0005-0000-0000-00002B640000}"/>
    <cellStyle name="40 % - Markeringsfarve3 3 2 2 2 6" xfId="36539" xr:uid="{00000000-0005-0000-0000-00002C640000}"/>
    <cellStyle name="40 % - Markeringsfarve3 3 2 2 3" xfId="3699" xr:uid="{00000000-0005-0000-0000-00002D640000}"/>
    <cellStyle name="40 % - Markeringsfarve3 3 2 2 3 2" xfId="6896" xr:uid="{00000000-0005-0000-0000-00002E640000}"/>
    <cellStyle name="40 % - Markeringsfarve3 3 2 2 3 2 2" xfId="14807" xr:uid="{00000000-0005-0000-0000-00002F640000}"/>
    <cellStyle name="40 % - Markeringsfarve3 3 2 2 3 2 2 2" xfId="31121" xr:uid="{00000000-0005-0000-0000-000030640000}"/>
    <cellStyle name="40 % - Markeringsfarve3 3 2 2 3 2 2 3" xfId="46085" xr:uid="{00000000-0005-0000-0000-000031640000}"/>
    <cellStyle name="40 % - Markeringsfarve3 3 2 2 3 2 3" xfId="24099" xr:uid="{00000000-0005-0000-0000-000032640000}"/>
    <cellStyle name="40 % - Markeringsfarve3 3 2 2 3 2 4" xfId="39086" xr:uid="{00000000-0005-0000-0000-000033640000}"/>
    <cellStyle name="40 % - Markeringsfarve3 3 2 2 3 3" xfId="12256" xr:uid="{00000000-0005-0000-0000-000034640000}"/>
    <cellStyle name="40 % - Markeringsfarve3 3 2 2 3 3 2" xfId="28575" xr:uid="{00000000-0005-0000-0000-000035640000}"/>
    <cellStyle name="40 % - Markeringsfarve3 3 2 2 3 3 3" xfId="43540" xr:uid="{00000000-0005-0000-0000-000036640000}"/>
    <cellStyle name="40 % - Markeringsfarve3 3 2 2 3 4" xfId="21553" xr:uid="{00000000-0005-0000-0000-000037640000}"/>
    <cellStyle name="40 % - Markeringsfarve3 3 2 2 3 5" xfId="36541" xr:uid="{00000000-0005-0000-0000-000038640000}"/>
    <cellStyle name="40 % - Markeringsfarve3 3 2 2 4" xfId="3700" xr:uid="{00000000-0005-0000-0000-000039640000}"/>
    <cellStyle name="40 % - Markeringsfarve3 3 2 2 4 2" xfId="8700" xr:uid="{00000000-0005-0000-0000-00003A640000}"/>
    <cellStyle name="40 % - Markeringsfarve3 3 2 2 4 2 2" xfId="16581" xr:uid="{00000000-0005-0000-0000-00003B640000}"/>
    <cellStyle name="40 % - Markeringsfarve3 3 2 2 4 2 2 2" xfId="32895" xr:uid="{00000000-0005-0000-0000-00003C640000}"/>
    <cellStyle name="40 % - Markeringsfarve3 3 2 2 4 2 2 3" xfId="47859" xr:uid="{00000000-0005-0000-0000-00003D640000}"/>
    <cellStyle name="40 % - Markeringsfarve3 3 2 2 4 2 3" xfId="25873" xr:uid="{00000000-0005-0000-0000-00003E640000}"/>
    <cellStyle name="40 % - Markeringsfarve3 3 2 2 4 2 4" xfId="40860" xr:uid="{00000000-0005-0000-0000-00003F640000}"/>
    <cellStyle name="40 % - Markeringsfarve3 3 2 2 4 3" xfId="12257" xr:uid="{00000000-0005-0000-0000-000040640000}"/>
    <cellStyle name="40 % - Markeringsfarve3 3 2 2 4 3 2" xfId="28576" xr:uid="{00000000-0005-0000-0000-000041640000}"/>
    <cellStyle name="40 % - Markeringsfarve3 3 2 2 4 3 3" xfId="43541" xr:uid="{00000000-0005-0000-0000-000042640000}"/>
    <cellStyle name="40 % - Markeringsfarve3 3 2 2 4 4" xfId="21554" xr:uid="{00000000-0005-0000-0000-000043640000}"/>
    <cellStyle name="40 % - Markeringsfarve3 3 2 2 4 5" xfId="36542" xr:uid="{00000000-0005-0000-0000-000044640000}"/>
    <cellStyle name="40 % - Markeringsfarve3 3 2 2 5" xfId="5880" xr:uid="{00000000-0005-0000-0000-000045640000}"/>
    <cellStyle name="40 % - Markeringsfarve3 3 2 2 5 2" xfId="13798" xr:uid="{00000000-0005-0000-0000-000046640000}"/>
    <cellStyle name="40 % - Markeringsfarve3 3 2 2 5 2 2" xfId="30112" xr:uid="{00000000-0005-0000-0000-000047640000}"/>
    <cellStyle name="40 % - Markeringsfarve3 3 2 2 5 2 3" xfId="45076" xr:uid="{00000000-0005-0000-0000-000048640000}"/>
    <cellStyle name="40 % - Markeringsfarve3 3 2 2 5 3" xfId="23090" xr:uid="{00000000-0005-0000-0000-000049640000}"/>
    <cellStyle name="40 % - Markeringsfarve3 3 2 2 5 4" xfId="38077" xr:uid="{00000000-0005-0000-0000-00004A640000}"/>
    <cellStyle name="40 % - Markeringsfarve3 3 2 2 6" xfId="12253" xr:uid="{00000000-0005-0000-0000-00004B640000}"/>
    <cellStyle name="40 % - Markeringsfarve3 3 2 2 6 2" xfId="28572" xr:uid="{00000000-0005-0000-0000-00004C640000}"/>
    <cellStyle name="40 % - Markeringsfarve3 3 2 2 6 3" xfId="43537" xr:uid="{00000000-0005-0000-0000-00004D640000}"/>
    <cellStyle name="40 % - Markeringsfarve3 3 2 2 7" xfId="21550" xr:uid="{00000000-0005-0000-0000-00004E640000}"/>
    <cellStyle name="40 % - Markeringsfarve3 3 2 2 8" xfId="36538" xr:uid="{00000000-0005-0000-0000-00004F640000}"/>
    <cellStyle name="40 % - Markeringsfarve3 3 2 2 9" xfId="57185" xr:uid="{00000000-0005-0000-0000-000050640000}"/>
    <cellStyle name="40 % - Markeringsfarve3 3 2 3" xfId="3701" xr:uid="{00000000-0005-0000-0000-000051640000}"/>
    <cellStyle name="40 % - Markeringsfarve3 3 2 3 2" xfId="3702" xr:uid="{00000000-0005-0000-0000-000052640000}"/>
    <cellStyle name="40 % - Markeringsfarve3 3 2 3 2 2" xfId="3703" xr:uid="{00000000-0005-0000-0000-000053640000}"/>
    <cellStyle name="40 % - Markeringsfarve3 3 2 3 2 2 2" xfId="7802" xr:uid="{00000000-0005-0000-0000-000054640000}"/>
    <cellStyle name="40 % - Markeringsfarve3 3 2 3 2 2 2 2" xfId="15703" xr:uid="{00000000-0005-0000-0000-000055640000}"/>
    <cellStyle name="40 % - Markeringsfarve3 3 2 3 2 2 2 2 2" xfId="32017" xr:uid="{00000000-0005-0000-0000-000056640000}"/>
    <cellStyle name="40 % - Markeringsfarve3 3 2 3 2 2 2 2 3" xfId="46981" xr:uid="{00000000-0005-0000-0000-000057640000}"/>
    <cellStyle name="40 % - Markeringsfarve3 3 2 3 2 2 2 3" xfId="24995" xr:uid="{00000000-0005-0000-0000-000058640000}"/>
    <cellStyle name="40 % - Markeringsfarve3 3 2 3 2 2 2 4" xfId="39982" xr:uid="{00000000-0005-0000-0000-000059640000}"/>
    <cellStyle name="40 % - Markeringsfarve3 3 2 3 2 2 3" xfId="12260" xr:uid="{00000000-0005-0000-0000-00005A640000}"/>
    <cellStyle name="40 % - Markeringsfarve3 3 2 3 2 2 3 2" xfId="28579" xr:uid="{00000000-0005-0000-0000-00005B640000}"/>
    <cellStyle name="40 % - Markeringsfarve3 3 2 3 2 2 3 3" xfId="43544" xr:uid="{00000000-0005-0000-0000-00005C640000}"/>
    <cellStyle name="40 % - Markeringsfarve3 3 2 3 2 2 4" xfId="21557" xr:uid="{00000000-0005-0000-0000-00005D640000}"/>
    <cellStyle name="40 % - Markeringsfarve3 3 2 3 2 2 5" xfId="36545" xr:uid="{00000000-0005-0000-0000-00005E640000}"/>
    <cellStyle name="40 % - Markeringsfarve3 3 2 3 2 3" xfId="6348" xr:uid="{00000000-0005-0000-0000-00005F640000}"/>
    <cellStyle name="40 % - Markeringsfarve3 3 2 3 2 3 2" xfId="14265" xr:uid="{00000000-0005-0000-0000-000060640000}"/>
    <cellStyle name="40 % - Markeringsfarve3 3 2 3 2 3 2 2" xfId="30579" xr:uid="{00000000-0005-0000-0000-000061640000}"/>
    <cellStyle name="40 % - Markeringsfarve3 3 2 3 2 3 2 3" xfId="45543" xr:uid="{00000000-0005-0000-0000-000062640000}"/>
    <cellStyle name="40 % - Markeringsfarve3 3 2 3 2 3 3" xfId="23557" xr:uid="{00000000-0005-0000-0000-000063640000}"/>
    <cellStyle name="40 % - Markeringsfarve3 3 2 3 2 3 4" xfId="38544" xr:uid="{00000000-0005-0000-0000-000064640000}"/>
    <cellStyle name="40 % - Markeringsfarve3 3 2 3 2 4" xfId="12259" xr:uid="{00000000-0005-0000-0000-000065640000}"/>
    <cellStyle name="40 % - Markeringsfarve3 3 2 3 2 4 2" xfId="28578" xr:uid="{00000000-0005-0000-0000-000066640000}"/>
    <cellStyle name="40 % - Markeringsfarve3 3 2 3 2 4 3" xfId="43543" xr:uid="{00000000-0005-0000-0000-000067640000}"/>
    <cellStyle name="40 % - Markeringsfarve3 3 2 3 2 5" xfId="21556" xr:uid="{00000000-0005-0000-0000-000068640000}"/>
    <cellStyle name="40 % - Markeringsfarve3 3 2 3 2 6" xfId="36544" xr:uid="{00000000-0005-0000-0000-000069640000}"/>
    <cellStyle name="40 % - Markeringsfarve3 3 2 3 3" xfId="3704" xr:uid="{00000000-0005-0000-0000-00006A640000}"/>
    <cellStyle name="40 % - Markeringsfarve3 3 2 3 3 2" xfId="7032" xr:uid="{00000000-0005-0000-0000-00006B640000}"/>
    <cellStyle name="40 % - Markeringsfarve3 3 2 3 3 2 2" xfId="14943" xr:uid="{00000000-0005-0000-0000-00006C640000}"/>
    <cellStyle name="40 % - Markeringsfarve3 3 2 3 3 2 2 2" xfId="31257" xr:uid="{00000000-0005-0000-0000-00006D640000}"/>
    <cellStyle name="40 % - Markeringsfarve3 3 2 3 3 2 2 3" xfId="46221" xr:uid="{00000000-0005-0000-0000-00006E640000}"/>
    <cellStyle name="40 % - Markeringsfarve3 3 2 3 3 2 3" xfId="24235" xr:uid="{00000000-0005-0000-0000-00006F640000}"/>
    <cellStyle name="40 % - Markeringsfarve3 3 2 3 3 2 4" xfId="39222" xr:uid="{00000000-0005-0000-0000-000070640000}"/>
    <cellStyle name="40 % - Markeringsfarve3 3 2 3 3 3" xfId="12261" xr:uid="{00000000-0005-0000-0000-000071640000}"/>
    <cellStyle name="40 % - Markeringsfarve3 3 2 3 3 3 2" xfId="28580" xr:uid="{00000000-0005-0000-0000-000072640000}"/>
    <cellStyle name="40 % - Markeringsfarve3 3 2 3 3 3 3" xfId="43545" xr:uid="{00000000-0005-0000-0000-000073640000}"/>
    <cellStyle name="40 % - Markeringsfarve3 3 2 3 3 4" xfId="21558" xr:uid="{00000000-0005-0000-0000-000074640000}"/>
    <cellStyle name="40 % - Markeringsfarve3 3 2 3 3 5" xfId="36546" xr:uid="{00000000-0005-0000-0000-000075640000}"/>
    <cellStyle name="40 % - Markeringsfarve3 3 2 3 4" xfId="3705" xr:uid="{00000000-0005-0000-0000-000076640000}"/>
    <cellStyle name="40 % - Markeringsfarve3 3 2 3 4 2" xfId="8425" xr:uid="{00000000-0005-0000-0000-000077640000}"/>
    <cellStyle name="40 % - Markeringsfarve3 3 2 3 4 2 2" xfId="16318" xr:uid="{00000000-0005-0000-0000-000078640000}"/>
    <cellStyle name="40 % - Markeringsfarve3 3 2 3 4 2 2 2" xfId="32632" xr:uid="{00000000-0005-0000-0000-000079640000}"/>
    <cellStyle name="40 % - Markeringsfarve3 3 2 3 4 2 2 3" xfId="47596" xr:uid="{00000000-0005-0000-0000-00007A640000}"/>
    <cellStyle name="40 % - Markeringsfarve3 3 2 3 4 2 3" xfId="25610" xr:uid="{00000000-0005-0000-0000-00007B640000}"/>
    <cellStyle name="40 % - Markeringsfarve3 3 2 3 4 2 4" xfId="40597" xr:uid="{00000000-0005-0000-0000-00007C640000}"/>
    <cellStyle name="40 % - Markeringsfarve3 3 2 3 4 3" xfId="12262" xr:uid="{00000000-0005-0000-0000-00007D640000}"/>
    <cellStyle name="40 % - Markeringsfarve3 3 2 3 4 3 2" xfId="28581" xr:uid="{00000000-0005-0000-0000-00007E640000}"/>
    <cellStyle name="40 % - Markeringsfarve3 3 2 3 4 3 3" xfId="43546" xr:uid="{00000000-0005-0000-0000-00007F640000}"/>
    <cellStyle name="40 % - Markeringsfarve3 3 2 3 4 4" xfId="21559" xr:uid="{00000000-0005-0000-0000-000080640000}"/>
    <cellStyle name="40 % - Markeringsfarve3 3 2 3 4 5" xfId="36547" xr:uid="{00000000-0005-0000-0000-000081640000}"/>
    <cellStyle name="40 % - Markeringsfarve3 3 2 3 5" xfId="5881" xr:uid="{00000000-0005-0000-0000-000082640000}"/>
    <cellStyle name="40 % - Markeringsfarve3 3 2 3 5 2" xfId="13799" xr:uid="{00000000-0005-0000-0000-000083640000}"/>
    <cellStyle name="40 % - Markeringsfarve3 3 2 3 5 2 2" xfId="30113" xr:uid="{00000000-0005-0000-0000-000084640000}"/>
    <cellStyle name="40 % - Markeringsfarve3 3 2 3 5 2 3" xfId="45077" xr:uid="{00000000-0005-0000-0000-000085640000}"/>
    <cellStyle name="40 % - Markeringsfarve3 3 2 3 5 3" xfId="23091" xr:uid="{00000000-0005-0000-0000-000086640000}"/>
    <cellStyle name="40 % - Markeringsfarve3 3 2 3 5 4" xfId="38078" xr:uid="{00000000-0005-0000-0000-000087640000}"/>
    <cellStyle name="40 % - Markeringsfarve3 3 2 3 6" xfId="12258" xr:uid="{00000000-0005-0000-0000-000088640000}"/>
    <cellStyle name="40 % - Markeringsfarve3 3 2 3 6 2" xfId="28577" xr:uid="{00000000-0005-0000-0000-000089640000}"/>
    <cellStyle name="40 % - Markeringsfarve3 3 2 3 6 3" xfId="43542" xr:uid="{00000000-0005-0000-0000-00008A640000}"/>
    <cellStyle name="40 % - Markeringsfarve3 3 2 3 7" xfId="21555" xr:uid="{00000000-0005-0000-0000-00008B640000}"/>
    <cellStyle name="40 % - Markeringsfarve3 3 2 3 8" xfId="36543" xr:uid="{00000000-0005-0000-0000-00008C640000}"/>
    <cellStyle name="40 % - Markeringsfarve3 3 2 4" xfId="3706" xr:uid="{00000000-0005-0000-0000-00008D640000}"/>
    <cellStyle name="40 % - Markeringsfarve3 3 2 4 2" xfId="3707" xr:uid="{00000000-0005-0000-0000-00008E640000}"/>
    <cellStyle name="40 % - Markeringsfarve3 3 2 4 2 2" xfId="3708" xr:uid="{00000000-0005-0000-0000-00008F640000}"/>
    <cellStyle name="40 % - Markeringsfarve3 3 2 4 2 2 2" xfId="7904" xr:uid="{00000000-0005-0000-0000-000090640000}"/>
    <cellStyle name="40 % - Markeringsfarve3 3 2 4 2 2 2 2" xfId="15805" xr:uid="{00000000-0005-0000-0000-000091640000}"/>
    <cellStyle name="40 % - Markeringsfarve3 3 2 4 2 2 2 2 2" xfId="32119" xr:uid="{00000000-0005-0000-0000-000092640000}"/>
    <cellStyle name="40 % - Markeringsfarve3 3 2 4 2 2 2 2 3" xfId="47083" xr:uid="{00000000-0005-0000-0000-000093640000}"/>
    <cellStyle name="40 % - Markeringsfarve3 3 2 4 2 2 2 3" xfId="25097" xr:uid="{00000000-0005-0000-0000-000094640000}"/>
    <cellStyle name="40 % - Markeringsfarve3 3 2 4 2 2 2 4" xfId="40084" xr:uid="{00000000-0005-0000-0000-000095640000}"/>
    <cellStyle name="40 % - Markeringsfarve3 3 2 4 2 2 3" xfId="12265" xr:uid="{00000000-0005-0000-0000-000096640000}"/>
    <cellStyle name="40 % - Markeringsfarve3 3 2 4 2 2 3 2" xfId="28584" xr:uid="{00000000-0005-0000-0000-000097640000}"/>
    <cellStyle name="40 % - Markeringsfarve3 3 2 4 2 2 3 3" xfId="43549" xr:uid="{00000000-0005-0000-0000-000098640000}"/>
    <cellStyle name="40 % - Markeringsfarve3 3 2 4 2 2 4" xfId="21562" xr:uid="{00000000-0005-0000-0000-000099640000}"/>
    <cellStyle name="40 % - Markeringsfarve3 3 2 4 2 2 5" xfId="36550" xr:uid="{00000000-0005-0000-0000-00009A640000}"/>
    <cellStyle name="40 % - Markeringsfarve3 3 2 4 2 3" xfId="6442" xr:uid="{00000000-0005-0000-0000-00009B640000}"/>
    <cellStyle name="40 % - Markeringsfarve3 3 2 4 2 3 2" xfId="14356" xr:uid="{00000000-0005-0000-0000-00009C640000}"/>
    <cellStyle name="40 % - Markeringsfarve3 3 2 4 2 3 2 2" xfId="30670" xr:uid="{00000000-0005-0000-0000-00009D640000}"/>
    <cellStyle name="40 % - Markeringsfarve3 3 2 4 2 3 2 3" xfId="45634" xr:uid="{00000000-0005-0000-0000-00009E640000}"/>
    <cellStyle name="40 % - Markeringsfarve3 3 2 4 2 3 3" xfId="23648" xr:uid="{00000000-0005-0000-0000-00009F640000}"/>
    <cellStyle name="40 % - Markeringsfarve3 3 2 4 2 3 4" xfId="38635" xr:uid="{00000000-0005-0000-0000-0000A0640000}"/>
    <cellStyle name="40 % - Markeringsfarve3 3 2 4 2 4" xfId="12264" xr:uid="{00000000-0005-0000-0000-0000A1640000}"/>
    <cellStyle name="40 % - Markeringsfarve3 3 2 4 2 4 2" xfId="28583" xr:uid="{00000000-0005-0000-0000-0000A2640000}"/>
    <cellStyle name="40 % - Markeringsfarve3 3 2 4 2 4 3" xfId="43548" xr:uid="{00000000-0005-0000-0000-0000A3640000}"/>
    <cellStyle name="40 % - Markeringsfarve3 3 2 4 2 5" xfId="21561" xr:uid="{00000000-0005-0000-0000-0000A4640000}"/>
    <cellStyle name="40 % - Markeringsfarve3 3 2 4 2 6" xfId="36549" xr:uid="{00000000-0005-0000-0000-0000A5640000}"/>
    <cellStyle name="40 % - Markeringsfarve3 3 2 4 3" xfId="3709" xr:uid="{00000000-0005-0000-0000-0000A6640000}"/>
    <cellStyle name="40 % - Markeringsfarve3 3 2 4 3 2" xfId="7180" xr:uid="{00000000-0005-0000-0000-0000A7640000}"/>
    <cellStyle name="40 % - Markeringsfarve3 3 2 4 3 2 2" xfId="15090" xr:uid="{00000000-0005-0000-0000-0000A8640000}"/>
    <cellStyle name="40 % - Markeringsfarve3 3 2 4 3 2 2 2" xfId="31404" xr:uid="{00000000-0005-0000-0000-0000A9640000}"/>
    <cellStyle name="40 % - Markeringsfarve3 3 2 4 3 2 2 3" xfId="46368" xr:uid="{00000000-0005-0000-0000-0000AA640000}"/>
    <cellStyle name="40 % - Markeringsfarve3 3 2 4 3 2 3" xfId="24382" xr:uid="{00000000-0005-0000-0000-0000AB640000}"/>
    <cellStyle name="40 % - Markeringsfarve3 3 2 4 3 2 4" xfId="39369" xr:uid="{00000000-0005-0000-0000-0000AC640000}"/>
    <cellStyle name="40 % - Markeringsfarve3 3 2 4 3 3" xfId="12266" xr:uid="{00000000-0005-0000-0000-0000AD640000}"/>
    <cellStyle name="40 % - Markeringsfarve3 3 2 4 3 3 2" xfId="28585" xr:uid="{00000000-0005-0000-0000-0000AE640000}"/>
    <cellStyle name="40 % - Markeringsfarve3 3 2 4 3 3 3" xfId="43550" xr:uid="{00000000-0005-0000-0000-0000AF640000}"/>
    <cellStyle name="40 % - Markeringsfarve3 3 2 4 3 4" xfId="21563" xr:uid="{00000000-0005-0000-0000-0000B0640000}"/>
    <cellStyle name="40 % - Markeringsfarve3 3 2 4 3 5" xfId="36551" xr:uid="{00000000-0005-0000-0000-0000B1640000}"/>
    <cellStyle name="40 % - Markeringsfarve3 3 2 4 4" xfId="3710" xr:uid="{00000000-0005-0000-0000-0000B2640000}"/>
    <cellStyle name="40 % - Markeringsfarve3 3 2 4 4 2" xfId="8640" xr:uid="{00000000-0005-0000-0000-0000B3640000}"/>
    <cellStyle name="40 % - Markeringsfarve3 3 2 4 4 2 2" xfId="16523" xr:uid="{00000000-0005-0000-0000-0000B4640000}"/>
    <cellStyle name="40 % - Markeringsfarve3 3 2 4 4 2 2 2" xfId="32837" xr:uid="{00000000-0005-0000-0000-0000B5640000}"/>
    <cellStyle name="40 % - Markeringsfarve3 3 2 4 4 2 2 3" xfId="47801" xr:uid="{00000000-0005-0000-0000-0000B6640000}"/>
    <cellStyle name="40 % - Markeringsfarve3 3 2 4 4 2 3" xfId="25815" xr:uid="{00000000-0005-0000-0000-0000B7640000}"/>
    <cellStyle name="40 % - Markeringsfarve3 3 2 4 4 2 4" xfId="40802" xr:uid="{00000000-0005-0000-0000-0000B8640000}"/>
    <cellStyle name="40 % - Markeringsfarve3 3 2 4 4 3" xfId="12267" xr:uid="{00000000-0005-0000-0000-0000B9640000}"/>
    <cellStyle name="40 % - Markeringsfarve3 3 2 4 4 3 2" xfId="28586" xr:uid="{00000000-0005-0000-0000-0000BA640000}"/>
    <cellStyle name="40 % - Markeringsfarve3 3 2 4 4 3 3" xfId="43551" xr:uid="{00000000-0005-0000-0000-0000BB640000}"/>
    <cellStyle name="40 % - Markeringsfarve3 3 2 4 4 4" xfId="21564" xr:uid="{00000000-0005-0000-0000-0000BC640000}"/>
    <cellStyle name="40 % - Markeringsfarve3 3 2 4 4 5" xfId="36552" xr:uid="{00000000-0005-0000-0000-0000BD640000}"/>
    <cellStyle name="40 % - Markeringsfarve3 3 2 4 5" xfId="5882" xr:uid="{00000000-0005-0000-0000-0000BE640000}"/>
    <cellStyle name="40 % - Markeringsfarve3 3 2 4 5 2" xfId="13800" xr:uid="{00000000-0005-0000-0000-0000BF640000}"/>
    <cellStyle name="40 % - Markeringsfarve3 3 2 4 5 2 2" xfId="30114" xr:uid="{00000000-0005-0000-0000-0000C0640000}"/>
    <cellStyle name="40 % - Markeringsfarve3 3 2 4 5 2 3" xfId="45078" xr:uid="{00000000-0005-0000-0000-0000C1640000}"/>
    <cellStyle name="40 % - Markeringsfarve3 3 2 4 5 3" xfId="23092" xr:uid="{00000000-0005-0000-0000-0000C2640000}"/>
    <cellStyle name="40 % - Markeringsfarve3 3 2 4 5 4" xfId="38079" xr:uid="{00000000-0005-0000-0000-0000C3640000}"/>
    <cellStyle name="40 % - Markeringsfarve3 3 2 4 6" xfId="12263" xr:uid="{00000000-0005-0000-0000-0000C4640000}"/>
    <cellStyle name="40 % - Markeringsfarve3 3 2 4 6 2" xfId="28582" xr:uid="{00000000-0005-0000-0000-0000C5640000}"/>
    <cellStyle name="40 % - Markeringsfarve3 3 2 4 6 3" xfId="43547" xr:uid="{00000000-0005-0000-0000-0000C6640000}"/>
    <cellStyle name="40 % - Markeringsfarve3 3 2 4 7" xfId="21560" xr:uid="{00000000-0005-0000-0000-0000C7640000}"/>
    <cellStyle name="40 % - Markeringsfarve3 3 2 4 8" xfId="36548" xr:uid="{00000000-0005-0000-0000-0000C8640000}"/>
    <cellStyle name="40 % - Markeringsfarve3 3 2 5" xfId="3711" xr:uid="{00000000-0005-0000-0000-0000C9640000}"/>
    <cellStyle name="40 % - Markeringsfarve3 3 2 5 2" xfId="3712" xr:uid="{00000000-0005-0000-0000-0000CA640000}"/>
    <cellStyle name="40 % - Markeringsfarve3 3 2 5 2 2" xfId="3713" xr:uid="{00000000-0005-0000-0000-0000CB640000}"/>
    <cellStyle name="40 % - Markeringsfarve3 3 2 5 2 2 2" xfId="8021" xr:uid="{00000000-0005-0000-0000-0000CC640000}"/>
    <cellStyle name="40 % - Markeringsfarve3 3 2 5 2 2 2 2" xfId="15922" xr:uid="{00000000-0005-0000-0000-0000CD640000}"/>
    <cellStyle name="40 % - Markeringsfarve3 3 2 5 2 2 2 2 2" xfId="32236" xr:uid="{00000000-0005-0000-0000-0000CE640000}"/>
    <cellStyle name="40 % - Markeringsfarve3 3 2 5 2 2 2 2 3" xfId="47200" xr:uid="{00000000-0005-0000-0000-0000CF640000}"/>
    <cellStyle name="40 % - Markeringsfarve3 3 2 5 2 2 2 3" xfId="25214" xr:uid="{00000000-0005-0000-0000-0000D0640000}"/>
    <cellStyle name="40 % - Markeringsfarve3 3 2 5 2 2 2 4" xfId="40201" xr:uid="{00000000-0005-0000-0000-0000D1640000}"/>
    <cellStyle name="40 % - Markeringsfarve3 3 2 5 2 2 3" xfId="12270" xr:uid="{00000000-0005-0000-0000-0000D2640000}"/>
    <cellStyle name="40 % - Markeringsfarve3 3 2 5 2 2 3 2" xfId="28589" xr:uid="{00000000-0005-0000-0000-0000D3640000}"/>
    <cellStyle name="40 % - Markeringsfarve3 3 2 5 2 2 3 3" xfId="43554" xr:uid="{00000000-0005-0000-0000-0000D4640000}"/>
    <cellStyle name="40 % - Markeringsfarve3 3 2 5 2 2 4" xfId="21567" xr:uid="{00000000-0005-0000-0000-0000D5640000}"/>
    <cellStyle name="40 % - Markeringsfarve3 3 2 5 2 2 5" xfId="36555" xr:uid="{00000000-0005-0000-0000-0000D6640000}"/>
    <cellStyle name="40 % - Markeringsfarve3 3 2 5 2 3" xfId="6541" xr:uid="{00000000-0005-0000-0000-0000D7640000}"/>
    <cellStyle name="40 % - Markeringsfarve3 3 2 5 2 3 2" xfId="14455" xr:uid="{00000000-0005-0000-0000-0000D8640000}"/>
    <cellStyle name="40 % - Markeringsfarve3 3 2 5 2 3 2 2" xfId="30769" xr:uid="{00000000-0005-0000-0000-0000D9640000}"/>
    <cellStyle name="40 % - Markeringsfarve3 3 2 5 2 3 2 3" xfId="45733" xr:uid="{00000000-0005-0000-0000-0000DA640000}"/>
    <cellStyle name="40 % - Markeringsfarve3 3 2 5 2 3 3" xfId="23747" xr:uid="{00000000-0005-0000-0000-0000DB640000}"/>
    <cellStyle name="40 % - Markeringsfarve3 3 2 5 2 3 4" xfId="38734" xr:uid="{00000000-0005-0000-0000-0000DC640000}"/>
    <cellStyle name="40 % - Markeringsfarve3 3 2 5 2 4" xfId="12269" xr:uid="{00000000-0005-0000-0000-0000DD640000}"/>
    <cellStyle name="40 % - Markeringsfarve3 3 2 5 2 4 2" xfId="28588" xr:uid="{00000000-0005-0000-0000-0000DE640000}"/>
    <cellStyle name="40 % - Markeringsfarve3 3 2 5 2 4 3" xfId="43553" xr:uid="{00000000-0005-0000-0000-0000DF640000}"/>
    <cellStyle name="40 % - Markeringsfarve3 3 2 5 2 5" xfId="21566" xr:uid="{00000000-0005-0000-0000-0000E0640000}"/>
    <cellStyle name="40 % - Markeringsfarve3 3 2 5 2 6" xfId="36554" xr:uid="{00000000-0005-0000-0000-0000E1640000}"/>
    <cellStyle name="40 % - Markeringsfarve3 3 2 5 3" xfId="3714" xr:uid="{00000000-0005-0000-0000-0000E2640000}"/>
    <cellStyle name="40 % - Markeringsfarve3 3 2 5 3 2" xfId="7297" xr:uid="{00000000-0005-0000-0000-0000E3640000}"/>
    <cellStyle name="40 % - Markeringsfarve3 3 2 5 3 2 2" xfId="15207" xr:uid="{00000000-0005-0000-0000-0000E4640000}"/>
    <cellStyle name="40 % - Markeringsfarve3 3 2 5 3 2 2 2" xfId="31521" xr:uid="{00000000-0005-0000-0000-0000E5640000}"/>
    <cellStyle name="40 % - Markeringsfarve3 3 2 5 3 2 2 3" xfId="46485" xr:uid="{00000000-0005-0000-0000-0000E6640000}"/>
    <cellStyle name="40 % - Markeringsfarve3 3 2 5 3 2 3" xfId="24499" xr:uid="{00000000-0005-0000-0000-0000E7640000}"/>
    <cellStyle name="40 % - Markeringsfarve3 3 2 5 3 2 4" xfId="39486" xr:uid="{00000000-0005-0000-0000-0000E8640000}"/>
    <cellStyle name="40 % - Markeringsfarve3 3 2 5 3 3" xfId="12271" xr:uid="{00000000-0005-0000-0000-0000E9640000}"/>
    <cellStyle name="40 % - Markeringsfarve3 3 2 5 3 3 2" xfId="28590" xr:uid="{00000000-0005-0000-0000-0000EA640000}"/>
    <cellStyle name="40 % - Markeringsfarve3 3 2 5 3 3 3" xfId="43555" xr:uid="{00000000-0005-0000-0000-0000EB640000}"/>
    <cellStyle name="40 % - Markeringsfarve3 3 2 5 3 4" xfId="21568" xr:uid="{00000000-0005-0000-0000-0000EC640000}"/>
    <cellStyle name="40 % - Markeringsfarve3 3 2 5 3 5" xfId="36556" xr:uid="{00000000-0005-0000-0000-0000ED640000}"/>
    <cellStyle name="40 % - Markeringsfarve3 3 2 5 4" xfId="3715" xr:uid="{00000000-0005-0000-0000-0000EE640000}"/>
    <cellStyle name="40 % - Markeringsfarve3 3 2 5 4 2" xfId="8289" xr:uid="{00000000-0005-0000-0000-0000EF640000}"/>
    <cellStyle name="40 % - Markeringsfarve3 3 2 5 4 2 2" xfId="16183" xr:uid="{00000000-0005-0000-0000-0000F0640000}"/>
    <cellStyle name="40 % - Markeringsfarve3 3 2 5 4 2 2 2" xfId="32497" xr:uid="{00000000-0005-0000-0000-0000F1640000}"/>
    <cellStyle name="40 % - Markeringsfarve3 3 2 5 4 2 2 3" xfId="47461" xr:uid="{00000000-0005-0000-0000-0000F2640000}"/>
    <cellStyle name="40 % - Markeringsfarve3 3 2 5 4 2 3" xfId="25475" xr:uid="{00000000-0005-0000-0000-0000F3640000}"/>
    <cellStyle name="40 % - Markeringsfarve3 3 2 5 4 2 4" xfId="40462" xr:uid="{00000000-0005-0000-0000-0000F4640000}"/>
    <cellStyle name="40 % - Markeringsfarve3 3 2 5 4 3" xfId="12272" xr:uid="{00000000-0005-0000-0000-0000F5640000}"/>
    <cellStyle name="40 % - Markeringsfarve3 3 2 5 4 3 2" xfId="28591" xr:uid="{00000000-0005-0000-0000-0000F6640000}"/>
    <cellStyle name="40 % - Markeringsfarve3 3 2 5 4 3 3" xfId="43556" xr:uid="{00000000-0005-0000-0000-0000F7640000}"/>
    <cellStyle name="40 % - Markeringsfarve3 3 2 5 4 4" xfId="21569" xr:uid="{00000000-0005-0000-0000-0000F8640000}"/>
    <cellStyle name="40 % - Markeringsfarve3 3 2 5 4 5" xfId="36557" xr:uid="{00000000-0005-0000-0000-0000F9640000}"/>
    <cellStyle name="40 % - Markeringsfarve3 3 2 5 5" xfId="5883" xr:uid="{00000000-0005-0000-0000-0000FA640000}"/>
    <cellStyle name="40 % - Markeringsfarve3 3 2 5 5 2" xfId="13801" xr:uid="{00000000-0005-0000-0000-0000FB640000}"/>
    <cellStyle name="40 % - Markeringsfarve3 3 2 5 5 2 2" xfId="30115" xr:uid="{00000000-0005-0000-0000-0000FC640000}"/>
    <cellStyle name="40 % - Markeringsfarve3 3 2 5 5 2 3" xfId="45079" xr:uid="{00000000-0005-0000-0000-0000FD640000}"/>
    <cellStyle name="40 % - Markeringsfarve3 3 2 5 5 3" xfId="23093" xr:uid="{00000000-0005-0000-0000-0000FE640000}"/>
    <cellStyle name="40 % - Markeringsfarve3 3 2 5 5 4" xfId="38080" xr:uid="{00000000-0005-0000-0000-0000FF640000}"/>
    <cellStyle name="40 % - Markeringsfarve3 3 2 5 6" xfId="12268" xr:uid="{00000000-0005-0000-0000-000000650000}"/>
    <cellStyle name="40 % - Markeringsfarve3 3 2 5 6 2" xfId="28587" xr:uid="{00000000-0005-0000-0000-000001650000}"/>
    <cellStyle name="40 % - Markeringsfarve3 3 2 5 6 3" xfId="43552" xr:uid="{00000000-0005-0000-0000-000002650000}"/>
    <cellStyle name="40 % - Markeringsfarve3 3 2 5 7" xfId="21565" xr:uid="{00000000-0005-0000-0000-000003650000}"/>
    <cellStyle name="40 % - Markeringsfarve3 3 2 5 8" xfId="36553" xr:uid="{00000000-0005-0000-0000-000004650000}"/>
    <cellStyle name="40 % - Markeringsfarve3 3 2 6" xfId="3716" xr:uid="{00000000-0005-0000-0000-000005650000}"/>
    <cellStyle name="40 % - Markeringsfarve3 3 2 6 2" xfId="3717" xr:uid="{00000000-0005-0000-0000-000006650000}"/>
    <cellStyle name="40 % - Markeringsfarve3 3 2 6 2 2" xfId="3718" xr:uid="{00000000-0005-0000-0000-000007650000}"/>
    <cellStyle name="40 % - Markeringsfarve3 3 2 6 2 2 2" xfId="8157" xr:uid="{00000000-0005-0000-0000-000008650000}"/>
    <cellStyle name="40 % - Markeringsfarve3 3 2 6 2 2 2 2" xfId="16058" xr:uid="{00000000-0005-0000-0000-000009650000}"/>
    <cellStyle name="40 % - Markeringsfarve3 3 2 6 2 2 2 2 2" xfId="32372" xr:uid="{00000000-0005-0000-0000-00000A650000}"/>
    <cellStyle name="40 % - Markeringsfarve3 3 2 6 2 2 2 2 3" xfId="47336" xr:uid="{00000000-0005-0000-0000-00000B650000}"/>
    <cellStyle name="40 % - Markeringsfarve3 3 2 6 2 2 2 3" xfId="25350" xr:uid="{00000000-0005-0000-0000-00000C650000}"/>
    <cellStyle name="40 % - Markeringsfarve3 3 2 6 2 2 2 4" xfId="40337" xr:uid="{00000000-0005-0000-0000-00000D650000}"/>
    <cellStyle name="40 % - Markeringsfarve3 3 2 6 2 2 3" xfId="12275" xr:uid="{00000000-0005-0000-0000-00000E650000}"/>
    <cellStyle name="40 % - Markeringsfarve3 3 2 6 2 2 3 2" xfId="28594" xr:uid="{00000000-0005-0000-0000-00000F650000}"/>
    <cellStyle name="40 % - Markeringsfarve3 3 2 6 2 2 3 3" xfId="43559" xr:uid="{00000000-0005-0000-0000-000010650000}"/>
    <cellStyle name="40 % - Markeringsfarve3 3 2 6 2 2 4" xfId="21572" xr:uid="{00000000-0005-0000-0000-000011650000}"/>
    <cellStyle name="40 % - Markeringsfarve3 3 2 6 2 2 5" xfId="36560" xr:uid="{00000000-0005-0000-0000-000012650000}"/>
    <cellStyle name="40 % - Markeringsfarve3 3 2 6 2 3" xfId="6650" xr:uid="{00000000-0005-0000-0000-000013650000}"/>
    <cellStyle name="40 % - Markeringsfarve3 3 2 6 2 3 2" xfId="14564" xr:uid="{00000000-0005-0000-0000-000014650000}"/>
    <cellStyle name="40 % - Markeringsfarve3 3 2 6 2 3 2 2" xfId="30878" xr:uid="{00000000-0005-0000-0000-000015650000}"/>
    <cellStyle name="40 % - Markeringsfarve3 3 2 6 2 3 2 3" xfId="45842" xr:uid="{00000000-0005-0000-0000-000016650000}"/>
    <cellStyle name="40 % - Markeringsfarve3 3 2 6 2 3 3" xfId="23856" xr:uid="{00000000-0005-0000-0000-000017650000}"/>
    <cellStyle name="40 % - Markeringsfarve3 3 2 6 2 3 4" xfId="38843" xr:uid="{00000000-0005-0000-0000-000018650000}"/>
    <cellStyle name="40 % - Markeringsfarve3 3 2 6 2 4" xfId="12274" xr:uid="{00000000-0005-0000-0000-000019650000}"/>
    <cellStyle name="40 % - Markeringsfarve3 3 2 6 2 4 2" xfId="28593" xr:uid="{00000000-0005-0000-0000-00001A650000}"/>
    <cellStyle name="40 % - Markeringsfarve3 3 2 6 2 4 3" xfId="43558" xr:uid="{00000000-0005-0000-0000-00001B650000}"/>
    <cellStyle name="40 % - Markeringsfarve3 3 2 6 2 5" xfId="21571" xr:uid="{00000000-0005-0000-0000-00001C650000}"/>
    <cellStyle name="40 % - Markeringsfarve3 3 2 6 2 6" xfId="36559" xr:uid="{00000000-0005-0000-0000-00001D650000}"/>
    <cellStyle name="40 % - Markeringsfarve3 3 2 6 3" xfId="3719" xr:uid="{00000000-0005-0000-0000-00001E650000}"/>
    <cellStyle name="40 % - Markeringsfarve3 3 2 6 3 2" xfId="7434" xr:uid="{00000000-0005-0000-0000-00001F650000}"/>
    <cellStyle name="40 % - Markeringsfarve3 3 2 6 3 2 2" xfId="15344" xr:uid="{00000000-0005-0000-0000-000020650000}"/>
    <cellStyle name="40 % - Markeringsfarve3 3 2 6 3 2 2 2" xfId="31658" xr:uid="{00000000-0005-0000-0000-000021650000}"/>
    <cellStyle name="40 % - Markeringsfarve3 3 2 6 3 2 2 3" xfId="46622" xr:uid="{00000000-0005-0000-0000-000022650000}"/>
    <cellStyle name="40 % - Markeringsfarve3 3 2 6 3 2 3" xfId="24636" xr:uid="{00000000-0005-0000-0000-000023650000}"/>
    <cellStyle name="40 % - Markeringsfarve3 3 2 6 3 2 4" xfId="39623" xr:uid="{00000000-0005-0000-0000-000024650000}"/>
    <cellStyle name="40 % - Markeringsfarve3 3 2 6 3 3" xfId="12276" xr:uid="{00000000-0005-0000-0000-000025650000}"/>
    <cellStyle name="40 % - Markeringsfarve3 3 2 6 3 3 2" xfId="28595" xr:uid="{00000000-0005-0000-0000-000026650000}"/>
    <cellStyle name="40 % - Markeringsfarve3 3 2 6 3 3 3" xfId="43560" xr:uid="{00000000-0005-0000-0000-000027650000}"/>
    <cellStyle name="40 % - Markeringsfarve3 3 2 6 3 4" xfId="21573" xr:uid="{00000000-0005-0000-0000-000028650000}"/>
    <cellStyle name="40 % - Markeringsfarve3 3 2 6 3 5" xfId="36561" xr:uid="{00000000-0005-0000-0000-000029650000}"/>
    <cellStyle name="40 % - Markeringsfarve3 3 2 6 4" xfId="3720" xr:uid="{00000000-0005-0000-0000-00002A650000}"/>
    <cellStyle name="40 % - Markeringsfarve3 3 2 6 4 2" xfId="8611" xr:uid="{00000000-0005-0000-0000-00002B650000}"/>
    <cellStyle name="40 % - Markeringsfarve3 3 2 6 4 2 2" xfId="16497" xr:uid="{00000000-0005-0000-0000-00002C650000}"/>
    <cellStyle name="40 % - Markeringsfarve3 3 2 6 4 2 2 2" xfId="32811" xr:uid="{00000000-0005-0000-0000-00002D650000}"/>
    <cellStyle name="40 % - Markeringsfarve3 3 2 6 4 2 2 3" xfId="47775" xr:uid="{00000000-0005-0000-0000-00002E650000}"/>
    <cellStyle name="40 % - Markeringsfarve3 3 2 6 4 2 3" xfId="25789" xr:uid="{00000000-0005-0000-0000-00002F650000}"/>
    <cellStyle name="40 % - Markeringsfarve3 3 2 6 4 2 4" xfId="40776" xr:uid="{00000000-0005-0000-0000-000030650000}"/>
    <cellStyle name="40 % - Markeringsfarve3 3 2 6 4 3" xfId="12277" xr:uid="{00000000-0005-0000-0000-000031650000}"/>
    <cellStyle name="40 % - Markeringsfarve3 3 2 6 4 3 2" xfId="28596" xr:uid="{00000000-0005-0000-0000-000032650000}"/>
    <cellStyle name="40 % - Markeringsfarve3 3 2 6 4 3 3" xfId="43561" xr:uid="{00000000-0005-0000-0000-000033650000}"/>
    <cellStyle name="40 % - Markeringsfarve3 3 2 6 4 4" xfId="21574" xr:uid="{00000000-0005-0000-0000-000034650000}"/>
    <cellStyle name="40 % - Markeringsfarve3 3 2 6 4 5" xfId="36562" xr:uid="{00000000-0005-0000-0000-000035650000}"/>
    <cellStyle name="40 % - Markeringsfarve3 3 2 6 5" xfId="5884" xr:uid="{00000000-0005-0000-0000-000036650000}"/>
    <cellStyle name="40 % - Markeringsfarve3 3 2 6 5 2" xfId="13802" xr:uid="{00000000-0005-0000-0000-000037650000}"/>
    <cellStyle name="40 % - Markeringsfarve3 3 2 6 5 2 2" xfId="30116" xr:uid="{00000000-0005-0000-0000-000038650000}"/>
    <cellStyle name="40 % - Markeringsfarve3 3 2 6 5 2 3" xfId="45080" xr:uid="{00000000-0005-0000-0000-000039650000}"/>
    <cellStyle name="40 % - Markeringsfarve3 3 2 6 5 3" xfId="23094" xr:uid="{00000000-0005-0000-0000-00003A650000}"/>
    <cellStyle name="40 % - Markeringsfarve3 3 2 6 5 4" xfId="38081" xr:uid="{00000000-0005-0000-0000-00003B650000}"/>
    <cellStyle name="40 % - Markeringsfarve3 3 2 6 6" xfId="12273" xr:uid="{00000000-0005-0000-0000-00003C650000}"/>
    <cellStyle name="40 % - Markeringsfarve3 3 2 6 6 2" xfId="28592" xr:uid="{00000000-0005-0000-0000-00003D650000}"/>
    <cellStyle name="40 % - Markeringsfarve3 3 2 6 6 3" xfId="43557" xr:uid="{00000000-0005-0000-0000-00003E650000}"/>
    <cellStyle name="40 % - Markeringsfarve3 3 2 6 7" xfId="21570" xr:uid="{00000000-0005-0000-0000-00003F650000}"/>
    <cellStyle name="40 % - Markeringsfarve3 3 2 6 8" xfId="36558" xr:uid="{00000000-0005-0000-0000-000040650000}"/>
    <cellStyle name="40 % - Markeringsfarve3 3 2 7" xfId="3721" xr:uid="{00000000-0005-0000-0000-000041650000}"/>
    <cellStyle name="40 % - Markeringsfarve3 3 2 7 2" xfId="3722" xr:uid="{00000000-0005-0000-0000-000042650000}"/>
    <cellStyle name="40 % - Markeringsfarve3 3 2 7 2 2" xfId="7547" xr:uid="{00000000-0005-0000-0000-000043650000}"/>
    <cellStyle name="40 % - Markeringsfarve3 3 2 7 2 2 2" xfId="15448" xr:uid="{00000000-0005-0000-0000-000044650000}"/>
    <cellStyle name="40 % - Markeringsfarve3 3 2 7 2 2 2 2" xfId="31762" xr:uid="{00000000-0005-0000-0000-000045650000}"/>
    <cellStyle name="40 % - Markeringsfarve3 3 2 7 2 2 2 3" xfId="46726" xr:uid="{00000000-0005-0000-0000-000046650000}"/>
    <cellStyle name="40 % - Markeringsfarve3 3 2 7 2 2 3" xfId="24740" xr:uid="{00000000-0005-0000-0000-000047650000}"/>
    <cellStyle name="40 % - Markeringsfarve3 3 2 7 2 2 4" xfId="39727" xr:uid="{00000000-0005-0000-0000-000048650000}"/>
    <cellStyle name="40 % - Markeringsfarve3 3 2 7 2 3" xfId="12279" xr:uid="{00000000-0005-0000-0000-000049650000}"/>
    <cellStyle name="40 % - Markeringsfarve3 3 2 7 2 3 2" xfId="28598" xr:uid="{00000000-0005-0000-0000-00004A650000}"/>
    <cellStyle name="40 % - Markeringsfarve3 3 2 7 2 3 3" xfId="43563" xr:uid="{00000000-0005-0000-0000-00004B650000}"/>
    <cellStyle name="40 % - Markeringsfarve3 3 2 7 2 4" xfId="21576" xr:uid="{00000000-0005-0000-0000-00004C650000}"/>
    <cellStyle name="40 % - Markeringsfarve3 3 2 7 2 5" xfId="36564" xr:uid="{00000000-0005-0000-0000-00004D650000}"/>
    <cellStyle name="40 % - Markeringsfarve3 3 2 7 3" xfId="6141" xr:uid="{00000000-0005-0000-0000-00004E650000}"/>
    <cellStyle name="40 % - Markeringsfarve3 3 2 7 3 2" xfId="14058" xr:uid="{00000000-0005-0000-0000-00004F650000}"/>
    <cellStyle name="40 % - Markeringsfarve3 3 2 7 3 2 2" xfId="30372" xr:uid="{00000000-0005-0000-0000-000050650000}"/>
    <cellStyle name="40 % - Markeringsfarve3 3 2 7 3 2 3" xfId="45336" xr:uid="{00000000-0005-0000-0000-000051650000}"/>
    <cellStyle name="40 % - Markeringsfarve3 3 2 7 3 3" xfId="23350" xr:uid="{00000000-0005-0000-0000-000052650000}"/>
    <cellStyle name="40 % - Markeringsfarve3 3 2 7 3 4" xfId="38337" xr:uid="{00000000-0005-0000-0000-000053650000}"/>
    <cellStyle name="40 % - Markeringsfarve3 3 2 7 4" xfId="12278" xr:uid="{00000000-0005-0000-0000-000054650000}"/>
    <cellStyle name="40 % - Markeringsfarve3 3 2 7 4 2" xfId="28597" xr:uid="{00000000-0005-0000-0000-000055650000}"/>
    <cellStyle name="40 % - Markeringsfarve3 3 2 7 4 3" xfId="43562" xr:uid="{00000000-0005-0000-0000-000056650000}"/>
    <cellStyle name="40 % - Markeringsfarve3 3 2 7 5" xfId="21575" xr:uid="{00000000-0005-0000-0000-000057650000}"/>
    <cellStyle name="40 % - Markeringsfarve3 3 2 7 6" xfId="36563" xr:uid="{00000000-0005-0000-0000-000058650000}"/>
    <cellStyle name="40 % - Markeringsfarve3 3 2 8" xfId="3723" xr:uid="{00000000-0005-0000-0000-000059650000}"/>
    <cellStyle name="40 % - Markeringsfarve3 3 2 8 2" xfId="6775" xr:uid="{00000000-0005-0000-0000-00005A650000}"/>
    <cellStyle name="40 % - Markeringsfarve3 3 2 8 2 2" xfId="14686" xr:uid="{00000000-0005-0000-0000-00005B650000}"/>
    <cellStyle name="40 % - Markeringsfarve3 3 2 8 2 2 2" xfId="31000" xr:uid="{00000000-0005-0000-0000-00005C650000}"/>
    <cellStyle name="40 % - Markeringsfarve3 3 2 8 2 2 3" xfId="45964" xr:uid="{00000000-0005-0000-0000-00005D650000}"/>
    <cellStyle name="40 % - Markeringsfarve3 3 2 8 2 3" xfId="23978" xr:uid="{00000000-0005-0000-0000-00005E650000}"/>
    <cellStyle name="40 % - Markeringsfarve3 3 2 8 2 4" xfId="38965" xr:uid="{00000000-0005-0000-0000-00005F650000}"/>
    <cellStyle name="40 % - Markeringsfarve3 3 2 8 3" xfId="12280" xr:uid="{00000000-0005-0000-0000-000060650000}"/>
    <cellStyle name="40 % - Markeringsfarve3 3 2 8 3 2" xfId="28599" xr:uid="{00000000-0005-0000-0000-000061650000}"/>
    <cellStyle name="40 % - Markeringsfarve3 3 2 8 3 3" xfId="43564" xr:uid="{00000000-0005-0000-0000-000062650000}"/>
    <cellStyle name="40 % - Markeringsfarve3 3 2 8 4" xfId="21577" xr:uid="{00000000-0005-0000-0000-000063650000}"/>
    <cellStyle name="40 % - Markeringsfarve3 3 2 8 5" xfId="36565" xr:uid="{00000000-0005-0000-0000-000064650000}"/>
    <cellStyle name="40 % - Markeringsfarve3 3 2 9" xfId="3724" xr:uid="{00000000-0005-0000-0000-000065650000}"/>
    <cellStyle name="40 % - Markeringsfarve3 3 2 9 2" xfId="8466" xr:uid="{00000000-0005-0000-0000-000066650000}"/>
    <cellStyle name="40 % - Markeringsfarve3 3 2 9 2 2" xfId="16357" xr:uid="{00000000-0005-0000-0000-000067650000}"/>
    <cellStyle name="40 % - Markeringsfarve3 3 2 9 2 2 2" xfId="32671" xr:uid="{00000000-0005-0000-0000-000068650000}"/>
    <cellStyle name="40 % - Markeringsfarve3 3 2 9 2 2 3" xfId="47635" xr:uid="{00000000-0005-0000-0000-000069650000}"/>
    <cellStyle name="40 % - Markeringsfarve3 3 2 9 2 3" xfId="25649" xr:uid="{00000000-0005-0000-0000-00006A650000}"/>
    <cellStyle name="40 % - Markeringsfarve3 3 2 9 2 4" xfId="40636" xr:uid="{00000000-0005-0000-0000-00006B650000}"/>
    <cellStyle name="40 % - Markeringsfarve3 3 2 9 3" xfId="12281" xr:uid="{00000000-0005-0000-0000-00006C650000}"/>
    <cellStyle name="40 % - Markeringsfarve3 3 2 9 3 2" xfId="28600" xr:uid="{00000000-0005-0000-0000-00006D650000}"/>
    <cellStyle name="40 % - Markeringsfarve3 3 2 9 3 3" xfId="43565" xr:uid="{00000000-0005-0000-0000-00006E650000}"/>
    <cellStyle name="40 % - Markeringsfarve3 3 2 9 4" xfId="21578" xr:uid="{00000000-0005-0000-0000-00006F650000}"/>
    <cellStyle name="40 % - Markeringsfarve3 3 2 9 5" xfId="36566" xr:uid="{00000000-0005-0000-0000-000070650000}"/>
    <cellStyle name="40 % - Markeringsfarve3 3 3" xfId="3725" xr:uid="{00000000-0005-0000-0000-000071650000}"/>
    <cellStyle name="40 % - Markeringsfarve3 3 3 10" xfId="5885" xr:uid="{00000000-0005-0000-0000-000072650000}"/>
    <cellStyle name="40 % - Markeringsfarve3 3 3 10 2" xfId="13803" xr:uid="{00000000-0005-0000-0000-000073650000}"/>
    <cellStyle name="40 % - Markeringsfarve3 3 3 10 2 2" xfId="30117" xr:uid="{00000000-0005-0000-0000-000074650000}"/>
    <cellStyle name="40 % - Markeringsfarve3 3 3 10 2 3" xfId="45081" xr:uid="{00000000-0005-0000-0000-000075650000}"/>
    <cellStyle name="40 % - Markeringsfarve3 3 3 10 3" xfId="23095" xr:uid="{00000000-0005-0000-0000-000076650000}"/>
    <cellStyle name="40 % - Markeringsfarve3 3 3 10 4" xfId="38082" xr:uid="{00000000-0005-0000-0000-000077650000}"/>
    <cellStyle name="40 % - Markeringsfarve3 3 3 11" xfId="12282" xr:uid="{00000000-0005-0000-0000-000078650000}"/>
    <cellStyle name="40 % - Markeringsfarve3 3 3 11 2" xfId="28601" xr:uid="{00000000-0005-0000-0000-000079650000}"/>
    <cellStyle name="40 % - Markeringsfarve3 3 3 11 3" xfId="43566" xr:uid="{00000000-0005-0000-0000-00007A650000}"/>
    <cellStyle name="40 % - Markeringsfarve3 3 3 12" xfId="21579" xr:uid="{00000000-0005-0000-0000-00007B650000}"/>
    <cellStyle name="40 % - Markeringsfarve3 3 3 13" xfId="36567" xr:uid="{00000000-0005-0000-0000-00007C650000}"/>
    <cellStyle name="40 % - Markeringsfarve3 3 3 14" xfId="56562" xr:uid="{00000000-0005-0000-0000-00007D650000}"/>
    <cellStyle name="40 % - Markeringsfarve3 3 3 2" xfId="3726" xr:uid="{00000000-0005-0000-0000-00007E650000}"/>
    <cellStyle name="40 % - Markeringsfarve3 3 3 2 2" xfId="3727" xr:uid="{00000000-0005-0000-0000-00007F650000}"/>
    <cellStyle name="40 % - Markeringsfarve3 3 3 2 2 2" xfId="3728" xr:uid="{00000000-0005-0000-0000-000080650000}"/>
    <cellStyle name="40 % - Markeringsfarve3 3 3 2 2 2 2" xfId="7705" xr:uid="{00000000-0005-0000-0000-000081650000}"/>
    <cellStyle name="40 % - Markeringsfarve3 3 3 2 2 2 2 2" xfId="15606" xr:uid="{00000000-0005-0000-0000-000082650000}"/>
    <cellStyle name="40 % - Markeringsfarve3 3 3 2 2 2 2 2 2" xfId="31920" xr:uid="{00000000-0005-0000-0000-000083650000}"/>
    <cellStyle name="40 % - Markeringsfarve3 3 3 2 2 2 2 2 3" xfId="46884" xr:uid="{00000000-0005-0000-0000-000084650000}"/>
    <cellStyle name="40 % - Markeringsfarve3 3 3 2 2 2 2 3" xfId="24898" xr:uid="{00000000-0005-0000-0000-000085650000}"/>
    <cellStyle name="40 % - Markeringsfarve3 3 3 2 2 2 2 4" xfId="39885" xr:uid="{00000000-0005-0000-0000-000086650000}"/>
    <cellStyle name="40 % - Markeringsfarve3 3 3 2 2 2 3" xfId="12285" xr:uid="{00000000-0005-0000-0000-000087650000}"/>
    <cellStyle name="40 % - Markeringsfarve3 3 3 2 2 2 3 2" xfId="28604" xr:uid="{00000000-0005-0000-0000-000088650000}"/>
    <cellStyle name="40 % - Markeringsfarve3 3 3 2 2 2 3 3" xfId="43569" xr:uid="{00000000-0005-0000-0000-000089650000}"/>
    <cellStyle name="40 % - Markeringsfarve3 3 3 2 2 2 4" xfId="21582" xr:uid="{00000000-0005-0000-0000-00008A650000}"/>
    <cellStyle name="40 % - Markeringsfarve3 3 3 2 2 2 5" xfId="36570" xr:uid="{00000000-0005-0000-0000-00008B650000}"/>
    <cellStyle name="40 % - Markeringsfarve3 3 3 2 2 3" xfId="6273" xr:uid="{00000000-0005-0000-0000-00008C650000}"/>
    <cellStyle name="40 % - Markeringsfarve3 3 3 2 2 3 2" xfId="14190" xr:uid="{00000000-0005-0000-0000-00008D650000}"/>
    <cellStyle name="40 % - Markeringsfarve3 3 3 2 2 3 2 2" xfId="30504" xr:uid="{00000000-0005-0000-0000-00008E650000}"/>
    <cellStyle name="40 % - Markeringsfarve3 3 3 2 2 3 2 3" xfId="45468" xr:uid="{00000000-0005-0000-0000-00008F650000}"/>
    <cellStyle name="40 % - Markeringsfarve3 3 3 2 2 3 3" xfId="23482" xr:uid="{00000000-0005-0000-0000-000090650000}"/>
    <cellStyle name="40 % - Markeringsfarve3 3 3 2 2 3 4" xfId="38469" xr:uid="{00000000-0005-0000-0000-000091650000}"/>
    <cellStyle name="40 % - Markeringsfarve3 3 3 2 2 4" xfId="12284" xr:uid="{00000000-0005-0000-0000-000092650000}"/>
    <cellStyle name="40 % - Markeringsfarve3 3 3 2 2 4 2" xfId="28603" xr:uid="{00000000-0005-0000-0000-000093650000}"/>
    <cellStyle name="40 % - Markeringsfarve3 3 3 2 2 4 3" xfId="43568" xr:uid="{00000000-0005-0000-0000-000094650000}"/>
    <cellStyle name="40 % - Markeringsfarve3 3 3 2 2 5" xfId="21581" xr:uid="{00000000-0005-0000-0000-000095650000}"/>
    <cellStyle name="40 % - Markeringsfarve3 3 3 2 2 6" xfId="36569" xr:uid="{00000000-0005-0000-0000-000096650000}"/>
    <cellStyle name="40 % - Markeringsfarve3 3 3 2 3" xfId="3729" xr:uid="{00000000-0005-0000-0000-000097650000}"/>
    <cellStyle name="40 % - Markeringsfarve3 3 3 2 3 2" xfId="6935" xr:uid="{00000000-0005-0000-0000-000098650000}"/>
    <cellStyle name="40 % - Markeringsfarve3 3 3 2 3 2 2" xfId="14846" xr:uid="{00000000-0005-0000-0000-000099650000}"/>
    <cellStyle name="40 % - Markeringsfarve3 3 3 2 3 2 2 2" xfId="31160" xr:uid="{00000000-0005-0000-0000-00009A650000}"/>
    <cellStyle name="40 % - Markeringsfarve3 3 3 2 3 2 2 3" xfId="46124" xr:uid="{00000000-0005-0000-0000-00009B650000}"/>
    <cellStyle name="40 % - Markeringsfarve3 3 3 2 3 2 3" xfId="24138" xr:uid="{00000000-0005-0000-0000-00009C650000}"/>
    <cellStyle name="40 % - Markeringsfarve3 3 3 2 3 2 4" xfId="39125" xr:uid="{00000000-0005-0000-0000-00009D650000}"/>
    <cellStyle name="40 % - Markeringsfarve3 3 3 2 3 3" xfId="12286" xr:uid="{00000000-0005-0000-0000-00009E650000}"/>
    <cellStyle name="40 % - Markeringsfarve3 3 3 2 3 3 2" xfId="28605" xr:uid="{00000000-0005-0000-0000-00009F650000}"/>
    <cellStyle name="40 % - Markeringsfarve3 3 3 2 3 3 3" xfId="43570" xr:uid="{00000000-0005-0000-0000-0000A0650000}"/>
    <cellStyle name="40 % - Markeringsfarve3 3 3 2 3 4" xfId="21583" xr:uid="{00000000-0005-0000-0000-0000A1650000}"/>
    <cellStyle name="40 % - Markeringsfarve3 3 3 2 3 5" xfId="36571" xr:uid="{00000000-0005-0000-0000-0000A2650000}"/>
    <cellStyle name="40 % - Markeringsfarve3 3 3 2 4" xfId="3730" xr:uid="{00000000-0005-0000-0000-0000A3650000}"/>
    <cellStyle name="40 % - Markeringsfarve3 3 3 2 4 2" xfId="8215" xr:uid="{00000000-0005-0000-0000-0000A4650000}"/>
    <cellStyle name="40 % - Markeringsfarve3 3 3 2 4 2 2" xfId="16112" xr:uid="{00000000-0005-0000-0000-0000A5650000}"/>
    <cellStyle name="40 % - Markeringsfarve3 3 3 2 4 2 2 2" xfId="32426" xr:uid="{00000000-0005-0000-0000-0000A6650000}"/>
    <cellStyle name="40 % - Markeringsfarve3 3 3 2 4 2 2 3" xfId="47390" xr:uid="{00000000-0005-0000-0000-0000A7650000}"/>
    <cellStyle name="40 % - Markeringsfarve3 3 3 2 4 2 3" xfId="25404" xr:uid="{00000000-0005-0000-0000-0000A8650000}"/>
    <cellStyle name="40 % - Markeringsfarve3 3 3 2 4 2 4" xfId="40391" xr:uid="{00000000-0005-0000-0000-0000A9650000}"/>
    <cellStyle name="40 % - Markeringsfarve3 3 3 2 4 3" xfId="12287" xr:uid="{00000000-0005-0000-0000-0000AA650000}"/>
    <cellStyle name="40 % - Markeringsfarve3 3 3 2 4 3 2" xfId="28606" xr:uid="{00000000-0005-0000-0000-0000AB650000}"/>
    <cellStyle name="40 % - Markeringsfarve3 3 3 2 4 3 3" xfId="43571" xr:uid="{00000000-0005-0000-0000-0000AC650000}"/>
    <cellStyle name="40 % - Markeringsfarve3 3 3 2 4 4" xfId="21584" xr:uid="{00000000-0005-0000-0000-0000AD650000}"/>
    <cellStyle name="40 % - Markeringsfarve3 3 3 2 4 5" xfId="36572" xr:uid="{00000000-0005-0000-0000-0000AE650000}"/>
    <cellStyle name="40 % - Markeringsfarve3 3 3 2 5" xfId="5886" xr:uid="{00000000-0005-0000-0000-0000AF650000}"/>
    <cellStyle name="40 % - Markeringsfarve3 3 3 2 5 2" xfId="13804" xr:uid="{00000000-0005-0000-0000-0000B0650000}"/>
    <cellStyle name="40 % - Markeringsfarve3 3 3 2 5 2 2" xfId="30118" xr:uid="{00000000-0005-0000-0000-0000B1650000}"/>
    <cellStyle name="40 % - Markeringsfarve3 3 3 2 5 2 3" xfId="45082" xr:uid="{00000000-0005-0000-0000-0000B2650000}"/>
    <cellStyle name="40 % - Markeringsfarve3 3 3 2 5 3" xfId="23096" xr:uid="{00000000-0005-0000-0000-0000B3650000}"/>
    <cellStyle name="40 % - Markeringsfarve3 3 3 2 5 4" xfId="38083" xr:uid="{00000000-0005-0000-0000-0000B4650000}"/>
    <cellStyle name="40 % - Markeringsfarve3 3 3 2 6" xfId="12283" xr:uid="{00000000-0005-0000-0000-0000B5650000}"/>
    <cellStyle name="40 % - Markeringsfarve3 3 3 2 6 2" xfId="28602" xr:uid="{00000000-0005-0000-0000-0000B6650000}"/>
    <cellStyle name="40 % - Markeringsfarve3 3 3 2 6 3" xfId="43567" xr:uid="{00000000-0005-0000-0000-0000B7650000}"/>
    <cellStyle name="40 % - Markeringsfarve3 3 3 2 7" xfId="21580" xr:uid="{00000000-0005-0000-0000-0000B8650000}"/>
    <cellStyle name="40 % - Markeringsfarve3 3 3 2 8" xfId="36568" xr:uid="{00000000-0005-0000-0000-0000B9650000}"/>
    <cellStyle name="40 % - Markeringsfarve3 3 3 3" xfId="3731" xr:uid="{00000000-0005-0000-0000-0000BA650000}"/>
    <cellStyle name="40 % - Markeringsfarve3 3 3 3 2" xfId="3732" xr:uid="{00000000-0005-0000-0000-0000BB650000}"/>
    <cellStyle name="40 % - Markeringsfarve3 3 3 3 2 2" xfId="3733" xr:uid="{00000000-0005-0000-0000-0000BC650000}"/>
    <cellStyle name="40 % - Markeringsfarve3 3 3 3 2 2 2" xfId="7803" xr:uid="{00000000-0005-0000-0000-0000BD650000}"/>
    <cellStyle name="40 % - Markeringsfarve3 3 3 3 2 2 2 2" xfId="15704" xr:uid="{00000000-0005-0000-0000-0000BE650000}"/>
    <cellStyle name="40 % - Markeringsfarve3 3 3 3 2 2 2 2 2" xfId="32018" xr:uid="{00000000-0005-0000-0000-0000BF650000}"/>
    <cellStyle name="40 % - Markeringsfarve3 3 3 3 2 2 2 2 3" xfId="46982" xr:uid="{00000000-0005-0000-0000-0000C0650000}"/>
    <cellStyle name="40 % - Markeringsfarve3 3 3 3 2 2 2 3" xfId="24996" xr:uid="{00000000-0005-0000-0000-0000C1650000}"/>
    <cellStyle name="40 % - Markeringsfarve3 3 3 3 2 2 2 4" xfId="39983" xr:uid="{00000000-0005-0000-0000-0000C2650000}"/>
    <cellStyle name="40 % - Markeringsfarve3 3 3 3 2 2 3" xfId="12290" xr:uid="{00000000-0005-0000-0000-0000C3650000}"/>
    <cellStyle name="40 % - Markeringsfarve3 3 3 3 2 2 3 2" xfId="28609" xr:uid="{00000000-0005-0000-0000-0000C4650000}"/>
    <cellStyle name="40 % - Markeringsfarve3 3 3 3 2 2 3 3" xfId="43574" xr:uid="{00000000-0005-0000-0000-0000C5650000}"/>
    <cellStyle name="40 % - Markeringsfarve3 3 3 3 2 2 4" xfId="21587" xr:uid="{00000000-0005-0000-0000-0000C6650000}"/>
    <cellStyle name="40 % - Markeringsfarve3 3 3 3 2 2 5" xfId="36575" xr:uid="{00000000-0005-0000-0000-0000C7650000}"/>
    <cellStyle name="40 % - Markeringsfarve3 3 3 3 2 3" xfId="6349" xr:uid="{00000000-0005-0000-0000-0000C8650000}"/>
    <cellStyle name="40 % - Markeringsfarve3 3 3 3 2 3 2" xfId="14266" xr:uid="{00000000-0005-0000-0000-0000C9650000}"/>
    <cellStyle name="40 % - Markeringsfarve3 3 3 3 2 3 2 2" xfId="30580" xr:uid="{00000000-0005-0000-0000-0000CA650000}"/>
    <cellStyle name="40 % - Markeringsfarve3 3 3 3 2 3 2 3" xfId="45544" xr:uid="{00000000-0005-0000-0000-0000CB650000}"/>
    <cellStyle name="40 % - Markeringsfarve3 3 3 3 2 3 3" xfId="23558" xr:uid="{00000000-0005-0000-0000-0000CC650000}"/>
    <cellStyle name="40 % - Markeringsfarve3 3 3 3 2 3 4" xfId="38545" xr:uid="{00000000-0005-0000-0000-0000CD650000}"/>
    <cellStyle name="40 % - Markeringsfarve3 3 3 3 2 4" xfId="12289" xr:uid="{00000000-0005-0000-0000-0000CE650000}"/>
    <cellStyle name="40 % - Markeringsfarve3 3 3 3 2 4 2" xfId="28608" xr:uid="{00000000-0005-0000-0000-0000CF650000}"/>
    <cellStyle name="40 % - Markeringsfarve3 3 3 3 2 4 3" xfId="43573" xr:uid="{00000000-0005-0000-0000-0000D0650000}"/>
    <cellStyle name="40 % - Markeringsfarve3 3 3 3 2 5" xfId="21586" xr:uid="{00000000-0005-0000-0000-0000D1650000}"/>
    <cellStyle name="40 % - Markeringsfarve3 3 3 3 2 6" xfId="36574" xr:uid="{00000000-0005-0000-0000-0000D2650000}"/>
    <cellStyle name="40 % - Markeringsfarve3 3 3 3 3" xfId="3734" xr:uid="{00000000-0005-0000-0000-0000D3650000}"/>
    <cellStyle name="40 % - Markeringsfarve3 3 3 3 3 2" xfId="7033" xr:uid="{00000000-0005-0000-0000-0000D4650000}"/>
    <cellStyle name="40 % - Markeringsfarve3 3 3 3 3 2 2" xfId="14944" xr:uid="{00000000-0005-0000-0000-0000D5650000}"/>
    <cellStyle name="40 % - Markeringsfarve3 3 3 3 3 2 2 2" xfId="31258" xr:uid="{00000000-0005-0000-0000-0000D6650000}"/>
    <cellStyle name="40 % - Markeringsfarve3 3 3 3 3 2 2 3" xfId="46222" xr:uid="{00000000-0005-0000-0000-0000D7650000}"/>
    <cellStyle name="40 % - Markeringsfarve3 3 3 3 3 2 3" xfId="24236" xr:uid="{00000000-0005-0000-0000-0000D8650000}"/>
    <cellStyle name="40 % - Markeringsfarve3 3 3 3 3 2 4" xfId="39223" xr:uid="{00000000-0005-0000-0000-0000D9650000}"/>
    <cellStyle name="40 % - Markeringsfarve3 3 3 3 3 3" xfId="12291" xr:uid="{00000000-0005-0000-0000-0000DA650000}"/>
    <cellStyle name="40 % - Markeringsfarve3 3 3 3 3 3 2" xfId="28610" xr:uid="{00000000-0005-0000-0000-0000DB650000}"/>
    <cellStyle name="40 % - Markeringsfarve3 3 3 3 3 3 3" xfId="43575" xr:uid="{00000000-0005-0000-0000-0000DC650000}"/>
    <cellStyle name="40 % - Markeringsfarve3 3 3 3 3 4" xfId="21588" xr:uid="{00000000-0005-0000-0000-0000DD650000}"/>
    <cellStyle name="40 % - Markeringsfarve3 3 3 3 3 5" xfId="36576" xr:uid="{00000000-0005-0000-0000-0000DE650000}"/>
    <cellStyle name="40 % - Markeringsfarve3 3 3 3 4" xfId="3735" xr:uid="{00000000-0005-0000-0000-0000DF650000}"/>
    <cellStyle name="40 % - Markeringsfarve3 3 3 3 4 2" xfId="8556" xr:uid="{00000000-0005-0000-0000-0000E0650000}"/>
    <cellStyle name="40 % - Markeringsfarve3 3 3 3 4 2 2" xfId="16444" xr:uid="{00000000-0005-0000-0000-0000E1650000}"/>
    <cellStyle name="40 % - Markeringsfarve3 3 3 3 4 2 2 2" xfId="32758" xr:uid="{00000000-0005-0000-0000-0000E2650000}"/>
    <cellStyle name="40 % - Markeringsfarve3 3 3 3 4 2 2 3" xfId="47722" xr:uid="{00000000-0005-0000-0000-0000E3650000}"/>
    <cellStyle name="40 % - Markeringsfarve3 3 3 3 4 2 3" xfId="25736" xr:uid="{00000000-0005-0000-0000-0000E4650000}"/>
    <cellStyle name="40 % - Markeringsfarve3 3 3 3 4 2 4" xfId="40723" xr:uid="{00000000-0005-0000-0000-0000E5650000}"/>
    <cellStyle name="40 % - Markeringsfarve3 3 3 3 4 3" xfId="12292" xr:uid="{00000000-0005-0000-0000-0000E6650000}"/>
    <cellStyle name="40 % - Markeringsfarve3 3 3 3 4 3 2" xfId="28611" xr:uid="{00000000-0005-0000-0000-0000E7650000}"/>
    <cellStyle name="40 % - Markeringsfarve3 3 3 3 4 3 3" xfId="43576" xr:uid="{00000000-0005-0000-0000-0000E8650000}"/>
    <cellStyle name="40 % - Markeringsfarve3 3 3 3 4 4" xfId="21589" xr:uid="{00000000-0005-0000-0000-0000E9650000}"/>
    <cellStyle name="40 % - Markeringsfarve3 3 3 3 4 5" xfId="36577" xr:uid="{00000000-0005-0000-0000-0000EA650000}"/>
    <cellStyle name="40 % - Markeringsfarve3 3 3 3 5" xfId="5887" xr:uid="{00000000-0005-0000-0000-0000EB650000}"/>
    <cellStyle name="40 % - Markeringsfarve3 3 3 3 5 2" xfId="13805" xr:uid="{00000000-0005-0000-0000-0000EC650000}"/>
    <cellStyle name="40 % - Markeringsfarve3 3 3 3 5 2 2" xfId="30119" xr:uid="{00000000-0005-0000-0000-0000ED650000}"/>
    <cellStyle name="40 % - Markeringsfarve3 3 3 3 5 2 3" xfId="45083" xr:uid="{00000000-0005-0000-0000-0000EE650000}"/>
    <cellStyle name="40 % - Markeringsfarve3 3 3 3 5 3" xfId="23097" xr:uid="{00000000-0005-0000-0000-0000EF650000}"/>
    <cellStyle name="40 % - Markeringsfarve3 3 3 3 5 4" xfId="38084" xr:uid="{00000000-0005-0000-0000-0000F0650000}"/>
    <cellStyle name="40 % - Markeringsfarve3 3 3 3 6" xfId="12288" xr:uid="{00000000-0005-0000-0000-0000F1650000}"/>
    <cellStyle name="40 % - Markeringsfarve3 3 3 3 6 2" xfId="28607" xr:uid="{00000000-0005-0000-0000-0000F2650000}"/>
    <cellStyle name="40 % - Markeringsfarve3 3 3 3 6 3" xfId="43572" xr:uid="{00000000-0005-0000-0000-0000F3650000}"/>
    <cellStyle name="40 % - Markeringsfarve3 3 3 3 7" xfId="21585" xr:uid="{00000000-0005-0000-0000-0000F4650000}"/>
    <cellStyle name="40 % - Markeringsfarve3 3 3 3 8" xfId="36573" xr:uid="{00000000-0005-0000-0000-0000F5650000}"/>
    <cellStyle name="40 % - Markeringsfarve3 3 3 4" xfId="3736" xr:uid="{00000000-0005-0000-0000-0000F6650000}"/>
    <cellStyle name="40 % - Markeringsfarve3 3 3 4 2" xfId="3737" xr:uid="{00000000-0005-0000-0000-0000F7650000}"/>
    <cellStyle name="40 % - Markeringsfarve3 3 3 4 2 2" xfId="3738" xr:uid="{00000000-0005-0000-0000-0000F8650000}"/>
    <cellStyle name="40 % - Markeringsfarve3 3 3 4 2 2 2" xfId="7943" xr:uid="{00000000-0005-0000-0000-0000F9650000}"/>
    <cellStyle name="40 % - Markeringsfarve3 3 3 4 2 2 2 2" xfId="15844" xr:uid="{00000000-0005-0000-0000-0000FA650000}"/>
    <cellStyle name="40 % - Markeringsfarve3 3 3 4 2 2 2 2 2" xfId="32158" xr:uid="{00000000-0005-0000-0000-0000FB650000}"/>
    <cellStyle name="40 % - Markeringsfarve3 3 3 4 2 2 2 2 3" xfId="47122" xr:uid="{00000000-0005-0000-0000-0000FC650000}"/>
    <cellStyle name="40 % - Markeringsfarve3 3 3 4 2 2 2 3" xfId="25136" xr:uid="{00000000-0005-0000-0000-0000FD650000}"/>
    <cellStyle name="40 % - Markeringsfarve3 3 3 4 2 2 2 4" xfId="40123" xr:uid="{00000000-0005-0000-0000-0000FE650000}"/>
    <cellStyle name="40 % - Markeringsfarve3 3 3 4 2 2 3" xfId="12295" xr:uid="{00000000-0005-0000-0000-0000FF650000}"/>
    <cellStyle name="40 % - Markeringsfarve3 3 3 4 2 2 3 2" xfId="28614" xr:uid="{00000000-0005-0000-0000-000000660000}"/>
    <cellStyle name="40 % - Markeringsfarve3 3 3 4 2 2 3 3" xfId="43579" xr:uid="{00000000-0005-0000-0000-000001660000}"/>
    <cellStyle name="40 % - Markeringsfarve3 3 3 4 2 2 4" xfId="21592" xr:uid="{00000000-0005-0000-0000-000002660000}"/>
    <cellStyle name="40 % - Markeringsfarve3 3 3 4 2 2 5" xfId="36580" xr:uid="{00000000-0005-0000-0000-000003660000}"/>
    <cellStyle name="40 % - Markeringsfarve3 3 3 4 2 3" xfId="6475" xr:uid="{00000000-0005-0000-0000-000004660000}"/>
    <cellStyle name="40 % - Markeringsfarve3 3 3 4 2 3 2" xfId="14389" xr:uid="{00000000-0005-0000-0000-000005660000}"/>
    <cellStyle name="40 % - Markeringsfarve3 3 3 4 2 3 2 2" xfId="30703" xr:uid="{00000000-0005-0000-0000-000006660000}"/>
    <cellStyle name="40 % - Markeringsfarve3 3 3 4 2 3 2 3" xfId="45667" xr:uid="{00000000-0005-0000-0000-000007660000}"/>
    <cellStyle name="40 % - Markeringsfarve3 3 3 4 2 3 3" xfId="23681" xr:uid="{00000000-0005-0000-0000-000008660000}"/>
    <cellStyle name="40 % - Markeringsfarve3 3 3 4 2 3 4" xfId="38668" xr:uid="{00000000-0005-0000-0000-000009660000}"/>
    <cellStyle name="40 % - Markeringsfarve3 3 3 4 2 4" xfId="12294" xr:uid="{00000000-0005-0000-0000-00000A660000}"/>
    <cellStyle name="40 % - Markeringsfarve3 3 3 4 2 4 2" xfId="28613" xr:uid="{00000000-0005-0000-0000-00000B660000}"/>
    <cellStyle name="40 % - Markeringsfarve3 3 3 4 2 4 3" xfId="43578" xr:uid="{00000000-0005-0000-0000-00000C660000}"/>
    <cellStyle name="40 % - Markeringsfarve3 3 3 4 2 5" xfId="21591" xr:uid="{00000000-0005-0000-0000-00000D660000}"/>
    <cellStyle name="40 % - Markeringsfarve3 3 3 4 2 6" xfId="36579" xr:uid="{00000000-0005-0000-0000-00000E660000}"/>
    <cellStyle name="40 % - Markeringsfarve3 3 3 4 3" xfId="3739" xr:uid="{00000000-0005-0000-0000-00000F660000}"/>
    <cellStyle name="40 % - Markeringsfarve3 3 3 4 3 2" xfId="7219" xr:uid="{00000000-0005-0000-0000-000010660000}"/>
    <cellStyle name="40 % - Markeringsfarve3 3 3 4 3 2 2" xfId="15129" xr:uid="{00000000-0005-0000-0000-000011660000}"/>
    <cellStyle name="40 % - Markeringsfarve3 3 3 4 3 2 2 2" xfId="31443" xr:uid="{00000000-0005-0000-0000-000012660000}"/>
    <cellStyle name="40 % - Markeringsfarve3 3 3 4 3 2 2 3" xfId="46407" xr:uid="{00000000-0005-0000-0000-000013660000}"/>
    <cellStyle name="40 % - Markeringsfarve3 3 3 4 3 2 3" xfId="24421" xr:uid="{00000000-0005-0000-0000-000014660000}"/>
    <cellStyle name="40 % - Markeringsfarve3 3 3 4 3 2 4" xfId="39408" xr:uid="{00000000-0005-0000-0000-000015660000}"/>
    <cellStyle name="40 % - Markeringsfarve3 3 3 4 3 3" xfId="12296" xr:uid="{00000000-0005-0000-0000-000016660000}"/>
    <cellStyle name="40 % - Markeringsfarve3 3 3 4 3 3 2" xfId="28615" xr:uid="{00000000-0005-0000-0000-000017660000}"/>
    <cellStyle name="40 % - Markeringsfarve3 3 3 4 3 3 3" xfId="43580" xr:uid="{00000000-0005-0000-0000-000018660000}"/>
    <cellStyle name="40 % - Markeringsfarve3 3 3 4 3 4" xfId="21593" xr:uid="{00000000-0005-0000-0000-000019660000}"/>
    <cellStyle name="40 % - Markeringsfarve3 3 3 4 3 5" xfId="36581" xr:uid="{00000000-0005-0000-0000-00001A660000}"/>
    <cellStyle name="40 % - Markeringsfarve3 3 3 4 4" xfId="3740" xr:uid="{00000000-0005-0000-0000-00001B660000}"/>
    <cellStyle name="40 % - Markeringsfarve3 3 3 4 4 2" xfId="8773" xr:uid="{00000000-0005-0000-0000-00001C660000}"/>
    <cellStyle name="40 % - Markeringsfarve3 3 3 4 4 2 2" xfId="16649" xr:uid="{00000000-0005-0000-0000-00001D660000}"/>
    <cellStyle name="40 % - Markeringsfarve3 3 3 4 4 2 2 2" xfId="32963" xr:uid="{00000000-0005-0000-0000-00001E660000}"/>
    <cellStyle name="40 % - Markeringsfarve3 3 3 4 4 2 2 3" xfId="47927" xr:uid="{00000000-0005-0000-0000-00001F660000}"/>
    <cellStyle name="40 % - Markeringsfarve3 3 3 4 4 2 3" xfId="25941" xr:uid="{00000000-0005-0000-0000-000020660000}"/>
    <cellStyle name="40 % - Markeringsfarve3 3 3 4 4 2 4" xfId="40928" xr:uid="{00000000-0005-0000-0000-000021660000}"/>
    <cellStyle name="40 % - Markeringsfarve3 3 3 4 4 3" xfId="12297" xr:uid="{00000000-0005-0000-0000-000022660000}"/>
    <cellStyle name="40 % - Markeringsfarve3 3 3 4 4 3 2" xfId="28616" xr:uid="{00000000-0005-0000-0000-000023660000}"/>
    <cellStyle name="40 % - Markeringsfarve3 3 3 4 4 3 3" xfId="43581" xr:uid="{00000000-0005-0000-0000-000024660000}"/>
    <cellStyle name="40 % - Markeringsfarve3 3 3 4 4 4" xfId="21594" xr:uid="{00000000-0005-0000-0000-000025660000}"/>
    <cellStyle name="40 % - Markeringsfarve3 3 3 4 4 5" xfId="36582" xr:uid="{00000000-0005-0000-0000-000026660000}"/>
    <cellStyle name="40 % - Markeringsfarve3 3 3 4 5" xfId="5888" xr:uid="{00000000-0005-0000-0000-000027660000}"/>
    <cellStyle name="40 % - Markeringsfarve3 3 3 4 5 2" xfId="13806" xr:uid="{00000000-0005-0000-0000-000028660000}"/>
    <cellStyle name="40 % - Markeringsfarve3 3 3 4 5 2 2" xfId="30120" xr:uid="{00000000-0005-0000-0000-000029660000}"/>
    <cellStyle name="40 % - Markeringsfarve3 3 3 4 5 2 3" xfId="45084" xr:uid="{00000000-0005-0000-0000-00002A660000}"/>
    <cellStyle name="40 % - Markeringsfarve3 3 3 4 5 3" xfId="23098" xr:uid="{00000000-0005-0000-0000-00002B660000}"/>
    <cellStyle name="40 % - Markeringsfarve3 3 3 4 5 4" xfId="38085" xr:uid="{00000000-0005-0000-0000-00002C660000}"/>
    <cellStyle name="40 % - Markeringsfarve3 3 3 4 6" xfId="12293" xr:uid="{00000000-0005-0000-0000-00002D660000}"/>
    <cellStyle name="40 % - Markeringsfarve3 3 3 4 6 2" xfId="28612" xr:uid="{00000000-0005-0000-0000-00002E660000}"/>
    <cellStyle name="40 % - Markeringsfarve3 3 3 4 6 3" xfId="43577" xr:uid="{00000000-0005-0000-0000-00002F660000}"/>
    <cellStyle name="40 % - Markeringsfarve3 3 3 4 7" xfId="21590" xr:uid="{00000000-0005-0000-0000-000030660000}"/>
    <cellStyle name="40 % - Markeringsfarve3 3 3 4 8" xfId="36578" xr:uid="{00000000-0005-0000-0000-000031660000}"/>
    <cellStyle name="40 % - Markeringsfarve3 3 3 5" xfId="3741" xr:uid="{00000000-0005-0000-0000-000032660000}"/>
    <cellStyle name="40 % - Markeringsfarve3 3 3 5 2" xfId="3742" xr:uid="{00000000-0005-0000-0000-000033660000}"/>
    <cellStyle name="40 % - Markeringsfarve3 3 3 5 2 2" xfId="3743" xr:uid="{00000000-0005-0000-0000-000034660000}"/>
    <cellStyle name="40 % - Markeringsfarve3 3 3 5 2 2 2" xfId="8060" xr:uid="{00000000-0005-0000-0000-000035660000}"/>
    <cellStyle name="40 % - Markeringsfarve3 3 3 5 2 2 2 2" xfId="15961" xr:uid="{00000000-0005-0000-0000-000036660000}"/>
    <cellStyle name="40 % - Markeringsfarve3 3 3 5 2 2 2 2 2" xfId="32275" xr:uid="{00000000-0005-0000-0000-000037660000}"/>
    <cellStyle name="40 % - Markeringsfarve3 3 3 5 2 2 2 2 3" xfId="47239" xr:uid="{00000000-0005-0000-0000-000038660000}"/>
    <cellStyle name="40 % - Markeringsfarve3 3 3 5 2 2 2 3" xfId="25253" xr:uid="{00000000-0005-0000-0000-000039660000}"/>
    <cellStyle name="40 % - Markeringsfarve3 3 3 5 2 2 2 4" xfId="40240" xr:uid="{00000000-0005-0000-0000-00003A660000}"/>
    <cellStyle name="40 % - Markeringsfarve3 3 3 5 2 2 3" xfId="12300" xr:uid="{00000000-0005-0000-0000-00003B660000}"/>
    <cellStyle name="40 % - Markeringsfarve3 3 3 5 2 2 3 2" xfId="28619" xr:uid="{00000000-0005-0000-0000-00003C660000}"/>
    <cellStyle name="40 % - Markeringsfarve3 3 3 5 2 2 3 3" xfId="43584" xr:uid="{00000000-0005-0000-0000-00003D660000}"/>
    <cellStyle name="40 % - Markeringsfarve3 3 3 5 2 2 4" xfId="21597" xr:uid="{00000000-0005-0000-0000-00003E660000}"/>
    <cellStyle name="40 % - Markeringsfarve3 3 3 5 2 2 5" xfId="36585" xr:uid="{00000000-0005-0000-0000-00003F660000}"/>
    <cellStyle name="40 % - Markeringsfarve3 3 3 5 2 3" xfId="6574" xr:uid="{00000000-0005-0000-0000-000040660000}"/>
    <cellStyle name="40 % - Markeringsfarve3 3 3 5 2 3 2" xfId="14488" xr:uid="{00000000-0005-0000-0000-000041660000}"/>
    <cellStyle name="40 % - Markeringsfarve3 3 3 5 2 3 2 2" xfId="30802" xr:uid="{00000000-0005-0000-0000-000042660000}"/>
    <cellStyle name="40 % - Markeringsfarve3 3 3 5 2 3 2 3" xfId="45766" xr:uid="{00000000-0005-0000-0000-000043660000}"/>
    <cellStyle name="40 % - Markeringsfarve3 3 3 5 2 3 3" xfId="23780" xr:uid="{00000000-0005-0000-0000-000044660000}"/>
    <cellStyle name="40 % - Markeringsfarve3 3 3 5 2 3 4" xfId="38767" xr:uid="{00000000-0005-0000-0000-000045660000}"/>
    <cellStyle name="40 % - Markeringsfarve3 3 3 5 2 4" xfId="12299" xr:uid="{00000000-0005-0000-0000-000046660000}"/>
    <cellStyle name="40 % - Markeringsfarve3 3 3 5 2 4 2" xfId="28618" xr:uid="{00000000-0005-0000-0000-000047660000}"/>
    <cellStyle name="40 % - Markeringsfarve3 3 3 5 2 4 3" xfId="43583" xr:uid="{00000000-0005-0000-0000-000048660000}"/>
    <cellStyle name="40 % - Markeringsfarve3 3 3 5 2 5" xfId="21596" xr:uid="{00000000-0005-0000-0000-000049660000}"/>
    <cellStyle name="40 % - Markeringsfarve3 3 3 5 2 6" xfId="36584" xr:uid="{00000000-0005-0000-0000-00004A660000}"/>
    <cellStyle name="40 % - Markeringsfarve3 3 3 5 3" xfId="3744" xr:uid="{00000000-0005-0000-0000-00004B660000}"/>
    <cellStyle name="40 % - Markeringsfarve3 3 3 5 3 2" xfId="7336" xr:uid="{00000000-0005-0000-0000-00004C660000}"/>
    <cellStyle name="40 % - Markeringsfarve3 3 3 5 3 2 2" xfId="15246" xr:uid="{00000000-0005-0000-0000-00004D660000}"/>
    <cellStyle name="40 % - Markeringsfarve3 3 3 5 3 2 2 2" xfId="31560" xr:uid="{00000000-0005-0000-0000-00004E660000}"/>
    <cellStyle name="40 % - Markeringsfarve3 3 3 5 3 2 2 3" xfId="46524" xr:uid="{00000000-0005-0000-0000-00004F660000}"/>
    <cellStyle name="40 % - Markeringsfarve3 3 3 5 3 2 3" xfId="24538" xr:uid="{00000000-0005-0000-0000-000050660000}"/>
    <cellStyle name="40 % - Markeringsfarve3 3 3 5 3 2 4" xfId="39525" xr:uid="{00000000-0005-0000-0000-000051660000}"/>
    <cellStyle name="40 % - Markeringsfarve3 3 3 5 3 3" xfId="12301" xr:uid="{00000000-0005-0000-0000-000052660000}"/>
    <cellStyle name="40 % - Markeringsfarve3 3 3 5 3 3 2" xfId="28620" xr:uid="{00000000-0005-0000-0000-000053660000}"/>
    <cellStyle name="40 % - Markeringsfarve3 3 3 5 3 3 3" xfId="43585" xr:uid="{00000000-0005-0000-0000-000054660000}"/>
    <cellStyle name="40 % - Markeringsfarve3 3 3 5 3 4" xfId="21598" xr:uid="{00000000-0005-0000-0000-000055660000}"/>
    <cellStyle name="40 % - Markeringsfarve3 3 3 5 3 5" xfId="36586" xr:uid="{00000000-0005-0000-0000-000056660000}"/>
    <cellStyle name="40 % - Markeringsfarve3 3 3 5 4" xfId="3745" xr:uid="{00000000-0005-0000-0000-000057660000}"/>
    <cellStyle name="40 % - Markeringsfarve3 3 3 5 4 2" xfId="8493" xr:uid="{00000000-0005-0000-0000-000058660000}"/>
    <cellStyle name="40 % - Markeringsfarve3 3 3 5 4 2 2" xfId="16382" xr:uid="{00000000-0005-0000-0000-000059660000}"/>
    <cellStyle name="40 % - Markeringsfarve3 3 3 5 4 2 2 2" xfId="32696" xr:uid="{00000000-0005-0000-0000-00005A660000}"/>
    <cellStyle name="40 % - Markeringsfarve3 3 3 5 4 2 2 3" xfId="47660" xr:uid="{00000000-0005-0000-0000-00005B660000}"/>
    <cellStyle name="40 % - Markeringsfarve3 3 3 5 4 2 3" xfId="25674" xr:uid="{00000000-0005-0000-0000-00005C660000}"/>
    <cellStyle name="40 % - Markeringsfarve3 3 3 5 4 2 4" xfId="40661" xr:uid="{00000000-0005-0000-0000-00005D660000}"/>
    <cellStyle name="40 % - Markeringsfarve3 3 3 5 4 3" xfId="12302" xr:uid="{00000000-0005-0000-0000-00005E660000}"/>
    <cellStyle name="40 % - Markeringsfarve3 3 3 5 4 3 2" xfId="28621" xr:uid="{00000000-0005-0000-0000-00005F660000}"/>
    <cellStyle name="40 % - Markeringsfarve3 3 3 5 4 3 3" xfId="43586" xr:uid="{00000000-0005-0000-0000-000060660000}"/>
    <cellStyle name="40 % - Markeringsfarve3 3 3 5 4 4" xfId="21599" xr:uid="{00000000-0005-0000-0000-000061660000}"/>
    <cellStyle name="40 % - Markeringsfarve3 3 3 5 4 5" xfId="36587" xr:uid="{00000000-0005-0000-0000-000062660000}"/>
    <cellStyle name="40 % - Markeringsfarve3 3 3 5 5" xfId="5889" xr:uid="{00000000-0005-0000-0000-000063660000}"/>
    <cellStyle name="40 % - Markeringsfarve3 3 3 5 5 2" xfId="13807" xr:uid="{00000000-0005-0000-0000-000064660000}"/>
    <cellStyle name="40 % - Markeringsfarve3 3 3 5 5 2 2" xfId="30121" xr:uid="{00000000-0005-0000-0000-000065660000}"/>
    <cellStyle name="40 % - Markeringsfarve3 3 3 5 5 2 3" xfId="45085" xr:uid="{00000000-0005-0000-0000-000066660000}"/>
    <cellStyle name="40 % - Markeringsfarve3 3 3 5 5 3" xfId="23099" xr:uid="{00000000-0005-0000-0000-000067660000}"/>
    <cellStyle name="40 % - Markeringsfarve3 3 3 5 5 4" xfId="38086" xr:uid="{00000000-0005-0000-0000-000068660000}"/>
    <cellStyle name="40 % - Markeringsfarve3 3 3 5 6" xfId="12298" xr:uid="{00000000-0005-0000-0000-000069660000}"/>
    <cellStyle name="40 % - Markeringsfarve3 3 3 5 6 2" xfId="28617" xr:uid="{00000000-0005-0000-0000-00006A660000}"/>
    <cellStyle name="40 % - Markeringsfarve3 3 3 5 6 3" xfId="43582" xr:uid="{00000000-0005-0000-0000-00006B660000}"/>
    <cellStyle name="40 % - Markeringsfarve3 3 3 5 7" xfId="21595" xr:uid="{00000000-0005-0000-0000-00006C660000}"/>
    <cellStyle name="40 % - Markeringsfarve3 3 3 5 8" xfId="36583" xr:uid="{00000000-0005-0000-0000-00006D660000}"/>
    <cellStyle name="40 % - Markeringsfarve3 3 3 6" xfId="3746" xr:uid="{00000000-0005-0000-0000-00006E660000}"/>
    <cellStyle name="40 % - Markeringsfarve3 3 3 6 2" xfId="3747" xr:uid="{00000000-0005-0000-0000-00006F660000}"/>
    <cellStyle name="40 % - Markeringsfarve3 3 3 6 2 2" xfId="3748" xr:uid="{00000000-0005-0000-0000-000070660000}"/>
    <cellStyle name="40 % - Markeringsfarve3 3 3 6 2 2 2" xfId="8158" xr:uid="{00000000-0005-0000-0000-000071660000}"/>
    <cellStyle name="40 % - Markeringsfarve3 3 3 6 2 2 2 2" xfId="16059" xr:uid="{00000000-0005-0000-0000-000072660000}"/>
    <cellStyle name="40 % - Markeringsfarve3 3 3 6 2 2 2 2 2" xfId="32373" xr:uid="{00000000-0005-0000-0000-000073660000}"/>
    <cellStyle name="40 % - Markeringsfarve3 3 3 6 2 2 2 2 3" xfId="47337" xr:uid="{00000000-0005-0000-0000-000074660000}"/>
    <cellStyle name="40 % - Markeringsfarve3 3 3 6 2 2 2 3" xfId="25351" xr:uid="{00000000-0005-0000-0000-000075660000}"/>
    <cellStyle name="40 % - Markeringsfarve3 3 3 6 2 2 2 4" xfId="40338" xr:uid="{00000000-0005-0000-0000-000076660000}"/>
    <cellStyle name="40 % - Markeringsfarve3 3 3 6 2 2 3" xfId="12305" xr:uid="{00000000-0005-0000-0000-000077660000}"/>
    <cellStyle name="40 % - Markeringsfarve3 3 3 6 2 2 3 2" xfId="28624" xr:uid="{00000000-0005-0000-0000-000078660000}"/>
    <cellStyle name="40 % - Markeringsfarve3 3 3 6 2 2 3 3" xfId="43589" xr:uid="{00000000-0005-0000-0000-000079660000}"/>
    <cellStyle name="40 % - Markeringsfarve3 3 3 6 2 2 4" xfId="21602" xr:uid="{00000000-0005-0000-0000-00007A660000}"/>
    <cellStyle name="40 % - Markeringsfarve3 3 3 6 2 2 5" xfId="36590" xr:uid="{00000000-0005-0000-0000-00007B660000}"/>
    <cellStyle name="40 % - Markeringsfarve3 3 3 6 2 3" xfId="6651" xr:uid="{00000000-0005-0000-0000-00007C660000}"/>
    <cellStyle name="40 % - Markeringsfarve3 3 3 6 2 3 2" xfId="14565" xr:uid="{00000000-0005-0000-0000-00007D660000}"/>
    <cellStyle name="40 % - Markeringsfarve3 3 3 6 2 3 2 2" xfId="30879" xr:uid="{00000000-0005-0000-0000-00007E660000}"/>
    <cellStyle name="40 % - Markeringsfarve3 3 3 6 2 3 2 3" xfId="45843" xr:uid="{00000000-0005-0000-0000-00007F660000}"/>
    <cellStyle name="40 % - Markeringsfarve3 3 3 6 2 3 3" xfId="23857" xr:uid="{00000000-0005-0000-0000-000080660000}"/>
    <cellStyle name="40 % - Markeringsfarve3 3 3 6 2 3 4" xfId="38844" xr:uid="{00000000-0005-0000-0000-000081660000}"/>
    <cellStyle name="40 % - Markeringsfarve3 3 3 6 2 4" xfId="12304" xr:uid="{00000000-0005-0000-0000-000082660000}"/>
    <cellStyle name="40 % - Markeringsfarve3 3 3 6 2 4 2" xfId="28623" xr:uid="{00000000-0005-0000-0000-000083660000}"/>
    <cellStyle name="40 % - Markeringsfarve3 3 3 6 2 4 3" xfId="43588" xr:uid="{00000000-0005-0000-0000-000084660000}"/>
    <cellStyle name="40 % - Markeringsfarve3 3 3 6 2 5" xfId="21601" xr:uid="{00000000-0005-0000-0000-000085660000}"/>
    <cellStyle name="40 % - Markeringsfarve3 3 3 6 2 6" xfId="36589" xr:uid="{00000000-0005-0000-0000-000086660000}"/>
    <cellStyle name="40 % - Markeringsfarve3 3 3 6 3" xfId="3749" xr:uid="{00000000-0005-0000-0000-000087660000}"/>
    <cellStyle name="40 % - Markeringsfarve3 3 3 6 3 2" xfId="7435" xr:uid="{00000000-0005-0000-0000-000088660000}"/>
    <cellStyle name="40 % - Markeringsfarve3 3 3 6 3 2 2" xfId="15345" xr:uid="{00000000-0005-0000-0000-000089660000}"/>
    <cellStyle name="40 % - Markeringsfarve3 3 3 6 3 2 2 2" xfId="31659" xr:uid="{00000000-0005-0000-0000-00008A660000}"/>
    <cellStyle name="40 % - Markeringsfarve3 3 3 6 3 2 2 3" xfId="46623" xr:uid="{00000000-0005-0000-0000-00008B660000}"/>
    <cellStyle name="40 % - Markeringsfarve3 3 3 6 3 2 3" xfId="24637" xr:uid="{00000000-0005-0000-0000-00008C660000}"/>
    <cellStyle name="40 % - Markeringsfarve3 3 3 6 3 2 4" xfId="39624" xr:uid="{00000000-0005-0000-0000-00008D660000}"/>
    <cellStyle name="40 % - Markeringsfarve3 3 3 6 3 3" xfId="12306" xr:uid="{00000000-0005-0000-0000-00008E660000}"/>
    <cellStyle name="40 % - Markeringsfarve3 3 3 6 3 3 2" xfId="28625" xr:uid="{00000000-0005-0000-0000-00008F660000}"/>
    <cellStyle name="40 % - Markeringsfarve3 3 3 6 3 3 3" xfId="43590" xr:uid="{00000000-0005-0000-0000-000090660000}"/>
    <cellStyle name="40 % - Markeringsfarve3 3 3 6 3 4" xfId="21603" xr:uid="{00000000-0005-0000-0000-000091660000}"/>
    <cellStyle name="40 % - Markeringsfarve3 3 3 6 3 5" xfId="36591" xr:uid="{00000000-0005-0000-0000-000092660000}"/>
    <cellStyle name="40 % - Markeringsfarve3 3 3 6 4" xfId="3750" xr:uid="{00000000-0005-0000-0000-000093660000}"/>
    <cellStyle name="40 % - Markeringsfarve3 3 3 6 4 2" xfId="8729" xr:uid="{00000000-0005-0000-0000-000094660000}"/>
    <cellStyle name="40 % - Markeringsfarve3 3 3 6 4 2 2" xfId="16609" xr:uid="{00000000-0005-0000-0000-000095660000}"/>
    <cellStyle name="40 % - Markeringsfarve3 3 3 6 4 2 2 2" xfId="32923" xr:uid="{00000000-0005-0000-0000-000096660000}"/>
    <cellStyle name="40 % - Markeringsfarve3 3 3 6 4 2 2 3" xfId="47887" xr:uid="{00000000-0005-0000-0000-000097660000}"/>
    <cellStyle name="40 % - Markeringsfarve3 3 3 6 4 2 3" xfId="25901" xr:uid="{00000000-0005-0000-0000-000098660000}"/>
    <cellStyle name="40 % - Markeringsfarve3 3 3 6 4 2 4" xfId="40888" xr:uid="{00000000-0005-0000-0000-000099660000}"/>
    <cellStyle name="40 % - Markeringsfarve3 3 3 6 4 3" xfId="12307" xr:uid="{00000000-0005-0000-0000-00009A660000}"/>
    <cellStyle name="40 % - Markeringsfarve3 3 3 6 4 3 2" xfId="28626" xr:uid="{00000000-0005-0000-0000-00009B660000}"/>
    <cellStyle name="40 % - Markeringsfarve3 3 3 6 4 3 3" xfId="43591" xr:uid="{00000000-0005-0000-0000-00009C660000}"/>
    <cellStyle name="40 % - Markeringsfarve3 3 3 6 4 4" xfId="21604" xr:uid="{00000000-0005-0000-0000-00009D660000}"/>
    <cellStyle name="40 % - Markeringsfarve3 3 3 6 4 5" xfId="36592" xr:uid="{00000000-0005-0000-0000-00009E660000}"/>
    <cellStyle name="40 % - Markeringsfarve3 3 3 6 5" xfId="5890" xr:uid="{00000000-0005-0000-0000-00009F660000}"/>
    <cellStyle name="40 % - Markeringsfarve3 3 3 6 5 2" xfId="13808" xr:uid="{00000000-0005-0000-0000-0000A0660000}"/>
    <cellStyle name="40 % - Markeringsfarve3 3 3 6 5 2 2" xfId="30122" xr:uid="{00000000-0005-0000-0000-0000A1660000}"/>
    <cellStyle name="40 % - Markeringsfarve3 3 3 6 5 2 3" xfId="45086" xr:uid="{00000000-0005-0000-0000-0000A2660000}"/>
    <cellStyle name="40 % - Markeringsfarve3 3 3 6 5 3" xfId="23100" xr:uid="{00000000-0005-0000-0000-0000A3660000}"/>
    <cellStyle name="40 % - Markeringsfarve3 3 3 6 5 4" xfId="38087" xr:uid="{00000000-0005-0000-0000-0000A4660000}"/>
    <cellStyle name="40 % - Markeringsfarve3 3 3 6 6" xfId="12303" xr:uid="{00000000-0005-0000-0000-0000A5660000}"/>
    <cellStyle name="40 % - Markeringsfarve3 3 3 6 6 2" xfId="28622" xr:uid="{00000000-0005-0000-0000-0000A6660000}"/>
    <cellStyle name="40 % - Markeringsfarve3 3 3 6 6 3" xfId="43587" xr:uid="{00000000-0005-0000-0000-0000A7660000}"/>
    <cellStyle name="40 % - Markeringsfarve3 3 3 6 7" xfId="21600" xr:uid="{00000000-0005-0000-0000-0000A8660000}"/>
    <cellStyle name="40 % - Markeringsfarve3 3 3 6 8" xfId="36588" xr:uid="{00000000-0005-0000-0000-0000A9660000}"/>
    <cellStyle name="40 % - Markeringsfarve3 3 3 7" xfId="3751" xr:uid="{00000000-0005-0000-0000-0000AA660000}"/>
    <cellStyle name="40 % - Markeringsfarve3 3 3 7 2" xfId="3752" xr:uid="{00000000-0005-0000-0000-0000AB660000}"/>
    <cellStyle name="40 % - Markeringsfarve3 3 3 7 2 2" xfId="7586" xr:uid="{00000000-0005-0000-0000-0000AC660000}"/>
    <cellStyle name="40 % - Markeringsfarve3 3 3 7 2 2 2" xfId="15487" xr:uid="{00000000-0005-0000-0000-0000AD660000}"/>
    <cellStyle name="40 % - Markeringsfarve3 3 3 7 2 2 2 2" xfId="31801" xr:uid="{00000000-0005-0000-0000-0000AE660000}"/>
    <cellStyle name="40 % - Markeringsfarve3 3 3 7 2 2 2 3" xfId="46765" xr:uid="{00000000-0005-0000-0000-0000AF660000}"/>
    <cellStyle name="40 % - Markeringsfarve3 3 3 7 2 2 3" xfId="24779" xr:uid="{00000000-0005-0000-0000-0000B0660000}"/>
    <cellStyle name="40 % - Markeringsfarve3 3 3 7 2 2 4" xfId="39766" xr:uid="{00000000-0005-0000-0000-0000B1660000}"/>
    <cellStyle name="40 % - Markeringsfarve3 3 3 7 2 3" xfId="12309" xr:uid="{00000000-0005-0000-0000-0000B2660000}"/>
    <cellStyle name="40 % - Markeringsfarve3 3 3 7 2 3 2" xfId="28628" xr:uid="{00000000-0005-0000-0000-0000B3660000}"/>
    <cellStyle name="40 % - Markeringsfarve3 3 3 7 2 3 3" xfId="43593" xr:uid="{00000000-0005-0000-0000-0000B4660000}"/>
    <cellStyle name="40 % - Markeringsfarve3 3 3 7 2 4" xfId="21606" xr:uid="{00000000-0005-0000-0000-0000B5660000}"/>
    <cellStyle name="40 % - Markeringsfarve3 3 3 7 2 5" xfId="36594" xr:uid="{00000000-0005-0000-0000-0000B6660000}"/>
    <cellStyle name="40 % - Markeringsfarve3 3 3 7 3" xfId="6174" xr:uid="{00000000-0005-0000-0000-0000B7660000}"/>
    <cellStyle name="40 % - Markeringsfarve3 3 3 7 3 2" xfId="14091" xr:uid="{00000000-0005-0000-0000-0000B8660000}"/>
    <cellStyle name="40 % - Markeringsfarve3 3 3 7 3 2 2" xfId="30405" xr:uid="{00000000-0005-0000-0000-0000B9660000}"/>
    <cellStyle name="40 % - Markeringsfarve3 3 3 7 3 2 3" xfId="45369" xr:uid="{00000000-0005-0000-0000-0000BA660000}"/>
    <cellStyle name="40 % - Markeringsfarve3 3 3 7 3 3" xfId="23383" xr:uid="{00000000-0005-0000-0000-0000BB660000}"/>
    <cellStyle name="40 % - Markeringsfarve3 3 3 7 3 4" xfId="38370" xr:uid="{00000000-0005-0000-0000-0000BC660000}"/>
    <cellStyle name="40 % - Markeringsfarve3 3 3 7 4" xfId="12308" xr:uid="{00000000-0005-0000-0000-0000BD660000}"/>
    <cellStyle name="40 % - Markeringsfarve3 3 3 7 4 2" xfId="28627" xr:uid="{00000000-0005-0000-0000-0000BE660000}"/>
    <cellStyle name="40 % - Markeringsfarve3 3 3 7 4 3" xfId="43592" xr:uid="{00000000-0005-0000-0000-0000BF660000}"/>
    <cellStyle name="40 % - Markeringsfarve3 3 3 7 5" xfId="21605" xr:uid="{00000000-0005-0000-0000-0000C0660000}"/>
    <cellStyle name="40 % - Markeringsfarve3 3 3 7 6" xfId="36593" xr:uid="{00000000-0005-0000-0000-0000C1660000}"/>
    <cellStyle name="40 % - Markeringsfarve3 3 3 8" xfId="3753" xr:uid="{00000000-0005-0000-0000-0000C2660000}"/>
    <cellStyle name="40 % - Markeringsfarve3 3 3 8 2" xfId="6814" xr:uid="{00000000-0005-0000-0000-0000C3660000}"/>
    <cellStyle name="40 % - Markeringsfarve3 3 3 8 2 2" xfId="14725" xr:uid="{00000000-0005-0000-0000-0000C4660000}"/>
    <cellStyle name="40 % - Markeringsfarve3 3 3 8 2 2 2" xfId="31039" xr:uid="{00000000-0005-0000-0000-0000C5660000}"/>
    <cellStyle name="40 % - Markeringsfarve3 3 3 8 2 2 3" xfId="46003" xr:uid="{00000000-0005-0000-0000-0000C6660000}"/>
    <cellStyle name="40 % - Markeringsfarve3 3 3 8 2 3" xfId="24017" xr:uid="{00000000-0005-0000-0000-0000C7660000}"/>
    <cellStyle name="40 % - Markeringsfarve3 3 3 8 2 4" xfId="39004" xr:uid="{00000000-0005-0000-0000-0000C8660000}"/>
    <cellStyle name="40 % - Markeringsfarve3 3 3 8 3" xfId="12310" xr:uid="{00000000-0005-0000-0000-0000C9660000}"/>
    <cellStyle name="40 % - Markeringsfarve3 3 3 8 3 2" xfId="28629" xr:uid="{00000000-0005-0000-0000-0000CA660000}"/>
    <cellStyle name="40 % - Markeringsfarve3 3 3 8 3 3" xfId="43594" xr:uid="{00000000-0005-0000-0000-0000CB660000}"/>
    <cellStyle name="40 % - Markeringsfarve3 3 3 8 4" xfId="21607" xr:uid="{00000000-0005-0000-0000-0000CC660000}"/>
    <cellStyle name="40 % - Markeringsfarve3 3 3 8 5" xfId="36595" xr:uid="{00000000-0005-0000-0000-0000CD660000}"/>
    <cellStyle name="40 % - Markeringsfarve3 3 3 9" xfId="3754" xr:uid="{00000000-0005-0000-0000-0000CE660000}"/>
    <cellStyle name="40 % - Markeringsfarve3 3 3 9 2" xfId="8262" xr:uid="{00000000-0005-0000-0000-0000CF660000}"/>
    <cellStyle name="40 % - Markeringsfarve3 3 3 9 2 2" xfId="16158" xr:uid="{00000000-0005-0000-0000-0000D0660000}"/>
    <cellStyle name="40 % - Markeringsfarve3 3 3 9 2 2 2" xfId="32472" xr:uid="{00000000-0005-0000-0000-0000D1660000}"/>
    <cellStyle name="40 % - Markeringsfarve3 3 3 9 2 2 3" xfId="47436" xr:uid="{00000000-0005-0000-0000-0000D2660000}"/>
    <cellStyle name="40 % - Markeringsfarve3 3 3 9 2 3" xfId="25450" xr:uid="{00000000-0005-0000-0000-0000D3660000}"/>
    <cellStyle name="40 % - Markeringsfarve3 3 3 9 2 4" xfId="40437" xr:uid="{00000000-0005-0000-0000-0000D4660000}"/>
    <cellStyle name="40 % - Markeringsfarve3 3 3 9 3" xfId="12311" xr:uid="{00000000-0005-0000-0000-0000D5660000}"/>
    <cellStyle name="40 % - Markeringsfarve3 3 3 9 3 2" xfId="28630" xr:uid="{00000000-0005-0000-0000-0000D6660000}"/>
    <cellStyle name="40 % - Markeringsfarve3 3 3 9 3 3" xfId="43595" xr:uid="{00000000-0005-0000-0000-0000D7660000}"/>
    <cellStyle name="40 % - Markeringsfarve3 3 3 9 4" xfId="21608" xr:uid="{00000000-0005-0000-0000-0000D8660000}"/>
    <cellStyle name="40 % - Markeringsfarve3 3 3 9 5" xfId="36596" xr:uid="{00000000-0005-0000-0000-0000D9660000}"/>
    <cellStyle name="40 % - Markeringsfarve3 3 4" xfId="3755" xr:uid="{00000000-0005-0000-0000-0000DA660000}"/>
    <cellStyle name="40 % - Markeringsfarve3 3 4 2" xfId="3756" xr:uid="{00000000-0005-0000-0000-0000DB660000}"/>
    <cellStyle name="40 % - Markeringsfarve3 3 4 2 2" xfId="3757" xr:uid="{00000000-0005-0000-0000-0000DC660000}"/>
    <cellStyle name="40 % - Markeringsfarve3 3 4 2 2 2" xfId="7627" xr:uid="{00000000-0005-0000-0000-0000DD660000}"/>
    <cellStyle name="40 % - Markeringsfarve3 3 4 2 2 2 2" xfId="15528" xr:uid="{00000000-0005-0000-0000-0000DE660000}"/>
    <cellStyle name="40 % - Markeringsfarve3 3 4 2 2 2 2 2" xfId="31842" xr:uid="{00000000-0005-0000-0000-0000DF660000}"/>
    <cellStyle name="40 % - Markeringsfarve3 3 4 2 2 2 2 3" xfId="46806" xr:uid="{00000000-0005-0000-0000-0000E0660000}"/>
    <cellStyle name="40 % - Markeringsfarve3 3 4 2 2 2 3" xfId="24820" xr:uid="{00000000-0005-0000-0000-0000E1660000}"/>
    <cellStyle name="40 % - Markeringsfarve3 3 4 2 2 2 4" xfId="39807" xr:uid="{00000000-0005-0000-0000-0000E2660000}"/>
    <cellStyle name="40 % - Markeringsfarve3 3 4 2 2 3" xfId="12314" xr:uid="{00000000-0005-0000-0000-0000E3660000}"/>
    <cellStyle name="40 % - Markeringsfarve3 3 4 2 2 3 2" xfId="28633" xr:uid="{00000000-0005-0000-0000-0000E4660000}"/>
    <cellStyle name="40 % - Markeringsfarve3 3 4 2 2 3 3" xfId="43598" xr:uid="{00000000-0005-0000-0000-0000E5660000}"/>
    <cellStyle name="40 % - Markeringsfarve3 3 4 2 2 4" xfId="21611" xr:uid="{00000000-0005-0000-0000-0000E6660000}"/>
    <cellStyle name="40 % - Markeringsfarve3 3 4 2 2 5" xfId="36599" xr:uid="{00000000-0005-0000-0000-0000E7660000}"/>
    <cellStyle name="40 % - Markeringsfarve3 3 4 2 3" xfId="6207" xr:uid="{00000000-0005-0000-0000-0000E8660000}"/>
    <cellStyle name="40 % - Markeringsfarve3 3 4 2 3 2" xfId="14124" xr:uid="{00000000-0005-0000-0000-0000E9660000}"/>
    <cellStyle name="40 % - Markeringsfarve3 3 4 2 3 2 2" xfId="30438" xr:uid="{00000000-0005-0000-0000-0000EA660000}"/>
    <cellStyle name="40 % - Markeringsfarve3 3 4 2 3 2 3" xfId="45402" xr:uid="{00000000-0005-0000-0000-0000EB660000}"/>
    <cellStyle name="40 % - Markeringsfarve3 3 4 2 3 3" xfId="23416" xr:uid="{00000000-0005-0000-0000-0000EC660000}"/>
    <cellStyle name="40 % - Markeringsfarve3 3 4 2 3 4" xfId="38403" xr:uid="{00000000-0005-0000-0000-0000ED660000}"/>
    <cellStyle name="40 % - Markeringsfarve3 3 4 2 4" xfId="12313" xr:uid="{00000000-0005-0000-0000-0000EE660000}"/>
    <cellStyle name="40 % - Markeringsfarve3 3 4 2 4 2" xfId="28632" xr:uid="{00000000-0005-0000-0000-0000EF660000}"/>
    <cellStyle name="40 % - Markeringsfarve3 3 4 2 4 3" xfId="43597" xr:uid="{00000000-0005-0000-0000-0000F0660000}"/>
    <cellStyle name="40 % - Markeringsfarve3 3 4 2 5" xfId="21610" xr:uid="{00000000-0005-0000-0000-0000F1660000}"/>
    <cellStyle name="40 % - Markeringsfarve3 3 4 2 6" xfId="36598" xr:uid="{00000000-0005-0000-0000-0000F2660000}"/>
    <cellStyle name="40 % - Markeringsfarve3 3 4 3" xfId="3758" xr:uid="{00000000-0005-0000-0000-0000F3660000}"/>
    <cellStyle name="40 % - Markeringsfarve3 3 4 3 2" xfId="6857" xr:uid="{00000000-0005-0000-0000-0000F4660000}"/>
    <cellStyle name="40 % - Markeringsfarve3 3 4 3 2 2" xfId="14768" xr:uid="{00000000-0005-0000-0000-0000F5660000}"/>
    <cellStyle name="40 % - Markeringsfarve3 3 4 3 2 2 2" xfId="31082" xr:uid="{00000000-0005-0000-0000-0000F6660000}"/>
    <cellStyle name="40 % - Markeringsfarve3 3 4 3 2 2 3" xfId="46046" xr:uid="{00000000-0005-0000-0000-0000F7660000}"/>
    <cellStyle name="40 % - Markeringsfarve3 3 4 3 2 3" xfId="24060" xr:uid="{00000000-0005-0000-0000-0000F8660000}"/>
    <cellStyle name="40 % - Markeringsfarve3 3 4 3 2 4" xfId="39047" xr:uid="{00000000-0005-0000-0000-0000F9660000}"/>
    <cellStyle name="40 % - Markeringsfarve3 3 4 3 3" xfId="12315" xr:uid="{00000000-0005-0000-0000-0000FA660000}"/>
    <cellStyle name="40 % - Markeringsfarve3 3 4 3 3 2" xfId="28634" xr:uid="{00000000-0005-0000-0000-0000FB660000}"/>
    <cellStyle name="40 % - Markeringsfarve3 3 4 3 3 3" xfId="43599" xr:uid="{00000000-0005-0000-0000-0000FC660000}"/>
    <cellStyle name="40 % - Markeringsfarve3 3 4 3 4" xfId="21612" xr:uid="{00000000-0005-0000-0000-0000FD660000}"/>
    <cellStyle name="40 % - Markeringsfarve3 3 4 3 5" xfId="36600" xr:uid="{00000000-0005-0000-0000-0000FE660000}"/>
    <cellStyle name="40 % - Markeringsfarve3 3 4 4" xfId="3759" xr:uid="{00000000-0005-0000-0000-0000FF660000}"/>
    <cellStyle name="40 % - Markeringsfarve3 3 4 4 2" xfId="8453" xr:uid="{00000000-0005-0000-0000-000000670000}"/>
    <cellStyle name="40 % - Markeringsfarve3 3 4 4 2 2" xfId="16345" xr:uid="{00000000-0005-0000-0000-000001670000}"/>
    <cellStyle name="40 % - Markeringsfarve3 3 4 4 2 2 2" xfId="32659" xr:uid="{00000000-0005-0000-0000-000002670000}"/>
    <cellStyle name="40 % - Markeringsfarve3 3 4 4 2 2 3" xfId="47623" xr:uid="{00000000-0005-0000-0000-000003670000}"/>
    <cellStyle name="40 % - Markeringsfarve3 3 4 4 2 3" xfId="25637" xr:uid="{00000000-0005-0000-0000-000004670000}"/>
    <cellStyle name="40 % - Markeringsfarve3 3 4 4 2 4" xfId="40624" xr:uid="{00000000-0005-0000-0000-000005670000}"/>
    <cellStyle name="40 % - Markeringsfarve3 3 4 4 3" xfId="12316" xr:uid="{00000000-0005-0000-0000-000006670000}"/>
    <cellStyle name="40 % - Markeringsfarve3 3 4 4 3 2" xfId="28635" xr:uid="{00000000-0005-0000-0000-000007670000}"/>
    <cellStyle name="40 % - Markeringsfarve3 3 4 4 3 3" xfId="43600" xr:uid="{00000000-0005-0000-0000-000008670000}"/>
    <cellStyle name="40 % - Markeringsfarve3 3 4 4 4" xfId="21613" xr:uid="{00000000-0005-0000-0000-000009670000}"/>
    <cellStyle name="40 % - Markeringsfarve3 3 4 4 5" xfId="36601" xr:uid="{00000000-0005-0000-0000-00000A670000}"/>
    <cellStyle name="40 % - Markeringsfarve3 3 4 5" xfId="5891" xr:uid="{00000000-0005-0000-0000-00000B670000}"/>
    <cellStyle name="40 % - Markeringsfarve3 3 4 5 2" xfId="13809" xr:uid="{00000000-0005-0000-0000-00000C670000}"/>
    <cellStyle name="40 % - Markeringsfarve3 3 4 5 2 2" xfId="30123" xr:uid="{00000000-0005-0000-0000-00000D670000}"/>
    <cellStyle name="40 % - Markeringsfarve3 3 4 5 2 3" xfId="45087" xr:uid="{00000000-0005-0000-0000-00000E670000}"/>
    <cellStyle name="40 % - Markeringsfarve3 3 4 5 3" xfId="23101" xr:uid="{00000000-0005-0000-0000-00000F670000}"/>
    <cellStyle name="40 % - Markeringsfarve3 3 4 5 4" xfId="38088" xr:uid="{00000000-0005-0000-0000-000010670000}"/>
    <cellStyle name="40 % - Markeringsfarve3 3 4 6" xfId="12312" xr:uid="{00000000-0005-0000-0000-000011670000}"/>
    <cellStyle name="40 % - Markeringsfarve3 3 4 6 2" xfId="28631" xr:uid="{00000000-0005-0000-0000-000012670000}"/>
    <cellStyle name="40 % - Markeringsfarve3 3 4 6 3" xfId="43596" xr:uid="{00000000-0005-0000-0000-000013670000}"/>
    <cellStyle name="40 % - Markeringsfarve3 3 4 7" xfId="21609" xr:uid="{00000000-0005-0000-0000-000014670000}"/>
    <cellStyle name="40 % - Markeringsfarve3 3 4 8" xfId="36597" xr:uid="{00000000-0005-0000-0000-000015670000}"/>
    <cellStyle name="40 % - Markeringsfarve3 3 5" xfId="3760" xr:uid="{00000000-0005-0000-0000-000016670000}"/>
    <cellStyle name="40 % - Markeringsfarve3 3 5 2" xfId="3761" xr:uid="{00000000-0005-0000-0000-000017670000}"/>
    <cellStyle name="40 % - Markeringsfarve3 3 5 2 2" xfId="3762" xr:uid="{00000000-0005-0000-0000-000018670000}"/>
    <cellStyle name="40 % - Markeringsfarve3 3 5 2 2 2" xfId="7801" xr:uid="{00000000-0005-0000-0000-000019670000}"/>
    <cellStyle name="40 % - Markeringsfarve3 3 5 2 2 2 2" xfId="15702" xr:uid="{00000000-0005-0000-0000-00001A670000}"/>
    <cellStyle name="40 % - Markeringsfarve3 3 5 2 2 2 2 2" xfId="32016" xr:uid="{00000000-0005-0000-0000-00001B670000}"/>
    <cellStyle name="40 % - Markeringsfarve3 3 5 2 2 2 2 3" xfId="46980" xr:uid="{00000000-0005-0000-0000-00001C670000}"/>
    <cellStyle name="40 % - Markeringsfarve3 3 5 2 2 2 3" xfId="24994" xr:uid="{00000000-0005-0000-0000-00001D670000}"/>
    <cellStyle name="40 % - Markeringsfarve3 3 5 2 2 2 4" xfId="39981" xr:uid="{00000000-0005-0000-0000-00001E670000}"/>
    <cellStyle name="40 % - Markeringsfarve3 3 5 2 2 3" xfId="12319" xr:uid="{00000000-0005-0000-0000-00001F670000}"/>
    <cellStyle name="40 % - Markeringsfarve3 3 5 2 2 3 2" xfId="28638" xr:uid="{00000000-0005-0000-0000-000020670000}"/>
    <cellStyle name="40 % - Markeringsfarve3 3 5 2 2 3 3" xfId="43603" xr:uid="{00000000-0005-0000-0000-000021670000}"/>
    <cellStyle name="40 % - Markeringsfarve3 3 5 2 2 4" xfId="21616" xr:uid="{00000000-0005-0000-0000-000022670000}"/>
    <cellStyle name="40 % - Markeringsfarve3 3 5 2 2 5" xfId="36604" xr:uid="{00000000-0005-0000-0000-000023670000}"/>
    <cellStyle name="40 % - Markeringsfarve3 3 5 2 3" xfId="6347" xr:uid="{00000000-0005-0000-0000-000024670000}"/>
    <cellStyle name="40 % - Markeringsfarve3 3 5 2 3 2" xfId="14264" xr:uid="{00000000-0005-0000-0000-000025670000}"/>
    <cellStyle name="40 % - Markeringsfarve3 3 5 2 3 2 2" xfId="30578" xr:uid="{00000000-0005-0000-0000-000026670000}"/>
    <cellStyle name="40 % - Markeringsfarve3 3 5 2 3 2 3" xfId="45542" xr:uid="{00000000-0005-0000-0000-000027670000}"/>
    <cellStyle name="40 % - Markeringsfarve3 3 5 2 3 3" xfId="23556" xr:uid="{00000000-0005-0000-0000-000028670000}"/>
    <cellStyle name="40 % - Markeringsfarve3 3 5 2 3 4" xfId="38543" xr:uid="{00000000-0005-0000-0000-000029670000}"/>
    <cellStyle name="40 % - Markeringsfarve3 3 5 2 4" xfId="12318" xr:uid="{00000000-0005-0000-0000-00002A670000}"/>
    <cellStyle name="40 % - Markeringsfarve3 3 5 2 4 2" xfId="28637" xr:uid="{00000000-0005-0000-0000-00002B670000}"/>
    <cellStyle name="40 % - Markeringsfarve3 3 5 2 4 3" xfId="43602" xr:uid="{00000000-0005-0000-0000-00002C670000}"/>
    <cellStyle name="40 % - Markeringsfarve3 3 5 2 5" xfId="21615" xr:uid="{00000000-0005-0000-0000-00002D670000}"/>
    <cellStyle name="40 % - Markeringsfarve3 3 5 2 6" xfId="36603" xr:uid="{00000000-0005-0000-0000-00002E670000}"/>
    <cellStyle name="40 % - Markeringsfarve3 3 5 3" xfId="3763" xr:uid="{00000000-0005-0000-0000-00002F670000}"/>
    <cellStyle name="40 % - Markeringsfarve3 3 5 3 2" xfId="7031" xr:uid="{00000000-0005-0000-0000-000030670000}"/>
    <cellStyle name="40 % - Markeringsfarve3 3 5 3 2 2" xfId="14942" xr:uid="{00000000-0005-0000-0000-000031670000}"/>
    <cellStyle name="40 % - Markeringsfarve3 3 5 3 2 2 2" xfId="31256" xr:uid="{00000000-0005-0000-0000-000032670000}"/>
    <cellStyle name="40 % - Markeringsfarve3 3 5 3 2 2 3" xfId="46220" xr:uid="{00000000-0005-0000-0000-000033670000}"/>
    <cellStyle name="40 % - Markeringsfarve3 3 5 3 2 3" xfId="24234" xr:uid="{00000000-0005-0000-0000-000034670000}"/>
    <cellStyle name="40 % - Markeringsfarve3 3 5 3 2 4" xfId="39221" xr:uid="{00000000-0005-0000-0000-000035670000}"/>
    <cellStyle name="40 % - Markeringsfarve3 3 5 3 3" xfId="12320" xr:uid="{00000000-0005-0000-0000-000036670000}"/>
    <cellStyle name="40 % - Markeringsfarve3 3 5 3 3 2" xfId="28639" xr:uid="{00000000-0005-0000-0000-000037670000}"/>
    <cellStyle name="40 % - Markeringsfarve3 3 5 3 3 3" xfId="43604" xr:uid="{00000000-0005-0000-0000-000038670000}"/>
    <cellStyle name="40 % - Markeringsfarve3 3 5 3 4" xfId="21617" xr:uid="{00000000-0005-0000-0000-000039670000}"/>
    <cellStyle name="40 % - Markeringsfarve3 3 5 3 5" xfId="36605" xr:uid="{00000000-0005-0000-0000-00003A670000}"/>
    <cellStyle name="40 % - Markeringsfarve3 3 5 4" xfId="3764" xr:uid="{00000000-0005-0000-0000-00003B670000}"/>
    <cellStyle name="40 % - Markeringsfarve3 3 5 4 2" xfId="8688" xr:uid="{00000000-0005-0000-0000-00003C670000}"/>
    <cellStyle name="40 % - Markeringsfarve3 3 5 4 2 2" xfId="16569" xr:uid="{00000000-0005-0000-0000-00003D670000}"/>
    <cellStyle name="40 % - Markeringsfarve3 3 5 4 2 2 2" xfId="32883" xr:uid="{00000000-0005-0000-0000-00003E670000}"/>
    <cellStyle name="40 % - Markeringsfarve3 3 5 4 2 2 3" xfId="47847" xr:uid="{00000000-0005-0000-0000-00003F670000}"/>
    <cellStyle name="40 % - Markeringsfarve3 3 5 4 2 3" xfId="25861" xr:uid="{00000000-0005-0000-0000-000040670000}"/>
    <cellStyle name="40 % - Markeringsfarve3 3 5 4 2 4" xfId="40848" xr:uid="{00000000-0005-0000-0000-000041670000}"/>
    <cellStyle name="40 % - Markeringsfarve3 3 5 4 3" xfId="12321" xr:uid="{00000000-0005-0000-0000-000042670000}"/>
    <cellStyle name="40 % - Markeringsfarve3 3 5 4 3 2" xfId="28640" xr:uid="{00000000-0005-0000-0000-000043670000}"/>
    <cellStyle name="40 % - Markeringsfarve3 3 5 4 3 3" xfId="43605" xr:uid="{00000000-0005-0000-0000-000044670000}"/>
    <cellStyle name="40 % - Markeringsfarve3 3 5 4 4" xfId="21618" xr:uid="{00000000-0005-0000-0000-000045670000}"/>
    <cellStyle name="40 % - Markeringsfarve3 3 5 4 5" xfId="36606" xr:uid="{00000000-0005-0000-0000-000046670000}"/>
    <cellStyle name="40 % - Markeringsfarve3 3 5 5" xfId="5892" xr:uid="{00000000-0005-0000-0000-000047670000}"/>
    <cellStyle name="40 % - Markeringsfarve3 3 5 5 2" xfId="13810" xr:uid="{00000000-0005-0000-0000-000048670000}"/>
    <cellStyle name="40 % - Markeringsfarve3 3 5 5 2 2" xfId="30124" xr:uid="{00000000-0005-0000-0000-000049670000}"/>
    <cellStyle name="40 % - Markeringsfarve3 3 5 5 2 3" xfId="45088" xr:uid="{00000000-0005-0000-0000-00004A670000}"/>
    <cellStyle name="40 % - Markeringsfarve3 3 5 5 3" xfId="23102" xr:uid="{00000000-0005-0000-0000-00004B670000}"/>
    <cellStyle name="40 % - Markeringsfarve3 3 5 5 4" xfId="38089" xr:uid="{00000000-0005-0000-0000-00004C670000}"/>
    <cellStyle name="40 % - Markeringsfarve3 3 5 6" xfId="12317" xr:uid="{00000000-0005-0000-0000-00004D670000}"/>
    <cellStyle name="40 % - Markeringsfarve3 3 5 6 2" xfId="28636" xr:uid="{00000000-0005-0000-0000-00004E670000}"/>
    <cellStyle name="40 % - Markeringsfarve3 3 5 6 3" xfId="43601" xr:uid="{00000000-0005-0000-0000-00004F670000}"/>
    <cellStyle name="40 % - Markeringsfarve3 3 5 7" xfId="21614" xr:uid="{00000000-0005-0000-0000-000050670000}"/>
    <cellStyle name="40 % - Markeringsfarve3 3 5 8" xfId="36602" xr:uid="{00000000-0005-0000-0000-000051670000}"/>
    <cellStyle name="40 % - Markeringsfarve3 3 6" xfId="3765" xr:uid="{00000000-0005-0000-0000-000052670000}"/>
    <cellStyle name="40 % - Markeringsfarve3 3 6 2" xfId="3766" xr:uid="{00000000-0005-0000-0000-000053670000}"/>
    <cellStyle name="40 % - Markeringsfarve3 3 6 2 2" xfId="3767" xr:uid="{00000000-0005-0000-0000-000054670000}"/>
    <cellStyle name="40 % - Markeringsfarve3 3 6 2 2 2" xfId="7865" xr:uid="{00000000-0005-0000-0000-000055670000}"/>
    <cellStyle name="40 % - Markeringsfarve3 3 6 2 2 2 2" xfId="15766" xr:uid="{00000000-0005-0000-0000-000056670000}"/>
    <cellStyle name="40 % - Markeringsfarve3 3 6 2 2 2 2 2" xfId="32080" xr:uid="{00000000-0005-0000-0000-000057670000}"/>
    <cellStyle name="40 % - Markeringsfarve3 3 6 2 2 2 2 3" xfId="47044" xr:uid="{00000000-0005-0000-0000-000058670000}"/>
    <cellStyle name="40 % - Markeringsfarve3 3 6 2 2 2 3" xfId="25058" xr:uid="{00000000-0005-0000-0000-000059670000}"/>
    <cellStyle name="40 % - Markeringsfarve3 3 6 2 2 2 4" xfId="40045" xr:uid="{00000000-0005-0000-0000-00005A670000}"/>
    <cellStyle name="40 % - Markeringsfarve3 3 6 2 2 3" xfId="12324" xr:uid="{00000000-0005-0000-0000-00005B670000}"/>
    <cellStyle name="40 % - Markeringsfarve3 3 6 2 2 3 2" xfId="28643" xr:uid="{00000000-0005-0000-0000-00005C670000}"/>
    <cellStyle name="40 % - Markeringsfarve3 3 6 2 2 3 3" xfId="43608" xr:uid="{00000000-0005-0000-0000-00005D670000}"/>
    <cellStyle name="40 % - Markeringsfarve3 3 6 2 2 4" xfId="21621" xr:uid="{00000000-0005-0000-0000-00005E670000}"/>
    <cellStyle name="40 % - Markeringsfarve3 3 6 2 2 5" xfId="36609" xr:uid="{00000000-0005-0000-0000-00005F670000}"/>
    <cellStyle name="40 % - Markeringsfarve3 3 6 2 3" xfId="6409" xr:uid="{00000000-0005-0000-0000-000060670000}"/>
    <cellStyle name="40 % - Markeringsfarve3 3 6 2 3 2" xfId="14323" xr:uid="{00000000-0005-0000-0000-000061670000}"/>
    <cellStyle name="40 % - Markeringsfarve3 3 6 2 3 2 2" xfId="30637" xr:uid="{00000000-0005-0000-0000-000062670000}"/>
    <cellStyle name="40 % - Markeringsfarve3 3 6 2 3 2 3" xfId="45601" xr:uid="{00000000-0005-0000-0000-000063670000}"/>
    <cellStyle name="40 % - Markeringsfarve3 3 6 2 3 3" xfId="23615" xr:uid="{00000000-0005-0000-0000-000064670000}"/>
    <cellStyle name="40 % - Markeringsfarve3 3 6 2 3 4" xfId="38602" xr:uid="{00000000-0005-0000-0000-000065670000}"/>
    <cellStyle name="40 % - Markeringsfarve3 3 6 2 4" xfId="12323" xr:uid="{00000000-0005-0000-0000-000066670000}"/>
    <cellStyle name="40 % - Markeringsfarve3 3 6 2 4 2" xfId="28642" xr:uid="{00000000-0005-0000-0000-000067670000}"/>
    <cellStyle name="40 % - Markeringsfarve3 3 6 2 4 3" xfId="43607" xr:uid="{00000000-0005-0000-0000-000068670000}"/>
    <cellStyle name="40 % - Markeringsfarve3 3 6 2 5" xfId="21620" xr:uid="{00000000-0005-0000-0000-000069670000}"/>
    <cellStyle name="40 % - Markeringsfarve3 3 6 2 6" xfId="36608" xr:uid="{00000000-0005-0000-0000-00006A670000}"/>
    <cellStyle name="40 % - Markeringsfarve3 3 6 3" xfId="3768" xr:uid="{00000000-0005-0000-0000-00006B670000}"/>
    <cellStyle name="40 % - Markeringsfarve3 3 6 3 2" xfId="7141" xr:uid="{00000000-0005-0000-0000-00006C670000}"/>
    <cellStyle name="40 % - Markeringsfarve3 3 6 3 2 2" xfId="15051" xr:uid="{00000000-0005-0000-0000-00006D670000}"/>
    <cellStyle name="40 % - Markeringsfarve3 3 6 3 2 2 2" xfId="31365" xr:uid="{00000000-0005-0000-0000-00006E670000}"/>
    <cellStyle name="40 % - Markeringsfarve3 3 6 3 2 2 3" xfId="46329" xr:uid="{00000000-0005-0000-0000-00006F670000}"/>
    <cellStyle name="40 % - Markeringsfarve3 3 6 3 2 3" xfId="24343" xr:uid="{00000000-0005-0000-0000-000070670000}"/>
    <cellStyle name="40 % - Markeringsfarve3 3 6 3 2 4" xfId="39330" xr:uid="{00000000-0005-0000-0000-000071670000}"/>
    <cellStyle name="40 % - Markeringsfarve3 3 6 3 3" xfId="12325" xr:uid="{00000000-0005-0000-0000-000072670000}"/>
    <cellStyle name="40 % - Markeringsfarve3 3 6 3 3 2" xfId="28644" xr:uid="{00000000-0005-0000-0000-000073670000}"/>
    <cellStyle name="40 % - Markeringsfarve3 3 6 3 3 3" xfId="43609" xr:uid="{00000000-0005-0000-0000-000074670000}"/>
    <cellStyle name="40 % - Markeringsfarve3 3 6 3 4" xfId="21622" xr:uid="{00000000-0005-0000-0000-000075670000}"/>
    <cellStyle name="40 % - Markeringsfarve3 3 6 3 5" xfId="36610" xr:uid="{00000000-0005-0000-0000-000076670000}"/>
    <cellStyle name="40 % - Markeringsfarve3 3 6 4" xfId="3769" xr:uid="{00000000-0005-0000-0000-000077670000}"/>
    <cellStyle name="40 % - Markeringsfarve3 3 6 4 2" xfId="8412" xr:uid="{00000000-0005-0000-0000-000078670000}"/>
    <cellStyle name="40 % - Markeringsfarve3 3 6 4 2 2" xfId="16305" xr:uid="{00000000-0005-0000-0000-000079670000}"/>
    <cellStyle name="40 % - Markeringsfarve3 3 6 4 2 2 2" xfId="32619" xr:uid="{00000000-0005-0000-0000-00007A670000}"/>
    <cellStyle name="40 % - Markeringsfarve3 3 6 4 2 2 3" xfId="47583" xr:uid="{00000000-0005-0000-0000-00007B670000}"/>
    <cellStyle name="40 % - Markeringsfarve3 3 6 4 2 3" xfId="25597" xr:uid="{00000000-0005-0000-0000-00007C670000}"/>
    <cellStyle name="40 % - Markeringsfarve3 3 6 4 2 4" xfId="40584" xr:uid="{00000000-0005-0000-0000-00007D670000}"/>
    <cellStyle name="40 % - Markeringsfarve3 3 6 4 3" xfId="12326" xr:uid="{00000000-0005-0000-0000-00007E670000}"/>
    <cellStyle name="40 % - Markeringsfarve3 3 6 4 3 2" xfId="28645" xr:uid="{00000000-0005-0000-0000-00007F670000}"/>
    <cellStyle name="40 % - Markeringsfarve3 3 6 4 3 3" xfId="43610" xr:uid="{00000000-0005-0000-0000-000080670000}"/>
    <cellStyle name="40 % - Markeringsfarve3 3 6 4 4" xfId="21623" xr:uid="{00000000-0005-0000-0000-000081670000}"/>
    <cellStyle name="40 % - Markeringsfarve3 3 6 4 5" xfId="36611" xr:uid="{00000000-0005-0000-0000-000082670000}"/>
    <cellStyle name="40 % - Markeringsfarve3 3 6 5" xfId="5893" xr:uid="{00000000-0005-0000-0000-000083670000}"/>
    <cellStyle name="40 % - Markeringsfarve3 3 6 5 2" xfId="13811" xr:uid="{00000000-0005-0000-0000-000084670000}"/>
    <cellStyle name="40 % - Markeringsfarve3 3 6 5 2 2" xfId="30125" xr:uid="{00000000-0005-0000-0000-000085670000}"/>
    <cellStyle name="40 % - Markeringsfarve3 3 6 5 2 3" xfId="45089" xr:uid="{00000000-0005-0000-0000-000086670000}"/>
    <cellStyle name="40 % - Markeringsfarve3 3 6 5 3" xfId="23103" xr:uid="{00000000-0005-0000-0000-000087670000}"/>
    <cellStyle name="40 % - Markeringsfarve3 3 6 5 4" xfId="38090" xr:uid="{00000000-0005-0000-0000-000088670000}"/>
    <cellStyle name="40 % - Markeringsfarve3 3 6 6" xfId="12322" xr:uid="{00000000-0005-0000-0000-000089670000}"/>
    <cellStyle name="40 % - Markeringsfarve3 3 6 6 2" xfId="28641" xr:uid="{00000000-0005-0000-0000-00008A670000}"/>
    <cellStyle name="40 % - Markeringsfarve3 3 6 6 3" xfId="43606" xr:uid="{00000000-0005-0000-0000-00008B670000}"/>
    <cellStyle name="40 % - Markeringsfarve3 3 6 7" xfId="21619" xr:uid="{00000000-0005-0000-0000-00008C670000}"/>
    <cellStyle name="40 % - Markeringsfarve3 3 6 8" xfId="36607" xr:uid="{00000000-0005-0000-0000-00008D670000}"/>
    <cellStyle name="40 % - Markeringsfarve3 3 7" xfId="3770" xr:uid="{00000000-0005-0000-0000-00008E670000}"/>
    <cellStyle name="40 % - Markeringsfarve3 3 7 2" xfId="3771" xr:uid="{00000000-0005-0000-0000-00008F670000}"/>
    <cellStyle name="40 % - Markeringsfarve3 3 7 2 2" xfId="3772" xr:uid="{00000000-0005-0000-0000-000090670000}"/>
    <cellStyle name="40 % - Markeringsfarve3 3 7 2 2 2" xfId="7982" xr:uid="{00000000-0005-0000-0000-000091670000}"/>
    <cellStyle name="40 % - Markeringsfarve3 3 7 2 2 2 2" xfId="15883" xr:uid="{00000000-0005-0000-0000-000092670000}"/>
    <cellStyle name="40 % - Markeringsfarve3 3 7 2 2 2 2 2" xfId="32197" xr:uid="{00000000-0005-0000-0000-000093670000}"/>
    <cellStyle name="40 % - Markeringsfarve3 3 7 2 2 2 2 3" xfId="47161" xr:uid="{00000000-0005-0000-0000-000094670000}"/>
    <cellStyle name="40 % - Markeringsfarve3 3 7 2 2 2 3" xfId="25175" xr:uid="{00000000-0005-0000-0000-000095670000}"/>
    <cellStyle name="40 % - Markeringsfarve3 3 7 2 2 2 4" xfId="40162" xr:uid="{00000000-0005-0000-0000-000096670000}"/>
    <cellStyle name="40 % - Markeringsfarve3 3 7 2 2 3" xfId="12329" xr:uid="{00000000-0005-0000-0000-000097670000}"/>
    <cellStyle name="40 % - Markeringsfarve3 3 7 2 2 3 2" xfId="28648" xr:uid="{00000000-0005-0000-0000-000098670000}"/>
    <cellStyle name="40 % - Markeringsfarve3 3 7 2 2 3 3" xfId="43613" xr:uid="{00000000-0005-0000-0000-000099670000}"/>
    <cellStyle name="40 % - Markeringsfarve3 3 7 2 2 4" xfId="21626" xr:uid="{00000000-0005-0000-0000-00009A670000}"/>
    <cellStyle name="40 % - Markeringsfarve3 3 7 2 2 5" xfId="36614" xr:uid="{00000000-0005-0000-0000-00009B670000}"/>
    <cellStyle name="40 % - Markeringsfarve3 3 7 2 3" xfId="6508" xr:uid="{00000000-0005-0000-0000-00009C670000}"/>
    <cellStyle name="40 % - Markeringsfarve3 3 7 2 3 2" xfId="14422" xr:uid="{00000000-0005-0000-0000-00009D670000}"/>
    <cellStyle name="40 % - Markeringsfarve3 3 7 2 3 2 2" xfId="30736" xr:uid="{00000000-0005-0000-0000-00009E670000}"/>
    <cellStyle name="40 % - Markeringsfarve3 3 7 2 3 2 3" xfId="45700" xr:uid="{00000000-0005-0000-0000-00009F670000}"/>
    <cellStyle name="40 % - Markeringsfarve3 3 7 2 3 3" xfId="23714" xr:uid="{00000000-0005-0000-0000-0000A0670000}"/>
    <cellStyle name="40 % - Markeringsfarve3 3 7 2 3 4" xfId="38701" xr:uid="{00000000-0005-0000-0000-0000A1670000}"/>
    <cellStyle name="40 % - Markeringsfarve3 3 7 2 4" xfId="12328" xr:uid="{00000000-0005-0000-0000-0000A2670000}"/>
    <cellStyle name="40 % - Markeringsfarve3 3 7 2 4 2" xfId="28647" xr:uid="{00000000-0005-0000-0000-0000A3670000}"/>
    <cellStyle name="40 % - Markeringsfarve3 3 7 2 4 3" xfId="43612" xr:uid="{00000000-0005-0000-0000-0000A4670000}"/>
    <cellStyle name="40 % - Markeringsfarve3 3 7 2 5" xfId="21625" xr:uid="{00000000-0005-0000-0000-0000A5670000}"/>
    <cellStyle name="40 % - Markeringsfarve3 3 7 2 6" xfId="36613" xr:uid="{00000000-0005-0000-0000-0000A6670000}"/>
    <cellStyle name="40 % - Markeringsfarve3 3 7 3" xfId="3773" xr:uid="{00000000-0005-0000-0000-0000A7670000}"/>
    <cellStyle name="40 % - Markeringsfarve3 3 7 3 2" xfId="7258" xr:uid="{00000000-0005-0000-0000-0000A8670000}"/>
    <cellStyle name="40 % - Markeringsfarve3 3 7 3 2 2" xfId="15168" xr:uid="{00000000-0005-0000-0000-0000A9670000}"/>
    <cellStyle name="40 % - Markeringsfarve3 3 7 3 2 2 2" xfId="31482" xr:uid="{00000000-0005-0000-0000-0000AA670000}"/>
    <cellStyle name="40 % - Markeringsfarve3 3 7 3 2 2 3" xfId="46446" xr:uid="{00000000-0005-0000-0000-0000AB670000}"/>
    <cellStyle name="40 % - Markeringsfarve3 3 7 3 2 3" xfId="24460" xr:uid="{00000000-0005-0000-0000-0000AC670000}"/>
    <cellStyle name="40 % - Markeringsfarve3 3 7 3 2 4" xfId="39447" xr:uid="{00000000-0005-0000-0000-0000AD670000}"/>
    <cellStyle name="40 % - Markeringsfarve3 3 7 3 3" xfId="12330" xr:uid="{00000000-0005-0000-0000-0000AE670000}"/>
    <cellStyle name="40 % - Markeringsfarve3 3 7 3 3 2" xfId="28649" xr:uid="{00000000-0005-0000-0000-0000AF670000}"/>
    <cellStyle name="40 % - Markeringsfarve3 3 7 3 3 3" xfId="43614" xr:uid="{00000000-0005-0000-0000-0000B0670000}"/>
    <cellStyle name="40 % - Markeringsfarve3 3 7 3 4" xfId="21627" xr:uid="{00000000-0005-0000-0000-0000B1670000}"/>
    <cellStyle name="40 % - Markeringsfarve3 3 7 3 5" xfId="36615" xr:uid="{00000000-0005-0000-0000-0000B2670000}"/>
    <cellStyle name="40 % - Markeringsfarve3 3 7 4" xfId="3774" xr:uid="{00000000-0005-0000-0000-0000B3670000}"/>
    <cellStyle name="40 % - Markeringsfarve3 3 7 4 2" xfId="8639" xr:uid="{00000000-0005-0000-0000-0000B4670000}"/>
    <cellStyle name="40 % - Markeringsfarve3 3 7 4 2 2" xfId="16522" xr:uid="{00000000-0005-0000-0000-0000B5670000}"/>
    <cellStyle name="40 % - Markeringsfarve3 3 7 4 2 2 2" xfId="32836" xr:uid="{00000000-0005-0000-0000-0000B6670000}"/>
    <cellStyle name="40 % - Markeringsfarve3 3 7 4 2 2 3" xfId="47800" xr:uid="{00000000-0005-0000-0000-0000B7670000}"/>
    <cellStyle name="40 % - Markeringsfarve3 3 7 4 2 3" xfId="25814" xr:uid="{00000000-0005-0000-0000-0000B8670000}"/>
    <cellStyle name="40 % - Markeringsfarve3 3 7 4 2 4" xfId="40801" xr:uid="{00000000-0005-0000-0000-0000B9670000}"/>
    <cellStyle name="40 % - Markeringsfarve3 3 7 4 3" xfId="12331" xr:uid="{00000000-0005-0000-0000-0000BA670000}"/>
    <cellStyle name="40 % - Markeringsfarve3 3 7 4 3 2" xfId="28650" xr:uid="{00000000-0005-0000-0000-0000BB670000}"/>
    <cellStyle name="40 % - Markeringsfarve3 3 7 4 3 3" xfId="43615" xr:uid="{00000000-0005-0000-0000-0000BC670000}"/>
    <cellStyle name="40 % - Markeringsfarve3 3 7 4 4" xfId="21628" xr:uid="{00000000-0005-0000-0000-0000BD670000}"/>
    <cellStyle name="40 % - Markeringsfarve3 3 7 4 5" xfId="36616" xr:uid="{00000000-0005-0000-0000-0000BE670000}"/>
    <cellStyle name="40 % - Markeringsfarve3 3 7 5" xfId="5894" xr:uid="{00000000-0005-0000-0000-0000BF670000}"/>
    <cellStyle name="40 % - Markeringsfarve3 3 7 5 2" xfId="13812" xr:uid="{00000000-0005-0000-0000-0000C0670000}"/>
    <cellStyle name="40 % - Markeringsfarve3 3 7 5 2 2" xfId="30126" xr:uid="{00000000-0005-0000-0000-0000C1670000}"/>
    <cellStyle name="40 % - Markeringsfarve3 3 7 5 2 3" xfId="45090" xr:uid="{00000000-0005-0000-0000-0000C2670000}"/>
    <cellStyle name="40 % - Markeringsfarve3 3 7 5 3" xfId="23104" xr:uid="{00000000-0005-0000-0000-0000C3670000}"/>
    <cellStyle name="40 % - Markeringsfarve3 3 7 5 4" xfId="38091" xr:uid="{00000000-0005-0000-0000-0000C4670000}"/>
    <cellStyle name="40 % - Markeringsfarve3 3 7 6" xfId="12327" xr:uid="{00000000-0005-0000-0000-0000C5670000}"/>
    <cellStyle name="40 % - Markeringsfarve3 3 7 6 2" xfId="28646" xr:uid="{00000000-0005-0000-0000-0000C6670000}"/>
    <cellStyle name="40 % - Markeringsfarve3 3 7 6 3" xfId="43611" xr:uid="{00000000-0005-0000-0000-0000C7670000}"/>
    <cellStyle name="40 % - Markeringsfarve3 3 7 7" xfId="21624" xr:uid="{00000000-0005-0000-0000-0000C8670000}"/>
    <cellStyle name="40 % - Markeringsfarve3 3 7 8" xfId="36612" xr:uid="{00000000-0005-0000-0000-0000C9670000}"/>
    <cellStyle name="40 % - Markeringsfarve3 3 8" xfId="3775" xr:uid="{00000000-0005-0000-0000-0000CA670000}"/>
    <cellStyle name="40 % - Markeringsfarve3 3 8 2" xfId="3776" xr:uid="{00000000-0005-0000-0000-0000CB670000}"/>
    <cellStyle name="40 % - Markeringsfarve3 3 8 2 2" xfId="3777" xr:uid="{00000000-0005-0000-0000-0000CC670000}"/>
    <cellStyle name="40 % - Markeringsfarve3 3 8 2 2 2" xfId="8156" xr:uid="{00000000-0005-0000-0000-0000CD670000}"/>
    <cellStyle name="40 % - Markeringsfarve3 3 8 2 2 2 2" xfId="16057" xr:uid="{00000000-0005-0000-0000-0000CE670000}"/>
    <cellStyle name="40 % - Markeringsfarve3 3 8 2 2 2 2 2" xfId="32371" xr:uid="{00000000-0005-0000-0000-0000CF670000}"/>
    <cellStyle name="40 % - Markeringsfarve3 3 8 2 2 2 2 3" xfId="47335" xr:uid="{00000000-0005-0000-0000-0000D0670000}"/>
    <cellStyle name="40 % - Markeringsfarve3 3 8 2 2 2 3" xfId="25349" xr:uid="{00000000-0005-0000-0000-0000D1670000}"/>
    <cellStyle name="40 % - Markeringsfarve3 3 8 2 2 2 4" xfId="40336" xr:uid="{00000000-0005-0000-0000-0000D2670000}"/>
    <cellStyle name="40 % - Markeringsfarve3 3 8 2 2 3" xfId="12334" xr:uid="{00000000-0005-0000-0000-0000D3670000}"/>
    <cellStyle name="40 % - Markeringsfarve3 3 8 2 2 3 2" xfId="28653" xr:uid="{00000000-0005-0000-0000-0000D4670000}"/>
    <cellStyle name="40 % - Markeringsfarve3 3 8 2 2 3 3" xfId="43618" xr:uid="{00000000-0005-0000-0000-0000D5670000}"/>
    <cellStyle name="40 % - Markeringsfarve3 3 8 2 2 4" xfId="21631" xr:uid="{00000000-0005-0000-0000-0000D6670000}"/>
    <cellStyle name="40 % - Markeringsfarve3 3 8 2 2 5" xfId="36619" xr:uid="{00000000-0005-0000-0000-0000D7670000}"/>
    <cellStyle name="40 % - Markeringsfarve3 3 8 2 3" xfId="6649" xr:uid="{00000000-0005-0000-0000-0000D8670000}"/>
    <cellStyle name="40 % - Markeringsfarve3 3 8 2 3 2" xfId="14563" xr:uid="{00000000-0005-0000-0000-0000D9670000}"/>
    <cellStyle name="40 % - Markeringsfarve3 3 8 2 3 2 2" xfId="30877" xr:uid="{00000000-0005-0000-0000-0000DA670000}"/>
    <cellStyle name="40 % - Markeringsfarve3 3 8 2 3 2 3" xfId="45841" xr:uid="{00000000-0005-0000-0000-0000DB670000}"/>
    <cellStyle name="40 % - Markeringsfarve3 3 8 2 3 3" xfId="23855" xr:uid="{00000000-0005-0000-0000-0000DC670000}"/>
    <cellStyle name="40 % - Markeringsfarve3 3 8 2 3 4" xfId="38842" xr:uid="{00000000-0005-0000-0000-0000DD670000}"/>
    <cellStyle name="40 % - Markeringsfarve3 3 8 2 4" xfId="12333" xr:uid="{00000000-0005-0000-0000-0000DE670000}"/>
    <cellStyle name="40 % - Markeringsfarve3 3 8 2 4 2" xfId="28652" xr:uid="{00000000-0005-0000-0000-0000DF670000}"/>
    <cellStyle name="40 % - Markeringsfarve3 3 8 2 4 3" xfId="43617" xr:uid="{00000000-0005-0000-0000-0000E0670000}"/>
    <cellStyle name="40 % - Markeringsfarve3 3 8 2 5" xfId="21630" xr:uid="{00000000-0005-0000-0000-0000E1670000}"/>
    <cellStyle name="40 % - Markeringsfarve3 3 8 2 6" xfId="36618" xr:uid="{00000000-0005-0000-0000-0000E2670000}"/>
    <cellStyle name="40 % - Markeringsfarve3 3 8 3" xfId="3778" xr:uid="{00000000-0005-0000-0000-0000E3670000}"/>
    <cellStyle name="40 % - Markeringsfarve3 3 8 3 2" xfId="7433" xr:uid="{00000000-0005-0000-0000-0000E4670000}"/>
    <cellStyle name="40 % - Markeringsfarve3 3 8 3 2 2" xfId="15343" xr:uid="{00000000-0005-0000-0000-0000E5670000}"/>
    <cellStyle name="40 % - Markeringsfarve3 3 8 3 2 2 2" xfId="31657" xr:uid="{00000000-0005-0000-0000-0000E6670000}"/>
    <cellStyle name="40 % - Markeringsfarve3 3 8 3 2 2 3" xfId="46621" xr:uid="{00000000-0005-0000-0000-0000E7670000}"/>
    <cellStyle name="40 % - Markeringsfarve3 3 8 3 2 3" xfId="24635" xr:uid="{00000000-0005-0000-0000-0000E8670000}"/>
    <cellStyle name="40 % - Markeringsfarve3 3 8 3 2 4" xfId="39622" xr:uid="{00000000-0005-0000-0000-0000E9670000}"/>
    <cellStyle name="40 % - Markeringsfarve3 3 8 3 3" xfId="12335" xr:uid="{00000000-0005-0000-0000-0000EA670000}"/>
    <cellStyle name="40 % - Markeringsfarve3 3 8 3 3 2" xfId="28654" xr:uid="{00000000-0005-0000-0000-0000EB670000}"/>
    <cellStyle name="40 % - Markeringsfarve3 3 8 3 3 3" xfId="43619" xr:uid="{00000000-0005-0000-0000-0000EC670000}"/>
    <cellStyle name="40 % - Markeringsfarve3 3 8 3 4" xfId="21632" xr:uid="{00000000-0005-0000-0000-0000ED670000}"/>
    <cellStyle name="40 % - Markeringsfarve3 3 8 3 5" xfId="36620" xr:uid="{00000000-0005-0000-0000-0000EE670000}"/>
    <cellStyle name="40 % - Markeringsfarve3 3 8 4" xfId="3779" xr:uid="{00000000-0005-0000-0000-0000EF670000}"/>
    <cellStyle name="40 % - Markeringsfarve3 3 8 4 2" xfId="8288" xr:uid="{00000000-0005-0000-0000-0000F0670000}"/>
    <cellStyle name="40 % - Markeringsfarve3 3 8 4 2 2" xfId="16182" xr:uid="{00000000-0005-0000-0000-0000F1670000}"/>
    <cellStyle name="40 % - Markeringsfarve3 3 8 4 2 2 2" xfId="32496" xr:uid="{00000000-0005-0000-0000-0000F2670000}"/>
    <cellStyle name="40 % - Markeringsfarve3 3 8 4 2 2 3" xfId="47460" xr:uid="{00000000-0005-0000-0000-0000F3670000}"/>
    <cellStyle name="40 % - Markeringsfarve3 3 8 4 2 3" xfId="25474" xr:uid="{00000000-0005-0000-0000-0000F4670000}"/>
    <cellStyle name="40 % - Markeringsfarve3 3 8 4 2 4" xfId="40461" xr:uid="{00000000-0005-0000-0000-0000F5670000}"/>
    <cellStyle name="40 % - Markeringsfarve3 3 8 4 3" xfId="12336" xr:uid="{00000000-0005-0000-0000-0000F6670000}"/>
    <cellStyle name="40 % - Markeringsfarve3 3 8 4 3 2" xfId="28655" xr:uid="{00000000-0005-0000-0000-0000F7670000}"/>
    <cellStyle name="40 % - Markeringsfarve3 3 8 4 3 3" xfId="43620" xr:uid="{00000000-0005-0000-0000-0000F8670000}"/>
    <cellStyle name="40 % - Markeringsfarve3 3 8 4 4" xfId="21633" xr:uid="{00000000-0005-0000-0000-0000F9670000}"/>
    <cellStyle name="40 % - Markeringsfarve3 3 8 4 5" xfId="36621" xr:uid="{00000000-0005-0000-0000-0000FA670000}"/>
    <cellStyle name="40 % - Markeringsfarve3 3 8 5" xfId="5895" xr:uid="{00000000-0005-0000-0000-0000FB670000}"/>
    <cellStyle name="40 % - Markeringsfarve3 3 8 5 2" xfId="13813" xr:uid="{00000000-0005-0000-0000-0000FC670000}"/>
    <cellStyle name="40 % - Markeringsfarve3 3 8 5 2 2" xfId="30127" xr:uid="{00000000-0005-0000-0000-0000FD670000}"/>
    <cellStyle name="40 % - Markeringsfarve3 3 8 5 2 3" xfId="45091" xr:uid="{00000000-0005-0000-0000-0000FE670000}"/>
    <cellStyle name="40 % - Markeringsfarve3 3 8 5 3" xfId="23105" xr:uid="{00000000-0005-0000-0000-0000FF670000}"/>
    <cellStyle name="40 % - Markeringsfarve3 3 8 5 4" xfId="38092" xr:uid="{00000000-0005-0000-0000-000000680000}"/>
    <cellStyle name="40 % - Markeringsfarve3 3 8 6" xfId="12332" xr:uid="{00000000-0005-0000-0000-000001680000}"/>
    <cellStyle name="40 % - Markeringsfarve3 3 8 6 2" xfId="28651" xr:uid="{00000000-0005-0000-0000-000002680000}"/>
    <cellStyle name="40 % - Markeringsfarve3 3 8 6 3" xfId="43616" xr:uid="{00000000-0005-0000-0000-000003680000}"/>
    <cellStyle name="40 % - Markeringsfarve3 3 8 7" xfId="21629" xr:uid="{00000000-0005-0000-0000-000004680000}"/>
    <cellStyle name="40 % - Markeringsfarve3 3 8 8" xfId="36617" xr:uid="{00000000-0005-0000-0000-000005680000}"/>
    <cellStyle name="40 % - Markeringsfarve3 3 9" xfId="3780" xr:uid="{00000000-0005-0000-0000-000006680000}"/>
    <cellStyle name="40 % - Markeringsfarve3 3 9 2" xfId="3781" xr:uid="{00000000-0005-0000-0000-000007680000}"/>
    <cellStyle name="40 % - Markeringsfarve3 3 9 2 2" xfId="7508" xr:uid="{00000000-0005-0000-0000-000008680000}"/>
    <cellStyle name="40 % - Markeringsfarve3 3 9 2 2 2" xfId="15409" xr:uid="{00000000-0005-0000-0000-000009680000}"/>
    <cellStyle name="40 % - Markeringsfarve3 3 9 2 2 2 2" xfId="31723" xr:uid="{00000000-0005-0000-0000-00000A680000}"/>
    <cellStyle name="40 % - Markeringsfarve3 3 9 2 2 2 3" xfId="46687" xr:uid="{00000000-0005-0000-0000-00000B680000}"/>
    <cellStyle name="40 % - Markeringsfarve3 3 9 2 2 3" xfId="24701" xr:uid="{00000000-0005-0000-0000-00000C680000}"/>
    <cellStyle name="40 % - Markeringsfarve3 3 9 2 2 4" xfId="39688" xr:uid="{00000000-0005-0000-0000-00000D680000}"/>
    <cellStyle name="40 % - Markeringsfarve3 3 9 2 3" xfId="12338" xr:uid="{00000000-0005-0000-0000-00000E680000}"/>
    <cellStyle name="40 % - Markeringsfarve3 3 9 2 3 2" xfId="28657" xr:uid="{00000000-0005-0000-0000-00000F680000}"/>
    <cellStyle name="40 % - Markeringsfarve3 3 9 2 3 3" xfId="43622" xr:uid="{00000000-0005-0000-0000-000010680000}"/>
    <cellStyle name="40 % - Markeringsfarve3 3 9 2 4" xfId="21635" xr:uid="{00000000-0005-0000-0000-000011680000}"/>
    <cellStyle name="40 % - Markeringsfarve3 3 9 2 5" xfId="36623" xr:uid="{00000000-0005-0000-0000-000012680000}"/>
    <cellStyle name="40 % - Markeringsfarve3 3 9 3" xfId="6108" xr:uid="{00000000-0005-0000-0000-000013680000}"/>
    <cellStyle name="40 % - Markeringsfarve3 3 9 3 2" xfId="14025" xr:uid="{00000000-0005-0000-0000-000014680000}"/>
    <cellStyle name="40 % - Markeringsfarve3 3 9 3 2 2" xfId="30339" xr:uid="{00000000-0005-0000-0000-000015680000}"/>
    <cellStyle name="40 % - Markeringsfarve3 3 9 3 2 3" xfId="45303" xr:uid="{00000000-0005-0000-0000-000016680000}"/>
    <cellStyle name="40 % - Markeringsfarve3 3 9 3 3" xfId="23317" xr:uid="{00000000-0005-0000-0000-000017680000}"/>
    <cellStyle name="40 % - Markeringsfarve3 3 9 3 4" xfId="38304" xr:uid="{00000000-0005-0000-0000-000018680000}"/>
    <cellStyle name="40 % - Markeringsfarve3 3 9 4" xfId="12337" xr:uid="{00000000-0005-0000-0000-000019680000}"/>
    <cellStyle name="40 % - Markeringsfarve3 3 9 4 2" xfId="28656" xr:uid="{00000000-0005-0000-0000-00001A680000}"/>
    <cellStyle name="40 % - Markeringsfarve3 3 9 4 3" xfId="43621" xr:uid="{00000000-0005-0000-0000-00001B680000}"/>
    <cellStyle name="40 % - Markeringsfarve3 3 9 5" xfId="21634" xr:uid="{00000000-0005-0000-0000-00001C680000}"/>
    <cellStyle name="40 % - Markeringsfarve3 3 9 6" xfId="36622" xr:uid="{00000000-0005-0000-0000-00001D680000}"/>
    <cellStyle name="40 % - Markeringsfarve3 4" xfId="3782" xr:uid="{00000000-0005-0000-0000-00001E680000}"/>
    <cellStyle name="40 % - Markeringsfarve3 4 10" xfId="5896" xr:uid="{00000000-0005-0000-0000-00001F680000}"/>
    <cellStyle name="40 % - Markeringsfarve3 4 10 2" xfId="13814" xr:uid="{00000000-0005-0000-0000-000020680000}"/>
    <cellStyle name="40 % - Markeringsfarve3 4 10 2 2" xfId="30128" xr:uid="{00000000-0005-0000-0000-000021680000}"/>
    <cellStyle name="40 % - Markeringsfarve3 4 10 2 3" xfId="45092" xr:uid="{00000000-0005-0000-0000-000022680000}"/>
    <cellStyle name="40 % - Markeringsfarve3 4 10 3" xfId="23106" xr:uid="{00000000-0005-0000-0000-000023680000}"/>
    <cellStyle name="40 % - Markeringsfarve3 4 10 4" xfId="38093" xr:uid="{00000000-0005-0000-0000-000024680000}"/>
    <cellStyle name="40 % - Markeringsfarve3 4 11" xfId="12339" xr:uid="{00000000-0005-0000-0000-000025680000}"/>
    <cellStyle name="40 % - Markeringsfarve3 4 11 2" xfId="28658" xr:uid="{00000000-0005-0000-0000-000026680000}"/>
    <cellStyle name="40 % - Markeringsfarve3 4 11 3" xfId="43623" xr:uid="{00000000-0005-0000-0000-000027680000}"/>
    <cellStyle name="40 % - Markeringsfarve3 4 12" xfId="21636" xr:uid="{00000000-0005-0000-0000-000028680000}"/>
    <cellStyle name="40 % - Markeringsfarve3 4 13" xfId="36624" xr:uid="{00000000-0005-0000-0000-000029680000}"/>
    <cellStyle name="40 % - Markeringsfarve3 4 14" xfId="53382" xr:uid="{00000000-0005-0000-0000-00002A680000}"/>
    <cellStyle name="40 % - Markeringsfarve3 4 2" xfId="3783" xr:uid="{00000000-0005-0000-0000-00002B680000}"/>
    <cellStyle name="40 % - Markeringsfarve3 4 2 2" xfId="3784" xr:uid="{00000000-0005-0000-0000-00002C680000}"/>
    <cellStyle name="40 % - Markeringsfarve3 4 2 2 2" xfId="3785" xr:uid="{00000000-0005-0000-0000-00002D680000}"/>
    <cellStyle name="40 % - Markeringsfarve3 4 2 2 2 2" xfId="7652" xr:uid="{00000000-0005-0000-0000-00002E680000}"/>
    <cellStyle name="40 % - Markeringsfarve3 4 2 2 2 2 2" xfId="15553" xr:uid="{00000000-0005-0000-0000-00002F680000}"/>
    <cellStyle name="40 % - Markeringsfarve3 4 2 2 2 2 2 2" xfId="31867" xr:uid="{00000000-0005-0000-0000-000030680000}"/>
    <cellStyle name="40 % - Markeringsfarve3 4 2 2 2 2 2 3" xfId="46831" xr:uid="{00000000-0005-0000-0000-000031680000}"/>
    <cellStyle name="40 % - Markeringsfarve3 4 2 2 2 2 3" xfId="24845" xr:uid="{00000000-0005-0000-0000-000032680000}"/>
    <cellStyle name="40 % - Markeringsfarve3 4 2 2 2 2 4" xfId="39832" xr:uid="{00000000-0005-0000-0000-000033680000}"/>
    <cellStyle name="40 % - Markeringsfarve3 4 2 2 2 3" xfId="12342" xr:uid="{00000000-0005-0000-0000-000034680000}"/>
    <cellStyle name="40 % - Markeringsfarve3 4 2 2 2 3 2" xfId="28661" xr:uid="{00000000-0005-0000-0000-000035680000}"/>
    <cellStyle name="40 % - Markeringsfarve3 4 2 2 2 3 3" xfId="43626" xr:uid="{00000000-0005-0000-0000-000036680000}"/>
    <cellStyle name="40 % - Markeringsfarve3 4 2 2 2 4" xfId="21639" xr:uid="{00000000-0005-0000-0000-000037680000}"/>
    <cellStyle name="40 % - Markeringsfarve3 4 2 2 2 5" xfId="36627" xr:uid="{00000000-0005-0000-0000-000038680000}"/>
    <cellStyle name="40 % - Markeringsfarve3 4 2 2 3" xfId="6228" xr:uid="{00000000-0005-0000-0000-000039680000}"/>
    <cellStyle name="40 % - Markeringsfarve3 4 2 2 3 2" xfId="14145" xr:uid="{00000000-0005-0000-0000-00003A680000}"/>
    <cellStyle name="40 % - Markeringsfarve3 4 2 2 3 2 2" xfId="30459" xr:uid="{00000000-0005-0000-0000-00003B680000}"/>
    <cellStyle name="40 % - Markeringsfarve3 4 2 2 3 2 3" xfId="45423" xr:uid="{00000000-0005-0000-0000-00003C680000}"/>
    <cellStyle name="40 % - Markeringsfarve3 4 2 2 3 3" xfId="23437" xr:uid="{00000000-0005-0000-0000-00003D680000}"/>
    <cellStyle name="40 % - Markeringsfarve3 4 2 2 3 4" xfId="38424" xr:uid="{00000000-0005-0000-0000-00003E680000}"/>
    <cellStyle name="40 % - Markeringsfarve3 4 2 2 4" xfId="12341" xr:uid="{00000000-0005-0000-0000-00003F680000}"/>
    <cellStyle name="40 % - Markeringsfarve3 4 2 2 4 2" xfId="28660" xr:uid="{00000000-0005-0000-0000-000040680000}"/>
    <cellStyle name="40 % - Markeringsfarve3 4 2 2 4 3" xfId="43625" xr:uid="{00000000-0005-0000-0000-000041680000}"/>
    <cellStyle name="40 % - Markeringsfarve3 4 2 2 5" xfId="21638" xr:uid="{00000000-0005-0000-0000-000042680000}"/>
    <cellStyle name="40 % - Markeringsfarve3 4 2 2 6" xfId="36626" xr:uid="{00000000-0005-0000-0000-000043680000}"/>
    <cellStyle name="40 % - Markeringsfarve3 4 2 2 7" xfId="57186" xr:uid="{00000000-0005-0000-0000-000044680000}"/>
    <cellStyle name="40 % - Markeringsfarve3 4 2 3" xfId="3786" xr:uid="{00000000-0005-0000-0000-000045680000}"/>
    <cellStyle name="40 % - Markeringsfarve3 4 2 3 2" xfId="6882" xr:uid="{00000000-0005-0000-0000-000046680000}"/>
    <cellStyle name="40 % - Markeringsfarve3 4 2 3 2 2" xfId="14793" xr:uid="{00000000-0005-0000-0000-000047680000}"/>
    <cellStyle name="40 % - Markeringsfarve3 4 2 3 2 2 2" xfId="31107" xr:uid="{00000000-0005-0000-0000-000048680000}"/>
    <cellStyle name="40 % - Markeringsfarve3 4 2 3 2 2 3" xfId="46071" xr:uid="{00000000-0005-0000-0000-000049680000}"/>
    <cellStyle name="40 % - Markeringsfarve3 4 2 3 2 3" xfId="24085" xr:uid="{00000000-0005-0000-0000-00004A680000}"/>
    <cellStyle name="40 % - Markeringsfarve3 4 2 3 2 4" xfId="39072" xr:uid="{00000000-0005-0000-0000-00004B680000}"/>
    <cellStyle name="40 % - Markeringsfarve3 4 2 3 3" xfId="12343" xr:uid="{00000000-0005-0000-0000-00004C680000}"/>
    <cellStyle name="40 % - Markeringsfarve3 4 2 3 3 2" xfId="28662" xr:uid="{00000000-0005-0000-0000-00004D680000}"/>
    <cellStyle name="40 % - Markeringsfarve3 4 2 3 3 3" xfId="43627" xr:uid="{00000000-0005-0000-0000-00004E680000}"/>
    <cellStyle name="40 % - Markeringsfarve3 4 2 3 4" xfId="21640" xr:uid="{00000000-0005-0000-0000-00004F680000}"/>
    <cellStyle name="40 % - Markeringsfarve3 4 2 3 5" xfId="36628" xr:uid="{00000000-0005-0000-0000-000050680000}"/>
    <cellStyle name="40 % - Markeringsfarve3 4 2 4" xfId="3787" xr:uid="{00000000-0005-0000-0000-000051680000}"/>
    <cellStyle name="40 % - Markeringsfarve3 4 2 4 2" xfId="8248" xr:uid="{00000000-0005-0000-0000-000052680000}"/>
    <cellStyle name="40 % - Markeringsfarve3 4 2 4 2 2" xfId="16145" xr:uid="{00000000-0005-0000-0000-000053680000}"/>
    <cellStyle name="40 % - Markeringsfarve3 4 2 4 2 2 2" xfId="32459" xr:uid="{00000000-0005-0000-0000-000054680000}"/>
    <cellStyle name="40 % - Markeringsfarve3 4 2 4 2 2 3" xfId="47423" xr:uid="{00000000-0005-0000-0000-000055680000}"/>
    <cellStyle name="40 % - Markeringsfarve3 4 2 4 2 3" xfId="25437" xr:uid="{00000000-0005-0000-0000-000056680000}"/>
    <cellStyle name="40 % - Markeringsfarve3 4 2 4 2 4" xfId="40424" xr:uid="{00000000-0005-0000-0000-000057680000}"/>
    <cellStyle name="40 % - Markeringsfarve3 4 2 4 3" xfId="12344" xr:uid="{00000000-0005-0000-0000-000058680000}"/>
    <cellStyle name="40 % - Markeringsfarve3 4 2 4 3 2" xfId="28663" xr:uid="{00000000-0005-0000-0000-000059680000}"/>
    <cellStyle name="40 % - Markeringsfarve3 4 2 4 3 3" xfId="43628" xr:uid="{00000000-0005-0000-0000-00005A680000}"/>
    <cellStyle name="40 % - Markeringsfarve3 4 2 4 4" xfId="21641" xr:uid="{00000000-0005-0000-0000-00005B680000}"/>
    <cellStyle name="40 % - Markeringsfarve3 4 2 4 5" xfId="36629" xr:uid="{00000000-0005-0000-0000-00005C680000}"/>
    <cellStyle name="40 % - Markeringsfarve3 4 2 5" xfId="5897" xr:uid="{00000000-0005-0000-0000-00005D680000}"/>
    <cellStyle name="40 % - Markeringsfarve3 4 2 5 2" xfId="13815" xr:uid="{00000000-0005-0000-0000-00005E680000}"/>
    <cellStyle name="40 % - Markeringsfarve3 4 2 5 2 2" xfId="30129" xr:uid="{00000000-0005-0000-0000-00005F680000}"/>
    <cellStyle name="40 % - Markeringsfarve3 4 2 5 2 3" xfId="45093" xr:uid="{00000000-0005-0000-0000-000060680000}"/>
    <cellStyle name="40 % - Markeringsfarve3 4 2 5 3" xfId="23107" xr:uid="{00000000-0005-0000-0000-000061680000}"/>
    <cellStyle name="40 % - Markeringsfarve3 4 2 5 4" xfId="38094" xr:uid="{00000000-0005-0000-0000-000062680000}"/>
    <cellStyle name="40 % - Markeringsfarve3 4 2 6" xfId="12340" xr:uid="{00000000-0005-0000-0000-000063680000}"/>
    <cellStyle name="40 % - Markeringsfarve3 4 2 6 2" xfId="28659" xr:uid="{00000000-0005-0000-0000-000064680000}"/>
    <cellStyle name="40 % - Markeringsfarve3 4 2 6 3" xfId="43624" xr:uid="{00000000-0005-0000-0000-000065680000}"/>
    <cellStyle name="40 % - Markeringsfarve3 4 2 7" xfId="21637" xr:uid="{00000000-0005-0000-0000-000066680000}"/>
    <cellStyle name="40 % - Markeringsfarve3 4 2 8" xfId="36625" xr:uid="{00000000-0005-0000-0000-000067680000}"/>
    <cellStyle name="40 % - Markeringsfarve3 4 2 9" xfId="54019" xr:uid="{00000000-0005-0000-0000-000068680000}"/>
    <cellStyle name="40 % - Markeringsfarve3 4 3" xfId="3788" xr:uid="{00000000-0005-0000-0000-000069680000}"/>
    <cellStyle name="40 % - Markeringsfarve3 4 3 2" xfId="3789" xr:uid="{00000000-0005-0000-0000-00006A680000}"/>
    <cellStyle name="40 % - Markeringsfarve3 4 3 2 2" xfId="3790" xr:uid="{00000000-0005-0000-0000-00006B680000}"/>
    <cellStyle name="40 % - Markeringsfarve3 4 3 2 2 2" xfId="7804" xr:uid="{00000000-0005-0000-0000-00006C680000}"/>
    <cellStyle name="40 % - Markeringsfarve3 4 3 2 2 2 2" xfId="15705" xr:uid="{00000000-0005-0000-0000-00006D680000}"/>
    <cellStyle name="40 % - Markeringsfarve3 4 3 2 2 2 2 2" xfId="32019" xr:uid="{00000000-0005-0000-0000-00006E680000}"/>
    <cellStyle name="40 % - Markeringsfarve3 4 3 2 2 2 2 3" xfId="46983" xr:uid="{00000000-0005-0000-0000-00006F680000}"/>
    <cellStyle name="40 % - Markeringsfarve3 4 3 2 2 2 3" xfId="24997" xr:uid="{00000000-0005-0000-0000-000070680000}"/>
    <cellStyle name="40 % - Markeringsfarve3 4 3 2 2 2 4" xfId="39984" xr:uid="{00000000-0005-0000-0000-000071680000}"/>
    <cellStyle name="40 % - Markeringsfarve3 4 3 2 2 3" xfId="12347" xr:uid="{00000000-0005-0000-0000-000072680000}"/>
    <cellStyle name="40 % - Markeringsfarve3 4 3 2 2 3 2" xfId="28666" xr:uid="{00000000-0005-0000-0000-000073680000}"/>
    <cellStyle name="40 % - Markeringsfarve3 4 3 2 2 3 3" xfId="43631" xr:uid="{00000000-0005-0000-0000-000074680000}"/>
    <cellStyle name="40 % - Markeringsfarve3 4 3 2 2 4" xfId="21644" xr:uid="{00000000-0005-0000-0000-000075680000}"/>
    <cellStyle name="40 % - Markeringsfarve3 4 3 2 2 5" xfId="36632" xr:uid="{00000000-0005-0000-0000-000076680000}"/>
    <cellStyle name="40 % - Markeringsfarve3 4 3 2 3" xfId="6350" xr:uid="{00000000-0005-0000-0000-000077680000}"/>
    <cellStyle name="40 % - Markeringsfarve3 4 3 2 3 2" xfId="14267" xr:uid="{00000000-0005-0000-0000-000078680000}"/>
    <cellStyle name="40 % - Markeringsfarve3 4 3 2 3 2 2" xfId="30581" xr:uid="{00000000-0005-0000-0000-000079680000}"/>
    <cellStyle name="40 % - Markeringsfarve3 4 3 2 3 2 3" xfId="45545" xr:uid="{00000000-0005-0000-0000-00007A680000}"/>
    <cellStyle name="40 % - Markeringsfarve3 4 3 2 3 3" xfId="23559" xr:uid="{00000000-0005-0000-0000-00007B680000}"/>
    <cellStyle name="40 % - Markeringsfarve3 4 3 2 3 4" xfId="38546" xr:uid="{00000000-0005-0000-0000-00007C680000}"/>
    <cellStyle name="40 % - Markeringsfarve3 4 3 2 4" xfId="12346" xr:uid="{00000000-0005-0000-0000-00007D680000}"/>
    <cellStyle name="40 % - Markeringsfarve3 4 3 2 4 2" xfId="28665" xr:uid="{00000000-0005-0000-0000-00007E680000}"/>
    <cellStyle name="40 % - Markeringsfarve3 4 3 2 4 3" xfId="43630" xr:uid="{00000000-0005-0000-0000-00007F680000}"/>
    <cellStyle name="40 % - Markeringsfarve3 4 3 2 5" xfId="21643" xr:uid="{00000000-0005-0000-0000-000080680000}"/>
    <cellStyle name="40 % - Markeringsfarve3 4 3 2 6" xfId="36631" xr:uid="{00000000-0005-0000-0000-000081680000}"/>
    <cellStyle name="40 % - Markeringsfarve3 4 3 3" xfId="3791" xr:uid="{00000000-0005-0000-0000-000082680000}"/>
    <cellStyle name="40 % - Markeringsfarve3 4 3 3 2" xfId="7034" xr:uid="{00000000-0005-0000-0000-000083680000}"/>
    <cellStyle name="40 % - Markeringsfarve3 4 3 3 2 2" xfId="14945" xr:uid="{00000000-0005-0000-0000-000084680000}"/>
    <cellStyle name="40 % - Markeringsfarve3 4 3 3 2 2 2" xfId="31259" xr:uid="{00000000-0005-0000-0000-000085680000}"/>
    <cellStyle name="40 % - Markeringsfarve3 4 3 3 2 2 3" xfId="46223" xr:uid="{00000000-0005-0000-0000-000086680000}"/>
    <cellStyle name="40 % - Markeringsfarve3 4 3 3 2 3" xfId="24237" xr:uid="{00000000-0005-0000-0000-000087680000}"/>
    <cellStyle name="40 % - Markeringsfarve3 4 3 3 2 4" xfId="39224" xr:uid="{00000000-0005-0000-0000-000088680000}"/>
    <cellStyle name="40 % - Markeringsfarve3 4 3 3 3" xfId="12348" xr:uid="{00000000-0005-0000-0000-000089680000}"/>
    <cellStyle name="40 % - Markeringsfarve3 4 3 3 3 2" xfId="28667" xr:uid="{00000000-0005-0000-0000-00008A680000}"/>
    <cellStyle name="40 % - Markeringsfarve3 4 3 3 3 3" xfId="43632" xr:uid="{00000000-0005-0000-0000-00008B680000}"/>
    <cellStyle name="40 % - Markeringsfarve3 4 3 3 4" xfId="21645" xr:uid="{00000000-0005-0000-0000-00008C680000}"/>
    <cellStyle name="40 % - Markeringsfarve3 4 3 3 5" xfId="36633" xr:uid="{00000000-0005-0000-0000-00008D680000}"/>
    <cellStyle name="40 % - Markeringsfarve3 4 3 4" xfId="3792" xr:uid="{00000000-0005-0000-0000-00008E680000}"/>
    <cellStyle name="40 % - Markeringsfarve3 4 3 4 2" xfId="7064" xr:uid="{00000000-0005-0000-0000-00008F680000}"/>
    <cellStyle name="40 % - Markeringsfarve3 4 3 4 2 2" xfId="14975" xr:uid="{00000000-0005-0000-0000-000090680000}"/>
    <cellStyle name="40 % - Markeringsfarve3 4 3 4 2 2 2" xfId="31289" xr:uid="{00000000-0005-0000-0000-000091680000}"/>
    <cellStyle name="40 % - Markeringsfarve3 4 3 4 2 2 3" xfId="46253" xr:uid="{00000000-0005-0000-0000-000092680000}"/>
    <cellStyle name="40 % - Markeringsfarve3 4 3 4 2 3" xfId="24267" xr:uid="{00000000-0005-0000-0000-000093680000}"/>
    <cellStyle name="40 % - Markeringsfarve3 4 3 4 2 4" xfId="39254" xr:uid="{00000000-0005-0000-0000-000094680000}"/>
    <cellStyle name="40 % - Markeringsfarve3 4 3 4 3" xfId="12349" xr:uid="{00000000-0005-0000-0000-000095680000}"/>
    <cellStyle name="40 % - Markeringsfarve3 4 3 4 3 2" xfId="28668" xr:uid="{00000000-0005-0000-0000-000096680000}"/>
    <cellStyle name="40 % - Markeringsfarve3 4 3 4 3 3" xfId="43633" xr:uid="{00000000-0005-0000-0000-000097680000}"/>
    <cellStyle name="40 % - Markeringsfarve3 4 3 4 4" xfId="21646" xr:uid="{00000000-0005-0000-0000-000098680000}"/>
    <cellStyle name="40 % - Markeringsfarve3 4 3 4 5" xfId="36634" xr:uid="{00000000-0005-0000-0000-000099680000}"/>
    <cellStyle name="40 % - Markeringsfarve3 4 3 5" xfId="5898" xr:uid="{00000000-0005-0000-0000-00009A680000}"/>
    <cellStyle name="40 % - Markeringsfarve3 4 3 5 2" xfId="13816" xr:uid="{00000000-0005-0000-0000-00009B680000}"/>
    <cellStyle name="40 % - Markeringsfarve3 4 3 5 2 2" xfId="30130" xr:uid="{00000000-0005-0000-0000-00009C680000}"/>
    <cellStyle name="40 % - Markeringsfarve3 4 3 5 2 3" xfId="45094" xr:uid="{00000000-0005-0000-0000-00009D680000}"/>
    <cellStyle name="40 % - Markeringsfarve3 4 3 5 3" xfId="23108" xr:uid="{00000000-0005-0000-0000-00009E680000}"/>
    <cellStyle name="40 % - Markeringsfarve3 4 3 5 4" xfId="38095" xr:uid="{00000000-0005-0000-0000-00009F680000}"/>
    <cellStyle name="40 % - Markeringsfarve3 4 3 6" xfId="12345" xr:uid="{00000000-0005-0000-0000-0000A0680000}"/>
    <cellStyle name="40 % - Markeringsfarve3 4 3 6 2" xfId="28664" xr:uid="{00000000-0005-0000-0000-0000A1680000}"/>
    <cellStyle name="40 % - Markeringsfarve3 4 3 6 3" xfId="43629" xr:uid="{00000000-0005-0000-0000-0000A2680000}"/>
    <cellStyle name="40 % - Markeringsfarve3 4 3 7" xfId="21642" xr:uid="{00000000-0005-0000-0000-0000A3680000}"/>
    <cellStyle name="40 % - Markeringsfarve3 4 3 8" xfId="36630" xr:uid="{00000000-0005-0000-0000-0000A4680000}"/>
    <cellStyle name="40 % - Markeringsfarve3 4 3 9" xfId="56563" xr:uid="{00000000-0005-0000-0000-0000A5680000}"/>
    <cellStyle name="40 % - Markeringsfarve3 4 4" xfId="3793" xr:uid="{00000000-0005-0000-0000-0000A6680000}"/>
    <cellStyle name="40 % - Markeringsfarve3 4 4 2" xfId="3794" xr:uid="{00000000-0005-0000-0000-0000A7680000}"/>
    <cellStyle name="40 % - Markeringsfarve3 4 4 2 2" xfId="3795" xr:uid="{00000000-0005-0000-0000-0000A8680000}"/>
    <cellStyle name="40 % - Markeringsfarve3 4 4 2 2 2" xfId="7890" xr:uid="{00000000-0005-0000-0000-0000A9680000}"/>
    <cellStyle name="40 % - Markeringsfarve3 4 4 2 2 2 2" xfId="15791" xr:uid="{00000000-0005-0000-0000-0000AA680000}"/>
    <cellStyle name="40 % - Markeringsfarve3 4 4 2 2 2 2 2" xfId="32105" xr:uid="{00000000-0005-0000-0000-0000AB680000}"/>
    <cellStyle name="40 % - Markeringsfarve3 4 4 2 2 2 2 3" xfId="47069" xr:uid="{00000000-0005-0000-0000-0000AC680000}"/>
    <cellStyle name="40 % - Markeringsfarve3 4 4 2 2 2 3" xfId="25083" xr:uid="{00000000-0005-0000-0000-0000AD680000}"/>
    <cellStyle name="40 % - Markeringsfarve3 4 4 2 2 2 4" xfId="40070" xr:uid="{00000000-0005-0000-0000-0000AE680000}"/>
    <cellStyle name="40 % - Markeringsfarve3 4 4 2 2 3" xfId="12352" xr:uid="{00000000-0005-0000-0000-0000AF680000}"/>
    <cellStyle name="40 % - Markeringsfarve3 4 4 2 2 3 2" xfId="28671" xr:uid="{00000000-0005-0000-0000-0000B0680000}"/>
    <cellStyle name="40 % - Markeringsfarve3 4 4 2 2 3 3" xfId="43636" xr:uid="{00000000-0005-0000-0000-0000B1680000}"/>
    <cellStyle name="40 % - Markeringsfarve3 4 4 2 2 4" xfId="21649" xr:uid="{00000000-0005-0000-0000-0000B2680000}"/>
    <cellStyle name="40 % - Markeringsfarve3 4 4 2 2 5" xfId="36637" xr:uid="{00000000-0005-0000-0000-0000B3680000}"/>
    <cellStyle name="40 % - Markeringsfarve3 4 4 2 3" xfId="6430" xr:uid="{00000000-0005-0000-0000-0000B4680000}"/>
    <cellStyle name="40 % - Markeringsfarve3 4 4 2 3 2" xfId="14344" xr:uid="{00000000-0005-0000-0000-0000B5680000}"/>
    <cellStyle name="40 % - Markeringsfarve3 4 4 2 3 2 2" xfId="30658" xr:uid="{00000000-0005-0000-0000-0000B6680000}"/>
    <cellStyle name="40 % - Markeringsfarve3 4 4 2 3 2 3" xfId="45622" xr:uid="{00000000-0005-0000-0000-0000B7680000}"/>
    <cellStyle name="40 % - Markeringsfarve3 4 4 2 3 3" xfId="23636" xr:uid="{00000000-0005-0000-0000-0000B8680000}"/>
    <cellStyle name="40 % - Markeringsfarve3 4 4 2 3 4" xfId="38623" xr:uid="{00000000-0005-0000-0000-0000B9680000}"/>
    <cellStyle name="40 % - Markeringsfarve3 4 4 2 4" xfId="12351" xr:uid="{00000000-0005-0000-0000-0000BA680000}"/>
    <cellStyle name="40 % - Markeringsfarve3 4 4 2 4 2" xfId="28670" xr:uid="{00000000-0005-0000-0000-0000BB680000}"/>
    <cellStyle name="40 % - Markeringsfarve3 4 4 2 4 3" xfId="43635" xr:uid="{00000000-0005-0000-0000-0000BC680000}"/>
    <cellStyle name="40 % - Markeringsfarve3 4 4 2 5" xfId="21648" xr:uid="{00000000-0005-0000-0000-0000BD680000}"/>
    <cellStyle name="40 % - Markeringsfarve3 4 4 2 6" xfId="36636" xr:uid="{00000000-0005-0000-0000-0000BE680000}"/>
    <cellStyle name="40 % - Markeringsfarve3 4 4 3" xfId="3796" xr:uid="{00000000-0005-0000-0000-0000BF680000}"/>
    <cellStyle name="40 % - Markeringsfarve3 4 4 3 2" xfId="7166" xr:uid="{00000000-0005-0000-0000-0000C0680000}"/>
    <cellStyle name="40 % - Markeringsfarve3 4 4 3 2 2" xfId="15076" xr:uid="{00000000-0005-0000-0000-0000C1680000}"/>
    <cellStyle name="40 % - Markeringsfarve3 4 4 3 2 2 2" xfId="31390" xr:uid="{00000000-0005-0000-0000-0000C2680000}"/>
    <cellStyle name="40 % - Markeringsfarve3 4 4 3 2 2 3" xfId="46354" xr:uid="{00000000-0005-0000-0000-0000C3680000}"/>
    <cellStyle name="40 % - Markeringsfarve3 4 4 3 2 3" xfId="24368" xr:uid="{00000000-0005-0000-0000-0000C4680000}"/>
    <cellStyle name="40 % - Markeringsfarve3 4 4 3 2 4" xfId="39355" xr:uid="{00000000-0005-0000-0000-0000C5680000}"/>
    <cellStyle name="40 % - Markeringsfarve3 4 4 3 3" xfId="12353" xr:uid="{00000000-0005-0000-0000-0000C6680000}"/>
    <cellStyle name="40 % - Markeringsfarve3 4 4 3 3 2" xfId="28672" xr:uid="{00000000-0005-0000-0000-0000C7680000}"/>
    <cellStyle name="40 % - Markeringsfarve3 4 4 3 3 3" xfId="43637" xr:uid="{00000000-0005-0000-0000-0000C8680000}"/>
    <cellStyle name="40 % - Markeringsfarve3 4 4 3 4" xfId="21650" xr:uid="{00000000-0005-0000-0000-0000C9680000}"/>
    <cellStyle name="40 % - Markeringsfarve3 4 4 3 5" xfId="36638" xr:uid="{00000000-0005-0000-0000-0000CA680000}"/>
    <cellStyle name="40 % - Markeringsfarve3 4 4 4" xfId="3797" xr:uid="{00000000-0005-0000-0000-0000CB680000}"/>
    <cellStyle name="40 % - Markeringsfarve3 4 4 4 2" xfId="7077" xr:uid="{00000000-0005-0000-0000-0000CC680000}"/>
    <cellStyle name="40 % - Markeringsfarve3 4 4 4 2 2" xfId="14988" xr:uid="{00000000-0005-0000-0000-0000CD680000}"/>
    <cellStyle name="40 % - Markeringsfarve3 4 4 4 2 2 2" xfId="31302" xr:uid="{00000000-0005-0000-0000-0000CE680000}"/>
    <cellStyle name="40 % - Markeringsfarve3 4 4 4 2 2 3" xfId="46266" xr:uid="{00000000-0005-0000-0000-0000CF680000}"/>
    <cellStyle name="40 % - Markeringsfarve3 4 4 4 2 3" xfId="24280" xr:uid="{00000000-0005-0000-0000-0000D0680000}"/>
    <cellStyle name="40 % - Markeringsfarve3 4 4 4 2 4" xfId="39267" xr:uid="{00000000-0005-0000-0000-0000D1680000}"/>
    <cellStyle name="40 % - Markeringsfarve3 4 4 4 3" xfId="12354" xr:uid="{00000000-0005-0000-0000-0000D2680000}"/>
    <cellStyle name="40 % - Markeringsfarve3 4 4 4 3 2" xfId="28673" xr:uid="{00000000-0005-0000-0000-0000D3680000}"/>
    <cellStyle name="40 % - Markeringsfarve3 4 4 4 3 3" xfId="43638" xr:uid="{00000000-0005-0000-0000-0000D4680000}"/>
    <cellStyle name="40 % - Markeringsfarve3 4 4 4 4" xfId="21651" xr:uid="{00000000-0005-0000-0000-0000D5680000}"/>
    <cellStyle name="40 % - Markeringsfarve3 4 4 4 5" xfId="36639" xr:uid="{00000000-0005-0000-0000-0000D6680000}"/>
    <cellStyle name="40 % - Markeringsfarve3 4 4 5" xfId="5899" xr:uid="{00000000-0005-0000-0000-0000D7680000}"/>
    <cellStyle name="40 % - Markeringsfarve3 4 4 5 2" xfId="13817" xr:uid="{00000000-0005-0000-0000-0000D8680000}"/>
    <cellStyle name="40 % - Markeringsfarve3 4 4 5 2 2" xfId="30131" xr:uid="{00000000-0005-0000-0000-0000D9680000}"/>
    <cellStyle name="40 % - Markeringsfarve3 4 4 5 2 3" xfId="45095" xr:uid="{00000000-0005-0000-0000-0000DA680000}"/>
    <cellStyle name="40 % - Markeringsfarve3 4 4 5 3" xfId="23109" xr:uid="{00000000-0005-0000-0000-0000DB680000}"/>
    <cellStyle name="40 % - Markeringsfarve3 4 4 5 4" xfId="38096" xr:uid="{00000000-0005-0000-0000-0000DC680000}"/>
    <cellStyle name="40 % - Markeringsfarve3 4 4 6" xfId="12350" xr:uid="{00000000-0005-0000-0000-0000DD680000}"/>
    <cellStyle name="40 % - Markeringsfarve3 4 4 6 2" xfId="28669" xr:uid="{00000000-0005-0000-0000-0000DE680000}"/>
    <cellStyle name="40 % - Markeringsfarve3 4 4 6 3" xfId="43634" xr:uid="{00000000-0005-0000-0000-0000DF680000}"/>
    <cellStyle name="40 % - Markeringsfarve3 4 4 7" xfId="21647" xr:uid="{00000000-0005-0000-0000-0000E0680000}"/>
    <cellStyle name="40 % - Markeringsfarve3 4 4 8" xfId="36635" xr:uid="{00000000-0005-0000-0000-0000E1680000}"/>
    <cellStyle name="40 % - Markeringsfarve3 4 5" xfId="3798" xr:uid="{00000000-0005-0000-0000-0000E2680000}"/>
    <cellStyle name="40 % - Markeringsfarve3 4 5 2" xfId="3799" xr:uid="{00000000-0005-0000-0000-0000E3680000}"/>
    <cellStyle name="40 % - Markeringsfarve3 4 5 2 2" xfId="3800" xr:uid="{00000000-0005-0000-0000-0000E4680000}"/>
    <cellStyle name="40 % - Markeringsfarve3 4 5 2 2 2" xfId="8007" xr:uid="{00000000-0005-0000-0000-0000E5680000}"/>
    <cellStyle name="40 % - Markeringsfarve3 4 5 2 2 2 2" xfId="15908" xr:uid="{00000000-0005-0000-0000-0000E6680000}"/>
    <cellStyle name="40 % - Markeringsfarve3 4 5 2 2 2 2 2" xfId="32222" xr:uid="{00000000-0005-0000-0000-0000E7680000}"/>
    <cellStyle name="40 % - Markeringsfarve3 4 5 2 2 2 2 3" xfId="47186" xr:uid="{00000000-0005-0000-0000-0000E8680000}"/>
    <cellStyle name="40 % - Markeringsfarve3 4 5 2 2 2 3" xfId="25200" xr:uid="{00000000-0005-0000-0000-0000E9680000}"/>
    <cellStyle name="40 % - Markeringsfarve3 4 5 2 2 2 4" xfId="40187" xr:uid="{00000000-0005-0000-0000-0000EA680000}"/>
    <cellStyle name="40 % - Markeringsfarve3 4 5 2 2 3" xfId="12357" xr:uid="{00000000-0005-0000-0000-0000EB680000}"/>
    <cellStyle name="40 % - Markeringsfarve3 4 5 2 2 3 2" xfId="28676" xr:uid="{00000000-0005-0000-0000-0000EC680000}"/>
    <cellStyle name="40 % - Markeringsfarve3 4 5 2 2 3 3" xfId="43641" xr:uid="{00000000-0005-0000-0000-0000ED680000}"/>
    <cellStyle name="40 % - Markeringsfarve3 4 5 2 2 4" xfId="21654" xr:uid="{00000000-0005-0000-0000-0000EE680000}"/>
    <cellStyle name="40 % - Markeringsfarve3 4 5 2 2 5" xfId="36642" xr:uid="{00000000-0005-0000-0000-0000EF680000}"/>
    <cellStyle name="40 % - Markeringsfarve3 4 5 2 3" xfId="6529" xr:uid="{00000000-0005-0000-0000-0000F0680000}"/>
    <cellStyle name="40 % - Markeringsfarve3 4 5 2 3 2" xfId="14443" xr:uid="{00000000-0005-0000-0000-0000F1680000}"/>
    <cellStyle name="40 % - Markeringsfarve3 4 5 2 3 2 2" xfId="30757" xr:uid="{00000000-0005-0000-0000-0000F2680000}"/>
    <cellStyle name="40 % - Markeringsfarve3 4 5 2 3 2 3" xfId="45721" xr:uid="{00000000-0005-0000-0000-0000F3680000}"/>
    <cellStyle name="40 % - Markeringsfarve3 4 5 2 3 3" xfId="23735" xr:uid="{00000000-0005-0000-0000-0000F4680000}"/>
    <cellStyle name="40 % - Markeringsfarve3 4 5 2 3 4" xfId="38722" xr:uid="{00000000-0005-0000-0000-0000F5680000}"/>
    <cellStyle name="40 % - Markeringsfarve3 4 5 2 4" xfId="12356" xr:uid="{00000000-0005-0000-0000-0000F6680000}"/>
    <cellStyle name="40 % - Markeringsfarve3 4 5 2 4 2" xfId="28675" xr:uid="{00000000-0005-0000-0000-0000F7680000}"/>
    <cellStyle name="40 % - Markeringsfarve3 4 5 2 4 3" xfId="43640" xr:uid="{00000000-0005-0000-0000-0000F8680000}"/>
    <cellStyle name="40 % - Markeringsfarve3 4 5 2 5" xfId="21653" xr:uid="{00000000-0005-0000-0000-0000F9680000}"/>
    <cellStyle name="40 % - Markeringsfarve3 4 5 2 6" xfId="36641" xr:uid="{00000000-0005-0000-0000-0000FA680000}"/>
    <cellStyle name="40 % - Markeringsfarve3 4 5 3" xfId="3801" xr:uid="{00000000-0005-0000-0000-0000FB680000}"/>
    <cellStyle name="40 % - Markeringsfarve3 4 5 3 2" xfId="7283" xr:uid="{00000000-0005-0000-0000-0000FC680000}"/>
    <cellStyle name="40 % - Markeringsfarve3 4 5 3 2 2" xfId="15193" xr:uid="{00000000-0005-0000-0000-0000FD680000}"/>
    <cellStyle name="40 % - Markeringsfarve3 4 5 3 2 2 2" xfId="31507" xr:uid="{00000000-0005-0000-0000-0000FE680000}"/>
    <cellStyle name="40 % - Markeringsfarve3 4 5 3 2 2 3" xfId="46471" xr:uid="{00000000-0005-0000-0000-0000FF680000}"/>
    <cellStyle name="40 % - Markeringsfarve3 4 5 3 2 3" xfId="24485" xr:uid="{00000000-0005-0000-0000-000000690000}"/>
    <cellStyle name="40 % - Markeringsfarve3 4 5 3 2 4" xfId="39472" xr:uid="{00000000-0005-0000-0000-000001690000}"/>
    <cellStyle name="40 % - Markeringsfarve3 4 5 3 3" xfId="12358" xr:uid="{00000000-0005-0000-0000-000002690000}"/>
    <cellStyle name="40 % - Markeringsfarve3 4 5 3 3 2" xfId="28677" xr:uid="{00000000-0005-0000-0000-000003690000}"/>
    <cellStyle name="40 % - Markeringsfarve3 4 5 3 3 3" xfId="43642" xr:uid="{00000000-0005-0000-0000-000004690000}"/>
    <cellStyle name="40 % - Markeringsfarve3 4 5 3 4" xfId="21655" xr:uid="{00000000-0005-0000-0000-000005690000}"/>
    <cellStyle name="40 % - Markeringsfarve3 4 5 3 5" xfId="36643" xr:uid="{00000000-0005-0000-0000-000006690000}"/>
    <cellStyle name="40 % - Markeringsfarve3 4 5 4" xfId="3802" xr:uid="{00000000-0005-0000-0000-000007690000}"/>
    <cellStyle name="40 % - Markeringsfarve3 4 5 4 2" xfId="8528" xr:uid="{00000000-0005-0000-0000-000008690000}"/>
    <cellStyle name="40 % - Markeringsfarve3 4 5 4 2 2" xfId="16417" xr:uid="{00000000-0005-0000-0000-000009690000}"/>
    <cellStyle name="40 % - Markeringsfarve3 4 5 4 2 2 2" xfId="32731" xr:uid="{00000000-0005-0000-0000-00000A690000}"/>
    <cellStyle name="40 % - Markeringsfarve3 4 5 4 2 2 3" xfId="47695" xr:uid="{00000000-0005-0000-0000-00000B690000}"/>
    <cellStyle name="40 % - Markeringsfarve3 4 5 4 2 3" xfId="25709" xr:uid="{00000000-0005-0000-0000-00000C690000}"/>
    <cellStyle name="40 % - Markeringsfarve3 4 5 4 2 4" xfId="40696" xr:uid="{00000000-0005-0000-0000-00000D690000}"/>
    <cellStyle name="40 % - Markeringsfarve3 4 5 4 3" xfId="12359" xr:uid="{00000000-0005-0000-0000-00000E690000}"/>
    <cellStyle name="40 % - Markeringsfarve3 4 5 4 3 2" xfId="28678" xr:uid="{00000000-0005-0000-0000-00000F690000}"/>
    <cellStyle name="40 % - Markeringsfarve3 4 5 4 3 3" xfId="43643" xr:uid="{00000000-0005-0000-0000-000010690000}"/>
    <cellStyle name="40 % - Markeringsfarve3 4 5 4 4" xfId="21656" xr:uid="{00000000-0005-0000-0000-000011690000}"/>
    <cellStyle name="40 % - Markeringsfarve3 4 5 4 5" xfId="36644" xr:uid="{00000000-0005-0000-0000-000012690000}"/>
    <cellStyle name="40 % - Markeringsfarve3 4 5 5" xfId="5900" xr:uid="{00000000-0005-0000-0000-000013690000}"/>
    <cellStyle name="40 % - Markeringsfarve3 4 5 5 2" xfId="13818" xr:uid="{00000000-0005-0000-0000-000014690000}"/>
    <cellStyle name="40 % - Markeringsfarve3 4 5 5 2 2" xfId="30132" xr:uid="{00000000-0005-0000-0000-000015690000}"/>
    <cellStyle name="40 % - Markeringsfarve3 4 5 5 2 3" xfId="45096" xr:uid="{00000000-0005-0000-0000-000016690000}"/>
    <cellStyle name="40 % - Markeringsfarve3 4 5 5 3" xfId="23110" xr:uid="{00000000-0005-0000-0000-000017690000}"/>
    <cellStyle name="40 % - Markeringsfarve3 4 5 5 4" xfId="38097" xr:uid="{00000000-0005-0000-0000-000018690000}"/>
    <cellStyle name="40 % - Markeringsfarve3 4 5 6" xfId="12355" xr:uid="{00000000-0005-0000-0000-000019690000}"/>
    <cellStyle name="40 % - Markeringsfarve3 4 5 6 2" xfId="28674" xr:uid="{00000000-0005-0000-0000-00001A690000}"/>
    <cellStyle name="40 % - Markeringsfarve3 4 5 6 3" xfId="43639" xr:uid="{00000000-0005-0000-0000-00001B690000}"/>
    <cellStyle name="40 % - Markeringsfarve3 4 5 7" xfId="21652" xr:uid="{00000000-0005-0000-0000-00001C690000}"/>
    <cellStyle name="40 % - Markeringsfarve3 4 5 8" xfId="36640" xr:uid="{00000000-0005-0000-0000-00001D690000}"/>
    <cellStyle name="40 % - Markeringsfarve3 4 6" xfId="3803" xr:uid="{00000000-0005-0000-0000-00001E690000}"/>
    <cellStyle name="40 % - Markeringsfarve3 4 6 2" xfId="3804" xr:uid="{00000000-0005-0000-0000-00001F690000}"/>
    <cellStyle name="40 % - Markeringsfarve3 4 6 2 2" xfId="3805" xr:uid="{00000000-0005-0000-0000-000020690000}"/>
    <cellStyle name="40 % - Markeringsfarve3 4 6 2 2 2" xfId="8159" xr:uid="{00000000-0005-0000-0000-000021690000}"/>
    <cellStyle name="40 % - Markeringsfarve3 4 6 2 2 2 2" xfId="16060" xr:uid="{00000000-0005-0000-0000-000022690000}"/>
    <cellStyle name="40 % - Markeringsfarve3 4 6 2 2 2 2 2" xfId="32374" xr:uid="{00000000-0005-0000-0000-000023690000}"/>
    <cellStyle name="40 % - Markeringsfarve3 4 6 2 2 2 2 3" xfId="47338" xr:uid="{00000000-0005-0000-0000-000024690000}"/>
    <cellStyle name="40 % - Markeringsfarve3 4 6 2 2 2 3" xfId="25352" xr:uid="{00000000-0005-0000-0000-000025690000}"/>
    <cellStyle name="40 % - Markeringsfarve3 4 6 2 2 2 4" xfId="40339" xr:uid="{00000000-0005-0000-0000-000026690000}"/>
    <cellStyle name="40 % - Markeringsfarve3 4 6 2 2 3" xfId="12362" xr:uid="{00000000-0005-0000-0000-000027690000}"/>
    <cellStyle name="40 % - Markeringsfarve3 4 6 2 2 3 2" xfId="28681" xr:uid="{00000000-0005-0000-0000-000028690000}"/>
    <cellStyle name="40 % - Markeringsfarve3 4 6 2 2 3 3" xfId="43646" xr:uid="{00000000-0005-0000-0000-000029690000}"/>
    <cellStyle name="40 % - Markeringsfarve3 4 6 2 2 4" xfId="21659" xr:uid="{00000000-0005-0000-0000-00002A690000}"/>
    <cellStyle name="40 % - Markeringsfarve3 4 6 2 2 5" xfId="36647" xr:uid="{00000000-0005-0000-0000-00002B690000}"/>
    <cellStyle name="40 % - Markeringsfarve3 4 6 2 3" xfId="6652" xr:uid="{00000000-0005-0000-0000-00002C690000}"/>
    <cellStyle name="40 % - Markeringsfarve3 4 6 2 3 2" xfId="14566" xr:uid="{00000000-0005-0000-0000-00002D690000}"/>
    <cellStyle name="40 % - Markeringsfarve3 4 6 2 3 2 2" xfId="30880" xr:uid="{00000000-0005-0000-0000-00002E690000}"/>
    <cellStyle name="40 % - Markeringsfarve3 4 6 2 3 2 3" xfId="45844" xr:uid="{00000000-0005-0000-0000-00002F690000}"/>
    <cellStyle name="40 % - Markeringsfarve3 4 6 2 3 3" xfId="23858" xr:uid="{00000000-0005-0000-0000-000030690000}"/>
    <cellStyle name="40 % - Markeringsfarve3 4 6 2 3 4" xfId="38845" xr:uid="{00000000-0005-0000-0000-000031690000}"/>
    <cellStyle name="40 % - Markeringsfarve3 4 6 2 4" xfId="12361" xr:uid="{00000000-0005-0000-0000-000032690000}"/>
    <cellStyle name="40 % - Markeringsfarve3 4 6 2 4 2" xfId="28680" xr:uid="{00000000-0005-0000-0000-000033690000}"/>
    <cellStyle name="40 % - Markeringsfarve3 4 6 2 4 3" xfId="43645" xr:uid="{00000000-0005-0000-0000-000034690000}"/>
    <cellStyle name="40 % - Markeringsfarve3 4 6 2 5" xfId="21658" xr:uid="{00000000-0005-0000-0000-000035690000}"/>
    <cellStyle name="40 % - Markeringsfarve3 4 6 2 6" xfId="36646" xr:uid="{00000000-0005-0000-0000-000036690000}"/>
    <cellStyle name="40 % - Markeringsfarve3 4 6 3" xfId="3806" xr:uid="{00000000-0005-0000-0000-000037690000}"/>
    <cellStyle name="40 % - Markeringsfarve3 4 6 3 2" xfId="7436" xr:uid="{00000000-0005-0000-0000-000038690000}"/>
    <cellStyle name="40 % - Markeringsfarve3 4 6 3 2 2" xfId="15346" xr:uid="{00000000-0005-0000-0000-000039690000}"/>
    <cellStyle name="40 % - Markeringsfarve3 4 6 3 2 2 2" xfId="31660" xr:uid="{00000000-0005-0000-0000-00003A690000}"/>
    <cellStyle name="40 % - Markeringsfarve3 4 6 3 2 2 3" xfId="46624" xr:uid="{00000000-0005-0000-0000-00003B690000}"/>
    <cellStyle name="40 % - Markeringsfarve3 4 6 3 2 3" xfId="24638" xr:uid="{00000000-0005-0000-0000-00003C690000}"/>
    <cellStyle name="40 % - Markeringsfarve3 4 6 3 2 4" xfId="39625" xr:uid="{00000000-0005-0000-0000-00003D690000}"/>
    <cellStyle name="40 % - Markeringsfarve3 4 6 3 3" xfId="12363" xr:uid="{00000000-0005-0000-0000-00003E690000}"/>
    <cellStyle name="40 % - Markeringsfarve3 4 6 3 3 2" xfId="28682" xr:uid="{00000000-0005-0000-0000-00003F690000}"/>
    <cellStyle name="40 % - Markeringsfarve3 4 6 3 3 3" xfId="43647" xr:uid="{00000000-0005-0000-0000-000040690000}"/>
    <cellStyle name="40 % - Markeringsfarve3 4 6 3 4" xfId="21660" xr:uid="{00000000-0005-0000-0000-000041690000}"/>
    <cellStyle name="40 % - Markeringsfarve3 4 6 3 5" xfId="36648" xr:uid="{00000000-0005-0000-0000-000042690000}"/>
    <cellStyle name="40 % - Markeringsfarve3 4 6 4" xfId="3807" xr:uid="{00000000-0005-0000-0000-000043690000}"/>
    <cellStyle name="40 % - Markeringsfarve3 4 6 4 2" xfId="8771" xr:uid="{00000000-0005-0000-0000-000044690000}"/>
    <cellStyle name="40 % - Markeringsfarve3 4 6 4 2 2" xfId="16647" xr:uid="{00000000-0005-0000-0000-000045690000}"/>
    <cellStyle name="40 % - Markeringsfarve3 4 6 4 2 2 2" xfId="32961" xr:uid="{00000000-0005-0000-0000-000046690000}"/>
    <cellStyle name="40 % - Markeringsfarve3 4 6 4 2 2 3" xfId="47925" xr:uid="{00000000-0005-0000-0000-000047690000}"/>
    <cellStyle name="40 % - Markeringsfarve3 4 6 4 2 3" xfId="25939" xr:uid="{00000000-0005-0000-0000-000048690000}"/>
    <cellStyle name="40 % - Markeringsfarve3 4 6 4 2 4" xfId="40926" xr:uid="{00000000-0005-0000-0000-000049690000}"/>
    <cellStyle name="40 % - Markeringsfarve3 4 6 4 3" xfId="12364" xr:uid="{00000000-0005-0000-0000-00004A690000}"/>
    <cellStyle name="40 % - Markeringsfarve3 4 6 4 3 2" xfId="28683" xr:uid="{00000000-0005-0000-0000-00004B690000}"/>
    <cellStyle name="40 % - Markeringsfarve3 4 6 4 3 3" xfId="43648" xr:uid="{00000000-0005-0000-0000-00004C690000}"/>
    <cellStyle name="40 % - Markeringsfarve3 4 6 4 4" xfId="21661" xr:uid="{00000000-0005-0000-0000-00004D690000}"/>
    <cellStyle name="40 % - Markeringsfarve3 4 6 4 5" xfId="36649" xr:uid="{00000000-0005-0000-0000-00004E690000}"/>
    <cellStyle name="40 % - Markeringsfarve3 4 6 5" xfId="5901" xr:uid="{00000000-0005-0000-0000-00004F690000}"/>
    <cellStyle name="40 % - Markeringsfarve3 4 6 5 2" xfId="13819" xr:uid="{00000000-0005-0000-0000-000050690000}"/>
    <cellStyle name="40 % - Markeringsfarve3 4 6 5 2 2" xfId="30133" xr:uid="{00000000-0005-0000-0000-000051690000}"/>
    <cellStyle name="40 % - Markeringsfarve3 4 6 5 2 3" xfId="45097" xr:uid="{00000000-0005-0000-0000-000052690000}"/>
    <cellStyle name="40 % - Markeringsfarve3 4 6 5 3" xfId="23111" xr:uid="{00000000-0005-0000-0000-000053690000}"/>
    <cellStyle name="40 % - Markeringsfarve3 4 6 5 4" xfId="38098" xr:uid="{00000000-0005-0000-0000-000054690000}"/>
    <cellStyle name="40 % - Markeringsfarve3 4 6 6" xfId="12360" xr:uid="{00000000-0005-0000-0000-000055690000}"/>
    <cellStyle name="40 % - Markeringsfarve3 4 6 6 2" xfId="28679" xr:uid="{00000000-0005-0000-0000-000056690000}"/>
    <cellStyle name="40 % - Markeringsfarve3 4 6 6 3" xfId="43644" xr:uid="{00000000-0005-0000-0000-000057690000}"/>
    <cellStyle name="40 % - Markeringsfarve3 4 6 7" xfId="21657" xr:uid="{00000000-0005-0000-0000-000058690000}"/>
    <cellStyle name="40 % - Markeringsfarve3 4 6 8" xfId="36645" xr:uid="{00000000-0005-0000-0000-000059690000}"/>
    <cellStyle name="40 % - Markeringsfarve3 4 7" xfId="3808" xr:uid="{00000000-0005-0000-0000-00005A690000}"/>
    <cellStyle name="40 % - Markeringsfarve3 4 7 2" xfId="3809" xr:uid="{00000000-0005-0000-0000-00005B690000}"/>
    <cellStyle name="40 % - Markeringsfarve3 4 7 2 2" xfId="7533" xr:uid="{00000000-0005-0000-0000-00005C690000}"/>
    <cellStyle name="40 % - Markeringsfarve3 4 7 2 2 2" xfId="15434" xr:uid="{00000000-0005-0000-0000-00005D690000}"/>
    <cellStyle name="40 % - Markeringsfarve3 4 7 2 2 2 2" xfId="31748" xr:uid="{00000000-0005-0000-0000-00005E690000}"/>
    <cellStyle name="40 % - Markeringsfarve3 4 7 2 2 2 3" xfId="46712" xr:uid="{00000000-0005-0000-0000-00005F690000}"/>
    <cellStyle name="40 % - Markeringsfarve3 4 7 2 2 3" xfId="24726" xr:uid="{00000000-0005-0000-0000-000060690000}"/>
    <cellStyle name="40 % - Markeringsfarve3 4 7 2 2 4" xfId="39713" xr:uid="{00000000-0005-0000-0000-000061690000}"/>
    <cellStyle name="40 % - Markeringsfarve3 4 7 2 3" xfId="12366" xr:uid="{00000000-0005-0000-0000-000062690000}"/>
    <cellStyle name="40 % - Markeringsfarve3 4 7 2 3 2" xfId="28685" xr:uid="{00000000-0005-0000-0000-000063690000}"/>
    <cellStyle name="40 % - Markeringsfarve3 4 7 2 3 3" xfId="43650" xr:uid="{00000000-0005-0000-0000-000064690000}"/>
    <cellStyle name="40 % - Markeringsfarve3 4 7 2 4" xfId="21663" xr:uid="{00000000-0005-0000-0000-000065690000}"/>
    <cellStyle name="40 % - Markeringsfarve3 4 7 2 5" xfId="36651" xr:uid="{00000000-0005-0000-0000-000066690000}"/>
    <cellStyle name="40 % - Markeringsfarve3 4 7 3" xfId="6129" xr:uid="{00000000-0005-0000-0000-000067690000}"/>
    <cellStyle name="40 % - Markeringsfarve3 4 7 3 2" xfId="14046" xr:uid="{00000000-0005-0000-0000-000068690000}"/>
    <cellStyle name="40 % - Markeringsfarve3 4 7 3 2 2" xfId="30360" xr:uid="{00000000-0005-0000-0000-000069690000}"/>
    <cellStyle name="40 % - Markeringsfarve3 4 7 3 2 3" xfId="45324" xr:uid="{00000000-0005-0000-0000-00006A690000}"/>
    <cellStyle name="40 % - Markeringsfarve3 4 7 3 3" xfId="23338" xr:uid="{00000000-0005-0000-0000-00006B690000}"/>
    <cellStyle name="40 % - Markeringsfarve3 4 7 3 4" xfId="38325" xr:uid="{00000000-0005-0000-0000-00006C690000}"/>
    <cellStyle name="40 % - Markeringsfarve3 4 7 4" xfId="12365" xr:uid="{00000000-0005-0000-0000-00006D690000}"/>
    <cellStyle name="40 % - Markeringsfarve3 4 7 4 2" xfId="28684" xr:uid="{00000000-0005-0000-0000-00006E690000}"/>
    <cellStyle name="40 % - Markeringsfarve3 4 7 4 3" xfId="43649" xr:uid="{00000000-0005-0000-0000-00006F690000}"/>
    <cellStyle name="40 % - Markeringsfarve3 4 7 5" xfId="21662" xr:uid="{00000000-0005-0000-0000-000070690000}"/>
    <cellStyle name="40 % - Markeringsfarve3 4 7 6" xfId="36650" xr:uid="{00000000-0005-0000-0000-000071690000}"/>
    <cellStyle name="40 % - Markeringsfarve3 4 8" xfId="3810" xr:uid="{00000000-0005-0000-0000-000072690000}"/>
    <cellStyle name="40 % - Markeringsfarve3 4 8 2" xfId="6761" xr:uid="{00000000-0005-0000-0000-000073690000}"/>
    <cellStyle name="40 % - Markeringsfarve3 4 8 2 2" xfId="14672" xr:uid="{00000000-0005-0000-0000-000074690000}"/>
    <cellStyle name="40 % - Markeringsfarve3 4 8 2 2 2" xfId="30986" xr:uid="{00000000-0005-0000-0000-000075690000}"/>
    <cellStyle name="40 % - Markeringsfarve3 4 8 2 2 3" xfId="45950" xr:uid="{00000000-0005-0000-0000-000076690000}"/>
    <cellStyle name="40 % - Markeringsfarve3 4 8 2 3" xfId="23964" xr:uid="{00000000-0005-0000-0000-000077690000}"/>
    <cellStyle name="40 % - Markeringsfarve3 4 8 2 4" xfId="38951" xr:uid="{00000000-0005-0000-0000-000078690000}"/>
    <cellStyle name="40 % - Markeringsfarve3 4 8 3" xfId="12367" xr:uid="{00000000-0005-0000-0000-000079690000}"/>
    <cellStyle name="40 % - Markeringsfarve3 4 8 3 2" xfId="28686" xr:uid="{00000000-0005-0000-0000-00007A690000}"/>
    <cellStyle name="40 % - Markeringsfarve3 4 8 3 3" xfId="43651" xr:uid="{00000000-0005-0000-0000-00007B690000}"/>
    <cellStyle name="40 % - Markeringsfarve3 4 8 4" xfId="21664" xr:uid="{00000000-0005-0000-0000-00007C690000}"/>
    <cellStyle name="40 % - Markeringsfarve3 4 8 5" xfId="36652" xr:uid="{00000000-0005-0000-0000-00007D690000}"/>
    <cellStyle name="40 % - Markeringsfarve3 4 9" xfId="3811" xr:uid="{00000000-0005-0000-0000-00007E690000}"/>
    <cellStyle name="40 % - Markeringsfarve3 4 9 2" xfId="8596" xr:uid="{00000000-0005-0000-0000-00007F690000}"/>
    <cellStyle name="40 % - Markeringsfarve3 4 9 2 2" xfId="16483" xr:uid="{00000000-0005-0000-0000-000080690000}"/>
    <cellStyle name="40 % - Markeringsfarve3 4 9 2 2 2" xfId="32797" xr:uid="{00000000-0005-0000-0000-000081690000}"/>
    <cellStyle name="40 % - Markeringsfarve3 4 9 2 2 3" xfId="47761" xr:uid="{00000000-0005-0000-0000-000082690000}"/>
    <cellStyle name="40 % - Markeringsfarve3 4 9 2 3" xfId="25775" xr:uid="{00000000-0005-0000-0000-000083690000}"/>
    <cellStyle name="40 % - Markeringsfarve3 4 9 2 4" xfId="40762" xr:uid="{00000000-0005-0000-0000-000084690000}"/>
    <cellStyle name="40 % - Markeringsfarve3 4 9 3" xfId="12368" xr:uid="{00000000-0005-0000-0000-000085690000}"/>
    <cellStyle name="40 % - Markeringsfarve3 4 9 3 2" xfId="28687" xr:uid="{00000000-0005-0000-0000-000086690000}"/>
    <cellStyle name="40 % - Markeringsfarve3 4 9 3 3" xfId="43652" xr:uid="{00000000-0005-0000-0000-000087690000}"/>
    <cellStyle name="40 % - Markeringsfarve3 4 9 4" xfId="21665" xr:uid="{00000000-0005-0000-0000-000088690000}"/>
    <cellStyle name="40 % - Markeringsfarve3 4 9 5" xfId="36653" xr:uid="{00000000-0005-0000-0000-000089690000}"/>
    <cellStyle name="40 % - Markeringsfarve3 5" xfId="3812" xr:uid="{00000000-0005-0000-0000-00008A690000}"/>
    <cellStyle name="40 % - Markeringsfarve3 5 10" xfId="5902" xr:uid="{00000000-0005-0000-0000-00008B690000}"/>
    <cellStyle name="40 % - Markeringsfarve3 5 10 2" xfId="13820" xr:uid="{00000000-0005-0000-0000-00008C690000}"/>
    <cellStyle name="40 % - Markeringsfarve3 5 10 2 2" xfId="30134" xr:uid="{00000000-0005-0000-0000-00008D690000}"/>
    <cellStyle name="40 % - Markeringsfarve3 5 10 2 3" xfId="45098" xr:uid="{00000000-0005-0000-0000-00008E690000}"/>
    <cellStyle name="40 % - Markeringsfarve3 5 10 3" xfId="23112" xr:uid="{00000000-0005-0000-0000-00008F690000}"/>
    <cellStyle name="40 % - Markeringsfarve3 5 10 4" xfId="38099" xr:uid="{00000000-0005-0000-0000-000090690000}"/>
    <cellStyle name="40 % - Markeringsfarve3 5 11" xfId="12369" xr:uid="{00000000-0005-0000-0000-000091690000}"/>
    <cellStyle name="40 % - Markeringsfarve3 5 11 2" xfId="28688" xr:uid="{00000000-0005-0000-0000-000092690000}"/>
    <cellStyle name="40 % - Markeringsfarve3 5 11 3" xfId="43653" xr:uid="{00000000-0005-0000-0000-000093690000}"/>
    <cellStyle name="40 % - Markeringsfarve3 5 12" xfId="21666" xr:uid="{00000000-0005-0000-0000-000094690000}"/>
    <cellStyle name="40 % - Markeringsfarve3 5 13" xfId="36654" xr:uid="{00000000-0005-0000-0000-000095690000}"/>
    <cellStyle name="40 % - Markeringsfarve3 5 14" xfId="53383" xr:uid="{00000000-0005-0000-0000-000096690000}"/>
    <cellStyle name="40 % - Markeringsfarve3 5 2" xfId="3813" xr:uid="{00000000-0005-0000-0000-000097690000}"/>
    <cellStyle name="40 % - Markeringsfarve3 5 2 2" xfId="3814" xr:uid="{00000000-0005-0000-0000-000098690000}"/>
    <cellStyle name="40 % - Markeringsfarve3 5 2 2 2" xfId="3815" xr:uid="{00000000-0005-0000-0000-000099690000}"/>
    <cellStyle name="40 % - Markeringsfarve3 5 2 2 2 2" xfId="7691" xr:uid="{00000000-0005-0000-0000-00009A690000}"/>
    <cellStyle name="40 % - Markeringsfarve3 5 2 2 2 2 2" xfId="15592" xr:uid="{00000000-0005-0000-0000-00009B690000}"/>
    <cellStyle name="40 % - Markeringsfarve3 5 2 2 2 2 2 2" xfId="31906" xr:uid="{00000000-0005-0000-0000-00009C690000}"/>
    <cellStyle name="40 % - Markeringsfarve3 5 2 2 2 2 2 3" xfId="46870" xr:uid="{00000000-0005-0000-0000-00009D690000}"/>
    <cellStyle name="40 % - Markeringsfarve3 5 2 2 2 2 3" xfId="24884" xr:uid="{00000000-0005-0000-0000-00009E690000}"/>
    <cellStyle name="40 % - Markeringsfarve3 5 2 2 2 2 4" xfId="39871" xr:uid="{00000000-0005-0000-0000-00009F690000}"/>
    <cellStyle name="40 % - Markeringsfarve3 5 2 2 2 3" xfId="12372" xr:uid="{00000000-0005-0000-0000-0000A0690000}"/>
    <cellStyle name="40 % - Markeringsfarve3 5 2 2 2 3 2" xfId="28691" xr:uid="{00000000-0005-0000-0000-0000A1690000}"/>
    <cellStyle name="40 % - Markeringsfarve3 5 2 2 2 3 3" xfId="43656" xr:uid="{00000000-0005-0000-0000-0000A2690000}"/>
    <cellStyle name="40 % - Markeringsfarve3 5 2 2 2 4" xfId="21669" xr:uid="{00000000-0005-0000-0000-0000A3690000}"/>
    <cellStyle name="40 % - Markeringsfarve3 5 2 2 2 5" xfId="36657" xr:uid="{00000000-0005-0000-0000-0000A4690000}"/>
    <cellStyle name="40 % - Markeringsfarve3 5 2 2 3" xfId="6261" xr:uid="{00000000-0005-0000-0000-0000A5690000}"/>
    <cellStyle name="40 % - Markeringsfarve3 5 2 2 3 2" xfId="14178" xr:uid="{00000000-0005-0000-0000-0000A6690000}"/>
    <cellStyle name="40 % - Markeringsfarve3 5 2 2 3 2 2" xfId="30492" xr:uid="{00000000-0005-0000-0000-0000A7690000}"/>
    <cellStyle name="40 % - Markeringsfarve3 5 2 2 3 2 3" xfId="45456" xr:uid="{00000000-0005-0000-0000-0000A8690000}"/>
    <cellStyle name="40 % - Markeringsfarve3 5 2 2 3 3" xfId="23470" xr:uid="{00000000-0005-0000-0000-0000A9690000}"/>
    <cellStyle name="40 % - Markeringsfarve3 5 2 2 3 4" xfId="38457" xr:uid="{00000000-0005-0000-0000-0000AA690000}"/>
    <cellStyle name="40 % - Markeringsfarve3 5 2 2 4" xfId="12371" xr:uid="{00000000-0005-0000-0000-0000AB690000}"/>
    <cellStyle name="40 % - Markeringsfarve3 5 2 2 4 2" xfId="28690" xr:uid="{00000000-0005-0000-0000-0000AC690000}"/>
    <cellStyle name="40 % - Markeringsfarve3 5 2 2 4 3" xfId="43655" xr:uid="{00000000-0005-0000-0000-0000AD690000}"/>
    <cellStyle name="40 % - Markeringsfarve3 5 2 2 5" xfId="21668" xr:uid="{00000000-0005-0000-0000-0000AE690000}"/>
    <cellStyle name="40 % - Markeringsfarve3 5 2 2 6" xfId="36656" xr:uid="{00000000-0005-0000-0000-0000AF690000}"/>
    <cellStyle name="40 % - Markeringsfarve3 5 2 2 7" xfId="57187" xr:uid="{00000000-0005-0000-0000-0000B0690000}"/>
    <cellStyle name="40 % - Markeringsfarve3 5 2 3" xfId="3816" xr:uid="{00000000-0005-0000-0000-0000B1690000}"/>
    <cellStyle name="40 % - Markeringsfarve3 5 2 3 2" xfId="6921" xr:uid="{00000000-0005-0000-0000-0000B2690000}"/>
    <cellStyle name="40 % - Markeringsfarve3 5 2 3 2 2" xfId="14832" xr:uid="{00000000-0005-0000-0000-0000B3690000}"/>
    <cellStyle name="40 % - Markeringsfarve3 5 2 3 2 2 2" xfId="31146" xr:uid="{00000000-0005-0000-0000-0000B4690000}"/>
    <cellStyle name="40 % - Markeringsfarve3 5 2 3 2 2 3" xfId="46110" xr:uid="{00000000-0005-0000-0000-0000B5690000}"/>
    <cellStyle name="40 % - Markeringsfarve3 5 2 3 2 3" xfId="24124" xr:uid="{00000000-0005-0000-0000-0000B6690000}"/>
    <cellStyle name="40 % - Markeringsfarve3 5 2 3 2 4" xfId="39111" xr:uid="{00000000-0005-0000-0000-0000B7690000}"/>
    <cellStyle name="40 % - Markeringsfarve3 5 2 3 3" xfId="12373" xr:uid="{00000000-0005-0000-0000-0000B8690000}"/>
    <cellStyle name="40 % - Markeringsfarve3 5 2 3 3 2" xfId="28692" xr:uid="{00000000-0005-0000-0000-0000B9690000}"/>
    <cellStyle name="40 % - Markeringsfarve3 5 2 3 3 3" xfId="43657" xr:uid="{00000000-0005-0000-0000-0000BA690000}"/>
    <cellStyle name="40 % - Markeringsfarve3 5 2 3 4" xfId="21670" xr:uid="{00000000-0005-0000-0000-0000BB690000}"/>
    <cellStyle name="40 % - Markeringsfarve3 5 2 3 5" xfId="36658" xr:uid="{00000000-0005-0000-0000-0000BC690000}"/>
    <cellStyle name="40 % - Markeringsfarve3 5 2 4" xfId="3817" xr:uid="{00000000-0005-0000-0000-0000BD690000}"/>
    <cellStyle name="40 % - Markeringsfarve3 5 2 4 2" xfId="7090" xr:uid="{00000000-0005-0000-0000-0000BE690000}"/>
    <cellStyle name="40 % - Markeringsfarve3 5 2 4 2 2" xfId="15000" xr:uid="{00000000-0005-0000-0000-0000BF690000}"/>
    <cellStyle name="40 % - Markeringsfarve3 5 2 4 2 2 2" xfId="31314" xr:uid="{00000000-0005-0000-0000-0000C0690000}"/>
    <cellStyle name="40 % - Markeringsfarve3 5 2 4 2 2 3" xfId="46278" xr:uid="{00000000-0005-0000-0000-0000C1690000}"/>
    <cellStyle name="40 % - Markeringsfarve3 5 2 4 2 3" xfId="24292" xr:uid="{00000000-0005-0000-0000-0000C2690000}"/>
    <cellStyle name="40 % - Markeringsfarve3 5 2 4 2 4" xfId="39279" xr:uid="{00000000-0005-0000-0000-0000C3690000}"/>
    <cellStyle name="40 % - Markeringsfarve3 5 2 4 3" xfId="12374" xr:uid="{00000000-0005-0000-0000-0000C4690000}"/>
    <cellStyle name="40 % - Markeringsfarve3 5 2 4 3 2" xfId="28693" xr:uid="{00000000-0005-0000-0000-0000C5690000}"/>
    <cellStyle name="40 % - Markeringsfarve3 5 2 4 3 3" xfId="43658" xr:uid="{00000000-0005-0000-0000-0000C6690000}"/>
    <cellStyle name="40 % - Markeringsfarve3 5 2 4 4" xfId="21671" xr:uid="{00000000-0005-0000-0000-0000C7690000}"/>
    <cellStyle name="40 % - Markeringsfarve3 5 2 4 5" xfId="36659" xr:uid="{00000000-0005-0000-0000-0000C8690000}"/>
    <cellStyle name="40 % - Markeringsfarve3 5 2 5" xfId="5903" xr:uid="{00000000-0005-0000-0000-0000C9690000}"/>
    <cellStyle name="40 % - Markeringsfarve3 5 2 5 2" xfId="13821" xr:uid="{00000000-0005-0000-0000-0000CA690000}"/>
    <cellStyle name="40 % - Markeringsfarve3 5 2 5 2 2" xfId="30135" xr:uid="{00000000-0005-0000-0000-0000CB690000}"/>
    <cellStyle name="40 % - Markeringsfarve3 5 2 5 2 3" xfId="45099" xr:uid="{00000000-0005-0000-0000-0000CC690000}"/>
    <cellStyle name="40 % - Markeringsfarve3 5 2 5 3" xfId="23113" xr:uid="{00000000-0005-0000-0000-0000CD690000}"/>
    <cellStyle name="40 % - Markeringsfarve3 5 2 5 4" xfId="38100" xr:uid="{00000000-0005-0000-0000-0000CE690000}"/>
    <cellStyle name="40 % - Markeringsfarve3 5 2 6" xfId="12370" xr:uid="{00000000-0005-0000-0000-0000CF690000}"/>
    <cellStyle name="40 % - Markeringsfarve3 5 2 6 2" xfId="28689" xr:uid="{00000000-0005-0000-0000-0000D0690000}"/>
    <cellStyle name="40 % - Markeringsfarve3 5 2 6 3" xfId="43654" xr:uid="{00000000-0005-0000-0000-0000D1690000}"/>
    <cellStyle name="40 % - Markeringsfarve3 5 2 7" xfId="21667" xr:uid="{00000000-0005-0000-0000-0000D2690000}"/>
    <cellStyle name="40 % - Markeringsfarve3 5 2 8" xfId="36655" xr:uid="{00000000-0005-0000-0000-0000D3690000}"/>
    <cellStyle name="40 % - Markeringsfarve3 5 2 9" xfId="54020" xr:uid="{00000000-0005-0000-0000-0000D4690000}"/>
    <cellStyle name="40 % - Markeringsfarve3 5 3" xfId="3818" xr:uid="{00000000-0005-0000-0000-0000D5690000}"/>
    <cellStyle name="40 % - Markeringsfarve3 5 3 2" xfId="3819" xr:uid="{00000000-0005-0000-0000-0000D6690000}"/>
    <cellStyle name="40 % - Markeringsfarve3 5 3 2 2" xfId="3820" xr:uid="{00000000-0005-0000-0000-0000D7690000}"/>
    <cellStyle name="40 % - Markeringsfarve3 5 3 2 2 2" xfId="7805" xr:uid="{00000000-0005-0000-0000-0000D8690000}"/>
    <cellStyle name="40 % - Markeringsfarve3 5 3 2 2 2 2" xfId="15706" xr:uid="{00000000-0005-0000-0000-0000D9690000}"/>
    <cellStyle name="40 % - Markeringsfarve3 5 3 2 2 2 2 2" xfId="32020" xr:uid="{00000000-0005-0000-0000-0000DA690000}"/>
    <cellStyle name="40 % - Markeringsfarve3 5 3 2 2 2 2 3" xfId="46984" xr:uid="{00000000-0005-0000-0000-0000DB690000}"/>
    <cellStyle name="40 % - Markeringsfarve3 5 3 2 2 2 3" xfId="24998" xr:uid="{00000000-0005-0000-0000-0000DC690000}"/>
    <cellStyle name="40 % - Markeringsfarve3 5 3 2 2 2 4" xfId="39985" xr:uid="{00000000-0005-0000-0000-0000DD690000}"/>
    <cellStyle name="40 % - Markeringsfarve3 5 3 2 2 3" xfId="12377" xr:uid="{00000000-0005-0000-0000-0000DE690000}"/>
    <cellStyle name="40 % - Markeringsfarve3 5 3 2 2 3 2" xfId="28696" xr:uid="{00000000-0005-0000-0000-0000DF690000}"/>
    <cellStyle name="40 % - Markeringsfarve3 5 3 2 2 3 3" xfId="43661" xr:uid="{00000000-0005-0000-0000-0000E0690000}"/>
    <cellStyle name="40 % - Markeringsfarve3 5 3 2 2 4" xfId="21674" xr:uid="{00000000-0005-0000-0000-0000E1690000}"/>
    <cellStyle name="40 % - Markeringsfarve3 5 3 2 2 5" xfId="36662" xr:uid="{00000000-0005-0000-0000-0000E2690000}"/>
    <cellStyle name="40 % - Markeringsfarve3 5 3 2 3" xfId="6351" xr:uid="{00000000-0005-0000-0000-0000E3690000}"/>
    <cellStyle name="40 % - Markeringsfarve3 5 3 2 3 2" xfId="14268" xr:uid="{00000000-0005-0000-0000-0000E4690000}"/>
    <cellStyle name="40 % - Markeringsfarve3 5 3 2 3 2 2" xfId="30582" xr:uid="{00000000-0005-0000-0000-0000E5690000}"/>
    <cellStyle name="40 % - Markeringsfarve3 5 3 2 3 2 3" xfId="45546" xr:uid="{00000000-0005-0000-0000-0000E6690000}"/>
    <cellStyle name="40 % - Markeringsfarve3 5 3 2 3 3" xfId="23560" xr:uid="{00000000-0005-0000-0000-0000E7690000}"/>
    <cellStyle name="40 % - Markeringsfarve3 5 3 2 3 4" xfId="38547" xr:uid="{00000000-0005-0000-0000-0000E8690000}"/>
    <cellStyle name="40 % - Markeringsfarve3 5 3 2 4" xfId="12376" xr:uid="{00000000-0005-0000-0000-0000E9690000}"/>
    <cellStyle name="40 % - Markeringsfarve3 5 3 2 4 2" xfId="28695" xr:uid="{00000000-0005-0000-0000-0000EA690000}"/>
    <cellStyle name="40 % - Markeringsfarve3 5 3 2 4 3" xfId="43660" xr:uid="{00000000-0005-0000-0000-0000EB690000}"/>
    <cellStyle name="40 % - Markeringsfarve3 5 3 2 5" xfId="21673" xr:uid="{00000000-0005-0000-0000-0000EC690000}"/>
    <cellStyle name="40 % - Markeringsfarve3 5 3 2 6" xfId="36661" xr:uid="{00000000-0005-0000-0000-0000ED690000}"/>
    <cellStyle name="40 % - Markeringsfarve3 5 3 3" xfId="3821" xr:uid="{00000000-0005-0000-0000-0000EE690000}"/>
    <cellStyle name="40 % - Markeringsfarve3 5 3 3 2" xfId="7035" xr:uid="{00000000-0005-0000-0000-0000EF690000}"/>
    <cellStyle name="40 % - Markeringsfarve3 5 3 3 2 2" xfId="14946" xr:uid="{00000000-0005-0000-0000-0000F0690000}"/>
    <cellStyle name="40 % - Markeringsfarve3 5 3 3 2 2 2" xfId="31260" xr:uid="{00000000-0005-0000-0000-0000F1690000}"/>
    <cellStyle name="40 % - Markeringsfarve3 5 3 3 2 2 3" xfId="46224" xr:uid="{00000000-0005-0000-0000-0000F2690000}"/>
    <cellStyle name="40 % - Markeringsfarve3 5 3 3 2 3" xfId="24238" xr:uid="{00000000-0005-0000-0000-0000F3690000}"/>
    <cellStyle name="40 % - Markeringsfarve3 5 3 3 2 4" xfId="39225" xr:uid="{00000000-0005-0000-0000-0000F4690000}"/>
    <cellStyle name="40 % - Markeringsfarve3 5 3 3 3" xfId="12378" xr:uid="{00000000-0005-0000-0000-0000F5690000}"/>
    <cellStyle name="40 % - Markeringsfarve3 5 3 3 3 2" xfId="28697" xr:uid="{00000000-0005-0000-0000-0000F6690000}"/>
    <cellStyle name="40 % - Markeringsfarve3 5 3 3 3 3" xfId="43662" xr:uid="{00000000-0005-0000-0000-0000F7690000}"/>
    <cellStyle name="40 % - Markeringsfarve3 5 3 3 4" xfId="21675" xr:uid="{00000000-0005-0000-0000-0000F8690000}"/>
    <cellStyle name="40 % - Markeringsfarve3 5 3 3 5" xfId="36663" xr:uid="{00000000-0005-0000-0000-0000F9690000}"/>
    <cellStyle name="40 % - Markeringsfarve3 5 3 4" xfId="3822" xr:uid="{00000000-0005-0000-0000-0000FA690000}"/>
    <cellStyle name="40 % - Markeringsfarve3 5 3 4 2" xfId="8703" xr:uid="{00000000-0005-0000-0000-0000FB690000}"/>
    <cellStyle name="40 % - Markeringsfarve3 5 3 4 2 2" xfId="16584" xr:uid="{00000000-0005-0000-0000-0000FC690000}"/>
    <cellStyle name="40 % - Markeringsfarve3 5 3 4 2 2 2" xfId="32898" xr:uid="{00000000-0005-0000-0000-0000FD690000}"/>
    <cellStyle name="40 % - Markeringsfarve3 5 3 4 2 2 3" xfId="47862" xr:uid="{00000000-0005-0000-0000-0000FE690000}"/>
    <cellStyle name="40 % - Markeringsfarve3 5 3 4 2 3" xfId="25876" xr:uid="{00000000-0005-0000-0000-0000FF690000}"/>
    <cellStyle name="40 % - Markeringsfarve3 5 3 4 2 4" xfId="40863" xr:uid="{00000000-0005-0000-0000-0000006A0000}"/>
    <cellStyle name="40 % - Markeringsfarve3 5 3 4 3" xfId="12379" xr:uid="{00000000-0005-0000-0000-0000016A0000}"/>
    <cellStyle name="40 % - Markeringsfarve3 5 3 4 3 2" xfId="28698" xr:uid="{00000000-0005-0000-0000-0000026A0000}"/>
    <cellStyle name="40 % - Markeringsfarve3 5 3 4 3 3" xfId="43663" xr:uid="{00000000-0005-0000-0000-0000036A0000}"/>
    <cellStyle name="40 % - Markeringsfarve3 5 3 4 4" xfId="21676" xr:uid="{00000000-0005-0000-0000-0000046A0000}"/>
    <cellStyle name="40 % - Markeringsfarve3 5 3 4 5" xfId="36664" xr:uid="{00000000-0005-0000-0000-0000056A0000}"/>
    <cellStyle name="40 % - Markeringsfarve3 5 3 5" xfId="5904" xr:uid="{00000000-0005-0000-0000-0000066A0000}"/>
    <cellStyle name="40 % - Markeringsfarve3 5 3 5 2" xfId="13822" xr:uid="{00000000-0005-0000-0000-0000076A0000}"/>
    <cellStyle name="40 % - Markeringsfarve3 5 3 5 2 2" xfId="30136" xr:uid="{00000000-0005-0000-0000-0000086A0000}"/>
    <cellStyle name="40 % - Markeringsfarve3 5 3 5 2 3" xfId="45100" xr:uid="{00000000-0005-0000-0000-0000096A0000}"/>
    <cellStyle name="40 % - Markeringsfarve3 5 3 5 3" xfId="23114" xr:uid="{00000000-0005-0000-0000-00000A6A0000}"/>
    <cellStyle name="40 % - Markeringsfarve3 5 3 5 4" xfId="38101" xr:uid="{00000000-0005-0000-0000-00000B6A0000}"/>
    <cellStyle name="40 % - Markeringsfarve3 5 3 6" xfId="12375" xr:uid="{00000000-0005-0000-0000-00000C6A0000}"/>
    <cellStyle name="40 % - Markeringsfarve3 5 3 6 2" xfId="28694" xr:uid="{00000000-0005-0000-0000-00000D6A0000}"/>
    <cellStyle name="40 % - Markeringsfarve3 5 3 6 3" xfId="43659" xr:uid="{00000000-0005-0000-0000-00000E6A0000}"/>
    <cellStyle name="40 % - Markeringsfarve3 5 3 7" xfId="21672" xr:uid="{00000000-0005-0000-0000-00000F6A0000}"/>
    <cellStyle name="40 % - Markeringsfarve3 5 3 8" xfId="36660" xr:uid="{00000000-0005-0000-0000-0000106A0000}"/>
    <cellStyle name="40 % - Markeringsfarve3 5 3 9" xfId="56564" xr:uid="{00000000-0005-0000-0000-0000116A0000}"/>
    <cellStyle name="40 % - Markeringsfarve3 5 4" xfId="3823" xr:uid="{00000000-0005-0000-0000-0000126A0000}"/>
    <cellStyle name="40 % - Markeringsfarve3 5 4 2" xfId="3824" xr:uid="{00000000-0005-0000-0000-0000136A0000}"/>
    <cellStyle name="40 % - Markeringsfarve3 5 4 2 2" xfId="3825" xr:uid="{00000000-0005-0000-0000-0000146A0000}"/>
    <cellStyle name="40 % - Markeringsfarve3 5 4 2 2 2" xfId="7929" xr:uid="{00000000-0005-0000-0000-0000156A0000}"/>
    <cellStyle name="40 % - Markeringsfarve3 5 4 2 2 2 2" xfId="15830" xr:uid="{00000000-0005-0000-0000-0000166A0000}"/>
    <cellStyle name="40 % - Markeringsfarve3 5 4 2 2 2 2 2" xfId="32144" xr:uid="{00000000-0005-0000-0000-0000176A0000}"/>
    <cellStyle name="40 % - Markeringsfarve3 5 4 2 2 2 2 3" xfId="47108" xr:uid="{00000000-0005-0000-0000-0000186A0000}"/>
    <cellStyle name="40 % - Markeringsfarve3 5 4 2 2 2 3" xfId="25122" xr:uid="{00000000-0005-0000-0000-0000196A0000}"/>
    <cellStyle name="40 % - Markeringsfarve3 5 4 2 2 2 4" xfId="40109" xr:uid="{00000000-0005-0000-0000-00001A6A0000}"/>
    <cellStyle name="40 % - Markeringsfarve3 5 4 2 2 3" xfId="12382" xr:uid="{00000000-0005-0000-0000-00001B6A0000}"/>
    <cellStyle name="40 % - Markeringsfarve3 5 4 2 2 3 2" xfId="28701" xr:uid="{00000000-0005-0000-0000-00001C6A0000}"/>
    <cellStyle name="40 % - Markeringsfarve3 5 4 2 2 3 3" xfId="43666" xr:uid="{00000000-0005-0000-0000-00001D6A0000}"/>
    <cellStyle name="40 % - Markeringsfarve3 5 4 2 2 4" xfId="21679" xr:uid="{00000000-0005-0000-0000-00001E6A0000}"/>
    <cellStyle name="40 % - Markeringsfarve3 5 4 2 2 5" xfId="36667" xr:uid="{00000000-0005-0000-0000-00001F6A0000}"/>
    <cellStyle name="40 % - Markeringsfarve3 5 4 2 3" xfId="6463" xr:uid="{00000000-0005-0000-0000-0000206A0000}"/>
    <cellStyle name="40 % - Markeringsfarve3 5 4 2 3 2" xfId="14377" xr:uid="{00000000-0005-0000-0000-0000216A0000}"/>
    <cellStyle name="40 % - Markeringsfarve3 5 4 2 3 2 2" xfId="30691" xr:uid="{00000000-0005-0000-0000-0000226A0000}"/>
    <cellStyle name="40 % - Markeringsfarve3 5 4 2 3 2 3" xfId="45655" xr:uid="{00000000-0005-0000-0000-0000236A0000}"/>
    <cellStyle name="40 % - Markeringsfarve3 5 4 2 3 3" xfId="23669" xr:uid="{00000000-0005-0000-0000-0000246A0000}"/>
    <cellStyle name="40 % - Markeringsfarve3 5 4 2 3 4" xfId="38656" xr:uid="{00000000-0005-0000-0000-0000256A0000}"/>
    <cellStyle name="40 % - Markeringsfarve3 5 4 2 4" xfId="12381" xr:uid="{00000000-0005-0000-0000-0000266A0000}"/>
    <cellStyle name="40 % - Markeringsfarve3 5 4 2 4 2" xfId="28700" xr:uid="{00000000-0005-0000-0000-0000276A0000}"/>
    <cellStyle name="40 % - Markeringsfarve3 5 4 2 4 3" xfId="43665" xr:uid="{00000000-0005-0000-0000-0000286A0000}"/>
    <cellStyle name="40 % - Markeringsfarve3 5 4 2 5" xfId="21678" xr:uid="{00000000-0005-0000-0000-0000296A0000}"/>
    <cellStyle name="40 % - Markeringsfarve3 5 4 2 6" xfId="36666" xr:uid="{00000000-0005-0000-0000-00002A6A0000}"/>
    <cellStyle name="40 % - Markeringsfarve3 5 4 3" xfId="3826" xr:uid="{00000000-0005-0000-0000-00002B6A0000}"/>
    <cellStyle name="40 % - Markeringsfarve3 5 4 3 2" xfId="7205" xr:uid="{00000000-0005-0000-0000-00002C6A0000}"/>
    <cellStyle name="40 % - Markeringsfarve3 5 4 3 2 2" xfId="15115" xr:uid="{00000000-0005-0000-0000-00002D6A0000}"/>
    <cellStyle name="40 % - Markeringsfarve3 5 4 3 2 2 2" xfId="31429" xr:uid="{00000000-0005-0000-0000-00002E6A0000}"/>
    <cellStyle name="40 % - Markeringsfarve3 5 4 3 2 2 3" xfId="46393" xr:uid="{00000000-0005-0000-0000-00002F6A0000}"/>
    <cellStyle name="40 % - Markeringsfarve3 5 4 3 2 3" xfId="24407" xr:uid="{00000000-0005-0000-0000-0000306A0000}"/>
    <cellStyle name="40 % - Markeringsfarve3 5 4 3 2 4" xfId="39394" xr:uid="{00000000-0005-0000-0000-0000316A0000}"/>
    <cellStyle name="40 % - Markeringsfarve3 5 4 3 3" xfId="12383" xr:uid="{00000000-0005-0000-0000-0000326A0000}"/>
    <cellStyle name="40 % - Markeringsfarve3 5 4 3 3 2" xfId="28702" xr:uid="{00000000-0005-0000-0000-0000336A0000}"/>
    <cellStyle name="40 % - Markeringsfarve3 5 4 3 3 3" xfId="43667" xr:uid="{00000000-0005-0000-0000-0000346A0000}"/>
    <cellStyle name="40 % - Markeringsfarve3 5 4 3 4" xfId="21680" xr:uid="{00000000-0005-0000-0000-0000356A0000}"/>
    <cellStyle name="40 % - Markeringsfarve3 5 4 3 5" xfId="36668" xr:uid="{00000000-0005-0000-0000-0000366A0000}"/>
    <cellStyle name="40 % - Markeringsfarve3 5 4 4" xfId="3827" xr:uid="{00000000-0005-0000-0000-0000376A0000}"/>
    <cellStyle name="40 % - Markeringsfarve3 5 4 4 2" xfId="8428" xr:uid="{00000000-0005-0000-0000-0000386A0000}"/>
    <cellStyle name="40 % - Markeringsfarve3 5 4 4 2 2" xfId="16321" xr:uid="{00000000-0005-0000-0000-0000396A0000}"/>
    <cellStyle name="40 % - Markeringsfarve3 5 4 4 2 2 2" xfId="32635" xr:uid="{00000000-0005-0000-0000-00003A6A0000}"/>
    <cellStyle name="40 % - Markeringsfarve3 5 4 4 2 2 3" xfId="47599" xr:uid="{00000000-0005-0000-0000-00003B6A0000}"/>
    <cellStyle name="40 % - Markeringsfarve3 5 4 4 2 3" xfId="25613" xr:uid="{00000000-0005-0000-0000-00003C6A0000}"/>
    <cellStyle name="40 % - Markeringsfarve3 5 4 4 2 4" xfId="40600" xr:uid="{00000000-0005-0000-0000-00003D6A0000}"/>
    <cellStyle name="40 % - Markeringsfarve3 5 4 4 3" xfId="12384" xr:uid="{00000000-0005-0000-0000-00003E6A0000}"/>
    <cellStyle name="40 % - Markeringsfarve3 5 4 4 3 2" xfId="28703" xr:uid="{00000000-0005-0000-0000-00003F6A0000}"/>
    <cellStyle name="40 % - Markeringsfarve3 5 4 4 3 3" xfId="43668" xr:uid="{00000000-0005-0000-0000-0000406A0000}"/>
    <cellStyle name="40 % - Markeringsfarve3 5 4 4 4" xfId="21681" xr:uid="{00000000-0005-0000-0000-0000416A0000}"/>
    <cellStyle name="40 % - Markeringsfarve3 5 4 4 5" xfId="36669" xr:uid="{00000000-0005-0000-0000-0000426A0000}"/>
    <cellStyle name="40 % - Markeringsfarve3 5 4 5" xfId="5905" xr:uid="{00000000-0005-0000-0000-0000436A0000}"/>
    <cellStyle name="40 % - Markeringsfarve3 5 4 5 2" xfId="13823" xr:uid="{00000000-0005-0000-0000-0000446A0000}"/>
    <cellStyle name="40 % - Markeringsfarve3 5 4 5 2 2" xfId="30137" xr:uid="{00000000-0005-0000-0000-0000456A0000}"/>
    <cellStyle name="40 % - Markeringsfarve3 5 4 5 2 3" xfId="45101" xr:uid="{00000000-0005-0000-0000-0000466A0000}"/>
    <cellStyle name="40 % - Markeringsfarve3 5 4 5 3" xfId="23115" xr:uid="{00000000-0005-0000-0000-0000476A0000}"/>
    <cellStyle name="40 % - Markeringsfarve3 5 4 5 4" xfId="38102" xr:uid="{00000000-0005-0000-0000-0000486A0000}"/>
    <cellStyle name="40 % - Markeringsfarve3 5 4 6" xfId="12380" xr:uid="{00000000-0005-0000-0000-0000496A0000}"/>
    <cellStyle name="40 % - Markeringsfarve3 5 4 6 2" xfId="28699" xr:uid="{00000000-0005-0000-0000-00004A6A0000}"/>
    <cellStyle name="40 % - Markeringsfarve3 5 4 6 3" xfId="43664" xr:uid="{00000000-0005-0000-0000-00004B6A0000}"/>
    <cellStyle name="40 % - Markeringsfarve3 5 4 7" xfId="21677" xr:uid="{00000000-0005-0000-0000-00004C6A0000}"/>
    <cellStyle name="40 % - Markeringsfarve3 5 4 8" xfId="36665" xr:uid="{00000000-0005-0000-0000-00004D6A0000}"/>
    <cellStyle name="40 % - Markeringsfarve3 5 5" xfId="3828" xr:uid="{00000000-0005-0000-0000-00004E6A0000}"/>
    <cellStyle name="40 % - Markeringsfarve3 5 5 2" xfId="3829" xr:uid="{00000000-0005-0000-0000-00004F6A0000}"/>
    <cellStyle name="40 % - Markeringsfarve3 5 5 2 2" xfId="3830" xr:uid="{00000000-0005-0000-0000-0000506A0000}"/>
    <cellStyle name="40 % - Markeringsfarve3 5 5 2 2 2" xfId="8046" xr:uid="{00000000-0005-0000-0000-0000516A0000}"/>
    <cellStyle name="40 % - Markeringsfarve3 5 5 2 2 2 2" xfId="15947" xr:uid="{00000000-0005-0000-0000-0000526A0000}"/>
    <cellStyle name="40 % - Markeringsfarve3 5 5 2 2 2 2 2" xfId="32261" xr:uid="{00000000-0005-0000-0000-0000536A0000}"/>
    <cellStyle name="40 % - Markeringsfarve3 5 5 2 2 2 2 3" xfId="47225" xr:uid="{00000000-0005-0000-0000-0000546A0000}"/>
    <cellStyle name="40 % - Markeringsfarve3 5 5 2 2 2 3" xfId="25239" xr:uid="{00000000-0005-0000-0000-0000556A0000}"/>
    <cellStyle name="40 % - Markeringsfarve3 5 5 2 2 2 4" xfId="40226" xr:uid="{00000000-0005-0000-0000-0000566A0000}"/>
    <cellStyle name="40 % - Markeringsfarve3 5 5 2 2 3" xfId="12387" xr:uid="{00000000-0005-0000-0000-0000576A0000}"/>
    <cellStyle name="40 % - Markeringsfarve3 5 5 2 2 3 2" xfId="28706" xr:uid="{00000000-0005-0000-0000-0000586A0000}"/>
    <cellStyle name="40 % - Markeringsfarve3 5 5 2 2 3 3" xfId="43671" xr:uid="{00000000-0005-0000-0000-0000596A0000}"/>
    <cellStyle name="40 % - Markeringsfarve3 5 5 2 2 4" xfId="21684" xr:uid="{00000000-0005-0000-0000-00005A6A0000}"/>
    <cellStyle name="40 % - Markeringsfarve3 5 5 2 2 5" xfId="36672" xr:uid="{00000000-0005-0000-0000-00005B6A0000}"/>
    <cellStyle name="40 % - Markeringsfarve3 5 5 2 3" xfId="6562" xr:uid="{00000000-0005-0000-0000-00005C6A0000}"/>
    <cellStyle name="40 % - Markeringsfarve3 5 5 2 3 2" xfId="14476" xr:uid="{00000000-0005-0000-0000-00005D6A0000}"/>
    <cellStyle name="40 % - Markeringsfarve3 5 5 2 3 2 2" xfId="30790" xr:uid="{00000000-0005-0000-0000-00005E6A0000}"/>
    <cellStyle name="40 % - Markeringsfarve3 5 5 2 3 2 3" xfId="45754" xr:uid="{00000000-0005-0000-0000-00005F6A0000}"/>
    <cellStyle name="40 % - Markeringsfarve3 5 5 2 3 3" xfId="23768" xr:uid="{00000000-0005-0000-0000-0000606A0000}"/>
    <cellStyle name="40 % - Markeringsfarve3 5 5 2 3 4" xfId="38755" xr:uid="{00000000-0005-0000-0000-0000616A0000}"/>
    <cellStyle name="40 % - Markeringsfarve3 5 5 2 4" xfId="12386" xr:uid="{00000000-0005-0000-0000-0000626A0000}"/>
    <cellStyle name="40 % - Markeringsfarve3 5 5 2 4 2" xfId="28705" xr:uid="{00000000-0005-0000-0000-0000636A0000}"/>
    <cellStyle name="40 % - Markeringsfarve3 5 5 2 4 3" xfId="43670" xr:uid="{00000000-0005-0000-0000-0000646A0000}"/>
    <cellStyle name="40 % - Markeringsfarve3 5 5 2 5" xfId="21683" xr:uid="{00000000-0005-0000-0000-0000656A0000}"/>
    <cellStyle name="40 % - Markeringsfarve3 5 5 2 6" xfId="36671" xr:uid="{00000000-0005-0000-0000-0000666A0000}"/>
    <cellStyle name="40 % - Markeringsfarve3 5 5 3" xfId="3831" xr:uid="{00000000-0005-0000-0000-0000676A0000}"/>
    <cellStyle name="40 % - Markeringsfarve3 5 5 3 2" xfId="7322" xr:uid="{00000000-0005-0000-0000-0000686A0000}"/>
    <cellStyle name="40 % - Markeringsfarve3 5 5 3 2 2" xfId="15232" xr:uid="{00000000-0005-0000-0000-0000696A0000}"/>
    <cellStyle name="40 % - Markeringsfarve3 5 5 3 2 2 2" xfId="31546" xr:uid="{00000000-0005-0000-0000-00006A6A0000}"/>
    <cellStyle name="40 % - Markeringsfarve3 5 5 3 2 2 3" xfId="46510" xr:uid="{00000000-0005-0000-0000-00006B6A0000}"/>
    <cellStyle name="40 % - Markeringsfarve3 5 5 3 2 3" xfId="24524" xr:uid="{00000000-0005-0000-0000-00006C6A0000}"/>
    <cellStyle name="40 % - Markeringsfarve3 5 5 3 2 4" xfId="39511" xr:uid="{00000000-0005-0000-0000-00006D6A0000}"/>
    <cellStyle name="40 % - Markeringsfarve3 5 5 3 3" xfId="12388" xr:uid="{00000000-0005-0000-0000-00006E6A0000}"/>
    <cellStyle name="40 % - Markeringsfarve3 5 5 3 3 2" xfId="28707" xr:uid="{00000000-0005-0000-0000-00006F6A0000}"/>
    <cellStyle name="40 % - Markeringsfarve3 5 5 3 3 3" xfId="43672" xr:uid="{00000000-0005-0000-0000-0000706A0000}"/>
    <cellStyle name="40 % - Markeringsfarve3 5 5 3 4" xfId="21685" xr:uid="{00000000-0005-0000-0000-0000716A0000}"/>
    <cellStyle name="40 % - Markeringsfarve3 5 5 3 5" xfId="36673" xr:uid="{00000000-0005-0000-0000-0000726A0000}"/>
    <cellStyle name="40 % - Markeringsfarve3 5 5 4" xfId="3832" xr:uid="{00000000-0005-0000-0000-0000736A0000}"/>
    <cellStyle name="40 % - Markeringsfarve3 5 5 4 2" xfId="8664" xr:uid="{00000000-0005-0000-0000-0000746A0000}"/>
    <cellStyle name="40 % - Markeringsfarve3 5 5 4 2 2" xfId="16547" xr:uid="{00000000-0005-0000-0000-0000756A0000}"/>
    <cellStyle name="40 % - Markeringsfarve3 5 5 4 2 2 2" xfId="32861" xr:uid="{00000000-0005-0000-0000-0000766A0000}"/>
    <cellStyle name="40 % - Markeringsfarve3 5 5 4 2 2 3" xfId="47825" xr:uid="{00000000-0005-0000-0000-0000776A0000}"/>
    <cellStyle name="40 % - Markeringsfarve3 5 5 4 2 3" xfId="25839" xr:uid="{00000000-0005-0000-0000-0000786A0000}"/>
    <cellStyle name="40 % - Markeringsfarve3 5 5 4 2 4" xfId="40826" xr:uid="{00000000-0005-0000-0000-0000796A0000}"/>
    <cellStyle name="40 % - Markeringsfarve3 5 5 4 3" xfId="12389" xr:uid="{00000000-0005-0000-0000-00007A6A0000}"/>
    <cellStyle name="40 % - Markeringsfarve3 5 5 4 3 2" xfId="28708" xr:uid="{00000000-0005-0000-0000-00007B6A0000}"/>
    <cellStyle name="40 % - Markeringsfarve3 5 5 4 3 3" xfId="43673" xr:uid="{00000000-0005-0000-0000-00007C6A0000}"/>
    <cellStyle name="40 % - Markeringsfarve3 5 5 4 4" xfId="21686" xr:uid="{00000000-0005-0000-0000-00007D6A0000}"/>
    <cellStyle name="40 % - Markeringsfarve3 5 5 4 5" xfId="36674" xr:uid="{00000000-0005-0000-0000-00007E6A0000}"/>
    <cellStyle name="40 % - Markeringsfarve3 5 5 5" xfId="5906" xr:uid="{00000000-0005-0000-0000-00007F6A0000}"/>
    <cellStyle name="40 % - Markeringsfarve3 5 5 5 2" xfId="13824" xr:uid="{00000000-0005-0000-0000-0000806A0000}"/>
    <cellStyle name="40 % - Markeringsfarve3 5 5 5 2 2" xfId="30138" xr:uid="{00000000-0005-0000-0000-0000816A0000}"/>
    <cellStyle name="40 % - Markeringsfarve3 5 5 5 2 3" xfId="45102" xr:uid="{00000000-0005-0000-0000-0000826A0000}"/>
    <cellStyle name="40 % - Markeringsfarve3 5 5 5 3" xfId="23116" xr:uid="{00000000-0005-0000-0000-0000836A0000}"/>
    <cellStyle name="40 % - Markeringsfarve3 5 5 5 4" xfId="38103" xr:uid="{00000000-0005-0000-0000-0000846A0000}"/>
    <cellStyle name="40 % - Markeringsfarve3 5 5 6" xfId="12385" xr:uid="{00000000-0005-0000-0000-0000856A0000}"/>
    <cellStyle name="40 % - Markeringsfarve3 5 5 6 2" xfId="28704" xr:uid="{00000000-0005-0000-0000-0000866A0000}"/>
    <cellStyle name="40 % - Markeringsfarve3 5 5 6 3" xfId="43669" xr:uid="{00000000-0005-0000-0000-0000876A0000}"/>
    <cellStyle name="40 % - Markeringsfarve3 5 5 7" xfId="21682" xr:uid="{00000000-0005-0000-0000-0000886A0000}"/>
    <cellStyle name="40 % - Markeringsfarve3 5 5 8" xfId="36670" xr:uid="{00000000-0005-0000-0000-0000896A0000}"/>
    <cellStyle name="40 % - Markeringsfarve3 5 6" xfId="3833" xr:uid="{00000000-0005-0000-0000-00008A6A0000}"/>
    <cellStyle name="40 % - Markeringsfarve3 5 6 2" xfId="3834" xr:uid="{00000000-0005-0000-0000-00008B6A0000}"/>
    <cellStyle name="40 % - Markeringsfarve3 5 6 2 2" xfId="3835" xr:uid="{00000000-0005-0000-0000-00008C6A0000}"/>
    <cellStyle name="40 % - Markeringsfarve3 5 6 2 2 2" xfId="8160" xr:uid="{00000000-0005-0000-0000-00008D6A0000}"/>
    <cellStyle name="40 % - Markeringsfarve3 5 6 2 2 2 2" xfId="16061" xr:uid="{00000000-0005-0000-0000-00008E6A0000}"/>
    <cellStyle name="40 % - Markeringsfarve3 5 6 2 2 2 2 2" xfId="32375" xr:uid="{00000000-0005-0000-0000-00008F6A0000}"/>
    <cellStyle name="40 % - Markeringsfarve3 5 6 2 2 2 2 3" xfId="47339" xr:uid="{00000000-0005-0000-0000-0000906A0000}"/>
    <cellStyle name="40 % - Markeringsfarve3 5 6 2 2 2 3" xfId="25353" xr:uid="{00000000-0005-0000-0000-0000916A0000}"/>
    <cellStyle name="40 % - Markeringsfarve3 5 6 2 2 2 4" xfId="40340" xr:uid="{00000000-0005-0000-0000-0000926A0000}"/>
    <cellStyle name="40 % - Markeringsfarve3 5 6 2 2 3" xfId="12392" xr:uid="{00000000-0005-0000-0000-0000936A0000}"/>
    <cellStyle name="40 % - Markeringsfarve3 5 6 2 2 3 2" xfId="28711" xr:uid="{00000000-0005-0000-0000-0000946A0000}"/>
    <cellStyle name="40 % - Markeringsfarve3 5 6 2 2 3 3" xfId="43676" xr:uid="{00000000-0005-0000-0000-0000956A0000}"/>
    <cellStyle name="40 % - Markeringsfarve3 5 6 2 2 4" xfId="21689" xr:uid="{00000000-0005-0000-0000-0000966A0000}"/>
    <cellStyle name="40 % - Markeringsfarve3 5 6 2 2 5" xfId="36677" xr:uid="{00000000-0005-0000-0000-0000976A0000}"/>
    <cellStyle name="40 % - Markeringsfarve3 5 6 2 3" xfId="6653" xr:uid="{00000000-0005-0000-0000-0000986A0000}"/>
    <cellStyle name="40 % - Markeringsfarve3 5 6 2 3 2" xfId="14567" xr:uid="{00000000-0005-0000-0000-0000996A0000}"/>
    <cellStyle name="40 % - Markeringsfarve3 5 6 2 3 2 2" xfId="30881" xr:uid="{00000000-0005-0000-0000-00009A6A0000}"/>
    <cellStyle name="40 % - Markeringsfarve3 5 6 2 3 2 3" xfId="45845" xr:uid="{00000000-0005-0000-0000-00009B6A0000}"/>
    <cellStyle name="40 % - Markeringsfarve3 5 6 2 3 3" xfId="23859" xr:uid="{00000000-0005-0000-0000-00009C6A0000}"/>
    <cellStyle name="40 % - Markeringsfarve3 5 6 2 3 4" xfId="38846" xr:uid="{00000000-0005-0000-0000-00009D6A0000}"/>
    <cellStyle name="40 % - Markeringsfarve3 5 6 2 4" xfId="12391" xr:uid="{00000000-0005-0000-0000-00009E6A0000}"/>
    <cellStyle name="40 % - Markeringsfarve3 5 6 2 4 2" xfId="28710" xr:uid="{00000000-0005-0000-0000-00009F6A0000}"/>
    <cellStyle name="40 % - Markeringsfarve3 5 6 2 4 3" xfId="43675" xr:uid="{00000000-0005-0000-0000-0000A06A0000}"/>
    <cellStyle name="40 % - Markeringsfarve3 5 6 2 5" xfId="21688" xr:uid="{00000000-0005-0000-0000-0000A16A0000}"/>
    <cellStyle name="40 % - Markeringsfarve3 5 6 2 6" xfId="36676" xr:uid="{00000000-0005-0000-0000-0000A26A0000}"/>
    <cellStyle name="40 % - Markeringsfarve3 5 6 3" xfId="3836" xr:uid="{00000000-0005-0000-0000-0000A36A0000}"/>
    <cellStyle name="40 % - Markeringsfarve3 5 6 3 2" xfId="7437" xr:uid="{00000000-0005-0000-0000-0000A46A0000}"/>
    <cellStyle name="40 % - Markeringsfarve3 5 6 3 2 2" xfId="15347" xr:uid="{00000000-0005-0000-0000-0000A56A0000}"/>
    <cellStyle name="40 % - Markeringsfarve3 5 6 3 2 2 2" xfId="31661" xr:uid="{00000000-0005-0000-0000-0000A66A0000}"/>
    <cellStyle name="40 % - Markeringsfarve3 5 6 3 2 2 3" xfId="46625" xr:uid="{00000000-0005-0000-0000-0000A76A0000}"/>
    <cellStyle name="40 % - Markeringsfarve3 5 6 3 2 3" xfId="24639" xr:uid="{00000000-0005-0000-0000-0000A86A0000}"/>
    <cellStyle name="40 % - Markeringsfarve3 5 6 3 2 4" xfId="39626" xr:uid="{00000000-0005-0000-0000-0000A96A0000}"/>
    <cellStyle name="40 % - Markeringsfarve3 5 6 3 3" xfId="12393" xr:uid="{00000000-0005-0000-0000-0000AA6A0000}"/>
    <cellStyle name="40 % - Markeringsfarve3 5 6 3 3 2" xfId="28712" xr:uid="{00000000-0005-0000-0000-0000AB6A0000}"/>
    <cellStyle name="40 % - Markeringsfarve3 5 6 3 3 3" xfId="43677" xr:uid="{00000000-0005-0000-0000-0000AC6A0000}"/>
    <cellStyle name="40 % - Markeringsfarve3 5 6 3 4" xfId="21690" xr:uid="{00000000-0005-0000-0000-0000AD6A0000}"/>
    <cellStyle name="40 % - Markeringsfarve3 5 6 3 5" xfId="36678" xr:uid="{00000000-0005-0000-0000-0000AE6A0000}"/>
    <cellStyle name="40 % - Markeringsfarve3 5 6 4" xfId="3837" xr:uid="{00000000-0005-0000-0000-0000AF6A0000}"/>
    <cellStyle name="40 % - Markeringsfarve3 5 6 4 2" xfId="8386" xr:uid="{00000000-0005-0000-0000-0000B06A0000}"/>
    <cellStyle name="40 % - Markeringsfarve3 5 6 4 2 2" xfId="16280" xr:uid="{00000000-0005-0000-0000-0000B16A0000}"/>
    <cellStyle name="40 % - Markeringsfarve3 5 6 4 2 2 2" xfId="32594" xr:uid="{00000000-0005-0000-0000-0000B26A0000}"/>
    <cellStyle name="40 % - Markeringsfarve3 5 6 4 2 2 3" xfId="47558" xr:uid="{00000000-0005-0000-0000-0000B36A0000}"/>
    <cellStyle name="40 % - Markeringsfarve3 5 6 4 2 3" xfId="25572" xr:uid="{00000000-0005-0000-0000-0000B46A0000}"/>
    <cellStyle name="40 % - Markeringsfarve3 5 6 4 2 4" xfId="40559" xr:uid="{00000000-0005-0000-0000-0000B56A0000}"/>
    <cellStyle name="40 % - Markeringsfarve3 5 6 4 3" xfId="12394" xr:uid="{00000000-0005-0000-0000-0000B66A0000}"/>
    <cellStyle name="40 % - Markeringsfarve3 5 6 4 3 2" xfId="28713" xr:uid="{00000000-0005-0000-0000-0000B76A0000}"/>
    <cellStyle name="40 % - Markeringsfarve3 5 6 4 3 3" xfId="43678" xr:uid="{00000000-0005-0000-0000-0000B86A0000}"/>
    <cellStyle name="40 % - Markeringsfarve3 5 6 4 4" xfId="21691" xr:uid="{00000000-0005-0000-0000-0000B96A0000}"/>
    <cellStyle name="40 % - Markeringsfarve3 5 6 4 5" xfId="36679" xr:uid="{00000000-0005-0000-0000-0000BA6A0000}"/>
    <cellStyle name="40 % - Markeringsfarve3 5 6 5" xfId="5907" xr:uid="{00000000-0005-0000-0000-0000BB6A0000}"/>
    <cellStyle name="40 % - Markeringsfarve3 5 6 5 2" xfId="13825" xr:uid="{00000000-0005-0000-0000-0000BC6A0000}"/>
    <cellStyle name="40 % - Markeringsfarve3 5 6 5 2 2" xfId="30139" xr:uid="{00000000-0005-0000-0000-0000BD6A0000}"/>
    <cellStyle name="40 % - Markeringsfarve3 5 6 5 2 3" xfId="45103" xr:uid="{00000000-0005-0000-0000-0000BE6A0000}"/>
    <cellStyle name="40 % - Markeringsfarve3 5 6 5 3" xfId="23117" xr:uid="{00000000-0005-0000-0000-0000BF6A0000}"/>
    <cellStyle name="40 % - Markeringsfarve3 5 6 5 4" xfId="38104" xr:uid="{00000000-0005-0000-0000-0000C06A0000}"/>
    <cellStyle name="40 % - Markeringsfarve3 5 6 6" xfId="12390" xr:uid="{00000000-0005-0000-0000-0000C16A0000}"/>
    <cellStyle name="40 % - Markeringsfarve3 5 6 6 2" xfId="28709" xr:uid="{00000000-0005-0000-0000-0000C26A0000}"/>
    <cellStyle name="40 % - Markeringsfarve3 5 6 6 3" xfId="43674" xr:uid="{00000000-0005-0000-0000-0000C36A0000}"/>
    <cellStyle name="40 % - Markeringsfarve3 5 6 7" xfId="21687" xr:uid="{00000000-0005-0000-0000-0000C46A0000}"/>
    <cellStyle name="40 % - Markeringsfarve3 5 6 8" xfId="36675" xr:uid="{00000000-0005-0000-0000-0000C56A0000}"/>
    <cellStyle name="40 % - Markeringsfarve3 5 7" xfId="3838" xr:uid="{00000000-0005-0000-0000-0000C66A0000}"/>
    <cellStyle name="40 % - Markeringsfarve3 5 7 2" xfId="3839" xr:uid="{00000000-0005-0000-0000-0000C76A0000}"/>
    <cellStyle name="40 % - Markeringsfarve3 5 7 2 2" xfId="7572" xr:uid="{00000000-0005-0000-0000-0000C86A0000}"/>
    <cellStyle name="40 % - Markeringsfarve3 5 7 2 2 2" xfId="15473" xr:uid="{00000000-0005-0000-0000-0000C96A0000}"/>
    <cellStyle name="40 % - Markeringsfarve3 5 7 2 2 2 2" xfId="31787" xr:uid="{00000000-0005-0000-0000-0000CA6A0000}"/>
    <cellStyle name="40 % - Markeringsfarve3 5 7 2 2 2 3" xfId="46751" xr:uid="{00000000-0005-0000-0000-0000CB6A0000}"/>
    <cellStyle name="40 % - Markeringsfarve3 5 7 2 2 3" xfId="24765" xr:uid="{00000000-0005-0000-0000-0000CC6A0000}"/>
    <cellStyle name="40 % - Markeringsfarve3 5 7 2 2 4" xfId="39752" xr:uid="{00000000-0005-0000-0000-0000CD6A0000}"/>
    <cellStyle name="40 % - Markeringsfarve3 5 7 2 3" xfId="12396" xr:uid="{00000000-0005-0000-0000-0000CE6A0000}"/>
    <cellStyle name="40 % - Markeringsfarve3 5 7 2 3 2" xfId="28715" xr:uid="{00000000-0005-0000-0000-0000CF6A0000}"/>
    <cellStyle name="40 % - Markeringsfarve3 5 7 2 3 3" xfId="43680" xr:uid="{00000000-0005-0000-0000-0000D06A0000}"/>
    <cellStyle name="40 % - Markeringsfarve3 5 7 2 4" xfId="21693" xr:uid="{00000000-0005-0000-0000-0000D16A0000}"/>
    <cellStyle name="40 % - Markeringsfarve3 5 7 2 5" xfId="36681" xr:uid="{00000000-0005-0000-0000-0000D26A0000}"/>
    <cellStyle name="40 % - Markeringsfarve3 5 7 3" xfId="6162" xr:uid="{00000000-0005-0000-0000-0000D36A0000}"/>
    <cellStyle name="40 % - Markeringsfarve3 5 7 3 2" xfId="14079" xr:uid="{00000000-0005-0000-0000-0000D46A0000}"/>
    <cellStyle name="40 % - Markeringsfarve3 5 7 3 2 2" xfId="30393" xr:uid="{00000000-0005-0000-0000-0000D56A0000}"/>
    <cellStyle name="40 % - Markeringsfarve3 5 7 3 2 3" xfId="45357" xr:uid="{00000000-0005-0000-0000-0000D66A0000}"/>
    <cellStyle name="40 % - Markeringsfarve3 5 7 3 3" xfId="23371" xr:uid="{00000000-0005-0000-0000-0000D76A0000}"/>
    <cellStyle name="40 % - Markeringsfarve3 5 7 3 4" xfId="38358" xr:uid="{00000000-0005-0000-0000-0000D86A0000}"/>
    <cellStyle name="40 % - Markeringsfarve3 5 7 4" xfId="12395" xr:uid="{00000000-0005-0000-0000-0000D96A0000}"/>
    <cellStyle name="40 % - Markeringsfarve3 5 7 4 2" xfId="28714" xr:uid="{00000000-0005-0000-0000-0000DA6A0000}"/>
    <cellStyle name="40 % - Markeringsfarve3 5 7 4 3" xfId="43679" xr:uid="{00000000-0005-0000-0000-0000DB6A0000}"/>
    <cellStyle name="40 % - Markeringsfarve3 5 7 5" xfId="21692" xr:uid="{00000000-0005-0000-0000-0000DC6A0000}"/>
    <cellStyle name="40 % - Markeringsfarve3 5 7 6" xfId="36680" xr:uid="{00000000-0005-0000-0000-0000DD6A0000}"/>
    <cellStyle name="40 % - Markeringsfarve3 5 8" xfId="3840" xr:uid="{00000000-0005-0000-0000-0000DE6A0000}"/>
    <cellStyle name="40 % - Markeringsfarve3 5 8 2" xfId="6800" xr:uid="{00000000-0005-0000-0000-0000DF6A0000}"/>
    <cellStyle name="40 % - Markeringsfarve3 5 8 2 2" xfId="14711" xr:uid="{00000000-0005-0000-0000-0000E06A0000}"/>
    <cellStyle name="40 % - Markeringsfarve3 5 8 2 2 2" xfId="31025" xr:uid="{00000000-0005-0000-0000-0000E16A0000}"/>
    <cellStyle name="40 % - Markeringsfarve3 5 8 2 2 3" xfId="45989" xr:uid="{00000000-0005-0000-0000-0000E26A0000}"/>
    <cellStyle name="40 % - Markeringsfarve3 5 8 2 3" xfId="24003" xr:uid="{00000000-0005-0000-0000-0000E36A0000}"/>
    <cellStyle name="40 % - Markeringsfarve3 5 8 2 4" xfId="38990" xr:uid="{00000000-0005-0000-0000-0000E46A0000}"/>
    <cellStyle name="40 % - Markeringsfarve3 5 8 3" xfId="12397" xr:uid="{00000000-0005-0000-0000-0000E56A0000}"/>
    <cellStyle name="40 % - Markeringsfarve3 5 8 3 2" xfId="28716" xr:uid="{00000000-0005-0000-0000-0000E66A0000}"/>
    <cellStyle name="40 % - Markeringsfarve3 5 8 3 3" xfId="43681" xr:uid="{00000000-0005-0000-0000-0000E76A0000}"/>
    <cellStyle name="40 % - Markeringsfarve3 5 8 4" xfId="21694" xr:uid="{00000000-0005-0000-0000-0000E86A0000}"/>
    <cellStyle name="40 % - Markeringsfarve3 5 8 5" xfId="36682" xr:uid="{00000000-0005-0000-0000-0000E96A0000}"/>
    <cellStyle name="40 % - Markeringsfarve3 5 9" xfId="3841" xr:uid="{00000000-0005-0000-0000-0000EA6A0000}"/>
    <cellStyle name="40 % - Markeringsfarve3 5 9 2" xfId="8491" xr:uid="{00000000-0005-0000-0000-0000EB6A0000}"/>
    <cellStyle name="40 % - Markeringsfarve3 5 9 2 2" xfId="16380" xr:uid="{00000000-0005-0000-0000-0000EC6A0000}"/>
    <cellStyle name="40 % - Markeringsfarve3 5 9 2 2 2" xfId="32694" xr:uid="{00000000-0005-0000-0000-0000ED6A0000}"/>
    <cellStyle name="40 % - Markeringsfarve3 5 9 2 2 3" xfId="47658" xr:uid="{00000000-0005-0000-0000-0000EE6A0000}"/>
    <cellStyle name="40 % - Markeringsfarve3 5 9 2 3" xfId="25672" xr:uid="{00000000-0005-0000-0000-0000EF6A0000}"/>
    <cellStyle name="40 % - Markeringsfarve3 5 9 2 4" xfId="40659" xr:uid="{00000000-0005-0000-0000-0000F06A0000}"/>
    <cellStyle name="40 % - Markeringsfarve3 5 9 3" xfId="12398" xr:uid="{00000000-0005-0000-0000-0000F16A0000}"/>
    <cellStyle name="40 % - Markeringsfarve3 5 9 3 2" xfId="28717" xr:uid="{00000000-0005-0000-0000-0000F26A0000}"/>
    <cellStyle name="40 % - Markeringsfarve3 5 9 3 3" xfId="43682" xr:uid="{00000000-0005-0000-0000-0000F36A0000}"/>
    <cellStyle name="40 % - Markeringsfarve3 5 9 4" xfId="21695" xr:uid="{00000000-0005-0000-0000-0000F46A0000}"/>
    <cellStyle name="40 % - Markeringsfarve3 5 9 5" xfId="36683" xr:uid="{00000000-0005-0000-0000-0000F56A0000}"/>
    <cellStyle name="40 % - Markeringsfarve3 6" xfId="3842" xr:uid="{00000000-0005-0000-0000-0000F66A0000}"/>
    <cellStyle name="40 % - Markeringsfarve3 6 10" xfId="53384" xr:uid="{00000000-0005-0000-0000-0000F76A0000}"/>
    <cellStyle name="40 % - Markeringsfarve3 6 2" xfId="3843" xr:uid="{00000000-0005-0000-0000-0000F86A0000}"/>
    <cellStyle name="40 % - Markeringsfarve3 6 2 2" xfId="3844" xr:uid="{00000000-0005-0000-0000-0000F96A0000}"/>
    <cellStyle name="40 % - Markeringsfarve3 6 2 2 2" xfId="3845" xr:uid="{00000000-0005-0000-0000-0000FA6A0000}"/>
    <cellStyle name="40 % - Markeringsfarve3 6 2 2 2 2" xfId="7806" xr:uid="{00000000-0005-0000-0000-0000FB6A0000}"/>
    <cellStyle name="40 % - Markeringsfarve3 6 2 2 2 2 2" xfId="15707" xr:uid="{00000000-0005-0000-0000-0000FC6A0000}"/>
    <cellStyle name="40 % - Markeringsfarve3 6 2 2 2 2 2 2" xfId="32021" xr:uid="{00000000-0005-0000-0000-0000FD6A0000}"/>
    <cellStyle name="40 % - Markeringsfarve3 6 2 2 2 2 2 3" xfId="46985" xr:uid="{00000000-0005-0000-0000-0000FE6A0000}"/>
    <cellStyle name="40 % - Markeringsfarve3 6 2 2 2 2 3" xfId="24999" xr:uid="{00000000-0005-0000-0000-0000FF6A0000}"/>
    <cellStyle name="40 % - Markeringsfarve3 6 2 2 2 2 4" xfId="39986" xr:uid="{00000000-0005-0000-0000-0000006B0000}"/>
    <cellStyle name="40 % - Markeringsfarve3 6 2 2 2 3" xfId="12402" xr:uid="{00000000-0005-0000-0000-0000016B0000}"/>
    <cellStyle name="40 % - Markeringsfarve3 6 2 2 2 3 2" xfId="28721" xr:uid="{00000000-0005-0000-0000-0000026B0000}"/>
    <cellStyle name="40 % - Markeringsfarve3 6 2 2 2 3 3" xfId="43686" xr:uid="{00000000-0005-0000-0000-0000036B0000}"/>
    <cellStyle name="40 % - Markeringsfarve3 6 2 2 2 4" xfId="21699" xr:uid="{00000000-0005-0000-0000-0000046B0000}"/>
    <cellStyle name="40 % - Markeringsfarve3 6 2 2 2 5" xfId="36687" xr:uid="{00000000-0005-0000-0000-0000056B0000}"/>
    <cellStyle name="40 % - Markeringsfarve3 6 2 2 3" xfId="6352" xr:uid="{00000000-0005-0000-0000-0000066B0000}"/>
    <cellStyle name="40 % - Markeringsfarve3 6 2 2 3 2" xfId="14269" xr:uid="{00000000-0005-0000-0000-0000076B0000}"/>
    <cellStyle name="40 % - Markeringsfarve3 6 2 2 3 2 2" xfId="30583" xr:uid="{00000000-0005-0000-0000-0000086B0000}"/>
    <cellStyle name="40 % - Markeringsfarve3 6 2 2 3 2 3" xfId="45547" xr:uid="{00000000-0005-0000-0000-0000096B0000}"/>
    <cellStyle name="40 % - Markeringsfarve3 6 2 2 3 3" xfId="23561" xr:uid="{00000000-0005-0000-0000-00000A6B0000}"/>
    <cellStyle name="40 % - Markeringsfarve3 6 2 2 3 4" xfId="38548" xr:uid="{00000000-0005-0000-0000-00000B6B0000}"/>
    <cellStyle name="40 % - Markeringsfarve3 6 2 2 4" xfId="12401" xr:uid="{00000000-0005-0000-0000-00000C6B0000}"/>
    <cellStyle name="40 % - Markeringsfarve3 6 2 2 4 2" xfId="28720" xr:uid="{00000000-0005-0000-0000-00000D6B0000}"/>
    <cellStyle name="40 % - Markeringsfarve3 6 2 2 4 3" xfId="43685" xr:uid="{00000000-0005-0000-0000-00000E6B0000}"/>
    <cellStyle name="40 % - Markeringsfarve3 6 2 2 5" xfId="21698" xr:uid="{00000000-0005-0000-0000-00000F6B0000}"/>
    <cellStyle name="40 % - Markeringsfarve3 6 2 2 6" xfId="36686" xr:uid="{00000000-0005-0000-0000-0000106B0000}"/>
    <cellStyle name="40 % - Markeringsfarve3 6 2 2 7" xfId="57188" xr:uid="{00000000-0005-0000-0000-0000116B0000}"/>
    <cellStyle name="40 % - Markeringsfarve3 6 2 3" xfId="3846" xr:uid="{00000000-0005-0000-0000-0000126B0000}"/>
    <cellStyle name="40 % - Markeringsfarve3 6 2 3 2" xfId="7036" xr:uid="{00000000-0005-0000-0000-0000136B0000}"/>
    <cellStyle name="40 % - Markeringsfarve3 6 2 3 2 2" xfId="14947" xr:uid="{00000000-0005-0000-0000-0000146B0000}"/>
    <cellStyle name="40 % - Markeringsfarve3 6 2 3 2 2 2" xfId="31261" xr:uid="{00000000-0005-0000-0000-0000156B0000}"/>
    <cellStyle name="40 % - Markeringsfarve3 6 2 3 2 2 3" xfId="46225" xr:uid="{00000000-0005-0000-0000-0000166B0000}"/>
    <cellStyle name="40 % - Markeringsfarve3 6 2 3 2 3" xfId="24239" xr:uid="{00000000-0005-0000-0000-0000176B0000}"/>
    <cellStyle name="40 % - Markeringsfarve3 6 2 3 2 4" xfId="39226" xr:uid="{00000000-0005-0000-0000-0000186B0000}"/>
    <cellStyle name="40 % - Markeringsfarve3 6 2 3 3" xfId="12403" xr:uid="{00000000-0005-0000-0000-0000196B0000}"/>
    <cellStyle name="40 % - Markeringsfarve3 6 2 3 3 2" xfId="28722" xr:uid="{00000000-0005-0000-0000-00001A6B0000}"/>
    <cellStyle name="40 % - Markeringsfarve3 6 2 3 3 3" xfId="43687" xr:uid="{00000000-0005-0000-0000-00001B6B0000}"/>
    <cellStyle name="40 % - Markeringsfarve3 6 2 3 4" xfId="21700" xr:uid="{00000000-0005-0000-0000-00001C6B0000}"/>
    <cellStyle name="40 % - Markeringsfarve3 6 2 3 5" xfId="36688" xr:uid="{00000000-0005-0000-0000-00001D6B0000}"/>
    <cellStyle name="40 % - Markeringsfarve3 6 2 4" xfId="3847" xr:uid="{00000000-0005-0000-0000-00001E6B0000}"/>
    <cellStyle name="40 % - Markeringsfarve3 6 2 4 2" xfId="8278" xr:uid="{00000000-0005-0000-0000-00001F6B0000}"/>
    <cellStyle name="40 % - Markeringsfarve3 6 2 4 2 2" xfId="16172" xr:uid="{00000000-0005-0000-0000-0000206B0000}"/>
    <cellStyle name="40 % - Markeringsfarve3 6 2 4 2 2 2" xfId="32486" xr:uid="{00000000-0005-0000-0000-0000216B0000}"/>
    <cellStyle name="40 % - Markeringsfarve3 6 2 4 2 2 3" xfId="47450" xr:uid="{00000000-0005-0000-0000-0000226B0000}"/>
    <cellStyle name="40 % - Markeringsfarve3 6 2 4 2 3" xfId="25464" xr:uid="{00000000-0005-0000-0000-0000236B0000}"/>
    <cellStyle name="40 % - Markeringsfarve3 6 2 4 2 4" xfId="40451" xr:uid="{00000000-0005-0000-0000-0000246B0000}"/>
    <cellStyle name="40 % - Markeringsfarve3 6 2 4 3" xfId="12404" xr:uid="{00000000-0005-0000-0000-0000256B0000}"/>
    <cellStyle name="40 % - Markeringsfarve3 6 2 4 3 2" xfId="28723" xr:uid="{00000000-0005-0000-0000-0000266B0000}"/>
    <cellStyle name="40 % - Markeringsfarve3 6 2 4 3 3" xfId="43688" xr:uid="{00000000-0005-0000-0000-0000276B0000}"/>
    <cellStyle name="40 % - Markeringsfarve3 6 2 4 4" xfId="21701" xr:uid="{00000000-0005-0000-0000-0000286B0000}"/>
    <cellStyle name="40 % - Markeringsfarve3 6 2 4 5" xfId="36689" xr:uid="{00000000-0005-0000-0000-0000296B0000}"/>
    <cellStyle name="40 % - Markeringsfarve3 6 2 5" xfId="5909" xr:uid="{00000000-0005-0000-0000-00002A6B0000}"/>
    <cellStyle name="40 % - Markeringsfarve3 6 2 5 2" xfId="13827" xr:uid="{00000000-0005-0000-0000-00002B6B0000}"/>
    <cellStyle name="40 % - Markeringsfarve3 6 2 5 2 2" xfId="30141" xr:uid="{00000000-0005-0000-0000-00002C6B0000}"/>
    <cellStyle name="40 % - Markeringsfarve3 6 2 5 2 3" xfId="45105" xr:uid="{00000000-0005-0000-0000-00002D6B0000}"/>
    <cellStyle name="40 % - Markeringsfarve3 6 2 5 3" xfId="23119" xr:uid="{00000000-0005-0000-0000-00002E6B0000}"/>
    <cellStyle name="40 % - Markeringsfarve3 6 2 5 4" xfId="38106" xr:uid="{00000000-0005-0000-0000-00002F6B0000}"/>
    <cellStyle name="40 % - Markeringsfarve3 6 2 6" xfId="12400" xr:uid="{00000000-0005-0000-0000-0000306B0000}"/>
    <cellStyle name="40 % - Markeringsfarve3 6 2 6 2" xfId="28719" xr:uid="{00000000-0005-0000-0000-0000316B0000}"/>
    <cellStyle name="40 % - Markeringsfarve3 6 2 6 3" xfId="43684" xr:uid="{00000000-0005-0000-0000-0000326B0000}"/>
    <cellStyle name="40 % - Markeringsfarve3 6 2 7" xfId="21697" xr:uid="{00000000-0005-0000-0000-0000336B0000}"/>
    <cellStyle name="40 % - Markeringsfarve3 6 2 8" xfId="36685" xr:uid="{00000000-0005-0000-0000-0000346B0000}"/>
    <cellStyle name="40 % - Markeringsfarve3 6 2 9" xfId="54021" xr:uid="{00000000-0005-0000-0000-0000356B0000}"/>
    <cellStyle name="40 % - Markeringsfarve3 6 3" xfId="3848" xr:uid="{00000000-0005-0000-0000-0000366B0000}"/>
    <cellStyle name="40 % - Markeringsfarve3 6 3 2" xfId="3849" xr:uid="{00000000-0005-0000-0000-0000376B0000}"/>
    <cellStyle name="40 % - Markeringsfarve3 6 3 2 2" xfId="7613" xr:uid="{00000000-0005-0000-0000-0000386B0000}"/>
    <cellStyle name="40 % - Markeringsfarve3 6 3 2 2 2" xfId="15514" xr:uid="{00000000-0005-0000-0000-0000396B0000}"/>
    <cellStyle name="40 % - Markeringsfarve3 6 3 2 2 2 2" xfId="31828" xr:uid="{00000000-0005-0000-0000-00003A6B0000}"/>
    <cellStyle name="40 % - Markeringsfarve3 6 3 2 2 2 3" xfId="46792" xr:uid="{00000000-0005-0000-0000-00003B6B0000}"/>
    <cellStyle name="40 % - Markeringsfarve3 6 3 2 2 3" xfId="24806" xr:uid="{00000000-0005-0000-0000-00003C6B0000}"/>
    <cellStyle name="40 % - Markeringsfarve3 6 3 2 2 4" xfId="39793" xr:uid="{00000000-0005-0000-0000-00003D6B0000}"/>
    <cellStyle name="40 % - Markeringsfarve3 6 3 2 3" xfId="12406" xr:uid="{00000000-0005-0000-0000-00003E6B0000}"/>
    <cellStyle name="40 % - Markeringsfarve3 6 3 2 3 2" xfId="28725" xr:uid="{00000000-0005-0000-0000-00003F6B0000}"/>
    <cellStyle name="40 % - Markeringsfarve3 6 3 2 3 3" xfId="43690" xr:uid="{00000000-0005-0000-0000-0000406B0000}"/>
    <cellStyle name="40 % - Markeringsfarve3 6 3 2 4" xfId="21703" xr:uid="{00000000-0005-0000-0000-0000416B0000}"/>
    <cellStyle name="40 % - Markeringsfarve3 6 3 2 5" xfId="36691" xr:uid="{00000000-0005-0000-0000-0000426B0000}"/>
    <cellStyle name="40 % - Markeringsfarve3 6 3 3" xfId="6195" xr:uid="{00000000-0005-0000-0000-0000436B0000}"/>
    <cellStyle name="40 % - Markeringsfarve3 6 3 3 2" xfId="14112" xr:uid="{00000000-0005-0000-0000-0000446B0000}"/>
    <cellStyle name="40 % - Markeringsfarve3 6 3 3 2 2" xfId="30426" xr:uid="{00000000-0005-0000-0000-0000456B0000}"/>
    <cellStyle name="40 % - Markeringsfarve3 6 3 3 2 3" xfId="45390" xr:uid="{00000000-0005-0000-0000-0000466B0000}"/>
    <cellStyle name="40 % - Markeringsfarve3 6 3 3 3" xfId="23404" xr:uid="{00000000-0005-0000-0000-0000476B0000}"/>
    <cellStyle name="40 % - Markeringsfarve3 6 3 3 4" xfId="38391" xr:uid="{00000000-0005-0000-0000-0000486B0000}"/>
    <cellStyle name="40 % - Markeringsfarve3 6 3 4" xfId="12405" xr:uid="{00000000-0005-0000-0000-0000496B0000}"/>
    <cellStyle name="40 % - Markeringsfarve3 6 3 4 2" xfId="28724" xr:uid="{00000000-0005-0000-0000-00004A6B0000}"/>
    <cellStyle name="40 % - Markeringsfarve3 6 3 4 3" xfId="43689" xr:uid="{00000000-0005-0000-0000-00004B6B0000}"/>
    <cellStyle name="40 % - Markeringsfarve3 6 3 5" xfId="21702" xr:uid="{00000000-0005-0000-0000-00004C6B0000}"/>
    <cellStyle name="40 % - Markeringsfarve3 6 3 6" xfId="36690" xr:uid="{00000000-0005-0000-0000-00004D6B0000}"/>
    <cellStyle name="40 % - Markeringsfarve3 6 3 7" xfId="56565" xr:uid="{00000000-0005-0000-0000-00004E6B0000}"/>
    <cellStyle name="40 % - Markeringsfarve3 6 4" xfId="3850" xr:uid="{00000000-0005-0000-0000-00004F6B0000}"/>
    <cellStyle name="40 % - Markeringsfarve3 6 4 2" xfId="6843" xr:uid="{00000000-0005-0000-0000-0000506B0000}"/>
    <cellStyle name="40 % - Markeringsfarve3 6 4 2 2" xfId="14754" xr:uid="{00000000-0005-0000-0000-0000516B0000}"/>
    <cellStyle name="40 % - Markeringsfarve3 6 4 2 2 2" xfId="31068" xr:uid="{00000000-0005-0000-0000-0000526B0000}"/>
    <cellStyle name="40 % - Markeringsfarve3 6 4 2 2 3" xfId="46032" xr:uid="{00000000-0005-0000-0000-0000536B0000}"/>
    <cellStyle name="40 % - Markeringsfarve3 6 4 2 3" xfId="24046" xr:uid="{00000000-0005-0000-0000-0000546B0000}"/>
    <cellStyle name="40 % - Markeringsfarve3 6 4 2 4" xfId="39033" xr:uid="{00000000-0005-0000-0000-0000556B0000}"/>
    <cellStyle name="40 % - Markeringsfarve3 6 4 3" xfId="12407" xr:uid="{00000000-0005-0000-0000-0000566B0000}"/>
    <cellStyle name="40 % - Markeringsfarve3 6 4 3 2" xfId="28726" xr:uid="{00000000-0005-0000-0000-0000576B0000}"/>
    <cellStyle name="40 % - Markeringsfarve3 6 4 3 3" xfId="43691" xr:uid="{00000000-0005-0000-0000-0000586B0000}"/>
    <cellStyle name="40 % - Markeringsfarve3 6 4 4" xfId="21704" xr:uid="{00000000-0005-0000-0000-0000596B0000}"/>
    <cellStyle name="40 % - Markeringsfarve3 6 4 5" xfId="36692" xr:uid="{00000000-0005-0000-0000-00005A6B0000}"/>
    <cellStyle name="40 % - Markeringsfarve3 6 5" xfId="3851" xr:uid="{00000000-0005-0000-0000-00005B6B0000}"/>
    <cellStyle name="40 % - Markeringsfarve3 6 5 2" xfId="8628" xr:uid="{00000000-0005-0000-0000-00005C6B0000}"/>
    <cellStyle name="40 % - Markeringsfarve3 6 5 2 2" xfId="16511" xr:uid="{00000000-0005-0000-0000-00005D6B0000}"/>
    <cellStyle name="40 % - Markeringsfarve3 6 5 2 2 2" xfId="32825" xr:uid="{00000000-0005-0000-0000-00005E6B0000}"/>
    <cellStyle name="40 % - Markeringsfarve3 6 5 2 2 3" xfId="47789" xr:uid="{00000000-0005-0000-0000-00005F6B0000}"/>
    <cellStyle name="40 % - Markeringsfarve3 6 5 2 3" xfId="25803" xr:uid="{00000000-0005-0000-0000-0000606B0000}"/>
    <cellStyle name="40 % - Markeringsfarve3 6 5 2 4" xfId="40790" xr:uid="{00000000-0005-0000-0000-0000616B0000}"/>
    <cellStyle name="40 % - Markeringsfarve3 6 5 3" xfId="12408" xr:uid="{00000000-0005-0000-0000-0000626B0000}"/>
    <cellStyle name="40 % - Markeringsfarve3 6 5 3 2" xfId="28727" xr:uid="{00000000-0005-0000-0000-0000636B0000}"/>
    <cellStyle name="40 % - Markeringsfarve3 6 5 3 3" xfId="43692" xr:uid="{00000000-0005-0000-0000-0000646B0000}"/>
    <cellStyle name="40 % - Markeringsfarve3 6 5 4" xfId="21705" xr:uid="{00000000-0005-0000-0000-0000656B0000}"/>
    <cellStyle name="40 % - Markeringsfarve3 6 5 5" xfId="36693" xr:uid="{00000000-0005-0000-0000-0000666B0000}"/>
    <cellStyle name="40 % - Markeringsfarve3 6 6" xfId="5908" xr:uid="{00000000-0005-0000-0000-0000676B0000}"/>
    <cellStyle name="40 % - Markeringsfarve3 6 6 2" xfId="13826" xr:uid="{00000000-0005-0000-0000-0000686B0000}"/>
    <cellStyle name="40 % - Markeringsfarve3 6 6 2 2" xfId="30140" xr:uid="{00000000-0005-0000-0000-0000696B0000}"/>
    <cellStyle name="40 % - Markeringsfarve3 6 6 2 3" xfId="45104" xr:uid="{00000000-0005-0000-0000-00006A6B0000}"/>
    <cellStyle name="40 % - Markeringsfarve3 6 6 3" xfId="23118" xr:uid="{00000000-0005-0000-0000-00006B6B0000}"/>
    <cellStyle name="40 % - Markeringsfarve3 6 6 4" xfId="38105" xr:uid="{00000000-0005-0000-0000-00006C6B0000}"/>
    <cellStyle name="40 % - Markeringsfarve3 6 7" xfId="12399" xr:uid="{00000000-0005-0000-0000-00006D6B0000}"/>
    <cellStyle name="40 % - Markeringsfarve3 6 7 2" xfId="28718" xr:uid="{00000000-0005-0000-0000-00006E6B0000}"/>
    <cellStyle name="40 % - Markeringsfarve3 6 7 3" xfId="43683" xr:uid="{00000000-0005-0000-0000-00006F6B0000}"/>
    <cellStyle name="40 % - Markeringsfarve3 6 8" xfId="21696" xr:uid="{00000000-0005-0000-0000-0000706B0000}"/>
    <cellStyle name="40 % - Markeringsfarve3 6 9" xfId="36684" xr:uid="{00000000-0005-0000-0000-0000716B0000}"/>
    <cellStyle name="40 % - Markeringsfarve3 7" xfId="3852" xr:uid="{00000000-0005-0000-0000-0000726B0000}"/>
    <cellStyle name="40 % - Markeringsfarve3 7 2" xfId="3853" xr:uid="{00000000-0005-0000-0000-0000736B0000}"/>
    <cellStyle name="40 % - Markeringsfarve3 7 2 2" xfId="3854" xr:uid="{00000000-0005-0000-0000-0000746B0000}"/>
    <cellStyle name="40 % - Markeringsfarve3 7 2 2 2" xfId="7851" xr:uid="{00000000-0005-0000-0000-0000756B0000}"/>
    <cellStyle name="40 % - Markeringsfarve3 7 2 2 2 2" xfId="15752" xr:uid="{00000000-0005-0000-0000-0000766B0000}"/>
    <cellStyle name="40 % - Markeringsfarve3 7 2 2 2 2 2" xfId="32066" xr:uid="{00000000-0005-0000-0000-0000776B0000}"/>
    <cellStyle name="40 % - Markeringsfarve3 7 2 2 2 2 3" xfId="47030" xr:uid="{00000000-0005-0000-0000-0000786B0000}"/>
    <cellStyle name="40 % - Markeringsfarve3 7 2 2 2 3" xfId="25044" xr:uid="{00000000-0005-0000-0000-0000796B0000}"/>
    <cellStyle name="40 % - Markeringsfarve3 7 2 2 2 4" xfId="40031" xr:uid="{00000000-0005-0000-0000-00007A6B0000}"/>
    <cellStyle name="40 % - Markeringsfarve3 7 2 2 3" xfId="12411" xr:uid="{00000000-0005-0000-0000-00007B6B0000}"/>
    <cellStyle name="40 % - Markeringsfarve3 7 2 2 3 2" xfId="28730" xr:uid="{00000000-0005-0000-0000-00007C6B0000}"/>
    <cellStyle name="40 % - Markeringsfarve3 7 2 2 3 3" xfId="43695" xr:uid="{00000000-0005-0000-0000-00007D6B0000}"/>
    <cellStyle name="40 % - Markeringsfarve3 7 2 2 4" xfId="21708" xr:uid="{00000000-0005-0000-0000-00007E6B0000}"/>
    <cellStyle name="40 % - Markeringsfarve3 7 2 2 5" xfId="36696" xr:uid="{00000000-0005-0000-0000-00007F6B0000}"/>
    <cellStyle name="40 % - Markeringsfarve3 7 2 3" xfId="6397" xr:uid="{00000000-0005-0000-0000-0000806B0000}"/>
    <cellStyle name="40 % - Markeringsfarve3 7 2 3 2" xfId="14311" xr:uid="{00000000-0005-0000-0000-0000816B0000}"/>
    <cellStyle name="40 % - Markeringsfarve3 7 2 3 2 2" xfId="30625" xr:uid="{00000000-0005-0000-0000-0000826B0000}"/>
    <cellStyle name="40 % - Markeringsfarve3 7 2 3 2 3" xfId="45589" xr:uid="{00000000-0005-0000-0000-0000836B0000}"/>
    <cellStyle name="40 % - Markeringsfarve3 7 2 3 3" xfId="23603" xr:uid="{00000000-0005-0000-0000-0000846B0000}"/>
    <cellStyle name="40 % - Markeringsfarve3 7 2 3 4" xfId="38590" xr:uid="{00000000-0005-0000-0000-0000856B0000}"/>
    <cellStyle name="40 % - Markeringsfarve3 7 2 4" xfId="12410" xr:uid="{00000000-0005-0000-0000-0000866B0000}"/>
    <cellStyle name="40 % - Markeringsfarve3 7 2 4 2" xfId="28729" xr:uid="{00000000-0005-0000-0000-0000876B0000}"/>
    <cellStyle name="40 % - Markeringsfarve3 7 2 4 3" xfId="43694" xr:uid="{00000000-0005-0000-0000-0000886B0000}"/>
    <cellStyle name="40 % - Markeringsfarve3 7 2 5" xfId="21707" xr:uid="{00000000-0005-0000-0000-0000896B0000}"/>
    <cellStyle name="40 % - Markeringsfarve3 7 2 6" xfId="36695" xr:uid="{00000000-0005-0000-0000-00008A6B0000}"/>
    <cellStyle name="40 % - Markeringsfarve3 7 2 7" xfId="57117" xr:uid="{00000000-0005-0000-0000-00008B6B0000}"/>
    <cellStyle name="40 % - Markeringsfarve3 7 3" xfId="3855" xr:uid="{00000000-0005-0000-0000-00008C6B0000}"/>
    <cellStyle name="40 % - Markeringsfarve3 7 3 2" xfId="7127" xr:uid="{00000000-0005-0000-0000-00008D6B0000}"/>
    <cellStyle name="40 % - Markeringsfarve3 7 3 2 2" xfId="15037" xr:uid="{00000000-0005-0000-0000-00008E6B0000}"/>
    <cellStyle name="40 % - Markeringsfarve3 7 3 2 2 2" xfId="31351" xr:uid="{00000000-0005-0000-0000-00008F6B0000}"/>
    <cellStyle name="40 % - Markeringsfarve3 7 3 2 2 3" xfId="46315" xr:uid="{00000000-0005-0000-0000-0000906B0000}"/>
    <cellStyle name="40 % - Markeringsfarve3 7 3 2 3" xfId="24329" xr:uid="{00000000-0005-0000-0000-0000916B0000}"/>
    <cellStyle name="40 % - Markeringsfarve3 7 3 2 4" xfId="39316" xr:uid="{00000000-0005-0000-0000-0000926B0000}"/>
    <cellStyle name="40 % - Markeringsfarve3 7 3 3" xfId="12412" xr:uid="{00000000-0005-0000-0000-0000936B0000}"/>
    <cellStyle name="40 % - Markeringsfarve3 7 3 3 2" xfId="28731" xr:uid="{00000000-0005-0000-0000-0000946B0000}"/>
    <cellStyle name="40 % - Markeringsfarve3 7 3 3 3" xfId="43696" xr:uid="{00000000-0005-0000-0000-0000956B0000}"/>
    <cellStyle name="40 % - Markeringsfarve3 7 3 4" xfId="21709" xr:uid="{00000000-0005-0000-0000-0000966B0000}"/>
    <cellStyle name="40 % - Markeringsfarve3 7 3 5" xfId="36697" xr:uid="{00000000-0005-0000-0000-0000976B0000}"/>
    <cellStyle name="40 % - Markeringsfarve3 7 4" xfId="3856" xr:uid="{00000000-0005-0000-0000-0000986B0000}"/>
    <cellStyle name="40 % - Markeringsfarve3 7 4 2" xfId="8573" xr:uid="{00000000-0005-0000-0000-0000996B0000}"/>
    <cellStyle name="40 % - Markeringsfarve3 7 4 2 2" xfId="16460" xr:uid="{00000000-0005-0000-0000-00009A6B0000}"/>
    <cellStyle name="40 % - Markeringsfarve3 7 4 2 2 2" xfId="32774" xr:uid="{00000000-0005-0000-0000-00009B6B0000}"/>
    <cellStyle name="40 % - Markeringsfarve3 7 4 2 2 3" xfId="47738" xr:uid="{00000000-0005-0000-0000-00009C6B0000}"/>
    <cellStyle name="40 % - Markeringsfarve3 7 4 2 3" xfId="25752" xr:uid="{00000000-0005-0000-0000-00009D6B0000}"/>
    <cellStyle name="40 % - Markeringsfarve3 7 4 2 4" xfId="40739" xr:uid="{00000000-0005-0000-0000-00009E6B0000}"/>
    <cellStyle name="40 % - Markeringsfarve3 7 4 3" xfId="12413" xr:uid="{00000000-0005-0000-0000-00009F6B0000}"/>
    <cellStyle name="40 % - Markeringsfarve3 7 4 3 2" xfId="28732" xr:uid="{00000000-0005-0000-0000-0000A06B0000}"/>
    <cellStyle name="40 % - Markeringsfarve3 7 4 3 3" xfId="43697" xr:uid="{00000000-0005-0000-0000-0000A16B0000}"/>
    <cellStyle name="40 % - Markeringsfarve3 7 4 4" xfId="21710" xr:uid="{00000000-0005-0000-0000-0000A26B0000}"/>
    <cellStyle name="40 % - Markeringsfarve3 7 4 5" xfId="36698" xr:uid="{00000000-0005-0000-0000-0000A36B0000}"/>
    <cellStyle name="40 % - Markeringsfarve3 7 5" xfId="5910" xr:uid="{00000000-0005-0000-0000-0000A46B0000}"/>
    <cellStyle name="40 % - Markeringsfarve3 7 5 2" xfId="13828" xr:uid="{00000000-0005-0000-0000-0000A56B0000}"/>
    <cellStyle name="40 % - Markeringsfarve3 7 5 2 2" xfId="30142" xr:uid="{00000000-0005-0000-0000-0000A66B0000}"/>
    <cellStyle name="40 % - Markeringsfarve3 7 5 2 3" xfId="45106" xr:uid="{00000000-0005-0000-0000-0000A76B0000}"/>
    <cellStyle name="40 % - Markeringsfarve3 7 5 3" xfId="23120" xr:uid="{00000000-0005-0000-0000-0000A86B0000}"/>
    <cellStyle name="40 % - Markeringsfarve3 7 5 4" xfId="38107" xr:uid="{00000000-0005-0000-0000-0000A96B0000}"/>
    <cellStyle name="40 % - Markeringsfarve3 7 6" xfId="12409" xr:uid="{00000000-0005-0000-0000-0000AA6B0000}"/>
    <cellStyle name="40 % - Markeringsfarve3 7 6 2" xfId="28728" xr:uid="{00000000-0005-0000-0000-0000AB6B0000}"/>
    <cellStyle name="40 % - Markeringsfarve3 7 6 3" xfId="43693" xr:uid="{00000000-0005-0000-0000-0000AC6B0000}"/>
    <cellStyle name="40 % - Markeringsfarve3 7 7" xfId="21706" xr:uid="{00000000-0005-0000-0000-0000AD6B0000}"/>
    <cellStyle name="40 % - Markeringsfarve3 7 8" xfId="36694" xr:uid="{00000000-0005-0000-0000-0000AE6B0000}"/>
    <cellStyle name="40 % - Markeringsfarve3 7 9" xfId="53950" xr:uid="{00000000-0005-0000-0000-0000AF6B0000}"/>
    <cellStyle name="40 % - Markeringsfarve3 8" xfId="3857" xr:uid="{00000000-0005-0000-0000-0000B06B0000}"/>
    <cellStyle name="40 % - Markeringsfarve3 8 2" xfId="3858" xr:uid="{00000000-0005-0000-0000-0000B16B0000}"/>
    <cellStyle name="40 % - Markeringsfarve3 8 2 2" xfId="3859" xr:uid="{00000000-0005-0000-0000-0000B26B0000}"/>
    <cellStyle name="40 % - Markeringsfarve3 8 2 2 2" xfId="7968" xr:uid="{00000000-0005-0000-0000-0000B36B0000}"/>
    <cellStyle name="40 % - Markeringsfarve3 8 2 2 2 2" xfId="15869" xr:uid="{00000000-0005-0000-0000-0000B46B0000}"/>
    <cellStyle name="40 % - Markeringsfarve3 8 2 2 2 2 2" xfId="32183" xr:uid="{00000000-0005-0000-0000-0000B56B0000}"/>
    <cellStyle name="40 % - Markeringsfarve3 8 2 2 2 2 3" xfId="47147" xr:uid="{00000000-0005-0000-0000-0000B66B0000}"/>
    <cellStyle name="40 % - Markeringsfarve3 8 2 2 2 3" xfId="25161" xr:uid="{00000000-0005-0000-0000-0000B76B0000}"/>
    <cellStyle name="40 % - Markeringsfarve3 8 2 2 2 4" xfId="40148" xr:uid="{00000000-0005-0000-0000-0000B86B0000}"/>
    <cellStyle name="40 % - Markeringsfarve3 8 2 2 3" xfId="12416" xr:uid="{00000000-0005-0000-0000-0000B96B0000}"/>
    <cellStyle name="40 % - Markeringsfarve3 8 2 2 3 2" xfId="28735" xr:uid="{00000000-0005-0000-0000-0000BA6B0000}"/>
    <cellStyle name="40 % - Markeringsfarve3 8 2 2 3 3" xfId="43700" xr:uid="{00000000-0005-0000-0000-0000BB6B0000}"/>
    <cellStyle name="40 % - Markeringsfarve3 8 2 2 4" xfId="21713" xr:uid="{00000000-0005-0000-0000-0000BC6B0000}"/>
    <cellStyle name="40 % - Markeringsfarve3 8 2 2 5" xfId="36701" xr:uid="{00000000-0005-0000-0000-0000BD6B0000}"/>
    <cellStyle name="40 % - Markeringsfarve3 8 2 3" xfId="6496" xr:uid="{00000000-0005-0000-0000-0000BE6B0000}"/>
    <cellStyle name="40 % - Markeringsfarve3 8 2 3 2" xfId="14410" xr:uid="{00000000-0005-0000-0000-0000BF6B0000}"/>
    <cellStyle name="40 % - Markeringsfarve3 8 2 3 2 2" xfId="30724" xr:uid="{00000000-0005-0000-0000-0000C06B0000}"/>
    <cellStyle name="40 % - Markeringsfarve3 8 2 3 2 3" xfId="45688" xr:uid="{00000000-0005-0000-0000-0000C16B0000}"/>
    <cellStyle name="40 % - Markeringsfarve3 8 2 3 3" xfId="23702" xr:uid="{00000000-0005-0000-0000-0000C26B0000}"/>
    <cellStyle name="40 % - Markeringsfarve3 8 2 3 4" xfId="38689" xr:uid="{00000000-0005-0000-0000-0000C36B0000}"/>
    <cellStyle name="40 % - Markeringsfarve3 8 2 4" xfId="12415" xr:uid="{00000000-0005-0000-0000-0000C46B0000}"/>
    <cellStyle name="40 % - Markeringsfarve3 8 2 4 2" xfId="28734" xr:uid="{00000000-0005-0000-0000-0000C56B0000}"/>
    <cellStyle name="40 % - Markeringsfarve3 8 2 4 3" xfId="43699" xr:uid="{00000000-0005-0000-0000-0000C66B0000}"/>
    <cellStyle name="40 % - Markeringsfarve3 8 2 5" xfId="21712" xr:uid="{00000000-0005-0000-0000-0000C76B0000}"/>
    <cellStyle name="40 % - Markeringsfarve3 8 2 6" xfId="36700" xr:uid="{00000000-0005-0000-0000-0000C86B0000}"/>
    <cellStyle name="40 % - Markeringsfarve3 8 3" xfId="3860" xr:uid="{00000000-0005-0000-0000-0000C96B0000}"/>
    <cellStyle name="40 % - Markeringsfarve3 8 3 2" xfId="7244" xr:uid="{00000000-0005-0000-0000-0000CA6B0000}"/>
    <cellStyle name="40 % - Markeringsfarve3 8 3 2 2" xfId="15154" xr:uid="{00000000-0005-0000-0000-0000CB6B0000}"/>
    <cellStyle name="40 % - Markeringsfarve3 8 3 2 2 2" xfId="31468" xr:uid="{00000000-0005-0000-0000-0000CC6B0000}"/>
    <cellStyle name="40 % - Markeringsfarve3 8 3 2 2 3" xfId="46432" xr:uid="{00000000-0005-0000-0000-0000CD6B0000}"/>
    <cellStyle name="40 % - Markeringsfarve3 8 3 2 3" xfId="24446" xr:uid="{00000000-0005-0000-0000-0000CE6B0000}"/>
    <cellStyle name="40 % - Markeringsfarve3 8 3 2 4" xfId="39433" xr:uid="{00000000-0005-0000-0000-0000CF6B0000}"/>
    <cellStyle name="40 % - Markeringsfarve3 8 3 3" xfId="12417" xr:uid="{00000000-0005-0000-0000-0000D06B0000}"/>
    <cellStyle name="40 % - Markeringsfarve3 8 3 3 2" xfId="28736" xr:uid="{00000000-0005-0000-0000-0000D16B0000}"/>
    <cellStyle name="40 % - Markeringsfarve3 8 3 3 3" xfId="43701" xr:uid="{00000000-0005-0000-0000-0000D26B0000}"/>
    <cellStyle name="40 % - Markeringsfarve3 8 3 4" xfId="21714" xr:uid="{00000000-0005-0000-0000-0000D36B0000}"/>
    <cellStyle name="40 % - Markeringsfarve3 8 3 5" xfId="36702" xr:uid="{00000000-0005-0000-0000-0000D46B0000}"/>
    <cellStyle name="40 % - Markeringsfarve3 8 4" xfId="3861" xr:uid="{00000000-0005-0000-0000-0000D56B0000}"/>
    <cellStyle name="40 % - Markeringsfarve3 8 4 2" xfId="8222" xr:uid="{00000000-0005-0000-0000-0000D66B0000}"/>
    <cellStyle name="40 % - Markeringsfarve3 8 4 2 2" xfId="16119" xr:uid="{00000000-0005-0000-0000-0000D76B0000}"/>
    <cellStyle name="40 % - Markeringsfarve3 8 4 2 2 2" xfId="32433" xr:uid="{00000000-0005-0000-0000-0000D86B0000}"/>
    <cellStyle name="40 % - Markeringsfarve3 8 4 2 2 3" xfId="47397" xr:uid="{00000000-0005-0000-0000-0000D96B0000}"/>
    <cellStyle name="40 % - Markeringsfarve3 8 4 2 3" xfId="25411" xr:uid="{00000000-0005-0000-0000-0000DA6B0000}"/>
    <cellStyle name="40 % - Markeringsfarve3 8 4 2 4" xfId="40398" xr:uid="{00000000-0005-0000-0000-0000DB6B0000}"/>
    <cellStyle name="40 % - Markeringsfarve3 8 4 3" xfId="12418" xr:uid="{00000000-0005-0000-0000-0000DC6B0000}"/>
    <cellStyle name="40 % - Markeringsfarve3 8 4 3 2" xfId="28737" xr:uid="{00000000-0005-0000-0000-0000DD6B0000}"/>
    <cellStyle name="40 % - Markeringsfarve3 8 4 3 3" xfId="43702" xr:uid="{00000000-0005-0000-0000-0000DE6B0000}"/>
    <cellStyle name="40 % - Markeringsfarve3 8 4 4" xfId="21715" xr:uid="{00000000-0005-0000-0000-0000DF6B0000}"/>
    <cellStyle name="40 % - Markeringsfarve3 8 4 5" xfId="36703" xr:uid="{00000000-0005-0000-0000-0000E06B0000}"/>
    <cellStyle name="40 % - Markeringsfarve3 8 5" xfId="5911" xr:uid="{00000000-0005-0000-0000-0000E16B0000}"/>
    <cellStyle name="40 % - Markeringsfarve3 8 5 2" xfId="13829" xr:uid="{00000000-0005-0000-0000-0000E26B0000}"/>
    <cellStyle name="40 % - Markeringsfarve3 8 5 2 2" xfId="30143" xr:uid="{00000000-0005-0000-0000-0000E36B0000}"/>
    <cellStyle name="40 % - Markeringsfarve3 8 5 2 3" xfId="45107" xr:uid="{00000000-0005-0000-0000-0000E46B0000}"/>
    <cellStyle name="40 % - Markeringsfarve3 8 5 3" xfId="23121" xr:uid="{00000000-0005-0000-0000-0000E56B0000}"/>
    <cellStyle name="40 % - Markeringsfarve3 8 5 4" xfId="38108" xr:uid="{00000000-0005-0000-0000-0000E66B0000}"/>
    <cellStyle name="40 % - Markeringsfarve3 8 6" xfId="12414" xr:uid="{00000000-0005-0000-0000-0000E76B0000}"/>
    <cellStyle name="40 % - Markeringsfarve3 8 6 2" xfId="28733" xr:uid="{00000000-0005-0000-0000-0000E86B0000}"/>
    <cellStyle name="40 % - Markeringsfarve3 8 6 3" xfId="43698" xr:uid="{00000000-0005-0000-0000-0000E96B0000}"/>
    <cellStyle name="40 % - Markeringsfarve3 8 7" xfId="21711" xr:uid="{00000000-0005-0000-0000-0000EA6B0000}"/>
    <cellStyle name="40 % - Markeringsfarve3 8 8" xfId="36699" xr:uid="{00000000-0005-0000-0000-0000EB6B0000}"/>
    <cellStyle name="40 % - Markeringsfarve3 9" xfId="3862" xr:uid="{00000000-0005-0000-0000-0000EC6B0000}"/>
    <cellStyle name="40 % - Markeringsfarve3 9 2" xfId="3863" xr:uid="{00000000-0005-0000-0000-0000ED6B0000}"/>
    <cellStyle name="40 % - Markeringsfarve3 9 2 2" xfId="3864" xr:uid="{00000000-0005-0000-0000-0000EE6B0000}"/>
    <cellStyle name="40 % - Markeringsfarve3 9 2 2 2" xfId="8152" xr:uid="{00000000-0005-0000-0000-0000EF6B0000}"/>
    <cellStyle name="40 % - Markeringsfarve3 9 2 2 2 2" xfId="16053" xr:uid="{00000000-0005-0000-0000-0000F06B0000}"/>
    <cellStyle name="40 % - Markeringsfarve3 9 2 2 2 2 2" xfId="32367" xr:uid="{00000000-0005-0000-0000-0000F16B0000}"/>
    <cellStyle name="40 % - Markeringsfarve3 9 2 2 2 2 3" xfId="47331" xr:uid="{00000000-0005-0000-0000-0000F26B0000}"/>
    <cellStyle name="40 % - Markeringsfarve3 9 2 2 2 3" xfId="25345" xr:uid="{00000000-0005-0000-0000-0000F36B0000}"/>
    <cellStyle name="40 % - Markeringsfarve3 9 2 2 2 4" xfId="40332" xr:uid="{00000000-0005-0000-0000-0000F46B0000}"/>
    <cellStyle name="40 % - Markeringsfarve3 9 2 2 3" xfId="12421" xr:uid="{00000000-0005-0000-0000-0000F56B0000}"/>
    <cellStyle name="40 % - Markeringsfarve3 9 2 2 3 2" xfId="28740" xr:uid="{00000000-0005-0000-0000-0000F66B0000}"/>
    <cellStyle name="40 % - Markeringsfarve3 9 2 2 3 3" xfId="43705" xr:uid="{00000000-0005-0000-0000-0000F76B0000}"/>
    <cellStyle name="40 % - Markeringsfarve3 9 2 2 4" xfId="21718" xr:uid="{00000000-0005-0000-0000-0000F86B0000}"/>
    <cellStyle name="40 % - Markeringsfarve3 9 2 2 5" xfId="36706" xr:uid="{00000000-0005-0000-0000-0000F96B0000}"/>
    <cellStyle name="40 % - Markeringsfarve3 9 2 3" xfId="6645" xr:uid="{00000000-0005-0000-0000-0000FA6B0000}"/>
    <cellStyle name="40 % - Markeringsfarve3 9 2 3 2" xfId="14559" xr:uid="{00000000-0005-0000-0000-0000FB6B0000}"/>
    <cellStyle name="40 % - Markeringsfarve3 9 2 3 2 2" xfId="30873" xr:uid="{00000000-0005-0000-0000-0000FC6B0000}"/>
    <cellStyle name="40 % - Markeringsfarve3 9 2 3 2 3" xfId="45837" xr:uid="{00000000-0005-0000-0000-0000FD6B0000}"/>
    <cellStyle name="40 % - Markeringsfarve3 9 2 3 3" xfId="23851" xr:uid="{00000000-0005-0000-0000-0000FE6B0000}"/>
    <cellStyle name="40 % - Markeringsfarve3 9 2 3 4" xfId="38838" xr:uid="{00000000-0005-0000-0000-0000FF6B0000}"/>
    <cellStyle name="40 % - Markeringsfarve3 9 2 4" xfId="12420" xr:uid="{00000000-0005-0000-0000-0000006C0000}"/>
    <cellStyle name="40 % - Markeringsfarve3 9 2 4 2" xfId="28739" xr:uid="{00000000-0005-0000-0000-0000016C0000}"/>
    <cellStyle name="40 % - Markeringsfarve3 9 2 4 3" xfId="43704" xr:uid="{00000000-0005-0000-0000-0000026C0000}"/>
    <cellStyle name="40 % - Markeringsfarve3 9 2 5" xfId="21717" xr:uid="{00000000-0005-0000-0000-0000036C0000}"/>
    <cellStyle name="40 % - Markeringsfarve3 9 2 6" xfId="36705" xr:uid="{00000000-0005-0000-0000-0000046C0000}"/>
    <cellStyle name="40 % - Markeringsfarve3 9 3" xfId="3865" xr:uid="{00000000-0005-0000-0000-0000056C0000}"/>
    <cellStyle name="40 % - Markeringsfarve3 9 3 2" xfId="7429" xr:uid="{00000000-0005-0000-0000-0000066C0000}"/>
    <cellStyle name="40 % - Markeringsfarve3 9 3 2 2" xfId="15339" xr:uid="{00000000-0005-0000-0000-0000076C0000}"/>
    <cellStyle name="40 % - Markeringsfarve3 9 3 2 2 2" xfId="31653" xr:uid="{00000000-0005-0000-0000-0000086C0000}"/>
    <cellStyle name="40 % - Markeringsfarve3 9 3 2 2 3" xfId="46617" xr:uid="{00000000-0005-0000-0000-0000096C0000}"/>
    <cellStyle name="40 % - Markeringsfarve3 9 3 2 3" xfId="24631" xr:uid="{00000000-0005-0000-0000-00000A6C0000}"/>
    <cellStyle name="40 % - Markeringsfarve3 9 3 2 4" xfId="39618" xr:uid="{00000000-0005-0000-0000-00000B6C0000}"/>
    <cellStyle name="40 % - Markeringsfarve3 9 3 3" xfId="12422" xr:uid="{00000000-0005-0000-0000-00000C6C0000}"/>
    <cellStyle name="40 % - Markeringsfarve3 9 3 3 2" xfId="28741" xr:uid="{00000000-0005-0000-0000-00000D6C0000}"/>
    <cellStyle name="40 % - Markeringsfarve3 9 3 3 3" xfId="43706" xr:uid="{00000000-0005-0000-0000-00000E6C0000}"/>
    <cellStyle name="40 % - Markeringsfarve3 9 3 4" xfId="21719" xr:uid="{00000000-0005-0000-0000-00000F6C0000}"/>
    <cellStyle name="40 % - Markeringsfarve3 9 3 5" xfId="36707" xr:uid="{00000000-0005-0000-0000-0000106C0000}"/>
    <cellStyle name="40 % - Markeringsfarve3 9 4" xfId="3866" xr:uid="{00000000-0005-0000-0000-0000116C0000}"/>
    <cellStyle name="40 % - Markeringsfarve3 9 4 2" xfId="8559" xr:uid="{00000000-0005-0000-0000-0000126C0000}"/>
    <cellStyle name="40 % - Markeringsfarve3 9 4 2 2" xfId="16447" xr:uid="{00000000-0005-0000-0000-0000136C0000}"/>
    <cellStyle name="40 % - Markeringsfarve3 9 4 2 2 2" xfId="32761" xr:uid="{00000000-0005-0000-0000-0000146C0000}"/>
    <cellStyle name="40 % - Markeringsfarve3 9 4 2 2 3" xfId="47725" xr:uid="{00000000-0005-0000-0000-0000156C0000}"/>
    <cellStyle name="40 % - Markeringsfarve3 9 4 2 3" xfId="25739" xr:uid="{00000000-0005-0000-0000-0000166C0000}"/>
    <cellStyle name="40 % - Markeringsfarve3 9 4 2 4" xfId="40726" xr:uid="{00000000-0005-0000-0000-0000176C0000}"/>
    <cellStyle name="40 % - Markeringsfarve3 9 4 3" xfId="12423" xr:uid="{00000000-0005-0000-0000-0000186C0000}"/>
    <cellStyle name="40 % - Markeringsfarve3 9 4 3 2" xfId="28742" xr:uid="{00000000-0005-0000-0000-0000196C0000}"/>
    <cellStyle name="40 % - Markeringsfarve3 9 4 3 3" xfId="43707" xr:uid="{00000000-0005-0000-0000-00001A6C0000}"/>
    <cellStyle name="40 % - Markeringsfarve3 9 4 4" xfId="21720" xr:uid="{00000000-0005-0000-0000-00001B6C0000}"/>
    <cellStyle name="40 % - Markeringsfarve3 9 4 5" xfId="36708" xr:uid="{00000000-0005-0000-0000-00001C6C0000}"/>
    <cellStyle name="40 % - Markeringsfarve3 9 5" xfId="5912" xr:uid="{00000000-0005-0000-0000-00001D6C0000}"/>
    <cellStyle name="40 % - Markeringsfarve3 9 5 2" xfId="13830" xr:uid="{00000000-0005-0000-0000-00001E6C0000}"/>
    <cellStyle name="40 % - Markeringsfarve3 9 5 2 2" xfId="30144" xr:uid="{00000000-0005-0000-0000-00001F6C0000}"/>
    <cellStyle name="40 % - Markeringsfarve3 9 5 2 3" xfId="45108" xr:uid="{00000000-0005-0000-0000-0000206C0000}"/>
    <cellStyle name="40 % - Markeringsfarve3 9 5 3" xfId="23122" xr:uid="{00000000-0005-0000-0000-0000216C0000}"/>
    <cellStyle name="40 % - Markeringsfarve3 9 5 4" xfId="38109" xr:uid="{00000000-0005-0000-0000-0000226C0000}"/>
    <cellStyle name="40 % - Markeringsfarve3 9 6" xfId="12419" xr:uid="{00000000-0005-0000-0000-0000236C0000}"/>
    <cellStyle name="40 % - Markeringsfarve3 9 6 2" xfId="28738" xr:uid="{00000000-0005-0000-0000-0000246C0000}"/>
    <cellStyle name="40 % - Markeringsfarve3 9 6 3" xfId="43703" xr:uid="{00000000-0005-0000-0000-0000256C0000}"/>
    <cellStyle name="40 % - Markeringsfarve3 9 7" xfId="21716" xr:uid="{00000000-0005-0000-0000-0000266C0000}"/>
    <cellStyle name="40 % - Markeringsfarve3 9 8" xfId="36704" xr:uid="{00000000-0005-0000-0000-0000276C0000}"/>
    <cellStyle name="40 % - Markeringsfarve4 10" xfId="3868" xr:uid="{00000000-0005-0000-0000-0000286C0000}"/>
    <cellStyle name="40 % - Markeringsfarve4 10 2" xfId="3869" xr:uid="{00000000-0005-0000-0000-0000296C0000}"/>
    <cellStyle name="40 % - Markeringsfarve4 10 2 2" xfId="3870" xr:uid="{00000000-0005-0000-0000-00002A6C0000}"/>
    <cellStyle name="40 % - Markeringsfarve4 10 2 2 2" xfId="8161" xr:uid="{00000000-0005-0000-0000-00002B6C0000}"/>
    <cellStyle name="40 % - Markeringsfarve4 10 2 2 2 2" xfId="16062" xr:uid="{00000000-0005-0000-0000-00002C6C0000}"/>
    <cellStyle name="40 % - Markeringsfarve4 10 2 2 2 2 2" xfId="32376" xr:uid="{00000000-0005-0000-0000-00002D6C0000}"/>
    <cellStyle name="40 % - Markeringsfarve4 10 2 2 2 2 3" xfId="47340" xr:uid="{00000000-0005-0000-0000-00002E6C0000}"/>
    <cellStyle name="40 % - Markeringsfarve4 10 2 2 2 3" xfId="25354" xr:uid="{00000000-0005-0000-0000-00002F6C0000}"/>
    <cellStyle name="40 % - Markeringsfarve4 10 2 2 2 4" xfId="40341" xr:uid="{00000000-0005-0000-0000-0000306C0000}"/>
    <cellStyle name="40 % - Markeringsfarve4 10 2 2 3" xfId="12427" xr:uid="{00000000-0005-0000-0000-0000316C0000}"/>
    <cellStyle name="40 % - Markeringsfarve4 10 2 2 3 2" xfId="28746" xr:uid="{00000000-0005-0000-0000-0000326C0000}"/>
    <cellStyle name="40 % - Markeringsfarve4 10 2 2 3 3" xfId="43711" xr:uid="{00000000-0005-0000-0000-0000336C0000}"/>
    <cellStyle name="40 % - Markeringsfarve4 10 2 2 4" xfId="21724" xr:uid="{00000000-0005-0000-0000-0000346C0000}"/>
    <cellStyle name="40 % - Markeringsfarve4 10 2 2 5" xfId="36712" xr:uid="{00000000-0005-0000-0000-0000356C0000}"/>
    <cellStyle name="40 % - Markeringsfarve4 10 2 3" xfId="6654" xr:uid="{00000000-0005-0000-0000-0000366C0000}"/>
    <cellStyle name="40 % - Markeringsfarve4 10 2 3 2" xfId="14568" xr:uid="{00000000-0005-0000-0000-0000376C0000}"/>
    <cellStyle name="40 % - Markeringsfarve4 10 2 3 2 2" xfId="30882" xr:uid="{00000000-0005-0000-0000-0000386C0000}"/>
    <cellStyle name="40 % - Markeringsfarve4 10 2 3 2 3" xfId="45846" xr:uid="{00000000-0005-0000-0000-0000396C0000}"/>
    <cellStyle name="40 % - Markeringsfarve4 10 2 3 3" xfId="23860" xr:uid="{00000000-0005-0000-0000-00003A6C0000}"/>
    <cellStyle name="40 % - Markeringsfarve4 10 2 3 4" xfId="38847" xr:uid="{00000000-0005-0000-0000-00003B6C0000}"/>
    <cellStyle name="40 % - Markeringsfarve4 10 2 4" xfId="12426" xr:uid="{00000000-0005-0000-0000-00003C6C0000}"/>
    <cellStyle name="40 % - Markeringsfarve4 10 2 4 2" xfId="28745" xr:uid="{00000000-0005-0000-0000-00003D6C0000}"/>
    <cellStyle name="40 % - Markeringsfarve4 10 2 4 3" xfId="43710" xr:uid="{00000000-0005-0000-0000-00003E6C0000}"/>
    <cellStyle name="40 % - Markeringsfarve4 10 2 5" xfId="21723" xr:uid="{00000000-0005-0000-0000-00003F6C0000}"/>
    <cellStyle name="40 % - Markeringsfarve4 10 2 6" xfId="36711" xr:uid="{00000000-0005-0000-0000-0000406C0000}"/>
    <cellStyle name="40 % - Markeringsfarve4 10 3" xfId="3871" xr:uid="{00000000-0005-0000-0000-0000416C0000}"/>
    <cellStyle name="40 % - Markeringsfarve4 10 3 2" xfId="7438" xr:uid="{00000000-0005-0000-0000-0000426C0000}"/>
    <cellStyle name="40 % - Markeringsfarve4 10 3 2 2" xfId="15348" xr:uid="{00000000-0005-0000-0000-0000436C0000}"/>
    <cellStyle name="40 % - Markeringsfarve4 10 3 2 2 2" xfId="31662" xr:uid="{00000000-0005-0000-0000-0000446C0000}"/>
    <cellStyle name="40 % - Markeringsfarve4 10 3 2 2 3" xfId="46626" xr:uid="{00000000-0005-0000-0000-0000456C0000}"/>
    <cellStyle name="40 % - Markeringsfarve4 10 3 2 3" xfId="24640" xr:uid="{00000000-0005-0000-0000-0000466C0000}"/>
    <cellStyle name="40 % - Markeringsfarve4 10 3 2 4" xfId="39627" xr:uid="{00000000-0005-0000-0000-0000476C0000}"/>
    <cellStyle name="40 % - Markeringsfarve4 10 3 3" xfId="12428" xr:uid="{00000000-0005-0000-0000-0000486C0000}"/>
    <cellStyle name="40 % - Markeringsfarve4 10 3 3 2" xfId="28747" xr:uid="{00000000-0005-0000-0000-0000496C0000}"/>
    <cellStyle name="40 % - Markeringsfarve4 10 3 3 3" xfId="43712" xr:uid="{00000000-0005-0000-0000-00004A6C0000}"/>
    <cellStyle name="40 % - Markeringsfarve4 10 3 4" xfId="21725" xr:uid="{00000000-0005-0000-0000-00004B6C0000}"/>
    <cellStyle name="40 % - Markeringsfarve4 10 3 5" xfId="36713" xr:uid="{00000000-0005-0000-0000-00004C6C0000}"/>
    <cellStyle name="40 % - Markeringsfarve4 10 4" xfId="3872" xr:uid="{00000000-0005-0000-0000-00004D6C0000}"/>
    <cellStyle name="40 % - Markeringsfarve4 10 4 2" xfId="8490" xr:uid="{00000000-0005-0000-0000-00004E6C0000}"/>
    <cellStyle name="40 % - Markeringsfarve4 10 4 2 2" xfId="16379" xr:uid="{00000000-0005-0000-0000-00004F6C0000}"/>
    <cellStyle name="40 % - Markeringsfarve4 10 4 2 2 2" xfId="32693" xr:uid="{00000000-0005-0000-0000-0000506C0000}"/>
    <cellStyle name="40 % - Markeringsfarve4 10 4 2 2 3" xfId="47657" xr:uid="{00000000-0005-0000-0000-0000516C0000}"/>
    <cellStyle name="40 % - Markeringsfarve4 10 4 2 3" xfId="25671" xr:uid="{00000000-0005-0000-0000-0000526C0000}"/>
    <cellStyle name="40 % - Markeringsfarve4 10 4 2 4" xfId="40658" xr:uid="{00000000-0005-0000-0000-0000536C0000}"/>
    <cellStyle name="40 % - Markeringsfarve4 10 4 3" xfId="12429" xr:uid="{00000000-0005-0000-0000-0000546C0000}"/>
    <cellStyle name="40 % - Markeringsfarve4 10 4 3 2" xfId="28748" xr:uid="{00000000-0005-0000-0000-0000556C0000}"/>
    <cellStyle name="40 % - Markeringsfarve4 10 4 3 3" xfId="43713" xr:uid="{00000000-0005-0000-0000-0000566C0000}"/>
    <cellStyle name="40 % - Markeringsfarve4 10 4 4" xfId="21726" xr:uid="{00000000-0005-0000-0000-0000576C0000}"/>
    <cellStyle name="40 % - Markeringsfarve4 10 4 5" xfId="36714" xr:uid="{00000000-0005-0000-0000-0000586C0000}"/>
    <cellStyle name="40 % - Markeringsfarve4 10 5" xfId="5914" xr:uid="{00000000-0005-0000-0000-0000596C0000}"/>
    <cellStyle name="40 % - Markeringsfarve4 10 5 2" xfId="13832" xr:uid="{00000000-0005-0000-0000-00005A6C0000}"/>
    <cellStyle name="40 % - Markeringsfarve4 10 5 2 2" xfId="30146" xr:uid="{00000000-0005-0000-0000-00005B6C0000}"/>
    <cellStyle name="40 % - Markeringsfarve4 10 5 2 3" xfId="45110" xr:uid="{00000000-0005-0000-0000-00005C6C0000}"/>
    <cellStyle name="40 % - Markeringsfarve4 10 5 3" xfId="23124" xr:uid="{00000000-0005-0000-0000-00005D6C0000}"/>
    <cellStyle name="40 % - Markeringsfarve4 10 5 4" xfId="38111" xr:uid="{00000000-0005-0000-0000-00005E6C0000}"/>
    <cellStyle name="40 % - Markeringsfarve4 10 6" xfId="12425" xr:uid="{00000000-0005-0000-0000-00005F6C0000}"/>
    <cellStyle name="40 % - Markeringsfarve4 10 6 2" xfId="28744" xr:uid="{00000000-0005-0000-0000-0000606C0000}"/>
    <cellStyle name="40 % - Markeringsfarve4 10 6 3" xfId="43709" xr:uid="{00000000-0005-0000-0000-0000616C0000}"/>
    <cellStyle name="40 % - Markeringsfarve4 10 7" xfId="21722" xr:uid="{00000000-0005-0000-0000-0000626C0000}"/>
    <cellStyle name="40 % - Markeringsfarve4 10 8" xfId="36710" xr:uid="{00000000-0005-0000-0000-0000636C0000}"/>
    <cellStyle name="40 % - Markeringsfarve4 11" xfId="3873" xr:uid="{00000000-0005-0000-0000-0000646C0000}"/>
    <cellStyle name="40 % - Markeringsfarve4 11 2" xfId="3874" xr:uid="{00000000-0005-0000-0000-0000656C0000}"/>
    <cellStyle name="40 % - Markeringsfarve4 11 2 2" xfId="7495" xr:uid="{00000000-0005-0000-0000-0000666C0000}"/>
    <cellStyle name="40 % - Markeringsfarve4 11 2 2 2" xfId="15396" xr:uid="{00000000-0005-0000-0000-0000676C0000}"/>
    <cellStyle name="40 % - Markeringsfarve4 11 2 2 2 2" xfId="31710" xr:uid="{00000000-0005-0000-0000-0000686C0000}"/>
    <cellStyle name="40 % - Markeringsfarve4 11 2 2 2 3" xfId="46674" xr:uid="{00000000-0005-0000-0000-0000696C0000}"/>
    <cellStyle name="40 % - Markeringsfarve4 11 2 2 3" xfId="24688" xr:uid="{00000000-0005-0000-0000-00006A6C0000}"/>
    <cellStyle name="40 % - Markeringsfarve4 11 2 2 4" xfId="39675" xr:uid="{00000000-0005-0000-0000-00006B6C0000}"/>
    <cellStyle name="40 % - Markeringsfarve4 11 2 3" xfId="12431" xr:uid="{00000000-0005-0000-0000-00006C6C0000}"/>
    <cellStyle name="40 % - Markeringsfarve4 11 2 3 2" xfId="28750" xr:uid="{00000000-0005-0000-0000-00006D6C0000}"/>
    <cellStyle name="40 % - Markeringsfarve4 11 2 3 3" xfId="43715" xr:uid="{00000000-0005-0000-0000-00006E6C0000}"/>
    <cellStyle name="40 % - Markeringsfarve4 11 2 4" xfId="21728" xr:uid="{00000000-0005-0000-0000-00006F6C0000}"/>
    <cellStyle name="40 % - Markeringsfarve4 11 2 5" xfId="36716" xr:uid="{00000000-0005-0000-0000-0000706C0000}"/>
    <cellStyle name="40 % - Markeringsfarve4 11 3" xfId="3875" xr:uid="{00000000-0005-0000-0000-0000716C0000}"/>
    <cellStyle name="40 % - Markeringsfarve4 11 3 2" xfId="8732" xr:uid="{00000000-0005-0000-0000-0000726C0000}"/>
    <cellStyle name="40 % - Markeringsfarve4 11 3 2 2" xfId="16612" xr:uid="{00000000-0005-0000-0000-0000736C0000}"/>
    <cellStyle name="40 % - Markeringsfarve4 11 3 2 2 2" xfId="32926" xr:uid="{00000000-0005-0000-0000-0000746C0000}"/>
    <cellStyle name="40 % - Markeringsfarve4 11 3 2 2 3" xfId="47890" xr:uid="{00000000-0005-0000-0000-0000756C0000}"/>
    <cellStyle name="40 % - Markeringsfarve4 11 3 2 3" xfId="25904" xr:uid="{00000000-0005-0000-0000-0000766C0000}"/>
    <cellStyle name="40 % - Markeringsfarve4 11 3 2 4" xfId="40891" xr:uid="{00000000-0005-0000-0000-0000776C0000}"/>
    <cellStyle name="40 % - Markeringsfarve4 11 3 3" xfId="12432" xr:uid="{00000000-0005-0000-0000-0000786C0000}"/>
    <cellStyle name="40 % - Markeringsfarve4 11 3 3 2" xfId="28751" xr:uid="{00000000-0005-0000-0000-0000796C0000}"/>
    <cellStyle name="40 % - Markeringsfarve4 11 3 3 3" xfId="43716" xr:uid="{00000000-0005-0000-0000-00007A6C0000}"/>
    <cellStyle name="40 % - Markeringsfarve4 11 3 4" xfId="21729" xr:uid="{00000000-0005-0000-0000-00007B6C0000}"/>
    <cellStyle name="40 % - Markeringsfarve4 11 3 5" xfId="36717" xr:uid="{00000000-0005-0000-0000-00007C6C0000}"/>
    <cellStyle name="40 % - Markeringsfarve4 11 4" xfId="5915" xr:uid="{00000000-0005-0000-0000-00007D6C0000}"/>
    <cellStyle name="40 % - Markeringsfarve4 11 4 2" xfId="13833" xr:uid="{00000000-0005-0000-0000-00007E6C0000}"/>
    <cellStyle name="40 % - Markeringsfarve4 11 4 2 2" xfId="30147" xr:uid="{00000000-0005-0000-0000-00007F6C0000}"/>
    <cellStyle name="40 % - Markeringsfarve4 11 4 2 3" xfId="45111" xr:uid="{00000000-0005-0000-0000-0000806C0000}"/>
    <cellStyle name="40 % - Markeringsfarve4 11 4 3" xfId="23125" xr:uid="{00000000-0005-0000-0000-0000816C0000}"/>
    <cellStyle name="40 % - Markeringsfarve4 11 4 4" xfId="38112" xr:uid="{00000000-0005-0000-0000-0000826C0000}"/>
    <cellStyle name="40 % - Markeringsfarve4 11 5" xfId="12430" xr:uid="{00000000-0005-0000-0000-0000836C0000}"/>
    <cellStyle name="40 % - Markeringsfarve4 11 5 2" xfId="28749" xr:uid="{00000000-0005-0000-0000-0000846C0000}"/>
    <cellStyle name="40 % - Markeringsfarve4 11 5 3" xfId="43714" xr:uid="{00000000-0005-0000-0000-0000856C0000}"/>
    <cellStyle name="40 % - Markeringsfarve4 11 6" xfId="21727" xr:uid="{00000000-0005-0000-0000-0000866C0000}"/>
    <cellStyle name="40 % - Markeringsfarve4 11 7" xfId="36715" xr:uid="{00000000-0005-0000-0000-0000876C0000}"/>
    <cellStyle name="40 % - Markeringsfarve4 12" xfId="3876" xr:uid="{00000000-0005-0000-0000-0000886C0000}"/>
    <cellStyle name="40 % - Markeringsfarve4 12 2" xfId="3877" xr:uid="{00000000-0005-0000-0000-0000896C0000}"/>
    <cellStyle name="40 % - Markeringsfarve4 12 2 2" xfId="8456" xr:uid="{00000000-0005-0000-0000-00008A6C0000}"/>
    <cellStyle name="40 % - Markeringsfarve4 12 2 2 2" xfId="16348" xr:uid="{00000000-0005-0000-0000-00008B6C0000}"/>
    <cellStyle name="40 % - Markeringsfarve4 12 2 2 2 2" xfId="32662" xr:uid="{00000000-0005-0000-0000-00008C6C0000}"/>
    <cellStyle name="40 % - Markeringsfarve4 12 2 2 2 3" xfId="47626" xr:uid="{00000000-0005-0000-0000-00008D6C0000}"/>
    <cellStyle name="40 % - Markeringsfarve4 12 2 2 3" xfId="25640" xr:uid="{00000000-0005-0000-0000-00008E6C0000}"/>
    <cellStyle name="40 % - Markeringsfarve4 12 2 2 4" xfId="40627" xr:uid="{00000000-0005-0000-0000-00008F6C0000}"/>
    <cellStyle name="40 % - Markeringsfarve4 12 2 3" xfId="12434" xr:uid="{00000000-0005-0000-0000-0000906C0000}"/>
    <cellStyle name="40 % - Markeringsfarve4 12 2 3 2" xfId="28753" xr:uid="{00000000-0005-0000-0000-0000916C0000}"/>
    <cellStyle name="40 % - Markeringsfarve4 12 2 3 3" xfId="43718" xr:uid="{00000000-0005-0000-0000-0000926C0000}"/>
    <cellStyle name="40 % - Markeringsfarve4 12 2 4" xfId="21731" xr:uid="{00000000-0005-0000-0000-0000936C0000}"/>
    <cellStyle name="40 % - Markeringsfarve4 12 2 5" xfId="36719" xr:uid="{00000000-0005-0000-0000-0000946C0000}"/>
    <cellStyle name="40 % - Markeringsfarve4 12 3" xfId="5916" xr:uid="{00000000-0005-0000-0000-0000956C0000}"/>
    <cellStyle name="40 % - Markeringsfarve4 12 3 2" xfId="13834" xr:uid="{00000000-0005-0000-0000-0000966C0000}"/>
    <cellStyle name="40 % - Markeringsfarve4 12 3 2 2" xfId="30148" xr:uid="{00000000-0005-0000-0000-0000976C0000}"/>
    <cellStyle name="40 % - Markeringsfarve4 12 3 2 3" xfId="45112" xr:uid="{00000000-0005-0000-0000-0000986C0000}"/>
    <cellStyle name="40 % - Markeringsfarve4 12 3 3" xfId="23126" xr:uid="{00000000-0005-0000-0000-0000996C0000}"/>
    <cellStyle name="40 % - Markeringsfarve4 12 3 4" xfId="38113" xr:uid="{00000000-0005-0000-0000-00009A6C0000}"/>
    <cellStyle name="40 % - Markeringsfarve4 12 4" xfId="12433" xr:uid="{00000000-0005-0000-0000-00009B6C0000}"/>
    <cellStyle name="40 % - Markeringsfarve4 12 4 2" xfId="28752" xr:uid="{00000000-0005-0000-0000-00009C6C0000}"/>
    <cellStyle name="40 % - Markeringsfarve4 12 4 3" xfId="43717" xr:uid="{00000000-0005-0000-0000-00009D6C0000}"/>
    <cellStyle name="40 % - Markeringsfarve4 12 5" xfId="21730" xr:uid="{00000000-0005-0000-0000-00009E6C0000}"/>
    <cellStyle name="40 % - Markeringsfarve4 12 6" xfId="36718" xr:uid="{00000000-0005-0000-0000-00009F6C0000}"/>
    <cellStyle name="40 % - Markeringsfarve4 13" xfId="3878" xr:uid="{00000000-0005-0000-0000-0000A06C0000}"/>
    <cellStyle name="40 % - Markeringsfarve4 13 2" xfId="3879" xr:uid="{00000000-0005-0000-0000-0000A16C0000}"/>
    <cellStyle name="40 % - Markeringsfarve4 13 2 2" xfId="8691" xr:uid="{00000000-0005-0000-0000-0000A26C0000}"/>
    <cellStyle name="40 % - Markeringsfarve4 13 2 2 2" xfId="16572" xr:uid="{00000000-0005-0000-0000-0000A36C0000}"/>
    <cellStyle name="40 % - Markeringsfarve4 13 2 2 2 2" xfId="32886" xr:uid="{00000000-0005-0000-0000-0000A46C0000}"/>
    <cellStyle name="40 % - Markeringsfarve4 13 2 2 2 3" xfId="47850" xr:uid="{00000000-0005-0000-0000-0000A56C0000}"/>
    <cellStyle name="40 % - Markeringsfarve4 13 2 2 3" xfId="25864" xr:uid="{00000000-0005-0000-0000-0000A66C0000}"/>
    <cellStyle name="40 % - Markeringsfarve4 13 2 2 4" xfId="40851" xr:uid="{00000000-0005-0000-0000-0000A76C0000}"/>
    <cellStyle name="40 % - Markeringsfarve4 13 2 3" xfId="12436" xr:uid="{00000000-0005-0000-0000-0000A86C0000}"/>
    <cellStyle name="40 % - Markeringsfarve4 13 2 3 2" xfId="28755" xr:uid="{00000000-0005-0000-0000-0000A96C0000}"/>
    <cellStyle name="40 % - Markeringsfarve4 13 2 3 3" xfId="43720" xr:uid="{00000000-0005-0000-0000-0000AA6C0000}"/>
    <cellStyle name="40 % - Markeringsfarve4 13 2 4" xfId="21733" xr:uid="{00000000-0005-0000-0000-0000AB6C0000}"/>
    <cellStyle name="40 % - Markeringsfarve4 13 2 5" xfId="36721" xr:uid="{00000000-0005-0000-0000-0000AC6C0000}"/>
    <cellStyle name="40 % - Markeringsfarve4 13 3" xfId="5917" xr:uid="{00000000-0005-0000-0000-0000AD6C0000}"/>
    <cellStyle name="40 % - Markeringsfarve4 13 3 2" xfId="13835" xr:uid="{00000000-0005-0000-0000-0000AE6C0000}"/>
    <cellStyle name="40 % - Markeringsfarve4 13 3 2 2" xfId="30149" xr:uid="{00000000-0005-0000-0000-0000AF6C0000}"/>
    <cellStyle name="40 % - Markeringsfarve4 13 3 2 3" xfId="45113" xr:uid="{00000000-0005-0000-0000-0000B06C0000}"/>
    <cellStyle name="40 % - Markeringsfarve4 13 3 3" xfId="23127" xr:uid="{00000000-0005-0000-0000-0000B16C0000}"/>
    <cellStyle name="40 % - Markeringsfarve4 13 3 4" xfId="38114" xr:uid="{00000000-0005-0000-0000-0000B26C0000}"/>
    <cellStyle name="40 % - Markeringsfarve4 13 4" xfId="12435" xr:uid="{00000000-0005-0000-0000-0000B36C0000}"/>
    <cellStyle name="40 % - Markeringsfarve4 13 4 2" xfId="28754" xr:uid="{00000000-0005-0000-0000-0000B46C0000}"/>
    <cellStyle name="40 % - Markeringsfarve4 13 4 3" xfId="43719" xr:uid="{00000000-0005-0000-0000-0000B56C0000}"/>
    <cellStyle name="40 % - Markeringsfarve4 13 5" xfId="21732" xr:uid="{00000000-0005-0000-0000-0000B66C0000}"/>
    <cellStyle name="40 % - Markeringsfarve4 13 6" xfId="36720" xr:uid="{00000000-0005-0000-0000-0000B76C0000}"/>
    <cellStyle name="40 % - Markeringsfarve4 14" xfId="3880" xr:uid="{00000000-0005-0000-0000-0000B86C0000}"/>
    <cellStyle name="40 % - Markeringsfarve4 14 2" xfId="3881" xr:uid="{00000000-0005-0000-0000-0000B96C0000}"/>
    <cellStyle name="40 % - Markeringsfarve4 14 2 2" xfId="8751" xr:uid="{00000000-0005-0000-0000-0000BA6C0000}"/>
    <cellStyle name="40 % - Markeringsfarve4 14 2 2 2" xfId="16630" xr:uid="{00000000-0005-0000-0000-0000BB6C0000}"/>
    <cellStyle name="40 % - Markeringsfarve4 14 2 2 2 2" xfId="32944" xr:uid="{00000000-0005-0000-0000-0000BC6C0000}"/>
    <cellStyle name="40 % - Markeringsfarve4 14 2 2 2 3" xfId="47908" xr:uid="{00000000-0005-0000-0000-0000BD6C0000}"/>
    <cellStyle name="40 % - Markeringsfarve4 14 2 2 3" xfId="25922" xr:uid="{00000000-0005-0000-0000-0000BE6C0000}"/>
    <cellStyle name="40 % - Markeringsfarve4 14 2 2 4" xfId="40909" xr:uid="{00000000-0005-0000-0000-0000BF6C0000}"/>
    <cellStyle name="40 % - Markeringsfarve4 14 2 3" xfId="12438" xr:uid="{00000000-0005-0000-0000-0000C06C0000}"/>
    <cellStyle name="40 % - Markeringsfarve4 14 2 3 2" xfId="28757" xr:uid="{00000000-0005-0000-0000-0000C16C0000}"/>
    <cellStyle name="40 % - Markeringsfarve4 14 2 3 3" xfId="43722" xr:uid="{00000000-0005-0000-0000-0000C26C0000}"/>
    <cellStyle name="40 % - Markeringsfarve4 14 2 4" xfId="21735" xr:uid="{00000000-0005-0000-0000-0000C36C0000}"/>
    <cellStyle name="40 % - Markeringsfarve4 14 2 5" xfId="36723" xr:uid="{00000000-0005-0000-0000-0000C46C0000}"/>
    <cellStyle name="40 % - Markeringsfarve4 14 3" xfId="5913" xr:uid="{00000000-0005-0000-0000-0000C56C0000}"/>
    <cellStyle name="40 % - Markeringsfarve4 14 3 2" xfId="13831" xr:uid="{00000000-0005-0000-0000-0000C66C0000}"/>
    <cellStyle name="40 % - Markeringsfarve4 14 3 2 2" xfId="30145" xr:uid="{00000000-0005-0000-0000-0000C76C0000}"/>
    <cellStyle name="40 % - Markeringsfarve4 14 3 2 3" xfId="45109" xr:uid="{00000000-0005-0000-0000-0000C86C0000}"/>
    <cellStyle name="40 % - Markeringsfarve4 14 3 3" xfId="23123" xr:uid="{00000000-0005-0000-0000-0000C96C0000}"/>
    <cellStyle name="40 % - Markeringsfarve4 14 3 4" xfId="38110" xr:uid="{00000000-0005-0000-0000-0000CA6C0000}"/>
    <cellStyle name="40 % - Markeringsfarve4 14 4" xfId="12437" xr:uid="{00000000-0005-0000-0000-0000CB6C0000}"/>
    <cellStyle name="40 % - Markeringsfarve4 14 4 2" xfId="28756" xr:uid="{00000000-0005-0000-0000-0000CC6C0000}"/>
    <cellStyle name="40 % - Markeringsfarve4 14 4 3" xfId="43721" xr:uid="{00000000-0005-0000-0000-0000CD6C0000}"/>
    <cellStyle name="40 % - Markeringsfarve4 14 5" xfId="21734" xr:uid="{00000000-0005-0000-0000-0000CE6C0000}"/>
    <cellStyle name="40 % - Markeringsfarve4 14 6" xfId="36722" xr:uid="{00000000-0005-0000-0000-0000CF6C0000}"/>
    <cellStyle name="40 % - Markeringsfarve4 15" xfId="3882" xr:uid="{00000000-0005-0000-0000-0000D06C0000}"/>
    <cellStyle name="40 % - Markeringsfarve4 15 2" xfId="6718" xr:uid="{00000000-0005-0000-0000-0000D16C0000}"/>
    <cellStyle name="40 % - Markeringsfarve4 15 2 2" xfId="14631" xr:uid="{00000000-0005-0000-0000-0000D26C0000}"/>
    <cellStyle name="40 % - Markeringsfarve4 15 2 2 2" xfId="30945" xr:uid="{00000000-0005-0000-0000-0000D36C0000}"/>
    <cellStyle name="40 % - Markeringsfarve4 15 2 2 3" xfId="45909" xr:uid="{00000000-0005-0000-0000-0000D46C0000}"/>
    <cellStyle name="40 % - Markeringsfarve4 15 2 3" xfId="23923" xr:uid="{00000000-0005-0000-0000-0000D56C0000}"/>
    <cellStyle name="40 % - Markeringsfarve4 15 2 4" xfId="38910" xr:uid="{00000000-0005-0000-0000-0000D66C0000}"/>
    <cellStyle name="40 % - Markeringsfarve4 15 3" xfId="12439" xr:uid="{00000000-0005-0000-0000-0000D76C0000}"/>
    <cellStyle name="40 % - Markeringsfarve4 15 3 2" xfId="28758" xr:uid="{00000000-0005-0000-0000-0000D86C0000}"/>
    <cellStyle name="40 % - Markeringsfarve4 15 3 3" xfId="43723" xr:uid="{00000000-0005-0000-0000-0000D96C0000}"/>
    <cellStyle name="40 % - Markeringsfarve4 15 4" xfId="21736" xr:uid="{00000000-0005-0000-0000-0000DA6C0000}"/>
    <cellStyle name="40 % - Markeringsfarve4 15 5" xfId="36724" xr:uid="{00000000-0005-0000-0000-0000DB6C0000}"/>
    <cellStyle name="40 % - Markeringsfarve4 16" xfId="3883" xr:uid="{00000000-0005-0000-0000-0000DC6C0000}"/>
    <cellStyle name="40 % - Markeringsfarve4 16 2" xfId="8253" xr:uid="{00000000-0005-0000-0000-0000DD6C0000}"/>
    <cellStyle name="40 % - Markeringsfarve4 16 2 2" xfId="16149" xr:uid="{00000000-0005-0000-0000-0000DE6C0000}"/>
    <cellStyle name="40 % - Markeringsfarve4 16 2 2 2" xfId="32463" xr:uid="{00000000-0005-0000-0000-0000DF6C0000}"/>
    <cellStyle name="40 % - Markeringsfarve4 16 2 2 3" xfId="47427" xr:uid="{00000000-0005-0000-0000-0000E06C0000}"/>
    <cellStyle name="40 % - Markeringsfarve4 16 2 3" xfId="25441" xr:uid="{00000000-0005-0000-0000-0000E16C0000}"/>
    <cellStyle name="40 % - Markeringsfarve4 16 2 4" xfId="40428" xr:uid="{00000000-0005-0000-0000-0000E26C0000}"/>
    <cellStyle name="40 % - Markeringsfarve4 16 3" xfId="12440" xr:uid="{00000000-0005-0000-0000-0000E36C0000}"/>
    <cellStyle name="40 % - Markeringsfarve4 16 3 2" xfId="28759" xr:uid="{00000000-0005-0000-0000-0000E46C0000}"/>
    <cellStyle name="40 % - Markeringsfarve4 16 3 3" xfId="43724" xr:uid="{00000000-0005-0000-0000-0000E56C0000}"/>
    <cellStyle name="40 % - Markeringsfarve4 16 4" xfId="21737" xr:uid="{00000000-0005-0000-0000-0000E66C0000}"/>
    <cellStyle name="40 % - Markeringsfarve4 16 5" xfId="36725" xr:uid="{00000000-0005-0000-0000-0000E76C0000}"/>
    <cellStyle name="40 % - Markeringsfarve4 17" xfId="3884" xr:uid="{00000000-0005-0000-0000-0000E86C0000}"/>
    <cellStyle name="40 % - Markeringsfarve4 17 2" xfId="8770" xr:uid="{00000000-0005-0000-0000-0000E96C0000}"/>
    <cellStyle name="40 % - Markeringsfarve4 17 2 2" xfId="16646" xr:uid="{00000000-0005-0000-0000-0000EA6C0000}"/>
    <cellStyle name="40 % - Markeringsfarve4 17 2 2 2" xfId="32960" xr:uid="{00000000-0005-0000-0000-0000EB6C0000}"/>
    <cellStyle name="40 % - Markeringsfarve4 17 2 2 3" xfId="47924" xr:uid="{00000000-0005-0000-0000-0000EC6C0000}"/>
    <cellStyle name="40 % - Markeringsfarve4 17 2 3" xfId="25938" xr:uid="{00000000-0005-0000-0000-0000ED6C0000}"/>
    <cellStyle name="40 % - Markeringsfarve4 17 2 4" xfId="40925" xr:uid="{00000000-0005-0000-0000-0000EE6C0000}"/>
    <cellStyle name="40 % - Markeringsfarve4 17 3" xfId="12441" xr:uid="{00000000-0005-0000-0000-0000EF6C0000}"/>
    <cellStyle name="40 % - Markeringsfarve4 17 3 2" xfId="28760" xr:uid="{00000000-0005-0000-0000-0000F06C0000}"/>
    <cellStyle name="40 % - Markeringsfarve4 17 3 3" xfId="43725" xr:uid="{00000000-0005-0000-0000-0000F16C0000}"/>
    <cellStyle name="40 % - Markeringsfarve4 17 4" xfId="21738" xr:uid="{00000000-0005-0000-0000-0000F26C0000}"/>
    <cellStyle name="40 % - Markeringsfarve4 17 5" xfId="36726" xr:uid="{00000000-0005-0000-0000-0000F36C0000}"/>
    <cellStyle name="40 % - Markeringsfarve4 18" xfId="5397" xr:uid="{00000000-0005-0000-0000-0000F46C0000}"/>
    <cellStyle name="40 % - Markeringsfarve4 18 2" xfId="13319" xr:uid="{00000000-0005-0000-0000-0000F56C0000}"/>
    <cellStyle name="40 % - Markeringsfarve4 18 2 2" xfId="29633" xr:uid="{00000000-0005-0000-0000-0000F66C0000}"/>
    <cellStyle name="40 % - Markeringsfarve4 18 2 3" xfId="44597" xr:uid="{00000000-0005-0000-0000-0000F76C0000}"/>
    <cellStyle name="40 % - Markeringsfarve4 18 3" xfId="22611" xr:uid="{00000000-0005-0000-0000-0000F86C0000}"/>
    <cellStyle name="40 % - Markeringsfarve4 18 4" xfId="37598" xr:uid="{00000000-0005-0000-0000-0000F96C0000}"/>
    <cellStyle name="40 % - Markeringsfarve4 19" xfId="3867" xr:uid="{00000000-0005-0000-0000-0000FA6C0000}"/>
    <cellStyle name="40 % - Markeringsfarve4 19 2" xfId="12424" xr:uid="{00000000-0005-0000-0000-0000FB6C0000}"/>
    <cellStyle name="40 % - Markeringsfarve4 19 2 2" xfId="28743" xr:uid="{00000000-0005-0000-0000-0000FC6C0000}"/>
    <cellStyle name="40 % - Markeringsfarve4 19 2 3" xfId="43708" xr:uid="{00000000-0005-0000-0000-0000FD6C0000}"/>
    <cellStyle name="40 % - Markeringsfarve4 19 3" xfId="21721" xr:uid="{00000000-0005-0000-0000-0000FE6C0000}"/>
    <cellStyle name="40 % - Markeringsfarve4 19 4" xfId="36709" xr:uid="{00000000-0005-0000-0000-0000FF6C0000}"/>
    <cellStyle name="40 % - Markeringsfarve4 2" xfId="3885" xr:uid="{00000000-0005-0000-0000-0000006D0000}"/>
    <cellStyle name="40 % - Markeringsfarve4 2 10" xfId="3886" xr:uid="{00000000-0005-0000-0000-0000016D0000}"/>
    <cellStyle name="40 % - Markeringsfarve4 2 10 2" xfId="6749" xr:uid="{00000000-0005-0000-0000-0000026D0000}"/>
    <cellStyle name="40 % - Markeringsfarve4 2 10 2 2" xfId="14660" xr:uid="{00000000-0005-0000-0000-0000036D0000}"/>
    <cellStyle name="40 % - Markeringsfarve4 2 10 2 2 2" xfId="30974" xr:uid="{00000000-0005-0000-0000-0000046D0000}"/>
    <cellStyle name="40 % - Markeringsfarve4 2 10 2 2 3" xfId="45938" xr:uid="{00000000-0005-0000-0000-0000056D0000}"/>
    <cellStyle name="40 % - Markeringsfarve4 2 10 2 3" xfId="23952" xr:uid="{00000000-0005-0000-0000-0000066D0000}"/>
    <cellStyle name="40 % - Markeringsfarve4 2 10 2 4" xfId="38939" xr:uid="{00000000-0005-0000-0000-0000076D0000}"/>
    <cellStyle name="40 % - Markeringsfarve4 2 10 3" xfId="12443" xr:uid="{00000000-0005-0000-0000-0000086D0000}"/>
    <cellStyle name="40 % - Markeringsfarve4 2 10 3 2" xfId="28762" xr:uid="{00000000-0005-0000-0000-0000096D0000}"/>
    <cellStyle name="40 % - Markeringsfarve4 2 10 3 3" xfId="43727" xr:uid="{00000000-0005-0000-0000-00000A6D0000}"/>
    <cellStyle name="40 % - Markeringsfarve4 2 10 4" xfId="21740" xr:uid="{00000000-0005-0000-0000-00000B6D0000}"/>
    <cellStyle name="40 % - Markeringsfarve4 2 10 5" xfId="36728" xr:uid="{00000000-0005-0000-0000-00000C6D0000}"/>
    <cellStyle name="40 % - Markeringsfarve4 2 11" xfId="3887" xr:uid="{00000000-0005-0000-0000-00000D6D0000}"/>
    <cellStyle name="40 % - Markeringsfarve4 2 11 2" xfId="8416" xr:uid="{00000000-0005-0000-0000-00000E6D0000}"/>
    <cellStyle name="40 % - Markeringsfarve4 2 11 2 2" xfId="16309" xr:uid="{00000000-0005-0000-0000-00000F6D0000}"/>
    <cellStyle name="40 % - Markeringsfarve4 2 11 2 2 2" xfId="32623" xr:uid="{00000000-0005-0000-0000-0000106D0000}"/>
    <cellStyle name="40 % - Markeringsfarve4 2 11 2 2 3" xfId="47587" xr:uid="{00000000-0005-0000-0000-0000116D0000}"/>
    <cellStyle name="40 % - Markeringsfarve4 2 11 2 3" xfId="25601" xr:uid="{00000000-0005-0000-0000-0000126D0000}"/>
    <cellStyle name="40 % - Markeringsfarve4 2 11 2 4" xfId="40588" xr:uid="{00000000-0005-0000-0000-0000136D0000}"/>
    <cellStyle name="40 % - Markeringsfarve4 2 11 3" xfId="12444" xr:uid="{00000000-0005-0000-0000-0000146D0000}"/>
    <cellStyle name="40 % - Markeringsfarve4 2 11 3 2" xfId="28763" xr:uid="{00000000-0005-0000-0000-0000156D0000}"/>
    <cellStyle name="40 % - Markeringsfarve4 2 11 3 3" xfId="43728" xr:uid="{00000000-0005-0000-0000-0000166D0000}"/>
    <cellStyle name="40 % - Markeringsfarve4 2 11 4" xfId="21741" xr:uid="{00000000-0005-0000-0000-0000176D0000}"/>
    <cellStyle name="40 % - Markeringsfarve4 2 11 5" xfId="36729" xr:uid="{00000000-0005-0000-0000-0000186D0000}"/>
    <cellStyle name="40 % - Markeringsfarve4 2 12" xfId="5918" xr:uid="{00000000-0005-0000-0000-0000196D0000}"/>
    <cellStyle name="40 % - Markeringsfarve4 2 12 2" xfId="13836" xr:uid="{00000000-0005-0000-0000-00001A6D0000}"/>
    <cellStyle name="40 % - Markeringsfarve4 2 12 2 2" xfId="30150" xr:uid="{00000000-0005-0000-0000-00001B6D0000}"/>
    <cellStyle name="40 % - Markeringsfarve4 2 12 2 3" xfId="45114" xr:uid="{00000000-0005-0000-0000-00001C6D0000}"/>
    <cellStyle name="40 % - Markeringsfarve4 2 12 3" xfId="23128" xr:uid="{00000000-0005-0000-0000-00001D6D0000}"/>
    <cellStyle name="40 % - Markeringsfarve4 2 12 4" xfId="38115" xr:uid="{00000000-0005-0000-0000-00001E6D0000}"/>
    <cellStyle name="40 % - Markeringsfarve4 2 13" xfId="12442" xr:uid="{00000000-0005-0000-0000-00001F6D0000}"/>
    <cellStyle name="40 % - Markeringsfarve4 2 13 2" xfId="28761" xr:uid="{00000000-0005-0000-0000-0000206D0000}"/>
    <cellStyle name="40 % - Markeringsfarve4 2 13 3" xfId="43726" xr:uid="{00000000-0005-0000-0000-0000216D0000}"/>
    <cellStyle name="40 % - Markeringsfarve4 2 14" xfId="21739" xr:uid="{00000000-0005-0000-0000-0000226D0000}"/>
    <cellStyle name="40 % - Markeringsfarve4 2 15" xfId="36727" xr:uid="{00000000-0005-0000-0000-0000236D0000}"/>
    <cellStyle name="40 % - Markeringsfarve4 2 16" xfId="53385" xr:uid="{00000000-0005-0000-0000-0000246D0000}"/>
    <cellStyle name="40 % - Markeringsfarve4 2 2" xfId="3888" xr:uid="{00000000-0005-0000-0000-0000256D0000}"/>
    <cellStyle name="40 % - Markeringsfarve4 2 2 10" xfId="5919" xr:uid="{00000000-0005-0000-0000-0000266D0000}"/>
    <cellStyle name="40 % - Markeringsfarve4 2 2 10 2" xfId="13837" xr:uid="{00000000-0005-0000-0000-0000276D0000}"/>
    <cellStyle name="40 % - Markeringsfarve4 2 2 10 2 2" xfId="30151" xr:uid="{00000000-0005-0000-0000-0000286D0000}"/>
    <cellStyle name="40 % - Markeringsfarve4 2 2 10 2 3" xfId="45115" xr:uid="{00000000-0005-0000-0000-0000296D0000}"/>
    <cellStyle name="40 % - Markeringsfarve4 2 2 10 3" xfId="23129" xr:uid="{00000000-0005-0000-0000-00002A6D0000}"/>
    <cellStyle name="40 % - Markeringsfarve4 2 2 10 4" xfId="38116" xr:uid="{00000000-0005-0000-0000-00002B6D0000}"/>
    <cellStyle name="40 % - Markeringsfarve4 2 2 11" xfId="12445" xr:uid="{00000000-0005-0000-0000-00002C6D0000}"/>
    <cellStyle name="40 % - Markeringsfarve4 2 2 11 2" xfId="28764" xr:uid="{00000000-0005-0000-0000-00002D6D0000}"/>
    <cellStyle name="40 % - Markeringsfarve4 2 2 11 3" xfId="43729" xr:uid="{00000000-0005-0000-0000-00002E6D0000}"/>
    <cellStyle name="40 % - Markeringsfarve4 2 2 12" xfId="21742" xr:uid="{00000000-0005-0000-0000-00002F6D0000}"/>
    <cellStyle name="40 % - Markeringsfarve4 2 2 13" xfId="36730" xr:uid="{00000000-0005-0000-0000-0000306D0000}"/>
    <cellStyle name="40 % - Markeringsfarve4 2 2 14" xfId="53386" xr:uid="{00000000-0005-0000-0000-0000316D0000}"/>
    <cellStyle name="40 % - Markeringsfarve4 2 2 2" xfId="3889" xr:uid="{00000000-0005-0000-0000-0000326D0000}"/>
    <cellStyle name="40 % - Markeringsfarve4 2 2 2 2" xfId="3890" xr:uid="{00000000-0005-0000-0000-0000336D0000}"/>
    <cellStyle name="40 % - Markeringsfarve4 2 2 2 2 2" xfId="3891" xr:uid="{00000000-0005-0000-0000-0000346D0000}"/>
    <cellStyle name="40 % - Markeringsfarve4 2 2 2 2 2 2" xfId="7680" xr:uid="{00000000-0005-0000-0000-0000356D0000}"/>
    <cellStyle name="40 % - Markeringsfarve4 2 2 2 2 2 2 2" xfId="15581" xr:uid="{00000000-0005-0000-0000-0000366D0000}"/>
    <cellStyle name="40 % - Markeringsfarve4 2 2 2 2 2 2 2 2" xfId="31895" xr:uid="{00000000-0005-0000-0000-0000376D0000}"/>
    <cellStyle name="40 % - Markeringsfarve4 2 2 2 2 2 2 2 3" xfId="46859" xr:uid="{00000000-0005-0000-0000-0000386D0000}"/>
    <cellStyle name="40 % - Markeringsfarve4 2 2 2 2 2 2 3" xfId="24873" xr:uid="{00000000-0005-0000-0000-0000396D0000}"/>
    <cellStyle name="40 % - Markeringsfarve4 2 2 2 2 2 2 4" xfId="39860" xr:uid="{00000000-0005-0000-0000-00003A6D0000}"/>
    <cellStyle name="40 % - Markeringsfarve4 2 2 2 2 2 3" xfId="12448" xr:uid="{00000000-0005-0000-0000-00003B6D0000}"/>
    <cellStyle name="40 % - Markeringsfarve4 2 2 2 2 2 3 2" xfId="28767" xr:uid="{00000000-0005-0000-0000-00003C6D0000}"/>
    <cellStyle name="40 % - Markeringsfarve4 2 2 2 2 2 3 3" xfId="43732" xr:uid="{00000000-0005-0000-0000-00003D6D0000}"/>
    <cellStyle name="40 % - Markeringsfarve4 2 2 2 2 2 4" xfId="21745" xr:uid="{00000000-0005-0000-0000-00003E6D0000}"/>
    <cellStyle name="40 % - Markeringsfarve4 2 2 2 2 2 5" xfId="36733" xr:uid="{00000000-0005-0000-0000-00003F6D0000}"/>
    <cellStyle name="40 % - Markeringsfarve4 2 2 2 2 3" xfId="6252" xr:uid="{00000000-0005-0000-0000-0000406D0000}"/>
    <cellStyle name="40 % - Markeringsfarve4 2 2 2 2 3 2" xfId="14169" xr:uid="{00000000-0005-0000-0000-0000416D0000}"/>
    <cellStyle name="40 % - Markeringsfarve4 2 2 2 2 3 2 2" xfId="30483" xr:uid="{00000000-0005-0000-0000-0000426D0000}"/>
    <cellStyle name="40 % - Markeringsfarve4 2 2 2 2 3 2 3" xfId="45447" xr:uid="{00000000-0005-0000-0000-0000436D0000}"/>
    <cellStyle name="40 % - Markeringsfarve4 2 2 2 2 3 3" xfId="23461" xr:uid="{00000000-0005-0000-0000-0000446D0000}"/>
    <cellStyle name="40 % - Markeringsfarve4 2 2 2 2 3 4" xfId="38448" xr:uid="{00000000-0005-0000-0000-0000456D0000}"/>
    <cellStyle name="40 % - Markeringsfarve4 2 2 2 2 4" xfId="12447" xr:uid="{00000000-0005-0000-0000-0000466D0000}"/>
    <cellStyle name="40 % - Markeringsfarve4 2 2 2 2 4 2" xfId="28766" xr:uid="{00000000-0005-0000-0000-0000476D0000}"/>
    <cellStyle name="40 % - Markeringsfarve4 2 2 2 2 4 3" xfId="43731" xr:uid="{00000000-0005-0000-0000-0000486D0000}"/>
    <cellStyle name="40 % - Markeringsfarve4 2 2 2 2 5" xfId="21744" xr:uid="{00000000-0005-0000-0000-0000496D0000}"/>
    <cellStyle name="40 % - Markeringsfarve4 2 2 2 2 6" xfId="36732" xr:uid="{00000000-0005-0000-0000-00004A6D0000}"/>
    <cellStyle name="40 % - Markeringsfarve4 2 2 2 2 7" xfId="57190" xr:uid="{00000000-0005-0000-0000-00004B6D0000}"/>
    <cellStyle name="40 % - Markeringsfarve4 2 2 2 3" xfId="3892" xr:uid="{00000000-0005-0000-0000-00004C6D0000}"/>
    <cellStyle name="40 % - Markeringsfarve4 2 2 2 3 2" xfId="6910" xr:uid="{00000000-0005-0000-0000-00004D6D0000}"/>
    <cellStyle name="40 % - Markeringsfarve4 2 2 2 3 2 2" xfId="14821" xr:uid="{00000000-0005-0000-0000-00004E6D0000}"/>
    <cellStyle name="40 % - Markeringsfarve4 2 2 2 3 2 2 2" xfId="31135" xr:uid="{00000000-0005-0000-0000-00004F6D0000}"/>
    <cellStyle name="40 % - Markeringsfarve4 2 2 2 3 2 2 3" xfId="46099" xr:uid="{00000000-0005-0000-0000-0000506D0000}"/>
    <cellStyle name="40 % - Markeringsfarve4 2 2 2 3 2 3" xfId="24113" xr:uid="{00000000-0005-0000-0000-0000516D0000}"/>
    <cellStyle name="40 % - Markeringsfarve4 2 2 2 3 2 4" xfId="39100" xr:uid="{00000000-0005-0000-0000-0000526D0000}"/>
    <cellStyle name="40 % - Markeringsfarve4 2 2 2 3 3" xfId="12449" xr:uid="{00000000-0005-0000-0000-0000536D0000}"/>
    <cellStyle name="40 % - Markeringsfarve4 2 2 2 3 3 2" xfId="28768" xr:uid="{00000000-0005-0000-0000-0000546D0000}"/>
    <cellStyle name="40 % - Markeringsfarve4 2 2 2 3 3 3" xfId="43733" xr:uid="{00000000-0005-0000-0000-0000556D0000}"/>
    <cellStyle name="40 % - Markeringsfarve4 2 2 2 3 4" xfId="21746" xr:uid="{00000000-0005-0000-0000-0000566D0000}"/>
    <cellStyle name="40 % - Markeringsfarve4 2 2 2 3 5" xfId="36734" xr:uid="{00000000-0005-0000-0000-0000576D0000}"/>
    <cellStyle name="40 % - Markeringsfarve4 2 2 2 4" xfId="3893" xr:uid="{00000000-0005-0000-0000-0000586D0000}"/>
    <cellStyle name="40 % - Markeringsfarve4 2 2 2 4 2" xfId="8286" xr:uid="{00000000-0005-0000-0000-0000596D0000}"/>
    <cellStyle name="40 % - Markeringsfarve4 2 2 2 4 2 2" xfId="16180" xr:uid="{00000000-0005-0000-0000-00005A6D0000}"/>
    <cellStyle name="40 % - Markeringsfarve4 2 2 2 4 2 2 2" xfId="32494" xr:uid="{00000000-0005-0000-0000-00005B6D0000}"/>
    <cellStyle name="40 % - Markeringsfarve4 2 2 2 4 2 2 3" xfId="47458" xr:uid="{00000000-0005-0000-0000-00005C6D0000}"/>
    <cellStyle name="40 % - Markeringsfarve4 2 2 2 4 2 3" xfId="25472" xr:uid="{00000000-0005-0000-0000-00005D6D0000}"/>
    <cellStyle name="40 % - Markeringsfarve4 2 2 2 4 2 4" xfId="40459" xr:uid="{00000000-0005-0000-0000-00005E6D0000}"/>
    <cellStyle name="40 % - Markeringsfarve4 2 2 2 4 3" xfId="12450" xr:uid="{00000000-0005-0000-0000-00005F6D0000}"/>
    <cellStyle name="40 % - Markeringsfarve4 2 2 2 4 3 2" xfId="28769" xr:uid="{00000000-0005-0000-0000-0000606D0000}"/>
    <cellStyle name="40 % - Markeringsfarve4 2 2 2 4 3 3" xfId="43734" xr:uid="{00000000-0005-0000-0000-0000616D0000}"/>
    <cellStyle name="40 % - Markeringsfarve4 2 2 2 4 4" xfId="21747" xr:uid="{00000000-0005-0000-0000-0000626D0000}"/>
    <cellStyle name="40 % - Markeringsfarve4 2 2 2 4 5" xfId="36735" xr:uid="{00000000-0005-0000-0000-0000636D0000}"/>
    <cellStyle name="40 % - Markeringsfarve4 2 2 2 5" xfId="5920" xr:uid="{00000000-0005-0000-0000-0000646D0000}"/>
    <cellStyle name="40 % - Markeringsfarve4 2 2 2 5 2" xfId="13838" xr:uid="{00000000-0005-0000-0000-0000656D0000}"/>
    <cellStyle name="40 % - Markeringsfarve4 2 2 2 5 2 2" xfId="30152" xr:uid="{00000000-0005-0000-0000-0000666D0000}"/>
    <cellStyle name="40 % - Markeringsfarve4 2 2 2 5 2 3" xfId="45116" xr:uid="{00000000-0005-0000-0000-0000676D0000}"/>
    <cellStyle name="40 % - Markeringsfarve4 2 2 2 5 3" xfId="23130" xr:uid="{00000000-0005-0000-0000-0000686D0000}"/>
    <cellStyle name="40 % - Markeringsfarve4 2 2 2 5 4" xfId="38117" xr:uid="{00000000-0005-0000-0000-0000696D0000}"/>
    <cellStyle name="40 % - Markeringsfarve4 2 2 2 6" xfId="12446" xr:uid="{00000000-0005-0000-0000-00006A6D0000}"/>
    <cellStyle name="40 % - Markeringsfarve4 2 2 2 6 2" xfId="28765" xr:uid="{00000000-0005-0000-0000-00006B6D0000}"/>
    <cellStyle name="40 % - Markeringsfarve4 2 2 2 6 3" xfId="43730" xr:uid="{00000000-0005-0000-0000-00006C6D0000}"/>
    <cellStyle name="40 % - Markeringsfarve4 2 2 2 7" xfId="21743" xr:uid="{00000000-0005-0000-0000-00006D6D0000}"/>
    <cellStyle name="40 % - Markeringsfarve4 2 2 2 8" xfId="36731" xr:uid="{00000000-0005-0000-0000-00006E6D0000}"/>
    <cellStyle name="40 % - Markeringsfarve4 2 2 2 9" xfId="54023" xr:uid="{00000000-0005-0000-0000-00006F6D0000}"/>
    <cellStyle name="40 % - Markeringsfarve4 2 2 3" xfId="3894" xr:uid="{00000000-0005-0000-0000-0000706D0000}"/>
    <cellStyle name="40 % - Markeringsfarve4 2 2 3 2" xfId="3895" xr:uid="{00000000-0005-0000-0000-0000716D0000}"/>
    <cellStyle name="40 % - Markeringsfarve4 2 2 3 2 2" xfId="3896" xr:uid="{00000000-0005-0000-0000-0000726D0000}"/>
    <cellStyle name="40 % - Markeringsfarve4 2 2 3 2 2 2" xfId="7809" xr:uid="{00000000-0005-0000-0000-0000736D0000}"/>
    <cellStyle name="40 % - Markeringsfarve4 2 2 3 2 2 2 2" xfId="15710" xr:uid="{00000000-0005-0000-0000-0000746D0000}"/>
    <cellStyle name="40 % - Markeringsfarve4 2 2 3 2 2 2 2 2" xfId="32024" xr:uid="{00000000-0005-0000-0000-0000756D0000}"/>
    <cellStyle name="40 % - Markeringsfarve4 2 2 3 2 2 2 2 3" xfId="46988" xr:uid="{00000000-0005-0000-0000-0000766D0000}"/>
    <cellStyle name="40 % - Markeringsfarve4 2 2 3 2 2 2 3" xfId="25002" xr:uid="{00000000-0005-0000-0000-0000776D0000}"/>
    <cellStyle name="40 % - Markeringsfarve4 2 2 3 2 2 2 4" xfId="39989" xr:uid="{00000000-0005-0000-0000-0000786D0000}"/>
    <cellStyle name="40 % - Markeringsfarve4 2 2 3 2 2 3" xfId="12453" xr:uid="{00000000-0005-0000-0000-0000796D0000}"/>
    <cellStyle name="40 % - Markeringsfarve4 2 2 3 2 2 3 2" xfId="28772" xr:uid="{00000000-0005-0000-0000-00007A6D0000}"/>
    <cellStyle name="40 % - Markeringsfarve4 2 2 3 2 2 3 3" xfId="43737" xr:uid="{00000000-0005-0000-0000-00007B6D0000}"/>
    <cellStyle name="40 % - Markeringsfarve4 2 2 3 2 2 4" xfId="21750" xr:uid="{00000000-0005-0000-0000-00007C6D0000}"/>
    <cellStyle name="40 % - Markeringsfarve4 2 2 3 2 2 5" xfId="36738" xr:uid="{00000000-0005-0000-0000-00007D6D0000}"/>
    <cellStyle name="40 % - Markeringsfarve4 2 2 3 2 3" xfId="6355" xr:uid="{00000000-0005-0000-0000-00007E6D0000}"/>
    <cellStyle name="40 % - Markeringsfarve4 2 2 3 2 3 2" xfId="14272" xr:uid="{00000000-0005-0000-0000-00007F6D0000}"/>
    <cellStyle name="40 % - Markeringsfarve4 2 2 3 2 3 2 2" xfId="30586" xr:uid="{00000000-0005-0000-0000-0000806D0000}"/>
    <cellStyle name="40 % - Markeringsfarve4 2 2 3 2 3 2 3" xfId="45550" xr:uid="{00000000-0005-0000-0000-0000816D0000}"/>
    <cellStyle name="40 % - Markeringsfarve4 2 2 3 2 3 3" xfId="23564" xr:uid="{00000000-0005-0000-0000-0000826D0000}"/>
    <cellStyle name="40 % - Markeringsfarve4 2 2 3 2 3 4" xfId="38551" xr:uid="{00000000-0005-0000-0000-0000836D0000}"/>
    <cellStyle name="40 % - Markeringsfarve4 2 2 3 2 4" xfId="12452" xr:uid="{00000000-0005-0000-0000-0000846D0000}"/>
    <cellStyle name="40 % - Markeringsfarve4 2 2 3 2 4 2" xfId="28771" xr:uid="{00000000-0005-0000-0000-0000856D0000}"/>
    <cellStyle name="40 % - Markeringsfarve4 2 2 3 2 4 3" xfId="43736" xr:uid="{00000000-0005-0000-0000-0000866D0000}"/>
    <cellStyle name="40 % - Markeringsfarve4 2 2 3 2 5" xfId="21749" xr:uid="{00000000-0005-0000-0000-0000876D0000}"/>
    <cellStyle name="40 % - Markeringsfarve4 2 2 3 2 6" xfId="36737" xr:uid="{00000000-0005-0000-0000-0000886D0000}"/>
    <cellStyle name="40 % - Markeringsfarve4 2 2 3 3" xfId="3897" xr:uid="{00000000-0005-0000-0000-0000896D0000}"/>
    <cellStyle name="40 % - Markeringsfarve4 2 2 3 3 2" xfId="7039" xr:uid="{00000000-0005-0000-0000-00008A6D0000}"/>
    <cellStyle name="40 % - Markeringsfarve4 2 2 3 3 2 2" xfId="14950" xr:uid="{00000000-0005-0000-0000-00008B6D0000}"/>
    <cellStyle name="40 % - Markeringsfarve4 2 2 3 3 2 2 2" xfId="31264" xr:uid="{00000000-0005-0000-0000-00008C6D0000}"/>
    <cellStyle name="40 % - Markeringsfarve4 2 2 3 3 2 2 3" xfId="46228" xr:uid="{00000000-0005-0000-0000-00008D6D0000}"/>
    <cellStyle name="40 % - Markeringsfarve4 2 2 3 3 2 3" xfId="24242" xr:uid="{00000000-0005-0000-0000-00008E6D0000}"/>
    <cellStyle name="40 % - Markeringsfarve4 2 2 3 3 2 4" xfId="39229" xr:uid="{00000000-0005-0000-0000-00008F6D0000}"/>
    <cellStyle name="40 % - Markeringsfarve4 2 2 3 3 3" xfId="12454" xr:uid="{00000000-0005-0000-0000-0000906D0000}"/>
    <cellStyle name="40 % - Markeringsfarve4 2 2 3 3 3 2" xfId="28773" xr:uid="{00000000-0005-0000-0000-0000916D0000}"/>
    <cellStyle name="40 % - Markeringsfarve4 2 2 3 3 3 3" xfId="43738" xr:uid="{00000000-0005-0000-0000-0000926D0000}"/>
    <cellStyle name="40 % - Markeringsfarve4 2 2 3 3 4" xfId="21751" xr:uid="{00000000-0005-0000-0000-0000936D0000}"/>
    <cellStyle name="40 % - Markeringsfarve4 2 2 3 3 5" xfId="36739" xr:uid="{00000000-0005-0000-0000-0000946D0000}"/>
    <cellStyle name="40 % - Markeringsfarve4 2 2 3 4" xfId="3898" xr:uid="{00000000-0005-0000-0000-0000956D0000}"/>
    <cellStyle name="40 % - Markeringsfarve4 2 2 3 4 2" xfId="8601" xr:uid="{00000000-0005-0000-0000-0000966D0000}"/>
    <cellStyle name="40 % - Markeringsfarve4 2 2 3 4 2 2" xfId="16487" xr:uid="{00000000-0005-0000-0000-0000976D0000}"/>
    <cellStyle name="40 % - Markeringsfarve4 2 2 3 4 2 2 2" xfId="32801" xr:uid="{00000000-0005-0000-0000-0000986D0000}"/>
    <cellStyle name="40 % - Markeringsfarve4 2 2 3 4 2 2 3" xfId="47765" xr:uid="{00000000-0005-0000-0000-0000996D0000}"/>
    <cellStyle name="40 % - Markeringsfarve4 2 2 3 4 2 3" xfId="25779" xr:uid="{00000000-0005-0000-0000-00009A6D0000}"/>
    <cellStyle name="40 % - Markeringsfarve4 2 2 3 4 2 4" xfId="40766" xr:uid="{00000000-0005-0000-0000-00009B6D0000}"/>
    <cellStyle name="40 % - Markeringsfarve4 2 2 3 4 3" xfId="12455" xr:uid="{00000000-0005-0000-0000-00009C6D0000}"/>
    <cellStyle name="40 % - Markeringsfarve4 2 2 3 4 3 2" xfId="28774" xr:uid="{00000000-0005-0000-0000-00009D6D0000}"/>
    <cellStyle name="40 % - Markeringsfarve4 2 2 3 4 3 3" xfId="43739" xr:uid="{00000000-0005-0000-0000-00009E6D0000}"/>
    <cellStyle name="40 % - Markeringsfarve4 2 2 3 4 4" xfId="21752" xr:uid="{00000000-0005-0000-0000-00009F6D0000}"/>
    <cellStyle name="40 % - Markeringsfarve4 2 2 3 4 5" xfId="36740" xr:uid="{00000000-0005-0000-0000-0000A06D0000}"/>
    <cellStyle name="40 % - Markeringsfarve4 2 2 3 5" xfId="5921" xr:uid="{00000000-0005-0000-0000-0000A16D0000}"/>
    <cellStyle name="40 % - Markeringsfarve4 2 2 3 5 2" xfId="13839" xr:uid="{00000000-0005-0000-0000-0000A26D0000}"/>
    <cellStyle name="40 % - Markeringsfarve4 2 2 3 5 2 2" xfId="30153" xr:uid="{00000000-0005-0000-0000-0000A36D0000}"/>
    <cellStyle name="40 % - Markeringsfarve4 2 2 3 5 2 3" xfId="45117" xr:uid="{00000000-0005-0000-0000-0000A46D0000}"/>
    <cellStyle name="40 % - Markeringsfarve4 2 2 3 5 3" xfId="23131" xr:uid="{00000000-0005-0000-0000-0000A56D0000}"/>
    <cellStyle name="40 % - Markeringsfarve4 2 2 3 5 4" xfId="38118" xr:uid="{00000000-0005-0000-0000-0000A66D0000}"/>
    <cellStyle name="40 % - Markeringsfarve4 2 2 3 6" xfId="12451" xr:uid="{00000000-0005-0000-0000-0000A76D0000}"/>
    <cellStyle name="40 % - Markeringsfarve4 2 2 3 6 2" xfId="28770" xr:uid="{00000000-0005-0000-0000-0000A86D0000}"/>
    <cellStyle name="40 % - Markeringsfarve4 2 2 3 6 3" xfId="43735" xr:uid="{00000000-0005-0000-0000-0000A96D0000}"/>
    <cellStyle name="40 % - Markeringsfarve4 2 2 3 7" xfId="21748" xr:uid="{00000000-0005-0000-0000-0000AA6D0000}"/>
    <cellStyle name="40 % - Markeringsfarve4 2 2 3 8" xfId="36736" xr:uid="{00000000-0005-0000-0000-0000AB6D0000}"/>
    <cellStyle name="40 % - Markeringsfarve4 2 2 3 9" xfId="56567" xr:uid="{00000000-0005-0000-0000-0000AC6D0000}"/>
    <cellStyle name="40 % - Markeringsfarve4 2 2 4" xfId="3899" xr:uid="{00000000-0005-0000-0000-0000AD6D0000}"/>
    <cellStyle name="40 % - Markeringsfarve4 2 2 4 2" xfId="3900" xr:uid="{00000000-0005-0000-0000-0000AE6D0000}"/>
    <cellStyle name="40 % - Markeringsfarve4 2 2 4 2 2" xfId="3901" xr:uid="{00000000-0005-0000-0000-0000AF6D0000}"/>
    <cellStyle name="40 % - Markeringsfarve4 2 2 4 2 2 2" xfId="7918" xr:uid="{00000000-0005-0000-0000-0000B06D0000}"/>
    <cellStyle name="40 % - Markeringsfarve4 2 2 4 2 2 2 2" xfId="15819" xr:uid="{00000000-0005-0000-0000-0000B16D0000}"/>
    <cellStyle name="40 % - Markeringsfarve4 2 2 4 2 2 2 2 2" xfId="32133" xr:uid="{00000000-0005-0000-0000-0000B26D0000}"/>
    <cellStyle name="40 % - Markeringsfarve4 2 2 4 2 2 2 2 3" xfId="47097" xr:uid="{00000000-0005-0000-0000-0000B36D0000}"/>
    <cellStyle name="40 % - Markeringsfarve4 2 2 4 2 2 2 3" xfId="25111" xr:uid="{00000000-0005-0000-0000-0000B46D0000}"/>
    <cellStyle name="40 % - Markeringsfarve4 2 2 4 2 2 2 4" xfId="40098" xr:uid="{00000000-0005-0000-0000-0000B56D0000}"/>
    <cellStyle name="40 % - Markeringsfarve4 2 2 4 2 2 3" xfId="12458" xr:uid="{00000000-0005-0000-0000-0000B66D0000}"/>
    <cellStyle name="40 % - Markeringsfarve4 2 2 4 2 2 3 2" xfId="28777" xr:uid="{00000000-0005-0000-0000-0000B76D0000}"/>
    <cellStyle name="40 % - Markeringsfarve4 2 2 4 2 2 3 3" xfId="43742" xr:uid="{00000000-0005-0000-0000-0000B86D0000}"/>
    <cellStyle name="40 % - Markeringsfarve4 2 2 4 2 2 4" xfId="21755" xr:uid="{00000000-0005-0000-0000-0000B96D0000}"/>
    <cellStyle name="40 % - Markeringsfarve4 2 2 4 2 2 5" xfId="36743" xr:uid="{00000000-0005-0000-0000-0000BA6D0000}"/>
    <cellStyle name="40 % - Markeringsfarve4 2 2 4 2 3" xfId="6454" xr:uid="{00000000-0005-0000-0000-0000BB6D0000}"/>
    <cellStyle name="40 % - Markeringsfarve4 2 2 4 2 3 2" xfId="14368" xr:uid="{00000000-0005-0000-0000-0000BC6D0000}"/>
    <cellStyle name="40 % - Markeringsfarve4 2 2 4 2 3 2 2" xfId="30682" xr:uid="{00000000-0005-0000-0000-0000BD6D0000}"/>
    <cellStyle name="40 % - Markeringsfarve4 2 2 4 2 3 2 3" xfId="45646" xr:uid="{00000000-0005-0000-0000-0000BE6D0000}"/>
    <cellStyle name="40 % - Markeringsfarve4 2 2 4 2 3 3" xfId="23660" xr:uid="{00000000-0005-0000-0000-0000BF6D0000}"/>
    <cellStyle name="40 % - Markeringsfarve4 2 2 4 2 3 4" xfId="38647" xr:uid="{00000000-0005-0000-0000-0000C06D0000}"/>
    <cellStyle name="40 % - Markeringsfarve4 2 2 4 2 4" xfId="12457" xr:uid="{00000000-0005-0000-0000-0000C16D0000}"/>
    <cellStyle name="40 % - Markeringsfarve4 2 2 4 2 4 2" xfId="28776" xr:uid="{00000000-0005-0000-0000-0000C26D0000}"/>
    <cellStyle name="40 % - Markeringsfarve4 2 2 4 2 4 3" xfId="43741" xr:uid="{00000000-0005-0000-0000-0000C36D0000}"/>
    <cellStyle name="40 % - Markeringsfarve4 2 2 4 2 5" xfId="21754" xr:uid="{00000000-0005-0000-0000-0000C46D0000}"/>
    <cellStyle name="40 % - Markeringsfarve4 2 2 4 2 6" xfId="36742" xr:uid="{00000000-0005-0000-0000-0000C56D0000}"/>
    <cellStyle name="40 % - Markeringsfarve4 2 2 4 3" xfId="3902" xr:uid="{00000000-0005-0000-0000-0000C66D0000}"/>
    <cellStyle name="40 % - Markeringsfarve4 2 2 4 3 2" xfId="7194" xr:uid="{00000000-0005-0000-0000-0000C76D0000}"/>
    <cellStyle name="40 % - Markeringsfarve4 2 2 4 3 2 2" xfId="15104" xr:uid="{00000000-0005-0000-0000-0000C86D0000}"/>
    <cellStyle name="40 % - Markeringsfarve4 2 2 4 3 2 2 2" xfId="31418" xr:uid="{00000000-0005-0000-0000-0000C96D0000}"/>
    <cellStyle name="40 % - Markeringsfarve4 2 2 4 3 2 2 3" xfId="46382" xr:uid="{00000000-0005-0000-0000-0000CA6D0000}"/>
    <cellStyle name="40 % - Markeringsfarve4 2 2 4 3 2 3" xfId="24396" xr:uid="{00000000-0005-0000-0000-0000CB6D0000}"/>
    <cellStyle name="40 % - Markeringsfarve4 2 2 4 3 2 4" xfId="39383" xr:uid="{00000000-0005-0000-0000-0000CC6D0000}"/>
    <cellStyle name="40 % - Markeringsfarve4 2 2 4 3 3" xfId="12459" xr:uid="{00000000-0005-0000-0000-0000CD6D0000}"/>
    <cellStyle name="40 % - Markeringsfarve4 2 2 4 3 3 2" xfId="28778" xr:uid="{00000000-0005-0000-0000-0000CE6D0000}"/>
    <cellStyle name="40 % - Markeringsfarve4 2 2 4 3 3 3" xfId="43743" xr:uid="{00000000-0005-0000-0000-0000CF6D0000}"/>
    <cellStyle name="40 % - Markeringsfarve4 2 2 4 3 4" xfId="21756" xr:uid="{00000000-0005-0000-0000-0000D06D0000}"/>
    <cellStyle name="40 % - Markeringsfarve4 2 2 4 3 5" xfId="36744" xr:uid="{00000000-0005-0000-0000-0000D16D0000}"/>
    <cellStyle name="40 % - Markeringsfarve4 2 2 4 4" xfId="3903" xr:uid="{00000000-0005-0000-0000-0000D26D0000}"/>
    <cellStyle name="40 % - Markeringsfarve4 2 2 4 4 2" xfId="8252" xr:uid="{00000000-0005-0000-0000-0000D36D0000}"/>
    <cellStyle name="40 % - Markeringsfarve4 2 2 4 4 2 2" xfId="16148" xr:uid="{00000000-0005-0000-0000-0000D46D0000}"/>
    <cellStyle name="40 % - Markeringsfarve4 2 2 4 4 2 2 2" xfId="32462" xr:uid="{00000000-0005-0000-0000-0000D56D0000}"/>
    <cellStyle name="40 % - Markeringsfarve4 2 2 4 4 2 2 3" xfId="47426" xr:uid="{00000000-0005-0000-0000-0000D66D0000}"/>
    <cellStyle name="40 % - Markeringsfarve4 2 2 4 4 2 3" xfId="25440" xr:uid="{00000000-0005-0000-0000-0000D76D0000}"/>
    <cellStyle name="40 % - Markeringsfarve4 2 2 4 4 2 4" xfId="40427" xr:uid="{00000000-0005-0000-0000-0000D86D0000}"/>
    <cellStyle name="40 % - Markeringsfarve4 2 2 4 4 3" xfId="12460" xr:uid="{00000000-0005-0000-0000-0000D96D0000}"/>
    <cellStyle name="40 % - Markeringsfarve4 2 2 4 4 3 2" xfId="28779" xr:uid="{00000000-0005-0000-0000-0000DA6D0000}"/>
    <cellStyle name="40 % - Markeringsfarve4 2 2 4 4 3 3" xfId="43744" xr:uid="{00000000-0005-0000-0000-0000DB6D0000}"/>
    <cellStyle name="40 % - Markeringsfarve4 2 2 4 4 4" xfId="21757" xr:uid="{00000000-0005-0000-0000-0000DC6D0000}"/>
    <cellStyle name="40 % - Markeringsfarve4 2 2 4 4 5" xfId="36745" xr:uid="{00000000-0005-0000-0000-0000DD6D0000}"/>
    <cellStyle name="40 % - Markeringsfarve4 2 2 4 5" xfId="5922" xr:uid="{00000000-0005-0000-0000-0000DE6D0000}"/>
    <cellStyle name="40 % - Markeringsfarve4 2 2 4 5 2" xfId="13840" xr:uid="{00000000-0005-0000-0000-0000DF6D0000}"/>
    <cellStyle name="40 % - Markeringsfarve4 2 2 4 5 2 2" xfId="30154" xr:uid="{00000000-0005-0000-0000-0000E06D0000}"/>
    <cellStyle name="40 % - Markeringsfarve4 2 2 4 5 2 3" xfId="45118" xr:uid="{00000000-0005-0000-0000-0000E16D0000}"/>
    <cellStyle name="40 % - Markeringsfarve4 2 2 4 5 3" xfId="23132" xr:uid="{00000000-0005-0000-0000-0000E26D0000}"/>
    <cellStyle name="40 % - Markeringsfarve4 2 2 4 5 4" xfId="38119" xr:uid="{00000000-0005-0000-0000-0000E36D0000}"/>
    <cellStyle name="40 % - Markeringsfarve4 2 2 4 6" xfId="12456" xr:uid="{00000000-0005-0000-0000-0000E46D0000}"/>
    <cellStyle name="40 % - Markeringsfarve4 2 2 4 6 2" xfId="28775" xr:uid="{00000000-0005-0000-0000-0000E56D0000}"/>
    <cellStyle name="40 % - Markeringsfarve4 2 2 4 6 3" xfId="43740" xr:uid="{00000000-0005-0000-0000-0000E66D0000}"/>
    <cellStyle name="40 % - Markeringsfarve4 2 2 4 7" xfId="21753" xr:uid="{00000000-0005-0000-0000-0000E76D0000}"/>
    <cellStyle name="40 % - Markeringsfarve4 2 2 4 8" xfId="36741" xr:uid="{00000000-0005-0000-0000-0000E86D0000}"/>
    <cellStyle name="40 % - Markeringsfarve4 2 2 5" xfId="3904" xr:uid="{00000000-0005-0000-0000-0000E96D0000}"/>
    <cellStyle name="40 % - Markeringsfarve4 2 2 5 2" xfId="3905" xr:uid="{00000000-0005-0000-0000-0000EA6D0000}"/>
    <cellStyle name="40 % - Markeringsfarve4 2 2 5 2 2" xfId="3906" xr:uid="{00000000-0005-0000-0000-0000EB6D0000}"/>
    <cellStyle name="40 % - Markeringsfarve4 2 2 5 2 2 2" xfId="8035" xr:uid="{00000000-0005-0000-0000-0000EC6D0000}"/>
    <cellStyle name="40 % - Markeringsfarve4 2 2 5 2 2 2 2" xfId="15936" xr:uid="{00000000-0005-0000-0000-0000ED6D0000}"/>
    <cellStyle name="40 % - Markeringsfarve4 2 2 5 2 2 2 2 2" xfId="32250" xr:uid="{00000000-0005-0000-0000-0000EE6D0000}"/>
    <cellStyle name="40 % - Markeringsfarve4 2 2 5 2 2 2 2 3" xfId="47214" xr:uid="{00000000-0005-0000-0000-0000EF6D0000}"/>
    <cellStyle name="40 % - Markeringsfarve4 2 2 5 2 2 2 3" xfId="25228" xr:uid="{00000000-0005-0000-0000-0000F06D0000}"/>
    <cellStyle name="40 % - Markeringsfarve4 2 2 5 2 2 2 4" xfId="40215" xr:uid="{00000000-0005-0000-0000-0000F16D0000}"/>
    <cellStyle name="40 % - Markeringsfarve4 2 2 5 2 2 3" xfId="12463" xr:uid="{00000000-0005-0000-0000-0000F26D0000}"/>
    <cellStyle name="40 % - Markeringsfarve4 2 2 5 2 2 3 2" xfId="28782" xr:uid="{00000000-0005-0000-0000-0000F36D0000}"/>
    <cellStyle name="40 % - Markeringsfarve4 2 2 5 2 2 3 3" xfId="43747" xr:uid="{00000000-0005-0000-0000-0000F46D0000}"/>
    <cellStyle name="40 % - Markeringsfarve4 2 2 5 2 2 4" xfId="21760" xr:uid="{00000000-0005-0000-0000-0000F56D0000}"/>
    <cellStyle name="40 % - Markeringsfarve4 2 2 5 2 2 5" xfId="36748" xr:uid="{00000000-0005-0000-0000-0000F66D0000}"/>
    <cellStyle name="40 % - Markeringsfarve4 2 2 5 2 3" xfId="6553" xr:uid="{00000000-0005-0000-0000-0000F76D0000}"/>
    <cellStyle name="40 % - Markeringsfarve4 2 2 5 2 3 2" xfId="14467" xr:uid="{00000000-0005-0000-0000-0000F86D0000}"/>
    <cellStyle name="40 % - Markeringsfarve4 2 2 5 2 3 2 2" xfId="30781" xr:uid="{00000000-0005-0000-0000-0000F96D0000}"/>
    <cellStyle name="40 % - Markeringsfarve4 2 2 5 2 3 2 3" xfId="45745" xr:uid="{00000000-0005-0000-0000-0000FA6D0000}"/>
    <cellStyle name="40 % - Markeringsfarve4 2 2 5 2 3 3" xfId="23759" xr:uid="{00000000-0005-0000-0000-0000FB6D0000}"/>
    <cellStyle name="40 % - Markeringsfarve4 2 2 5 2 3 4" xfId="38746" xr:uid="{00000000-0005-0000-0000-0000FC6D0000}"/>
    <cellStyle name="40 % - Markeringsfarve4 2 2 5 2 4" xfId="12462" xr:uid="{00000000-0005-0000-0000-0000FD6D0000}"/>
    <cellStyle name="40 % - Markeringsfarve4 2 2 5 2 4 2" xfId="28781" xr:uid="{00000000-0005-0000-0000-0000FE6D0000}"/>
    <cellStyle name="40 % - Markeringsfarve4 2 2 5 2 4 3" xfId="43746" xr:uid="{00000000-0005-0000-0000-0000FF6D0000}"/>
    <cellStyle name="40 % - Markeringsfarve4 2 2 5 2 5" xfId="21759" xr:uid="{00000000-0005-0000-0000-0000006E0000}"/>
    <cellStyle name="40 % - Markeringsfarve4 2 2 5 2 6" xfId="36747" xr:uid="{00000000-0005-0000-0000-0000016E0000}"/>
    <cellStyle name="40 % - Markeringsfarve4 2 2 5 3" xfId="3907" xr:uid="{00000000-0005-0000-0000-0000026E0000}"/>
    <cellStyle name="40 % - Markeringsfarve4 2 2 5 3 2" xfId="7311" xr:uid="{00000000-0005-0000-0000-0000036E0000}"/>
    <cellStyle name="40 % - Markeringsfarve4 2 2 5 3 2 2" xfId="15221" xr:uid="{00000000-0005-0000-0000-0000046E0000}"/>
    <cellStyle name="40 % - Markeringsfarve4 2 2 5 3 2 2 2" xfId="31535" xr:uid="{00000000-0005-0000-0000-0000056E0000}"/>
    <cellStyle name="40 % - Markeringsfarve4 2 2 5 3 2 2 3" xfId="46499" xr:uid="{00000000-0005-0000-0000-0000066E0000}"/>
    <cellStyle name="40 % - Markeringsfarve4 2 2 5 3 2 3" xfId="24513" xr:uid="{00000000-0005-0000-0000-0000076E0000}"/>
    <cellStyle name="40 % - Markeringsfarve4 2 2 5 3 2 4" xfId="39500" xr:uid="{00000000-0005-0000-0000-0000086E0000}"/>
    <cellStyle name="40 % - Markeringsfarve4 2 2 5 3 3" xfId="12464" xr:uid="{00000000-0005-0000-0000-0000096E0000}"/>
    <cellStyle name="40 % - Markeringsfarve4 2 2 5 3 3 2" xfId="28783" xr:uid="{00000000-0005-0000-0000-00000A6E0000}"/>
    <cellStyle name="40 % - Markeringsfarve4 2 2 5 3 3 3" xfId="43748" xr:uid="{00000000-0005-0000-0000-00000B6E0000}"/>
    <cellStyle name="40 % - Markeringsfarve4 2 2 5 3 4" xfId="21761" xr:uid="{00000000-0005-0000-0000-00000C6E0000}"/>
    <cellStyle name="40 % - Markeringsfarve4 2 2 5 3 5" xfId="36749" xr:uid="{00000000-0005-0000-0000-00000D6E0000}"/>
    <cellStyle name="40 % - Markeringsfarve4 2 2 5 4" xfId="3908" xr:uid="{00000000-0005-0000-0000-00000E6E0000}"/>
    <cellStyle name="40 % - Markeringsfarve4 2 2 5 4 2" xfId="8205" xr:uid="{00000000-0005-0000-0000-00000F6E0000}"/>
    <cellStyle name="40 % - Markeringsfarve4 2 2 5 4 2 2" xfId="16103" xr:uid="{00000000-0005-0000-0000-0000106E0000}"/>
    <cellStyle name="40 % - Markeringsfarve4 2 2 5 4 2 2 2" xfId="32417" xr:uid="{00000000-0005-0000-0000-0000116E0000}"/>
    <cellStyle name="40 % - Markeringsfarve4 2 2 5 4 2 2 3" xfId="47381" xr:uid="{00000000-0005-0000-0000-0000126E0000}"/>
    <cellStyle name="40 % - Markeringsfarve4 2 2 5 4 2 3" xfId="25395" xr:uid="{00000000-0005-0000-0000-0000136E0000}"/>
    <cellStyle name="40 % - Markeringsfarve4 2 2 5 4 2 4" xfId="40382" xr:uid="{00000000-0005-0000-0000-0000146E0000}"/>
    <cellStyle name="40 % - Markeringsfarve4 2 2 5 4 3" xfId="12465" xr:uid="{00000000-0005-0000-0000-0000156E0000}"/>
    <cellStyle name="40 % - Markeringsfarve4 2 2 5 4 3 2" xfId="28784" xr:uid="{00000000-0005-0000-0000-0000166E0000}"/>
    <cellStyle name="40 % - Markeringsfarve4 2 2 5 4 3 3" xfId="43749" xr:uid="{00000000-0005-0000-0000-0000176E0000}"/>
    <cellStyle name="40 % - Markeringsfarve4 2 2 5 4 4" xfId="21762" xr:uid="{00000000-0005-0000-0000-0000186E0000}"/>
    <cellStyle name="40 % - Markeringsfarve4 2 2 5 4 5" xfId="36750" xr:uid="{00000000-0005-0000-0000-0000196E0000}"/>
    <cellStyle name="40 % - Markeringsfarve4 2 2 5 5" xfId="5923" xr:uid="{00000000-0005-0000-0000-00001A6E0000}"/>
    <cellStyle name="40 % - Markeringsfarve4 2 2 5 5 2" xfId="13841" xr:uid="{00000000-0005-0000-0000-00001B6E0000}"/>
    <cellStyle name="40 % - Markeringsfarve4 2 2 5 5 2 2" xfId="30155" xr:uid="{00000000-0005-0000-0000-00001C6E0000}"/>
    <cellStyle name="40 % - Markeringsfarve4 2 2 5 5 2 3" xfId="45119" xr:uid="{00000000-0005-0000-0000-00001D6E0000}"/>
    <cellStyle name="40 % - Markeringsfarve4 2 2 5 5 3" xfId="23133" xr:uid="{00000000-0005-0000-0000-00001E6E0000}"/>
    <cellStyle name="40 % - Markeringsfarve4 2 2 5 5 4" xfId="38120" xr:uid="{00000000-0005-0000-0000-00001F6E0000}"/>
    <cellStyle name="40 % - Markeringsfarve4 2 2 5 6" xfId="12461" xr:uid="{00000000-0005-0000-0000-0000206E0000}"/>
    <cellStyle name="40 % - Markeringsfarve4 2 2 5 6 2" xfId="28780" xr:uid="{00000000-0005-0000-0000-0000216E0000}"/>
    <cellStyle name="40 % - Markeringsfarve4 2 2 5 6 3" xfId="43745" xr:uid="{00000000-0005-0000-0000-0000226E0000}"/>
    <cellStyle name="40 % - Markeringsfarve4 2 2 5 7" xfId="21758" xr:uid="{00000000-0005-0000-0000-0000236E0000}"/>
    <cellStyle name="40 % - Markeringsfarve4 2 2 5 8" xfId="36746" xr:uid="{00000000-0005-0000-0000-0000246E0000}"/>
    <cellStyle name="40 % - Markeringsfarve4 2 2 6" xfId="3909" xr:uid="{00000000-0005-0000-0000-0000256E0000}"/>
    <cellStyle name="40 % - Markeringsfarve4 2 2 6 2" xfId="3910" xr:uid="{00000000-0005-0000-0000-0000266E0000}"/>
    <cellStyle name="40 % - Markeringsfarve4 2 2 6 2 2" xfId="3911" xr:uid="{00000000-0005-0000-0000-0000276E0000}"/>
    <cellStyle name="40 % - Markeringsfarve4 2 2 6 2 2 2" xfId="8163" xr:uid="{00000000-0005-0000-0000-0000286E0000}"/>
    <cellStyle name="40 % - Markeringsfarve4 2 2 6 2 2 2 2" xfId="16064" xr:uid="{00000000-0005-0000-0000-0000296E0000}"/>
    <cellStyle name="40 % - Markeringsfarve4 2 2 6 2 2 2 2 2" xfId="32378" xr:uid="{00000000-0005-0000-0000-00002A6E0000}"/>
    <cellStyle name="40 % - Markeringsfarve4 2 2 6 2 2 2 2 3" xfId="47342" xr:uid="{00000000-0005-0000-0000-00002B6E0000}"/>
    <cellStyle name="40 % - Markeringsfarve4 2 2 6 2 2 2 3" xfId="25356" xr:uid="{00000000-0005-0000-0000-00002C6E0000}"/>
    <cellStyle name="40 % - Markeringsfarve4 2 2 6 2 2 2 4" xfId="40343" xr:uid="{00000000-0005-0000-0000-00002D6E0000}"/>
    <cellStyle name="40 % - Markeringsfarve4 2 2 6 2 2 3" xfId="12468" xr:uid="{00000000-0005-0000-0000-00002E6E0000}"/>
    <cellStyle name="40 % - Markeringsfarve4 2 2 6 2 2 3 2" xfId="28787" xr:uid="{00000000-0005-0000-0000-00002F6E0000}"/>
    <cellStyle name="40 % - Markeringsfarve4 2 2 6 2 2 3 3" xfId="43752" xr:uid="{00000000-0005-0000-0000-0000306E0000}"/>
    <cellStyle name="40 % - Markeringsfarve4 2 2 6 2 2 4" xfId="21765" xr:uid="{00000000-0005-0000-0000-0000316E0000}"/>
    <cellStyle name="40 % - Markeringsfarve4 2 2 6 2 2 5" xfId="36753" xr:uid="{00000000-0005-0000-0000-0000326E0000}"/>
    <cellStyle name="40 % - Markeringsfarve4 2 2 6 2 3" xfId="6656" xr:uid="{00000000-0005-0000-0000-0000336E0000}"/>
    <cellStyle name="40 % - Markeringsfarve4 2 2 6 2 3 2" xfId="14570" xr:uid="{00000000-0005-0000-0000-0000346E0000}"/>
    <cellStyle name="40 % - Markeringsfarve4 2 2 6 2 3 2 2" xfId="30884" xr:uid="{00000000-0005-0000-0000-0000356E0000}"/>
    <cellStyle name="40 % - Markeringsfarve4 2 2 6 2 3 2 3" xfId="45848" xr:uid="{00000000-0005-0000-0000-0000366E0000}"/>
    <cellStyle name="40 % - Markeringsfarve4 2 2 6 2 3 3" xfId="23862" xr:uid="{00000000-0005-0000-0000-0000376E0000}"/>
    <cellStyle name="40 % - Markeringsfarve4 2 2 6 2 3 4" xfId="38849" xr:uid="{00000000-0005-0000-0000-0000386E0000}"/>
    <cellStyle name="40 % - Markeringsfarve4 2 2 6 2 4" xfId="12467" xr:uid="{00000000-0005-0000-0000-0000396E0000}"/>
    <cellStyle name="40 % - Markeringsfarve4 2 2 6 2 4 2" xfId="28786" xr:uid="{00000000-0005-0000-0000-00003A6E0000}"/>
    <cellStyle name="40 % - Markeringsfarve4 2 2 6 2 4 3" xfId="43751" xr:uid="{00000000-0005-0000-0000-00003B6E0000}"/>
    <cellStyle name="40 % - Markeringsfarve4 2 2 6 2 5" xfId="21764" xr:uid="{00000000-0005-0000-0000-00003C6E0000}"/>
    <cellStyle name="40 % - Markeringsfarve4 2 2 6 2 6" xfId="36752" xr:uid="{00000000-0005-0000-0000-00003D6E0000}"/>
    <cellStyle name="40 % - Markeringsfarve4 2 2 6 3" xfId="3912" xr:uid="{00000000-0005-0000-0000-00003E6E0000}"/>
    <cellStyle name="40 % - Markeringsfarve4 2 2 6 3 2" xfId="7440" xr:uid="{00000000-0005-0000-0000-00003F6E0000}"/>
    <cellStyle name="40 % - Markeringsfarve4 2 2 6 3 2 2" xfId="15350" xr:uid="{00000000-0005-0000-0000-0000406E0000}"/>
    <cellStyle name="40 % - Markeringsfarve4 2 2 6 3 2 2 2" xfId="31664" xr:uid="{00000000-0005-0000-0000-0000416E0000}"/>
    <cellStyle name="40 % - Markeringsfarve4 2 2 6 3 2 2 3" xfId="46628" xr:uid="{00000000-0005-0000-0000-0000426E0000}"/>
    <cellStyle name="40 % - Markeringsfarve4 2 2 6 3 2 3" xfId="24642" xr:uid="{00000000-0005-0000-0000-0000436E0000}"/>
    <cellStyle name="40 % - Markeringsfarve4 2 2 6 3 2 4" xfId="39629" xr:uid="{00000000-0005-0000-0000-0000446E0000}"/>
    <cellStyle name="40 % - Markeringsfarve4 2 2 6 3 3" xfId="12469" xr:uid="{00000000-0005-0000-0000-0000456E0000}"/>
    <cellStyle name="40 % - Markeringsfarve4 2 2 6 3 3 2" xfId="28788" xr:uid="{00000000-0005-0000-0000-0000466E0000}"/>
    <cellStyle name="40 % - Markeringsfarve4 2 2 6 3 3 3" xfId="43753" xr:uid="{00000000-0005-0000-0000-0000476E0000}"/>
    <cellStyle name="40 % - Markeringsfarve4 2 2 6 3 4" xfId="21766" xr:uid="{00000000-0005-0000-0000-0000486E0000}"/>
    <cellStyle name="40 % - Markeringsfarve4 2 2 6 3 5" xfId="36754" xr:uid="{00000000-0005-0000-0000-0000496E0000}"/>
    <cellStyle name="40 % - Markeringsfarve4 2 2 6 4" xfId="3913" xr:uid="{00000000-0005-0000-0000-00004A6E0000}"/>
    <cellStyle name="40 % - Markeringsfarve4 2 2 6 4 2" xfId="8546" xr:uid="{00000000-0005-0000-0000-00004B6E0000}"/>
    <cellStyle name="40 % - Markeringsfarve4 2 2 6 4 2 2" xfId="16434" xr:uid="{00000000-0005-0000-0000-00004C6E0000}"/>
    <cellStyle name="40 % - Markeringsfarve4 2 2 6 4 2 2 2" xfId="32748" xr:uid="{00000000-0005-0000-0000-00004D6E0000}"/>
    <cellStyle name="40 % - Markeringsfarve4 2 2 6 4 2 2 3" xfId="47712" xr:uid="{00000000-0005-0000-0000-00004E6E0000}"/>
    <cellStyle name="40 % - Markeringsfarve4 2 2 6 4 2 3" xfId="25726" xr:uid="{00000000-0005-0000-0000-00004F6E0000}"/>
    <cellStyle name="40 % - Markeringsfarve4 2 2 6 4 2 4" xfId="40713" xr:uid="{00000000-0005-0000-0000-0000506E0000}"/>
    <cellStyle name="40 % - Markeringsfarve4 2 2 6 4 3" xfId="12470" xr:uid="{00000000-0005-0000-0000-0000516E0000}"/>
    <cellStyle name="40 % - Markeringsfarve4 2 2 6 4 3 2" xfId="28789" xr:uid="{00000000-0005-0000-0000-0000526E0000}"/>
    <cellStyle name="40 % - Markeringsfarve4 2 2 6 4 3 3" xfId="43754" xr:uid="{00000000-0005-0000-0000-0000536E0000}"/>
    <cellStyle name="40 % - Markeringsfarve4 2 2 6 4 4" xfId="21767" xr:uid="{00000000-0005-0000-0000-0000546E0000}"/>
    <cellStyle name="40 % - Markeringsfarve4 2 2 6 4 5" xfId="36755" xr:uid="{00000000-0005-0000-0000-0000556E0000}"/>
    <cellStyle name="40 % - Markeringsfarve4 2 2 6 5" xfId="5924" xr:uid="{00000000-0005-0000-0000-0000566E0000}"/>
    <cellStyle name="40 % - Markeringsfarve4 2 2 6 5 2" xfId="13842" xr:uid="{00000000-0005-0000-0000-0000576E0000}"/>
    <cellStyle name="40 % - Markeringsfarve4 2 2 6 5 2 2" xfId="30156" xr:uid="{00000000-0005-0000-0000-0000586E0000}"/>
    <cellStyle name="40 % - Markeringsfarve4 2 2 6 5 2 3" xfId="45120" xr:uid="{00000000-0005-0000-0000-0000596E0000}"/>
    <cellStyle name="40 % - Markeringsfarve4 2 2 6 5 3" xfId="23134" xr:uid="{00000000-0005-0000-0000-00005A6E0000}"/>
    <cellStyle name="40 % - Markeringsfarve4 2 2 6 5 4" xfId="38121" xr:uid="{00000000-0005-0000-0000-00005B6E0000}"/>
    <cellStyle name="40 % - Markeringsfarve4 2 2 6 6" xfId="12466" xr:uid="{00000000-0005-0000-0000-00005C6E0000}"/>
    <cellStyle name="40 % - Markeringsfarve4 2 2 6 6 2" xfId="28785" xr:uid="{00000000-0005-0000-0000-00005D6E0000}"/>
    <cellStyle name="40 % - Markeringsfarve4 2 2 6 6 3" xfId="43750" xr:uid="{00000000-0005-0000-0000-00005E6E0000}"/>
    <cellStyle name="40 % - Markeringsfarve4 2 2 6 7" xfId="21763" xr:uid="{00000000-0005-0000-0000-00005F6E0000}"/>
    <cellStyle name="40 % - Markeringsfarve4 2 2 6 8" xfId="36751" xr:uid="{00000000-0005-0000-0000-0000606E0000}"/>
    <cellStyle name="40 % - Markeringsfarve4 2 2 7" xfId="3914" xr:uid="{00000000-0005-0000-0000-0000616E0000}"/>
    <cellStyle name="40 % - Markeringsfarve4 2 2 7 2" xfId="3915" xr:uid="{00000000-0005-0000-0000-0000626E0000}"/>
    <cellStyle name="40 % - Markeringsfarve4 2 2 7 2 2" xfId="7561" xr:uid="{00000000-0005-0000-0000-0000636E0000}"/>
    <cellStyle name="40 % - Markeringsfarve4 2 2 7 2 2 2" xfId="15462" xr:uid="{00000000-0005-0000-0000-0000646E0000}"/>
    <cellStyle name="40 % - Markeringsfarve4 2 2 7 2 2 2 2" xfId="31776" xr:uid="{00000000-0005-0000-0000-0000656E0000}"/>
    <cellStyle name="40 % - Markeringsfarve4 2 2 7 2 2 2 3" xfId="46740" xr:uid="{00000000-0005-0000-0000-0000666E0000}"/>
    <cellStyle name="40 % - Markeringsfarve4 2 2 7 2 2 3" xfId="24754" xr:uid="{00000000-0005-0000-0000-0000676E0000}"/>
    <cellStyle name="40 % - Markeringsfarve4 2 2 7 2 2 4" xfId="39741" xr:uid="{00000000-0005-0000-0000-0000686E0000}"/>
    <cellStyle name="40 % - Markeringsfarve4 2 2 7 2 3" xfId="12472" xr:uid="{00000000-0005-0000-0000-0000696E0000}"/>
    <cellStyle name="40 % - Markeringsfarve4 2 2 7 2 3 2" xfId="28791" xr:uid="{00000000-0005-0000-0000-00006A6E0000}"/>
    <cellStyle name="40 % - Markeringsfarve4 2 2 7 2 3 3" xfId="43756" xr:uid="{00000000-0005-0000-0000-00006B6E0000}"/>
    <cellStyle name="40 % - Markeringsfarve4 2 2 7 2 4" xfId="21769" xr:uid="{00000000-0005-0000-0000-00006C6E0000}"/>
    <cellStyle name="40 % - Markeringsfarve4 2 2 7 2 5" xfId="36757" xr:uid="{00000000-0005-0000-0000-00006D6E0000}"/>
    <cellStyle name="40 % - Markeringsfarve4 2 2 7 3" xfId="6153" xr:uid="{00000000-0005-0000-0000-00006E6E0000}"/>
    <cellStyle name="40 % - Markeringsfarve4 2 2 7 3 2" xfId="14070" xr:uid="{00000000-0005-0000-0000-00006F6E0000}"/>
    <cellStyle name="40 % - Markeringsfarve4 2 2 7 3 2 2" xfId="30384" xr:uid="{00000000-0005-0000-0000-0000706E0000}"/>
    <cellStyle name="40 % - Markeringsfarve4 2 2 7 3 2 3" xfId="45348" xr:uid="{00000000-0005-0000-0000-0000716E0000}"/>
    <cellStyle name="40 % - Markeringsfarve4 2 2 7 3 3" xfId="23362" xr:uid="{00000000-0005-0000-0000-0000726E0000}"/>
    <cellStyle name="40 % - Markeringsfarve4 2 2 7 3 4" xfId="38349" xr:uid="{00000000-0005-0000-0000-0000736E0000}"/>
    <cellStyle name="40 % - Markeringsfarve4 2 2 7 4" xfId="12471" xr:uid="{00000000-0005-0000-0000-0000746E0000}"/>
    <cellStyle name="40 % - Markeringsfarve4 2 2 7 4 2" xfId="28790" xr:uid="{00000000-0005-0000-0000-0000756E0000}"/>
    <cellStyle name="40 % - Markeringsfarve4 2 2 7 4 3" xfId="43755" xr:uid="{00000000-0005-0000-0000-0000766E0000}"/>
    <cellStyle name="40 % - Markeringsfarve4 2 2 7 5" xfId="21768" xr:uid="{00000000-0005-0000-0000-0000776E0000}"/>
    <cellStyle name="40 % - Markeringsfarve4 2 2 7 6" xfId="36756" xr:uid="{00000000-0005-0000-0000-0000786E0000}"/>
    <cellStyle name="40 % - Markeringsfarve4 2 2 8" xfId="3916" xr:uid="{00000000-0005-0000-0000-0000796E0000}"/>
    <cellStyle name="40 % - Markeringsfarve4 2 2 8 2" xfId="6789" xr:uid="{00000000-0005-0000-0000-00007A6E0000}"/>
    <cellStyle name="40 % - Markeringsfarve4 2 2 8 2 2" xfId="14700" xr:uid="{00000000-0005-0000-0000-00007B6E0000}"/>
    <cellStyle name="40 % - Markeringsfarve4 2 2 8 2 2 2" xfId="31014" xr:uid="{00000000-0005-0000-0000-00007C6E0000}"/>
    <cellStyle name="40 % - Markeringsfarve4 2 2 8 2 2 3" xfId="45978" xr:uid="{00000000-0005-0000-0000-00007D6E0000}"/>
    <cellStyle name="40 % - Markeringsfarve4 2 2 8 2 3" xfId="23992" xr:uid="{00000000-0005-0000-0000-00007E6E0000}"/>
    <cellStyle name="40 % - Markeringsfarve4 2 2 8 2 4" xfId="38979" xr:uid="{00000000-0005-0000-0000-00007F6E0000}"/>
    <cellStyle name="40 % - Markeringsfarve4 2 2 8 3" xfId="12473" xr:uid="{00000000-0005-0000-0000-0000806E0000}"/>
    <cellStyle name="40 % - Markeringsfarve4 2 2 8 3 2" xfId="28792" xr:uid="{00000000-0005-0000-0000-0000816E0000}"/>
    <cellStyle name="40 % - Markeringsfarve4 2 2 8 3 3" xfId="43757" xr:uid="{00000000-0005-0000-0000-0000826E0000}"/>
    <cellStyle name="40 % - Markeringsfarve4 2 2 8 4" xfId="21770" xr:uid="{00000000-0005-0000-0000-0000836E0000}"/>
    <cellStyle name="40 % - Markeringsfarve4 2 2 8 5" xfId="36758" xr:uid="{00000000-0005-0000-0000-0000846E0000}"/>
    <cellStyle name="40 % - Markeringsfarve4 2 2 9" xfId="3917" xr:uid="{00000000-0005-0000-0000-0000856E0000}"/>
    <cellStyle name="40 % - Markeringsfarve4 2 2 9 2" xfId="8636" xr:uid="{00000000-0005-0000-0000-0000866E0000}"/>
    <cellStyle name="40 % - Markeringsfarve4 2 2 9 2 2" xfId="16519" xr:uid="{00000000-0005-0000-0000-0000876E0000}"/>
    <cellStyle name="40 % - Markeringsfarve4 2 2 9 2 2 2" xfId="32833" xr:uid="{00000000-0005-0000-0000-0000886E0000}"/>
    <cellStyle name="40 % - Markeringsfarve4 2 2 9 2 2 3" xfId="47797" xr:uid="{00000000-0005-0000-0000-0000896E0000}"/>
    <cellStyle name="40 % - Markeringsfarve4 2 2 9 2 3" xfId="25811" xr:uid="{00000000-0005-0000-0000-00008A6E0000}"/>
    <cellStyle name="40 % - Markeringsfarve4 2 2 9 2 4" xfId="40798" xr:uid="{00000000-0005-0000-0000-00008B6E0000}"/>
    <cellStyle name="40 % - Markeringsfarve4 2 2 9 3" xfId="12474" xr:uid="{00000000-0005-0000-0000-00008C6E0000}"/>
    <cellStyle name="40 % - Markeringsfarve4 2 2 9 3 2" xfId="28793" xr:uid="{00000000-0005-0000-0000-00008D6E0000}"/>
    <cellStyle name="40 % - Markeringsfarve4 2 2 9 3 3" xfId="43758" xr:uid="{00000000-0005-0000-0000-00008E6E0000}"/>
    <cellStyle name="40 % - Markeringsfarve4 2 2 9 4" xfId="21771" xr:uid="{00000000-0005-0000-0000-00008F6E0000}"/>
    <cellStyle name="40 % - Markeringsfarve4 2 2 9 5" xfId="36759" xr:uid="{00000000-0005-0000-0000-0000906E0000}"/>
    <cellStyle name="40 % - Markeringsfarve4 2 3" xfId="3918" xr:uid="{00000000-0005-0000-0000-0000916E0000}"/>
    <cellStyle name="40 % - Markeringsfarve4 2 3 10" xfId="5925" xr:uid="{00000000-0005-0000-0000-0000926E0000}"/>
    <cellStyle name="40 % - Markeringsfarve4 2 3 10 2" xfId="13843" xr:uid="{00000000-0005-0000-0000-0000936E0000}"/>
    <cellStyle name="40 % - Markeringsfarve4 2 3 10 2 2" xfId="30157" xr:uid="{00000000-0005-0000-0000-0000946E0000}"/>
    <cellStyle name="40 % - Markeringsfarve4 2 3 10 2 3" xfId="45121" xr:uid="{00000000-0005-0000-0000-0000956E0000}"/>
    <cellStyle name="40 % - Markeringsfarve4 2 3 10 3" xfId="23135" xr:uid="{00000000-0005-0000-0000-0000966E0000}"/>
    <cellStyle name="40 % - Markeringsfarve4 2 3 10 4" xfId="38122" xr:uid="{00000000-0005-0000-0000-0000976E0000}"/>
    <cellStyle name="40 % - Markeringsfarve4 2 3 11" xfId="12475" xr:uid="{00000000-0005-0000-0000-0000986E0000}"/>
    <cellStyle name="40 % - Markeringsfarve4 2 3 11 2" xfId="28794" xr:uid="{00000000-0005-0000-0000-0000996E0000}"/>
    <cellStyle name="40 % - Markeringsfarve4 2 3 11 3" xfId="43759" xr:uid="{00000000-0005-0000-0000-00009A6E0000}"/>
    <cellStyle name="40 % - Markeringsfarve4 2 3 12" xfId="21772" xr:uid="{00000000-0005-0000-0000-00009B6E0000}"/>
    <cellStyle name="40 % - Markeringsfarve4 2 3 13" xfId="36760" xr:uid="{00000000-0005-0000-0000-00009C6E0000}"/>
    <cellStyle name="40 % - Markeringsfarve4 2 3 14" xfId="53387" xr:uid="{00000000-0005-0000-0000-00009D6E0000}"/>
    <cellStyle name="40 % - Markeringsfarve4 2 3 2" xfId="3919" xr:uid="{00000000-0005-0000-0000-00009E6E0000}"/>
    <cellStyle name="40 % - Markeringsfarve4 2 3 2 2" xfId="3920" xr:uid="{00000000-0005-0000-0000-00009F6E0000}"/>
    <cellStyle name="40 % - Markeringsfarve4 2 3 2 2 2" xfId="3921" xr:uid="{00000000-0005-0000-0000-0000A06E0000}"/>
    <cellStyle name="40 % - Markeringsfarve4 2 3 2 2 2 2" xfId="7719" xr:uid="{00000000-0005-0000-0000-0000A16E0000}"/>
    <cellStyle name="40 % - Markeringsfarve4 2 3 2 2 2 2 2" xfId="15620" xr:uid="{00000000-0005-0000-0000-0000A26E0000}"/>
    <cellStyle name="40 % - Markeringsfarve4 2 3 2 2 2 2 2 2" xfId="31934" xr:uid="{00000000-0005-0000-0000-0000A36E0000}"/>
    <cellStyle name="40 % - Markeringsfarve4 2 3 2 2 2 2 2 3" xfId="46898" xr:uid="{00000000-0005-0000-0000-0000A46E0000}"/>
    <cellStyle name="40 % - Markeringsfarve4 2 3 2 2 2 2 3" xfId="24912" xr:uid="{00000000-0005-0000-0000-0000A56E0000}"/>
    <cellStyle name="40 % - Markeringsfarve4 2 3 2 2 2 2 4" xfId="39899" xr:uid="{00000000-0005-0000-0000-0000A66E0000}"/>
    <cellStyle name="40 % - Markeringsfarve4 2 3 2 2 2 3" xfId="12478" xr:uid="{00000000-0005-0000-0000-0000A76E0000}"/>
    <cellStyle name="40 % - Markeringsfarve4 2 3 2 2 2 3 2" xfId="28797" xr:uid="{00000000-0005-0000-0000-0000A86E0000}"/>
    <cellStyle name="40 % - Markeringsfarve4 2 3 2 2 2 3 3" xfId="43762" xr:uid="{00000000-0005-0000-0000-0000A96E0000}"/>
    <cellStyle name="40 % - Markeringsfarve4 2 3 2 2 2 4" xfId="21775" xr:uid="{00000000-0005-0000-0000-0000AA6E0000}"/>
    <cellStyle name="40 % - Markeringsfarve4 2 3 2 2 2 5" xfId="36763" xr:uid="{00000000-0005-0000-0000-0000AB6E0000}"/>
    <cellStyle name="40 % - Markeringsfarve4 2 3 2 2 3" xfId="6285" xr:uid="{00000000-0005-0000-0000-0000AC6E0000}"/>
    <cellStyle name="40 % - Markeringsfarve4 2 3 2 2 3 2" xfId="14202" xr:uid="{00000000-0005-0000-0000-0000AD6E0000}"/>
    <cellStyle name="40 % - Markeringsfarve4 2 3 2 2 3 2 2" xfId="30516" xr:uid="{00000000-0005-0000-0000-0000AE6E0000}"/>
    <cellStyle name="40 % - Markeringsfarve4 2 3 2 2 3 2 3" xfId="45480" xr:uid="{00000000-0005-0000-0000-0000AF6E0000}"/>
    <cellStyle name="40 % - Markeringsfarve4 2 3 2 2 3 3" xfId="23494" xr:uid="{00000000-0005-0000-0000-0000B06E0000}"/>
    <cellStyle name="40 % - Markeringsfarve4 2 3 2 2 3 4" xfId="38481" xr:uid="{00000000-0005-0000-0000-0000B16E0000}"/>
    <cellStyle name="40 % - Markeringsfarve4 2 3 2 2 4" xfId="12477" xr:uid="{00000000-0005-0000-0000-0000B26E0000}"/>
    <cellStyle name="40 % - Markeringsfarve4 2 3 2 2 4 2" xfId="28796" xr:uid="{00000000-0005-0000-0000-0000B36E0000}"/>
    <cellStyle name="40 % - Markeringsfarve4 2 3 2 2 4 3" xfId="43761" xr:uid="{00000000-0005-0000-0000-0000B46E0000}"/>
    <cellStyle name="40 % - Markeringsfarve4 2 3 2 2 5" xfId="21774" xr:uid="{00000000-0005-0000-0000-0000B56E0000}"/>
    <cellStyle name="40 % - Markeringsfarve4 2 3 2 2 6" xfId="36762" xr:uid="{00000000-0005-0000-0000-0000B66E0000}"/>
    <cellStyle name="40 % - Markeringsfarve4 2 3 2 2 7" xfId="57191" xr:uid="{00000000-0005-0000-0000-0000B76E0000}"/>
    <cellStyle name="40 % - Markeringsfarve4 2 3 2 3" xfId="3922" xr:uid="{00000000-0005-0000-0000-0000B86E0000}"/>
    <cellStyle name="40 % - Markeringsfarve4 2 3 2 3 2" xfId="6949" xr:uid="{00000000-0005-0000-0000-0000B96E0000}"/>
    <cellStyle name="40 % - Markeringsfarve4 2 3 2 3 2 2" xfId="14860" xr:uid="{00000000-0005-0000-0000-0000BA6E0000}"/>
    <cellStyle name="40 % - Markeringsfarve4 2 3 2 3 2 2 2" xfId="31174" xr:uid="{00000000-0005-0000-0000-0000BB6E0000}"/>
    <cellStyle name="40 % - Markeringsfarve4 2 3 2 3 2 2 3" xfId="46138" xr:uid="{00000000-0005-0000-0000-0000BC6E0000}"/>
    <cellStyle name="40 % - Markeringsfarve4 2 3 2 3 2 3" xfId="24152" xr:uid="{00000000-0005-0000-0000-0000BD6E0000}"/>
    <cellStyle name="40 % - Markeringsfarve4 2 3 2 3 2 4" xfId="39139" xr:uid="{00000000-0005-0000-0000-0000BE6E0000}"/>
    <cellStyle name="40 % - Markeringsfarve4 2 3 2 3 3" xfId="12479" xr:uid="{00000000-0005-0000-0000-0000BF6E0000}"/>
    <cellStyle name="40 % - Markeringsfarve4 2 3 2 3 3 2" xfId="28798" xr:uid="{00000000-0005-0000-0000-0000C06E0000}"/>
    <cellStyle name="40 % - Markeringsfarve4 2 3 2 3 3 3" xfId="43763" xr:uid="{00000000-0005-0000-0000-0000C16E0000}"/>
    <cellStyle name="40 % - Markeringsfarve4 2 3 2 3 4" xfId="21776" xr:uid="{00000000-0005-0000-0000-0000C26E0000}"/>
    <cellStyle name="40 % - Markeringsfarve4 2 3 2 3 5" xfId="36764" xr:uid="{00000000-0005-0000-0000-0000C36E0000}"/>
    <cellStyle name="40 % - Markeringsfarve4 2 3 2 4" xfId="3923" xr:uid="{00000000-0005-0000-0000-0000C46E0000}"/>
    <cellStyle name="40 % - Markeringsfarve4 2 3 2 4 2" xfId="8489" xr:uid="{00000000-0005-0000-0000-0000C56E0000}"/>
    <cellStyle name="40 % - Markeringsfarve4 2 3 2 4 2 2" xfId="16378" xr:uid="{00000000-0005-0000-0000-0000C66E0000}"/>
    <cellStyle name="40 % - Markeringsfarve4 2 3 2 4 2 2 2" xfId="32692" xr:uid="{00000000-0005-0000-0000-0000C76E0000}"/>
    <cellStyle name="40 % - Markeringsfarve4 2 3 2 4 2 2 3" xfId="47656" xr:uid="{00000000-0005-0000-0000-0000C86E0000}"/>
    <cellStyle name="40 % - Markeringsfarve4 2 3 2 4 2 3" xfId="25670" xr:uid="{00000000-0005-0000-0000-0000C96E0000}"/>
    <cellStyle name="40 % - Markeringsfarve4 2 3 2 4 2 4" xfId="40657" xr:uid="{00000000-0005-0000-0000-0000CA6E0000}"/>
    <cellStyle name="40 % - Markeringsfarve4 2 3 2 4 3" xfId="12480" xr:uid="{00000000-0005-0000-0000-0000CB6E0000}"/>
    <cellStyle name="40 % - Markeringsfarve4 2 3 2 4 3 2" xfId="28799" xr:uid="{00000000-0005-0000-0000-0000CC6E0000}"/>
    <cellStyle name="40 % - Markeringsfarve4 2 3 2 4 3 3" xfId="43764" xr:uid="{00000000-0005-0000-0000-0000CD6E0000}"/>
    <cellStyle name="40 % - Markeringsfarve4 2 3 2 4 4" xfId="21777" xr:uid="{00000000-0005-0000-0000-0000CE6E0000}"/>
    <cellStyle name="40 % - Markeringsfarve4 2 3 2 4 5" xfId="36765" xr:uid="{00000000-0005-0000-0000-0000CF6E0000}"/>
    <cellStyle name="40 % - Markeringsfarve4 2 3 2 5" xfId="5926" xr:uid="{00000000-0005-0000-0000-0000D06E0000}"/>
    <cellStyle name="40 % - Markeringsfarve4 2 3 2 5 2" xfId="13844" xr:uid="{00000000-0005-0000-0000-0000D16E0000}"/>
    <cellStyle name="40 % - Markeringsfarve4 2 3 2 5 2 2" xfId="30158" xr:uid="{00000000-0005-0000-0000-0000D26E0000}"/>
    <cellStyle name="40 % - Markeringsfarve4 2 3 2 5 2 3" xfId="45122" xr:uid="{00000000-0005-0000-0000-0000D36E0000}"/>
    <cellStyle name="40 % - Markeringsfarve4 2 3 2 5 3" xfId="23136" xr:uid="{00000000-0005-0000-0000-0000D46E0000}"/>
    <cellStyle name="40 % - Markeringsfarve4 2 3 2 5 4" xfId="38123" xr:uid="{00000000-0005-0000-0000-0000D56E0000}"/>
    <cellStyle name="40 % - Markeringsfarve4 2 3 2 6" xfId="12476" xr:uid="{00000000-0005-0000-0000-0000D66E0000}"/>
    <cellStyle name="40 % - Markeringsfarve4 2 3 2 6 2" xfId="28795" xr:uid="{00000000-0005-0000-0000-0000D76E0000}"/>
    <cellStyle name="40 % - Markeringsfarve4 2 3 2 6 3" xfId="43760" xr:uid="{00000000-0005-0000-0000-0000D86E0000}"/>
    <cellStyle name="40 % - Markeringsfarve4 2 3 2 7" xfId="21773" xr:uid="{00000000-0005-0000-0000-0000D96E0000}"/>
    <cellStyle name="40 % - Markeringsfarve4 2 3 2 8" xfId="36761" xr:uid="{00000000-0005-0000-0000-0000DA6E0000}"/>
    <cellStyle name="40 % - Markeringsfarve4 2 3 2 9" xfId="54024" xr:uid="{00000000-0005-0000-0000-0000DB6E0000}"/>
    <cellStyle name="40 % - Markeringsfarve4 2 3 3" xfId="3924" xr:uid="{00000000-0005-0000-0000-0000DC6E0000}"/>
    <cellStyle name="40 % - Markeringsfarve4 2 3 3 2" xfId="3925" xr:uid="{00000000-0005-0000-0000-0000DD6E0000}"/>
    <cellStyle name="40 % - Markeringsfarve4 2 3 3 2 2" xfId="3926" xr:uid="{00000000-0005-0000-0000-0000DE6E0000}"/>
    <cellStyle name="40 % - Markeringsfarve4 2 3 3 2 2 2" xfId="7810" xr:uid="{00000000-0005-0000-0000-0000DF6E0000}"/>
    <cellStyle name="40 % - Markeringsfarve4 2 3 3 2 2 2 2" xfId="15711" xr:uid="{00000000-0005-0000-0000-0000E06E0000}"/>
    <cellStyle name="40 % - Markeringsfarve4 2 3 3 2 2 2 2 2" xfId="32025" xr:uid="{00000000-0005-0000-0000-0000E16E0000}"/>
    <cellStyle name="40 % - Markeringsfarve4 2 3 3 2 2 2 2 3" xfId="46989" xr:uid="{00000000-0005-0000-0000-0000E26E0000}"/>
    <cellStyle name="40 % - Markeringsfarve4 2 3 3 2 2 2 3" xfId="25003" xr:uid="{00000000-0005-0000-0000-0000E36E0000}"/>
    <cellStyle name="40 % - Markeringsfarve4 2 3 3 2 2 2 4" xfId="39990" xr:uid="{00000000-0005-0000-0000-0000E46E0000}"/>
    <cellStyle name="40 % - Markeringsfarve4 2 3 3 2 2 3" xfId="12483" xr:uid="{00000000-0005-0000-0000-0000E56E0000}"/>
    <cellStyle name="40 % - Markeringsfarve4 2 3 3 2 2 3 2" xfId="28802" xr:uid="{00000000-0005-0000-0000-0000E66E0000}"/>
    <cellStyle name="40 % - Markeringsfarve4 2 3 3 2 2 3 3" xfId="43767" xr:uid="{00000000-0005-0000-0000-0000E76E0000}"/>
    <cellStyle name="40 % - Markeringsfarve4 2 3 3 2 2 4" xfId="21780" xr:uid="{00000000-0005-0000-0000-0000E86E0000}"/>
    <cellStyle name="40 % - Markeringsfarve4 2 3 3 2 2 5" xfId="36768" xr:uid="{00000000-0005-0000-0000-0000E96E0000}"/>
    <cellStyle name="40 % - Markeringsfarve4 2 3 3 2 3" xfId="6356" xr:uid="{00000000-0005-0000-0000-0000EA6E0000}"/>
    <cellStyle name="40 % - Markeringsfarve4 2 3 3 2 3 2" xfId="14273" xr:uid="{00000000-0005-0000-0000-0000EB6E0000}"/>
    <cellStyle name="40 % - Markeringsfarve4 2 3 3 2 3 2 2" xfId="30587" xr:uid="{00000000-0005-0000-0000-0000EC6E0000}"/>
    <cellStyle name="40 % - Markeringsfarve4 2 3 3 2 3 2 3" xfId="45551" xr:uid="{00000000-0005-0000-0000-0000ED6E0000}"/>
    <cellStyle name="40 % - Markeringsfarve4 2 3 3 2 3 3" xfId="23565" xr:uid="{00000000-0005-0000-0000-0000EE6E0000}"/>
    <cellStyle name="40 % - Markeringsfarve4 2 3 3 2 3 4" xfId="38552" xr:uid="{00000000-0005-0000-0000-0000EF6E0000}"/>
    <cellStyle name="40 % - Markeringsfarve4 2 3 3 2 4" xfId="12482" xr:uid="{00000000-0005-0000-0000-0000F06E0000}"/>
    <cellStyle name="40 % - Markeringsfarve4 2 3 3 2 4 2" xfId="28801" xr:uid="{00000000-0005-0000-0000-0000F16E0000}"/>
    <cellStyle name="40 % - Markeringsfarve4 2 3 3 2 4 3" xfId="43766" xr:uid="{00000000-0005-0000-0000-0000F26E0000}"/>
    <cellStyle name="40 % - Markeringsfarve4 2 3 3 2 5" xfId="21779" xr:uid="{00000000-0005-0000-0000-0000F36E0000}"/>
    <cellStyle name="40 % - Markeringsfarve4 2 3 3 2 6" xfId="36767" xr:uid="{00000000-0005-0000-0000-0000F46E0000}"/>
    <cellStyle name="40 % - Markeringsfarve4 2 3 3 3" xfId="3927" xr:uid="{00000000-0005-0000-0000-0000F56E0000}"/>
    <cellStyle name="40 % - Markeringsfarve4 2 3 3 3 2" xfId="7040" xr:uid="{00000000-0005-0000-0000-0000F66E0000}"/>
    <cellStyle name="40 % - Markeringsfarve4 2 3 3 3 2 2" xfId="14951" xr:uid="{00000000-0005-0000-0000-0000F76E0000}"/>
    <cellStyle name="40 % - Markeringsfarve4 2 3 3 3 2 2 2" xfId="31265" xr:uid="{00000000-0005-0000-0000-0000F86E0000}"/>
    <cellStyle name="40 % - Markeringsfarve4 2 3 3 3 2 2 3" xfId="46229" xr:uid="{00000000-0005-0000-0000-0000F96E0000}"/>
    <cellStyle name="40 % - Markeringsfarve4 2 3 3 3 2 3" xfId="24243" xr:uid="{00000000-0005-0000-0000-0000FA6E0000}"/>
    <cellStyle name="40 % - Markeringsfarve4 2 3 3 3 2 4" xfId="39230" xr:uid="{00000000-0005-0000-0000-0000FB6E0000}"/>
    <cellStyle name="40 % - Markeringsfarve4 2 3 3 3 3" xfId="12484" xr:uid="{00000000-0005-0000-0000-0000FC6E0000}"/>
    <cellStyle name="40 % - Markeringsfarve4 2 3 3 3 3 2" xfId="28803" xr:uid="{00000000-0005-0000-0000-0000FD6E0000}"/>
    <cellStyle name="40 % - Markeringsfarve4 2 3 3 3 3 3" xfId="43768" xr:uid="{00000000-0005-0000-0000-0000FE6E0000}"/>
    <cellStyle name="40 % - Markeringsfarve4 2 3 3 3 4" xfId="21781" xr:uid="{00000000-0005-0000-0000-0000FF6E0000}"/>
    <cellStyle name="40 % - Markeringsfarve4 2 3 3 3 5" xfId="36769" xr:uid="{00000000-0005-0000-0000-0000006F0000}"/>
    <cellStyle name="40 % - Markeringsfarve4 2 3 3 4" xfId="3928" xr:uid="{00000000-0005-0000-0000-0000016F0000}"/>
    <cellStyle name="40 % - Markeringsfarve4 2 3 3 4 2" xfId="8719" xr:uid="{00000000-0005-0000-0000-0000026F0000}"/>
    <cellStyle name="40 % - Markeringsfarve4 2 3 3 4 2 2" xfId="16599" xr:uid="{00000000-0005-0000-0000-0000036F0000}"/>
    <cellStyle name="40 % - Markeringsfarve4 2 3 3 4 2 2 2" xfId="32913" xr:uid="{00000000-0005-0000-0000-0000046F0000}"/>
    <cellStyle name="40 % - Markeringsfarve4 2 3 3 4 2 2 3" xfId="47877" xr:uid="{00000000-0005-0000-0000-0000056F0000}"/>
    <cellStyle name="40 % - Markeringsfarve4 2 3 3 4 2 3" xfId="25891" xr:uid="{00000000-0005-0000-0000-0000066F0000}"/>
    <cellStyle name="40 % - Markeringsfarve4 2 3 3 4 2 4" xfId="40878" xr:uid="{00000000-0005-0000-0000-0000076F0000}"/>
    <cellStyle name="40 % - Markeringsfarve4 2 3 3 4 3" xfId="12485" xr:uid="{00000000-0005-0000-0000-0000086F0000}"/>
    <cellStyle name="40 % - Markeringsfarve4 2 3 3 4 3 2" xfId="28804" xr:uid="{00000000-0005-0000-0000-0000096F0000}"/>
    <cellStyle name="40 % - Markeringsfarve4 2 3 3 4 3 3" xfId="43769" xr:uid="{00000000-0005-0000-0000-00000A6F0000}"/>
    <cellStyle name="40 % - Markeringsfarve4 2 3 3 4 4" xfId="21782" xr:uid="{00000000-0005-0000-0000-00000B6F0000}"/>
    <cellStyle name="40 % - Markeringsfarve4 2 3 3 4 5" xfId="36770" xr:uid="{00000000-0005-0000-0000-00000C6F0000}"/>
    <cellStyle name="40 % - Markeringsfarve4 2 3 3 5" xfId="5927" xr:uid="{00000000-0005-0000-0000-00000D6F0000}"/>
    <cellStyle name="40 % - Markeringsfarve4 2 3 3 5 2" xfId="13845" xr:uid="{00000000-0005-0000-0000-00000E6F0000}"/>
    <cellStyle name="40 % - Markeringsfarve4 2 3 3 5 2 2" xfId="30159" xr:uid="{00000000-0005-0000-0000-00000F6F0000}"/>
    <cellStyle name="40 % - Markeringsfarve4 2 3 3 5 2 3" xfId="45123" xr:uid="{00000000-0005-0000-0000-0000106F0000}"/>
    <cellStyle name="40 % - Markeringsfarve4 2 3 3 5 3" xfId="23137" xr:uid="{00000000-0005-0000-0000-0000116F0000}"/>
    <cellStyle name="40 % - Markeringsfarve4 2 3 3 5 4" xfId="38124" xr:uid="{00000000-0005-0000-0000-0000126F0000}"/>
    <cellStyle name="40 % - Markeringsfarve4 2 3 3 6" xfId="12481" xr:uid="{00000000-0005-0000-0000-0000136F0000}"/>
    <cellStyle name="40 % - Markeringsfarve4 2 3 3 6 2" xfId="28800" xr:uid="{00000000-0005-0000-0000-0000146F0000}"/>
    <cellStyle name="40 % - Markeringsfarve4 2 3 3 6 3" xfId="43765" xr:uid="{00000000-0005-0000-0000-0000156F0000}"/>
    <cellStyle name="40 % - Markeringsfarve4 2 3 3 7" xfId="21778" xr:uid="{00000000-0005-0000-0000-0000166F0000}"/>
    <cellStyle name="40 % - Markeringsfarve4 2 3 3 8" xfId="36766" xr:uid="{00000000-0005-0000-0000-0000176F0000}"/>
    <cellStyle name="40 % - Markeringsfarve4 2 3 3 9" xfId="56568" xr:uid="{00000000-0005-0000-0000-0000186F0000}"/>
    <cellStyle name="40 % - Markeringsfarve4 2 3 4" xfId="3929" xr:uid="{00000000-0005-0000-0000-0000196F0000}"/>
    <cellStyle name="40 % - Markeringsfarve4 2 3 4 2" xfId="3930" xr:uid="{00000000-0005-0000-0000-00001A6F0000}"/>
    <cellStyle name="40 % - Markeringsfarve4 2 3 4 2 2" xfId="3931" xr:uid="{00000000-0005-0000-0000-00001B6F0000}"/>
    <cellStyle name="40 % - Markeringsfarve4 2 3 4 2 2 2" xfId="7957" xr:uid="{00000000-0005-0000-0000-00001C6F0000}"/>
    <cellStyle name="40 % - Markeringsfarve4 2 3 4 2 2 2 2" xfId="15858" xr:uid="{00000000-0005-0000-0000-00001D6F0000}"/>
    <cellStyle name="40 % - Markeringsfarve4 2 3 4 2 2 2 2 2" xfId="32172" xr:uid="{00000000-0005-0000-0000-00001E6F0000}"/>
    <cellStyle name="40 % - Markeringsfarve4 2 3 4 2 2 2 2 3" xfId="47136" xr:uid="{00000000-0005-0000-0000-00001F6F0000}"/>
    <cellStyle name="40 % - Markeringsfarve4 2 3 4 2 2 2 3" xfId="25150" xr:uid="{00000000-0005-0000-0000-0000206F0000}"/>
    <cellStyle name="40 % - Markeringsfarve4 2 3 4 2 2 2 4" xfId="40137" xr:uid="{00000000-0005-0000-0000-0000216F0000}"/>
    <cellStyle name="40 % - Markeringsfarve4 2 3 4 2 2 3" xfId="12488" xr:uid="{00000000-0005-0000-0000-0000226F0000}"/>
    <cellStyle name="40 % - Markeringsfarve4 2 3 4 2 2 3 2" xfId="28807" xr:uid="{00000000-0005-0000-0000-0000236F0000}"/>
    <cellStyle name="40 % - Markeringsfarve4 2 3 4 2 2 3 3" xfId="43772" xr:uid="{00000000-0005-0000-0000-0000246F0000}"/>
    <cellStyle name="40 % - Markeringsfarve4 2 3 4 2 2 4" xfId="21785" xr:uid="{00000000-0005-0000-0000-0000256F0000}"/>
    <cellStyle name="40 % - Markeringsfarve4 2 3 4 2 2 5" xfId="36773" xr:uid="{00000000-0005-0000-0000-0000266F0000}"/>
    <cellStyle name="40 % - Markeringsfarve4 2 3 4 2 3" xfId="6487" xr:uid="{00000000-0005-0000-0000-0000276F0000}"/>
    <cellStyle name="40 % - Markeringsfarve4 2 3 4 2 3 2" xfId="14401" xr:uid="{00000000-0005-0000-0000-0000286F0000}"/>
    <cellStyle name="40 % - Markeringsfarve4 2 3 4 2 3 2 2" xfId="30715" xr:uid="{00000000-0005-0000-0000-0000296F0000}"/>
    <cellStyle name="40 % - Markeringsfarve4 2 3 4 2 3 2 3" xfId="45679" xr:uid="{00000000-0005-0000-0000-00002A6F0000}"/>
    <cellStyle name="40 % - Markeringsfarve4 2 3 4 2 3 3" xfId="23693" xr:uid="{00000000-0005-0000-0000-00002B6F0000}"/>
    <cellStyle name="40 % - Markeringsfarve4 2 3 4 2 3 4" xfId="38680" xr:uid="{00000000-0005-0000-0000-00002C6F0000}"/>
    <cellStyle name="40 % - Markeringsfarve4 2 3 4 2 4" xfId="12487" xr:uid="{00000000-0005-0000-0000-00002D6F0000}"/>
    <cellStyle name="40 % - Markeringsfarve4 2 3 4 2 4 2" xfId="28806" xr:uid="{00000000-0005-0000-0000-00002E6F0000}"/>
    <cellStyle name="40 % - Markeringsfarve4 2 3 4 2 4 3" xfId="43771" xr:uid="{00000000-0005-0000-0000-00002F6F0000}"/>
    <cellStyle name="40 % - Markeringsfarve4 2 3 4 2 5" xfId="21784" xr:uid="{00000000-0005-0000-0000-0000306F0000}"/>
    <cellStyle name="40 % - Markeringsfarve4 2 3 4 2 6" xfId="36772" xr:uid="{00000000-0005-0000-0000-0000316F0000}"/>
    <cellStyle name="40 % - Markeringsfarve4 2 3 4 3" xfId="3932" xr:uid="{00000000-0005-0000-0000-0000326F0000}"/>
    <cellStyle name="40 % - Markeringsfarve4 2 3 4 3 2" xfId="7233" xr:uid="{00000000-0005-0000-0000-0000336F0000}"/>
    <cellStyle name="40 % - Markeringsfarve4 2 3 4 3 2 2" xfId="15143" xr:uid="{00000000-0005-0000-0000-0000346F0000}"/>
    <cellStyle name="40 % - Markeringsfarve4 2 3 4 3 2 2 2" xfId="31457" xr:uid="{00000000-0005-0000-0000-0000356F0000}"/>
    <cellStyle name="40 % - Markeringsfarve4 2 3 4 3 2 2 3" xfId="46421" xr:uid="{00000000-0005-0000-0000-0000366F0000}"/>
    <cellStyle name="40 % - Markeringsfarve4 2 3 4 3 2 3" xfId="24435" xr:uid="{00000000-0005-0000-0000-0000376F0000}"/>
    <cellStyle name="40 % - Markeringsfarve4 2 3 4 3 2 4" xfId="39422" xr:uid="{00000000-0005-0000-0000-0000386F0000}"/>
    <cellStyle name="40 % - Markeringsfarve4 2 3 4 3 3" xfId="12489" xr:uid="{00000000-0005-0000-0000-0000396F0000}"/>
    <cellStyle name="40 % - Markeringsfarve4 2 3 4 3 3 2" xfId="28808" xr:uid="{00000000-0005-0000-0000-00003A6F0000}"/>
    <cellStyle name="40 % - Markeringsfarve4 2 3 4 3 3 3" xfId="43773" xr:uid="{00000000-0005-0000-0000-00003B6F0000}"/>
    <cellStyle name="40 % - Markeringsfarve4 2 3 4 3 4" xfId="21786" xr:uid="{00000000-0005-0000-0000-00003C6F0000}"/>
    <cellStyle name="40 % - Markeringsfarve4 2 3 4 3 5" xfId="36774" xr:uid="{00000000-0005-0000-0000-00003D6F0000}"/>
    <cellStyle name="40 % - Markeringsfarve4 2 3 4 4" xfId="3933" xr:uid="{00000000-0005-0000-0000-00003E6F0000}"/>
    <cellStyle name="40 % - Markeringsfarve4 2 3 4 4 2" xfId="8444" xr:uid="{00000000-0005-0000-0000-00003F6F0000}"/>
    <cellStyle name="40 % - Markeringsfarve4 2 3 4 4 2 2" xfId="16336" xr:uid="{00000000-0005-0000-0000-0000406F0000}"/>
    <cellStyle name="40 % - Markeringsfarve4 2 3 4 4 2 2 2" xfId="32650" xr:uid="{00000000-0005-0000-0000-0000416F0000}"/>
    <cellStyle name="40 % - Markeringsfarve4 2 3 4 4 2 2 3" xfId="47614" xr:uid="{00000000-0005-0000-0000-0000426F0000}"/>
    <cellStyle name="40 % - Markeringsfarve4 2 3 4 4 2 3" xfId="25628" xr:uid="{00000000-0005-0000-0000-0000436F0000}"/>
    <cellStyle name="40 % - Markeringsfarve4 2 3 4 4 2 4" xfId="40615" xr:uid="{00000000-0005-0000-0000-0000446F0000}"/>
    <cellStyle name="40 % - Markeringsfarve4 2 3 4 4 3" xfId="12490" xr:uid="{00000000-0005-0000-0000-0000456F0000}"/>
    <cellStyle name="40 % - Markeringsfarve4 2 3 4 4 3 2" xfId="28809" xr:uid="{00000000-0005-0000-0000-0000466F0000}"/>
    <cellStyle name="40 % - Markeringsfarve4 2 3 4 4 3 3" xfId="43774" xr:uid="{00000000-0005-0000-0000-0000476F0000}"/>
    <cellStyle name="40 % - Markeringsfarve4 2 3 4 4 4" xfId="21787" xr:uid="{00000000-0005-0000-0000-0000486F0000}"/>
    <cellStyle name="40 % - Markeringsfarve4 2 3 4 4 5" xfId="36775" xr:uid="{00000000-0005-0000-0000-0000496F0000}"/>
    <cellStyle name="40 % - Markeringsfarve4 2 3 4 5" xfId="5928" xr:uid="{00000000-0005-0000-0000-00004A6F0000}"/>
    <cellStyle name="40 % - Markeringsfarve4 2 3 4 5 2" xfId="13846" xr:uid="{00000000-0005-0000-0000-00004B6F0000}"/>
    <cellStyle name="40 % - Markeringsfarve4 2 3 4 5 2 2" xfId="30160" xr:uid="{00000000-0005-0000-0000-00004C6F0000}"/>
    <cellStyle name="40 % - Markeringsfarve4 2 3 4 5 2 3" xfId="45124" xr:uid="{00000000-0005-0000-0000-00004D6F0000}"/>
    <cellStyle name="40 % - Markeringsfarve4 2 3 4 5 3" xfId="23138" xr:uid="{00000000-0005-0000-0000-00004E6F0000}"/>
    <cellStyle name="40 % - Markeringsfarve4 2 3 4 5 4" xfId="38125" xr:uid="{00000000-0005-0000-0000-00004F6F0000}"/>
    <cellStyle name="40 % - Markeringsfarve4 2 3 4 6" xfId="12486" xr:uid="{00000000-0005-0000-0000-0000506F0000}"/>
    <cellStyle name="40 % - Markeringsfarve4 2 3 4 6 2" xfId="28805" xr:uid="{00000000-0005-0000-0000-0000516F0000}"/>
    <cellStyle name="40 % - Markeringsfarve4 2 3 4 6 3" xfId="43770" xr:uid="{00000000-0005-0000-0000-0000526F0000}"/>
    <cellStyle name="40 % - Markeringsfarve4 2 3 4 7" xfId="21783" xr:uid="{00000000-0005-0000-0000-0000536F0000}"/>
    <cellStyle name="40 % - Markeringsfarve4 2 3 4 8" xfId="36771" xr:uid="{00000000-0005-0000-0000-0000546F0000}"/>
    <cellStyle name="40 % - Markeringsfarve4 2 3 5" xfId="3934" xr:uid="{00000000-0005-0000-0000-0000556F0000}"/>
    <cellStyle name="40 % - Markeringsfarve4 2 3 5 2" xfId="3935" xr:uid="{00000000-0005-0000-0000-0000566F0000}"/>
    <cellStyle name="40 % - Markeringsfarve4 2 3 5 2 2" xfId="3936" xr:uid="{00000000-0005-0000-0000-0000576F0000}"/>
    <cellStyle name="40 % - Markeringsfarve4 2 3 5 2 2 2" xfId="8074" xr:uid="{00000000-0005-0000-0000-0000586F0000}"/>
    <cellStyle name="40 % - Markeringsfarve4 2 3 5 2 2 2 2" xfId="15975" xr:uid="{00000000-0005-0000-0000-0000596F0000}"/>
    <cellStyle name="40 % - Markeringsfarve4 2 3 5 2 2 2 2 2" xfId="32289" xr:uid="{00000000-0005-0000-0000-00005A6F0000}"/>
    <cellStyle name="40 % - Markeringsfarve4 2 3 5 2 2 2 2 3" xfId="47253" xr:uid="{00000000-0005-0000-0000-00005B6F0000}"/>
    <cellStyle name="40 % - Markeringsfarve4 2 3 5 2 2 2 3" xfId="25267" xr:uid="{00000000-0005-0000-0000-00005C6F0000}"/>
    <cellStyle name="40 % - Markeringsfarve4 2 3 5 2 2 2 4" xfId="40254" xr:uid="{00000000-0005-0000-0000-00005D6F0000}"/>
    <cellStyle name="40 % - Markeringsfarve4 2 3 5 2 2 3" xfId="12493" xr:uid="{00000000-0005-0000-0000-00005E6F0000}"/>
    <cellStyle name="40 % - Markeringsfarve4 2 3 5 2 2 3 2" xfId="28812" xr:uid="{00000000-0005-0000-0000-00005F6F0000}"/>
    <cellStyle name="40 % - Markeringsfarve4 2 3 5 2 2 3 3" xfId="43777" xr:uid="{00000000-0005-0000-0000-0000606F0000}"/>
    <cellStyle name="40 % - Markeringsfarve4 2 3 5 2 2 4" xfId="21790" xr:uid="{00000000-0005-0000-0000-0000616F0000}"/>
    <cellStyle name="40 % - Markeringsfarve4 2 3 5 2 2 5" xfId="36778" xr:uid="{00000000-0005-0000-0000-0000626F0000}"/>
    <cellStyle name="40 % - Markeringsfarve4 2 3 5 2 3" xfId="6586" xr:uid="{00000000-0005-0000-0000-0000636F0000}"/>
    <cellStyle name="40 % - Markeringsfarve4 2 3 5 2 3 2" xfId="14500" xr:uid="{00000000-0005-0000-0000-0000646F0000}"/>
    <cellStyle name="40 % - Markeringsfarve4 2 3 5 2 3 2 2" xfId="30814" xr:uid="{00000000-0005-0000-0000-0000656F0000}"/>
    <cellStyle name="40 % - Markeringsfarve4 2 3 5 2 3 2 3" xfId="45778" xr:uid="{00000000-0005-0000-0000-0000666F0000}"/>
    <cellStyle name="40 % - Markeringsfarve4 2 3 5 2 3 3" xfId="23792" xr:uid="{00000000-0005-0000-0000-0000676F0000}"/>
    <cellStyle name="40 % - Markeringsfarve4 2 3 5 2 3 4" xfId="38779" xr:uid="{00000000-0005-0000-0000-0000686F0000}"/>
    <cellStyle name="40 % - Markeringsfarve4 2 3 5 2 4" xfId="12492" xr:uid="{00000000-0005-0000-0000-0000696F0000}"/>
    <cellStyle name="40 % - Markeringsfarve4 2 3 5 2 4 2" xfId="28811" xr:uid="{00000000-0005-0000-0000-00006A6F0000}"/>
    <cellStyle name="40 % - Markeringsfarve4 2 3 5 2 4 3" xfId="43776" xr:uid="{00000000-0005-0000-0000-00006B6F0000}"/>
    <cellStyle name="40 % - Markeringsfarve4 2 3 5 2 5" xfId="21789" xr:uid="{00000000-0005-0000-0000-00006C6F0000}"/>
    <cellStyle name="40 % - Markeringsfarve4 2 3 5 2 6" xfId="36777" xr:uid="{00000000-0005-0000-0000-00006D6F0000}"/>
    <cellStyle name="40 % - Markeringsfarve4 2 3 5 3" xfId="3937" xr:uid="{00000000-0005-0000-0000-00006E6F0000}"/>
    <cellStyle name="40 % - Markeringsfarve4 2 3 5 3 2" xfId="7350" xr:uid="{00000000-0005-0000-0000-00006F6F0000}"/>
    <cellStyle name="40 % - Markeringsfarve4 2 3 5 3 2 2" xfId="15260" xr:uid="{00000000-0005-0000-0000-0000706F0000}"/>
    <cellStyle name="40 % - Markeringsfarve4 2 3 5 3 2 2 2" xfId="31574" xr:uid="{00000000-0005-0000-0000-0000716F0000}"/>
    <cellStyle name="40 % - Markeringsfarve4 2 3 5 3 2 2 3" xfId="46538" xr:uid="{00000000-0005-0000-0000-0000726F0000}"/>
    <cellStyle name="40 % - Markeringsfarve4 2 3 5 3 2 3" xfId="24552" xr:uid="{00000000-0005-0000-0000-0000736F0000}"/>
    <cellStyle name="40 % - Markeringsfarve4 2 3 5 3 2 4" xfId="39539" xr:uid="{00000000-0005-0000-0000-0000746F0000}"/>
    <cellStyle name="40 % - Markeringsfarve4 2 3 5 3 3" xfId="12494" xr:uid="{00000000-0005-0000-0000-0000756F0000}"/>
    <cellStyle name="40 % - Markeringsfarve4 2 3 5 3 3 2" xfId="28813" xr:uid="{00000000-0005-0000-0000-0000766F0000}"/>
    <cellStyle name="40 % - Markeringsfarve4 2 3 5 3 3 3" xfId="43778" xr:uid="{00000000-0005-0000-0000-0000776F0000}"/>
    <cellStyle name="40 % - Markeringsfarve4 2 3 5 3 4" xfId="21791" xr:uid="{00000000-0005-0000-0000-0000786F0000}"/>
    <cellStyle name="40 % - Markeringsfarve4 2 3 5 3 5" xfId="36779" xr:uid="{00000000-0005-0000-0000-0000796F0000}"/>
    <cellStyle name="40 % - Markeringsfarve4 2 3 5 4" xfId="3938" xr:uid="{00000000-0005-0000-0000-00007A6F0000}"/>
    <cellStyle name="40 % - Markeringsfarve4 2 3 5 4 2" xfId="8679" xr:uid="{00000000-0005-0000-0000-00007B6F0000}"/>
    <cellStyle name="40 % - Markeringsfarve4 2 3 5 4 2 2" xfId="16561" xr:uid="{00000000-0005-0000-0000-00007C6F0000}"/>
    <cellStyle name="40 % - Markeringsfarve4 2 3 5 4 2 2 2" xfId="32875" xr:uid="{00000000-0005-0000-0000-00007D6F0000}"/>
    <cellStyle name="40 % - Markeringsfarve4 2 3 5 4 2 2 3" xfId="47839" xr:uid="{00000000-0005-0000-0000-00007E6F0000}"/>
    <cellStyle name="40 % - Markeringsfarve4 2 3 5 4 2 3" xfId="25853" xr:uid="{00000000-0005-0000-0000-00007F6F0000}"/>
    <cellStyle name="40 % - Markeringsfarve4 2 3 5 4 2 4" xfId="40840" xr:uid="{00000000-0005-0000-0000-0000806F0000}"/>
    <cellStyle name="40 % - Markeringsfarve4 2 3 5 4 3" xfId="12495" xr:uid="{00000000-0005-0000-0000-0000816F0000}"/>
    <cellStyle name="40 % - Markeringsfarve4 2 3 5 4 3 2" xfId="28814" xr:uid="{00000000-0005-0000-0000-0000826F0000}"/>
    <cellStyle name="40 % - Markeringsfarve4 2 3 5 4 3 3" xfId="43779" xr:uid="{00000000-0005-0000-0000-0000836F0000}"/>
    <cellStyle name="40 % - Markeringsfarve4 2 3 5 4 4" xfId="21792" xr:uid="{00000000-0005-0000-0000-0000846F0000}"/>
    <cellStyle name="40 % - Markeringsfarve4 2 3 5 4 5" xfId="36780" xr:uid="{00000000-0005-0000-0000-0000856F0000}"/>
    <cellStyle name="40 % - Markeringsfarve4 2 3 5 5" xfId="5929" xr:uid="{00000000-0005-0000-0000-0000866F0000}"/>
    <cellStyle name="40 % - Markeringsfarve4 2 3 5 5 2" xfId="13847" xr:uid="{00000000-0005-0000-0000-0000876F0000}"/>
    <cellStyle name="40 % - Markeringsfarve4 2 3 5 5 2 2" xfId="30161" xr:uid="{00000000-0005-0000-0000-0000886F0000}"/>
    <cellStyle name="40 % - Markeringsfarve4 2 3 5 5 2 3" xfId="45125" xr:uid="{00000000-0005-0000-0000-0000896F0000}"/>
    <cellStyle name="40 % - Markeringsfarve4 2 3 5 5 3" xfId="23139" xr:uid="{00000000-0005-0000-0000-00008A6F0000}"/>
    <cellStyle name="40 % - Markeringsfarve4 2 3 5 5 4" xfId="38126" xr:uid="{00000000-0005-0000-0000-00008B6F0000}"/>
    <cellStyle name="40 % - Markeringsfarve4 2 3 5 6" xfId="12491" xr:uid="{00000000-0005-0000-0000-00008C6F0000}"/>
    <cellStyle name="40 % - Markeringsfarve4 2 3 5 6 2" xfId="28810" xr:uid="{00000000-0005-0000-0000-00008D6F0000}"/>
    <cellStyle name="40 % - Markeringsfarve4 2 3 5 6 3" xfId="43775" xr:uid="{00000000-0005-0000-0000-00008E6F0000}"/>
    <cellStyle name="40 % - Markeringsfarve4 2 3 5 7" xfId="21788" xr:uid="{00000000-0005-0000-0000-00008F6F0000}"/>
    <cellStyle name="40 % - Markeringsfarve4 2 3 5 8" xfId="36776" xr:uid="{00000000-0005-0000-0000-0000906F0000}"/>
    <cellStyle name="40 % - Markeringsfarve4 2 3 6" xfId="3939" xr:uid="{00000000-0005-0000-0000-0000916F0000}"/>
    <cellStyle name="40 % - Markeringsfarve4 2 3 6 2" xfId="3940" xr:uid="{00000000-0005-0000-0000-0000926F0000}"/>
    <cellStyle name="40 % - Markeringsfarve4 2 3 6 2 2" xfId="3941" xr:uid="{00000000-0005-0000-0000-0000936F0000}"/>
    <cellStyle name="40 % - Markeringsfarve4 2 3 6 2 2 2" xfId="8164" xr:uid="{00000000-0005-0000-0000-0000946F0000}"/>
    <cellStyle name="40 % - Markeringsfarve4 2 3 6 2 2 2 2" xfId="16065" xr:uid="{00000000-0005-0000-0000-0000956F0000}"/>
    <cellStyle name="40 % - Markeringsfarve4 2 3 6 2 2 2 2 2" xfId="32379" xr:uid="{00000000-0005-0000-0000-0000966F0000}"/>
    <cellStyle name="40 % - Markeringsfarve4 2 3 6 2 2 2 2 3" xfId="47343" xr:uid="{00000000-0005-0000-0000-0000976F0000}"/>
    <cellStyle name="40 % - Markeringsfarve4 2 3 6 2 2 2 3" xfId="25357" xr:uid="{00000000-0005-0000-0000-0000986F0000}"/>
    <cellStyle name="40 % - Markeringsfarve4 2 3 6 2 2 2 4" xfId="40344" xr:uid="{00000000-0005-0000-0000-0000996F0000}"/>
    <cellStyle name="40 % - Markeringsfarve4 2 3 6 2 2 3" xfId="12498" xr:uid="{00000000-0005-0000-0000-00009A6F0000}"/>
    <cellStyle name="40 % - Markeringsfarve4 2 3 6 2 2 3 2" xfId="28817" xr:uid="{00000000-0005-0000-0000-00009B6F0000}"/>
    <cellStyle name="40 % - Markeringsfarve4 2 3 6 2 2 3 3" xfId="43782" xr:uid="{00000000-0005-0000-0000-00009C6F0000}"/>
    <cellStyle name="40 % - Markeringsfarve4 2 3 6 2 2 4" xfId="21795" xr:uid="{00000000-0005-0000-0000-00009D6F0000}"/>
    <cellStyle name="40 % - Markeringsfarve4 2 3 6 2 2 5" xfId="36783" xr:uid="{00000000-0005-0000-0000-00009E6F0000}"/>
    <cellStyle name="40 % - Markeringsfarve4 2 3 6 2 3" xfId="6657" xr:uid="{00000000-0005-0000-0000-00009F6F0000}"/>
    <cellStyle name="40 % - Markeringsfarve4 2 3 6 2 3 2" xfId="14571" xr:uid="{00000000-0005-0000-0000-0000A06F0000}"/>
    <cellStyle name="40 % - Markeringsfarve4 2 3 6 2 3 2 2" xfId="30885" xr:uid="{00000000-0005-0000-0000-0000A16F0000}"/>
    <cellStyle name="40 % - Markeringsfarve4 2 3 6 2 3 2 3" xfId="45849" xr:uid="{00000000-0005-0000-0000-0000A26F0000}"/>
    <cellStyle name="40 % - Markeringsfarve4 2 3 6 2 3 3" xfId="23863" xr:uid="{00000000-0005-0000-0000-0000A36F0000}"/>
    <cellStyle name="40 % - Markeringsfarve4 2 3 6 2 3 4" xfId="38850" xr:uid="{00000000-0005-0000-0000-0000A46F0000}"/>
    <cellStyle name="40 % - Markeringsfarve4 2 3 6 2 4" xfId="12497" xr:uid="{00000000-0005-0000-0000-0000A56F0000}"/>
    <cellStyle name="40 % - Markeringsfarve4 2 3 6 2 4 2" xfId="28816" xr:uid="{00000000-0005-0000-0000-0000A66F0000}"/>
    <cellStyle name="40 % - Markeringsfarve4 2 3 6 2 4 3" xfId="43781" xr:uid="{00000000-0005-0000-0000-0000A76F0000}"/>
    <cellStyle name="40 % - Markeringsfarve4 2 3 6 2 5" xfId="21794" xr:uid="{00000000-0005-0000-0000-0000A86F0000}"/>
    <cellStyle name="40 % - Markeringsfarve4 2 3 6 2 6" xfId="36782" xr:uid="{00000000-0005-0000-0000-0000A96F0000}"/>
    <cellStyle name="40 % - Markeringsfarve4 2 3 6 3" xfId="3942" xr:uid="{00000000-0005-0000-0000-0000AA6F0000}"/>
    <cellStyle name="40 % - Markeringsfarve4 2 3 6 3 2" xfId="7441" xr:uid="{00000000-0005-0000-0000-0000AB6F0000}"/>
    <cellStyle name="40 % - Markeringsfarve4 2 3 6 3 2 2" xfId="15351" xr:uid="{00000000-0005-0000-0000-0000AC6F0000}"/>
    <cellStyle name="40 % - Markeringsfarve4 2 3 6 3 2 2 2" xfId="31665" xr:uid="{00000000-0005-0000-0000-0000AD6F0000}"/>
    <cellStyle name="40 % - Markeringsfarve4 2 3 6 3 2 2 3" xfId="46629" xr:uid="{00000000-0005-0000-0000-0000AE6F0000}"/>
    <cellStyle name="40 % - Markeringsfarve4 2 3 6 3 2 3" xfId="24643" xr:uid="{00000000-0005-0000-0000-0000AF6F0000}"/>
    <cellStyle name="40 % - Markeringsfarve4 2 3 6 3 2 4" xfId="39630" xr:uid="{00000000-0005-0000-0000-0000B06F0000}"/>
    <cellStyle name="40 % - Markeringsfarve4 2 3 6 3 3" xfId="12499" xr:uid="{00000000-0005-0000-0000-0000B16F0000}"/>
    <cellStyle name="40 % - Markeringsfarve4 2 3 6 3 3 2" xfId="28818" xr:uid="{00000000-0005-0000-0000-0000B26F0000}"/>
    <cellStyle name="40 % - Markeringsfarve4 2 3 6 3 3 3" xfId="43783" xr:uid="{00000000-0005-0000-0000-0000B36F0000}"/>
    <cellStyle name="40 % - Markeringsfarve4 2 3 6 3 4" xfId="21796" xr:uid="{00000000-0005-0000-0000-0000B46F0000}"/>
    <cellStyle name="40 % - Markeringsfarve4 2 3 6 3 5" xfId="36784" xr:uid="{00000000-0005-0000-0000-0000B56F0000}"/>
    <cellStyle name="40 % - Markeringsfarve4 2 3 6 4" xfId="3943" xr:uid="{00000000-0005-0000-0000-0000B66F0000}"/>
    <cellStyle name="40 % - Markeringsfarve4 2 3 6 4 2" xfId="8403" xr:uid="{00000000-0005-0000-0000-0000B76F0000}"/>
    <cellStyle name="40 % - Markeringsfarve4 2 3 6 4 2 2" xfId="16296" xr:uid="{00000000-0005-0000-0000-0000B86F0000}"/>
    <cellStyle name="40 % - Markeringsfarve4 2 3 6 4 2 2 2" xfId="32610" xr:uid="{00000000-0005-0000-0000-0000B96F0000}"/>
    <cellStyle name="40 % - Markeringsfarve4 2 3 6 4 2 2 3" xfId="47574" xr:uid="{00000000-0005-0000-0000-0000BA6F0000}"/>
    <cellStyle name="40 % - Markeringsfarve4 2 3 6 4 2 3" xfId="25588" xr:uid="{00000000-0005-0000-0000-0000BB6F0000}"/>
    <cellStyle name="40 % - Markeringsfarve4 2 3 6 4 2 4" xfId="40575" xr:uid="{00000000-0005-0000-0000-0000BC6F0000}"/>
    <cellStyle name="40 % - Markeringsfarve4 2 3 6 4 3" xfId="12500" xr:uid="{00000000-0005-0000-0000-0000BD6F0000}"/>
    <cellStyle name="40 % - Markeringsfarve4 2 3 6 4 3 2" xfId="28819" xr:uid="{00000000-0005-0000-0000-0000BE6F0000}"/>
    <cellStyle name="40 % - Markeringsfarve4 2 3 6 4 3 3" xfId="43784" xr:uid="{00000000-0005-0000-0000-0000BF6F0000}"/>
    <cellStyle name="40 % - Markeringsfarve4 2 3 6 4 4" xfId="21797" xr:uid="{00000000-0005-0000-0000-0000C06F0000}"/>
    <cellStyle name="40 % - Markeringsfarve4 2 3 6 4 5" xfId="36785" xr:uid="{00000000-0005-0000-0000-0000C16F0000}"/>
    <cellStyle name="40 % - Markeringsfarve4 2 3 6 5" xfId="5930" xr:uid="{00000000-0005-0000-0000-0000C26F0000}"/>
    <cellStyle name="40 % - Markeringsfarve4 2 3 6 5 2" xfId="13848" xr:uid="{00000000-0005-0000-0000-0000C36F0000}"/>
    <cellStyle name="40 % - Markeringsfarve4 2 3 6 5 2 2" xfId="30162" xr:uid="{00000000-0005-0000-0000-0000C46F0000}"/>
    <cellStyle name="40 % - Markeringsfarve4 2 3 6 5 2 3" xfId="45126" xr:uid="{00000000-0005-0000-0000-0000C56F0000}"/>
    <cellStyle name="40 % - Markeringsfarve4 2 3 6 5 3" xfId="23140" xr:uid="{00000000-0005-0000-0000-0000C66F0000}"/>
    <cellStyle name="40 % - Markeringsfarve4 2 3 6 5 4" xfId="38127" xr:uid="{00000000-0005-0000-0000-0000C76F0000}"/>
    <cellStyle name="40 % - Markeringsfarve4 2 3 6 6" xfId="12496" xr:uid="{00000000-0005-0000-0000-0000C86F0000}"/>
    <cellStyle name="40 % - Markeringsfarve4 2 3 6 6 2" xfId="28815" xr:uid="{00000000-0005-0000-0000-0000C96F0000}"/>
    <cellStyle name="40 % - Markeringsfarve4 2 3 6 6 3" xfId="43780" xr:uid="{00000000-0005-0000-0000-0000CA6F0000}"/>
    <cellStyle name="40 % - Markeringsfarve4 2 3 6 7" xfId="21793" xr:uid="{00000000-0005-0000-0000-0000CB6F0000}"/>
    <cellStyle name="40 % - Markeringsfarve4 2 3 6 8" xfId="36781" xr:uid="{00000000-0005-0000-0000-0000CC6F0000}"/>
    <cellStyle name="40 % - Markeringsfarve4 2 3 7" xfId="3944" xr:uid="{00000000-0005-0000-0000-0000CD6F0000}"/>
    <cellStyle name="40 % - Markeringsfarve4 2 3 7 2" xfId="3945" xr:uid="{00000000-0005-0000-0000-0000CE6F0000}"/>
    <cellStyle name="40 % - Markeringsfarve4 2 3 7 2 2" xfId="7600" xr:uid="{00000000-0005-0000-0000-0000CF6F0000}"/>
    <cellStyle name="40 % - Markeringsfarve4 2 3 7 2 2 2" xfId="15501" xr:uid="{00000000-0005-0000-0000-0000D06F0000}"/>
    <cellStyle name="40 % - Markeringsfarve4 2 3 7 2 2 2 2" xfId="31815" xr:uid="{00000000-0005-0000-0000-0000D16F0000}"/>
    <cellStyle name="40 % - Markeringsfarve4 2 3 7 2 2 2 3" xfId="46779" xr:uid="{00000000-0005-0000-0000-0000D26F0000}"/>
    <cellStyle name="40 % - Markeringsfarve4 2 3 7 2 2 3" xfId="24793" xr:uid="{00000000-0005-0000-0000-0000D36F0000}"/>
    <cellStyle name="40 % - Markeringsfarve4 2 3 7 2 2 4" xfId="39780" xr:uid="{00000000-0005-0000-0000-0000D46F0000}"/>
    <cellStyle name="40 % - Markeringsfarve4 2 3 7 2 3" xfId="12502" xr:uid="{00000000-0005-0000-0000-0000D56F0000}"/>
    <cellStyle name="40 % - Markeringsfarve4 2 3 7 2 3 2" xfId="28821" xr:uid="{00000000-0005-0000-0000-0000D66F0000}"/>
    <cellStyle name="40 % - Markeringsfarve4 2 3 7 2 3 3" xfId="43786" xr:uid="{00000000-0005-0000-0000-0000D76F0000}"/>
    <cellStyle name="40 % - Markeringsfarve4 2 3 7 2 4" xfId="21799" xr:uid="{00000000-0005-0000-0000-0000D86F0000}"/>
    <cellStyle name="40 % - Markeringsfarve4 2 3 7 2 5" xfId="36787" xr:uid="{00000000-0005-0000-0000-0000D96F0000}"/>
    <cellStyle name="40 % - Markeringsfarve4 2 3 7 3" xfId="6186" xr:uid="{00000000-0005-0000-0000-0000DA6F0000}"/>
    <cellStyle name="40 % - Markeringsfarve4 2 3 7 3 2" xfId="14103" xr:uid="{00000000-0005-0000-0000-0000DB6F0000}"/>
    <cellStyle name="40 % - Markeringsfarve4 2 3 7 3 2 2" xfId="30417" xr:uid="{00000000-0005-0000-0000-0000DC6F0000}"/>
    <cellStyle name="40 % - Markeringsfarve4 2 3 7 3 2 3" xfId="45381" xr:uid="{00000000-0005-0000-0000-0000DD6F0000}"/>
    <cellStyle name="40 % - Markeringsfarve4 2 3 7 3 3" xfId="23395" xr:uid="{00000000-0005-0000-0000-0000DE6F0000}"/>
    <cellStyle name="40 % - Markeringsfarve4 2 3 7 3 4" xfId="38382" xr:uid="{00000000-0005-0000-0000-0000DF6F0000}"/>
    <cellStyle name="40 % - Markeringsfarve4 2 3 7 4" xfId="12501" xr:uid="{00000000-0005-0000-0000-0000E06F0000}"/>
    <cellStyle name="40 % - Markeringsfarve4 2 3 7 4 2" xfId="28820" xr:uid="{00000000-0005-0000-0000-0000E16F0000}"/>
    <cellStyle name="40 % - Markeringsfarve4 2 3 7 4 3" xfId="43785" xr:uid="{00000000-0005-0000-0000-0000E26F0000}"/>
    <cellStyle name="40 % - Markeringsfarve4 2 3 7 5" xfId="21798" xr:uid="{00000000-0005-0000-0000-0000E36F0000}"/>
    <cellStyle name="40 % - Markeringsfarve4 2 3 7 6" xfId="36786" xr:uid="{00000000-0005-0000-0000-0000E46F0000}"/>
    <cellStyle name="40 % - Markeringsfarve4 2 3 8" xfId="3946" xr:uid="{00000000-0005-0000-0000-0000E56F0000}"/>
    <cellStyle name="40 % - Markeringsfarve4 2 3 8 2" xfId="6828" xr:uid="{00000000-0005-0000-0000-0000E66F0000}"/>
    <cellStyle name="40 % - Markeringsfarve4 2 3 8 2 2" xfId="14739" xr:uid="{00000000-0005-0000-0000-0000E76F0000}"/>
    <cellStyle name="40 % - Markeringsfarve4 2 3 8 2 2 2" xfId="31053" xr:uid="{00000000-0005-0000-0000-0000E86F0000}"/>
    <cellStyle name="40 % - Markeringsfarve4 2 3 8 2 2 3" xfId="46017" xr:uid="{00000000-0005-0000-0000-0000E96F0000}"/>
    <cellStyle name="40 % - Markeringsfarve4 2 3 8 2 3" xfId="24031" xr:uid="{00000000-0005-0000-0000-0000EA6F0000}"/>
    <cellStyle name="40 % - Markeringsfarve4 2 3 8 2 4" xfId="39018" xr:uid="{00000000-0005-0000-0000-0000EB6F0000}"/>
    <cellStyle name="40 % - Markeringsfarve4 2 3 8 3" xfId="12503" xr:uid="{00000000-0005-0000-0000-0000EC6F0000}"/>
    <cellStyle name="40 % - Markeringsfarve4 2 3 8 3 2" xfId="28822" xr:uid="{00000000-0005-0000-0000-0000ED6F0000}"/>
    <cellStyle name="40 % - Markeringsfarve4 2 3 8 3 3" xfId="43787" xr:uid="{00000000-0005-0000-0000-0000EE6F0000}"/>
    <cellStyle name="40 % - Markeringsfarve4 2 3 8 4" xfId="21800" xr:uid="{00000000-0005-0000-0000-0000EF6F0000}"/>
    <cellStyle name="40 % - Markeringsfarve4 2 3 8 5" xfId="36788" xr:uid="{00000000-0005-0000-0000-0000F06F0000}"/>
    <cellStyle name="40 % - Markeringsfarve4 2 3 9" xfId="3947" xr:uid="{00000000-0005-0000-0000-0000F16F0000}"/>
    <cellStyle name="40 % - Markeringsfarve4 2 3 9 2" xfId="8769" xr:uid="{00000000-0005-0000-0000-0000F26F0000}"/>
    <cellStyle name="40 % - Markeringsfarve4 2 3 9 2 2" xfId="16645" xr:uid="{00000000-0005-0000-0000-0000F36F0000}"/>
    <cellStyle name="40 % - Markeringsfarve4 2 3 9 2 2 2" xfId="32959" xr:uid="{00000000-0005-0000-0000-0000F46F0000}"/>
    <cellStyle name="40 % - Markeringsfarve4 2 3 9 2 2 3" xfId="47923" xr:uid="{00000000-0005-0000-0000-0000F56F0000}"/>
    <cellStyle name="40 % - Markeringsfarve4 2 3 9 2 3" xfId="25937" xr:uid="{00000000-0005-0000-0000-0000F66F0000}"/>
    <cellStyle name="40 % - Markeringsfarve4 2 3 9 2 4" xfId="40924" xr:uid="{00000000-0005-0000-0000-0000F76F0000}"/>
    <cellStyle name="40 % - Markeringsfarve4 2 3 9 3" xfId="12504" xr:uid="{00000000-0005-0000-0000-0000F86F0000}"/>
    <cellStyle name="40 % - Markeringsfarve4 2 3 9 3 2" xfId="28823" xr:uid="{00000000-0005-0000-0000-0000F96F0000}"/>
    <cellStyle name="40 % - Markeringsfarve4 2 3 9 3 3" xfId="43788" xr:uid="{00000000-0005-0000-0000-0000FA6F0000}"/>
    <cellStyle name="40 % - Markeringsfarve4 2 3 9 4" xfId="21801" xr:uid="{00000000-0005-0000-0000-0000FB6F0000}"/>
    <cellStyle name="40 % - Markeringsfarve4 2 3 9 5" xfId="36789" xr:uid="{00000000-0005-0000-0000-0000FC6F0000}"/>
    <cellStyle name="40 % - Markeringsfarve4 2 4" xfId="3948" xr:uid="{00000000-0005-0000-0000-0000FD6F0000}"/>
    <cellStyle name="40 % - Markeringsfarve4 2 4 2" xfId="3949" xr:uid="{00000000-0005-0000-0000-0000FE6F0000}"/>
    <cellStyle name="40 % - Markeringsfarve4 2 4 2 2" xfId="3950" xr:uid="{00000000-0005-0000-0000-0000FF6F0000}"/>
    <cellStyle name="40 % - Markeringsfarve4 2 4 2 2 2" xfId="7641" xr:uid="{00000000-0005-0000-0000-000000700000}"/>
    <cellStyle name="40 % - Markeringsfarve4 2 4 2 2 2 2" xfId="15542" xr:uid="{00000000-0005-0000-0000-000001700000}"/>
    <cellStyle name="40 % - Markeringsfarve4 2 4 2 2 2 2 2" xfId="31856" xr:uid="{00000000-0005-0000-0000-000002700000}"/>
    <cellStyle name="40 % - Markeringsfarve4 2 4 2 2 2 2 3" xfId="46820" xr:uid="{00000000-0005-0000-0000-000003700000}"/>
    <cellStyle name="40 % - Markeringsfarve4 2 4 2 2 2 3" xfId="24834" xr:uid="{00000000-0005-0000-0000-000004700000}"/>
    <cellStyle name="40 % - Markeringsfarve4 2 4 2 2 2 4" xfId="39821" xr:uid="{00000000-0005-0000-0000-000005700000}"/>
    <cellStyle name="40 % - Markeringsfarve4 2 4 2 2 3" xfId="12507" xr:uid="{00000000-0005-0000-0000-000006700000}"/>
    <cellStyle name="40 % - Markeringsfarve4 2 4 2 2 3 2" xfId="28826" xr:uid="{00000000-0005-0000-0000-000007700000}"/>
    <cellStyle name="40 % - Markeringsfarve4 2 4 2 2 3 3" xfId="43791" xr:uid="{00000000-0005-0000-0000-000008700000}"/>
    <cellStyle name="40 % - Markeringsfarve4 2 4 2 2 4" xfId="21804" xr:uid="{00000000-0005-0000-0000-000009700000}"/>
    <cellStyle name="40 % - Markeringsfarve4 2 4 2 2 5" xfId="36792" xr:uid="{00000000-0005-0000-0000-00000A700000}"/>
    <cellStyle name="40 % - Markeringsfarve4 2 4 2 3" xfId="6219" xr:uid="{00000000-0005-0000-0000-00000B700000}"/>
    <cellStyle name="40 % - Markeringsfarve4 2 4 2 3 2" xfId="14136" xr:uid="{00000000-0005-0000-0000-00000C700000}"/>
    <cellStyle name="40 % - Markeringsfarve4 2 4 2 3 2 2" xfId="30450" xr:uid="{00000000-0005-0000-0000-00000D700000}"/>
    <cellStyle name="40 % - Markeringsfarve4 2 4 2 3 2 3" xfId="45414" xr:uid="{00000000-0005-0000-0000-00000E700000}"/>
    <cellStyle name="40 % - Markeringsfarve4 2 4 2 3 3" xfId="23428" xr:uid="{00000000-0005-0000-0000-00000F700000}"/>
    <cellStyle name="40 % - Markeringsfarve4 2 4 2 3 4" xfId="38415" xr:uid="{00000000-0005-0000-0000-000010700000}"/>
    <cellStyle name="40 % - Markeringsfarve4 2 4 2 4" xfId="12506" xr:uid="{00000000-0005-0000-0000-000011700000}"/>
    <cellStyle name="40 % - Markeringsfarve4 2 4 2 4 2" xfId="28825" xr:uid="{00000000-0005-0000-0000-000012700000}"/>
    <cellStyle name="40 % - Markeringsfarve4 2 4 2 4 3" xfId="43790" xr:uid="{00000000-0005-0000-0000-000013700000}"/>
    <cellStyle name="40 % - Markeringsfarve4 2 4 2 5" xfId="21803" xr:uid="{00000000-0005-0000-0000-000014700000}"/>
    <cellStyle name="40 % - Markeringsfarve4 2 4 2 6" xfId="36791" xr:uid="{00000000-0005-0000-0000-000015700000}"/>
    <cellStyle name="40 % - Markeringsfarve4 2 4 2 7" xfId="57189" xr:uid="{00000000-0005-0000-0000-000016700000}"/>
    <cellStyle name="40 % - Markeringsfarve4 2 4 3" xfId="3951" xr:uid="{00000000-0005-0000-0000-000017700000}"/>
    <cellStyle name="40 % - Markeringsfarve4 2 4 3 2" xfId="6871" xr:uid="{00000000-0005-0000-0000-000018700000}"/>
    <cellStyle name="40 % - Markeringsfarve4 2 4 3 2 2" xfId="14782" xr:uid="{00000000-0005-0000-0000-000019700000}"/>
    <cellStyle name="40 % - Markeringsfarve4 2 4 3 2 2 2" xfId="31096" xr:uid="{00000000-0005-0000-0000-00001A700000}"/>
    <cellStyle name="40 % - Markeringsfarve4 2 4 3 2 2 3" xfId="46060" xr:uid="{00000000-0005-0000-0000-00001B700000}"/>
    <cellStyle name="40 % - Markeringsfarve4 2 4 3 2 3" xfId="24074" xr:uid="{00000000-0005-0000-0000-00001C700000}"/>
    <cellStyle name="40 % - Markeringsfarve4 2 4 3 2 4" xfId="39061" xr:uid="{00000000-0005-0000-0000-00001D700000}"/>
    <cellStyle name="40 % - Markeringsfarve4 2 4 3 3" xfId="12508" xr:uid="{00000000-0005-0000-0000-00001E700000}"/>
    <cellStyle name="40 % - Markeringsfarve4 2 4 3 3 2" xfId="28827" xr:uid="{00000000-0005-0000-0000-00001F700000}"/>
    <cellStyle name="40 % - Markeringsfarve4 2 4 3 3 3" xfId="43792" xr:uid="{00000000-0005-0000-0000-000020700000}"/>
    <cellStyle name="40 % - Markeringsfarve4 2 4 3 4" xfId="21805" xr:uid="{00000000-0005-0000-0000-000021700000}"/>
    <cellStyle name="40 % - Markeringsfarve4 2 4 3 5" xfId="36793" xr:uid="{00000000-0005-0000-0000-000022700000}"/>
    <cellStyle name="40 % - Markeringsfarve4 2 4 4" xfId="3952" xr:uid="{00000000-0005-0000-0000-000023700000}"/>
    <cellStyle name="40 % - Markeringsfarve4 2 4 4 2" xfId="8635" xr:uid="{00000000-0005-0000-0000-000024700000}"/>
    <cellStyle name="40 % - Markeringsfarve4 2 4 4 2 2" xfId="16518" xr:uid="{00000000-0005-0000-0000-000025700000}"/>
    <cellStyle name="40 % - Markeringsfarve4 2 4 4 2 2 2" xfId="32832" xr:uid="{00000000-0005-0000-0000-000026700000}"/>
    <cellStyle name="40 % - Markeringsfarve4 2 4 4 2 2 3" xfId="47796" xr:uid="{00000000-0005-0000-0000-000027700000}"/>
    <cellStyle name="40 % - Markeringsfarve4 2 4 4 2 3" xfId="25810" xr:uid="{00000000-0005-0000-0000-000028700000}"/>
    <cellStyle name="40 % - Markeringsfarve4 2 4 4 2 4" xfId="40797" xr:uid="{00000000-0005-0000-0000-000029700000}"/>
    <cellStyle name="40 % - Markeringsfarve4 2 4 4 3" xfId="12509" xr:uid="{00000000-0005-0000-0000-00002A700000}"/>
    <cellStyle name="40 % - Markeringsfarve4 2 4 4 3 2" xfId="28828" xr:uid="{00000000-0005-0000-0000-00002B700000}"/>
    <cellStyle name="40 % - Markeringsfarve4 2 4 4 3 3" xfId="43793" xr:uid="{00000000-0005-0000-0000-00002C700000}"/>
    <cellStyle name="40 % - Markeringsfarve4 2 4 4 4" xfId="21806" xr:uid="{00000000-0005-0000-0000-00002D700000}"/>
    <cellStyle name="40 % - Markeringsfarve4 2 4 4 5" xfId="36794" xr:uid="{00000000-0005-0000-0000-00002E700000}"/>
    <cellStyle name="40 % - Markeringsfarve4 2 4 5" xfId="5931" xr:uid="{00000000-0005-0000-0000-00002F700000}"/>
    <cellStyle name="40 % - Markeringsfarve4 2 4 5 2" xfId="13849" xr:uid="{00000000-0005-0000-0000-000030700000}"/>
    <cellStyle name="40 % - Markeringsfarve4 2 4 5 2 2" xfId="30163" xr:uid="{00000000-0005-0000-0000-000031700000}"/>
    <cellStyle name="40 % - Markeringsfarve4 2 4 5 2 3" xfId="45127" xr:uid="{00000000-0005-0000-0000-000032700000}"/>
    <cellStyle name="40 % - Markeringsfarve4 2 4 5 3" xfId="23141" xr:uid="{00000000-0005-0000-0000-000033700000}"/>
    <cellStyle name="40 % - Markeringsfarve4 2 4 5 4" xfId="38128" xr:uid="{00000000-0005-0000-0000-000034700000}"/>
    <cellStyle name="40 % - Markeringsfarve4 2 4 6" xfId="12505" xr:uid="{00000000-0005-0000-0000-000035700000}"/>
    <cellStyle name="40 % - Markeringsfarve4 2 4 6 2" xfId="28824" xr:uid="{00000000-0005-0000-0000-000036700000}"/>
    <cellStyle name="40 % - Markeringsfarve4 2 4 6 3" xfId="43789" xr:uid="{00000000-0005-0000-0000-000037700000}"/>
    <cellStyle name="40 % - Markeringsfarve4 2 4 7" xfId="21802" xr:uid="{00000000-0005-0000-0000-000038700000}"/>
    <cellStyle name="40 % - Markeringsfarve4 2 4 8" xfId="36790" xr:uid="{00000000-0005-0000-0000-000039700000}"/>
    <cellStyle name="40 % - Markeringsfarve4 2 4 9" xfId="54022" xr:uid="{00000000-0005-0000-0000-00003A700000}"/>
    <cellStyle name="40 % - Markeringsfarve4 2 5" xfId="3953" xr:uid="{00000000-0005-0000-0000-00003B700000}"/>
    <cellStyle name="40 % - Markeringsfarve4 2 5 2" xfId="3954" xr:uid="{00000000-0005-0000-0000-00003C700000}"/>
    <cellStyle name="40 % - Markeringsfarve4 2 5 2 2" xfId="3955" xr:uid="{00000000-0005-0000-0000-00003D700000}"/>
    <cellStyle name="40 % - Markeringsfarve4 2 5 2 2 2" xfId="7808" xr:uid="{00000000-0005-0000-0000-00003E700000}"/>
    <cellStyle name="40 % - Markeringsfarve4 2 5 2 2 2 2" xfId="15709" xr:uid="{00000000-0005-0000-0000-00003F700000}"/>
    <cellStyle name="40 % - Markeringsfarve4 2 5 2 2 2 2 2" xfId="32023" xr:uid="{00000000-0005-0000-0000-000040700000}"/>
    <cellStyle name="40 % - Markeringsfarve4 2 5 2 2 2 2 3" xfId="46987" xr:uid="{00000000-0005-0000-0000-000041700000}"/>
    <cellStyle name="40 % - Markeringsfarve4 2 5 2 2 2 3" xfId="25001" xr:uid="{00000000-0005-0000-0000-000042700000}"/>
    <cellStyle name="40 % - Markeringsfarve4 2 5 2 2 2 4" xfId="39988" xr:uid="{00000000-0005-0000-0000-000043700000}"/>
    <cellStyle name="40 % - Markeringsfarve4 2 5 2 2 3" xfId="12512" xr:uid="{00000000-0005-0000-0000-000044700000}"/>
    <cellStyle name="40 % - Markeringsfarve4 2 5 2 2 3 2" xfId="28831" xr:uid="{00000000-0005-0000-0000-000045700000}"/>
    <cellStyle name="40 % - Markeringsfarve4 2 5 2 2 3 3" xfId="43796" xr:uid="{00000000-0005-0000-0000-000046700000}"/>
    <cellStyle name="40 % - Markeringsfarve4 2 5 2 2 4" xfId="21809" xr:uid="{00000000-0005-0000-0000-000047700000}"/>
    <cellStyle name="40 % - Markeringsfarve4 2 5 2 2 5" xfId="36797" xr:uid="{00000000-0005-0000-0000-000048700000}"/>
    <cellStyle name="40 % - Markeringsfarve4 2 5 2 3" xfId="6354" xr:uid="{00000000-0005-0000-0000-000049700000}"/>
    <cellStyle name="40 % - Markeringsfarve4 2 5 2 3 2" xfId="14271" xr:uid="{00000000-0005-0000-0000-00004A700000}"/>
    <cellStyle name="40 % - Markeringsfarve4 2 5 2 3 2 2" xfId="30585" xr:uid="{00000000-0005-0000-0000-00004B700000}"/>
    <cellStyle name="40 % - Markeringsfarve4 2 5 2 3 2 3" xfId="45549" xr:uid="{00000000-0005-0000-0000-00004C700000}"/>
    <cellStyle name="40 % - Markeringsfarve4 2 5 2 3 3" xfId="23563" xr:uid="{00000000-0005-0000-0000-00004D700000}"/>
    <cellStyle name="40 % - Markeringsfarve4 2 5 2 3 4" xfId="38550" xr:uid="{00000000-0005-0000-0000-00004E700000}"/>
    <cellStyle name="40 % - Markeringsfarve4 2 5 2 4" xfId="12511" xr:uid="{00000000-0005-0000-0000-00004F700000}"/>
    <cellStyle name="40 % - Markeringsfarve4 2 5 2 4 2" xfId="28830" xr:uid="{00000000-0005-0000-0000-000050700000}"/>
    <cellStyle name="40 % - Markeringsfarve4 2 5 2 4 3" xfId="43795" xr:uid="{00000000-0005-0000-0000-000051700000}"/>
    <cellStyle name="40 % - Markeringsfarve4 2 5 2 5" xfId="21808" xr:uid="{00000000-0005-0000-0000-000052700000}"/>
    <cellStyle name="40 % - Markeringsfarve4 2 5 2 6" xfId="36796" xr:uid="{00000000-0005-0000-0000-000053700000}"/>
    <cellStyle name="40 % - Markeringsfarve4 2 5 3" xfId="3956" xr:uid="{00000000-0005-0000-0000-000054700000}"/>
    <cellStyle name="40 % - Markeringsfarve4 2 5 3 2" xfId="7038" xr:uid="{00000000-0005-0000-0000-000055700000}"/>
    <cellStyle name="40 % - Markeringsfarve4 2 5 3 2 2" xfId="14949" xr:uid="{00000000-0005-0000-0000-000056700000}"/>
    <cellStyle name="40 % - Markeringsfarve4 2 5 3 2 2 2" xfId="31263" xr:uid="{00000000-0005-0000-0000-000057700000}"/>
    <cellStyle name="40 % - Markeringsfarve4 2 5 3 2 2 3" xfId="46227" xr:uid="{00000000-0005-0000-0000-000058700000}"/>
    <cellStyle name="40 % - Markeringsfarve4 2 5 3 2 3" xfId="24241" xr:uid="{00000000-0005-0000-0000-000059700000}"/>
    <cellStyle name="40 % - Markeringsfarve4 2 5 3 2 4" xfId="39228" xr:uid="{00000000-0005-0000-0000-00005A700000}"/>
    <cellStyle name="40 % - Markeringsfarve4 2 5 3 3" xfId="12513" xr:uid="{00000000-0005-0000-0000-00005B700000}"/>
    <cellStyle name="40 % - Markeringsfarve4 2 5 3 3 2" xfId="28832" xr:uid="{00000000-0005-0000-0000-00005C700000}"/>
    <cellStyle name="40 % - Markeringsfarve4 2 5 3 3 3" xfId="43797" xr:uid="{00000000-0005-0000-0000-00005D700000}"/>
    <cellStyle name="40 % - Markeringsfarve4 2 5 3 4" xfId="21810" xr:uid="{00000000-0005-0000-0000-00005E700000}"/>
    <cellStyle name="40 % - Markeringsfarve4 2 5 3 5" xfId="36798" xr:uid="{00000000-0005-0000-0000-00005F700000}"/>
    <cellStyle name="40 % - Markeringsfarve4 2 5 4" xfId="3957" xr:uid="{00000000-0005-0000-0000-000060700000}"/>
    <cellStyle name="40 % - Markeringsfarve4 2 5 4 2" xfId="8285" xr:uid="{00000000-0005-0000-0000-000061700000}"/>
    <cellStyle name="40 % - Markeringsfarve4 2 5 4 2 2" xfId="16179" xr:uid="{00000000-0005-0000-0000-000062700000}"/>
    <cellStyle name="40 % - Markeringsfarve4 2 5 4 2 2 2" xfId="32493" xr:uid="{00000000-0005-0000-0000-000063700000}"/>
    <cellStyle name="40 % - Markeringsfarve4 2 5 4 2 2 3" xfId="47457" xr:uid="{00000000-0005-0000-0000-000064700000}"/>
    <cellStyle name="40 % - Markeringsfarve4 2 5 4 2 3" xfId="25471" xr:uid="{00000000-0005-0000-0000-000065700000}"/>
    <cellStyle name="40 % - Markeringsfarve4 2 5 4 2 4" xfId="40458" xr:uid="{00000000-0005-0000-0000-000066700000}"/>
    <cellStyle name="40 % - Markeringsfarve4 2 5 4 3" xfId="12514" xr:uid="{00000000-0005-0000-0000-000067700000}"/>
    <cellStyle name="40 % - Markeringsfarve4 2 5 4 3 2" xfId="28833" xr:uid="{00000000-0005-0000-0000-000068700000}"/>
    <cellStyle name="40 % - Markeringsfarve4 2 5 4 3 3" xfId="43798" xr:uid="{00000000-0005-0000-0000-000069700000}"/>
    <cellStyle name="40 % - Markeringsfarve4 2 5 4 4" xfId="21811" xr:uid="{00000000-0005-0000-0000-00006A700000}"/>
    <cellStyle name="40 % - Markeringsfarve4 2 5 4 5" xfId="36799" xr:uid="{00000000-0005-0000-0000-00006B700000}"/>
    <cellStyle name="40 % - Markeringsfarve4 2 5 5" xfId="5932" xr:uid="{00000000-0005-0000-0000-00006C700000}"/>
    <cellStyle name="40 % - Markeringsfarve4 2 5 5 2" xfId="13850" xr:uid="{00000000-0005-0000-0000-00006D700000}"/>
    <cellStyle name="40 % - Markeringsfarve4 2 5 5 2 2" xfId="30164" xr:uid="{00000000-0005-0000-0000-00006E700000}"/>
    <cellStyle name="40 % - Markeringsfarve4 2 5 5 2 3" xfId="45128" xr:uid="{00000000-0005-0000-0000-00006F700000}"/>
    <cellStyle name="40 % - Markeringsfarve4 2 5 5 3" xfId="23142" xr:uid="{00000000-0005-0000-0000-000070700000}"/>
    <cellStyle name="40 % - Markeringsfarve4 2 5 5 4" xfId="38129" xr:uid="{00000000-0005-0000-0000-000071700000}"/>
    <cellStyle name="40 % - Markeringsfarve4 2 5 6" xfId="12510" xr:uid="{00000000-0005-0000-0000-000072700000}"/>
    <cellStyle name="40 % - Markeringsfarve4 2 5 6 2" xfId="28829" xr:uid="{00000000-0005-0000-0000-000073700000}"/>
    <cellStyle name="40 % - Markeringsfarve4 2 5 6 3" xfId="43794" xr:uid="{00000000-0005-0000-0000-000074700000}"/>
    <cellStyle name="40 % - Markeringsfarve4 2 5 7" xfId="21807" xr:uid="{00000000-0005-0000-0000-000075700000}"/>
    <cellStyle name="40 % - Markeringsfarve4 2 5 8" xfId="36795" xr:uid="{00000000-0005-0000-0000-000076700000}"/>
    <cellStyle name="40 % - Markeringsfarve4 2 5 9" xfId="56566" xr:uid="{00000000-0005-0000-0000-000077700000}"/>
    <cellStyle name="40 % - Markeringsfarve4 2 6" xfId="3958" xr:uid="{00000000-0005-0000-0000-000078700000}"/>
    <cellStyle name="40 % - Markeringsfarve4 2 6 2" xfId="3959" xr:uid="{00000000-0005-0000-0000-000079700000}"/>
    <cellStyle name="40 % - Markeringsfarve4 2 6 2 2" xfId="3960" xr:uid="{00000000-0005-0000-0000-00007A700000}"/>
    <cellStyle name="40 % - Markeringsfarve4 2 6 2 2 2" xfId="7879" xr:uid="{00000000-0005-0000-0000-00007B700000}"/>
    <cellStyle name="40 % - Markeringsfarve4 2 6 2 2 2 2" xfId="15780" xr:uid="{00000000-0005-0000-0000-00007C700000}"/>
    <cellStyle name="40 % - Markeringsfarve4 2 6 2 2 2 2 2" xfId="32094" xr:uid="{00000000-0005-0000-0000-00007D700000}"/>
    <cellStyle name="40 % - Markeringsfarve4 2 6 2 2 2 2 3" xfId="47058" xr:uid="{00000000-0005-0000-0000-00007E700000}"/>
    <cellStyle name="40 % - Markeringsfarve4 2 6 2 2 2 3" xfId="25072" xr:uid="{00000000-0005-0000-0000-00007F700000}"/>
    <cellStyle name="40 % - Markeringsfarve4 2 6 2 2 2 4" xfId="40059" xr:uid="{00000000-0005-0000-0000-000080700000}"/>
    <cellStyle name="40 % - Markeringsfarve4 2 6 2 2 3" xfId="12517" xr:uid="{00000000-0005-0000-0000-000081700000}"/>
    <cellStyle name="40 % - Markeringsfarve4 2 6 2 2 3 2" xfId="28836" xr:uid="{00000000-0005-0000-0000-000082700000}"/>
    <cellStyle name="40 % - Markeringsfarve4 2 6 2 2 3 3" xfId="43801" xr:uid="{00000000-0005-0000-0000-000083700000}"/>
    <cellStyle name="40 % - Markeringsfarve4 2 6 2 2 4" xfId="21814" xr:uid="{00000000-0005-0000-0000-000084700000}"/>
    <cellStyle name="40 % - Markeringsfarve4 2 6 2 2 5" xfId="36802" xr:uid="{00000000-0005-0000-0000-000085700000}"/>
    <cellStyle name="40 % - Markeringsfarve4 2 6 2 3" xfId="6421" xr:uid="{00000000-0005-0000-0000-000086700000}"/>
    <cellStyle name="40 % - Markeringsfarve4 2 6 2 3 2" xfId="14335" xr:uid="{00000000-0005-0000-0000-000087700000}"/>
    <cellStyle name="40 % - Markeringsfarve4 2 6 2 3 2 2" xfId="30649" xr:uid="{00000000-0005-0000-0000-000088700000}"/>
    <cellStyle name="40 % - Markeringsfarve4 2 6 2 3 2 3" xfId="45613" xr:uid="{00000000-0005-0000-0000-000089700000}"/>
    <cellStyle name="40 % - Markeringsfarve4 2 6 2 3 3" xfId="23627" xr:uid="{00000000-0005-0000-0000-00008A700000}"/>
    <cellStyle name="40 % - Markeringsfarve4 2 6 2 3 4" xfId="38614" xr:uid="{00000000-0005-0000-0000-00008B700000}"/>
    <cellStyle name="40 % - Markeringsfarve4 2 6 2 4" xfId="12516" xr:uid="{00000000-0005-0000-0000-00008C700000}"/>
    <cellStyle name="40 % - Markeringsfarve4 2 6 2 4 2" xfId="28835" xr:uid="{00000000-0005-0000-0000-00008D700000}"/>
    <cellStyle name="40 % - Markeringsfarve4 2 6 2 4 3" xfId="43800" xr:uid="{00000000-0005-0000-0000-00008E700000}"/>
    <cellStyle name="40 % - Markeringsfarve4 2 6 2 5" xfId="21813" xr:uid="{00000000-0005-0000-0000-00008F700000}"/>
    <cellStyle name="40 % - Markeringsfarve4 2 6 2 6" xfId="36801" xr:uid="{00000000-0005-0000-0000-000090700000}"/>
    <cellStyle name="40 % - Markeringsfarve4 2 6 3" xfId="3961" xr:uid="{00000000-0005-0000-0000-000091700000}"/>
    <cellStyle name="40 % - Markeringsfarve4 2 6 3 2" xfId="7155" xr:uid="{00000000-0005-0000-0000-000092700000}"/>
    <cellStyle name="40 % - Markeringsfarve4 2 6 3 2 2" xfId="15065" xr:uid="{00000000-0005-0000-0000-000093700000}"/>
    <cellStyle name="40 % - Markeringsfarve4 2 6 3 2 2 2" xfId="31379" xr:uid="{00000000-0005-0000-0000-000094700000}"/>
    <cellStyle name="40 % - Markeringsfarve4 2 6 3 2 2 3" xfId="46343" xr:uid="{00000000-0005-0000-0000-000095700000}"/>
    <cellStyle name="40 % - Markeringsfarve4 2 6 3 2 3" xfId="24357" xr:uid="{00000000-0005-0000-0000-000096700000}"/>
    <cellStyle name="40 % - Markeringsfarve4 2 6 3 2 4" xfId="39344" xr:uid="{00000000-0005-0000-0000-000097700000}"/>
    <cellStyle name="40 % - Markeringsfarve4 2 6 3 3" xfId="12518" xr:uid="{00000000-0005-0000-0000-000098700000}"/>
    <cellStyle name="40 % - Markeringsfarve4 2 6 3 3 2" xfId="28837" xr:uid="{00000000-0005-0000-0000-000099700000}"/>
    <cellStyle name="40 % - Markeringsfarve4 2 6 3 3 3" xfId="43802" xr:uid="{00000000-0005-0000-0000-00009A700000}"/>
    <cellStyle name="40 % - Markeringsfarve4 2 6 3 4" xfId="21815" xr:uid="{00000000-0005-0000-0000-00009B700000}"/>
    <cellStyle name="40 % - Markeringsfarve4 2 6 3 5" xfId="36803" xr:uid="{00000000-0005-0000-0000-00009C700000}"/>
    <cellStyle name="40 % - Markeringsfarve4 2 6 4" xfId="3962" xr:uid="{00000000-0005-0000-0000-00009D700000}"/>
    <cellStyle name="40 % - Markeringsfarve4 2 6 4 2" xfId="8587" xr:uid="{00000000-0005-0000-0000-00009E700000}"/>
    <cellStyle name="40 % - Markeringsfarve4 2 6 4 2 2" xfId="16474" xr:uid="{00000000-0005-0000-0000-00009F700000}"/>
    <cellStyle name="40 % - Markeringsfarve4 2 6 4 2 2 2" xfId="32788" xr:uid="{00000000-0005-0000-0000-0000A0700000}"/>
    <cellStyle name="40 % - Markeringsfarve4 2 6 4 2 2 3" xfId="47752" xr:uid="{00000000-0005-0000-0000-0000A1700000}"/>
    <cellStyle name="40 % - Markeringsfarve4 2 6 4 2 3" xfId="25766" xr:uid="{00000000-0005-0000-0000-0000A2700000}"/>
    <cellStyle name="40 % - Markeringsfarve4 2 6 4 2 4" xfId="40753" xr:uid="{00000000-0005-0000-0000-0000A3700000}"/>
    <cellStyle name="40 % - Markeringsfarve4 2 6 4 3" xfId="12519" xr:uid="{00000000-0005-0000-0000-0000A4700000}"/>
    <cellStyle name="40 % - Markeringsfarve4 2 6 4 3 2" xfId="28838" xr:uid="{00000000-0005-0000-0000-0000A5700000}"/>
    <cellStyle name="40 % - Markeringsfarve4 2 6 4 3 3" xfId="43803" xr:uid="{00000000-0005-0000-0000-0000A6700000}"/>
    <cellStyle name="40 % - Markeringsfarve4 2 6 4 4" xfId="21816" xr:uid="{00000000-0005-0000-0000-0000A7700000}"/>
    <cellStyle name="40 % - Markeringsfarve4 2 6 4 5" xfId="36804" xr:uid="{00000000-0005-0000-0000-0000A8700000}"/>
    <cellStyle name="40 % - Markeringsfarve4 2 6 5" xfId="5933" xr:uid="{00000000-0005-0000-0000-0000A9700000}"/>
    <cellStyle name="40 % - Markeringsfarve4 2 6 5 2" xfId="13851" xr:uid="{00000000-0005-0000-0000-0000AA700000}"/>
    <cellStyle name="40 % - Markeringsfarve4 2 6 5 2 2" xfId="30165" xr:uid="{00000000-0005-0000-0000-0000AB700000}"/>
    <cellStyle name="40 % - Markeringsfarve4 2 6 5 2 3" xfId="45129" xr:uid="{00000000-0005-0000-0000-0000AC700000}"/>
    <cellStyle name="40 % - Markeringsfarve4 2 6 5 3" xfId="23143" xr:uid="{00000000-0005-0000-0000-0000AD700000}"/>
    <cellStyle name="40 % - Markeringsfarve4 2 6 5 4" xfId="38130" xr:uid="{00000000-0005-0000-0000-0000AE700000}"/>
    <cellStyle name="40 % - Markeringsfarve4 2 6 6" xfId="12515" xr:uid="{00000000-0005-0000-0000-0000AF700000}"/>
    <cellStyle name="40 % - Markeringsfarve4 2 6 6 2" xfId="28834" xr:uid="{00000000-0005-0000-0000-0000B0700000}"/>
    <cellStyle name="40 % - Markeringsfarve4 2 6 6 3" xfId="43799" xr:uid="{00000000-0005-0000-0000-0000B1700000}"/>
    <cellStyle name="40 % - Markeringsfarve4 2 6 7" xfId="21812" xr:uid="{00000000-0005-0000-0000-0000B2700000}"/>
    <cellStyle name="40 % - Markeringsfarve4 2 6 8" xfId="36800" xr:uid="{00000000-0005-0000-0000-0000B3700000}"/>
    <cellStyle name="40 % - Markeringsfarve4 2 7" xfId="3963" xr:uid="{00000000-0005-0000-0000-0000B4700000}"/>
    <cellStyle name="40 % - Markeringsfarve4 2 7 2" xfId="3964" xr:uid="{00000000-0005-0000-0000-0000B5700000}"/>
    <cellStyle name="40 % - Markeringsfarve4 2 7 2 2" xfId="3965" xr:uid="{00000000-0005-0000-0000-0000B6700000}"/>
    <cellStyle name="40 % - Markeringsfarve4 2 7 2 2 2" xfId="7996" xr:uid="{00000000-0005-0000-0000-0000B7700000}"/>
    <cellStyle name="40 % - Markeringsfarve4 2 7 2 2 2 2" xfId="15897" xr:uid="{00000000-0005-0000-0000-0000B8700000}"/>
    <cellStyle name="40 % - Markeringsfarve4 2 7 2 2 2 2 2" xfId="32211" xr:uid="{00000000-0005-0000-0000-0000B9700000}"/>
    <cellStyle name="40 % - Markeringsfarve4 2 7 2 2 2 2 3" xfId="47175" xr:uid="{00000000-0005-0000-0000-0000BA700000}"/>
    <cellStyle name="40 % - Markeringsfarve4 2 7 2 2 2 3" xfId="25189" xr:uid="{00000000-0005-0000-0000-0000BB700000}"/>
    <cellStyle name="40 % - Markeringsfarve4 2 7 2 2 2 4" xfId="40176" xr:uid="{00000000-0005-0000-0000-0000BC700000}"/>
    <cellStyle name="40 % - Markeringsfarve4 2 7 2 2 3" xfId="12522" xr:uid="{00000000-0005-0000-0000-0000BD700000}"/>
    <cellStyle name="40 % - Markeringsfarve4 2 7 2 2 3 2" xfId="28841" xr:uid="{00000000-0005-0000-0000-0000BE700000}"/>
    <cellStyle name="40 % - Markeringsfarve4 2 7 2 2 3 3" xfId="43806" xr:uid="{00000000-0005-0000-0000-0000BF700000}"/>
    <cellStyle name="40 % - Markeringsfarve4 2 7 2 2 4" xfId="21819" xr:uid="{00000000-0005-0000-0000-0000C0700000}"/>
    <cellStyle name="40 % - Markeringsfarve4 2 7 2 2 5" xfId="36807" xr:uid="{00000000-0005-0000-0000-0000C1700000}"/>
    <cellStyle name="40 % - Markeringsfarve4 2 7 2 3" xfId="6520" xr:uid="{00000000-0005-0000-0000-0000C2700000}"/>
    <cellStyle name="40 % - Markeringsfarve4 2 7 2 3 2" xfId="14434" xr:uid="{00000000-0005-0000-0000-0000C3700000}"/>
    <cellStyle name="40 % - Markeringsfarve4 2 7 2 3 2 2" xfId="30748" xr:uid="{00000000-0005-0000-0000-0000C4700000}"/>
    <cellStyle name="40 % - Markeringsfarve4 2 7 2 3 2 3" xfId="45712" xr:uid="{00000000-0005-0000-0000-0000C5700000}"/>
    <cellStyle name="40 % - Markeringsfarve4 2 7 2 3 3" xfId="23726" xr:uid="{00000000-0005-0000-0000-0000C6700000}"/>
    <cellStyle name="40 % - Markeringsfarve4 2 7 2 3 4" xfId="38713" xr:uid="{00000000-0005-0000-0000-0000C7700000}"/>
    <cellStyle name="40 % - Markeringsfarve4 2 7 2 4" xfId="12521" xr:uid="{00000000-0005-0000-0000-0000C8700000}"/>
    <cellStyle name="40 % - Markeringsfarve4 2 7 2 4 2" xfId="28840" xr:uid="{00000000-0005-0000-0000-0000C9700000}"/>
    <cellStyle name="40 % - Markeringsfarve4 2 7 2 4 3" xfId="43805" xr:uid="{00000000-0005-0000-0000-0000CA700000}"/>
    <cellStyle name="40 % - Markeringsfarve4 2 7 2 5" xfId="21818" xr:uid="{00000000-0005-0000-0000-0000CB700000}"/>
    <cellStyle name="40 % - Markeringsfarve4 2 7 2 6" xfId="36806" xr:uid="{00000000-0005-0000-0000-0000CC700000}"/>
    <cellStyle name="40 % - Markeringsfarve4 2 7 3" xfId="3966" xr:uid="{00000000-0005-0000-0000-0000CD700000}"/>
    <cellStyle name="40 % - Markeringsfarve4 2 7 3 2" xfId="7272" xr:uid="{00000000-0005-0000-0000-0000CE700000}"/>
    <cellStyle name="40 % - Markeringsfarve4 2 7 3 2 2" xfId="15182" xr:uid="{00000000-0005-0000-0000-0000CF700000}"/>
    <cellStyle name="40 % - Markeringsfarve4 2 7 3 2 2 2" xfId="31496" xr:uid="{00000000-0005-0000-0000-0000D0700000}"/>
    <cellStyle name="40 % - Markeringsfarve4 2 7 3 2 2 3" xfId="46460" xr:uid="{00000000-0005-0000-0000-0000D1700000}"/>
    <cellStyle name="40 % - Markeringsfarve4 2 7 3 2 3" xfId="24474" xr:uid="{00000000-0005-0000-0000-0000D2700000}"/>
    <cellStyle name="40 % - Markeringsfarve4 2 7 3 2 4" xfId="39461" xr:uid="{00000000-0005-0000-0000-0000D3700000}"/>
    <cellStyle name="40 % - Markeringsfarve4 2 7 3 3" xfId="12523" xr:uid="{00000000-0005-0000-0000-0000D4700000}"/>
    <cellStyle name="40 % - Markeringsfarve4 2 7 3 3 2" xfId="28842" xr:uid="{00000000-0005-0000-0000-0000D5700000}"/>
    <cellStyle name="40 % - Markeringsfarve4 2 7 3 3 3" xfId="43807" xr:uid="{00000000-0005-0000-0000-0000D6700000}"/>
    <cellStyle name="40 % - Markeringsfarve4 2 7 3 4" xfId="21820" xr:uid="{00000000-0005-0000-0000-0000D7700000}"/>
    <cellStyle name="40 % - Markeringsfarve4 2 7 3 5" xfId="36808" xr:uid="{00000000-0005-0000-0000-0000D8700000}"/>
    <cellStyle name="40 % - Markeringsfarve4 2 7 4" xfId="3967" xr:uid="{00000000-0005-0000-0000-0000D9700000}"/>
    <cellStyle name="40 % - Markeringsfarve4 2 7 4 2" xfId="8237" xr:uid="{00000000-0005-0000-0000-0000DA700000}"/>
    <cellStyle name="40 % - Markeringsfarve4 2 7 4 2 2" xfId="16134" xr:uid="{00000000-0005-0000-0000-0000DB700000}"/>
    <cellStyle name="40 % - Markeringsfarve4 2 7 4 2 2 2" xfId="32448" xr:uid="{00000000-0005-0000-0000-0000DC700000}"/>
    <cellStyle name="40 % - Markeringsfarve4 2 7 4 2 2 3" xfId="47412" xr:uid="{00000000-0005-0000-0000-0000DD700000}"/>
    <cellStyle name="40 % - Markeringsfarve4 2 7 4 2 3" xfId="25426" xr:uid="{00000000-0005-0000-0000-0000DE700000}"/>
    <cellStyle name="40 % - Markeringsfarve4 2 7 4 2 4" xfId="40413" xr:uid="{00000000-0005-0000-0000-0000DF700000}"/>
    <cellStyle name="40 % - Markeringsfarve4 2 7 4 3" xfId="12524" xr:uid="{00000000-0005-0000-0000-0000E0700000}"/>
    <cellStyle name="40 % - Markeringsfarve4 2 7 4 3 2" xfId="28843" xr:uid="{00000000-0005-0000-0000-0000E1700000}"/>
    <cellStyle name="40 % - Markeringsfarve4 2 7 4 3 3" xfId="43808" xr:uid="{00000000-0005-0000-0000-0000E2700000}"/>
    <cellStyle name="40 % - Markeringsfarve4 2 7 4 4" xfId="21821" xr:uid="{00000000-0005-0000-0000-0000E3700000}"/>
    <cellStyle name="40 % - Markeringsfarve4 2 7 4 5" xfId="36809" xr:uid="{00000000-0005-0000-0000-0000E4700000}"/>
    <cellStyle name="40 % - Markeringsfarve4 2 7 5" xfId="5934" xr:uid="{00000000-0005-0000-0000-0000E5700000}"/>
    <cellStyle name="40 % - Markeringsfarve4 2 7 5 2" xfId="13852" xr:uid="{00000000-0005-0000-0000-0000E6700000}"/>
    <cellStyle name="40 % - Markeringsfarve4 2 7 5 2 2" xfId="30166" xr:uid="{00000000-0005-0000-0000-0000E7700000}"/>
    <cellStyle name="40 % - Markeringsfarve4 2 7 5 2 3" xfId="45130" xr:uid="{00000000-0005-0000-0000-0000E8700000}"/>
    <cellStyle name="40 % - Markeringsfarve4 2 7 5 3" xfId="23144" xr:uid="{00000000-0005-0000-0000-0000E9700000}"/>
    <cellStyle name="40 % - Markeringsfarve4 2 7 5 4" xfId="38131" xr:uid="{00000000-0005-0000-0000-0000EA700000}"/>
    <cellStyle name="40 % - Markeringsfarve4 2 7 6" xfId="12520" xr:uid="{00000000-0005-0000-0000-0000EB700000}"/>
    <cellStyle name="40 % - Markeringsfarve4 2 7 6 2" xfId="28839" xr:uid="{00000000-0005-0000-0000-0000EC700000}"/>
    <cellStyle name="40 % - Markeringsfarve4 2 7 6 3" xfId="43804" xr:uid="{00000000-0005-0000-0000-0000ED700000}"/>
    <cellStyle name="40 % - Markeringsfarve4 2 7 7" xfId="21817" xr:uid="{00000000-0005-0000-0000-0000EE700000}"/>
    <cellStyle name="40 % - Markeringsfarve4 2 7 8" xfId="36805" xr:uid="{00000000-0005-0000-0000-0000EF700000}"/>
    <cellStyle name="40 % - Markeringsfarve4 2 8" xfId="3968" xr:uid="{00000000-0005-0000-0000-0000F0700000}"/>
    <cellStyle name="40 % - Markeringsfarve4 2 8 2" xfId="3969" xr:uid="{00000000-0005-0000-0000-0000F1700000}"/>
    <cellStyle name="40 % - Markeringsfarve4 2 8 2 2" xfId="3970" xr:uid="{00000000-0005-0000-0000-0000F2700000}"/>
    <cellStyle name="40 % - Markeringsfarve4 2 8 2 2 2" xfId="8162" xr:uid="{00000000-0005-0000-0000-0000F3700000}"/>
    <cellStyle name="40 % - Markeringsfarve4 2 8 2 2 2 2" xfId="16063" xr:uid="{00000000-0005-0000-0000-0000F4700000}"/>
    <cellStyle name="40 % - Markeringsfarve4 2 8 2 2 2 2 2" xfId="32377" xr:uid="{00000000-0005-0000-0000-0000F5700000}"/>
    <cellStyle name="40 % - Markeringsfarve4 2 8 2 2 2 2 3" xfId="47341" xr:uid="{00000000-0005-0000-0000-0000F6700000}"/>
    <cellStyle name="40 % - Markeringsfarve4 2 8 2 2 2 3" xfId="25355" xr:uid="{00000000-0005-0000-0000-0000F7700000}"/>
    <cellStyle name="40 % - Markeringsfarve4 2 8 2 2 2 4" xfId="40342" xr:uid="{00000000-0005-0000-0000-0000F8700000}"/>
    <cellStyle name="40 % - Markeringsfarve4 2 8 2 2 3" xfId="12527" xr:uid="{00000000-0005-0000-0000-0000F9700000}"/>
    <cellStyle name="40 % - Markeringsfarve4 2 8 2 2 3 2" xfId="28846" xr:uid="{00000000-0005-0000-0000-0000FA700000}"/>
    <cellStyle name="40 % - Markeringsfarve4 2 8 2 2 3 3" xfId="43811" xr:uid="{00000000-0005-0000-0000-0000FB700000}"/>
    <cellStyle name="40 % - Markeringsfarve4 2 8 2 2 4" xfId="21824" xr:uid="{00000000-0005-0000-0000-0000FC700000}"/>
    <cellStyle name="40 % - Markeringsfarve4 2 8 2 2 5" xfId="36812" xr:uid="{00000000-0005-0000-0000-0000FD700000}"/>
    <cellStyle name="40 % - Markeringsfarve4 2 8 2 3" xfId="6655" xr:uid="{00000000-0005-0000-0000-0000FE700000}"/>
    <cellStyle name="40 % - Markeringsfarve4 2 8 2 3 2" xfId="14569" xr:uid="{00000000-0005-0000-0000-0000FF700000}"/>
    <cellStyle name="40 % - Markeringsfarve4 2 8 2 3 2 2" xfId="30883" xr:uid="{00000000-0005-0000-0000-000000710000}"/>
    <cellStyle name="40 % - Markeringsfarve4 2 8 2 3 2 3" xfId="45847" xr:uid="{00000000-0005-0000-0000-000001710000}"/>
    <cellStyle name="40 % - Markeringsfarve4 2 8 2 3 3" xfId="23861" xr:uid="{00000000-0005-0000-0000-000002710000}"/>
    <cellStyle name="40 % - Markeringsfarve4 2 8 2 3 4" xfId="38848" xr:uid="{00000000-0005-0000-0000-000003710000}"/>
    <cellStyle name="40 % - Markeringsfarve4 2 8 2 4" xfId="12526" xr:uid="{00000000-0005-0000-0000-000004710000}"/>
    <cellStyle name="40 % - Markeringsfarve4 2 8 2 4 2" xfId="28845" xr:uid="{00000000-0005-0000-0000-000005710000}"/>
    <cellStyle name="40 % - Markeringsfarve4 2 8 2 4 3" xfId="43810" xr:uid="{00000000-0005-0000-0000-000006710000}"/>
    <cellStyle name="40 % - Markeringsfarve4 2 8 2 5" xfId="21823" xr:uid="{00000000-0005-0000-0000-000007710000}"/>
    <cellStyle name="40 % - Markeringsfarve4 2 8 2 6" xfId="36811" xr:uid="{00000000-0005-0000-0000-000008710000}"/>
    <cellStyle name="40 % - Markeringsfarve4 2 8 3" xfId="3971" xr:uid="{00000000-0005-0000-0000-000009710000}"/>
    <cellStyle name="40 % - Markeringsfarve4 2 8 3 2" xfId="7439" xr:uid="{00000000-0005-0000-0000-00000A710000}"/>
    <cellStyle name="40 % - Markeringsfarve4 2 8 3 2 2" xfId="15349" xr:uid="{00000000-0005-0000-0000-00000B710000}"/>
    <cellStyle name="40 % - Markeringsfarve4 2 8 3 2 2 2" xfId="31663" xr:uid="{00000000-0005-0000-0000-00000C710000}"/>
    <cellStyle name="40 % - Markeringsfarve4 2 8 3 2 2 3" xfId="46627" xr:uid="{00000000-0005-0000-0000-00000D710000}"/>
    <cellStyle name="40 % - Markeringsfarve4 2 8 3 2 3" xfId="24641" xr:uid="{00000000-0005-0000-0000-00000E710000}"/>
    <cellStyle name="40 % - Markeringsfarve4 2 8 3 2 4" xfId="39628" xr:uid="{00000000-0005-0000-0000-00000F710000}"/>
    <cellStyle name="40 % - Markeringsfarve4 2 8 3 3" xfId="12528" xr:uid="{00000000-0005-0000-0000-000010710000}"/>
    <cellStyle name="40 % - Markeringsfarve4 2 8 3 3 2" xfId="28847" xr:uid="{00000000-0005-0000-0000-000011710000}"/>
    <cellStyle name="40 % - Markeringsfarve4 2 8 3 3 3" xfId="43812" xr:uid="{00000000-0005-0000-0000-000012710000}"/>
    <cellStyle name="40 % - Markeringsfarve4 2 8 3 4" xfId="21825" xr:uid="{00000000-0005-0000-0000-000013710000}"/>
    <cellStyle name="40 % - Markeringsfarve4 2 8 3 5" xfId="36813" xr:uid="{00000000-0005-0000-0000-000014710000}"/>
    <cellStyle name="40 % - Markeringsfarve4 2 8 4" xfId="3972" xr:uid="{00000000-0005-0000-0000-000015710000}"/>
    <cellStyle name="40 % - Markeringsfarve4 2 8 4 2" xfId="6711" xr:uid="{00000000-0005-0000-0000-000016710000}"/>
    <cellStyle name="40 % - Markeringsfarve4 2 8 4 2 2" xfId="14624" xr:uid="{00000000-0005-0000-0000-000017710000}"/>
    <cellStyle name="40 % - Markeringsfarve4 2 8 4 2 2 2" xfId="30938" xr:uid="{00000000-0005-0000-0000-000018710000}"/>
    <cellStyle name="40 % - Markeringsfarve4 2 8 4 2 2 3" xfId="45902" xr:uid="{00000000-0005-0000-0000-000019710000}"/>
    <cellStyle name="40 % - Markeringsfarve4 2 8 4 2 3" xfId="23916" xr:uid="{00000000-0005-0000-0000-00001A710000}"/>
    <cellStyle name="40 % - Markeringsfarve4 2 8 4 2 4" xfId="38903" xr:uid="{00000000-0005-0000-0000-00001B710000}"/>
    <cellStyle name="40 % - Markeringsfarve4 2 8 4 3" xfId="12529" xr:uid="{00000000-0005-0000-0000-00001C710000}"/>
    <cellStyle name="40 % - Markeringsfarve4 2 8 4 3 2" xfId="28848" xr:uid="{00000000-0005-0000-0000-00001D710000}"/>
    <cellStyle name="40 % - Markeringsfarve4 2 8 4 3 3" xfId="43813" xr:uid="{00000000-0005-0000-0000-00001E710000}"/>
    <cellStyle name="40 % - Markeringsfarve4 2 8 4 4" xfId="21826" xr:uid="{00000000-0005-0000-0000-00001F710000}"/>
    <cellStyle name="40 % - Markeringsfarve4 2 8 4 5" xfId="36814" xr:uid="{00000000-0005-0000-0000-000020710000}"/>
    <cellStyle name="40 % - Markeringsfarve4 2 8 5" xfId="5935" xr:uid="{00000000-0005-0000-0000-000021710000}"/>
    <cellStyle name="40 % - Markeringsfarve4 2 8 5 2" xfId="13853" xr:uid="{00000000-0005-0000-0000-000022710000}"/>
    <cellStyle name="40 % - Markeringsfarve4 2 8 5 2 2" xfId="30167" xr:uid="{00000000-0005-0000-0000-000023710000}"/>
    <cellStyle name="40 % - Markeringsfarve4 2 8 5 2 3" xfId="45131" xr:uid="{00000000-0005-0000-0000-000024710000}"/>
    <cellStyle name="40 % - Markeringsfarve4 2 8 5 3" xfId="23145" xr:uid="{00000000-0005-0000-0000-000025710000}"/>
    <cellStyle name="40 % - Markeringsfarve4 2 8 5 4" xfId="38132" xr:uid="{00000000-0005-0000-0000-000026710000}"/>
    <cellStyle name="40 % - Markeringsfarve4 2 8 6" xfId="12525" xr:uid="{00000000-0005-0000-0000-000027710000}"/>
    <cellStyle name="40 % - Markeringsfarve4 2 8 6 2" xfId="28844" xr:uid="{00000000-0005-0000-0000-000028710000}"/>
    <cellStyle name="40 % - Markeringsfarve4 2 8 6 3" xfId="43809" xr:uid="{00000000-0005-0000-0000-000029710000}"/>
    <cellStyle name="40 % - Markeringsfarve4 2 8 7" xfId="21822" xr:uid="{00000000-0005-0000-0000-00002A710000}"/>
    <cellStyle name="40 % - Markeringsfarve4 2 8 8" xfId="36810" xr:uid="{00000000-0005-0000-0000-00002B710000}"/>
    <cellStyle name="40 % - Markeringsfarve4 2 9" xfId="3973" xr:uid="{00000000-0005-0000-0000-00002C710000}"/>
    <cellStyle name="40 % - Markeringsfarve4 2 9 2" xfId="3974" xr:uid="{00000000-0005-0000-0000-00002D710000}"/>
    <cellStyle name="40 % - Markeringsfarve4 2 9 2 2" xfId="7522" xr:uid="{00000000-0005-0000-0000-00002E710000}"/>
    <cellStyle name="40 % - Markeringsfarve4 2 9 2 2 2" xfId="15423" xr:uid="{00000000-0005-0000-0000-00002F710000}"/>
    <cellStyle name="40 % - Markeringsfarve4 2 9 2 2 2 2" xfId="31737" xr:uid="{00000000-0005-0000-0000-000030710000}"/>
    <cellStyle name="40 % - Markeringsfarve4 2 9 2 2 2 3" xfId="46701" xr:uid="{00000000-0005-0000-0000-000031710000}"/>
    <cellStyle name="40 % - Markeringsfarve4 2 9 2 2 3" xfId="24715" xr:uid="{00000000-0005-0000-0000-000032710000}"/>
    <cellStyle name="40 % - Markeringsfarve4 2 9 2 2 4" xfId="39702" xr:uid="{00000000-0005-0000-0000-000033710000}"/>
    <cellStyle name="40 % - Markeringsfarve4 2 9 2 3" xfId="12531" xr:uid="{00000000-0005-0000-0000-000034710000}"/>
    <cellStyle name="40 % - Markeringsfarve4 2 9 2 3 2" xfId="28850" xr:uid="{00000000-0005-0000-0000-000035710000}"/>
    <cellStyle name="40 % - Markeringsfarve4 2 9 2 3 3" xfId="43815" xr:uid="{00000000-0005-0000-0000-000036710000}"/>
    <cellStyle name="40 % - Markeringsfarve4 2 9 2 4" xfId="21828" xr:uid="{00000000-0005-0000-0000-000037710000}"/>
    <cellStyle name="40 % - Markeringsfarve4 2 9 2 5" xfId="36816" xr:uid="{00000000-0005-0000-0000-000038710000}"/>
    <cellStyle name="40 % - Markeringsfarve4 2 9 3" xfId="6120" xr:uid="{00000000-0005-0000-0000-000039710000}"/>
    <cellStyle name="40 % - Markeringsfarve4 2 9 3 2" xfId="14037" xr:uid="{00000000-0005-0000-0000-00003A710000}"/>
    <cellStyle name="40 % - Markeringsfarve4 2 9 3 2 2" xfId="30351" xr:uid="{00000000-0005-0000-0000-00003B710000}"/>
    <cellStyle name="40 % - Markeringsfarve4 2 9 3 2 3" xfId="45315" xr:uid="{00000000-0005-0000-0000-00003C710000}"/>
    <cellStyle name="40 % - Markeringsfarve4 2 9 3 3" xfId="23329" xr:uid="{00000000-0005-0000-0000-00003D710000}"/>
    <cellStyle name="40 % - Markeringsfarve4 2 9 3 4" xfId="38316" xr:uid="{00000000-0005-0000-0000-00003E710000}"/>
    <cellStyle name="40 % - Markeringsfarve4 2 9 4" xfId="12530" xr:uid="{00000000-0005-0000-0000-00003F710000}"/>
    <cellStyle name="40 % - Markeringsfarve4 2 9 4 2" xfId="28849" xr:uid="{00000000-0005-0000-0000-000040710000}"/>
    <cellStyle name="40 % - Markeringsfarve4 2 9 4 3" xfId="43814" xr:uid="{00000000-0005-0000-0000-000041710000}"/>
    <cellStyle name="40 % - Markeringsfarve4 2 9 5" xfId="21827" xr:uid="{00000000-0005-0000-0000-000042710000}"/>
    <cellStyle name="40 % - Markeringsfarve4 2 9 6" xfId="36815" xr:uid="{00000000-0005-0000-0000-000043710000}"/>
    <cellStyle name="40 % - Markeringsfarve4 3" xfId="3975" xr:uid="{00000000-0005-0000-0000-000044710000}"/>
    <cellStyle name="40 % - Markeringsfarve4 3 10" xfId="3976" xr:uid="{00000000-0005-0000-0000-000045710000}"/>
    <cellStyle name="40 % - Markeringsfarve4 3 10 2" xfId="6735" xr:uid="{00000000-0005-0000-0000-000046710000}"/>
    <cellStyle name="40 % - Markeringsfarve4 3 10 2 2" xfId="14647" xr:uid="{00000000-0005-0000-0000-000047710000}"/>
    <cellStyle name="40 % - Markeringsfarve4 3 10 2 2 2" xfId="30961" xr:uid="{00000000-0005-0000-0000-000048710000}"/>
    <cellStyle name="40 % - Markeringsfarve4 3 10 2 2 3" xfId="45925" xr:uid="{00000000-0005-0000-0000-000049710000}"/>
    <cellStyle name="40 % - Markeringsfarve4 3 10 2 3" xfId="23939" xr:uid="{00000000-0005-0000-0000-00004A710000}"/>
    <cellStyle name="40 % - Markeringsfarve4 3 10 2 4" xfId="38926" xr:uid="{00000000-0005-0000-0000-00004B710000}"/>
    <cellStyle name="40 % - Markeringsfarve4 3 10 3" xfId="12533" xr:uid="{00000000-0005-0000-0000-00004C710000}"/>
    <cellStyle name="40 % - Markeringsfarve4 3 10 3 2" xfId="28852" xr:uid="{00000000-0005-0000-0000-00004D710000}"/>
    <cellStyle name="40 % - Markeringsfarve4 3 10 3 3" xfId="43817" xr:uid="{00000000-0005-0000-0000-00004E710000}"/>
    <cellStyle name="40 % - Markeringsfarve4 3 10 4" xfId="21830" xr:uid="{00000000-0005-0000-0000-00004F710000}"/>
    <cellStyle name="40 % - Markeringsfarve4 3 10 5" xfId="36818" xr:uid="{00000000-0005-0000-0000-000050710000}"/>
    <cellStyle name="40 % - Markeringsfarve4 3 11" xfId="3977" xr:uid="{00000000-0005-0000-0000-000051710000}"/>
    <cellStyle name="40 % - Markeringsfarve4 3 11 2" xfId="8537" xr:uid="{00000000-0005-0000-0000-000052710000}"/>
    <cellStyle name="40 % - Markeringsfarve4 3 11 2 2" xfId="16425" xr:uid="{00000000-0005-0000-0000-000053710000}"/>
    <cellStyle name="40 % - Markeringsfarve4 3 11 2 2 2" xfId="32739" xr:uid="{00000000-0005-0000-0000-000054710000}"/>
    <cellStyle name="40 % - Markeringsfarve4 3 11 2 2 3" xfId="47703" xr:uid="{00000000-0005-0000-0000-000055710000}"/>
    <cellStyle name="40 % - Markeringsfarve4 3 11 2 3" xfId="25717" xr:uid="{00000000-0005-0000-0000-000056710000}"/>
    <cellStyle name="40 % - Markeringsfarve4 3 11 2 4" xfId="40704" xr:uid="{00000000-0005-0000-0000-000057710000}"/>
    <cellStyle name="40 % - Markeringsfarve4 3 11 3" xfId="12534" xr:uid="{00000000-0005-0000-0000-000058710000}"/>
    <cellStyle name="40 % - Markeringsfarve4 3 11 3 2" xfId="28853" xr:uid="{00000000-0005-0000-0000-000059710000}"/>
    <cellStyle name="40 % - Markeringsfarve4 3 11 3 3" xfId="43818" xr:uid="{00000000-0005-0000-0000-00005A710000}"/>
    <cellStyle name="40 % - Markeringsfarve4 3 11 4" xfId="21831" xr:uid="{00000000-0005-0000-0000-00005B710000}"/>
    <cellStyle name="40 % - Markeringsfarve4 3 11 5" xfId="36819" xr:uid="{00000000-0005-0000-0000-00005C710000}"/>
    <cellStyle name="40 % - Markeringsfarve4 3 12" xfId="5936" xr:uid="{00000000-0005-0000-0000-00005D710000}"/>
    <cellStyle name="40 % - Markeringsfarve4 3 12 2" xfId="13854" xr:uid="{00000000-0005-0000-0000-00005E710000}"/>
    <cellStyle name="40 % - Markeringsfarve4 3 12 2 2" xfId="30168" xr:uid="{00000000-0005-0000-0000-00005F710000}"/>
    <cellStyle name="40 % - Markeringsfarve4 3 12 2 3" xfId="45132" xr:uid="{00000000-0005-0000-0000-000060710000}"/>
    <cellStyle name="40 % - Markeringsfarve4 3 12 3" xfId="23146" xr:uid="{00000000-0005-0000-0000-000061710000}"/>
    <cellStyle name="40 % - Markeringsfarve4 3 12 4" xfId="38133" xr:uid="{00000000-0005-0000-0000-000062710000}"/>
    <cellStyle name="40 % - Markeringsfarve4 3 13" xfId="12532" xr:uid="{00000000-0005-0000-0000-000063710000}"/>
    <cellStyle name="40 % - Markeringsfarve4 3 13 2" xfId="28851" xr:uid="{00000000-0005-0000-0000-000064710000}"/>
    <cellStyle name="40 % - Markeringsfarve4 3 13 3" xfId="43816" xr:uid="{00000000-0005-0000-0000-000065710000}"/>
    <cellStyle name="40 % - Markeringsfarve4 3 14" xfId="21829" xr:uid="{00000000-0005-0000-0000-000066710000}"/>
    <cellStyle name="40 % - Markeringsfarve4 3 15" xfId="36817" xr:uid="{00000000-0005-0000-0000-000067710000}"/>
    <cellStyle name="40 % - Markeringsfarve4 3 16" xfId="53388" xr:uid="{00000000-0005-0000-0000-000068710000}"/>
    <cellStyle name="40 % - Markeringsfarve4 3 2" xfId="3978" xr:uid="{00000000-0005-0000-0000-000069710000}"/>
    <cellStyle name="40 % - Markeringsfarve4 3 2 10" xfId="5937" xr:uid="{00000000-0005-0000-0000-00006A710000}"/>
    <cellStyle name="40 % - Markeringsfarve4 3 2 10 2" xfId="13855" xr:uid="{00000000-0005-0000-0000-00006B710000}"/>
    <cellStyle name="40 % - Markeringsfarve4 3 2 10 2 2" xfId="30169" xr:uid="{00000000-0005-0000-0000-00006C710000}"/>
    <cellStyle name="40 % - Markeringsfarve4 3 2 10 2 3" xfId="45133" xr:uid="{00000000-0005-0000-0000-00006D710000}"/>
    <cellStyle name="40 % - Markeringsfarve4 3 2 10 3" xfId="23147" xr:uid="{00000000-0005-0000-0000-00006E710000}"/>
    <cellStyle name="40 % - Markeringsfarve4 3 2 10 4" xfId="38134" xr:uid="{00000000-0005-0000-0000-00006F710000}"/>
    <cellStyle name="40 % - Markeringsfarve4 3 2 11" xfId="12535" xr:uid="{00000000-0005-0000-0000-000070710000}"/>
    <cellStyle name="40 % - Markeringsfarve4 3 2 11 2" xfId="28854" xr:uid="{00000000-0005-0000-0000-000071710000}"/>
    <cellStyle name="40 % - Markeringsfarve4 3 2 11 3" xfId="43819" xr:uid="{00000000-0005-0000-0000-000072710000}"/>
    <cellStyle name="40 % - Markeringsfarve4 3 2 12" xfId="21832" xr:uid="{00000000-0005-0000-0000-000073710000}"/>
    <cellStyle name="40 % - Markeringsfarve4 3 2 13" xfId="36820" xr:uid="{00000000-0005-0000-0000-000074710000}"/>
    <cellStyle name="40 % - Markeringsfarve4 3 2 14" xfId="54025" xr:uid="{00000000-0005-0000-0000-000075710000}"/>
    <cellStyle name="40 % - Markeringsfarve4 3 2 2" xfId="3979" xr:uid="{00000000-0005-0000-0000-000076710000}"/>
    <cellStyle name="40 % - Markeringsfarve4 3 2 2 2" xfId="3980" xr:uid="{00000000-0005-0000-0000-000077710000}"/>
    <cellStyle name="40 % - Markeringsfarve4 3 2 2 2 2" xfId="3981" xr:uid="{00000000-0005-0000-0000-000078710000}"/>
    <cellStyle name="40 % - Markeringsfarve4 3 2 2 2 2 2" xfId="7668" xr:uid="{00000000-0005-0000-0000-000079710000}"/>
    <cellStyle name="40 % - Markeringsfarve4 3 2 2 2 2 2 2" xfId="15569" xr:uid="{00000000-0005-0000-0000-00007A710000}"/>
    <cellStyle name="40 % - Markeringsfarve4 3 2 2 2 2 2 2 2" xfId="31883" xr:uid="{00000000-0005-0000-0000-00007B710000}"/>
    <cellStyle name="40 % - Markeringsfarve4 3 2 2 2 2 2 2 3" xfId="46847" xr:uid="{00000000-0005-0000-0000-00007C710000}"/>
    <cellStyle name="40 % - Markeringsfarve4 3 2 2 2 2 2 3" xfId="24861" xr:uid="{00000000-0005-0000-0000-00007D710000}"/>
    <cellStyle name="40 % - Markeringsfarve4 3 2 2 2 2 2 4" xfId="39848" xr:uid="{00000000-0005-0000-0000-00007E710000}"/>
    <cellStyle name="40 % - Markeringsfarve4 3 2 2 2 2 3" xfId="12538" xr:uid="{00000000-0005-0000-0000-00007F710000}"/>
    <cellStyle name="40 % - Markeringsfarve4 3 2 2 2 2 3 2" xfId="28857" xr:uid="{00000000-0005-0000-0000-000080710000}"/>
    <cellStyle name="40 % - Markeringsfarve4 3 2 2 2 2 3 3" xfId="43822" xr:uid="{00000000-0005-0000-0000-000081710000}"/>
    <cellStyle name="40 % - Markeringsfarve4 3 2 2 2 2 4" xfId="21835" xr:uid="{00000000-0005-0000-0000-000082710000}"/>
    <cellStyle name="40 % - Markeringsfarve4 3 2 2 2 2 5" xfId="36823" xr:uid="{00000000-0005-0000-0000-000083710000}"/>
    <cellStyle name="40 % - Markeringsfarve4 3 2 2 2 3" xfId="6242" xr:uid="{00000000-0005-0000-0000-000084710000}"/>
    <cellStyle name="40 % - Markeringsfarve4 3 2 2 2 3 2" xfId="14159" xr:uid="{00000000-0005-0000-0000-000085710000}"/>
    <cellStyle name="40 % - Markeringsfarve4 3 2 2 2 3 2 2" xfId="30473" xr:uid="{00000000-0005-0000-0000-000086710000}"/>
    <cellStyle name="40 % - Markeringsfarve4 3 2 2 2 3 2 3" xfId="45437" xr:uid="{00000000-0005-0000-0000-000087710000}"/>
    <cellStyle name="40 % - Markeringsfarve4 3 2 2 2 3 3" xfId="23451" xr:uid="{00000000-0005-0000-0000-000088710000}"/>
    <cellStyle name="40 % - Markeringsfarve4 3 2 2 2 3 4" xfId="38438" xr:uid="{00000000-0005-0000-0000-000089710000}"/>
    <cellStyle name="40 % - Markeringsfarve4 3 2 2 2 4" xfId="12537" xr:uid="{00000000-0005-0000-0000-00008A710000}"/>
    <cellStyle name="40 % - Markeringsfarve4 3 2 2 2 4 2" xfId="28856" xr:uid="{00000000-0005-0000-0000-00008B710000}"/>
    <cellStyle name="40 % - Markeringsfarve4 3 2 2 2 4 3" xfId="43821" xr:uid="{00000000-0005-0000-0000-00008C710000}"/>
    <cellStyle name="40 % - Markeringsfarve4 3 2 2 2 5" xfId="21834" xr:uid="{00000000-0005-0000-0000-00008D710000}"/>
    <cellStyle name="40 % - Markeringsfarve4 3 2 2 2 6" xfId="36822" xr:uid="{00000000-0005-0000-0000-00008E710000}"/>
    <cellStyle name="40 % - Markeringsfarve4 3 2 2 3" xfId="3982" xr:uid="{00000000-0005-0000-0000-00008F710000}"/>
    <cellStyle name="40 % - Markeringsfarve4 3 2 2 3 2" xfId="6898" xr:uid="{00000000-0005-0000-0000-000090710000}"/>
    <cellStyle name="40 % - Markeringsfarve4 3 2 2 3 2 2" xfId="14809" xr:uid="{00000000-0005-0000-0000-000091710000}"/>
    <cellStyle name="40 % - Markeringsfarve4 3 2 2 3 2 2 2" xfId="31123" xr:uid="{00000000-0005-0000-0000-000092710000}"/>
    <cellStyle name="40 % - Markeringsfarve4 3 2 2 3 2 2 3" xfId="46087" xr:uid="{00000000-0005-0000-0000-000093710000}"/>
    <cellStyle name="40 % - Markeringsfarve4 3 2 2 3 2 3" xfId="24101" xr:uid="{00000000-0005-0000-0000-000094710000}"/>
    <cellStyle name="40 % - Markeringsfarve4 3 2 2 3 2 4" xfId="39088" xr:uid="{00000000-0005-0000-0000-000095710000}"/>
    <cellStyle name="40 % - Markeringsfarve4 3 2 2 3 3" xfId="12539" xr:uid="{00000000-0005-0000-0000-000096710000}"/>
    <cellStyle name="40 % - Markeringsfarve4 3 2 2 3 3 2" xfId="28858" xr:uid="{00000000-0005-0000-0000-000097710000}"/>
    <cellStyle name="40 % - Markeringsfarve4 3 2 2 3 3 3" xfId="43823" xr:uid="{00000000-0005-0000-0000-000098710000}"/>
    <cellStyle name="40 % - Markeringsfarve4 3 2 2 3 4" xfId="21836" xr:uid="{00000000-0005-0000-0000-000099710000}"/>
    <cellStyle name="40 % - Markeringsfarve4 3 2 2 3 5" xfId="36824" xr:uid="{00000000-0005-0000-0000-00009A710000}"/>
    <cellStyle name="40 % - Markeringsfarve4 3 2 2 4" xfId="3983" xr:uid="{00000000-0005-0000-0000-00009B710000}"/>
    <cellStyle name="40 % - Markeringsfarve4 3 2 2 4 2" xfId="8486" xr:uid="{00000000-0005-0000-0000-00009C710000}"/>
    <cellStyle name="40 % - Markeringsfarve4 3 2 2 4 2 2" xfId="16375" xr:uid="{00000000-0005-0000-0000-00009D710000}"/>
    <cellStyle name="40 % - Markeringsfarve4 3 2 2 4 2 2 2" xfId="32689" xr:uid="{00000000-0005-0000-0000-00009E710000}"/>
    <cellStyle name="40 % - Markeringsfarve4 3 2 2 4 2 2 3" xfId="47653" xr:uid="{00000000-0005-0000-0000-00009F710000}"/>
    <cellStyle name="40 % - Markeringsfarve4 3 2 2 4 2 3" xfId="25667" xr:uid="{00000000-0005-0000-0000-0000A0710000}"/>
    <cellStyle name="40 % - Markeringsfarve4 3 2 2 4 2 4" xfId="40654" xr:uid="{00000000-0005-0000-0000-0000A1710000}"/>
    <cellStyle name="40 % - Markeringsfarve4 3 2 2 4 3" xfId="12540" xr:uid="{00000000-0005-0000-0000-0000A2710000}"/>
    <cellStyle name="40 % - Markeringsfarve4 3 2 2 4 3 2" xfId="28859" xr:uid="{00000000-0005-0000-0000-0000A3710000}"/>
    <cellStyle name="40 % - Markeringsfarve4 3 2 2 4 3 3" xfId="43824" xr:uid="{00000000-0005-0000-0000-0000A4710000}"/>
    <cellStyle name="40 % - Markeringsfarve4 3 2 2 4 4" xfId="21837" xr:uid="{00000000-0005-0000-0000-0000A5710000}"/>
    <cellStyle name="40 % - Markeringsfarve4 3 2 2 4 5" xfId="36825" xr:uid="{00000000-0005-0000-0000-0000A6710000}"/>
    <cellStyle name="40 % - Markeringsfarve4 3 2 2 5" xfId="5938" xr:uid="{00000000-0005-0000-0000-0000A7710000}"/>
    <cellStyle name="40 % - Markeringsfarve4 3 2 2 5 2" xfId="13856" xr:uid="{00000000-0005-0000-0000-0000A8710000}"/>
    <cellStyle name="40 % - Markeringsfarve4 3 2 2 5 2 2" xfId="30170" xr:uid="{00000000-0005-0000-0000-0000A9710000}"/>
    <cellStyle name="40 % - Markeringsfarve4 3 2 2 5 2 3" xfId="45134" xr:uid="{00000000-0005-0000-0000-0000AA710000}"/>
    <cellStyle name="40 % - Markeringsfarve4 3 2 2 5 3" xfId="23148" xr:uid="{00000000-0005-0000-0000-0000AB710000}"/>
    <cellStyle name="40 % - Markeringsfarve4 3 2 2 5 4" xfId="38135" xr:uid="{00000000-0005-0000-0000-0000AC710000}"/>
    <cellStyle name="40 % - Markeringsfarve4 3 2 2 6" xfId="12536" xr:uid="{00000000-0005-0000-0000-0000AD710000}"/>
    <cellStyle name="40 % - Markeringsfarve4 3 2 2 6 2" xfId="28855" xr:uid="{00000000-0005-0000-0000-0000AE710000}"/>
    <cellStyle name="40 % - Markeringsfarve4 3 2 2 6 3" xfId="43820" xr:uid="{00000000-0005-0000-0000-0000AF710000}"/>
    <cellStyle name="40 % - Markeringsfarve4 3 2 2 7" xfId="21833" xr:uid="{00000000-0005-0000-0000-0000B0710000}"/>
    <cellStyle name="40 % - Markeringsfarve4 3 2 2 8" xfId="36821" xr:uid="{00000000-0005-0000-0000-0000B1710000}"/>
    <cellStyle name="40 % - Markeringsfarve4 3 2 2 9" xfId="57192" xr:uid="{00000000-0005-0000-0000-0000B2710000}"/>
    <cellStyle name="40 % - Markeringsfarve4 3 2 3" xfId="3984" xr:uid="{00000000-0005-0000-0000-0000B3710000}"/>
    <cellStyle name="40 % - Markeringsfarve4 3 2 3 2" xfId="3985" xr:uid="{00000000-0005-0000-0000-0000B4710000}"/>
    <cellStyle name="40 % - Markeringsfarve4 3 2 3 2 2" xfId="3986" xr:uid="{00000000-0005-0000-0000-0000B5710000}"/>
    <cellStyle name="40 % - Markeringsfarve4 3 2 3 2 2 2" xfId="7812" xr:uid="{00000000-0005-0000-0000-0000B6710000}"/>
    <cellStyle name="40 % - Markeringsfarve4 3 2 3 2 2 2 2" xfId="15713" xr:uid="{00000000-0005-0000-0000-0000B7710000}"/>
    <cellStyle name="40 % - Markeringsfarve4 3 2 3 2 2 2 2 2" xfId="32027" xr:uid="{00000000-0005-0000-0000-0000B8710000}"/>
    <cellStyle name="40 % - Markeringsfarve4 3 2 3 2 2 2 2 3" xfId="46991" xr:uid="{00000000-0005-0000-0000-0000B9710000}"/>
    <cellStyle name="40 % - Markeringsfarve4 3 2 3 2 2 2 3" xfId="25005" xr:uid="{00000000-0005-0000-0000-0000BA710000}"/>
    <cellStyle name="40 % - Markeringsfarve4 3 2 3 2 2 2 4" xfId="39992" xr:uid="{00000000-0005-0000-0000-0000BB710000}"/>
    <cellStyle name="40 % - Markeringsfarve4 3 2 3 2 2 3" xfId="12543" xr:uid="{00000000-0005-0000-0000-0000BC710000}"/>
    <cellStyle name="40 % - Markeringsfarve4 3 2 3 2 2 3 2" xfId="28862" xr:uid="{00000000-0005-0000-0000-0000BD710000}"/>
    <cellStyle name="40 % - Markeringsfarve4 3 2 3 2 2 3 3" xfId="43827" xr:uid="{00000000-0005-0000-0000-0000BE710000}"/>
    <cellStyle name="40 % - Markeringsfarve4 3 2 3 2 2 4" xfId="21840" xr:uid="{00000000-0005-0000-0000-0000BF710000}"/>
    <cellStyle name="40 % - Markeringsfarve4 3 2 3 2 2 5" xfId="36828" xr:uid="{00000000-0005-0000-0000-0000C0710000}"/>
    <cellStyle name="40 % - Markeringsfarve4 3 2 3 2 3" xfId="6358" xr:uid="{00000000-0005-0000-0000-0000C1710000}"/>
    <cellStyle name="40 % - Markeringsfarve4 3 2 3 2 3 2" xfId="14275" xr:uid="{00000000-0005-0000-0000-0000C2710000}"/>
    <cellStyle name="40 % - Markeringsfarve4 3 2 3 2 3 2 2" xfId="30589" xr:uid="{00000000-0005-0000-0000-0000C3710000}"/>
    <cellStyle name="40 % - Markeringsfarve4 3 2 3 2 3 2 3" xfId="45553" xr:uid="{00000000-0005-0000-0000-0000C4710000}"/>
    <cellStyle name="40 % - Markeringsfarve4 3 2 3 2 3 3" xfId="23567" xr:uid="{00000000-0005-0000-0000-0000C5710000}"/>
    <cellStyle name="40 % - Markeringsfarve4 3 2 3 2 3 4" xfId="38554" xr:uid="{00000000-0005-0000-0000-0000C6710000}"/>
    <cellStyle name="40 % - Markeringsfarve4 3 2 3 2 4" xfId="12542" xr:uid="{00000000-0005-0000-0000-0000C7710000}"/>
    <cellStyle name="40 % - Markeringsfarve4 3 2 3 2 4 2" xfId="28861" xr:uid="{00000000-0005-0000-0000-0000C8710000}"/>
    <cellStyle name="40 % - Markeringsfarve4 3 2 3 2 4 3" xfId="43826" xr:uid="{00000000-0005-0000-0000-0000C9710000}"/>
    <cellStyle name="40 % - Markeringsfarve4 3 2 3 2 5" xfId="21839" xr:uid="{00000000-0005-0000-0000-0000CA710000}"/>
    <cellStyle name="40 % - Markeringsfarve4 3 2 3 2 6" xfId="36827" xr:uid="{00000000-0005-0000-0000-0000CB710000}"/>
    <cellStyle name="40 % - Markeringsfarve4 3 2 3 3" xfId="3987" xr:uid="{00000000-0005-0000-0000-0000CC710000}"/>
    <cellStyle name="40 % - Markeringsfarve4 3 2 3 3 2" xfId="7042" xr:uid="{00000000-0005-0000-0000-0000CD710000}"/>
    <cellStyle name="40 % - Markeringsfarve4 3 2 3 3 2 2" xfId="14953" xr:uid="{00000000-0005-0000-0000-0000CE710000}"/>
    <cellStyle name="40 % - Markeringsfarve4 3 2 3 3 2 2 2" xfId="31267" xr:uid="{00000000-0005-0000-0000-0000CF710000}"/>
    <cellStyle name="40 % - Markeringsfarve4 3 2 3 3 2 2 3" xfId="46231" xr:uid="{00000000-0005-0000-0000-0000D0710000}"/>
    <cellStyle name="40 % - Markeringsfarve4 3 2 3 3 2 3" xfId="24245" xr:uid="{00000000-0005-0000-0000-0000D1710000}"/>
    <cellStyle name="40 % - Markeringsfarve4 3 2 3 3 2 4" xfId="39232" xr:uid="{00000000-0005-0000-0000-0000D2710000}"/>
    <cellStyle name="40 % - Markeringsfarve4 3 2 3 3 3" xfId="12544" xr:uid="{00000000-0005-0000-0000-0000D3710000}"/>
    <cellStyle name="40 % - Markeringsfarve4 3 2 3 3 3 2" xfId="28863" xr:uid="{00000000-0005-0000-0000-0000D4710000}"/>
    <cellStyle name="40 % - Markeringsfarve4 3 2 3 3 3 3" xfId="43828" xr:uid="{00000000-0005-0000-0000-0000D5710000}"/>
    <cellStyle name="40 % - Markeringsfarve4 3 2 3 3 4" xfId="21841" xr:uid="{00000000-0005-0000-0000-0000D6710000}"/>
    <cellStyle name="40 % - Markeringsfarve4 3 2 3 3 5" xfId="36829" xr:uid="{00000000-0005-0000-0000-0000D7710000}"/>
    <cellStyle name="40 % - Markeringsfarve4 3 2 3 4" xfId="3988" xr:uid="{00000000-0005-0000-0000-0000D8710000}"/>
    <cellStyle name="40 % - Markeringsfarve4 3 2 3 4 2" xfId="8711" xr:uid="{00000000-0005-0000-0000-0000D9710000}"/>
    <cellStyle name="40 % - Markeringsfarve4 3 2 3 4 2 2" xfId="16591" xr:uid="{00000000-0005-0000-0000-0000DA710000}"/>
    <cellStyle name="40 % - Markeringsfarve4 3 2 3 4 2 2 2" xfId="32905" xr:uid="{00000000-0005-0000-0000-0000DB710000}"/>
    <cellStyle name="40 % - Markeringsfarve4 3 2 3 4 2 2 3" xfId="47869" xr:uid="{00000000-0005-0000-0000-0000DC710000}"/>
    <cellStyle name="40 % - Markeringsfarve4 3 2 3 4 2 3" xfId="25883" xr:uid="{00000000-0005-0000-0000-0000DD710000}"/>
    <cellStyle name="40 % - Markeringsfarve4 3 2 3 4 2 4" xfId="40870" xr:uid="{00000000-0005-0000-0000-0000DE710000}"/>
    <cellStyle name="40 % - Markeringsfarve4 3 2 3 4 3" xfId="12545" xr:uid="{00000000-0005-0000-0000-0000DF710000}"/>
    <cellStyle name="40 % - Markeringsfarve4 3 2 3 4 3 2" xfId="28864" xr:uid="{00000000-0005-0000-0000-0000E0710000}"/>
    <cellStyle name="40 % - Markeringsfarve4 3 2 3 4 3 3" xfId="43829" xr:uid="{00000000-0005-0000-0000-0000E1710000}"/>
    <cellStyle name="40 % - Markeringsfarve4 3 2 3 4 4" xfId="21842" xr:uid="{00000000-0005-0000-0000-0000E2710000}"/>
    <cellStyle name="40 % - Markeringsfarve4 3 2 3 4 5" xfId="36830" xr:uid="{00000000-0005-0000-0000-0000E3710000}"/>
    <cellStyle name="40 % - Markeringsfarve4 3 2 3 5" xfId="5939" xr:uid="{00000000-0005-0000-0000-0000E4710000}"/>
    <cellStyle name="40 % - Markeringsfarve4 3 2 3 5 2" xfId="13857" xr:uid="{00000000-0005-0000-0000-0000E5710000}"/>
    <cellStyle name="40 % - Markeringsfarve4 3 2 3 5 2 2" xfId="30171" xr:uid="{00000000-0005-0000-0000-0000E6710000}"/>
    <cellStyle name="40 % - Markeringsfarve4 3 2 3 5 2 3" xfId="45135" xr:uid="{00000000-0005-0000-0000-0000E7710000}"/>
    <cellStyle name="40 % - Markeringsfarve4 3 2 3 5 3" xfId="23149" xr:uid="{00000000-0005-0000-0000-0000E8710000}"/>
    <cellStyle name="40 % - Markeringsfarve4 3 2 3 5 4" xfId="38136" xr:uid="{00000000-0005-0000-0000-0000E9710000}"/>
    <cellStyle name="40 % - Markeringsfarve4 3 2 3 6" xfId="12541" xr:uid="{00000000-0005-0000-0000-0000EA710000}"/>
    <cellStyle name="40 % - Markeringsfarve4 3 2 3 6 2" xfId="28860" xr:uid="{00000000-0005-0000-0000-0000EB710000}"/>
    <cellStyle name="40 % - Markeringsfarve4 3 2 3 6 3" xfId="43825" xr:uid="{00000000-0005-0000-0000-0000EC710000}"/>
    <cellStyle name="40 % - Markeringsfarve4 3 2 3 7" xfId="21838" xr:uid="{00000000-0005-0000-0000-0000ED710000}"/>
    <cellStyle name="40 % - Markeringsfarve4 3 2 3 8" xfId="36826" xr:uid="{00000000-0005-0000-0000-0000EE710000}"/>
    <cellStyle name="40 % - Markeringsfarve4 3 2 4" xfId="3989" xr:uid="{00000000-0005-0000-0000-0000EF710000}"/>
    <cellStyle name="40 % - Markeringsfarve4 3 2 4 2" xfId="3990" xr:uid="{00000000-0005-0000-0000-0000F0710000}"/>
    <cellStyle name="40 % - Markeringsfarve4 3 2 4 2 2" xfId="3991" xr:uid="{00000000-0005-0000-0000-0000F1710000}"/>
    <cellStyle name="40 % - Markeringsfarve4 3 2 4 2 2 2" xfId="7906" xr:uid="{00000000-0005-0000-0000-0000F2710000}"/>
    <cellStyle name="40 % - Markeringsfarve4 3 2 4 2 2 2 2" xfId="15807" xr:uid="{00000000-0005-0000-0000-0000F3710000}"/>
    <cellStyle name="40 % - Markeringsfarve4 3 2 4 2 2 2 2 2" xfId="32121" xr:uid="{00000000-0005-0000-0000-0000F4710000}"/>
    <cellStyle name="40 % - Markeringsfarve4 3 2 4 2 2 2 2 3" xfId="47085" xr:uid="{00000000-0005-0000-0000-0000F5710000}"/>
    <cellStyle name="40 % - Markeringsfarve4 3 2 4 2 2 2 3" xfId="25099" xr:uid="{00000000-0005-0000-0000-0000F6710000}"/>
    <cellStyle name="40 % - Markeringsfarve4 3 2 4 2 2 2 4" xfId="40086" xr:uid="{00000000-0005-0000-0000-0000F7710000}"/>
    <cellStyle name="40 % - Markeringsfarve4 3 2 4 2 2 3" xfId="12548" xr:uid="{00000000-0005-0000-0000-0000F8710000}"/>
    <cellStyle name="40 % - Markeringsfarve4 3 2 4 2 2 3 2" xfId="28867" xr:uid="{00000000-0005-0000-0000-0000F9710000}"/>
    <cellStyle name="40 % - Markeringsfarve4 3 2 4 2 2 3 3" xfId="43832" xr:uid="{00000000-0005-0000-0000-0000FA710000}"/>
    <cellStyle name="40 % - Markeringsfarve4 3 2 4 2 2 4" xfId="21845" xr:uid="{00000000-0005-0000-0000-0000FB710000}"/>
    <cellStyle name="40 % - Markeringsfarve4 3 2 4 2 2 5" xfId="36833" xr:uid="{00000000-0005-0000-0000-0000FC710000}"/>
    <cellStyle name="40 % - Markeringsfarve4 3 2 4 2 3" xfId="6444" xr:uid="{00000000-0005-0000-0000-0000FD710000}"/>
    <cellStyle name="40 % - Markeringsfarve4 3 2 4 2 3 2" xfId="14358" xr:uid="{00000000-0005-0000-0000-0000FE710000}"/>
    <cellStyle name="40 % - Markeringsfarve4 3 2 4 2 3 2 2" xfId="30672" xr:uid="{00000000-0005-0000-0000-0000FF710000}"/>
    <cellStyle name="40 % - Markeringsfarve4 3 2 4 2 3 2 3" xfId="45636" xr:uid="{00000000-0005-0000-0000-000000720000}"/>
    <cellStyle name="40 % - Markeringsfarve4 3 2 4 2 3 3" xfId="23650" xr:uid="{00000000-0005-0000-0000-000001720000}"/>
    <cellStyle name="40 % - Markeringsfarve4 3 2 4 2 3 4" xfId="38637" xr:uid="{00000000-0005-0000-0000-000002720000}"/>
    <cellStyle name="40 % - Markeringsfarve4 3 2 4 2 4" xfId="12547" xr:uid="{00000000-0005-0000-0000-000003720000}"/>
    <cellStyle name="40 % - Markeringsfarve4 3 2 4 2 4 2" xfId="28866" xr:uid="{00000000-0005-0000-0000-000004720000}"/>
    <cellStyle name="40 % - Markeringsfarve4 3 2 4 2 4 3" xfId="43831" xr:uid="{00000000-0005-0000-0000-000005720000}"/>
    <cellStyle name="40 % - Markeringsfarve4 3 2 4 2 5" xfId="21844" xr:uid="{00000000-0005-0000-0000-000006720000}"/>
    <cellStyle name="40 % - Markeringsfarve4 3 2 4 2 6" xfId="36832" xr:uid="{00000000-0005-0000-0000-000007720000}"/>
    <cellStyle name="40 % - Markeringsfarve4 3 2 4 3" xfId="3992" xr:uid="{00000000-0005-0000-0000-000008720000}"/>
    <cellStyle name="40 % - Markeringsfarve4 3 2 4 3 2" xfId="7182" xr:uid="{00000000-0005-0000-0000-000009720000}"/>
    <cellStyle name="40 % - Markeringsfarve4 3 2 4 3 2 2" xfId="15092" xr:uid="{00000000-0005-0000-0000-00000A720000}"/>
    <cellStyle name="40 % - Markeringsfarve4 3 2 4 3 2 2 2" xfId="31406" xr:uid="{00000000-0005-0000-0000-00000B720000}"/>
    <cellStyle name="40 % - Markeringsfarve4 3 2 4 3 2 2 3" xfId="46370" xr:uid="{00000000-0005-0000-0000-00000C720000}"/>
    <cellStyle name="40 % - Markeringsfarve4 3 2 4 3 2 3" xfId="24384" xr:uid="{00000000-0005-0000-0000-00000D720000}"/>
    <cellStyle name="40 % - Markeringsfarve4 3 2 4 3 2 4" xfId="39371" xr:uid="{00000000-0005-0000-0000-00000E720000}"/>
    <cellStyle name="40 % - Markeringsfarve4 3 2 4 3 3" xfId="12549" xr:uid="{00000000-0005-0000-0000-00000F720000}"/>
    <cellStyle name="40 % - Markeringsfarve4 3 2 4 3 3 2" xfId="28868" xr:uid="{00000000-0005-0000-0000-000010720000}"/>
    <cellStyle name="40 % - Markeringsfarve4 3 2 4 3 3 3" xfId="43833" xr:uid="{00000000-0005-0000-0000-000011720000}"/>
    <cellStyle name="40 % - Markeringsfarve4 3 2 4 3 4" xfId="21846" xr:uid="{00000000-0005-0000-0000-000012720000}"/>
    <cellStyle name="40 % - Markeringsfarve4 3 2 4 3 5" xfId="36834" xr:uid="{00000000-0005-0000-0000-000013720000}"/>
    <cellStyle name="40 % - Markeringsfarve4 3 2 4 4" xfId="3993" xr:uid="{00000000-0005-0000-0000-000014720000}"/>
    <cellStyle name="40 % - Markeringsfarve4 3 2 4 4 2" xfId="8436" xr:uid="{00000000-0005-0000-0000-000015720000}"/>
    <cellStyle name="40 % - Markeringsfarve4 3 2 4 4 2 2" xfId="16328" xr:uid="{00000000-0005-0000-0000-000016720000}"/>
    <cellStyle name="40 % - Markeringsfarve4 3 2 4 4 2 2 2" xfId="32642" xr:uid="{00000000-0005-0000-0000-000017720000}"/>
    <cellStyle name="40 % - Markeringsfarve4 3 2 4 4 2 2 3" xfId="47606" xr:uid="{00000000-0005-0000-0000-000018720000}"/>
    <cellStyle name="40 % - Markeringsfarve4 3 2 4 4 2 3" xfId="25620" xr:uid="{00000000-0005-0000-0000-000019720000}"/>
    <cellStyle name="40 % - Markeringsfarve4 3 2 4 4 2 4" xfId="40607" xr:uid="{00000000-0005-0000-0000-00001A720000}"/>
    <cellStyle name="40 % - Markeringsfarve4 3 2 4 4 3" xfId="12550" xr:uid="{00000000-0005-0000-0000-00001B720000}"/>
    <cellStyle name="40 % - Markeringsfarve4 3 2 4 4 3 2" xfId="28869" xr:uid="{00000000-0005-0000-0000-00001C720000}"/>
    <cellStyle name="40 % - Markeringsfarve4 3 2 4 4 3 3" xfId="43834" xr:uid="{00000000-0005-0000-0000-00001D720000}"/>
    <cellStyle name="40 % - Markeringsfarve4 3 2 4 4 4" xfId="21847" xr:uid="{00000000-0005-0000-0000-00001E720000}"/>
    <cellStyle name="40 % - Markeringsfarve4 3 2 4 4 5" xfId="36835" xr:uid="{00000000-0005-0000-0000-00001F720000}"/>
    <cellStyle name="40 % - Markeringsfarve4 3 2 4 5" xfId="5940" xr:uid="{00000000-0005-0000-0000-000020720000}"/>
    <cellStyle name="40 % - Markeringsfarve4 3 2 4 5 2" xfId="13858" xr:uid="{00000000-0005-0000-0000-000021720000}"/>
    <cellStyle name="40 % - Markeringsfarve4 3 2 4 5 2 2" xfId="30172" xr:uid="{00000000-0005-0000-0000-000022720000}"/>
    <cellStyle name="40 % - Markeringsfarve4 3 2 4 5 2 3" xfId="45136" xr:uid="{00000000-0005-0000-0000-000023720000}"/>
    <cellStyle name="40 % - Markeringsfarve4 3 2 4 5 3" xfId="23150" xr:uid="{00000000-0005-0000-0000-000024720000}"/>
    <cellStyle name="40 % - Markeringsfarve4 3 2 4 5 4" xfId="38137" xr:uid="{00000000-0005-0000-0000-000025720000}"/>
    <cellStyle name="40 % - Markeringsfarve4 3 2 4 6" xfId="12546" xr:uid="{00000000-0005-0000-0000-000026720000}"/>
    <cellStyle name="40 % - Markeringsfarve4 3 2 4 6 2" xfId="28865" xr:uid="{00000000-0005-0000-0000-000027720000}"/>
    <cellStyle name="40 % - Markeringsfarve4 3 2 4 6 3" xfId="43830" xr:uid="{00000000-0005-0000-0000-000028720000}"/>
    <cellStyle name="40 % - Markeringsfarve4 3 2 4 7" xfId="21843" xr:uid="{00000000-0005-0000-0000-000029720000}"/>
    <cellStyle name="40 % - Markeringsfarve4 3 2 4 8" xfId="36831" xr:uid="{00000000-0005-0000-0000-00002A720000}"/>
    <cellStyle name="40 % - Markeringsfarve4 3 2 5" xfId="3994" xr:uid="{00000000-0005-0000-0000-00002B720000}"/>
    <cellStyle name="40 % - Markeringsfarve4 3 2 5 2" xfId="3995" xr:uid="{00000000-0005-0000-0000-00002C720000}"/>
    <cellStyle name="40 % - Markeringsfarve4 3 2 5 2 2" xfId="3996" xr:uid="{00000000-0005-0000-0000-00002D720000}"/>
    <cellStyle name="40 % - Markeringsfarve4 3 2 5 2 2 2" xfId="8023" xr:uid="{00000000-0005-0000-0000-00002E720000}"/>
    <cellStyle name="40 % - Markeringsfarve4 3 2 5 2 2 2 2" xfId="15924" xr:uid="{00000000-0005-0000-0000-00002F720000}"/>
    <cellStyle name="40 % - Markeringsfarve4 3 2 5 2 2 2 2 2" xfId="32238" xr:uid="{00000000-0005-0000-0000-000030720000}"/>
    <cellStyle name="40 % - Markeringsfarve4 3 2 5 2 2 2 2 3" xfId="47202" xr:uid="{00000000-0005-0000-0000-000031720000}"/>
    <cellStyle name="40 % - Markeringsfarve4 3 2 5 2 2 2 3" xfId="25216" xr:uid="{00000000-0005-0000-0000-000032720000}"/>
    <cellStyle name="40 % - Markeringsfarve4 3 2 5 2 2 2 4" xfId="40203" xr:uid="{00000000-0005-0000-0000-000033720000}"/>
    <cellStyle name="40 % - Markeringsfarve4 3 2 5 2 2 3" xfId="12553" xr:uid="{00000000-0005-0000-0000-000034720000}"/>
    <cellStyle name="40 % - Markeringsfarve4 3 2 5 2 2 3 2" xfId="28872" xr:uid="{00000000-0005-0000-0000-000035720000}"/>
    <cellStyle name="40 % - Markeringsfarve4 3 2 5 2 2 3 3" xfId="43837" xr:uid="{00000000-0005-0000-0000-000036720000}"/>
    <cellStyle name="40 % - Markeringsfarve4 3 2 5 2 2 4" xfId="21850" xr:uid="{00000000-0005-0000-0000-000037720000}"/>
    <cellStyle name="40 % - Markeringsfarve4 3 2 5 2 2 5" xfId="36838" xr:uid="{00000000-0005-0000-0000-000038720000}"/>
    <cellStyle name="40 % - Markeringsfarve4 3 2 5 2 3" xfId="6543" xr:uid="{00000000-0005-0000-0000-000039720000}"/>
    <cellStyle name="40 % - Markeringsfarve4 3 2 5 2 3 2" xfId="14457" xr:uid="{00000000-0005-0000-0000-00003A720000}"/>
    <cellStyle name="40 % - Markeringsfarve4 3 2 5 2 3 2 2" xfId="30771" xr:uid="{00000000-0005-0000-0000-00003B720000}"/>
    <cellStyle name="40 % - Markeringsfarve4 3 2 5 2 3 2 3" xfId="45735" xr:uid="{00000000-0005-0000-0000-00003C720000}"/>
    <cellStyle name="40 % - Markeringsfarve4 3 2 5 2 3 3" xfId="23749" xr:uid="{00000000-0005-0000-0000-00003D720000}"/>
    <cellStyle name="40 % - Markeringsfarve4 3 2 5 2 3 4" xfId="38736" xr:uid="{00000000-0005-0000-0000-00003E720000}"/>
    <cellStyle name="40 % - Markeringsfarve4 3 2 5 2 4" xfId="12552" xr:uid="{00000000-0005-0000-0000-00003F720000}"/>
    <cellStyle name="40 % - Markeringsfarve4 3 2 5 2 4 2" xfId="28871" xr:uid="{00000000-0005-0000-0000-000040720000}"/>
    <cellStyle name="40 % - Markeringsfarve4 3 2 5 2 4 3" xfId="43836" xr:uid="{00000000-0005-0000-0000-000041720000}"/>
    <cellStyle name="40 % - Markeringsfarve4 3 2 5 2 5" xfId="21849" xr:uid="{00000000-0005-0000-0000-000042720000}"/>
    <cellStyle name="40 % - Markeringsfarve4 3 2 5 2 6" xfId="36837" xr:uid="{00000000-0005-0000-0000-000043720000}"/>
    <cellStyle name="40 % - Markeringsfarve4 3 2 5 3" xfId="3997" xr:uid="{00000000-0005-0000-0000-000044720000}"/>
    <cellStyle name="40 % - Markeringsfarve4 3 2 5 3 2" xfId="7299" xr:uid="{00000000-0005-0000-0000-000045720000}"/>
    <cellStyle name="40 % - Markeringsfarve4 3 2 5 3 2 2" xfId="15209" xr:uid="{00000000-0005-0000-0000-000046720000}"/>
    <cellStyle name="40 % - Markeringsfarve4 3 2 5 3 2 2 2" xfId="31523" xr:uid="{00000000-0005-0000-0000-000047720000}"/>
    <cellStyle name="40 % - Markeringsfarve4 3 2 5 3 2 2 3" xfId="46487" xr:uid="{00000000-0005-0000-0000-000048720000}"/>
    <cellStyle name="40 % - Markeringsfarve4 3 2 5 3 2 3" xfId="24501" xr:uid="{00000000-0005-0000-0000-000049720000}"/>
    <cellStyle name="40 % - Markeringsfarve4 3 2 5 3 2 4" xfId="39488" xr:uid="{00000000-0005-0000-0000-00004A720000}"/>
    <cellStyle name="40 % - Markeringsfarve4 3 2 5 3 3" xfId="12554" xr:uid="{00000000-0005-0000-0000-00004B720000}"/>
    <cellStyle name="40 % - Markeringsfarve4 3 2 5 3 3 2" xfId="28873" xr:uid="{00000000-0005-0000-0000-00004C720000}"/>
    <cellStyle name="40 % - Markeringsfarve4 3 2 5 3 3 3" xfId="43838" xr:uid="{00000000-0005-0000-0000-00004D720000}"/>
    <cellStyle name="40 % - Markeringsfarve4 3 2 5 3 4" xfId="21851" xr:uid="{00000000-0005-0000-0000-00004E720000}"/>
    <cellStyle name="40 % - Markeringsfarve4 3 2 5 3 5" xfId="36839" xr:uid="{00000000-0005-0000-0000-00004F720000}"/>
    <cellStyle name="40 % - Markeringsfarve4 3 2 5 4" xfId="3998" xr:uid="{00000000-0005-0000-0000-000050720000}"/>
    <cellStyle name="40 % - Markeringsfarve4 3 2 5 4 2" xfId="8671" xr:uid="{00000000-0005-0000-0000-000051720000}"/>
    <cellStyle name="40 % - Markeringsfarve4 3 2 5 4 2 2" xfId="16553" xr:uid="{00000000-0005-0000-0000-000052720000}"/>
    <cellStyle name="40 % - Markeringsfarve4 3 2 5 4 2 2 2" xfId="32867" xr:uid="{00000000-0005-0000-0000-000053720000}"/>
    <cellStyle name="40 % - Markeringsfarve4 3 2 5 4 2 2 3" xfId="47831" xr:uid="{00000000-0005-0000-0000-000054720000}"/>
    <cellStyle name="40 % - Markeringsfarve4 3 2 5 4 2 3" xfId="25845" xr:uid="{00000000-0005-0000-0000-000055720000}"/>
    <cellStyle name="40 % - Markeringsfarve4 3 2 5 4 2 4" xfId="40832" xr:uid="{00000000-0005-0000-0000-000056720000}"/>
    <cellStyle name="40 % - Markeringsfarve4 3 2 5 4 3" xfId="12555" xr:uid="{00000000-0005-0000-0000-000057720000}"/>
    <cellStyle name="40 % - Markeringsfarve4 3 2 5 4 3 2" xfId="28874" xr:uid="{00000000-0005-0000-0000-000058720000}"/>
    <cellStyle name="40 % - Markeringsfarve4 3 2 5 4 3 3" xfId="43839" xr:uid="{00000000-0005-0000-0000-000059720000}"/>
    <cellStyle name="40 % - Markeringsfarve4 3 2 5 4 4" xfId="21852" xr:uid="{00000000-0005-0000-0000-00005A720000}"/>
    <cellStyle name="40 % - Markeringsfarve4 3 2 5 4 5" xfId="36840" xr:uid="{00000000-0005-0000-0000-00005B720000}"/>
    <cellStyle name="40 % - Markeringsfarve4 3 2 5 5" xfId="5941" xr:uid="{00000000-0005-0000-0000-00005C720000}"/>
    <cellStyle name="40 % - Markeringsfarve4 3 2 5 5 2" xfId="13859" xr:uid="{00000000-0005-0000-0000-00005D720000}"/>
    <cellStyle name="40 % - Markeringsfarve4 3 2 5 5 2 2" xfId="30173" xr:uid="{00000000-0005-0000-0000-00005E720000}"/>
    <cellStyle name="40 % - Markeringsfarve4 3 2 5 5 2 3" xfId="45137" xr:uid="{00000000-0005-0000-0000-00005F720000}"/>
    <cellStyle name="40 % - Markeringsfarve4 3 2 5 5 3" xfId="23151" xr:uid="{00000000-0005-0000-0000-000060720000}"/>
    <cellStyle name="40 % - Markeringsfarve4 3 2 5 5 4" xfId="38138" xr:uid="{00000000-0005-0000-0000-000061720000}"/>
    <cellStyle name="40 % - Markeringsfarve4 3 2 5 6" xfId="12551" xr:uid="{00000000-0005-0000-0000-000062720000}"/>
    <cellStyle name="40 % - Markeringsfarve4 3 2 5 6 2" xfId="28870" xr:uid="{00000000-0005-0000-0000-000063720000}"/>
    <cellStyle name="40 % - Markeringsfarve4 3 2 5 6 3" xfId="43835" xr:uid="{00000000-0005-0000-0000-000064720000}"/>
    <cellStyle name="40 % - Markeringsfarve4 3 2 5 7" xfId="21848" xr:uid="{00000000-0005-0000-0000-000065720000}"/>
    <cellStyle name="40 % - Markeringsfarve4 3 2 5 8" xfId="36836" xr:uid="{00000000-0005-0000-0000-000066720000}"/>
    <cellStyle name="40 % - Markeringsfarve4 3 2 6" xfId="3999" xr:uid="{00000000-0005-0000-0000-000067720000}"/>
    <cellStyle name="40 % - Markeringsfarve4 3 2 6 2" xfId="4000" xr:uid="{00000000-0005-0000-0000-000068720000}"/>
    <cellStyle name="40 % - Markeringsfarve4 3 2 6 2 2" xfId="4001" xr:uid="{00000000-0005-0000-0000-000069720000}"/>
    <cellStyle name="40 % - Markeringsfarve4 3 2 6 2 2 2" xfId="8166" xr:uid="{00000000-0005-0000-0000-00006A720000}"/>
    <cellStyle name="40 % - Markeringsfarve4 3 2 6 2 2 2 2" xfId="16067" xr:uid="{00000000-0005-0000-0000-00006B720000}"/>
    <cellStyle name="40 % - Markeringsfarve4 3 2 6 2 2 2 2 2" xfId="32381" xr:uid="{00000000-0005-0000-0000-00006C720000}"/>
    <cellStyle name="40 % - Markeringsfarve4 3 2 6 2 2 2 2 3" xfId="47345" xr:uid="{00000000-0005-0000-0000-00006D720000}"/>
    <cellStyle name="40 % - Markeringsfarve4 3 2 6 2 2 2 3" xfId="25359" xr:uid="{00000000-0005-0000-0000-00006E720000}"/>
    <cellStyle name="40 % - Markeringsfarve4 3 2 6 2 2 2 4" xfId="40346" xr:uid="{00000000-0005-0000-0000-00006F720000}"/>
    <cellStyle name="40 % - Markeringsfarve4 3 2 6 2 2 3" xfId="12558" xr:uid="{00000000-0005-0000-0000-000070720000}"/>
    <cellStyle name="40 % - Markeringsfarve4 3 2 6 2 2 3 2" xfId="28877" xr:uid="{00000000-0005-0000-0000-000071720000}"/>
    <cellStyle name="40 % - Markeringsfarve4 3 2 6 2 2 3 3" xfId="43842" xr:uid="{00000000-0005-0000-0000-000072720000}"/>
    <cellStyle name="40 % - Markeringsfarve4 3 2 6 2 2 4" xfId="21855" xr:uid="{00000000-0005-0000-0000-000073720000}"/>
    <cellStyle name="40 % - Markeringsfarve4 3 2 6 2 2 5" xfId="36843" xr:uid="{00000000-0005-0000-0000-000074720000}"/>
    <cellStyle name="40 % - Markeringsfarve4 3 2 6 2 3" xfId="6659" xr:uid="{00000000-0005-0000-0000-000075720000}"/>
    <cellStyle name="40 % - Markeringsfarve4 3 2 6 2 3 2" xfId="14573" xr:uid="{00000000-0005-0000-0000-000076720000}"/>
    <cellStyle name="40 % - Markeringsfarve4 3 2 6 2 3 2 2" xfId="30887" xr:uid="{00000000-0005-0000-0000-000077720000}"/>
    <cellStyle name="40 % - Markeringsfarve4 3 2 6 2 3 2 3" xfId="45851" xr:uid="{00000000-0005-0000-0000-000078720000}"/>
    <cellStyle name="40 % - Markeringsfarve4 3 2 6 2 3 3" xfId="23865" xr:uid="{00000000-0005-0000-0000-000079720000}"/>
    <cellStyle name="40 % - Markeringsfarve4 3 2 6 2 3 4" xfId="38852" xr:uid="{00000000-0005-0000-0000-00007A720000}"/>
    <cellStyle name="40 % - Markeringsfarve4 3 2 6 2 4" xfId="12557" xr:uid="{00000000-0005-0000-0000-00007B720000}"/>
    <cellStyle name="40 % - Markeringsfarve4 3 2 6 2 4 2" xfId="28876" xr:uid="{00000000-0005-0000-0000-00007C720000}"/>
    <cellStyle name="40 % - Markeringsfarve4 3 2 6 2 4 3" xfId="43841" xr:uid="{00000000-0005-0000-0000-00007D720000}"/>
    <cellStyle name="40 % - Markeringsfarve4 3 2 6 2 5" xfId="21854" xr:uid="{00000000-0005-0000-0000-00007E720000}"/>
    <cellStyle name="40 % - Markeringsfarve4 3 2 6 2 6" xfId="36842" xr:uid="{00000000-0005-0000-0000-00007F720000}"/>
    <cellStyle name="40 % - Markeringsfarve4 3 2 6 3" xfId="4002" xr:uid="{00000000-0005-0000-0000-000080720000}"/>
    <cellStyle name="40 % - Markeringsfarve4 3 2 6 3 2" xfId="7443" xr:uid="{00000000-0005-0000-0000-000081720000}"/>
    <cellStyle name="40 % - Markeringsfarve4 3 2 6 3 2 2" xfId="15353" xr:uid="{00000000-0005-0000-0000-000082720000}"/>
    <cellStyle name="40 % - Markeringsfarve4 3 2 6 3 2 2 2" xfId="31667" xr:uid="{00000000-0005-0000-0000-000083720000}"/>
    <cellStyle name="40 % - Markeringsfarve4 3 2 6 3 2 2 3" xfId="46631" xr:uid="{00000000-0005-0000-0000-000084720000}"/>
    <cellStyle name="40 % - Markeringsfarve4 3 2 6 3 2 3" xfId="24645" xr:uid="{00000000-0005-0000-0000-000085720000}"/>
    <cellStyle name="40 % - Markeringsfarve4 3 2 6 3 2 4" xfId="39632" xr:uid="{00000000-0005-0000-0000-000086720000}"/>
    <cellStyle name="40 % - Markeringsfarve4 3 2 6 3 3" xfId="12559" xr:uid="{00000000-0005-0000-0000-000087720000}"/>
    <cellStyle name="40 % - Markeringsfarve4 3 2 6 3 3 2" xfId="28878" xr:uid="{00000000-0005-0000-0000-000088720000}"/>
    <cellStyle name="40 % - Markeringsfarve4 3 2 6 3 3 3" xfId="43843" xr:uid="{00000000-0005-0000-0000-000089720000}"/>
    <cellStyle name="40 % - Markeringsfarve4 3 2 6 3 4" xfId="21856" xr:uid="{00000000-0005-0000-0000-00008A720000}"/>
    <cellStyle name="40 % - Markeringsfarve4 3 2 6 3 5" xfId="36844" xr:uid="{00000000-0005-0000-0000-00008B720000}"/>
    <cellStyle name="40 % - Markeringsfarve4 3 2 6 4" xfId="4003" xr:uid="{00000000-0005-0000-0000-00008C720000}"/>
    <cellStyle name="40 % - Markeringsfarve4 3 2 6 4 2" xfId="8394" xr:uid="{00000000-0005-0000-0000-00008D720000}"/>
    <cellStyle name="40 % - Markeringsfarve4 3 2 6 4 2 2" xfId="16287" xr:uid="{00000000-0005-0000-0000-00008E720000}"/>
    <cellStyle name="40 % - Markeringsfarve4 3 2 6 4 2 2 2" xfId="32601" xr:uid="{00000000-0005-0000-0000-00008F720000}"/>
    <cellStyle name="40 % - Markeringsfarve4 3 2 6 4 2 2 3" xfId="47565" xr:uid="{00000000-0005-0000-0000-000090720000}"/>
    <cellStyle name="40 % - Markeringsfarve4 3 2 6 4 2 3" xfId="25579" xr:uid="{00000000-0005-0000-0000-000091720000}"/>
    <cellStyle name="40 % - Markeringsfarve4 3 2 6 4 2 4" xfId="40566" xr:uid="{00000000-0005-0000-0000-000092720000}"/>
    <cellStyle name="40 % - Markeringsfarve4 3 2 6 4 3" xfId="12560" xr:uid="{00000000-0005-0000-0000-000093720000}"/>
    <cellStyle name="40 % - Markeringsfarve4 3 2 6 4 3 2" xfId="28879" xr:uid="{00000000-0005-0000-0000-000094720000}"/>
    <cellStyle name="40 % - Markeringsfarve4 3 2 6 4 3 3" xfId="43844" xr:uid="{00000000-0005-0000-0000-000095720000}"/>
    <cellStyle name="40 % - Markeringsfarve4 3 2 6 4 4" xfId="21857" xr:uid="{00000000-0005-0000-0000-000096720000}"/>
    <cellStyle name="40 % - Markeringsfarve4 3 2 6 4 5" xfId="36845" xr:uid="{00000000-0005-0000-0000-000097720000}"/>
    <cellStyle name="40 % - Markeringsfarve4 3 2 6 5" xfId="5942" xr:uid="{00000000-0005-0000-0000-000098720000}"/>
    <cellStyle name="40 % - Markeringsfarve4 3 2 6 5 2" xfId="13860" xr:uid="{00000000-0005-0000-0000-000099720000}"/>
    <cellStyle name="40 % - Markeringsfarve4 3 2 6 5 2 2" xfId="30174" xr:uid="{00000000-0005-0000-0000-00009A720000}"/>
    <cellStyle name="40 % - Markeringsfarve4 3 2 6 5 2 3" xfId="45138" xr:uid="{00000000-0005-0000-0000-00009B720000}"/>
    <cellStyle name="40 % - Markeringsfarve4 3 2 6 5 3" xfId="23152" xr:uid="{00000000-0005-0000-0000-00009C720000}"/>
    <cellStyle name="40 % - Markeringsfarve4 3 2 6 5 4" xfId="38139" xr:uid="{00000000-0005-0000-0000-00009D720000}"/>
    <cellStyle name="40 % - Markeringsfarve4 3 2 6 6" xfId="12556" xr:uid="{00000000-0005-0000-0000-00009E720000}"/>
    <cellStyle name="40 % - Markeringsfarve4 3 2 6 6 2" xfId="28875" xr:uid="{00000000-0005-0000-0000-00009F720000}"/>
    <cellStyle name="40 % - Markeringsfarve4 3 2 6 6 3" xfId="43840" xr:uid="{00000000-0005-0000-0000-0000A0720000}"/>
    <cellStyle name="40 % - Markeringsfarve4 3 2 6 7" xfId="21853" xr:uid="{00000000-0005-0000-0000-0000A1720000}"/>
    <cellStyle name="40 % - Markeringsfarve4 3 2 6 8" xfId="36841" xr:uid="{00000000-0005-0000-0000-0000A2720000}"/>
    <cellStyle name="40 % - Markeringsfarve4 3 2 7" xfId="4004" xr:uid="{00000000-0005-0000-0000-0000A3720000}"/>
    <cellStyle name="40 % - Markeringsfarve4 3 2 7 2" xfId="4005" xr:uid="{00000000-0005-0000-0000-0000A4720000}"/>
    <cellStyle name="40 % - Markeringsfarve4 3 2 7 2 2" xfId="7549" xr:uid="{00000000-0005-0000-0000-0000A5720000}"/>
    <cellStyle name="40 % - Markeringsfarve4 3 2 7 2 2 2" xfId="15450" xr:uid="{00000000-0005-0000-0000-0000A6720000}"/>
    <cellStyle name="40 % - Markeringsfarve4 3 2 7 2 2 2 2" xfId="31764" xr:uid="{00000000-0005-0000-0000-0000A7720000}"/>
    <cellStyle name="40 % - Markeringsfarve4 3 2 7 2 2 2 3" xfId="46728" xr:uid="{00000000-0005-0000-0000-0000A8720000}"/>
    <cellStyle name="40 % - Markeringsfarve4 3 2 7 2 2 3" xfId="24742" xr:uid="{00000000-0005-0000-0000-0000A9720000}"/>
    <cellStyle name="40 % - Markeringsfarve4 3 2 7 2 2 4" xfId="39729" xr:uid="{00000000-0005-0000-0000-0000AA720000}"/>
    <cellStyle name="40 % - Markeringsfarve4 3 2 7 2 3" xfId="12562" xr:uid="{00000000-0005-0000-0000-0000AB720000}"/>
    <cellStyle name="40 % - Markeringsfarve4 3 2 7 2 3 2" xfId="28881" xr:uid="{00000000-0005-0000-0000-0000AC720000}"/>
    <cellStyle name="40 % - Markeringsfarve4 3 2 7 2 3 3" xfId="43846" xr:uid="{00000000-0005-0000-0000-0000AD720000}"/>
    <cellStyle name="40 % - Markeringsfarve4 3 2 7 2 4" xfId="21859" xr:uid="{00000000-0005-0000-0000-0000AE720000}"/>
    <cellStyle name="40 % - Markeringsfarve4 3 2 7 2 5" xfId="36847" xr:uid="{00000000-0005-0000-0000-0000AF720000}"/>
    <cellStyle name="40 % - Markeringsfarve4 3 2 7 3" xfId="6143" xr:uid="{00000000-0005-0000-0000-0000B0720000}"/>
    <cellStyle name="40 % - Markeringsfarve4 3 2 7 3 2" xfId="14060" xr:uid="{00000000-0005-0000-0000-0000B1720000}"/>
    <cellStyle name="40 % - Markeringsfarve4 3 2 7 3 2 2" xfId="30374" xr:uid="{00000000-0005-0000-0000-0000B2720000}"/>
    <cellStyle name="40 % - Markeringsfarve4 3 2 7 3 2 3" xfId="45338" xr:uid="{00000000-0005-0000-0000-0000B3720000}"/>
    <cellStyle name="40 % - Markeringsfarve4 3 2 7 3 3" xfId="23352" xr:uid="{00000000-0005-0000-0000-0000B4720000}"/>
    <cellStyle name="40 % - Markeringsfarve4 3 2 7 3 4" xfId="38339" xr:uid="{00000000-0005-0000-0000-0000B5720000}"/>
    <cellStyle name="40 % - Markeringsfarve4 3 2 7 4" xfId="12561" xr:uid="{00000000-0005-0000-0000-0000B6720000}"/>
    <cellStyle name="40 % - Markeringsfarve4 3 2 7 4 2" xfId="28880" xr:uid="{00000000-0005-0000-0000-0000B7720000}"/>
    <cellStyle name="40 % - Markeringsfarve4 3 2 7 4 3" xfId="43845" xr:uid="{00000000-0005-0000-0000-0000B8720000}"/>
    <cellStyle name="40 % - Markeringsfarve4 3 2 7 5" xfId="21858" xr:uid="{00000000-0005-0000-0000-0000B9720000}"/>
    <cellStyle name="40 % - Markeringsfarve4 3 2 7 6" xfId="36846" xr:uid="{00000000-0005-0000-0000-0000BA720000}"/>
    <cellStyle name="40 % - Markeringsfarve4 3 2 8" xfId="4006" xr:uid="{00000000-0005-0000-0000-0000BB720000}"/>
    <cellStyle name="40 % - Markeringsfarve4 3 2 8 2" xfId="6777" xr:uid="{00000000-0005-0000-0000-0000BC720000}"/>
    <cellStyle name="40 % - Markeringsfarve4 3 2 8 2 2" xfId="14688" xr:uid="{00000000-0005-0000-0000-0000BD720000}"/>
    <cellStyle name="40 % - Markeringsfarve4 3 2 8 2 2 2" xfId="31002" xr:uid="{00000000-0005-0000-0000-0000BE720000}"/>
    <cellStyle name="40 % - Markeringsfarve4 3 2 8 2 2 3" xfId="45966" xr:uid="{00000000-0005-0000-0000-0000BF720000}"/>
    <cellStyle name="40 % - Markeringsfarve4 3 2 8 2 3" xfId="23980" xr:uid="{00000000-0005-0000-0000-0000C0720000}"/>
    <cellStyle name="40 % - Markeringsfarve4 3 2 8 2 4" xfId="38967" xr:uid="{00000000-0005-0000-0000-0000C1720000}"/>
    <cellStyle name="40 % - Markeringsfarve4 3 2 8 3" xfId="12563" xr:uid="{00000000-0005-0000-0000-0000C2720000}"/>
    <cellStyle name="40 % - Markeringsfarve4 3 2 8 3 2" xfId="28882" xr:uid="{00000000-0005-0000-0000-0000C3720000}"/>
    <cellStyle name="40 % - Markeringsfarve4 3 2 8 3 3" xfId="43847" xr:uid="{00000000-0005-0000-0000-0000C4720000}"/>
    <cellStyle name="40 % - Markeringsfarve4 3 2 8 4" xfId="21860" xr:uid="{00000000-0005-0000-0000-0000C5720000}"/>
    <cellStyle name="40 % - Markeringsfarve4 3 2 8 5" xfId="36848" xr:uid="{00000000-0005-0000-0000-0000C6720000}"/>
    <cellStyle name="40 % - Markeringsfarve4 3 2 9" xfId="4007" xr:uid="{00000000-0005-0000-0000-0000C7720000}"/>
    <cellStyle name="40 % - Markeringsfarve4 3 2 9 2" xfId="8766" xr:uid="{00000000-0005-0000-0000-0000C8720000}"/>
    <cellStyle name="40 % - Markeringsfarve4 3 2 9 2 2" xfId="16642" xr:uid="{00000000-0005-0000-0000-0000C9720000}"/>
    <cellStyle name="40 % - Markeringsfarve4 3 2 9 2 2 2" xfId="32956" xr:uid="{00000000-0005-0000-0000-0000CA720000}"/>
    <cellStyle name="40 % - Markeringsfarve4 3 2 9 2 2 3" xfId="47920" xr:uid="{00000000-0005-0000-0000-0000CB720000}"/>
    <cellStyle name="40 % - Markeringsfarve4 3 2 9 2 3" xfId="25934" xr:uid="{00000000-0005-0000-0000-0000CC720000}"/>
    <cellStyle name="40 % - Markeringsfarve4 3 2 9 2 4" xfId="40921" xr:uid="{00000000-0005-0000-0000-0000CD720000}"/>
    <cellStyle name="40 % - Markeringsfarve4 3 2 9 3" xfId="12564" xr:uid="{00000000-0005-0000-0000-0000CE720000}"/>
    <cellStyle name="40 % - Markeringsfarve4 3 2 9 3 2" xfId="28883" xr:uid="{00000000-0005-0000-0000-0000CF720000}"/>
    <cellStyle name="40 % - Markeringsfarve4 3 2 9 3 3" xfId="43848" xr:uid="{00000000-0005-0000-0000-0000D0720000}"/>
    <cellStyle name="40 % - Markeringsfarve4 3 2 9 4" xfId="21861" xr:uid="{00000000-0005-0000-0000-0000D1720000}"/>
    <cellStyle name="40 % - Markeringsfarve4 3 2 9 5" xfId="36849" xr:uid="{00000000-0005-0000-0000-0000D2720000}"/>
    <cellStyle name="40 % - Markeringsfarve4 3 3" xfId="4008" xr:uid="{00000000-0005-0000-0000-0000D3720000}"/>
    <cellStyle name="40 % - Markeringsfarve4 3 3 10" xfId="5943" xr:uid="{00000000-0005-0000-0000-0000D4720000}"/>
    <cellStyle name="40 % - Markeringsfarve4 3 3 10 2" xfId="13861" xr:uid="{00000000-0005-0000-0000-0000D5720000}"/>
    <cellStyle name="40 % - Markeringsfarve4 3 3 10 2 2" xfId="30175" xr:uid="{00000000-0005-0000-0000-0000D6720000}"/>
    <cellStyle name="40 % - Markeringsfarve4 3 3 10 2 3" xfId="45139" xr:uid="{00000000-0005-0000-0000-0000D7720000}"/>
    <cellStyle name="40 % - Markeringsfarve4 3 3 10 3" xfId="23153" xr:uid="{00000000-0005-0000-0000-0000D8720000}"/>
    <cellStyle name="40 % - Markeringsfarve4 3 3 10 4" xfId="38140" xr:uid="{00000000-0005-0000-0000-0000D9720000}"/>
    <cellStyle name="40 % - Markeringsfarve4 3 3 11" xfId="12565" xr:uid="{00000000-0005-0000-0000-0000DA720000}"/>
    <cellStyle name="40 % - Markeringsfarve4 3 3 11 2" xfId="28884" xr:uid="{00000000-0005-0000-0000-0000DB720000}"/>
    <cellStyle name="40 % - Markeringsfarve4 3 3 11 3" xfId="43849" xr:uid="{00000000-0005-0000-0000-0000DC720000}"/>
    <cellStyle name="40 % - Markeringsfarve4 3 3 12" xfId="21862" xr:uid="{00000000-0005-0000-0000-0000DD720000}"/>
    <cellStyle name="40 % - Markeringsfarve4 3 3 13" xfId="36850" xr:uid="{00000000-0005-0000-0000-0000DE720000}"/>
    <cellStyle name="40 % - Markeringsfarve4 3 3 14" xfId="56569" xr:uid="{00000000-0005-0000-0000-0000DF720000}"/>
    <cellStyle name="40 % - Markeringsfarve4 3 3 2" xfId="4009" xr:uid="{00000000-0005-0000-0000-0000E0720000}"/>
    <cellStyle name="40 % - Markeringsfarve4 3 3 2 2" xfId="4010" xr:uid="{00000000-0005-0000-0000-0000E1720000}"/>
    <cellStyle name="40 % - Markeringsfarve4 3 3 2 2 2" xfId="4011" xr:uid="{00000000-0005-0000-0000-0000E2720000}"/>
    <cellStyle name="40 % - Markeringsfarve4 3 3 2 2 2 2" xfId="7707" xr:uid="{00000000-0005-0000-0000-0000E3720000}"/>
    <cellStyle name="40 % - Markeringsfarve4 3 3 2 2 2 2 2" xfId="15608" xr:uid="{00000000-0005-0000-0000-0000E4720000}"/>
    <cellStyle name="40 % - Markeringsfarve4 3 3 2 2 2 2 2 2" xfId="31922" xr:uid="{00000000-0005-0000-0000-0000E5720000}"/>
    <cellStyle name="40 % - Markeringsfarve4 3 3 2 2 2 2 2 3" xfId="46886" xr:uid="{00000000-0005-0000-0000-0000E6720000}"/>
    <cellStyle name="40 % - Markeringsfarve4 3 3 2 2 2 2 3" xfId="24900" xr:uid="{00000000-0005-0000-0000-0000E7720000}"/>
    <cellStyle name="40 % - Markeringsfarve4 3 3 2 2 2 2 4" xfId="39887" xr:uid="{00000000-0005-0000-0000-0000E8720000}"/>
    <cellStyle name="40 % - Markeringsfarve4 3 3 2 2 2 3" xfId="12568" xr:uid="{00000000-0005-0000-0000-0000E9720000}"/>
    <cellStyle name="40 % - Markeringsfarve4 3 3 2 2 2 3 2" xfId="28887" xr:uid="{00000000-0005-0000-0000-0000EA720000}"/>
    <cellStyle name="40 % - Markeringsfarve4 3 3 2 2 2 3 3" xfId="43852" xr:uid="{00000000-0005-0000-0000-0000EB720000}"/>
    <cellStyle name="40 % - Markeringsfarve4 3 3 2 2 2 4" xfId="21865" xr:uid="{00000000-0005-0000-0000-0000EC720000}"/>
    <cellStyle name="40 % - Markeringsfarve4 3 3 2 2 2 5" xfId="36853" xr:uid="{00000000-0005-0000-0000-0000ED720000}"/>
    <cellStyle name="40 % - Markeringsfarve4 3 3 2 2 3" xfId="6275" xr:uid="{00000000-0005-0000-0000-0000EE720000}"/>
    <cellStyle name="40 % - Markeringsfarve4 3 3 2 2 3 2" xfId="14192" xr:uid="{00000000-0005-0000-0000-0000EF720000}"/>
    <cellStyle name="40 % - Markeringsfarve4 3 3 2 2 3 2 2" xfId="30506" xr:uid="{00000000-0005-0000-0000-0000F0720000}"/>
    <cellStyle name="40 % - Markeringsfarve4 3 3 2 2 3 2 3" xfId="45470" xr:uid="{00000000-0005-0000-0000-0000F1720000}"/>
    <cellStyle name="40 % - Markeringsfarve4 3 3 2 2 3 3" xfId="23484" xr:uid="{00000000-0005-0000-0000-0000F2720000}"/>
    <cellStyle name="40 % - Markeringsfarve4 3 3 2 2 3 4" xfId="38471" xr:uid="{00000000-0005-0000-0000-0000F3720000}"/>
    <cellStyle name="40 % - Markeringsfarve4 3 3 2 2 4" xfId="12567" xr:uid="{00000000-0005-0000-0000-0000F4720000}"/>
    <cellStyle name="40 % - Markeringsfarve4 3 3 2 2 4 2" xfId="28886" xr:uid="{00000000-0005-0000-0000-0000F5720000}"/>
    <cellStyle name="40 % - Markeringsfarve4 3 3 2 2 4 3" xfId="43851" xr:uid="{00000000-0005-0000-0000-0000F6720000}"/>
    <cellStyle name="40 % - Markeringsfarve4 3 3 2 2 5" xfId="21864" xr:uid="{00000000-0005-0000-0000-0000F7720000}"/>
    <cellStyle name="40 % - Markeringsfarve4 3 3 2 2 6" xfId="36852" xr:uid="{00000000-0005-0000-0000-0000F8720000}"/>
    <cellStyle name="40 % - Markeringsfarve4 3 3 2 3" xfId="4012" xr:uid="{00000000-0005-0000-0000-0000F9720000}"/>
    <cellStyle name="40 % - Markeringsfarve4 3 3 2 3 2" xfId="6937" xr:uid="{00000000-0005-0000-0000-0000FA720000}"/>
    <cellStyle name="40 % - Markeringsfarve4 3 3 2 3 2 2" xfId="14848" xr:uid="{00000000-0005-0000-0000-0000FB720000}"/>
    <cellStyle name="40 % - Markeringsfarve4 3 3 2 3 2 2 2" xfId="31162" xr:uid="{00000000-0005-0000-0000-0000FC720000}"/>
    <cellStyle name="40 % - Markeringsfarve4 3 3 2 3 2 2 3" xfId="46126" xr:uid="{00000000-0005-0000-0000-0000FD720000}"/>
    <cellStyle name="40 % - Markeringsfarve4 3 3 2 3 2 3" xfId="24140" xr:uid="{00000000-0005-0000-0000-0000FE720000}"/>
    <cellStyle name="40 % - Markeringsfarve4 3 3 2 3 2 4" xfId="39127" xr:uid="{00000000-0005-0000-0000-0000FF720000}"/>
    <cellStyle name="40 % - Markeringsfarve4 3 3 2 3 3" xfId="12569" xr:uid="{00000000-0005-0000-0000-000000730000}"/>
    <cellStyle name="40 % - Markeringsfarve4 3 3 2 3 3 2" xfId="28888" xr:uid="{00000000-0005-0000-0000-000001730000}"/>
    <cellStyle name="40 % - Markeringsfarve4 3 3 2 3 3 3" xfId="43853" xr:uid="{00000000-0005-0000-0000-000002730000}"/>
    <cellStyle name="40 % - Markeringsfarve4 3 3 2 3 4" xfId="21866" xr:uid="{00000000-0005-0000-0000-000003730000}"/>
    <cellStyle name="40 % - Markeringsfarve4 3 3 2 3 5" xfId="36854" xr:uid="{00000000-0005-0000-0000-000004730000}"/>
    <cellStyle name="40 % - Markeringsfarve4 3 3 2 4" xfId="4013" xr:uid="{00000000-0005-0000-0000-000005730000}"/>
    <cellStyle name="40 % - Markeringsfarve4 3 3 2 4 2" xfId="8282" xr:uid="{00000000-0005-0000-0000-000006730000}"/>
    <cellStyle name="40 % - Markeringsfarve4 3 3 2 4 2 2" xfId="16176" xr:uid="{00000000-0005-0000-0000-000007730000}"/>
    <cellStyle name="40 % - Markeringsfarve4 3 3 2 4 2 2 2" xfId="32490" xr:uid="{00000000-0005-0000-0000-000008730000}"/>
    <cellStyle name="40 % - Markeringsfarve4 3 3 2 4 2 2 3" xfId="47454" xr:uid="{00000000-0005-0000-0000-000009730000}"/>
    <cellStyle name="40 % - Markeringsfarve4 3 3 2 4 2 3" xfId="25468" xr:uid="{00000000-0005-0000-0000-00000A730000}"/>
    <cellStyle name="40 % - Markeringsfarve4 3 3 2 4 2 4" xfId="40455" xr:uid="{00000000-0005-0000-0000-00000B730000}"/>
    <cellStyle name="40 % - Markeringsfarve4 3 3 2 4 3" xfId="12570" xr:uid="{00000000-0005-0000-0000-00000C730000}"/>
    <cellStyle name="40 % - Markeringsfarve4 3 3 2 4 3 2" xfId="28889" xr:uid="{00000000-0005-0000-0000-00000D730000}"/>
    <cellStyle name="40 % - Markeringsfarve4 3 3 2 4 3 3" xfId="43854" xr:uid="{00000000-0005-0000-0000-00000E730000}"/>
    <cellStyle name="40 % - Markeringsfarve4 3 3 2 4 4" xfId="21867" xr:uid="{00000000-0005-0000-0000-00000F730000}"/>
    <cellStyle name="40 % - Markeringsfarve4 3 3 2 4 5" xfId="36855" xr:uid="{00000000-0005-0000-0000-000010730000}"/>
    <cellStyle name="40 % - Markeringsfarve4 3 3 2 5" xfId="5944" xr:uid="{00000000-0005-0000-0000-000011730000}"/>
    <cellStyle name="40 % - Markeringsfarve4 3 3 2 5 2" xfId="13862" xr:uid="{00000000-0005-0000-0000-000012730000}"/>
    <cellStyle name="40 % - Markeringsfarve4 3 3 2 5 2 2" xfId="30176" xr:uid="{00000000-0005-0000-0000-000013730000}"/>
    <cellStyle name="40 % - Markeringsfarve4 3 3 2 5 2 3" xfId="45140" xr:uid="{00000000-0005-0000-0000-000014730000}"/>
    <cellStyle name="40 % - Markeringsfarve4 3 3 2 5 3" xfId="23154" xr:uid="{00000000-0005-0000-0000-000015730000}"/>
    <cellStyle name="40 % - Markeringsfarve4 3 3 2 5 4" xfId="38141" xr:uid="{00000000-0005-0000-0000-000016730000}"/>
    <cellStyle name="40 % - Markeringsfarve4 3 3 2 6" xfId="12566" xr:uid="{00000000-0005-0000-0000-000017730000}"/>
    <cellStyle name="40 % - Markeringsfarve4 3 3 2 6 2" xfId="28885" xr:uid="{00000000-0005-0000-0000-000018730000}"/>
    <cellStyle name="40 % - Markeringsfarve4 3 3 2 6 3" xfId="43850" xr:uid="{00000000-0005-0000-0000-000019730000}"/>
    <cellStyle name="40 % - Markeringsfarve4 3 3 2 7" xfId="21863" xr:uid="{00000000-0005-0000-0000-00001A730000}"/>
    <cellStyle name="40 % - Markeringsfarve4 3 3 2 8" xfId="36851" xr:uid="{00000000-0005-0000-0000-00001B730000}"/>
    <cellStyle name="40 % - Markeringsfarve4 3 3 3" xfId="4014" xr:uid="{00000000-0005-0000-0000-00001C730000}"/>
    <cellStyle name="40 % - Markeringsfarve4 3 3 3 2" xfId="4015" xr:uid="{00000000-0005-0000-0000-00001D730000}"/>
    <cellStyle name="40 % - Markeringsfarve4 3 3 3 2 2" xfId="4016" xr:uid="{00000000-0005-0000-0000-00001E730000}"/>
    <cellStyle name="40 % - Markeringsfarve4 3 3 3 2 2 2" xfId="7813" xr:uid="{00000000-0005-0000-0000-00001F730000}"/>
    <cellStyle name="40 % - Markeringsfarve4 3 3 3 2 2 2 2" xfId="15714" xr:uid="{00000000-0005-0000-0000-000020730000}"/>
    <cellStyle name="40 % - Markeringsfarve4 3 3 3 2 2 2 2 2" xfId="32028" xr:uid="{00000000-0005-0000-0000-000021730000}"/>
    <cellStyle name="40 % - Markeringsfarve4 3 3 3 2 2 2 2 3" xfId="46992" xr:uid="{00000000-0005-0000-0000-000022730000}"/>
    <cellStyle name="40 % - Markeringsfarve4 3 3 3 2 2 2 3" xfId="25006" xr:uid="{00000000-0005-0000-0000-000023730000}"/>
    <cellStyle name="40 % - Markeringsfarve4 3 3 3 2 2 2 4" xfId="39993" xr:uid="{00000000-0005-0000-0000-000024730000}"/>
    <cellStyle name="40 % - Markeringsfarve4 3 3 3 2 2 3" xfId="12573" xr:uid="{00000000-0005-0000-0000-000025730000}"/>
    <cellStyle name="40 % - Markeringsfarve4 3 3 3 2 2 3 2" xfId="28892" xr:uid="{00000000-0005-0000-0000-000026730000}"/>
    <cellStyle name="40 % - Markeringsfarve4 3 3 3 2 2 3 3" xfId="43857" xr:uid="{00000000-0005-0000-0000-000027730000}"/>
    <cellStyle name="40 % - Markeringsfarve4 3 3 3 2 2 4" xfId="21870" xr:uid="{00000000-0005-0000-0000-000028730000}"/>
    <cellStyle name="40 % - Markeringsfarve4 3 3 3 2 2 5" xfId="36858" xr:uid="{00000000-0005-0000-0000-000029730000}"/>
    <cellStyle name="40 % - Markeringsfarve4 3 3 3 2 3" xfId="6359" xr:uid="{00000000-0005-0000-0000-00002A730000}"/>
    <cellStyle name="40 % - Markeringsfarve4 3 3 3 2 3 2" xfId="14276" xr:uid="{00000000-0005-0000-0000-00002B730000}"/>
    <cellStyle name="40 % - Markeringsfarve4 3 3 3 2 3 2 2" xfId="30590" xr:uid="{00000000-0005-0000-0000-00002C730000}"/>
    <cellStyle name="40 % - Markeringsfarve4 3 3 3 2 3 2 3" xfId="45554" xr:uid="{00000000-0005-0000-0000-00002D730000}"/>
    <cellStyle name="40 % - Markeringsfarve4 3 3 3 2 3 3" xfId="23568" xr:uid="{00000000-0005-0000-0000-00002E730000}"/>
    <cellStyle name="40 % - Markeringsfarve4 3 3 3 2 3 4" xfId="38555" xr:uid="{00000000-0005-0000-0000-00002F730000}"/>
    <cellStyle name="40 % - Markeringsfarve4 3 3 3 2 4" xfId="12572" xr:uid="{00000000-0005-0000-0000-000030730000}"/>
    <cellStyle name="40 % - Markeringsfarve4 3 3 3 2 4 2" xfId="28891" xr:uid="{00000000-0005-0000-0000-000031730000}"/>
    <cellStyle name="40 % - Markeringsfarve4 3 3 3 2 4 3" xfId="43856" xr:uid="{00000000-0005-0000-0000-000032730000}"/>
    <cellStyle name="40 % - Markeringsfarve4 3 3 3 2 5" xfId="21869" xr:uid="{00000000-0005-0000-0000-000033730000}"/>
    <cellStyle name="40 % - Markeringsfarve4 3 3 3 2 6" xfId="36857" xr:uid="{00000000-0005-0000-0000-000034730000}"/>
    <cellStyle name="40 % - Markeringsfarve4 3 3 3 3" xfId="4017" xr:uid="{00000000-0005-0000-0000-000035730000}"/>
    <cellStyle name="40 % - Markeringsfarve4 3 3 3 3 2" xfId="7043" xr:uid="{00000000-0005-0000-0000-000036730000}"/>
    <cellStyle name="40 % - Markeringsfarve4 3 3 3 3 2 2" xfId="14954" xr:uid="{00000000-0005-0000-0000-000037730000}"/>
    <cellStyle name="40 % - Markeringsfarve4 3 3 3 3 2 2 2" xfId="31268" xr:uid="{00000000-0005-0000-0000-000038730000}"/>
    <cellStyle name="40 % - Markeringsfarve4 3 3 3 3 2 2 3" xfId="46232" xr:uid="{00000000-0005-0000-0000-000039730000}"/>
    <cellStyle name="40 % - Markeringsfarve4 3 3 3 3 2 3" xfId="24246" xr:uid="{00000000-0005-0000-0000-00003A730000}"/>
    <cellStyle name="40 % - Markeringsfarve4 3 3 3 3 2 4" xfId="39233" xr:uid="{00000000-0005-0000-0000-00003B730000}"/>
    <cellStyle name="40 % - Markeringsfarve4 3 3 3 3 3" xfId="12574" xr:uid="{00000000-0005-0000-0000-00003C730000}"/>
    <cellStyle name="40 % - Markeringsfarve4 3 3 3 3 3 2" xfId="28893" xr:uid="{00000000-0005-0000-0000-00003D730000}"/>
    <cellStyle name="40 % - Markeringsfarve4 3 3 3 3 3 3" xfId="43858" xr:uid="{00000000-0005-0000-0000-00003E730000}"/>
    <cellStyle name="40 % - Markeringsfarve4 3 3 3 3 4" xfId="21871" xr:uid="{00000000-0005-0000-0000-00003F730000}"/>
    <cellStyle name="40 % - Markeringsfarve4 3 3 3 3 5" xfId="36859" xr:uid="{00000000-0005-0000-0000-000040730000}"/>
    <cellStyle name="40 % - Markeringsfarve4 3 3 3 4" xfId="4018" xr:uid="{00000000-0005-0000-0000-000041730000}"/>
    <cellStyle name="40 % - Markeringsfarve4 3 3 3 4 2" xfId="8579" xr:uid="{00000000-0005-0000-0000-000042730000}"/>
    <cellStyle name="40 % - Markeringsfarve4 3 3 3 4 2 2" xfId="16466" xr:uid="{00000000-0005-0000-0000-000043730000}"/>
    <cellStyle name="40 % - Markeringsfarve4 3 3 3 4 2 2 2" xfId="32780" xr:uid="{00000000-0005-0000-0000-000044730000}"/>
    <cellStyle name="40 % - Markeringsfarve4 3 3 3 4 2 2 3" xfId="47744" xr:uid="{00000000-0005-0000-0000-000045730000}"/>
    <cellStyle name="40 % - Markeringsfarve4 3 3 3 4 2 3" xfId="25758" xr:uid="{00000000-0005-0000-0000-000046730000}"/>
    <cellStyle name="40 % - Markeringsfarve4 3 3 3 4 2 4" xfId="40745" xr:uid="{00000000-0005-0000-0000-000047730000}"/>
    <cellStyle name="40 % - Markeringsfarve4 3 3 3 4 3" xfId="12575" xr:uid="{00000000-0005-0000-0000-000048730000}"/>
    <cellStyle name="40 % - Markeringsfarve4 3 3 3 4 3 2" xfId="28894" xr:uid="{00000000-0005-0000-0000-000049730000}"/>
    <cellStyle name="40 % - Markeringsfarve4 3 3 3 4 3 3" xfId="43859" xr:uid="{00000000-0005-0000-0000-00004A730000}"/>
    <cellStyle name="40 % - Markeringsfarve4 3 3 3 4 4" xfId="21872" xr:uid="{00000000-0005-0000-0000-00004B730000}"/>
    <cellStyle name="40 % - Markeringsfarve4 3 3 3 4 5" xfId="36860" xr:uid="{00000000-0005-0000-0000-00004C730000}"/>
    <cellStyle name="40 % - Markeringsfarve4 3 3 3 5" xfId="5945" xr:uid="{00000000-0005-0000-0000-00004D730000}"/>
    <cellStyle name="40 % - Markeringsfarve4 3 3 3 5 2" xfId="13863" xr:uid="{00000000-0005-0000-0000-00004E730000}"/>
    <cellStyle name="40 % - Markeringsfarve4 3 3 3 5 2 2" xfId="30177" xr:uid="{00000000-0005-0000-0000-00004F730000}"/>
    <cellStyle name="40 % - Markeringsfarve4 3 3 3 5 2 3" xfId="45141" xr:uid="{00000000-0005-0000-0000-000050730000}"/>
    <cellStyle name="40 % - Markeringsfarve4 3 3 3 5 3" xfId="23155" xr:uid="{00000000-0005-0000-0000-000051730000}"/>
    <cellStyle name="40 % - Markeringsfarve4 3 3 3 5 4" xfId="38142" xr:uid="{00000000-0005-0000-0000-000052730000}"/>
    <cellStyle name="40 % - Markeringsfarve4 3 3 3 6" xfId="12571" xr:uid="{00000000-0005-0000-0000-000053730000}"/>
    <cellStyle name="40 % - Markeringsfarve4 3 3 3 6 2" xfId="28890" xr:uid="{00000000-0005-0000-0000-000054730000}"/>
    <cellStyle name="40 % - Markeringsfarve4 3 3 3 6 3" xfId="43855" xr:uid="{00000000-0005-0000-0000-000055730000}"/>
    <cellStyle name="40 % - Markeringsfarve4 3 3 3 7" xfId="21868" xr:uid="{00000000-0005-0000-0000-000056730000}"/>
    <cellStyle name="40 % - Markeringsfarve4 3 3 3 8" xfId="36856" xr:uid="{00000000-0005-0000-0000-000057730000}"/>
    <cellStyle name="40 % - Markeringsfarve4 3 3 4" xfId="4019" xr:uid="{00000000-0005-0000-0000-000058730000}"/>
    <cellStyle name="40 % - Markeringsfarve4 3 3 4 2" xfId="4020" xr:uid="{00000000-0005-0000-0000-000059730000}"/>
    <cellStyle name="40 % - Markeringsfarve4 3 3 4 2 2" xfId="4021" xr:uid="{00000000-0005-0000-0000-00005A730000}"/>
    <cellStyle name="40 % - Markeringsfarve4 3 3 4 2 2 2" xfId="7945" xr:uid="{00000000-0005-0000-0000-00005B730000}"/>
    <cellStyle name="40 % - Markeringsfarve4 3 3 4 2 2 2 2" xfId="15846" xr:uid="{00000000-0005-0000-0000-00005C730000}"/>
    <cellStyle name="40 % - Markeringsfarve4 3 3 4 2 2 2 2 2" xfId="32160" xr:uid="{00000000-0005-0000-0000-00005D730000}"/>
    <cellStyle name="40 % - Markeringsfarve4 3 3 4 2 2 2 2 3" xfId="47124" xr:uid="{00000000-0005-0000-0000-00005E730000}"/>
    <cellStyle name="40 % - Markeringsfarve4 3 3 4 2 2 2 3" xfId="25138" xr:uid="{00000000-0005-0000-0000-00005F730000}"/>
    <cellStyle name="40 % - Markeringsfarve4 3 3 4 2 2 2 4" xfId="40125" xr:uid="{00000000-0005-0000-0000-000060730000}"/>
    <cellStyle name="40 % - Markeringsfarve4 3 3 4 2 2 3" xfId="12578" xr:uid="{00000000-0005-0000-0000-000061730000}"/>
    <cellStyle name="40 % - Markeringsfarve4 3 3 4 2 2 3 2" xfId="28897" xr:uid="{00000000-0005-0000-0000-000062730000}"/>
    <cellStyle name="40 % - Markeringsfarve4 3 3 4 2 2 3 3" xfId="43862" xr:uid="{00000000-0005-0000-0000-000063730000}"/>
    <cellStyle name="40 % - Markeringsfarve4 3 3 4 2 2 4" xfId="21875" xr:uid="{00000000-0005-0000-0000-000064730000}"/>
    <cellStyle name="40 % - Markeringsfarve4 3 3 4 2 2 5" xfId="36863" xr:uid="{00000000-0005-0000-0000-000065730000}"/>
    <cellStyle name="40 % - Markeringsfarve4 3 3 4 2 3" xfId="6477" xr:uid="{00000000-0005-0000-0000-000066730000}"/>
    <cellStyle name="40 % - Markeringsfarve4 3 3 4 2 3 2" xfId="14391" xr:uid="{00000000-0005-0000-0000-000067730000}"/>
    <cellStyle name="40 % - Markeringsfarve4 3 3 4 2 3 2 2" xfId="30705" xr:uid="{00000000-0005-0000-0000-000068730000}"/>
    <cellStyle name="40 % - Markeringsfarve4 3 3 4 2 3 2 3" xfId="45669" xr:uid="{00000000-0005-0000-0000-000069730000}"/>
    <cellStyle name="40 % - Markeringsfarve4 3 3 4 2 3 3" xfId="23683" xr:uid="{00000000-0005-0000-0000-00006A730000}"/>
    <cellStyle name="40 % - Markeringsfarve4 3 3 4 2 3 4" xfId="38670" xr:uid="{00000000-0005-0000-0000-00006B730000}"/>
    <cellStyle name="40 % - Markeringsfarve4 3 3 4 2 4" xfId="12577" xr:uid="{00000000-0005-0000-0000-00006C730000}"/>
    <cellStyle name="40 % - Markeringsfarve4 3 3 4 2 4 2" xfId="28896" xr:uid="{00000000-0005-0000-0000-00006D730000}"/>
    <cellStyle name="40 % - Markeringsfarve4 3 3 4 2 4 3" xfId="43861" xr:uid="{00000000-0005-0000-0000-00006E730000}"/>
    <cellStyle name="40 % - Markeringsfarve4 3 3 4 2 5" xfId="21874" xr:uid="{00000000-0005-0000-0000-00006F730000}"/>
    <cellStyle name="40 % - Markeringsfarve4 3 3 4 2 6" xfId="36862" xr:uid="{00000000-0005-0000-0000-000070730000}"/>
    <cellStyle name="40 % - Markeringsfarve4 3 3 4 3" xfId="4022" xr:uid="{00000000-0005-0000-0000-000071730000}"/>
    <cellStyle name="40 % - Markeringsfarve4 3 3 4 3 2" xfId="7221" xr:uid="{00000000-0005-0000-0000-000072730000}"/>
    <cellStyle name="40 % - Markeringsfarve4 3 3 4 3 2 2" xfId="15131" xr:uid="{00000000-0005-0000-0000-000073730000}"/>
    <cellStyle name="40 % - Markeringsfarve4 3 3 4 3 2 2 2" xfId="31445" xr:uid="{00000000-0005-0000-0000-000074730000}"/>
    <cellStyle name="40 % - Markeringsfarve4 3 3 4 3 2 2 3" xfId="46409" xr:uid="{00000000-0005-0000-0000-000075730000}"/>
    <cellStyle name="40 % - Markeringsfarve4 3 3 4 3 2 3" xfId="24423" xr:uid="{00000000-0005-0000-0000-000076730000}"/>
    <cellStyle name="40 % - Markeringsfarve4 3 3 4 3 2 4" xfId="39410" xr:uid="{00000000-0005-0000-0000-000077730000}"/>
    <cellStyle name="40 % - Markeringsfarve4 3 3 4 3 3" xfId="12579" xr:uid="{00000000-0005-0000-0000-000078730000}"/>
    <cellStyle name="40 % - Markeringsfarve4 3 3 4 3 3 2" xfId="28898" xr:uid="{00000000-0005-0000-0000-000079730000}"/>
    <cellStyle name="40 % - Markeringsfarve4 3 3 4 3 3 3" xfId="43863" xr:uid="{00000000-0005-0000-0000-00007A730000}"/>
    <cellStyle name="40 % - Markeringsfarve4 3 3 4 3 4" xfId="21876" xr:uid="{00000000-0005-0000-0000-00007B730000}"/>
    <cellStyle name="40 % - Markeringsfarve4 3 3 4 3 5" xfId="36864" xr:uid="{00000000-0005-0000-0000-00007C730000}"/>
    <cellStyle name="40 % - Markeringsfarve4 3 3 4 4" xfId="4023" xr:uid="{00000000-0005-0000-0000-00007D730000}"/>
    <cellStyle name="40 % - Markeringsfarve4 3 3 4 4 2" xfId="8228" xr:uid="{00000000-0005-0000-0000-00007E730000}"/>
    <cellStyle name="40 % - Markeringsfarve4 3 3 4 4 2 2" xfId="16125" xr:uid="{00000000-0005-0000-0000-00007F730000}"/>
    <cellStyle name="40 % - Markeringsfarve4 3 3 4 4 2 2 2" xfId="32439" xr:uid="{00000000-0005-0000-0000-000080730000}"/>
    <cellStyle name="40 % - Markeringsfarve4 3 3 4 4 2 2 3" xfId="47403" xr:uid="{00000000-0005-0000-0000-000081730000}"/>
    <cellStyle name="40 % - Markeringsfarve4 3 3 4 4 2 3" xfId="25417" xr:uid="{00000000-0005-0000-0000-000082730000}"/>
    <cellStyle name="40 % - Markeringsfarve4 3 3 4 4 2 4" xfId="40404" xr:uid="{00000000-0005-0000-0000-000083730000}"/>
    <cellStyle name="40 % - Markeringsfarve4 3 3 4 4 3" xfId="12580" xr:uid="{00000000-0005-0000-0000-000084730000}"/>
    <cellStyle name="40 % - Markeringsfarve4 3 3 4 4 3 2" xfId="28899" xr:uid="{00000000-0005-0000-0000-000085730000}"/>
    <cellStyle name="40 % - Markeringsfarve4 3 3 4 4 3 3" xfId="43864" xr:uid="{00000000-0005-0000-0000-000086730000}"/>
    <cellStyle name="40 % - Markeringsfarve4 3 3 4 4 4" xfId="21877" xr:uid="{00000000-0005-0000-0000-000087730000}"/>
    <cellStyle name="40 % - Markeringsfarve4 3 3 4 4 5" xfId="36865" xr:uid="{00000000-0005-0000-0000-000088730000}"/>
    <cellStyle name="40 % - Markeringsfarve4 3 3 4 5" xfId="5946" xr:uid="{00000000-0005-0000-0000-000089730000}"/>
    <cellStyle name="40 % - Markeringsfarve4 3 3 4 5 2" xfId="13864" xr:uid="{00000000-0005-0000-0000-00008A730000}"/>
    <cellStyle name="40 % - Markeringsfarve4 3 3 4 5 2 2" xfId="30178" xr:uid="{00000000-0005-0000-0000-00008B730000}"/>
    <cellStyle name="40 % - Markeringsfarve4 3 3 4 5 2 3" xfId="45142" xr:uid="{00000000-0005-0000-0000-00008C730000}"/>
    <cellStyle name="40 % - Markeringsfarve4 3 3 4 5 3" xfId="23156" xr:uid="{00000000-0005-0000-0000-00008D730000}"/>
    <cellStyle name="40 % - Markeringsfarve4 3 3 4 5 4" xfId="38143" xr:uid="{00000000-0005-0000-0000-00008E730000}"/>
    <cellStyle name="40 % - Markeringsfarve4 3 3 4 6" xfId="12576" xr:uid="{00000000-0005-0000-0000-00008F730000}"/>
    <cellStyle name="40 % - Markeringsfarve4 3 3 4 6 2" xfId="28895" xr:uid="{00000000-0005-0000-0000-000090730000}"/>
    <cellStyle name="40 % - Markeringsfarve4 3 3 4 6 3" xfId="43860" xr:uid="{00000000-0005-0000-0000-000091730000}"/>
    <cellStyle name="40 % - Markeringsfarve4 3 3 4 7" xfId="21873" xr:uid="{00000000-0005-0000-0000-000092730000}"/>
    <cellStyle name="40 % - Markeringsfarve4 3 3 4 8" xfId="36861" xr:uid="{00000000-0005-0000-0000-000093730000}"/>
    <cellStyle name="40 % - Markeringsfarve4 3 3 5" xfId="4024" xr:uid="{00000000-0005-0000-0000-000094730000}"/>
    <cellStyle name="40 % - Markeringsfarve4 3 3 5 2" xfId="4025" xr:uid="{00000000-0005-0000-0000-000095730000}"/>
    <cellStyle name="40 % - Markeringsfarve4 3 3 5 2 2" xfId="4026" xr:uid="{00000000-0005-0000-0000-000096730000}"/>
    <cellStyle name="40 % - Markeringsfarve4 3 3 5 2 2 2" xfId="8062" xr:uid="{00000000-0005-0000-0000-000097730000}"/>
    <cellStyle name="40 % - Markeringsfarve4 3 3 5 2 2 2 2" xfId="15963" xr:uid="{00000000-0005-0000-0000-000098730000}"/>
    <cellStyle name="40 % - Markeringsfarve4 3 3 5 2 2 2 2 2" xfId="32277" xr:uid="{00000000-0005-0000-0000-000099730000}"/>
    <cellStyle name="40 % - Markeringsfarve4 3 3 5 2 2 2 2 3" xfId="47241" xr:uid="{00000000-0005-0000-0000-00009A730000}"/>
    <cellStyle name="40 % - Markeringsfarve4 3 3 5 2 2 2 3" xfId="25255" xr:uid="{00000000-0005-0000-0000-00009B730000}"/>
    <cellStyle name="40 % - Markeringsfarve4 3 3 5 2 2 2 4" xfId="40242" xr:uid="{00000000-0005-0000-0000-00009C730000}"/>
    <cellStyle name="40 % - Markeringsfarve4 3 3 5 2 2 3" xfId="12583" xr:uid="{00000000-0005-0000-0000-00009D730000}"/>
    <cellStyle name="40 % - Markeringsfarve4 3 3 5 2 2 3 2" xfId="28902" xr:uid="{00000000-0005-0000-0000-00009E730000}"/>
    <cellStyle name="40 % - Markeringsfarve4 3 3 5 2 2 3 3" xfId="43867" xr:uid="{00000000-0005-0000-0000-00009F730000}"/>
    <cellStyle name="40 % - Markeringsfarve4 3 3 5 2 2 4" xfId="21880" xr:uid="{00000000-0005-0000-0000-0000A0730000}"/>
    <cellStyle name="40 % - Markeringsfarve4 3 3 5 2 2 5" xfId="36868" xr:uid="{00000000-0005-0000-0000-0000A1730000}"/>
    <cellStyle name="40 % - Markeringsfarve4 3 3 5 2 3" xfId="6576" xr:uid="{00000000-0005-0000-0000-0000A2730000}"/>
    <cellStyle name="40 % - Markeringsfarve4 3 3 5 2 3 2" xfId="14490" xr:uid="{00000000-0005-0000-0000-0000A3730000}"/>
    <cellStyle name="40 % - Markeringsfarve4 3 3 5 2 3 2 2" xfId="30804" xr:uid="{00000000-0005-0000-0000-0000A4730000}"/>
    <cellStyle name="40 % - Markeringsfarve4 3 3 5 2 3 2 3" xfId="45768" xr:uid="{00000000-0005-0000-0000-0000A5730000}"/>
    <cellStyle name="40 % - Markeringsfarve4 3 3 5 2 3 3" xfId="23782" xr:uid="{00000000-0005-0000-0000-0000A6730000}"/>
    <cellStyle name="40 % - Markeringsfarve4 3 3 5 2 3 4" xfId="38769" xr:uid="{00000000-0005-0000-0000-0000A7730000}"/>
    <cellStyle name="40 % - Markeringsfarve4 3 3 5 2 4" xfId="12582" xr:uid="{00000000-0005-0000-0000-0000A8730000}"/>
    <cellStyle name="40 % - Markeringsfarve4 3 3 5 2 4 2" xfId="28901" xr:uid="{00000000-0005-0000-0000-0000A9730000}"/>
    <cellStyle name="40 % - Markeringsfarve4 3 3 5 2 4 3" xfId="43866" xr:uid="{00000000-0005-0000-0000-0000AA730000}"/>
    <cellStyle name="40 % - Markeringsfarve4 3 3 5 2 5" xfId="21879" xr:uid="{00000000-0005-0000-0000-0000AB730000}"/>
    <cellStyle name="40 % - Markeringsfarve4 3 3 5 2 6" xfId="36867" xr:uid="{00000000-0005-0000-0000-0000AC730000}"/>
    <cellStyle name="40 % - Markeringsfarve4 3 3 5 3" xfId="4027" xr:uid="{00000000-0005-0000-0000-0000AD730000}"/>
    <cellStyle name="40 % - Markeringsfarve4 3 3 5 3 2" xfId="7338" xr:uid="{00000000-0005-0000-0000-0000AE730000}"/>
    <cellStyle name="40 % - Markeringsfarve4 3 3 5 3 2 2" xfId="15248" xr:uid="{00000000-0005-0000-0000-0000AF730000}"/>
    <cellStyle name="40 % - Markeringsfarve4 3 3 5 3 2 2 2" xfId="31562" xr:uid="{00000000-0005-0000-0000-0000B0730000}"/>
    <cellStyle name="40 % - Markeringsfarve4 3 3 5 3 2 2 3" xfId="46526" xr:uid="{00000000-0005-0000-0000-0000B1730000}"/>
    <cellStyle name="40 % - Markeringsfarve4 3 3 5 3 2 3" xfId="24540" xr:uid="{00000000-0005-0000-0000-0000B2730000}"/>
    <cellStyle name="40 % - Markeringsfarve4 3 3 5 3 2 4" xfId="39527" xr:uid="{00000000-0005-0000-0000-0000B3730000}"/>
    <cellStyle name="40 % - Markeringsfarve4 3 3 5 3 3" xfId="12584" xr:uid="{00000000-0005-0000-0000-0000B4730000}"/>
    <cellStyle name="40 % - Markeringsfarve4 3 3 5 3 3 2" xfId="28903" xr:uid="{00000000-0005-0000-0000-0000B5730000}"/>
    <cellStyle name="40 % - Markeringsfarve4 3 3 5 3 3 3" xfId="43868" xr:uid="{00000000-0005-0000-0000-0000B6730000}"/>
    <cellStyle name="40 % - Markeringsfarve4 3 3 5 3 4" xfId="21881" xr:uid="{00000000-0005-0000-0000-0000B7730000}"/>
    <cellStyle name="40 % - Markeringsfarve4 3 3 5 3 5" xfId="36869" xr:uid="{00000000-0005-0000-0000-0000B8730000}"/>
    <cellStyle name="40 % - Markeringsfarve4 3 3 5 4" xfId="4028" xr:uid="{00000000-0005-0000-0000-0000B9730000}"/>
    <cellStyle name="40 % - Markeringsfarve4 3 3 5 4 2" xfId="8565" xr:uid="{00000000-0005-0000-0000-0000BA730000}"/>
    <cellStyle name="40 % - Markeringsfarve4 3 3 5 4 2 2" xfId="16452" xr:uid="{00000000-0005-0000-0000-0000BB730000}"/>
    <cellStyle name="40 % - Markeringsfarve4 3 3 5 4 2 2 2" xfId="32766" xr:uid="{00000000-0005-0000-0000-0000BC730000}"/>
    <cellStyle name="40 % - Markeringsfarve4 3 3 5 4 2 2 3" xfId="47730" xr:uid="{00000000-0005-0000-0000-0000BD730000}"/>
    <cellStyle name="40 % - Markeringsfarve4 3 3 5 4 2 3" xfId="25744" xr:uid="{00000000-0005-0000-0000-0000BE730000}"/>
    <cellStyle name="40 % - Markeringsfarve4 3 3 5 4 2 4" xfId="40731" xr:uid="{00000000-0005-0000-0000-0000BF730000}"/>
    <cellStyle name="40 % - Markeringsfarve4 3 3 5 4 3" xfId="12585" xr:uid="{00000000-0005-0000-0000-0000C0730000}"/>
    <cellStyle name="40 % - Markeringsfarve4 3 3 5 4 3 2" xfId="28904" xr:uid="{00000000-0005-0000-0000-0000C1730000}"/>
    <cellStyle name="40 % - Markeringsfarve4 3 3 5 4 3 3" xfId="43869" xr:uid="{00000000-0005-0000-0000-0000C2730000}"/>
    <cellStyle name="40 % - Markeringsfarve4 3 3 5 4 4" xfId="21882" xr:uid="{00000000-0005-0000-0000-0000C3730000}"/>
    <cellStyle name="40 % - Markeringsfarve4 3 3 5 4 5" xfId="36870" xr:uid="{00000000-0005-0000-0000-0000C4730000}"/>
    <cellStyle name="40 % - Markeringsfarve4 3 3 5 5" xfId="5947" xr:uid="{00000000-0005-0000-0000-0000C5730000}"/>
    <cellStyle name="40 % - Markeringsfarve4 3 3 5 5 2" xfId="13865" xr:uid="{00000000-0005-0000-0000-0000C6730000}"/>
    <cellStyle name="40 % - Markeringsfarve4 3 3 5 5 2 2" xfId="30179" xr:uid="{00000000-0005-0000-0000-0000C7730000}"/>
    <cellStyle name="40 % - Markeringsfarve4 3 3 5 5 2 3" xfId="45143" xr:uid="{00000000-0005-0000-0000-0000C8730000}"/>
    <cellStyle name="40 % - Markeringsfarve4 3 3 5 5 3" xfId="23157" xr:uid="{00000000-0005-0000-0000-0000C9730000}"/>
    <cellStyle name="40 % - Markeringsfarve4 3 3 5 5 4" xfId="38144" xr:uid="{00000000-0005-0000-0000-0000CA730000}"/>
    <cellStyle name="40 % - Markeringsfarve4 3 3 5 6" xfId="12581" xr:uid="{00000000-0005-0000-0000-0000CB730000}"/>
    <cellStyle name="40 % - Markeringsfarve4 3 3 5 6 2" xfId="28900" xr:uid="{00000000-0005-0000-0000-0000CC730000}"/>
    <cellStyle name="40 % - Markeringsfarve4 3 3 5 6 3" xfId="43865" xr:uid="{00000000-0005-0000-0000-0000CD730000}"/>
    <cellStyle name="40 % - Markeringsfarve4 3 3 5 7" xfId="21878" xr:uid="{00000000-0005-0000-0000-0000CE730000}"/>
    <cellStyle name="40 % - Markeringsfarve4 3 3 5 8" xfId="36866" xr:uid="{00000000-0005-0000-0000-0000CF730000}"/>
    <cellStyle name="40 % - Markeringsfarve4 3 3 6" xfId="4029" xr:uid="{00000000-0005-0000-0000-0000D0730000}"/>
    <cellStyle name="40 % - Markeringsfarve4 3 3 6 2" xfId="4030" xr:uid="{00000000-0005-0000-0000-0000D1730000}"/>
    <cellStyle name="40 % - Markeringsfarve4 3 3 6 2 2" xfId="4031" xr:uid="{00000000-0005-0000-0000-0000D2730000}"/>
    <cellStyle name="40 % - Markeringsfarve4 3 3 6 2 2 2" xfId="8167" xr:uid="{00000000-0005-0000-0000-0000D3730000}"/>
    <cellStyle name="40 % - Markeringsfarve4 3 3 6 2 2 2 2" xfId="16068" xr:uid="{00000000-0005-0000-0000-0000D4730000}"/>
    <cellStyle name="40 % - Markeringsfarve4 3 3 6 2 2 2 2 2" xfId="32382" xr:uid="{00000000-0005-0000-0000-0000D5730000}"/>
    <cellStyle name="40 % - Markeringsfarve4 3 3 6 2 2 2 2 3" xfId="47346" xr:uid="{00000000-0005-0000-0000-0000D6730000}"/>
    <cellStyle name="40 % - Markeringsfarve4 3 3 6 2 2 2 3" xfId="25360" xr:uid="{00000000-0005-0000-0000-0000D7730000}"/>
    <cellStyle name="40 % - Markeringsfarve4 3 3 6 2 2 2 4" xfId="40347" xr:uid="{00000000-0005-0000-0000-0000D8730000}"/>
    <cellStyle name="40 % - Markeringsfarve4 3 3 6 2 2 3" xfId="12588" xr:uid="{00000000-0005-0000-0000-0000D9730000}"/>
    <cellStyle name="40 % - Markeringsfarve4 3 3 6 2 2 3 2" xfId="28907" xr:uid="{00000000-0005-0000-0000-0000DA730000}"/>
    <cellStyle name="40 % - Markeringsfarve4 3 3 6 2 2 3 3" xfId="43872" xr:uid="{00000000-0005-0000-0000-0000DB730000}"/>
    <cellStyle name="40 % - Markeringsfarve4 3 3 6 2 2 4" xfId="21885" xr:uid="{00000000-0005-0000-0000-0000DC730000}"/>
    <cellStyle name="40 % - Markeringsfarve4 3 3 6 2 2 5" xfId="36873" xr:uid="{00000000-0005-0000-0000-0000DD730000}"/>
    <cellStyle name="40 % - Markeringsfarve4 3 3 6 2 3" xfId="6660" xr:uid="{00000000-0005-0000-0000-0000DE730000}"/>
    <cellStyle name="40 % - Markeringsfarve4 3 3 6 2 3 2" xfId="14574" xr:uid="{00000000-0005-0000-0000-0000DF730000}"/>
    <cellStyle name="40 % - Markeringsfarve4 3 3 6 2 3 2 2" xfId="30888" xr:uid="{00000000-0005-0000-0000-0000E0730000}"/>
    <cellStyle name="40 % - Markeringsfarve4 3 3 6 2 3 2 3" xfId="45852" xr:uid="{00000000-0005-0000-0000-0000E1730000}"/>
    <cellStyle name="40 % - Markeringsfarve4 3 3 6 2 3 3" xfId="23866" xr:uid="{00000000-0005-0000-0000-0000E2730000}"/>
    <cellStyle name="40 % - Markeringsfarve4 3 3 6 2 3 4" xfId="38853" xr:uid="{00000000-0005-0000-0000-0000E3730000}"/>
    <cellStyle name="40 % - Markeringsfarve4 3 3 6 2 4" xfId="12587" xr:uid="{00000000-0005-0000-0000-0000E4730000}"/>
    <cellStyle name="40 % - Markeringsfarve4 3 3 6 2 4 2" xfId="28906" xr:uid="{00000000-0005-0000-0000-0000E5730000}"/>
    <cellStyle name="40 % - Markeringsfarve4 3 3 6 2 4 3" xfId="43871" xr:uid="{00000000-0005-0000-0000-0000E6730000}"/>
    <cellStyle name="40 % - Markeringsfarve4 3 3 6 2 5" xfId="21884" xr:uid="{00000000-0005-0000-0000-0000E7730000}"/>
    <cellStyle name="40 % - Markeringsfarve4 3 3 6 2 6" xfId="36872" xr:uid="{00000000-0005-0000-0000-0000E8730000}"/>
    <cellStyle name="40 % - Markeringsfarve4 3 3 6 3" xfId="4032" xr:uid="{00000000-0005-0000-0000-0000E9730000}"/>
    <cellStyle name="40 % - Markeringsfarve4 3 3 6 3 2" xfId="7444" xr:uid="{00000000-0005-0000-0000-0000EA730000}"/>
    <cellStyle name="40 % - Markeringsfarve4 3 3 6 3 2 2" xfId="15354" xr:uid="{00000000-0005-0000-0000-0000EB730000}"/>
    <cellStyle name="40 % - Markeringsfarve4 3 3 6 3 2 2 2" xfId="31668" xr:uid="{00000000-0005-0000-0000-0000EC730000}"/>
    <cellStyle name="40 % - Markeringsfarve4 3 3 6 3 2 2 3" xfId="46632" xr:uid="{00000000-0005-0000-0000-0000ED730000}"/>
    <cellStyle name="40 % - Markeringsfarve4 3 3 6 3 2 3" xfId="24646" xr:uid="{00000000-0005-0000-0000-0000EE730000}"/>
    <cellStyle name="40 % - Markeringsfarve4 3 3 6 3 2 4" xfId="39633" xr:uid="{00000000-0005-0000-0000-0000EF730000}"/>
    <cellStyle name="40 % - Markeringsfarve4 3 3 6 3 3" xfId="12589" xr:uid="{00000000-0005-0000-0000-0000F0730000}"/>
    <cellStyle name="40 % - Markeringsfarve4 3 3 6 3 3 2" xfId="28908" xr:uid="{00000000-0005-0000-0000-0000F1730000}"/>
    <cellStyle name="40 % - Markeringsfarve4 3 3 6 3 3 3" xfId="43873" xr:uid="{00000000-0005-0000-0000-0000F2730000}"/>
    <cellStyle name="40 % - Markeringsfarve4 3 3 6 3 4" xfId="21886" xr:uid="{00000000-0005-0000-0000-0000F3730000}"/>
    <cellStyle name="40 % - Markeringsfarve4 3 3 6 3 5" xfId="36874" xr:uid="{00000000-0005-0000-0000-0000F4730000}"/>
    <cellStyle name="40 % - Markeringsfarve4 3 3 6 4" xfId="4033" xr:uid="{00000000-0005-0000-0000-0000F5730000}"/>
    <cellStyle name="40 % - Markeringsfarve4 3 3 6 4 2" xfId="8768" xr:uid="{00000000-0005-0000-0000-0000F6730000}"/>
    <cellStyle name="40 % - Markeringsfarve4 3 3 6 4 2 2" xfId="16644" xr:uid="{00000000-0005-0000-0000-0000F7730000}"/>
    <cellStyle name="40 % - Markeringsfarve4 3 3 6 4 2 2 2" xfId="32958" xr:uid="{00000000-0005-0000-0000-0000F8730000}"/>
    <cellStyle name="40 % - Markeringsfarve4 3 3 6 4 2 2 3" xfId="47922" xr:uid="{00000000-0005-0000-0000-0000F9730000}"/>
    <cellStyle name="40 % - Markeringsfarve4 3 3 6 4 2 3" xfId="25936" xr:uid="{00000000-0005-0000-0000-0000FA730000}"/>
    <cellStyle name="40 % - Markeringsfarve4 3 3 6 4 2 4" xfId="40923" xr:uid="{00000000-0005-0000-0000-0000FB730000}"/>
    <cellStyle name="40 % - Markeringsfarve4 3 3 6 4 3" xfId="12590" xr:uid="{00000000-0005-0000-0000-0000FC730000}"/>
    <cellStyle name="40 % - Markeringsfarve4 3 3 6 4 3 2" xfId="28909" xr:uid="{00000000-0005-0000-0000-0000FD730000}"/>
    <cellStyle name="40 % - Markeringsfarve4 3 3 6 4 3 3" xfId="43874" xr:uid="{00000000-0005-0000-0000-0000FE730000}"/>
    <cellStyle name="40 % - Markeringsfarve4 3 3 6 4 4" xfId="21887" xr:uid="{00000000-0005-0000-0000-0000FF730000}"/>
    <cellStyle name="40 % - Markeringsfarve4 3 3 6 4 5" xfId="36875" xr:uid="{00000000-0005-0000-0000-000000740000}"/>
    <cellStyle name="40 % - Markeringsfarve4 3 3 6 5" xfId="5948" xr:uid="{00000000-0005-0000-0000-000001740000}"/>
    <cellStyle name="40 % - Markeringsfarve4 3 3 6 5 2" xfId="13866" xr:uid="{00000000-0005-0000-0000-000002740000}"/>
    <cellStyle name="40 % - Markeringsfarve4 3 3 6 5 2 2" xfId="30180" xr:uid="{00000000-0005-0000-0000-000003740000}"/>
    <cellStyle name="40 % - Markeringsfarve4 3 3 6 5 2 3" xfId="45144" xr:uid="{00000000-0005-0000-0000-000004740000}"/>
    <cellStyle name="40 % - Markeringsfarve4 3 3 6 5 3" xfId="23158" xr:uid="{00000000-0005-0000-0000-000005740000}"/>
    <cellStyle name="40 % - Markeringsfarve4 3 3 6 5 4" xfId="38145" xr:uid="{00000000-0005-0000-0000-000006740000}"/>
    <cellStyle name="40 % - Markeringsfarve4 3 3 6 6" xfId="12586" xr:uid="{00000000-0005-0000-0000-000007740000}"/>
    <cellStyle name="40 % - Markeringsfarve4 3 3 6 6 2" xfId="28905" xr:uid="{00000000-0005-0000-0000-000008740000}"/>
    <cellStyle name="40 % - Markeringsfarve4 3 3 6 6 3" xfId="43870" xr:uid="{00000000-0005-0000-0000-000009740000}"/>
    <cellStyle name="40 % - Markeringsfarve4 3 3 6 7" xfId="21883" xr:uid="{00000000-0005-0000-0000-00000A740000}"/>
    <cellStyle name="40 % - Markeringsfarve4 3 3 6 8" xfId="36871" xr:uid="{00000000-0005-0000-0000-00000B740000}"/>
    <cellStyle name="40 % - Markeringsfarve4 3 3 7" xfId="4034" xr:uid="{00000000-0005-0000-0000-00000C740000}"/>
    <cellStyle name="40 % - Markeringsfarve4 3 3 7 2" xfId="4035" xr:uid="{00000000-0005-0000-0000-00000D740000}"/>
    <cellStyle name="40 % - Markeringsfarve4 3 3 7 2 2" xfId="7588" xr:uid="{00000000-0005-0000-0000-00000E740000}"/>
    <cellStyle name="40 % - Markeringsfarve4 3 3 7 2 2 2" xfId="15489" xr:uid="{00000000-0005-0000-0000-00000F740000}"/>
    <cellStyle name="40 % - Markeringsfarve4 3 3 7 2 2 2 2" xfId="31803" xr:uid="{00000000-0005-0000-0000-000010740000}"/>
    <cellStyle name="40 % - Markeringsfarve4 3 3 7 2 2 2 3" xfId="46767" xr:uid="{00000000-0005-0000-0000-000011740000}"/>
    <cellStyle name="40 % - Markeringsfarve4 3 3 7 2 2 3" xfId="24781" xr:uid="{00000000-0005-0000-0000-000012740000}"/>
    <cellStyle name="40 % - Markeringsfarve4 3 3 7 2 2 4" xfId="39768" xr:uid="{00000000-0005-0000-0000-000013740000}"/>
    <cellStyle name="40 % - Markeringsfarve4 3 3 7 2 3" xfId="12592" xr:uid="{00000000-0005-0000-0000-000014740000}"/>
    <cellStyle name="40 % - Markeringsfarve4 3 3 7 2 3 2" xfId="28911" xr:uid="{00000000-0005-0000-0000-000015740000}"/>
    <cellStyle name="40 % - Markeringsfarve4 3 3 7 2 3 3" xfId="43876" xr:uid="{00000000-0005-0000-0000-000016740000}"/>
    <cellStyle name="40 % - Markeringsfarve4 3 3 7 2 4" xfId="21889" xr:uid="{00000000-0005-0000-0000-000017740000}"/>
    <cellStyle name="40 % - Markeringsfarve4 3 3 7 2 5" xfId="36877" xr:uid="{00000000-0005-0000-0000-000018740000}"/>
    <cellStyle name="40 % - Markeringsfarve4 3 3 7 3" xfId="6176" xr:uid="{00000000-0005-0000-0000-000019740000}"/>
    <cellStyle name="40 % - Markeringsfarve4 3 3 7 3 2" xfId="14093" xr:uid="{00000000-0005-0000-0000-00001A740000}"/>
    <cellStyle name="40 % - Markeringsfarve4 3 3 7 3 2 2" xfId="30407" xr:uid="{00000000-0005-0000-0000-00001B740000}"/>
    <cellStyle name="40 % - Markeringsfarve4 3 3 7 3 2 3" xfId="45371" xr:uid="{00000000-0005-0000-0000-00001C740000}"/>
    <cellStyle name="40 % - Markeringsfarve4 3 3 7 3 3" xfId="23385" xr:uid="{00000000-0005-0000-0000-00001D740000}"/>
    <cellStyle name="40 % - Markeringsfarve4 3 3 7 3 4" xfId="38372" xr:uid="{00000000-0005-0000-0000-00001E740000}"/>
    <cellStyle name="40 % - Markeringsfarve4 3 3 7 4" xfId="12591" xr:uid="{00000000-0005-0000-0000-00001F740000}"/>
    <cellStyle name="40 % - Markeringsfarve4 3 3 7 4 2" xfId="28910" xr:uid="{00000000-0005-0000-0000-000020740000}"/>
    <cellStyle name="40 % - Markeringsfarve4 3 3 7 4 3" xfId="43875" xr:uid="{00000000-0005-0000-0000-000021740000}"/>
    <cellStyle name="40 % - Markeringsfarve4 3 3 7 5" xfId="21888" xr:uid="{00000000-0005-0000-0000-000022740000}"/>
    <cellStyle name="40 % - Markeringsfarve4 3 3 7 6" xfId="36876" xr:uid="{00000000-0005-0000-0000-000023740000}"/>
    <cellStyle name="40 % - Markeringsfarve4 3 3 8" xfId="4036" xr:uid="{00000000-0005-0000-0000-000024740000}"/>
    <cellStyle name="40 % - Markeringsfarve4 3 3 8 2" xfId="6816" xr:uid="{00000000-0005-0000-0000-000025740000}"/>
    <cellStyle name="40 % - Markeringsfarve4 3 3 8 2 2" xfId="14727" xr:uid="{00000000-0005-0000-0000-000026740000}"/>
    <cellStyle name="40 % - Markeringsfarve4 3 3 8 2 2 2" xfId="31041" xr:uid="{00000000-0005-0000-0000-000027740000}"/>
    <cellStyle name="40 % - Markeringsfarve4 3 3 8 2 2 3" xfId="46005" xr:uid="{00000000-0005-0000-0000-000028740000}"/>
    <cellStyle name="40 % - Markeringsfarve4 3 3 8 2 3" xfId="24019" xr:uid="{00000000-0005-0000-0000-000029740000}"/>
    <cellStyle name="40 % - Markeringsfarve4 3 3 8 2 4" xfId="39006" xr:uid="{00000000-0005-0000-0000-00002A740000}"/>
    <cellStyle name="40 % - Markeringsfarve4 3 3 8 3" xfId="12593" xr:uid="{00000000-0005-0000-0000-00002B740000}"/>
    <cellStyle name="40 % - Markeringsfarve4 3 3 8 3 2" xfId="28912" xr:uid="{00000000-0005-0000-0000-00002C740000}"/>
    <cellStyle name="40 % - Markeringsfarve4 3 3 8 3 3" xfId="43877" xr:uid="{00000000-0005-0000-0000-00002D740000}"/>
    <cellStyle name="40 % - Markeringsfarve4 3 3 8 4" xfId="21890" xr:uid="{00000000-0005-0000-0000-00002E740000}"/>
    <cellStyle name="40 % - Markeringsfarve4 3 3 8 5" xfId="36878" xr:uid="{00000000-0005-0000-0000-00002F740000}"/>
    <cellStyle name="40 % - Markeringsfarve4 3 3 9" xfId="4037" xr:uid="{00000000-0005-0000-0000-000030740000}"/>
    <cellStyle name="40 % - Markeringsfarve4 3 3 9 2" xfId="8632" xr:uid="{00000000-0005-0000-0000-000031740000}"/>
    <cellStyle name="40 % - Markeringsfarve4 3 3 9 2 2" xfId="16515" xr:uid="{00000000-0005-0000-0000-000032740000}"/>
    <cellStyle name="40 % - Markeringsfarve4 3 3 9 2 2 2" xfId="32829" xr:uid="{00000000-0005-0000-0000-000033740000}"/>
    <cellStyle name="40 % - Markeringsfarve4 3 3 9 2 2 3" xfId="47793" xr:uid="{00000000-0005-0000-0000-000034740000}"/>
    <cellStyle name="40 % - Markeringsfarve4 3 3 9 2 3" xfId="25807" xr:uid="{00000000-0005-0000-0000-000035740000}"/>
    <cellStyle name="40 % - Markeringsfarve4 3 3 9 2 4" xfId="40794" xr:uid="{00000000-0005-0000-0000-000036740000}"/>
    <cellStyle name="40 % - Markeringsfarve4 3 3 9 3" xfId="12594" xr:uid="{00000000-0005-0000-0000-000037740000}"/>
    <cellStyle name="40 % - Markeringsfarve4 3 3 9 3 2" xfId="28913" xr:uid="{00000000-0005-0000-0000-000038740000}"/>
    <cellStyle name="40 % - Markeringsfarve4 3 3 9 3 3" xfId="43878" xr:uid="{00000000-0005-0000-0000-000039740000}"/>
    <cellStyle name="40 % - Markeringsfarve4 3 3 9 4" xfId="21891" xr:uid="{00000000-0005-0000-0000-00003A740000}"/>
    <cellStyle name="40 % - Markeringsfarve4 3 3 9 5" xfId="36879" xr:uid="{00000000-0005-0000-0000-00003B740000}"/>
    <cellStyle name="40 % - Markeringsfarve4 3 4" xfId="4038" xr:uid="{00000000-0005-0000-0000-00003C740000}"/>
    <cellStyle name="40 % - Markeringsfarve4 3 4 2" xfId="4039" xr:uid="{00000000-0005-0000-0000-00003D740000}"/>
    <cellStyle name="40 % - Markeringsfarve4 3 4 2 2" xfId="4040" xr:uid="{00000000-0005-0000-0000-00003E740000}"/>
    <cellStyle name="40 % - Markeringsfarve4 3 4 2 2 2" xfId="7629" xr:uid="{00000000-0005-0000-0000-00003F740000}"/>
    <cellStyle name="40 % - Markeringsfarve4 3 4 2 2 2 2" xfId="15530" xr:uid="{00000000-0005-0000-0000-000040740000}"/>
    <cellStyle name="40 % - Markeringsfarve4 3 4 2 2 2 2 2" xfId="31844" xr:uid="{00000000-0005-0000-0000-000041740000}"/>
    <cellStyle name="40 % - Markeringsfarve4 3 4 2 2 2 2 3" xfId="46808" xr:uid="{00000000-0005-0000-0000-000042740000}"/>
    <cellStyle name="40 % - Markeringsfarve4 3 4 2 2 2 3" xfId="24822" xr:uid="{00000000-0005-0000-0000-000043740000}"/>
    <cellStyle name="40 % - Markeringsfarve4 3 4 2 2 2 4" xfId="39809" xr:uid="{00000000-0005-0000-0000-000044740000}"/>
    <cellStyle name="40 % - Markeringsfarve4 3 4 2 2 3" xfId="12597" xr:uid="{00000000-0005-0000-0000-000045740000}"/>
    <cellStyle name="40 % - Markeringsfarve4 3 4 2 2 3 2" xfId="28916" xr:uid="{00000000-0005-0000-0000-000046740000}"/>
    <cellStyle name="40 % - Markeringsfarve4 3 4 2 2 3 3" xfId="43881" xr:uid="{00000000-0005-0000-0000-000047740000}"/>
    <cellStyle name="40 % - Markeringsfarve4 3 4 2 2 4" xfId="21894" xr:uid="{00000000-0005-0000-0000-000048740000}"/>
    <cellStyle name="40 % - Markeringsfarve4 3 4 2 2 5" xfId="36882" xr:uid="{00000000-0005-0000-0000-000049740000}"/>
    <cellStyle name="40 % - Markeringsfarve4 3 4 2 3" xfId="6209" xr:uid="{00000000-0005-0000-0000-00004A740000}"/>
    <cellStyle name="40 % - Markeringsfarve4 3 4 2 3 2" xfId="14126" xr:uid="{00000000-0005-0000-0000-00004B740000}"/>
    <cellStyle name="40 % - Markeringsfarve4 3 4 2 3 2 2" xfId="30440" xr:uid="{00000000-0005-0000-0000-00004C740000}"/>
    <cellStyle name="40 % - Markeringsfarve4 3 4 2 3 2 3" xfId="45404" xr:uid="{00000000-0005-0000-0000-00004D740000}"/>
    <cellStyle name="40 % - Markeringsfarve4 3 4 2 3 3" xfId="23418" xr:uid="{00000000-0005-0000-0000-00004E740000}"/>
    <cellStyle name="40 % - Markeringsfarve4 3 4 2 3 4" xfId="38405" xr:uid="{00000000-0005-0000-0000-00004F740000}"/>
    <cellStyle name="40 % - Markeringsfarve4 3 4 2 4" xfId="12596" xr:uid="{00000000-0005-0000-0000-000050740000}"/>
    <cellStyle name="40 % - Markeringsfarve4 3 4 2 4 2" xfId="28915" xr:uid="{00000000-0005-0000-0000-000051740000}"/>
    <cellStyle name="40 % - Markeringsfarve4 3 4 2 4 3" xfId="43880" xr:uid="{00000000-0005-0000-0000-000052740000}"/>
    <cellStyle name="40 % - Markeringsfarve4 3 4 2 5" xfId="21893" xr:uid="{00000000-0005-0000-0000-000053740000}"/>
    <cellStyle name="40 % - Markeringsfarve4 3 4 2 6" xfId="36881" xr:uid="{00000000-0005-0000-0000-000054740000}"/>
    <cellStyle name="40 % - Markeringsfarve4 3 4 3" xfId="4041" xr:uid="{00000000-0005-0000-0000-000055740000}"/>
    <cellStyle name="40 % - Markeringsfarve4 3 4 3 2" xfId="6859" xr:uid="{00000000-0005-0000-0000-000056740000}"/>
    <cellStyle name="40 % - Markeringsfarve4 3 4 3 2 2" xfId="14770" xr:uid="{00000000-0005-0000-0000-000057740000}"/>
    <cellStyle name="40 % - Markeringsfarve4 3 4 3 2 2 2" xfId="31084" xr:uid="{00000000-0005-0000-0000-000058740000}"/>
    <cellStyle name="40 % - Markeringsfarve4 3 4 3 2 2 3" xfId="46048" xr:uid="{00000000-0005-0000-0000-000059740000}"/>
    <cellStyle name="40 % - Markeringsfarve4 3 4 3 2 3" xfId="24062" xr:uid="{00000000-0005-0000-0000-00005A740000}"/>
    <cellStyle name="40 % - Markeringsfarve4 3 4 3 2 4" xfId="39049" xr:uid="{00000000-0005-0000-0000-00005B740000}"/>
    <cellStyle name="40 % - Markeringsfarve4 3 4 3 3" xfId="12598" xr:uid="{00000000-0005-0000-0000-00005C740000}"/>
    <cellStyle name="40 % - Markeringsfarve4 3 4 3 3 2" xfId="28917" xr:uid="{00000000-0005-0000-0000-00005D740000}"/>
    <cellStyle name="40 % - Markeringsfarve4 3 4 3 3 3" xfId="43882" xr:uid="{00000000-0005-0000-0000-00005E740000}"/>
    <cellStyle name="40 % - Markeringsfarve4 3 4 3 4" xfId="21895" xr:uid="{00000000-0005-0000-0000-00005F740000}"/>
    <cellStyle name="40 % - Markeringsfarve4 3 4 3 5" xfId="36883" xr:uid="{00000000-0005-0000-0000-000060740000}"/>
    <cellStyle name="40 % - Markeringsfarve4 3 4 4" xfId="4042" xr:uid="{00000000-0005-0000-0000-000061740000}"/>
    <cellStyle name="40 % - Markeringsfarve4 3 4 4 2" xfId="8488" xr:uid="{00000000-0005-0000-0000-000062740000}"/>
    <cellStyle name="40 % - Markeringsfarve4 3 4 4 2 2" xfId="16377" xr:uid="{00000000-0005-0000-0000-000063740000}"/>
    <cellStyle name="40 % - Markeringsfarve4 3 4 4 2 2 2" xfId="32691" xr:uid="{00000000-0005-0000-0000-000064740000}"/>
    <cellStyle name="40 % - Markeringsfarve4 3 4 4 2 2 3" xfId="47655" xr:uid="{00000000-0005-0000-0000-000065740000}"/>
    <cellStyle name="40 % - Markeringsfarve4 3 4 4 2 3" xfId="25669" xr:uid="{00000000-0005-0000-0000-000066740000}"/>
    <cellStyle name="40 % - Markeringsfarve4 3 4 4 2 4" xfId="40656" xr:uid="{00000000-0005-0000-0000-000067740000}"/>
    <cellStyle name="40 % - Markeringsfarve4 3 4 4 3" xfId="12599" xr:uid="{00000000-0005-0000-0000-000068740000}"/>
    <cellStyle name="40 % - Markeringsfarve4 3 4 4 3 2" xfId="28918" xr:uid="{00000000-0005-0000-0000-000069740000}"/>
    <cellStyle name="40 % - Markeringsfarve4 3 4 4 3 3" xfId="43883" xr:uid="{00000000-0005-0000-0000-00006A740000}"/>
    <cellStyle name="40 % - Markeringsfarve4 3 4 4 4" xfId="21896" xr:uid="{00000000-0005-0000-0000-00006B740000}"/>
    <cellStyle name="40 % - Markeringsfarve4 3 4 4 5" xfId="36884" xr:uid="{00000000-0005-0000-0000-00006C740000}"/>
    <cellStyle name="40 % - Markeringsfarve4 3 4 5" xfId="5949" xr:uid="{00000000-0005-0000-0000-00006D740000}"/>
    <cellStyle name="40 % - Markeringsfarve4 3 4 5 2" xfId="13867" xr:uid="{00000000-0005-0000-0000-00006E740000}"/>
    <cellStyle name="40 % - Markeringsfarve4 3 4 5 2 2" xfId="30181" xr:uid="{00000000-0005-0000-0000-00006F740000}"/>
    <cellStyle name="40 % - Markeringsfarve4 3 4 5 2 3" xfId="45145" xr:uid="{00000000-0005-0000-0000-000070740000}"/>
    <cellStyle name="40 % - Markeringsfarve4 3 4 5 3" xfId="23159" xr:uid="{00000000-0005-0000-0000-000071740000}"/>
    <cellStyle name="40 % - Markeringsfarve4 3 4 5 4" xfId="38146" xr:uid="{00000000-0005-0000-0000-000072740000}"/>
    <cellStyle name="40 % - Markeringsfarve4 3 4 6" xfId="12595" xr:uid="{00000000-0005-0000-0000-000073740000}"/>
    <cellStyle name="40 % - Markeringsfarve4 3 4 6 2" xfId="28914" xr:uid="{00000000-0005-0000-0000-000074740000}"/>
    <cellStyle name="40 % - Markeringsfarve4 3 4 6 3" xfId="43879" xr:uid="{00000000-0005-0000-0000-000075740000}"/>
    <cellStyle name="40 % - Markeringsfarve4 3 4 7" xfId="21892" xr:uid="{00000000-0005-0000-0000-000076740000}"/>
    <cellStyle name="40 % - Markeringsfarve4 3 4 8" xfId="36880" xr:uid="{00000000-0005-0000-0000-000077740000}"/>
    <cellStyle name="40 % - Markeringsfarve4 3 5" xfId="4043" xr:uid="{00000000-0005-0000-0000-000078740000}"/>
    <cellStyle name="40 % - Markeringsfarve4 3 5 2" xfId="4044" xr:uid="{00000000-0005-0000-0000-000079740000}"/>
    <cellStyle name="40 % - Markeringsfarve4 3 5 2 2" xfId="4045" xr:uid="{00000000-0005-0000-0000-00007A740000}"/>
    <cellStyle name="40 % - Markeringsfarve4 3 5 2 2 2" xfId="7811" xr:uid="{00000000-0005-0000-0000-00007B740000}"/>
    <cellStyle name="40 % - Markeringsfarve4 3 5 2 2 2 2" xfId="15712" xr:uid="{00000000-0005-0000-0000-00007C740000}"/>
    <cellStyle name="40 % - Markeringsfarve4 3 5 2 2 2 2 2" xfId="32026" xr:uid="{00000000-0005-0000-0000-00007D740000}"/>
    <cellStyle name="40 % - Markeringsfarve4 3 5 2 2 2 2 3" xfId="46990" xr:uid="{00000000-0005-0000-0000-00007E740000}"/>
    <cellStyle name="40 % - Markeringsfarve4 3 5 2 2 2 3" xfId="25004" xr:uid="{00000000-0005-0000-0000-00007F740000}"/>
    <cellStyle name="40 % - Markeringsfarve4 3 5 2 2 2 4" xfId="39991" xr:uid="{00000000-0005-0000-0000-000080740000}"/>
    <cellStyle name="40 % - Markeringsfarve4 3 5 2 2 3" xfId="12602" xr:uid="{00000000-0005-0000-0000-000081740000}"/>
    <cellStyle name="40 % - Markeringsfarve4 3 5 2 2 3 2" xfId="28921" xr:uid="{00000000-0005-0000-0000-000082740000}"/>
    <cellStyle name="40 % - Markeringsfarve4 3 5 2 2 3 3" xfId="43886" xr:uid="{00000000-0005-0000-0000-000083740000}"/>
    <cellStyle name="40 % - Markeringsfarve4 3 5 2 2 4" xfId="21899" xr:uid="{00000000-0005-0000-0000-000084740000}"/>
    <cellStyle name="40 % - Markeringsfarve4 3 5 2 2 5" xfId="36887" xr:uid="{00000000-0005-0000-0000-000085740000}"/>
    <cellStyle name="40 % - Markeringsfarve4 3 5 2 3" xfId="6357" xr:uid="{00000000-0005-0000-0000-000086740000}"/>
    <cellStyle name="40 % - Markeringsfarve4 3 5 2 3 2" xfId="14274" xr:uid="{00000000-0005-0000-0000-000087740000}"/>
    <cellStyle name="40 % - Markeringsfarve4 3 5 2 3 2 2" xfId="30588" xr:uid="{00000000-0005-0000-0000-000088740000}"/>
    <cellStyle name="40 % - Markeringsfarve4 3 5 2 3 2 3" xfId="45552" xr:uid="{00000000-0005-0000-0000-000089740000}"/>
    <cellStyle name="40 % - Markeringsfarve4 3 5 2 3 3" xfId="23566" xr:uid="{00000000-0005-0000-0000-00008A740000}"/>
    <cellStyle name="40 % - Markeringsfarve4 3 5 2 3 4" xfId="38553" xr:uid="{00000000-0005-0000-0000-00008B740000}"/>
    <cellStyle name="40 % - Markeringsfarve4 3 5 2 4" xfId="12601" xr:uid="{00000000-0005-0000-0000-00008C740000}"/>
    <cellStyle name="40 % - Markeringsfarve4 3 5 2 4 2" xfId="28920" xr:uid="{00000000-0005-0000-0000-00008D740000}"/>
    <cellStyle name="40 % - Markeringsfarve4 3 5 2 4 3" xfId="43885" xr:uid="{00000000-0005-0000-0000-00008E740000}"/>
    <cellStyle name="40 % - Markeringsfarve4 3 5 2 5" xfId="21898" xr:uid="{00000000-0005-0000-0000-00008F740000}"/>
    <cellStyle name="40 % - Markeringsfarve4 3 5 2 6" xfId="36886" xr:uid="{00000000-0005-0000-0000-000090740000}"/>
    <cellStyle name="40 % - Markeringsfarve4 3 5 3" xfId="4046" xr:uid="{00000000-0005-0000-0000-000091740000}"/>
    <cellStyle name="40 % - Markeringsfarve4 3 5 3 2" xfId="7041" xr:uid="{00000000-0005-0000-0000-000092740000}"/>
    <cellStyle name="40 % - Markeringsfarve4 3 5 3 2 2" xfId="14952" xr:uid="{00000000-0005-0000-0000-000093740000}"/>
    <cellStyle name="40 % - Markeringsfarve4 3 5 3 2 2 2" xfId="31266" xr:uid="{00000000-0005-0000-0000-000094740000}"/>
    <cellStyle name="40 % - Markeringsfarve4 3 5 3 2 2 3" xfId="46230" xr:uid="{00000000-0005-0000-0000-000095740000}"/>
    <cellStyle name="40 % - Markeringsfarve4 3 5 3 2 3" xfId="24244" xr:uid="{00000000-0005-0000-0000-000096740000}"/>
    <cellStyle name="40 % - Markeringsfarve4 3 5 3 2 4" xfId="39231" xr:uid="{00000000-0005-0000-0000-000097740000}"/>
    <cellStyle name="40 % - Markeringsfarve4 3 5 3 3" xfId="12603" xr:uid="{00000000-0005-0000-0000-000098740000}"/>
    <cellStyle name="40 % - Markeringsfarve4 3 5 3 3 2" xfId="28922" xr:uid="{00000000-0005-0000-0000-000099740000}"/>
    <cellStyle name="40 % - Markeringsfarve4 3 5 3 3 3" xfId="43887" xr:uid="{00000000-0005-0000-0000-00009A740000}"/>
    <cellStyle name="40 % - Markeringsfarve4 3 5 3 4" xfId="21900" xr:uid="{00000000-0005-0000-0000-00009B740000}"/>
    <cellStyle name="40 % - Markeringsfarve4 3 5 3 5" xfId="36888" xr:uid="{00000000-0005-0000-0000-00009C740000}"/>
    <cellStyle name="40 % - Markeringsfarve4 3 5 4" xfId="4047" xr:uid="{00000000-0005-0000-0000-00009D740000}"/>
    <cellStyle name="40 % - Markeringsfarve4 3 5 4 2" xfId="8739" xr:uid="{00000000-0005-0000-0000-00009E740000}"/>
    <cellStyle name="40 % - Markeringsfarve4 3 5 4 2 2" xfId="16618" xr:uid="{00000000-0005-0000-0000-00009F740000}"/>
    <cellStyle name="40 % - Markeringsfarve4 3 5 4 2 2 2" xfId="32932" xr:uid="{00000000-0005-0000-0000-0000A0740000}"/>
    <cellStyle name="40 % - Markeringsfarve4 3 5 4 2 2 3" xfId="47896" xr:uid="{00000000-0005-0000-0000-0000A1740000}"/>
    <cellStyle name="40 % - Markeringsfarve4 3 5 4 2 3" xfId="25910" xr:uid="{00000000-0005-0000-0000-0000A2740000}"/>
    <cellStyle name="40 % - Markeringsfarve4 3 5 4 2 4" xfId="40897" xr:uid="{00000000-0005-0000-0000-0000A3740000}"/>
    <cellStyle name="40 % - Markeringsfarve4 3 5 4 3" xfId="12604" xr:uid="{00000000-0005-0000-0000-0000A4740000}"/>
    <cellStyle name="40 % - Markeringsfarve4 3 5 4 3 2" xfId="28923" xr:uid="{00000000-0005-0000-0000-0000A5740000}"/>
    <cellStyle name="40 % - Markeringsfarve4 3 5 4 3 3" xfId="43888" xr:uid="{00000000-0005-0000-0000-0000A6740000}"/>
    <cellStyle name="40 % - Markeringsfarve4 3 5 4 4" xfId="21901" xr:uid="{00000000-0005-0000-0000-0000A7740000}"/>
    <cellStyle name="40 % - Markeringsfarve4 3 5 4 5" xfId="36889" xr:uid="{00000000-0005-0000-0000-0000A8740000}"/>
    <cellStyle name="40 % - Markeringsfarve4 3 5 5" xfId="5950" xr:uid="{00000000-0005-0000-0000-0000A9740000}"/>
    <cellStyle name="40 % - Markeringsfarve4 3 5 5 2" xfId="13868" xr:uid="{00000000-0005-0000-0000-0000AA740000}"/>
    <cellStyle name="40 % - Markeringsfarve4 3 5 5 2 2" xfId="30182" xr:uid="{00000000-0005-0000-0000-0000AB740000}"/>
    <cellStyle name="40 % - Markeringsfarve4 3 5 5 2 3" xfId="45146" xr:uid="{00000000-0005-0000-0000-0000AC740000}"/>
    <cellStyle name="40 % - Markeringsfarve4 3 5 5 3" xfId="23160" xr:uid="{00000000-0005-0000-0000-0000AD740000}"/>
    <cellStyle name="40 % - Markeringsfarve4 3 5 5 4" xfId="38147" xr:uid="{00000000-0005-0000-0000-0000AE740000}"/>
    <cellStyle name="40 % - Markeringsfarve4 3 5 6" xfId="12600" xr:uid="{00000000-0005-0000-0000-0000AF740000}"/>
    <cellStyle name="40 % - Markeringsfarve4 3 5 6 2" xfId="28919" xr:uid="{00000000-0005-0000-0000-0000B0740000}"/>
    <cellStyle name="40 % - Markeringsfarve4 3 5 6 3" xfId="43884" xr:uid="{00000000-0005-0000-0000-0000B1740000}"/>
    <cellStyle name="40 % - Markeringsfarve4 3 5 7" xfId="21897" xr:uid="{00000000-0005-0000-0000-0000B2740000}"/>
    <cellStyle name="40 % - Markeringsfarve4 3 5 8" xfId="36885" xr:uid="{00000000-0005-0000-0000-0000B3740000}"/>
    <cellStyle name="40 % - Markeringsfarve4 3 6" xfId="4048" xr:uid="{00000000-0005-0000-0000-0000B4740000}"/>
    <cellStyle name="40 % - Markeringsfarve4 3 6 2" xfId="4049" xr:uid="{00000000-0005-0000-0000-0000B5740000}"/>
    <cellStyle name="40 % - Markeringsfarve4 3 6 2 2" xfId="4050" xr:uid="{00000000-0005-0000-0000-0000B6740000}"/>
    <cellStyle name="40 % - Markeringsfarve4 3 6 2 2 2" xfId="7867" xr:uid="{00000000-0005-0000-0000-0000B7740000}"/>
    <cellStyle name="40 % - Markeringsfarve4 3 6 2 2 2 2" xfId="15768" xr:uid="{00000000-0005-0000-0000-0000B8740000}"/>
    <cellStyle name="40 % - Markeringsfarve4 3 6 2 2 2 2 2" xfId="32082" xr:uid="{00000000-0005-0000-0000-0000B9740000}"/>
    <cellStyle name="40 % - Markeringsfarve4 3 6 2 2 2 2 3" xfId="47046" xr:uid="{00000000-0005-0000-0000-0000BA740000}"/>
    <cellStyle name="40 % - Markeringsfarve4 3 6 2 2 2 3" xfId="25060" xr:uid="{00000000-0005-0000-0000-0000BB740000}"/>
    <cellStyle name="40 % - Markeringsfarve4 3 6 2 2 2 4" xfId="40047" xr:uid="{00000000-0005-0000-0000-0000BC740000}"/>
    <cellStyle name="40 % - Markeringsfarve4 3 6 2 2 3" xfId="12607" xr:uid="{00000000-0005-0000-0000-0000BD740000}"/>
    <cellStyle name="40 % - Markeringsfarve4 3 6 2 2 3 2" xfId="28926" xr:uid="{00000000-0005-0000-0000-0000BE740000}"/>
    <cellStyle name="40 % - Markeringsfarve4 3 6 2 2 3 3" xfId="43891" xr:uid="{00000000-0005-0000-0000-0000BF740000}"/>
    <cellStyle name="40 % - Markeringsfarve4 3 6 2 2 4" xfId="21904" xr:uid="{00000000-0005-0000-0000-0000C0740000}"/>
    <cellStyle name="40 % - Markeringsfarve4 3 6 2 2 5" xfId="36892" xr:uid="{00000000-0005-0000-0000-0000C1740000}"/>
    <cellStyle name="40 % - Markeringsfarve4 3 6 2 3" xfId="6411" xr:uid="{00000000-0005-0000-0000-0000C2740000}"/>
    <cellStyle name="40 % - Markeringsfarve4 3 6 2 3 2" xfId="14325" xr:uid="{00000000-0005-0000-0000-0000C3740000}"/>
    <cellStyle name="40 % - Markeringsfarve4 3 6 2 3 2 2" xfId="30639" xr:uid="{00000000-0005-0000-0000-0000C4740000}"/>
    <cellStyle name="40 % - Markeringsfarve4 3 6 2 3 2 3" xfId="45603" xr:uid="{00000000-0005-0000-0000-0000C5740000}"/>
    <cellStyle name="40 % - Markeringsfarve4 3 6 2 3 3" xfId="23617" xr:uid="{00000000-0005-0000-0000-0000C6740000}"/>
    <cellStyle name="40 % - Markeringsfarve4 3 6 2 3 4" xfId="38604" xr:uid="{00000000-0005-0000-0000-0000C7740000}"/>
    <cellStyle name="40 % - Markeringsfarve4 3 6 2 4" xfId="12606" xr:uid="{00000000-0005-0000-0000-0000C8740000}"/>
    <cellStyle name="40 % - Markeringsfarve4 3 6 2 4 2" xfId="28925" xr:uid="{00000000-0005-0000-0000-0000C9740000}"/>
    <cellStyle name="40 % - Markeringsfarve4 3 6 2 4 3" xfId="43890" xr:uid="{00000000-0005-0000-0000-0000CA740000}"/>
    <cellStyle name="40 % - Markeringsfarve4 3 6 2 5" xfId="21903" xr:uid="{00000000-0005-0000-0000-0000CB740000}"/>
    <cellStyle name="40 % - Markeringsfarve4 3 6 2 6" xfId="36891" xr:uid="{00000000-0005-0000-0000-0000CC740000}"/>
    <cellStyle name="40 % - Markeringsfarve4 3 6 3" xfId="4051" xr:uid="{00000000-0005-0000-0000-0000CD740000}"/>
    <cellStyle name="40 % - Markeringsfarve4 3 6 3 2" xfId="7143" xr:uid="{00000000-0005-0000-0000-0000CE740000}"/>
    <cellStyle name="40 % - Markeringsfarve4 3 6 3 2 2" xfId="15053" xr:uid="{00000000-0005-0000-0000-0000CF740000}"/>
    <cellStyle name="40 % - Markeringsfarve4 3 6 3 2 2 2" xfId="31367" xr:uid="{00000000-0005-0000-0000-0000D0740000}"/>
    <cellStyle name="40 % - Markeringsfarve4 3 6 3 2 2 3" xfId="46331" xr:uid="{00000000-0005-0000-0000-0000D1740000}"/>
    <cellStyle name="40 % - Markeringsfarve4 3 6 3 2 3" xfId="24345" xr:uid="{00000000-0005-0000-0000-0000D2740000}"/>
    <cellStyle name="40 % - Markeringsfarve4 3 6 3 2 4" xfId="39332" xr:uid="{00000000-0005-0000-0000-0000D3740000}"/>
    <cellStyle name="40 % - Markeringsfarve4 3 6 3 3" xfId="12608" xr:uid="{00000000-0005-0000-0000-0000D4740000}"/>
    <cellStyle name="40 % - Markeringsfarve4 3 6 3 3 2" xfId="28927" xr:uid="{00000000-0005-0000-0000-0000D5740000}"/>
    <cellStyle name="40 % - Markeringsfarve4 3 6 3 3 3" xfId="43892" xr:uid="{00000000-0005-0000-0000-0000D6740000}"/>
    <cellStyle name="40 % - Markeringsfarve4 3 6 3 4" xfId="21905" xr:uid="{00000000-0005-0000-0000-0000D7740000}"/>
    <cellStyle name="40 % - Markeringsfarve4 3 6 3 5" xfId="36893" xr:uid="{00000000-0005-0000-0000-0000D8740000}"/>
    <cellStyle name="40 % - Markeringsfarve4 3 6 4" xfId="4052" xr:uid="{00000000-0005-0000-0000-0000D9740000}"/>
    <cellStyle name="40 % - Markeringsfarve4 3 6 4 2" xfId="8463" xr:uid="{00000000-0005-0000-0000-0000DA740000}"/>
    <cellStyle name="40 % - Markeringsfarve4 3 6 4 2 2" xfId="16354" xr:uid="{00000000-0005-0000-0000-0000DB740000}"/>
    <cellStyle name="40 % - Markeringsfarve4 3 6 4 2 2 2" xfId="32668" xr:uid="{00000000-0005-0000-0000-0000DC740000}"/>
    <cellStyle name="40 % - Markeringsfarve4 3 6 4 2 2 3" xfId="47632" xr:uid="{00000000-0005-0000-0000-0000DD740000}"/>
    <cellStyle name="40 % - Markeringsfarve4 3 6 4 2 3" xfId="25646" xr:uid="{00000000-0005-0000-0000-0000DE740000}"/>
    <cellStyle name="40 % - Markeringsfarve4 3 6 4 2 4" xfId="40633" xr:uid="{00000000-0005-0000-0000-0000DF740000}"/>
    <cellStyle name="40 % - Markeringsfarve4 3 6 4 3" xfId="12609" xr:uid="{00000000-0005-0000-0000-0000E0740000}"/>
    <cellStyle name="40 % - Markeringsfarve4 3 6 4 3 2" xfId="28928" xr:uid="{00000000-0005-0000-0000-0000E1740000}"/>
    <cellStyle name="40 % - Markeringsfarve4 3 6 4 3 3" xfId="43893" xr:uid="{00000000-0005-0000-0000-0000E2740000}"/>
    <cellStyle name="40 % - Markeringsfarve4 3 6 4 4" xfId="21906" xr:uid="{00000000-0005-0000-0000-0000E3740000}"/>
    <cellStyle name="40 % - Markeringsfarve4 3 6 4 5" xfId="36894" xr:uid="{00000000-0005-0000-0000-0000E4740000}"/>
    <cellStyle name="40 % - Markeringsfarve4 3 6 5" xfId="5951" xr:uid="{00000000-0005-0000-0000-0000E5740000}"/>
    <cellStyle name="40 % - Markeringsfarve4 3 6 5 2" xfId="13869" xr:uid="{00000000-0005-0000-0000-0000E6740000}"/>
    <cellStyle name="40 % - Markeringsfarve4 3 6 5 2 2" xfId="30183" xr:uid="{00000000-0005-0000-0000-0000E7740000}"/>
    <cellStyle name="40 % - Markeringsfarve4 3 6 5 2 3" xfId="45147" xr:uid="{00000000-0005-0000-0000-0000E8740000}"/>
    <cellStyle name="40 % - Markeringsfarve4 3 6 5 3" xfId="23161" xr:uid="{00000000-0005-0000-0000-0000E9740000}"/>
    <cellStyle name="40 % - Markeringsfarve4 3 6 5 4" xfId="38148" xr:uid="{00000000-0005-0000-0000-0000EA740000}"/>
    <cellStyle name="40 % - Markeringsfarve4 3 6 6" xfId="12605" xr:uid="{00000000-0005-0000-0000-0000EB740000}"/>
    <cellStyle name="40 % - Markeringsfarve4 3 6 6 2" xfId="28924" xr:uid="{00000000-0005-0000-0000-0000EC740000}"/>
    <cellStyle name="40 % - Markeringsfarve4 3 6 6 3" xfId="43889" xr:uid="{00000000-0005-0000-0000-0000ED740000}"/>
    <cellStyle name="40 % - Markeringsfarve4 3 6 7" xfId="21902" xr:uid="{00000000-0005-0000-0000-0000EE740000}"/>
    <cellStyle name="40 % - Markeringsfarve4 3 6 8" xfId="36890" xr:uid="{00000000-0005-0000-0000-0000EF740000}"/>
    <cellStyle name="40 % - Markeringsfarve4 3 7" xfId="4053" xr:uid="{00000000-0005-0000-0000-0000F0740000}"/>
    <cellStyle name="40 % - Markeringsfarve4 3 7 2" xfId="4054" xr:uid="{00000000-0005-0000-0000-0000F1740000}"/>
    <cellStyle name="40 % - Markeringsfarve4 3 7 2 2" xfId="4055" xr:uid="{00000000-0005-0000-0000-0000F2740000}"/>
    <cellStyle name="40 % - Markeringsfarve4 3 7 2 2 2" xfId="7984" xr:uid="{00000000-0005-0000-0000-0000F3740000}"/>
    <cellStyle name="40 % - Markeringsfarve4 3 7 2 2 2 2" xfId="15885" xr:uid="{00000000-0005-0000-0000-0000F4740000}"/>
    <cellStyle name="40 % - Markeringsfarve4 3 7 2 2 2 2 2" xfId="32199" xr:uid="{00000000-0005-0000-0000-0000F5740000}"/>
    <cellStyle name="40 % - Markeringsfarve4 3 7 2 2 2 2 3" xfId="47163" xr:uid="{00000000-0005-0000-0000-0000F6740000}"/>
    <cellStyle name="40 % - Markeringsfarve4 3 7 2 2 2 3" xfId="25177" xr:uid="{00000000-0005-0000-0000-0000F7740000}"/>
    <cellStyle name="40 % - Markeringsfarve4 3 7 2 2 2 4" xfId="40164" xr:uid="{00000000-0005-0000-0000-0000F8740000}"/>
    <cellStyle name="40 % - Markeringsfarve4 3 7 2 2 3" xfId="12612" xr:uid="{00000000-0005-0000-0000-0000F9740000}"/>
    <cellStyle name="40 % - Markeringsfarve4 3 7 2 2 3 2" xfId="28931" xr:uid="{00000000-0005-0000-0000-0000FA740000}"/>
    <cellStyle name="40 % - Markeringsfarve4 3 7 2 2 3 3" xfId="43896" xr:uid="{00000000-0005-0000-0000-0000FB740000}"/>
    <cellStyle name="40 % - Markeringsfarve4 3 7 2 2 4" xfId="21909" xr:uid="{00000000-0005-0000-0000-0000FC740000}"/>
    <cellStyle name="40 % - Markeringsfarve4 3 7 2 2 5" xfId="36897" xr:uid="{00000000-0005-0000-0000-0000FD740000}"/>
    <cellStyle name="40 % - Markeringsfarve4 3 7 2 3" xfId="6510" xr:uid="{00000000-0005-0000-0000-0000FE740000}"/>
    <cellStyle name="40 % - Markeringsfarve4 3 7 2 3 2" xfId="14424" xr:uid="{00000000-0005-0000-0000-0000FF740000}"/>
    <cellStyle name="40 % - Markeringsfarve4 3 7 2 3 2 2" xfId="30738" xr:uid="{00000000-0005-0000-0000-000000750000}"/>
    <cellStyle name="40 % - Markeringsfarve4 3 7 2 3 2 3" xfId="45702" xr:uid="{00000000-0005-0000-0000-000001750000}"/>
    <cellStyle name="40 % - Markeringsfarve4 3 7 2 3 3" xfId="23716" xr:uid="{00000000-0005-0000-0000-000002750000}"/>
    <cellStyle name="40 % - Markeringsfarve4 3 7 2 3 4" xfId="38703" xr:uid="{00000000-0005-0000-0000-000003750000}"/>
    <cellStyle name="40 % - Markeringsfarve4 3 7 2 4" xfId="12611" xr:uid="{00000000-0005-0000-0000-000004750000}"/>
    <cellStyle name="40 % - Markeringsfarve4 3 7 2 4 2" xfId="28930" xr:uid="{00000000-0005-0000-0000-000005750000}"/>
    <cellStyle name="40 % - Markeringsfarve4 3 7 2 4 3" xfId="43895" xr:uid="{00000000-0005-0000-0000-000006750000}"/>
    <cellStyle name="40 % - Markeringsfarve4 3 7 2 5" xfId="21908" xr:uid="{00000000-0005-0000-0000-000007750000}"/>
    <cellStyle name="40 % - Markeringsfarve4 3 7 2 6" xfId="36896" xr:uid="{00000000-0005-0000-0000-000008750000}"/>
    <cellStyle name="40 % - Markeringsfarve4 3 7 3" xfId="4056" xr:uid="{00000000-0005-0000-0000-000009750000}"/>
    <cellStyle name="40 % - Markeringsfarve4 3 7 3 2" xfId="7260" xr:uid="{00000000-0005-0000-0000-00000A750000}"/>
    <cellStyle name="40 % - Markeringsfarve4 3 7 3 2 2" xfId="15170" xr:uid="{00000000-0005-0000-0000-00000B750000}"/>
    <cellStyle name="40 % - Markeringsfarve4 3 7 3 2 2 2" xfId="31484" xr:uid="{00000000-0005-0000-0000-00000C750000}"/>
    <cellStyle name="40 % - Markeringsfarve4 3 7 3 2 2 3" xfId="46448" xr:uid="{00000000-0005-0000-0000-00000D750000}"/>
    <cellStyle name="40 % - Markeringsfarve4 3 7 3 2 3" xfId="24462" xr:uid="{00000000-0005-0000-0000-00000E750000}"/>
    <cellStyle name="40 % - Markeringsfarve4 3 7 3 2 4" xfId="39449" xr:uid="{00000000-0005-0000-0000-00000F750000}"/>
    <cellStyle name="40 % - Markeringsfarve4 3 7 3 3" xfId="12613" xr:uid="{00000000-0005-0000-0000-000010750000}"/>
    <cellStyle name="40 % - Markeringsfarve4 3 7 3 3 2" xfId="28932" xr:uid="{00000000-0005-0000-0000-000011750000}"/>
    <cellStyle name="40 % - Markeringsfarve4 3 7 3 3 3" xfId="43897" xr:uid="{00000000-0005-0000-0000-000012750000}"/>
    <cellStyle name="40 % - Markeringsfarve4 3 7 3 4" xfId="21910" xr:uid="{00000000-0005-0000-0000-000013750000}"/>
    <cellStyle name="40 % - Markeringsfarve4 3 7 3 5" xfId="36898" xr:uid="{00000000-0005-0000-0000-000014750000}"/>
    <cellStyle name="40 % - Markeringsfarve4 3 7 4" xfId="4057" xr:uid="{00000000-0005-0000-0000-000015750000}"/>
    <cellStyle name="40 % - Markeringsfarve4 3 7 4 2" xfId="8697" xr:uid="{00000000-0005-0000-0000-000016750000}"/>
    <cellStyle name="40 % - Markeringsfarve4 3 7 4 2 2" xfId="16578" xr:uid="{00000000-0005-0000-0000-000017750000}"/>
    <cellStyle name="40 % - Markeringsfarve4 3 7 4 2 2 2" xfId="32892" xr:uid="{00000000-0005-0000-0000-000018750000}"/>
    <cellStyle name="40 % - Markeringsfarve4 3 7 4 2 2 3" xfId="47856" xr:uid="{00000000-0005-0000-0000-000019750000}"/>
    <cellStyle name="40 % - Markeringsfarve4 3 7 4 2 3" xfId="25870" xr:uid="{00000000-0005-0000-0000-00001A750000}"/>
    <cellStyle name="40 % - Markeringsfarve4 3 7 4 2 4" xfId="40857" xr:uid="{00000000-0005-0000-0000-00001B750000}"/>
    <cellStyle name="40 % - Markeringsfarve4 3 7 4 3" xfId="12614" xr:uid="{00000000-0005-0000-0000-00001C750000}"/>
    <cellStyle name="40 % - Markeringsfarve4 3 7 4 3 2" xfId="28933" xr:uid="{00000000-0005-0000-0000-00001D750000}"/>
    <cellStyle name="40 % - Markeringsfarve4 3 7 4 3 3" xfId="43898" xr:uid="{00000000-0005-0000-0000-00001E750000}"/>
    <cellStyle name="40 % - Markeringsfarve4 3 7 4 4" xfId="21911" xr:uid="{00000000-0005-0000-0000-00001F750000}"/>
    <cellStyle name="40 % - Markeringsfarve4 3 7 4 5" xfId="36899" xr:uid="{00000000-0005-0000-0000-000020750000}"/>
    <cellStyle name="40 % - Markeringsfarve4 3 7 5" xfId="5952" xr:uid="{00000000-0005-0000-0000-000021750000}"/>
    <cellStyle name="40 % - Markeringsfarve4 3 7 5 2" xfId="13870" xr:uid="{00000000-0005-0000-0000-000022750000}"/>
    <cellStyle name="40 % - Markeringsfarve4 3 7 5 2 2" xfId="30184" xr:uid="{00000000-0005-0000-0000-000023750000}"/>
    <cellStyle name="40 % - Markeringsfarve4 3 7 5 2 3" xfId="45148" xr:uid="{00000000-0005-0000-0000-000024750000}"/>
    <cellStyle name="40 % - Markeringsfarve4 3 7 5 3" xfId="23162" xr:uid="{00000000-0005-0000-0000-000025750000}"/>
    <cellStyle name="40 % - Markeringsfarve4 3 7 5 4" xfId="38149" xr:uid="{00000000-0005-0000-0000-000026750000}"/>
    <cellStyle name="40 % - Markeringsfarve4 3 7 6" xfId="12610" xr:uid="{00000000-0005-0000-0000-000027750000}"/>
    <cellStyle name="40 % - Markeringsfarve4 3 7 6 2" xfId="28929" xr:uid="{00000000-0005-0000-0000-000028750000}"/>
    <cellStyle name="40 % - Markeringsfarve4 3 7 6 3" xfId="43894" xr:uid="{00000000-0005-0000-0000-000029750000}"/>
    <cellStyle name="40 % - Markeringsfarve4 3 7 7" xfId="21907" xr:uid="{00000000-0005-0000-0000-00002A750000}"/>
    <cellStyle name="40 % - Markeringsfarve4 3 7 8" xfId="36895" xr:uid="{00000000-0005-0000-0000-00002B750000}"/>
    <cellStyle name="40 % - Markeringsfarve4 3 8" xfId="4058" xr:uid="{00000000-0005-0000-0000-00002C750000}"/>
    <cellStyle name="40 % - Markeringsfarve4 3 8 2" xfId="4059" xr:uid="{00000000-0005-0000-0000-00002D750000}"/>
    <cellStyle name="40 % - Markeringsfarve4 3 8 2 2" xfId="4060" xr:uid="{00000000-0005-0000-0000-00002E750000}"/>
    <cellStyle name="40 % - Markeringsfarve4 3 8 2 2 2" xfId="8165" xr:uid="{00000000-0005-0000-0000-00002F750000}"/>
    <cellStyle name="40 % - Markeringsfarve4 3 8 2 2 2 2" xfId="16066" xr:uid="{00000000-0005-0000-0000-000030750000}"/>
    <cellStyle name="40 % - Markeringsfarve4 3 8 2 2 2 2 2" xfId="32380" xr:uid="{00000000-0005-0000-0000-000031750000}"/>
    <cellStyle name="40 % - Markeringsfarve4 3 8 2 2 2 2 3" xfId="47344" xr:uid="{00000000-0005-0000-0000-000032750000}"/>
    <cellStyle name="40 % - Markeringsfarve4 3 8 2 2 2 3" xfId="25358" xr:uid="{00000000-0005-0000-0000-000033750000}"/>
    <cellStyle name="40 % - Markeringsfarve4 3 8 2 2 2 4" xfId="40345" xr:uid="{00000000-0005-0000-0000-000034750000}"/>
    <cellStyle name="40 % - Markeringsfarve4 3 8 2 2 3" xfId="12617" xr:uid="{00000000-0005-0000-0000-000035750000}"/>
    <cellStyle name="40 % - Markeringsfarve4 3 8 2 2 3 2" xfId="28936" xr:uid="{00000000-0005-0000-0000-000036750000}"/>
    <cellStyle name="40 % - Markeringsfarve4 3 8 2 2 3 3" xfId="43901" xr:uid="{00000000-0005-0000-0000-000037750000}"/>
    <cellStyle name="40 % - Markeringsfarve4 3 8 2 2 4" xfId="21914" xr:uid="{00000000-0005-0000-0000-000038750000}"/>
    <cellStyle name="40 % - Markeringsfarve4 3 8 2 2 5" xfId="36902" xr:uid="{00000000-0005-0000-0000-000039750000}"/>
    <cellStyle name="40 % - Markeringsfarve4 3 8 2 3" xfId="6658" xr:uid="{00000000-0005-0000-0000-00003A750000}"/>
    <cellStyle name="40 % - Markeringsfarve4 3 8 2 3 2" xfId="14572" xr:uid="{00000000-0005-0000-0000-00003B750000}"/>
    <cellStyle name="40 % - Markeringsfarve4 3 8 2 3 2 2" xfId="30886" xr:uid="{00000000-0005-0000-0000-00003C750000}"/>
    <cellStyle name="40 % - Markeringsfarve4 3 8 2 3 2 3" xfId="45850" xr:uid="{00000000-0005-0000-0000-00003D750000}"/>
    <cellStyle name="40 % - Markeringsfarve4 3 8 2 3 3" xfId="23864" xr:uid="{00000000-0005-0000-0000-00003E750000}"/>
    <cellStyle name="40 % - Markeringsfarve4 3 8 2 3 4" xfId="38851" xr:uid="{00000000-0005-0000-0000-00003F750000}"/>
    <cellStyle name="40 % - Markeringsfarve4 3 8 2 4" xfId="12616" xr:uid="{00000000-0005-0000-0000-000040750000}"/>
    <cellStyle name="40 % - Markeringsfarve4 3 8 2 4 2" xfId="28935" xr:uid="{00000000-0005-0000-0000-000041750000}"/>
    <cellStyle name="40 % - Markeringsfarve4 3 8 2 4 3" xfId="43900" xr:uid="{00000000-0005-0000-0000-000042750000}"/>
    <cellStyle name="40 % - Markeringsfarve4 3 8 2 5" xfId="21913" xr:uid="{00000000-0005-0000-0000-000043750000}"/>
    <cellStyle name="40 % - Markeringsfarve4 3 8 2 6" xfId="36901" xr:uid="{00000000-0005-0000-0000-000044750000}"/>
    <cellStyle name="40 % - Markeringsfarve4 3 8 3" xfId="4061" xr:uid="{00000000-0005-0000-0000-000045750000}"/>
    <cellStyle name="40 % - Markeringsfarve4 3 8 3 2" xfId="7442" xr:uid="{00000000-0005-0000-0000-000046750000}"/>
    <cellStyle name="40 % - Markeringsfarve4 3 8 3 2 2" xfId="15352" xr:uid="{00000000-0005-0000-0000-000047750000}"/>
    <cellStyle name="40 % - Markeringsfarve4 3 8 3 2 2 2" xfId="31666" xr:uid="{00000000-0005-0000-0000-000048750000}"/>
    <cellStyle name="40 % - Markeringsfarve4 3 8 3 2 2 3" xfId="46630" xr:uid="{00000000-0005-0000-0000-000049750000}"/>
    <cellStyle name="40 % - Markeringsfarve4 3 8 3 2 3" xfId="24644" xr:uid="{00000000-0005-0000-0000-00004A750000}"/>
    <cellStyle name="40 % - Markeringsfarve4 3 8 3 2 4" xfId="39631" xr:uid="{00000000-0005-0000-0000-00004B750000}"/>
    <cellStyle name="40 % - Markeringsfarve4 3 8 3 3" xfId="12618" xr:uid="{00000000-0005-0000-0000-00004C750000}"/>
    <cellStyle name="40 % - Markeringsfarve4 3 8 3 3 2" xfId="28937" xr:uid="{00000000-0005-0000-0000-00004D750000}"/>
    <cellStyle name="40 % - Markeringsfarve4 3 8 3 3 3" xfId="43902" xr:uid="{00000000-0005-0000-0000-00004E750000}"/>
    <cellStyle name="40 % - Markeringsfarve4 3 8 3 4" xfId="21915" xr:uid="{00000000-0005-0000-0000-00004F750000}"/>
    <cellStyle name="40 % - Markeringsfarve4 3 8 3 5" xfId="36903" xr:uid="{00000000-0005-0000-0000-000050750000}"/>
    <cellStyle name="40 % - Markeringsfarve4 3 8 4" xfId="4062" xr:uid="{00000000-0005-0000-0000-000051750000}"/>
    <cellStyle name="40 % - Markeringsfarve4 3 8 4 2" xfId="8422" xr:uid="{00000000-0005-0000-0000-000052750000}"/>
    <cellStyle name="40 % - Markeringsfarve4 3 8 4 2 2" xfId="16315" xr:uid="{00000000-0005-0000-0000-000053750000}"/>
    <cellStyle name="40 % - Markeringsfarve4 3 8 4 2 2 2" xfId="32629" xr:uid="{00000000-0005-0000-0000-000054750000}"/>
    <cellStyle name="40 % - Markeringsfarve4 3 8 4 2 2 3" xfId="47593" xr:uid="{00000000-0005-0000-0000-000055750000}"/>
    <cellStyle name="40 % - Markeringsfarve4 3 8 4 2 3" xfId="25607" xr:uid="{00000000-0005-0000-0000-000056750000}"/>
    <cellStyle name="40 % - Markeringsfarve4 3 8 4 2 4" xfId="40594" xr:uid="{00000000-0005-0000-0000-000057750000}"/>
    <cellStyle name="40 % - Markeringsfarve4 3 8 4 3" xfId="12619" xr:uid="{00000000-0005-0000-0000-000058750000}"/>
    <cellStyle name="40 % - Markeringsfarve4 3 8 4 3 2" xfId="28938" xr:uid="{00000000-0005-0000-0000-000059750000}"/>
    <cellStyle name="40 % - Markeringsfarve4 3 8 4 3 3" xfId="43903" xr:uid="{00000000-0005-0000-0000-00005A750000}"/>
    <cellStyle name="40 % - Markeringsfarve4 3 8 4 4" xfId="21916" xr:uid="{00000000-0005-0000-0000-00005B750000}"/>
    <cellStyle name="40 % - Markeringsfarve4 3 8 4 5" xfId="36904" xr:uid="{00000000-0005-0000-0000-00005C750000}"/>
    <cellStyle name="40 % - Markeringsfarve4 3 8 5" xfId="5953" xr:uid="{00000000-0005-0000-0000-00005D750000}"/>
    <cellStyle name="40 % - Markeringsfarve4 3 8 5 2" xfId="13871" xr:uid="{00000000-0005-0000-0000-00005E750000}"/>
    <cellStyle name="40 % - Markeringsfarve4 3 8 5 2 2" xfId="30185" xr:uid="{00000000-0005-0000-0000-00005F750000}"/>
    <cellStyle name="40 % - Markeringsfarve4 3 8 5 2 3" xfId="45149" xr:uid="{00000000-0005-0000-0000-000060750000}"/>
    <cellStyle name="40 % - Markeringsfarve4 3 8 5 3" xfId="23163" xr:uid="{00000000-0005-0000-0000-000061750000}"/>
    <cellStyle name="40 % - Markeringsfarve4 3 8 5 4" xfId="38150" xr:uid="{00000000-0005-0000-0000-000062750000}"/>
    <cellStyle name="40 % - Markeringsfarve4 3 8 6" xfId="12615" xr:uid="{00000000-0005-0000-0000-000063750000}"/>
    <cellStyle name="40 % - Markeringsfarve4 3 8 6 2" xfId="28934" xr:uid="{00000000-0005-0000-0000-000064750000}"/>
    <cellStyle name="40 % - Markeringsfarve4 3 8 6 3" xfId="43899" xr:uid="{00000000-0005-0000-0000-000065750000}"/>
    <cellStyle name="40 % - Markeringsfarve4 3 8 7" xfId="21912" xr:uid="{00000000-0005-0000-0000-000066750000}"/>
    <cellStyle name="40 % - Markeringsfarve4 3 8 8" xfId="36900" xr:uid="{00000000-0005-0000-0000-000067750000}"/>
    <cellStyle name="40 % - Markeringsfarve4 3 9" xfId="4063" xr:uid="{00000000-0005-0000-0000-000068750000}"/>
    <cellStyle name="40 % - Markeringsfarve4 3 9 2" xfId="4064" xr:uid="{00000000-0005-0000-0000-000069750000}"/>
    <cellStyle name="40 % - Markeringsfarve4 3 9 2 2" xfId="7510" xr:uid="{00000000-0005-0000-0000-00006A750000}"/>
    <cellStyle name="40 % - Markeringsfarve4 3 9 2 2 2" xfId="15411" xr:uid="{00000000-0005-0000-0000-00006B750000}"/>
    <cellStyle name="40 % - Markeringsfarve4 3 9 2 2 2 2" xfId="31725" xr:uid="{00000000-0005-0000-0000-00006C750000}"/>
    <cellStyle name="40 % - Markeringsfarve4 3 9 2 2 2 3" xfId="46689" xr:uid="{00000000-0005-0000-0000-00006D750000}"/>
    <cellStyle name="40 % - Markeringsfarve4 3 9 2 2 3" xfId="24703" xr:uid="{00000000-0005-0000-0000-00006E750000}"/>
    <cellStyle name="40 % - Markeringsfarve4 3 9 2 2 4" xfId="39690" xr:uid="{00000000-0005-0000-0000-00006F750000}"/>
    <cellStyle name="40 % - Markeringsfarve4 3 9 2 3" xfId="12621" xr:uid="{00000000-0005-0000-0000-000070750000}"/>
    <cellStyle name="40 % - Markeringsfarve4 3 9 2 3 2" xfId="28940" xr:uid="{00000000-0005-0000-0000-000071750000}"/>
    <cellStyle name="40 % - Markeringsfarve4 3 9 2 3 3" xfId="43905" xr:uid="{00000000-0005-0000-0000-000072750000}"/>
    <cellStyle name="40 % - Markeringsfarve4 3 9 2 4" xfId="21918" xr:uid="{00000000-0005-0000-0000-000073750000}"/>
    <cellStyle name="40 % - Markeringsfarve4 3 9 2 5" xfId="36906" xr:uid="{00000000-0005-0000-0000-000074750000}"/>
    <cellStyle name="40 % - Markeringsfarve4 3 9 3" xfId="6110" xr:uid="{00000000-0005-0000-0000-000075750000}"/>
    <cellStyle name="40 % - Markeringsfarve4 3 9 3 2" xfId="14027" xr:uid="{00000000-0005-0000-0000-000076750000}"/>
    <cellStyle name="40 % - Markeringsfarve4 3 9 3 2 2" xfId="30341" xr:uid="{00000000-0005-0000-0000-000077750000}"/>
    <cellStyle name="40 % - Markeringsfarve4 3 9 3 2 3" xfId="45305" xr:uid="{00000000-0005-0000-0000-000078750000}"/>
    <cellStyle name="40 % - Markeringsfarve4 3 9 3 3" xfId="23319" xr:uid="{00000000-0005-0000-0000-000079750000}"/>
    <cellStyle name="40 % - Markeringsfarve4 3 9 3 4" xfId="38306" xr:uid="{00000000-0005-0000-0000-00007A750000}"/>
    <cellStyle name="40 % - Markeringsfarve4 3 9 4" xfId="12620" xr:uid="{00000000-0005-0000-0000-00007B750000}"/>
    <cellStyle name="40 % - Markeringsfarve4 3 9 4 2" xfId="28939" xr:uid="{00000000-0005-0000-0000-00007C750000}"/>
    <cellStyle name="40 % - Markeringsfarve4 3 9 4 3" xfId="43904" xr:uid="{00000000-0005-0000-0000-00007D750000}"/>
    <cellStyle name="40 % - Markeringsfarve4 3 9 5" xfId="21917" xr:uid="{00000000-0005-0000-0000-00007E750000}"/>
    <cellStyle name="40 % - Markeringsfarve4 3 9 6" xfId="36905" xr:uid="{00000000-0005-0000-0000-00007F750000}"/>
    <cellStyle name="40 % - Markeringsfarve4 4" xfId="4065" xr:uid="{00000000-0005-0000-0000-000080750000}"/>
    <cellStyle name="40 % - Markeringsfarve4 4 10" xfId="5954" xr:uid="{00000000-0005-0000-0000-000081750000}"/>
    <cellStyle name="40 % - Markeringsfarve4 4 10 2" xfId="13872" xr:uid="{00000000-0005-0000-0000-000082750000}"/>
    <cellStyle name="40 % - Markeringsfarve4 4 10 2 2" xfId="30186" xr:uid="{00000000-0005-0000-0000-000083750000}"/>
    <cellStyle name="40 % - Markeringsfarve4 4 10 2 3" xfId="45150" xr:uid="{00000000-0005-0000-0000-000084750000}"/>
    <cellStyle name="40 % - Markeringsfarve4 4 10 3" xfId="23164" xr:uid="{00000000-0005-0000-0000-000085750000}"/>
    <cellStyle name="40 % - Markeringsfarve4 4 10 4" xfId="38151" xr:uid="{00000000-0005-0000-0000-000086750000}"/>
    <cellStyle name="40 % - Markeringsfarve4 4 11" xfId="12622" xr:uid="{00000000-0005-0000-0000-000087750000}"/>
    <cellStyle name="40 % - Markeringsfarve4 4 11 2" xfId="28941" xr:uid="{00000000-0005-0000-0000-000088750000}"/>
    <cellStyle name="40 % - Markeringsfarve4 4 11 3" xfId="43906" xr:uid="{00000000-0005-0000-0000-000089750000}"/>
    <cellStyle name="40 % - Markeringsfarve4 4 12" xfId="21919" xr:uid="{00000000-0005-0000-0000-00008A750000}"/>
    <cellStyle name="40 % - Markeringsfarve4 4 13" xfId="36907" xr:uid="{00000000-0005-0000-0000-00008B750000}"/>
    <cellStyle name="40 % - Markeringsfarve4 4 14" xfId="53389" xr:uid="{00000000-0005-0000-0000-00008C750000}"/>
    <cellStyle name="40 % - Markeringsfarve4 4 2" xfId="4066" xr:uid="{00000000-0005-0000-0000-00008D750000}"/>
    <cellStyle name="40 % - Markeringsfarve4 4 2 2" xfId="4067" xr:uid="{00000000-0005-0000-0000-00008E750000}"/>
    <cellStyle name="40 % - Markeringsfarve4 4 2 2 2" xfId="4068" xr:uid="{00000000-0005-0000-0000-00008F750000}"/>
    <cellStyle name="40 % - Markeringsfarve4 4 2 2 2 2" xfId="7654" xr:uid="{00000000-0005-0000-0000-000090750000}"/>
    <cellStyle name="40 % - Markeringsfarve4 4 2 2 2 2 2" xfId="15555" xr:uid="{00000000-0005-0000-0000-000091750000}"/>
    <cellStyle name="40 % - Markeringsfarve4 4 2 2 2 2 2 2" xfId="31869" xr:uid="{00000000-0005-0000-0000-000092750000}"/>
    <cellStyle name="40 % - Markeringsfarve4 4 2 2 2 2 2 3" xfId="46833" xr:uid="{00000000-0005-0000-0000-000093750000}"/>
    <cellStyle name="40 % - Markeringsfarve4 4 2 2 2 2 3" xfId="24847" xr:uid="{00000000-0005-0000-0000-000094750000}"/>
    <cellStyle name="40 % - Markeringsfarve4 4 2 2 2 2 4" xfId="39834" xr:uid="{00000000-0005-0000-0000-000095750000}"/>
    <cellStyle name="40 % - Markeringsfarve4 4 2 2 2 3" xfId="12625" xr:uid="{00000000-0005-0000-0000-000096750000}"/>
    <cellStyle name="40 % - Markeringsfarve4 4 2 2 2 3 2" xfId="28944" xr:uid="{00000000-0005-0000-0000-000097750000}"/>
    <cellStyle name="40 % - Markeringsfarve4 4 2 2 2 3 3" xfId="43909" xr:uid="{00000000-0005-0000-0000-000098750000}"/>
    <cellStyle name="40 % - Markeringsfarve4 4 2 2 2 4" xfId="21922" xr:uid="{00000000-0005-0000-0000-000099750000}"/>
    <cellStyle name="40 % - Markeringsfarve4 4 2 2 2 5" xfId="36910" xr:uid="{00000000-0005-0000-0000-00009A750000}"/>
    <cellStyle name="40 % - Markeringsfarve4 4 2 2 3" xfId="6230" xr:uid="{00000000-0005-0000-0000-00009B750000}"/>
    <cellStyle name="40 % - Markeringsfarve4 4 2 2 3 2" xfId="14147" xr:uid="{00000000-0005-0000-0000-00009C750000}"/>
    <cellStyle name="40 % - Markeringsfarve4 4 2 2 3 2 2" xfId="30461" xr:uid="{00000000-0005-0000-0000-00009D750000}"/>
    <cellStyle name="40 % - Markeringsfarve4 4 2 2 3 2 3" xfId="45425" xr:uid="{00000000-0005-0000-0000-00009E750000}"/>
    <cellStyle name="40 % - Markeringsfarve4 4 2 2 3 3" xfId="23439" xr:uid="{00000000-0005-0000-0000-00009F750000}"/>
    <cellStyle name="40 % - Markeringsfarve4 4 2 2 3 4" xfId="38426" xr:uid="{00000000-0005-0000-0000-0000A0750000}"/>
    <cellStyle name="40 % - Markeringsfarve4 4 2 2 4" xfId="12624" xr:uid="{00000000-0005-0000-0000-0000A1750000}"/>
    <cellStyle name="40 % - Markeringsfarve4 4 2 2 4 2" xfId="28943" xr:uid="{00000000-0005-0000-0000-0000A2750000}"/>
    <cellStyle name="40 % - Markeringsfarve4 4 2 2 4 3" xfId="43908" xr:uid="{00000000-0005-0000-0000-0000A3750000}"/>
    <cellStyle name="40 % - Markeringsfarve4 4 2 2 5" xfId="21921" xr:uid="{00000000-0005-0000-0000-0000A4750000}"/>
    <cellStyle name="40 % - Markeringsfarve4 4 2 2 6" xfId="36909" xr:uid="{00000000-0005-0000-0000-0000A5750000}"/>
    <cellStyle name="40 % - Markeringsfarve4 4 2 2 7" xfId="57193" xr:uid="{00000000-0005-0000-0000-0000A6750000}"/>
    <cellStyle name="40 % - Markeringsfarve4 4 2 3" xfId="4069" xr:uid="{00000000-0005-0000-0000-0000A7750000}"/>
    <cellStyle name="40 % - Markeringsfarve4 4 2 3 2" xfId="6884" xr:uid="{00000000-0005-0000-0000-0000A8750000}"/>
    <cellStyle name="40 % - Markeringsfarve4 4 2 3 2 2" xfId="14795" xr:uid="{00000000-0005-0000-0000-0000A9750000}"/>
    <cellStyle name="40 % - Markeringsfarve4 4 2 3 2 2 2" xfId="31109" xr:uid="{00000000-0005-0000-0000-0000AA750000}"/>
    <cellStyle name="40 % - Markeringsfarve4 4 2 3 2 2 3" xfId="46073" xr:uid="{00000000-0005-0000-0000-0000AB750000}"/>
    <cellStyle name="40 % - Markeringsfarve4 4 2 3 2 3" xfId="24087" xr:uid="{00000000-0005-0000-0000-0000AC750000}"/>
    <cellStyle name="40 % - Markeringsfarve4 4 2 3 2 4" xfId="39074" xr:uid="{00000000-0005-0000-0000-0000AD750000}"/>
    <cellStyle name="40 % - Markeringsfarve4 4 2 3 3" xfId="12626" xr:uid="{00000000-0005-0000-0000-0000AE750000}"/>
    <cellStyle name="40 % - Markeringsfarve4 4 2 3 3 2" xfId="28945" xr:uid="{00000000-0005-0000-0000-0000AF750000}"/>
    <cellStyle name="40 % - Markeringsfarve4 4 2 3 3 3" xfId="43910" xr:uid="{00000000-0005-0000-0000-0000B0750000}"/>
    <cellStyle name="40 % - Markeringsfarve4 4 2 3 4" xfId="21923" xr:uid="{00000000-0005-0000-0000-0000B1750000}"/>
    <cellStyle name="40 % - Markeringsfarve4 4 2 3 5" xfId="36911" xr:uid="{00000000-0005-0000-0000-0000B2750000}"/>
    <cellStyle name="40 % - Markeringsfarve4 4 2 4" xfId="4070" xr:uid="{00000000-0005-0000-0000-0000B3750000}"/>
    <cellStyle name="40 % - Markeringsfarve4 4 2 4 2" xfId="8284" xr:uid="{00000000-0005-0000-0000-0000B4750000}"/>
    <cellStyle name="40 % - Markeringsfarve4 4 2 4 2 2" xfId="16178" xr:uid="{00000000-0005-0000-0000-0000B5750000}"/>
    <cellStyle name="40 % - Markeringsfarve4 4 2 4 2 2 2" xfId="32492" xr:uid="{00000000-0005-0000-0000-0000B6750000}"/>
    <cellStyle name="40 % - Markeringsfarve4 4 2 4 2 2 3" xfId="47456" xr:uid="{00000000-0005-0000-0000-0000B7750000}"/>
    <cellStyle name="40 % - Markeringsfarve4 4 2 4 2 3" xfId="25470" xr:uid="{00000000-0005-0000-0000-0000B8750000}"/>
    <cellStyle name="40 % - Markeringsfarve4 4 2 4 2 4" xfId="40457" xr:uid="{00000000-0005-0000-0000-0000B9750000}"/>
    <cellStyle name="40 % - Markeringsfarve4 4 2 4 3" xfId="12627" xr:uid="{00000000-0005-0000-0000-0000BA750000}"/>
    <cellStyle name="40 % - Markeringsfarve4 4 2 4 3 2" xfId="28946" xr:uid="{00000000-0005-0000-0000-0000BB750000}"/>
    <cellStyle name="40 % - Markeringsfarve4 4 2 4 3 3" xfId="43911" xr:uid="{00000000-0005-0000-0000-0000BC750000}"/>
    <cellStyle name="40 % - Markeringsfarve4 4 2 4 4" xfId="21924" xr:uid="{00000000-0005-0000-0000-0000BD750000}"/>
    <cellStyle name="40 % - Markeringsfarve4 4 2 4 5" xfId="36912" xr:uid="{00000000-0005-0000-0000-0000BE750000}"/>
    <cellStyle name="40 % - Markeringsfarve4 4 2 5" xfId="5955" xr:uid="{00000000-0005-0000-0000-0000BF750000}"/>
    <cellStyle name="40 % - Markeringsfarve4 4 2 5 2" xfId="13873" xr:uid="{00000000-0005-0000-0000-0000C0750000}"/>
    <cellStyle name="40 % - Markeringsfarve4 4 2 5 2 2" xfId="30187" xr:uid="{00000000-0005-0000-0000-0000C1750000}"/>
    <cellStyle name="40 % - Markeringsfarve4 4 2 5 2 3" xfId="45151" xr:uid="{00000000-0005-0000-0000-0000C2750000}"/>
    <cellStyle name="40 % - Markeringsfarve4 4 2 5 3" xfId="23165" xr:uid="{00000000-0005-0000-0000-0000C3750000}"/>
    <cellStyle name="40 % - Markeringsfarve4 4 2 5 4" xfId="38152" xr:uid="{00000000-0005-0000-0000-0000C4750000}"/>
    <cellStyle name="40 % - Markeringsfarve4 4 2 6" xfId="12623" xr:uid="{00000000-0005-0000-0000-0000C5750000}"/>
    <cellStyle name="40 % - Markeringsfarve4 4 2 6 2" xfId="28942" xr:uid="{00000000-0005-0000-0000-0000C6750000}"/>
    <cellStyle name="40 % - Markeringsfarve4 4 2 6 3" xfId="43907" xr:uid="{00000000-0005-0000-0000-0000C7750000}"/>
    <cellStyle name="40 % - Markeringsfarve4 4 2 7" xfId="21920" xr:uid="{00000000-0005-0000-0000-0000C8750000}"/>
    <cellStyle name="40 % - Markeringsfarve4 4 2 8" xfId="36908" xr:uid="{00000000-0005-0000-0000-0000C9750000}"/>
    <cellStyle name="40 % - Markeringsfarve4 4 2 9" xfId="54026" xr:uid="{00000000-0005-0000-0000-0000CA750000}"/>
    <cellStyle name="40 % - Markeringsfarve4 4 3" xfId="4071" xr:uid="{00000000-0005-0000-0000-0000CB750000}"/>
    <cellStyle name="40 % - Markeringsfarve4 4 3 2" xfId="4072" xr:uid="{00000000-0005-0000-0000-0000CC750000}"/>
    <cellStyle name="40 % - Markeringsfarve4 4 3 2 2" xfId="4073" xr:uid="{00000000-0005-0000-0000-0000CD750000}"/>
    <cellStyle name="40 % - Markeringsfarve4 4 3 2 2 2" xfId="7814" xr:uid="{00000000-0005-0000-0000-0000CE750000}"/>
    <cellStyle name="40 % - Markeringsfarve4 4 3 2 2 2 2" xfId="15715" xr:uid="{00000000-0005-0000-0000-0000CF750000}"/>
    <cellStyle name="40 % - Markeringsfarve4 4 3 2 2 2 2 2" xfId="32029" xr:uid="{00000000-0005-0000-0000-0000D0750000}"/>
    <cellStyle name="40 % - Markeringsfarve4 4 3 2 2 2 2 3" xfId="46993" xr:uid="{00000000-0005-0000-0000-0000D1750000}"/>
    <cellStyle name="40 % - Markeringsfarve4 4 3 2 2 2 3" xfId="25007" xr:uid="{00000000-0005-0000-0000-0000D2750000}"/>
    <cellStyle name="40 % - Markeringsfarve4 4 3 2 2 2 4" xfId="39994" xr:uid="{00000000-0005-0000-0000-0000D3750000}"/>
    <cellStyle name="40 % - Markeringsfarve4 4 3 2 2 3" xfId="12630" xr:uid="{00000000-0005-0000-0000-0000D4750000}"/>
    <cellStyle name="40 % - Markeringsfarve4 4 3 2 2 3 2" xfId="28949" xr:uid="{00000000-0005-0000-0000-0000D5750000}"/>
    <cellStyle name="40 % - Markeringsfarve4 4 3 2 2 3 3" xfId="43914" xr:uid="{00000000-0005-0000-0000-0000D6750000}"/>
    <cellStyle name="40 % - Markeringsfarve4 4 3 2 2 4" xfId="21927" xr:uid="{00000000-0005-0000-0000-0000D7750000}"/>
    <cellStyle name="40 % - Markeringsfarve4 4 3 2 2 5" xfId="36915" xr:uid="{00000000-0005-0000-0000-0000D8750000}"/>
    <cellStyle name="40 % - Markeringsfarve4 4 3 2 3" xfId="6360" xr:uid="{00000000-0005-0000-0000-0000D9750000}"/>
    <cellStyle name="40 % - Markeringsfarve4 4 3 2 3 2" xfId="14277" xr:uid="{00000000-0005-0000-0000-0000DA750000}"/>
    <cellStyle name="40 % - Markeringsfarve4 4 3 2 3 2 2" xfId="30591" xr:uid="{00000000-0005-0000-0000-0000DB750000}"/>
    <cellStyle name="40 % - Markeringsfarve4 4 3 2 3 2 3" xfId="45555" xr:uid="{00000000-0005-0000-0000-0000DC750000}"/>
    <cellStyle name="40 % - Markeringsfarve4 4 3 2 3 3" xfId="23569" xr:uid="{00000000-0005-0000-0000-0000DD750000}"/>
    <cellStyle name="40 % - Markeringsfarve4 4 3 2 3 4" xfId="38556" xr:uid="{00000000-0005-0000-0000-0000DE750000}"/>
    <cellStyle name="40 % - Markeringsfarve4 4 3 2 4" xfId="12629" xr:uid="{00000000-0005-0000-0000-0000DF750000}"/>
    <cellStyle name="40 % - Markeringsfarve4 4 3 2 4 2" xfId="28948" xr:uid="{00000000-0005-0000-0000-0000E0750000}"/>
    <cellStyle name="40 % - Markeringsfarve4 4 3 2 4 3" xfId="43913" xr:uid="{00000000-0005-0000-0000-0000E1750000}"/>
    <cellStyle name="40 % - Markeringsfarve4 4 3 2 5" xfId="21926" xr:uid="{00000000-0005-0000-0000-0000E2750000}"/>
    <cellStyle name="40 % - Markeringsfarve4 4 3 2 6" xfId="36914" xr:uid="{00000000-0005-0000-0000-0000E3750000}"/>
    <cellStyle name="40 % - Markeringsfarve4 4 3 3" xfId="4074" xr:uid="{00000000-0005-0000-0000-0000E4750000}"/>
    <cellStyle name="40 % - Markeringsfarve4 4 3 3 2" xfId="7044" xr:uid="{00000000-0005-0000-0000-0000E5750000}"/>
    <cellStyle name="40 % - Markeringsfarve4 4 3 3 2 2" xfId="14955" xr:uid="{00000000-0005-0000-0000-0000E6750000}"/>
    <cellStyle name="40 % - Markeringsfarve4 4 3 3 2 2 2" xfId="31269" xr:uid="{00000000-0005-0000-0000-0000E7750000}"/>
    <cellStyle name="40 % - Markeringsfarve4 4 3 3 2 2 3" xfId="46233" xr:uid="{00000000-0005-0000-0000-0000E8750000}"/>
    <cellStyle name="40 % - Markeringsfarve4 4 3 3 2 3" xfId="24247" xr:uid="{00000000-0005-0000-0000-0000E9750000}"/>
    <cellStyle name="40 % - Markeringsfarve4 4 3 3 2 4" xfId="39234" xr:uid="{00000000-0005-0000-0000-0000EA750000}"/>
    <cellStyle name="40 % - Markeringsfarve4 4 3 3 3" xfId="12631" xr:uid="{00000000-0005-0000-0000-0000EB750000}"/>
    <cellStyle name="40 % - Markeringsfarve4 4 3 3 3 2" xfId="28950" xr:uid="{00000000-0005-0000-0000-0000EC750000}"/>
    <cellStyle name="40 % - Markeringsfarve4 4 3 3 3 3" xfId="43915" xr:uid="{00000000-0005-0000-0000-0000ED750000}"/>
    <cellStyle name="40 % - Markeringsfarve4 4 3 3 4" xfId="21928" xr:uid="{00000000-0005-0000-0000-0000EE750000}"/>
    <cellStyle name="40 % - Markeringsfarve4 4 3 3 5" xfId="36916" xr:uid="{00000000-0005-0000-0000-0000EF750000}"/>
    <cellStyle name="40 % - Markeringsfarve4 4 3 4" xfId="4075" xr:uid="{00000000-0005-0000-0000-0000F0750000}"/>
    <cellStyle name="40 % - Markeringsfarve4 4 3 4 2" xfId="8607" xr:uid="{00000000-0005-0000-0000-0000F1750000}"/>
    <cellStyle name="40 % - Markeringsfarve4 4 3 4 2 2" xfId="16493" xr:uid="{00000000-0005-0000-0000-0000F2750000}"/>
    <cellStyle name="40 % - Markeringsfarve4 4 3 4 2 2 2" xfId="32807" xr:uid="{00000000-0005-0000-0000-0000F3750000}"/>
    <cellStyle name="40 % - Markeringsfarve4 4 3 4 2 2 3" xfId="47771" xr:uid="{00000000-0005-0000-0000-0000F4750000}"/>
    <cellStyle name="40 % - Markeringsfarve4 4 3 4 2 3" xfId="25785" xr:uid="{00000000-0005-0000-0000-0000F5750000}"/>
    <cellStyle name="40 % - Markeringsfarve4 4 3 4 2 4" xfId="40772" xr:uid="{00000000-0005-0000-0000-0000F6750000}"/>
    <cellStyle name="40 % - Markeringsfarve4 4 3 4 3" xfId="12632" xr:uid="{00000000-0005-0000-0000-0000F7750000}"/>
    <cellStyle name="40 % - Markeringsfarve4 4 3 4 3 2" xfId="28951" xr:uid="{00000000-0005-0000-0000-0000F8750000}"/>
    <cellStyle name="40 % - Markeringsfarve4 4 3 4 3 3" xfId="43916" xr:uid="{00000000-0005-0000-0000-0000F9750000}"/>
    <cellStyle name="40 % - Markeringsfarve4 4 3 4 4" xfId="21929" xr:uid="{00000000-0005-0000-0000-0000FA750000}"/>
    <cellStyle name="40 % - Markeringsfarve4 4 3 4 5" xfId="36917" xr:uid="{00000000-0005-0000-0000-0000FB750000}"/>
    <cellStyle name="40 % - Markeringsfarve4 4 3 5" xfId="5956" xr:uid="{00000000-0005-0000-0000-0000FC750000}"/>
    <cellStyle name="40 % - Markeringsfarve4 4 3 5 2" xfId="13874" xr:uid="{00000000-0005-0000-0000-0000FD750000}"/>
    <cellStyle name="40 % - Markeringsfarve4 4 3 5 2 2" xfId="30188" xr:uid="{00000000-0005-0000-0000-0000FE750000}"/>
    <cellStyle name="40 % - Markeringsfarve4 4 3 5 2 3" xfId="45152" xr:uid="{00000000-0005-0000-0000-0000FF750000}"/>
    <cellStyle name="40 % - Markeringsfarve4 4 3 5 3" xfId="23166" xr:uid="{00000000-0005-0000-0000-000000760000}"/>
    <cellStyle name="40 % - Markeringsfarve4 4 3 5 4" xfId="38153" xr:uid="{00000000-0005-0000-0000-000001760000}"/>
    <cellStyle name="40 % - Markeringsfarve4 4 3 6" xfId="12628" xr:uid="{00000000-0005-0000-0000-000002760000}"/>
    <cellStyle name="40 % - Markeringsfarve4 4 3 6 2" xfId="28947" xr:uid="{00000000-0005-0000-0000-000003760000}"/>
    <cellStyle name="40 % - Markeringsfarve4 4 3 6 3" xfId="43912" xr:uid="{00000000-0005-0000-0000-000004760000}"/>
    <cellStyle name="40 % - Markeringsfarve4 4 3 7" xfId="21925" xr:uid="{00000000-0005-0000-0000-000005760000}"/>
    <cellStyle name="40 % - Markeringsfarve4 4 3 8" xfId="36913" xr:uid="{00000000-0005-0000-0000-000006760000}"/>
    <cellStyle name="40 % - Markeringsfarve4 4 3 9" xfId="56570" xr:uid="{00000000-0005-0000-0000-000007760000}"/>
    <cellStyle name="40 % - Markeringsfarve4 4 4" xfId="4076" xr:uid="{00000000-0005-0000-0000-000008760000}"/>
    <cellStyle name="40 % - Markeringsfarve4 4 4 2" xfId="4077" xr:uid="{00000000-0005-0000-0000-000009760000}"/>
    <cellStyle name="40 % - Markeringsfarve4 4 4 2 2" xfId="4078" xr:uid="{00000000-0005-0000-0000-00000A760000}"/>
    <cellStyle name="40 % - Markeringsfarve4 4 4 2 2 2" xfId="7892" xr:uid="{00000000-0005-0000-0000-00000B760000}"/>
    <cellStyle name="40 % - Markeringsfarve4 4 4 2 2 2 2" xfId="15793" xr:uid="{00000000-0005-0000-0000-00000C760000}"/>
    <cellStyle name="40 % - Markeringsfarve4 4 4 2 2 2 2 2" xfId="32107" xr:uid="{00000000-0005-0000-0000-00000D760000}"/>
    <cellStyle name="40 % - Markeringsfarve4 4 4 2 2 2 2 3" xfId="47071" xr:uid="{00000000-0005-0000-0000-00000E760000}"/>
    <cellStyle name="40 % - Markeringsfarve4 4 4 2 2 2 3" xfId="25085" xr:uid="{00000000-0005-0000-0000-00000F760000}"/>
    <cellStyle name="40 % - Markeringsfarve4 4 4 2 2 2 4" xfId="40072" xr:uid="{00000000-0005-0000-0000-000010760000}"/>
    <cellStyle name="40 % - Markeringsfarve4 4 4 2 2 3" xfId="12635" xr:uid="{00000000-0005-0000-0000-000011760000}"/>
    <cellStyle name="40 % - Markeringsfarve4 4 4 2 2 3 2" xfId="28954" xr:uid="{00000000-0005-0000-0000-000012760000}"/>
    <cellStyle name="40 % - Markeringsfarve4 4 4 2 2 3 3" xfId="43919" xr:uid="{00000000-0005-0000-0000-000013760000}"/>
    <cellStyle name="40 % - Markeringsfarve4 4 4 2 2 4" xfId="21932" xr:uid="{00000000-0005-0000-0000-000014760000}"/>
    <cellStyle name="40 % - Markeringsfarve4 4 4 2 2 5" xfId="36920" xr:uid="{00000000-0005-0000-0000-000015760000}"/>
    <cellStyle name="40 % - Markeringsfarve4 4 4 2 3" xfId="6432" xr:uid="{00000000-0005-0000-0000-000016760000}"/>
    <cellStyle name="40 % - Markeringsfarve4 4 4 2 3 2" xfId="14346" xr:uid="{00000000-0005-0000-0000-000017760000}"/>
    <cellStyle name="40 % - Markeringsfarve4 4 4 2 3 2 2" xfId="30660" xr:uid="{00000000-0005-0000-0000-000018760000}"/>
    <cellStyle name="40 % - Markeringsfarve4 4 4 2 3 2 3" xfId="45624" xr:uid="{00000000-0005-0000-0000-000019760000}"/>
    <cellStyle name="40 % - Markeringsfarve4 4 4 2 3 3" xfId="23638" xr:uid="{00000000-0005-0000-0000-00001A760000}"/>
    <cellStyle name="40 % - Markeringsfarve4 4 4 2 3 4" xfId="38625" xr:uid="{00000000-0005-0000-0000-00001B760000}"/>
    <cellStyle name="40 % - Markeringsfarve4 4 4 2 4" xfId="12634" xr:uid="{00000000-0005-0000-0000-00001C760000}"/>
    <cellStyle name="40 % - Markeringsfarve4 4 4 2 4 2" xfId="28953" xr:uid="{00000000-0005-0000-0000-00001D760000}"/>
    <cellStyle name="40 % - Markeringsfarve4 4 4 2 4 3" xfId="43918" xr:uid="{00000000-0005-0000-0000-00001E760000}"/>
    <cellStyle name="40 % - Markeringsfarve4 4 4 2 5" xfId="21931" xr:uid="{00000000-0005-0000-0000-00001F760000}"/>
    <cellStyle name="40 % - Markeringsfarve4 4 4 2 6" xfId="36919" xr:uid="{00000000-0005-0000-0000-000020760000}"/>
    <cellStyle name="40 % - Markeringsfarve4 4 4 3" xfId="4079" xr:uid="{00000000-0005-0000-0000-000021760000}"/>
    <cellStyle name="40 % - Markeringsfarve4 4 4 3 2" xfId="7168" xr:uid="{00000000-0005-0000-0000-000022760000}"/>
    <cellStyle name="40 % - Markeringsfarve4 4 4 3 2 2" xfId="15078" xr:uid="{00000000-0005-0000-0000-000023760000}"/>
    <cellStyle name="40 % - Markeringsfarve4 4 4 3 2 2 2" xfId="31392" xr:uid="{00000000-0005-0000-0000-000024760000}"/>
    <cellStyle name="40 % - Markeringsfarve4 4 4 3 2 2 3" xfId="46356" xr:uid="{00000000-0005-0000-0000-000025760000}"/>
    <cellStyle name="40 % - Markeringsfarve4 4 4 3 2 3" xfId="24370" xr:uid="{00000000-0005-0000-0000-000026760000}"/>
    <cellStyle name="40 % - Markeringsfarve4 4 4 3 2 4" xfId="39357" xr:uid="{00000000-0005-0000-0000-000027760000}"/>
    <cellStyle name="40 % - Markeringsfarve4 4 4 3 3" xfId="12636" xr:uid="{00000000-0005-0000-0000-000028760000}"/>
    <cellStyle name="40 % - Markeringsfarve4 4 4 3 3 2" xfId="28955" xr:uid="{00000000-0005-0000-0000-000029760000}"/>
    <cellStyle name="40 % - Markeringsfarve4 4 4 3 3 3" xfId="43920" xr:uid="{00000000-0005-0000-0000-00002A760000}"/>
    <cellStyle name="40 % - Markeringsfarve4 4 4 3 4" xfId="21933" xr:uid="{00000000-0005-0000-0000-00002B760000}"/>
    <cellStyle name="40 % - Markeringsfarve4 4 4 3 5" xfId="36921" xr:uid="{00000000-0005-0000-0000-00002C760000}"/>
    <cellStyle name="40 % - Markeringsfarve4 4 4 4" xfId="4080" xr:uid="{00000000-0005-0000-0000-00002D760000}"/>
    <cellStyle name="40 % - Markeringsfarve4 4 4 4 2" xfId="8258" xr:uid="{00000000-0005-0000-0000-00002E760000}"/>
    <cellStyle name="40 % - Markeringsfarve4 4 4 4 2 2" xfId="16154" xr:uid="{00000000-0005-0000-0000-00002F760000}"/>
    <cellStyle name="40 % - Markeringsfarve4 4 4 4 2 2 2" xfId="32468" xr:uid="{00000000-0005-0000-0000-000030760000}"/>
    <cellStyle name="40 % - Markeringsfarve4 4 4 4 2 2 3" xfId="47432" xr:uid="{00000000-0005-0000-0000-000031760000}"/>
    <cellStyle name="40 % - Markeringsfarve4 4 4 4 2 3" xfId="25446" xr:uid="{00000000-0005-0000-0000-000032760000}"/>
    <cellStyle name="40 % - Markeringsfarve4 4 4 4 2 4" xfId="40433" xr:uid="{00000000-0005-0000-0000-000033760000}"/>
    <cellStyle name="40 % - Markeringsfarve4 4 4 4 3" xfId="12637" xr:uid="{00000000-0005-0000-0000-000034760000}"/>
    <cellStyle name="40 % - Markeringsfarve4 4 4 4 3 2" xfId="28956" xr:uid="{00000000-0005-0000-0000-000035760000}"/>
    <cellStyle name="40 % - Markeringsfarve4 4 4 4 3 3" xfId="43921" xr:uid="{00000000-0005-0000-0000-000036760000}"/>
    <cellStyle name="40 % - Markeringsfarve4 4 4 4 4" xfId="21934" xr:uid="{00000000-0005-0000-0000-000037760000}"/>
    <cellStyle name="40 % - Markeringsfarve4 4 4 4 5" xfId="36922" xr:uid="{00000000-0005-0000-0000-000038760000}"/>
    <cellStyle name="40 % - Markeringsfarve4 4 4 5" xfId="5957" xr:uid="{00000000-0005-0000-0000-000039760000}"/>
    <cellStyle name="40 % - Markeringsfarve4 4 4 5 2" xfId="13875" xr:uid="{00000000-0005-0000-0000-00003A760000}"/>
    <cellStyle name="40 % - Markeringsfarve4 4 4 5 2 2" xfId="30189" xr:uid="{00000000-0005-0000-0000-00003B760000}"/>
    <cellStyle name="40 % - Markeringsfarve4 4 4 5 2 3" xfId="45153" xr:uid="{00000000-0005-0000-0000-00003C760000}"/>
    <cellStyle name="40 % - Markeringsfarve4 4 4 5 3" xfId="23167" xr:uid="{00000000-0005-0000-0000-00003D760000}"/>
    <cellStyle name="40 % - Markeringsfarve4 4 4 5 4" xfId="38154" xr:uid="{00000000-0005-0000-0000-00003E760000}"/>
    <cellStyle name="40 % - Markeringsfarve4 4 4 6" xfId="12633" xr:uid="{00000000-0005-0000-0000-00003F760000}"/>
    <cellStyle name="40 % - Markeringsfarve4 4 4 6 2" xfId="28952" xr:uid="{00000000-0005-0000-0000-000040760000}"/>
    <cellStyle name="40 % - Markeringsfarve4 4 4 6 3" xfId="43917" xr:uid="{00000000-0005-0000-0000-000041760000}"/>
    <cellStyle name="40 % - Markeringsfarve4 4 4 7" xfId="21930" xr:uid="{00000000-0005-0000-0000-000042760000}"/>
    <cellStyle name="40 % - Markeringsfarve4 4 4 8" xfId="36918" xr:uid="{00000000-0005-0000-0000-000043760000}"/>
    <cellStyle name="40 % - Markeringsfarve4 4 5" xfId="4081" xr:uid="{00000000-0005-0000-0000-000044760000}"/>
    <cellStyle name="40 % - Markeringsfarve4 4 5 2" xfId="4082" xr:uid="{00000000-0005-0000-0000-000045760000}"/>
    <cellStyle name="40 % - Markeringsfarve4 4 5 2 2" xfId="4083" xr:uid="{00000000-0005-0000-0000-000046760000}"/>
    <cellStyle name="40 % - Markeringsfarve4 4 5 2 2 2" xfId="8009" xr:uid="{00000000-0005-0000-0000-000047760000}"/>
    <cellStyle name="40 % - Markeringsfarve4 4 5 2 2 2 2" xfId="15910" xr:uid="{00000000-0005-0000-0000-000048760000}"/>
    <cellStyle name="40 % - Markeringsfarve4 4 5 2 2 2 2 2" xfId="32224" xr:uid="{00000000-0005-0000-0000-000049760000}"/>
    <cellStyle name="40 % - Markeringsfarve4 4 5 2 2 2 2 3" xfId="47188" xr:uid="{00000000-0005-0000-0000-00004A760000}"/>
    <cellStyle name="40 % - Markeringsfarve4 4 5 2 2 2 3" xfId="25202" xr:uid="{00000000-0005-0000-0000-00004B760000}"/>
    <cellStyle name="40 % - Markeringsfarve4 4 5 2 2 2 4" xfId="40189" xr:uid="{00000000-0005-0000-0000-00004C760000}"/>
    <cellStyle name="40 % - Markeringsfarve4 4 5 2 2 3" xfId="12640" xr:uid="{00000000-0005-0000-0000-00004D760000}"/>
    <cellStyle name="40 % - Markeringsfarve4 4 5 2 2 3 2" xfId="28959" xr:uid="{00000000-0005-0000-0000-00004E760000}"/>
    <cellStyle name="40 % - Markeringsfarve4 4 5 2 2 3 3" xfId="43924" xr:uid="{00000000-0005-0000-0000-00004F760000}"/>
    <cellStyle name="40 % - Markeringsfarve4 4 5 2 2 4" xfId="21937" xr:uid="{00000000-0005-0000-0000-000050760000}"/>
    <cellStyle name="40 % - Markeringsfarve4 4 5 2 2 5" xfId="36925" xr:uid="{00000000-0005-0000-0000-000051760000}"/>
    <cellStyle name="40 % - Markeringsfarve4 4 5 2 3" xfId="6531" xr:uid="{00000000-0005-0000-0000-000052760000}"/>
    <cellStyle name="40 % - Markeringsfarve4 4 5 2 3 2" xfId="14445" xr:uid="{00000000-0005-0000-0000-000053760000}"/>
    <cellStyle name="40 % - Markeringsfarve4 4 5 2 3 2 2" xfId="30759" xr:uid="{00000000-0005-0000-0000-000054760000}"/>
    <cellStyle name="40 % - Markeringsfarve4 4 5 2 3 2 3" xfId="45723" xr:uid="{00000000-0005-0000-0000-000055760000}"/>
    <cellStyle name="40 % - Markeringsfarve4 4 5 2 3 3" xfId="23737" xr:uid="{00000000-0005-0000-0000-000056760000}"/>
    <cellStyle name="40 % - Markeringsfarve4 4 5 2 3 4" xfId="38724" xr:uid="{00000000-0005-0000-0000-000057760000}"/>
    <cellStyle name="40 % - Markeringsfarve4 4 5 2 4" xfId="12639" xr:uid="{00000000-0005-0000-0000-000058760000}"/>
    <cellStyle name="40 % - Markeringsfarve4 4 5 2 4 2" xfId="28958" xr:uid="{00000000-0005-0000-0000-000059760000}"/>
    <cellStyle name="40 % - Markeringsfarve4 4 5 2 4 3" xfId="43923" xr:uid="{00000000-0005-0000-0000-00005A760000}"/>
    <cellStyle name="40 % - Markeringsfarve4 4 5 2 5" xfId="21936" xr:uid="{00000000-0005-0000-0000-00005B760000}"/>
    <cellStyle name="40 % - Markeringsfarve4 4 5 2 6" xfId="36924" xr:uid="{00000000-0005-0000-0000-00005C760000}"/>
    <cellStyle name="40 % - Markeringsfarve4 4 5 3" xfId="4084" xr:uid="{00000000-0005-0000-0000-00005D760000}"/>
    <cellStyle name="40 % - Markeringsfarve4 4 5 3 2" xfId="7285" xr:uid="{00000000-0005-0000-0000-00005E760000}"/>
    <cellStyle name="40 % - Markeringsfarve4 4 5 3 2 2" xfId="15195" xr:uid="{00000000-0005-0000-0000-00005F760000}"/>
    <cellStyle name="40 % - Markeringsfarve4 4 5 3 2 2 2" xfId="31509" xr:uid="{00000000-0005-0000-0000-000060760000}"/>
    <cellStyle name="40 % - Markeringsfarve4 4 5 3 2 2 3" xfId="46473" xr:uid="{00000000-0005-0000-0000-000061760000}"/>
    <cellStyle name="40 % - Markeringsfarve4 4 5 3 2 3" xfId="24487" xr:uid="{00000000-0005-0000-0000-000062760000}"/>
    <cellStyle name="40 % - Markeringsfarve4 4 5 3 2 4" xfId="39474" xr:uid="{00000000-0005-0000-0000-000063760000}"/>
    <cellStyle name="40 % - Markeringsfarve4 4 5 3 3" xfId="12641" xr:uid="{00000000-0005-0000-0000-000064760000}"/>
    <cellStyle name="40 % - Markeringsfarve4 4 5 3 3 2" xfId="28960" xr:uid="{00000000-0005-0000-0000-000065760000}"/>
    <cellStyle name="40 % - Markeringsfarve4 4 5 3 3 3" xfId="43925" xr:uid="{00000000-0005-0000-0000-000066760000}"/>
    <cellStyle name="40 % - Markeringsfarve4 4 5 3 4" xfId="21938" xr:uid="{00000000-0005-0000-0000-000067760000}"/>
    <cellStyle name="40 % - Markeringsfarve4 4 5 3 5" xfId="36926" xr:uid="{00000000-0005-0000-0000-000068760000}"/>
    <cellStyle name="40 % - Markeringsfarve4 4 5 4" xfId="4085" xr:uid="{00000000-0005-0000-0000-000069760000}"/>
    <cellStyle name="40 % - Markeringsfarve4 4 5 4 2" xfId="8211" xr:uid="{00000000-0005-0000-0000-00006A760000}"/>
    <cellStyle name="40 % - Markeringsfarve4 4 5 4 2 2" xfId="16108" xr:uid="{00000000-0005-0000-0000-00006B760000}"/>
    <cellStyle name="40 % - Markeringsfarve4 4 5 4 2 2 2" xfId="32422" xr:uid="{00000000-0005-0000-0000-00006C760000}"/>
    <cellStyle name="40 % - Markeringsfarve4 4 5 4 2 2 3" xfId="47386" xr:uid="{00000000-0005-0000-0000-00006D760000}"/>
    <cellStyle name="40 % - Markeringsfarve4 4 5 4 2 3" xfId="25400" xr:uid="{00000000-0005-0000-0000-00006E760000}"/>
    <cellStyle name="40 % - Markeringsfarve4 4 5 4 2 4" xfId="40387" xr:uid="{00000000-0005-0000-0000-00006F760000}"/>
    <cellStyle name="40 % - Markeringsfarve4 4 5 4 3" xfId="12642" xr:uid="{00000000-0005-0000-0000-000070760000}"/>
    <cellStyle name="40 % - Markeringsfarve4 4 5 4 3 2" xfId="28961" xr:uid="{00000000-0005-0000-0000-000071760000}"/>
    <cellStyle name="40 % - Markeringsfarve4 4 5 4 3 3" xfId="43926" xr:uid="{00000000-0005-0000-0000-000072760000}"/>
    <cellStyle name="40 % - Markeringsfarve4 4 5 4 4" xfId="21939" xr:uid="{00000000-0005-0000-0000-000073760000}"/>
    <cellStyle name="40 % - Markeringsfarve4 4 5 4 5" xfId="36927" xr:uid="{00000000-0005-0000-0000-000074760000}"/>
    <cellStyle name="40 % - Markeringsfarve4 4 5 5" xfId="5958" xr:uid="{00000000-0005-0000-0000-000075760000}"/>
    <cellStyle name="40 % - Markeringsfarve4 4 5 5 2" xfId="13876" xr:uid="{00000000-0005-0000-0000-000076760000}"/>
    <cellStyle name="40 % - Markeringsfarve4 4 5 5 2 2" xfId="30190" xr:uid="{00000000-0005-0000-0000-000077760000}"/>
    <cellStyle name="40 % - Markeringsfarve4 4 5 5 2 3" xfId="45154" xr:uid="{00000000-0005-0000-0000-000078760000}"/>
    <cellStyle name="40 % - Markeringsfarve4 4 5 5 3" xfId="23168" xr:uid="{00000000-0005-0000-0000-000079760000}"/>
    <cellStyle name="40 % - Markeringsfarve4 4 5 5 4" xfId="38155" xr:uid="{00000000-0005-0000-0000-00007A760000}"/>
    <cellStyle name="40 % - Markeringsfarve4 4 5 6" xfId="12638" xr:uid="{00000000-0005-0000-0000-00007B760000}"/>
    <cellStyle name="40 % - Markeringsfarve4 4 5 6 2" xfId="28957" xr:uid="{00000000-0005-0000-0000-00007C760000}"/>
    <cellStyle name="40 % - Markeringsfarve4 4 5 6 3" xfId="43922" xr:uid="{00000000-0005-0000-0000-00007D760000}"/>
    <cellStyle name="40 % - Markeringsfarve4 4 5 7" xfId="21935" xr:uid="{00000000-0005-0000-0000-00007E760000}"/>
    <cellStyle name="40 % - Markeringsfarve4 4 5 8" xfId="36923" xr:uid="{00000000-0005-0000-0000-00007F760000}"/>
    <cellStyle name="40 % - Markeringsfarve4 4 6" xfId="4086" xr:uid="{00000000-0005-0000-0000-000080760000}"/>
    <cellStyle name="40 % - Markeringsfarve4 4 6 2" xfId="4087" xr:uid="{00000000-0005-0000-0000-000081760000}"/>
    <cellStyle name="40 % - Markeringsfarve4 4 6 2 2" xfId="4088" xr:uid="{00000000-0005-0000-0000-000082760000}"/>
    <cellStyle name="40 % - Markeringsfarve4 4 6 2 2 2" xfId="8168" xr:uid="{00000000-0005-0000-0000-000083760000}"/>
    <cellStyle name="40 % - Markeringsfarve4 4 6 2 2 2 2" xfId="16069" xr:uid="{00000000-0005-0000-0000-000084760000}"/>
    <cellStyle name="40 % - Markeringsfarve4 4 6 2 2 2 2 2" xfId="32383" xr:uid="{00000000-0005-0000-0000-000085760000}"/>
    <cellStyle name="40 % - Markeringsfarve4 4 6 2 2 2 2 3" xfId="47347" xr:uid="{00000000-0005-0000-0000-000086760000}"/>
    <cellStyle name="40 % - Markeringsfarve4 4 6 2 2 2 3" xfId="25361" xr:uid="{00000000-0005-0000-0000-000087760000}"/>
    <cellStyle name="40 % - Markeringsfarve4 4 6 2 2 2 4" xfId="40348" xr:uid="{00000000-0005-0000-0000-000088760000}"/>
    <cellStyle name="40 % - Markeringsfarve4 4 6 2 2 3" xfId="12645" xr:uid="{00000000-0005-0000-0000-000089760000}"/>
    <cellStyle name="40 % - Markeringsfarve4 4 6 2 2 3 2" xfId="28964" xr:uid="{00000000-0005-0000-0000-00008A760000}"/>
    <cellStyle name="40 % - Markeringsfarve4 4 6 2 2 3 3" xfId="43929" xr:uid="{00000000-0005-0000-0000-00008B760000}"/>
    <cellStyle name="40 % - Markeringsfarve4 4 6 2 2 4" xfId="21942" xr:uid="{00000000-0005-0000-0000-00008C760000}"/>
    <cellStyle name="40 % - Markeringsfarve4 4 6 2 2 5" xfId="36930" xr:uid="{00000000-0005-0000-0000-00008D760000}"/>
    <cellStyle name="40 % - Markeringsfarve4 4 6 2 3" xfId="6661" xr:uid="{00000000-0005-0000-0000-00008E760000}"/>
    <cellStyle name="40 % - Markeringsfarve4 4 6 2 3 2" xfId="14575" xr:uid="{00000000-0005-0000-0000-00008F760000}"/>
    <cellStyle name="40 % - Markeringsfarve4 4 6 2 3 2 2" xfId="30889" xr:uid="{00000000-0005-0000-0000-000090760000}"/>
    <cellStyle name="40 % - Markeringsfarve4 4 6 2 3 2 3" xfId="45853" xr:uid="{00000000-0005-0000-0000-000091760000}"/>
    <cellStyle name="40 % - Markeringsfarve4 4 6 2 3 3" xfId="23867" xr:uid="{00000000-0005-0000-0000-000092760000}"/>
    <cellStyle name="40 % - Markeringsfarve4 4 6 2 3 4" xfId="38854" xr:uid="{00000000-0005-0000-0000-000093760000}"/>
    <cellStyle name="40 % - Markeringsfarve4 4 6 2 4" xfId="12644" xr:uid="{00000000-0005-0000-0000-000094760000}"/>
    <cellStyle name="40 % - Markeringsfarve4 4 6 2 4 2" xfId="28963" xr:uid="{00000000-0005-0000-0000-000095760000}"/>
    <cellStyle name="40 % - Markeringsfarve4 4 6 2 4 3" xfId="43928" xr:uid="{00000000-0005-0000-0000-000096760000}"/>
    <cellStyle name="40 % - Markeringsfarve4 4 6 2 5" xfId="21941" xr:uid="{00000000-0005-0000-0000-000097760000}"/>
    <cellStyle name="40 % - Markeringsfarve4 4 6 2 6" xfId="36929" xr:uid="{00000000-0005-0000-0000-000098760000}"/>
    <cellStyle name="40 % - Markeringsfarve4 4 6 3" xfId="4089" xr:uid="{00000000-0005-0000-0000-000099760000}"/>
    <cellStyle name="40 % - Markeringsfarve4 4 6 3 2" xfId="7445" xr:uid="{00000000-0005-0000-0000-00009A760000}"/>
    <cellStyle name="40 % - Markeringsfarve4 4 6 3 2 2" xfId="15355" xr:uid="{00000000-0005-0000-0000-00009B760000}"/>
    <cellStyle name="40 % - Markeringsfarve4 4 6 3 2 2 2" xfId="31669" xr:uid="{00000000-0005-0000-0000-00009C760000}"/>
    <cellStyle name="40 % - Markeringsfarve4 4 6 3 2 2 3" xfId="46633" xr:uid="{00000000-0005-0000-0000-00009D760000}"/>
    <cellStyle name="40 % - Markeringsfarve4 4 6 3 2 3" xfId="24647" xr:uid="{00000000-0005-0000-0000-00009E760000}"/>
    <cellStyle name="40 % - Markeringsfarve4 4 6 3 2 4" xfId="39634" xr:uid="{00000000-0005-0000-0000-00009F760000}"/>
    <cellStyle name="40 % - Markeringsfarve4 4 6 3 3" xfId="12646" xr:uid="{00000000-0005-0000-0000-0000A0760000}"/>
    <cellStyle name="40 % - Markeringsfarve4 4 6 3 3 2" xfId="28965" xr:uid="{00000000-0005-0000-0000-0000A1760000}"/>
    <cellStyle name="40 % - Markeringsfarve4 4 6 3 3 3" xfId="43930" xr:uid="{00000000-0005-0000-0000-0000A2760000}"/>
    <cellStyle name="40 % - Markeringsfarve4 4 6 3 4" xfId="21943" xr:uid="{00000000-0005-0000-0000-0000A3760000}"/>
    <cellStyle name="40 % - Markeringsfarve4 4 6 3 5" xfId="36931" xr:uid="{00000000-0005-0000-0000-0000A4760000}"/>
    <cellStyle name="40 % - Markeringsfarve4 4 6 4" xfId="4090" xr:uid="{00000000-0005-0000-0000-0000A5760000}"/>
    <cellStyle name="40 % - Markeringsfarve4 4 6 4 2" xfId="8552" xr:uid="{00000000-0005-0000-0000-0000A6760000}"/>
    <cellStyle name="40 % - Markeringsfarve4 4 6 4 2 2" xfId="16440" xr:uid="{00000000-0005-0000-0000-0000A7760000}"/>
    <cellStyle name="40 % - Markeringsfarve4 4 6 4 2 2 2" xfId="32754" xr:uid="{00000000-0005-0000-0000-0000A8760000}"/>
    <cellStyle name="40 % - Markeringsfarve4 4 6 4 2 2 3" xfId="47718" xr:uid="{00000000-0005-0000-0000-0000A9760000}"/>
    <cellStyle name="40 % - Markeringsfarve4 4 6 4 2 3" xfId="25732" xr:uid="{00000000-0005-0000-0000-0000AA760000}"/>
    <cellStyle name="40 % - Markeringsfarve4 4 6 4 2 4" xfId="40719" xr:uid="{00000000-0005-0000-0000-0000AB760000}"/>
    <cellStyle name="40 % - Markeringsfarve4 4 6 4 3" xfId="12647" xr:uid="{00000000-0005-0000-0000-0000AC760000}"/>
    <cellStyle name="40 % - Markeringsfarve4 4 6 4 3 2" xfId="28966" xr:uid="{00000000-0005-0000-0000-0000AD760000}"/>
    <cellStyle name="40 % - Markeringsfarve4 4 6 4 3 3" xfId="43931" xr:uid="{00000000-0005-0000-0000-0000AE760000}"/>
    <cellStyle name="40 % - Markeringsfarve4 4 6 4 4" xfId="21944" xr:uid="{00000000-0005-0000-0000-0000AF760000}"/>
    <cellStyle name="40 % - Markeringsfarve4 4 6 4 5" xfId="36932" xr:uid="{00000000-0005-0000-0000-0000B0760000}"/>
    <cellStyle name="40 % - Markeringsfarve4 4 6 5" xfId="5959" xr:uid="{00000000-0005-0000-0000-0000B1760000}"/>
    <cellStyle name="40 % - Markeringsfarve4 4 6 5 2" xfId="13877" xr:uid="{00000000-0005-0000-0000-0000B2760000}"/>
    <cellStyle name="40 % - Markeringsfarve4 4 6 5 2 2" xfId="30191" xr:uid="{00000000-0005-0000-0000-0000B3760000}"/>
    <cellStyle name="40 % - Markeringsfarve4 4 6 5 2 3" xfId="45155" xr:uid="{00000000-0005-0000-0000-0000B4760000}"/>
    <cellStyle name="40 % - Markeringsfarve4 4 6 5 3" xfId="23169" xr:uid="{00000000-0005-0000-0000-0000B5760000}"/>
    <cellStyle name="40 % - Markeringsfarve4 4 6 5 4" xfId="38156" xr:uid="{00000000-0005-0000-0000-0000B6760000}"/>
    <cellStyle name="40 % - Markeringsfarve4 4 6 6" xfId="12643" xr:uid="{00000000-0005-0000-0000-0000B7760000}"/>
    <cellStyle name="40 % - Markeringsfarve4 4 6 6 2" xfId="28962" xr:uid="{00000000-0005-0000-0000-0000B8760000}"/>
    <cellStyle name="40 % - Markeringsfarve4 4 6 6 3" xfId="43927" xr:uid="{00000000-0005-0000-0000-0000B9760000}"/>
    <cellStyle name="40 % - Markeringsfarve4 4 6 7" xfId="21940" xr:uid="{00000000-0005-0000-0000-0000BA760000}"/>
    <cellStyle name="40 % - Markeringsfarve4 4 6 8" xfId="36928" xr:uid="{00000000-0005-0000-0000-0000BB760000}"/>
    <cellStyle name="40 % - Markeringsfarve4 4 7" xfId="4091" xr:uid="{00000000-0005-0000-0000-0000BC760000}"/>
    <cellStyle name="40 % - Markeringsfarve4 4 7 2" xfId="4092" xr:uid="{00000000-0005-0000-0000-0000BD760000}"/>
    <cellStyle name="40 % - Markeringsfarve4 4 7 2 2" xfId="7535" xr:uid="{00000000-0005-0000-0000-0000BE760000}"/>
    <cellStyle name="40 % - Markeringsfarve4 4 7 2 2 2" xfId="15436" xr:uid="{00000000-0005-0000-0000-0000BF760000}"/>
    <cellStyle name="40 % - Markeringsfarve4 4 7 2 2 2 2" xfId="31750" xr:uid="{00000000-0005-0000-0000-0000C0760000}"/>
    <cellStyle name="40 % - Markeringsfarve4 4 7 2 2 2 3" xfId="46714" xr:uid="{00000000-0005-0000-0000-0000C1760000}"/>
    <cellStyle name="40 % - Markeringsfarve4 4 7 2 2 3" xfId="24728" xr:uid="{00000000-0005-0000-0000-0000C2760000}"/>
    <cellStyle name="40 % - Markeringsfarve4 4 7 2 2 4" xfId="39715" xr:uid="{00000000-0005-0000-0000-0000C3760000}"/>
    <cellStyle name="40 % - Markeringsfarve4 4 7 2 3" xfId="12649" xr:uid="{00000000-0005-0000-0000-0000C4760000}"/>
    <cellStyle name="40 % - Markeringsfarve4 4 7 2 3 2" xfId="28968" xr:uid="{00000000-0005-0000-0000-0000C5760000}"/>
    <cellStyle name="40 % - Markeringsfarve4 4 7 2 3 3" xfId="43933" xr:uid="{00000000-0005-0000-0000-0000C6760000}"/>
    <cellStyle name="40 % - Markeringsfarve4 4 7 2 4" xfId="21946" xr:uid="{00000000-0005-0000-0000-0000C7760000}"/>
    <cellStyle name="40 % - Markeringsfarve4 4 7 2 5" xfId="36934" xr:uid="{00000000-0005-0000-0000-0000C8760000}"/>
    <cellStyle name="40 % - Markeringsfarve4 4 7 3" xfId="6131" xr:uid="{00000000-0005-0000-0000-0000C9760000}"/>
    <cellStyle name="40 % - Markeringsfarve4 4 7 3 2" xfId="14048" xr:uid="{00000000-0005-0000-0000-0000CA760000}"/>
    <cellStyle name="40 % - Markeringsfarve4 4 7 3 2 2" xfId="30362" xr:uid="{00000000-0005-0000-0000-0000CB760000}"/>
    <cellStyle name="40 % - Markeringsfarve4 4 7 3 2 3" xfId="45326" xr:uid="{00000000-0005-0000-0000-0000CC760000}"/>
    <cellStyle name="40 % - Markeringsfarve4 4 7 3 3" xfId="23340" xr:uid="{00000000-0005-0000-0000-0000CD760000}"/>
    <cellStyle name="40 % - Markeringsfarve4 4 7 3 4" xfId="38327" xr:uid="{00000000-0005-0000-0000-0000CE760000}"/>
    <cellStyle name="40 % - Markeringsfarve4 4 7 4" xfId="12648" xr:uid="{00000000-0005-0000-0000-0000CF760000}"/>
    <cellStyle name="40 % - Markeringsfarve4 4 7 4 2" xfId="28967" xr:uid="{00000000-0005-0000-0000-0000D0760000}"/>
    <cellStyle name="40 % - Markeringsfarve4 4 7 4 3" xfId="43932" xr:uid="{00000000-0005-0000-0000-0000D1760000}"/>
    <cellStyle name="40 % - Markeringsfarve4 4 7 5" xfId="21945" xr:uid="{00000000-0005-0000-0000-0000D2760000}"/>
    <cellStyle name="40 % - Markeringsfarve4 4 7 6" xfId="36933" xr:uid="{00000000-0005-0000-0000-0000D3760000}"/>
    <cellStyle name="40 % - Markeringsfarve4 4 8" xfId="4093" xr:uid="{00000000-0005-0000-0000-0000D4760000}"/>
    <cellStyle name="40 % - Markeringsfarve4 4 8 2" xfId="6763" xr:uid="{00000000-0005-0000-0000-0000D5760000}"/>
    <cellStyle name="40 % - Markeringsfarve4 4 8 2 2" xfId="14674" xr:uid="{00000000-0005-0000-0000-0000D6760000}"/>
    <cellStyle name="40 % - Markeringsfarve4 4 8 2 2 2" xfId="30988" xr:uid="{00000000-0005-0000-0000-0000D7760000}"/>
    <cellStyle name="40 % - Markeringsfarve4 4 8 2 2 3" xfId="45952" xr:uid="{00000000-0005-0000-0000-0000D8760000}"/>
    <cellStyle name="40 % - Markeringsfarve4 4 8 2 3" xfId="23966" xr:uid="{00000000-0005-0000-0000-0000D9760000}"/>
    <cellStyle name="40 % - Markeringsfarve4 4 8 2 4" xfId="38953" xr:uid="{00000000-0005-0000-0000-0000DA760000}"/>
    <cellStyle name="40 % - Markeringsfarve4 4 8 3" xfId="12650" xr:uid="{00000000-0005-0000-0000-0000DB760000}"/>
    <cellStyle name="40 % - Markeringsfarve4 4 8 3 2" xfId="28969" xr:uid="{00000000-0005-0000-0000-0000DC760000}"/>
    <cellStyle name="40 % - Markeringsfarve4 4 8 3 3" xfId="43934" xr:uid="{00000000-0005-0000-0000-0000DD760000}"/>
    <cellStyle name="40 % - Markeringsfarve4 4 8 4" xfId="21947" xr:uid="{00000000-0005-0000-0000-0000DE760000}"/>
    <cellStyle name="40 % - Markeringsfarve4 4 8 5" xfId="36935" xr:uid="{00000000-0005-0000-0000-0000DF760000}"/>
    <cellStyle name="40 % - Markeringsfarve4 4 9" xfId="4094" xr:uid="{00000000-0005-0000-0000-0000E0760000}"/>
    <cellStyle name="40 % - Markeringsfarve4 4 9 2" xfId="8634" xr:uid="{00000000-0005-0000-0000-0000E1760000}"/>
    <cellStyle name="40 % - Markeringsfarve4 4 9 2 2" xfId="16517" xr:uid="{00000000-0005-0000-0000-0000E2760000}"/>
    <cellStyle name="40 % - Markeringsfarve4 4 9 2 2 2" xfId="32831" xr:uid="{00000000-0005-0000-0000-0000E3760000}"/>
    <cellStyle name="40 % - Markeringsfarve4 4 9 2 2 3" xfId="47795" xr:uid="{00000000-0005-0000-0000-0000E4760000}"/>
    <cellStyle name="40 % - Markeringsfarve4 4 9 2 3" xfId="25809" xr:uid="{00000000-0005-0000-0000-0000E5760000}"/>
    <cellStyle name="40 % - Markeringsfarve4 4 9 2 4" xfId="40796" xr:uid="{00000000-0005-0000-0000-0000E6760000}"/>
    <cellStyle name="40 % - Markeringsfarve4 4 9 3" xfId="12651" xr:uid="{00000000-0005-0000-0000-0000E7760000}"/>
    <cellStyle name="40 % - Markeringsfarve4 4 9 3 2" xfId="28970" xr:uid="{00000000-0005-0000-0000-0000E8760000}"/>
    <cellStyle name="40 % - Markeringsfarve4 4 9 3 3" xfId="43935" xr:uid="{00000000-0005-0000-0000-0000E9760000}"/>
    <cellStyle name="40 % - Markeringsfarve4 4 9 4" xfId="21948" xr:uid="{00000000-0005-0000-0000-0000EA760000}"/>
    <cellStyle name="40 % - Markeringsfarve4 4 9 5" xfId="36936" xr:uid="{00000000-0005-0000-0000-0000EB760000}"/>
    <cellStyle name="40 % - Markeringsfarve4 5" xfId="4095" xr:uid="{00000000-0005-0000-0000-0000EC760000}"/>
    <cellStyle name="40 % - Markeringsfarve4 5 10" xfId="5960" xr:uid="{00000000-0005-0000-0000-0000ED760000}"/>
    <cellStyle name="40 % - Markeringsfarve4 5 10 2" xfId="13878" xr:uid="{00000000-0005-0000-0000-0000EE760000}"/>
    <cellStyle name="40 % - Markeringsfarve4 5 10 2 2" xfId="30192" xr:uid="{00000000-0005-0000-0000-0000EF760000}"/>
    <cellStyle name="40 % - Markeringsfarve4 5 10 2 3" xfId="45156" xr:uid="{00000000-0005-0000-0000-0000F0760000}"/>
    <cellStyle name="40 % - Markeringsfarve4 5 10 3" xfId="23170" xr:uid="{00000000-0005-0000-0000-0000F1760000}"/>
    <cellStyle name="40 % - Markeringsfarve4 5 10 4" xfId="38157" xr:uid="{00000000-0005-0000-0000-0000F2760000}"/>
    <cellStyle name="40 % - Markeringsfarve4 5 11" xfId="12652" xr:uid="{00000000-0005-0000-0000-0000F3760000}"/>
    <cellStyle name="40 % - Markeringsfarve4 5 11 2" xfId="28971" xr:uid="{00000000-0005-0000-0000-0000F4760000}"/>
    <cellStyle name="40 % - Markeringsfarve4 5 11 3" xfId="43936" xr:uid="{00000000-0005-0000-0000-0000F5760000}"/>
    <cellStyle name="40 % - Markeringsfarve4 5 12" xfId="21949" xr:uid="{00000000-0005-0000-0000-0000F6760000}"/>
    <cellStyle name="40 % - Markeringsfarve4 5 13" xfId="36937" xr:uid="{00000000-0005-0000-0000-0000F7760000}"/>
    <cellStyle name="40 % - Markeringsfarve4 5 14" xfId="53390" xr:uid="{00000000-0005-0000-0000-0000F8760000}"/>
    <cellStyle name="40 % - Markeringsfarve4 5 2" xfId="4096" xr:uid="{00000000-0005-0000-0000-0000F9760000}"/>
    <cellStyle name="40 % - Markeringsfarve4 5 2 2" xfId="4097" xr:uid="{00000000-0005-0000-0000-0000FA760000}"/>
    <cellStyle name="40 % - Markeringsfarve4 5 2 2 2" xfId="4098" xr:uid="{00000000-0005-0000-0000-0000FB760000}"/>
    <cellStyle name="40 % - Markeringsfarve4 5 2 2 2 2" xfId="7693" xr:uid="{00000000-0005-0000-0000-0000FC760000}"/>
    <cellStyle name="40 % - Markeringsfarve4 5 2 2 2 2 2" xfId="15594" xr:uid="{00000000-0005-0000-0000-0000FD760000}"/>
    <cellStyle name="40 % - Markeringsfarve4 5 2 2 2 2 2 2" xfId="31908" xr:uid="{00000000-0005-0000-0000-0000FE760000}"/>
    <cellStyle name="40 % - Markeringsfarve4 5 2 2 2 2 2 3" xfId="46872" xr:uid="{00000000-0005-0000-0000-0000FF760000}"/>
    <cellStyle name="40 % - Markeringsfarve4 5 2 2 2 2 3" xfId="24886" xr:uid="{00000000-0005-0000-0000-000000770000}"/>
    <cellStyle name="40 % - Markeringsfarve4 5 2 2 2 2 4" xfId="39873" xr:uid="{00000000-0005-0000-0000-000001770000}"/>
    <cellStyle name="40 % - Markeringsfarve4 5 2 2 2 3" xfId="12655" xr:uid="{00000000-0005-0000-0000-000002770000}"/>
    <cellStyle name="40 % - Markeringsfarve4 5 2 2 2 3 2" xfId="28974" xr:uid="{00000000-0005-0000-0000-000003770000}"/>
    <cellStyle name="40 % - Markeringsfarve4 5 2 2 2 3 3" xfId="43939" xr:uid="{00000000-0005-0000-0000-000004770000}"/>
    <cellStyle name="40 % - Markeringsfarve4 5 2 2 2 4" xfId="21952" xr:uid="{00000000-0005-0000-0000-000005770000}"/>
    <cellStyle name="40 % - Markeringsfarve4 5 2 2 2 5" xfId="36940" xr:uid="{00000000-0005-0000-0000-000006770000}"/>
    <cellStyle name="40 % - Markeringsfarve4 5 2 2 3" xfId="6263" xr:uid="{00000000-0005-0000-0000-000007770000}"/>
    <cellStyle name="40 % - Markeringsfarve4 5 2 2 3 2" xfId="14180" xr:uid="{00000000-0005-0000-0000-000008770000}"/>
    <cellStyle name="40 % - Markeringsfarve4 5 2 2 3 2 2" xfId="30494" xr:uid="{00000000-0005-0000-0000-000009770000}"/>
    <cellStyle name="40 % - Markeringsfarve4 5 2 2 3 2 3" xfId="45458" xr:uid="{00000000-0005-0000-0000-00000A770000}"/>
    <cellStyle name="40 % - Markeringsfarve4 5 2 2 3 3" xfId="23472" xr:uid="{00000000-0005-0000-0000-00000B770000}"/>
    <cellStyle name="40 % - Markeringsfarve4 5 2 2 3 4" xfId="38459" xr:uid="{00000000-0005-0000-0000-00000C770000}"/>
    <cellStyle name="40 % - Markeringsfarve4 5 2 2 4" xfId="12654" xr:uid="{00000000-0005-0000-0000-00000D770000}"/>
    <cellStyle name="40 % - Markeringsfarve4 5 2 2 4 2" xfId="28973" xr:uid="{00000000-0005-0000-0000-00000E770000}"/>
    <cellStyle name="40 % - Markeringsfarve4 5 2 2 4 3" xfId="43938" xr:uid="{00000000-0005-0000-0000-00000F770000}"/>
    <cellStyle name="40 % - Markeringsfarve4 5 2 2 5" xfId="21951" xr:uid="{00000000-0005-0000-0000-000010770000}"/>
    <cellStyle name="40 % - Markeringsfarve4 5 2 2 6" xfId="36939" xr:uid="{00000000-0005-0000-0000-000011770000}"/>
    <cellStyle name="40 % - Markeringsfarve4 5 2 2 7" xfId="57194" xr:uid="{00000000-0005-0000-0000-000012770000}"/>
    <cellStyle name="40 % - Markeringsfarve4 5 2 3" xfId="4099" xr:uid="{00000000-0005-0000-0000-000013770000}"/>
    <cellStyle name="40 % - Markeringsfarve4 5 2 3 2" xfId="6923" xr:uid="{00000000-0005-0000-0000-000014770000}"/>
    <cellStyle name="40 % - Markeringsfarve4 5 2 3 2 2" xfId="14834" xr:uid="{00000000-0005-0000-0000-000015770000}"/>
    <cellStyle name="40 % - Markeringsfarve4 5 2 3 2 2 2" xfId="31148" xr:uid="{00000000-0005-0000-0000-000016770000}"/>
    <cellStyle name="40 % - Markeringsfarve4 5 2 3 2 2 3" xfId="46112" xr:uid="{00000000-0005-0000-0000-000017770000}"/>
    <cellStyle name="40 % - Markeringsfarve4 5 2 3 2 3" xfId="24126" xr:uid="{00000000-0005-0000-0000-000018770000}"/>
    <cellStyle name="40 % - Markeringsfarve4 5 2 3 2 4" xfId="39113" xr:uid="{00000000-0005-0000-0000-000019770000}"/>
    <cellStyle name="40 % - Markeringsfarve4 5 2 3 3" xfId="12656" xr:uid="{00000000-0005-0000-0000-00001A770000}"/>
    <cellStyle name="40 % - Markeringsfarve4 5 2 3 3 2" xfId="28975" xr:uid="{00000000-0005-0000-0000-00001B770000}"/>
    <cellStyle name="40 % - Markeringsfarve4 5 2 3 3 3" xfId="43940" xr:uid="{00000000-0005-0000-0000-00001C770000}"/>
    <cellStyle name="40 % - Markeringsfarve4 5 2 3 4" xfId="21953" xr:uid="{00000000-0005-0000-0000-00001D770000}"/>
    <cellStyle name="40 % - Markeringsfarve4 5 2 3 5" xfId="36941" xr:uid="{00000000-0005-0000-0000-00001E770000}"/>
    <cellStyle name="40 % - Markeringsfarve4 5 2 4" xfId="4100" xr:uid="{00000000-0005-0000-0000-00001F770000}"/>
    <cellStyle name="40 % - Markeringsfarve4 5 2 4 2" xfId="8487" xr:uid="{00000000-0005-0000-0000-000020770000}"/>
    <cellStyle name="40 % - Markeringsfarve4 5 2 4 2 2" xfId="16376" xr:uid="{00000000-0005-0000-0000-000021770000}"/>
    <cellStyle name="40 % - Markeringsfarve4 5 2 4 2 2 2" xfId="32690" xr:uid="{00000000-0005-0000-0000-000022770000}"/>
    <cellStyle name="40 % - Markeringsfarve4 5 2 4 2 2 3" xfId="47654" xr:uid="{00000000-0005-0000-0000-000023770000}"/>
    <cellStyle name="40 % - Markeringsfarve4 5 2 4 2 3" xfId="25668" xr:uid="{00000000-0005-0000-0000-000024770000}"/>
    <cellStyle name="40 % - Markeringsfarve4 5 2 4 2 4" xfId="40655" xr:uid="{00000000-0005-0000-0000-000025770000}"/>
    <cellStyle name="40 % - Markeringsfarve4 5 2 4 3" xfId="12657" xr:uid="{00000000-0005-0000-0000-000026770000}"/>
    <cellStyle name="40 % - Markeringsfarve4 5 2 4 3 2" xfId="28976" xr:uid="{00000000-0005-0000-0000-000027770000}"/>
    <cellStyle name="40 % - Markeringsfarve4 5 2 4 3 3" xfId="43941" xr:uid="{00000000-0005-0000-0000-000028770000}"/>
    <cellStyle name="40 % - Markeringsfarve4 5 2 4 4" xfId="21954" xr:uid="{00000000-0005-0000-0000-000029770000}"/>
    <cellStyle name="40 % - Markeringsfarve4 5 2 4 5" xfId="36942" xr:uid="{00000000-0005-0000-0000-00002A770000}"/>
    <cellStyle name="40 % - Markeringsfarve4 5 2 5" xfId="5961" xr:uid="{00000000-0005-0000-0000-00002B770000}"/>
    <cellStyle name="40 % - Markeringsfarve4 5 2 5 2" xfId="13879" xr:uid="{00000000-0005-0000-0000-00002C770000}"/>
    <cellStyle name="40 % - Markeringsfarve4 5 2 5 2 2" xfId="30193" xr:uid="{00000000-0005-0000-0000-00002D770000}"/>
    <cellStyle name="40 % - Markeringsfarve4 5 2 5 2 3" xfId="45157" xr:uid="{00000000-0005-0000-0000-00002E770000}"/>
    <cellStyle name="40 % - Markeringsfarve4 5 2 5 3" xfId="23171" xr:uid="{00000000-0005-0000-0000-00002F770000}"/>
    <cellStyle name="40 % - Markeringsfarve4 5 2 5 4" xfId="38158" xr:uid="{00000000-0005-0000-0000-000030770000}"/>
    <cellStyle name="40 % - Markeringsfarve4 5 2 6" xfId="12653" xr:uid="{00000000-0005-0000-0000-000031770000}"/>
    <cellStyle name="40 % - Markeringsfarve4 5 2 6 2" xfId="28972" xr:uid="{00000000-0005-0000-0000-000032770000}"/>
    <cellStyle name="40 % - Markeringsfarve4 5 2 6 3" xfId="43937" xr:uid="{00000000-0005-0000-0000-000033770000}"/>
    <cellStyle name="40 % - Markeringsfarve4 5 2 7" xfId="21950" xr:uid="{00000000-0005-0000-0000-000034770000}"/>
    <cellStyle name="40 % - Markeringsfarve4 5 2 8" xfId="36938" xr:uid="{00000000-0005-0000-0000-000035770000}"/>
    <cellStyle name="40 % - Markeringsfarve4 5 2 9" xfId="54027" xr:uid="{00000000-0005-0000-0000-000036770000}"/>
    <cellStyle name="40 % - Markeringsfarve4 5 3" xfId="4101" xr:uid="{00000000-0005-0000-0000-000037770000}"/>
    <cellStyle name="40 % - Markeringsfarve4 5 3 2" xfId="4102" xr:uid="{00000000-0005-0000-0000-000038770000}"/>
    <cellStyle name="40 % - Markeringsfarve4 5 3 2 2" xfId="4103" xr:uid="{00000000-0005-0000-0000-000039770000}"/>
    <cellStyle name="40 % - Markeringsfarve4 5 3 2 2 2" xfId="7815" xr:uid="{00000000-0005-0000-0000-00003A770000}"/>
    <cellStyle name="40 % - Markeringsfarve4 5 3 2 2 2 2" xfId="15716" xr:uid="{00000000-0005-0000-0000-00003B770000}"/>
    <cellStyle name="40 % - Markeringsfarve4 5 3 2 2 2 2 2" xfId="32030" xr:uid="{00000000-0005-0000-0000-00003C770000}"/>
    <cellStyle name="40 % - Markeringsfarve4 5 3 2 2 2 2 3" xfId="46994" xr:uid="{00000000-0005-0000-0000-00003D770000}"/>
    <cellStyle name="40 % - Markeringsfarve4 5 3 2 2 2 3" xfId="25008" xr:uid="{00000000-0005-0000-0000-00003E770000}"/>
    <cellStyle name="40 % - Markeringsfarve4 5 3 2 2 2 4" xfId="39995" xr:uid="{00000000-0005-0000-0000-00003F770000}"/>
    <cellStyle name="40 % - Markeringsfarve4 5 3 2 2 3" xfId="12660" xr:uid="{00000000-0005-0000-0000-000040770000}"/>
    <cellStyle name="40 % - Markeringsfarve4 5 3 2 2 3 2" xfId="28979" xr:uid="{00000000-0005-0000-0000-000041770000}"/>
    <cellStyle name="40 % - Markeringsfarve4 5 3 2 2 3 3" xfId="43944" xr:uid="{00000000-0005-0000-0000-000042770000}"/>
    <cellStyle name="40 % - Markeringsfarve4 5 3 2 2 4" xfId="21957" xr:uid="{00000000-0005-0000-0000-000043770000}"/>
    <cellStyle name="40 % - Markeringsfarve4 5 3 2 2 5" xfId="36945" xr:uid="{00000000-0005-0000-0000-000044770000}"/>
    <cellStyle name="40 % - Markeringsfarve4 5 3 2 3" xfId="6361" xr:uid="{00000000-0005-0000-0000-000045770000}"/>
    <cellStyle name="40 % - Markeringsfarve4 5 3 2 3 2" xfId="14278" xr:uid="{00000000-0005-0000-0000-000046770000}"/>
    <cellStyle name="40 % - Markeringsfarve4 5 3 2 3 2 2" xfId="30592" xr:uid="{00000000-0005-0000-0000-000047770000}"/>
    <cellStyle name="40 % - Markeringsfarve4 5 3 2 3 2 3" xfId="45556" xr:uid="{00000000-0005-0000-0000-000048770000}"/>
    <cellStyle name="40 % - Markeringsfarve4 5 3 2 3 3" xfId="23570" xr:uid="{00000000-0005-0000-0000-000049770000}"/>
    <cellStyle name="40 % - Markeringsfarve4 5 3 2 3 4" xfId="38557" xr:uid="{00000000-0005-0000-0000-00004A770000}"/>
    <cellStyle name="40 % - Markeringsfarve4 5 3 2 4" xfId="12659" xr:uid="{00000000-0005-0000-0000-00004B770000}"/>
    <cellStyle name="40 % - Markeringsfarve4 5 3 2 4 2" xfId="28978" xr:uid="{00000000-0005-0000-0000-00004C770000}"/>
    <cellStyle name="40 % - Markeringsfarve4 5 3 2 4 3" xfId="43943" xr:uid="{00000000-0005-0000-0000-00004D770000}"/>
    <cellStyle name="40 % - Markeringsfarve4 5 3 2 5" xfId="21956" xr:uid="{00000000-0005-0000-0000-00004E770000}"/>
    <cellStyle name="40 % - Markeringsfarve4 5 3 2 6" xfId="36944" xr:uid="{00000000-0005-0000-0000-00004F770000}"/>
    <cellStyle name="40 % - Markeringsfarve4 5 3 3" xfId="4104" xr:uid="{00000000-0005-0000-0000-000050770000}"/>
    <cellStyle name="40 % - Markeringsfarve4 5 3 3 2" xfId="7045" xr:uid="{00000000-0005-0000-0000-000051770000}"/>
    <cellStyle name="40 % - Markeringsfarve4 5 3 3 2 2" xfId="14956" xr:uid="{00000000-0005-0000-0000-000052770000}"/>
    <cellStyle name="40 % - Markeringsfarve4 5 3 3 2 2 2" xfId="31270" xr:uid="{00000000-0005-0000-0000-000053770000}"/>
    <cellStyle name="40 % - Markeringsfarve4 5 3 3 2 2 3" xfId="46234" xr:uid="{00000000-0005-0000-0000-000054770000}"/>
    <cellStyle name="40 % - Markeringsfarve4 5 3 3 2 3" xfId="24248" xr:uid="{00000000-0005-0000-0000-000055770000}"/>
    <cellStyle name="40 % - Markeringsfarve4 5 3 3 2 4" xfId="39235" xr:uid="{00000000-0005-0000-0000-000056770000}"/>
    <cellStyle name="40 % - Markeringsfarve4 5 3 3 3" xfId="12661" xr:uid="{00000000-0005-0000-0000-000057770000}"/>
    <cellStyle name="40 % - Markeringsfarve4 5 3 3 3 2" xfId="28980" xr:uid="{00000000-0005-0000-0000-000058770000}"/>
    <cellStyle name="40 % - Markeringsfarve4 5 3 3 3 3" xfId="43945" xr:uid="{00000000-0005-0000-0000-000059770000}"/>
    <cellStyle name="40 % - Markeringsfarve4 5 3 3 4" xfId="21958" xr:uid="{00000000-0005-0000-0000-00005A770000}"/>
    <cellStyle name="40 % - Markeringsfarve4 5 3 3 5" xfId="36946" xr:uid="{00000000-0005-0000-0000-00005B770000}"/>
    <cellStyle name="40 % - Markeringsfarve4 5 3 4" xfId="4105" xr:uid="{00000000-0005-0000-0000-00005C770000}"/>
    <cellStyle name="40 % - Markeringsfarve4 5 3 4 2" xfId="8725" xr:uid="{00000000-0005-0000-0000-00005D770000}"/>
    <cellStyle name="40 % - Markeringsfarve4 5 3 4 2 2" xfId="16605" xr:uid="{00000000-0005-0000-0000-00005E770000}"/>
    <cellStyle name="40 % - Markeringsfarve4 5 3 4 2 2 2" xfId="32919" xr:uid="{00000000-0005-0000-0000-00005F770000}"/>
    <cellStyle name="40 % - Markeringsfarve4 5 3 4 2 2 3" xfId="47883" xr:uid="{00000000-0005-0000-0000-000060770000}"/>
    <cellStyle name="40 % - Markeringsfarve4 5 3 4 2 3" xfId="25897" xr:uid="{00000000-0005-0000-0000-000061770000}"/>
    <cellStyle name="40 % - Markeringsfarve4 5 3 4 2 4" xfId="40884" xr:uid="{00000000-0005-0000-0000-000062770000}"/>
    <cellStyle name="40 % - Markeringsfarve4 5 3 4 3" xfId="12662" xr:uid="{00000000-0005-0000-0000-000063770000}"/>
    <cellStyle name="40 % - Markeringsfarve4 5 3 4 3 2" xfId="28981" xr:uid="{00000000-0005-0000-0000-000064770000}"/>
    <cellStyle name="40 % - Markeringsfarve4 5 3 4 3 3" xfId="43946" xr:uid="{00000000-0005-0000-0000-000065770000}"/>
    <cellStyle name="40 % - Markeringsfarve4 5 3 4 4" xfId="21959" xr:uid="{00000000-0005-0000-0000-000066770000}"/>
    <cellStyle name="40 % - Markeringsfarve4 5 3 4 5" xfId="36947" xr:uid="{00000000-0005-0000-0000-000067770000}"/>
    <cellStyle name="40 % - Markeringsfarve4 5 3 5" xfId="5962" xr:uid="{00000000-0005-0000-0000-000068770000}"/>
    <cellStyle name="40 % - Markeringsfarve4 5 3 5 2" xfId="13880" xr:uid="{00000000-0005-0000-0000-000069770000}"/>
    <cellStyle name="40 % - Markeringsfarve4 5 3 5 2 2" xfId="30194" xr:uid="{00000000-0005-0000-0000-00006A770000}"/>
    <cellStyle name="40 % - Markeringsfarve4 5 3 5 2 3" xfId="45158" xr:uid="{00000000-0005-0000-0000-00006B770000}"/>
    <cellStyle name="40 % - Markeringsfarve4 5 3 5 3" xfId="23172" xr:uid="{00000000-0005-0000-0000-00006C770000}"/>
    <cellStyle name="40 % - Markeringsfarve4 5 3 5 4" xfId="38159" xr:uid="{00000000-0005-0000-0000-00006D770000}"/>
    <cellStyle name="40 % - Markeringsfarve4 5 3 6" xfId="12658" xr:uid="{00000000-0005-0000-0000-00006E770000}"/>
    <cellStyle name="40 % - Markeringsfarve4 5 3 6 2" xfId="28977" xr:uid="{00000000-0005-0000-0000-00006F770000}"/>
    <cellStyle name="40 % - Markeringsfarve4 5 3 6 3" xfId="43942" xr:uid="{00000000-0005-0000-0000-000070770000}"/>
    <cellStyle name="40 % - Markeringsfarve4 5 3 7" xfId="21955" xr:uid="{00000000-0005-0000-0000-000071770000}"/>
    <cellStyle name="40 % - Markeringsfarve4 5 3 8" xfId="36943" xr:uid="{00000000-0005-0000-0000-000072770000}"/>
    <cellStyle name="40 % - Markeringsfarve4 5 3 9" xfId="56571" xr:uid="{00000000-0005-0000-0000-000073770000}"/>
    <cellStyle name="40 % - Markeringsfarve4 5 4" xfId="4106" xr:uid="{00000000-0005-0000-0000-000074770000}"/>
    <cellStyle name="40 % - Markeringsfarve4 5 4 2" xfId="4107" xr:uid="{00000000-0005-0000-0000-000075770000}"/>
    <cellStyle name="40 % - Markeringsfarve4 5 4 2 2" xfId="4108" xr:uid="{00000000-0005-0000-0000-000076770000}"/>
    <cellStyle name="40 % - Markeringsfarve4 5 4 2 2 2" xfId="7931" xr:uid="{00000000-0005-0000-0000-000077770000}"/>
    <cellStyle name="40 % - Markeringsfarve4 5 4 2 2 2 2" xfId="15832" xr:uid="{00000000-0005-0000-0000-000078770000}"/>
    <cellStyle name="40 % - Markeringsfarve4 5 4 2 2 2 2 2" xfId="32146" xr:uid="{00000000-0005-0000-0000-000079770000}"/>
    <cellStyle name="40 % - Markeringsfarve4 5 4 2 2 2 2 3" xfId="47110" xr:uid="{00000000-0005-0000-0000-00007A770000}"/>
    <cellStyle name="40 % - Markeringsfarve4 5 4 2 2 2 3" xfId="25124" xr:uid="{00000000-0005-0000-0000-00007B770000}"/>
    <cellStyle name="40 % - Markeringsfarve4 5 4 2 2 2 4" xfId="40111" xr:uid="{00000000-0005-0000-0000-00007C770000}"/>
    <cellStyle name="40 % - Markeringsfarve4 5 4 2 2 3" xfId="12665" xr:uid="{00000000-0005-0000-0000-00007D770000}"/>
    <cellStyle name="40 % - Markeringsfarve4 5 4 2 2 3 2" xfId="28984" xr:uid="{00000000-0005-0000-0000-00007E770000}"/>
    <cellStyle name="40 % - Markeringsfarve4 5 4 2 2 3 3" xfId="43949" xr:uid="{00000000-0005-0000-0000-00007F770000}"/>
    <cellStyle name="40 % - Markeringsfarve4 5 4 2 2 4" xfId="21962" xr:uid="{00000000-0005-0000-0000-000080770000}"/>
    <cellStyle name="40 % - Markeringsfarve4 5 4 2 2 5" xfId="36950" xr:uid="{00000000-0005-0000-0000-000081770000}"/>
    <cellStyle name="40 % - Markeringsfarve4 5 4 2 3" xfId="6465" xr:uid="{00000000-0005-0000-0000-000082770000}"/>
    <cellStyle name="40 % - Markeringsfarve4 5 4 2 3 2" xfId="14379" xr:uid="{00000000-0005-0000-0000-000083770000}"/>
    <cellStyle name="40 % - Markeringsfarve4 5 4 2 3 2 2" xfId="30693" xr:uid="{00000000-0005-0000-0000-000084770000}"/>
    <cellStyle name="40 % - Markeringsfarve4 5 4 2 3 2 3" xfId="45657" xr:uid="{00000000-0005-0000-0000-000085770000}"/>
    <cellStyle name="40 % - Markeringsfarve4 5 4 2 3 3" xfId="23671" xr:uid="{00000000-0005-0000-0000-000086770000}"/>
    <cellStyle name="40 % - Markeringsfarve4 5 4 2 3 4" xfId="38658" xr:uid="{00000000-0005-0000-0000-000087770000}"/>
    <cellStyle name="40 % - Markeringsfarve4 5 4 2 4" xfId="12664" xr:uid="{00000000-0005-0000-0000-000088770000}"/>
    <cellStyle name="40 % - Markeringsfarve4 5 4 2 4 2" xfId="28983" xr:uid="{00000000-0005-0000-0000-000089770000}"/>
    <cellStyle name="40 % - Markeringsfarve4 5 4 2 4 3" xfId="43948" xr:uid="{00000000-0005-0000-0000-00008A770000}"/>
    <cellStyle name="40 % - Markeringsfarve4 5 4 2 5" xfId="21961" xr:uid="{00000000-0005-0000-0000-00008B770000}"/>
    <cellStyle name="40 % - Markeringsfarve4 5 4 2 6" xfId="36949" xr:uid="{00000000-0005-0000-0000-00008C770000}"/>
    <cellStyle name="40 % - Markeringsfarve4 5 4 3" xfId="4109" xr:uid="{00000000-0005-0000-0000-00008D770000}"/>
    <cellStyle name="40 % - Markeringsfarve4 5 4 3 2" xfId="7207" xr:uid="{00000000-0005-0000-0000-00008E770000}"/>
    <cellStyle name="40 % - Markeringsfarve4 5 4 3 2 2" xfId="15117" xr:uid="{00000000-0005-0000-0000-00008F770000}"/>
    <cellStyle name="40 % - Markeringsfarve4 5 4 3 2 2 2" xfId="31431" xr:uid="{00000000-0005-0000-0000-000090770000}"/>
    <cellStyle name="40 % - Markeringsfarve4 5 4 3 2 2 3" xfId="46395" xr:uid="{00000000-0005-0000-0000-000091770000}"/>
    <cellStyle name="40 % - Markeringsfarve4 5 4 3 2 3" xfId="24409" xr:uid="{00000000-0005-0000-0000-000092770000}"/>
    <cellStyle name="40 % - Markeringsfarve4 5 4 3 2 4" xfId="39396" xr:uid="{00000000-0005-0000-0000-000093770000}"/>
    <cellStyle name="40 % - Markeringsfarve4 5 4 3 3" xfId="12666" xr:uid="{00000000-0005-0000-0000-000094770000}"/>
    <cellStyle name="40 % - Markeringsfarve4 5 4 3 3 2" xfId="28985" xr:uid="{00000000-0005-0000-0000-000095770000}"/>
    <cellStyle name="40 % - Markeringsfarve4 5 4 3 3 3" xfId="43950" xr:uid="{00000000-0005-0000-0000-000096770000}"/>
    <cellStyle name="40 % - Markeringsfarve4 5 4 3 4" xfId="21963" xr:uid="{00000000-0005-0000-0000-000097770000}"/>
    <cellStyle name="40 % - Markeringsfarve4 5 4 3 5" xfId="36951" xr:uid="{00000000-0005-0000-0000-000098770000}"/>
    <cellStyle name="40 % - Markeringsfarve4 5 4 4" xfId="4110" xr:uid="{00000000-0005-0000-0000-000099770000}"/>
    <cellStyle name="40 % - Markeringsfarve4 5 4 4 2" xfId="8450" xr:uid="{00000000-0005-0000-0000-00009A770000}"/>
    <cellStyle name="40 % - Markeringsfarve4 5 4 4 2 2" xfId="16342" xr:uid="{00000000-0005-0000-0000-00009B770000}"/>
    <cellStyle name="40 % - Markeringsfarve4 5 4 4 2 2 2" xfId="32656" xr:uid="{00000000-0005-0000-0000-00009C770000}"/>
    <cellStyle name="40 % - Markeringsfarve4 5 4 4 2 2 3" xfId="47620" xr:uid="{00000000-0005-0000-0000-00009D770000}"/>
    <cellStyle name="40 % - Markeringsfarve4 5 4 4 2 3" xfId="25634" xr:uid="{00000000-0005-0000-0000-00009E770000}"/>
    <cellStyle name="40 % - Markeringsfarve4 5 4 4 2 4" xfId="40621" xr:uid="{00000000-0005-0000-0000-00009F770000}"/>
    <cellStyle name="40 % - Markeringsfarve4 5 4 4 3" xfId="12667" xr:uid="{00000000-0005-0000-0000-0000A0770000}"/>
    <cellStyle name="40 % - Markeringsfarve4 5 4 4 3 2" xfId="28986" xr:uid="{00000000-0005-0000-0000-0000A1770000}"/>
    <cellStyle name="40 % - Markeringsfarve4 5 4 4 3 3" xfId="43951" xr:uid="{00000000-0005-0000-0000-0000A2770000}"/>
    <cellStyle name="40 % - Markeringsfarve4 5 4 4 4" xfId="21964" xr:uid="{00000000-0005-0000-0000-0000A3770000}"/>
    <cellStyle name="40 % - Markeringsfarve4 5 4 4 5" xfId="36952" xr:uid="{00000000-0005-0000-0000-0000A4770000}"/>
    <cellStyle name="40 % - Markeringsfarve4 5 4 5" xfId="5963" xr:uid="{00000000-0005-0000-0000-0000A5770000}"/>
    <cellStyle name="40 % - Markeringsfarve4 5 4 5 2" xfId="13881" xr:uid="{00000000-0005-0000-0000-0000A6770000}"/>
    <cellStyle name="40 % - Markeringsfarve4 5 4 5 2 2" xfId="30195" xr:uid="{00000000-0005-0000-0000-0000A7770000}"/>
    <cellStyle name="40 % - Markeringsfarve4 5 4 5 2 3" xfId="45159" xr:uid="{00000000-0005-0000-0000-0000A8770000}"/>
    <cellStyle name="40 % - Markeringsfarve4 5 4 5 3" xfId="23173" xr:uid="{00000000-0005-0000-0000-0000A9770000}"/>
    <cellStyle name="40 % - Markeringsfarve4 5 4 5 4" xfId="38160" xr:uid="{00000000-0005-0000-0000-0000AA770000}"/>
    <cellStyle name="40 % - Markeringsfarve4 5 4 6" xfId="12663" xr:uid="{00000000-0005-0000-0000-0000AB770000}"/>
    <cellStyle name="40 % - Markeringsfarve4 5 4 6 2" xfId="28982" xr:uid="{00000000-0005-0000-0000-0000AC770000}"/>
    <cellStyle name="40 % - Markeringsfarve4 5 4 6 3" xfId="43947" xr:uid="{00000000-0005-0000-0000-0000AD770000}"/>
    <cellStyle name="40 % - Markeringsfarve4 5 4 7" xfId="21960" xr:uid="{00000000-0005-0000-0000-0000AE770000}"/>
    <cellStyle name="40 % - Markeringsfarve4 5 4 8" xfId="36948" xr:uid="{00000000-0005-0000-0000-0000AF770000}"/>
    <cellStyle name="40 % - Markeringsfarve4 5 5" xfId="4111" xr:uid="{00000000-0005-0000-0000-0000B0770000}"/>
    <cellStyle name="40 % - Markeringsfarve4 5 5 2" xfId="4112" xr:uid="{00000000-0005-0000-0000-0000B1770000}"/>
    <cellStyle name="40 % - Markeringsfarve4 5 5 2 2" xfId="4113" xr:uid="{00000000-0005-0000-0000-0000B2770000}"/>
    <cellStyle name="40 % - Markeringsfarve4 5 5 2 2 2" xfId="8048" xr:uid="{00000000-0005-0000-0000-0000B3770000}"/>
    <cellStyle name="40 % - Markeringsfarve4 5 5 2 2 2 2" xfId="15949" xr:uid="{00000000-0005-0000-0000-0000B4770000}"/>
    <cellStyle name="40 % - Markeringsfarve4 5 5 2 2 2 2 2" xfId="32263" xr:uid="{00000000-0005-0000-0000-0000B5770000}"/>
    <cellStyle name="40 % - Markeringsfarve4 5 5 2 2 2 2 3" xfId="47227" xr:uid="{00000000-0005-0000-0000-0000B6770000}"/>
    <cellStyle name="40 % - Markeringsfarve4 5 5 2 2 2 3" xfId="25241" xr:uid="{00000000-0005-0000-0000-0000B7770000}"/>
    <cellStyle name="40 % - Markeringsfarve4 5 5 2 2 2 4" xfId="40228" xr:uid="{00000000-0005-0000-0000-0000B8770000}"/>
    <cellStyle name="40 % - Markeringsfarve4 5 5 2 2 3" xfId="12670" xr:uid="{00000000-0005-0000-0000-0000B9770000}"/>
    <cellStyle name="40 % - Markeringsfarve4 5 5 2 2 3 2" xfId="28989" xr:uid="{00000000-0005-0000-0000-0000BA770000}"/>
    <cellStyle name="40 % - Markeringsfarve4 5 5 2 2 3 3" xfId="43954" xr:uid="{00000000-0005-0000-0000-0000BB770000}"/>
    <cellStyle name="40 % - Markeringsfarve4 5 5 2 2 4" xfId="21967" xr:uid="{00000000-0005-0000-0000-0000BC770000}"/>
    <cellStyle name="40 % - Markeringsfarve4 5 5 2 2 5" xfId="36955" xr:uid="{00000000-0005-0000-0000-0000BD770000}"/>
    <cellStyle name="40 % - Markeringsfarve4 5 5 2 3" xfId="6564" xr:uid="{00000000-0005-0000-0000-0000BE770000}"/>
    <cellStyle name="40 % - Markeringsfarve4 5 5 2 3 2" xfId="14478" xr:uid="{00000000-0005-0000-0000-0000BF770000}"/>
    <cellStyle name="40 % - Markeringsfarve4 5 5 2 3 2 2" xfId="30792" xr:uid="{00000000-0005-0000-0000-0000C0770000}"/>
    <cellStyle name="40 % - Markeringsfarve4 5 5 2 3 2 3" xfId="45756" xr:uid="{00000000-0005-0000-0000-0000C1770000}"/>
    <cellStyle name="40 % - Markeringsfarve4 5 5 2 3 3" xfId="23770" xr:uid="{00000000-0005-0000-0000-0000C2770000}"/>
    <cellStyle name="40 % - Markeringsfarve4 5 5 2 3 4" xfId="38757" xr:uid="{00000000-0005-0000-0000-0000C3770000}"/>
    <cellStyle name="40 % - Markeringsfarve4 5 5 2 4" xfId="12669" xr:uid="{00000000-0005-0000-0000-0000C4770000}"/>
    <cellStyle name="40 % - Markeringsfarve4 5 5 2 4 2" xfId="28988" xr:uid="{00000000-0005-0000-0000-0000C5770000}"/>
    <cellStyle name="40 % - Markeringsfarve4 5 5 2 4 3" xfId="43953" xr:uid="{00000000-0005-0000-0000-0000C6770000}"/>
    <cellStyle name="40 % - Markeringsfarve4 5 5 2 5" xfId="21966" xr:uid="{00000000-0005-0000-0000-0000C7770000}"/>
    <cellStyle name="40 % - Markeringsfarve4 5 5 2 6" xfId="36954" xr:uid="{00000000-0005-0000-0000-0000C8770000}"/>
    <cellStyle name="40 % - Markeringsfarve4 5 5 3" xfId="4114" xr:uid="{00000000-0005-0000-0000-0000C9770000}"/>
    <cellStyle name="40 % - Markeringsfarve4 5 5 3 2" xfId="7324" xr:uid="{00000000-0005-0000-0000-0000CA770000}"/>
    <cellStyle name="40 % - Markeringsfarve4 5 5 3 2 2" xfId="15234" xr:uid="{00000000-0005-0000-0000-0000CB770000}"/>
    <cellStyle name="40 % - Markeringsfarve4 5 5 3 2 2 2" xfId="31548" xr:uid="{00000000-0005-0000-0000-0000CC770000}"/>
    <cellStyle name="40 % - Markeringsfarve4 5 5 3 2 2 3" xfId="46512" xr:uid="{00000000-0005-0000-0000-0000CD770000}"/>
    <cellStyle name="40 % - Markeringsfarve4 5 5 3 2 3" xfId="24526" xr:uid="{00000000-0005-0000-0000-0000CE770000}"/>
    <cellStyle name="40 % - Markeringsfarve4 5 5 3 2 4" xfId="39513" xr:uid="{00000000-0005-0000-0000-0000CF770000}"/>
    <cellStyle name="40 % - Markeringsfarve4 5 5 3 3" xfId="12671" xr:uid="{00000000-0005-0000-0000-0000D0770000}"/>
    <cellStyle name="40 % - Markeringsfarve4 5 5 3 3 2" xfId="28990" xr:uid="{00000000-0005-0000-0000-0000D1770000}"/>
    <cellStyle name="40 % - Markeringsfarve4 5 5 3 3 3" xfId="43955" xr:uid="{00000000-0005-0000-0000-0000D2770000}"/>
    <cellStyle name="40 % - Markeringsfarve4 5 5 3 4" xfId="21968" xr:uid="{00000000-0005-0000-0000-0000D3770000}"/>
    <cellStyle name="40 % - Markeringsfarve4 5 5 3 5" xfId="36956" xr:uid="{00000000-0005-0000-0000-0000D4770000}"/>
    <cellStyle name="40 % - Markeringsfarve4 5 5 4" xfId="4115" xr:uid="{00000000-0005-0000-0000-0000D5770000}"/>
    <cellStyle name="40 % - Markeringsfarve4 5 5 4 2" xfId="8684" xr:uid="{00000000-0005-0000-0000-0000D6770000}"/>
    <cellStyle name="40 % - Markeringsfarve4 5 5 4 2 2" xfId="16565" xr:uid="{00000000-0005-0000-0000-0000D7770000}"/>
    <cellStyle name="40 % - Markeringsfarve4 5 5 4 2 2 2" xfId="32879" xr:uid="{00000000-0005-0000-0000-0000D8770000}"/>
    <cellStyle name="40 % - Markeringsfarve4 5 5 4 2 2 3" xfId="47843" xr:uid="{00000000-0005-0000-0000-0000D9770000}"/>
    <cellStyle name="40 % - Markeringsfarve4 5 5 4 2 3" xfId="25857" xr:uid="{00000000-0005-0000-0000-0000DA770000}"/>
    <cellStyle name="40 % - Markeringsfarve4 5 5 4 2 4" xfId="40844" xr:uid="{00000000-0005-0000-0000-0000DB770000}"/>
    <cellStyle name="40 % - Markeringsfarve4 5 5 4 3" xfId="12672" xr:uid="{00000000-0005-0000-0000-0000DC770000}"/>
    <cellStyle name="40 % - Markeringsfarve4 5 5 4 3 2" xfId="28991" xr:uid="{00000000-0005-0000-0000-0000DD770000}"/>
    <cellStyle name="40 % - Markeringsfarve4 5 5 4 3 3" xfId="43956" xr:uid="{00000000-0005-0000-0000-0000DE770000}"/>
    <cellStyle name="40 % - Markeringsfarve4 5 5 4 4" xfId="21969" xr:uid="{00000000-0005-0000-0000-0000DF770000}"/>
    <cellStyle name="40 % - Markeringsfarve4 5 5 4 5" xfId="36957" xr:uid="{00000000-0005-0000-0000-0000E0770000}"/>
    <cellStyle name="40 % - Markeringsfarve4 5 5 5" xfId="5964" xr:uid="{00000000-0005-0000-0000-0000E1770000}"/>
    <cellStyle name="40 % - Markeringsfarve4 5 5 5 2" xfId="13882" xr:uid="{00000000-0005-0000-0000-0000E2770000}"/>
    <cellStyle name="40 % - Markeringsfarve4 5 5 5 2 2" xfId="30196" xr:uid="{00000000-0005-0000-0000-0000E3770000}"/>
    <cellStyle name="40 % - Markeringsfarve4 5 5 5 2 3" xfId="45160" xr:uid="{00000000-0005-0000-0000-0000E4770000}"/>
    <cellStyle name="40 % - Markeringsfarve4 5 5 5 3" xfId="23174" xr:uid="{00000000-0005-0000-0000-0000E5770000}"/>
    <cellStyle name="40 % - Markeringsfarve4 5 5 5 4" xfId="38161" xr:uid="{00000000-0005-0000-0000-0000E6770000}"/>
    <cellStyle name="40 % - Markeringsfarve4 5 5 6" xfId="12668" xr:uid="{00000000-0005-0000-0000-0000E7770000}"/>
    <cellStyle name="40 % - Markeringsfarve4 5 5 6 2" xfId="28987" xr:uid="{00000000-0005-0000-0000-0000E8770000}"/>
    <cellStyle name="40 % - Markeringsfarve4 5 5 6 3" xfId="43952" xr:uid="{00000000-0005-0000-0000-0000E9770000}"/>
    <cellStyle name="40 % - Markeringsfarve4 5 5 7" xfId="21965" xr:uid="{00000000-0005-0000-0000-0000EA770000}"/>
    <cellStyle name="40 % - Markeringsfarve4 5 5 8" xfId="36953" xr:uid="{00000000-0005-0000-0000-0000EB770000}"/>
    <cellStyle name="40 % - Markeringsfarve4 5 6" xfId="4116" xr:uid="{00000000-0005-0000-0000-0000EC770000}"/>
    <cellStyle name="40 % - Markeringsfarve4 5 6 2" xfId="4117" xr:uid="{00000000-0005-0000-0000-0000ED770000}"/>
    <cellStyle name="40 % - Markeringsfarve4 5 6 2 2" xfId="4118" xr:uid="{00000000-0005-0000-0000-0000EE770000}"/>
    <cellStyle name="40 % - Markeringsfarve4 5 6 2 2 2" xfId="8169" xr:uid="{00000000-0005-0000-0000-0000EF770000}"/>
    <cellStyle name="40 % - Markeringsfarve4 5 6 2 2 2 2" xfId="16070" xr:uid="{00000000-0005-0000-0000-0000F0770000}"/>
    <cellStyle name="40 % - Markeringsfarve4 5 6 2 2 2 2 2" xfId="32384" xr:uid="{00000000-0005-0000-0000-0000F1770000}"/>
    <cellStyle name="40 % - Markeringsfarve4 5 6 2 2 2 2 3" xfId="47348" xr:uid="{00000000-0005-0000-0000-0000F2770000}"/>
    <cellStyle name="40 % - Markeringsfarve4 5 6 2 2 2 3" xfId="25362" xr:uid="{00000000-0005-0000-0000-0000F3770000}"/>
    <cellStyle name="40 % - Markeringsfarve4 5 6 2 2 2 4" xfId="40349" xr:uid="{00000000-0005-0000-0000-0000F4770000}"/>
    <cellStyle name="40 % - Markeringsfarve4 5 6 2 2 3" xfId="12675" xr:uid="{00000000-0005-0000-0000-0000F5770000}"/>
    <cellStyle name="40 % - Markeringsfarve4 5 6 2 2 3 2" xfId="28994" xr:uid="{00000000-0005-0000-0000-0000F6770000}"/>
    <cellStyle name="40 % - Markeringsfarve4 5 6 2 2 3 3" xfId="43959" xr:uid="{00000000-0005-0000-0000-0000F7770000}"/>
    <cellStyle name="40 % - Markeringsfarve4 5 6 2 2 4" xfId="21972" xr:uid="{00000000-0005-0000-0000-0000F8770000}"/>
    <cellStyle name="40 % - Markeringsfarve4 5 6 2 2 5" xfId="36960" xr:uid="{00000000-0005-0000-0000-0000F9770000}"/>
    <cellStyle name="40 % - Markeringsfarve4 5 6 2 3" xfId="6662" xr:uid="{00000000-0005-0000-0000-0000FA770000}"/>
    <cellStyle name="40 % - Markeringsfarve4 5 6 2 3 2" xfId="14576" xr:uid="{00000000-0005-0000-0000-0000FB770000}"/>
    <cellStyle name="40 % - Markeringsfarve4 5 6 2 3 2 2" xfId="30890" xr:uid="{00000000-0005-0000-0000-0000FC770000}"/>
    <cellStyle name="40 % - Markeringsfarve4 5 6 2 3 2 3" xfId="45854" xr:uid="{00000000-0005-0000-0000-0000FD770000}"/>
    <cellStyle name="40 % - Markeringsfarve4 5 6 2 3 3" xfId="23868" xr:uid="{00000000-0005-0000-0000-0000FE770000}"/>
    <cellStyle name="40 % - Markeringsfarve4 5 6 2 3 4" xfId="38855" xr:uid="{00000000-0005-0000-0000-0000FF770000}"/>
    <cellStyle name="40 % - Markeringsfarve4 5 6 2 4" xfId="12674" xr:uid="{00000000-0005-0000-0000-000000780000}"/>
    <cellStyle name="40 % - Markeringsfarve4 5 6 2 4 2" xfId="28993" xr:uid="{00000000-0005-0000-0000-000001780000}"/>
    <cellStyle name="40 % - Markeringsfarve4 5 6 2 4 3" xfId="43958" xr:uid="{00000000-0005-0000-0000-000002780000}"/>
    <cellStyle name="40 % - Markeringsfarve4 5 6 2 5" xfId="21971" xr:uid="{00000000-0005-0000-0000-000003780000}"/>
    <cellStyle name="40 % - Markeringsfarve4 5 6 2 6" xfId="36959" xr:uid="{00000000-0005-0000-0000-000004780000}"/>
    <cellStyle name="40 % - Markeringsfarve4 5 6 3" xfId="4119" xr:uid="{00000000-0005-0000-0000-000005780000}"/>
    <cellStyle name="40 % - Markeringsfarve4 5 6 3 2" xfId="7446" xr:uid="{00000000-0005-0000-0000-000006780000}"/>
    <cellStyle name="40 % - Markeringsfarve4 5 6 3 2 2" xfId="15356" xr:uid="{00000000-0005-0000-0000-000007780000}"/>
    <cellStyle name="40 % - Markeringsfarve4 5 6 3 2 2 2" xfId="31670" xr:uid="{00000000-0005-0000-0000-000008780000}"/>
    <cellStyle name="40 % - Markeringsfarve4 5 6 3 2 2 3" xfId="46634" xr:uid="{00000000-0005-0000-0000-000009780000}"/>
    <cellStyle name="40 % - Markeringsfarve4 5 6 3 2 3" xfId="24648" xr:uid="{00000000-0005-0000-0000-00000A780000}"/>
    <cellStyle name="40 % - Markeringsfarve4 5 6 3 2 4" xfId="39635" xr:uid="{00000000-0005-0000-0000-00000B780000}"/>
    <cellStyle name="40 % - Markeringsfarve4 5 6 3 3" xfId="12676" xr:uid="{00000000-0005-0000-0000-00000C780000}"/>
    <cellStyle name="40 % - Markeringsfarve4 5 6 3 3 2" xfId="28995" xr:uid="{00000000-0005-0000-0000-00000D780000}"/>
    <cellStyle name="40 % - Markeringsfarve4 5 6 3 3 3" xfId="43960" xr:uid="{00000000-0005-0000-0000-00000E780000}"/>
    <cellStyle name="40 % - Markeringsfarve4 5 6 3 4" xfId="21973" xr:uid="{00000000-0005-0000-0000-00000F780000}"/>
    <cellStyle name="40 % - Markeringsfarve4 5 6 3 5" xfId="36961" xr:uid="{00000000-0005-0000-0000-000010780000}"/>
    <cellStyle name="40 % - Markeringsfarve4 5 6 4" xfId="4120" xr:uid="{00000000-0005-0000-0000-000011780000}"/>
    <cellStyle name="40 % - Markeringsfarve4 5 6 4 2" xfId="8408" xr:uid="{00000000-0005-0000-0000-000012780000}"/>
    <cellStyle name="40 % - Markeringsfarve4 5 6 4 2 2" xfId="16301" xr:uid="{00000000-0005-0000-0000-000013780000}"/>
    <cellStyle name="40 % - Markeringsfarve4 5 6 4 2 2 2" xfId="32615" xr:uid="{00000000-0005-0000-0000-000014780000}"/>
    <cellStyle name="40 % - Markeringsfarve4 5 6 4 2 2 3" xfId="47579" xr:uid="{00000000-0005-0000-0000-000015780000}"/>
    <cellStyle name="40 % - Markeringsfarve4 5 6 4 2 3" xfId="25593" xr:uid="{00000000-0005-0000-0000-000016780000}"/>
    <cellStyle name="40 % - Markeringsfarve4 5 6 4 2 4" xfId="40580" xr:uid="{00000000-0005-0000-0000-000017780000}"/>
    <cellStyle name="40 % - Markeringsfarve4 5 6 4 3" xfId="12677" xr:uid="{00000000-0005-0000-0000-000018780000}"/>
    <cellStyle name="40 % - Markeringsfarve4 5 6 4 3 2" xfId="28996" xr:uid="{00000000-0005-0000-0000-000019780000}"/>
    <cellStyle name="40 % - Markeringsfarve4 5 6 4 3 3" xfId="43961" xr:uid="{00000000-0005-0000-0000-00001A780000}"/>
    <cellStyle name="40 % - Markeringsfarve4 5 6 4 4" xfId="21974" xr:uid="{00000000-0005-0000-0000-00001B780000}"/>
    <cellStyle name="40 % - Markeringsfarve4 5 6 4 5" xfId="36962" xr:uid="{00000000-0005-0000-0000-00001C780000}"/>
    <cellStyle name="40 % - Markeringsfarve4 5 6 5" xfId="5965" xr:uid="{00000000-0005-0000-0000-00001D780000}"/>
    <cellStyle name="40 % - Markeringsfarve4 5 6 5 2" xfId="13883" xr:uid="{00000000-0005-0000-0000-00001E780000}"/>
    <cellStyle name="40 % - Markeringsfarve4 5 6 5 2 2" xfId="30197" xr:uid="{00000000-0005-0000-0000-00001F780000}"/>
    <cellStyle name="40 % - Markeringsfarve4 5 6 5 2 3" xfId="45161" xr:uid="{00000000-0005-0000-0000-000020780000}"/>
    <cellStyle name="40 % - Markeringsfarve4 5 6 5 3" xfId="23175" xr:uid="{00000000-0005-0000-0000-000021780000}"/>
    <cellStyle name="40 % - Markeringsfarve4 5 6 5 4" xfId="38162" xr:uid="{00000000-0005-0000-0000-000022780000}"/>
    <cellStyle name="40 % - Markeringsfarve4 5 6 6" xfId="12673" xr:uid="{00000000-0005-0000-0000-000023780000}"/>
    <cellStyle name="40 % - Markeringsfarve4 5 6 6 2" xfId="28992" xr:uid="{00000000-0005-0000-0000-000024780000}"/>
    <cellStyle name="40 % - Markeringsfarve4 5 6 6 3" xfId="43957" xr:uid="{00000000-0005-0000-0000-000025780000}"/>
    <cellStyle name="40 % - Markeringsfarve4 5 6 7" xfId="21970" xr:uid="{00000000-0005-0000-0000-000026780000}"/>
    <cellStyle name="40 % - Markeringsfarve4 5 6 8" xfId="36958" xr:uid="{00000000-0005-0000-0000-000027780000}"/>
    <cellStyle name="40 % - Markeringsfarve4 5 7" xfId="4121" xr:uid="{00000000-0005-0000-0000-000028780000}"/>
    <cellStyle name="40 % - Markeringsfarve4 5 7 2" xfId="4122" xr:uid="{00000000-0005-0000-0000-000029780000}"/>
    <cellStyle name="40 % - Markeringsfarve4 5 7 2 2" xfId="7574" xr:uid="{00000000-0005-0000-0000-00002A780000}"/>
    <cellStyle name="40 % - Markeringsfarve4 5 7 2 2 2" xfId="15475" xr:uid="{00000000-0005-0000-0000-00002B780000}"/>
    <cellStyle name="40 % - Markeringsfarve4 5 7 2 2 2 2" xfId="31789" xr:uid="{00000000-0005-0000-0000-00002C780000}"/>
    <cellStyle name="40 % - Markeringsfarve4 5 7 2 2 2 3" xfId="46753" xr:uid="{00000000-0005-0000-0000-00002D780000}"/>
    <cellStyle name="40 % - Markeringsfarve4 5 7 2 2 3" xfId="24767" xr:uid="{00000000-0005-0000-0000-00002E780000}"/>
    <cellStyle name="40 % - Markeringsfarve4 5 7 2 2 4" xfId="39754" xr:uid="{00000000-0005-0000-0000-00002F780000}"/>
    <cellStyle name="40 % - Markeringsfarve4 5 7 2 3" xfId="12679" xr:uid="{00000000-0005-0000-0000-000030780000}"/>
    <cellStyle name="40 % - Markeringsfarve4 5 7 2 3 2" xfId="28998" xr:uid="{00000000-0005-0000-0000-000031780000}"/>
    <cellStyle name="40 % - Markeringsfarve4 5 7 2 3 3" xfId="43963" xr:uid="{00000000-0005-0000-0000-000032780000}"/>
    <cellStyle name="40 % - Markeringsfarve4 5 7 2 4" xfId="21976" xr:uid="{00000000-0005-0000-0000-000033780000}"/>
    <cellStyle name="40 % - Markeringsfarve4 5 7 2 5" xfId="36964" xr:uid="{00000000-0005-0000-0000-000034780000}"/>
    <cellStyle name="40 % - Markeringsfarve4 5 7 3" xfId="6164" xr:uid="{00000000-0005-0000-0000-000035780000}"/>
    <cellStyle name="40 % - Markeringsfarve4 5 7 3 2" xfId="14081" xr:uid="{00000000-0005-0000-0000-000036780000}"/>
    <cellStyle name="40 % - Markeringsfarve4 5 7 3 2 2" xfId="30395" xr:uid="{00000000-0005-0000-0000-000037780000}"/>
    <cellStyle name="40 % - Markeringsfarve4 5 7 3 2 3" xfId="45359" xr:uid="{00000000-0005-0000-0000-000038780000}"/>
    <cellStyle name="40 % - Markeringsfarve4 5 7 3 3" xfId="23373" xr:uid="{00000000-0005-0000-0000-000039780000}"/>
    <cellStyle name="40 % - Markeringsfarve4 5 7 3 4" xfId="38360" xr:uid="{00000000-0005-0000-0000-00003A780000}"/>
    <cellStyle name="40 % - Markeringsfarve4 5 7 4" xfId="12678" xr:uid="{00000000-0005-0000-0000-00003B780000}"/>
    <cellStyle name="40 % - Markeringsfarve4 5 7 4 2" xfId="28997" xr:uid="{00000000-0005-0000-0000-00003C780000}"/>
    <cellStyle name="40 % - Markeringsfarve4 5 7 4 3" xfId="43962" xr:uid="{00000000-0005-0000-0000-00003D780000}"/>
    <cellStyle name="40 % - Markeringsfarve4 5 7 5" xfId="21975" xr:uid="{00000000-0005-0000-0000-00003E780000}"/>
    <cellStyle name="40 % - Markeringsfarve4 5 7 6" xfId="36963" xr:uid="{00000000-0005-0000-0000-00003F780000}"/>
    <cellStyle name="40 % - Markeringsfarve4 5 8" xfId="4123" xr:uid="{00000000-0005-0000-0000-000040780000}"/>
    <cellStyle name="40 % - Markeringsfarve4 5 8 2" xfId="6802" xr:uid="{00000000-0005-0000-0000-000041780000}"/>
    <cellStyle name="40 % - Markeringsfarve4 5 8 2 2" xfId="14713" xr:uid="{00000000-0005-0000-0000-000042780000}"/>
    <cellStyle name="40 % - Markeringsfarve4 5 8 2 2 2" xfId="31027" xr:uid="{00000000-0005-0000-0000-000043780000}"/>
    <cellStyle name="40 % - Markeringsfarve4 5 8 2 2 3" xfId="45991" xr:uid="{00000000-0005-0000-0000-000044780000}"/>
    <cellStyle name="40 % - Markeringsfarve4 5 8 2 3" xfId="24005" xr:uid="{00000000-0005-0000-0000-000045780000}"/>
    <cellStyle name="40 % - Markeringsfarve4 5 8 2 4" xfId="38992" xr:uid="{00000000-0005-0000-0000-000046780000}"/>
    <cellStyle name="40 % - Markeringsfarve4 5 8 3" xfId="12680" xr:uid="{00000000-0005-0000-0000-000047780000}"/>
    <cellStyle name="40 % - Markeringsfarve4 5 8 3 2" xfId="28999" xr:uid="{00000000-0005-0000-0000-000048780000}"/>
    <cellStyle name="40 % - Markeringsfarve4 5 8 3 3" xfId="43964" xr:uid="{00000000-0005-0000-0000-000049780000}"/>
    <cellStyle name="40 % - Markeringsfarve4 5 8 4" xfId="21977" xr:uid="{00000000-0005-0000-0000-00004A780000}"/>
    <cellStyle name="40 % - Markeringsfarve4 5 8 5" xfId="36965" xr:uid="{00000000-0005-0000-0000-00004B780000}"/>
    <cellStyle name="40 % - Markeringsfarve4 5 9" xfId="4124" xr:uid="{00000000-0005-0000-0000-00004C780000}"/>
    <cellStyle name="40 % - Markeringsfarve4 5 9 2" xfId="8767" xr:uid="{00000000-0005-0000-0000-00004D780000}"/>
    <cellStyle name="40 % - Markeringsfarve4 5 9 2 2" xfId="16643" xr:uid="{00000000-0005-0000-0000-00004E780000}"/>
    <cellStyle name="40 % - Markeringsfarve4 5 9 2 2 2" xfId="32957" xr:uid="{00000000-0005-0000-0000-00004F780000}"/>
    <cellStyle name="40 % - Markeringsfarve4 5 9 2 2 3" xfId="47921" xr:uid="{00000000-0005-0000-0000-000050780000}"/>
    <cellStyle name="40 % - Markeringsfarve4 5 9 2 3" xfId="25935" xr:uid="{00000000-0005-0000-0000-000051780000}"/>
    <cellStyle name="40 % - Markeringsfarve4 5 9 2 4" xfId="40922" xr:uid="{00000000-0005-0000-0000-000052780000}"/>
    <cellStyle name="40 % - Markeringsfarve4 5 9 3" xfId="12681" xr:uid="{00000000-0005-0000-0000-000053780000}"/>
    <cellStyle name="40 % - Markeringsfarve4 5 9 3 2" xfId="29000" xr:uid="{00000000-0005-0000-0000-000054780000}"/>
    <cellStyle name="40 % - Markeringsfarve4 5 9 3 3" xfId="43965" xr:uid="{00000000-0005-0000-0000-000055780000}"/>
    <cellStyle name="40 % - Markeringsfarve4 5 9 4" xfId="21978" xr:uid="{00000000-0005-0000-0000-000056780000}"/>
    <cellStyle name="40 % - Markeringsfarve4 5 9 5" xfId="36966" xr:uid="{00000000-0005-0000-0000-000057780000}"/>
    <cellStyle name="40 % - Markeringsfarve4 6" xfId="4125" xr:uid="{00000000-0005-0000-0000-000058780000}"/>
    <cellStyle name="40 % - Markeringsfarve4 6 2" xfId="4126" xr:uid="{00000000-0005-0000-0000-000059780000}"/>
    <cellStyle name="40 % - Markeringsfarve4 6 2 2" xfId="4127" xr:uid="{00000000-0005-0000-0000-00005A780000}"/>
    <cellStyle name="40 % - Markeringsfarve4 6 2 2 2" xfId="7615" xr:uid="{00000000-0005-0000-0000-00005B780000}"/>
    <cellStyle name="40 % - Markeringsfarve4 6 2 2 2 2" xfId="15516" xr:uid="{00000000-0005-0000-0000-00005C780000}"/>
    <cellStyle name="40 % - Markeringsfarve4 6 2 2 2 2 2" xfId="31830" xr:uid="{00000000-0005-0000-0000-00005D780000}"/>
    <cellStyle name="40 % - Markeringsfarve4 6 2 2 2 2 3" xfId="46794" xr:uid="{00000000-0005-0000-0000-00005E780000}"/>
    <cellStyle name="40 % - Markeringsfarve4 6 2 2 2 3" xfId="24808" xr:uid="{00000000-0005-0000-0000-00005F780000}"/>
    <cellStyle name="40 % - Markeringsfarve4 6 2 2 2 4" xfId="39795" xr:uid="{00000000-0005-0000-0000-000060780000}"/>
    <cellStyle name="40 % - Markeringsfarve4 6 2 2 3" xfId="12684" xr:uid="{00000000-0005-0000-0000-000061780000}"/>
    <cellStyle name="40 % - Markeringsfarve4 6 2 2 3 2" xfId="29003" xr:uid="{00000000-0005-0000-0000-000062780000}"/>
    <cellStyle name="40 % - Markeringsfarve4 6 2 2 3 3" xfId="43968" xr:uid="{00000000-0005-0000-0000-000063780000}"/>
    <cellStyle name="40 % - Markeringsfarve4 6 2 2 4" xfId="21981" xr:uid="{00000000-0005-0000-0000-000064780000}"/>
    <cellStyle name="40 % - Markeringsfarve4 6 2 2 5" xfId="36969" xr:uid="{00000000-0005-0000-0000-000065780000}"/>
    <cellStyle name="40 % - Markeringsfarve4 6 2 2 6" xfId="57195" xr:uid="{00000000-0005-0000-0000-000066780000}"/>
    <cellStyle name="40 % - Markeringsfarve4 6 2 3" xfId="6197" xr:uid="{00000000-0005-0000-0000-000067780000}"/>
    <cellStyle name="40 % - Markeringsfarve4 6 2 3 2" xfId="14114" xr:uid="{00000000-0005-0000-0000-000068780000}"/>
    <cellStyle name="40 % - Markeringsfarve4 6 2 3 2 2" xfId="30428" xr:uid="{00000000-0005-0000-0000-000069780000}"/>
    <cellStyle name="40 % - Markeringsfarve4 6 2 3 2 3" xfId="45392" xr:uid="{00000000-0005-0000-0000-00006A780000}"/>
    <cellStyle name="40 % - Markeringsfarve4 6 2 3 3" xfId="23406" xr:uid="{00000000-0005-0000-0000-00006B780000}"/>
    <cellStyle name="40 % - Markeringsfarve4 6 2 3 4" xfId="38393" xr:uid="{00000000-0005-0000-0000-00006C780000}"/>
    <cellStyle name="40 % - Markeringsfarve4 6 2 4" xfId="12683" xr:uid="{00000000-0005-0000-0000-00006D780000}"/>
    <cellStyle name="40 % - Markeringsfarve4 6 2 4 2" xfId="29002" xr:uid="{00000000-0005-0000-0000-00006E780000}"/>
    <cellStyle name="40 % - Markeringsfarve4 6 2 4 3" xfId="43967" xr:uid="{00000000-0005-0000-0000-00006F780000}"/>
    <cellStyle name="40 % - Markeringsfarve4 6 2 5" xfId="21980" xr:uid="{00000000-0005-0000-0000-000070780000}"/>
    <cellStyle name="40 % - Markeringsfarve4 6 2 6" xfId="36968" xr:uid="{00000000-0005-0000-0000-000071780000}"/>
    <cellStyle name="40 % - Markeringsfarve4 6 2 7" xfId="54028" xr:uid="{00000000-0005-0000-0000-000072780000}"/>
    <cellStyle name="40 % - Markeringsfarve4 6 3" xfId="4128" xr:uid="{00000000-0005-0000-0000-000073780000}"/>
    <cellStyle name="40 % - Markeringsfarve4 6 3 2" xfId="6845" xr:uid="{00000000-0005-0000-0000-000074780000}"/>
    <cellStyle name="40 % - Markeringsfarve4 6 3 2 2" xfId="14756" xr:uid="{00000000-0005-0000-0000-000075780000}"/>
    <cellStyle name="40 % - Markeringsfarve4 6 3 2 2 2" xfId="31070" xr:uid="{00000000-0005-0000-0000-000076780000}"/>
    <cellStyle name="40 % - Markeringsfarve4 6 3 2 2 3" xfId="46034" xr:uid="{00000000-0005-0000-0000-000077780000}"/>
    <cellStyle name="40 % - Markeringsfarve4 6 3 2 3" xfId="24048" xr:uid="{00000000-0005-0000-0000-000078780000}"/>
    <cellStyle name="40 % - Markeringsfarve4 6 3 2 4" xfId="39035" xr:uid="{00000000-0005-0000-0000-000079780000}"/>
    <cellStyle name="40 % - Markeringsfarve4 6 3 3" xfId="12685" xr:uid="{00000000-0005-0000-0000-00007A780000}"/>
    <cellStyle name="40 % - Markeringsfarve4 6 3 3 2" xfId="29004" xr:uid="{00000000-0005-0000-0000-00007B780000}"/>
    <cellStyle name="40 % - Markeringsfarve4 6 3 3 3" xfId="43969" xr:uid="{00000000-0005-0000-0000-00007C780000}"/>
    <cellStyle name="40 % - Markeringsfarve4 6 3 4" xfId="21982" xr:uid="{00000000-0005-0000-0000-00007D780000}"/>
    <cellStyle name="40 % - Markeringsfarve4 6 3 5" xfId="36970" xr:uid="{00000000-0005-0000-0000-00007E780000}"/>
    <cellStyle name="40 % - Markeringsfarve4 6 3 6" xfId="56572" xr:uid="{00000000-0005-0000-0000-00007F780000}"/>
    <cellStyle name="40 % - Markeringsfarve4 6 4" xfId="4129" xr:uid="{00000000-0005-0000-0000-000080780000}"/>
    <cellStyle name="40 % - Markeringsfarve4 6 4 2" xfId="8633" xr:uid="{00000000-0005-0000-0000-000081780000}"/>
    <cellStyle name="40 % - Markeringsfarve4 6 4 2 2" xfId="16516" xr:uid="{00000000-0005-0000-0000-000082780000}"/>
    <cellStyle name="40 % - Markeringsfarve4 6 4 2 2 2" xfId="32830" xr:uid="{00000000-0005-0000-0000-000083780000}"/>
    <cellStyle name="40 % - Markeringsfarve4 6 4 2 2 3" xfId="47794" xr:uid="{00000000-0005-0000-0000-000084780000}"/>
    <cellStyle name="40 % - Markeringsfarve4 6 4 2 3" xfId="25808" xr:uid="{00000000-0005-0000-0000-000085780000}"/>
    <cellStyle name="40 % - Markeringsfarve4 6 4 2 4" xfId="40795" xr:uid="{00000000-0005-0000-0000-000086780000}"/>
    <cellStyle name="40 % - Markeringsfarve4 6 4 3" xfId="12686" xr:uid="{00000000-0005-0000-0000-000087780000}"/>
    <cellStyle name="40 % - Markeringsfarve4 6 4 3 2" xfId="29005" xr:uid="{00000000-0005-0000-0000-000088780000}"/>
    <cellStyle name="40 % - Markeringsfarve4 6 4 3 3" xfId="43970" xr:uid="{00000000-0005-0000-0000-000089780000}"/>
    <cellStyle name="40 % - Markeringsfarve4 6 4 4" xfId="21983" xr:uid="{00000000-0005-0000-0000-00008A780000}"/>
    <cellStyle name="40 % - Markeringsfarve4 6 4 5" xfId="36971" xr:uid="{00000000-0005-0000-0000-00008B780000}"/>
    <cellStyle name="40 % - Markeringsfarve4 6 5" xfId="5966" xr:uid="{00000000-0005-0000-0000-00008C780000}"/>
    <cellStyle name="40 % - Markeringsfarve4 6 5 2" xfId="13884" xr:uid="{00000000-0005-0000-0000-00008D780000}"/>
    <cellStyle name="40 % - Markeringsfarve4 6 5 2 2" xfId="30198" xr:uid="{00000000-0005-0000-0000-00008E780000}"/>
    <cellStyle name="40 % - Markeringsfarve4 6 5 2 3" xfId="45162" xr:uid="{00000000-0005-0000-0000-00008F780000}"/>
    <cellStyle name="40 % - Markeringsfarve4 6 5 3" xfId="23176" xr:uid="{00000000-0005-0000-0000-000090780000}"/>
    <cellStyle name="40 % - Markeringsfarve4 6 5 4" xfId="38163" xr:uid="{00000000-0005-0000-0000-000091780000}"/>
    <cellStyle name="40 % - Markeringsfarve4 6 6" xfId="12682" xr:uid="{00000000-0005-0000-0000-000092780000}"/>
    <cellStyle name="40 % - Markeringsfarve4 6 6 2" xfId="29001" xr:uid="{00000000-0005-0000-0000-000093780000}"/>
    <cellStyle name="40 % - Markeringsfarve4 6 6 3" xfId="43966" xr:uid="{00000000-0005-0000-0000-000094780000}"/>
    <cellStyle name="40 % - Markeringsfarve4 6 7" xfId="21979" xr:uid="{00000000-0005-0000-0000-000095780000}"/>
    <cellStyle name="40 % - Markeringsfarve4 6 8" xfId="36967" xr:uid="{00000000-0005-0000-0000-000096780000}"/>
    <cellStyle name="40 % - Markeringsfarve4 6 9" xfId="53391" xr:uid="{00000000-0005-0000-0000-000097780000}"/>
    <cellStyle name="40 % - Markeringsfarve4 7" xfId="4130" xr:uid="{00000000-0005-0000-0000-000098780000}"/>
    <cellStyle name="40 % - Markeringsfarve4 7 2" xfId="4131" xr:uid="{00000000-0005-0000-0000-000099780000}"/>
    <cellStyle name="40 % - Markeringsfarve4 7 2 2" xfId="4132" xr:uid="{00000000-0005-0000-0000-00009A780000}"/>
    <cellStyle name="40 % - Markeringsfarve4 7 2 2 2" xfId="7807" xr:uid="{00000000-0005-0000-0000-00009B780000}"/>
    <cellStyle name="40 % - Markeringsfarve4 7 2 2 2 2" xfId="15708" xr:uid="{00000000-0005-0000-0000-00009C780000}"/>
    <cellStyle name="40 % - Markeringsfarve4 7 2 2 2 2 2" xfId="32022" xr:uid="{00000000-0005-0000-0000-00009D780000}"/>
    <cellStyle name="40 % - Markeringsfarve4 7 2 2 2 2 3" xfId="46986" xr:uid="{00000000-0005-0000-0000-00009E780000}"/>
    <cellStyle name="40 % - Markeringsfarve4 7 2 2 2 3" xfId="25000" xr:uid="{00000000-0005-0000-0000-00009F780000}"/>
    <cellStyle name="40 % - Markeringsfarve4 7 2 2 2 4" xfId="39987" xr:uid="{00000000-0005-0000-0000-0000A0780000}"/>
    <cellStyle name="40 % - Markeringsfarve4 7 2 2 3" xfId="12689" xr:uid="{00000000-0005-0000-0000-0000A1780000}"/>
    <cellStyle name="40 % - Markeringsfarve4 7 2 2 3 2" xfId="29008" xr:uid="{00000000-0005-0000-0000-0000A2780000}"/>
    <cellStyle name="40 % - Markeringsfarve4 7 2 2 3 3" xfId="43973" xr:uid="{00000000-0005-0000-0000-0000A3780000}"/>
    <cellStyle name="40 % - Markeringsfarve4 7 2 2 4" xfId="21986" xr:uid="{00000000-0005-0000-0000-0000A4780000}"/>
    <cellStyle name="40 % - Markeringsfarve4 7 2 2 5" xfId="36974" xr:uid="{00000000-0005-0000-0000-0000A5780000}"/>
    <cellStyle name="40 % - Markeringsfarve4 7 2 3" xfId="6353" xr:uid="{00000000-0005-0000-0000-0000A6780000}"/>
    <cellStyle name="40 % - Markeringsfarve4 7 2 3 2" xfId="14270" xr:uid="{00000000-0005-0000-0000-0000A7780000}"/>
    <cellStyle name="40 % - Markeringsfarve4 7 2 3 2 2" xfId="30584" xr:uid="{00000000-0005-0000-0000-0000A8780000}"/>
    <cellStyle name="40 % - Markeringsfarve4 7 2 3 2 3" xfId="45548" xr:uid="{00000000-0005-0000-0000-0000A9780000}"/>
    <cellStyle name="40 % - Markeringsfarve4 7 2 3 3" xfId="23562" xr:uid="{00000000-0005-0000-0000-0000AA780000}"/>
    <cellStyle name="40 % - Markeringsfarve4 7 2 3 4" xfId="38549" xr:uid="{00000000-0005-0000-0000-0000AB780000}"/>
    <cellStyle name="40 % - Markeringsfarve4 7 2 4" xfId="12688" xr:uid="{00000000-0005-0000-0000-0000AC780000}"/>
    <cellStyle name="40 % - Markeringsfarve4 7 2 4 2" xfId="29007" xr:uid="{00000000-0005-0000-0000-0000AD780000}"/>
    <cellStyle name="40 % - Markeringsfarve4 7 2 4 3" xfId="43972" xr:uid="{00000000-0005-0000-0000-0000AE780000}"/>
    <cellStyle name="40 % - Markeringsfarve4 7 2 5" xfId="21985" xr:uid="{00000000-0005-0000-0000-0000AF780000}"/>
    <cellStyle name="40 % - Markeringsfarve4 7 2 6" xfId="36973" xr:uid="{00000000-0005-0000-0000-0000B0780000}"/>
    <cellStyle name="40 % - Markeringsfarve4 7 2 7" xfId="57119" xr:uid="{00000000-0005-0000-0000-0000B1780000}"/>
    <cellStyle name="40 % - Markeringsfarve4 7 3" xfId="4133" xr:uid="{00000000-0005-0000-0000-0000B2780000}"/>
    <cellStyle name="40 % - Markeringsfarve4 7 3 2" xfId="7037" xr:uid="{00000000-0005-0000-0000-0000B3780000}"/>
    <cellStyle name="40 % - Markeringsfarve4 7 3 2 2" xfId="14948" xr:uid="{00000000-0005-0000-0000-0000B4780000}"/>
    <cellStyle name="40 % - Markeringsfarve4 7 3 2 2 2" xfId="31262" xr:uid="{00000000-0005-0000-0000-0000B5780000}"/>
    <cellStyle name="40 % - Markeringsfarve4 7 3 2 2 3" xfId="46226" xr:uid="{00000000-0005-0000-0000-0000B6780000}"/>
    <cellStyle name="40 % - Markeringsfarve4 7 3 2 3" xfId="24240" xr:uid="{00000000-0005-0000-0000-0000B7780000}"/>
    <cellStyle name="40 % - Markeringsfarve4 7 3 2 4" xfId="39227" xr:uid="{00000000-0005-0000-0000-0000B8780000}"/>
    <cellStyle name="40 % - Markeringsfarve4 7 3 3" xfId="12690" xr:uid="{00000000-0005-0000-0000-0000B9780000}"/>
    <cellStyle name="40 % - Markeringsfarve4 7 3 3 2" xfId="29009" xr:uid="{00000000-0005-0000-0000-0000BA780000}"/>
    <cellStyle name="40 % - Markeringsfarve4 7 3 3 3" xfId="43974" xr:uid="{00000000-0005-0000-0000-0000BB780000}"/>
    <cellStyle name="40 % - Markeringsfarve4 7 3 4" xfId="21987" xr:uid="{00000000-0005-0000-0000-0000BC780000}"/>
    <cellStyle name="40 % - Markeringsfarve4 7 3 5" xfId="36975" xr:uid="{00000000-0005-0000-0000-0000BD780000}"/>
    <cellStyle name="40 % - Markeringsfarve4 7 4" xfId="4134" xr:uid="{00000000-0005-0000-0000-0000BE780000}"/>
    <cellStyle name="40 % - Markeringsfarve4 7 4 2" xfId="8283" xr:uid="{00000000-0005-0000-0000-0000BF780000}"/>
    <cellStyle name="40 % - Markeringsfarve4 7 4 2 2" xfId="16177" xr:uid="{00000000-0005-0000-0000-0000C0780000}"/>
    <cellStyle name="40 % - Markeringsfarve4 7 4 2 2 2" xfId="32491" xr:uid="{00000000-0005-0000-0000-0000C1780000}"/>
    <cellStyle name="40 % - Markeringsfarve4 7 4 2 2 3" xfId="47455" xr:uid="{00000000-0005-0000-0000-0000C2780000}"/>
    <cellStyle name="40 % - Markeringsfarve4 7 4 2 3" xfId="25469" xr:uid="{00000000-0005-0000-0000-0000C3780000}"/>
    <cellStyle name="40 % - Markeringsfarve4 7 4 2 4" xfId="40456" xr:uid="{00000000-0005-0000-0000-0000C4780000}"/>
    <cellStyle name="40 % - Markeringsfarve4 7 4 3" xfId="12691" xr:uid="{00000000-0005-0000-0000-0000C5780000}"/>
    <cellStyle name="40 % - Markeringsfarve4 7 4 3 2" xfId="29010" xr:uid="{00000000-0005-0000-0000-0000C6780000}"/>
    <cellStyle name="40 % - Markeringsfarve4 7 4 3 3" xfId="43975" xr:uid="{00000000-0005-0000-0000-0000C7780000}"/>
    <cellStyle name="40 % - Markeringsfarve4 7 4 4" xfId="21988" xr:uid="{00000000-0005-0000-0000-0000C8780000}"/>
    <cellStyle name="40 % - Markeringsfarve4 7 4 5" xfId="36976" xr:uid="{00000000-0005-0000-0000-0000C9780000}"/>
    <cellStyle name="40 % - Markeringsfarve4 7 5" xfId="5967" xr:uid="{00000000-0005-0000-0000-0000CA780000}"/>
    <cellStyle name="40 % - Markeringsfarve4 7 5 2" xfId="13885" xr:uid="{00000000-0005-0000-0000-0000CB780000}"/>
    <cellStyle name="40 % - Markeringsfarve4 7 5 2 2" xfId="30199" xr:uid="{00000000-0005-0000-0000-0000CC780000}"/>
    <cellStyle name="40 % - Markeringsfarve4 7 5 2 3" xfId="45163" xr:uid="{00000000-0005-0000-0000-0000CD780000}"/>
    <cellStyle name="40 % - Markeringsfarve4 7 5 3" xfId="23177" xr:uid="{00000000-0005-0000-0000-0000CE780000}"/>
    <cellStyle name="40 % - Markeringsfarve4 7 5 4" xfId="38164" xr:uid="{00000000-0005-0000-0000-0000CF780000}"/>
    <cellStyle name="40 % - Markeringsfarve4 7 6" xfId="12687" xr:uid="{00000000-0005-0000-0000-0000D0780000}"/>
    <cellStyle name="40 % - Markeringsfarve4 7 6 2" xfId="29006" xr:uid="{00000000-0005-0000-0000-0000D1780000}"/>
    <cellStyle name="40 % - Markeringsfarve4 7 6 3" xfId="43971" xr:uid="{00000000-0005-0000-0000-0000D2780000}"/>
    <cellStyle name="40 % - Markeringsfarve4 7 7" xfId="21984" xr:uid="{00000000-0005-0000-0000-0000D3780000}"/>
    <cellStyle name="40 % - Markeringsfarve4 7 8" xfId="36972" xr:uid="{00000000-0005-0000-0000-0000D4780000}"/>
    <cellStyle name="40 % - Markeringsfarve4 7 9" xfId="53952" xr:uid="{00000000-0005-0000-0000-0000D5780000}"/>
    <cellStyle name="40 % - Markeringsfarve4 8" xfId="4135" xr:uid="{00000000-0005-0000-0000-0000D6780000}"/>
    <cellStyle name="40 % - Markeringsfarve4 8 2" xfId="4136" xr:uid="{00000000-0005-0000-0000-0000D7780000}"/>
    <cellStyle name="40 % - Markeringsfarve4 8 2 2" xfId="4137" xr:uid="{00000000-0005-0000-0000-0000D8780000}"/>
    <cellStyle name="40 % - Markeringsfarve4 8 2 2 2" xfId="7853" xr:uid="{00000000-0005-0000-0000-0000D9780000}"/>
    <cellStyle name="40 % - Markeringsfarve4 8 2 2 2 2" xfId="15754" xr:uid="{00000000-0005-0000-0000-0000DA780000}"/>
    <cellStyle name="40 % - Markeringsfarve4 8 2 2 2 2 2" xfId="32068" xr:uid="{00000000-0005-0000-0000-0000DB780000}"/>
    <cellStyle name="40 % - Markeringsfarve4 8 2 2 2 2 3" xfId="47032" xr:uid="{00000000-0005-0000-0000-0000DC780000}"/>
    <cellStyle name="40 % - Markeringsfarve4 8 2 2 2 3" xfId="25046" xr:uid="{00000000-0005-0000-0000-0000DD780000}"/>
    <cellStyle name="40 % - Markeringsfarve4 8 2 2 2 4" xfId="40033" xr:uid="{00000000-0005-0000-0000-0000DE780000}"/>
    <cellStyle name="40 % - Markeringsfarve4 8 2 2 3" xfId="12694" xr:uid="{00000000-0005-0000-0000-0000DF780000}"/>
    <cellStyle name="40 % - Markeringsfarve4 8 2 2 3 2" xfId="29013" xr:uid="{00000000-0005-0000-0000-0000E0780000}"/>
    <cellStyle name="40 % - Markeringsfarve4 8 2 2 3 3" xfId="43978" xr:uid="{00000000-0005-0000-0000-0000E1780000}"/>
    <cellStyle name="40 % - Markeringsfarve4 8 2 2 4" xfId="21991" xr:uid="{00000000-0005-0000-0000-0000E2780000}"/>
    <cellStyle name="40 % - Markeringsfarve4 8 2 2 5" xfId="36979" xr:uid="{00000000-0005-0000-0000-0000E3780000}"/>
    <cellStyle name="40 % - Markeringsfarve4 8 2 3" xfId="6399" xr:uid="{00000000-0005-0000-0000-0000E4780000}"/>
    <cellStyle name="40 % - Markeringsfarve4 8 2 3 2" xfId="14313" xr:uid="{00000000-0005-0000-0000-0000E5780000}"/>
    <cellStyle name="40 % - Markeringsfarve4 8 2 3 2 2" xfId="30627" xr:uid="{00000000-0005-0000-0000-0000E6780000}"/>
    <cellStyle name="40 % - Markeringsfarve4 8 2 3 2 3" xfId="45591" xr:uid="{00000000-0005-0000-0000-0000E7780000}"/>
    <cellStyle name="40 % - Markeringsfarve4 8 2 3 3" xfId="23605" xr:uid="{00000000-0005-0000-0000-0000E8780000}"/>
    <cellStyle name="40 % - Markeringsfarve4 8 2 3 4" xfId="38592" xr:uid="{00000000-0005-0000-0000-0000E9780000}"/>
    <cellStyle name="40 % - Markeringsfarve4 8 2 4" xfId="12693" xr:uid="{00000000-0005-0000-0000-0000EA780000}"/>
    <cellStyle name="40 % - Markeringsfarve4 8 2 4 2" xfId="29012" xr:uid="{00000000-0005-0000-0000-0000EB780000}"/>
    <cellStyle name="40 % - Markeringsfarve4 8 2 4 3" xfId="43977" xr:uid="{00000000-0005-0000-0000-0000EC780000}"/>
    <cellStyle name="40 % - Markeringsfarve4 8 2 5" xfId="21990" xr:uid="{00000000-0005-0000-0000-0000ED780000}"/>
    <cellStyle name="40 % - Markeringsfarve4 8 2 6" xfId="36978" xr:uid="{00000000-0005-0000-0000-0000EE780000}"/>
    <cellStyle name="40 % - Markeringsfarve4 8 3" xfId="4138" xr:uid="{00000000-0005-0000-0000-0000EF780000}"/>
    <cellStyle name="40 % - Markeringsfarve4 8 3 2" xfId="7129" xr:uid="{00000000-0005-0000-0000-0000F0780000}"/>
    <cellStyle name="40 % - Markeringsfarve4 8 3 2 2" xfId="15039" xr:uid="{00000000-0005-0000-0000-0000F1780000}"/>
    <cellStyle name="40 % - Markeringsfarve4 8 3 2 2 2" xfId="31353" xr:uid="{00000000-0005-0000-0000-0000F2780000}"/>
    <cellStyle name="40 % - Markeringsfarve4 8 3 2 2 3" xfId="46317" xr:uid="{00000000-0005-0000-0000-0000F3780000}"/>
    <cellStyle name="40 % - Markeringsfarve4 8 3 2 3" xfId="24331" xr:uid="{00000000-0005-0000-0000-0000F4780000}"/>
    <cellStyle name="40 % - Markeringsfarve4 8 3 2 4" xfId="39318" xr:uid="{00000000-0005-0000-0000-0000F5780000}"/>
    <cellStyle name="40 % - Markeringsfarve4 8 3 3" xfId="12695" xr:uid="{00000000-0005-0000-0000-0000F6780000}"/>
    <cellStyle name="40 % - Markeringsfarve4 8 3 3 2" xfId="29014" xr:uid="{00000000-0005-0000-0000-0000F7780000}"/>
    <cellStyle name="40 % - Markeringsfarve4 8 3 3 3" xfId="43979" xr:uid="{00000000-0005-0000-0000-0000F8780000}"/>
    <cellStyle name="40 % - Markeringsfarve4 8 3 4" xfId="21992" xr:uid="{00000000-0005-0000-0000-0000F9780000}"/>
    <cellStyle name="40 % - Markeringsfarve4 8 3 5" xfId="36980" xr:uid="{00000000-0005-0000-0000-0000FA780000}"/>
    <cellStyle name="40 % - Markeringsfarve4 8 4" xfId="4139" xr:uid="{00000000-0005-0000-0000-0000FB780000}"/>
    <cellStyle name="40 % - Markeringsfarve4 8 4 2" xfId="8592" xr:uid="{00000000-0005-0000-0000-0000FC780000}"/>
    <cellStyle name="40 % - Markeringsfarve4 8 4 2 2" xfId="16479" xr:uid="{00000000-0005-0000-0000-0000FD780000}"/>
    <cellStyle name="40 % - Markeringsfarve4 8 4 2 2 2" xfId="32793" xr:uid="{00000000-0005-0000-0000-0000FE780000}"/>
    <cellStyle name="40 % - Markeringsfarve4 8 4 2 2 3" xfId="47757" xr:uid="{00000000-0005-0000-0000-0000FF780000}"/>
    <cellStyle name="40 % - Markeringsfarve4 8 4 2 3" xfId="25771" xr:uid="{00000000-0005-0000-0000-000000790000}"/>
    <cellStyle name="40 % - Markeringsfarve4 8 4 2 4" xfId="40758" xr:uid="{00000000-0005-0000-0000-000001790000}"/>
    <cellStyle name="40 % - Markeringsfarve4 8 4 3" xfId="12696" xr:uid="{00000000-0005-0000-0000-000002790000}"/>
    <cellStyle name="40 % - Markeringsfarve4 8 4 3 2" xfId="29015" xr:uid="{00000000-0005-0000-0000-000003790000}"/>
    <cellStyle name="40 % - Markeringsfarve4 8 4 3 3" xfId="43980" xr:uid="{00000000-0005-0000-0000-000004790000}"/>
    <cellStyle name="40 % - Markeringsfarve4 8 4 4" xfId="21993" xr:uid="{00000000-0005-0000-0000-000005790000}"/>
    <cellStyle name="40 % - Markeringsfarve4 8 4 5" xfId="36981" xr:uid="{00000000-0005-0000-0000-000006790000}"/>
    <cellStyle name="40 % - Markeringsfarve4 8 5" xfId="5968" xr:uid="{00000000-0005-0000-0000-000007790000}"/>
    <cellStyle name="40 % - Markeringsfarve4 8 5 2" xfId="13886" xr:uid="{00000000-0005-0000-0000-000008790000}"/>
    <cellStyle name="40 % - Markeringsfarve4 8 5 2 2" xfId="30200" xr:uid="{00000000-0005-0000-0000-000009790000}"/>
    <cellStyle name="40 % - Markeringsfarve4 8 5 2 3" xfId="45164" xr:uid="{00000000-0005-0000-0000-00000A790000}"/>
    <cellStyle name="40 % - Markeringsfarve4 8 5 3" xfId="23178" xr:uid="{00000000-0005-0000-0000-00000B790000}"/>
    <cellStyle name="40 % - Markeringsfarve4 8 5 4" xfId="38165" xr:uid="{00000000-0005-0000-0000-00000C790000}"/>
    <cellStyle name="40 % - Markeringsfarve4 8 6" xfId="12692" xr:uid="{00000000-0005-0000-0000-00000D790000}"/>
    <cellStyle name="40 % - Markeringsfarve4 8 6 2" xfId="29011" xr:uid="{00000000-0005-0000-0000-00000E790000}"/>
    <cellStyle name="40 % - Markeringsfarve4 8 6 3" xfId="43976" xr:uid="{00000000-0005-0000-0000-00000F790000}"/>
    <cellStyle name="40 % - Markeringsfarve4 8 7" xfId="21989" xr:uid="{00000000-0005-0000-0000-000010790000}"/>
    <cellStyle name="40 % - Markeringsfarve4 8 8" xfId="36977" xr:uid="{00000000-0005-0000-0000-000011790000}"/>
    <cellStyle name="40 % - Markeringsfarve4 9" xfId="4140" xr:uid="{00000000-0005-0000-0000-000012790000}"/>
    <cellStyle name="40 % - Markeringsfarve4 9 2" xfId="4141" xr:uid="{00000000-0005-0000-0000-000013790000}"/>
    <cellStyle name="40 % - Markeringsfarve4 9 2 2" xfId="4142" xr:uid="{00000000-0005-0000-0000-000014790000}"/>
    <cellStyle name="40 % - Markeringsfarve4 9 2 2 2" xfId="7970" xr:uid="{00000000-0005-0000-0000-000015790000}"/>
    <cellStyle name="40 % - Markeringsfarve4 9 2 2 2 2" xfId="15871" xr:uid="{00000000-0005-0000-0000-000016790000}"/>
    <cellStyle name="40 % - Markeringsfarve4 9 2 2 2 2 2" xfId="32185" xr:uid="{00000000-0005-0000-0000-000017790000}"/>
    <cellStyle name="40 % - Markeringsfarve4 9 2 2 2 2 3" xfId="47149" xr:uid="{00000000-0005-0000-0000-000018790000}"/>
    <cellStyle name="40 % - Markeringsfarve4 9 2 2 2 3" xfId="25163" xr:uid="{00000000-0005-0000-0000-000019790000}"/>
    <cellStyle name="40 % - Markeringsfarve4 9 2 2 2 4" xfId="40150" xr:uid="{00000000-0005-0000-0000-00001A790000}"/>
    <cellStyle name="40 % - Markeringsfarve4 9 2 2 3" xfId="12699" xr:uid="{00000000-0005-0000-0000-00001B790000}"/>
    <cellStyle name="40 % - Markeringsfarve4 9 2 2 3 2" xfId="29018" xr:uid="{00000000-0005-0000-0000-00001C790000}"/>
    <cellStyle name="40 % - Markeringsfarve4 9 2 2 3 3" xfId="43983" xr:uid="{00000000-0005-0000-0000-00001D790000}"/>
    <cellStyle name="40 % - Markeringsfarve4 9 2 2 4" xfId="21996" xr:uid="{00000000-0005-0000-0000-00001E790000}"/>
    <cellStyle name="40 % - Markeringsfarve4 9 2 2 5" xfId="36984" xr:uid="{00000000-0005-0000-0000-00001F790000}"/>
    <cellStyle name="40 % - Markeringsfarve4 9 2 3" xfId="6498" xr:uid="{00000000-0005-0000-0000-000020790000}"/>
    <cellStyle name="40 % - Markeringsfarve4 9 2 3 2" xfId="14412" xr:uid="{00000000-0005-0000-0000-000021790000}"/>
    <cellStyle name="40 % - Markeringsfarve4 9 2 3 2 2" xfId="30726" xr:uid="{00000000-0005-0000-0000-000022790000}"/>
    <cellStyle name="40 % - Markeringsfarve4 9 2 3 2 3" xfId="45690" xr:uid="{00000000-0005-0000-0000-000023790000}"/>
    <cellStyle name="40 % - Markeringsfarve4 9 2 3 3" xfId="23704" xr:uid="{00000000-0005-0000-0000-000024790000}"/>
    <cellStyle name="40 % - Markeringsfarve4 9 2 3 4" xfId="38691" xr:uid="{00000000-0005-0000-0000-000025790000}"/>
    <cellStyle name="40 % - Markeringsfarve4 9 2 4" xfId="12698" xr:uid="{00000000-0005-0000-0000-000026790000}"/>
    <cellStyle name="40 % - Markeringsfarve4 9 2 4 2" xfId="29017" xr:uid="{00000000-0005-0000-0000-000027790000}"/>
    <cellStyle name="40 % - Markeringsfarve4 9 2 4 3" xfId="43982" xr:uid="{00000000-0005-0000-0000-000028790000}"/>
    <cellStyle name="40 % - Markeringsfarve4 9 2 5" xfId="21995" xr:uid="{00000000-0005-0000-0000-000029790000}"/>
    <cellStyle name="40 % - Markeringsfarve4 9 2 6" xfId="36983" xr:uid="{00000000-0005-0000-0000-00002A790000}"/>
    <cellStyle name="40 % - Markeringsfarve4 9 3" xfId="4143" xr:uid="{00000000-0005-0000-0000-00002B790000}"/>
    <cellStyle name="40 % - Markeringsfarve4 9 3 2" xfId="7246" xr:uid="{00000000-0005-0000-0000-00002C790000}"/>
    <cellStyle name="40 % - Markeringsfarve4 9 3 2 2" xfId="15156" xr:uid="{00000000-0005-0000-0000-00002D790000}"/>
    <cellStyle name="40 % - Markeringsfarve4 9 3 2 2 2" xfId="31470" xr:uid="{00000000-0005-0000-0000-00002E790000}"/>
    <cellStyle name="40 % - Markeringsfarve4 9 3 2 2 3" xfId="46434" xr:uid="{00000000-0005-0000-0000-00002F790000}"/>
    <cellStyle name="40 % - Markeringsfarve4 9 3 2 3" xfId="24448" xr:uid="{00000000-0005-0000-0000-000030790000}"/>
    <cellStyle name="40 % - Markeringsfarve4 9 3 2 4" xfId="39435" xr:uid="{00000000-0005-0000-0000-000031790000}"/>
    <cellStyle name="40 % - Markeringsfarve4 9 3 3" xfId="12700" xr:uid="{00000000-0005-0000-0000-000032790000}"/>
    <cellStyle name="40 % - Markeringsfarve4 9 3 3 2" xfId="29019" xr:uid="{00000000-0005-0000-0000-000033790000}"/>
    <cellStyle name="40 % - Markeringsfarve4 9 3 3 3" xfId="43984" xr:uid="{00000000-0005-0000-0000-000034790000}"/>
    <cellStyle name="40 % - Markeringsfarve4 9 3 4" xfId="21997" xr:uid="{00000000-0005-0000-0000-000035790000}"/>
    <cellStyle name="40 % - Markeringsfarve4 9 3 5" xfId="36985" xr:uid="{00000000-0005-0000-0000-000036790000}"/>
    <cellStyle name="40 % - Markeringsfarve4 9 4" xfId="4144" xr:uid="{00000000-0005-0000-0000-000037790000}"/>
    <cellStyle name="40 % - Markeringsfarve4 9 4 2" xfId="8243" xr:uid="{00000000-0005-0000-0000-000038790000}"/>
    <cellStyle name="40 % - Markeringsfarve4 9 4 2 2" xfId="16140" xr:uid="{00000000-0005-0000-0000-000039790000}"/>
    <cellStyle name="40 % - Markeringsfarve4 9 4 2 2 2" xfId="32454" xr:uid="{00000000-0005-0000-0000-00003A790000}"/>
    <cellStyle name="40 % - Markeringsfarve4 9 4 2 2 3" xfId="47418" xr:uid="{00000000-0005-0000-0000-00003B790000}"/>
    <cellStyle name="40 % - Markeringsfarve4 9 4 2 3" xfId="25432" xr:uid="{00000000-0005-0000-0000-00003C790000}"/>
    <cellStyle name="40 % - Markeringsfarve4 9 4 2 4" xfId="40419" xr:uid="{00000000-0005-0000-0000-00003D790000}"/>
    <cellStyle name="40 % - Markeringsfarve4 9 4 3" xfId="12701" xr:uid="{00000000-0005-0000-0000-00003E790000}"/>
    <cellStyle name="40 % - Markeringsfarve4 9 4 3 2" xfId="29020" xr:uid="{00000000-0005-0000-0000-00003F790000}"/>
    <cellStyle name="40 % - Markeringsfarve4 9 4 3 3" xfId="43985" xr:uid="{00000000-0005-0000-0000-000040790000}"/>
    <cellStyle name="40 % - Markeringsfarve4 9 4 4" xfId="21998" xr:uid="{00000000-0005-0000-0000-000041790000}"/>
    <cellStyle name="40 % - Markeringsfarve4 9 4 5" xfId="36986" xr:uid="{00000000-0005-0000-0000-000042790000}"/>
    <cellStyle name="40 % - Markeringsfarve4 9 5" xfId="5969" xr:uid="{00000000-0005-0000-0000-000043790000}"/>
    <cellStyle name="40 % - Markeringsfarve4 9 5 2" xfId="13887" xr:uid="{00000000-0005-0000-0000-000044790000}"/>
    <cellStyle name="40 % - Markeringsfarve4 9 5 2 2" xfId="30201" xr:uid="{00000000-0005-0000-0000-000045790000}"/>
    <cellStyle name="40 % - Markeringsfarve4 9 5 2 3" xfId="45165" xr:uid="{00000000-0005-0000-0000-000046790000}"/>
    <cellStyle name="40 % - Markeringsfarve4 9 5 3" xfId="23179" xr:uid="{00000000-0005-0000-0000-000047790000}"/>
    <cellStyle name="40 % - Markeringsfarve4 9 5 4" xfId="38166" xr:uid="{00000000-0005-0000-0000-000048790000}"/>
    <cellStyle name="40 % - Markeringsfarve4 9 6" xfId="12697" xr:uid="{00000000-0005-0000-0000-000049790000}"/>
    <cellStyle name="40 % - Markeringsfarve4 9 6 2" xfId="29016" xr:uid="{00000000-0005-0000-0000-00004A790000}"/>
    <cellStyle name="40 % - Markeringsfarve4 9 6 3" xfId="43981" xr:uid="{00000000-0005-0000-0000-00004B790000}"/>
    <cellStyle name="40 % - Markeringsfarve4 9 7" xfId="21994" xr:uid="{00000000-0005-0000-0000-00004C790000}"/>
    <cellStyle name="40 % - Markeringsfarve4 9 8" xfId="36982" xr:uid="{00000000-0005-0000-0000-00004D790000}"/>
    <cellStyle name="40 % - Markeringsfarve5 10" xfId="4146" xr:uid="{00000000-0005-0000-0000-00004E790000}"/>
    <cellStyle name="40 % - Markeringsfarve5 10 2" xfId="4147" xr:uid="{00000000-0005-0000-0000-00004F790000}"/>
    <cellStyle name="40 % - Markeringsfarve5 10 2 2" xfId="4148" xr:uid="{00000000-0005-0000-0000-000050790000}"/>
    <cellStyle name="40 % - Markeringsfarve5 10 2 2 2" xfId="8170" xr:uid="{00000000-0005-0000-0000-000051790000}"/>
    <cellStyle name="40 % - Markeringsfarve5 10 2 2 2 2" xfId="16071" xr:uid="{00000000-0005-0000-0000-000052790000}"/>
    <cellStyle name="40 % - Markeringsfarve5 10 2 2 2 2 2" xfId="32385" xr:uid="{00000000-0005-0000-0000-000053790000}"/>
    <cellStyle name="40 % - Markeringsfarve5 10 2 2 2 2 3" xfId="47349" xr:uid="{00000000-0005-0000-0000-000054790000}"/>
    <cellStyle name="40 % - Markeringsfarve5 10 2 2 2 3" xfId="25363" xr:uid="{00000000-0005-0000-0000-000055790000}"/>
    <cellStyle name="40 % - Markeringsfarve5 10 2 2 2 4" xfId="40350" xr:uid="{00000000-0005-0000-0000-000056790000}"/>
    <cellStyle name="40 % - Markeringsfarve5 10 2 2 3" xfId="12705" xr:uid="{00000000-0005-0000-0000-000057790000}"/>
    <cellStyle name="40 % - Markeringsfarve5 10 2 2 3 2" xfId="29024" xr:uid="{00000000-0005-0000-0000-000058790000}"/>
    <cellStyle name="40 % - Markeringsfarve5 10 2 2 3 3" xfId="43989" xr:uid="{00000000-0005-0000-0000-000059790000}"/>
    <cellStyle name="40 % - Markeringsfarve5 10 2 2 4" xfId="22002" xr:uid="{00000000-0005-0000-0000-00005A790000}"/>
    <cellStyle name="40 % - Markeringsfarve5 10 2 2 5" xfId="36990" xr:uid="{00000000-0005-0000-0000-00005B790000}"/>
    <cellStyle name="40 % - Markeringsfarve5 10 2 3" xfId="6663" xr:uid="{00000000-0005-0000-0000-00005C790000}"/>
    <cellStyle name="40 % - Markeringsfarve5 10 2 3 2" xfId="14577" xr:uid="{00000000-0005-0000-0000-00005D790000}"/>
    <cellStyle name="40 % - Markeringsfarve5 10 2 3 2 2" xfId="30891" xr:uid="{00000000-0005-0000-0000-00005E790000}"/>
    <cellStyle name="40 % - Markeringsfarve5 10 2 3 2 3" xfId="45855" xr:uid="{00000000-0005-0000-0000-00005F790000}"/>
    <cellStyle name="40 % - Markeringsfarve5 10 2 3 3" xfId="23869" xr:uid="{00000000-0005-0000-0000-000060790000}"/>
    <cellStyle name="40 % - Markeringsfarve5 10 2 3 4" xfId="38856" xr:uid="{00000000-0005-0000-0000-000061790000}"/>
    <cellStyle name="40 % - Markeringsfarve5 10 2 4" xfId="12704" xr:uid="{00000000-0005-0000-0000-000062790000}"/>
    <cellStyle name="40 % - Markeringsfarve5 10 2 4 2" xfId="29023" xr:uid="{00000000-0005-0000-0000-000063790000}"/>
    <cellStyle name="40 % - Markeringsfarve5 10 2 4 3" xfId="43988" xr:uid="{00000000-0005-0000-0000-000064790000}"/>
    <cellStyle name="40 % - Markeringsfarve5 10 2 5" xfId="22001" xr:uid="{00000000-0005-0000-0000-000065790000}"/>
    <cellStyle name="40 % - Markeringsfarve5 10 2 6" xfId="36989" xr:uid="{00000000-0005-0000-0000-000066790000}"/>
    <cellStyle name="40 % - Markeringsfarve5 10 3" xfId="4149" xr:uid="{00000000-0005-0000-0000-000067790000}"/>
    <cellStyle name="40 % - Markeringsfarve5 10 3 2" xfId="7447" xr:uid="{00000000-0005-0000-0000-000068790000}"/>
    <cellStyle name="40 % - Markeringsfarve5 10 3 2 2" xfId="15357" xr:uid="{00000000-0005-0000-0000-000069790000}"/>
    <cellStyle name="40 % - Markeringsfarve5 10 3 2 2 2" xfId="31671" xr:uid="{00000000-0005-0000-0000-00006A790000}"/>
    <cellStyle name="40 % - Markeringsfarve5 10 3 2 2 3" xfId="46635" xr:uid="{00000000-0005-0000-0000-00006B790000}"/>
    <cellStyle name="40 % - Markeringsfarve5 10 3 2 3" xfId="24649" xr:uid="{00000000-0005-0000-0000-00006C790000}"/>
    <cellStyle name="40 % - Markeringsfarve5 10 3 2 4" xfId="39636" xr:uid="{00000000-0005-0000-0000-00006D790000}"/>
    <cellStyle name="40 % - Markeringsfarve5 10 3 3" xfId="12706" xr:uid="{00000000-0005-0000-0000-00006E790000}"/>
    <cellStyle name="40 % - Markeringsfarve5 10 3 3 2" xfId="29025" xr:uid="{00000000-0005-0000-0000-00006F790000}"/>
    <cellStyle name="40 % - Markeringsfarve5 10 3 3 3" xfId="43990" xr:uid="{00000000-0005-0000-0000-000070790000}"/>
    <cellStyle name="40 % - Markeringsfarve5 10 3 4" xfId="22003" xr:uid="{00000000-0005-0000-0000-000071790000}"/>
    <cellStyle name="40 % - Markeringsfarve5 10 3 5" xfId="36991" xr:uid="{00000000-0005-0000-0000-000072790000}"/>
    <cellStyle name="40 % - Markeringsfarve5 10 4" xfId="4150" xr:uid="{00000000-0005-0000-0000-000073790000}"/>
    <cellStyle name="40 % - Markeringsfarve5 10 4 2" xfId="6697" xr:uid="{00000000-0005-0000-0000-000074790000}"/>
    <cellStyle name="40 % - Markeringsfarve5 10 4 2 2" xfId="14610" xr:uid="{00000000-0005-0000-0000-000075790000}"/>
    <cellStyle name="40 % - Markeringsfarve5 10 4 2 2 2" xfId="30924" xr:uid="{00000000-0005-0000-0000-000076790000}"/>
    <cellStyle name="40 % - Markeringsfarve5 10 4 2 2 3" xfId="45888" xr:uid="{00000000-0005-0000-0000-000077790000}"/>
    <cellStyle name="40 % - Markeringsfarve5 10 4 2 3" xfId="23902" xr:uid="{00000000-0005-0000-0000-000078790000}"/>
    <cellStyle name="40 % - Markeringsfarve5 10 4 2 4" xfId="38889" xr:uid="{00000000-0005-0000-0000-000079790000}"/>
    <cellStyle name="40 % - Markeringsfarve5 10 4 3" xfId="12707" xr:uid="{00000000-0005-0000-0000-00007A790000}"/>
    <cellStyle name="40 % - Markeringsfarve5 10 4 3 2" xfId="29026" xr:uid="{00000000-0005-0000-0000-00007B790000}"/>
    <cellStyle name="40 % - Markeringsfarve5 10 4 3 3" xfId="43991" xr:uid="{00000000-0005-0000-0000-00007C790000}"/>
    <cellStyle name="40 % - Markeringsfarve5 10 4 4" xfId="22004" xr:uid="{00000000-0005-0000-0000-00007D790000}"/>
    <cellStyle name="40 % - Markeringsfarve5 10 4 5" xfId="36992" xr:uid="{00000000-0005-0000-0000-00007E790000}"/>
    <cellStyle name="40 % - Markeringsfarve5 10 5" xfId="5971" xr:uid="{00000000-0005-0000-0000-00007F790000}"/>
    <cellStyle name="40 % - Markeringsfarve5 10 5 2" xfId="13889" xr:uid="{00000000-0005-0000-0000-000080790000}"/>
    <cellStyle name="40 % - Markeringsfarve5 10 5 2 2" xfId="30203" xr:uid="{00000000-0005-0000-0000-000081790000}"/>
    <cellStyle name="40 % - Markeringsfarve5 10 5 2 3" xfId="45167" xr:uid="{00000000-0005-0000-0000-000082790000}"/>
    <cellStyle name="40 % - Markeringsfarve5 10 5 3" xfId="23181" xr:uid="{00000000-0005-0000-0000-000083790000}"/>
    <cellStyle name="40 % - Markeringsfarve5 10 5 4" xfId="38168" xr:uid="{00000000-0005-0000-0000-000084790000}"/>
    <cellStyle name="40 % - Markeringsfarve5 10 6" xfId="12703" xr:uid="{00000000-0005-0000-0000-000085790000}"/>
    <cellStyle name="40 % - Markeringsfarve5 10 6 2" xfId="29022" xr:uid="{00000000-0005-0000-0000-000086790000}"/>
    <cellStyle name="40 % - Markeringsfarve5 10 6 3" xfId="43987" xr:uid="{00000000-0005-0000-0000-000087790000}"/>
    <cellStyle name="40 % - Markeringsfarve5 10 7" xfId="22000" xr:uid="{00000000-0005-0000-0000-000088790000}"/>
    <cellStyle name="40 % - Markeringsfarve5 10 8" xfId="36988" xr:uid="{00000000-0005-0000-0000-000089790000}"/>
    <cellStyle name="40 % - Markeringsfarve5 11" xfId="4151" xr:uid="{00000000-0005-0000-0000-00008A790000}"/>
    <cellStyle name="40 % - Markeringsfarve5 11 2" xfId="4152" xr:uid="{00000000-0005-0000-0000-00008B790000}"/>
    <cellStyle name="40 % - Markeringsfarve5 11 2 2" xfId="7497" xr:uid="{00000000-0005-0000-0000-00008C790000}"/>
    <cellStyle name="40 % - Markeringsfarve5 11 2 2 2" xfId="15398" xr:uid="{00000000-0005-0000-0000-00008D790000}"/>
    <cellStyle name="40 % - Markeringsfarve5 11 2 2 2 2" xfId="31712" xr:uid="{00000000-0005-0000-0000-00008E790000}"/>
    <cellStyle name="40 % - Markeringsfarve5 11 2 2 2 3" xfId="46676" xr:uid="{00000000-0005-0000-0000-00008F790000}"/>
    <cellStyle name="40 % - Markeringsfarve5 11 2 2 3" xfId="24690" xr:uid="{00000000-0005-0000-0000-000090790000}"/>
    <cellStyle name="40 % - Markeringsfarve5 11 2 2 4" xfId="39677" xr:uid="{00000000-0005-0000-0000-000091790000}"/>
    <cellStyle name="40 % - Markeringsfarve5 11 2 3" xfId="12709" xr:uid="{00000000-0005-0000-0000-000092790000}"/>
    <cellStyle name="40 % - Markeringsfarve5 11 2 3 2" xfId="29028" xr:uid="{00000000-0005-0000-0000-000093790000}"/>
    <cellStyle name="40 % - Markeringsfarve5 11 2 3 3" xfId="43993" xr:uid="{00000000-0005-0000-0000-000094790000}"/>
    <cellStyle name="40 % - Markeringsfarve5 11 2 4" xfId="22006" xr:uid="{00000000-0005-0000-0000-000095790000}"/>
    <cellStyle name="40 % - Markeringsfarve5 11 2 5" xfId="36994" xr:uid="{00000000-0005-0000-0000-000096790000}"/>
    <cellStyle name="40 % - Markeringsfarve5 11 3" xfId="4153" xr:uid="{00000000-0005-0000-0000-000097790000}"/>
    <cellStyle name="40 % - Markeringsfarve5 11 3 2" xfId="8542" xr:uid="{00000000-0005-0000-0000-000098790000}"/>
    <cellStyle name="40 % - Markeringsfarve5 11 3 2 2" xfId="16430" xr:uid="{00000000-0005-0000-0000-000099790000}"/>
    <cellStyle name="40 % - Markeringsfarve5 11 3 2 2 2" xfId="32744" xr:uid="{00000000-0005-0000-0000-00009A790000}"/>
    <cellStyle name="40 % - Markeringsfarve5 11 3 2 2 3" xfId="47708" xr:uid="{00000000-0005-0000-0000-00009B790000}"/>
    <cellStyle name="40 % - Markeringsfarve5 11 3 2 3" xfId="25722" xr:uid="{00000000-0005-0000-0000-00009C790000}"/>
    <cellStyle name="40 % - Markeringsfarve5 11 3 2 4" xfId="40709" xr:uid="{00000000-0005-0000-0000-00009D790000}"/>
    <cellStyle name="40 % - Markeringsfarve5 11 3 3" xfId="12710" xr:uid="{00000000-0005-0000-0000-00009E790000}"/>
    <cellStyle name="40 % - Markeringsfarve5 11 3 3 2" xfId="29029" xr:uid="{00000000-0005-0000-0000-00009F790000}"/>
    <cellStyle name="40 % - Markeringsfarve5 11 3 3 3" xfId="43994" xr:uid="{00000000-0005-0000-0000-0000A0790000}"/>
    <cellStyle name="40 % - Markeringsfarve5 11 3 4" xfId="22007" xr:uid="{00000000-0005-0000-0000-0000A1790000}"/>
    <cellStyle name="40 % - Markeringsfarve5 11 3 5" xfId="36995" xr:uid="{00000000-0005-0000-0000-0000A2790000}"/>
    <cellStyle name="40 % - Markeringsfarve5 11 4" xfId="5972" xr:uid="{00000000-0005-0000-0000-0000A3790000}"/>
    <cellStyle name="40 % - Markeringsfarve5 11 4 2" xfId="13890" xr:uid="{00000000-0005-0000-0000-0000A4790000}"/>
    <cellStyle name="40 % - Markeringsfarve5 11 4 2 2" xfId="30204" xr:uid="{00000000-0005-0000-0000-0000A5790000}"/>
    <cellStyle name="40 % - Markeringsfarve5 11 4 2 3" xfId="45168" xr:uid="{00000000-0005-0000-0000-0000A6790000}"/>
    <cellStyle name="40 % - Markeringsfarve5 11 4 3" xfId="23182" xr:uid="{00000000-0005-0000-0000-0000A7790000}"/>
    <cellStyle name="40 % - Markeringsfarve5 11 4 4" xfId="38169" xr:uid="{00000000-0005-0000-0000-0000A8790000}"/>
    <cellStyle name="40 % - Markeringsfarve5 11 5" xfId="12708" xr:uid="{00000000-0005-0000-0000-0000A9790000}"/>
    <cellStyle name="40 % - Markeringsfarve5 11 5 2" xfId="29027" xr:uid="{00000000-0005-0000-0000-0000AA790000}"/>
    <cellStyle name="40 % - Markeringsfarve5 11 5 3" xfId="43992" xr:uid="{00000000-0005-0000-0000-0000AB790000}"/>
    <cellStyle name="40 % - Markeringsfarve5 11 6" xfId="22005" xr:uid="{00000000-0005-0000-0000-0000AC790000}"/>
    <cellStyle name="40 % - Markeringsfarve5 11 7" xfId="36993" xr:uid="{00000000-0005-0000-0000-0000AD790000}"/>
    <cellStyle name="40 % - Markeringsfarve5 12" xfId="4154" xr:uid="{00000000-0005-0000-0000-0000AE790000}"/>
    <cellStyle name="40 % - Markeringsfarve5 12 2" xfId="4155" xr:uid="{00000000-0005-0000-0000-0000AF790000}"/>
    <cellStyle name="40 % - Markeringsfarve5 12 2 2" xfId="8763" xr:uid="{00000000-0005-0000-0000-0000B0790000}"/>
    <cellStyle name="40 % - Markeringsfarve5 12 2 2 2" xfId="16639" xr:uid="{00000000-0005-0000-0000-0000B1790000}"/>
    <cellStyle name="40 % - Markeringsfarve5 12 2 2 2 2" xfId="32953" xr:uid="{00000000-0005-0000-0000-0000B2790000}"/>
    <cellStyle name="40 % - Markeringsfarve5 12 2 2 2 3" xfId="47917" xr:uid="{00000000-0005-0000-0000-0000B3790000}"/>
    <cellStyle name="40 % - Markeringsfarve5 12 2 2 3" xfId="25931" xr:uid="{00000000-0005-0000-0000-0000B4790000}"/>
    <cellStyle name="40 % - Markeringsfarve5 12 2 2 4" xfId="40918" xr:uid="{00000000-0005-0000-0000-0000B5790000}"/>
    <cellStyle name="40 % - Markeringsfarve5 12 2 3" xfId="12712" xr:uid="{00000000-0005-0000-0000-0000B6790000}"/>
    <cellStyle name="40 % - Markeringsfarve5 12 2 3 2" xfId="29031" xr:uid="{00000000-0005-0000-0000-0000B7790000}"/>
    <cellStyle name="40 % - Markeringsfarve5 12 2 3 3" xfId="43996" xr:uid="{00000000-0005-0000-0000-0000B8790000}"/>
    <cellStyle name="40 % - Markeringsfarve5 12 2 4" xfId="22009" xr:uid="{00000000-0005-0000-0000-0000B9790000}"/>
    <cellStyle name="40 % - Markeringsfarve5 12 2 5" xfId="36997" xr:uid="{00000000-0005-0000-0000-0000BA790000}"/>
    <cellStyle name="40 % - Markeringsfarve5 12 3" xfId="5973" xr:uid="{00000000-0005-0000-0000-0000BB790000}"/>
    <cellStyle name="40 % - Markeringsfarve5 12 3 2" xfId="13891" xr:uid="{00000000-0005-0000-0000-0000BC790000}"/>
    <cellStyle name="40 % - Markeringsfarve5 12 3 2 2" xfId="30205" xr:uid="{00000000-0005-0000-0000-0000BD790000}"/>
    <cellStyle name="40 % - Markeringsfarve5 12 3 2 3" xfId="45169" xr:uid="{00000000-0005-0000-0000-0000BE790000}"/>
    <cellStyle name="40 % - Markeringsfarve5 12 3 3" xfId="23183" xr:uid="{00000000-0005-0000-0000-0000BF790000}"/>
    <cellStyle name="40 % - Markeringsfarve5 12 3 4" xfId="38170" xr:uid="{00000000-0005-0000-0000-0000C0790000}"/>
    <cellStyle name="40 % - Markeringsfarve5 12 4" xfId="12711" xr:uid="{00000000-0005-0000-0000-0000C1790000}"/>
    <cellStyle name="40 % - Markeringsfarve5 12 4 2" xfId="29030" xr:uid="{00000000-0005-0000-0000-0000C2790000}"/>
    <cellStyle name="40 % - Markeringsfarve5 12 4 3" xfId="43995" xr:uid="{00000000-0005-0000-0000-0000C3790000}"/>
    <cellStyle name="40 % - Markeringsfarve5 12 5" xfId="22008" xr:uid="{00000000-0005-0000-0000-0000C4790000}"/>
    <cellStyle name="40 % - Markeringsfarve5 12 6" xfId="36996" xr:uid="{00000000-0005-0000-0000-0000C5790000}"/>
    <cellStyle name="40 % - Markeringsfarve5 13" xfId="4156" xr:uid="{00000000-0005-0000-0000-0000C6790000}"/>
    <cellStyle name="40 % - Markeringsfarve5 13 2" xfId="4157" xr:uid="{00000000-0005-0000-0000-0000C7790000}"/>
    <cellStyle name="40 % - Markeringsfarve5 13 2 2" xfId="8483" xr:uid="{00000000-0005-0000-0000-0000C8790000}"/>
    <cellStyle name="40 % - Markeringsfarve5 13 2 2 2" xfId="16372" xr:uid="{00000000-0005-0000-0000-0000C9790000}"/>
    <cellStyle name="40 % - Markeringsfarve5 13 2 2 2 2" xfId="32686" xr:uid="{00000000-0005-0000-0000-0000CA790000}"/>
    <cellStyle name="40 % - Markeringsfarve5 13 2 2 2 3" xfId="47650" xr:uid="{00000000-0005-0000-0000-0000CB790000}"/>
    <cellStyle name="40 % - Markeringsfarve5 13 2 2 3" xfId="25664" xr:uid="{00000000-0005-0000-0000-0000CC790000}"/>
    <cellStyle name="40 % - Markeringsfarve5 13 2 2 4" xfId="40651" xr:uid="{00000000-0005-0000-0000-0000CD790000}"/>
    <cellStyle name="40 % - Markeringsfarve5 13 2 3" xfId="12714" xr:uid="{00000000-0005-0000-0000-0000CE790000}"/>
    <cellStyle name="40 % - Markeringsfarve5 13 2 3 2" xfId="29033" xr:uid="{00000000-0005-0000-0000-0000CF790000}"/>
    <cellStyle name="40 % - Markeringsfarve5 13 2 3 3" xfId="43998" xr:uid="{00000000-0005-0000-0000-0000D0790000}"/>
    <cellStyle name="40 % - Markeringsfarve5 13 2 4" xfId="22011" xr:uid="{00000000-0005-0000-0000-0000D1790000}"/>
    <cellStyle name="40 % - Markeringsfarve5 13 2 5" xfId="36999" xr:uid="{00000000-0005-0000-0000-0000D2790000}"/>
    <cellStyle name="40 % - Markeringsfarve5 13 3" xfId="5974" xr:uid="{00000000-0005-0000-0000-0000D3790000}"/>
    <cellStyle name="40 % - Markeringsfarve5 13 3 2" xfId="13892" xr:uid="{00000000-0005-0000-0000-0000D4790000}"/>
    <cellStyle name="40 % - Markeringsfarve5 13 3 2 2" xfId="30206" xr:uid="{00000000-0005-0000-0000-0000D5790000}"/>
    <cellStyle name="40 % - Markeringsfarve5 13 3 2 3" xfId="45170" xr:uid="{00000000-0005-0000-0000-0000D6790000}"/>
    <cellStyle name="40 % - Markeringsfarve5 13 3 3" xfId="23184" xr:uid="{00000000-0005-0000-0000-0000D7790000}"/>
    <cellStyle name="40 % - Markeringsfarve5 13 3 4" xfId="38171" xr:uid="{00000000-0005-0000-0000-0000D8790000}"/>
    <cellStyle name="40 % - Markeringsfarve5 13 4" xfId="12713" xr:uid="{00000000-0005-0000-0000-0000D9790000}"/>
    <cellStyle name="40 % - Markeringsfarve5 13 4 2" xfId="29032" xr:uid="{00000000-0005-0000-0000-0000DA790000}"/>
    <cellStyle name="40 % - Markeringsfarve5 13 4 3" xfId="43997" xr:uid="{00000000-0005-0000-0000-0000DB790000}"/>
    <cellStyle name="40 % - Markeringsfarve5 13 5" xfId="22010" xr:uid="{00000000-0005-0000-0000-0000DC790000}"/>
    <cellStyle name="40 % - Markeringsfarve5 13 6" xfId="36998" xr:uid="{00000000-0005-0000-0000-0000DD790000}"/>
    <cellStyle name="40 % - Markeringsfarve5 14" xfId="4158" xr:uid="{00000000-0005-0000-0000-0000DE790000}"/>
    <cellStyle name="40 % - Markeringsfarve5 14 2" xfId="4159" xr:uid="{00000000-0005-0000-0000-0000DF790000}"/>
    <cellStyle name="40 % - Markeringsfarve5 14 2 2" xfId="8472" xr:uid="{00000000-0005-0000-0000-0000E0790000}"/>
    <cellStyle name="40 % - Markeringsfarve5 14 2 2 2" xfId="16363" xr:uid="{00000000-0005-0000-0000-0000E1790000}"/>
    <cellStyle name="40 % - Markeringsfarve5 14 2 2 2 2" xfId="32677" xr:uid="{00000000-0005-0000-0000-0000E2790000}"/>
    <cellStyle name="40 % - Markeringsfarve5 14 2 2 2 3" xfId="47641" xr:uid="{00000000-0005-0000-0000-0000E3790000}"/>
    <cellStyle name="40 % - Markeringsfarve5 14 2 2 3" xfId="25655" xr:uid="{00000000-0005-0000-0000-0000E4790000}"/>
    <cellStyle name="40 % - Markeringsfarve5 14 2 2 4" xfId="40642" xr:uid="{00000000-0005-0000-0000-0000E5790000}"/>
    <cellStyle name="40 % - Markeringsfarve5 14 2 3" xfId="12716" xr:uid="{00000000-0005-0000-0000-0000E6790000}"/>
    <cellStyle name="40 % - Markeringsfarve5 14 2 3 2" xfId="29035" xr:uid="{00000000-0005-0000-0000-0000E7790000}"/>
    <cellStyle name="40 % - Markeringsfarve5 14 2 3 3" xfId="44000" xr:uid="{00000000-0005-0000-0000-0000E8790000}"/>
    <cellStyle name="40 % - Markeringsfarve5 14 2 4" xfId="22013" xr:uid="{00000000-0005-0000-0000-0000E9790000}"/>
    <cellStyle name="40 % - Markeringsfarve5 14 2 5" xfId="37001" xr:uid="{00000000-0005-0000-0000-0000EA790000}"/>
    <cellStyle name="40 % - Markeringsfarve5 14 3" xfId="5970" xr:uid="{00000000-0005-0000-0000-0000EB790000}"/>
    <cellStyle name="40 % - Markeringsfarve5 14 3 2" xfId="13888" xr:uid="{00000000-0005-0000-0000-0000EC790000}"/>
    <cellStyle name="40 % - Markeringsfarve5 14 3 2 2" xfId="30202" xr:uid="{00000000-0005-0000-0000-0000ED790000}"/>
    <cellStyle name="40 % - Markeringsfarve5 14 3 2 3" xfId="45166" xr:uid="{00000000-0005-0000-0000-0000EE790000}"/>
    <cellStyle name="40 % - Markeringsfarve5 14 3 3" xfId="23180" xr:uid="{00000000-0005-0000-0000-0000EF790000}"/>
    <cellStyle name="40 % - Markeringsfarve5 14 3 4" xfId="38167" xr:uid="{00000000-0005-0000-0000-0000F0790000}"/>
    <cellStyle name="40 % - Markeringsfarve5 14 4" xfId="12715" xr:uid="{00000000-0005-0000-0000-0000F1790000}"/>
    <cellStyle name="40 % - Markeringsfarve5 14 4 2" xfId="29034" xr:uid="{00000000-0005-0000-0000-0000F2790000}"/>
    <cellStyle name="40 % - Markeringsfarve5 14 4 3" xfId="43999" xr:uid="{00000000-0005-0000-0000-0000F3790000}"/>
    <cellStyle name="40 % - Markeringsfarve5 14 5" xfId="22012" xr:uid="{00000000-0005-0000-0000-0000F4790000}"/>
    <cellStyle name="40 % - Markeringsfarve5 14 6" xfId="37000" xr:uid="{00000000-0005-0000-0000-0000F5790000}"/>
    <cellStyle name="40 % - Markeringsfarve5 15" xfId="4160" xr:uid="{00000000-0005-0000-0000-0000F6790000}"/>
    <cellStyle name="40 % - Markeringsfarve5 15 2" xfId="6721" xr:uid="{00000000-0005-0000-0000-0000F7790000}"/>
    <cellStyle name="40 % - Markeringsfarve5 15 2 2" xfId="14634" xr:uid="{00000000-0005-0000-0000-0000F8790000}"/>
    <cellStyle name="40 % - Markeringsfarve5 15 2 2 2" xfId="30948" xr:uid="{00000000-0005-0000-0000-0000F9790000}"/>
    <cellStyle name="40 % - Markeringsfarve5 15 2 2 3" xfId="45912" xr:uid="{00000000-0005-0000-0000-0000FA790000}"/>
    <cellStyle name="40 % - Markeringsfarve5 15 2 3" xfId="23926" xr:uid="{00000000-0005-0000-0000-0000FB790000}"/>
    <cellStyle name="40 % - Markeringsfarve5 15 2 4" xfId="38913" xr:uid="{00000000-0005-0000-0000-0000FC790000}"/>
    <cellStyle name="40 % - Markeringsfarve5 15 3" xfId="12717" xr:uid="{00000000-0005-0000-0000-0000FD790000}"/>
    <cellStyle name="40 % - Markeringsfarve5 15 3 2" xfId="29036" xr:uid="{00000000-0005-0000-0000-0000FE790000}"/>
    <cellStyle name="40 % - Markeringsfarve5 15 3 3" xfId="44001" xr:uid="{00000000-0005-0000-0000-0000FF790000}"/>
    <cellStyle name="40 % - Markeringsfarve5 15 4" xfId="22014" xr:uid="{00000000-0005-0000-0000-0000007A0000}"/>
    <cellStyle name="40 % - Markeringsfarve5 15 5" xfId="37002" xr:uid="{00000000-0005-0000-0000-0000017A0000}"/>
    <cellStyle name="40 % - Markeringsfarve5 16" xfId="4161" xr:uid="{00000000-0005-0000-0000-0000027A0000}"/>
    <cellStyle name="40 % - Markeringsfarve5 16 2" xfId="8547" xr:uid="{00000000-0005-0000-0000-0000037A0000}"/>
    <cellStyle name="40 % - Markeringsfarve5 16 2 2" xfId="16435" xr:uid="{00000000-0005-0000-0000-0000047A0000}"/>
    <cellStyle name="40 % - Markeringsfarve5 16 2 2 2" xfId="32749" xr:uid="{00000000-0005-0000-0000-0000057A0000}"/>
    <cellStyle name="40 % - Markeringsfarve5 16 2 2 3" xfId="47713" xr:uid="{00000000-0005-0000-0000-0000067A0000}"/>
    <cellStyle name="40 % - Markeringsfarve5 16 2 3" xfId="25727" xr:uid="{00000000-0005-0000-0000-0000077A0000}"/>
    <cellStyle name="40 % - Markeringsfarve5 16 2 4" xfId="40714" xr:uid="{00000000-0005-0000-0000-0000087A0000}"/>
    <cellStyle name="40 % - Markeringsfarve5 16 3" xfId="12718" xr:uid="{00000000-0005-0000-0000-0000097A0000}"/>
    <cellStyle name="40 % - Markeringsfarve5 16 3 2" xfId="29037" xr:uid="{00000000-0005-0000-0000-00000A7A0000}"/>
    <cellStyle name="40 % - Markeringsfarve5 16 3 3" xfId="44002" xr:uid="{00000000-0005-0000-0000-00000B7A0000}"/>
    <cellStyle name="40 % - Markeringsfarve5 16 4" xfId="22015" xr:uid="{00000000-0005-0000-0000-00000C7A0000}"/>
    <cellStyle name="40 % - Markeringsfarve5 16 5" xfId="37003" xr:uid="{00000000-0005-0000-0000-00000D7A0000}"/>
    <cellStyle name="40 % - Markeringsfarve5 17" xfId="4162" xr:uid="{00000000-0005-0000-0000-00000E7A0000}"/>
    <cellStyle name="40 % - Markeringsfarve5 17 2" xfId="6741" xr:uid="{00000000-0005-0000-0000-00000F7A0000}"/>
    <cellStyle name="40 % - Markeringsfarve5 17 2 2" xfId="14652" xr:uid="{00000000-0005-0000-0000-0000107A0000}"/>
    <cellStyle name="40 % - Markeringsfarve5 17 2 2 2" xfId="30966" xr:uid="{00000000-0005-0000-0000-0000117A0000}"/>
    <cellStyle name="40 % - Markeringsfarve5 17 2 2 3" xfId="45930" xr:uid="{00000000-0005-0000-0000-0000127A0000}"/>
    <cellStyle name="40 % - Markeringsfarve5 17 2 3" xfId="23944" xr:uid="{00000000-0005-0000-0000-0000137A0000}"/>
    <cellStyle name="40 % - Markeringsfarve5 17 2 4" xfId="38931" xr:uid="{00000000-0005-0000-0000-0000147A0000}"/>
    <cellStyle name="40 % - Markeringsfarve5 17 3" xfId="12719" xr:uid="{00000000-0005-0000-0000-0000157A0000}"/>
    <cellStyle name="40 % - Markeringsfarve5 17 3 2" xfId="29038" xr:uid="{00000000-0005-0000-0000-0000167A0000}"/>
    <cellStyle name="40 % - Markeringsfarve5 17 3 3" xfId="44003" xr:uid="{00000000-0005-0000-0000-0000177A0000}"/>
    <cellStyle name="40 % - Markeringsfarve5 17 4" xfId="22016" xr:uid="{00000000-0005-0000-0000-0000187A0000}"/>
    <cellStyle name="40 % - Markeringsfarve5 17 5" xfId="37004" xr:uid="{00000000-0005-0000-0000-0000197A0000}"/>
    <cellStyle name="40 % - Markeringsfarve5 18" xfId="5400" xr:uid="{00000000-0005-0000-0000-00001A7A0000}"/>
    <cellStyle name="40 % - Markeringsfarve5 18 2" xfId="13321" xr:uid="{00000000-0005-0000-0000-00001B7A0000}"/>
    <cellStyle name="40 % - Markeringsfarve5 18 2 2" xfId="29635" xr:uid="{00000000-0005-0000-0000-00001C7A0000}"/>
    <cellStyle name="40 % - Markeringsfarve5 18 2 3" xfId="44599" xr:uid="{00000000-0005-0000-0000-00001D7A0000}"/>
    <cellStyle name="40 % - Markeringsfarve5 18 3" xfId="22613" xr:uid="{00000000-0005-0000-0000-00001E7A0000}"/>
    <cellStyle name="40 % - Markeringsfarve5 18 4" xfId="37600" xr:uid="{00000000-0005-0000-0000-00001F7A0000}"/>
    <cellStyle name="40 % - Markeringsfarve5 19" xfId="4145" xr:uid="{00000000-0005-0000-0000-0000207A0000}"/>
    <cellStyle name="40 % - Markeringsfarve5 19 2" xfId="12702" xr:uid="{00000000-0005-0000-0000-0000217A0000}"/>
    <cellStyle name="40 % - Markeringsfarve5 19 2 2" xfId="29021" xr:uid="{00000000-0005-0000-0000-0000227A0000}"/>
    <cellStyle name="40 % - Markeringsfarve5 19 2 3" xfId="43986" xr:uid="{00000000-0005-0000-0000-0000237A0000}"/>
    <cellStyle name="40 % - Markeringsfarve5 19 3" xfId="21999" xr:uid="{00000000-0005-0000-0000-0000247A0000}"/>
    <cellStyle name="40 % - Markeringsfarve5 19 4" xfId="36987" xr:uid="{00000000-0005-0000-0000-0000257A0000}"/>
    <cellStyle name="40 % - Markeringsfarve5 2" xfId="4163" xr:uid="{00000000-0005-0000-0000-0000267A0000}"/>
    <cellStyle name="40 % - Markeringsfarve5 2 10" xfId="4164" xr:uid="{00000000-0005-0000-0000-0000277A0000}"/>
    <cellStyle name="40 % - Markeringsfarve5 2 10 2" xfId="6751" xr:uid="{00000000-0005-0000-0000-0000287A0000}"/>
    <cellStyle name="40 % - Markeringsfarve5 2 10 2 2" xfId="14662" xr:uid="{00000000-0005-0000-0000-0000297A0000}"/>
    <cellStyle name="40 % - Markeringsfarve5 2 10 2 2 2" xfId="30976" xr:uid="{00000000-0005-0000-0000-00002A7A0000}"/>
    <cellStyle name="40 % - Markeringsfarve5 2 10 2 2 3" xfId="45940" xr:uid="{00000000-0005-0000-0000-00002B7A0000}"/>
    <cellStyle name="40 % - Markeringsfarve5 2 10 2 3" xfId="23954" xr:uid="{00000000-0005-0000-0000-00002C7A0000}"/>
    <cellStyle name="40 % - Markeringsfarve5 2 10 2 4" xfId="38941" xr:uid="{00000000-0005-0000-0000-00002D7A0000}"/>
    <cellStyle name="40 % - Markeringsfarve5 2 10 3" xfId="12721" xr:uid="{00000000-0005-0000-0000-00002E7A0000}"/>
    <cellStyle name="40 % - Markeringsfarve5 2 10 3 2" xfId="29040" xr:uid="{00000000-0005-0000-0000-00002F7A0000}"/>
    <cellStyle name="40 % - Markeringsfarve5 2 10 3 3" xfId="44005" xr:uid="{00000000-0005-0000-0000-0000307A0000}"/>
    <cellStyle name="40 % - Markeringsfarve5 2 10 4" xfId="22018" xr:uid="{00000000-0005-0000-0000-0000317A0000}"/>
    <cellStyle name="40 % - Markeringsfarve5 2 10 5" xfId="37006" xr:uid="{00000000-0005-0000-0000-0000327A0000}"/>
    <cellStyle name="40 % - Markeringsfarve5 2 11" xfId="4165" xr:uid="{00000000-0005-0000-0000-0000337A0000}"/>
    <cellStyle name="40 % - Markeringsfarve5 2 11 2" xfId="8715" xr:uid="{00000000-0005-0000-0000-0000347A0000}"/>
    <cellStyle name="40 % - Markeringsfarve5 2 11 2 2" xfId="16595" xr:uid="{00000000-0005-0000-0000-0000357A0000}"/>
    <cellStyle name="40 % - Markeringsfarve5 2 11 2 2 2" xfId="32909" xr:uid="{00000000-0005-0000-0000-0000367A0000}"/>
    <cellStyle name="40 % - Markeringsfarve5 2 11 2 2 3" xfId="47873" xr:uid="{00000000-0005-0000-0000-0000377A0000}"/>
    <cellStyle name="40 % - Markeringsfarve5 2 11 2 3" xfId="25887" xr:uid="{00000000-0005-0000-0000-0000387A0000}"/>
    <cellStyle name="40 % - Markeringsfarve5 2 11 2 4" xfId="40874" xr:uid="{00000000-0005-0000-0000-0000397A0000}"/>
    <cellStyle name="40 % - Markeringsfarve5 2 11 3" xfId="12722" xr:uid="{00000000-0005-0000-0000-00003A7A0000}"/>
    <cellStyle name="40 % - Markeringsfarve5 2 11 3 2" xfId="29041" xr:uid="{00000000-0005-0000-0000-00003B7A0000}"/>
    <cellStyle name="40 % - Markeringsfarve5 2 11 3 3" xfId="44006" xr:uid="{00000000-0005-0000-0000-00003C7A0000}"/>
    <cellStyle name="40 % - Markeringsfarve5 2 11 4" xfId="22019" xr:uid="{00000000-0005-0000-0000-00003D7A0000}"/>
    <cellStyle name="40 % - Markeringsfarve5 2 11 5" xfId="37007" xr:uid="{00000000-0005-0000-0000-00003E7A0000}"/>
    <cellStyle name="40 % - Markeringsfarve5 2 12" xfId="5975" xr:uid="{00000000-0005-0000-0000-00003F7A0000}"/>
    <cellStyle name="40 % - Markeringsfarve5 2 12 2" xfId="13893" xr:uid="{00000000-0005-0000-0000-0000407A0000}"/>
    <cellStyle name="40 % - Markeringsfarve5 2 12 2 2" xfId="30207" xr:uid="{00000000-0005-0000-0000-0000417A0000}"/>
    <cellStyle name="40 % - Markeringsfarve5 2 12 2 3" xfId="45171" xr:uid="{00000000-0005-0000-0000-0000427A0000}"/>
    <cellStyle name="40 % - Markeringsfarve5 2 12 3" xfId="23185" xr:uid="{00000000-0005-0000-0000-0000437A0000}"/>
    <cellStyle name="40 % - Markeringsfarve5 2 12 4" xfId="38172" xr:uid="{00000000-0005-0000-0000-0000447A0000}"/>
    <cellStyle name="40 % - Markeringsfarve5 2 13" xfId="12720" xr:uid="{00000000-0005-0000-0000-0000457A0000}"/>
    <cellStyle name="40 % - Markeringsfarve5 2 13 2" xfId="29039" xr:uid="{00000000-0005-0000-0000-0000467A0000}"/>
    <cellStyle name="40 % - Markeringsfarve5 2 13 3" xfId="44004" xr:uid="{00000000-0005-0000-0000-0000477A0000}"/>
    <cellStyle name="40 % - Markeringsfarve5 2 14" xfId="22017" xr:uid="{00000000-0005-0000-0000-0000487A0000}"/>
    <cellStyle name="40 % - Markeringsfarve5 2 15" xfId="37005" xr:uid="{00000000-0005-0000-0000-0000497A0000}"/>
    <cellStyle name="40 % - Markeringsfarve5 2 16" xfId="53392" xr:uid="{00000000-0005-0000-0000-00004A7A0000}"/>
    <cellStyle name="40 % - Markeringsfarve5 2 2" xfId="4166" xr:uid="{00000000-0005-0000-0000-00004B7A0000}"/>
    <cellStyle name="40 % - Markeringsfarve5 2 2 10" xfId="5976" xr:uid="{00000000-0005-0000-0000-00004C7A0000}"/>
    <cellStyle name="40 % - Markeringsfarve5 2 2 10 2" xfId="13894" xr:uid="{00000000-0005-0000-0000-00004D7A0000}"/>
    <cellStyle name="40 % - Markeringsfarve5 2 2 10 2 2" xfId="30208" xr:uid="{00000000-0005-0000-0000-00004E7A0000}"/>
    <cellStyle name="40 % - Markeringsfarve5 2 2 10 2 3" xfId="45172" xr:uid="{00000000-0005-0000-0000-00004F7A0000}"/>
    <cellStyle name="40 % - Markeringsfarve5 2 2 10 3" xfId="23186" xr:uid="{00000000-0005-0000-0000-0000507A0000}"/>
    <cellStyle name="40 % - Markeringsfarve5 2 2 10 4" xfId="38173" xr:uid="{00000000-0005-0000-0000-0000517A0000}"/>
    <cellStyle name="40 % - Markeringsfarve5 2 2 11" xfId="12723" xr:uid="{00000000-0005-0000-0000-0000527A0000}"/>
    <cellStyle name="40 % - Markeringsfarve5 2 2 11 2" xfId="29042" xr:uid="{00000000-0005-0000-0000-0000537A0000}"/>
    <cellStyle name="40 % - Markeringsfarve5 2 2 11 3" xfId="44007" xr:uid="{00000000-0005-0000-0000-0000547A0000}"/>
    <cellStyle name="40 % - Markeringsfarve5 2 2 12" xfId="22020" xr:uid="{00000000-0005-0000-0000-0000557A0000}"/>
    <cellStyle name="40 % - Markeringsfarve5 2 2 13" xfId="37008" xr:uid="{00000000-0005-0000-0000-0000567A0000}"/>
    <cellStyle name="40 % - Markeringsfarve5 2 2 14" xfId="53393" xr:uid="{00000000-0005-0000-0000-0000577A0000}"/>
    <cellStyle name="40 % - Markeringsfarve5 2 2 2" xfId="4167" xr:uid="{00000000-0005-0000-0000-0000587A0000}"/>
    <cellStyle name="40 % - Markeringsfarve5 2 2 2 2" xfId="4168" xr:uid="{00000000-0005-0000-0000-0000597A0000}"/>
    <cellStyle name="40 % - Markeringsfarve5 2 2 2 2 2" xfId="4169" xr:uid="{00000000-0005-0000-0000-00005A7A0000}"/>
    <cellStyle name="40 % - Markeringsfarve5 2 2 2 2 2 2" xfId="7682" xr:uid="{00000000-0005-0000-0000-00005B7A0000}"/>
    <cellStyle name="40 % - Markeringsfarve5 2 2 2 2 2 2 2" xfId="15583" xr:uid="{00000000-0005-0000-0000-00005C7A0000}"/>
    <cellStyle name="40 % - Markeringsfarve5 2 2 2 2 2 2 2 2" xfId="31897" xr:uid="{00000000-0005-0000-0000-00005D7A0000}"/>
    <cellStyle name="40 % - Markeringsfarve5 2 2 2 2 2 2 2 3" xfId="46861" xr:uid="{00000000-0005-0000-0000-00005E7A0000}"/>
    <cellStyle name="40 % - Markeringsfarve5 2 2 2 2 2 2 3" xfId="24875" xr:uid="{00000000-0005-0000-0000-00005F7A0000}"/>
    <cellStyle name="40 % - Markeringsfarve5 2 2 2 2 2 2 4" xfId="39862" xr:uid="{00000000-0005-0000-0000-0000607A0000}"/>
    <cellStyle name="40 % - Markeringsfarve5 2 2 2 2 2 3" xfId="12726" xr:uid="{00000000-0005-0000-0000-0000617A0000}"/>
    <cellStyle name="40 % - Markeringsfarve5 2 2 2 2 2 3 2" xfId="29045" xr:uid="{00000000-0005-0000-0000-0000627A0000}"/>
    <cellStyle name="40 % - Markeringsfarve5 2 2 2 2 2 3 3" xfId="44010" xr:uid="{00000000-0005-0000-0000-0000637A0000}"/>
    <cellStyle name="40 % - Markeringsfarve5 2 2 2 2 2 4" xfId="22023" xr:uid="{00000000-0005-0000-0000-0000647A0000}"/>
    <cellStyle name="40 % - Markeringsfarve5 2 2 2 2 2 5" xfId="37011" xr:uid="{00000000-0005-0000-0000-0000657A0000}"/>
    <cellStyle name="40 % - Markeringsfarve5 2 2 2 2 3" xfId="6253" xr:uid="{00000000-0005-0000-0000-0000667A0000}"/>
    <cellStyle name="40 % - Markeringsfarve5 2 2 2 2 3 2" xfId="14170" xr:uid="{00000000-0005-0000-0000-0000677A0000}"/>
    <cellStyle name="40 % - Markeringsfarve5 2 2 2 2 3 2 2" xfId="30484" xr:uid="{00000000-0005-0000-0000-0000687A0000}"/>
    <cellStyle name="40 % - Markeringsfarve5 2 2 2 2 3 2 3" xfId="45448" xr:uid="{00000000-0005-0000-0000-0000697A0000}"/>
    <cellStyle name="40 % - Markeringsfarve5 2 2 2 2 3 3" xfId="23462" xr:uid="{00000000-0005-0000-0000-00006A7A0000}"/>
    <cellStyle name="40 % - Markeringsfarve5 2 2 2 2 3 4" xfId="38449" xr:uid="{00000000-0005-0000-0000-00006B7A0000}"/>
    <cellStyle name="40 % - Markeringsfarve5 2 2 2 2 4" xfId="12725" xr:uid="{00000000-0005-0000-0000-00006C7A0000}"/>
    <cellStyle name="40 % - Markeringsfarve5 2 2 2 2 4 2" xfId="29044" xr:uid="{00000000-0005-0000-0000-00006D7A0000}"/>
    <cellStyle name="40 % - Markeringsfarve5 2 2 2 2 4 3" xfId="44009" xr:uid="{00000000-0005-0000-0000-00006E7A0000}"/>
    <cellStyle name="40 % - Markeringsfarve5 2 2 2 2 5" xfId="22022" xr:uid="{00000000-0005-0000-0000-00006F7A0000}"/>
    <cellStyle name="40 % - Markeringsfarve5 2 2 2 2 6" xfId="37010" xr:uid="{00000000-0005-0000-0000-0000707A0000}"/>
    <cellStyle name="40 % - Markeringsfarve5 2 2 2 2 7" xfId="57197" xr:uid="{00000000-0005-0000-0000-0000717A0000}"/>
    <cellStyle name="40 % - Markeringsfarve5 2 2 2 3" xfId="4170" xr:uid="{00000000-0005-0000-0000-0000727A0000}"/>
    <cellStyle name="40 % - Markeringsfarve5 2 2 2 3 2" xfId="6912" xr:uid="{00000000-0005-0000-0000-0000737A0000}"/>
    <cellStyle name="40 % - Markeringsfarve5 2 2 2 3 2 2" xfId="14823" xr:uid="{00000000-0005-0000-0000-0000747A0000}"/>
    <cellStyle name="40 % - Markeringsfarve5 2 2 2 3 2 2 2" xfId="31137" xr:uid="{00000000-0005-0000-0000-0000757A0000}"/>
    <cellStyle name="40 % - Markeringsfarve5 2 2 2 3 2 2 3" xfId="46101" xr:uid="{00000000-0005-0000-0000-0000767A0000}"/>
    <cellStyle name="40 % - Markeringsfarve5 2 2 2 3 2 3" xfId="24115" xr:uid="{00000000-0005-0000-0000-0000777A0000}"/>
    <cellStyle name="40 % - Markeringsfarve5 2 2 2 3 2 4" xfId="39102" xr:uid="{00000000-0005-0000-0000-0000787A0000}"/>
    <cellStyle name="40 % - Markeringsfarve5 2 2 2 3 3" xfId="12727" xr:uid="{00000000-0005-0000-0000-0000797A0000}"/>
    <cellStyle name="40 % - Markeringsfarve5 2 2 2 3 3 2" xfId="29046" xr:uid="{00000000-0005-0000-0000-00007A7A0000}"/>
    <cellStyle name="40 % - Markeringsfarve5 2 2 2 3 3 3" xfId="44011" xr:uid="{00000000-0005-0000-0000-00007B7A0000}"/>
    <cellStyle name="40 % - Markeringsfarve5 2 2 2 3 4" xfId="22024" xr:uid="{00000000-0005-0000-0000-00007C7A0000}"/>
    <cellStyle name="40 % - Markeringsfarve5 2 2 2 3 5" xfId="37012" xr:uid="{00000000-0005-0000-0000-00007D7A0000}"/>
    <cellStyle name="40 % - Markeringsfarve5 2 2 2 4" xfId="4171" xr:uid="{00000000-0005-0000-0000-00007E7A0000}"/>
    <cellStyle name="40 % - Markeringsfarve5 2 2 2 4 2" xfId="8673" xr:uid="{00000000-0005-0000-0000-00007F7A0000}"/>
    <cellStyle name="40 % - Markeringsfarve5 2 2 2 4 2 2" xfId="16555" xr:uid="{00000000-0005-0000-0000-0000807A0000}"/>
    <cellStyle name="40 % - Markeringsfarve5 2 2 2 4 2 2 2" xfId="32869" xr:uid="{00000000-0005-0000-0000-0000817A0000}"/>
    <cellStyle name="40 % - Markeringsfarve5 2 2 2 4 2 2 3" xfId="47833" xr:uid="{00000000-0005-0000-0000-0000827A0000}"/>
    <cellStyle name="40 % - Markeringsfarve5 2 2 2 4 2 3" xfId="25847" xr:uid="{00000000-0005-0000-0000-0000837A0000}"/>
    <cellStyle name="40 % - Markeringsfarve5 2 2 2 4 2 4" xfId="40834" xr:uid="{00000000-0005-0000-0000-0000847A0000}"/>
    <cellStyle name="40 % - Markeringsfarve5 2 2 2 4 3" xfId="12728" xr:uid="{00000000-0005-0000-0000-0000857A0000}"/>
    <cellStyle name="40 % - Markeringsfarve5 2 2 2 4 3 2" xfId="29047" xr:uid="{00000000-0005-0000-0000-0000867A0000}"/>
    <cellStyle name="40 % - Markeringsfarve5 2 2 2 4 3 3" xfId="44012" xr:uid="{00000000-0005-0000-0000-0000877A0000}"/>
    <cellStyle name="40 % - Markeringsfarve5 2 2 2 4 4" xfId="22025" xr:uid="{00000000-0005-0000-0000-0000887A0000}"/>
    <cellStyle name="40 % - Markeringsfarve5 2 2 2 4 5" xfId="37013" xr:uid="{00000000-0005-0000-0000-0000897A0000}"/>
    <cellStyle name="40 % - Markeringsfarve5 2 2 2 5" xfId="5977" xr:uid="{00000000-0005-0000-0000-00008A7A0000}"/>
    <cellStyle name="40 % - Markeringsfarve5 2 2 2 5 2" xfId="13895" xr:uid="{00000000-0005-0000-0000-00008B7A0000}"/>
    <cellStyle name="40 % - Markeringsfarve5 2 2 2 5 2 2" xfId="30209" xr:uid="{00000000-0005-0000-0000-00008C7A0000}"/>
    <cellStyle name="40 % - Markeringsfarve5 2 2 2 5 2 3" xfId="45173" xr:uid="{00000000-0005-0000-0000-00008D7A0000}"/>
    <cellStyle name="40 % - Markeringsfarve5 2 2 2 5 3" xfId="23187" xr:uid="{00000000-0005-0000-0000-00008E7A0000}"/>
    <cellStyle name="40 % - Markeringsfarve5 2 2 2 5 4" xfId="38174" xr:uid="{00000000-0005-0000-0000-00008F7A0000}"/>
    <cellStyle name="40 % - Markeringsfarve5 2 2 2 6" xfId="12724" xr:uid="{00000000-0005-0000-0000-0000907A0000}"/>
    <cellStyle name="40 % - Markeringsfarve5 2 2 2 6 2" xfId="29043" xr:uid="{00000000-0005-0000-0000-0000917A0000}"/>
    <cellStyle name="40 % - Markeringsfarve5 2 2 2 6 3" xfId="44008" xr:uid="{00000000-0005-0000-0000-0000927A0000}"/>
    <cellStyle name="40 % - Markeringsfarve5 2 2 2 7" xfId="22021" xr:uid="{00000000-0005-0000-0000-0000937A0000}"/>
    <cellStyle name="40 % - Markeringsfarve5 2 2 2 8" xfId="37009" xr:uid="{00000000-0005-0000-0000-0000947A0000}"/>
    <cellStyle name="40 % - Markeringsfarve5 2 2 2 9" xfId="54030" xr:uid="{00000000-0005-0000-0000-0000957A0000}"/>
    <cellStyle name="40 % - Markeringsfarve5 2 2 3" xfId="4172" xr:uid="{00000000-0005-0000-0000-0000967A0000}"/>
    <cellStyle name="40 % - Markeringsfarve5 2 2 3 2" xfId="4173" xr:uid="{00000000-0005-0000-0000-0000977A0000}"/>
    <cellStyle name="40 % - Markeringsfarve5 2 2 3 2 2" xfId="4174" xr:uid="{00000000-0005-0000-0000-0000987A0000}"/>
    <cellStyle name="40 % - Markeringsfarve5 2 2 3 2 2 2" xfId="7818" xr:uid="{00000000-0005-0000-0000-0000997A0000}"/>
    <cellStyle name="40 % - Markeringsfarve5 2 2 3 2 2 2 2" xfId="15719" xr:uid="{00000000-0005-0000-0000-00009A7A0000}"/>
    <cellStyle name="40 % - Markeringsfarve5 2 2 3 2 2 2 2 2" xfId="32033" xr:uid="{00000000-0005-0000-0000-00009B7A0000}"/>
    <cellStyle name="40 % - Markeringsfarve5 2 2 3 2 2 2 2 3" xfId="46997" xr:uid="{00000000-0005-0000-0000-00009C7A0000}"/>
    <cellStyle name="40 % - Markeringsfarve5 2 2 3 2 2 2 3" xfId="25011" xr:uid="{00000000-0005-0000-0000-00009D7A0000}"/>
    <cellStyle name="40 % - Markeringsfarve5 2 2 3 2 2 2 4" xfId="39998" xr:uid="{00000000-0005-0000-0000-00009E7A0000}"/>
    <cellStyle name="40 % - Markeringsfarve5 2 2 3 2 2 3" xfId="12731" xr:uid="{00000000-0005-0000-0000-00009F7A0000}"/>
    <cellStyle name="40 % - Markeringsfarve5 2 2 3 2 2 3 2" xfId="29050" xr:uid="{00000000-0005-0000-0000-0000A07A0000}"/>
    <cellStyle name="40 % - Markeringsfarve5 2 2 3 2 2 3 3" xfId="44015" xr:uid="{00000000-0005-0000-0000-0000A17A0000}"/>
    <cellStyle name="40 % - Markeringsfarve5 2 2 3 2 2 4" xfId="22028" xr:uid="{00000000-0005-0000-0000-0000A27A0000}"/>
    <cellStyle name="40 % - Markeringsfarve5 2 2 3 2 2 5" xfId="37016" xr:uid="{00000000-0005-0000-0000-0000A37A0000}"/>
    <cellStyle name="40 % - Markeringsfarve5 2 2 3 2 3" xfId="6364" xr:uid="{00000000-0005-0000-0000-0000A47A0000}"/>
    <cellStyle name="40 % - Markeringsfarve5 2 2 3 2 3 2" xfId="14281" xr:uid="{00000000-0005-0000-0000-0000A57A0000}"/>
    <cellStyle name="40 % - Markeringsfarve5 2 2 3 2 3 2 2" xfId="30595" xr:uid="{00000000-0005-0000-0000-0000A67A0000}"/>
    <cellStyle name="40 % - Markeringsfarve5 2 2 3 2 3 2 3" xfId="45559" xr:uid="{00000000-0005-0000-0000-0000A77A0000}"/>
    <cellStyle name="40 % - Markeringsfarve5 2 2 3 2 3 3" xfId="23573" xr:uid="{00000000-0005-0000-0000-0000A87A0000}"/>
    <cellStyle name="40 % - Markeringsfarve5 2 2 3 2 3 4" xfId="38560" xr:uid="{00000000-0005-0000-0000-0000A97A0000}"/>
    <cellStyle name="40 % - Markeringsfarve5 2 2 3 2 4" xfId="12730" xr:uid="{00000000-0005-0000-0000-0000AA7A0000}"/>
    <cellStyle name="40 % - Markeringsfarve5 2 2 3 2 4 2" xfId="29049" xr:uid="{00000000-0005-0000-0000-0000AB7A0000}"/>
    <cellStyle name="40 % - Markeringsfarve5 2 2 3 2 4 3" xfId="44014" xr:uid="{00000000-0005-0000-0000-0000AC7A0000}"/>
    <cellStyle name="40 % - Markeringsfarve5 2 2 3 2 5" xfId="22027" xr:uid="{00000000-0005-0000-0000-0000AD7A0000}"/>
    <cellStyle name="40 % - Markeringsfarve5 2 2 3 2 6" xfId="37015" xr:uid="{00000000-0005-0000-0000-0000AE7A0000}"/>
    <cellStyle name="40 % - Markeringsfarve5 2 2 3 3" xfId="4175" xr:uid="{00000000-0005-0000-0000-0000AF7A0000}"/>
    <cellStyle name="40 % - Markeringsfarve5 2 2 3 3 2" xfId="7048" xr:uid="{00000000-0005-0000-0000-0000B07A0000}"/>
    <cellStyle name="40 % - Markeringsfarve5 2 2 3 3 2 2" xfId="14959" xr:uid="{00000000-0005-0000-0000-0000B17A0000}"/>
    <cellStyle name="40 % - Markeringsfarve5 2 2 3 3 2 2 2" xfId="31273" xr:uid="{00000000-0005-0000-0000-0000B27A0000}"/>
    <cellStyle name="40 % - Markeringsfarve5 2 2 3 3 2 2 3" xfId="46237" xr:uid="{00000000-0005-0000-0000-0000B37A0000}"/>
    <cellStyle name="40 % - Markeringsfarve5 2 2 3 3 2 3" xfId="24251" xr:uid="{00000000-0005-0000-0000-0000B47A0000}"/>
    <cellStyle name="40 % - Markeringsfarve5 2 2 3 3 2 4" xfId="39238" xr:uid="{00000000-0005-0000-0000-0000B57A0000}"/>
    <cellStyle name="40 % - Markeringsfarve5 2 2 3 3 3" xfId="12732" xr:uid="{00000000-0005-0000-0000-0000B67A0000}"/>
    <cellStyle name="40 % - Markeringsfarve5 2 2 3 3 3 2" xfId="29051" xr:uid="{00000000-0005-0000-0000-0000B77A0000}"/>
    <cellStyle name="40 % - Markeringsfarve5 2 2 3 3 3 3" xfId="44016" xr:uid="{00000000-0005-0000-0000-0000B87A0000}"/>
    <cellStyle name="40 % - Markeringsfarve5 2 2 3 3 4" xfId="22029" xr:uid="{00000000-0005-0000-0000-0000B97A0000}"/>
    <cellStyle name="40 % - Markeringsfarve5 2 2 3 3 5" xfId="37017" xr:uid="{00000000-0005-0000-0000-0000BA7A0000}"/>
    <cellStyle name="40 % - Markeringsfarve5 2 2 3 4" xfId="4176" xr:uid="{00000000-0005-0000-0000-0000BB7A0000}"/>
    <cellStyle name="40 % - Markeringsfarve5 2 2 3 4 2" xfId="8397" xr:uid="{00000000-0005-0000-0000-0000BC7A0000}"/>
    <cellStyle name="40 % - Markeringsfarve5 2 2 3 4 2 2" xfId="16290" xr:uid="{00000000-0005-0000-0000-0000BD7A0000}"/>
    <cellStyle name="40 % - Markeringsfarve5 2 2 3 4 2 2 2" xfId="32604" xr:uid="{00000000-0005-0000-0000-0000BE7A0000}"/>
    <cellStyle name="40 % - Markeringsfarve5 2 2 3 4 2 2 3" xfId="47568" xr:uid="{00000000-0005-0000-0000-0000BF7A0000}"/>
    <cellStyle name="40 % - Markeringsfarve5 2 2 3 4 2 3" xfId="25582" xr:uid="{00000000-0005-0000-0000-0000C07A0000}"/>
    <cellStyle name="40 % - Markeringsfarve5 2 2 3 4 2 4" xfId="40569" xr:uid="{00000000-0005-0000-0000-0000C17A0000}"/>
    <cellStyle name="40 % - Markeringsfarve5 2 2 3 4 3" xfId="12733" xr:uid="{00000000-0005-0000-0000-0000C27A0000}"/>
    <cellStyle name="40 % - Markeringsfarve5 2 2 3 4 3 2" xfId="29052" xr:uid="{00000000-0005-0000-0000-0000C37A0000}"/>
    <cellStyle name="40 % - Markeringsfarve5 2 2 3 4 3 3" xfId="44017" xr:uid="{00000000-0005-0000-0000-0000C47A0000}"/>
    <cellStyle name="40 % - Markeringsfarve5 2 2 3 4 4" xfId="22030" xr:uid="{00000000-0005-0000-0000-0000C57A0000}"/>
    <cellStyle name="40 % - Markeringsfarve5 2 2 3 4 5" xfId="37018" xr:uid="{00000000-0005-0000-0000-0000C67A0000}"/>
    <cellStyle name="40 % - Markeringsfarve5 2 2 3 5" xfId="5978" xr:uid="{00000000-0005-0000-0000-0000C77A0000}"/>
    <cellStyle name="40 % - Markeringsfarve5 2 2 3 5 2" xfId="13896" xr:uid="{00000000-0005-0000-0000-0000C87A0000}"/>
    <cellStyle name="40 % - Markeringsfarve5 2 2 3 5 2 2" xfId="30210" xr:uid="{00000000-0005-0000-0000-0000C97A0000}"/>
    <cellStyle name="40 % - Markeringsfarve5 2 2 3 5 2 3" xfId="45174" xr:uid="{00000000-0005-0000-0000-0000CA7A0000}"/>
    <cellStyle name="40 % - Markeringsfarve5 2 2 3 5 3" xfId="23188" xr:uid="{00000000-0005-0000-0000-0000CB7A0000}"/>
    <cellStyle name="40 % - Markeringsfarve5 2 2 3 5 4" xfId="38175" xr:uid="{00000000-0005-0000-0000-0000CC7A0000}"/>
    <cellStyle name="40 % - Markeringsfarve5 2 2 3 6" xfId="12729" xr:uid="{00000000-0005-0000-0000-0000CD7A0000}"/>
    <cellStyle name="40 % - Markeringsfarve5 2 2 3 6 2" xfId="29048" xr:uid="{00000000-0005-0000-0000-0000CE7A0000}"/>
    <cellStyle name="40 % - Markeringsfarve5 2 2 3 6 3" xfId="44013" xr:uid="{00000000-0005-0000-0000-0000CF7A0000}"/>
    <cellStyle name="40 % - Markeringsfarve5 2 2 3 7" xfId="22026" xr:uid="{00000000-0005-0000-0000-0000D07A0000}"/>
    <cellStyle name="40 % - Markeringsfarve5 2 2 3 8" xfId="37014" xr:uid="{00000000-0005-0000-0000-0000D17A0000}"/>
    <cellStyle name="40 % - Markeringsfarve5 2 2 3 9" xfId="56574" xr:uid="{00000000-0005-0000-0000-0000D27A0000}"/>
    <cellStyle name="40 % - Markeringsfarve5 2 2 4" xfId="4177" xr:uid="{00000000-0005-0000-0000-0000D37A0000}"/>
    <cellStyle name="40 % - Markeringsfarve5 2 2 4 2" xfId="4178" xr:uid="{00000000-0005-0000-0000-0000D47A0000}"/>
    <cellStyle name="40 % - Markeringsfarve5 2 2 4 2 2" xfId="4179" xr:uid="{00000000-0005-0000-0000-0000D57A0000}"/>
    <cellStyle name="40 % - Markeringsfarve5 2 2 4 2 2 2" xfId="7920" xr:uid="{00000000-0005-0000-0000-0000D67A0000}"/>
    <cellStyle name="40 % - Markeringsfarve5 2 2 4 2 2 2 2" xfId="15821" xr:uid="{00000000-0005-0000-0000-0000D77A0000}"/>
    <cellStyle name="40 % - Markeringsfarve5 2 2 4 2 2 2 2 2" xfId="32135" xr:uid="{00000000-0005-0000-0000-0000D87A0000}"/>
    <cellStyle name="40 % - Markeringsfarve5 2 2 4 2 2 2 2 3" xfId="47099" xr:uid="{00000000-0005-0000-0000-0000D97A0000}"/>
    <cellStyle name="40 % - Markeringsfarve5 2 2 4 2 2 2 3" xfId="25113" xr:uid="{00000000-0005-0000-0000-0000DA7A0000}"/>
    <cellStyle name="40 % - Markeringsfarve5 2 2 4 2 2 2 4" xfId="40100" xr:uid="{00000000-0005-0000-0000-0000DB7A0000}"/>
    <cellStyle name="40 % - Markeringsfarve5 2 2 4 2 2 3" xfId="12736" xr:uid="{00000000-0005-0000-0000-0000DC7A0000}"/>
    <cellStyle name="40 % - Markeringsfarve5 2 2 4 2 2 3 2" xfId="29055" xr:uid="{00000000-0005-0000-0000-0000DD7A0000}"/>
    <cellStyle name="40 % - Markeringsfarve5 2 2 4 2 2 3 3" xfId="44020" xr:uid="{00000000-0005-0000-0000-0000DE7A0000}"/>
    <cellStyle name="40 % - Markeringsfarve5 2 2 4 2 2 4" xfId="22033" xr:uid="{00000000-0005-0000-0000-0000DF7A0000}"/>
    <cellStyle name="40 % - Markeringsfarve5 2 2 4 2 2 5" xfId="37021" xr:uid="{00000000-0005-0000-0000-0000E07A0000}"/>
    <cellStyle name="40 % - Markeringsfarve5 2 2 4 2 3" xfId="6455" xr:uid="{00000000-0005-0000-0000-0000E17A0000}"/>
    <cellStyle name="40 % - Markeringsfarve5 2 2 4 2 3 2" xfId="14369" xr:uid="{00000000-0005-0000-0000-0000E27A0000}"/>
    <cellStyle name="40 % - Markeringsfarve5 2 2 4 2 3 2 2" xfId="30683" xr:uid="{00000000-0005-0000-0000-0000E37A0000}"/>
    <cellStyle name="40 % - Markeringsfarve5 2 2 4 2 3 2 3" xfId="45647" xr:uid="{00000000-0005-0000-0000-0000E47A0000}"/>
    <cellStyle name="40 % - Markeringsfarve5 2 2 4 2 3 3" xfId="23661" xr:uid="{00000000-0005-0000-0000-0000E57A0000}"/>
    <cellStyle name="40 % - Markeringsfarve5 2 2 4 2 3 4" xfId="38648" xr:uid="{00000000-0005-0000-0000-0000E67A0000}"/>
    <cellStyle name="40 % - Markeringsfarve5 2 2 4 2 4" xfId="12735" xr:uid="{00000000-0005-0000-0000-0000E77A0000}"/>
    <cellStyle name="40 % - Markeringsfarve5 2 2 4 2 4 2" xfId="29054" xr:uid="{00000000-0005-0000-0000-0000E87A0000}"/>
    <cellStyle name="40 % - Markeringsfarve5 2 2 4 2 4 3" xfId="44019" xr:uid="{00000000-0005-0000-0000-0000E97A0000}"/>
    <cellStyle name="40 % - Markeringsfarve5 2 2 4 2 5" xfId="22032" xr:uid="{00000000-0005-0000-0000-0000EA7A0000}"/>
    <cellStyle name="40 % - Markeringsfarve5 2 2 4 2 6" xfId="37020" xr:uid="{00000000-0005-0000-0000-0000EB7A0000}"/>
    <cellStyle name="40 % - Markeringsfarve5 2 2 4 3" xfId="4180" xr:uid="{00000000-0005-0000-0000-0000EC7A0000}"/>
    <cellStyle name="40 % - Markeringsfarve5 2 2 4 3 2" xfId="7196" xr:uid="{00000000-0005-0000-0000-0000ED7A0000}"/>
    <cellStyle name="40 % - Markeringsfarve5 2 2 4 3 2 2" xfId="15106" xr:uid="{00000000-0005-0000-0000-0000EE7A0000}"/>
    <cellStyle name="40 % - Markeringsfarve5 2 2 4 3 2 2 2" xfId="31420" xr:uid="{00000000-0005-0000-0000-0000EF7A0000}"/>
    <cellStyle name="40 % - Markeringsfarve5 2 2 4 3 2 2 3" xfId="46384" xr:uid="{00000000-0005-0000-0000-0000F07A0000}"/>
    <cellStyle name="40 % - Markeringsfarve5 2 2 4 3 2 3" xfId="24398" xr:uid="{00000000-0005-0000-0000-0000F17A0000}"/>
    <cellStyle name="40 % - Markeringsfarve5 2 2 4 3 2 4" xfId="39385" xr:uid="{00000000-0005-0000-0000-0000F27A0000}"/>
    <cellStyle name="40 % - Markeringsfarve5 2 2 4 3 3" xfId="12737" xr:uid="{00000000-0005-0000-0000-0000F37A0000}"/>
    <cellStyle name="40 % - Markeringsfarve5 2 2 4 3 3 2" xfId="29056" xr:uid="{00000000-0005-0000-0000-0000F47A0000}"/>
    <cellStyle name="40 % - Markeringsfarve5 2 2 4 3 3 3" xfId="44021" xr:uid="{00000000-0005-0000-0000-0000F57A0000}"/>
    <cellStyle name="40 % - Markeringsfarve5 2 2 4 3 4" xfId="22034" xr:uid="{00000000-0005-0000-0000-0000F67A0000}"/>
    <cellStyle name="40 % - Markeringsfarve5 2 2 4 3 5" xfId="37022" xr:uid="{00000000-0005-0000-0000-0000F77A0000}"/>
    <cellStyle name="40 % - Markeringsfarve5 2 2 4 4" xfId="4181" xr:uid="{00000000-0005-0000-0000-0000F87A0000}"/>
    <cellStyle name="40 % - Markeringsfarve5 2 2 4 4 2" xfId="8629" xr:uid="{00000000-0005-0000-0000-0000F97A0000}"/>
    <cellStyle name="40 % - Markeringsfarve5 2 2 4 4 2 2" xfId="16512" xr:uid="{00000000-0005-0000-0000-0000FA7A0000}"/>
    <cellStyle name="40 % - Markeringsfarve5 2 2 4 4 2 2 2" xfId="32826" xr:uid="{00000000-0005-0000-0000-0000FB7A0000}"/>
    <cellStyle name="40 % - Markeringsfarve5 2 2 4 4 2 2 3" xfId="47790" xr:uid="{00000000-0005-0000-0000-0000FC7A0000}"/>
    <cellStyle name="40 % - Markeringsfarve5 2 2 4 4 2 3" xfId="25804" xr:uid="{00000000-0005-0000-0000-0000FD7A0000}"/>
    <cellStyle name="40 % - Markeringsfarve5 2 2 4 4 2 4" xfId="40791" xr:uid="{00000000-0005-0000-0000-0000FE7A0000}"/>
    <cellStyle name="40 % - Markeringsfarve5 2 2 4 4 3" xfId="12738" xr:uid="{00000000-0005-0000-0000-0000FF7A0000}"/>
    <cellStyle name="40 % - Markeringsfarve5 2 2 4 4 3 2" xfId="29057" xr:uid="{00000000-0005-0000-0000-0000007B0000}"/>
    <cellStyle name="40 % - Markeringsfarve5 2 2 4 4 3 3" xfId="44022" xr:uid="{00000000-0005-0000-0000-0000017B0000}"/>
    <cellStyle name="40 % - Markeringsfarve5 2 2 4 4 4" xfId="22035" xr:uid="{00000000-0005-0000-0000-0000027B0000}"/>
    <cellStyle name="40 % - Markeringsfarve5 2 2 4 4 5" xfId="37023" xr:uid="{00000000-0005-0000-0000-0000037B0000}"/>
    <cellStyle name="40 % - Markeringsfarve5 2 2 4 5" xfId="5979" xr:uid="{00000000-0005-0000-0000-0000047B0000}"/>
    <cellStyle name="40 % - Markeringsfarve5 2 2 4 5 2" xfId="13897" xr:uid="{00000000-0005-0000-0000-0000057B0000}"/>
    <cellStyle name="40 % - Markeringsfarve5 2 2 4 5 2 2" xfId="30211" xr:uid="{00000000-0005-0000-0000-0000067B0000}"/>
    <cellStyle name="40 % - Markeringsfarve5 2 2 4 5 2 3" xfId="45175" xr:uid="{00000000-0005-0000-0000-0000077B0000}"/>
    <cellStyle name="40 % - Markeringsfarve5 2 2 4 5 3" xfId="23189" xr:uid="{00000000-0005-0000-0000-0000087B0000}"/>
    <cellStyle name="40 % - Markeringsfarve5 2 2 4 5 4" xfId="38176" xr:uid="{00000000-0005-0000-0000-0000097B0000}"/>
    <cellStyle name="40 % - Markeringsfarve5 2 2 4 6" xfId="12734" xr:uid="{00000000-0005-0000-0000-00000A7B0000}"/>
    <cellStyle name="40 % - Markeringsfarve5 2 2 4 6 2" xfId="29053" xr:uid="{00000000-0005-0000-0000-00000B7B0000}"/>
    <cellStyle name="40 % - Markeringsfarve5 2 2 4 6 3" xfId="44018" xr:uid="{00000000-0005-0000-0000-00000C7B0000}"/>
    <cellStyle name="40 % - Markeringsfarve5 2 2 4 7" xfId="22031" xr:uid="{00000000-0005-0000-0000-00000D7B0000}"/>
    <cellStyle name="40 % - Markeringsfarve5 2 2 4 8" xfId="37019" xr:uid="{00000000-0005-0000-0000-00000E7B0000}"/>
    <cellStyle name="40 % - Markeringsfarve5 2 2 5" xfId="4182" xr:uid="{00000000-0005-0000-0000-00000F7B0000}"/>
    <cellStyle name="40 % - Markeringsfarve5 2 2 5 2" xfId="4183" xr:uid="{00000000-0005-0000-0000-0000107B0000}"/>
    <cellStyle name="40 % - Markeringsfarve5 2 2 5 2 2" xfId="4184" xr:uid="{00000000-0005-0000-0000-0000117B0000}"/>
    <cellStyle name="40 % - Markeringsfarve5 2 2 5 2 2 2" xfId="8037" xr:uid="{00000000-0005-0000-0000-0000127B0000}"/>
    <cellStyle name="40 % - Markeringsfarve5 2 2 5 2 2 2 2" xfId="15938" xr:uid="{00000000-0005-0000-0000-0000137B0000}"/>
    <cellStyle name="40 % - Markeringsfarve5 2 2 5 2 2 2 2 2" xfId="32252" xr:uid="{00000000-0005-0000-0000-0000147B0000}"/>
    <cellStyle name="40 % - Markeringsfarve5 2 2 5 2 2 2 2 3" xfId="47216" xr:uid="{00000000-0005-0000-0000-0000157B0000}"/>
    <cellStyle name="40 % - Markeringsfarve5 2 2 5 2 2 2 3" xfId="25230" xr:uid="{00000000-0005-0000-0000-0000167B0000}"/>
    <cellStyle name="40 % - Markeringsfarve5 2 2 5 2 2 2 4" xfId="40217" xr:uid="{00000000-0005-0000-0000-0000177B0000}"/>
    <cellStyle name="40 % - Markeringsfarve5 2 2 5 2 2 3" xfId="12741" xr:uid="{00000000-0005-0000-0000-0000187B0000}"/>
    <cellStyle name="40 % - Markeringsfarve5 2 2 5 2 2 3 2" xfId="29060" xr:uid="{00000000-0005-0000-0000-0000197B0000}"/>
    <cellStyle name="40 % - Markeringsfarve5 2 2 5 2 2 3 3" xfId="44025" xr:uid="{00000000-0005-0000-0000-00001A7B0000}"/>
    <cellStyle name="40 % - Markeringsfarve5 2 2 5 2 2 4" xfId="22038" xr:uid="{00000000-0005-0000-0000-00001B7B0000}"/>
    <cellStyle name="40 % - Markeringsfarve5 2 2 5 2 2 5" xfId="37026" xr:uid="{00000000-0005-0000-0000-00001C7B0000}"/>
    <cellStyle name="40 % - Markeringsfarve5 2 2 5 2 3" xfId="6554" xr:uid="{00000000-0005-0000-0000-00001D7B0000}"/>
    <cellStyle name="40 % - Markeringsfarve5 2 2 5 2 3 2" xfId="14468" xr:uid="{00000000-0005-0000-0000-00001E7B0000}"/>
    <cellStyle name="40 % - Markeringsfarve5 2 2 5 2 3 2 2" xfId="30782" xr:uid="{00000000-0005-0000-0000-00001F7B0000}"/>
    <cellStyle name="40 % - Markeringsfarve5 2 2 5 2 3 2 3" xfId="45746" xr:uid="{00000000-0005-0000-0000-0000207B0000}"/>
    <cellStyle name="40 % - Markeringsfarve5 2 2 5 2 3 3" xfId="23760" xr:uid="{00000000-0005-0000-0000-0000217B0000}"/>
    <cellStyle name="40 % - Markeringsfarve5 2 2 5 2 3 4" xfId="38747" xr:uid="{00000000-0005-0000-0000-0000227B0000}"/>
    <cellStyle name="40 % - Markeringsfarve5 2 2 5 2 4" xfId="12740" xr:uid="{00000000-0005-0000-0000-0000237B0000}"/>
    <cellStyle name="40 % - Markeringsfarve5 2 2 5 2 4 2" xfId="29059" xr:uid="{00000000-0005-0000-0000-0000247B0000}"/>
    <cellStyle name="40 % - Markeringsfarve5 2 2 5 2 4 3" xfId="44024" xr:uid="{00000000-0005-0000-0000-0000257B0000}"/>
    <cellStyle name="40 % - Markeringsfarve5 2 2 5 2 5" xfId="22037" xr:uid="{00000000-0005-0000-0000-0000267B0000}"/>
    <cellStyle name="40 % - Markeringsfarve5 2 2 5 2 6" xfId="37025" xr:uid="{00000000-0005-0000-0000-0000277B0000}"/>
    <cellStyle name="40 % - Markeringsfarve5 2 2 5 3" xfId="4185" xr:uid="{00000000-0005-0000-0000-0000287B0000}"/>
    <cellStyle name="40 % - Markeringsfarve5 2 2 5 3 2" xfId="7313" xr:uid="{00000000-0005-0000-0000-0000297B0000}"/>
    <cellStyle name="40 % - Markeringsfarve5 2 2 5 3 2 2" xfId="15223" xr:uid="{00000000-0005-0000-0000-00002A7B0000}"/>
    <cellStyle name="40 % - Markeringsfarve5 2 2 5 3 2 2 2" xfId="31537" xr:uid="{00000000-0005-0000-0000-00002B7B0000}"/>
    <cellStyle name="40 % - Markeringsfarve5 2 2 5 3 2 2 3" xfId="46501" xr:uid="{00000000-0005-0000-0000-00002C7B0000}"/>
    <cellStyle name="40 % - Markeringsfarve5 2 2 5 3 2 3" xfId="24515" xr:uid="{00000000-0005-0000-0000-00002D7B0000}"/>
    <cellStyle name="40 % - Markeringsfarve5 2 2 5 3 2 4" xfId="39502" xr:uid="{00000000-0005-0000-0000-00002E7B0000}"/>
    <cellStyle name="40 % - Markeringsfarve5 2 2 5 3 3" xfId="12742" xr:uid="{00000000-0005-0000-0000-00002F7B0000}"/>
    <cellStyle name="40 % - Markeringsfarve5 2 2 5 3 3 2" xfId="29061" xr:uid="{00000000-0005-0000-0000-0000307B0000}"/>
    <cellStyle name="40 % - Markeringsfarve5 2 2 5 3 3 3" xfId="44026" xr:uid="{00000000-0005-0000-0000-0000317B0000}"/>
    <cellStyle name="40 % - Markeringsfarve5 2 2 5 3 4" xfId="22039" xr:uid="{00000000-0005-0000-0000-0000327B0000}"/>
    <cellStyle name="40 % - Markeringsfarve5 2 2 5 3 5" xfId="37027" xr:uid="{00000000-0005-0000-0000-0000337B0000}"/>
    <cellStyle name="40 % - Markeringsfarve5 2 2 5 4" xfId="4186" xr:uid="{00000000-0005-0000-0000-0000347B0000}"/>
    <cellStyle name="40 % - Markeringsfarve5 2 2 5 4 2" xfId="8279" xr:uid="{00000000-0005-0000-0000-0000357B0000}"/>
    <cellStyle name="40 % - Markeringsfarve5 2 2 5 4 2 2" xfId="16173" xr:uid="{00000000-0005-0000-0000-0000367B0000}"/>
    <cellStyle name="40 % - Markeringsfarve5 2 2 5 4 2 2 2" xfId="32487" xr:uid="{00000000-0005-0000-0000-0000377B0000}"/>
    <cellStyle name="40 % - Markeringsfarve5 2 2 5 4 2 2 3" xfId="47451" xr:uid="{00000000-0005-0000-0000-0000387B0000}"/>
    <cellStyle name="40 % - Markeringsfarve5 2 2 5 4 2 3" xfId="25465" xr:uid="{00000000-0005-0000-0000-0000397B0000}"/>
    <cellStyle name="40 % - Markeringsfarve5 2 2 5 4 2 4" xfId="40452" xr:uid="{00000000-0005-0000-0000-00003A7B0000}"/>
    <cellStyle name="40 % - Markeringsfarve5 2 2 5 4 3" xfId="12743" xr:uid="{00000000-0005-0000-0000-00003B7B0000}"/>
    <cellStyle name="40 % - Markeringsfarve5 2 2 5 4 3 2" xfId="29062" xr:uid="{00000000-0005-0000-0000-00003C7B0000}"/>
    <cellStyle name="40 % - Markeringsfarve5 2 2 5 4 3 3" xfId="44027" xr:uid="{00000000-0005-0000-0000-00003D7B0000}"/>
    <cellStyle name="40 % - Markeringsfarve5 2 2 5 4 4" xfId="22040" xr:uid="{00000000-0005-0000-0000-00003E7B0000}"/>
    <cellStyle name="40 % - Markeringsfarve5 2 2 5 4 5" xfId="37028" xr:uid="{00000000-0005-0000-0000-00003F7B0000}"/>
    <cellStyle name="40 % - Markeringsfarve5 2 2 5 5" xfId="5980" xr:uid="{00000000-0005-0000-0000-0000407B0000}"/>
    <cellStyle name="40 % - Markeringsfarve5 2 2 5 5 2" xfId="13898" xr:uid="{00000000-0005-0000-0000-0000417B0000}"/>
    <cellStyle name="40 % - Markeringsfarve5 2 2 5 5 2 2" xfId="30212" xr:uid="{00000000-0005-0000-0000-0000427B0000}"/>
    <cellStyle name="40 % - Markeringsfarve5 2 2 5 5 2 3" xfId="45176" xr:uid="{00000000-0005-0000-0000-0000437B0000}"/>
    <cellStyle name="40 % - Markeringsfarve5 2 2 5 5 3" xfId="23190" xr:uid="{00000000-0005-0000-0000-0000447B0000}"/>
    <cellStyle name="40 % - Markeringsfarve5 2 2 5 5 4" xfId="38177" xr:uid="{00000000-0005-0000-0000-0000457B0000}"/>
    <cellStyle name="40 % - Markeringsfarve5 2 2 5 6" xfId="12739" xr:uid="{00000000-0005-0000-0000-0000467B0000}"/>
    <cellStyle name="40 % - Markeringsfarve5 2 2 5 6 2" xfId="29058" xr:uid="{00000000-0005-0000-0000-0000477B0000}"/>
    <cellStyle name="40 % - Markeringsfarve5 2 2 5 6 3" xfId="44023" xr:uid="{00000000-0005-0000-0000-0000487B0000}"/>
    <cellStyle name="40 % - Markeringsfarve5 2 2 5 7" xfId="22036" xr:uid="{00000000-0005-0000-0000-0000497B0000}"/>
    <cellStyle name="40 % - Markeringsfarve5 2 2 5 8" xfId="37024" xr:uid="{00000000-0005-0000-0000-00004A7B0000}"/>
    <cellStyle name="40 % - Markeringsfarve5 2 2 6" xfId="4187" xr:uid="{00000000-0005-0000-0000-00004B7B0000}"/>
    <cellStyle name="40 % - Markeringsfarve5 2 2 6 2" xfId="4188" xr:uid="{00000000-0005-0000-0000-00004C7B0000}"/>
    <cellStyle name="40 % - Markeringsfarve5 2 2 6 2 2" xfId="4189" xr:uid="{00000000-0005-0000-0000-00004D7B0000}"/>
    <cellStyle name="40 % - Markeringsfarve5 2 2 6 2 2 2" xfId="8172" xr:uid="{00000000-0005-0000-0000-00004E7B0000}"/>
    <cellStyle name="40 % - Markeringsfarve5 2 2 6 2 2 2 2" xfId="16073" xr:uid="{00000000-0005-0000-0000-00004F7B0000}"/>
    <cellStyle name="40 % - Markeringsfarve5 2 2 6 2 2 2 2 2" xfId="32387" xr:uid="{00000000-0005-0000-0000-0000507B0000}"/>
    <cellStyle name="40 % - Markeringsfarve5 2 2 6 2 2 2 2 3" xfId="47351" xr:uid="{00000000-0005-0000-0000-0000517B0000}"/>
    <cellStyle name="40 % - Markeringsfarve5 2 2 6 2 2 2 3" xfId="25365" xr:uid="{00000000-0005-0000-0000-0000527B0000}"/>
    <cellStyle name="40 % - Markeringsfarve5 2 2 6 2 2 2 4" xfId="40352" xr:uid="{00000000-0005-0000-0000-0000537B0000}"/>
    <cellStyle name="40 % - Markeringsfarve5 2 2 6 2 2 3" xfId="12746" xr:uid="{00000000-0005-0000-0000-0000547B0000}"/>
    <cellStyle name="40 % - Markeringsfarve5 2 2 6 2 2 3 2" xfId="29065" xr:uid="{00000000-0005-0000-0000-0000557B0000}"/>
    <cellStyle name="40 % - Markeringsfarve5 2 2 6 2 2 3 3" xfId="44030" xr:uid="{00000000-0005-0000-0000-0000567B0000}"/>
    <cellStyle name="40 % - Markeringsfarve5 2 2 6 2 2 4" xfId="22043" xr:uid="{00000000-0005-0000-0000-0000577B0000}"/>
    <cellStyle name="40 % - Markeringsfarve5 2 2 6 2 2 5" xfId="37031" xr:uid="{00000000-0005-0000-0000-0000587B0000}"/>
    <cellStyle name="40 % - Markeringsfarve5 2 2 6 2 3" xfId="6665" xr:uid="{00000000-0005-0000-0000-0000597B0000}"/>
    <cellStyle name="40 % - Markeringsfarve5 2 2 6 2 3 2" xfId="14579" xr:uid="{00000000-0005-0000-0000-00005A7B0000}"/>
    <cellStyle name="40 % - Markeringsfarve5 2 2 6 2 3 2 2" xfId="30893" xr:uid="{00000000-0005-0000-0000-00005B7B0000}"/>
    <cellStyle name="40 % - Markeringsfarve5 2 2 6 2 3 2 3" xfId="45857" xr:uid="{00000000-0005-0000-0000-00005C7B0000}"/>
    <cellStyle name="40 % - Markeringsfarve5 2 2 6 2 3 3" xfId="23871" xr:uid="{00000000-0005-0000-0000-00005D7B0000}"/>
    <cellStyle name="40 % - Markeringsfarve5 2 2 6 2 3 4" xfId="38858" xr:uid="{00000000-0005-0000-0000-00005E7B0000}"/>
    <cellStyle name="40 % - Markeringsfarve5 2 2 6 2 4" xfId="12745" xr:uid="{00000000-0005-0000-0000-00005F7B0000}"/>
    <cellStyle name="40 % - Markeringsfarve5 2 2 6 2 4 2" xfId="29064" xr:uid="{00000000-0005-0000-0000-0000607B0000}"/>
    <cellStyle name="40 % - Markeringsfarve5 2 2 6 2 4 3" xfId="44029" xr:uid="{00000000-0005-0000-0000-0000617B0000}"/>
    <cellStyle name="40 % - Markeringsfarve5 2 2 6 2 5" xfId="22042" xr:uid="{00000000-0005-0000-0000-0000627B0000}"/>
    <cellStyle name="40 % - Markeringsfarve5 2 2 6 2 6" xfId="37030" xr:uid="{00000000-0005-0000-0000-0000637B0000}"/>
    <cellStyle name="40 % - Markeringsfarve5 2 2 6 3" xfId="4190" xr:uid="{00000000-0005-0000-0000-0000647B0000}"/>
    <cellStyle name="40 % - Markeringsfarve5 2 2 6 3 2" xfId="7449" xr:uid="{00000000-0005-0000-0000-0000657B0000}"/>
    <cellStyle name="40 % - Markeringsfarve5 2 2 6 3 2 2" xfId="15359" xr:uid="{00000000-0005-0000-0000-0000667B0000}"/>
    <cellStyle name="40 % - Markeringsfarve5 2 2 6 3 2 2 2" xfId="31673" xr:uid="{00000000-0005-0000-0000-0000677B0000}"/>
    <cellStyle name="40 % - Markeringsfarve5 2 2 6 3 2 2 3" xfId="46637" xr:uid="{00000000-0005-0000-0000-0000687B0000}"/>
    <cellStyle name="40 % - Markeringsfarve5 2 2 6 3 2 3" xfId="24651" xr:uid="{00000000-0005-0000-0000-0000697B0000}"/>
    <cellStyle name="40 % - Markeringsfarve5 2 2 6 3 2 4" xfId="39638" xr:uid="{00000000-0005-0000-0000-00006A7B0000}"/>
    <cellStyle name="40 % - Markeringsfarve5 2 2 6 3 3" xfId="12747" xr:uid="{00000000-0005-0000-0000-00006B7B0000}"/>
    <cellStyle name="40 % - Markeringsfarve5 2 2 6 3 3 2" xfId="29066" xr:uid="{00000000-0005-0000-0000-00006C7B0000}"/>
    <cellStyle name="40 % - Markeringsfarve5 2 2 6 3 3 3" xfId="44031" xr:uid="{00000000-0005-0000-0000-00006D7B0000}"/>
    <cellStyle name="40 % - Markeringsfarve5 2 2 6 3 4" xfId="22044" xr:uid="{00000000-0005-0000-0000-00006E7B0000}"/>
    <cellStyle name="40 % - Markeringsfarve5 2 2 6 3 5" xfId="37032" xr:uid="{00000000-0005-0000-0000-00006F7B0000}"/>
    <cellStyle name="40 % - Markeringsfarve5 2 2 6 4" xfId="4191" xr:uid="{00000000-0005-0000-0000-0000707B0000}"/>
    <cellStyle name="40 % - Markeringsfarve5 2 2 6 4 2" xfId="8582" xr:uid="{00000000-0005-0000-0000-0000717B0000}"/>
    <cellStyle name="40 % - Markeringsfarve5 2 2 6 4 2 2" xfId="16469" xr:uid="{00000000-0005-0000-0000-0000727B0000}"/>
    <cellStyle name="40 % - Markeringsfarve5 2 2 6 4 2 2 2" xfId="32783" xr:uid="{00000000-0005-0000-0000-0000737B0000}"/>
    <cellStyle name="40 % - Markeringsfarve5 2 2 6 4 2 2 3" xfId="47747" xr:uid="{00000000-0005-0000-0000-0000747B0000}"/>
    <cellStyle name="40 % - Markeringsfarve5 2 2 6 4 2 3" xfId="25761" xr:uid="{00000000-0005-0000-0000-0000757B0000}"/>
    <cellStyle name="40 % - Markeringsfarve5 2 2 6 4 2 4" xfId="40748" xr:uid="{00000000-0005-0000-0000-0000767B0000}"/>
    <cellStyle name="40 % - Markeringsfarve5 2 2 6 4 3" xfId="12748" xr:uid="{00000000-0005-0000-0000-0000777B0000}"/>
    <cellStyle name="40 % - Markeringsfarve5 2 2 6 4 3 2" xfId="29067" xr:uid="{00000000-0005-0000-0000-0000787B0000}"/>
    <cellStyle name="40 % - Markeringsfarve5 2 2 6 4 3 3" xfId="44032" xr:uid="{00000000-0005-0000-0000-0000797B0000}"/>
    <cellStyle name="40 % - Markeringsfarve5 2 2 6 4 4" xfId="22045" xr:uid="{00000000-0005-0000-0000-00007A7B0000}"/>
    <cellStyle name="40 % - Markeringsfarve5 2 2 6 4 5" xfId="37033" xr:uid="{00000000-0005-0000-0000-00007B7B0000}"/>
    <cellStyle name="40 % - Markeringsfarve5 2 2 6 5" xfId="5981" xr:uid="{00000000-0005-0000-0000-00007C7B0000}"/>
    <cellStyle name="40 % - Markeringsfarve5 2 2 6 5 2" xfId="13899" xr:uid="{00000000-0005-0000-0000-00007D7B0000}"/>
    <cellStyle name="40 % - Markeringsfarve5 2 2 6 5 2 2" xfId="30213" xr:uid="{00000000-0005-0000-0000-00007E7B0000}"/>
    <cellStyle name="40 % - Markeringsfarve5 2 2 6 5 2 3" xfId="45177" xr:uid="{00000000-0005-0000-0000-00007F7B0000}"/>
    <cellStyle name="40 % - Markeringsfarve5 2 2 6 5 3" xfId="23191" xr:uid="{00000000-0005-0000-0000-0000807B0000}"/>
    <cellStyle name="40 % - Markeringsfarve5 2 2 6 5 4" xfId="38178" xr:uid="{00000000-0005-0000-0000-0000817B0000}"/>
    <cellStyle name="40 % - Markeringsfarve5 2 2 6 6" xfId="12744" xr:uid="{00000000-0005-0000-0000-0000827B0000}"/>
    <cellStyle name="40 % - Markeringsfarve5 2 2 6 6 2" xfId="29063" xr:uid="{00000000-0005-0000-0000-0000837B0000}"/>
    <cellStyle name="40 % - Markeringsfarve5 2 2 6 6 3" xfId="44028" xr:uid="{00000000-0005-0000-0000-0000847B0000}"/>
    <cellStyle name="40 % - Markeringsfarve5 2 2 6 7" xfId="22041" xr:uid="{00000000-0005-0000-0000-0000857B0000}"/>
    <cellStyle name="40 % - Markeringsfarve5 2 2 6 8" xfId="37029" xr:uid="{00000000-0005-0000-0000-0000867B0000}"/>
    <cellStyle name="40 % - Markeringsfarve5 2 2 7" xfId="4192" xr:uid="{00000000-0005-0000-0000-0000877B0000}"/>
    <cellStyle name="40 % - Markeringsfarve5 2 2 7 2" xfId="4193" xr:uid="{00000000-0005-0000-0000-0000887B0000}"/>
    <cellStyle name="40 % - Markeringsfarve5 2 2 7 2 2" xfId="7563" xr:uid="{00000000-0005-0000-0000-0000897B0000}"/>
    <cellStyle name="40 % - Markeringsfarve5 2 2 7 2 2 2" xfId="15464" xr:uid="{00000000-0005-0000-0000-00008A7B0000}"/>
    <cellStyle name="40 % - Markeringsfarve5 2 2 7 2 2 2 2" xfId="31778" xr:uid="{00000000-0005-0000-0000-00008B7B0000}"/>
    <cellStyle name="40 % - Markeringsfarve5 2 2 7 2 2 2 3" xfId="46742" xr:uid="{00000000-0005-0000-0000-00008C7B0000}"/>
    <cellStyle name="40 % - Markeringsfarve5 2 2 7 2 2 3" xfId="24756" xr:uid="{00000000-0005-0000-0000-00008D7B0000}"/>
    <cellStyle name="40 % - Markeringsfarve5 2 2 7 2 2 4" xfId="39743" xr:uid="{00000000-0005-0000-0000-00008E7B0000}"/>
    <cellStyle name="40 % - Markeringsfarve5 2 2 7 2 3" xfId="12750" xr:uid="{00000000-0005-0000-0000-00008F7B0000}"/>
    <cellStyle name="40 % - Markeringsfarve5 2 2 7 2 3 2" xfId="29069" xr:uid="{00000000-0005-0000-0000-0000907B0000}"/>
    <cellStyle name="40 % - Markeringsfarve5 2 2 7 2 3 3" xfId="44034" xr:uid="{00000000-0005-0000-0000-0000917B0000}"/>
    <cellStyle name="40 % - Markeringsfarve5 2 2 7 2 4" xfId="22047" xr:uid="{00000000-0005-0000-0000-0000927B0000}"/>
    <cellStyle name="40 % - Markeringsfarve5 2 2 7 2 5" xfId="37035" xr:uid="{00000000-0005-0000-0000-0000937B0000}"/>
    <cellStyle name="40 % - Markeringsfarve5 2 2 7 3" xfId="6154" xr:uid="{00000000-0005-0000-0000-0000947B0000}"/>
    <cellStyle name="40 % - Markeringsfarve5 2 2 7 3 2" xfId="14071" xr:uid="{00000000-0005-0000-0000-0000957B0000}"/>
    <cellStyle name="40 % - Markeringsfarve5 2 2 7 3 2 2" xfId="30385" xr:uid="{00000000-0005-0000-0000-0000967B0000}"/>
    <cellStyle name="40 % - Markeringsfarve5 2 2 7 3 2 3" xfId="45349" xr:uid="{00000000-0005-0000-0000-0000977B0000}"/>
    <cellStyle name="40 % - Markeringsfarve5 2 2 7 3 3" xfId="23363" xr:uid="{00000000-0005-0000-0000-0000987B0000}"/>
    <cellStyle name="40 % - Markeringsfarve5 2 2 7 3 4" xfId="38350" xr:uid="{00000000-0005-0000-0000-0000997B0000}"/>
    <cellStyle name="40 % - Markeringsfarve5 2 2 7 4" xfId="12749" xr:uid="{00000000-0005-0000-0000-00009A7B0000}"/>
    <cellStyle name="40 % - Markeringsfarve5 2 2 7 4 2" xfId="29068" xr:uid="{00000000-0005-0000-0000-00009B7B0000}"/>
    <cellStyle name="40 % - Markeringsfarve5 2 2 7 4 3" xfId="44033" xr:uid="{00000000-0005-0000-0000-00009C7B0000}"/>
    <cellStyle name="40 % - Markeringsfarve5 2 2 7 5" xfId="22046" xr:uid="{00000000-0005-0000-0000-00009D7B0000}"/>
    <cellStyle name="40 % - Markeringsfarve5 2 2 7 6" xfId="37034" xr:uid="{00000000-0005-0000-0000-00009E7B0000}"/>
    <cellStyle name="40 % - Markeringsfarve5 2 2 8" xfId="4194" xr:uid="{00000000-0005-0000-0000-00009F7B0000}"/>
    <cellStyle name="40 % - Markeringsfarve5 2 2 8 2" xfId="6791" xr:uid="{00000000-0005-0000-0000-0000A07B0000}"/>
    <cellStyle name="40 % - Markeringsfarve5 2 2 8 2 2" xfId="14702" xr:uid="{00000000-0005-0000-0000-0000A17B0000}"/>
    <cellStyle name="40 % - Markeringsfarve5 2 2 8 2 2 2" xfId="31016" xr:uid="{00000000-0005-0000-0000-0000A27B0000}"/>
    <cellStyle name="40 % - Markeringsfarve5 2 2 8 2 2 3" xfId="45980" xr:uid="{00000000-0005-0000-0000-0000A37B0000}"/>
    <cellStyle name="40 % - Markeringsfarve5 2 2 8 2 3" xfId="23994" xr:uid="{00000000-0005-0000-0000-0000A47B0000}"/>
    <cellStyle name="40 % - Markeringsfarve5 2 2 8 2 4" xfId="38981" xr:uid="{00000000-0005-0000-0000-0000A57B0000}"/>
    <cellStyle name="40 % - Markeringsfarve5 2 2 8 3" xfId="12751" xr:uid="{00000000-0005-0000-0000-0000A67B0000}"/>
    <cellStyle name="40 % - Markeringsfarve5 2 2 8 3 2" xfId="29070" xr:uid="{00000000-0005-0000-0000-0000A77B0000}"/>
    <cellStyle name="40 % - Markeringsfarve5 2 2 8 3 3" xfId="44035" xr:uid="{00000000-0005-0000-0000-0000A87B0000}"/>
    <cellStyle name="40 % - Markeringsfarve5 2 2 8 4" xfId="22048" xr:uid="{00000000-0005-0000-0000-0000A97B0000}"/>
    <cellStyle name="40 % - Markeringsfarve5 2 2 8 5" xfId="37036" xr:uid="{00000000-0005-0000-0000-0000AA7B0000}"/>
    <cellStyle name="40 % - Markeringsfarve5 2 2 9" xfId="4195" xr:uid="{00000000-0005-0000-0000-0000AB7B0000}"/>
    <cellStyle name="40 % - Markeringsfarve5 2 2 9 2" xfId="8438" xr:uid="{00000000-0005-0000-0000-0000AC7B0000}"/>
    <cellStyle name="40 % - Markeringsfarve5 2 2 9 2 2" xfId="16330" xr:uid="{00000000-0005-0000-0000-0000AD7B0000}"/>
    <cellStyle name="40 % - Markeringsfarve5 2 2 9 2 2 2" xfId="32644" xr:uid="{00000000-0005-0000-0000-0000AE7B0000}"/>
    <cellStyle name="40 % - Markeringsfarve5 2 2 9 2 2 3" xfId="47608" xr:uid="{00000000-0005-0000-0000-0000AF7B0000}"/>
    <cellStyle name="40 % - Markeringsfarve5 2 2 9 2 3" xfId="25622" xr:uid="{00000000-0005-0000-0000-0000B07B0000}"/>
    <cellStyle name="40 % - Markeringsfarve5 2 2 9 2 4" xfId="40609" xr:uid="{00000000-0005-0000-0000-0000B17B0000}"/>
    <cellStyle name="40 % - Markeringsfarve5 2 2 9 3" xfId="12752" xr:uid="{00000000-0005-0000-0000-0000B27B0000}"/>
    <cellStyle name="40 % - Markeringsfarve5 2 2 9 3 2" xfId="29071" xr:uid="{00000000-0005-0000-0000-0000B37B0000}"/>
    <cellStyle name="40 % - Markeringsfarve5 2 2 9 3 3" xfId="44036" xr:uid="{00000000-0005-0000-0000-0000B47B0000}"/>
    <cellStyle name="40 % - Markeringsfarve5 2 2 9 4" xfId="22049" xr:uid="{00000000-0005-0000-0000-0000B57B0000}"/>
    <cellStyle name="40 % - Markeringsfarve5 2 2 9 5" xfId="37037" xr:uid="{00000000-0005-0000-0000-0000B67B0000}"/>
    <cellStyle name="40 % - Markeringsfarve5 2 3" xfId="4196" xr:uid="{00000000-0005-0000-0000-0000B77B0000}"/>
    <cellStyle name="40 % - Markeringsfarve5 2 3 10" xfId="5982" xr:uid="{00000000-0005-0000-0000-0000B87B0000}"/>
    <cellStyle name="40 % - Markeringsfarve5 2 3 10 2" xfId="13900" xr:uid="{00000000-0005-0000-0000-0000B97B0000}"/>
    <cellStyle name="40 % - Markeringsfarve5 2 3 10 2 2" xfId="30214" xr:uid="{00000000-0005-0000-0000-0000BA7B0000}"/>
    <cellStyle name="40 % - Markeringsfarve5 2 3 10 2 3" xfId="45178" xr:uid="{00000000-0005-0000-0000-0000BB7B0000}"/>
    <cellStyle name="40 % - Markeringsfarve5 2 3 10 3" xfId="23192" xr:uid="{00000000-0005-0000-0000-0000BC7B0000}"/>
    <cellStyle name="40 % - Markeringsfarve5 2 3 10 4" xfId="38179" xr:uid="{00000000-0005-0000-0000-0000BD7B0000}"/>
    <cellStyle name="40 % - Markeringsfarve5 2 3 11" xfId="12753" xr:uid="{00000000-0005-0000-0000-0000BE7B0000}"/>
    <cellStyle name="40 % - Markeringsfarve5 2 3 11 2" xfId="29072" xr:uid="{00000000-0005-0000-0000-0000BF7B0000}"/>
    <cellStyle name="40 % - Markeringsfarve5 2 3 11 3" xfId="44037" xr:uid="{00000000-0005-0000-0000-0000C07B0000}"/>
    <cellStyle name="40 % - Markeringsfarve5 2 3 12" xfId="22050" xr:uid="{00000000-0005-0000-0000-0000C17B0000}"/>
    <cellStyle name="40 % - Markeringsfarve5 2 3 13" xfId="37038" xr:uid="{00000000-0005-0000-0000-0000C27B0000}"/>
    <cellStyle name="40 % - Markeringsfarve5 2 3 14" xfId="53394" xr:uid="{00000000-0005-0000-0000-0000C37B0000}"/>
    <cellStyle name="40 % - Markeringsfarve5 2 3 2" xfId="4197" xr:uid="{00000000-0005-0000-0000-0000C47B0000}"/>
    <cellStyle name="40 % - Markeringsfarve5 2 3 2 2" xfId="4198" xr:uid="{00000000-0005-0000-0000-0000C57B0000}"/>
    <cellStyle name="40 % - Markeringsfarve5 2 3 2 2 2" xfId="4199" xr:uid="{00000000-0005-0000-0000-0000C67B0000}"/>
    <cellStyle name="40 % - Markeringsfarve5 2 3 2 2 2 2" xfId="7721" xr:uid="{00000000-0005-0000-0000-0000C77B0000}"/>
    <cellStyle name="40 % - Markeringsfarve5 2 3 2 2 2 2 2" xfId="15622" xr:uid="{00000000-0005-0000-0000-0000C87B0000}"/>
    <cellStyle name="40 % - Markeringsfarve5 2 3 2 2 2 2 2 2" xfId="31936" xr:uid="{00000000-0005-0000-0000-0000C97B0000}"/>
    <cellStyle name="40 % - Markeringsfarve5 2 3 2 2 2 2 2 3" xfId="46900" xr:uid="{00000000-0005-0000-0000-0000CA7B0000}"/>
    <cellStyle name="40 % - Markeringsfarve5 2 3 2 2 2 2 3" xfId="24914" xr:uid="{00000000-0005-0000-0000-0000CB7B0000}"/>
    <cellStyle name="40 % - Markeringsfarve5 2 3 2 2 2 2 4" xfId="39901" xr:uid="{00000000-0005-0000-0000-0000CC7B0000}"/>
    <cellStyle name="40 % - Markeringsfarve5 2 3 2 2 2 3" xfId="12756" xr:uid="{00000000-0005-0000-0000-0000CD7B0000}"/>
    <cellStyle name="40 % - Markeringsfarve5 2 3 2 2 2 3 2" xfId="29075" xr:uid="{00000000-0005-0000-0000-0000CE7B0000}"/>
    <cellStyle name="40 % - Markeringsfarve5 2 3 2 2 2 3 3" xfId="44040" xr:uid="{00000000-0005-0000-0000-0000CF7B0000}"/>
    <cellStyle name="40 % - Markeringsfarve5 2 3 2 2 2 4" xfId="22053" xr:uid="{00000000-0005-0000-0000-0000D07B0000}"/>
    <cellStyle name="40 % - Markeringsfarve5 2 3 2 2 2 5" xfId="37041" xr:uid="{00000000-0005-0000-0000-0000D17B0000}"/>
    <cellStyle name="40 % - Markeringsfarve5 2 3 2 2 3" xfId="6286" xr:uid="{00000000-0005-0000-0000-0000D27B0000}"/>
    <cellStyle name="40 % - Markeringsfarve5 2 3 2 2 3 2" xfId="14203" xr:uid="{00000000-0005-0000-0000-0000D37B0000}"/>
    <cellStyle name="40 % - Markeringsfarve5 2 3 2 2 3 2 2" xfId="30517" xr:uid="{00000000-0005-0000-0000-0000D47B0000}"/>
    <cellStyle name="40 % - Markeringsfarve5 2 3 2 2 3 2 3" xfId="45481" xr:uid="{00000000-0005-0000-0000-0000D57B0000}"/>
    <cellStyle name="40 % - Markeringsfarve5 2 3 2 2 3 3" xfId="23495" xr:uid="{00000000-0005-0000-0000-0000D67B0000}"/>
    <cellStyle name="40 % - Markeringsfarve5 2 3 2 2 3 4" xfId="38482" xr:uid="{00000000-0005-0000-0000-0000D77B0000}"/>
    <cellStyle name="40 % - Markeringsfarve5 2 3 2 2 4" xfId="12755" xr:uid="{00000000-0005-0000-0000-0000D87B0000}"/>
    <cellStyle name="40 % - Markeringsfarve5 2 3 2 2 4 2" xfId="29074" xr:uid="{00000000-0005-0000-0000-0000D97B0000}"/>
    <cellStyle name="40 % - Markeringsfarve5 2 3 2 2 4 3" xfId="44039" xr:uid="{00000000-0005-0000-0000-0000DA7B0000}"/>
    <cellStyle name="40 % - Markeringsfarve5 2 3 2 2 5" xfId="22052" xr:uid="{00000000-0005-0000-0000-0000DB7B0000}"/>
    <cellStyle name="40 % - Markeringsfarve5 2 3 2 2 6" xfId="37040" xr:uid="{00000000-0005-0000-0000-0000DC7B0000}"/>
    <cellStyle name="40 % - Markeringsfarve5 2 3 2 2 7" xfId="57198" xr:uid="{00000000-0005-0000-0000-0000DD7B0000}"/>
    <cellStyle name="40 % - Markeringsfarve5 2 3 2 3" xfId="4200" xr:uid="{00000000-0005-0000-0000-0000DE7B0000}"/>
    <cellStyle name="40 % - Markeringsfarve5 2 3 2 3 2" xfId="6951" xr:uid="{00000000-0005-0000-0000-0000DF7B0000}"/>
    <cellStyle name="40 % - Markeringsfarve5 2 3 2 3 2 2" xfId="14862" xr:uid="{00000000-0005-0000-0000-0000E07B0000}"/>
    <cellStyle name="40 % - Markeringsfarve5 2 3 2 3 2 2 2" xfId="31176" xr:uid="{00000000-0005-0000-0000-0000E17B0000}"/>
    <cellStyle name="40 % - Markeringsfarve5 2 3 2 3 2 2 3" xfId="46140" xr:uid="{00000000-0005-0000-0000-0000E27B0000}"/>
    <cellStyle name="40 % - Markeringsfarve5 2 3 2 3 2 3" xfId="24154" xr:uid="{00000000-0005-0000-0000-0000E37B0000}"/>
    <cellStyle name="40 % - Markeringsfarve5 2 3 2 3 2 4" xfId="39141" xr:uid="{00000000-0005-0000-0000-0000E47B0000}"/>
    <cellStyle name="40 % - Markeringsfarve5 2 3 2 3 3" xfId="12757" xr:uid="{00000000-0005-0000-0000-0000E57B0000}"/>
    <cellStyle name="40 % - Markeringsfarve5 2 3 2 3 3 2" xfId="29076" xr:uid="{00000000-0005-0000-0000-0000E67B0000}"/>
    <cellStyle name="40 % - Markeringsfarve5 2 3 2 3 3 3" xfId="44041" xr:uid="{00000000-0005-0000-0000-0000E77B0000}"/>
    <cellStyle name="40 % - Markeringsfarve5 2 3 2 3 4" xfId="22054" xr:uid="{00000000-0005-0000-0000-0000E87B0000}"/>
    <cellStyle name="40 % - Markeringsfarve5 2 3 2 3 5" xfId="37042" xr:uid="{00000000-0005-0000-0000-0000E97B0000}"/>
    <cellStyle name="40 % - Markeringsfarve5 2 3 2 4" xfId="4201" xr:uid="{00000000-0005-0000-0000-0000EA7B0000}"/>
    <cellStyle name="40 % - Markeringsfarve5 2 3 2 4 2" xfId="8567" xr:uid="{00000000-0005-0000-0000-0000EB7B0000}"/>
    <cellStyle name="40 % - Markeringsfarve5 2 3 2 4 2 2" xfId="16454" xr:uid="{00000000-0005-0000-0000-0000EC7B0000}"/>
    <cellStyle name="40 % - Markeringsfarve5 2 3 2 4 2 2 2" xfId="32768" xr:uid="{00000000-0005-0000-0000-0000ED7B0000}"/>
    <cellStyle name="40 % - Markeringsfarve5 2 3 2 4 2 2 3" xfId="47732" xr:uid="{00000000-0005-0000-0000-0000EE7B0000}"/>
    <cellStyle name="40 % - Markeringsfarve5 2 3 2 4 2 3" xfId="25746" xr:uid="{00000000-0005-0000-0000-0000EF7B0000}"/>
    <cellStyle name="40 % - Markeringsfarve5 2 3 2 4 2 4" xfId="40733" xr:uid="{00000000-0005-0000-0000-0000F07B0000}"/>
    <cellStyle name="40 % - Markeringsfarve5 2 3 2 4 3" xfId="12758" xr:uid="{00000000-0005-0000-0000-0000F17B0000}"/>
    <cellStyle name="40 % - Markeringsfarve5 2 3 2 4 3 2" xfId="29077" xr:uid="{00000000-0005-0000-0000-0000F27B0000}"/>
    <cellStyle name="40 % - Markeringsfarve5 2 3 2 4 3 3" xfId="44042" xr:uid="{00000000-0005-0000-0000-0000F37B0000}"/>
    <cellStyle name="40 % - Markeringsfarve5 2 3 2 4 4" xfId="22055" xr:uid="{00000000-0005-0000-0000-0000F47B0000}"/>
    <cellStyle name="40 % - Markeringsfarve5 2 3 2 4 5" xfId="37043" xr:uid="{00000000-0005-0000-0000-0000F57B0000}"/>
    <cellStyle name="40 % - Markeringsfarve5 2 3 2 5" xfId="5983" xr:uid="{00000000-0005-0000-0000-0000F67B0000}"/>
    <cellStyle name="40 % - Markeringsfarve5 2 3 2 5 2" xfId="13901" xr:uid="{00000000-0005-0000-0000-0000F77B0000}"/>
    <cellStyle name="40 % - Markeringsfarve5 2 3 2 5 2 2" xfId="30215" xr:uid="{00000000-0005-0000-0000-0000F87B0000}"/>
    <cellStyle name="40 % - Markeringsfarve5 2 3 2 5 2 3" xfId="45179" xr:uid="{00000000-0005-0000-0000-0000F97B0000}"/>
    <cellStyle name="40 % - Markeringsfarve5 2 3 2 5 3" xfId="23193" xr:uid="{00000000-0005-0000-0000-0000FA7B0000}"/>
    <cellStyle name="40 % - Markeringsfarve5 2 3 2 5 4" xfId="38180" xr:uid="{00000000-0005-0000-0000-0000FB7B0000}"/>
    <cellStyle name="40 % - Markeringsfarve5 2 3 2 6" xfId="12754" xr:uid="{00000000-0005-0000-0000-0000FC7B0000}"/>
    <cellStyle name="40 % - Markeringsfarve5 2 3 2 6 2" xfId="29073" xr:uid="{00000000-0005-0000-0000-0000FD7B0000}"/>
    <cellStyle name="40 % - Markeringsfarve5 2 3 2 6 3" xfId="44038" xr:uid="{00000000-0005-0000-0000-0000FE7B0000}"/>
    <cellStyle name="40 % - Markeringsfarve5 2 3 2 7" xfId="22051" xr:uid="{00000000-0005-0000-0000-0000FF7B0000}"/>
    <cellStyle name="40 % - Markeringsfarve5 2 3 2 8" xfId="37039" xr:uid="{00000000-0005-0000-0000-0000007C0000}"/>
    <cellStyle name="40 % - Markeringsfarve5 2 3 2 9" xfId="54031" xr:uid="{00000000-0005-0000-0000-0000017C0000}"/>
    <cellStyle name="40 % - Markeringsfarve5 2 3 3" xfId="4202" xr:uid="{00000000-0005-0000-0000-0000027C0000}"/>
    <cellStyle name="40 % - Markeringsfarve5 2 3 3 2" xfId="4203" xr:uid="{00000000-0005-0000-0000-0000037C0000}"/>
    <cellStyle name="40 % - Markeringsfarve5 2 3 3 2 2" xfId="4204" xr:uid="{00000000-0005-0000-0000-0000047C0000}"/>
    <cellStyle name="40 % - Markeringsfarve5 2 3 3 2 2 2" xfId="7819" xr:uid="{00000000-0005-0000-0000-0000057C0000}"/>
    <cellStyle name="40 % - Markeringsfarve5 2 3 3 2 2 2 2" xfId="15720" xr:uid="{00000000-0005-0000-0000-0000067C0000}"/>
    <cellStyle name="40 % - Markeringsfarve5 2 3 3 2 2 2 2 2" xfId="32034" xr:uid="{00000000-0005-0000-0000-0000077C0000}"/>
    <cellStyle name="40 % - Markeringsfarve5 2 3 3 2 2 2 2 3" xfId="46998" xr:uid="{00000000-0005-0000-0000-0000087C0000}"/>
    <cellStyle name="40 % - Markeringsfarve5 2 3 3 2 2 2 3" xfId="25012" xr:uid="{00000000-0005-0000-0000-0000097C0000}"/>
    <cellStyle name="40 % - Markeringsfarve5 2 3 3 2 2 2 4" xfId="39999" xr:uid="{00000000-0005-0000-0000-00000A7C0000}"/>
    <cellStyle name="40 % - Markeringsfarve5 2 3 3 2 2 3" xfId="12761" xr:uid="{00000000-0005-0000-0000-00000B7C0000}"/>
    <cellStyle name="40 % - Markeringsfarve5 2 3 3 2 2 3 2" xfId="29080" xr:uid="{00000000-0005-0000-0000-00000C7C0000}"/>
    <cellStyle name="40 % - Markeringsfarve5 2 3 3 2 2 3 3" xfId="44045" xr:uid="{00000000-0005-0000-0000-00000D7C0000}"/>
    <cellStyle name="40 % - Markeringsfarve5 2 3 3 2 2 4" xfId="22058" xr:uid="{00000000-0005-0000-0000-00000E7C0000}"/>
    <cellStyle name="40 % - Markeringsfarve5 2 3 3 2 2 5" xfId="37046" xr:uid="{00000000-0005-0000-0000-00000F7C0000}"/>
    <cellStyle name="40 % - Markeringsfarve5 2 3 3 2 3" xfId="6365" xr:uid="{00000000-0005-0000-0000-0000107C0000}"/>
    <cellStyle name="40 % - Markeringsfarve5 2 3 3 2 3 2" xfId="14282" xr:uid="{00000000-0005-0000-0000-0000117C0000}"/>
    <cellStyle name="40 % - Markeringsfarve5 2 3 3 2 3 2 2" xfId="30596" xr:uid="{00000000-0005-0000-0000-0000127C0000}"/>
    <cellStyle name="40 % - Markeringsfarve5 2 3 3 2 3 2 3" xfId="45560" xr:uid="{00000000-0005-0000-0000-0000137C0000}"/>
    <cellStyle name="40 % - Markeringsfarve5 2 3 3 2 3 3" xfId="23574" xr:uid="{00000000-0005-0000-0000-0000147C0000}"/>
    <cellStyle name="40 % - Markeringsfarve5 2 3 3 2 3 4" xfId="38561" xr:uid="{00000000-0005-0000-0000-0000157C0000}"/>
    <cellStyle name="40 % - Markeringsfarve5 2 3 3 2 4" xfId="12760" xr:uid="{00000000-0005-0000-0000-0000167C0000}"/>
    <cellStyle name="40 % - Markeringsfarve5 2 3 3 2 4 2" xfId="29079" xr:uid="{00000000-0005-0000-0000-0000177C0000}"/>
    <cellStyle name="40 % - Markeringsfarve5 2 3 3 2 4 3" xfId="44044" xr:uid="{00000000-0005-0000-0000-0000187C0000}"/>
    <cellStyle name="40 % - Markeringsfarve5 2 3 3 2 5" xfId="22057" xr:uid="{00000000-0005-0000-0000-0000197C0000}"/>
    <cellStyle name="40 % - Markeringsfarve5 2 3 3 2 6" xfId="37045" xr:uid="{00000000-0005-0000-0000-00001A7C0000}"/>
    <cellStyle name="40 % - Markeringsfarve5 2 3 3 3" xfId="4205" xr:uid="{00000000-0005-0000-0000-00001B7C0000}"/>
    <cellStyle name="40 % - Markeringsfarve5 2 3 3 3 2" xfId="7049" xr:uid="{00000000-0005-0000-0000-00001C7C0000}"/>
    <cellStyle name="40 % - Markeringsfarve5 2 3 3 3 2 2" xfId="14960" xr:uid="{00000000-0005-0000-0000-00001D7C0000}"/>
    <cellStyle name="40 % - Markeringsfarve5 2 3 3 3 2 2 2" xfId="31274" xr:uid="{00000000-0005-0000-0000-00001E7C0000}"/>
    <cellStyle name="40 % - Markeringsfarve5 2 3 3 3 2 2 3" xfId="46238" xr:uid="{00000000-0005-0000-0000-00001F7C0000}"/>
    <cellStyle name="40 % - Markeringsfarve5 2 3 3 3 2 3" xfId="24252" xr:uid="{00000000-0005-0000-0000-0000207C0000}"/>
    <cellStyle name="40 % - Markeringsfarve5 2 3 3 3 2 4" xfId="39239" xr:uid="{00000000-0005-0000-0000-0000217C0000}"/>
    <cellStyle name="40 % - Markeringsfarve5 2 3 3 3 3" xfId="12762" xr:uid="{00000000-0005-0000-0000-0000227C0000}"/>
    <cellStyle name="40 % - Markeringsfarve5 2 3 3 3 3 2" xfId="29081" xr:uid="{00000000-0005-0000-0000-0000237C0000}"/>
    <cellStyle name="40 % - Markeringsfarve5 2 3 3 3 3 3" xfId="44046" xr:uid="{00000000-0005-0000-0000-0000247C0000}"/>
    <cellStyle name="40 % - Markeringsfarve5 2 3 3 3 4" xfId="22059" xr:uid="{00000000-0005-0000-0000-0000257C0000}"/>
    <cellStyle name="40 % - Markeringsfarve5 2 3 3 3 5" xfId="37047" xr:uid="{00000000-0005-0000-0000-0000267C0000}"/>
    <cellStyle name="40 % - Markeringsfarve5 2 3 3 4" xfId="4206" xr:uid="{00000000-0005-0000-0000-0000277C0000}"/>
    <cellStyle name="40 % - Markeringsfarve5 2 3 3 4 2" xfId="8765" xr:uid="{00000000-0005-0000-0000-0000287C0000}"/>
    <cellStyle name="40 % - Markeringsfarve5 2 3 3 4 2 2" xfId="16641" xr:uid="{00000000-0005-0000-0000-0000297C0000}"/>
    <cellStyle name="40 % - Markeringsfarve5 2 3 3 4 2 2 2" xfId="32955" xr:uid="{00000000-0005-0000-0000-00002A7C0000}"/>
    <cellStyle name="40 % - Markeringsfarve5 2 3 3 4 2 2 3" xfId="47919" xr:uid="{00000000-0005-0000-0000-00002B7C0000}"/>
    <cellStyle name="40 % - Markeringsfarve5 2 3 3 4 2 3" xfId="25933" xr:uid="{00000000-0005-0000-0000-00002C7C0000}"/>
    <cellStyle name="40 % - Markeringsfarve5 2 3 3 4 2 4" xfId="40920" xr:uid="{00000000-0005-0000-0000-00002D7C0000}"/>
    <cellStyle name="40 % - Markeringsfarve5 2 3 3 4 3" xfId="12763" xr:uid="{00000000-0005-0000-0000-00002E7C0000}"/>
    <cellStyle name="40 % - Markeringsfarve5 2 3 3 4 3 2" xfId="29082" xr:uid="{00000000-0005-0000-0000-00002F7C0000}"/>
    <cellStyle name="40 % - Markeringsfarve5 2 3 3 4 3 3" xfId="44047" xr:uid="{00000000-0005-0000-0000-0000307C0000}"/>
    <cellStyle name="40 % - Markeringsfarve5 2 3 3 4 4" xfId="22060" xr:uid="{00000000-0005-0000-0000-0000317C0000}"/>
    <cellStyle name="40 % - Markeringsfarve5 2 3 3 4 5" xfId="37048" xr:uid="{00000000-0005-0000-0000-0000327C0000}"/>
    <cellStyle name="40 % - Markeringsfarve5 2 3 3 5" xfId="5984" xr:uid="{00000000-0005-0000-0000-0000337C0000}"/>
    <cellStyle name="40 % - Markeringsfarve5 2 3 3 5 2" xfId="13902" xr:uid="{00000000-0005-0000-0000-0000347C0000}"/>
    <cellStyle name="40 % - Markeringsfarve5 2 3 3 5 2 2" xfId="30216" xr:uid="{00000000-0005-0000-0000-0000357C0000}"/>
    <cellStyle name="40 % - Markeringsfarve5 2 3 3 5 2 3" xfId="45180" xr:uid="{00000000-0005-0000-0000-0000367C0000}"/>
    <cellStyle name="40 % - Markeringsfarve5 2 3 3 5 3" xfId="23194" xr:uid="{00000000-0005-0000-0000-0000377C0000}"/>
    <cellStyle name="40 % - Markeringsfarve5 2 3 3 5 4" xfId="38181" xr:uid="{00000000-0005-0000-0000-0000387C0000}"/>
    <cellStyle name="40 % - Markeringsfarve5 2 3 3 6" xfId="12759" xr:uid="{00000000-0005-0000-0000-0000397C0000}"/>
    <cellStyle name="40 % - Markeringsfarve5 2 3 3 6 2" xfId="29078" xr:uid="{00000000-0005-0000-0000-00003A7C0000}"/>
    <cellStyle name="40 % - Markeringsfarve5 2 3 3 6 3" xfId="44043" xr:uid="{00000000-0005-0000-0000-00003B7C0000}"/>
    <cellStyle name="40 % - Markeringsfarve5 2 3 3 7" xfId="22056" xr:uid="{00000000-0005-0000-0000-00003C7C0000}"/>
    <cellStyle name="40 % - Markeringsfarve5 2 3 3 8" xfId="37044" xr:uid="{00000000-0005-0000-0000-00003D7C0000}"/>
    <cellStyle name="40 % - Markeringsfarve5 2 3 3 9" xfId="56575" xr:uid="{00000000-0005-0000-0000-00003E7C0000}"/>
    <cellStyle name="40 % - Markeringsfarve5 2 3 4" xfId="4207" xr:uid="{00000000-0005-0000-0000-00003F7C0000}"/>
    <cellStyle name="40 % - Markeringsfarve5 2 3 4 2" xfId="4208" xr:uid="{00000000-0005-0000-0000-0000407C0000}"/>
    <cellStyle name="40 % - Markeringsfarve5 2 3 4 2 2" xfId="4209" xr:uid="{00000000-0005-0000-0000-0000417C0000}"/>
    <cellStyle name="40 % - Markeringsfarve5 2 3 4 2 2 2" xfId="7959" xr:uid="{00000000-0005-0000-0000-0000427C0000}"/>
    <cellStyle name="40 % - Markeringsfarve5 2 3 4 2 2 2 2" xfId="15860" xr:uid="{00000000-0005-0000-0000-0000437C0000}"/>
    <cellStyle name="40 % - Markeringsfarve5 2 3 4 2 2 2 2 2" xfId="32174" xr:uid="{00000000-0005-0000-0000-0000447C0000}"/>
    <cellStyle name="40 % - Markeringsfarve5 2 3 4 2 2 2 2 3" xfId="47138" xr:uid="{00000000-0005-0000-0000-0000457C0000}"/>
    <cellStyle name="40 % - Markeringsfarve5 2 3 4 2 2 2 3" xfId="25152" xr:uid="{00000000-0005-0000-0000-0000467C0000}"/>
    <cellStyle name="40 % - Markeringsfarve5 2 3 4 2 2 2 4" xfId="40139" xr:uid="{00000000-0005-0000-0000-0000477C0000}"/>
    <cellStyle name="40 % - Markeringsfarve5 2 3 4 2 2 3" xfId="12766" xr:uid="{00000000-0005-0000-0000-0000487C0000}"/>
    <cellStyle name="40 % - Markeringsfarve5 2 3 4 2 2 3 2" xfId="29085" xr:uid="{00000000-0005-0000-0000-0000497C0000}"/>
    <cellStyle name="40 % - Markeringsfarve5 2 3 4 2 2 3 3" xfId="44050" xr:uid="{00000000-0005-0000-0000-00004A7C0000}"/>
    <cellStyle name="40 % - Markeringsfarve5 2 3 4 2 2 4" xfId="22063" xr:uid="{00000000-0005-0000-0000-00004B7C0000}"/>
    <cellStyle name="40 % - Markeringsfarve5 2 3 4 2 2 5" xfId="37051" xr:uid="{00000000-0005-0000-0000-00004C7C0000}"/>
    <cellStyle name="40 % - Markeringsfarve5 2 3 4 2 3" xfId="6488" xr:uid="{00000000-0005-0000-0000-00004D7C0000}"/>
    <cellStyle name="40 % - Markeringsfarve5 2 3 4 2 3 2" xfId="14402" xr:uid="{00000000-0005-0000-0000-00004E7C0000}"/>
    <cellStyle name="40 % - Markeringsfarve5 2 3 4 2 3 2 2" xfId="30716" xr:uid="{00000000-0005-0000-0000-00004F7C0000}"/>
    <cellStyle name="40 % - Markeringsfarve5 2 3 4 2 3 2 3" xfId="45680" xr:uid="{00000000-0005-0000-0000-0000507C0000}"/>
    <cellStyle name="40 % - Markeringsfarve5 2 3 4 2 3 3" xfId="23694" xr:uid="{00000000-0005-0000-0000-0000517C0000}"/>
    <cellStyle name="40 % - Markeringsfarve5 2 3 4 2 3 4" xfId="38681" xr:uid="{00000000-0005-0000-0000-0000527C0000}"/>
    <cellStyle name="40 % - Markeringsfarve5 2 3 4 2 4" xfId="12765" xr:uid="{00000000-0005-0000-0000-0000537C0000}"/>
    <cellStyle name="40 % - Markeringsfarve5 2 3 4 2 4 2" xfId="29084" xr:uid="{00000000-0005-0000-0000-0000547C0000}"/>
    <cellStyle name="40 % - Markeringsfarve5 2 3 4 2 4 3" xfId="44049" xr:uid="{00000000-0005-0000-0000-0000557C0000}"/>
    <cellStyle name="40 % - Markeringsfarve5 2 3 4 2 5" xfId="22062" xr:uid="{00000000-0005-0000-0000-0000567C0000}"/>
    <cellStyle name="40 % - Markeringsfarve5 2 3 4 2 6" xfId="37050" xr:uid="{00000000-0005-0000-0000-0000577C0000}"/>
    <cellStyle name="40 % - Markeringsfarve5 2 3 4 3" xfId="4210" xr:uid="{00000000-0005-0000-0000-0000587C0000}"/>
    <cellStyle name="40 % - Markeringsfarve5 2 3 4 3 2" xfId="7235" xr:uid="{00000000-0005-0000-0000-0000597C0000}"/>
    <cellStyle name="40 % - Markeringsfarve5 2 3 4 3 2 2" xfId="15145" xr:uid="{00000000-0005-0000-0000-00005A7C0000}"/>
    <cellStyle name="40 % - Markeringsfarve5 2 3 4 3 2 2 2" xfId="31459" xr:uid="{00000000-0005-0000-0000-00005B7C0000}"/>
    <cellStyle name="40 % - Markeringsfarve5 2 3 4 3 2 2 3" xfId="46423" xr:uid="{00000000-0005-0000-0000-00005C7C0000}"/>
    <cellStyle name="40 % - Markeringsfarve5 2 3 4 3 2 3" xfId="24437" xr:uid="{00000000-0005-0000-0000-00005D7C0000}"/>
    <cellStyle name="40 % - Markeringsfarve5 2 3 4 3 2 4" xfId="39424" xr:uid="{00000000-0005-0000-0000-00005E7C0000}"/>
    <cellStyle name="40 % - Markeringsfarve5 2 3 4 3 3" xfId="12767" xr:uid="{00000000-0005-0000-0000-00005F7C0000}"/>
    <cellStyle name="40 % - Markeringsfarve5 2 3 4 3 3 2" xfId="29086" xr:uid="{00000000-0005-0000-0000-0000607C0000}"/>
    <cellStyle name="40 % - Markeringsfarve5 2 3 4 3 3 3" xfId="44051" xr:uid="{00000000-0005-0000-0000-0000617C0000}"/>
    <cellStyle name="40 % - Markeringsfarve5 2 3 4 3 4" xfId="22064" xr:uid="{00000000-0005-0000-0000-0000627C0000}"/>
    <cellStyle name="40 % - Markeringsfarve5 2 3 4 3 5" xfId="37052" xr:uid="{00000000-0005-0000-0000-0000637C0000}"/>
    <cellStyle name="40 % - Markeringsfarve5 2 3 4 4" xfId="4211" xr:uid="{00000000-0005-0000-0000-0000647C0000}"/>
    <cellStyle name="40 % - Markeringsfarve5 2 3 4 4 2" xfId="8485" xr:uid="{00000000-0005-0000-0000-0000657C0000}"/>
    <cellStyle name="40 % - Markeringsfarve5 2 3 4 4 2 2" xfId="16374" xr:uid="{00000000-0005-0000-0000-0000667C0000}"/>
    <cellStyle name="40 % - Markeringsfarve5 2 3 4 4 2 2 2" xfId="32688" xr:uid="{00000000-0005-0000-0000-0000677C0000}"/>
    <cellStyle name="40 % - Markeringsfarve5 2 3 4 4 2 2 3" xfId="47652" xr:uid="{00000000-0005-0000-0000-0000687C0000}"/>
    <cellStyle name="40 % - Markeringsfarve5 2 3 4 4 2 3" xfId="25666" xr:uid="{00000000-0005-0000-0000-0000697C0000}"/>
    <cellStyle name="40 % - Markeringsfarve5 2 3 4 4 2 4" xfId="40653" xr:uid="{00000000-0005-0000-0000-00006A7C0000}"/>
    <cellStyle name="40 % - Markeringsfarve5 2 3 4 4 3" xfId="12768" xr:uid="{00000000-0005-0000-0000-00006B7C0000}"/>
    <cellStyle name="40 % - Markeringsfarve5 2 3 4 4 3 2" xfId="29087" xr:uid="{00000000-0005-0000-0000-00006C7C0000}"/>
    <cellStyle name="40 % - Markeringsfarve5 2 3 4 4 3 3" xfId="44052" xr:uid="{00000000-0005-0000-0000-00006D7C0000}"/>
    <cellStyle name="40 % - Markeringsfarve5 2 3 4 4 4" xfId="22065" xr:uid="{00000000-0005-0000-0000-00006E7C0000}"/>
    <cellStyle name="40 % - Markeringsfarve5 2 3 4 4 5" xfId="37053" xr:uid="{00000000-0005-0000-0000-00006F7C0000}"/>
    <cellStyle name="40 % - Markeringsfarve5 2 3 4 5" xfId="5985" xr:uid="{00000000-0005-0000-0000-0000707C0000}"/>
    <cellStyle name="40 % - Markeringsfarve5 2 3 4 5 2" xfId="13903" xr:uid="{00000000-0005-0000-0000-0000717C0000}"/>
    <cellStyle name="40 % - Markeringsfarve5 2 3 4 5 2 2" xfId="30217" xr:uid="{00000000-0005-0000-0000-0000727C0000}"/>
    <cellStyle name="40 % - Markeringsfarve5 2 3 4 5 2 3" xfId="45181" xr:uid="{00000000-0005-0000-0000-0000737C0000}"/>
    <cellStyle name="40 % - Markeringsfarve5 2 3 4 5 3" xfId="23195" xr:uid="{00000000-0005-0000-0000-0000747C0000}"/>
    <cellStyle name="40 % - Markeringsfarve5 2 3 4 5 4" xfId="38182" xr:uid="{00000000-0005-0000-0000-0000757C0000}"/>
    <cellStyle name="40 % - Markeringsfarve5 2 3 4 6" xfId="12764" xr:uid="{00000000-0005-0000-0000-0000767C0000}"/>
    <cellStyle name="40 % - Markeringsfarve5 2 3 4 6 2" xfId="29083" xr:uid="{00000000-0005-0000-0000-0000777C0000}"/>
    <cellStyle name="40 % - Markeringsfarve5 2 3 4 6 3" xfId="44048" xr:uid="{00000000-0005-0000-0000-0000787C0000}"/>
    <cellStyle name="40 % - Markeringsfarve5 2 3 4 7" xfId="22061" xr:uid="{00000000-0005-0000-0000-0000797C0000}"/>
    <cellStyle name="40 % - Markeringsfarve5 2 3 4 8" xfId="37049" xr:uid="{00000000-0005-0000-0000-00007A7C0000}"/>
    <cellStyle name="40 % - Markeringsfarve5 2 3 5" xfId="4212" xr:uid="{00000000-0005-0000-0000-00007B7C0000}"/>
    <cellStyle name="40 % - Markeringsfarve5 2 3 5 2" xfId="4213" xr:uid="{00000000-0005-0000-0000-00007C7C0000}"/>
    <cellStyle name="40 % - Markeringsfarve5 2 3 5 2 2" xfId="4214" xr:uid="{00000000-0005-0000-0000-00007D7C0000}"/>
    <cellStyle name="40 % - Markeringsfarve5 2 3 5 2 2 2" xfId="8076" xr:uid="{00000000-0005-0000-0000-00007E7C0000}"/>
    <cellStyle name="40 % - Markeringsfarve5 2 3 5 2 2 2 2" xfId="15977" xr:uid="{00000000-0005-0000-0000-00007F7C0000}"/>
    <cellStyle name="40 % - Markeringsfarve5 2 3 5 2 2 2 2 2" xfId="32291" xr:uid="{00000000-0005-0000-0000-0000807C0000}"/>
    <cellStyle name="40 % - Markeringsfarve5 2 3 5 2 2 2 2 3" xfId="47255" xr:uid="{00000000-0005-0000-0000-0000817C0000}"/>
    <cellStyle name="40 % - Markeringsfarve5 2 3 5 2 2 2 3" xfId="25269" xr:uid="{00000000-0005-0000-0000-0000827C0000}"/>
    <cellStyle name="40 % - Markeringsfarve5 2 3 5 2 2 2 4" xfId="40256" xr:uid="{00000000-0005-0000-0000-0000837C0000}"/>
    <cellStyle name="40 % - Markeringsfarve5 2 3 5 2 2 3" xfId="12771" xr:uid="{00000000-0005-0000-0000-0000847C0000}"/>
    <cellStyle name="40 % - Markeringsfarve5 2 3 5 2 2 3 2" xfId="29090" xr:uid="{00000000-0005-0000-0000-0000857C0000}"/>
    <cellStyle name="40 % - Markeringsfarve5 2 3 5 2 2 3 3" xfId="44055" xr:uid="{00000000-0005-0000-0000-0000867C0000}"/>
    <cellStyle name="40 % - Markeringsfarve5 2 3 5 2 2 4" xfId="22068" xr:uid="{00000000-0005-0000-0000-0000877C0000}"/>
    <cellStyle name="40 % - Markeringsfarve5 2 3 5 2 2 5" xfId="37056" xr:uid="{00000000-0005-0000-0000-0000887C0000}"/>
    <cellStyle name="40 % - Markeringsfarve5 2 3 5 2 3" xfId="6587" xr:uid="{00000000-0005-0000-0000-0000897C0000}"/>
    <cellStyle name="40 % - Markeringsfarve5 2 3 5 2 3 2" xfId="14501" xr:uid="{00000000-0005-0000-0000-00008A7C0000}"/>
    <cellStyle name="40 % - Markeringsfarve5 2 3 5 2 3 2 2" xfId="30815" xr:uid="{00000000-0005-0000-0000-00008B7C0000}"/>
    <cellStyle name="40 % - Markeringsfarve5 2 3 5 2 3 2 3" xfId="45779" xr:uid="{00000000-0005-0000-0000-00008C7C0000}"/>
    <cellStyle name="40 % - Markeringsfarve5 2 3 5 2 3 3" xfId="23793" xr:uid="{00000000-0005-0000-0000-00008D7C0000}"/>
    <cellStyle name="40 % - Markeringsfarve5 2 3 5 2 3 4" xfId="38780" xr:uid="{00000000-0005-0000-0000-00008E7C0000}"/>
    <cellStyle name="40 % - Markeringsfarve5 2 3 5 2 4" xfId="12770" xr:uid="{00000000-0005-0000-0000-00008F7C0000}"/>
    <cellStyle name="40 % - Markeringsfarve5 2 3 5 2 4 2" xfId="29089" xr:uid="{00000000-0005-0000-0000-0000907C0000}"/>
    <cellStyle name="40 % - Markeringsfarve5 2 3 5 2 4 3" xfId="44054" xr:uid="{00000000-0005-0000-0000-0000917C0000}"/>
    <cellStyle name="40 % - Markeringsfarve5 2 3 5 2 5" xfId="22067" xr:uid="{00000000-0005-0000-0000-0000927C0000}"/>
    <cellStyle name="40 % - Markeringsfarve5 2 3 5 2 6" xfId="37055" xr:uid="{00000000-0005-0000-0000-0000937C0000}"/>
    <cellStyle name="40 % - Markeringsfarve5 2 3 5 3" xfId="4215" xr:uid="{00000000-0005-0000-0000-0000947C0000}"/>
    <cellStyle name="40 % - Markeringsfarve5 2 3 5 3 2" xfId="7352" xr:uid="{00000000-0005-0000-0000-0000957C0000}"/>
    <cellStyle name="40 % - Markeringsfarve5 2 3 5 3 2 2" xfId="15262" xr:uid="{00000000-0005-0000-0000-0000967C0000}"/>
    <cellStyle name="40 % - Markeringsfarve5 2 3 5 3 2 2 2" xfId="31576" xr:uid="{00000000-0005-0000-0000-0000977C0000}"/>
    <cellStyle name="40 % - Markeringsfarve5 2 3 5 3 2 2 3" xfId="46540" xr:uid="{00000000-0005-0000-0000-0000987C0000}"/>
    <cellStyle name="40 % - Markeringsfarve5 2 3 5 3 2 3" xfId="24554" xr:uid="{00000000-0005-0000-0000-0000997C0000}"/>
    <cellStyle name="40 % - Markeringsfarve5 2 3 5 3 2 4" xfId="39541" xr:uid="{00000000-0005-0000-0000-00009A7C0000}"/>
    <cellStyle name="40 % - Markeringsfarve5 2 3 5 3 3" xfId="12772" xr:uid="{00000000-0005-0000-0000-00009B7C0000}"/>
    <cellStyle name="40 % - Markeringsfarve5 2 3 5 3 3 2" xfId="29091" xr:uid="{00000000-0005-0000-0000-00009C7C0000}"/>
    <cellStyle name="40 % - Markeringsfarve5 2 3 5 3 3 3" xfId="44056" xr:uid="{00000000-0005-0000-0000-00009D7C0000}"/>
    <cellStyle name="40 % - Markeringsfarve5 2 3 5 3 4" xfId="22069" xr:uid="{00000000-0005-0000-0000-00009E7C0000}"/>
    <cellStyle name="40 % - Markeringsfarve5 2 3 5 3 5" xfId="37057" xr:uid="{00000000-0005-0000-0000-00009F7C0000}"/>
    <cellStyle name="40 % - Markeringsfarve5 2 3 5 4" xfId="4216" xr:uid="{00000000-0005-0000-0000-0000A07C0000}"/>
    <cellStyle name="40 % - Markeringsfarve5 2 3 5 4 2" xfId="8741" xr:uid="{00000000-0005-0000-0000-0000A17C0000}"/>
    <cellStyle name="40 % - Markeringsfarve5 2 3 5 4 2 2" xfId="16620" xr:uid="{00000000-0005-0000-0000-0000A27C0000}"/>
    <cellStyle name="40 % - Markeringsfarve5 2 3 5 4 2 2 2" xfId="32934" xr:uid="{00000000-0005-0000-0000-0000A37C0000}"/>
    <cellStyle name="40 % - Markeringsfarve5 2 3 5 4 2 2 3" xfId="47898" xr:uid="{00000000-0005-0000-0000-0000A47C0000}"/>
    <cellStyle name="40 % - Markeringsfarve5 2 3 5 4 2 3" xfId="25912" xr:uid="{00000000-0005-0000-0000-0000A57C0000}"/>
    <cellStyle name="40 % - Markeringsfarve5 2 3 5 4 2 4" xfId="40899" xr:uid="{00000000-0005-0000-0000-0000A67C0000}"/>
    <cellStyle name="40 % - Markeringsfarve5 2 3 5 4 3" xfId="12773" xr:uid="{00000000-0005-0000-0000-0000A77C0000}"/>
    <cellStyle name="40 % - Markeringsfarve5 2 3 5 4 3 2" xfId="29092" xr:uid="{00000000-0005-0000-0000-0000A87C0000}"/>
    <cellStyle name="40 % - Markeringsfarve5 2 3 5 4 3 3" xfId="44057" xr:uid="{00000000-0005-0000-0000-0000A97C0000}"/>
    <cellStyle name="40 % - Markeringsfarve5 2 3 5 4 4" xfId="22070" xr:uid="{00000000-0005-0000-0000-0000AA7C0000}"/>
    <cellStyle name="40 % - Markeringsfarve5 2 3 5 4 5" xfId="37058" xr:uid="{00000000-0005-0000-0000-0000AB7C0000}"/>
    <cellStyle name="40 % - Markeringsfarve5 2 3 5 5" xfId="5986" xr:uid="{00000000-0005-0000-0000-0000AC7C0000}"/>
    <cellStyle name="40 % - Markeringsfarve5 2 3 5 5 2" xfId="13904" xr:uid="{00000000-0005-0000-0000-0000AD7C0000}"/>
    <cellStyle name="40 % - Markeringsfarve5 2 3 5 5 2 2" xfId="30218" xr:uid="{00000000-0005-0000-0000-0000AE7C0000}"/>
    <cellStyle name="40 % - Markeringsfarve5 2 3 5 5 2 3" xfId="45182" xr:uid="{00000000-0005-0000-0000-0000AF7C0000}"/>
    <cellStyle name="40 % - Markeringsfarve5 2 3 5 5 3" xfId="23196" xr:uid="{00000000-0005-0000-0000-0000B07C0000}"/>
    <cellStyle name="40 % - Markeringsfarve5 2 3 5 5 4" xfId="38183" xr:uid="{00000000-0005-0000-0000-0000B17C0000}"/>
    <cellStyle name="40 % - Markeringsfarve5 2 3 5 6" xfId="12769" xr:uid="{00000000-0005-0000-0000-0000B27C0000}"/>
    <cellStyle name="40 % - Markeringsfarve5 2 3 5 6 2" xfId="29088" xr:uid="{00000000-0005-0000-0000-0000B37C0000}"/>
    <cellStyle name="40 % - Markeringsfarve5 2 3 5 6 3" xfId="44053" xr:uid="{00000000-0005-0000-0000-0000B47C0000}"/>
    <cellStyle name="40 % - Markeringsfarve5 2 3 5 7" xfId="22066" xr:uid="{00000000-0005-0000-0000-0000B57C0000}"/>
    <cellStyle name="40 % - Markeringsfarve5 2 3 5 8" xfId="37054" xr:uid="{00000000-0005-0000-0000-0000B67C0000}"/>
    <cellStyle name="40 % - Markeringsfarve5 2 3 6" xfId="4217" xr:uid="{00000000-0005-0000-0000-0000B77C0000}"/>
    <cellStyle name="40 % - Markeringsfarve5 2 3 6 2" xfId="4218" xr:uid="{00000000-0005-0000-0000-0000B87C0000}"/>
    <cellStyle name="40 % - Markeringsfarve5 2 3 6 2 2" xfId="4219" xr:uid="{00000000-0005-0000-0000-0000B97C0000}"/>
    <cellStyle name="40 % - Markeringsfarve5 2 3 6 2 2 2" xfId="8173" xr:uid="{00000000-0005-0000-0000-0000BA7C0000}"/>
    <cellStyle name="40 % - Markeringsfarve5 2 3 6 2 2 2 2" xfId="16074" xr:uid="{00000000-0005-0000-0000-0000BB7C0000}"/>
    <cellStyle name="40 % - Markeringsfarve5 2 3 6 2 2 2 2 2" xfId="32388" xr:uid="{00000000-0005-0000-0000-0000BC7C0000}"/>
    <cellStyle name="40 % - Markeringsfarve5 2 3 6 2 2 2 2 3" xfId="47352" xr:uid="{00000000-0005-0000-0000-0000BD7C0000}"/>
    <cellStyle name="40 % - Markeringsfarve5 2 3 6 2 2 2 3" xfId="25366" xr:uid="{00000000-0005-0000-0000-0000BE7C0000}"/>
    <cellStyle name="40 % - Markeringsfarve5 2 3 6 2 2 2 4" xfId="40353" xr:uid="{00000000-0005-0000-0000-0000BF7C0000}"/>
    <cellStyle name="40 % - Markeringsfarve5 2 3 6 2 2 3" xfId="12776" xr:uid="{00000000-0005-0000-0000-0000C07C0000}"/>
    <cellStyle name="40 % - Markeringsfarve5 2 3 6 2 2 3 2" xfId="29095" xr:uid="{00000000-0005-0000-0000-0000C17C0000}"/>
    <cellStyle name="40 % - Markeringsfarve5 2 3 6 2 2 3 3" xfId="44060" xr:uid="{00000000-0005-0000-0000-0000C27C0000}"/>
    <cellStyle name="40 % - Markeringsfarve5 2 3 6 2 2 4" xfId="22073" xr:uid="{00000000-0005-0000-0000-0000C37C0000}"/>
    <cellStyle name="40 % - Markeringsfarve5 2 3 6 2 2 5" xfId="37061" xr:uid="{00000000-0005-0000-0000-0000C47C0000}"/>
    <cellStyle name="40 % - Markeringsfarve5 2 3 6 2 3" xfId="6666" xr:uid="{00000000-0005-0000-0000-0000C57C0000}"/>
    <cellStyle name="40 % - Markeringsfarve5 2 3 6 2 3 2" xfId="14580" xr:uid="{00000000-0005-0000-0000-0000C67C0000}"/>
    <cellStyle name="40 % - Markeringsfarve5 2 3 6 2 3 2 2" xfId="30894" xr:uid="{00000000-0005-0000-0000-0000C77C0000}"/>
    <cellStyle name="40 % - Markeringsfarve5 2 3 6 2 3 2 3" xfId="45858" xr:uid="{00000000-0005-0000-0000-0000C87C0000}"/>
    <cellStyle name="40 % - Markeringsfarve5 2 3 6 2 3 3" xfId="23872" xr:uid="{00000000-0005-0000-0000-0000C97C0000}"/>
    <cellStyle name="40 % - Markeringsfarve5 2 3 6 2 3 4" xfId="38859" xr:uid="{00000000-0005-0000-0000-0000CA7C0000}"/>
    <cellStyle name="40 % - Markeringsfarve5 2 3 6 2 4" xfId="12775" xr:uid="{00000000-0005-0000-0000-0000CB7C0000}"/>
    <cellStyle name="40 % - Markeringsfarve5 2 3 6 2 4 2" xfId="29094" xr:uid="{00000000-0005-0000-0000-0000CC7C0000}"/>
    <cellStyle name="40 % - Markeringsfarve5 2 3 6 2 4 3" xfId="44059" xr:uid="{00000000-0005-0000-0000-0000CD7C0000}"/>
    <cellStyle name="40 % - Markeringsfarve5 2 3 6 2 5" xfId="22072" xr:uid="{00000000-0005-0000-0000-0000CE7C0000}"/>
    <cellStyle name="40 % - Markeringsfarve5 2 3 6 2 6" xfId="37060" xr:uid="{00000000-0005-0000-0000-0000CF7C0000}"/>
    <cellStyle name="40 % - Markeringsfarve5 2 3 6 3" xfId="4220" xr:uid="{00000000-0005-0000-0000-0000D07C0000}"/>
    <cellStyle name="40 % - Markeringsfarve5 2 3 6 3 2" xfId="7450" xr:uid="{00000000-0005-0000-0000-0000D17C0000}"/>
    <cellStyle name="40 % - Markeringsfarve5 2 3 6 3 2 2" xfId="15360" xr:uid="{00000000-0005-0000-0000-0000D27C0000}"/>
    <cellStyle name="40 % - Markeringsfarve5 2 3 6 3 2 2 2" xfId="31674" xr:uid="{00000000-0005-0000-0000-0000D37C0000}"/>
    <cellStyle name="40 % - Markeringsfarve5 2 3 6 3 2 2 3" xfId="46638" xr:uid="{00000000-0005-0000-0000-0000D47C0000}"/>
    <cellStyle name="40 % - Markeringsfarve5 2 3 6 3 2 3" xfId="24652" xr:uid="{00000000-0005-0000-0000-0000D57C0000}"/>
    <cellStyle name="40 % - Markeringsfarve5 2 3 6 3 2 4" xfId="39639" xr:uid="{00000000-0005-0000-0000-0000D67C0000}"/>
    <cellStyle name="40 % - Markeringsfarve5 2 3 6 3 3" xfId="12777" xr:uid="{00000000-0005-0000-0000-0000D77C0000}"/>
    <cellStyle name="40 % - Markeringsfarve5 2 3 6 3 3 2" xfId="29096" xr:uid="{00000000-0005-0000-0000-0000D87C0000}"/>
    <cellStyle name="40 % - Markeringsfarve5 2 3 6 3 3 3" xfId="44061" xr:uid="{00000000-0005-0000-0000-0000D97C0000}"/>
    <cellStyle name="40 % - Markeringsfarve5 2 3 6 3 4" xfId="22074" xr:uid="{00000000-0005-0000-0000-0000DA7C0000}"/>
    <cellStyle name="40 % - Markeringsfarve5 2 3 6 3 5" xfId="37062" xr:uid="{00000000-0005-0000-0000-0000DB7C0000}"/>
    <cellStyle name="40 % - Markeringsfarve5 2 3 6 4" xfId="4221" xr:uid="{00000000-0005-0000-0000-0000DC7C0000}"/>
    <cellStyle name="40 % - Markeringsfarve5 2 3 6 4 2" xfId="8465" xr:uid="{00000000-0005-0000-0000-0000DD7C0000}"/>
    <cellStyle name="40 % - Markeringsfarve5 2 3 6 4 2 2" xfId="16356" xr:uid="{00000000-0005-0000-0000-0000DE7C0000}"/>
    <cellStyle name="40 % - Markeringsfarve5 2 3 6 4 2 2 2" xfId="32670" xr:uid="{00000000-0005-0000-0000-0000DF7C0000}"/>
    <cellStyle name="40 % - Markeringsfarve5 2 3 6 4 2 2 3" xfId="47634" xr:uid="{00000000-0005-0000-0000-0000E07C0000}"/>
    <cellStyle name="40 % - Markeringsfarve5 2 3 6 4 2 3" xfId="25648" xr:uid="{00000000-0005-0000-0000-0000E17C0000}"/>
    <cellStyle name="40 % - Markeringsfarve5 2 3 6 4 2 4" xfId="40635" xr:uid="{00000000-0005-0000-0000-0000E27C0000}"/>
    <cellStyle name="40 % - Markeringsfarve5 2 3 6 4 3" xfId="12778" xr:uid="{00000000-0005-0000-0000-0000E37C0000}"/>
    <cellStyle name="40 % - Markeringsfarve5 2 3 6 4 3 2" xfId="29097" xr:uid="{00000000-0005-0000-0000-0000E47C0000}"/>
    <cellStyle name="40 % - Markeringsfarve5 2 3 6 4 3 3" xfId="44062" xr:uid="{00000000-0005-0000-0000-0000E57C0000}"/>
    <cellStyle name="40 % - Markeringsfarve5 2 3 6 4 4" xfId="22075" xr:uid="{00000000-0005-0000-0000-0000E67C0000}"/>
    <cellStyle name="40 % - Markeringsfarve5 2 3 6 4 5" xfId="37063" xr:uid="{00000000-0005-0000-0000-0000E77C0000}"/>
    <cellStyle name="40 % - Markeringsfarve5 2 3 6 5" xfId="5987" xr:uid="{00000000-0005-0000-0000-0000E87C0000}"/>
    <cellStyle name="40 % - Markeringsfarve5 2 3 6 5 2" xfId="13905" xr:uid="{00000000-0005-0000-0000-0000E97C0000}"/>
    <cellStyle name="40 % - Markeringsfarve5 2 3 6 5 2 2" xfId="30219" xr:uid="{00000000-0005-0000-0000-0000EA7C0000}"/>
    <cellStyle name="40 % - Markeringsfarve5 2 3 6 5 2 3" xfId="45183" xr:uid="{00000000-0005-0000-0000-0000EB7C0000}"/>
    <cellStyle name="40 % - Markeringsfarve5 2 3 6 5 3" xfId="23197" xr:uid="{00000000-0005-0000-0000-0000EC7C0000}"/>
    <cellStyle name="40 % - Markeringsfarve5 2 3 6 5 4" xfId="38184" xr:uid="{00000000-0005-0000-0000-0000ED7C0000}"/>
    <cellStyle name="40 % - Markeringsfarve5 2 3 6 6" xfId="12774" xr:uid="{00000000-0005-0000-0000-0000EE7C0000}"/>
    <cellStyle name="40 % - Markeringsfarve5 2 3 6 6 2" xfId="29093" xr:uid="{00000000-0005-0000-0000-0000EF7C0000}"/>
    <cellStyle name="40 % - Markeringsfarve5 2 3 6 6 3" xfId="44058" xr:uid="{00000000-0005-0000-0000-0000F07C0000}"/>
    <cellStyle name="40 % - Markeringsfarve5 2 3 6 7" xfId="22071" xr:uid="{00000000-0005-0000-0000-0000F17C0000}"/>
    <cellStyle name="40 % - Markeringsfarve5 2 3 6 8" xfId="37059" xr:uid="{00000000-0005-0000-0000-0000F27C0000}"/>
    <cellStyle name="40 % - Markeringsfarve5 2 3 7" xfId="4222" xr:uid="{00000000-0005-0000-0000-0000F37C0000}"/>
    <cellStyle name="40 % - Markeringsfarve5 2 3 7 2" xfId="4223" xr:uid="{00000000-0005-0000-0000-0000F47C0000}"/>
    <cellStyle name="40 % - Markeringsfarve5 2 3 7 2 2" xfId="7602" xr:uid="{00000000-0005-0000-0000-0000F57C0000}"/>
    <cellStyle name="40 % - Markeringsfarve5 2 3 7 2 2 2" xfId="15503" xr:uid="{00000000-0005-0000-0000-0000F67C0000}"/>
    <cellStyle name="40 % - Markeringsfarve5 2 3 7 2 2 2 2" xfId="31817" xr:uid="{00000000-0005-0000-0000-0000F77C0000}"/>
    <cellStyle name="40 % - Markeringsfarve5 2 3 7 2 2 2 3" xfId="46781" xr:uid="{00000000-0005-0000-0000-0000F87C0000}"/>
    <cellStyle name="40 % - Markeringsfarve5 2 3 7 2 2 3" xfId="24795" xr:uid="{00000000-0005-0000-0000-0000F97C0000}"/>
    <cellStyle name="40 % - Markeringsfarve5 2 3 7 2 2 4" xfId="39782" xr:uid="{00000000-0005-0000-0000-0000FA7C0000}"/>
    <cellStyle name="40 % - Markeringsfarve5 2 3 7 2 3" xfId="12780" xr:uid="{00000000-0005-0000-0000-0000FB7C0000}"/>
    <cellStyle name="40 % - Markeringsfarve5 2 3 7 2 3 2" xfId="29099" xr:uid="{00000000-0005-0000-0000-0000FC7C0000}"/>
    <cellStyle name="40 % - Markeringsfarve5 2 3 7 2 3 3" xfId="44064" xr:uid="{00000000-0005-0000-0000-0000FD7C0000}"/>
    <cellStyle name="40 % - Markeringsfarve5 2 3 7 2 4" xfId="22077" xr:uid="{00000000-0005-0000-0000-0000FE7C0000}"/>
    <cellStyle name="40 % - Markeringsfarve5 2 3 7 2 5" xfId="37065" xr:uid="{00000000-0005-0000-0000-0000FF7C0000}"/>
    <cellStyle name="40 % - Markeringsfarve5 2 3 7 3" xfId="6187" xr:uid="{00000000-0005-0000-0000-0000007D0000}"/>
    <cellStyle name="40 % - Markeringsfarve5 2 3 7 3 2" xfId="14104" xr:uid="{00000000-0005-0000-0000-0000017D0000}"/>
    <cellStyle name="40 % - Markeringsfarve5 2 3 7 3 2 2" xfId="30418" xr:uid="{00000000-0005-0000-0000-0000027D0000}"/>
    <cellStyle name="40 % - Markeringsfarve5 2 3 7 3 2 3" xfId="45382" xr:uid="{00000000-0005-0000-0000-0000037D0000}"/>
    <cellStyle name="40 % - Markeringsfarve5 2 3 7 3 3" xfId="23396" xr:uid="{00000000-0005-0000-0000-0000047D0000}"/>
    <cellStyle name="40 % - Markeringsfarve5 2 3 7 3 4" xfId="38383" xr:uid="{00000000-0005-0000-0000-0000057D0000}"/>
    <cellStyle name="40 % - Markeringsfarve5 2 3 7 4" xfId="12779" xr:uid="{00000000-0005-0000-0000-0000067D0000}"/>
    <cellStyle name="40 % - Markeringsfarve5 2 3 7 4 2" xfId="29098" xr:uid="{00000000-0005-0000-0000-0000077D0000}"/>
    <cellStyle name="40 % - Markeringsfarve5 2 3 7 4 3" xfId="44063" xr:uid="{00000000-0005-0000-0000-0000087D0000}"/>
    <cellStyle name="40 % - Markeringsfarve5 2 3 7 5" xfId="22076" xr:uid="{00000000-0005-0000-0000-0000097D0000}"/>
    <cellStyle name="40 % - Markeringsfarve5 2 3 7 6" xfId="37064" xr:uid="{00000000-0005-0000-0000-00000A7D0000}"/>
    <cellStyle name="40 % - Markeringsfarve5 2 3 8" xfId="4224" xr:uid="{00000000-0005-0000-0000-00000B7D0000}"/>
    <cellStyle name="40 % - Markeringsfarve5 2 3 8 2" xfId="6830" xr:uid="{00000000-0005-0000-0000-00000C7D0000}"/>
    <cellStyle name="40 % - Markeringsfarve5 2 3 8 2 2" xfId="14741" xr:uid="{00000000-0005-0000-0000-00000D7D0000}"/>
    <cellStyle name="40 % - Markeringsfarve5 2 3 8 2 2 2" xfId="31055" xr:uid="{00000000-0005-0000-0000-00000E7D0000}"/>
    <cellStyle name="40 % - Markeringsfarve5 2 3 8 2 2 3" xfId="46019" xr:uid="{00000000-0005-0000-0000-00000F7D0000}"/>
    <cellStyle name="40 % - Markeringsfarve5 2 3 8 2 3" xfId="24033" xr:uid="{00000000-0005-0000-0000-0000107D0000}"/>
    <cellStyle name="40 % - Markeringsfarve5 2 3 8 2 4" xfId="39020" xr:uid="{00000000-0005-0000-0000-0000117D0000}"/>
    <cellStyle name="40 % - Markeringsfarve5 2 3 8 3" xfId="12781" xr:uid="{00000000-0005-0000-0000-0000127D0000}"/>
    <cellStyle name="40 % - Markeringsfarve5 2 3 8 3 2" xfId="29100" xr:uid="{00000000-0005-0000-0000-0000137D0000}"/>
    <cellStyle name="40 % - Markeringsfarve5 2 3 8 3 3" xfId="44065" xr:uid="{00000000-0005-0000-0000-0000147D0000}"/>
    <cellStyle name="40 % - Markeringsfarve5 2 3 8 4" xfId="22078" xr:uid="{00000000-0005-0000-0000-0000157D0000}"/>
    <cellStyle name="40 % - Markeringsfarve5 2 3 8 5" xfId="37066" xr:uid="{00000000-0005-0000-0000-0000167D0000}"/>
    <cellStyle name="40 % - Markeringsfarve5 2 3 9" xfId="4225" xr:uid="{00000000-0005-0000-0000-0000177D0000}"/>
    <cellStyle name="40 % - Markeringsfarve5 2 3 9 2" xfId="8232" xr:uid="{00000000-0005-0000-0000-0000187D0000}"/>
    <cellStyle name="40 % - Markeringsfarve5 2 3 9 2 2" xfId="16129" xr:uid="{00000000-0005-0000-0000-0000197D0000}"/>
    <cellStyle name="40 % - Markeringsfarve5 2 3 9 2 2 2" xfId="32443" xr:uid="{00000000-0005-0000-0000-00001A7D0000}"/>
    <cellStyle name="40 % - Markeringsfarve5 2 3 9 2 2 3" xfId="47407" xr:uid="{00000000-0005-0000-0000-00001B7D0000}"/>
    <cellStyle name="40 % - Markeringsfarve5 2 3 9 2 3" xfId="25421" xr:uid="{00000000-0005-0000-0000-00001C7D0000}"/>
    <cellStyle name="40 % - Markeringsfarve5 2 3 9 2 4" xfId="40408" xr:uid="{00000000-0005-0000-0000-00001D7D0000}"/>
    <cellStyle name="40 % - Markeringsfarve5 2 3 9 3" xfId="12782" xr:uid="{00000000-0005-0000-0000-00001E7D0000}"/>
    <cellStyle name="40 % - Markeringsfarve5 2 3 9 3 2" xfId="29101" xr:uid="{00000000-0005-0000-0000-00001F7D0000}"/>
    <cellStyle name="40 % - Markeringsfarve5 2 3 9 3 3" xfId="44066" xr:uid="{00000000-0005-0000-0000-0000207D0000}"/>
    <cellStyle name="40 % - Markeringsfarve5 2 3 9 4" xfId="22079" xr:uid="{00000000-0005-0000-0000-0000217D0000}"/>
    <cellStyle name="40 % - Markeringsfarve5 2 3 9 5" xfId="37067" xr:uid="{00000000-0005-0000-0000-0000227D0000}"/>
    <cellStyle name="40 % - Markeringsfarve5 2 4" xfId="4226" xr:uid="{00000000-0005-0000-0000-0000237D0000}"/>
    <cellStyle name="40 % - Markeringsfarve5 2 4 2" xfId="4227" xr:uid="{00000000-0005-0000-0000-0000247D0000}"/>
    <cellStyle name="40 % - Markeringsfarve5 2 4 2 2" xfId="4228" xr:uid="{00000000-0005-0000-0000-0000257D0000}"/>
    <cellStyle name="40 % - Markeringsfarve5 2 4 2 2 2" xfId="7643" xr:uid="{00000000-0005-0000-0000-0000267D0000}"/>
    <cellStyle name="40 % - Markeringsfarve5 2 4 2 2 2 2" xfId="15544" xr:uid="{00000000-0005-0000-0000-0000277D0000}"/>
    <cellStyle name="40 % - Markeringsfarve5 2 4 2 2 2 2 2" xfId="31858" xr:uid="{00000000-0005-0000-0000-0000287D0000}"/>
    <cellStyle name="40 % - Markeringsfarve5 2 4 2 2 2 2 3" xfId="46822" xr:uid="{00000000-0005-0000-0000-0000297D0000}"/>
    <cellStyle name="40 % - Markeringsfarve5 2 4 2 2 2 3" xfId="24836" xr:uid="{00000000-0005-0000-0000-00002A7D0000}"/>
    <cellStyle name="40 % - Markeringsfarve5 2 4 2 2 2 4" xfId="39823" xr:uid="{00000000-0005-0000-0000-00002B7D0000}"/>
    <cellStyle name="40 % - Markeringsfarve5 2 4 2 2 3" xfId="12785" xr:uid="{00000000-0005-0000-0000-00002C7D0000}"/>
    <cellStyle name="40 % - Markeringsfarve5 2 4 2 2 3 2" xfId="29104" xr:uid="{00000000-0005-0000-0000-00002D7D0000}"/>
    <cellStyle name="40 % - Markeringsfarve5 2 4 2 2 3 3" xfId="44069" xr:uid="{00000000-0005-0000-0000-00002E7D0000}"/>
    <cellStyle name="40 % - Markeringsfarve5 2 4 2 2 4" xfId="22082" xr:uid="{00000000-0005-0000-0000-00002F7D0000}"/>
    <cellStyle name="40 % - Markeringsfarve5 2 4 2 2 5" xfId="37070" xr:uid="{00000000-0005-0000-0000-0000307D0000}"/>
    <cellStyle name="40 % - Markeringsfarve5 2 4 2 3" xfId="6220" xr:uid="{00000000-0005-0000-0000-0000317D0000}"/>
    <cellStyle name="40 % - Markeringsfarve5 2 4 2 3 2" xfId="14137" xr:uid="{00000000-0005-0000-0000-0000327D0000}"/>
    <cellStyle name="40 % - Markeringsfarve5 2 4 2 3 2 2" xfId="30451" xr:uid="{00000000-0005-0000-0000-0000337D0000}"/>
    <cellStyle name="40 % - Markeringsfarve5 2 4 2 3 2 3" xfId="45415" xr:uid="{00000000-0005-0000-0000-0000347D0000}"/>
    <cellStyle name="40 % - Markeringsfarve5 2 4 2 3 3" xfId="23429" xr:uid="{00000000-0005-0000-0000-0000357D0000}"/>
    <cellStyle name="40 % - Markeringsfarve5 2 4 2 3 4" xfId="38416" xr:uid="{00000000-0005-0000-0000-0000367D0000}"/>
    <cellStyle name="40 % - Markeringsfarve5 2 4 2 4" xfId="12784" xr:uid="{00000000-0005-0000-0000-0000377D0000}"/>
    <cellStyle name="40 % - Markeringsfarve5 2 4 2 4 2" xfId="29103" xr:uid="{00000000-0005-0000-0000-0000387D0000}"/>
    <cellStyle name="40 % - Markeringsfarve5 2 4 2 4 3" xfId="44068" xr:uid="{00000000-0005-0000-0000-0000397D0000}"/>
    <cellStyle name="40 % - Markeringsfarve5 2 4 2 5" xfId="22081" xr:uid="{00000000-0005-0000-0000-00003A7D0000}"/>
    <cellStyle name="40 % - Markeringsfarve5 2 4 2 6" xfId="37069" xr:uid="{00000000-0005-0000-0000-00003B7D0000}"/>
    <cellStyle name="40 % - Markeringsfarve5 2 4 2 7" xfId="57196" xr:uid="{00000000-0005-0000-0000-00003C7D0000}"/>
    <cellStyle name="40 % - Markeringsfarve5 2 4 3" xfId="4229" xr:uid="{00000000-0005-0000-0000-00003D7D0000}"/>
    <cellStyle name="40 % - Markeringsfarve5 2 4 3 2" xfId="6873" xr:uid="{00000000-0005-0000-0000-00003E7D0000}"/>
    <cellStyle name="40 % - Markeringsfarve5 2 4 3 2 2" xfId="14784" xr:uid="{00000000-0005-0000-0000-00003F7D0000}"/>
    <cellStyle name="40 % - Markeringsfarve5 2 4 3 2 2 2" xfId="31098" xr:uid="{00000000-0005-0000-0000-0000407D0000}"/>
    <cellStyle name="40 % - Markeringsfarve5 2 4 3 2 2 3" xfId="46062" xr:uid="{00000000-0005-0000-0000-0000417D0000}"/>
    <cellStyle name="40 % - Markeringsfarve5 2 4 3 2 3" xfId="24076" xr:uid="{00000000-0005-0000-0000-0000427D0000}"/>
    <cellStyle name="40 % - Markeringsfarve5 2 4 3 2 4" xfId="39063" xr:uid="{00000000-0005-0000-0000-0000437D0000}"/>
    <cellStyle name="40 % - Markeringsfarve5 2 4 3 3" xfId="12786" xr:uid="{00000000-0005-0000-0000-0000447D0000}"/>
    <cellStyle name="40 % - Markeringsfarve5 2 4 3 3 2" xfId="29105" xr:uid="{00000000-0005-0000-0000-0000457D0000}"/>
    <cellStyle name="40 % - Markeringsfarve5 2 4 3 3 3" xfId="44070" xr:uid="{00000000-0005-0000-0000-0000467D0000}"/>
    <cellStyle name="40 % - Markeringsfarve5 2 4 3 4" xfId="22083" xr:uid="{00000000-0005-0000-0000-0000477D0000}"/>
    <cellStyle name="40 % - Markeringsfarve5 2 4 3 5" xfId="37071" xr:uid="{00000000-0005-0000-0000-0000487D0000}"/>
    <cellStyle name="40 % - Markeringsfarve5 2 4 4" xfId="4230" xr:uid="{00000000-0005-0000-0000-0000497D0000}"/>
    <cellStyle name="40 % - Markeringsfarve5 2 4 4 2" xfId="8699" xr:uid="{00000000-0005-0000-0000-00004A7D0000}"/>
    <cellStyle name="40 % - Markeringsfarve5 2 4 4 2 2" xfId="16580" xr:uid="{00000000-0005-0000-0000-00004B7D0000}"/>
    <cellStyle name="40 % - Markeringsfarve5 2 4 4 2 2 2" xfId="32894" xr:uid="{00000000-0005-0000-0000-00004C7D0000}"/>
    <cellStyle name="40 % - Markeringsfarve5 2 4 4 2 2 3" xfId="47858" xr:uid="{00000000-0005-0000-0000-00004D7D0000}"/>
    <cellStyle name="40 % - Markeringsfarve5 2 4 4 2 3" xfId="25872" xr:uid="{00000000-0005-0000-0000-00004E7D0000}"/>
    <cellStyle name="40 % - Markeringsfarve5 2 4 4 2 4" xfId="40859" xr:uid="{00000000-0005-0000-0000-00004F7D0000}"/>
    <cellStyle name="40 % - Markeringsfarve5 2 4 4 3" xfId="12787" xr:uid="{00000000-0005-0000-0000-0000507D0000}"/>
    <cellStyle name="40 % - Markeringsfarve5 2 4 4 3 2" xfId="29106" xr:uid="{00000000-0005-0000-0000-0000517D0000}"/>
    <cellStyle name="40 % - Markeringsfarve5 2 4 4 3 3" xfId="44071" xr:uid="{00000000-0005-0000-0000-0000527D0000}"/>
    <cellStyle name="40 % - Markeringsfarve5 2 4 4 4" xfId="22084" xr:uid="{00000000-0005-0000-0000-0000537D0000}"/>
    <cellStyle name="40 % - Markeringsfarve5 2 4 4 5" xfId="37072" xr:uid="{00000000-0005-0000-0000-0000547D0000}"/>
    <cellStyle name="40 % - Markeringsfarve5 2 4 5" xfId="5988" xr:uid="{00000000-0005-0000-0000-0000557D0000}"/>
    <cellStyle name="40 % - Markeringsfarve5 2 4 5 2" xfId="13906" xr:uid="{00000000-0005-0000-0000-0000567D0000}"/>
    <cellStyle name="40 % - Markeringsfarve5 2 4 5 2 2" xfId="30220" xr:uid="{00000000-0005-0000-0000-0000577D0000}"/>
    <cellStyle name="40 % - Markeringsfarve5 2 4 5 2 3" xfId="45184" xr:uid="{00000000-0005-0000-0000-0000587D0000}"/>
    <cellStyle name="40 % - Markeringsfarve5 2 4 5 3" xfId="23198" xr:uid="{00000000-0005-0000-0000-0000597D0000}"/>
    <cellStyle name="40 % - Markeringsfarve5 2 4 5 4" xfId="38185" xr:uid="{00000000-0005-0000-0000-00005A7D0000}"/>
    <cellStyle name="40 % - Markeringsfarve5 2 4 6" xfId="12783" xr:uid="{00000000-0005-0000-0000-00005B7D0000}"/>
    <cellStyle name="40 % - Markeringsfarve5 2 4 6 2" xfId="29102" xr:uid="{00000000-0005-0000-0000-00005C7D0000}"/>
    <cellStyle name="40 % - Markeringsfarve5 2 4 6 3" xfId="44067" xr:uid="{00000000-0005-0000-0000-00005D7D0000}"/>
    <cellStyle name="40 % - Markeringsfarve5 2 4 7" xfId="22080" xr:uid="{00000000-0005-0000-0000-00005E7D0000}"/>
    <cellStyle name="40 % - Markeringsfarve5 2 4 8" xfId="37068" xr:uid="{00000000-0005-0000-0000-00005F7D0000}"/>
    <cellStyle name="40 % - Markeringsfarve5 2 4 9" xfId="54029" xr:uid="{00000000-0005-0000-0000-0000607D0000}"/>
    <cellStyle name="40 % - Markeringsfarve5 2 5" xfId="4231" xr:uid="{00000000-0005-0000-0000-0000617D0000}"/>
    <cellStyle name="40 % - Markeringsfarve5 2 5 2" xfId="4232" xr:uid="{00000000-0005-0000-0000-0000627D0000}"/>
    <cellStyle name="40 % - Markeringsfarve5 2 5 2 2" xfId="4233" xr:uid="{00000000-0005-0000-0000-0000637D0000}"/>
    <cellStyle name="40 % - Markeringsfarve5 2 5 2 2 2" xfId="7817" xr:uid="{00000000-0005-0000-0000-0000647D0000}"/>
    <cellStyle name="40 % - Markeringsfarve5 2 5 2 2 2 2" xfId="15718" xr:uid="{00000000-0005-0000-0000-0000657D0000}"/>
    <cellStyle name="40 % - Markeringsfarve5 2 5 2 2 2 2 2" xfId="32032" xr:uid="{00000000-0005-0000-0000-0000667D0000}"/>
    <cellStyle name="40 % - Markeringsfarve5 2 5 2 2 2 2 3" xfId="46996" xr:uid="{00000000-0005-0000-0000-0000677D0000}"/>
    <cellStyle name="40 % - Markeringsfarve5 2 5 2 2 2 3" xfId="25010" xr:uid="{00000000-0005-0000-0000-0000687D0000}"/>
    <cellStyle name="40 % - Markeringsfarve5 2 5 2 2 2 4" xfId="39997" xr:uid="{00000000-0005-0000-0000-0000697D0000}"/>
    <cellStyle name="40 % - Markeringsfarve5 2 5 2 2 3" xfId="12790" xr:uid="{00000000-0005-0000-0000-00006A7D0000}"/>
    <cellStyle name="40 % - Markeringsfarve5 2 5 2 2 3 2" xfId="29109" xr:uid="{00000000-0005-0000-0000-00006B7D0000}"/>
    <cellStyle name="40 % - Markeringsfarve5 2 5 2 2 3 3" xfId="44074" xr:uid="{00000000-0005-0000-0000-00006C7D0000}"/>
    <cellStyle name="40 % - Markeringsfarve5 2 5 2 2 4" xfId="22087" xr:uid="{00000000-0005-0000-0000-00006D7D0000}"/>
    <cellStyle name="40 % - Markeringsfarve5 2 5 2 2 5" xfId="37075" xr:uid="{00000000-0005-0000-0000-00006E7D0000}"/>
    <cellStyle name="40 % - Markeringsfarve5 2 5 2 3" xfId="6363" xr:uid="{00000000-0005-0000-0000-00006F7D0000}"/>
    <cellStyle name="40 % - Markeringsfarve5 2 5 2 3 2" xfId="14280" xr:uid="{00000000-0005-0000-0000-0000707D0000}"/>
    <cellStyle name="40 % - Markeringsfarve5 2 5 2 3 2 2" xfId="30594" xr:uid="{00000000-0005-0000-0000-0000717D0000}"/>
    <cellStyle name="40 % - Markeringsfarve5 2 5 2 3 2 3" xfId="45558" xr:uid="{00000000-0005-0000-0000-0000727D0000}"/>
    <cellStyle name="40 % - Markeringsfarve5 2 5 2 3 3" xfId="23572" xr:uid="{00000000-0005-0000-0000-0000737D0000}"/>
    <cellStyle name="40 % - Markeringsfarve5 2 5 2 3 4" xfId="38559" xr:uid="{00000000-0005-0000-0000-0000747D0000}"/>
    <cellStyle name="40 % - Markeringsfarve5 2 5 2 4" xfId="12789" xr:uid="{00000000-0005-0000-0000-0000757D0000}"/>
    <cellStyle name="40 % - Markeringsfarve5 2 5 2 4 2" xfId="29108" xr:uid="{00000000-0005-0000-0000-0000767D0000}"/>
    <cellStyle name="40 % - Markeringsfarve5 2 5 2 4 3" xfId="44073" xr:uid="{00000000-0005-0000-0000-0000777D0000}"/>
    <cellStyle name="40 % - Markeringsfarve5 2 5 2 5" xfId="22086" xr:uid="{00000000-0005-0000-0000-0000787D0000}"/>
    <cellStyle name="40 % - Markeringsfarve5 2 5 2 6" xfId="37074" xr:uid="{00000000-0005-0000-0000-0000797D0000}"/>
    <cellStyle name="40 % - Markeringsfarve5 2 5 3" xfId="4234" xr:uid="{00000000-0005-0000-0000-00007A7D0000}"/>
    <cellStyle name="40 % - Markeringsfarve5 2 5 3 2" xfId="7047" xr:uid="{00000000-0005-0000-0000-00007B7D0000}"/>
    <cellStyle name="40 % - Markeringsfarve5 2 5 3 2 2" xfId="14958" xr:uid="{00000000-0005-0000-0000-00007C7D0000}"/>
    <cellStyle name="40 % - Markeringsfarve5 2 5 3 2 2 2" xfId="31272" xr:uid="{00000000-0005-0000-0000-00007D7D0000}"/>
    <cellStyle name="40 % - Markeringsfarve5 2 5 3 2 2 3" xfId="46236" xr:uid="{00000000-0005-0000-0000-00007E7D0000}"/>
    <cellStyle name="40 % - Markeringsfarve5 2 5 3 2 3" xfId="24250" xr:uid="{00000000-0005-0000-0000-00007F7D0000}"/>
    <cellStyle name="40 % - Markeringsfarve5 2 5 3 2 4" xfId="39237" xr:uid="{00000000-0005-0000-0000-0000807D0000}"/>
    <cellStyle name="40 % - Markeringsfarve5 2 5 3 3" xfId="12791" xr:uid="{00000000-0005-0000-0000-0000817D0000}"/>
    <cellStyle name="40 % - Markeringsfarve5 2 5 3 3 2" xfId="29110" xr:uid="{00000000-0005-0000-0000-0000827D0000}"/>
    <cellStyle name="40 % - Markeringsfarve5 2 5 3 3 3" xfId="44075" xr:uid="{00000000-0005-0000-0000-0000837D0000}"/>
    <cellStyle name="40 % - Markeringsfarve5 2 5 3 4" xfId="22088" xr:uid="{00000000-0005-0000-0000-0000847D0000}"/>
    <cellStyle name="40 % - Markeringsfarve5 2 5 3 5" xfId="37076" xr:uid="{00000000-0005-0000-0000-0000857D0000}"/>
    <cellStyle name="40 % - Markeringsfarve5 2 5 4" xfId="4235" xr:uid="{00000000-0005-0000-0000-0000867D0000}"/>
    <cellStyle name="40 % - Markeringsfarve5 2 5 4 2" xfId="8424" xr:uid="{00000000-0005-0000-0000-0000877D0000}"/>
    <cellStyle name="40 % - Markeringsfarve5 2 5 4 2 2" xfId="16317" xr:uid="{00000000-0005-0000-0000-0000887D0000}"/>
    <cellStyle name="40 % - Markeringsfarve5 2 5 4 2 2 2" xfId="32631" xr:uid="{00000000-0005-0000-0000-0000897D0000}"/>
    <cellStyle name="40 % - Markeringsfarve5 2 5 4 2 2 3" xfId="47595" xr:uid="{00000000-0005-0000-0000-00008A7D0000}"/>
    <cellStyle name="40 % - Markeringsfarve5 2 5 4 2 3" xfId="25609" xr:uid="{00000000-0005-0000-0000-00008B7D0000}"/>
    <cellStyle name="40 % - Markeringsfarve5 2 5 4 2 4" xfId="40596" xr:uid="{00000000-0005-0000-0000-00008C7D0000}"/>
    <cellStyle name="40 % - Markeringsfarve5 2 5 4 3" xfId="12792" xr:uid="{00000000-0005-0000-0000-00008D7D0000}"/>
    <cellStyle name="40 % - Markeringsfarve5 2 5 4 3 2" xfId="29111" xr:uid="{00000000-0005-0000-0000-00008E7D0000}"/>
    <cellStyle name="40 % - Markeringsfarve5 2 5 4 3 3" xfId="44076" xr:uid="{00000000-0005-0000-0000-00008F7D0000}"/>
    <cellStyle name="40 % - Markeringsfarve5 2 5 4 4" xfId="22089" xr:uid="{00000000-0005-0000-0000-0000907D0000}"/>
    <cellStyle name="40 % - Markeringsfarve5 2 5 4 5" xfId="37077" xr:uid="{00000000-0005-0000-0000-0000917D0000}"/>
    <cellStyle name="40 % - Markeringsfarve5 2 5 5" xfId="5989" xr:uid="{00000000-0005-0000-0000-0000927D0000}"/>
    <cellStyle name="40 % - Markeringsfarve5 2 5 5 2" xfId="13907" xr:uid="{00000000-0005-0000-0000-0000937D0000}"/>
    <cellStyle name="40 % - Markeringsfarve5 2 5 5 2 2" xfId="30221" xr:uid="{00000000-0005-0000-0000-0000947D0000}"/>
    <cellStyle name="40 % - Markeringsfarve5 2 5 5 2 3" xfId="45185" xr:uid="{00000000-0005-0000-0000-0000957D0000}"/>
    <cellStyle name="40 % - Markeringsfarve5 2 5 5 3" xfId="23199" xr:uid="{00000000-0005-0000-0000-0000967D0000}"/>
    <cellStyle name="40 % - Markeringsfarve5 2 5 5 4" xfId="38186" xr:uid="{00000000-0005-0000-0000-0000977D0000}"/>
    <cellStyle name="40 % - Markeringsfarve5 2 5 6" xfId="12788" xr:uid="{00000000-0005-0000-0000-0000987D0000}"/>
    <cellStyle name="40 % - Markeringsfarve5 2 5 6 2" xfId="29107" xr:uid="{00000000-0005-0000-0000-0000997D0000}"/>
    <cellStyle name="40 % - Markeringsfarve5 2 5 6 3" xfId="44072" xr:uid="{00000000-0005-0000-0000-00009A7D0000}"/>
    <cellStyle name="40 % - Markeringsfarve5 2 5 7" xfId="22085" xr:uid="{00000000-0005-0000-0000-00009B7D0000}"/>
    <cellStyle name="40 % - Markeringsfarve5 2 5 8" xfId="37073" xr:uid="{00000000-0005-0000-0000-00009C7D0000}"/>
    <cellStyle name="40 % - Markeringsfarve5 2 5 9" xfId="56573" xr:uid="{00000000-0005-0000-0000-00009D7D0000}"/>
    <cellStyle name="40 % - Markeringsfarve5 2 6" xfId="4236" xr:uid="{00000000-0005-0000-0000-00009E7D0000}"/>
    <cellStyle name="40 % - Markeringsfarve5 2 6 2" xfId="4237" xr:uid="{00000000-0005-0000-0000-00009F7D0000}"/>
    <cellStyle name="40 % - Markeringsfarve5 2 6 2 2" xfId="4238" xr:uid="{00000000-0005-0000-0000-0000A07D0000}"/>
    <cellStyle name="40 % - Markeringsfarve5 2 6 2 2 2" xfId="7881" xr:uid="{00000000-0005-0000-0000-0000A17D0000}"/>
    <cellStyle name="40 % - Markeringsfarve5 2 6 2 2 2 2" xfId="15782" xr:uid="{00000000-0005-0000-0000-0000A27D0000}"/>
    <cellStyle name="40 % - Markeringsfarve5 2 6 2 2 2 2 2" xfId="32096" xr:uid="{00000000-0005-0000-0000-0000A37D0000}"/>
    <cellStyle name="40 % - Markeringsfarve5 2 6 2 2 2 2 3" xfId="47060" xr:uid="{00000000-0005-0000-0000-0000A47D0000}"/>
    <cellStyle name="40 % - Markeringsfarve5 2 6 2 2 2 3" xfId="25074" xr:uid="{00000000-0005-0000-0000-0000A57D0000}"/>
    <cellStyle name="40 % - Markeringsfarve5 2 6 2 2 2 4" xfId="40061" xr:uid="{00000000-0005-0000-0000-0000A67D0000}"/>
    <cellStyle name="40 % - Markeringsfarve5 2 6 2 2 3" xfId="12795" xr:uid="{00000000-0005-0000-0000-0000A77D0000}"/>
    <cellStyle name="40 % - Markeringsfarve5 2 6 2 2 3 2" xfId="29114" xr:uid="{00000000-0005-0000-0000-0000A87D0000}"/>
    <cellStyle name="40 % - Markeringsfarve5 2 6 2 2 3 3" xfId="44079" xr:uid="{00000000-0005-0000-0000-0000A97D0000}"/>
    <cellStyle name="40 % - Markeringsfarve5 2 6 2 2 4" xfId="22092" xr:uid="{00000000-0005-0000-0000-0000AA7D0000}"/>
    <cellStyle name="40 % - Markeringsfarve5 2 6 2 2 5" xfId="37080" xr:uid="{00000000-0005-0000-0000-0000AB7D0000}"/>
    <cellStyle name="40 % - Markeringsfarve5 2 6 2 3" xfId="6422" xr:uid="{00000000-0005-0000-0000-0000AC7D0000}"/>
    <cellStyle name="40 % - Markeringsfarve5 2 6 2 3 2" xfId="14336" xr:uid="{00000000-0005-0000-0000-0000AD7D0000}"/>
    <cellStyle name="40 % - Markeringsfarve5 2 6 2 3 2 2" xfId="30650" xr:uid="{00000000-0005-0000-0000-0000AE7D0000}"/>
    <cellStyle name="40 % - Markeringsfarve5 2 6 2 3 2 3" xfId="45614" xr:uid="{00000000-0005-0000-0000-0000AF7D0000}"/>
    <cellStyle name="40 % - Markeringsfarve5 2 6 2 3 3" xfId="23628" xr:uid="{00000000-0005-0000-0000-0000B07D0000}"/>
    <cellStyle name="40 % - Markeringsfarve5 2 6 2 3 4" xfId="38615" xr:uid="{00000000-0005-0000-0000-0000B17D0000}"/>
    <cellStyle name="40 % - Markeringsfarve5 2 6 2 4" xfId="12794" xr:uid="{00000000-0005-0000-0000-0000B27D0000}"/>
    <cellStyle name="40 % - Markeringsfarve5 2 6 2 4 2" xfId="29113" xr:uid="{00000000-0005-0000-0000-0000B37D0000}"/>
    <cellStyle name="40 % - Markeringsfarve5 2 6 2 4 3" xfId="44078" xr:uid="{00000000-0005-0000-0000-0000B47D0000}"/>
    <cellStyle name="40 % - Markeringsfarve5 2 6 2 5" xfId="22091" xr:uid="{00000000-0005-0000-0000-0000B57D0000}"/>
    <cellStyle name="40 % - Markeringsfarve5 2 6 2 6" xfId="37079" xr:uid="{00000000-0005-0000-0000-0000B67D0000}"/>
    <cellStyle name="40 % - Markeringsfarve5 2 6 3" xfId="4239" xr:uid="{00000000-0005-0000-0000-0000B77D0000}"/>
    <cellStyle name="40 % - Markeringsfarve5 2 6 3 2" xfId="7157" xr:uid="{00000000-0005-0000-0000-0000B87D0000}"/>
    <cellStyle name="40 % - Markeringsfarve5 2 6 3 2 2" xfId="15067" xr:uid="{00000000-0005-0000-0000-0000B97D0000}"/>
    <cellStyle name="40 % - Markeringsfarve5 2 6 3 2 2 2" xfId="31381" xr:uid="{00000000-0005-0000-0000-0000BA7D0000}"/>
    <cellStyle name="40 % - Markeringsfarve5 2 6 3 2 2 3" xfId="46345" xr:uid="{00000000-0005-0000-0000-0000BB7D0000}"/>
    <cellStyle name="40 % - Markeringsfarve5 2 6 3 2 3" xfId="24359" xr:uid="{00000000-0005-0000-0000-0000BC7D0000}"/>
    <cellStyle name="40 % - Markeringsfarve5 2 6 3 2 4" xfId="39346" xr:uid="{00000000-0005-0000-0000-0000BD7D0000}"/>
    <cellStyle name="40 % - Markeringsfarve5 2 6 3 3" xfId="12796" xr:uid="{00000000-0005-0000-0000-0000BE7D0000}"/>
    <cellStyle name="40 % - Markeringsfarve5 2 6 3 3 2" xfId="29115" xr:uid="{00000000-0005-0000-0000-0000BF7D0000}"/>
    <cellStyle name="40 % - Markeringsfarve5 2 6 3 3 3" xfId="44080" xr:uid="{00000000-0005-0000-0000-0000C07D0000}"/>
    <cellStyle name="40 % - Markeringsfarve5 2 6 3 4" xfId="22093" xr:uid="{00000000-0005-0000-0000-0000C17D0000}"/>
    <cellStyle name="40 % - Markeringsfarve5 2 6 3 5" xfId="37081" xr:uid="{00000000-0005-0000-0000-0000C27D0000}"/>
    <cellStyle name="40 % - Markeringsfarve5 2 6 4" xfId="4240" xr:uid="{00000000-0005-0000-0000-0000C37D0000}"/>
    <cellStyle name="40 % - Markeringsfarve5 2 6 4 2" xfId="8631" xr:uid="{00000000-0005-0000-0000-0000C47D0000}"/>
    <cellStyle name="40 % - Markeringsfarve5 2 6 4 2 2" xfId="16514" xr:uid="{00000000-0005-0000-0000-0000C57D0000}"/>
    <cellStyle name="40 % - Markeringsfarve5 2 6 4 2 2 2" xfId="32828" xr:uid="{00000000-0005-0000-0000-0000C67D0000}"/>
    <cellStyle name="40 % - Markeringsfarve5 2 6 4 2 2 3" xfId="47792" xr:uid="{00000000-0005-0000-0000-0000C77D0000}"/>
    <cellStyle name="40 % - Markeringsfarve5 2 6 4 2 3" xfId="25806" xr:uid="{00000000-0005-0000-0000-0000C87D0000}"/>
    <cellStyle name="40 % - Markeringsfarve5 2 6 4 2 4" xfId="40793" xr:uid="{00000000-0005-0000-0000-0000C97D0000}"/>
    <cellStyle name="40 % - Markeringsfarve5 2 6 4 3" xfId="12797" xr:uid="{00000000-0005-0000-0000-0000CA7D0000}"/>
    <cellStyle name="40 % - Markeringsfarve5 2 6 4 3 2" xfId="29116" xr:uid="{00000000-0005-0000-0000-0000CB7D0000}"/>
    <cellStyle name="40 % - Markeringsfarve5 2 6 4 3 3" xfId="44081" xr:uid="{00000000-0005-0000-0000-0000CC7D0000}"/>
    <cellStyle name="40 % - Markeringsfarve5 2 6 4 4" xfId="22094" xr:uid="{00000000-0005-0000-0000-0000CD7D0000}"/>
    <cellStyle name="40 % - Markeringsfarve5 2 6 4 5" xfId="37082" xr:uid="{00000000-0005-0000-0000-0000CE7D0000}"/>
    <cellStyle name="40 % - Markeringsfarve5 2 6 5" xfId="5990" xr:uid="{00000000-0005-0000-0000-0000CF7D0000}"/>
    <cellStyle name="40 % - Markeringsfarve5 2 6 5 2" xfId="13908" xr:uid="{00000000-0005-0000-0000-0000D07D0000}"/>
    <cellStyle name="40 % - Markeringsfarve5 2 6 5 2 2" xfId="30222" xr:uid="{00000000-0005-0000-0000-0000D17D0000}"/>
    <cellStyle name="40 % - Markeringsfarve5 2 6 5 2 3" xfId="45186" xr:uid="{00000000-0005-0000-0000-0000D27D0000}"/>
    <cellStyle name="40 % - Markeringsfarve5 2 6 5 3" xfId="23200" xr:uid="{00000000-0005-0000-0000-0000D37D0000}"/>
    <cellStyle name="40 % - Markeringsfarve5 2 6 5 4" xfId="38187" xr:uid="{00000000-0005-0000-0000-0000D47D0000}"/>
    <cellStyle name="40 % - Markeringsfarve5 2 6 6" xfId="12793" xr:uid="{00000000-0005-0000-0000-0000D57D0000}"/>
    <cellStyle name="40 % - Markeringsfarve5 2 6 6 2" xfId="29112" xr:uid="{00000000-0005-0000-0000-0000D67D0000}"/>
    <cellStyle name="40 % - Markeringsfarve5 2 6 6 3" xfId="44077" xr:uid="{00000000-0005-0000-0000-0000D77D0000}"/>
    <cellStyle name="40 % - Markeringsfarve5 2 6 7" xfId="22090" xr:uid="{00000000-0005-0000-0000-0000D87D0000}"/>
    <cellStyle name="40 % - Markeringsfarve5 2 6 8" xfId="37078" xr:uid="{00000000-0005-0000-0000-0000D97D0000}"/>
    <cellStyle name="40 % - Markeringsfarve5 2 7" xfId="4241" xr:uid="{00000000-0005-0000-0000-0000DA7D0000}"/>
    <cellStyle name="40 % - Markeringsfarve5 2 7 2" xfId="4242" xr:uid="{00000000-0005-0000-0000-0000DB7D0000}"/>
    <cellStyle name="40 % - Markeringsfarve5 2 7 2 2" xfId="4243" xr:uid="{00000000-0005-0000-0000-0000DC7D0000}"/>
    <cellStyle name="40 % - Markeringsfarve5 2 7 2 2 2" xfId="7998" xr:uid="{00000000-0005-0000-0000-0000DD7D0000}"/>
    <cellStyle name="40 % - Markeringsfarve5 2 7 2 2 2 2" xfId="15899" xr:uid="{00000000-0005-0000-0000-0000DE7D0000}"/>
    <cellStyle name="40 % - Markeringsfarve5 2 7 2 2 2 2 2" xfId="32213" xr:uid="{00000000-0005-0000-0000-0000DF7D0000}"/>
    <cellStyle name="40 % - Markeringsfarve5 2 7 2 2 2 2 3" xfId="47177" xr:uid="{00000000-0005-0000-0000-0000E07D0000}"/>
    <cellStyle name="40 % - Markeringsfarve5 2 7 2 2 2 3" xfId="25191" xr:uid="{00000000-0005-0000-0000-0000E17D0000}"/>
    <cellStyle name="40 % - Markeringsfarve5 2 7 2 2 2 4" xfId="40178" xr:uid="{00000000-0005-0000-0000-0000E27D0000}"/>
    <cellStyle name="40 % - Markeringsfarve5 2 7 2 2 3" xfId="12800" xr:uid="{00000000-0005-0000-0000-0000E37D0000}"/>
    <cellStyle name="40 % - Markeringsfarve5 2 7 2 2 3 2" xfId="29119" xr:uid="{00000000-0005-0000-0000-0000E47D0000}"/>
    <cellStyle name="40 % - Markeringsfarve5 2 7 2 2 3 3" xfId="44084" xr:uid="{00000000-0005-0000-0000-0000E57D0000}"/>
    <cellStyle name="40 % - Markeringsfarve5 2 7 2 2 4" xfId="22097" xr:uid="{00000000-0005-0000-0000-0000E67D0000}"/>
    <cellStyle name="40 % - Markeringsfarve5 2 7 2 2 5" xfId="37085" xr:uid="{00000000-0005-0000-0000-0000E77D0000}"/>
    <cellStyle name="40 % - Markeringsfarve5 2 7 2 3" xfId="6521" xr:uid="{00000000-0005-0000-0000-0000E87D0000}"/>
    <cellStyle name="40 % - Markeringsfarve5 2 7 2 3 2" xfId="14435" xr:uid="{00000000-0005-0000-0000-0000E97D0000}"/>
    <cellStyle name="40 % - Markeringsfarve5 2 7 2 3 2 2" xfId="30749" xr:uid="{00000000-0005-0000-0000-0000EA7D0000}"/>
    <cellStyle name="40 % - Markeringsfarve5 2 7 2 3 2 3" xfId="45713" xr:uid="{00000000-0005-0000-0000-0000EB7D0000}"/>
    <cellStyle name="40 % - Markeringsfarve5 2 7 2 3 3" xfId="23727" xr:uid="{00000000-0005-0000-0000-0000EC7D0000}"/>
    <cellStyle name="40 % - Markeringsfarve5 2 7 2 3 4" xfId="38714" xr:uid="{00000000-0005-0000-0000-0000ED7D0000}"/>
    <cellStyle name="40 % - Markeringsfarve5 2 7 2 4" xfId="12799" xr:uid="{00000000-0005-0000-0000-0000EE7D0000}"/>
    <cellStyle name="40 % - Markeringsfarve5 2 7 2 4 2" xfId="29118" xr:uid="{00000000-0005-0000-0000-0000EF7D0000}"/>
    <cellStyle name="40 % - Markeringsfarve5 2 7 2 4 3" xfId="44083" xr:uid="{00000000-0005-0000-0000-0000F07D0000}"/>
    <cellStyle name="40 % - Markeringsfarve5 2 7 2 5" xfId="22096" xr:uid="{00000000-0005-0000-0000-0000F17D0000}"/>
    <cellStyle name="40 % - Markeringsfarve5 2 7 2 6" xfId="37084" xr:uid="{00000000-0005-0000-0000-0000F27D0000}"/>
    <cellStyle name="40 % - Markeringsfarve5 2 7 3" xfId="4244" xr:uid="{00000000-0005-0000-0000-0000F37D0000}"/>
    <cellStyle name="40 % - Markeringsfarve5 2 7 3 2" xfId="7274" xr:uid="{00000000-0005-0000-0000-0000F47D0000}"/>
    <cellStyle name="40 % - Markeringsfarve5 2 7 3 2 2" xfId="15184" xr:uid="{00000000-0005-0000-0000-0000F57D0000}"/>
    <cellStyle name="40 % - Markeringsfarve5 2 7 3 2 2 2" xfId="31498" xr:uid="{00000000-0005-0000-0000-0000F67D0000}"/>
    <cellStyle name="40 % - Markeringsfarve5 2 7 3 2 2 3" xfId="46462" xr:uid="{00000000-0005-0000-0000-0000F77D0000}"/>
    <cellStyle name="40 % - Markeringsfarve5 2 7 3 2 3" xfId="24476" xr:uid="{00000000-0005-0000-0000-0000F87D0000}"/>
    <cellStyle name="40 % - Markeringsfarve5 2 7 3 2 4" xfId="39463" xr:uid="{00000000-0005-0000-0000-0000F97D0000}"/>
    <cellStyle name="40 % - Markeringsfarve5 2 7 3 3" xfId="12801" xr:uid="{00000000-0005-0000-0000-0000FA7D0000}"/>
    <cellStyle name="40 % - Markeringsfarve5 2 7 3 3 2" xfId="29120" xr:uid="{00000000-0005-0000-0000-0000FB7D0000}"/>
    <cellStyle name="40 % - Markeringsfarve5 2 7 3 3 3" xfId="44085" xr:uid="{00000000-0005-0000-0000-0000FC7D0000}"/>
    <cellStyle name="40 % - Markeringsfarve5 2 7 3 4" xfId="22098" xr:uid="{00000000-0005-0000-0000-0000FD7D0000}"/>
    <cellStyle name="40 % - Markeringsfarve5 2 7 3 5" xfId="37086" xr:uid="{00000000-0005-0000-0000-0000FE7D0000}"/>
    <cellStyle name="40 % - Markeringsfarve5 2 7 4" xfId="4245" xr:uid="{00000000-0005-0000-0000-0000FF7D0000}"/>
    <cellStyle name="40 % - Markeringsfarve5 2 7 4 2" xfId="8281" xr:uid="{00000000-0005-0000-0000-0000007E0000}"/>
    <cellStyle name="40 % - Markeringsfarve5 2 7 4 2 2" xfId="16175" xr:uid="{00000000-0005-0000-0000-0000017E0000}"/>
    <cellStyle name="40 % - Markeringsfarve5 2 7 4 2 2 2" xfId="32489" xr:uid="{00000000-0005-0000-0000-0000027E0000}"/>
    <cellStyle name="40 % - Markeringsfarve5 2 7 4 2 2 3" xfId="47453" xr:uid="{00000000-0005-0000-0000-0000037E0000}"/>
    <cellStyle name="40 % - Markeringsfarve5 2 7 4 2 3" xfId="25467" xr:uid="{00000000-0005-0000-0000-0000047E0000}"/>
    <cellStyle name="40 % - Markeringsfarve5 2 7 4 2 4" xfId="40454" xr:uid="{00000000-0005-0000-0000-0000057E0000}"/>
    <cellStyle name="40 % - Markeringsfarve5 2 7 4 3" xfId="12802" xr:uid="{00000000-0005-0000-0000-0000067E0000}"/>
    <cellStyle name="40 % - Markeringsfarve5 2 7 4 3 2" xfId="29121" xr:uid="{00000000-0005-0000-0000-0000077E0000}"/>
    <cellStyle name="40 % - Markeringsfarve5 2 7 4 3 3" xfId="44086" xr:uid="{00000000-0005-0000-0000-0000087E0000}"/>
    <cellStyle name="40 % - Markeringsfarve5 2 7 4 4" xfId="22099" xr:uid="{00000000-0005-0000-0000-0000097E0000}"/>
    <cellStyle name="40 % - Markeringsfarve5 2 7 4 5" xfId="37087" xr:uid="{00000000-0005-0000-0000-00000A7E0000}"/>
    <cellStyle name="40 % - Markeringsfarve5 2 7 5" xfId="5991" xr:uid="{00000000-0005-0000-0000-00000B7E0000}"/>
    <cellStyle name="40 % - Markeringsfarve5 2 7 5 2" xfId="13909" xr:uid="{00000000-0005-0000-0000-00000C7E0000}"/>
    <cellStyle name="40 % - Markeringsfarve5 2 7 5 2 2" xfId="30223" xr:uid="{00000000-0005-0000-0000-00000D7E0000}"/>
    <cellStyle name="40 % - Markeringsfarve5 2 7 5 2 3" xfId="45187" xr:uid="{00000000-0005-0000-0000-00000E7E0000}"/>
    <cellStyle name="40 % - Markeringsfarve5 2 7 5 3" xfId="23201" xr:uid="{00000000-0005-0000-0000-00000F7E0000}"/>
    <cellStyle name="40 % - Markeringsfarve5 2 7 5 4" xfId="38188" xr:uid="{00000000-0005-0000-0000-0000107E0000}"/>
    <cellStyle name="40 % - Markeringsfarve5 2 7 6" xfId="12798" xr:uid="{00000000-0005-0000-0000-0000117E0000}"/>
    <cellStyle name="40 % - Markeringsfarve5 2 7 6 2" xfId="29117" xr:uid="{00000000-0005-0000-0000-0000127E0000}"/>
    <cellStyle name="40 % - Markeringsfarve5 2 7 6 3" xfId="44082" xr:uid="{00000000-0005-0000-0000-0000137E0000}"/>
    <cellStyle name="40 % - Markeringsfarve5 2 7 7" xfId="22095" xr:uid="{00000000-0005-0000-0000-0000147E0000}"/>
    <cellStyle name="40 % - Markeringsfarve5 2 7 8" xfId="37083" xr:uid="{00000000-0005-0000-0000-0000157E0000}"/>
    <cellStyle name="40 % - Markeringsfarve5 2 8" xfId="4246" xr:uid="{00000000-0005-0000-0000-0000167E0000}"/>
    <cellStyle name="40 % - Markeringsfarve5 2 8 2" xfId="4247" xr:uid="{00000000-0005-0000-0000-0000177E0000}"/>
    <cellStyle name="40 % - Markeringsfarve5 2 8 2 2" xfId="4248" xr:uid="{00000000-0005-0000-0000-0000187E0000}"/>
    <cellStyle name="40 % - Markeringsfarve5 2 8 2 2 2" xfId="8171" xr:uid="{00000000-0005-0000-0000-0000197E0000}"/>
    <cellStyle name="40 % - Markeringsfarve5 2 8 2 2 2 2" xfId="16072" xr:uid="{00000000-0005-0000-0000-00001A7E0000}"/>
    <cellStyle name="40 % - Markeringsfarve5 2 8 2 2 2 2 2" xfId="32386" xr:uid="{00000000-0005-0000-0000-00001B7E0000}"/>
    <cellStyle name="40 % - Markeringsfarve5 2 8 2 2 2 2 3" xfId="47350" xr:uid="{00000000-0005-0000-0000-00001C7E0000}"/>
    <cellStyle name="40 % - Markeringsfarve5 2 8 2 2 2 3" xfId="25364" xr:uid="{00000000-0005-0000-0000-00001D7E0000}"/>
    <cellStyle name="40 % - Markeringsfarve5 2 8 2 2 2 4" xfId="40351" xr:uid="{00000000-0005-0000-0000-00001E7E0000}"/>
    <cellStyle name="40 % - Markeringsfarve5 2 8 2 2 3" xfId="12805" xr:uid="{00000000-0005-0000-0000-00001F7E0000}"/>
    <cellStyle name="40 % - Markeringsfarve5 2 8 2 2 3 2" xfId="29124" xr:uid="{00000000-0005-0000-0000-0000207E0000}"/>
    <cellStyle name="40 % - Markeringsfarve5 2 8 2 2 3 3" xfId="44089" xr:uid="{00000000-0005-0000-0000-0000217E0000}"/>
    <cellStyle name="40 % - Markeringsfarve5 2 8 2 2 4" xfId="22102" xr:uid="{00000000-0005-0000-0000-0000227E0000}"/>
    <cellStyle name="40 % - Markeringsfarve5 2 8 2 2 5" xfId="37090" xr:uid="{00000000-0005-0000-0000-0000237E0000}"/>
    <cellStyle name="40 % - Markeringsfarve5 2 8 2 3" xfId="6664" xr:uid="{00000000-0005-0000-0000-0000247E0000}"/>
    <cellStyle name="40 % - Markeringsfarve5 2 8 2 3 2" xfId="14578" xr:uid="{00000000-0005-0000-0000-0000257E0000}"/>
    <cellStyle name="40 % - Markeringsfarve5 2 8 2 3 2 2" xfId="30892" xr:uid="{00000000-0005-0000-0000-0000267E0000}"/>
    <cellStyle name="40 % - Markeringsfarve5 2 8 2 3 2 3" xfId="45856" xr:uid="{00000000-0005-0000-0000-0000277E0000}"/>
    <cellStyle name="40 % - Markeringsfarve5 2 8 2 3 3" xfId="23870" xr:uid="{00000000-0005-0000-0000-0000287E0000}"/>
    <cellStyle name="40 % - Markeringsfarve5 2 8 2 3 4" xfId="38857" xr:uid="{00000000-0005-0000-0000-0000297E0000}"/>
    <cellStyle name="40 % - Markeringsfarve5 2 8 2 4" xfId="12804" xr:uid="{00000000-0005-0000-0000-00002A7E0000}"/>
    <cellStyle name="40 % - Markeringsfarve5 2 8 2 4 2" xfId="29123" xr:uid="{00000000-0005-0000-0000-00002B7E0000}"/>
    <cellStyle name="40 % - Markeringsfarve5 2 8 2 4 3" xfId="44088" xr:uid="{00000000-0005-0000-0000-00002C7E0000}"/>
    <cellStyle name="40 % - Markeringsfarve5 2 8 2 5" xfId="22101" xr:uid="{00000000-0005-0000-0000-00002D7E0000}"/>
    <cellStyle name="40 % - Markeringsfarve5 2 8 2 6" xfId="37089" xr:uid="{00000000-0005-0000-0000-00002E7E0000}"/>
    <cellStyle name="40 % - Markeringsfarve5 2 8 3" xfId="4249" xr:uid="{00000000-0005-0000-0000-00002F7E0000}"/>
    <cellStyle name="40 % - Markeringsfarve5 2 8 3 2" xfId="7448" xr:uid="{00000000-0005-0000-0000-0000307E0000}"/>
    <cellStyle name="40 % - Markeringsfarve5 2 8 3 2 2" xfId="15358" xr:uid="{00000000-0005-0000-0000-0000317E0000}"/>
    <cellStyle name="40 % - Markeringsfarve5 2 8 3 2 2 2" xfId="31672" xr:uid="{00000000-0005-0000-0000-0000327E0000}"/>
    <cellStyle name="40 % - Markeringsfarve5 2 8 3 2 2 3" xfId="46636" xr:uid="{00000000-0005-0000-0000-0000337E0000}"/>
    <cellStyle name="40 % - Markeringsfarve5 2 8 3 2 3" xfId="24650" xr:uid="{00000000-0005-0000-0000-0000347E0000}"/>
    <cellStyle name="40 % - Markeringsfarve5 2 8 3 2 4" xfId="39637" xr:uid="{00000000-0005-0000-0000-0000357E0000}"/>
    <cellStyle name="40 % - Markeringsfarve5 2 8 3 3" xfId="12806" xr:uid="{00000000-0005-0000-0000-0000367E0000}"/>
    <cellStyle name="40 % - Markeringsfarve5 2 8 3 3 2" xfId="29125" xr:uid="{00000000-0005-0000-0000-0000377E0000}"/>
    <cellStyle name="40 % - Markeringsfarve5 2 8 3 3 3" xfId="44090" xr:uid="{00000000-0005-0000-0000-0000387E0000}"/>
    <cellStyle name="40 % - Markeringsfarve5 2 8 3 4" xfId="22103" xr:uid="{00000000-0005-0000-0000-0000397E0000}"/>
    <cellStyle name="40 % - Markeringsfarve5 2 8 3 5" xfId="37091" xr:uid="{00000000-0005-0000-0000-00003A7E0000}"/>
    <cellStyle name="40 % - Markeringsfarve5 2 8 4" xfId="4250" xr:uid="{00000000-0005-0000-0000-00003B7E0000}"/>
    <cellStyle name="40 % - Markeringsfarve5 2 8 4 2" xfId="8610" xr:uid="{00000000-0005-0000-0000-00003C7E0000}"/>
    <cellStyle name="40 % - Markeringsfarve5 2 8 4 2 2" xfId="16496" xr:uid="{00000000-0005-0000-0000-00003D7E0000}"/>
    <cellStyle name="40 % - Markeringsfarve5 2 8 4 2 2 2" xfId="32810" xr:uid="{00000000-0005-0000-0000-00003E7E0000}"/>
    <cellStyle name="40 % - Markeringsfarve5 2 8 4 2 2 3" xfId="47774" xr:uid="{00000000-0005-0000-0000-00003F7E0000}"/>
    <cellStyle name="40 % - Markeringsfarve5 2 8 4 2 3" xfId="25788" xr:uid="{00000000-0005-0000-0000-0000407E0000}"/>
    <cellStyle name="40 % - Markeringsfarve5 2 8 4 2 4" xfId="40775" xr:uid="{00000000-0005-0000-0000-0000417E0000}"/>
    <cellStyle name="40 % - Markeringsfarve5 2 8 4 3" xfId="12807" xr:uid="{00000000-0005-0000-0000-0000427E0000}"/>
    <cellStyle name="40 % - Markeringsfarve5 2 8 4 3 2" xfId="29126" xr:uid="{00000000-0005-0000-0000-0000437E0000}"/>
    <cellStyle name="40 % - Markeringsfarve5 2 8 4 3 3" xfId="44091" xr:uid="{00000000-0005-0000-0000-0000447E0000}"/>
    <cellStyle name="40 % - Markeringsfarve5 2 8 4 4" xfId="22104" xr:uid="{00000000-0005-0000-0000-0000457E0000}"/>
    <cellStyle name="40 % - Markeringsfarve5 2 8 4 5" xfId="37092" xr:uid="{00000000-0005-0000-0000-0000467E0000}"/>
    <cellStyle name="40 % - Markeringsfarve5 2 8 5" xfId="5992" xr:uid="{00000000-0005-0000-0000-0000477E0000}"/>
    <cellStyle name="40 % - Markeringsfarve5 2 8 5 2" xfId="13910" xr:uid="{00000000-0005-0000-0000-0000487E0000}"/>
    <cellStyle name="40 % - Markeringsfarve5 2 8 5 2 2" xfId="30224" xr:uid="{00000000-0005-0000-0000-0000497E0000}"/>
    <cellStyle name="40 % - Markeringsfarve5 2 8 5 2 3" xfId="45188" xr:uid="{00000000-0005-0000-0000-00004A7E0000}"/>
    <cellStyle name="40 % - Markeringsfarve5 2 8 5 3" xfId="23202" xr:uid="{00000000-0005-0000-0000-00004B7E0000}"/>
    <cellStyle name="40 % - Markeringsfarve5 2 8 5 4" xfId="38189" xr:uid="{00000000-0005-0000-0000-00004C7E0000}"/>
    <cellStyle name="40 % - Markeringsfarve5 2 8 6" xfId="12803" xr:uid="{00000000-0005-0000-0000-00004D7E0000}"/>
    <cellStyle name="40 % - Markeringsfarve5 2 8 6 2" xfId="29122" xr:uid="{00000000-0005-0000-0000-00004E7E0000}"/>
    <cellStyle name="40 % - Markeringsfarve5 2 8 6 3" xfId="44087" xr:uid="{00000000-0005-0000-0000-00004F7E0000}"/>
    <cellStyle name="40 % - Markeringsfarve5 2 8 7" xfId="22100" xr:uid="{00000000-0005-0000-0000-0000507E0000}"/>
    <cellStyle name="40 % - Markeringsfarve5 2 8 8" xfId="37088" xr:uid="{00000000-0005-0000-0000-0000517E0000}"/>
    <cellStyle name="40 % - Markeringsfarve5 2 9" xfId="4251" xr:uid="{00000000-0005-0000-0000-0000527E0000}"/>
    <cellStyle name="40 % - Markeringsfarve5 2 9 2" xfId="4252" xr:uid="{00000000-0005-0000-0000-0000537E0000}"/>
    <cellStyle name="40 % - Markeringsfarve5 2 9 2 2" xfId="7524" xr:uid="{00000000-0005-0000-0000-0000547E0000}"/>
    <cellStyle name="40 % - Markeringsfarve5 2 9 2 2 2" xfId="15425" xr:uid="{00000000-0005-0000-0000-0000557E0000}"/>
    <cellStyle name="40 % - Markeringsfarve5 2 9 2 2 2 2" xfId="31739" xr:uid="{00000000-0005-0000-0000-0000567E0000}"/>
    <cellStyle name="40 % - Markeringsfarve5 2 9 2 2 2 3" xfId="46703" xr:uid="{00000000-0005-0000-0000-0000577E0000}"/>
    <cellStyle name="40 % - Markeringsfarve5 2 9 2 2 3" xfId="24717" xr:uid="{00000000-0005-0000-0000-0000587E0000}"/>
    <cellStyle name="40 % - Markeringsfarve5 2 9 2 2 4" xfId="39704" xr:uid="{00000000-0005-0000-0000-0000597E0000}"/>
    <cellStyle name="40 % - Markeringsfarve5 2 9 2 3" xfId="12809" xr:uid="{00000000-0005-0000-0000-00005A7E0000}"/>
    <cellStyle name="40 % - Markeringsfarve5 2 9 2 3 2" xfId="29128" xr:uid="{00000000-0005-0000-0000-00005B7E0000}"/>
    <cellStyle name="40 % - Markeringsfarve5 2 9 2 3 3" xfId="44093" xr:uid="{00000000-0005-0000-0000-00005C7E0000}"/>
    <cellStyle name="40 % - Markeringsfarve5 2 9 2 4" xfId="22106" xr:uid="{00000000-0005-0000-0000-00005D7E0000}"/>
    <cellStyle name="40 % - Markeringsfarve5 2 9 2 5" xfId="37094" xr:uid="{00000000-0005-0000-0000-00005E7E0000}"/>
    <cellStyle name="40 % - Markeringsfarve5 2 9 3" xfId="6121" xr:uid="{00000000-0005-0000-0000-00005F7E0000}"/>
    <cellStyle name="40 % - Markeringsfarve5 2 9 3 2" xfId="14038" xr:uid="{00000000-0005-0000-0000-0000607E0000}"/>
    <cellStyle name="40 % - Markeringsfarve5 2 9 3 2 2" xfId="30352" xr:uid="{00000000-0005-0000-0000-0000617E0000}"/>
    <cellStyle name="40 % - Markeringsfarve5 2 9 3 2 3" xfId="45316" xr:uid="{00000000-0005-0000-0000-0000627E0000}"/>
    <cellStyle name="40 % - Markeringsfarve5 2 9 3 3" xfId="23330" xr:uid="{00000000-0005-0000-0000-0000637E0000}"/>
    <cellStyle name="40 % - Markeringsfarve5 2 9 3 4" xfId="38317" xr:uid="{00000000-0005-0000-0000-0000647E0000}"/>
    <cellStyle name="40 % - Markeringsfarve5 2 9 4" xfId="12808" xr:uid="{00000000-0005-0000-0000-0000657E0000}"/>
    <cellStyle name="40 % - Markeringsfarve5 2 9 4 2" xfId="29127" xr:uid="{00000000-0005-0000-0000-0000667E0000}"/>
    <cellStyle name="40 % - Markeringsfarve5 2 9 4 3" xfId="44092" xr:uid="{00000000-0005-0000-0000-0000677E0000}"/>
    <cellStyle name="40 % - Markeringsfarve5 2 9 5" xfId="22105" xr:uid="{00000000-0005-0000-0000-0000687E0000}"/>
    <cellStyle name="40 % - Markeringsfarve5 2 9 6" xfId="37093" xr:uid="{00000000-0005-0000-0000-0000697E0000}"/>
    <cellStyle name="40 % - Markeringsfarve5 3" xfId="4253" xr:uid="{00000000-0005-0000-0000-00006A7E0000}"/>
    <cellStyle name="40 % - Markeringsfarve5 3 10" xfId="4254" xr:uid="{00000000-0005-0000-0000-00006B7E0000}"/>
    <cellStyle name="40 % - Markeringsfarve5 3 10 2" xfId="6737" xr:uid="{00000000-0005-0000-0000-00006C7E0000}"/>
    <cellStyle name="40 % - Markeringsfarve5 3 10 2 2" xfId="14649" xr:uid="{00000000-0005-0000-0000-00006D7E0000}"/>
    <cellStyle name="40 % - Markeringsfarve5 3 10 2 2 2" xfId="30963" xr:uid="{00000000-0005-0000-0000-00006E7E0000}"/>
    <cellStyle name="40 % - Markeringsfarve5 3 10 2 2 3" xfId="45927" xr:uid="{00000000-0005-0000-0000-00006F7E0000}"/>
    <cellStyle name="40 % - Markeringsfarve5 3 10 2 3" xfId="23941" xr:uid="{00000000-0005-0000-0000-0000707E0000}"/>
    <cellStyle name="40 % - Markeringsfarve5 3 10 2 4" xfId="38928" xr:uid="{00000000-0005-0000-0000-0000717E0000}"/>
    <cellStyle name="40 % - Markeringsfarve5 3 10 3" xfId="12811" xr:uid="{00000000-0005-0000-0000-0000727E0000}"/>
    <cellStyle name="40 % - Markeringsfarve5 3 10 3 2" xfId="29130" xr:uid="{00000000-0005-0000-0000-0000737E0000}"/>
    <cellStyle name="40 % - Markeringsfarve5 3 10 3 3" xfId="44095" xr:uid="{00000000-0005-0000-0000-0000747E0000}"/>
    <cellStyle name="40 % - Markeringsfarve5 3 10 4" xfId="22108" xr:uid="{00000000-0005-0000-0000-0000757E0000}"/>
    <cellStyle name="40 % - Markeringsfarve5 3 10 5" xfId="37096" xr:uid="{00000000-0005-0000-0000-0000767E0000}"/>
    <cellStyle name="40 % - Markeringsfarve5 3 11" xfId="4255" xr:uid="{00000000-0005-0000-0000-0000777E0000}"/>
    <cellStyle name="40 % - Markeringsfarve5 3 11 2" xfId="8261" xr:uid="{00000000-0005-0000-0000-0000787E0000}"/>
    <cellStyle name="40 % - Markeringsfarve5 3 11 2 2" xfId="16157" xr:uid="{00000000-0005-0000-0000-0000797E0000}"/>
    <cellStyle name="40 % - Markeringsfarve5 3 11 2 2 2" xfId="32471" xr:uid="{00000000-0005-0000-0000-00007A7E0000}"/>
    <cellStyle name="40 % - Markeringsfarve5 3 11 2 2 3" xfId="47435" xr:uid="{00000000-0005-0000-0000-00007B7E0000}"/>
    <cellStyle name="40 % - Markeringsfarve5 3 11 2 3" xfId="25449" xr:uid="{00000000-0005-0000-0000-00007C7E0000}"/>
    <cellStyle name="40 % - Markeringsfarve5 3 11 2 4" xfId="40436" xr:uid="{00000000-0005-0000-0000-00007D7E0000}"/>
    <cellStyle name="40 % - Markeringsfarve5 3 11 3" xfId="12812" xr:uid="{00000000-0005-0000-0000-00007E7E0000}"/>
    <cellStyle name="40 % - Markeringsfarve5 3 11 3 2" xfId="29131" xr:uid="{00000000-0005-0000-0000-00007F7E0000}"/>
    <cellStyle name="40 % - Markeringsfarve5 3 11 3 3" xfId="44096" xr:uid="{00000000-0005-0000-0000-0000807E0000}"/>
    <cellStyle name="40 % - Markeringsfarve5 3 11 4" xfId="22109" xr:uid="{00000000-0005-0000-0000-0000817E0000}"/>
    <cellStyle name="40 % - Markeringsfarve5 3 11 5" xfId="37097" xr:uid="{00000000-0005-0000-0000-0000827E0000}"/>
    <cellStyle name="40 % - Markeringsfarve5 3 12" xfId="5993" xr:uid="{00000000-0005-0000-0000-0000837E0000}"/>
    <cellStyle name="40 % - Markeringsfarve5 3 12 2" xfId="13911" xr:uid="{00000000-0005-0000-0000-0000847E0000}"/>
    <cellStyle name="40 % - Markeringsfarve5 3 12 2 2" xfId="30225" xr:uid="{00000000-0005-0000-0000-0000857E0000}"/>
    <cellStyle name="40 % - Markeringsfarve5 3 12 2 3" xfId="45189" xr:uid="{00000000-0005-0000-0000-0000867E0000}"/>
    <cellStyle name="40 % - Markeringsfarve5 3 12 3" xfId="23203" xr:uid="{00000000-0005-0000-0000-0000877E0000}"/>
    <cellStyle name="40 % - Markeringsfarve5 3 12 4" xfId="38190" xr:uid="{00000000-0005-0000-0000-0000887E0000}"/>
    <cellStyle name="40 % - Markeringsfarve5 3 13" xfId="12810" xr:uid="{00000000-0005-0000-0000-0000897E0000}"/>
    <cellStyle name="40 % - Markeringsfarve5 3 13 2" xfId="29129" xr:uid="{00000000-0005-0000-0000-00008A7E0000}"/>
    <cellStyle name="40 % - Markeringsfarve5 3 13 3" xfId="44094" xr:uid="{00000000-0005-0000-0000-00008B7E0000}"/>
    <cellStyle name="40 % - Markeringsfarve5 3 14" xfId="22107" xr:uid="{00000000-0005-0000-0000-00008C7E0000}"/>
    <cellStyle name="40 % - Markeringsfarve5 3 15" xfId="37095" xr:uid="{00000000-0005-0000-0000-00008D7E0000}"/>
    <cellStyle name="40 % - Markeringsfarve5 3 16" xfId="53395" xr:uid="{00000000-0005-0000-0000-00008E7E0000}"/>
    <cellStyle name="40 % - Markeringsfarve5 3 2" xfId="4256" xr:uid="{00000000-0005-0000-0000-00008F7E0000}"/>
    <cellStyle name="40 % - Markeringsfarve5 3 2 10" xfId="5994" xr:uid="{00000000-0005-0000-0000-0000907E0000}"/>
    <cellStyle name="40 % - Markeringsfarve5 3 2 10 2" xfId="13912" xr:uid="{00000000-0005-0000-0000-0000917E0000}"/>
    <cellStyle name="40 % - Markeringsfarve5 3 2 10 2 2" xfId="30226" xr:uid="{00000000-0005-0000-0000-0000927E0000}"/>
    <cellStyle name="40 % - Markeringsfarve5 3 2 10 2 3" xfId="45190" xr:uid="{00000000-0005-0000-0000-0000937E0000}"/>
    <cellStyle name="40 % - Markeringsfarve5 3 2 10 3" xfId="23204" xr:uid="{00000000-0005-0000-0000-0000947E0000}"/>
    <cellStyle name="40 % - Markeringsfarve5 3 2 10 4" xfId="38191" xr:uid="{00000000-0005-0000-0000-0000957E0000}"/>
    <cellStyle name="40 % - Markeringsfarve5 3 2 11" xfId="12813" xr:uid="{00000000-0005-0000-0000-0000967E0000}"/>
    <cellStyle name="40 % - Markeringsfarve5 3 2 11 2" xfId="29132" xr:uid="{00000000-0005-0000-0000-0000977E0000}"/>
    <cellStyle name="40 % - Markeringsfarve5 3 2 11 3" xfId="44097" xr:uid="{00000000-0005-0000-0000-0000987E0000}"/>
    <cellStyle name="40 % - Markeringsfarve5 3 2 12" xfId="22110" xr:uid="{00000000-0005-0000-0000-0000997E0000}"/>
    <cellStyle name="40 % - Markeringsfarve5 3 2 13" xfId="37098" xr:uid="{00000000-0005-0000-0000-00009A7E0000}"/>
    <cellStyle name="40 % - Markeringsfarve5 3 2 14" xfId="54032" xr:uid="{00000000-0005-0000-0000-00009B7E0000}"/>
    <cellStyle name="40 % - Markeringsfarve5 3 2 2" xfId="4257" xr:uid="{00000000-0005-0000-0000-00009C7E0000}"/>
    <cellStyle name="40 % - Markeringsfarve5 3 2 2 2" xfId="4258" xr:uid="{00000000-0005-0000-0000-00009D7E0000}"/>
    <cellStyle name="40 % - Markeringsfarve5 3 2 2 2 2" xfId="4259" xr:uid="{00000000-0005-0000-0000-00009E7E0000}"/>
    <cellStyle name="40 % - Markeringsfarve5 3 2 2 2 2 2" xfId="7670" xr:uid="{00000000-0005-0000-0000-00009F7E0000}"/>
    <cellStyle name="40 % - Markeringsfarve5 3 2 2 2 2 2 2" xfId="15571" xr:uid="{00000000-0005-0000-0000-0000A07E0000}"/>
    <cellStyle name="40 % - Markeringsfarve5 3 2 2 2 2 2 2 2" xfId="31885" xr:uid="{00000000-0005-0000-0000-0000A17E0000}"/>
    <cellStyle name="40 % - Markeringsfarve5 3 2 2 2 2 2 2 3" xfId="46849" xr:uid="{00000000-0005-0000-0000-0000A27E0000}"/>
    <cellStyle name="40 % - Markeringsfarve5 3 2 2 2 2 2 3" xfId="24863" xr:uid="{00000000-0005-0000-0000-0000A37E0000}"/>
    <cellStyle name="40 % - Markeringsfarve5 3 2 2 2 2 2 4" xfId="39850" xr:uid="{00000000-0005-0000-0000-0000A47E0000}"/>
    <cellStyle name="40 % - Markeringsfarve5 3 2 2 2 2 3" xfId="12816" xr:uid="{00000000-0005-0000-0000-0000A57E0000}"/>
    <cellStyle name="40 % - Markeringsfarve5 3 2 2 2 2 3 2" xfId="29135" xr:uid="{00000000-0005-0000-0000-0000A67E0000}"/>
    <cellStyle name="40 % - Markeringsfarve5 3 2 2 2 2 3 3" xfId="44100" xr:uid="{00000000-0005-0000-0000-0000A77E0000}"/>
    <cellStyle name="40 % - Markeringsfarve5 3 2 2 2 2 4" xfId="22113" xr:uid="{00000000-0005-0000-0000-0000A87E0000}"/>
    <cellStyle name="40 % - Markeringsfarve5 3 2 2 2 2 5" xfId="37101" xr:uid="{00000000-0005-0000-0000-0000A97E0000}"/>
    <cellStyle name="40 % - Markeringsfarve5 3 2 2 2 3" xfId="6243" xr:uid="{00000000-0005-0000-0000-0000AA7E0000}"/>
    <cellStyle name="40 % - Markeringsfarve5 3 2 2 2 3 2" xfId="14160" xr:uid="{00000000-0005-0000-0000-0000AB7E0000}"/>
    <cellStyle name="40 % - Markeringsfarve5 3 2 2 2 3 2 2" xfId="30474" xr:uid="{00000000-0005-0000-0000-0000AC7E0000}"/>
    <cellStyle name="40 % - Markeringsfarve5 3 2 2 2 3 2 3" xfId="45438" xr:uid="{00000000-0005-0000-0000-0000AD7E0000}"/>
    <cellStyle name="40 % - Markeringsfarve5 3 2 2 2 3 3" xfId="23452" xr:uid="{00000000-0005-0000-0000-0000AE7E0000}"/>
    <cellStyle name="40 % - Markeringsfarve5 3 2 2 2 3 4" xfId="38439" xr:uid="{00000000-0005-0000-0000-0000AF7E0000}"/>
    <cellStyle name="40 % - Markeringsfarve5 3 2 2 2 4" xfId="12815" xr:uid="{00000000-0005-0000-0000-0000B07E0000}"/>
    <cellStyle name="40 % - Markeringsfarve5 3 2 2 2 4 2" xfId="29134" xr:uid="{00000000-0005-0000-0000-0000B17E0000}"/>
    <cellStyle name="40 % - Markeringsfarve5 3 2 2 2 4 3" xfId="44099" xr:uid="{00000000-0005-0000-0000-0000B27E0000}"/>
    <cellStyle name="40 % - Markeringsfarve5 3 2 2 2 5" xfId="22112" xr:uid="{00000000-0005-0000-0000-0000B37E0000}"/>
    <cellStyle name="40 % - Markeringsfarve5 3 2 2 2 6" xfId="37100" xr:uid="{00000000-0005-0000-0000-0000B47E0000}"/>
    <cellStyle name="40 % - Markeringsfarve5 3 2 2 3" xfId="4260" xr:uid="{00000000-0005-0000-0000-0000B57E0000}"/>
    <cellStyle name="40 % - Markeringsfarve5 3 2 2 3 2" xfId="6900" xr:uid="{00000000-0005-0000-0000-0000B67E0000}"/>
    <cellStyle name="40 % - Markeringsfarve5 3 2 2 3 2 2" xfId="14811" xr:uid="{00000000-0005-0000-0000-0000B77E0000}"/>
    <cellStyle name="40 % - Markeringsfarve5 3 2 2 3 2 2 2" xfId="31125" xr:uid="{00000000-0005-0000-0000-0000B87E0000}"/>
    <cellStyle name="40 % - Markeringsfarve5 3 2 2 3 2 2 3" xfId="46089" xr:uid="{00000000-0005-0000-0000-0000B97E0000}"/>
    <cellStyle name="40 % - Markeringsfarve5 3 2 2 3 2 3" xfId="24103" xr:uid="{00000000-0005-0000-0000-0000BA7E0000}"/>
    <cellStyle name="40 % - Markeringsfarve5 3 2 2 3 2 4" xfId="39090" xr:uid="{00000000-0005-0000-0000-0000BB7E0000}"/>
    <cellStyle name="40 % - Markeringsfarve5 3 2 2 3 3" xfId="12817" xr:uid="{00000000-0005-0000-0000-0000BC7E0000}"/>
    <cellStyle name="40 % - Markeringsfarve5 3 2 2 3 3 2" xfId="29136" xr:uid="{00000000-0005-0000-0000-0000BD7E0000}"/>
    <cellStyle name="40 % - Markeringsfarve5 3 2 2 3 3 3" xfId="44101" xr:uid="{00000000-0005-0000-0000-0000BE7E0000}"/>
    <cellStyle name="40 % - Markeringsfarve5 3 2 2 3 4" xfId="22114" xr:uid="{00000000-0005-0000-0000-0000BF7E0000}"/>
    <cellStyle name="40 % - Markeringsfarve5 3 2 2 3 5" xfId="37102" xr:uid="{00000000-0005-0000-0000-0000C07E0000}"/>
    <cellStyle name="40 % - Markeringsfarve5 3 2 2 4" xfId="4261" xr:uid="{00000000-0005-0000-0000-0000C17E0000}"/>
    <cellStyle name="40 % - Markeringsfarve5 3 2 2 4 2" xfId="8554" xr:uid="{00000000-0005-0000-0000-0000C27E0000}"/>
    <cellStyle name="40 % - Markeringsfarve5 3 2 2 4 2 2" xfId="16442" xr:uid="{00000000-0005-0000-0000-0000C37E0000}"/>
    <cellStyle name="40 % - Markeringsfarve5 3 2 2 4 2 2 2" xfId="32756" xr:uid="{00000000-0005-0000-0000-0000C47E0000}"/>
    <cellStyle name="40 % - Markeringsfarve5 3 2 2 4 2 2 3" xfId="47720" xr:uid="{00000000-0005-0000-0000-0000C57E0000}"/>
    <cellStyle name="40 % - Markeringsfarve5 3 2 2 4 2 3" xfId="25734" xr:uid="{00000000-0005-0000-0000-0000C67E0000}"/>
    <cellStyle name="40 % - Markeringsfarve5 3 2 2 4 2 4" xfId="40721" xr:uid="{00000000-0005-0000-0000-0000C77E0000}"/>
    <cellStyle name="40 % - Markeringsfarve5 3 2 2 4 3" xfId="12818" xr:uid="{00000000-0005-0000-0000-0000C87E0000}"/>
    <cellStyle name="40 % - Markeringsfarve5 3 2 2 4 3 2" xfId="29137" xr:uid="{00000000-0005-0000-0000-0000C97E0000}"/>
    <cellStyle name="40 % - Markeringsfarve5 3 2 2 4 3 3" xfId="44102" xr:uid="{00000000-0005-0000-0000-0000CA7E0000}"/>
    <cellStyle name="40 % - Markeringsfarve5 3 2 2 4 4" xfId="22115" xr:uid="{00000000-0005-0000-0000-0000CB7E0000}"/>
    <cellStyle name="40 % - Markeringsfarve5 3 2 2 4 5" xfId="37103" xr:uid="{00000000-0005-0000-0000-0000CC7E0000}"/>
    <cellStyle name="40 % - Markeringsfarve5 3 2 2 5" xfId="5995" xr:uid="{00000000-0005-0000-0000-0000CD7E0000}"/>
    <cellStyle name="40 % - Markeringsfarve5 3 2 2 5 2" xfId="13913" xr:uid="{00000000-0005-0000-0000-0000CE7E0000}"/>
    <cellStyle name="40 % - Markeringsfarve5 3 2 2 5 2 2" xfId="30227" xr:uid="{00000000-0005-0000-0000-0000CF7E0000}"/>
    <cellStyle name="40 % - Markeringsfarve5 3 2 2 5 2 3" xfId="45191" xr:uid="{00000000-0005-0000-0000-0000D07E0000}"/>
    <cellStyle name="40 % - Markeringsfarve5 3 2 2 5 3" xfId="23205" xr:uid="{00000000-0005-0000-0000-0000D17E0000}"/>
    <cellStyle name="40 % - Markeringsfarve5 3 2 2 5 4" xfId="38192" xr:uid="{00000000-0005-0000-0000-0000D27E0000}"/>
    <cellStyle name="40 % - Markeringsfarve5 3 2 2 6" xfId="12814" xr:uid="{00000000-0005-0000-0000-0000D37E0000}"/>
    <cellStyle name="40 % - Markeringsfarve5 3 2 2 6 2" xfId="29133" xr:uid="{00000000-0005-0000-0000-0000D47E0000}"/>
    <cellStyle name="40 % - Markeringsfarve5 3 2 2 6 3" xfId="44098" xr:uid="{00000000-0005-0000-0000-0000D57E0000}"/>
    <cellStyle name="40 % - Markeringsfarve5 3 2 2 7" xfId="22111" xr:uid="{00000000-0005-0000-0000-0000D67E0000}"/>
    <cellStyle name="40 % - Markeringsfarve5 3 2 2 8" xfId="37099" xr:uid="{00000000-0005-0000-0000-0000D77E0000}"/>
    <cellStyle name="40 % - Markeringsfarve5 3 2 2 9" xfId="57199" xr:uid="{00000000-0005-0000-0000-0000D87E0000}"/>
    <cellStyle name="40 % - Markeringsfarve5 3 2 3" xfId="4262" xr:uid="{00000000-0005-0000-0000-0000D97E0000}"/>
    <cellStyle name="40 % - Markeringsfarve5 3 2 3 2" xfId="4263" xr:uid="{00000000-0005-0000-0000-0000DA7E0000}"/>
    <cellStyle name="40 % - Markeringsfarve5 3 2 3 2 2" xfId="4264" xr:uid="{00000000-0005-0000-0000-0000DB7E0000}"/>
    <cellStyle name="40 % - Markeringsfarve5 3 2 3 2 2 2" xfId="7821" xr:uid="{00000000-0005-0000-0000-0000DC7E0000}"/>
    <cellStyle name="40 % - Markeringsfarve5 3 2 3 2 2 2 2" xfId="15722" xr:uid="{00000000-0005-0000-0000-0000DD7E0000}"/>
    <cellStyle name="40 % - Markeringsfarve5 3 2 3 2 2 2 2 2" xfId="32036" xr:uid="{00000000-0005-0000-0000-0000DE7E0000}"/>
    <cellStyle name="40 % - Markeringsfarve5 3 2 3 2 2 2 2 3" xfId="47000" xr:uid="{00000000-0005-0000-0000-0000DF7E0000}"/>
    <cellStyle name="40 % - Markeringsfarve5 3 2 3 2 2 2 3" xfId="25014" xr:uid="{00000000-0005-0000-0000-0000E07E0000}"/>
    <cellStyle name="40 % - Markeringsfarve5 3 2 3 2 2 2 4" xfId="40001" xr:uid="{00000000-0005-0000-0000-0000E17E0000}"/>
    <cellStyle name="40 % - Markeringsfarve5 3 2 3 2 2 3" xfId="12821" xr:uid="{00000000-0005-0000-0000-0000E27E0000}"/>
    <cellStyle name="40 % - Markeringsfarve5 3 2 3 2 2 3 2" xfId="29140" xr:uid="{00000000-0005-0000-0000-0000E37E0000}"/>
    <cellStyle name="40 % - Markeringsfarve5 3 2 3 2 2 3 3" xfId="44105" xr:uid="{00000000-0005-0000-0000-0000E47E0000}"/>
    <cellStyle name="40 % - Markeringsfarve5 3 2 3 2 2 4" xfId="22118" xr:uid="{00000000-0005-0000-0000-0000E57E0000}"/>
    <cellStyle name="40 % - Markeringsfarve5 3 2 3 2 2 5" xfId="37106" xr:uid="{00000000-0005-0000-0000-0000E67E0000}"/>
    <cellStyle name="40 % - Markeringsfarve5 3 2 3 2 3" xfId="6367" xr:uid="{00000000-0005-0000-0000-0000E77E0000}"/>
    <cellStyle name="40 % - Markeringsfarve5 3 2 3 2 3 2" xfId="14284" xr:uid="{00000000-0005-0000-0000-0000E87E0000}"/>
    <cellStyle name="40 % - Markeringsfarve5 3 2 3 2 3 2 2" xfId="30598" xr:uid="{00000000-0005-0000-0000-0000E97E0000}"/>
    <cellStyle name="40 % - Markeringsfarve5 3 2 3 2 3 2 3" xfId="45562" xr:uid="{00000000-0005-0000-0000-0000EA7E0000}"/>
    <cellStyle name="40 % - Markeringsfarve5 3 2 3 2 3 3" xfId="23576" xr:uid="{00000000-0005-0000-0000-0000EB7E0000}"/>
    <cellStyle name="40 % - Markeringsfarve5 3 2 3 2 3 4" xfId="38563" xr:uid="{00000000-0005-0000-0000-0000EC7E0000}"/>
    <cellStyle name="40 % - Markeringsfarve5 3 2 3 2 4" xfId="12820" xr:uid="{00000000-0005-0000-0000-0000ED7E0000}"/>
    <cellStyle name="40 % - Markeringsfarve5 3 2 3 2 4 2" xfId="29139" xr:uid="{00000000-0005-0000-0000-0000EE7E0000}"/>
    <cellStyle name="40 % - Markeringsfarve5 3 2 3 2 4 3" xfId="44104" xr:uid="{00000000-0005-0000-0000-0000EF7E0000}"/>
    <cellStyle name="40 % - Markeringsfarve5 3 2 3 2 5" xfId="22117" xr:uid="{00000000-0005-0000-0000-0000F07E0000}"/>
    <cellStyle name="40 % - Markeringsfarve5 3 2 3 2 6" xfId="37105" xr:uid="{00000000-0005-0000-0000-0000F17E0000}"/>
    <cellStyle name="40 % - Markeringsfarve5 3 2 3 3" xfId="4265" xr:uid="{00000000-0005-0000-0000-0000F27E0000}"/>
    <cellStyle name="40 % - Markeringsfarve5 3 2 3 3 2" xfId="7051" xr:uid="{00000000-0005-0000-0000-0000F37E0000}"/>
    <cellStyle name="40 % - Markeringsfarve5 3 2 3 3 2 2" xfId="14962" xr:uid="{00000000-0005-0000-0000-0000F47E0000}"/>
    <cellStyle name="40 % - Markeringsfarve5 3 2 3 3 2 2 2" xfId="31276" xr:uid="{00000000-0005-0000-0000-0000F57E0000}"/>
    <cellStyle name="40 % - Markeringsfarve5 3 2 3 3 2 2 3" xfId="46240" xr:uid="{00000000-0005-0000-0000-0000F67E0000}"/>
    <cellStyle name="40 % - Markeringsfarve5 3 2 3 3 2 3" xfId="24254" xr:uid="{00000000-0005-0000-0000-0000F77E0000}"/>
    <cellStyle name="40 % - Markeringsfarve5 3 2 3 3 2 4" xfId="39241" xr:uid="{00000000-0005-0000-0000-0000F87E0000}"/>
    <cellStyle name="40 % - Markeringsfarve5 3 2 3 3 3" xfId="12822" xr:uid="{00000000-0005-0000-0000-0000F97E0000}"/>
    <cellStyle name="40 % - Markeringsfarve5 3 2 3 3 3 2" xfId="29141" xr:uid="{00000000-0005-0000-0000-0000FA7E0000}"/>
    <cellStyle name="40 % - Markeringsfarve5 3 2 3 3 3 3" xfId="44106" xr:uid="{00000000-0005-0000-0000-0000FB7E0000}"/>
    <cellStyle name="40 % - Markeringsfarve5 3 2 3 3 4" xfId="22119" xr:uid="{00000000-0005-0000-0000-0000FC7E0000}"/>
    <cellStyle name="40 % - Markeringsfarve5 3 2 3 3 5" xfId="37107" xr:uid="{00000000-0005-0000-0000-0000FD7E0000}"/>
    <cellStyle name="40 % - Markeringsfarve5 3 2 3 4" xfId="4266" xr:uid="{00000000-0005-0000-0000-0000FE7E0000}"/>
    <cellStyle name="40 % - Markeringsfarve5 3 2 3 4 2" xfId="8764" xr:uid="{00000000-0005-0000-0000-0000FF7E0000}"/>
    <cellStyle name="40 % - Markeringsfarve5 3 2 3 4 2 2" xfId="16640" xr:uid="{00000000-0005-0000-0000-0000007F0000}"/>
    <cellStyle name="40 % - Markeringsfarve5 3 2 3 4 2 2 2" xfId="32954" xr:uid="{00000000-0005-0000-0000-0000017F0000}"/>
    <cellStyle name="40 % - Markeringsfarve5 3 2 3 4 2 2 3" xfId="47918" xr:uid="{00000000-0005-0000-0000-0000027F0000}"/>
    <cellStyle name="40 % - Markeringsfarve5 3 2 3 4 2 3" xfId="25932" xr:uid="{00000000-0005-0000-0000-0000037F0000}"/>
    <cellStyle name="40 % - Markeringsfarve5 3 2 3 4 2 4" xfId="40919" xr:uid="{00000000-0005-0000-0000-0000047F0000}"/>
    <cellStyle name="40 % - Markeringsfarve5 3 2 3 4 3" xfId="12823" xr:uid="{00000000-0005-0000-0000-0000057F0000}"/>
    <cellStyle name="40 % - Markeringsfarve5 3 2 3 4 3 2" xfId="29142" xr:uid="{00000000-0005-0000-0000-0000067F0000}"/>
    <cellStyle name="40 % - Markeringsfarve5 3 2 3 4 3 3" xfId="44107" xr:uid="{00000000-0005-0000-0000-0000077F0000}"/>
    <cellStyle name="40 % - Markeringsfarve5 3 2 3 4 4" xfId="22120" xr:uid="{00000000-0005-0000-0000-0000087F0000}"/>
    <cellStyle name="40 % - Markeringsfarve5 3 2 3 4 5" xfId="37108" xr:uid="{00000000-0005-0000-0000-0000097F0000}"/>
    <cellStyle name="40 % - Markeringsfarve5 3 2 3 5" xfId="5996" xr:uid="{00000000-0005-0000-0000-00000A7F0000}"/>
    <cellStyle name="40 % - Markeringsfarve5 3 2 3 5 2" xfId="13914" xr:uid="{00000000-0005-0000-0000-00000B7F0000}"/>
    <cellStyle name="40 % - Markeringsfarve5 3 2 3 5 2 2" xfId="30228" xr:uid="{00000000-0005-0000-0000-00000C7F0000}"/>
    <cellStyle name="40 % - Markeringsfarve5 3 2 3 5 2 3" xfId="45192" xr:uid="{00000000-0005-0000-0000-00000D7F0000}"/>
    <cellStyle name="40 % - Markeringsfarve5 3 2 3 5 3" xfId="23206" xr:uid="{00000000-0005-0000-0000-00000E7F0000}"/>
    <cellStyle name="40 % - Markeringsfarve5 3 2 3 5 4" xfId="38193" xr:uid="{00000000-0005-0000-0000-00000F7F0000}"/>
    <cellStyle name="40 % - Markeringsfarve5 3 2 3 6" xfId="12819" xr:uid="{00000000-0005-0000-0000-0000107F0000}"/>
    <cellStyle name="40 % - Markeringsfarve5 3 2 3 6 2" xfId="29138" xr:uid="{00000000-0005-0000-0000-0000117F0000}"/>
    <cellStyle name="40 % - Markeringsfarve5 3 2 3 6 3" xfId="44103" xr:uid="{00000000-0005-0000-0000-0000127F0000}"/>
    <cellStyle name="40 % - Markeringsfarve5 3 2 3 7" xfId="22116" xr:uid="{00000000-0005-0000-0000-0000137F0000}"/>
    <cellStyle name="40 % - Markeringsfarve5 3 2 3 8" xfId="37104" xr:uid="{00000000-0005-0000-0000-0000147F0000}"/>
    <cellStyle name="40 % - Markeringsfarve5 3 2 4" xfId="4267" xr:uid="{00000000-0005-0000-0000-0000157F0000}"/>
    <cellStyle name="40 % - Markeringsfarve5 3 2 4 2" xfId="4268" xr:uid="{00000000-0005-0000-0000-0000167F0000}"/>
    <cellStyle name="40 % - Markeringsfarve5 3 2 4 2 2" xfId="4269" xr:uid="{00000000-0005-0000-0000-0000177F0000}"/>
    <cellStyle name="40 % - Markeringsfarve5 3 2 4 2 2 2" xfId="7908" xr:uid="{00000000-0005-0000-0000-0000187F0000}"/>
    <cellStyle name="40 % - Markeringsfarve5 3 2 4 2 2 2 2" xfId="15809" xr:uid="{00000000-0005-0000-0000-0000197F0000}"/>
    <cellStyle name="40 % - Markeringsfarve5 3 2 4 2 2 2 2 2" xfId="32123" xr:uid="{00000000-0005-0000-0000-00001A7F0000}"/>
    <cellStyle name="40 % - Markeringsfarve5 3 2 4 2 2 2 2 3" xfId="47087" xr:uid="{00000000-0005-0000-0000-00001B7F0000}"/>
    <cellStyle name="40 % - Markeringsfarve5 3 2 4 2 2 2 3" xfId="25101" xr:uid="{00000000-0005-0000-0000-00001C7F0000}"/>
    <cellStyle name="40 % - Markeringsfarve5 3 2 4 2 2 2 4" xfId="40088" xr:uid="{00000000-0005-0000-0000-00001D7F0000}"/>
    <cellStyle name="40 % - Markeringsfarve5 3 2 4 2 2 3" xfId="12826" xr:uid="{00000000-0005-0000-0000-00001E7F0000}"/>
    <cellStyle name="40 % - Markeringsfarve5 3 2 4 2 2 3 2" xfId="29145" xr:uid="{00000000-0005-0000-0000-00001F7F0000}"/>
    <cellStyle name="40 % - Markeringsfarve5 3 2 4 2 2 3 3" xfId="44110" xr:uid="{00000000-0005-0000-0000-0000207F0000}"/>
    <cellStyle name="40 % - Markeringsfarve5 3 2 4 2 2 4" xfId="22123" xr:uid="{00000000-0005-0000-0000-0000217F0000}"/>
    <cellStyle name="40 % - Markeringsfarve5 3 2 4 2 2 5" xfId="37111" xr:uid="{00000000-0005-0000-0000-0000227F0000}"/>
    <cellStyle name="40 % - Markeringsfarve5 3 2 4 2 3" xfId="6445" xr:uid="{00000000-0005-0000-0000-0000237F0000}"/>
    <cellStyle name="40 % - Markeringsfarve5 3 2 4 2 3 2" xfId="14359" xr:uid="{00000000-0005-0000-0000-0000247F0000}"/>
    <cellStyle name="40 % - Markeringsfarve5 3 2 4 2 3 2 2" xfId="30673" xr:uid="{00000000-0005-0000-0000-0000257F0000}"/>
    <cellStyle name="40 % - Markeringsfarve5 3 2 4 2 3 2 3" xfId="45637" xr:uid="{00000000-0005-0000-0000-0000267F0000}"/>
    <cellStyle name="40 % - Markeringsfarve5 3 2 4 2 3 3" xfId="23651" xr:uid="{00000000-0005-0000-0000-0000277F0000}"/>
    <cellStyle name="40 % - Markeringsfarve5 3 2 4 2 3 4" xfId="38638" xr:uid="{00000000-0005-0000-0000-0000287F0000}"/>
    <cellStyle name="40 % - Markeringsfarve5 3 2 4 2 4" xfId="12825" xr:uid="{00000000-0005-0000-0000-0000297F0000}"/>
    <cellStyle name="40 % - Markeringsfarve5 3 2 4 2 4 2" xfId="29144" xr:uid="{00000000-0005-0000-0000-00002A7F0000}"/>
    <cellStyle name="40 % - Markeringsfarve5 3 2 4 2 4 3" xfId="44109" xr:uid="{00000000-0005-0000-0000-00002B7F0000}"/>
    <cellStyle name="40 % - Markeringsfarve5 3 2 4 2 5" xfId="22122" xr:uid="{00000000-0005-0000-0000-00002C7F0000}"/>
    <cellStyle name="40 % - Markeringsfarve5 3 2 4 2 6" xfId="37110" xr:uid="{00000000-0005-0000-0000-00002D7F0000}"/>
    <cellStyle name="40 % - Markeringsfarve5 3 2 4 3" xfId="4270" xr:uid="{00000000-0005-0000-0000-00002E7F0000}"/>
    <cellStyle name="40 % - Markeringsfarve5 3 2 4 3 2" xfId="7184" xr:uid="{00000000-0005-0000-0000-00002F7F0000}"/>
    <cellStyle name="40 % - Markeringsfarve5 3 2 4 3 2 2" xfId="15094" xr:uid="{00000000-0005-0000-0000-0000307F0000}"/>
    <cellStyle name="40 % - Markeringsfarve5 3 2 4 3 2 2 2" xfId="31408" xr:uid="{00000000-0005-0000-0000-0000317F0000}"/>
    <cellStyle name="40 % - Markeringsfarve5 3 2 4 3 2 2 3" xfId="46372" xr:uid="{00000000-0005-0000-0000-0000327F0000}"/>
    <cellStyle name="40 % - Markeringsfarve5 3 2 4 3 2 3" xfId="24386" xr:uid="{00000000-0005-0000-0000-0000337F0000}"/>
    <cellStyle name="40 % - Markeringsfarve5 3 2 4 3 2 4" xfId="39373" xr:uid="{00000000-0005-0000-0000-0000347F0000}"/>
    <cellStyle name="40 % - Markeringsfarve5 3 2 4 3 3" xfId="12827" xr:uid="{00000000-0005-0000-0000-0000357F0000}"/>
    <cellStyle name="40 % - Markeringsfarve5 3 2 4 3 3 2" xfId="29146" xr:uid="{00000000-0005-0000-0000-0000367F0000}"/>
    <cellStyle name="40 % - Markeringsfarve5 3 2 4 3 3 3" xfId="44111" xr:uid="{00000000-0005-0000-0000-0000377F0000}"/>
    <cellStyle name="40 % - Markeringsfarve5 3 2 4 3 4" xfId="22124" xr:uid="{00000000-0005-0000-0000-0000387F0000}"/>
    <cellStyle name="40 % - Markeringsfarve5 3 2 4 3 5" xfId="37112" xr:uid="{00000000-0005-0000-0000-0000397F0000}"/>
    <cellStyle name="40 % - Markeringsfarve5 3 2 4 4" xfId="4271" xr:uid="{00000000-0005-0000-0000-00003A7F0000}"/>
    <cellStyle name="40 % - Markeringsfarve5 3 2 4 4 2" xfId="8484" xr:uid="{00000000-0005-0000-0000-00003B7F0000}"/>
    <cellStyle name="40 % - Markeringsfarve5 3 2 4 4 2 2" xfId="16373" xr:uid="{00000000-0005-0000-0000-00003C7F0000}"/>
    <cellStyle name="40 % - Markeringsfarve5 3 2 4 4 2 2 2" xfId="32687" xr:uid="{00000000-0005-0000-0000-00003D7F0000}"/>
    <cellStyle name="40 % - Markeringsfarve5 3 2 4 4 2 2 3" xfId="47651" xr:uid="{00000000-0005-0000-0000-00003E7F0000}"/>
    <cellStyle name="40 % - Markeringsfarve5 3 2 4 4 2 3" xfId="25665" xr:uid="{00000000-0005-0000-0000-00003F7F0000}"/>
    <cellStyle name="40 % - Markeringsfarve5 3 2 4 4 2 4" xfId="40652" xr:uid="{00000000-0005-0000-0000-0000407F0000}"/>
    <cellStyle name="40 % - Markeringsfarve5 3 2 4 4 3" xfId="12828" xr:uid="{00000000-0005-0000-0000-0000417F0000}"/>
    <cellStyle name="40 % - Markeringsfarve5 3 2 4 4 3 2" xfId="29147" xr:uid="{00000000-0005-0000-0000-0000427F0000}"/>
    <cellStyle name="40 % - Markeringsfarve5 3 2 4 4 3 3" xfId="44112" xr:uid="{00000000-0005-0000-0000-0000437F0000}"/>
    <cellStyle name="40 % - Markeringsfarve5 3 2 4 4 4" xfId="22125" xr:uid="{00000000-0005-0000-0000-0000447F0000}"/>
    <cellStyle name="40 % - Markeringsfarve5 3 2 4 4 5" xfId="37113" xr:uid="{00000000-0005-0000-0000-0000457F0000}"/>
    <cellStyle name="40 % - Markeringsfarve5 3 2 4 5" xfId="5997" xr:uid="{00000000-0005-0000-0000-0000467F0000}"/>
    <cellStyle name="40 % - Markeringsfarve5 3 2 4 5 2" xfId="13915" xr:uid="{00000000-0005-0000-0000-0000477F0000}"/>
    <cellStyle name="40 % - Markeringsfarve5 3 2 4 5 2 2" xfId="30229" xr:uid="{00000000-0005-0000-0000-0000487F0000}"/>
    <cellStyle name="40 % - Markeringsfarve5 3 2 4 5 2 3" xfId="45193" xr:uid="{00000000-0005-0000-0000-0000497F0000}"/>
    <cellStyle name="40 % - Markeringsfarve5 3 2 4 5 3" xfId="23207" xr:uid="{00000000-0005-0000-0000-00004A7F0000}"/>
    <cellStyle name="40 % - Markeringsfarve5 3 2 4 5 4" xfId="38194" xr:uid="{00000000-0005-0000-0000-00004B7F0000}"/>
    <cellStyle name="40 % - Markeringsfarve5 3 2 4 6" xfId="12824" xr:uid="{00000000-0005-0000-0000-00004C7F0000}"/>
    <cellStyle name="40 % - Markeringsfarve5 3 2 4 6 2" xfId="29143" xr:uid="{00000000-0005-0000-0000-00004D7F0000}"/>
    <cellStyle name="40 % - Markeringsfarve5 3 2 4 6 3" xfId="44108" xr:uid="{00000000-0005-0000-0000-00004E7F0000}"/>
    <cellStyle name="40 % - Markeringsfarve5 3 2 4 7" xfId="22121" xr:uid="{00000000-0005-0000-0000-00004F7F0000}"/>
    <cellStyle name="40 % - Markeringsfarve5 3 2 4 8" xfId="37109" xr:uid="{00000000-0005-0000-0000-0000507F0000}"/>
    <cellStyle name="40 % - Markeringsfarve5 3 2 5" xfId="4272" xr:uid="{00000000-0005-0000-0000-0000517F0000}"/>
    <cellStyle name="40 % - Markeringsfarve5 3 2 5 2" xfId="4273" xr:uid="{00000000-0005-0000-0000-0000527F0000}"/>
    <cellStyle name="40 % - Markeringsfarve5 3 2 5 2 2" xfId="4274" xr:uid="{00000000-0005-0000-0000-0000537F0000}"/>
    <cellStyle name="40 % - Markeringsfarve5 3 2 5 2 2 2" xfId="8025" xr:uid="{00000000-0005-0000-0000-0000547F0000}"/>
    <cellStyle name="40 % - Markeringsfarve5 3 2 5 2 2 2 2" xfId="15926" xr:uid="{00000000-0005-0000-0000-0000557F0000}"/>
    <cellStyle name="40 % - Markeringsfarve5 3 2 5 2 2 2 2 2" xfId="32240" xr:uid="{00000000-0005-0000-0000-0000567F0000}"/>
    <cellStyle name="40 % - Markeringsfarve5 3 2 5 2 2 2 2 3" xfId="47204" xr:uid="{00000000-0005-0000-0000-0000577F0000}"/>
    <cellStyle name="40 % - Markeringsfarve5 3 2 5 2 2 2 3" xfId="25218" xr:uid="{00000000-0005-0000-0000-0000587F0000}"/>
    <cellStyle name="40 % - Markeringsfarve5 3 2 5 2 2 2 4" xfId="40205" xr:uid="{00000000-0005-0000-0000-0000597F0000}"/>
    <cellStyle name="40 % - Markeringsfarve5 3 2 5 2 2 3" xfId="12831" xr:uid="{00000000-0005-0000-0000-00005A7F0000}"/>
    <cellStyle name="40 % - Markeringsfarve5 3 2 5 2 2 3 2" xfId="29150" xr:uid="{00000000-0005-0000-0000-00005B7F0000}"/>
    <cellStyle name="40 % - Markeringsfarve5 3 2 5 2 2 3 3" xfId="44115" xr:uid="{00000000-0005-0000-0000-00005C7F0000}"/>
    <cellStyle name="40 % - Markeringsfarve5 3 2 5 2 2 4" xfId="22128" xr:uid="{00000000-0005-0000-0000-00005D7F0000}"/>
    <cellStyle name="40 % - Markeringsfarve5 3 2 5 2 2 5" xfId="37116" xr:uid="{00000000-0005-0000-0000-00005E7F0000}"/>
    <cellStyle name="40 % - Markeringsfarve5 3 2 5 2 3" xfId="6544" xr:uid="{00000000-0005-0000-0000-00005F7F0000}"/>
    <cellStyle name="40 % - Markeringsfarve5 3 2 5 2 3 2" xfId="14458" xr:uid="{00000000-0005-0000-0000-0000607F0000}"/>
    <cellStyle name="40 % - Markeringsfarve5 3 2 5 2 3 2 2" xfId="30772" xr:uid="{00000000-0005-0000-0000-0000617F0000}"/>
    <cellStyle name="40 % - Markeringsfarve5 3 2 5 2 3 2 3" xfId="45736" xr:uid="{00000000-0005-0000-0000-0000627F0000}"/>
    <cellStyle name="40 % - Markeringsfarve5 3 2 5 2 3 3" xfId="23750" xr:uid="{00000000-0005-0000-0000-0000637F0000}"/>
    <cellStyle name="40 % - Markeringsfarve5 3 2 5 2 3 4" xfId="38737" xr:uid="{00000000-0005-0000-0000-0000647F0000}"/>
    <cellStyle name="40 % - Markeringsfarve5 3 2 5 2 4" xfId="12830" xr:uid="{00000000-0005-0000-0000-0000657F0000}"/>
    <cellStyle name="40 % - Markeringsfarve5 3 2 5 2 4 2" xfId="29149" xr:uid="{00000000-0005-0000-0000-0000667F0000}"/>
    <cellStyle name="40 % - Markeringsfarve5 3 2 5 2 4 3" xfId="44114" xr:uid="{00000000-0005-0000-0000-0000677F0000}"/>
    <cellStyle name="40 % - Markeringsfarve5 3 2 5 2 5" xfId="22127" xr:uid="{00000000-0005-0000-0000-0000687F0000}"/>
    <cellStyle name="40 % - Markeringsfarve5 3 2 5 2 6" xfId="37115" xr:uid="{00000000-0005-0000-0000-0000697F0000}"/>
    <cellStyle name="40 % - Markeringsfarve5 3 2 5 3" xfId="4275" xr:uid="{00000000-0005-0000-0000-00006A7F0000}"/>
    <cellStyle name="40 % - Markeringsfarve5 3 2 5 3 2" xfId="7301" xr:uid="{00000000-0005-0000-0000-00006B7F0000}"/>
    <cellStyle name="40 % - Markeringsfarve5 3 2 5 3 2 2" xfId="15211" xr:uid="{00000000-0005-0000-0000-00006C7F0000}"/>
    <cellStyle name="40 % - Markeringsfarve5 3 2 5 3 2 2 2" xfId="31525" xr:uid="{00000000-0005-0000-0000-00006D7F0000}"/>
    <cellStyle name="40 % - Markeringsfarve5 3 2 5 3 2 2 3" xfId="46489" xr:uid="{00000000-0005-0000-0000-00006E7F0000}"/>
    <cellStyle name="40 % - Markeringsfarve5 3 2 5 3 2 3" xfId="24503" xr:uid="{00000000-0005-0000-0000-00006F7F0000}"/>
    <cellStyle name="40 % - Markeringsfarve5 3 2 5 3 2 4" xfId="39490" xr:uid="{00000000-0005-0000-0000-0000707F0000}"/>
    <cellStyle name="40 % - Markeringsfarve5 3 2 5 3 3" xfId="12832" xr:uid="{00000000-0005-0000-0000-0000717F0000}"/>
    <cellStyle name="40 % - Markeringsfarve5 3 2 5 3 3 2" xfId="29151" xr:uid="{00000000-0005-0000-0000-0000727F0000}"/>
    <cellStyle name="40 % - Markeringsfarve5 3 2 5 3 3 3" xfId="44116" xr:uid="{00000000-0005-0000-0000-0000737F0000}"/>
    <cellStyle name="40 % - Markeringsfarve5 3 2 5 3 4" xfId="22129" xr:uid="{00000000-0005-0000-0000-0000747F0000}"/>
    <cellStyle name="40 % - Markeringsfarve5 3 2 5 3 5" xfId="37117" xr:uid="{00000000-0005-0000-0000-0000757F0000}"/>
    <cellStyle name="40 % - Markeringsfarve5 3 2 5 4" xfId="4276" xr:uid="{00000000-0005-0000-0000-0000767F0000}"/>
    <cellStyle name="40 % - Markeringsfarve5 3 2 5 4 2" xfId="8728" xr:uid="{00000000-0005-0000-0000-0000777F0000}"/>
    <cellStyle name="40 % - Markeringsfarve5 3 2 5 4 2 2" xfId="16608" xr:uid="{00000000-0005-0000-0000-0000787F0000}"/>
    <cellStyle name="40 % - Markeringsfarve5 3 2 5 4 2 2 2" xfId="32922" xr:uid="{00000000-0005-0000-0000-0000797F0000}"/>
    <cellStyle name="40 % - Markeringsfarve5 3 2 5 4 2 2 3" xfId="47886" xr:uid="{00000000-0005-0000-0000-00007A7F0000}"/>
    <cellStyle name="40 % - Markeringsfarve5 3 2 5 4 2 3" xfId="25900" xr:uid="{00000000-0005-0000-0000-00007B7F0000}"/>
    <cellStyle name="40 % - Markeringsfarve5 3 2 5 4 2 4" xfId="40887" xr:uid="{00000000-0005-0000-0000-00007C7F0000}"/>
    <cellStyle name="40 % - Markeringsfarve5 3 2 5 4 3" xfId="12833" xr:uid="{00000000-0005-0000-0000-00007D7F0000}"/>
    <cellStyle name="40 % - Markeringsfarve5 3 2 5 4 3 2" xfId="29152" xr:uid="{00000000-0005-0000-0000-00007E7F0000}"/>
    <cellStyle name="40 % - Markeringsfarve5 3 2 5 4 3 3" xfId="44117" xr:uid="{00000000-0005-0000-0000-00007F7F0000}"/>
    <cellStyle name="40 % - Markeringsfarve5 3 2 5 4 4" xfId="22130" xr:uid="{00000000-0005-0000-0000-0000807F0000}"/>
    <cellStyle name="40 % - Markeringsfarve5 3 2 5 4 5" xfId="37118" xr:uid="{00000000-0005-0000-0000-0000817F0000}"/>
    <cellStyle name="40 % - Markeringsfarve5 3 2 5 5" xfId="5998" xr:uid="{00000000-0005-0000-0000-0000827F0000}"/>
    <cellStyle name="40 % - Markeringsfarve5 3 2 5 5 2" xfId="13916" xr:uid="{00000000-0005-0000-0000-0000837F0000}"/>
    <cellStyle name="40 % - Markeringsfarve5 3 2 5 5 2 2" xfId="30230" xr:uid="{00000000-0005-0000-0000-0000847F0000}"/>
    <cellStyle name="40 % - Markeringsfarve5 3 2 5 5 2 3" xfId="45194" xr:uid="{00000000-0005-0000-0000-0000857F0000}"/>
    <cellStyle name="40 % - Markeringsfarve5 3 2 5 5 3" xfId="23208" xr:uid="{00000000-0005-0000-0000-0000867F0000}"/>
    <cellStyle name="40 % - Markeringsfarve5 3 2 5 5 4" xfId="38195" xr:uid="{00000000-0005-0000-0000-0000877F0000}"/>
    <cellStyle name="40 % - Markeringsfarve5 3 2 5 6" xfId="12829" xr:uid="{00000000-0005-0000-0000-0000887F0000}"/>
    <cellStyle name="40 % - Markeringsfarve5 3 2 5 6 2" xfId="29148" xr:uid="{00000000-0005-0000-0000-0000897F0000}"/>
    <cellStyle name="40 % - Markeringsfarve5 3 2 5 6 3" xfId="44113" xr:uid="{00000000-0005-0000-0000-00008A7F0000}"/>
    <cellStyle name="40 % - Markeringsfarve5 3 2 5 7" xfId="22126" xr:uid="{00000000-0005-0000-0000-00008B7F0000}"/>
    <cellStyle name="40 % - Markeringsfarve5 3 2 5 8" xfId="37114" xr:uid="{00000000-0005-0000-0000-00008C7F0000}"/>
    <cellStyle name="40 % - Markeringsfarve5 3 2 6" xfId="4277" xr:uid="{00000000-0005-0000-0000-00008D7F0000}"/>
    <cellStyle name="40 % - Markeringsfarve5 3 2 6 2" xfId="4278" xr:uid="{00000000-0005-0000-0000-00008E7F0000}"/>
    <cellStyle name="40 % - Markeringsfarve5 3 2 6 2 2" xfId="4279" xr:uid="{00000000-0005-0000-0000-00008F7F0000}"/>
    <cellStyle name="40 % - Markeringsfarve5 3 2 6 2 2 2" xfId="8175" xr:uid="{00000000-0005-0000-0000-0000907F0000}"/>
    <cellStyle name="40 % - Markeringsfarve5 3 2 6 2 2 2 2" xfId="16076" xr:uid="{00000000-0005-0000-0000-0000917F0000}"/>
    <cellStyle name="40 % - Markeringsfarve5 3 2 6 2 2 2 2 2" xfId="32390" xr:uid="{00000000-0005-0000-0000-0000927F0000}"/>
    <cellStyle name="40 % - Markeringsfarve5 3 2 6 2 2 2 2 3" xfId="47354" xr:uid="{00000000-0005-0000-0000-0000937F0000}"/>
    <cellStyle name="40 % - Markeringsfarve5 3 2 6 2 2 2 3" xfId="25368" xr:uid="{00000000-0005-0000-0000-0000947F0000}"/>
    <cellStyle name="40 % - Markeringsfarve5 3 2 6 2 2 2 4" xfId="40355" xr:uid="{00000000-0005-0000-0000-0000957F0000}"/>
    <cellStyle name="40 % - Markeringsfarve5 3 2 6 2 2 3" xfId="12836" xr:uid="{00000000-0005-0000-0000-0000967F0000}"/>
    <cellStyle name="40 % - Markeringsfarve5 3 2 6 2 2 3 2" xfId="29155" xr:uid="{00000000-0005-0000-0000-0000977F0000}"/>
    <cellStyle name="40 % - Markeringsfarve5 3 2 6 2 2 3 3" xfId="44120" xr:uid="{00000000-0005-0000-0000-0000987F0000}"/>
    <cellStyle name="40 % - Markeringsfarve5 3 2 6 2 2 4" xfId="22133" xr:uid="{00000000-0005-0000-0000-0000997F0000}"/>
    <cellStyle name="40 % - Markeringsfarve5 3 2 6 2 2 5" xfId="37121" xr:uid="{00000000-0005-0000-0000-00009A7F0000}"/>
    <cellStyle name="40 % - Markeringsfarve5 3 2 6 2 3" xfId="6668" xr:uid="{00000000-0005-0000-0000-00009B7F0000}"/>
    <cellStyle name="40 % - Markeringsfarve5 3 2 6 2 3 2" xfId="14582" xr:uid="{00000000-0005-0000-0000-00009C7F0000}"/>
    <cellStyle name="40 % - Markeringsfarve5 3 2 6 2 3 2 2" xfId="30896" xr:uid="{00000000-0005-0000-0000-00009D7F0000}"/>
    <cellStyle name="40 % - Markeringsfarve5 3 2 6 2 3 2 3" xfId="45860" xr:uid="{00000000-0005-0000-0000-00009E7F0000}"/>
    <cellStyle name="40 % - Markeringsfarve5 3 2 6 2 3 3" xfId="23874" xr:uid="{00000000-0005-0000-0000-00009F7F0000}"/>
    <cellStyle name="40 % - Markeringsfarve5 3 2 6 2 3 4" xfId="38861" xr:uid="{00000000-0005-0000-0000-0000A07F0000}"/>
    <cellStyle name="40 % - Markeringsfarve5 3 2 6 2 4" xfId="12835" xr:uid="{00000000-0005-0000-0000-0000A17F0000}"/>
    <cellStyle name="40 % - Markeringsfarve5 3 2 6 2 4 2" xfId="29154" xr:uid="{00000000-0005-0000-0000-0000A27F0000}"/>
    <cellStyle name="40 % - Markeringsfarve5 3 2 6 2 4 3" xfId="44119" xr:uid="{00000000-0005-0000-0000-0000A37F0000}"/>
    <cellStyle name="40 % - Markeringsfarve5 3 2 6 2 5" xfId="22132" xr:uid="{00000000-0005-0000-0000-0000A47F0000}"/>
    <cellStyle name="40 % - Markeringsfarve5 3 2 6 2 6" xfId="37120" xr:uid="{00000000-0005-0000-0000-0000A57F0000}"/>
    <cellStyle name="40 % - Markeringsfarve5 3 2 6 3" xfId="4280" xr:uid="{00000000-0005-0000-0000-0000A67F0000}"/>
    <cellStyle name="40 % - Markeringsfarve5 3 2 6 3 2" xfId="7452" xr:uid="{00000000-0005-0000-0000-0000A77F0000}"/>
    <cellStyle name="40 % - Markeringsfarve5 3 2 6 3 2 2" xfId="15362" xr:uid="{00000000-0005-0000-0000-0000A87F0000}"/>
    <cellStyle name="40 % - Markeringsfarve5 3 2 6 3 2 2 2" xfId="31676" xr:uid="{00000000-0005-0000-0000-0000A97F0000}"/>
    <cellStyle name="40 % - Markeringsfarve5 3 2 6 3 2 2 3" xfId="46640" xr:uid="{00000000-0005-0000-0000-0000AA7F0000}"/>
    <cellStyle name="40 % - Markeringsfarve5 3 2 6 3 2 3" xfId="24654" xr:uid="{00000000-0005-0000-0000-0000AB7F0000}"/>
    <cellStyle name="40 % - Markeringsfarve5 3 2 6 3 2 4" xfId="39641" xr:uid="{00000000-0005-0000-0000-0000AC7F0000}"/>
    <cellStyle name="40 % - Markeringsfarve5 3 2 6 3 3" xfId="12837" xr:uid="{00000000-0005-0000-0000-0000AD7F0000}"/>
    <cellStyle name="40 % - Markeringsfarve5 3 2 6 3 3 2" xfId="29156" xr:uid="{00000000-0005-0000-0000-0000AE7F0000}"/>
    <cellStyle name="40 % - Markeringsfarve5 3 2 6 3 3 3" xfId="44121" xr:uid="{00000000-0005-0000-0000-0000AF7F0000}"/>
    <cellStyle name="40 % - Markeringsfarve5 3 2 6 3 4" xfId="22134" xr:uid="{00000000-0005-0000-0000-0000B07F0000}"/>
    <cellStyle name="40 % - Markeringsfarve5 3 2 6 3 5" xfId="37122" xr:uid="{00000000-0005-0000-0000-0000B17F0000}"/>
    <cellStyle name="40 % - Markeringsfarve5 3 2 6 4" xfId="4281" xr:uid="{00000000-0005-0000-0000-0000B27F0000}"/>
    <cellStyle name="40 % - Markeringsfarve5 3 2 6 4 2" xfId="8452" xr:uid="{00000000-0005-0000-0000-0000B37F0000}"/>
    <cellStyle name="40 % - Markeringsfarve5 3 2 6 4 2 2" xfId="16344" xr:uid="{00000000-0005-0000-0000-0000B47F0000}"/>
    <cellStyle name="40 % - Markeringsfarve5 3 2 6 4 2 2 2" xfId="32658" xr:uid="{00000000-0005-0000-0000-0000B57F0000}"/>
    <cellStyle name="40 % - Markeringsfarve5 3 2 6 4 2 2 3" xfId="47622" xr:uid="{00000000-0005-0000-0000-0000B67F0000}"/>
    <cellStyle name="40 % - Markeringsfarve5 3 2 6 4 2 3" xfId="25636" xr:uid="{00000000-0005-0000-0000-0000B77F0000}"/>
    <cellStyle name="40 % - Markeringsfarve5 3 2 6 4 2 4" xfId="40623" xr:uid="{00000000-0005-0000-0000-0000B87F0000}"/>
    <cellStyle name="40 % - Markeringsfarve5 3 2 6 4 3" xfId="12838" xr:uid="{00000000-0005-0000-0000-0000B97F0000}"/>
    <cellStyle name="40 % - Markeringsfarve5 3 2 6 4 3 2" xfId="29157" xr:uid="{00000000-0005-0000-0000-0000BA7F0000}"/>
    <cellStyle name="40 % - Markeringsfarve5 3 2 6 4 3 3" xfId="44122" xr:uid="{00000000-0005-0000-0000-0000BB7F0000}"/>
    <cellStyle name="40 % - Markeringsfarve5 3 2 6 4 4" xfId="22135" xr:uid="{00000000-0005-0000-0000-0000BC7F0000}"/>
    <cellStyle name="40 % - Markeringsfarve5 3 2 6 4 5" xfId="37123" xr:uid="{00000000-0005-0000-0000-0000BD7F0000}"/>
    <cellStyle name="40 % - Markeringsfarve5 3 2 6 5" xfId="5999" xr:uid="{00000000-0005-0000-0000-0000BE7F0000}"/>
    <cellStyle name="40 % - Markeringsfarve5 3 2 6 5 2" xfId="13917" xr:uid="{00000000-0005-0000-0000-0000BF7F0000}"/>
    <cellStyle name="40 % - Markeringsfarve5 3 2 6 5 2 2" xfId="30231" xr:uid="{00000000-0005-0000-0000-0000C07F0000}"/>
    <cellStyle name="40 % - Markeringsfarve5 3 2 6 5 2 3" xfId="45195" xr:uid="{00000000-0005-0000-0000-0000C17F0000}"/>
    <cellStyle name="40 % - Markeringsfarve5 3 2 6 5 3" xfId="23209" xr:uid="{00000000-0005-0000-0000-0000C27F0000}"/>
    <cellStyle name="40 % - Markeringsfarve5 3 2 6 5 4" xfId="38196" xr:uid="{00000000-0005-0000-0000-0000C37F0000}"/>
    <cellStyle name="40 % - Markeringsfarve5 3 2 6 6" xfId="12834" xr:uid="{00000000-0005-0000-0000-0000C47F0000}"/>
    <cellStyle name="40 % - Markeringsfarve5 3 2 6 6 2" xfId="29153" xr:uid="{00000000-0005-0000-0000-0000C57F0000}"/>
    <cellStyle name="40 % - Markeringsfarve5 3 2 6 6 3" xfId="44118" xr:uid="{00000000-0005-0000-0000-0000C67F0000}"/>
    <cellStyle name="40 % - Markeringsfarve5 3 2 6 7" xfId="22131" xr:uid="{00000000-0005-0000-0000-0000C77F0000}"/>
    <cellStyle name="40 % - Markeringsfarve5 3 2 6 8" xfId="37119" xr:uid="{00000000-0005-0000-0000-0000C87F0000}"/>
    <cellStyle name="40 % - Markeringsfarve5 3 2 7" xfId="4282" xr:uid="{00000000-0005-0000-0000-0000C97F0000}"/>
    <cellStyle name="40 % - Markeringsfarve5 3 2 7 2" xfId="4283" xr:uid="{00000000-0005-0000-0000-0000CA7F0000}"/>
    <cellStyle name="40 % - Markeringsfarve5 3 2 7 2 2" xfId="7551" xr:uid="{00000000-0005-0000-0000-0000CB7F0000}"/>
    <cellStyle name="40 % - Markeringsfarve5 3 2 7 2 2 2" xfId="15452" xr:uid="{00000000-0005-0000-0000-0000CC7F0000}"/>
    <cellStyle name="40 % - Markeringsfarve5 3 2 7 2 2 2 2" xfId="31766" xr:uid="{00000000-0005-0000-0000-0000CD7F0000}"/>
    <cellStyle name="40 % - Markeringsfarve5 3 2 7 2 2 2 3" xfId="46730" xr:uid="{00000000-0005-0000-0000-0000CE7F0000}"/>
    <cellStyle name="40 % - Markeringsfarve5 3 2 7 2 2 3" xfId="24744" xr:uid="{00000000-0005-0000-0000-0000CF7F0000}"/>
    <cellStyle name="40 % - Markeringsfarve5 3 2 7 2 2 4" xfId="39731" xr:uid="{00000000-0005-0000-0000-0000D07F0000}"/>
    <cellStyle name="40 % - Markeringsfarve5 3 2 7 2 3" xfId="12840" xr:uid="{00000000-0005-0000-0000-0000D17F0000}"/>
    <cellStyle name="40 % - Markeringsfarve5 3 2 7 2 3 2" xfId="29159" xr:uid="{00000000-0005-0000-0000-0000D27F0000}"/>
    <cellStyle name="40 % - Markeringsfarve5 3 2 7 2 3 3" xfId="44124" xr:uid="{00000000-0005-0000-0000-0000D37F0000}"/>
    <cellStyle name="40 % - Markeringsfarve5 3 2 7 2 4" xfId="22137" xr:uid="{00000000-0005-0000-0000-0000D47F0000}"/>
    <cellStyle name="40 % - Markeringsfarve5 3 2 7 2 5" xfId="37125" xr:uid="{00000000-0005-0000-0000-0000D57F0000}"/>
    <cellStyle name="40 % - Markeringsfarve5 3 2 7 3" xfId="6144" xr:uid="{00000000-0005-0000-0000-0000D67F0000}"/>
    <cellStyle name="40 % - Markeringsfarve5 3 2 7 3 2" xfId="14061" xr:uid="{00000000-0005-0000-0000-0000D77F0000}"/>
    <cellStyle name="40 % - Markeringsfarve5 3 2 7 3 2 2" xfId="30375" xr:uid="{00000000-0005-0000-0000-0000D87F0000}"/>
    <cellStyle name="40 % - Markeringsfarve5 3 2 7 3 2 3" xfId="45339" xr:uid="{00000000-0005-0000-0000-0000D97F0000}"/>
    <cellStyle name="40 % - Markeringsfarve5 3 2 7 3 3" xfId="23353" xr:uid="{00000000-0005-0000-0000-0000DA7F0000}"/>
    <cellStyle name="40 % - Markeringsfarve5 3 2 7 3 4" xfId="38340" xr:uid="{00000000-0005-0000-0000-0000DB7F0000}"/>
    <cellStyle name="40 % - Markeringsfarve5 3 2 7 4" xfId="12839" xr:uid="{00000000-0005-0000-0000-0000DC7F0000}"/>
    <cellStyle name="40 % - Markeringsfarve5 3 2 7 4 2" xfId="29158" xr:uid="{00000000-0005-0000-0000-0000DD7F0000}"/>
    <cellStyle name="40 % - Markeringsfarve5 3 2 7 4 3" xfId="44123" xr:uid="{00000000-0005-0000-0000-0000DE7F0000}"/>
    <cellStyle name="40 % - Markeringsfarve5 3 2 7 5" xfId="22136" xr:uid="{00000000-0005-0000-0000-0000DF7F0000}"/>
    <cellStyle name="40 % - Markeringsfarve5 3 2 7 6" xfId="37124" xr:uid="{00000000-0005-0000-0000-0000E07F0000}"/>
    <cellStyle name="40 % - Markeringsfarve5 3 2 8" xfId="4284" xr:uid="{00000000-0005-0000-0000-0000E17F0000}"/>
    <cellStyle name="40 % - Markeringsfarve5 3 2 8 2" xfId="6779" xr:uid="{00000000-0005-0000-0000-0000E27F0000}"/>
    <cellStyle name="40 % - Markeringsfarve5 3 2 8 2 2" xfId="14690" xr:uid="{00000000-0005-0000-0000-0000E37F0000}"/>
    <cellStyle name="40 % - Markeringsfarve5 3 2 8 2 2 2" xfId="31004" xr:uid="{00000000-0005-0000-0000-0000E47F0000}"/>
    <cellStyle name="40 % - Markeringsfarve5 3 2 8 2 2 3" xfId="45968" xr:uid="{00000000-0005-0000-0000-0000E57F0000}"/>
    <cellStyle name="40 % - Markeringsfarve5 3 2 8 2 3" xfId="23982" xr:uid="{00000000-0005-0000-0000-0000E67F0000}"/>
    <cellStyle name="40 % - Markeringsfarve5 3 2 8 2 4" xfId="38969" xr:uid="{00000000-0005-0000-0000-0000E77F0000}"/>
    <cellStyle name="40 % - Markeringsfarve5 3 2 8 3" xfId="12841" xr:uid="{00000000-0005-0000-0000-0000E87F0000}"/>
    <cellStyle name="40 % - Markeringsfarve5 3 2 8 3 2" xfId="29160" xr:uid="{00000000-0005-0000-0000-0000E97F0000}"/>
    <cellStyle name="40 % - Markeringsfarve5 3 2 8 3 3" xfId="44125" xr:uid="{00000000-0005-0000-0000-0000EA7F0000}"/>
    <cellStyle name="40 % - Markeringsfarve5 3 2 8 4" xfId="22138" xr:uid="{00000000-0005-0000-0000-0000EB7F0000}"/>
    <cellStyle name="40 % - Markeringsfarve5 3 2 8 5" xfId="37126" xr:uid="{00000000-0005-0000-0000-0000EC7F0000}"/>
    <cellStyle name="40 % - Markeringsfarve5 3 2 9" xfId="4285" xr:uid="{00000000-0005-0000-0000-0000ED7F0000}"/>
    <cellStyle name="40 % - Markeringsfarve5 3 2 9 2" xfId="8214" xr:uid="{00000000-0005-0000-0000-0000EE7F0000}"/>
    <cellStyle name="40 % - Markeringsfarve5 3 2 9 2 2" xfId="16111" xr:uid="{00000000-0005-0000-0000-0000EF7F0000}"/>
    <cellStyle name="40 % - Markeringsfarve5 3 2 9 2 2 2" xfId="32425" xr:uid="{00000000-0005-0000-0000-0000F07F0000}"/>
    <cellStyle name="40 % - Markeringsfarve5 3 2 9 2 2 3" xfId="47389" xr:uid="{00000000-0005-0000-0000-0000F17F0000}"/>
    <cellStyle name="40 % - Markeringsfarve5 3 2 9 2 3" xfId="25403" xr:uid="{00000000-0005-0000-0000-0000F27F0000}"/>
    <cellStyle name="40 % - Markeringsfarve5 3 2 9 2 4" xfId="40390" xr:uid="{00000000-0005-0000-0000-0000F37F0000}"/>
    <cellStyle name="40 % - Markeringsfarve5 3 2 9 3" xfId="12842" xr:uid="{00000000-0005-0000-0000-0000F47F0000}"/>
    <cellStyle name="40 % - Markeringsfarve5 3 2 9 3 2" xfId="29161" xr:uid="{00000000-0005-0000-0000-0000F57F0000}"/>
    <cellStyle name="40 % - Markeringsfarve5 3 2 9 3 3" xfId="44126" xr:uid="{00000000-0005-0000-0000-0000F67F0000}"/>
    <cellStyle name="40 % - Markeringsfarve5 3 2 9 4" xfId="22139" xr:uid="{00000000-0005-0000-0000-0000F77F0000}"/>
    <cellStyle name="40 % - Markeringsfarve5 3 2 9 5" xfId="37127" xr:uid="{00000000-0005-0000-0000-0000F87F0000}"/>
    <cellStyle name="40 % - Markeringsfarve5 3 3" xfId="4286" xr:uid="{00000000-0005-0000-0000-0000F97F0000}"/>
    <cellStyle name="40 % - Markeringsfarve5 3 3 10" xfId="6000" xr:uid="{00000000-0005-0000-0000-0000FA7F0000}"/>
    <cellStyle name="40 % - Markeringsfarve5 3 3 10 2" xfId="13918" xr:uid="{00000000-0005-0000-0000-0000FB7F0000}"/>
    <cellStyle name="40 % - Markeringsfarve5 3 3 10 2 2" xfId="30232" xr:uid="{00000000-0005-0000-0000-0000FC7F0000}"/>
    <cellStyle name="40 % - Markeringsfarve5 3 3 10 2 3" xfId="45196" xr:uid="{00000000-0005-0000-0000-0000FD7F0000}"/>
    <cellStyle name="40 % - Markeringsfarve5 3 3 10 3" xfId="23210" xr:uid="{00000000-0005-0000-0000-0000FE7F0000}"/>
    <cellStyle name="40 % - Markeringsfarve5 3 3 10 4" xfId="38197" xr:uid="{00000000-0005-0000-0000-0000FF7F0000}"/>
    <cellStyle name="40 % - Markeringsfarve5 3 3 11" xfId="12843" xr:uid="{00000000-0005-0000-0000-000000800000}"/>
    <cellStyle name="40 % - Markeringsfarve5 3 3 11 2" xfId="29162" xr:uid="{00000000-0005-0000-0000-000001800000}"/>
    <cellStyle name="40 % - Markeringsfarve5 3 3 11 3" xfId="44127" xr:uid="{00000000-0005-0000-0000-000002800000}"/>
    <cellStyle name="40 % - Markeringsfarve5 3 3 12" xfId="22140" xr:uid="{00000000-0005-0000-0000-000003800000}"/>
    <cellStyle name="40 % - Markeringsfarve5 3 3 13" xfId="37128" xr:uid="{00000000-0005-0000-0000-000004800000}"/>
    <cellStyle name="40 % - Markeringsfarve5 3 3 14" xfId="56576" xr:uid="{00000000-0005-0000-0000-000005800000}"/>
    <cellStyle name="40 % - Markeringsfarve5 3 3 2" xfId="4287" xr:uid="{00000000-0005-0000-0000-000006800000}"/>
    <cellStyle name="40 % - Markeringsfarve5 3 3 2 2" xfId="4288" xr:uid="{00000000-0005-0000-0000-000007800000}"/>
    <cellStyle name="40 % - Markeringsfarve5 3 3 2 2 2" xfId="4289" xr:uid="{00000000-0005-0000-0000-000008800000}"/>
    <cellStyle name="40 % - Markeringsfarve5 3 3 2 2 2 2" xfId="7709" xr:uid="{00000000-0005-0000-0000-000009800000}"/>
    <cellStyle name="40 % - Markeringsfarve5 3 3 2 2 2 2 2" xfId="15610" xr:uid="{00000000-0005-0000-0000-00000A800000}"/>
    <cellStyle name="40 % - Markeringsfarve5 3 3 2 2 2 2 2 2" xfId="31924" xr:uid="{00000000-0005-0000-0000-00000B800000}"/>
    <cellStyle name="40 % - Markeringsfarve5 3 3 2 2 2 2 2 3" xfId="46888" xr:uid="{00000000-0005-0000-0000-00000C800000}"/>
    <cellStyle name="40 % - Markeringsfarve5 3 3 2 2 2 2 3" xfId="24902" xr:uid="{00000000-0005-0000-0000-00000D800000}"/>
    <cellStyle name="40 % - Markeringsfarve5 3 3 2 2 2 2 4" xfId="39889" xr:uid="{00000000-0005-0000-0000-00000E800000}"/>
    <cellStyle name="40 % - Markeringsfarve5 3 3 2 2 2 3" xfId="12846" xr:uid="{00000000-0005-0000-0000-00000F800000}"/>
    <cellStyle name="40 % - Markeringsfarve5 3 3 2 2 2 3 2" xfId="29165" xr:uid="{00000000-0005-0000-0000-000010800000}"/>
    <cellStyle name="40 % - Markeringsfarve5 3 3 2 2 2 3 3" xfId="44130" xr:uid="{00000000-0005-0000-0000-000011800000}"/>
    <cellStyle name="40 % - Markeringsfarve5 3 3 2 2 2 4" xfId="22143" xr:uid="{00000000-0005-0000-0000-000012800000}"/>
    <cellStyle name="40 % - Markeringsfarve5 3 3 2 2 2 5" xfId="37131" xr:uid="{00000000-0005-0000-0000-000013800000}"/>
    <cellStyle name="40 % - Markeringsfarve5 3 3 2 2 3" xfId="6276" xr:uid="{00000000-0005-0000-0000-000014800000}"/>
    <cellStyle name="40 % - Markeringsfarve5 3 3 2 2 3 2" xfId="14193" xr:uid="{00000000-0005-0000-0000-000015800000}"/>
    <cellStyle name="40 % - Markeringsfarve5 3 3 2 2 3 2 2" xfId="30507" xr:uid="{00000000-0005-0000-0000-000016800000}"/>
    <cellStyle name="40 % - Markeringsfarve5 3 3 2 2 3 2 3" xfId="45471" xr:uid="{00000000-0005-0000-0000-000017800000}"/>
    <cellStyle name="40 % - Markeringsfarve5 3 3 2 2 3 3" xfId="23485" xr:uid="{00000000-0005-0000-0000-000018800000}"/>
    <cellStyle name="40 % - Markeringsfarve5 3 3 2 2 3 4" xfId="38472" xr:uid="{00000000-0005-0000-0000-000019800000}"/>
    <cellStyle name="40 % - Markeringsfarve5 3 3 2 2 4" xfId="12845" xr:uid="{00000000-0005-0000-0000-00001A800000}"/>
    <cellStyle name="40 % - Markeringsfarve5 3 3 2 2 4 2" xfId="29164" xr:uid="{00000000-0005-0000-0000-00001B800000}"/>
    <cellStyle name="40 % - Markeringsfarve5 3 3 2 2 4 3" xfId="44129" xr:uid="{00000000-0005-0000-0000-00001C800000}"/>
    <cellStyle name="40 % - Markeringsfarve5 3 3 2 2 5" xfId="22142" xr:uid="{00000000-0005-0000-0000-00001D800000}"/>
    <cellStyle name="40 % - Markeringsfarve5 3 3 2 2 6" xfId="37130" xr:uid="{00000000-0005-0000-0000-00001E800000}"/>
    <cellStyle name="40 % - Markeringsfarve5 3 3 2 3" xfId="4290" xr:uid="{00000000-0005-0000-0000-00001F800000}"/>
    <cellStyle name="40 % - Markeringsfarve5 3 3 2 3 2" xfId="6939" xr:uid="{00000000-0005-0000-0000-000020800000}"/>
    <cellStyle name="40 % - Markeringsfarve5 3 3 2 3 2 2" xfId="14850" xr:uid="{00000000-0005-0000-0000-000021800000}"/>
    <cellStyle name="40 % - Markeringsfarve5 3 3 2 3 2 2 2" xfId="31164" xr:uid="{00000000-0005-0000-0000-000022800000}"/>
    <cellStyle name="40 % - Markeringsfarve5 3 3 2 3 2 2 3" xfId="46128" xr:uid="{00000000-0005-0000-0000-000023800000}"/>
    <cellStyle name="40 % - Markeringsfarve5 3 3 2 3 2 3" xfId="24142" xr:uid="{00000000-0005-0000-0000-000024800000}"/>
    <cellStyle name="40 % - Markeringsfarve5 3 3 2 3 2 4" xfId="39129" xr:uid="{00000000-0005-0000-0000-000025800000}"/>
    <cellStyle name="40 % - Markeringsfarve5 3 3 2 3 3" xfId="12847" xr:uid="{00000000-0005-0000-0000-000026800000}"/>
    <cellStyle name="40 % - Markeringsfarve5 3 3 2 3 3 2" xfId="29166" xr:uid="{00000000-0005-0000-0000-000027800000}"/>
    <cellStyle name="40 % - Markeringsfarve5 3 3 2 3 3 3" xfId="44131" xr:uid="{00000000-0005-0000-0000-000028800000}"/>
    <cellStyle name="40 % - Markeringsfarve5 3 3 2 3 4" xfId="22144" xr:uid="{00000000-0005-0000-0000-000029800000}"/>
    <cellStyle name="40 % - Markeringsfarve5 3 3 2 3 5" xfId="37132" xr:uid="{00000000-0005-0000-0000-00002A800000}"/>
    <cellStyle name="40 % - Markeringsfarve5 3 3 2 4" xfId="4291" xr:uid="{00000000-0005-0000-0000-00002B800000}"/>
    <cellStyle name="40 % - Markeringsfarve5 3 3 2 4 2" xfId="8411" xr:uid="{00000000-0005-0000-0000-00002C800000}"/>
    <cellStyle name="40 % - Markeringsfarve5 3 3 2 4 2 2" xfId="16304" xr:uid="{00000000-0005-0000-0000-00002D800000}"/>
    <cellStyle name="40 % - Markeringsfarve5 3 3 2 4 2 2 2" xfId="32618" xr:uid="{00000000-0005-0000-0000-00002E800000}"/>
    <cellStyle name="40 % - Markeringsfarve5 3 3 2 4 2 2 3" xfId="47582" xr:uid="{00000000-0005-0000-0000-00002F800000}"/>
    <cellStyle name="40 % - Markeringsfarve5 3 3 2 4 2 3" xfId="25596" xr:uid="{00000000-0005-0000-0000-000030800000}"/>
    <cellStyle name="40 % - Markeringsfarve5 3 3 2 4 2 4" xfId="40583" xr:uid="{00000000-0005-0000-0000-000031800000}"/>
    <cellStyle name="40 % - Markeringsfarve5 3 3 2 4 3" xfId="12848" xr:uid="{00000000-0005-0000-0000-000032800000}"/>
    <cellStyle name="40 % - Markeringsfarve5 3 3 2 4 3 2" xfId="29167" xr:uid="{00000000-0005-0000-0000-000033800000}"/>
    <cellStyle name="40 % - Markeringsfarve5 3 3 2 4 3 3" xfId="44132" xr:uid="{00000000-0005-0000-0000-000034800000}"/>
    <cellStyle name="40 % - Markeringsfarve5 3 3 2 4 4" xfId="22145" xr:uid="{00000000-0005-0000-0000-000035800000}"/>
    <cellStyle name="40 % - Markeringsfarve5 3 3 2 4 5" xfId="37133" xr:uid="{00000000-0005-0000-0000-000036800000}"/>
    <cellStyle name="40 % - Markeringsfarve5 3 3 2 5" xfId="6001" xr:uid="{00000000-0005-0000-0000-000037800000}"/>
    <cellStyle name="40 % - Markeringsfarve5 3 3 2 5 2" xfId="13919" xr:uid="{00000000-0005-0000-0000-000038800000}"/>
    <cellStyle name="40 % - Markeringsfarve5 3 3 2 5 2 2" xfId="30233" xr:uid="{00000000-0005-0000-0000-000039800000}"/>
    <cellStyle name="40 % - Markeringsfarve5 3 3 2 5 2 3" xfId="45197" xr:uid="{00000000-0005-0000-0000-00003A800000}"/>
    <cellStyle name="40 % - Markeringsfarve5 3 3 2 5 3" xfId="23211" xr:uid="{00000000-0005-0000-0000-00003B800000}"/>
    <cellStyle name="40 % - Markeringsfarve5 3 3 2 5 4" xfId="38198" xr:uid="{00000000-0005-0000-0000-00003C800000}"/>
    <cellStyle name="40 % - Markeringsfarve5 3 3 2 6" xfId="12844" xr:uid="{00000000-0005-0000-0000-00003D800000}"/>
    <cellStyle name="40 % - Markeringsfarve5 3 3 2 6 2" xfId="29163" xr:uid="{00000000-0005-0000-0000-00003E800000}"/>
    <cellStyle name="40 % - Markeringsfarve5 3 3 2 6 3" xfId="44128" xr:uid="{00000000-0005-0000-0000-00003F800000}"/>
    <cellStyle name="40 % - Markeringsfarve5 3 3 2 7" xfId="22141" xr:uid="{00000000-0005-0000-0000-000040800000}"/>
    <cellStyle name="40 % - Markeringsfarve5 3 3 2 8" xfId="37129" xr:uid="{00000000-0005-0000-0000-000041800000}"/>
    <cellStyle name="40 % - Markeringsfarve5 3 3 3" xfId="4292" xr:uid="{00000000-0005-0000-0000-000042800000}"/>
    <cellStyle name="40 % - Markeringsfarve5 3 3 3 2" xfId="4293" xr:uid="{00000000-0005-0000-0000-000043800000}"/>
    <cellStyle name="40 % - Markeringsfarve5 3 3 3 2 2" xfId="4294" xr:uid="{00000000-0005-0000-0000-000044800000}"/>
    <cellStyle name="40 % - Markeringsfarve5 3 3 3 2 2 2" xfId="7822" xr:uid="{00000000-0005-0000-0000-000045800000}"/>
    <cellStyle name="40 % - Markeringsfarve5 3 3 3 2 2 2 2" xfId="15723" xr:uid="{00000000-0005-0000-0000-000046800000}"/>
    <cellStyle name="40 % - Markeringsfarve5 3 3 3 2 2 2 2 2" xfId="32037" xr:uid="{00000000-0005-0000-0000-000047800000}"/>
    <cellStyle name="40 % - Markeringsfarve5 3 3 3 2 2 2 2 3" xfId="47001" xr:uid="{00000000-0005-0000-0000-000048800000}"/>
    <cellStyle name="40 % - Markeringsfarve5 3 3 3 2 2 2 3" xfId="25015" xr:uid="{00000000-0005-0000-0000-000049800000}"/>
    <cellStyle name="40 % - Markeringsfarve5 3 3 3 2 2 2 4" xfId="40002" xr:uid="{00000000-0005-0000-0000-00004A800000}"/>
    <cellStyle name="40 % - Markeringsfarve5 3 3 3 2 2 3" xfId="12851" xr:uid="{00000000-0005-0000-0000-00004B800000}"/>
    <cellStyle name="40 % - Markeringsfarve5 3 3 3 2 2 3 2" xfId="29170" xr:uid="{00000000-0005-0000-0000-00004C800000}"/>
    <cellStyle name="40 % - Markeringsfarve5 3 3 3 2 2 3 3" xfId="44135" xr:uid="{00000000-0005-0000-0000-00004D800000}"/>
    <cellStyle name="40 % - Markeringsfarve5 3 3 3 2 2 4" xfId="22148" xr:uid="{00000000-0005-0000-0000-00004E800000}"/>
    <cellStyle name="40 % - Markeringsfarve5 3 3 3 2 2 5" xfId="37136" xr:uid="{00000000-0005-0000-0000-00004F800000}"/>
    <cellStyle name="40 % - Markeringsfarve5 3 3 3 2 3" xfId="6368" xr:uid="{00000000-0005-0000-0000-000050800000}"/>
    <cellStyle name="40 % - Markeringsfarve5 3 3 3 2 3 2" xfId="14285" xr:uid="{00000000-0005-0000-0000-000051800000}"/>
    <cellStyle name="40 % - Markeringsfarve5 3 3 3 2 3 2 2" xfId="30599" xr:uid="{00000000-0005-0000-0000-000052800000}"/>
    <cellStyle name="40 % - Markeringsfarve5 3 3 3 2 3 2 3" xfId="45563" xr:uid="{00000000-0005-0000-0000-000053800000}"/>
    <cellStyle name="40 % - Markeringsfarve5 3 3 3 2 3 3" xfId="23577" xr:uid="{00000000-0005-0000-0000-000054800000}"/>
    <cellStyle name="40 % - Markeringsfarve5 3 3 3 2 3 4" xfId="38564" xr:uid="{00000000-0005-0000-0000-000055800000}"/>
    <cellStyle name="40 % - Markeringsfarve5 3 3 3 2 4" xfId="12850" xr:uid="{00000000-0005-0000-0000-000056800000}"/>
    <cellStyle name="40 % - Markeringsfarve5 3 3 3 2 4 2" xfId="29169" xr:uid="{00000000-0005-0000-0000-000057800000}"/>
    <cellStyle name="40 % - Markeringsfarve5 3 3 3 2 4 3" xfId="44134" xr:uid="{00000000-0005-0000-0000-000058800000}"/>
    <cellStyle name="40 % - Markeringsfarve5 3 3 3 2 5" xfId="22147" xr:uid="{00000000-0005-0000-0000-000059800000}"/>
    <cellStyle name="40 % - Markeringsfarve5 3 3 3 2 6" xfId="37135" xr:uid="{00000000-0005-0000-0000-00005A800000}"/>
    <cellStyle name="40 % - Markeringsfarve5 3 3 3 3" xfId="4295" xr:uid="{00000000-0005-0000-0000-00005B800000}"/>
    <cellStyle name="40 % - Markeringsfarve5 3 3 3 3 2" xfId="7052" xr:uid="{00000000-0005-0000-0000-00005C800000}"/>
    <cellStyle name="40 % - Markeringsfarve5 3 3 3 3 2 2" xfId="14963" xr:uid="{00000000-0005-0000-0000-00005D800000}"/>
    <cellStyle name="40 % - Markeringsfarve5 3 3 3 3 2 2 2" xfId="31277" xr:uid="{00000000-0005-0000-0000-00005E800000}"/>
    <cellStyle name="40 % - Markeringsfarve5 3 3 3 3 2 2 3" xfId="46241" xr:uid="{00000000-0005-0000-0000-00005F800000}"/>
    <cellStyle name="40 % - Markeringsfarve5 3 3 3 3 2 3" xfId="24255" xr:uid="{00000000-0005-0000-0000-000060800000}"/>
    <cellStyle name="40 % - Markeringsfarve5 3 3 3 3 2 4" xfId="39242" xr:uid="{00000000-0005-0000-0000-000061800000}"/>
    <cellStyle name="40 % - Markeringsfarve5 3 3 3 3 3" xfId="12852" xr:uid="{00000000-0005-0000-0000-000062800000}"/>
    <cellStyle name="40 % - Markeringsfarve5 3 3 3 3 3 2" xfId="29171" xr:uid="{00000000-0005-0000-0000-000063800000}"/>
    <cellStyle name="40 % - Markeringsfarve5 3 3 3 3 3 3" xfId="44136" xr:uid="{00000000-0005-0000-0000-000064800000}"/>
    <cellStyle name="40 % - Markeringsfarve5 3 3 3 3 4" xfId="22149" xr:uid="{00000000-0005-0000-0000-000065800000}"/>
    <cellStyle name="40 % - Markeringsfarve5 3 3 3 3 5" xfId="37137" xr:uid="{00000000-0005-0000-0000-000066800000}"/>
    <cellStyle name="40 % - Markeringsfarve5 3 3 3 4" xfId="4296" xr:uid="{00000000-0005-0000-0000-000067800000}"/>
    <cellStyle name="40 % - Markeringsfarve5 3 3 3 4 2" xfId="8630" xr:uid="{00000000-0005-0000-0000-000068800000}"/>
    <cellStyle name="40 % - Markeringsfarve5 3 3 3 4 2 2" xfId="16513" xr:uid="{00000000-0005-0000-0000-000069800000}"/>
    <cellStyle name="40 % - Markeringsfarve5 3 3 3 4 2 2 2" xfId="32827" xr:uid="{00000000-0005-0000-0000-00006A800000}"/>
    <cellStyle name="40 % - Markeringsfarve5 3 3 3 4 2 2 3" xfId="47791" xr:uid="{00000000-0005-0000-0000-00006B800000}"/>
    <cellStyle name="40 % - Markeringsfarve5 3 3 3 4 2 3" xfId="25805" xr:uid="{00000000-0005-0000-0000-00006C800000}"/>
    <cellStyle name="40 % - Markeringsfarve5 3 3 3 4 2 4" xfId="40792" xr:uid="{00000000-0005-0000-0000-00006D800000}"/>
    <cellStyle name="40 % - Markeringsfarve5 3 3 3 4 3" xfId="12853" xr:uid="{00000000-0005-0000-0000-00006E800000}"/>
    <cellStyle name="40 % - Markeringsfarve5 3 3 3 4 3 2" xfId="29172" xr:uid="{00000000-0005-0000-0000-00006F800000}"/>
    <cellStyle name="40 % - Markeringsfarve5 3 3 3 4 3 3" xfId="44137" xr:uid="{00000000-0005-0000-0000-000070800000}"/>
    <cellStyle name="40 % - Markeringsfarve5 3 3 3 4 4" xfId="22150" xr:uid="{00000000-0005-0000-0000-000071800000}"/>
    <cellStyle name="40 % - Markeringsfarve5 3 3 3 4 5" xfId="37138" xr:uid="{00000000-0005-0000-0000-000072800000}"/>
    <cellStyle name="40 % - Markeringsfarve5 3 3 3 5" xfId="6002" xr:uid="{00000000-0005-0000-0000-000073800000}"/>
    <cellStyle name="40 % - Markeringsfarve5 3 3 3 5 2" xfId="13920" xr:uid="{00000000-0005-0000-0000-000074800000}"/>
    <cellStyle name="40 % - Markeringsfarve5 3 3 3 5 2 2" xfId="30234" xr:uid="{00000000-0005-0000-0000-000075800000}"/>
    <cellStyle name="40 % - Markeringsfarve5 3 3 3 5 2 3" xfId="45198" xr:uid="{00000000-0005-0000-0000-000076800000}"/>
    <cellStyle name="40 % - Markeringsfarve5 3 3 3 5 3" xfId="23212" xr:uid="{00000000-0005-0000-0000-000077800000}"/>
    <cellStyle name="40 % - Markeringsfarve5 3 3 3 5 4" xfId="38199" xr:uid="{00000000-0005-0000-0000-000078800000}"/>
    <cellStyle name="40 % - Markeringsfarve5 3 3 3 6" xfId="12849" xr:uid="{00000000-0005-0000-0000-000079800000}"/>
    <cellStyle name="40 % - Markeringsfarve5 3 3 3 6 2" xfId="29168" xr:uid="{00000000-0005-0000-0000-00007A800000}"/>
    <cellStyle name="40 % - Markeringsfarve5 3 3 3 6 3" xfId="44133" xr:uid="{00000000-0005-0000-0000-00007B800000}"/>
    <cellStyle name="40 % - Markeringsfarve5 3 3 3 7" xfId="22146" xr:uid="{00000000-0005-0000-0000-00007C800000}"/>
    <cellStyle name="40 % - Markeringsfarve5 3 3 3 8" xfId="37134" xr:uid="{00000000-0005-0000-0000-00007D800000}"/>
    <cellStyle name="40 % - Markeringsfarve5 3 3 4" xfId="4297" xr:uid="{00000000-0005-0000-0000-00007E800000}"/>
    <cellStyle name="40 % - Markeringsfarve5 3 3 4 2" xfId="4298" xr:uid="{00000000-0005-0000-0000-00007F800000}"/>
    <cellStyle name="40 % - Markeringsfarve5 3 3 4 2 2" xfId="4299" xr:uid="{00000000-0005-0000-0000-000080800000}"/>
    <cellStyle name="40 % - Markeringsfarve5 3 3 4 2 2 2" xfId="7947" xr:uid="{00000000-0005-0000-0000-000081800000}"/>
    <cellStyle name="40 % - Markeringsfarve5 3 3 4 2 2 2 2" xfId="15848" xr:uid="{00000000-0005-0000-0000-000082800000}"/>
    <cellStyle name="40 % - Markeringsfarve5 3 3 4 2 2 2 2 2" xfId="32162" xr:uid="{00000000-0005-0000-0000-000083800000}"/>
    <cellStyle name="40 % - Markeringsfarve5 3 3 4 2 2 2 2 3" xfId="47126" xr:uid="{00000000-0005-0000-0000-000084800000}"/>
    <cellStyle name="40 % - Markeringsfarve5 3 3 4 2 2 2 3" xfId="25140" xr:uid="{00000000-0005-0000-0000-000085800000}"/>
    <cellStyle name="40 % - Markeringsfarve5 3 3 4 2 2 2 4" xfId="40127" xr:uid="{00000000-0005-0000-0000-000086800000}"/>
    <cellStyle name="40 % - Markeringsfarve5 3 3 4 2 2 3" xfId="12856" xr:uid="{00000000-0005-0000-0000-000087800000}"/>
    <cellStyle name="40 % - Markeringsfarve5 3 3 4 2 2 3 2" xfId="29175" xr:uid="{00000000-0005-0000-0000-000088800000}"/>
    <cellStyle name="40 % - Markeringsfarve5 3 3 4 2 2 3 3" xfId="44140" xr:uid="{00000000-0005-0000-0000-000089800000}"/>
    <cellStyle name="40 % - Markeringsfarve5 3 3 4 2 2 4" xfId="22153" xr:uid="{00000000-0005-0000-0000-00008A800000}"/>
    <cellStyle name="40 % - Markeringsfarve5 3 3 4 2 2 5" xfId="37141" xr:uid="{00000000-0005-0000-0000-00008B800000}"/>
    <cellStyle name="40 % - Markeringsfarve5 3 3 4 2 3" xfId="6478" xr:uid="{00000000-0005-0000-0000-00008C800000}"/>
    <cellStyle name="40 % - Markeringsfarve5 3 3 4 2 3 2" xfId="14392" xr:uid="{00000000-0005-0000-0000-00008D800000}"/>
    <cellStyle name="40 % - Markeringsfarve5 3 3 4 2 3 2 2" xfId="30706" xr:uid="{00000000-0005-0000-0000-00008E800000}"/>
    <cellStyle name="40 % - Markeringsfarve5 3 3 4 2 3 2 3" xfId="45670" xr:uid="{00000000-0005-0000-0000-00008F800000}"/>
    <cellStyle name="40 % - Markeringsfarve5 3 3 4 2 3 3" xfId="23684" xr:uid="{00000000-0005-0000-0000-000090800000}"/>
    <cellStyle name="40 % - Markeringsfarve5 3 3 4 2 3 4" xfId="38671" xr:uid="{00000000-0005-0000-0000-000091800000}"/>
    <cellStyle name="40 % - Markeringsfarve5 3 3 4 2 4" xfId="12855" xr:uid="{00000000-0005-0000-0000-000092800000}"/>
    <cellStyle name="40 % - Markeringsfarve5 3 3 4 2 4 2" xfId="29174" xr:uid="{00000000-0005-0000-0000-000093800000}"/>
    <cellStyle name="40 % - Markeringsfarve5 3 3 4 2 4 3" xfId="44139" xr:uid="{00000000-0005-0000-0000-000094800000}"/>
    <cellStyle name="40 % - Markeringsfarve5 3 3 4 2 5" xfId="22152" xr:uid="{00000000-0005-0000-0000-000095800000}"/>
    <cellStyle name="40 % - Markeringsfarve5 3 3 4 2 6" xfId="37140" xr:uid="{00000000-0005-0000-0000-000096800000}"/>
    <cellStyle name="40 % - Markeringsfarve5 3 3 4 3" xfId="4300" xr:uid="{00000000-0005-0000-0000-000097800000}"/>
    <cellStyle name="40 % - Markeringsfarve5 3 3 4 3 2" xfId="7223" xr:uid="{00000000-0005-0000-0000-000098800000}"/>
    <cellStyle name="40 % - Markeringsfarve5 3 3 4 3 2 2" xfId="15133" xr:uid="{00000000-0005-0000-0000-000099800000}"/>
    <cellStyle name="40 % - Markeringsfarve5 3 3 4 3 2 2 2" xfId="31447" xr:uid="{00000000-0005-0000-0000-00009A800000}"/>
    <cellStyle name="40 % - Markeringsfarve5 3 3 4 3 2 2 3" xfId="46411" xr:uid="{00000000-0005-0000-0000-00009B800000}"/>
    <cellStyle name="40 % - Markeringsfarve5 3 3 4 3 2 3" xfId="24425" xr:uid="{00000000-0005-0000-0000-00009C800000}"/>
    <cellStyle name="40 % - Markeringsfarve5 3 3 4 3 2 4" xfId="39412" xr:uid="{00000000-0005-0000-0000-00009D800000}"/>
    <cellStyle name="40 % - Markeringsfarve5 3 3 4 3 3" xfId="12857" xr:uid="{00000000-0005-0000-0000-00009E800000}"/>
    <cellStyle name="40 % - Markeringsfarve5 3 3 4 3 3 2" xfId="29176" xr:uid="{00000000-0005-0000-0000-00009F800000}"/>
    <cellStyle name="40 % - Markeringsfarve5 3 3 4 3 3 3" xfId="44141" xr:uid="{00000000-0005-0000-0000-0000A0800000}"/>
    <cellStyle name="40 % - Markeringsfarve5 3 3 4 3 4" xfId="22154" xr:uid="{00000000-0005-0000-0000-0000A1800000}"/>
    <cellStyle name="40 % - Markeringsfarve5 3 3 4 3 5" xfId="37142" xr:uid="{00000000-0005-0000-0000-0000A2800000}"/>
    <cellStyle name="40 % - Markeringsfarve5 3 3 4 4" xfId="4301" xr:uid="{00000000-0005-0000-0000-0000A3800000}"/>
    <cellStyle name="40 % - Markeringsfarve5 3 3 4 4 2" xfId="8280" xr:uid="{00000000-0005-0000-0000-0000A4800000}"/>
    <cellStyle name="40 % - Markeringsfarve5 3 3 4 4 2 2" xfId="16174" xr:uid="{00000000-0005-0000-0000-0000A5800000}"/>
    <cellStyle name="40 % - Markeringsfarve5 3 3 4 4 2 2 2" xfId="32488" xr:uid="{00000000-0005-0000-0000-0000A6800000}"/>
    <cellStyle name="40 % - Markeringsfarve5 3 3 4 4 2 2 3" xfId="47452" xr:uid="{00000000-0005-0000-0000-0000A7800000}"/>
    <cellStyle name="40 % - Markeringsfarve5 3 3 4 4 2 3" xfId="25466" xr:uid="{00000000-0005-0000-0000-0000A8800000}"/>
    <cellStyle name="40 % - Markeringsfarve5 3 3 4 4 2 4" xfId="40453" xr:uid="{00000000-0005-0000-0000-0000A9800000}"/>
    <cellStyle name="40 % - Markeringsfarve5 3 3 4 4 3" xfId="12858" xr:uid="{00000000-0005-0000-0000-0000AA800000}"/>
    <cellStyle name="40 % - Markeringsfarve5 3 3 4 4 3 2" xfId="29177" xr:uid="{00000000-0005-0000-0000-0000AB800000}"/>
    <cellStyle name="40 % - Markeringsfarve5 3 3 4 4 3 3" xfId="44142" xr:uid="{00000000-0005-0000-0000-0000AC800000}"/>
    <cellStyle name="40 % - Markeringsfarve5 3 3 4 4 4" xfId="22155" xr:uid="{00000000-0005-0000-0000-0000AD800000}"/>
    <cellStyle name="40 % - Markeringsfarve5 3 3 4 4 5" xfId="37143" xr:uid="{00000000-0005-0000-0000-0000AE800000}"/>
    <cellStyle name="40 % - Markeringsfarve5 3 3 4 5" xfId="6003" xr:uid="{00000000-0005-0000-0000-0000AF800000}"/>
    <cellStyle name="40 % - Markeringsfarve5 3 3 4 5 2" xfId="13921" xr:uid="{00000000-0005-0000-0000-0000B0800000}"/>
    <cellStyle name="40 % - Markeringsfarve5 3 3 4 5 2 2" xfId="30235" xr:uid="{00000000-0005-0000-0000-0000B1800000}"/>
    <cellStyle name="40 % - Markeringsfarve5 3 3 4 5 2 3" xfId="45199" xr:uid="{00000000-0005-0000-0000-0000B2800000}"/>
    <cellStyle name="40 % - Markeringsfarve5 3 3 4 5 3" xfId="23213" xr:uid="{00000000-0005-0000-0000-0000B3800000}"/>
    <cellStyle name="40 % - Markeringsfarve5 3 3 4 5 4" xfId="38200" xr:uid="{00000000-0005-0000-0000-0000B4800000}"/>
    <cellStyle name="40 % - Markeringsfarve5 3 3 4 6" xfId="12854" xr:uid="{00000000-0005-0000-0000-0000B5800000}"/>
    <cellStyle name="40 % - Markeringsfarve5 3 3 4 6 2" xfId="29173" xr:uid="{00000000-0005-0000-0000-0000B6800000}"/>
    <cellStyle name="40 % - Markeringsfarve5 3 3 4 6 3" xfId="44138" xr:uid="{00000000-0005-0000-0000-0000B7800000}"/>
    <cellStyle name="40 % - Markeringsfarve5 3 3 4 7" xfId="22151" xr:uid="{00000000-0005-0000-0000-0000B8800000}"/>
    <cellStyle name="40 % - Markeringsfarve5 3 3 4 8" xfId="37139" xr:uid="{00000000-0005-0000-0000-0000B9800000}"/>
    <cellStyle name="40 % - Markeringsfarve5 3 3 5" xfId="4302" xr:uid="{00000000-0005-0000-0000-0000BA800000}"/>
    <cellStyle name="40 % - Markeringsfarve5 3 3 5 2" xfId="4303" xr:uid="{00000000-0005-0000-0000-0000BB800000}"/>
    <cellStyle name="40 % - Markeringsfarve5 3 3 5 2 2" xfId="4304" xr:uid="{00000000-0005-0000-0000-0000BC800000}"/>
    <cellStyle name="40 % - Markeringsfarve5 3 3 5 2 2 2" xfId="8064" xr:uid="{00000000-0005-0000-0000-0000BD800000}"/>
    <cellStyle name="40 % - Markeringsfarve5 3 3 5 2 2 2 2" xfId="15965" xr:uid="{00000000-0005-0000-0000-0000BE800000}"/>
    <cellStyle name="40 % - Markeringsfarve5 3 3 5 2 2 2 2 2" xfId="32279" xr:uid="{00000000-0005-0000-0000-0000BF800000}"/>
    <cellStyle name="40 % - Markeringsfarve5 3 3 5 2 2 2 2 3" xfId="47243" xr:uid="{00000000-0005-0000-0000-0000C0800000}"/>
    <cellStyle name="40 % - Markeringsfarve5 3 3 5 2 2 2 3" xfId="25257" xr:uid="{00000000-0005-0000-0000-0000C1800000}"/>
    <cellStyle name="40 % - Markeringsfarve5 3 3 5 2 2 2 4" xfId="40244" xr:uid="{00000000-0005-0000-0000-0000C2800000}"/>
    <cellStyle name="40 % - Markeringsfarve5 3 3 5 2 2 3" xfId="12861" xr:uid="{00000000-0005-0000-0000-0000C3800000}"/>
    <cellStyle name="40 % - Markeringsfarve5 3 3 5 2 2 3 2" xfId="29180" xr:uid="{00000000-0005-0000-0000-0000C4800000}"/>
    <cellStyle name="40 % - Markeringsfarve5 3 3 5 2 2 3 3" xfId="44145" xr:uid="{00000000-0005-0000-0000-0000C5800000}"/>
    <cellStyle name="40 % - Markeringsfarve5 3 3 5 2 2 4" xfId="22158" xr:uid="{00000000-0005-0000-0000-0000C6800000}"/>
    <cellStyle name="40 % - Markeringsfarve5 3 3 5 2 2 5" xfId="37146" xr:uid="{00000000-0005-0000-0000-0000C7800000}"/>
    <cellStyle name="40 % - Markeringsfarve5 3 3 5 2 3" xfId="6577" xr:uid="{00000000-0005-0000-0000-0000C8800000}"/>
    <cellStyle name="40 % - Markeringsfarve5 3 3 5 2 3 2" xfId="14491" xr:uid="{00000000-0005-0000-0000-0000C9800000}"/>
    <cellStyle name="40 % - Markeringsfarve5 3 3 5 2 3 2 2" xfId="30805" xr:uid="{00000000-0005-0000-0000-0000CA800000}"/>
    <cellStyle name="40 % - Markeringsfarve5 3 3 5 2 3 2 3" xfId="45769" xr:uid="{00000000-0005-0000-0000-0000CB800000}"/>
    <cellStyle name="40 % - Markeringsfarve5 3 3 5 2 3 3" xfId="23783" xr:uid="{00000000-0005-0000-0000-0000CC800000}"/>
    <cellStyle name="40 % - Markeringsfarve5 3 3 5 2 3 4" xfId="38770" xr:uid="{00000000-0005-0000-0000-0000CD800000}"/>
    <cellStyle name="40 % - Markeringsfarve5 3 3 5 2 4" xfId="12860" xr:uid="{00000000-0005-0000-0000-0000CE800000}"/>
    <cellStyle name="40 % - Markeringsfarve5 3 3 5 2 4 2" xfId="29179" xr:uid="{00000000-0005-0000-0000-0000CF800000}"/>
    <cellStyle name="40 % - Markeringsfarve5 3 3 5 2 4 3" xfId="44144" xr:uid="{00000000-0005-0000-0000-0000D0800000}"/>
    <cellStyle name="40 % - Markeringsfarve5 3 3 5 2 5" xfId="22157" xr:uid="{00000000-0005-0000-0000-0000D1800000}"/>
    <cellStyle name="40 % - Markeringsfarve5 3 3 5 2 6" xfId="37145" xr:uid="{00000000-0005-0000-0000-0000D2800000}"/>
    <cellStyle name="40 % - Markeringsfarve5 3 3 5 3" xfId="4305" xr:uid="{00000000-0005-0000-0000-0000D3800000}"/>
    <cellStyle name="40 % - Markeringsfarve5 3 3 5 3 2" xfId="7340" xr:uid="{00000000-0005-0000-0000-0000D4800000}"/>
    <cellStyle name="40 % - Markeringsfarve5 3 3 5 3 2 2" xfId="15250" xr:uid="{00000000-0005-0000-0000-0000D5800000}"/>
    <cellStyle name="40 % - Markeringsfarve5 3 3 5 3 2 2 2" xfId="31564" xr:uid="{00000000-0005-0000-0000-0000D6800000}"/>
    <cellStyle name="40 % - Markeringsfarve5 3 3 5 3 2 2 3" xfId="46528" xr:uid="{00000000-0005-0000-0000-0000D7800000}"/>
    <cellStyle name="40 % - Markeringsfarve5 3 3 5 3 2 3" xfId="24542" xr:uid="{00000000-0005-0000-0000-0000D8800000}"/>
    <cellStyle name="40 % - Markeringsfarve5 3 3 5 3 2 4" xfId="39529" xr:uid="{00000000-0005-0000-0000-0000D9800000}"/>
    <cellStyle name="40 % - Markeringsfarve5 3 3 5 3 3" xfId="12862" xr:uid="{00000000-0005-0000-0000-0000DA800000}"/>
    <cellStyle name="40 % - Markeringsfarve5 3 3 5 3 3 2" xfId="29181" xr:uid="{00000000-0005-0000-0000-0000DB800000}"/>
    <cellStyle name="40 % - Markeringsfarve5 3 3 5 3 3 3" xfId="44146" xr:uid="{00000000-0005-0000-0000-0000DC800000}"/>
    <cellStyle name="40 % - Markeringsfarve5 3 3 5 3 4" xfId="22159" xr:uid="{00000000-0005-0000-0000-0000DD800000}"/>
    <cellStyle name="40 % - Markeringsfarve5 3 3 5 3 5" xfId="37147" xr:uid="{00000000-0005-0000-0000-0000DE800000}"/>
    <cellStyle name="40 % - Markeringsfarve5 3 3 5 4" xfId="4306" xr:uid="{00000000-0005-0000-0000-0000DF800000}"/>
    <cellStyle name="40 % - Markeringsfarve5 3 3 5 4 2" xfId="8595" xr:uid="{00000000-0005-0000-0000-0000E0800000}"/>
    <cellStyle name="40 % - Markeringsfarve5 3 3 5 4 2 2" xfId="16482" xr:uid="{00000000-0005-0000-0000-0000E1800000}"/>
    <cellStyle name="40 % - Markeringsfarve5 3 3 5 4 2 2 2" xfId="32796" xr:uid="{00000000-0005-0000-0000-0000E2800000}"/>
    <cellStyle name="40 % - Markeringsfarve5 3 3 5 4 2 2 3" xfId="47760" xr:uid="{00000000-0005-0000-0000-0000E3800000}"/>
    <cellStyle name="40 % - Markeringsfarve5 3 3 5 4 2 3" xfId="25774" xr:uid="{00000000-0005-0000-0000-0000E4800000}"/>
    <cellStyle name="40 % - Markeringsfarve5 3 3 5 4 2 4" xfId="40761" xr:uid="{00000000-0005-0000-0000-0000E5800000}"/>
    <cellStyle name="40 % - Markeringsfarve5 3 3 5 4 3" xfId="12863" xr:uid="{00000000-0005-0000-0000-0000E6800000}"/>
    <cellStyle name="40 % - Markeringsfarve5 3 3 5 4 3 2" xfId="29182" xr:uid="{00000000-0005-0000-0000-0000E7800000}"/>
    <cellStyle name="40 % - Markeringsfarve5 3 3 5 4 3 3" xfId="44147" xr:uid="{00000000-0005-0000-0000-0000E8800000}"/>
    <cellStyle name="40 % - Markeringsfarve5 3 3 5 4 4" xfId="22160" xr:uid="{00000000-0005-0000-0000-0000E9800000}"/>
    <cellStyle name="40 % - Markeringsfarve5 3 3 5 4 5" xfId="37148" xr:uid="{00000000-0005-0000-0000-0000EA800000}"/>
    <cellStyle name="40 % - Markeringsfarve5 3 3 5 5" xfId="6004" xr:uid="{00000000-0005-0000-0000-0000EB800000}"/>
    <cellStyle name="40 % - Markeringsfarve5 3 3 5 5 2" xfId="13922" xr:uid="{00000000-0005-0000-0000-0000EC800000}"/>
    <cellStyle name="40 % - Markeringsfarve5 3 3 5 5 2 2" xfId="30236" xr:uid="{00000000-0005-0000-0000-0000ED800000}"/>
    <cellStyle name="40 % - Markeringsfarve5 3 3 5 5 2 3" xfId="45200" xr:uid="{00000000-0005-0000-0000-0000EE800000}"/>
    <cellStyle name="40 % - Markeringsfarve5 3 3 5 5 3" xfId="23214" xr:uid="{00000000-0005-0000-0000-0000EF800000}"/>
    <cellStyle name="40 % - Markeringsfarve5 3 3 5 5 4" xfId="38201" xr:uid="{00000000-0005-0000-0000-0000F0800000}"/>
    <cellStyle name="40 % - Markeringsfarve5 3 3 5 6" xfId="12859" xr:uid="{00000000-0005-0000-0000-0000F1800000}"/>
    <cellStyle name="40 % - Markeringsfarve5 3 3 5 6 2" xfId="29178" xr:uid="{00000000-0005-0000-0000-0000F2800000}"/>
    <cellStyle name="40 % - Markeringsfarve5 3 3 5 6 3" xfId="44143" xr:uid="{00000000-0005-0000-0000-0000F3800000}"/>
    <cellStyle name="40 % - Markeringsfarve5 3 3 5 7" xfId="22156" xr:uid="{00000000-0005-0000-0000-0000F4800000}"/>
    <cellStyle name="40 % - Markeringsfarve5 3 3 5 8" xfId="37144" xr:uid="{00000000-0005-0000-0000-0000F5800000}"/>
    <cellStyle name="40 % - Markeringsfarve5 3 3 6" xfId="4307" xr:uid="{00000000-0005-0000-0000-0000F6800000}"/>
    <cellStyle name="40 % - Markeringsfarve5 3 3 6 2" xfId="4308" xr:uid="{00000000-0005-0000-0000-0000F7800000}"/>
    <cellStyle name="40 % - Markeringsfarve5 3 3 6 2 2" xfId="4309" xr:uid="{00000000-0005-0000-0000-0000F8800000}"/>
    <cellStyle name="40 % - Markeringsfarve5 3 3 6 2 2 2" xfId="8176" xr:uid="{00000000-0005-0000-0000-0000F9800000}"/>
    <cellStyle name="40 % - Markeringsfarve5 3 3 6 2 2 2 2" xfId="16077" xr:uid="{00000000-0005-0000-0000-0000FA800000}"/>
    <cellStyle name="40 % - Markeringsfarve5 3 3 6 2 2 2 2 2" xfId="32391" xr:uid="{00000000-0005-0000-0000-0000FB800000}"/>
    <cellStyle name="40 % - Markeringsfarve5 3 3 6 2 2 2 2 3" xfId="47355" xr:uid="{00000000-0005-0000-0000-0000FC800000}"/>
    <cellStyle name="40 % - Markeringsfarve5 3 3 6 2 2 2 3" xfId="25369" xr:uid="{00000000-0005-0000-0000-0000FD800000}"/>
    <cellStyle name="40 % - Markeringsfarve5 3 3 6 2 2 2 4" xfId="40356" xr:uid="{00000000-0005-0000-0000-0000FE800000}"/>
    <cellStyle name="40 % - Markeringsfarve5 3 3 6 2 2 3" xfId="12866" xr:uid="{00000000-0005-0000-0000-0000FF800000}"/>
    <cellStyle name="40 % - Markeringsfarve5 3 3 6 2 2 3 2" xfId="29185" xr:uid="{00000000-0005-0000-0000-000000810000}"/>
    <cellStyle name="40 % - Markeringsfarve5 3 3 6 2 2 3 3" xfId="44150" xr:uid="{00000000-0005-0000-0000-000001810000}"/>
    <cellStyle name="40 % - Markeringsfarve5 3 3 6 2 2 4" xfId="22163" xr:uid="{00000000-0005-0000-0000-000002810000}"/>
    <cellStyle name="40 % - Markeringsfarve5 3 3 6 2 2 5" xfId="37151" xr:uid="{00000000-0005-0000-0000-000003810000}"/>
    <cellStyle name="40 % - Markeringsfarve5 3 3 6 2 3" xfId="6669" xr:uid="{00000000-0005-0000-0000-000004810000}"/>
    <cellStyle name="40 % - Markeringsfarve5 3 3 6 2 3 2" xfId="14583" xr:uid="{00000000-0005-0000-0000-000005810000}"/>
    <cellStyle name="40 % - Markeringsfarve5 3 3 6 2 3 2 2" xfId="30897" xr:uid="{00000000-0005-0000-0000-000006810000}"/>
    <cellStyle name="40 % - Markeringsfarve5 3 3 6 2 3 2 3" xfId="45861" xr:uid="{00000000-0005-0000-0000-000007810000}"/>
    <cellStyle name="40 % - Markeringsfarve5 3 3 6 2 3 3" xfId="23875" xr:uid="{00000000-0005-0000-0000-000008810000}"/>
    <cellStyle name="40 % - Markeringsfarve5 3 3 6 2 3 4" xfId="38862" xr:uid="{00000000-0005-0000-0000-000009810000}"/>
    <cellStyle name="40 % - Markeringsfarve5 3 3 6 2 4" xfId="12865" xr:uid="{00000000-0005-0000-0000-00000A810000}"/>
    <cellStyle name="40 % - Markeringsfarve5 3 3 6 2 4 2" xfId="29184" xr:uid="{00000000-0005-0000-0000-00000B810000}"/>
    <cellStyle name="40 % - Markeringsfarve5 3 3 6 2 4 3" xfId="44149" xr:uid="{00000000-0005-0000-0000-00000C810000}"/>
    <cellStyle name="40 % - Markeringsfarve5 3 3 6 2 5" xfId="22162" xr:uid="{00000000-0005-0000-0000-00000D810000}"/>
    <cellStyle name="40 % - Markeringsfarve5 3 3 6 2 6" xfId="37150" xr:uid="{00000000-0005-0000-0000-00000E810000}"/>
    <cellStyle name="40 % - Markeringsfarve5 3 3 6 3" xfId="4310" xr:uid="{00000000-0005-0000-0000-00000F810000}"/>
    <cellStyle name="40 % - Markeringsfarve5 3 3 6 3 2" xfId="7453" xr:uid="{00000000-0005-0000-0000-000010810000}"/>
    <cellStyle name="40 % - Markeringsfarve5 3 3 6 3 2 2" xfId="15363" xr:uid="{00000000-0005-0000-0000-000011810000}"/>
    <cellStyle name="40 % - Markeringsfarve5 3 3 6 3 2 2 2" xfId="31677" xr:uid="{00000000-0005-0000-0000-000012810000}"/>
    <cellStyle name="40 % - Markeringsfarve5 3 3 6 3 2 2 3" xfId="46641" xr:uid="{00000000-0005-0000-0000-000013810000}"/>
    <cellStyle name="40 % - Markeringsfarve5 3 3 6 3 2 3" xfId="24655" xr:uid="{00000000-0005-0000-0000-000014810000}"/>
    <cellStyle name="40 % - Markeringsfarve5 3 3 6 3 2 4" xfId="39642" xr:uid="{00000000-0005-0000-0000-000015810000}"/>
    <cellStyle name="40 % - Markeringsfarve5 3 3 6 3 3" xfId="12867" xr:uid="{00000000-0005-0000-0000-000016810000}"/>
    <cellStyle name="40 % - Markeringsfarve5 3 3 6 3 3 2" xfId="29186" xr:uid="{00000000-0005-0000-0000-000017810000}"/>
    <cellStyle name="40 % - Markeringsfarve5 3 3 6 3 3 3" xfId="44151" xr:uid="{00000000-0005-0000-0000-000018810000}"/>
    <cellStyle name="40 % - Markeringsfarve5 3 3 6 3 4" xfId="22164" xr:uid="{00000000-0005-0000-0000-000019810000}"/>
    <cellStyle name="40 % - Markeringsfarve5 3 3 6 3 5" xfId="37152" xr:uid="{00000000-0005-0000-0000-00001A810000}"/>
    <cellStyle name="40 % - Markeringsfarve5 3 3 6 4" xfId="4311" xr:uid="{00000000-0005-0000-0000-00001B810000}"/>
    <cellStyle name="40 % - Markeringsfarve5 3 3 6 4 2" xfId="8247" xr:uid="{00000000-0005-0000-0000-00001C810000}"/>
    <cellStyle name="40 % - Markeringsfarve5 3 3 6 4 2 2" xfId="16144" xr:uid="{00000000-0005-0000-0000-00001D810000}"/>
    <cellStyle name="40 % - Markeringsfarve5 3 3 6 4 2 2 2" xfId="32458" xr:uid="{00000000-0005-0000-0000-00001E810000}"/>
    <cellStyle name="40 % - Markeringsfarve5 3 3 6 4 2 2 3" xfId="47422" xr:uid="{00000000-0005-0000-0000-00001F810000}"/>
    <cellStyle name="40 % - Markeringsfarve5 3 3 6 4 2 3" xfId="25436" xr:uid="{00000000-0005-0000-0000-000020810000}"/>
    <cellStyle name="40 % - Markeringsfarve5 3 3 6 4 2 4" xfId="40423" xr:uid="{00000000-0005-0000-0000-000021810000}"/>
    <cellStyle name="40 % - Markeringsfarve5 3 3 6 4 3" xfId="12868" xr:uid="{00000000-0005-0000-0000-000022810000}"/>
    <cellStyle name="40 % - Markeringsfarve5 3 3 6 4 3 2" xfId="29187" xr:uid="{00000000-0005-0000-0000-000023810000}"/>
    <cellStyle name="40 % - Markeringsfarve5 3 3 6 4 3 3" xfId="44152" xr:uid="{00000000-0005-0000-0000-000024810000}"/>
    <cellStyle name="40 % - Markeringsfarve5 3 3 6 4 4" xfId="22165" xr:uid="{00000000-0005-0000-0000-000025810000}"/>
    <cellStyle name="40 % - Markeringsfarve5 3 3 6 4 5" xfId="37153" xr:uid="{00000000-0005-0000-0000-000026810000}"/>
    <cellStyle name="40 % - Markeringsfarve5 3 3 6 5" xfId="6005" xr:uid="{00000000-0005-0000-0000-000027810000}"/>
    <cellStyle name="40 % - Markeringsfarve5 3 3 6 5 2" xfId="13923" xr:uid="{00000000-0005-0000-0000-000028810000}"/>
    <cellStyle name="40 % - Markeringsfarve5 3 3 6 5 2 2" xfId="30237" xr:uid="{00000000-0005-0000-0000-000029810000}"/>
    <cellStyle name="40 % - Markeringsfarve5 3 3 6 5 2 3" xfId="45201" xr:uid="{00000000-0005-0000-0000-00002A810000}"/>
    <cellStyle name="40 % - Markeringsfarve5 3 3 6 5 3" xfId="23215" xr:uid="{00000000-0005-0000-0000-00002B810000}"/>
    <cellStyle name="40 % - Markeringsfarve5 3 3 6 5 4" xfId="38202" xr:uid="{00000000-0005-0000-0000-00002C810000}"/>
    <cellStyle name="40 % - Markeringsfarve5 3 3 6 6" xfId="12864" xr:uid="{00000000-0005-0000-0000-00002D810000}"/>
    <cellStyle name="40 % - Markeringsfarve5 3 3 6 6 2" xfId="29183" xr:uid="{00000000-0005-0000-0000-00002E810000}"/>
    <cellStyle name="40 % - Markeringsfarve5 3 3 6 6 3" xfId="44148" xr:uid="{00000000-0005-0000-0000-00002F810000}"/>
    <cellStyle name="40 % - Markeringsfarve5 3 3 6 7" xfId="22161" xr:uid="{00000000-0005-0000-0000-000030810000}"/>
    <cellStyle name="40 % - Markeringsfarve5 3 3 6 8" xfId="37149" xr:uid="{00000000-0005-0000-0000-000031810000}"/>
    <cellStyle name="40 % - Markeringsfarve5 3 3 7" xfId="4312" xr:uid="{00000000-0005-0000-0000-000032810000}"/>
    <cellStyle name="40 % - Markeringsfarve5 3 3 7 2" xfId="4313" xr:uid="{00000000-0005-0000-0000-000033810000}"/>
    <cellStyle name="40 % - Markeringsfarve5 3 3 7 2 2" xfId="7590" xr:uid="{00000000-0005-0000-0000-000034810000}"/>
    <cellStyle name="40 % - Markeringsfarve5 3 3 7 2 2 2" xfId="15491" xr:uid="{00000000-0005-0000-0000-000035810000}"/>
    <cellStyle name="40 % - Markeringsfarve5 3 3 7 2 2 2 2" xfId="31805" xr:uid="{00000000-0005-0000-0000-000036810000}"/>
    <cellStyle name="40 % - Markeringsfarve5 3 3 7 2 2 2 3" xfId="46769" xr:uid="{00000000-0005-0000-0000-000037810000}"/>
    <cellStyle name="40 % - Markeringsfarve5 3 3 7 2 2 3" xfId="24783" xr:uid="{00000000-0005-0000-0000-000038810000}"/>
    <cellStyle name="40 % - Markeringsfarve5 3 3 7 2 2 4" xfId="39770" xr:uid="{00000000-0005-0000-0000-000039810000}"/>
    <cellStyle name="40 % - Markeringsfarve5 3 3 7 2 3" xfId="12870" xr:uid="{00000000-0005-0000-0000-00003A810000}"/>
    <cellStyle name="40 % - Markeringsfarve5 3 3 7 2 3 2" xfId="29189" xr:uid="{00000000-0005-0000-0000-00003B810000}"/>
    <cellStyle name="40 % - Markeringsfarve5 3 3 7 2 3 3" xfId="44154" xr:uid="{00000000-0005-0000-0000-00003C810000}"/>
    <cellStyle name="40 % - Markeringsfarve5 3 3 7 2 4" xfId="22167" xr:uid="{00000000-0005-0000-0000-00003D810000}"/>
    <cellStyle name="40 % - Markeringsfarve5 3 3 7 2 5" xfId="37155" xr:uid="{00000000-0005-0000-0000-00003E810000}"/>
    <cellStyle name="40 % - Markeringsfarve5 3 3 7 3" xfId="6177" xr:uid="{00000000-0005-0000-0000-00003F810000}"/>
    <cellStyle name="40 % - Markeringsfarve5 3 3 7 3 2" xfId="14094" xr:uid="{00000000-0005-0000-0000-000040810000}"/>
    <cellStyle name="40 % - Markeringsfarve5 3 3 7 3 2 2" xfId="30408" xr:uid="{00000000-0005-0000-0000-000041810000}"/>
    <cellStyle name="40 % - Markeringsfarve5 3 3 7 3 2 3" xfId="45372" xr:uid="{00000000-0005-0000-0000-000042810000}"/>
    <cellStyle name="40 % - Markeringsfarve5 3 3 7 3 3" xfId="23386" xr:uid="{00000000-0005-0000-0000-000043810000}"/>
    <cellStyle name="40 % - Markeringsfarve5 3 3 7 3 4" xfId="38373" xr:uid="{00000000-0005-0000-0000-000044810000}"/>
    <cellStyle name="40 % - Markeringsfarve5 3 3 7 4" xfId="12869" xr:uid="{00000000-0005-0000-0000-000045810000}"/>
    <cellStyle name="40 % - Markeringsfarve5 3 3 7 4 2" xfId="29188" xr:uid="{00000000-0005-0000-0000-000046810000}"/>
    <cellStyle name="40 % - Markeringsfarve5 3 3 7 4 3" xfId="44153" xr:uid="{00000000-0005-0000-0000-000047810000}"/>
    <cellStyle name="40 % - Markeringsfarve5 3 3 7 5" xfId="22166" xr:uid="{00000000-0005-0000-0000-000048810000}"/>
    <cellStyle name="40 % - Markeringsfarve5 3 3 7 6" xfId="37154" xr:uid="{00000000-0005-0000-0000-000049810000}"/>
    <cellStyle name="40 % - Markeringsfarve5 3 3 8" xfId="4314" xr:uid="{00000000-0005-0000-0000-00004A810000}"/>
    <cellStyle name="40 % - Markeringsfarve5 3 3 8 2" xfId="6818" xr:uid="{00000000-0005-0000-0000-00004B810000}"/>
    <cellStyle name="40 % - Markeringsfarve5 3 3 8 2 2" xfId="14729" xr:uid="{00000000-0005-0000-0000-00004C810000}"/>
    <cellStyle name="40 % - Markeringsfarve5 3 3 8 2 2 2" xfId="31043" xr:uid="{00000000-0005-0000-0000-00004D810000}"/>
    <cellStyle name="40 % - Markeringsfarve5 3 3 8 2 2 3" xfId="46007" xr:uid="{00000000-0005-0000-0000-00004E810000}"/>
    <cellStyle name="40 % - Markeringsfarve5 3 3 8 2 3" xfId="24021" xr:uid="{00000000-0005-0000-0000-00004F810000}"/>
    <cellStyle name="40 % - Markeringsfarve5 3 3 8 2 4" xfId="39008" xr:uid="{00000000-0005-0000-0000-000050810000}"/>
    <cellStyle name="40 % - Markeringsfarve5 3 3 8 3" xfId="12871" xr:uid="{00000000-0005-0000-0000-000051810000}"/>
    <cellStyle name="40 % - Markeringsfarve5 3 3 8 3 2" xfId="29190" xr:uid="{00000000-0005-0000-0000-000052810000}"/>
    <cellStyle name="40 % - Markeringsfarve5 3 3 8 3 3" xfId="44155" xr:uid="{00000000-0005-0000-0000-000053810000}"/>
    <cellStyle name="40 % - Markeringsfarve5 3 3 8 4" xfId="22168" xr:uid="{00000000-0005-0000-0000-000054810000}"/>
    <cellStyle name="40 % - Markeringsfarve5 3 3 8 5" xfId="37156" xr:uid="{00000000-0005-0000-0000-000055810000}"/>
    <cellStyle name="40 % - Markeringsfarve5 3 3 9" xfId="4315" xr:uid="{00000000-0005-0000-0000-000056810000}"/>
    <cellStyle name="40 % - Markeringsfarve5 3 3 9 2" xfId="8687" xr:uid="{00000000-0005-0000-0000-000057810000}"/>
    <cellStyle name="40 % - Markeringsfarve5 3 3 9 2 2" xfId="16568" xr:uid="{00000000-0005-0000-0000-000058810000}"/>
    <cellStyle name="40 % - Markeringsfarve5 3 3 9 2 2 2" xfId="32882" xr:uid="{00000000-0005-0000-0000-000059810000}"/>
    <cellStyle name="40 % - Markeringsfarve5 3 3 9 2 2 3" xfId="47846" xr:uid="{00000000-0005-0000-0000-00005A810000}"/>
    <cellStyle name="40 % - Markeringsfarve5 3 3 9 2 3" xfId="25860" xr:uid="{00000000-0005-0000-0000-00005B810000}"/>
    <cellStyle name="40 % - Markeringsfarve5 3 3 9 2 4" xfId="40847" xr:uid="{00000000-0005-0000-0000-00005C810000}"/>
    <cellStyle name="40 % - Markeringsfarve5 3 3 9 3" xfId="12872" xr:uid="{00000000-0005-0000-0000-00005D810000}"/>
    <cellStyle name="40 % - Markeringsfarve5 3 3 9 3 2" xfId="29191" xr:uid="{00000000-0005-0000-0000-00005E810000}"/>
    <cellStyle name="40 % - Markeringsfarve5 3 3 9 3 3" xfId="44156" xr:uid="{00000000-0005-0000-0000-00005F810000}"/>
    <cellStyle name="40 % - Markeringsfarve5 3 3 9 4" xfId="22169" xr:uid="{00000000-0005-0000-0000-000060810000}"/>
    <cellStyle name="40 % - Markeringsfarve5 3 3 9 5" xfId="37157" xr:uid="{00000000-0005-0000-0000-000061810000}"/>
    <cellStyle name="40 % - Markeringsfarve5 3 4" xfId="4316" xr:uid="{00000000-0005-0000-0000-000062810000}"/>
    <cellStyle name="40 % - Markeringsfarve5 3 4 2" xfId="4317" xr:uid="{00000000-0005-0000-0000-000063810000}"/>
    <cellStyle name="40 % - Markeringsfarve5 3 4 2 2" xfId="4318" xr:uid="{00000000-0005-0000-0000-000064810000}"/>
    <cellStyle name="40 % - Markeringsfarve5 3 4 2 2 2" xfId="7631" xr:uid="{00000000-0005-0000-0000-000065810000}"/>
    <cellStyle name="40 % - Markeringsfarve5 3 4 2 2 2 2" xfId="15532" xr:uid="{00000000-0005-0000-0000-000066810000}"/>
    <cellStyle name="40 % - Markeringsfarve5 3 4 2 2 2 2 2" xfId="31846" xr:uid="{00000000-0005-0000-0000-000067810000}"/>
    <cellStyle name="40 % - Markeringsfarve5 3 4 2 2 2 2 3" xfId="46810" xr:uid="{00000000-0005-0000-0000-000068810000}"/>
    <cellStyle name="40 % - Markeringsfarve5 3 4 2 2 2 3" xfId="24824" xr:uid="{00000000-0005-0000-0000-000069810000}"/>
    <cellStyle name="40 % - Markeringsfarve5 3 4 2 2 2 4" xfId="39811" xr:uid="{00000000-0005-0000-0000-00006A810000}"/>
    <cellStyle name="40 % - Markeringsfarve5 3 4 2 2 3" xfId="12875" xr:uid="{00000000-0005-0000-0000-00006B810000}"/>
    <cellStyle name="40 % - Markeringsfarve5 3 4 2 2 3 2" xfId="29194" xr:uid="{00000000-0005-0000-0000-00006C810000}"/>
    <cellStyle name="40 % - Markeringsfarve5 3 4 2 2 3 3" xfId="44159" xr:uid="{00000000-0005-0000-0000-00006D810000}"/>
    <cellStyle name="40 % - Markeringsfarve5 3 4 2 2 4" xfId="22172" xr:uid="{00000000-0005-0000-0000-00006E810000}"/>
    <cellStyle name="40 % - Markeringsfarve5 3 4 2 2 5" xfId="37160" xr:uid="{00000000-0005-0000-0000-00006F810000}"/>
    <cellStyle name="40 % - Markeringsfarve5 3 4 2 3" xfId="6210" xr:uid="{00000000-0005-0000-0000-000070810000}"/>
    <cellStyle name="40 % - Markeringsfarve5 3 4 2 3 2" xfId="14127" xr:uid="{00000000-0005-0000-0000-000071810000}"/>
    <cellStyle name="40 % - Markeringsfarve5 3 4 2 3 2 2" xfId="30441" xr:uid="{00000000-0005-0000-0000-000072810000}"/>
    <cellStyle name="40 % - Markeringsfarve5 3 4 2 3 2 3" xfId="45405" xr:uid="{00000000-0005-0000-0000-000073810000}"/>
    <cellStyle name="40 % - Markeringsfarve5 3 4 2 3 3" xfId="23419" xr:uid="{00000000-0005-0000-0000-000074810000}"/>
    <cellStyle name="40 % - Markeringsfarve5 3 4 2 3 4" xfId="38406" xr:uid="{00000000-0005-0000-0000-000075810000}"/>
    <cellStyle name="40 % - Markeringsfarve5 3 4 2 4" xfId="12874" xr:uid="{00000000-0005-0000-0000-000076810000}"/>
    <cellStyle name="40 % - Markeringsfarve5 3 4 2 4 2" xfId="29193" xr:uid="{00000000-0005-0000-0000-000077810000}"/>
    <cellStyle name="40 % - Markeringsfarve5 3 4 2 4 3" xfId="44158" xr:uid="{00000000-0005-0000-0000-000078810000}"/>
    <cellStyle name="40 % - Markeringsfarve5 3 4 2 5" xfId="22171" xr:uid="{00000000-0005-0000-0000-000079810000}"/>
    <cellStyle name="40 % - Markeringsfarve5 3 4 2 6" xfId="37159" xr:uid="{00000000-0005-0000-0000-00007A810000}"/>
    <cellStyle name="40 % - Markeringsfarve5 3 4 3" xfId="4319" xr:uid="{00000000-0005-0000-0000-00007B810000}"/>
    <cellStyle name="40 % - Markeringsfarve5 3 4 3 2" xfId="6861" xr:uid="{00000000-0005-0000-0000-00007C810000}"/>
    <cellStyle name="40 % - Markeringsfarve5 3 4 3 2 2" xfId="14772" xr:uid="{00000000-0005-0000-0000-00007D810000}"/>
    <cellStyle name="40 % - Markeringsfarve5 3 4 3 2 2 2" xfId="31086" xr:uid="{00000000-0005-0000-0000-00007E810000}"/>
    <cellStyle name="40 % - Markeringsfarve5 3 4 3 2 2 3" xfId="46050" xr:uid="{00000000-0005-0000-0000-00007F810000}"/>
    <cellStyle name="40 % - Markeringsfarve5 3 4 3 2 3" xfId="24064" xr:uid="{00000000-0005-0000-0000-000080810000}"/>
    <cellStyle name="40 % - Markeringsfarve5 3 4 3 2 4" xfId="39051" xr:uid="{00000000-0005-0000-0000-000081810000}"/>
    <cellStyle name="40 % - Markeringsfarve5 3 4 3 3" xfId="12876" xr:uid="{00000000-0005-0000-0000-000082810000}"/>
    <cellStyle name="40 % - Markeringsfarve5 3 4 3 3 2" xfId="29195" xr:uid="{00000000-0005-0000-0000-000083810000}"/>
    <cellStyle name="40 % - Markeringsfarve5 3 4 3 3 3" xfId="44160" xr:uid="{00000000-0005-0000-0000-000084810000}"/>
    <cellStyle name="40 % - Markeringsfarve5 3 4 3 4" xfId="22173" xr:uid="{00000000-0005-0000-0000-000085810000}"/>
    <cellStyle name="40 % - Markeringsfarve5 3 4 3 5" xfId="37161" xr:uid="{00000000-0005-0000-0000-000086810000}"/>
    <cellStyle name="40 % - Markeringsfarve5 3 4 4" xfId="4320" xr:uid="{00000000-0005-0000-0000-000087810000}"/>
    <cellStyle name="40 % - Markeringsfarve5 3 4 4 2" xfId="6703" xr:uid="{00000000-0005-0000-0000-000088810000}"/>
    <cellStyle name="40 % - Markeringsfarve5 3 4 4 2 2" xfId="14616" xr:uid="{00000000-0005-0000-0000-000089810000}"/>
    <cellStyle name="40 % - Markeringsfarve5 3 4 4 2 2 2" xfId="30930" xr:uid="{00000000-0005-0000-0000-00008A810000}"/>
    <cellStyle name="40 % - Markeringsfarve5 3 4 4 2 2 3" xfId="45894" xr:uid="{00000000-0005-0000-0000-00008B810000}"/>
    <cellStyle name="40 % - Markeringsfarve5 3 4 4 2 3" xfId="23908" xr:uid="{00000000-0005-0000-0000-00008C810000}"/>
    <cellStyle name="40 % - Markeringsfarve5 3 4 4 2 4" xfId="38895" xr:uid="{00000000-0005-0000-0000-00008D810000}"/>
    <cellStyle name="40 % - Markeringsfarve5 3 4 4 3" xfId="12877" xr:uid="{00000000-0005-0000-0000-00008E810000}"/>
    <cellStyle name="40 % - Markeringsfarve5 3 4 4 3 2" xfId="29196" xr:uid="{00000000-0005-0000-0000-00008F810000}"/>
    <cellStyle name="40 % - Markeringsfarve5 3 4 4 3 3" xfId="44161" xr:uid="{00000000-0005-0000-0000-000090810000}"/>
    <cellStyle name="40 % - Markeringsfarve5 3 4 4 4" xfId="22174" xr:uid="{00000000-0005-0000-0000-000091810000}"/>
    <cellStyle name="40 % - Markeringsfarve5 3 4 4 5" xfId="37162" xr:uid="{00000000-0005-0000-0000-000092810000}"/>
    <cellStyle name="40 % - Markeringsfarve5 3 4 5" xfId="6006" xr:uid="{00000000-0005-0000-0000-000093810000}"/>
    <cellStyle name="40 % - Markeringsfarve5 3 4 5 2" xfId="13924" xr:uid="{00000000-0005-0000-0000-000094810000}"/>
    <cellStyle name="40 % - Markeringsfarve5 3 4 5 2 2" xfId="30238" xr:uid="{00000000-0005-0000-0000-000095810000}"/>
    <cellStyle name="40 % - Markeringsfarve5 3 4 5 2 3" xfId="45202" xr:uid="{00000000-0005-0000-0000-000096810000}"/>
    <cellStyle name="40 % - Markeringsfarve5 3 4 5 3" xfId="23216" xr:uid="{00000000-0005-0000-0000-000097810000}"/>
    <cellStyle name="40 % - Markeringsfarve5 3 4 5 4" xfId="38203" xr:uid="{00000000-0005-0000-0000-000098810000}"/>
    <cellStyle name="40 % - Markeringsfarve5 3 4 6" xfId="12873" xr:uid="{00000000-0005-0000-0000-000099810000}"/>
    <cellStyle name="40 % - Markeringsfarve5 3 4 6 2" xfId="29192" xr:uid="{00000000-0005-0000-0000-00009A810000}"/>
    <cellStyle name="40 % - Markeringsfarve5 3 4 6 3" xfId="44157" xr:uid="{00000000-0005-0000-0000-00009B810000}"/>
    <cellStyle name="40 % - Markeringsfarve5 3 4 7" xfId="22170" xr:uid="{00000000-0005-0000-0000-00009C810000}"/>
    <cellStyle name="40 % - Markeringsfarve5 3 4 8" xfId="37158" xr:uid="{00000000-0005-0000-0000-00009D810000}"/>
    <cellStyle name="40 % - Markeringsfarve5 3 5" xfId="4321" xr:uid="{00000000-0005-0000-0000-00009E810000}"/>
    <cellStyle name="40 % - Markeringsfarve5 3 5 2" xfId="4322" xr:uid="{00000000-0005-0000-0000-00009F810000}"/>
    <cellStyle name="40 % - Markeringsfarve5 3 5 2 2" xfId="4323" xr:uid="{00000000-0005-0000-0000-0000A0810000}"/>
    <cellStyle name="40 % - Markeringsfarve5 3 5 2 2 2" xfId="7820" xr:uid="{00000000-0005-0000-0000-0000A1810000}"/>
    <cellStyle name="40 % - Markeringsfarve5 3 5 2 2 2 2" xfId="15721" xr:uid="{00000000-0005-0000-0000-0000A2810000}"/>
    <cellStyle name="40 % - Markeringsfarve5 3 5 2 2 2 2 2" xfId="32035" xr:uid="{00000000-0005-0000-0000-0000A3810000}"/>
    <cellStyle name="40 % - Markeringsfarve5 3 5 2 2 2 2 3" xfId="46999" xr:uid="{00000000-0005-0000-0000-0000A4810000}"/>
    <cellStyle name="40 % - Markeringsfarve5 3 5 2 2 2 3" xfId="25013" xr:uid="{00000000-0005-0000-0000-0000A5810000}"/>
    <cellStyle name="40 % - Markeringsfarve5 3 5 2 2 2 4" xfId="40000" xr:uid="{00000000-0005-0000-0000-0000A6810000}"/>
    <cellStyle name="40 % - Markeringsfarve5 3 5 2 2 3" xfId="12880" xr:uid="{00000000-0005-0000-0000-0000A7810000}"/>
    <cellStyle name="40 % - Markeringsfarve5 3 5 2 2 3 2" xfId="29199" xr:uid="{00000000-0005-0000-0000-0000A8810000}"/>
    <cellStyle name="40 % - Markeringsfarve5 3 5 2 2 3 3" xfId="44164" xr:uid="{00000000-0005-0000-0000-0000A9810000}"/>
    <cellStyle name="40 % - Markeringsfarve5 3 5 2 2 4" xfId="22177" xr:uid="{00000000-0005-0000-0000-0000AA810000}"/>
    <cellStyle name="40 % - Markeringsfarve5 3 5 2 2 5" xfId="37165" xr:uid="{00000000-0005-0000-0000-0000AB810000}"/>
    <cellStyle name="40 % - Markeringsfarve5 3 5 2 3" xfId="6366" xr:uid="{00000000-0005-0000-0000-0000AC810000}"/>
    <cellStyle name="40 % - Markeringsfarve5 3 5 2 3 2" xfId="14283" xr:uid="{00000000-0005-0000-0000-0000AD810000}"/>
    <cellStyle name="40 % - Markeringsfarve5 3 5 2 3 2 2" xfId="30597" xr:uid="{00000000-0005-0000-0000-0000AE810000}"/>
    <cellStyle name="40 % - Markeringsfarve5 3 5 2 3 2 3" xfId="45561" xr:uid="{00000000-0005-0000-0000-0000AF810000}"/>
    <cellStyle name="40 % - Markeringsfarve5 3 5 2 3 3" xfId="23575" xr:uid="{00000000-0005-0000-0000-0000B0810000}"/>
    <cellStyle name="40 % - Markeringsfarve5 3 5 2 3 4" xfId="38562" xr:uid="{00000000-0005-0000-0000-0000B1810000}"/>
    <cellStyle name="40 % - Markeringsfarve5 3 5 2 4" xfId="12879" xr:uid="{00000000-0005-0000-0000-0000B2810000}"/>
    <cellStyle name="40 % - Markeringsfarve5 3 5 2 4 2" xfId="29198" xr:uid="{00000000-0005-0000-0000-0000B3810000}"/>
    <cellStyle name="40 % - Markeringsfarve5 3 5 2 4 3" xfId="44163" xr:uid="{00000000-0005-0000-0000-0000B4810000}"/>
    <cellStyle name="40 % - Markeringsfarve5 3 5 2 5" xfId="22176" xr:uid="{00000000-0005-0000-0000-0000B5810000}"/>
    <cellStyle name="40 % - Markeringsfarve5 3 5 2 6" xfId="37164" xr:uid="{00000000-0005-0000-0000-0000B6810000}"/>
    <cellStyle name="40 % - Markeringsfarve5 3 5 3" xfId="4324" xr:uid="{00000000-0005-0000-0000-0000B7810000}"/>
    <cellStyle name="40 % - Markeringsfarve5 3 5 3 2" xfId="7050" xr:uid="{00000000-0005-0000-0000-0000B8810000}"/>
    <cellStyle name="40 % - Markeringsfarve5 3 5 3 2 2" xfId="14961" xr:uid="{00000000-0005-0000-0000-0000B9810000}"/>
    <cellStyle name="40 % - Markeringsfarve5 3 5 3 2 2 2" xfId="31275" xr:uid="{00000000-0005-0000-0000-0000BA810000}"/>
    <cellStyle name="40 % - Markeringsfarve5 3 5 3 2 2 3" xfId="46239" xr:uid="{00000000-0005-0000-0000-0000BB810000}"/>
    <cellStyle name="40 % - Markeringsfarve5 3 5 3 2 3" xfId="24253" xr:uid="{00000000-0005-0000-0000-0000BC810000}"/>
    <cellStyle name="40 % - Markeringsfarve5 3 5 3 2 4" xfId="39240" xr:uid="{00000000-0005-0000-0000-0000BD810000}"/>
    <cellStyle name="40 % - Markeringsfarve5 3 5 3 3" xfId="12881" xr:uid="{00000000-0005-0000-0000-0000BE810000}"/>
    <cellStyle name="40 % - Markeringsfarve5 3 5 3 3 2" xfId="29200" xr:uid="{00000000-0005-0000-0000-0000BF810000}"/>
    <cellStyle name="40 % - Markeringsfarve5 3 5 3 3 3" xfId="44165" xr:uid="{00000000-0005-0000-0000-0000C0810000}"/>
    <cellStyle name="40 % - Markeringsfarve5 3 5 3 4" xfId="22178" xr:uid="{00000000-0005-0000-0000-0000C1810000}"/>
    <cellStyle name="40 % - Markeringsfarve5 3 5 3 5" xfId="37166" xr:uid="{00000000-0005-0000-0000-0000C2810000}"/>
    <cellStyle name="40 % - Markeringsfarve5 3 5 4" xfId="4325" xr:uid="{00000000-0005-0000-0000-0000C3810000}"/>
    <cellStyle name="40 % - Markeringsfarve5 3 5 4 2" xfId="7079" xr:uid="{00000000-0005-0000-0000-0000C4810000}"/>
    <cellStyle name="40 % - Markeringsfarve5 3 5 4 2 2" xfId="14990" xr:uid="{00000000-0005-0000-0000-0000C5810000}"/>
    <cellStyle name="40 % - Markeringsfarve5 3 5 4 2 2 2" xfId="31304" xr:uid="{00000000-0005-0000-0000-0000C6810000}"/>
    <cellStyle name="40 % - Markeringsfarve5 3 5 4 2 2 3" xfId="46268" xr:uid="{00000000-0005-0000-0000-0000C7810000}"/>
    <cellStyle name="40 % - Markeringsfarve5 3 5 4 2 3" xfId="24282" xr:uid="{00000000-0005-0000-0000-0000C8810000}"/>
    <cellStyle name="40 % - Markeringsfarve5 3 5 4 2 4" xfId="39269" xr:uid="{00000000-0005-0000-0000-0000C9810000}"/>
    <cellStyle name="40 % - Markeringsfarve5 3 5 4 3" xfId="12882" xr:uid="{00000000-0005-0000-0000-0000CA810000}"/>
    <cellStyle name="40 % - Markeringsfarve5 3 5 4 3 2" xfId="29201" xr:uid="{00000000-0005-0000-0000-0000CB810000}"/>
    <cellStyle name="40 % - Markeringsfarve5 3 5 4 3 3" xfId="44166" xr:uid="{00000000-0005-0000-0000-0000CC810000}"/>
    <cellStyle name="40 % - Markeringsfarve5 3 5 4 4" xfId="22179" xr:uid="{00000000-0005-0000-0000-0000CD810000}"/>
    <cellStyle name="40 % - Markeringsfarve5 3 5 4 5" xfId="37167" xr:uid="{00000000-0005-0000-0000-0000CE810000}"/>
    <cellStyle name="40 % - Markeringsfarve5 3 5 5" xfId="6007" xr:uid="{00000000-0005-0000-0000-0000CF810000}"/>
    <cellStyle name="40 % - Markeringsfarve5 3 5 5 2" xfId="13925" xr:uid="{00000000-0005-0000-0000-0000D0810000}"/>
    <cellStyle name="40 % - Markeringsfarve5 3 5 5 2 2" xfId="30239" xr:uid="{00000000-0005-0000-0000-0000D1810000}"/>
    <cellStyle name="40 % - Markeringsfarve5 3 5 5 2 3" xfId="45203" xr:uid="{00000000-0005-0000-0000-0000D2810000}"/>
    <cellStyle name="40 % - Markeringsfarve5 3 5 5 3" xfId="23217" xr:uid="{00000000-0005-0000-0000-0000D3810000}"/>
    <cellStyle name="40 % - Markeringsfarve5 3 5 5 4" xfId="38204" xr:uid="{00000000-0005-0000-0000-0000D4810000}"/>
    <cellStyle name="40 % - Markeringsfarve5 3 5 6" xfId="12878" xr:uid="{00000000-0005-0000-0000-0000D5810000}"/>
    <cellStyle name="40 % - Markeringsfarve5 3 5 6 2" xfId="29197" xr:uid="{00000000-0005-0000-0000-0000D6810000}"/>
    <cellStyle name="40 % - Markeringsfarve5 3 5 6 3" xfId="44162" xr:uid="{00000000-0005-0000-0000-0000D7810000}"/>
    <cellStyle name="40 % - Markeringsfarve5 3 5 7" xfId="22175" xr:uid="{00000000-0005-0000-0000-0000D8810000}"/>
    <cellStyle name="40 % - Markeringsfarve5 3 5 8" xfId="37163" xr:uid="{00000000-0005-0000-0000-0000D9810000}"/>
    <cellStyle name="40 % - Markeringsfarve5 3 6" xfId="4326" xr:uid="{00000000-0005-0000-0000-0000DA810000}"/>
    <cellStyle name="40 % - Markeringsfarve5 3 6 2" xfId="4327" xr:uid="{00000000-0005-0000-0000-0000DB810000}"/>
    <cellStyle name="40 % - Markeringsfarve5 3 6 2 2" xfId="4328" xr:uid="{00000000-0005-0000-0000-0000DC810000}"/>
    <cellStyle name="40 % - Markeringsfarve5 3 6 2 2 2" xfId="7869" xr:uid="{00000000-0005-0000-0000-0000DD810000}"/>
    <cellStyle name="40 % - Markeringsfarve5 3 6 2 2 2 2" xfId="15770" xr:uid="{00000000-0005-0000-0000-0000DE810000}"/>
    <cellStyle name="40 % - Markeringsfarve5 3 6 2 2 2 2 2" xfId="32084" xr:uid="{00000000-0005-0000-0000-0000DF810000}"/>
    <cellStyle name="40 % - Markeringsfarve5 3 6 2 2 2 2 3" xfId="47048" xr:uid="{00000000-0005-0000-0000-0000E0810000}"/>
    <cellStyle name="40 % - Markeringsfarve5 3 6 2 2 2 3" xfId="25062" xr:uid="{00000000-0005-0000-0000-0000E1810000}"/>
    <cellStyle name="40 % - Markeringsfarve5 3 6 2 2 2 4" xfId="40049" xr:uid="{00000000-0005-0000-0000-0000E2810000}"/>
    <cellStyle name="40 % - Markeringsfarve5 3 6 2 2 3" xfId="12885" xr:uid="{00000000-0005-0000-0000-0000E3810000}"/>
    <cellStyle name="40 % - Markeringsfarve5 3 6 2 2 3 2" xfId="29204" xr:uid="{00000000-0005-0000-0000-0000E4810000}"/>
    <cellStyle name="40 % - Markeringsfarve5 3 6 2 2 3 3" xfId="44169" xr:uid="{00000000-0005-0000-0000-0000E5810000}"/>
    <cellStyle name="40 % - Markeringsfarve5 3 6 2 2 4" xfId="22182" xr:uid="{00000000-0005-0000-0000-0000E6810000}"/>
    <cellStyle name="40 % - Markeringsfarve5 3 6 2 2 5" xfId="37170" xr:uid="{00000000-0005-0000-0000-0000E7810000}"/>
    <cellStyle name="40 % - Markeringsfarve5 3 6 2 3" xfId="6412" xr:uid="{00000000-0005-0000-0000-0000E8810000}"/>
    <cellStyle name="40 % - Markeringsfarve5 3 6 2 3 2" xfId="14326" xr:uid="{00000000-0005-0000-0000-0000E9810000}"/>
    <cellStyle name="40 % - Markeringsfarve5 3 6 2 3 2 2" xfId="30640" xr:uid="{00000000-0005-0000-0000-0000EA810000}"/>
    <cellStyle name="40 % - Markeringsfarve5 3 6 2 3 2 3" xfId="45604" xr:uid="{00000000-0005-0000-0000-0000EB810000}"/>
    <cellStyle name="40 % - Markeringsfarve5 3 6 2 3 3" xfId="23618" xr:uid="{00000000-0005-0000-0000-0000EC810000}"/>
    <cellStyle name="40 % - Markeringsfarve5 3 6 2 3 4" xfId="38605" xr:uid="{00000000-0005-0000-0000-0000ED810000}"/>
    <cellStyle name="40 % - Markeringsfarve5 3 6 2 4" xfId="12884" xr:uid="{00000000-0005-0000-0000-0000EE810000}"/>
    <cellStyle name="40 % - Markeringsfarve5 3 6 2 4 2" xfId="29203" xr:uid="{00000000-0005-0000-0000-0000EF810000}"/>
    <cellStyle name="40 % - Markeringsfarve5 3 6 2 4 3" xfId="44168" xr:uid="{00000000-0005-0000-0000-0000F0810000}"/>
    <cellStyle name="40 % - Markeringsfarve5 3 6 2 5" xfId="22181" xr:uid="{00000000-0005-0000-0000-0000F1810000}"/>
    <cellStyle name="40 % - Markeringsfarve5 3 6 2 6" xfId="37169" xr:uid="{00000000-0005-0000-0000-0000F2810000}"/>
    <cellStyle name="40 % - Markeringsfarve5 3 6 3" xfId="4329" xr:uid="{00000000-0005-0000-0000-0000F3810000}"/>
    <cellStyle name="40 % - Markeringsfarve5 3 6 3 2" xfId="7145" xr:uid="{00000000-0005-0000-0000-0000F4810000}"/>
    <cellStyle name="40 % - Markeringsfarve5 3 6 3 2 2" xfId="15055" xr:uid="{00000000-0005-0000-0000-0000F5810000}"/>
    <cellStyle name="40 % - Markeringsfarve5 3 6 3 2 2 2" xfId="31369" xr:uid="{00000000-0005-0000-0000-0000F6810000}"/>
    <cellStyle name="40 % - Markeringsfarve5 3 6 3 2 2 3" xfId="46333" xr:uid="{00000000-0005-0000-0000-0000F7810000}"/>
    <cellStyle name="40 % - Markeringsfarve5 3 6 3 2 3" xfId="24347" xr:uid="{00000000-0005-0000-0000-0000F8810000}"/>
    <cellStyle name="40 % - Markeringsfarve5 3 6 3 2 4" xfId="39334" xr:uid="{00000000-0005-0000-0000-0000F9810000}"/>
    <cellStyle name="40 % - Markeringsfarve5 3 6 3 3" xfId="12886" xr:uid="{00000000-0005-0000-0000-0000FA810000}"/>
    <cellStyle name="40 % - Markeringsfarve5 3 6 3 3 2" xfId="29205" xr:uid="{00000000-0005-0000-0000-0000FB810000}"/>
    <cellStyle name="40 % - Markeringsfarve5 3 6 3 3 3" xfId="44170" xr:uid="{00000000-0005-0000-0000-0000FC810000}"/>
    <cellStyle name="40 % - Markeringsfarve5 3 6 3 4" xfId="22183" xr:uid="{00000000-0005-0000-0000-0000FD810000}"/>
    <cellStyle name="40 % - Markeringsfarve5 3 6 3 5" xfId="37171" xr:uid="{00000000-0005-0000-0000-0000FE810000}"/>
    <cellStyle name="40 % - Markeringsfarve5 3 6 4" xfId="4330" xr:uid="{00000000-0005-0000-0000-0000FF810000}"/>
    <cellStyle name="40 % - Markeringsfarve5 3 6 4 2" xfId="8527" xr:uid="{00000000-0005-0000-0000-000000820000}"/>
    <cellStyle name="40 % - Markeringsfarve5 3 6 4 2 2" xfId="16416" xr:uid="{00000000-0005-0000-0000-000001820000}"/>
    <cellStyle name="40 % - Markeringsfarve5 3 6 4 2 2 2" xfId="32730" xr:uid="{00000000-0005-0000-0000-000002820000}"/>
    <cellStyle name="40 % - Markeringsfarve5 3 6 4 2 2 3" xfId="47694" xr:uid="{00000000-0005-0000-0000-000003820000}"/>
    <cellStyle name="40 % - Markeringsfarve5 3 6 4 2 3" xfId="25708" xr:uid="{00000000-0005-0000-0000-000004820000}"/>
    <cellStyle name="40 % - Markeringsfarve5 3 6 4 2 4" xfId="40695" xr:uid="{00000000-0005-0000-0000-000005820000}"/>
    <cellStyle name="40 % - Markeringsfarve5 3 6 4 3" xfId="12887" xr:uid="{00000000-0005-0000-0000-000006820000}"/>
    <cellStyle name="40 % - Markeringsfarve5 3 6 4 3 2" xfId="29206" xr:uid="{00000000-0005-0000-0000-000007820000}"/>
    <cellStyle name="40 % - Markeringsfarve5 3 6 4 3 3" xfId="44171" xr:uid="{00000000-0005-0000-0000-000008820000}"/>
    <cellStyle name="40 % - Markeringsfarve5 3 6 4 4" xfId="22184" xr:uid="{00000000-0005-0000-0000-000009820000}"/>
    <cellStyle name="40 % - Markeringsfarve5 3 6 4 5" xfId="37172" xr:uid="{00000000-0005-0000-0000-00000A820000}"/>
    <cellStyle name="40 % - Markeringsfarve5 3 6 5" xfId="6008" xr:uid="{00000000-0005-0000-0000-00000B820000}"/>
    <cellStyle name="40 % - Markeringsfarve5 3 6 5 2" xfId="13926" xr:uid="{00000000-0005-0000-0000-00000C820000}"/>
    <cellStyle name="40 % - Markeringsfarve5 3 6 5 2 2" xfId="30240" xr:uid="{00000000-0005-0000-0000-00000D820000}"/>
    <cellStyle name="40 % - Markeringsfarve5 3 6 5 2 3" xfId="45204" xr:uid="{00000000-0005-0000-0000-00000E820000}"/>
    <cellStyle name="40 % - Markeringsfarve5 3 6 5 3" xfId="23218" xr:uid="{00000000-0005-0000-0000-00000F820000}"/>
    <cellStyle name="40 % - Markeringsfarve5 3 6 5 4" xfId="38205" xr:uid="{00000000-0005-0000-0000-000010820000}"/>
    <cellStyle name="40 % - Markeringsfarve5 3 6 6" xfId="12883" xr:uid="{00000000-0005-0000-0000-000011820000}"/>
    <cellStyle name="40 % - Markeringsfarve5 3 6 6 2" xfId="29202" xr:uid="{00000000-0005-0000-0000-000012820000}"/>
    <cellStyle name="40 % - Markeringsfarve5 3 6 6 3" xfId="44167" xr:uid="{00000000-0005-0000-0000-000013820000}"/>
    <cellStyle name="40 % - Markeringsfarve5 3 6 7" xfId="22180" xr:uid="{00000000-0005-0000-0000-000014820000}"/>
    <cellStyle name="40 % - Markeringsfarve5 3 6 8" xfId="37168" xr:uid="{00000000-0005-0000-0000-000015820000}"/>
    <cellStyle name="40 % - Markeringsfarve5 3 7" xfId="4331" xr:uid="{00000000-0005-0000-0000-000016820000}"/>
    <cellStyle name="40 % - Markeringsfarve5 3 7 2" xfId="4332" xr:uid="{00000000-0005-0000-0000-000017820000}"/>
    <cellStyle name="40 % - Markeringsfarve5 3 7 2 2" xfId="4333" xr:uid="{00000000-0005-0000-0000-000018820000}"/>
    <cellStyle name="40 % - Markeringsfarve5 3 7 2 2 2" xfId="7986" xr:uid="{00000000-0005-0000-0000-000019820000}"/>
    <cellStyle name="40 % - Markeringsfarve5 3 7 2 2 2 2" xfId="15887" xr:uid="{00000000-0005-0000-0000-00001A820000}"/>
    <cellStyle name="40 % - Markeringsfarve5 3 7 2 2 2 2 2" xfId="32201" xr:uid="{00000000-0005-0000-0000-00001B820000}"/>
    <cellStyle name="40 % - Markeringsfarve5 3 7 2 2 2 2 3" xfId="47165" xr:uid="{00000000-0005-0000-0000-00001C820000}"/>
    <cellStyle name="40 % - Markeringsfarve5 3 7 2 2 2 3" xfId="25179" xr:uid="{00000000-0005-0000-0000-00001D820000}"/>
    <cellStyle name="40 % - Markeringsfarve5 3 7 2 2 2 4" xfId="40166" xr:uid="{00000000-0005-0000-0000-00001E820000}"/>
    <cellStyle name="40 % - Markeringsfarve5 3 7 2 2 3" xfId="12890" xr:uid="{00000000-0005-0000-0000-00001F820000}"/>
    <cellStyle name="40 % - Markeringsfarve5 3 7 2 2 3 2" xfId="29209" xr:uid="{00000000-0005-0000-0000-000020820000}"/>
    <cellStyle name="40 % - Markeringsfarve5 3 7 2 2 3 3" xfId="44174" xr:uid="{00000000-0005-0000-0000-000021820000}"/>
    <cellStyle name="40 % - Markeringsfarve5 3 7 2 2 4" xfId="22187" xr:uid="{00000000-0005-0000-0000-000022820000}"/>
    <cellStyle name="40 % - Markeringsfarve5 3 7 2 2 5" xfId="37175" xr:uid="{00000000-0005-0000-0000-000023820000}"/>
    <cellStyle name="40 % - Markeringsfarve5 3 7 2 3" xfId="6511" xr:uid="{00000000-0005-0000-0000-000024820000}"/>
    <cellStyle name="40 % - Markeringsfarve5 3 7 2 3 2" xfId="14425" xr:uid="{00000000-0005-0000-0000-000025820000}"/>
    <cellStyle name="40 % - Markeringsfarve5 3 7 2 3 2 2" xfId="30739" xr:uid="{00000000-0005-0000-0000-000026820000}"/>
    <cellStyle name="40 % - Markeringsfarve5 3 7 2 3 2 3" xfId="45703" xr:uid="{00000000-0005-0000-0000-000027820000}"/>
    <cellStyle name="40 % - Markeringsfarve5 3 7 2 3 3" xfId="23717" xr:uid="{00000000-0005-0000-0000-000028820000}"/>
    <cellStyle name="40 % - Markeringsfarve5 3 7 2 3 4" xfId="38704" xr:uid="{00000000-0005-0000-0000-000029820000}"/>
    <cellStyle name="40 % - Markeringsfarve5 3 7 2 4" xfId="12889" xr:uid="{00000000-0005-0000-0000-00002A820000}"/>
    <cellStyle name="40 % - Markeringsfarve5 3 7 2 4 2" xfId="29208" xr:uid="{00000000-0005-0000-0000-00002B820000}"/>
    <cellStyle name="40 % - Markeringsfarve5 3 7 2 4 3" xfId="44173" xr:uid="{00000000-0005-0000-0000-00002C820000}"/>
    <cellStyle name="40 % - Markeringsfarve5 3 7 2 5" xfId="22186" xr:uid="{00000000-0005-0000-0000-00002D820000}"/>
    <cellStyle name="40 % - Markeringsfarve5 3 7 2 6" xfId="37174" xr:uid="{00000000-0005-0000-0000-00002E820000}"/>
    <cellStyle name="40 % - Markeringsfarve5 3 7 3" xfId="4334" xr:uid="{00000000-0005-0000-0000-00002F820000}"/>
    <cellStyle name="40 % - Markeringsfarve5 3 7 3 2" xfId="7262" xr:uid="{00000000-0005-0000-0000-000030820000}"/>
    <cellStyle name="40 % - Markeringsfarve5 3 7 3 2 2" xfId="15172" xr:uid="{00000000-0005-0000-0000-000031820000}"/>
    <cellStyle name="40 % - Markeringsfarve5 3 7 3 2 2 2" xfId="31486" xr:uid="{00000000-0005-0000-0000-000032820000}"/>
    <cellStyle name="40 % - Markeringsfarve5 3 7 3 2 2 3" xfId="46450" xr:uid="{00000000-0005-0000-0000-000033820000}"/>
    <cellStyle name="40 % - Markeringsfarve5 3 7 3 2 3" xfId="24464" xr:uid="{00000000-0005-0000-0000-000034820000}"/>
    <cellStyle name="40 % - Markeringsfarve5 3 7 3 2 4" xfId="39451" xr:uid="{00000000-0005-0000-0000-000035820000}"/>
    <cellStyle name="40 % - Markeringsfarve5 3 7 3 3" xfId="12891" xr:uid="{00000000-0005-0000-0000-000036820000}"/>
    <cellStyle name="40 % - Markeringsfarve5 3 7 3 3 2" xfId="29210" xr:uid="{00000000-0005-0000-0000-000037820000}"/>
    <cellStyle name="40 % - Markeringsfarve5 3 7 3 3 3" xfId="44175" xr:uid="{00000000-0005-0000-0000-000038820000}"/>
    <cellStyle name="40 % - Markeringsfarve5 3 7 3 4" xfId="22188" xr:uid="{00000000-0005-0000-0000-000039820000}"/>
    <cellStyle name="40 % - Markeringsfarve5 3 7 3 5" xfId="37176" xr:uid="{00000000-0005-0000-0000-00003A820000}"/>
    <cellStyle name="40 % - Markeringsfarve5 3 7 4" xfId="4335" xr:uid="{00000000-0005-0000-0000-00003B820000}"/>
    <cellStyle name="40 % - Markeringsfarve5 3 7 4 2" xfId="8762" xr:uid="{00000000-0005-0000-0000-00003C820000}"/>
    <cellStyle name="40 % - Markeringsfarve5 3 7 4 2 2" xfId="16638" xr:uid="{00000000-0005-0000-0000-00003D820000}"/>
    <cellStyle name="40 % - Markeringsfarve5 3 7 4 2 2 2" xfId="32952" xr:uid="{00000000-0005-0000-0000-00003E820000}"/>
    <cellStyle name="40 % - Markeringsfarve5 3 7 4 2 2 3" xfId="47916" xr:uid="{00000000-0005-0000-0000-00003F820000}"/>
    <cellStyle name="40 % - Markeringsfarve5 3 7 4 2 3" xfId="25930" xr:uid="{00000000-0005-0000-0000-000040820000}"/>
    <cellStyle name="40 % - Markeringsfarve5 3 7 4 2 4" xfId="40917" xr:uid="{00000000-0005-0000-0000-000041820000}"/>
    <cellStyle name="40 % - Markeringsfarve5 3 7 4 3" xfId="12892" xr:uid="{00000000-0005-0000-0000-000042820000}"/>
    <cellStyle name="40 % - Markeringsfarve5 3 7 4 3 2" xfId="29211" xr:uid="{00000000-0005-0000-0000-000043820000}"/>
    <cellStyle name="40 % - Markeringsfarve5 3 7 4 3 3" xfId="44176" xr:uid="{00000000-0005-0000-0000-000044820000}"/>
    <cellStyle name="40 % - Markeringsfarve5 3 7 4 4" xfId="22189" xr:uid="{00000000-0005-0000-0000-000045820000}"/>
    <cellStyle name="40 % - Markeringsfarve5 3 7 4 5" xfId="37177" xr:uid="{00000000-0005-0000-0000-000046820000}"/>
    <cellStyle name="40 % - Markeringsfarve5 3 7 5" xfId="6009" xr:uid="{00000000-0005-0000-0000-000047820000}"/>
    <cellStyle name="40 % - Markeringsfarve5 3 7 5 2" xfId="13927" xr:uid="{00000000-0005-0000-0000-000048820000}"/>
    <cellStyle name="40 % - Markeringsfarve5 3 7 5 2 2" xfId="30241" xr:uid="{00000000-0005-0000-0000-000049820000}"/>
    <cellStyle name="40 % - Markeringsfarve5 3 7 5 2 3" xfId="45205" xr:uid="{00000000-0005-0000-0000-00004A820000}"/>
    <cellStyle name="40 % - Markeringsfarve5 3 7 5 3" xfId="23219" xr:uid="{00000000-0005-0000-0000-00004B820000}"/>
    <cellStyle name="40 % - Markeringsfarve5 3 7 5 4" xfId="38206" xr:uid="{00000000-0005-0000-0000-00004C820000}"/>
    <cellStyle name="40 % - Markeringsfarve5 3 7 6" xfId="12888" xr:uid="{00000000-0005-0000-0000-00004D820000}"/>
    <cellStyle name="40 % - Markeringsfarve5 3 7 6 2" xfId="29207" xr:uid="{00000000-0005-0000-0000-00004E820000}"/>
    <cellStyle name="40 % - Markeringsfarve5 3 7 6 3" xfId="44172" xr:uid="{00000000-0005-0000-0000-00004F820000}"/>
    <cellStyle name="40 % - Markeringsfarve5 3 7 7" xfId="22185" xr:uid="{00000000-0005-0000-0000-000050820000}"/>
    <cellStyle name="40 % - Markeringsfarve5 3 7 8" xfId="37173" xr:uid="{00000000-0005-0000-0000-000051820000}"/>
    <cellStyle name="40 % - Markeringsfarve5 3 8" xfId="4336" xr:uid="{00000000-0005-0000-0000-000052820000}"/>
    <cellStyle name="40 % - Markeringsfarve5 3 8 2" xfId="4337" xr:uid="{00000000-0005-0000-0000-000053820000}"/>
    <cellStyle name="40 % - Markeringsfarve5 3 8 2 2" xfId="4338" xr:uid="{00000000-0005-0000-0000-000054820000}"/>
    <cellStyle name="40 % - Markeringsfarve5 3 8 2 2 2" xfId="8174" xr:uid="{00000000-0005-0000-0000-000055820000}"/>
    <cellStyle name="40 % - Markeringsfarve5 3 8 2 2 2 2" xfId="16075" xr:uid="{00000000-0005-0000-0000-000056820000}"/>
    <cellStyle name="40 % - Markeringsfarve5 3 8 2 2 2 2 2" xfId="32389" xr:uid="{00000000-0005-0000-0000-000057820000}"/>
    <cellStyle name="40 % - Markeringsfarve5 3 8 2 2 2 2 3" xfId="47353" xr:uid="{00000000-0005-0000-0000-000058820000}"/>
    <cellStyle name="40 % - Markeringsfarve5 3 8 2 2 2 3" xfId="25367" xr:uid="{00000000-0005-0000-0000-000059820000}"/>
    <cellStyle name="40 % - Markeringsfarve5 3 8 2 2 2 4" xfId="40354" xr:uid="{00000000-0005-0000-0000-00005A820000}"/>
    <cellStyle name="40 % - Markeringsfarve5 3 8 2 2 3" xfId="12895" xr:uid="{00000000-0005-0000-0000-00005B820000}"/>
    <cellStyle name="40 % - Markeringsfarve5 3 8 2 2 3 2" xfId="29214" xr:uid="{00000000-0005-0000-0000-00005C820000}"/>
    <cellStyle name="40 % - Markeringsfarve5 3 8 2 2 3 3" xfId="44179" xr:uid="{00000000-0005-0000-0000-00005D820000}"/>
    <cellStyle name="40 % - Markeringsfarve5 3 8 2 2 4" xfId="22192" xr:uid="{00000000-0005-0000-0000-00005E820000}"/>
    <cellStyle name="40 % - Markeringsfarve5 3 8 2 2 5" xfId="37180" xr:uid="{00000000-0005-0000-0000-00005F820000}"/>
    <cellStyle name="40 % - Markeringsfarve5 3 8 2 3" xfId="6667" xr:uid="{00000000-0005-0000-0000-000060820000}"/>
    <cellStyle name="40 % - Markeringsfarve5 3 8 2 3 2" xfId="14581" xr:uid="{00000000-0005-0000-0000-000061820000}"/>
    <cellStyle name="40 % - Markeringsfarve5 3 8 2 3 2 2" xfId="30895" xr:uid="{00000000-0005-0000-0000-000062820000}"/>
    <cellStyle name="40 % - Markeringsfarve5 3 8 2 3 2 3" xfId="45859" xr:uid="{00000000-0005-0000-0000-000063820000}"/>
    <cellStyle name="40 % - Markeringsfarve5 3 8 2 3 3" xfId="23873" xr:uid="{00000000-0005-0000-0000-000064820000}"/>
    <cellStyle name="40 % - Markeringsfarve5 3 8 2 3 4" xfId="38860" xr:uid="{00000000-0005-0000-0000-000065820000}"/>
    <cellStyle name="40 % - Markeringsfarve5 3 8 2 4" xfId="12894" xr:uid="{00000000-0005-0000-0000-000066820000}"/>
    <cellStyle name="40 % - Markeringsfarve5 3 8 2 4 2" xfId="29213" xr:uid="{00000000-0005-0000-0000-000067820000}"/>
    <cellStyle name="40 % - Markeringsfarve5 3 8 2 4 3" xfId="44178" xr:uid="{00000000-0005-0000-0000-000068820000}"/>
    <cellStyle name="40 % - Markeringsfarve5 3 8 2 5" xfId="22191" xr:uid="{00000000-0005-0000-0000-000069820000}"/>
    <cellStyle name="40 % - Markeringsfarve5 3 8 2 6" xfId="37179" xr:uid="{00000000-0005-0000-0000-00006A820000}"/>
    <cellStyle name="40 % - Markeringsfarve5 3 8 3" xfId="4339" xr:uid="{00000000-0005-0000-0000-00006B820000}"/>
    <cellStyle name="40 % - Markeringsfarve5 3 8 3 2" xfId="7451" xr:uid="{00000000-0005-0000-0000-00006C820000}"/>
    <cellStyle name="40 % - Markeringsfarve5 3 8 3 2 2" xfId="15361" xr:uid="{00000000-0005-0000-0000-00006D820000}"/>
    <cellStyle name="40 % - Markeringsfarve5 3 8 3 2 2 2" xfId="31675" xr:uid="{00000000-0005-0000-0000-00006E820000}"/>
    <cellStyle name="40 % - Markeringsfarve5 3 8 3 2 2 3" xfId="46639" xr:uid="{00000000-0005-0000-0000-00006F820000}"/>
    <cellStyle name="40 % - Markeringsfarve5 3 8 3 2 3" xfId="24653" xr:uid="{00000000-0005-0000-0000-000070820000}"/>
    <cellStyle name="40 % - Markeringsfarve5 3 8 3 2 4" xfId="39640" xr:uid="{00000000-0005-0000-0000-000071820000}"/>
    <cellStyle name="40 % - Markeringsfarve5 3 8 3 3" xfId="12896" xr:uid="{00000000-0005-0000-0000-000072820000}"/>
    <cellStyle name="40 % - Markeringsfarve5 3 8 3 3 2" xfId="29215" xr:uid="{00000000-0005-0000-0000-000073820000}"/>
    <cellStyle name="40 % - Markeringsfarve5 3 8 3 3 3" xfId="44180" xr:uid="{00000000-0005-0000-0000-000074820000}"/>
    <cellStyle name="40 % - Markeringsfarve5 3 8 3 4" xfId="22193" xr:uid="{00000000-0005-0000-0000-000075820000}"/>
    <cellStyle name="40 % - Markeringsfarve5 3 8 3 5" xfId="37181" xr:uid="{00000000-0005-0000-0000-000076820000}"/>
    <cellStyle name="40 % - Markeringsfarve5 3 8 4" xfId="4340" xr:uid="{00000000-0005-0000-0000-000077820000}"/>
    <cellStyle name="40 % - Markeringsfarve5 3 8 4 2" xfId="8482" xr:uid="{00000000-0005-0000-0000-000078820000}"/>
    <cellStyle name="40 % - Markeringsfarve5 3 8 4 2 2" xfId="16371" xr:uid="{00000000-0005-0000-0000-000079820000}"/>
    <cellStyle name="40 % - Markeringsfarve5 3 8 4 2 2 2" xfId="32685" xr:uid="{00000000-0005-0000-0000-00007A820000}"/>
    <cellStyle name="40 % - Markeringsfarve5 3 8 4 2 2 3" xfId="47649" xr:uid="{00000000-0005-0000-0000-00007B820000}"/>
    <cellStyle name="40 % - Markeringsfarve5 3 8 4 2 3" xfId="25663" xr:uid="{00000000-0005-0000-0000-00007C820000}"/>
    <cellStyle name="40 % - Markeringsfarve5 3 8 4 2 4" xfId="40650" xr:uid="{00000000-0005-0000-0000-00007D820000}"/>
    <cellStyle name="40 % - Markeringsfarve5 3 8 4 3" xfId="12897" xr:uid="{00000000-0005-0000-0000-00007E820000}"/>
    <cellStyle name="40 % - Markeringsfarve5 3 8 4 3 2" xfId="29216" xr:uid="{00000000-0005-0000-0000-00007F820000}"/>
    <cellStyle name="40 % - Markeringsfarve5 3 8 4 3 3" xfId="44181" xr:uid="{00000000-0005-0000-0000-000080820000}"/>
    <cellStyle name="40 % - Markeringsfarve5 3 8 4 4" xfId="22194" xr:uid="{00000000-0005-0000-0000-000081820000}"/>
    <cellStyle name="40 % - Markeringsfarve5 3 8 4 5" xfId="37182" xr:uid="{00000000-0005-0000-0000-000082820000}"/>
    <cellStyle name="40 % - Markeringsfarve5 3 8 5" xfId="6010" xr:uid="{00000000-0005-0000-0000-000083820000}"/>
    <cellStyle name="40 % - Markeringsfarve5 3 8 5 2" xfId="13928" xr:uid="{00000000-0005-0000-0000-000084820000}"/>
    <cellStyle name="40 % - Markeringsfarve5 3 8 5 2 2" xfId="30242" xr:uid="{00000000-0005-0000-0000-000085820000}"/>
    <cellStyle name="40 % - Markeringsfarve5 3 8 5 2 3" xfId="45206" xr:uid="{00000000-0005-0000-0000-000086820000}"/>
    <cellStyle name="40 % - Markeringsfarve5 3 8 5 3" xfId="23220" xr:uid="{00000000-0005-0000-0000-000087820000}"/>
    <cellStyle name="40 % - Markeringsfarve5 3 8 5 4" xfId="38207" xr:uid="{00000000-0005-0000-0000-000088820000}"/>
    <cellStyle name="40 % - Markeringsfarve5 3 8 6" xfId="12893" xr:uid="{00000000-0005-0000-0000-000089820000}"/>
    <cellStyle name="40 % - Markeringsfarve5 3 8 6 2" xfId="29212" xr:uid="{00000000-0005-0000-0000-00008A820000}"/>
    <cellStyle name="40 % - Markeringsfarve5 3 8 6 3" xfId="44177" xr:uid="{00000000-0005-0000-0000-00008B820000}"/>
    <cellStyle name="40 % - Markeringsfarve5 3 8 7" xfId="22190" xr:uid="{00000000-0005-0000-0000-00008C820000}"/>
    <cellStyle name="40 % - Markeringsfarve5 3 8 8" xfId="37178" xr:uid="{00000000-0005-0000-0000-00008D820000}"/>
    <cellStyle name="40 % - Markeringsfarve5 3 9" xfId="4341" xr:uid="{00000000-0005-0000-0000-00008E820000}"/>
    <cellStyle name="40 % - Markeringsfarve5 3 9 2" xfId="4342" xr:uid="{00000000-0005-0000-0000-00008F820000}"/>
    <cellStyle name="40 % - Markeringsfarve5 3 9 2 2" xfId="7512" xr:uid="{00000000-0005-0000-0000-000090820000}"/>
    <cellStyle name="40 % - Markeringsfarve5 3 9 2 2 2" xfId="15413" xr:uid="{00000000-0005-0000-0000-000091820000}"/>
    <cellStyle name="40 % - Markeringsfarve5 3 9 2 2 2 2" xfId="31727" xr:uid="{00000000-0005-0000-0000-000092820000}"/>
    <cellStyle name="40 % - Markeringsfarve5 3 9 2 2 2 3" xfId="46691" xr:uid="{00000000-0005-0000-0000-000093820000}"/>
    <cellStyle name="40 % - Markeringsfarve5 3 9 2 2 3" xfId="24705" xr:uid="{00000000-0005-0000-0000-000094820000}"/>
    <cellStyle name="40 % - Markeringsfarve5 3 9 2 2 4" xfId="39692" xr:uid="{00000000-0005-0000-0000-000095820000}"/>
    <cellStyle name="40 % - Markeringsfarve5 3 9 2 3" xfId="12899" xr:uid="{00000000-0005-0000-0000-000096820000}"/>
    <cellStyle name="40 % - Markeringsfarve5 3 9 2 3 2" xfId="29218" xr:uid="{00000000-0005-0000-0000-000097820000}"/>
    <cellStyle name="40 % - Markeringsfarve5 3 9 2 3 3" xfId="44183" xr:uid="{00000000-0005-0000-0000-000098820000}"/>
    <cellStyle name="40 % - Markeringsfarve5 3 9 2 4" xfId="22196" xr:uid="{00000000-0005-0000-0000-000099820000}"/>
    <cellStyle name="40 % - Markeringsfarve5 3 9 2 5" xfId="37184" xr:uid="{00000000-0005-0000-0000-00009A820000}"/>
    <cellStyle name="40 % - Markeringsfarve5 3 9 3" xfId="6111" xr:uid="{00000000-0005-0000-0000-00009B820000}"/>
    <cellStyle name="40 % - Markeringsfarve5 3 9 3 2" xfId="14028" xr:uid="{00000000-0005-0000-0000-00009C820000}"/>
    <cellStyle name="40 % - Markeringsfarve5 3 9 3 2 2" xfId="30342" xr:uid="{00000000-0005-0000-0000-00009D820000}"/>
    <cellStyle name="40 % - Markeringsfarve5 3 9 3 2 3" xfId="45306" xr:uid="{00000000-0005-0000-0000-00009E820000}"/>
    <cellStyle name="40 % - Markeringsfarve5 3 9 3 3" xfId="23320" xr:uid="{00000000-0005-0000-0000-00009F820000}"/>
    <cellStyle name="40 % - Markeringsfarve5 3 9 3 4" xfId="38307" xr:uid="{00000000-0005-0000-0000-0000A0820000}"/>
    <cellStyle name="40 % - Markeringsfarve5 3 9 4" xfId="12898" xr:uid="{00000000-0005-0000-0000-0000A1820000}"/>
    <cellStyle name="40 % - Markeringsfarve5 3 9 4 2" xfId="29217" xr:uid="{00000000-0005-0000-0000-0000A2820000}"/>
    <cellStyle name="40 % - Markeringsfarve5 3 9 4 3" xfId="44182" xr:uid="{00000000-0005-0000-0000-0000A3820000}"/>
    <cellStyle name="40 % - Markeringsfarve5 3 9 5" xfId="22195" xr:uid="{00000000-0005-0000-0000-0000A4820000}"/>
    <cellStyle name="40 % - Markeringsfarve5 3 9 6" xfId="37183" xr:uid="{00000000-0005-0000-0000-0000A5820000}"/>
    <cellStyle name="40 % - Markeringsfarve5 4" xfId="4343" xr:uid="{00000000-0005-0000-0000-0000A6820000}"/>
    <cellStyle name="40 % - Markeringsfarve5 4 10" xfId="6011" xr:uid="{00000000-0005-0000-0000-0000A7820000}"/>
    <cellStyle name="40 % - Markeringsfarve5 4 10 2" xfId="13929" xr:uid="{00000000-0005-0000-0000-0000A8820000}"/>
    <cellStyle name="40 % - Markeringsfarve5 4 10 2 2" xfId="30243" xr:uid="{00000000-0005-0000-0000-0000A9820000}"/>
    <cellStyle name="40 % - Markeringsfarve5 4 10 2 3" xfId="45207" xr:uid="{00000000-0005-0000-0000-0000AA820000}"/>
    <cellStyle name="40 % - Markeringsfarve5 4 10 3" xfId="23221" xr:uid="{00000000-0005-0000-0000-0000AB820000}"/>
    <cellStyle name="40 % - Markeringsfarve5 4 10 4" xfId="38208" xr:uid="{00000000-0005-0000-0000-0000AC820000}"/>
    <cellStyle name="40 % - Markeringsfarve5 4 11" xfId="12900" xr:uid="{00000000-0005-0000-0000-0000AD820000}"/>
    <cellStyle name="40 % - Markeringsfarve5 4 11 2" xfId="29219" xr:uid="{00000000-0005-0000-0000-0000AE820000}"/>
    <cellStyle name="40 % - Markeringsfarve5 4 11 3" xfId="44184" xr:uid="{00000000-0005-0000-0000-0000AF820000}"/>
    <cellStyle name="40 % - Markeringsfarve5 4 12" xfId="22197" xr:uid="{00000000-0005-0000-0000-0000B0820000}"/>
    <cellStyle name="40 % - Markeringsfarve5 4 13" xfId="37185" xr:uid="{00000000-0005-0000-0000-0000B1820000}"/>
    <cellStyle name="40 % - Markeringsfarve5 4 14" xfId="53396" xr:uid="{00000000-0005-0000-0000-0000B2820000}"/>
    <cellStyle name="40 % - Markeringsfarve5 4 2" xfId="4344" xr:uid="{00000000-0005-0000-0000-0000B3820000}"/>
    <cellStyle name="40 % - Markeringsfarve5 4 2 2" xfId="4345" xr:uid="{00000000-0005-0000-0000-0000B4820000}"/>
    <cellStyle name="40 % - Markeringsfarve5 4 2 2 2" xfId="4346" xr:uid="{00000000-0005-0000-0000-0000B5820000}"/>
    <cellStyle name="40 % - Markeringsfarve5 4 2 2 2 2" xfId="7656" xr:uid="{00000000-0005-0000-0000-0000B6820000}"/>
    <cellStyle name="40 % - Markeringsfarve5 4 2 2 2 2 2" xfId="15557" xr:uid="{00000000-0005-0000-0000-0000B7820000}"/>
    <cellStyle name="40 % - Markeringsfarve5 4 2 2 2 2 2 2" xfId="31871" xr:uid="{00000000-0005-0000-0000-0000B8820000}"/>
    <cellStyle name="40 % - Markeringsfarve5 4 2 2 2 2 2 3" xfId="46835" xr:uid="{00000000-0005-0000-0000-0000B9820000}"/>
    <cellStyle name="40 % - Markeringsfarve5 4 2 2 2 2 3" xfId="24849" xr:uid="{00000000-0005-0000-0000-0000BA820000}"/>
    <cellStyle name="40 % - Markeringsfarve5 4 2 2 2 2 4" xfId="39836" xr:uid="{00000000-0005-0000-0000-0000BB820000}"/>
    <cellStyle name="40 % - Markeringsfarve5 4 2 2 2 3" xfId="12903" xr:uid="{00000000-0005-0000-0000-0000BC820000}"/>
    <cellStyle name="40 % - Markeringsfarve5 4 2 2 2 3 2" xfId="29222" xr:uid="{00000000-0005-0000-0000-0000BD820000}"/>
    <cellStyle name="40 % - Markeringsfarve5 4 2 2 2 3 3" xfId="44187" xr:uid="{00000000-0005-0000-0000-0000BE820000}"/>
    <cellStyle name="40 % - Markeringsfarve5 4 2 2 2 4" xfId="22200" xr:uid="{00000000-0005-0000-0000-0000BF820000}"/>
    <cellStyle name="40 % - Markeringsfarve5 4 2 2 2 5" xfId="37188" xr:uid="{00000000-0005-0000-0000-0000C0820000}"/>
    <cellStyle name="40 % - Markeringsfarve5 4 2 2 3" xfId="6231" xr:uid="{00000000-0005-0000-0000-0000C1820000}"/>
    <cellStyle name="40 % - Markeringsfarve5 4 2 2 3 2" xfId="14148" xr:uid="{00000000-0005-0000-0000-0000C2820000}"/>
    <cellStyle name="40 % - Markeringsfarve5 4 2 2 3 2 2" xfId="30462" xr:uid="{00000000-0005-0000-0000-0000C3820000}"/>
    <cellStyle name="40 % - Markeringsfarve5 4 2 2 3 2 3" xfId="45426" xr:uid="{00000000-0005-0000-0000-0000C4820000}"/>
    <cellStyle name="40 % - Markeringsfarve5 4 2 2 3 3" xfId="23440" xr:uid="{00000000-0005-0000-0000-0000C5820000}"/>
    <cellStyle name="40 % - Markeringsfarve5 4 2 2 3 4" xfId="38427" xr:uid="{00000000-0005-0000-0000-0000C6820000}"/>
    <cellStyle name="40 % - Markeringsfarve5 4 2 2 4" xfId="12902" xr:uid="{00000000-0005-0000-0000-0000C7820000}"/>
    <cellStyle name="40 % - Markeringsfarve5 4 2 2 4 2" xfId="29221" xr:uid="{00000000-0005-0000-0000-0000C8820000}"/>
    <cellStyle name="40 % - Markeringsfarve5 4 2 2 4 3" xfId="44186" xr:uid="{00000000-0005-0000-0000-0000C9820000}"/>
    <cellStyle name="40 % - Markeringsfarve5 4 2 2 5" xfId="22199" xr:uid="{00000000-0005-0000-0000-0000CA820000}"/>
    <cellStyle name="40 % - Markeringsfarve5 4 2 2 6" xfId="37187" xr:uid="{00000000-0005-0000-0000-0000CB820000}"/>
    <cellStyle name="40 % - Markeringsfarve5 4 2 2 7" xfId="57200" xr:uid="{00000000-0005-0000-0000-0000CC820000}"/>
    <cellStyle name="40 % - Markeringsfarve5 4 2 3" xfId="4347" xr:uid="{00000000-0005-0000-0000-0000CD820000}"/>
    <cellStyle name="40 % - Markeringsfarve5 4 2 3 2" xfId="6886" xr:uid="{00000000-0005-0000-0000-0000CE820000}"/>
    <cellStyle name="40 % - Markeringsfarve5 4 2 3 2 2" xfId="14797" xr:uid="{00000000-0005-0000-0000-0000CF820000}"/>
    <cellStyle name="40 % - Markeringsfarve5 4 2 3 2 2 2" xfId="31111" xr:uid="{00000000-0005-0000-0000-0000D0820000}"/>
    <cellStyle name="40 % - Markeringsfarve5 4 2 3 2 2 3" xfId="46075" xr:uid="{00000000-0005-0000-0000-0000D1820000}"/>
    <cellStyle name="40 % - Markeringsfarve5 4 2 3 2 3" xfId="24089" xr:uid="{00000000-0005-0000-0000-0000D2820000}"/>
    <cellStyle name="40 % - Markeringsfarve5 4 2 3 2 4" xfId="39076" xr:uid="{00000000-0005-0000-0000-0000D3820000}"/>
    <cellStyle name="40 % - Markeringsfarve5 4 2 3 3" xfId="12904" xr:uid="{00000000-0005-0000-0000-0000D4820000}"/>
    <cellStyle name="40 % - Markeringsfarve5 4 2 3 3 2" xfId="29223" xr:uid="{00000000-0005-0000-0000-0000D5820000}"/>
    <cellStyle name="40 % - Markeringsfarve5 4 2 3 3 3" xfId="44188" xr:uid="{00000000-0005-0000-0000-0000D6820000}"/>
    <cellStyle name="40 % - Markeringsfarve5 4 2 3 4" xfId="22201" xr:uid="{00000000-0005-0000-0000-0000D7820000}"/>
    <cellStyle name="40 % - Markeringsfarve5 4 2 3 5" xfId="37189" xr:uid="{00000000-0005-0000-0000-0000D8820000}"/>
    <cellStyle name="40 % - Markeringsfarve5 4 2 4" xfId="4348" xr:uid="{00000000-0005-0000-0000-0000D9820000}"/>
    <cellStyle name="40 % - Markeringsfarve5 4 2 4 2" xfId="8755" xr:uid="{00000000-0005-0000-0000-0000DA820000}"/>
    <cellStyle name="40 % - Markeringsfarve5 4 2 4 2 2" xfId="16631" xr:uid="{00000000-0005-0000-0000-0000DB820000}"/>
    <cellStyle name="40 % - Markeringsfarve5 4 2 4 2 2 2" xfId="32945" xr:uid="{00000000-0005-0000-0000-0000DC820000}"/>
    <cellStyle name="40 % - Markeringsfarve5 4 2 4 2 2 3" xfId="47909" xr:uid="{00000000-0005-0000-0000-0000DD820000}"/>
    <cellStyle name="40 % - Markeringsfarve5 4 2 4 2 3" xfId="25923" xr:uid="{00000000-0005-0000-0000-0000DE820000}"/>
    <cellStyle name="40 % - Markeringsfarve5 4 2 4 2 4" xfId="40910" xr:uid="{00000000-0005-0000-0000-0000DF820000}"/>
    <cellStyle name="40 % - Markeringsfarve5 4 2 4 3" xfId="12905" xr:uid="{00000000-0005-0000-0000-0000E0820000}"/>
    <cellStyle name="40 % - Markeringsfarve5 4 2 4 3 2" xfId="29224" xr:uid="{00000000-0005-0000-0000-0000E1820000}"/>
    <cellStyle name="40 % - Markeringsfarve5 4 2 4 3 3" xfId="44189" xr:uid="{00000000-0005-0000-0000-0000E2820000}"/>
    <cellStyle name="40 % - Markeringsfarve5 4 2 4 4" xfId="22202" xr:uid="{00000000-0005-0000-0000-0000E3820000}"/>
    <cellStyle name="40 % - Markeringsfarve5 4 2 4 5" xfId="37190" xr:uid="{00000000-0005-0000-0000-0000E4820000}"/>
    <cellStyle name="40 % - Markeringsfarve5 4 2 5" xfId="6012" xr:uid="{00000000-0005-0000-0000-0000E5820000}"/>
    <cellStyle name="40 % - Markeringsfarve5 4 2 5 2" xfId="13930" xr:uid="{00000000-0005-0000-0000-0000E6820000}"/>
    <cellStyle name="40 % - Markeringsfarve5 4 2 5 2 2" xfId="30244" xr:uid="{00000000-0005-0000-0000-0000E7820000}"/>
    <cellStyle name="40 % - Markeringsfarve5 4 2 5 2 3" xfId="45208" xr:uid="{00000000-0005-0000-0000-0000E8820000}"/>
    <cellStyle name="40 % - Markeringsfarve5 4 2 5 3" xfId="23222" xr:uid="{00000000-0005-0000-0000-0000E9820000}"/>
    <cellStyle name="40 % - Markeringsfarve5 4 2 5 4" xfId="38209" xr:uid="{00000000-0005-0000-0000-0000EA820000}"/>
    <cellStyle name="40 % - Markeringsfarve5 4 2 6" xfId="12901" xr:uid="{00000000-0005-0000-0000-0000EB820000}"/>
    <cellStyle name="40 % - Markeringsfarve5 4 2 6 2" xfId="29220" xr:uid="{00000000-0005-0000-0000-0000EC820000}"/>
    <cellStyle name="40 % - Markeringsfarve5 4 2 6 3" xfId="44185" xr:uid="{00000000-0005-0000-0000-0000ED820000}"/>
    <cellStyle name="40 % - Markeringsfarve5 4 2 7" xfId="22198" xr:uid="{00000000-0005-0000-0000-0000EE820000}"/>
    <cellStyle name="40 % - Markeringsfarve5 4 2 8" xfId="37186" xr:uid="{00000000-0005-0000-0000-0000EF820000}"/>
    <cellStyle name="40 % - Markeringsfarve5 4 2 9" xfId="54033" xr:uid="{00000000-0005-0000-0000-0000F0820000}"/>
    <cellStyle name="40 % - Markeringsfarve5 4 3" xfId="4349" xr:uid="{00000000-0005-0000-0000-0000F1820000}"/>
    <cellStyle name="40 % - Markeringsfarve5 4 3 2" xfId="4350" xr:uid="{00000000-0005-0000-0000-0000F2820000}"/>
    <cellStyle name="40 % - Markeringsfarve5 4 3 2 2" xfId="4351" xr:uid="{00000000-0005-0000-0000-0000F3820000}"/>
    <cellStyle name="40 % - Markeringsfarve5 4 3 2 2 2" xfId="7823" xr:uid="{00000000-0005-0000-0000-0000F4820000}"/>
    <cellStyle name="40 % - Markeringsfarve5 4 3 2 2 2 2" xfId="15724" xr:uid="{00000000-0005-0000-0000-0000F5820000}"/>
    <cellStyle name="40 % - Markeringsfarve5 4 3 2 2 2 2 2" xfId="32038" xr:uid="{00000000-0005-0000-0000-0000F6820000}"/>
    <cellStyle name="40 % - Markeringsfarve5 4 3 2 2 2 2 3" xfId="47002" xr:uid="{00000000-0005-0000-0000-0000F7820000}"/>
    <cellStyle name="40 % - Markeringsfarve5 4 3 2 2 2 3" xfId="25016" xr:uid="{00000000-0005-0000-0000-0000F8820000}"/>
    <cellStyle name="40 % - Markeringsfarve5 4 3 2 2 2 4" xfId="40003" xr:uid="{00000000-0005-0000-0000-0000F9820000}"/>
    <cellStyle name="40 % - Markeringsfarve5 4 3 2 2 3" xfId="12908" xr:uid="{00000000-0005-0000-0000-0000FA820000}"/>
    <cellStyle name="40 % - Markeringsfarve5 4 3 2 2 3 2" xfId="29227" xr:uid="{00000000-0005-0000-0000-0000FB820000}"/>
    <cellStyle name="40 % - Markeringsfarve5 4 3 2 2 3 3" xfId="44192" xr:uid="{00000000-0005-0000-0000-0000FC820000}"/>
    <cellStyle name="40 % - Markeringsfarve5 4 3 2 2 4" xfId="22205" xr:uid="{00000000-0005-0000-0000-0000FD820000}"/>
    <cellStyle name="40 % - Markeringsfarve5 4 3 2 2 5" xfId="37193" xr:uid="{00000000-0005-0000-0000-0000FE820000}"/>
    <cellStyle name="40 % - Markeringsfarve5 4 3 2 3" xfId="6369" xr:uid="{00000000-0005-0000-0000-0000FF820000}"/>
    <cellStyle name="40 % - Markeringsfarve5 4 3 2 3 2" xfId="14286" xr:uid="{00000000-0005-0000-0000-000000830000}"/>
    <cellStyle name="40 % - Markeringsfarve5 4 3 2 3 2 2" xfId="30600" xr:uid="{00000000-0005-0000-0000-000001830000}"/>
    <cellStyle name="40 % - Markeringsfarve5 4 3 2 3 2 3" xfId="45564" xr:uid="{00000000-0005-0000-0000-000002830000}"/>
    <cellStyle name="40 % - Markeringsfarve5 4 3 2 3 3" xfId="23578" xr:uid="{00000000-0005-0000-0000-000003830000}"/>
    <cellStyle name="40 % - Markeringsfarve5 4 3 2 3 4" xfId="38565" xr:uid="{00000000-0005-0000-0000-000004830000}"/>
    <cellStyle name="40 % - Markeringsfarve5 4 3 2 4" xfId="12907" xr:uid="{00000000-0005-0000-0000-000005830000}"/>
    <cellStyle name="40 % - Markeringsfarve5 4 3 2 4 2" xfId="29226" xr:uid="{00000000-0005-0000-0000-000006830000}"/>
    <cellStyle name="40 % - Markeringsfarve5 4 3 2 4 3" xfId="44191" xr:uid="{00000000-0005-0000-0000-000007830000}"/>
    <cellStyle name="40 % - Markeringsfarve5 4 3 2 5" xfId="22204" xr:uid="{00000000-0005-0000-0000-000008830000}"/>
    <cellStyle name="40 % - Markeringsfarve5 4 3 2 6" xfId="37192" xr:uid="{00000000-0005-0000-0000-000009830000}"/>
    <cellStyle name="40 % - Markeringsfarve5 4 3 3" xfId="4352" xr:uid="{00000000-0005-0000-0000-00000A830000}"/>
    <cellStyle name="40 % - Markeringsfarve5 4 3 3 2" xfId="7053" xr:uid="{00000000-0005-0000-0000-00000B830000}"/>
    <cellStyle name="40 % - Markeringsfarve5 4 3 3 2 2" xfId="14964" xr:uid="{00000000-0005-0000-0000-00000C830000}"/>
    <cellStyle name="40 % - Markeringsfarve5 4 3 3 2 2 2" xfId="31278" xr:uid="{00000000-0005-0000-0000-00000D830000}"/>
    <cellStyle name="40 % - Markeringsfarve5 4 3 3 2 2 3" xfId="46242" xr:uid="{00000000-0005-0000-0000-00000E830000}"/>
    <cellStyle name="40 % - Markeringsfarve5 4 3 3 2 3" xfId="24256" xr:uid="{00000000-0005-0000-0000-00000F830000}"/>
    <cellStyle name="40 % - Markeringsfarve5 4 3 3 2 4" xfId="39243" xr:uid="{00000000-0005-0000-0000-000010830000}"/>
    <cellStyle name="40 % - Markeringsfarve5 4 3 3 3" xfId="12909" xr:uid="{00000000-0005-0000-0000-000011830000}"/>
    <cellStyle name="40 % - Markeringsfarve5 4 3 3 3 2" xfId="29228" xr:uid="{00000000-0005-0000-0000-000012830000}"/>
    <cellStyle name="40 % - Markeringsfarve5 4 3 3 3 3" xfId="44193" xr:uid="{00000000-0005-0000-0000-000013830000}"/>
    <cellStyle name="40 % - Markeringsfarve5 4 3 3 4" xfId="22206" xr:uid="{00000000-0005-0000-0000-000014830000}"/>
    <cellStyle name="40 % - Markeringsfarve5 4 3 3 5" xfId="37194" xr:uid="{00000000-0005-0000-0000-000015830000}"/>
    <cellStyle name="40 % - Markeringsfarve5 4 3 4" xfId="4353" xr:uid="{00000000-0005-0000-0000-000016830000}"/>
    <cellStyle name="40 % - Markeringsfarve5 4 3 4 2" xfId="8476" xr:uid="{00000000-0005-0000-0000-000017830000}"/>
    <cellStyle name="40 % - Markeringsfarve5 4 3 4 2 2" xfId="16365" xr:uid="{00000000-0005-0000-0000-000018830000}"/>
    <cellStyle name="40 % - Markeringsfarve5 4 3 4 2 2 2" xfId="32679" xr:uid="{00000000-0005-0000-0000-000019830000}"/>
    <cellStyle name="40 % - Markeringsfarve5 4 3 4 2 2 3" xfId="47643" xr:uid="{00000000-0005-0000-0000-00001A830000}"/>
    <cellStyle name="40 % - Markeringsfarve5 4 3 4 2 3" xfId="25657" xr:uid="{00000000-0005-0000-0000-00001B830000}"/>
    <cellStyle name="40 % - Markeringsfarve5 4 3 4 2 4" xfId="40644" xr:uid="{00000000-0005-0000-0000-00001C830000}"/>
    <cellStyle name="40 % - Markeringsfarve5 4 3 4 3" xfId="12910" xr:uid="{00000000-0005-0000-0000-00001D830000}"/>
    <cellStyle name="40 % - Markeringsfarve5 4 3 4 3 2" xfId="29229" xr:uid="{00000000-0005-0000-0000-00001E830000}"/>
    <cellStyle name="40 % - Markeringsfarve5 4 3 4 3 3" xfId="44194" xr:uid="{00000000-0005-0000-0000-00001F830000}"/>
    <cellStyle name="40 % - Markeringsfarve5 4 3 4 4" xfId="22207" xr:uid="{00000000-0005-0000-0000-000020830000}"/>
    <cellStyle name="40 % - Markeringsfarve5 4 3 4 5" xfId="37195" xr:uid="{00000000-0005-0000-0000-000021830000}"/>
    <cellStyle name="40 % - Markeringsfarve5 4 3 5" xfId="6013" xr:uid="{00000000-0005-0000-0000-000022830000}"/>
    <cellStyle name="40 % - Markeringsfarve5 4 3 5 2" xfId="13931" xr:uid="{00000000-0005-0000-0000-000023830000}"/>
    <cellStyle name="40 % - Markeringsfarve5 4 3 5 2 2" xfId="30245" xr:uid="{00000000-0005-0000-0000-000024830000}"/>
    <cellStyle name="40 % - Markeringsfarve5 4 3 5 2 3" xfId="45209" xr:uid="{00000000-0005-0000-0000-000025830000}"/>
    <cellStyle name="40 % - Markeringsfarve5 4 3 5 3" xfId="23223" xr:uid="{00000000-0005-0000-0000-000026830000}"/>
    <cellStyle name="40 % - Markeringsfarve5 4 3 5 4" xfId="38210" xr:uid="{00000000-0005-0000-0000-000027830000}"/>
    <cellStyle name="40 % - Markeringsfarve5 4 3 6" xfId="12906" xr:uid="{00000000-0005-0000-0000-000028830000}"/>
    <cellStyle name="40 % - Markeringsfarve5 4 3 6 2" xfId="29225" xr:uid="{00000000-0005-0000-0000-000029830000}"/>
    <cellStyle name="40 % - Markeringsfarve5 4 3 6 3" xfId="44190" xr:uid="{00000000-0005-0000-0000-00002A830000}"/>
    <cellStyle name="40 % - Markeringsfarve5 4 3 7" xfId="22203" xr:uid="{00000000-0005-0000-0000-00002B830000}"/>
    <cellStyle name="40 % - Markeringsfarve5 4 3 8" xfId="37191" xr:uid="{00000000-0005-0000-0000-00002C830000}"/>
    <cellStyle name="40 % - Markeringsfarve5 4 3 9" xfId="56577" xr:uid="{00000000-0005-0000-0000-00002D830000}"/>
    <cellStyle name="40 % - Markeringsfarve5 4 4" xfId="4354" xr:uid="{00000000-0005-0000-0000-00002E830000}"/>
    <cellStyle name="40 % - Markeringsfarve5 4 4 2" xfId="4355" xr:uid="{00000000-0005-0000-0000-00002F830000}"/>
    <cellStyle name="40 % - Markeringsfarve5 4 4 2 2" xfId="4356" xr:uid="{00000000-0005-0000-0000-000030830000}"/>
    <cellStyle name="40 % - Markeringsfarve5 4 4 2 2 2" xfId="7894" xr:uid="{00000000-0005-0000-0000-000031830000}"/>
    <cellStyle name="40 % - Markeringsfarve5 4 4 2 2 2 2" xfId="15795" xr:uid="{00000000-0005-0000-0000-000032830000}"/>
    <cellStyle name="40 % - Markeringsfarve5 4 4 2 2 2 2 2" xfId="32109" xr:uid="{00000000-0005-0000-0000-000033830000}"/>
    <cellStyle name="40 % - Markeringsfarve5 4 4 2 2 2 2 3" xfId="47073" xr:uid="{00000000-0005-0000-0000-000034830000}"/>
    <cellStyle name="40 % - Markeringsfarve5 4 4 2 2 2 3" xfId="25087" xr:uid="{00000000-0005-0000-0000-000035830000}"/>
    <cellStyle name="40 % - Markeringsfarve5 4 4 2 2 2 4" xfId="40074" xr:uid="{00000000-0005-0000-0000-000036830000}"/>
    <cellStyle name="40 % - Markeringsfarve5 4 4 2 2 3" xfId="12913" xr:uid="{00000000-0005-0000-0000-000037830000}"/>
    <cellStyle name="40 % - Markeringsfarve5 4 4 2 2 3 2" xfId="29232" xr:uid="{00000000-0005-0000-0000-000038830000}"/>
    <cellStyle name="40 % - Markeringsfarve5 4 4 2 2 3 3" xfId="44197" xr:uid="{00000000-0005-0000-0000-000039830000}"/>
    <cellStyle name="40 % - Markeringsfarve5 4 4 2 2 4" xfId="22210" xr:uid="{00000000-0005-0000-0000-00003A830000}"/>
    <cellStyle name="40 % - Markeringsfarve5 4 4 2 2 5" xfId="37198" xr:uid="{00000000-0005-0000-0000-00003B830000}"/>
    <cellStyle name="40 % - Markeringsfarve5 4 4 2 3" xfId="6433" xr:uid="{00000000-0005-0000-0000-00003C830000}"/>
    <cellStyle name="40 % - Markeringsfarve5 4 4 2 3 2" xfId="14347" xr:uid="{00000000-0005-0000-0000-00003D830000}"/>
    <cellStyle name="40 % - Markeringsfarve5 4 4 2 3 2 2" xfId="30661" xr:uid="{00000000-0005-0000-0000-00003E830000}"/>
    <cellStyle name="40 % - Markeringsfarve5 4 4 2 3 2 3" xfId="45625" xr:uid="{00000000-0005-0000-0000-00003F830000}"/>
    <cellStyle name="40 % - Markeringsfarve5 4 4 2 3 3" xfId="23639" xr:uid="{00000000-0005-0000-0000-000040830000}"/>
    <cellStyle name="40 % - Markeringsfarve5 4 4 2 3 4" xfId="38626" xr:uid="{00000000-0005-0000-0000-000041830000}"/>
    <cellStyle name="40 % - Markeringsfarve5 4 4 2 4" xfId="12912" xr:uid="{00000000-0005-0000-0000-000042830000}"/>
    <cellStyle name="40 % - Markeringsfarve5 4 4 2 4 2" xfId="29231" xr:uid="{00000000-0005-0000-0000-000043830000}"/>
    <cellStyle name="40 % - Markeringsfarve5 4 4 2 4 3" xfId="44196" xr:uid="{00000000-0005-0000-0000-000044830000}"/>
    <cellStyle name="40 % - Markeringsfarve5 4 4 2 5" xfId="22209" xr:uid="{00000000-0005-0000-0000-000045830000}"/>
    <cellStyle name="40 % - Markeringsfarve5 4 4 2 6" xfId="37197" xr:uid="{00000000-0005-0000-0000-000046830000}"/>
    <cellStyle name="40 % - Markeringsfarve5 4 4 3" xfId="4357" xr:uid="{00000000-0005-0000-0000-000047830000}"/>
    <cellStyle name="40 % - Markeringsfarve5 4 4 3 2" xfId="7170" xr:uid="{00000000-0005-0000-0000-000048830000}"/>
    <cellStyle name="40 % - Markeringsfarve5 4 4 3 2 2" xfId="15080" xr:uid="{00000000-0005-0000-0000-000049830000}"/>
    <cellStyle name="40 % - Markeringsfarve5 4 4 3 2 2 2" xfId="31394" xr:uid="{00000000-0005-0000-0000-00004A830000}"/>
    <cellStyle name="40 % - Markeringsfarve5 4 4 3 2 2 3" xfId="46358" xr:uid="{00000000-0005-0000-0000-00004B830000}"/>
    <cellStyle name="40 % - Markeringsfarve5 4 4 3 2 3" xfId="24372" xr:uid="{00000000-0005-0000-0000-00004C830000}"/>
    <cellStyle name="40 % - Markeringsfarve5 4 4 3 2 4" xfId="39359" xr:uid="{00000000-0005-0000-0000-00004D830000}"/>
    <cellStyle name="40 % - Markeringsfarve5 4 4 3 3" xfId="12914" xr:uid="{00000000-0005-0000-0000-00004E830000}"/>
    <cellStyle name="40 % - Markeringsfarve5 4 4 3 3 2" xfId="29233" xr:uid="{00000000-0005-0000-0000-00004F830000}"/>
    <cellStyle name="40 % - Markeringsfarve5 4 4 3 3 3" xfId="44198" xr:uid="{00000000-0005-0000-0000-000050830000}"/>
    <cellStyle name="40 % - Markeringsfarve5 4 4 3 4" xfId="22211" xr:uid="{00000000-0005-0000-0000-000051830000}"/>
    <cellStyle name="40 % - Markeringsfarve5 4 4 3 5" xfId="37199" xr:uid="{00000000-0005-0000-0000-000052830000}"/>
    <cellStyle name="40 % - Markeringsfarve5 4 4 4" xfId="4358" xr:uid="{00000000-0005-0000-0000-000053830000}"/>
    <cellStyle name="40 % - Markeringsfarve5 4 4 4 2" xfId="8702" xr:uid="{00000000-0005-0000-0000-000054830000}"/>
    <cellStyle name="40 % - Markeringsfarve5 4 4 4 2 2" xfId="16583" xr:uid="{00000000-0005-0000-0000-000055830000}"/>
    <cellStyle name="40 % - Markeringsfarve5 4 4 4 2 2 2" xfId="32897" xr:uid="{00000000-0005-0000-0000-000056830000}"/>
    <cellStyle name="40 % - Markeringsfarve5 4 4 4 2 2 3" xfId="47861" xr:uid="{00000000-0005-0000-0000-000057830000}"/>
    <cellStyle name="40 % - Markeringsfarve5 4 4 4 2 3" xfId="25875" xr:uid="{00000000-0005-0000-0000-000058830000}"/>
    <cellStyle name="40 % - Markeringsfarve5 4 4 4 2 4" xfId="40862" xr:uid="{00000000-0005-0000-0000-000059830000}"/>
    <cellStyle name="40 % - Markeringsfarve5 4 4 4 3" xfId="12915" xr:uid="{00000000-0005-0000-0000-00005A830000}"/>
    <cellStyle name="40 % - Markeringsfarve5 4 4 4 3 2" xfId="29234" xr:uid="{00000000-0005-0000-0000-00005B830000}"/>
    <cellStyle name="40 % - Markeringsfarve5 4 4 4 3 3" xfId="44199" xr:uid="{00000000-0005-0000-0000-00005C830000}"/>
    <cellStyle name="40 % - Markeringsfarve5 4 4 4 4" xfId="22212" xr:uid="{00000000-0005-0000-0000-00005D830000}"/>
    <cellStyle name="40 % - Markeringsfarve5 4 4 4 5" xfId="37200" xr:uid="{00000000-0005-0000-0000-00005E830000}"/>
    <cellStyle name="40 % - Markeringsfarve5 4 4 5" xfId="6014" xr:uid="{00000000-0005-0000-0000-00005F830000}"/>
    <cellStyle name="40 % - Markeringsfarve5 4 4 5 2" xfId="13932" xr:uid="{00000000-0005-0000-0000-000060830000}"/>
    <cellStyle name="40 % - Markeringsfarve5 4 4 5 2 2" xfId="30246" xr:uid="{00000000-0005-0000-0000-000061830000}"/>
    <cellStyle name="40 % - Markeringsfarve5 4 4 5 2 3" xfId="45210" xr:uid="{00000000-0005-0000-0000-000062830000}"/>
    <cellStyle name="40 % - Markeringsfarve5 4 4 5 3" xfId="23224" xr:uid="{00000000-0005-0000-0000-000063830000}"/>
    <cellStyle name="40 % - Markeringsfarve5 4 4 5 4" xfId="38211" xr:uid="{00000000-0005-0000-0000-000064830000}"/>
    <cellStyle name="40 % - Markeringsfarve5 4 4 6" xfId="12911" xr:uid="{00000000-0005-0000-0000-000065830000}"/>
    <cellStyle name="40 % - Markeringsfarve5 4 4 6 2" xfId="29230" xr:uid="{00000000-0005-0000-0000-000066830000}"/>
    <cellStyle name="40 % - Markeringsfarve5 4 4 6 3" xfId="44195" xr:uid="{00000000-0005-0000-0000-000067830000}"/>
    <cellStyle name="40 % - Markeringsfarve5 4 4 7" xfId="22208" xr:uid="{00000000-0005-0000-0000-000068830000}"/>
    <cellStyle name="40 % - Markeringsfarve5 4 4 8" xfId="37196" xr:uid="{00000000-0005-0000-0000-000069830000}"/>
    <cellStyle name="40 % - Markeringsfarve5 4 5" xfId="4359" xr:uid="{00000000-0005-0000-0000-00006A830000}"/>
    <cellStyle name="40 % - Markeringsfarve5 4 5 2" xfId="4360" xr:uid="{00000000-0005-0000-0000-00006B830000}"/>
    <cellStyle name="40 % - Markeringsfarve5 4 5 2 2" xfId="4361" xr:uid="{00000000-0005-0000-0000-00006C830000}"/>
    <cellStyle name="40 % - Markeringsfarve5 4 5 2 2 2" xfId="8011" xr:uid="{00000000-0005-0000-0000-00006D830000}"/>
    <cellStyle name="40 % - Markeringsfarve5 4 5 2 2 2 2" xfId="15912" xr:uid="{00000000-0005-0000-0000-00006E830000}"/>
    <cellStyle name="40 % - Markeringsfarve5 4 5 2 2 2 2 2" xfId="32226" xr:uid="{00000000-0005-0000-0000-00006F830000}"/>
    <cellStyle name="40 % - Markeringsfarve5 4 5 2 2 2 2 3" xfId="47190" xr:uid="{00000000-0005-0000-0000-000070830000}"/>
    <cellStyle name="40 % - Markeringsfarve5 4 5 2 2 2 3" xfId="25204" xr:uid="{00000000-0005-0000-0000-000071830000}"/>
    <cellStyle name="40 % - Markeringsfarve5 4 5 2 2 2 4" xfId="40191" xr:uid="{00000000-0005-0000-0000-000072830000}"/>
    <cellStyle name="40 % - Markeringsfarve5 4 5 2 2 3" xfId="12918" xr:uid="{00000000-0005-0000-0000-000073830000}"/>
    <cellStyle name="40 % - Markeringsfarve5 4 5 2 2 3 2" xfId="29237" xr:uid="{00000000-0005-0000-0000-000074830000}"/>
    <cellStyle name="40 % - Markeringsfarve5 4 5 2 2 3 3" xfId="44202" xr:uid="{00000000-0005-0000-0000-000075830000}"/>
    <cellStyle name="40 % - Markeringsfarve5 4 5 2 2 4" xfId="22215" xr:uid="{00000000-0005-0000-0000-000076830000}"/>
    <cellStyle name="40 % - Markeringsfarve5 4 5 2 2 5" xfId="37203" xr:uid="{00000000-0005-0000-0000-000077830000}"/>
    <cellStyle name="40 % - Markeringsfarve5 4 5 2 3" xfId="6532" xr:uid="{00000000-0005-0000-0000-000078830000}"/>
    <cellStyle name="40 % - Markeringsfarve5 4 5 2 3 2" xfId="14446" xr:uid="{00000000-0005-0000-0000-000079830000}"/>
    <cellStyle name="40 % - Markeringsfarve5 4 5 2 3 2 2" xfId="30760" xr:uid="{00000000-0005-0000-0000-00007A830000}"/>
    <cellStyle name="40 % - Markeringsfarve5 4 5 2 3 2 3" xfId="45724" xr:uid="{00000000-0005-0000-0000-00007B830000}"/>
    <cellStyle name="40 % - Markeringsfarve5 4 5 2 3 3" xfId="23738" xr:uid="{00000000-0005-0000-0000-00007C830000}"/>
    <cellStyle name="40 % - Markeringsfarve5 4 5 2 3 4" xfId="38725" xr:uid="{00000000-0005-0000-0000-00007D830000}"/>
    <cellStyle name="40 % - Markeringsfarve5 4 5 2 4" xfId="12917" xr:uid="{00000000-0005-0000-0000-00007E830000}"/>
    <cellStyle name="40 % - Markeringsfarve5 4 5 2 4 2" xfId="29236" xr:uid="{00000000-0005-0000-0000-00007F830000}"/>
    <cellStyle name="40 % - Markeringsfarve5 4 5 2 4 3" xfId="44201" xr:uid="{00000000-0005-0000-0000-000080830000}"/>
    <cellStyle name="40 % - Markeringsfarve5 4 5 2 5" xfId="22214" xr:uid="{00000000-0005-0000-0000-000081830000}"/>
    <cellStyle name="40 % - Markeringsfarve5 4 5 2 6" xfId="37202" xr:uid="{00000000-0005-0000-0000-000082830000}"/>
    <cellStyle name="40 % - Markeringsfarve5 4 5 3" xfId="4362" xr:uid="{00000000-0005-0000-0000-000083830000}"/>
    <cellStyle name="40 % - Markeringsfarve5 4 5 3 2" xfId="7287" xr:uid="{00000000-0005-0000-0000-000084830000}"/>
    <cellStyle name="40 % - Markeringsfarve5 4 5 3 2 2" xfId="15197" xr:uid="{00000000-0005-0000-0000-000085830000}"/>
    <cellStyle name="40 % - Markeringsfarve5 4 5 3 2 2 2" xfId="31511" xr:uid="{00000000-0005-0000-0000-000086830000}"/>
    <cellStyle name="40 % - Markeringsfarve5 4 5 3 2 2 3" xfId="46475" xr:uid="{00000000-0005-0000-0000-000087830000}"/>
    <cellStyle name="40 % - Markeringsfarve5 4 5 3 2 3" xfId="24489" xr:uid="{00000000-0005-0000-0000-000088830000}"/>
    <cellStyle name="40 % - Markeringsfarve5 4 5 3 2 4" xfId="39476" xr:uid="{00000000-0005-0000-0000-000089830000}"/>
    <cellStyle name="40 % - Markeringsfarve5 4 5 3 3" xfId="12919" xr:uid="{00000000-0005-0000-0000-00008A830000}"/>
    <cellStyle name="40 % - Markeringsfarve5 4 5 3 3 2" xfId="29238" xr:uid="{00000000-0005-0000-0000-00008B830000}"/>
    <cellStyle name="40 % - Markeringsfarve5 4 5 3 3 3" xfId="44203" xr:uid="{00000000-0005-0000-0000-00008C830000}"/>
    <cellStyle name="40 % - Markeringsfarve5 4 5 3 4" xfId="22216" xr:uid="{00000000-0005-0000-0000-00008D830000}"/>
    <cellStyle name="40 % - Markeringsfarve5 4 5 3 5" xfId="37204" xr:uid="{00000000-0005-0000-0000-00008E830000}"/>
    <cellStyle name="40 % - Markeringsfarve5 4 5 4" xfId="4363" xr:uid="{00000000-0005-0000-0000-00008F830000}"/>
    <cellStyle name="40 % - Markeringsfarve5 4 5 4 2" xfId="8427" xr:uid="{00000000-0005-0000-0000-000090830000}"/>
    <cellStyle name="40 % - Markeringsfarve5 4 5 4 2 2" xfId="16320" xr:uid="{00000000-0005-0000-0000-000091830000}"/>
    <cellStyle name="40 % - Markeringsfarve5 4 5 4 2 2 2" xfId="32634" xr:uid="{00000000-0005-0000-0000-000092830000}"/>
    <cellStyle name="40 % - Markeringsfarve5 4 5 4 2 2 3" xfId="47598" xr:uid="{00000000-0005-0000-0000-000093830000}"/>
    <cellStyle name="40 % - Markeringsfarve5 4 5 4 2 3" xfId="25612" xr:uid="{00000000-0005-0000-0000-000094830000}"/>
    <cellStyle name="40 % - Markeringsfarve5 4 5 4 2 4" xfId="40599" xr:uid="{00000000-0005-0000-0000-000095830000}"/>
    <cellStyle name="40 % - Markeringsfarve5 4 5 4 3" xfId="12920" xr:uid="{00000000-0005-0000-0000-000096830000}"/>
    <cellStyle name="40 % - Markeringsfarve5 4 5 4 3 2" xfId="29239" xr:uid="{00000000-0005-0000-0000-000097830000}"/>
    <cellStyle name="40 % - Markeringsfarve5 4 5 4 3 3" xfId="44204" xr:uid="{00000000-0005-0000-0000-000098830000}"/>
    <cellStyle name="40 % - Markeringsfarve5 4 5 4 4" xfId="22217" xr:uid="{00000000-0005-0000-0000-000099830000}"/>
    <cellStyle name="40 % - Markeringsfarve5 4 5 4 5" xfId="37205" xr:uid="{00000000-0005-0000-0000-00009A830000}"/>
    <cellStyle name="40 % - Markeringsfarve5 4 5 5" xfId="6015" xr:uid="{00000000-0005-0000-0000-00009B830000}"/>
    <cellStyle name="40 % - Markeringsfarve5 4 5 5 2" xfId="13933" xr:uid="{00000000-0005-0000-0000-00009C830000}"/>
    <cellStyle name="40 % - Markeringsfarve5 4 5 5 2 2" xfId="30247" xr:uid="{00000000-0005-0000-0000-00009D830000}"/>
    <cellStyle name="40 % - Markeringsfarve5 4 5 5 2 3" xfId="45211" xr:uid="{00000000-0005-0000-0000-00009E830000}"/>
    <cellStyle name="40 % - Markeringsfarve5 4 5 5 3" xfId="23225" xr:uid="{00000000-0005-0000-0000-00009F830000}"/>
    <cellStyle name="40 % - Markeringsfarve5 4 5 5 4" xfId="38212" xr:uid="{00000000-0005-0000-0000-0000A0830000}"/>
    <cellStyle name="40 % - Markeringsfarve5 4 5 6" xfId="12916" xr:uid="{00000000-0005-0000-0000-0000A1830000}"/>
    <cellStyle name="40 % - Markeringsfarve5 4 5 6 2" xfId="29235" xr:uid="{00000000-0005-0000-0000-0000A2830000}"/>
    <cellStyle name="40 % - Markeringsfarve5 4 5 6 3" xfId="44200" xr:uid="{00000000-0005-0000-0000-0000A3830000}"/>
    <cellStyle name="40 % - Markeringsfarve5 4 5 7" xfId="22213" xr:uid="{00000000-0005-0000-0000-0000A4830000}"/>
    <cellStyle name="40 % - Markeringsfarve5 4 5 8" xfId="37201" xr:uid="{00000000-0005-0000-0000-0000A5830000}"/>
    <cellStyle name="40 % - Markeringsfarve5 4 6" xfId="4364" xr:uid="{00000000-0005-0000-0000-0000A6830000}"/>
    <cellStyle name="40 % - Markeringsfarve5 4 6 2" xfId="4365" xr:uid="{00000000-0005-0000-0000-0000A7830000}"/>
    <cellStyle name="40 % - Markeringsfarve5 4 6 2 2" xfId="4366" xr:uid="{00000000-0005-0000-0000-0000A8830000}"/>
    <cellStyle name="40 % - Markeringsfarve5 4 6 2 2 2" xfId="8177" xr:uid="{00000000-0005-0000-0000-0000A9830000}"/>
    <cellStyle name="40 % - Markeringsfarve5 4 6 2 2 2 2" xfId="16078" xr:uid="{00000000-0005-0000-0000-0000AA830000}"/>
    <cellStyle name="40 % - Markeringsfarve5 4 6 2 2 2 2 2" xfId="32392" xr:uid="{00000000-0005-0000-0000-0000AB830000}"/>
    <cellStyle name="40 % - Markeringsfarve5 4 6 2 2 2 2 3" xfId="47356" xr:uid="{00000000-0005-0000-0000-0000AC830000}"/>
    <cellStyle name="40 % - Markeringsfarve5 4 6 2 2 2 3" xfId="25370" xr:uid="{00000000-0005-0000-0000-0000AD830000}"/>
    <cellStyle name="40 % - Markeringsfarve5 4 6 2 2 2 4" xfId="40357" xr:uid="{00000000-0005-0000-0000-0000AE830000}"/>
    <cellStyle name="40 % - Markeringsfarve5 4 6 2 2 3" xfId="12923" xr:uid="{00000000-0005-0000-0000-0000AF830000}"/>
    <cellStyle name="40 % - Markeringsfarve5 4 6 2 2 3 2" xfId="29242" xr:uid="{00000000-0005-0000-0000-0000B0830000}"/>
    <cellStyle name="40 % - Markeringsfarve5 4 6 2 2 3 3" xfId="44207" xr:uid="{00000000-0005-0000-0000-0000B1830000}"/>
    <cellStyle name="40 % - Markeringsfarve5 4 6 2 2 4" xfId="22220" xr:uid="{00000000-0005-0000-0000-0000B2830000}"/>
    <cellStyle name="40 % - Markeringsfarve5 4 6 2 2 5" xfId="37208" xr:uid="{00000000-0005-0000-0000-0000B3830000}"/>
    <cellStyle name="40 % - Markeringsfarve5 4 6 2 3" xfId="6670" xr:uid="{00000000-0005-0000-0000-0000B4830000}"/>
    <cellStyle name="40 % - Markeringsfarve5 4 6 2 3 2" xfId="14584" xr:uid="{00000000-0005-0000-0000-0000B5830000}"/>
    <cellStyle name="40 % - Markeringsfarve5 4 6 2 3 2 2" xfId="30898" xr:uid="{00000000-0005-0000-0000-0000B6830000}"/>
    <cellStyle name="40 % - Markeringsfarve5 4 6 2 3 2 3" xfId="45862" xr:uid="{00000000-0005-0000-0000-0000B7830000}"/>
    <cellStyle name="40 % - Markeringsfarve5 4 6 2 3 3" xfId="23876" xr:uid="{00000000-0005-0000-0000-0000B8830000}"/>
    <cellStyle name="40 % - Markeringsfarve5 4 6 2 3 4" xfId="38863" xr:uid="{00000000-0005-0000-0000-0000B9830000}"/>
    <cellStyle name="40 % - Markeringsfarve5 4 6 2 4" xfId="12922" xr:uid="{00000000-0005-0000-0000-0000BA830000}"/>
    <cellStyle name="40 % - Markeringsfarve5 4 6 2 4 2" xfId="29241" xr:uid="{00000000-0005-0000-0000-0000BB830000}"/>
    <cellStyle name="40 % - Markeringsfarve5 4 6 2 4 3" xfId="44206" xr:uid="{00000000-0005-0000-0000-0000BC830000}"/>
    <cellStyle name="40 % - Markeringsfarve5 4 6 2 5" xfId="22219" xr:uid="{00000000-0005-0000-0000-0000BD830000}"/>
    <cellStyle name="40 % - Markeringsfarve5 4 6 2 6" xfId="37207" xr:uid="{00000000-0005-0000-0000-0000BE830000}"/>
    <cellStyle name="40 % - Markeringsfarve5 4 6 3" xfId="4367" xr:uid="{00000000-0005-0000-0000-0000BF830000}"/>
    <cellStyle name="40 % - Markeringsfarve5 4 6 3 2" xfId="7454" xr:uid="{00000000-0005-0000-0000-0000C0830000}"/>
    <cellStyle name="40 % - Markeringsfarve5 4 6 3 2 2" xfId="15364" xr:uid="{00000000-0005-0000-0000-0000C1830000}"/>
    <cellStyle name="40 % - Markeringsfarve5 4 6 3 2 2 2" xfId="31678" xr:uid="{00000000-0005-0000-0000-0000C2830000}"/>
    <cellStyle name="40 % - Markeringsfarve5 4 6 3 2 2 3" xfId="46642" xr:uid="{00000000-0005-0000-0000-0000C3830000}"/>
    <cellStyle name="40 % - Markeringsfarve5 4 6 3 2 3" xfId="24656" xr:uid="{00000000-0005-0000-0000-0000C4830000}"/>
    <cellStyle name="40 % - Markeringsfarve5 4 6 3 2 4" xfId="39643" xr:uid="{00000000-0005-0000-0000-0000C5830000}"/>
    <cellStyle name="40 % - Markeringsfarve5 4 6 3 3" xfId="12924" xr:uid="{00000000-0005-0000-0000-0000C6830000}"/>
    <cellStyle name="40 % - Markeringsfarve5 4 6 3 3 2" xfId="29243" xr:uid="{00000000-0005-0000-0000-0000C7830000}"/>
    <cellStyle name="40 % - Markeringsfarve5 4 6 3 3 3" xfId="44208" xr:uid="{00000000-0005-0000-0000-0000C8830000}"/>
    <cellStyle name="40 % - Markeringsfarve5 4 6 3 4" xfId="22221" xr:uid="{00000000-0005-0000-0000-0000C9830000}"/>
    <cellStyle name="40 % - Markeringsfarve5 4 6 3 5" xfId="37209" xr:uid="{00000000-0005-0000-0000-0000CA830000}"/>
    <cellStyle name="40 % - Markeringsfarve5 4 6 4" xfId="4368" xr:uid="{00000000-0005-0000-0000-0000CB830000}"/>
    <cellStyle name="40 % - Markeringsfarve5 4 6 4 2" xfId="8663" xr:uid="{00000000-0005-0000-0000-0000CC830000}"/>
    <cellStyle name="40 % - Markeringsfarve5 4 6 4 2 2" xfId="16546" xr:uid="{00000000-0005-0000-0000-0000CD830000}"/>
    <cellStyle name="40 % - Markeringsfarve5 4 6 4 2 2 2" xfId="32860" xr:uid="{00000000-0005-0000-0000-0000CE830000}"/>
    <cellStyle name="40 % - Markeringsfarve5 4 6 4 2 2 3" xfId="47824" xr:uid="{00000000-0005-0000-0000-0000CF830000}"/>
    <cellStyle name="40 % - Markeringsfarve5 4 6 4 2 3" xfId="25838" xr:uid="{00000000-0005-0000-0000-0000D0830000}"/>
    <cellStyle name="40 % - Markeringsfarve5 4 6 4 2 4" xfId="40825" xr:uid="{00000000-0005-0000-0000-0000D1830000}"/>
    <cellStyle name="40 % - Markeringsfarve5 4 6 4 3" xfId="12925" xr:uid="{00000000-0005-0000-0000-0000D2830000}"/>
    <cellStyle name="40 % - Markeringsfarve5 4 6 4 3 2" xfId="29244" xr:uid="{00000000-0005-0000-0000-0000D3830000}"/>
    <cellStyle name="40 % - Markeringsfarve5 4 6 4 3 3" xfId="44209" xr:uid="{00000000-0005-0000-0000-0000D4830000}"/>
    <cellStyle name="40 % - Markeringsfarve5 4 6 4 4" xfId="22222" xr:uid="{00000000-0005-0000-0000-0000D5830000}"/>
    <cellStyle name="40 % - Markeringsfarve5 4 6 4 5" xfId="37210" xr:uid="{00000000-0005-0000-0000-0000D6830000}"/>
    <cellStyle name="40 % - Markeringsfarve5 4 6 5" xfId="6016" xr:uid="{00000000-0005-0000-0000-0000D7830000}"/>
    <cellStyle name="40 % - Markeringsfarve5 4 6 5 2" xfId="13934" xr:uid="{00000000-0005-0000-0000-0000D8830000}"/>
    <cellStyle name="40 % - Markeringsfarve5 4 6 5 2 2" xfId="30248" xr:uid="{00000000-0005-0000-0000-0000D9830000}"/>
    <cellStyle name="40 % - Markeringsfarve5 4 6 5 2 3" xfId="45212" xr:uid="{00000000-0005-0000-0000-0000DA830000}"/>
    <cellStyle name="40 % - Markeringsfarve5 4 6 5 3" xfId="23226" xr:uid="{00000000-0005-0000-0000-0000DB830000}"/>
    <cellStyle name="40 % - Markeringsfarve5 4 6 5 4" xfId="38213" xr:uid="{00000000-0005-0000-0000-0000DC830000}"/>
    <cellStyle name="40 % - Markeringsfarve5 4 6 6" xfId="12921" xr:uid="{00000000-0005-0000-0000-0000DD830000}"/>
    <cellStyle name="40 % - Markeringsfarve5 4 6 6 2" xfId="29240" xr:uid="{00000000-0005-0000-0000-0000DE830000}"/>
    <cellStyle name="40 % - Markeringsfarve5 4 6 6 3" xfId="44205" xr:uid="{00000000-0005-0000-0000-0000DF830000}"/>
    <cellStyle name="40 % - Markeringsfarve5 4 6 7" xfId="22218" xr:uid="{00000000-0005-0000-0000-0000E0830000}"/>
    <cellStyle name="40 % - Markeringsfarve5 4 6 8" xfId="37206" xr:uid="{00000000-0005-0000-0000-0000E1830000}"/>
    <cellStyle name="40 % - Markeringsfarve5 4 7" xfId="4369" xr:uid="{00000000-0005-0000-0000-0000E2830000}"/>
    <cellStyle name="40 % - Markeringsfarve5 4 7 2" xfId="4370" xr:uid="{00000000-0005-0000-0000-0000E3830000}"/>
    <cellStyle name="40 % - Markeringsfarve5 4 7 2 2" xfId="7537" xr:uid="{00000000-0005-0000-0000-0000E4830000}"/>
    <cellStyle name="40 % - Markeringsfarve5 4 7 2 2 2" xfId="15438" xr:uid="{00000000-0005-0000-0000-0000E5830000}"/>
    <cellStyle name="40 % - Markeringsfarve5 4 7 2 2 2 2" xfId="31752" xr:uid="{00000000-0005-0000-0000-0000E6830000}"/>
    <cellStyle name="40 % - Markeringsfarve5 4 7 2 2 2 3" xfId="46716" xr:uid="{00000000-0005-0000-0000-0000E7830000}"/>
    <cellStyle name="40 % - Markeringsfarve5 4 7 2 2 3" xfId="24730" xr:uid="{00000000-0005-0000-0000-0000E8830000}"/>
    <cellStyle name="40 % - Markeringsfarve5 4 7 2 2 4" xfId="39717" xr:uid="{00000000-0005-0000-0000-0000E9830000}"/>
    <cellStyle name="40 % - Markeringsfarve5 4 7 2 3" xfId="12927" xr:uid="{00000000-0005-0000-0000-0000EA830000}"/>
    <cellStyle name="40 % - Markeringsfarve5 4 7 2 3 2" xfId="29246" xr:uid="{00000000-0005-0000-0000-0000EB830000}"/>
    <cellStyle name="40 % - Markeringsfarve5 4 7 2 3 3" xfId="44211" xr:uid="{00000000-0005-0000-0000-0000EC830000}"/>
    <cellStyle name="40 % - Markeringsfarve5 4 7 2 4" xfId="22224" xr:uid="{00000000-0005-0000-0000-0000ED830000}"/>
    <cellStyle name="40 % - Markeringsfarve5 4 7 2 5" xfId="37212" xr:uid="{00000000-0005-0000-0000-0000EE830000}"/>
    <cellStyle name="40 % - Markeringsfarve5 4 7 3" xfId="6132" xr:uid="{00000000-0005-0000-0000-0000EF830000}"/>
    <cellStyle name="40 % - Markeringsfarve5 4 7 3 2" xfId="14049" xr:uid="{00000000-0005-0000-0000-0000F0830000}"/>
    <cellStyle name="40 % - Markeringsfarve5 4 7 3 2 2" xfId="30363" xr:uid="{00000000-0005-0000-0000-0000F1830000}"/>
    <cellStyle name="40 % - Markeringsfarve5 4 7 3 2 3" xfId="45327" xr:uid="{00000000-0005-0000-0000-0000F2830000}"/>
    <cellStyle name="40 % - Markeringsfarve5 4 7 3 3" xfId="23341" xr:uid="{00000000-0005-0000-0000-0000F3830000}"/>
    <cellStyle name="40 % - Markeringsfarve5 4 7 3 4" xfId="38328" xr:uid="{00000000-0005-0000-0000-0000F4830000}"/>
    <cellStyle name="40 % - Markeringsfarve5 4 7 4" xfId="12926" xr:uid="{00000000-0005-0000-0000-0000F5830000}"/>
    <cellStyle name="40 % - Markeringsfarve5 4 7 4 2" xfId="29245" xr:uid="{00000000-0005-0000-0000-0000F6830000}"/>
    <cellStyle name="40 % - Markeringsfarve5 4 7 4 3" xfId="44210" xr:uid="{00000000-0005-0000-0000-0000F7830000}"/>
    <cellStyle name="40 % - Markeringsfarve5 4 7 5" xfId="22223" xr:uid="{00000000-0005-0000-0000-0000F8830000}"/>
    <cellStyle name="40 % - Markeringsfarve5 4 7 6" xfId="37211" xr:uid="{00000000-0005-0000-0000-0000F9830000}"/>
    <cellStyle name="40 % - Markeringsfarve5 4 8" xfId="4371" xr:uid="{00000000-0005-0000-0000-0000FA830000}"/>
    <cellStyle name="40 % - Markeringsfarve5 4 8 2" xfId="6765" xr:uid="{00000000-0005-0000-0000-0000FB830000}"/>
    <cellStyle name="40 % - Markeringsfarve5 4 8 2 2" xfId="14676" xr:uid="{00000000-0005-0000-0000-0000FC830000}"/>
    <cellStyle name="40 % - Markeringsfarve5 4 8 2 2 2" xfId="30990" xr:uid="{00000000-0005-0000-0000-0000FD830000}"/>
    <cellStyle name="40 % - Markeringsfarve5 4 8 2 2 3" xfId="45954" xr:uid="{00000000-0005-0000-0000-0000FE830000}"/>
    <cellStyle name="40 % - Markeringsfarve5 4 8 2 3" xfId="23968" xr:uid="{00000000-0005-0000-0000-0000FF830000}"/>
    <cellStyle name="40 % - Markeringsfarve5 4 8 2 4" xfId="38955" xr:uid="{00000000-0005-0000-0000-000000840000}"/>
    <cellStyle name="40 % - Markeringsfarve5 4 8 3" xfId="12928" xr:uid="{00000000-0005-0000-0000-000001840000}"/>
    <cellStyle name="40 % - Markeringsfarve5 4 8 3 2" xfId="29247" xr:uid="{00000000-0005-0000-0000-000002840000}"/>
    <cellStyle name="40 % - Markeringsfarve5 4 8 3 3" xfId="44212" xr:uid="{00000000-0005-0000-0000-000003840000}"/>
    <cellStyle name="40 % - Markeringsfarve5 4 8 4" xfId="22225" xr:uid="{00000000-0005-0000-0000-000004840000}"/>
    <cellStyle name="40 % - Markeringsfarve5 4 8 5" xfId="37213" xr:uid="{00000000-0005-0000-0000-000005840000}"/>
    <cellStyle name="40 % - Markeringsfarve5 4 9" xfId="4372" xr:uid="{00000000-0005-0000-0000-000006840000}"/>
    <cellStyle name="40 % - Markeringsfarve5 4 9 2" xfId="7092" xr:uid="{00000000-0005-0000-0000-000007840000}"/>
    <cellStyle name="40 % - Markeringsfarve5 4 9 2 2" xfId="15002" xr:uid="{00000000-0005-0000-0000-000008840000}"/>
    <cellStyle name="40 % - Markeringsfarve5 4 9 2 2 2" xfId="31316" xr:uid="{00000000-0005-0000-0000-000009840000}"/>
    <cellStyle name="40 % - Markeringsfarve5 4 9 2 2 3" xfId="46280" xr:uid="{00000000-0005-0000-0000-00000A840000}"/>
    <cellStyle name="40 % - Markeringsfarve5 4 9 2 3" xfId="24294" xr:uid="{00000000-0005-0000-0000-00000B840000}"/>
    <cellStyle name="40 % - Markeringsfarve5 4 9 2 4" xfId="39281" xr:uid="{00000000-0005-0000-0000-00000C840000}"/>
    <cellStyle name="40 % - Markeringsfarve5 4 9 3" xfId="12929" xr:uid="{00000000-0005-0000-0000-00000D840000}"/>
    <cellStyle name="40 % - Markeringsfarve5 4 9 3 2" xfId="29248" xr:uid="{00000000-0005-0000-0000-00000E840000}"/>
    <cellStyle name="40 % - Markeringsfarve5 4 9 3 3" xfId="44213" xr:uid="{00000000-0005-0000-0000-00000F840000}"/>
    <cellStyle name="40 % - Markeringsfarve5 4 9 4" xfId="22226" xr:uid="{00000000-0005-0000-0000-000010840000}"/>
    <cellStyle name="40 % - Markeringsfarve5 4 9 5" xfId="37214" xr:uid="{00000000-0005-0000-0000-000011840000}"/>
    <cellStyle name="40 % - Markeringsfarve5 5" xfId="4373" xr:uid="{00000000-0005-0000-0000-000012840000}"/>
    <cellStyle name="40 % - Markeringsfarve5 5 10" xfId="6017" xr:uid="{00000000-0005-0000-0000-000013840000}"/>
    <cellStyle name="40 % - Markeringsfarve5 5 10 2" xfId="13935" xr:uid="{00000000-0005-0000-0000-000014840000}"/>
    <cellStyle name="40 % - Markeringsfarve5 5 10 2 2" xfId="30249" xr:uid="{00000000-0005-0000-0000-000015840000}"/>
    <cellStyle name="40 % - Markeringsfarve5 5 10 2 3" xfId="45213" xr:uid="{00000000-0005-0000-0000-000016840000}"/>
    <cellStyle name="40 % - Markeringsfarve5 5 10 3" xfId="23227" xr:uid="{00000000-0005-0000-0000-000017840000}"/>
    <cellStyle name="40 % - Markeringsfarve5 5 10 4" xfId="38214" xr:uid="{00000000-0005-0000-0000-000018840000}"/>
    <cellStyle name="40 % - Markeringsfarve5 5 11" xfId="12930" xr:uid="{00000000-0005-0000-0000-000019840000}"/>
    <cellStyle name="40 % - Markeringsfarve5 5 11 2" xfId="29249" xr:uid="{00000000-0005-0000-0000-00001A840000}"/>
    <cellStyle name="40 % - Markeringsfarve5 5 11 3" xfId="44214" xr:uid="{00000000-0005-0000-0000-00001B840000}"/>
    <cellStyle name="40 % - Markeringsfarve5 5 12" xfId="22227" xr:uid="{00000000-0005-0000-0000-00001C840000}"/>
    <cellStyle name="40 % - Markeringsfarve5 5 13" xfId="37215" xr:uid="{00000000-0005-0000-0000-00001D840000}"/>
    <cellStyle name="40 % - Markeringsfarve5 5 14" xfId="53397" xr:uid="{00000000-0005-0000-0000-00001E840000}"/>
    <cellStyle name="40 % - Markeringsfarve5 5 2" xfId="4374" xr:uid="{00000000-0005-0000-0000-00001F840000}"/>
    <cellStyle name="40 % - Markeringsfarve5 5 2 2" xfId="4375" xr:uid="{00000000-0005-0000-0000-000020840000}"/>
    <cellStyle name="40 % - Markeringsfarve5 5 2 2 2" xfId="4376" xr:uid="{00000000-0005-0000-0000-000021840000}"/>
    <cellStyle name="40 % - Markeringsfarve5 5 2 2 2 2" xfId="7695" xr:uid="{00000000-0005-0000-0000-000022840000}"/>
    <cellStyle name="40 % - Markeringsfarve5 5 2 2 2 2 2" xfId="15596" xr:uid="{00000000-0005-0000-0000-000023840000}"/>
    <cellStyle name="40 % - Markeringsfarve5 5 2 2 2 2 2 2" xfId="31910" xr:uid="{00000000-0005-0000-0000-000024840000}"/>
    <cellStyle name="40 % - Markeringsfarve5 5 2 2 2 2 2 3" xfId="46874" xr:uid="{00000000-0005-0000-0000-000025840000}"/>
    <cellStyle name="40 % - Markeringsfarve5 5 2 2 2 2 3" xfId="24888" xr:uid="{00000000-0005-0000-0000-000026840000}"/>
    <cellStyle name="40 % - Markeringsfarve5 5 2 2 2 2 4" xfId="39875" xr:uid="{00000000-0005-0000-0000-000027840000}"/>
    <cellStyle name="40 % - Markeringsfarve5 5 2 2 2 3" xfId="12933" xr:uid="{00000000-0005-0000-0000-000028840000}"/>
    <cellStyle name="40 % - Markeringsfarve5 5 2 2 2 3 2" xfId="29252" xr:uid="{00000000-0005-0000-0000-000029840000}"/>
    <cellStyle name="40 % - Markeringsfarve5 5 2 2 2 3 3" xfId="44217" xr:uid="{00000000-0005-0000-0000-00002A840000}"/>
    <cellStyle name="40 % - Markeringsfarve5 5 2 2 2 4" xfId="22230" xr:uid="{00000000-0005-0000-0000-00002B840000}"/>
    <cellStyle name="40 % - Markeringsfarve5 5 2 2 2 5" xfId="37218" xr:uid="{00000000-0005-0000-0000-00002C840000}"/>
    <cellStyle name="40 % - Markeringsfarve5 5 2 2 3" xfId="6264" xr:uid="{00000000-0005-0000-0000-00002D840000}"/>
    <cellStyle name="40 % - Markeringsfarve5 5 2 2 3 2" xfId="14181" xr:uid="{00000000-0005-0000-0000-00002E840000}"/>
    <cellStyle name="40 % - Markeringsfarve5 5 2 2 3 2 2" xfId="30495" xr:uid="{00000000-0005-0000-0000-00002F840000}"/>
    <cellStyle name="40 % - Markeringsfarve5 5 2 2 3 2 3" xfId="45459" xr:uid="{00000000-0005-0000-0000-000030840000}"/>
    <cellStyle name="40 % - Markeringsfarve5 5 2 2 3 3" xfId="23473" xr:uid="{00000000-0005-0000-0000-000031840000}"/>
    <cellStyle name="40 % - Markeringsfarve5 5 2 2 3 4" xfId="38460" xr:uid="{00000000-0005-0000-0000-000032840000}"/>
    <cellStyle name="40 % - Markeringsfarve5 5 2 2 4" xfId="12932" xr:uid="{00000000-0005-0000-0000-000033840000}"/>
    <cellStyle name="40 % - Markeringsfarve5 5 2 2 4 2" xfId="29251" xr:uid="{00000000-0005-0000-0000-000034840000}"/>
    <cellStyle name="40 % - Markeringsfarve5 5 2 2 4 3" xfId="44216" xr:uid="{00000000-0005-0000-0000-000035840000}"/>
    <cellStyle name="40 % - Markeringsfarve5 5 2 2 5" xfId="22229" xr:uid="{00000000-0005-0000-0000-000036840000}"/>
    <cellStyle name="40 % - Markeringsfarve5 5 2 2 6" xfId="37217" xr:uid="{00000000-0005-0000-0000-000037840000}"/>
    <cellStyle name="40 % - Markeringsfarve5 5 2 2 7" xfId="57201" xr:uid="{00000000-0005-0000-0000-000038840000}"/>
    <cellStyle name="40 % - Markeringsfarve5 5 2 3" xfId="4377" xr:uid="{00000000-0005-0000-0000-000039840000}"/>
    <cellStyle name="40 % - Markeringsfarve5 5 2 3 2" xfId="6925" xr:uid="{00000000-0005-0000-0000-00003A840000}"/>
    <cellStyle name="40 % - Markeringsfarve5 5 2 3 2 2" xfId="14836" xr:uid="{00000000-0005-0000-0000-00003B840000}"/>
    <cellStyle name="40 % - Markeringsfarve5 5 2 3 2 2 2" xfId="31150" xr:uid="{00000000-0005-0000-0000-00003C840000}"/>
    <cellStyle name="40 % - Markeringsfarve5 5 2 3 2 2 3" xfId="46114" xr:uid="{00000000-0005-0000-0000-00003D840000}"/>
    <cellStyle name="40 % - Markeringsfarve5 5 2 3 2 3" xfId="24128" xr:uid="{00000000-0005-0000-0000-00003E840000}"/>
    <cellStyle name="40 % - Markeringsfarve5 5 2 3 2 4" xfId="39115" xr:uid="{00000000-0005-0000-0000-00003F840000}"/>
    <cellStyle name="40 % - Markeringsfarve5 5 2 3 3" xfId="12934" xr:uid="{00000000-0005-0000-0000-000040840000}"/>
    <cellStyle name="40 % - Markeringsfarve5 5 2 3 3 2" xfId="29253" xr:uid="{00000000-0005-0000-0000-000041840000}"/>
    <cellStyle name="40 % - Markeringsfarve5 5 2 3 3 3" xfId="44218" xr:uid="{00000000-0005-0000-0000-000042840000}"/>
    <cellStyle name="40 % - Markeringsfarve5 5 2 3 4" xfId="22231" xr:uid="{00000000-0005-0000-0000-000043840000}"/>
    <cellStyle name="40 % - Markeringsfarve5 5 2 3 5" xfId="37219" xr:uid="{00000000-0005-0000-0000-000044840000}"/>
    <cellStyle name="40 % - Markeringsfarve5 5 2 4" xfId="4378" xr:uid="{00000000-0005-0000-0000-000045840000}"/>
    <cellStyle name="40 % - Markeringsfarve5 5 2 4 2" xfId="8572" xr:uid="{00000000-0005-0000-0000-000046840000}"/>
    <cellStyle name="40 % - Markeringsfarve5 5 2 4 2 2" xfId="16459" xr:uid="{00000000-0005-0000-0000-000047840000}"/>
    <cellStyle name="40 % - Markeringsfarve5 5 2 4 2 2 2" xfId="32773" xr:uid="{00000000-0005-0000-0000-000048840000}"/>
    <cellStyle name="40 % - Markeringsfarve5 5 2 4 2 2 3" xfId="47737" xr:uid="{00000000-0005-0000-0000-000049840000}"/>
    <cellStyle name="40 % - Markeringsfarve5 5 2 4 2 3" xfId="25751" xr:uid="{00000000-0005-0000-0000-00004A840000}"/>
    <cellStyle name="40 % - Markeringsfarve5 5 2 4 2 4" xfId="40738" xr:uid="{00000000-0005-0000-0000-00004B840000}"/>
    <cellStyle name="40 % - Markeringsfarve5 5 2 4 3" xfId="12935" xr:uid="{00000000-0005-0000-0000-00004C840000}"/>
    <cellStyle name="40 % - Markeringsfarve5 5 2 4 3 2" xfId="29254" xr:uid="{00000000-0005-0000-0000-00004D840000}"/>
    <cellStyle name="40 % - Markeringsfarve5 5 2 4 3 3" xfId="44219" xr:uid="{00000000-0005-0000-0000-00004E840000}"/>
    <cellStyle name="40 % - Markeringsfarve5 5 2 4 4" xfId="22232" xr:uid="{00000000-0005-0000-0000-00004F840000}"/>
    <cellStyle name="40 % - Markeringsfarve5 5 2 4 5" xfId="37220" xr:uid="{00000000-0005-0000-0000-000050840000}"/>
    <cellStyle name="40 % - Markeringsfarve5 5 2 5" xfId="6018" xr:uid="{00000000-0005-0000-0000-000051840000}"/>
    <cellStyle name="40 % - Markeringsfarve5 5 2 5 2" xfId="13936" xr:uid="{00000000-0005-0000-0000-000052840000}"/>
    <cellStyle name="40 % - Markeringsfarve5 5 2 5 2 2" xfId="30250" xr:uid="{00000000-0005-0000-0000-000053840000}"/>
    <cellStyle name="40 % - Markeringsfarve5 5 2 5 2 3" xfId="45214" xr:uid="{00000000-0005-0000-0000-000054840000}"/>
    <cellStyle name="40 % - Markeringsfarve5 5 2 5 3" xfId="23228" xr:uid="{00000000-0005-0000-0000-000055840000}"/>
    <cellStyle name="40 % - Markeringsfarve5 5 2 5 4" xfId="38215" xr:uid="{00000000-0005-0000-0000-000056840000}"/>
    <cellStyle name="40 % - Markeringsfarve5 5 2 6" xfId="12931" xr:uid="{00000000-0005-0000-0000-000057840000}"/>
    <cellStyle name="40 % - Markeringsfarve5 5 2 6 2" xfId="29250" xr:uid="{00000000-0005-0000-0000-000058840000}"/>
    <cellStyle name="40 % - Markeringsfarve5 5 2 6 3" xfId="44215" xr:uid="{00000000-0005-0000-0000-000059840000}"/>
    <cellStyle name="40 % - Markeringsfarve5 5 2 7" xfId="22228" xr:uid="{00000000-0005-0000-0000-00005A840000}"/>
    <cellStyle name="40 % - Markeringsfarve5 5 2 8" xfId="37216" xr:uid="{00000000-0005-0000-0000-00005B840000}"/>
    <cellStyle name="40 % - Markeringsfarve5 5 2 9" xfId="54034" xr:uid="{00000000-0005-0000-0000-00005C840000}"/>
    <cellStyle name="40 % - Markeringsfarve5 5 3" xfId="4379" xr:uid="{00000000-0005-0000-0000-00005D840000}"/>
    <cellStyle name="40 % - Markeringsfarve5 5 3 2" xfId="4380" xr:uid="{00000000-0005-0000-0000-00005E840000}"/>
    <cellStyle name="40 % - Markeringsfarve5 5 3 2 2" xfId="4381" xr:uid="{00000000-0005-0000-0000-00005F840000}"/>
    <cellStyle name="40 % - Markeringsfarve5 5 3 2 2 2" xfId="7824" xr:uid="{00000000-0005-0000-0000-000060840000}"/>
    <cellStyle name="40 % - Markeringsfarve5 5 3 2 2 2 2" xfId="15725" xr:uid="{00000000-0005-0000-0000-000061840000}"/>
    <cellStyle name="40 % - Markeringsfarve5 5 3 2 2 2 2 2" xfId="32039" xr:uid="{00000000-0005-0000-0000-000062840000}"/>
    <cellStyle name="40 % - Markeringsfarve5 5 3 2 2 2 2 3" xfId="47003" xr:uid="{00000000-0005-0000-0000-000063840000}"/>
    <cellStyle name="40 % - Markeringsfarve5 5 3 2 2 2 3" xfId="25017" xr:uid="{00000000-0005-0000-0000-000064840000}"/>
    <cellStyle name="40 % - Markeringsfarve5 5 3 2 2 2 4" xfId="40004" xr:uid="{00000000-0005-0000-0000-000065840000}"/>
    <cellStyle name="40 % - Markeringsfarve5 5 3 2 2 3" xfId="12938" xr:uid="{00000000-0005-0000-0000-000066840000}"/>
    <cellStyle name="40 % - Markeringsfarve5 5 3 2 2 3 2" xfId="29257" xr:uid="{00000000-0005-0000-0000-000067840000}"/>
    <cellStyle name="40 % - Markeringsfarve5 5 3 2 2 3 3" xfId="44222" xr:uid="{00000000-0005-0000-0000-000068840000}"/>
    <cellStyle name="40 % - Markeringsfarve5 5 3 2 2 4" xfId="22235" xr:uid="{00000000-0005-0000-0000-000069840000}"/>
    <cellStyle name="40 % - Markeringsfarve5 5 3 2 2 5" xfId="37223" xr:uid="{00000000-0005-0000-0000-00006A840000}"/>
    <cellStyle name="40 % - Markeringsfarve5 5 3 2 3" xfId="6370" xr:uid="{00000000-0005-0000-0000-00006B840000}"/>
    <cellStyle name="40 % - Markeringsfarve5 5 3 2 3 2" xfId="14287" xr:uid="{00000000-0005-0000-0000-00006C840000}"/>
    <cellStyle name="40 % - Markeringsfarve5 5 3 2 3 2 2" xfId="30601" xr:uid="{00000000-0005-0000-0000-00006D840000}"/>
    <cellStyle name="40 % - Markeringsfarve5 5 3 2 3 2 3" xfId="45565" xr:uid="{00000000-0005-0000-0000-00006E840000}"/>
    <cellStyle name="40 % - Markeringsfarve5 5 3 2 3 3" xfId="23579" xr:uid="{00000000-0005-0000-0000-00006F840000}"/>
    <cellStyle name="40 % - Markeringsfarve5 5 3 2 3 4" xfId="38566" xr:uid="{00000000-0005-0000-0000-000070840000}"/>
    <cellStyle name="40 % - Markeringsfarve5 5 3 2 4" xfId="12937" xr:uid="{00000000-0005-0000-0000-000071840000}"/>
    <cellStyle name="40 % - Markeringsfarve5 5 3 2 4 2" xfId="29256" xr:uid="{00000000-0005-0000-0000-000072840000}"/>
    <cellStyle name="40 % - Markeringsfarve5 5 3 2 4 3" xfId="44221" xr:uid="{00000000-0005-0000-0000-000073840000}"/>
    <cellStyle name="40 % - Markeringsfarve5 5 3 2 5" xfId="22234" xr:uid="{00000000-0005-0000-0000-000074840000}"/>
    <cellStyle name="40 % - Markeringsfarve5 5 3 2 6" xfId="37222" xr:uid="{00000000-0005-0000-0000-000075840000}"/>
    <cellStyle name="40 % - Markeringsfarve5 5 3 3" xfId="4382" xr:uid="{00000000-0005-0000-0000-000076840000}"/>
    <cellStyle name="40 % - Markeringsfarve5 5 3 3 2" xfId="7054" xr:uid="{00000000-0005-0000-0000-000077840000}"/>
    <cellStyle name="40 % - Markeringsfarve5 5 3 3 2 2" xfId="14965" xr:uid="{00000000-0005-0000-0000-000078840000}"/>
    <cellStyle name="40 % - Markeringsfarve5 5 3 3 2 2 2" xfId="31279" xr:uid="{00000000-0005-0000-0000-000079840000}"/>
    <cellStyle name="40 % - Markeringsfarve5 5 3 3 2 2 3" xfId="46243" xr:uid="{00000000-0005-0000-0000-00007A840000}"/>
    <cellStyle name="40 % - Markeringsfarve5 5 3 3 2 3" xfId="24257" xr:uid="{00000000-0005-0000-0000-00007B840000}"/>
    <cellStyle name="40 % - Markeringsfarve5 5 3 3 2 4" xfId="39244" xr:uid="{00000000-0005-0000-0000-00007C840000}"/>
    <cellStyle name="40 % - Markeringsfarve5 5 3 3 3" xfId="12939" xr:uid="{00000000-0005-0000-0000-00007D840000}"/>
    <cellStyle name="40 % - Markeringsfarve5 5 3 3 3 2" xfId="29258" xr:uid="{00000000-0005-0000-0000-00007E840000}"/>
    <cellStyle name="40 % - Markeringsfarve5 5 3 3 3 3" xfId="44223" xr:uid="{00000000-0005-0000-0000-00007F840000}"/>
    <cellStyle name="40 % - Markeringsfarve5 5 3 3 4" xfId="22236" xr:uid="{00000000-0005-0000-0000-000080840000}"/>
    <cellStyle name="40 % - Markeringsfarve5 5 3 3 5" xfId="37224" xr:uid="{00000000-0005-0000-0000-000081840000}"/>
    <cellStyle name="40 % - Markeringsfarve5 5 3 4" xfId="4383" xr:uid="{00000000-0005-0000-0000-000082840000}"/>
    <cellStyle name="40 % - Markeringsfarve5 5 3 4 2" xfId="8627" xr:uid="{00000000-0005-0000-0000-000083840000}"/>
    <cellStyle name="40 % - Markeringsfarve5 5 3 4 2 2" xfId="16510" xr:uid="{00000000-0005-0000-0000-000084840000}"/>
    <cellStyle name="40 % - Markeringsfarve5 5 3 4 2 2 2" xfId="32824" xr:uid="{00000000-0005-0000-0000-000085840000}"/>
    <cellStyle name="40 % - Markeringsfarve5 5 3 4 2 2 3" xfId="47788" xr:uid="{00000000-0005-0000-0000-000086840000}"/>
    <cellStyle name="40 % - Markeringsfarve5 5 3 4 2 3" xfId="25802" xr:uid="{00000000-0005-0000-0000-000087840000}"/>
    <cellStyle name="40 % - Markeringsfarve5 5 3 4 2 4" xfId="40789" xr:uid="{00000000-0005-0000-0000-000088840000}"/>
    <cellStyle name="40 % - Markeringsfarve5 5 3 4 3" xfId="12940" xr:uid="{00000000-0005-0000-0000-000089840000}"/>
    <cellStyle name="40 % - Markeringsfarve5 5 3 4 3 2" xfId="29259" xr:uid="{00000000-0005-0000-0000-00008A840000}"/>
    <cellStyle name="40 % - Markeringsfarve5 5 3 4 3 3" xfId="44224" xr:uid="{00000000-0005-0000-0000-00008B840000}"/>
    <cellStyle name="40 % - Markeringsfarve5 5 3 4 4" xfId="22237" xr:uid="{00000000-0005-0000-0000-00008C840000}"/>
    <cellStyle name="40 % - Markeringsfarve5 5 3 4 5" xfId="37225" xr:uid="{00000000-0005-0000-0000-00008D840000}"/>
    <cellStyle name="40 % - Markeringsfarve5 5 3 5" xfId="6019" xr:uid="{00000000-0005-0000-0000-00008E840000}"/>
    <cellStyle name="40 % - Markeringsfarve5 5 3 5 2" xfId="13937" xr:uid="{00000000-0005-0000-0000-00008F840000}"/>
    <cellStyle name="40 % - Markeringsfarve5 5 3 5 2 2" xfId="30251" xr:uid="{00000000-0005-0000-0000-000090840000}"/>
    <cellStyle name="40 % - Markeringsfarve5 5 3 5 2 3" xfId="45215" xr:uid="{00000000-0005-0000-0000-000091840000}"/>
    <cellStyle name="40 % - Markeringsfarve5 5 3 5 3" xfId="23229" xr:uid="{00000000-0005-0000-0000-000092840000}"/>
    <cellStyle name="40 % - Markeringsfarve5 5 3 5 4" xfId="38216" xr:uid="{00000000-0005-0000-0000-000093840000}"/>
    <cellStyle name="40 % - Markeringsfarve5 5 3 6" xfId="12936" xr:uid="{00000000-0005-0000-0000-000094840000}"/>
    <cellStyle name="40 % - Markeringsfarve5 5 3 6 2" xfId="29255" xr:uid="{00000000-0005-0000-0000-000095840000}"/>
    <cellStyle name="40 % - Markeringsfarve5 5 3 6 3" xfId="44220" xr:uid="{00000000-0005-0000-0000-000096840000}"/>
    <cellStyle name="40 % - Markeringsfarve5 5 3 7" xfId="22233" xr:uid="{00000000-0005-0000-0000-000097840000}"/>
    <cellStyle name="40 % - Markeringsfarve5 5 3 8" xfId="37221" xr:uid="{00000000-0005-0000-0000-000098840000}"/>
    <cellStyle name="40 % - Markeringsfarve5 5 3 9" xfId="56578" xr:uid="{00000000-0005-0000-0000-000099840000}"/>
    <cellStyle name="40 % - Markeringsfarve5 5 4" xfId="4384" xr:uid="{00000000-0005-0000-0000-00009A840000}"/>
    <cellStyle name="40 % - Markeringsfarve5 5 4 2" xfId="4385" xr:uid="{00000000-0005-0000-0000-00009B840000}"/>
    <cellStyle name="40 % - Markeringsfarve5 5 4 2 2" xfId="4386" xr:uid="{00000000-0005-0000-0000-00009C840000}"/>
    <cellStyle name="40 % - Markeringsfarve5 5 4 2 2 2" xfId="7933" xr:uid="{00000000-0005-0000-0000-00009D840000}"/>
    <cellStyle name="40 % - Markeringsfarve5 5 4 2 2 2 2" xfId="15834" xr:uid="{00000000-0005-0000-0000-00009E840000}"/>
    <cellStyle name="40 % - Markeringsfarve5 5 4 2 2 2 2 2" xfId="32148" xr:uid="{00000000-0005-0000-0000-00009F840000}"/>
    <cellStyle name="40 % - Markeringsfarve5 5 4 2 2 2 2 3" xfId="47112" xr:uid="{00000000-0005-0000-0000-0000A0840000}"/>
    <cellStyle name="40 % - Markeringsfarve5 5 4 2 2 2 3" xfId="25126" xr:uid="{00000000-0005-0000-0000-0000A1840000}"/>
    <cellStyle name="40 % - Markeringsfarve5 5 4 2 2 2 4" xfId="40113" xr:uid="{00000000-0005-0000-0000-0000A2840000}"/>
    <cellStyle name="40 % - Markeringsfarve5 5 4 2 2 3" xfId="12943" xr:uid="{00000000-0005-0000-0000-0000A3840000}"/>
    <cellStyle name="40 % - Markeringsfarve5 5 4 2 2 3 2" xfId="29262" xr:uid="{00000000-0005-0000-0000-0000A4840000}"/>
    <cellStyle name="40 % - Markeringsfarve5 5 4 2 2 3 3" xfId="44227" xr:uid="{00000000-0005-0000-0000-0000A5840000}"/>
    <cellStyle name="40 % - Markeringsfarve5 5 4 2 2 4" xfId="22240" xr:uid="{00000000-0005-0000-0000-0000A6840000}"/>
    <cellStyle name="40 % - Markeringsfarve5 5 4 2 2 5" xfId="37228" xr:uid="{00000000-0005-0000-0000-0000A7840000}"/>
    <cellStyle name="40 % - Markeringsfarve5 5 4 2 3" xfId="6466" xr:uid="{00000000-0005-0000-0000-0000A8840000}"/>
    <cellStyle name="40 % - Markeringsfarve5 5 4 2 3 2" xfId="14380" xr:uid="{00000000-0005-0000-0000-0000A9840000}"/>
    <cellStyle name="40 % - Markeringsfarve5 5 4 2 3 2 2" xfId="30694" xr:uid="{00000000-0005-0000-0000-0000AA840000}"/>
    <cellStyle name="40 % - Markeringsfarve5 5 4 2 3 2 3" xfId="45658" xr:uid="{00000000-0005-0000-0000-0000AB840000}"/>
    <cellStyle name="40 % - Markeringsfarve5 5 4 2 3 3" xfId="23672" xr:uid="{00000000-0005-0000-0000-0000AC840000}"/>
    <cellStyle name="40 % - Markeringsfarve5 5 4 2 3 4" xfId="38659" xr:uid="{00000000-0005-0000-0000-0000AD840000}"/>
    <cellStyle name="40 % - Markeringsfarve5 5 4 2 4" xfId="12942" xr:uid="{00000000-0005-0000-0000-0000AE840000}"/>
    <cellStyle name="40 % - Markeringsfarve5 5 4 2 4 2" xfId="29261" xr:uid="{00000000-0005-0000-0000-0000AF840000}"/>
    <cellStyle name="40 % - Markeringsfarve5 5 4 2 4 3" xfId="44226" xr:uid="{00000000-0005-0000-0000-0000B0840000}"/>
    <cellStyle name="40 % - Markeringsfarve5 5 4 2 5" xfId="22239" xr:uid="{00000000-0005-0000-0000-0000B1840000}"/>
    <cellStyle name="40 % - Markeringsfarve5 5 4 2 6" xfId="37227" xr:uid="{00000000-0005-0000-0000-0000B2840000}"/>
    <cellStyle name="40 % - Markeringsfarve5 5 4 3" xfId="4387" xr:uid="{00000000-0005-0000-0000-0000B3840000}"/>
    <cellStyle name="40 % - Markeringsfarve5 5 4 3 2" xfId="7209" xr:uid="{00000000-0005-0000-0000-0000B4840000}"/>
    <cellStyle name="40 % - Markeringsfarve5 5 4 3 2 2" xfId="15119" xr:uid="{00000000-0005-0000-0000-0000B5840000}"/>
    <cellStyle name="40 % - Markeringsfarve5 5 4 3 2 2 2" xfId="31433" xr:uid="{00000000-0005-0000-0000-0000B6840000}"/>
    <cellStyle name="40 % - Markeringsfarve5 5 4 3 2 2 3" xfId="46397" xr:uid="{00000000-0005-0000-0000-0000B7840000}"/>
    <cellStyle name="40 % - Markeringsfarve5 5 4 3 2 3" xfId="24411" xr:uid="{00000000-0005-0000-0000-0000B8840000}"/>
    <cellStyle name="40 % - Markeringsfarve5 5 4 3 2 4" xfId="39398" xr:uid="{00000000-0005-0000-0000-0000B9840000}"/>
    <cellStyle name="40 % - Markeringsfarve5 5 4 3 3" xfId="12944" xr:uid="{00000000-0005-0000-0000-0000BA840000}"/>
    <cellStyle name="40 % - Markeringsfarve5 5 4 3 3 2" xfId="29263" xr:uid="{00000000-0005-0000-0000-0000BB840000}"/>
    <cellStyle name="40 % - Markeringsfarve5 5 4 3 3 3" xfId="44228" xr:uid="{00000000-0005-0000-0000-0000BC840000}"/>
    <cellStyle name="40 % - Markeringsfarve5 5 4 3 4" xfId="22241" xr:uid="{00000000-0005-0000-0000-0000BD840000}"/>
    <cellStyle name="40 % - Markeringsfarve5 5 4 3 5" xfId="37229" xr:uid="{00000000-0005-0000-0000-0000BE840000}"/>
    <cellStyle name="40 % - Markeringsfarve5 5 4 4" xfId="4388" xr:uid="{00000000-0005-0000-0000-0000BF840000}"/>
    <cellStyle name="40 % - Markeringsfarve5 5 4 4 2" xfId="8277" xr:uid="{00000000-0005-0000-0000-0000C0840000}"/>
    <cellStyle name="40 % - Markeringsfarve5 5 4 4 2 2" xfId="16171" xr:uid="{00000000-0005-0000-0000-0000C1840000}"/>
    <cellStyle name="40 % - Markeringsfarve5 5 4 4 2 2 2" xfId="32485" xr:uid="{00000000-0005-0000-0000-0000C2840000}"/>
    <cellStyle name="40 % - Markeringsfarve5 5 4 4 2 2 3" xfId="47449" xr:uid="{00000000-0005-0000-0000-0000C3840000}"/>
    <cellStyle name="40 % - Markeringsfarve5 5 4 4 2 3" xfId="25463" xr:uid="{00000000-0005-0000-0000-0000C4840000}"/>
    <cellStyle name="40 % - Markeringsfarve5 5 4 4 2 4" xfId="40450" xr:uid="{00000000-0005-0000-0000-0000C5840000}"/>
    <cellStyle name="40 % - Markeringsfarve5 5 4 4 3" xfId="12945" xr:uid="{00000000-0005-0000-0000-0000C6840000}"/>
    <cellStyle name="40 % - Markeringsfarve5 5 4 4 3 2" xfId="29264" xr:uid="{00000000-0005-0000-0000-0000C7840000}"/>
    <cellStyle name="40 % - Markeringsfarve5 5 4 4 3 3" xfId="44229" xr:uid="{00000000-0005-0000-0000-0000C8840000}"/>
    <cellStyle name="40 % - Markeringsfarve5 5 4 4 4" xfId="22242" xr:uid="{00000000-0005-0000-0000-0000C9840000}"/>
    <cellStyle name="40 % - Markeringsfarve5 5 4 4 5" xfId="37230" xr:uid="{00000000-0005-0000-0000-0000CA840000}"/>
    <cellStyle name="40 % - Markeringsfarve5 5 4 5" xfId="6020" xr:uid="{00000000-0005-0000-0000-0000CB840000}"/>
    <cellStyle name="40 % - Markeringsfarve5 5 4 5 2" xfId="13938" xr:uid="{00000000-0005-0000-0000-0000CC840000}"/>
    <cellStyle name="40 % - Markeringsfarve5 5 4 5 2 2" xfId="30252" xr:uid="{00000000-0005-0000-0000-0000CD840000}"/>
    <cellStyle name="40 % - Markeringsfarve5 5 4 5 2 3" xfId="45216" xr:uid="{00000000-0005-0000-0000-0000CE840000}"/>
    <cellStyle name="40 % - Markeringsfarve5 5 4 5 3" xfId="23230" xr:uid="{00000000-0005-0000-0000-0000CF840000}"/>
    <cellStyle name="40 % - Markeringsfarve5 5 4 5 4" xfId="38217" xr:uid="{00000000-0005-0000-0000-0000D0840000}"/>
    <cellStyle name="40 % - Markeringsfarve5 5 4 6" xfId="12941" xr:uid="{00000000-0005-0000-0000-0000D1840000}"/>
    <cellStyle name="40 % - Markeringsfarve5 5 4 6 2" xfId="29260" xr:uid="{00000000-0005-0000-0000-0000D2840000}"/>
    <cellStyle name="40 % - Markeringsfarve5 5 4 6 3" xfId="44225" xr:uid="{00000000-0005-0000-0000-0000D3840000}"/>
    <cellStyle name="40 % - Markeringsfarve5 5 4 7" xfId="22238" xr:uid="{00000000-0005-0000-0000-0000D4840000}"/>
    <cellStyle name="40 % - Markeringsfarve5 5 4 8" xfId="37226" xr:uid="{00000000-0005-0000-0000-0000D5840000}"/>
    <cellStyle name="40 % - Markeringsfarve5 5 5" xfId="4389" xr:uid="{00000000-0005-0000-0000-0000D6840000}"/>
    <cellStyle name="40 % - Markeringsfarve5 5 5 2" xfId="4390" xr:uid="{00000000-0005-0000-0000-0000D7840000}"/>
    <cellStyle name="40 % - Markeringsfarve5 5 5 2 2" xfId="4391" xr:uid="{00000000-0005-0000-0000-0000D8840000}"/>
    <cellStyle name="40 % - Markeringsfarve5 5 5 2 2 2" xfId="8050" xr:uid="{00000000-0005-0000-0000-0000D9840000}"/>
    <cellStyle name="40 % - Markeringsfarve5 5 5 2 2 2 2" xfId="15951" xr:uid="{00000000-0005-0000-0000-0000DA840000}"/>
    <cellStyle name="40 % - Markeringsfarve5 5 5 2 2 2 2 2" xfId="32265" xr:uid="{00000000-0005-0000-0000-0000DB840000}"/>
    <cellStyle name="40 % - Markeringsfarve5 5 5 2 2 2 2 3" xfId="47229" xr:uid="{00000000-0005-0000-0000-0000DC840000}"/>
    <cellStyle name="40 % - Markeringsfarve5 5 5 2 2 2 3" xfId="25243" xr:uid="{00000000-0005-0000-0000-0000DD840000}"/>
    <cellStyle name="40 % - Markeringsfarve5 5 5 2 2 2 4" xfId="40230" xr:uid="{00000000-0005-0000-0000-0000DE840000}"/>
    <cellStyle name="40 % - Markeringsfarve5 5 5 2 2 3" xfId="12948" xr:uid="{00000000-0005-0000-0000-0000DF840000}"/>
    <cellStyle name="40 % - Markeringsfarve5 5 5 2 2 3 2" xfId="29267" xr:uid="{00000000-0005-0000-0000-0000E0840000}"/>
    <cellStyle name="40 % - Markeringsfarve5 5 5 2 2 3 3" xfId="44232" xr:uid="{00000000-0005-0000-0000-0000E1840000}"/>
    <cellStyle name="40 % - Markeringsfarve5 5 5 2 2 4" xfId="22245" xr:uid="{00000000-0005-0000-0000-0000E2840000}"/>
    <cellStyle name="40 % - Markeringsfarve5 5 5 2 2 5" xfId="37233" xr:uid="{00000000-0005-0000-0000-0000E3840000}"/>
    <cellStyle name="40 % - Markeringsfarve5 5 5 2 3" xfId="6565" xr:uid="{00000000-0005-0000-0000-0000E4840000}"/>
    <cellStyle name="40 % - Markeringsfarve5 5 5 2 3 2" xfId="14479" xr:uid="{00000000-0005-0000-0000-0000E5840000}"/>
    <cellStyle name="40 % - Markeringsfarve5 5 5 2 3 2 2" xfId="30793" xr:uid="{00000000-0005-0000-0000-0000E6840000}"/>
    <cellStyle name="40 % - Markeringsfarve5 5 5 2 3 2 3" xfId="45757" xr:uid="{00000000-0005-0000-0000-0000E7840000}"/>
    <cellStyle name="40 % - Markeringsfarve5 5 5 2 3 3" xfId="23771" xr:uid="{00000000-0005-0000-0000-0000E8840000}"/>
    <cellStyle name="40 % - Markeringsfarve5 5 5 2 3 4" xfId="38758" xr:uid="{00000000-0005-0000-0000-0000E9840000}"/>
    <cellStyle name="40 % - Markeringsfarve5 5 5 2 4" xfId="12947" xr:uid="{00000000-0005-0000-0000-0000EA840000}"/>
    <cellStyle name="40 % - Markeringsfarve5 5 5 2 4 2" xfId="29266" xr:uid="{00000000-0005-0000-0000-0000EB840000}"/>
    <cellStyle name="40 % - Markeringsfarve5 5 5 2 4 3" xfId="44231" xr:uid="{00000000-0005-0000-0000-0000EC840000}"/>
    <cellStyle name="40 % - Markeringsfarve5 5 5 2 5" xfId="22244" xr:uid="{00000000-0005-0000-0000-0000ED840000}"/>
    <cellStyle name="40 % - Markeringsfarve5 5 5 2 6" xfId="37232" xr:uid="{00000000-0005-0000-0000-0000EE840000}"/>
    <cellStyle name="40 % - Markeringsfarve5 5 5 3" xfId="4392" xr:uid="{00000000-0005-0000-0000-0000EF840000}"/>
    <cellStyle name="40 % - Markeringsfarve5 5 5 3 2" xfId="7326" xr:uid="{00000000-0005-0000-0000-0000F0840000}"/>
    <cellStyle name="40 % - Markeringsfarve5 5 5 3 2 2" xfId="15236" xr:uid="{00000000-0005-0000-0000-0000F1840000}"/>
    <cellStyle name="40 % - Markeringsfarve5 5 5 3 2 2 2" xfId="31550" xr:uid="{00000000-0005-0000-0000-0000F2840000}"/>
    <cellStyle name="40 % - Markeringsfarve5 5 5 3 2 2 3" xfId="46514" xr:uid="{00000000-0005-0000-0000-0000F3840000}"/>
    <cellStyle name="40 % - Markeringsfarve5 5 5 3 2 3" xfId="24528" xr:uid="{00000000-0005-0000-0000-0000F4840000}"/>
    <cellStyle name="40 % - Markeringsfarve5 5 5 3 2 4" xfId="39515" xr:uid="{00000000-0005-0000-0000-0000F5840000}"/>
    <cellStyle name="40 % - Markeringsfarve5 5 5 3 3" xfId="12949" xr:uid="{00000000-0005-0000-0000-0000F6840000}"/>
    <cellStyle name="40 % - Markeringsfarve5 5 5 3 3 2" xfId="29268" xr:uid="{00000000-0005-0000-0000-0000F7840000}"/>
    <cellStyle name="40 % - Markeringsfarve5 5 5 3 3 3" xfId="44233" xr:uid="{00000000-0005-0000-0000-0000F8840000}"/>
    <cellStyle name="40 % - Markeringsfarve5 5 5 3 4" xfId="22246" xr:uid="{00000000-0005-0000-0000-0000F9840000}"/>
    <cellStyle name="40 % - Markeringsfarve5 5 5 3 5" xfId="37234" xr:uid="{00000000-0005-0000-0000-0000FA840000}"/>
    <cellStyle name="40 % - Markeringsfarve5 5 5 4" xfId="4393" xr:uid="{00000000-0005-0000-0000-0000FB840000}"/>
    <cellStyle name="40 % - Markeringsfarve5 5 5 4 2" xfId="8221" xr:uid="{00000000-0005-0000-0000-0000FC840000}"/>
    <cellStyle name="40 % - Markeringsfarve5 5 5 4 2 2" xfId="16118" xr:uid="{00000000-0005-0000-0000-0000FD840000}"/>
    <cellStyle name="40 % - Markeringsfarve5 5 5 4 2 2 2" xfId="32432" xr:uid="{00000000-0005-0000-0000-0000FE840000}"/>
    <cellStyle name="40 % - Markeringsfarve5 5 5 4 2 2 3" xfId="47396" xr:uid="{00000000-0005-0000-0000-0000FF840000}"/>
    <cellStyle name="40 % - Markeringsfarve5 5 5 4 2 3" xfId="25410" xr:uid="{00000000-0005-0000-0000-000000850000}"/>
    <cellStyle name="40 % - Markeringsfarve5 5 5 4 2 4" xfId="40397" xr:uid="{00000000-0005-0000-0000-000001850000}"/>
    <cellStyle name="40 % - Markeringsfarve5 5 5 4 3" xfId="12950" xr:uid="{00000000-0005-0000-0000-000002850000}"/>
    <cellStyle name="40 % - Markeringsfarve5 5 5 4 3 2" xfId="29269" xr:uid="{00000000-0005-0000-0000-000003850000}"/>
    <cellStyle name="40 % - Markeringsfarve5 5 5 4 3 3" xfId="44234" xr:uid="{00000000-0005-0000-0000-000004850000}"/>
    <cellStyle name="40 % - Markeringsfarve5 5 5 4 4" xfId="22247" xr:uid="{00000000-0005-0000-0000-000005850000}"/>
    <cellStyle name="40 % - Markeringsfarve5 5 5 4 5" xfId="37235" xr:uid="{00000000-0005-0000-0000-000006850000}"/>
    <cellStyle name="40 % - Markeringsfarve5 5 5 5" xfId="6021" xr:uid="{00000000-0005-0000-0000-000007850000}"/>
    <cellStyle name="40 % - Markeringsfarve5 5 5 5 2" xfId="13939" xr:uid="{00000000-0005-0000-0000-000008850000}"/>
    <cellStyle name="40 % - Markeringsfarve5 5 5 5 2 2" xfId="30253" xr:uid="{00000000-0005-0000-0000-000009850000}"/>
    <cellStyle name="40 % - Markeringsfarve5 5 5 5 2 3" xfId="45217" xr:uid="{00000000-0005-0000-0000-00000A850000}"/>
    <cellStyle name="40 % - Markeringsfarve5 5 5 5 3" xfId="23231" xr:uid="{00000000-0005-0000-0000-00000B850000}"/>
    <cellStyle name="40 % - Markeringsfarve5 5 5 5 4" xfId="38218" xr:uid="{00000000-0005-0000-0000-00000C850000}"/>
    <cellStyle name="40 % - Markeringsfarve5 5 5 6" xfId="12946" xr:uid="{00000000-0005-0000-0000-00000D850000}"/>
    <cellStyle name="40 % - Markeringsfarve5 5 5 6 2" xfId="29265" xr:uid="{00000000-0005-0000-0000-00000E850000}"/>
    <cellStyle name="40 % - Markeringsfarve5 5 5 6 3" xfId="44230" xr:uid="{00000000-0005-0000-0000-00000F850000}"/>
    <cellStyle name="40 % - Markeringsfarve5 5 5 7" xfId="22243" xr:uid="{00000000-0005-0000-0000-000010850000}"/>
    <cellStyle name="40 % - Markeringsfarve5 5 5 8" xfId="37231" xr:uid="{00000000-0005-0000-0000-000011850000}"/>
    <cellStyle name="40 % - Markeringsfarve5 5 6" xfId="4394" xr:uid="{00000000-0005-0000-0000-000012850000}"/>
    <cellStyle name="40 % - Markeringsfarve5 5 6 2" xfId="4395" xr:uid="{00000000-0005-0000-0000-000013850000}"/>
    <cellStyle name="40 % - Markeringsfarve5 5 6 2 2" xfId="4396" xr:uid="{00000000-0005-0000-0000-000014850000}"/>
    <cellStyle name="40 % - Markeringsfarve5 5 6 2 2 2" xfId="8178" xr:uid="{00000000-0005-0000-0000-000015850000}"/>
    <cellStyle name="40 % - Markeringsfarve5 5 6 2 2 2 2" xfId="16079" xr:uid="{00000000-0005-0000-0000-000016850000}"/>
    <cellStyle name="40 % - Markeringsfarve5 5 6 2 2 2 2 2" xfId="32393" xr:uid="{00000000-0005-0000-0000-000017850000}"/>
    <cellStyle name="40 % - Markeringsfarve5 5 6 2 2 2 2 3" xfId="47357" xr:uid="{00000000-0005-0000-0000-000018850000}"/>
    <cellStyle name="40 % - Markeringsfarve5 5 6 2 2 2 3" xfId="25371" xr:uid="{00000000-0005-0000-0000-000019850000}"/>
    <cellStyle name="40 % - Markeringsfarve5 5 6 2 2 2 4" xfId="40358" xr:uid="{00000000-0005-0000-0000-00001A850000}"/>
    <cellStyle name="40 % - Markeringsfarve5 5 6 2 2 3" xfId="12953" xr:uid="{00000000-0005-0000-0000-00001B850000}"/>
    <cellStyle name="40 % - Markeringsfarve5 5 6 2 2 3 2" xfId="29272" xr:uid="{00000000-0005-0000-0000-00001C850000}"/>
    <cellStyle name="40 % - Markeringsfarve5 5 6 2 2 3 3" xfId="44237" xr:uid="{00000000-0005-0000-0000-00001D850000}"/>
    <cellStyle name="40 % - Markeringsfarve5 5 6 2 2 4" xfId="22250" xr:uid="{00000000-0005-0000-0000-00001E850000}"/>
    <cellStyle name="40 % - Markeringsfarve5 5 6 2 2 5" xfId="37238" xr:uid="{00000000-0005-0000-0000-00001F850000}"/>
    <cellStyle name="40 % - Markeringsfarve5 5 6 2 3" xfId="6671" xr:uid="{00000000-0005-0000-0000-000020850000}"/>
    <cellStyle name="40 % - Markeringsfarve5 5 6 2 3 2" xfId="14585" xr:uid="{00000000-0005-0000-0000-000021850000}"/>
    <cellStyle name="40 % - Markeringsfarve5 5 6 2 3 2 2" xfId="30899" xr:uid="{00000000-0005-0000-0000-000022850000}"/>
    <cellStyle name="40 % - Markeringsfarve5 5 6 2 3 2 3" xfId="45863" xr:uid="{00000000-0005-0000-0000-000023850000}"/>
    <cellStyle name="40 % - Markeringsfarve5 5 6 2 3 3" xfId="23877" xr:uid="{00000000-0005-0000-0000-000024850000}"/>
    <cellStyle name="40 % - Markeringsfarve5 5 6 2 3 4" xfId="38864" xr:uid="{00000000-0005-0000-0000-000025850000}"/>
    <cellStyle name="40 % - Markeringsfarve5 5 6 2 4" xfId="12952" xr:uid="{00000000-0005-0000-0000-000026850000}"/>
    <cellStyle name="40 % - Markeringsfarve5 5 6 2 4 2" xfId="29271" xr:uid="{00000000-0005-0000-0000-000027850000}"/>
    <cellStyle name="40 % - Markeringsfarve5 5 6 2 4 3" xfId="44236" xr:uid="{00000000-0005-0000-0000-000028850000}"/>
    <cellStyle name="40 % - Markeringsfarve5 5 6 2 5" xfId="22249" xr:uid="{00000000-0005-0000-0000-000029850000}"/>
    <cellStyle name="40 % - Markeringsfarve5 5 6 2 6" xfId="37237" xr:uid="{00000000-0005-0000-0000-00002A850000}"/>
    <cellStyle name="40 % - Markeringsfarve5 5 6 3" xfId="4397" xr:uid="{00000000-0005-0000-0000-00002B850000}"/>
    <cellStyle name="40 % - Markeringsfarve5 5 6 3 2" xfId="7455" xr:uid="{00000000-0005-0000-0000-00002C850000}"/>
    <cellStyle name="40 % - Markeringsfarve5 5 6 3 2 2" xfId="15365" xr:uid="{00000000-0005-0000-0000-00002D850000}"/>
    <cellStyle name="40 % - Markeringsfarve5 5 6 3 2 2 2" xfId="31679" xr:uid="{00000000-0005-0000-0000-00002E850000}"/>
    <cellStyle name="40 % - Markeringsfarve5 5 6 3 2 2 3" xfId="46643" xr:uid="{00000000-0005-0000-0000-00002F850000}"/>
    <cellStyle name="40 % - Markeringsfarve5 5 6 3 2 3" xfId="24657" xr:uid="{00000000-0005-0000-0000-000030850000}"/>
    <cellStyle name="40 % - Markeringsfarve5 5 6 3 2 4" xfId="39644" xr:uid="{00000000-0005-0000-0000-000031850000}"/>
    <cellStyle name="40 % - Markeringsfarve5 5 6 3 3" xfId="12954" xr:uid="{00000000-0005-0000-0000-000032850000}"/>
    <cellStyle name="40 % - Markeringsfarve5 5 6 3 3 2" xfId="29273" xr:uid="{00000000-0005-0000-0000-000033850000}"/>
    <cellStyle name="40 % - Markeringsfarve5 5 6 3 3 3" xfId="44238" xr:uid="{00000000-0005-0000-0000-000034850000}"/>
    <cellStyle name="40 % - Markeringsfarve5 5 6 3 4" xfId="22251" xr:uid="{00000000-0005-0000-0000-000035850000}"/>
    <cellStyle name="40 % - Markeringsfarve5 5 6 3 5" xfId="37239" xr:uid="{00000000-0005-0000-0000-000036850000}"/>
    <cellStyle name="40 % - Markeringsfarve5 5 6 4" xfId="4398" xr:uid="{00000000-0005-0000-0000-000037850000}"/>
    <cellStyle name="40 % - Markeringsfarve5 5 6 4 2" xfId="8558" xr:uid="{00000000-0005-0000-0000-000038850000}"/>
    <cellStyle name="40 % - Markeringsfarve5 5 6 4 2 2" xfId="16446" xr:uid="{00000000-0005-0000-0000-000039850000}"/>
    <cellStyle name="40 % - Markeringsfarve5 5 6 4 2 2 2" xfId="32760" xr:uid="{00000000-0005-0000-0000-00003A850000}"/>
    <cellStyle name="40 % - Markeringsfarve5 5 6 4 2 2 3" xfId="47724" xr:uid="{00000000-0005-0000-0000-00003B850000}"/>
    <cellStyle name="40 % - Markeringsfarve5 5 6 4 2 3" xfId="25738" xr:uid="{00000000-0005-0000-0000-00003C850000}"/>
    <cellStyle name="40 % - Markeringsfarve5 5 6 4 2 4" xfId="40725" xr:uid="{00000000-0005-0000-0000-00003D850000}"/>
    <cellStyle name="40 % - Markeringsfarve5 5 6 4 3" xfId="12955" xr:uid="{00000000-0005-0000-0000-00003E850000}"/>
    <cellStyle name="40 % - Markeringsfarve5 5 6 4 3 2" xfId="29274" xr:uid="{00000000-0005-0000-0000-00003F850000}"/>
    <cellStyle name="40 % - Markeringsfarve5 5 6 4 3 3" xfId="44239" xr:uid="{00000000-0005-0000-0000-000040850000}"/>
    <cellStyle name="40 % - Markeringsfarve5 5 6 4 4" xfId="22252" xr:uid="{00000000-0005-0000-0000-000041850000}"/>
    <cellStyle name="40 % - Markeringsfarve5 5 6 4 5" xfId="37240" xr:uid="{00000000-0005-0000-0000-000042850000}"/>
    <cellStyle name="40 % - Markeringsfarve5 5 6 5" xfId="6022" xr:uid="{00000000-0005-0000-0000-000043850000}"/>
    <cellStyle name="40 % - Markeringsfarve5 5 6 5 2" xfId="13940" xr:uid="{00000000-0005-0000-0000-000044850000}"/>
    <cellStyle name="40 % - Markeringsfarve5 5 6 5 2 2" xfId="30254" xr:uid="{00000000-0005-0000-0000-000045850000}"/>
    <cellStyle name="40 % - Markeringsfarve5 5 6 5 2 3" xfId="45218" xr:uid="{00000000-0005-0000-0000-000046850000}"/>
    <cellStyle name="40 % - Markeringsfarve5 5 6 5 3" xfId="23232" xr:uid="{00000000-0005-0000-0000-000047850000}"/>
    <cellStyle name="40 % - Markeringsfarve5 5 6 5 4" xfId="38219" xr:uid="{00000000-0005-0000-0000-000048850000}"/>
    <cellStyle name="40 % - Markeringsfarve5 5 6 6" xfId="12951" xr:uid="{00000000-0005-0000-0000-000049850000}"/>
    <cellStyle name="40 % - Markeringsfarve5 5 6 6 2" xfId="29270" xr:uid="{00000000-0005-0000-0000-00004A850000}"/>
    <cellStyle name="40 % - Markeringsfarve5 5 6 6 3" xfId="44235" xr:uid="{00000000-0005-0000-0000-00004B850000}"/>
    <cellStyle name="40 % - Markeringsfarve5 5 6 7" xfId="22248" xr:uid="{00000000-0005-0000-0000-00004C850000}"/>
    <cellStyle name="40 % - Markeringsfarve5 5 6 8" xfId="37236" xr:uid="{00000000-0005-0000-0000-00004D850000}"/>
    <cellStyle name="40 % - Markeringsfarve5 5 7" xfId="4399" xr:uid="{00000000-0005-0000-0000-00004E850000}"/>
    <cellStyle name="40 % - Markeringsfarve5 5 7 2" xfId="4400" xr:uid="{00000000-0005-0000-0000-00004F850000}"/>
    <cellStyle name="40 % - Markeringsfarve5 5 7 2 2" xfId="7576" xr:uid="{00000000-0005-0000-0000-000050850000}"/>
    <cellStyle name="40 % - Markeringsfarve5 5 7 2 2 2" xfId="15477" xr:uid="{00000000-0005-0000-0000-000051850000}"/>
    <cellStyle name="40 % - Markeringsfarve5 5 7 2 2 2 2" xfId="31791" xr:uid="{00000000-0005-0000-0000-000052850000}"/>
    <cellStyle name="40 % - Markeringsfarve5 5 7 2 2 2 3" xfId="46755" xr:uid="{00000000-0005-0000-0000-000053850000}"/>
    <cellStyle name="40 % - Markeringsfarve5 5 7 2 2 3" xfId="24769" xr:uid="{00000000-0005-0000-0000-000054850000}"/>
    <cellStyle name="40 % - Markeringsfarve5 5 7 2 2 4" xfId="39756" xr:uid="{00000000-0005-0000-0000-000055850000}"/>
    <cellStyle name="40 % - Markeringsfarve5 5 7 2 3" xfId="12957" xr:uid="{00000000-0005-0000-0000-000056850000}"/>
    <cellStyle name="40 % - Markeringsfarve5 5 7 2 3 2" xfId="29276" xr:uid="{00000000-0005-0000-0000-000057850000}"/>
    <cellStyle name="40 % - Markeringsfarve5 5 7 2 3 3" xfId="44241" xr:uid="{00000000-0005-0000-0000-000058850000}"/>
    <cellStyle name="40 % - Markeringsfarve5 5 7 2 4" xfId="22254" xr:uid="{00000000-0005-0000-0000-000059850000}"/>
    <cellStyle name="40 % - Markeringsfarve5 5 7 2 5" xfId="37242" xr:uid="{00000000-0005-0000-0000-00005A850000}"/>
    <cellStyle name="40 % - Markeringsfarve5 5 7 3" xfId="6165" xr:uid="{00000000-0005-0000-0000-00005B850000}"/>
    <cellStyle name="40 % - Markeringsfarve5 5 7 3 2" xfId="14082" xr:uid="{00000000-0005-0000-0000-00005C850000}"/>
    <cellStyle name="40 % - Markeringsfarve5 5 7 3 2 2" xfId="30396" xr:uid="{00000000-0005-0000-0000-00005D850000}"/>
    <cellStyle name="40 % - Markeringsfarve5 5 7 3 2 3" xfId="45360" xr:uid="{00000000-0005-0000-0000-00005E850000}"/>
    <cellStyle name="40 % - Markeringsfarve5 5 7 3 3" xfId="23374" xr:uid="{00000000-0005-0000-0000-00005F850000}"/>
    <cellStyle name="40 % - Markeringsfarve5 5 7 3 4" xfId="38361" xr:uid="{00000000-0005-0000-0000-000060850000}"/>
    <cellStyle name="40 % - Markeringsfarve5 5 7 4" xfId="12956" xr:uid="{00000000-0005-0000-0000-000061850000}"/>
    <cellStyle name="40 % - Markeringsfarve5 5 7 4 2" xfId="29275" xr:uid="{00000000-0005-0000-0000-000062850000}"/>
    <cellStyle name="40 % - Markeringsfarve5 5 7 4 3" xfId="44240" xr:uid="{00000000-0005-0000-0000-000063850000}"/>
    <cellStyle name="40 % - Markeringsfarve5 5 7 5" xfId="22253" xr:uid="{00000000-0005-0000-0000-000064850000}"/>
    <cellStyle name="40 % - Markeringsfarve5 5 7 6" xfId="37241" xr:uid="{00000000-0005-0000-0000-000065850000}"/>
    <cellStyle name="40 % - Markeringsfarve5 5 8" xfId="4401" xr:uid="{00000000-0005-0000-0000-000066850000}"/>
    <cellStyle name="40 % - Markeringsfarve5 5 8 2" xfId="6804" xr:uid="{00000000-0005-0000-0000-000067850000}"/>
    <cellStyle name="40 % - Markeringsfarve5 5 8 2 2" xfId="14715" xr:uid="{00000000-0005-0000-0000-000068850000}"/>
    <cellStyle name="40 % - Markeringsfarve5 5 8 2 2 2" xfId="31029" xr:uid="{00000000-0005-0000-0000-000069850000}"/>
    <cellStyle name="40 % - Markeringsfarve5 5 8 2 2 3" xfId="45993" xr:uid="{00000000-0005-0000-0000-00006A850000}"/>
    <cellStyle name="40 % - Markeringsfarve5 5 8 2 3" xfId="24007" xr:uid="{00000000-0005-0000-0000-00006B850000}"/>
    <cellStyle name="40 % - Markeringsfarve5 5 8 2 4" xfId="38994" xr:uid="{00000000-0005-0000-0000-00006C850000}"/>
    <cellStyle name="40 % - Markeringsfarve5 5 8 3" xfId="12958" xr:uid="{00000000-0005-0000-0000-00006D850000}"/>
    <cellStyle name="40 % - Markeringsfarve5 5 8 3 2" xfId="29277" xr:uid="{00000000-0005-0000-0000-00006E850000}"/>
    <cellStyle name="40 % - Markeringsfarve5 5 8 3 3" xfId="44242" xr:uid="{00000000-0005-0000-0000-00006F850000}"/>
    <cellStyle name="40 % - Markeringsfarve5 5 8 4" xfId="22255" xr:uid="{00000000-0005-0000-0000-000070850000}"/>
    <cellStyle name="40 % - Markeringsfarve5 5 8 5" xfId="37243" xr:uid="{00000000-0005-0000-0000-000071850000}"/>
    <cellStyle name="40 % - Markeringsfarve5 5 9" xfId="4402" xr:uid="{00000000-0005-0000-0000-000072850000}"/>
    <cellStyle name="40 % - Markeringsfarve5 5 9 2" xfId="8385" xr:uid="{00000000-0005-0000-0000-000073850000}"/>
    <cellStyle name="40 % - Markeringsfarve5 5 9 2 2" xfId="16279" xr:uid="{00000000-0005-0000-0000-000074850000}"/>
    <cellStyle name="40 % - Markeringsfarve5 5 9 2 2 2" xfId="32593" xr:uid="{00000000-0005-0000-0000-000075850000}"/>
    <cellStyle name="40 % - Markeringsfarve5 5 9 2 2 3" xfId="47557" xr:uid="{00000000-0005-0000-0000-000076850000}"/>
    <cellStyle name="40 % - Markeringsfarve5 5 9 2 3" xfId="25571" xr:uid="{00000000-0005-0000-0000-000077850000}"/>
    <cellStyle name="40 % - Markeringsfarve5 5 9 2 4" xfId="40558" xr:uid="{00000000-0005-0000-0000-000078850000}"/>
    <cellStyle name="40 % - Markeringsfarve5 5 9 3" xfId="12959" xr:uid="{00000000-0005-0000-0000-000079850000}"/>
    <cellStyle name="40 % - Markeringsfarve5 5 9 3 2" xfId="29278" xr:uid="{00000000-0005-0000-0000-00007A850000}"/>
    <cellStyle name="40 % - Markeringsfarve5 5 9 3 3" xfId="44243" xr:uid="{00000000-0005-0000-0000-00007B850000}"/>
    <cellStyle name="40 % - Markeringsfarve5 5 9 4" xfId="22256" xr:uid="{00000000-0005-0000-0000-00007C850000}"/>
    <cellStyle name="40 % - Markeringsfarve5 5 9 5" xfId="37244" xr:uid="{00000000-0005-0000-0000-00007D850000}"/>
    <cellStyle name="40 % - Markeringsfarve5 6" xfId="4403" xr:uid="{00000000-0005-0000-0000-00007E850000}"/>
    <cellStyle name="40 % - Markeringsfarve5 6 2" xfId="4404" xr:uid="{00000000-0005-0000-0000-00007F850000}"/>
    <cellStyle name="40 % - Markeringsfarve5 6 2 2" xfId="4405" xr:uid="{00000000-0005-0000-0000-000080850000}"/>
    <cellStyle name="40 % - Markeringsfarve5 6 2 2 2" xfId="7617" xr:uid="{00000000-0005-0000-0000-000081850000}"/>
    <cellStyle name="40 % - Markeringsfarve5 6 2 2 2 2" xfId="15518" xr:uid="{00000000-0005-0000-0000-000082850000}"/>
    <cellStyle name="40 % - Markeringsfarve5 6 2 2 2 2 2" xfId="31832" xr:uid="{00000000-0005-0000-0000-000083850000}"/>
    <cellStyle name="40 % - Markeringsfarve5 6 2 2 2 2 3" xfId="46796" xr:uid="{00000000-0005-0000-0000-000084850000}"/>
    <cellStyle name="40 % - Markeringsfarve5 6 2 2 2 3" xfId="24810" xr:uid="{00000000-0005-0000-0000-000085850000}"/>
    <cellStyle name="40 % - Markeringsfarve5 6 2 2 2 4" xfId="39797" xr:uid="{00000000-0005-0000-0000-000086850000}"/>
    <cellStyle name="40 % - Markeringsfarve5 6 2 2 3" xfId="12962" xr:uid="{00000000-0005-0000-0000-000087850000}"/>
    <cellStyle name="40 % - Markeringsfarve5 6 2 2 3 2" xfId="29281" xr:uid="{00000000-0005-0000-0000-000088850000}"/>
    <cellStyle name="40 % - Markeringsfarve5 6 2 2 3 3" xfId="44246" xr:uid="{00000000-0005-0000-0000-000089850000}"/>
    <cellStyle name="40 % - Markeringsfarve5 6 2 2 4" xfId="22259" xr:uid="{00000000-0005-0000-0000-00008A850000}"/>
    <cellStyle name="40 % - Markeringsfarve5 6 2 2 5" xfId="37247" xr:uid="{00000000-0005-0000-0000-00008B850000}"/>
    <cellStyle name="40 % - Markeringsfarve5 6 2 2 6" xfId="57202" xr:uid="{00000000-0005-0000-0000-00008C850000}"/>
    <cellStyle name="40 % - Markeringsfarve5 6 2 3" xfId="6198" xr:uid="{00000000-0005-0000-0000-00008D850000}"/>
    <cellStyle name="40 % - Markeringsfarve5 6 2 3 2" xfId="14115" xr:uid="{00000000-0005-0000-0000-00008E850000}"/>
    <cellStyle name="40 % - Markeringsfarve5 6 2 3 2 2" xfId="30429" xr:uid="{00000000-0005-0000-0000-00008F850000}"/>
    <cellStyle name="40 % - Markeringsfarve5 6 2 3 2 3" xfId="45393" xr:uid="{00000000-0005-0000-0000-000090850000}"/>
    <cellStyle name="40 % - Markeringsfarve5 6 2 3 3" xfId="23407" xr:uid="{00000000-0005-0000-0000-000091850000}"/>
    <cellStyle name="40 % - Markeringsfarve5 6 2 3 4" xfId="38394" xr:uid="{00000000-0005-0000-0000-000092850000}"/>
    <cellStyle name="40 % - Markeringsfarve5 6 2 4" xfId="12961" xr:uid="{00000000-0005-0000-0000-000093850000}"/>
    <cellStyle name="40 % - Markeringsfarve5 6 2 4 2" xfId="29280" xr:uid="{00000000-0005-0000-0000-000094850000}"/>
    <cellStyle name="40 % - Markeringsfarve5 6 2 4 3" xfId="44245" xr:uid="{00000000-0005-0000-0000-000095850000}"/>
    <cellStyle name="40 % - Markeringsfarve5 6 2 5" xfId="22258" xr:uid="{00000000-0005-0000-0000-000096850000}"/>
    <cellStyle name="40 % - Markeringsfarve5 6 2 6" xfId="37246" xr:uid="{00000000-0005-0000-0000-000097850000}"/>
    <cellStyle name="40 % - Markeringsfarve5 6 2 7" xfId="54035" xr:uid="{00000000-0005-0000-0000-000098850000}"/>
    <cellStyle name="40 % - Markeringsfarve5 6 3" xfId="4406" xr:uid="{00000000-0005-0000-0000-000099850000}"/>
    <cellStyle name="40 % - Markeringsfarve5 6 3 2" xfId="6847" xr:uid="{00000000-0005-0000-0000-00009A850000}"/>
    <cellStyle name="40 % - Markeringsfarve5 6 3 2 2" xfId="14758" xr:uid="{00000000-0005-0000-0000-00009B850000}"/>
    <cellStyle name="40 % - Markeringsfarve5 6 3 2 2 2" xfId="31072" xr:uid="{00000000-0005-0000-0000-00009C850000}"/>
    <cellStyle name="40 % - Markeringsfarve5 6 3 2 2 3" xfId="46036" xr:uid="{00000000-0005-0000-0000-00009D850000}"/>
    <cellStyle name="40 % - Markeringsfarve5 6 3 2 3" xfId="24050" xr:uid="{00000000-0005-0000-0000-00009E850000}"/>
    <cellStyle name="40 % - Markeringsfarve5 6 3 2 4" xfId="39037" xr:uid="{00000000-0005-0000-0000-00009F850000}"/>
    <cellStyle name="40 % - Markeringsfarve5 6 3 3" xfId="12963" xr:uid="{00000000-0005-0000-0000-0000A0850000}"/>
    <cellStyle name="40 % - Markeringsfarve5 6 3 3 2" xfId="29282" xr:uid="{00000000-0005-0000-0000-0000A1850000}"/>
    <cellStyle name="40 % - Markeringsfarve5 6 3 3 3" xfId="44247" xr:uid="{00000000-0005-0000-0000-0000A2850000}"/>
    <cellStyle name="40 % - Markeringsfarve5 6 3 4" xfId="22260" xr:uid="{00000000-0005-0000-0000-0000A3850000}"/>
    <cellStyle name="40 % - Markeringsfarve5 6 3 5" xfId="37248" xr:uid="{00000000-0005-0000-0000-0000A4850000}"/>
    <cellStyle name="40 % - Markeringsfarve5 6 3 6" xfId="56579" xr:uid="{00000000-0005-0000-0000-0000A5850000}"/>
    <cellStyle name="40 % - Markeringsfarve5 6 4" xfId="4407" xr:uid="{00000000-0005-0000-0000-0000A6850000}"/>
    <cellStyle name="40 % - Markeringsfarve5 6 4 2" xfId="8761" xr:uid="{00000000-0005-0000-0000-0000A7850000}"/>
    <cellStyle name="40 % - Markeringsfarve5 6 4 2 2" xfId="16637" xr:uid="{00000000-0005-0000-0000-0000A8850000}"/>
    <cellStyle name="40 % - Markeringsfarve5 6 4 2 2 2" xfId="32951" xr:uid="{00000000-0005-0000-0000-0000A9850000}"/>
    <cellStyle name="40 % - Markeringsfarve5 6 4 2 2 3" xfId="47915" xr:uid="{00000000-0005-0000-0000-0000AA850000}"/>
    <cellStyle name="40 % - Markeringsfarve5 6 4 2 3" xfId="25929" xr:uid="{00000000-0005-0000-0000-0000AB850000}"/>
    <cellStyle name="40 % - Markeringsfarve5 6 4 2 4" xfId="40916" xr:uid="{00000000-0005-0000-0000-0000AC850000}"/>
    <cellStyle name="40 % - Markeringsfarve5 6 4 3" xfId="12964" xr:uid="{00000000-0005-0000-0000-0000AD850000}"/>
    <cellStyle name="40 % - Markeringsfarve5 6 4 3 2" xfId="29283" xr:uid="{00000000-0005-0000-0000-0000AE850000}"/>
    <cellStyle name="40 % - Markeringsfarve5 6 4 3 3" xfId="44248" xr:uid="{00000000-0005-0000-0000-0000AF850000}"/>
    <cellStyle name="40 % - Markeringsfarve5 6 4 4" xfId="22261" xr:uid="{00000000-0005-0000-0000-0000B0850000}"/>
    <cellStyle name="40 % - Markeringsfarve5 6 4 5" xfId="37249" xr:uid="{00000000-0005-0000-0000-0000B1850000}"/>
    <cellStyle name="40 % - Markeringsfarve5 6 5" xfId="6023" xr:uid="{00000000-0005-0000-0000-0000B2850000}"/>
    <cellStyle name="40 % - Markeringsfarve5 6 5 2" xfId="13941" xr:uid="{00000000-0005-0000-0000-0000B3850000}"/>
    <cellStyle name="40 % - Markeringsfarve5 6 5 2 2" xfId="30255" xr:uid="{00000000-0005-0000-0000-0000B4850000}"/>
    <cellStyle name="40 % - Markeringsfarve5 6 5 2 3" xfId="45219" xr:uid="{00000000-0005-0000-0000-0000B5850000}"/>
    <cellStyle name="40 % - Markeringsfarve5 6 5 3" xfId="23233" xr:uid="{00000000-0005-0000-0000-0000B6850000}"/>
    <cellStyle name="40 % - Markeringsfarve5 6 5 4" xfId="38220" xr:uid="{00000000-0005-0000-0000-0000B7850000}"/>
    <cellStyle name="40 % - Markeringsfarve5 6 6" xfId="12960" xr:uid="{00000000-0005-0000-0000-0000B8850000}"/>
    <cellStyle name="40 % - Markeringsfarve5 6 6 2" xfId="29279" xr:uid="{00000000-0005-0000-0000-0000B9850000}"/>
    <cellStyle name="40 % - Markeringsfarve5 6 6 3" xfId="44244" xr:uid="{00000000-0005-0000-0000-0000BA850000}"/>
    <cellStyle name="40 % - Markeringsfarve5 6 7" xfId="22257" xr:uid="{00000000-0005-0000-0000-0000BB850000}"/>
    <cellStyle name="40 % - Markeringsfarve5 6 8" xfId="37245" xr:uid="{00000000-0005-0000-0000-0000BC850000}"/>
    <cellStyle name="40 % - Markeringsfarve5 6 9" xfId="53398" xr:uid="{00000000-0005-0000-0000-0000BD850000}"/>
    <cellStyle name="40 % - Markeringsfarve5 7" xfId="4408" xr:uid="{00000000-0005-0000-0000-0000BE850000}"/>
    <cellStyle name="40 % - Markeringsfarve5 7 2" xfId="4409" xr:uid="{00000000-0005-0000-0000-0000BF850000}"/>
    <cellStyle name="40 % - Markeringsfarve5 7 2 2" xfId="4410" xr:uid="{00000000-0005-0000-0000-0000C0850000}"/>
    <cellStyle name="40 % - Markeringsfarve5 7 2 2 2" xfId="7816" xr:uid="{00000000-0005-0000-0000-0000C1850000}"/>
    <cellStyle name="40 % - Markeringsfarve5 7 2 2 2 2" xfId="15717" xr:uid="{00000000-0005-0000-0000-0000C2850000}"/>
    <cellStyle name="40 % - Markeringsfarve5 7 2 2 2 2 2" xfId="32031" xr:uid="{00000000-0005-0000-0000-0000C3850000}"/>
    <cellStyle name="40 % - Markeringsfarve5 7 2 2 2 2 3" xfId="46995" xr:uid="{00000000-0005-0000-0000-0000C4850000}"/>
    <cellStyle name="40 % - Markeringsfarve5 7 2 2 2 3" xfId="25009" xr:uid="{00000000-0005-0000-0000-0000C5850000}"/>
    <cellStyle name="40 % - Markeringsfarve5 7 2 2 2 4" xfId="39996" xr:uid="{00000000-0005-0000-0000-0000C6850000}"/>
    <cellStyle name="40 % - Markeringsfarve5 7 2 2 3" xfId="12967" xr:uid="{00000000-0005-0000-0000-0000C7850000}"/>
    <cellStyle name="40 % - Markeringsfarve5 7 2 2 3 2" xfId="29286" xr:uid="{00000000-0005-0000-0000-0000C8850000}"/>
    <cellStyle name="40 % - Markeringsfarve5 7 2 2 3 3" xfId="44251" xr:uid="{00000000-0005-0000-0000-0000C9850000}"/>
    <cellStyle name="40 % - Markeringsfarve5 7 2 2 4" xfId="22264" xr:uid="{00000000-0005-0000-0000-0000CA850000}"/>
    <cellStyle name="40 % - Markeringsfarve5 7 2 2 5" xfId="37252" xr:uid="{00000000-0005-0000-0000-0000CB850000}"/>
    <cellStyle name="40 % - Markeringsfarve5 7 2 3" xfId="6362" xr:uid="{00000000-0005-0000-0000-0000CC850000}"/>
    <cellStyle name="40 % - Markeringsfarve5 7 2 3 2" xfId="14279" xr:uid="{00000000-0005-0000-0000-0000CD850000}"/>
    <cellStyle name="40 % - Markeringsfarve5 7 2 3 2 2" xfId="30593" xr:uid="{00000000-0005-0000-0000-0000CE850000}"/>
    <cellStyle name="40 % - Markeringsfarve5 7 2 3 2 3" xfId="45557" xr:uid="{00000000-0005-0000-0000-0000CF850000}"/>
    <cellStyle name="40 % - Markeringsfarve5 7 2 3 3" xfId="23571" xr:uid="{00000000-0005-0000-0000-0000D0850000}"/>
    <cellStyle name="40 % - Markeringsfarve5 7 2 3 4" xfId="38558" xr:uid="{00000000-0005-0000-0000-0000D1850000}"/>
    <cellStyle name="40 % - Markeringsfarve5 7 2 4" xfId="12966" xr:uid="{00000000-0005-0000-0000-0000D2850000}"/>
    <cellStyle name="40 % - Markeringsfarve5 7 2 4 2" xfId="29285" xr:uid="{00000000-0005-0000-0000-0000D3850000}"/>
    <cellStyle name="40 % - Markeringsfarve5 7 2 4 3" xfId="44250" xr:uid="{00000000-0005-0000-0000-0000D4850000}"/>
    <cellStyle name="40 % - Markeringsfarve5 7 2 5" xfId="22263" xr:uid="{00000000-0005-0000-0000-0000D5850000}"/>
    <cellStyle name="40 % - Markeringsfarve5 7 2 6" xfId="37251" xr:uid="{00000000-0005-0000-0000-0000D6850000}"/>
    <cellStyle name="40 % - Markeringsfarve5 7 2 7" xfId="57121" xr:uid="{00000000-0005-0000-0000-0000D7850000}"/>
    <cellStyle name="40 % - Markeringsfarve5 7 3" xfId="4411" xr:uid="{00000000-0005-0000-0000-0000D8850000}"/>
    <cellStyle name="40 % - Markeringsfarve5 7 3 2" xfId="7046" xr:uid="{00000000-0005-0000-0000-0000D9850000}"/>
    <cellStyle name="40 % - Markeringsfarve5 7 3 2 2" xfId="14957" xr:uid="{00000000-0005-0000-0000-0000DA850000}"/>
    <cellStyle name="40 % - Markeringsfarve5 7 3 2 2 2" xfId="31271" xr:uid="{00000000-0005-0000-0000-0000DB850000}"/>
    <cellStyle name="40 % - Markeringsfarve5 7 3 2 2 3" xfId="46235" xr:uid="{00000000-0005-0000-0000-0000DC850000}"/>
    <cellStyle name="40 % - Markeringsfarve5 7 3 2 3" xfId="24249" xr:uid="{00000000-0005-0000-0000-0000DD850000}"/>
    <cellStyle name="40 % - Markeringsfarve5 7 3 2 4" xfId="39236" xr:uid="{00000000-0005-0000-0000-0000DE850000}"/>
    <cellStyle name="40 % - Markeringsfarve5 7 3 3" xfId="12968" xr:uid="{00000000-0005-0000-0000-0000DF850000}"/>
    <cellStyle name="40 % - Markeringsfarve5 7 3 3 2" xfId="29287" xr:uid="{00000000-0005-0000-0000-0000E0850000}"/>
    <cellStyle name="40 % - Markeringsfarve5 7 3 3 3" xfId="44252" xr:uid="{00000000-0005-0000-0000-0000E1850000}"/>
    <cellStyle name="40 % - Markeringsfarve5 7 3 4" xfId="22265" xr:uid="{00000000-0005-0000-0000-0000E2850000}"/>
    <cellStyle name="40 % - Markeringsfarve5 7 3 5" xfId="37253" xr:uid="{00000000-0005-0000-0000-0000E3850000}"/>
    <cellStyle name="40 % - Markeringsfarve5 7 4" xfId="4412" xr:uid="{00000000-0005-0000-0000-0000E4850000}"/>
    <cellStyle name="40 % - Markeringsfarve5 7 4 2" xfId="8481" xr:uid="{00000000-0005-0000-0000-0000E5850000}"/>
    <cellStyle name="40 % - Markeringsfarve5 7 4 2 2" xfId="16370" xr:uid="{00000000-0005-0000-0000-0000E6850000}"/>
    <cellStyle name="40 % - Markeringsfarve5 7 4 2 2 2" xfId="32684" xr:uid="{00000000-0005-0000-0000-0000E7850000}"/>
    <cellStyle name="40 % - Markeringsfarve5 7 4 2 2 3" xfId="47648" xr:uid="{00000000-0005-0000-0000-0000E8850000}"/>
    <cellStyle name="40 % - Markeringsfarve5 7 4 2 3" xfId="25662" xr:uid="{00000000-0005-0000-0000-0000E9850000}"/>
    <cellStyle name="40 % - Markeringsfarve5 7 4 2 4" xfId="40649" xr:uid="{00000000-0005-0000-0000-0000EA850000}"/>
    <cellStyle name="40 % - Markeringsfarve5 7 4 3" xfId="12969" xr:uid="{00000000-0005-0000-0000-0000EB850000}"/>
    <cellStyle name="40 % - Markeringsfarve5 7 4 3 2" xfId="29288" xr:uid="{00000000-0005-0000-0000-0000EC850000}"/>
    <cellStyle name="40 % - Markeringsfarve5 7 4 3 3" xfId="44253" xr:uid="{00000000-0005-0000-0000-0000ED850000}"/>
    <cellStyle name="40 % - Markeringsfarve5 7 4 4" xfId="22266" xr:uid="{00000000-0005-0000-0000-0000EE850000}"/>
    <cellStyle name="40 % - Markeringsfarve5 7 4 5" xfId="37254" xr:uid="{00000000-0005-0000-0000-0000EF850000}"/>
    <cellStyle name="40 % - Markeringsfarve5 7 5" xfId="6024" xr:uid="{00000000-0005-0000-0000-0000F0850000}"/>
    <cellStyle name="40 % - Markeringsfarve5 7 5 2" xfId="13942" xr:uid="{00000000-0005-0000-0000-0000F1850000}"/>
    <cellStyle name="40 % - Markeringsfarve5 7 5 2 2" xfId="30256" xr:uid="{00000000-0005-0000-0000-0000F2850000}"/>
    <cellStyle name="40 % - Markeringsfarve5 7 5 2 3" xfId="45220" xr:uid="{00000000-0005-0000-0000-0000F3850000}"/>
    <cellStyle name="40 % - Markeringsfarve5 7 5 3" xfId="23234" xr:uid="{00000000-0005-0000-0000-0000F4850000}"/>
    <cellStyle name="40 % - Markeringsfarve5 7 5 4" xfId="38221" xr:uid="{00000000-0005-0000-0000-0000F5850000}"/>
    <cellStyle name="40 % - Markeringsfarve5 7 6" xfId="12965" xr:uid="{00000000-0005-0000-0000-0000F6850000}"/>
    <cellStyle name="40 % - Markeringsfarve5 7 6 2" xfId="29284" xr:uid="{00000000-0005-0000-0000-0000F7850000}"/>
    <cellStyle name="40 % - Markeringsfarve5 7 6 3" xfId="44249" xr:uid="{00000000-0005-0000-0000-0000F8850000}"/>
    <cellStyle name="40 % - Markeringsfarve5 7 7" xfId="22262" xr:uid="{00000000-0005-0000-0000-0000F9850000}"/>
    <cellStyle name="40 % - Markeringsfarve5 7 8" xfId="37250" xr:uid="{00000000-0005-0000-0000-0000FA850000}"/>
    <cellStyle name="40 % - Markeringsfarve5 7 9" xfId="53954" xr:uid="{00000000-0005-0000-0000-0000FB850000}"/>
    <cellStyle name="40 % - Markeringsfarve5 8" xfId="4413" xr:uid="{00000000-0005-0000-0000-0000FC850000}"/>
    <cellStyle name="40 % - Markeringsfarve5 8 2" xfId="4414" xr:uid="{00000000-0005-0000-0000-0000FD850000}"/>
    <cellStyle name="40 % - Markeringsfarve5 8 2 2" xfId="4415" xr:uid="{00000000-0005-0000-0000-0000FE850000}"/>
    <cellStyle name="40 % - Markeringsfarve5 8 2 2 2" xfId="7855" xr:uid="{00000000-0005-0000-0000-0000FF850000}"/>
    <cellStyle name="40 % - Markeringsfarve5 8 2 2 2 2" xfId="15756" xr:uid="{00000000-0005-0000-0000-000000860000}"/>
    <cellStyle name="40 % - Markeringsfarve5 8 2 2 2 2 2" xfId="32070" xr:uid="{00000000-0005-0000-0000-000001860000}"/>
    <cellStyle name="40 % - Markeringsfarve5 8 2 2 2 2 3" xfId="47034" xr:uid="{00000000-0005-0000-0000-000002860000}"/>
    <cellStyle name="40 % - Markeringsfarve5 8 2 2 2 3" xfId="25048" xr:uid="{00000000-0005-0000-0000-000003860000}"/>
    <cellStyle name="40 % - Markeringsfarve5 8 2 2 2 4" xfId="40035" xr:uid="{00000000-0005-0000-0000-000004860000}"/>
    <cellStyle name="40 % - Markeringsfarve5 8 2 2 3" xfId="12972" xr:uid="{00000000-0005-0000-0000-000005860000}"/>
    <cellStyle name="40 % - Markeringsfarve5 8 2 2 3 2" xfId="29291" xr:uid="{00000000-0005-0000-0000-000006860000}"/>
    <cellStyle name="40 % - Markeringsfarve5 8 2 2 3 3" xfId="44256" xr:uid="{00000000-0005-0000-0000-000007860000}"/>
    <cellStyle name="40 % - Markeringsfarve5 8 2 2 4" xfId="22269" xr:uid="{00000000-0005-0000-0000-000008860000}"/>
    <cellStyle name="40 % - Markeringsfarve5 8 2 2 5" xfId="37257" xr:uid="{00000000-0005-0000-0000-000009860000}"/>
    <cellStyle name="40 % - Markeringsfarve5 8 2 3" xfId="6400" xr:uid="{00000000-0005-0000-0000-00000A860000}"/>
    <cellStyle name="40 % - Markeringsfarve5 8 2 3 2" xfId="14314" xr:uid="{00000000-0005-0000-0000-00000B860000}"/>
    <cellStyle name="40 % - Markeringsfarve5 8 2 3 2 2" xfId="30628" xr:uid="{00000000-0005-0000-0000-00000C860000}"/>
    <cellStyle name="40 % - Markeringsfarve5 8 2 3 2 3" xfId="45592" xr:uid="{00000000-0005-0000-0000-00000D860000}"/>
    <cellStyle name="40 % - Markeringsfarve5 8 2 3 3" xfId="23606" xr:uid="{00000000-0005-0000-0000-00000E860000}"/>
    <cellStyle name="40 % - Markeringsfarve5 8 2 3 4" xfId="38593" xr:uid="{00000000-0005-0000-0000-00000F860000}"/>
    <cellStyle name="40 % - Markeringsfarve5 8 2 4" xfId="12971" xr:uid="{00000000-0005-0000-0000-000010860000}"/>
    <cellStyle name="40 % - Markeringsfarve5 8 2 4 2" xfId="29290" xr:uid="{00000000-0005-0000-0000-000011860000}"/>
    <cellStyle name="40 % - Markeringsfarve5 8 2 4 3" xfId="44255" xr:uid="{00000000-0005-0000-0000-000012860000}"/>
    <cellStyle name="40 % - Markeringsfarve5 8 2 5" xfId="22268" xr:uid="{00000000-0005-0000-0000-000013860000}"/>
    <cellStyle name="40 % - Markeringsfarve5 8 2 6" xfId="37256" xr:uid="{00000000-0005-0000-0000-000014860000}"/>
    <cellStyle name="40 % - Markeringsfarve5 8 3" xfId="4416" xr:uid="{00000000-0005-0000-0000-000015860000}"/>
    <cellStyle name="40 % - Markeringsfarve5 8 3 2" xfId="7131" xr:uid="{00000000-0005-0000-0000-000016860000}"/>
    <cellStyle name="40 % - Markeringsfarve5 8 3 2 2" xfId="15041" xr:uid="{00000000-0005-0000-0000-000017860000}"/>
    <cellStyle name="40 % - Markeringsfarve5 8 3 2 2 2" xfId="31355" xr:uid="{00000000-0005-0000-0000-000018860000}"/>
    <cellStyle name="40 % - Markeringsfarve5 8 3 2 2 3" xfId="46319" xr:uid="{00000000-0005-0000-0000-000019860000}"/>
    <cellStyle name="40 % - Markeringsfarve5 8 3 2 3" xfId="24333" xr:uid="{00000000-0005-0000-0000-00001A860000}"/>
    <cellStyle name="40 % - Markeringsfarve5 8 3 2 4" xfId="39320" xr:uid="{00000000-0005-0000-0000-00001B860000}"/>
    <cellStyle name="40 % - Markeringsfarve5 8 3 3" xfId="12973" xr:uid="{00000000-0005-0000-0000-00001C860000}"/>
    <cellStyle name="40 % - Markeringsfarve5 8 3 3 2" xfId="29292" xr:uid="{00000000-0005-0000-0000-00001D860000}"/>
    <cellStyle name="40 % - Markeringsfarve5 8 3 3 3" xfId="44257" xr:uid="{00000000-0005-0000-0000-00001E860000}"/>
    <cellStyle name="40 % - Markeringsfarve5 8 3 4" xfId="22270" xr:uid="{00000000-0005-0000-0000-00001F860000}"/>
    <cellStyle name="40 % - Markeringsfarve5 8 3 5" xfId="37258" xr:uid="{00000000-0005-0000-0000-000020860000}"/>
    <cellStyle name="40 % - Markeringsfarve5 8 4" xfId="4417" xr:uid="{00000000-0005-0000-0000-000021860000}"/>
    <cellStyle name="40 % - Markeringsfarve5 8 4 2" xfId="8731" xr:uid="{00000000-0005-0000-0000-000022860000}"/>
    <cellStyle name="40 % - Markeringsfarve5 8 4 2 2" xfId="16611" xr:uid="{00000000-0005-0000-0000-000023860000}"/>
    <cellStyle name="40 % - Markeringsfarve5 8 4 2 2 2" xfId="32925" xr:uid="{00000000-0005-0000-0000-000024860000}"/>
    <cellStyle name="40 % - Markeringsfarve5 8 4 2 2 3" xfId="47889" xr:uid="{00000000-0005-0000-0000-000025860000}"/>
    <cellStyle name="40 % - Markeringsfarve5 8 4 2 3" xfId="25903" xr:uid="{00000000-0005-0000-0000-000026860000}"/>
    <cellStyle name="40 % - Markeringsfarve5 8 4 2 4" xfId="40890" xr:uid="{00000000-0005-0000-0000-000027860000}"/>
    <cellStyle name="40 % - Markeringsfarve5 8 4 3" xfId="12974" xr:uid="{00000000-0005-0000-0000-000028860000}"/>
    <cellStyle name="40 % - Markeringsfarve5 8 4 3 2" xfId="29293" xr:uid="{00000000-0005-0000-0000-000029860000}"/>
    <cellStyle name="40 % - Markeringsfarve5 8 4 3 3" xfId="44258" xr:uid="{00000000-0005-0000-0000-00002A860000}"/>
    <cellStyle name="40 % - Markeringsfarve5 8 4 4" xfId="22271" xr:uid="{00000000-0005-0000-0000-00002B860000}"/>
    <cellStyle name="40 % - Markeringsfarve5 8 4 5" xfId="37259" xr:uid="{00000000-0005-0000-0000-00002C860000}"/>
    <cellStyle name="40 % - Markeringsfarve5 8 5" xfId="6025" xr:uid="{00000000-0005-0000-0000-00002D860000}"/>
    <cellStyle name="40 % - Markeringsfarve5 8 5 2" xfId="13943" xr:uid="{00000000-0005-0000-0000-00002E860000}"/>
    <cellStyle name="40 % - Markeringsfarve5 8 5 2 2" xfId="30257" xr:uid="{00000000-0005-0000-0000-00002F860000}"/>
    <cellStyle name="40 % - Markeringsfarve5 8 5 2 3" xfId="45221" xr:uid="{00000000-0005-0000-0000-000030860000}"/>
    <cellStyle name="40 % - Markeringsfarve5 8 5 3" xfId="23235" xr:uid="{00000000-0005-0000-0000-000031860000}"/>
    <cellStyle name="40 % - Markeringsfarve5 8 5 4" xfId="38222" xr:uid="{00000000-0005-0000-0000-000032860000}"/>
    <cellStyle name="40 % - Markeringsfarve5 8 6" xfId="12970" xr:uid="{00000000-0005-0000-0000-000033860000}"/>
    <cellStyle name="40 % - Markeringsfarve5 8 6 2" xfId="29289" xr:uid="{00000000-0005-0000-0000-000034860000}"/>
    <cellStyle name="40 % - Markeringsfarve5 8 6 3" xfId="44254" xr:uid="{00000000-0005-0000-0000-000035860000}"/>
    <cellStyle name="40 % - Markeringsfarve5 8 7" xfId="22267" xr:uid="{00000000-0005-0000-0000-000036860000}"/>
    <cellStyle name="40 % - Markeringsfarve5 8 8" xfId="37255" xr:uid="{00000000-0005-0000-0000-000037860000}"/>
    <cellStyle name="40 % - Markeringsfarve5 9" xfId="4418" xr:uid="{00000000-0005-0000-0000-000038860000}"/>
    <cellStyle name="40 % - Markeringsfarve5 9 2" xfId="4419" xr:uid="{00000000-0005-0000-0000-000039860000}"/>
    <cellStyle name="40 % - Markeringsfarve5 9 2 2" xfId="4420" xr:uid="{00000000-0005-0000-0000-00003A860000}"/>
    <cellStyle name="40 % - Markeringsfarve5 9 2 2 2" xfId="7972" xr:uid="{00000000-0005-0000-0000-00003B860000}"/>
    <cellStyle name="40 % - Markeringsfarve5 9 2 2 2 2" xfId="15873" xr:uid="{00000000-0005-0000-0000-00003C860000}"/>
    <cellStyle name="40 % - Markeringsfarve5 9 2 2 2 2 2" xfId="32187" xr:uid="{00000000-0005-0000-0000-00003D860000}"/>
    <cellStyle name="40 % - Markeringsfarve5 9 2 2 2 2 3" xfId="47151" xr:uid="{00000000-0005-0000-0000-00003E860000}"/>
    <cellStyle name="40 % - Markeringsfarve5 9 2 2 2 3" xfId="25165" xr:uid="{00000000-0005-0000-0000-00003F860000}"/>
    <cellStyle name="40 % - Markeringsfarve5 9 2 2 2 4" xfId="40152" xr:uid="{00000000-0005-0000-0000-000040860000}"/>
    <cellStyle name="40 % - Markeringsfarve5 9 2 2 3" xfId="12977" xr:uid="{00000000-0005-0000-0000-000041860000}"/>
    <cellStyle name="40 % - Markeringsfarve5 9 2 2 3 2" xfId="29296" xr:uid="{00000000-0005-0000-0000-000042860000}"/>
    <cellStyle name="40 % - Markeringsfarve5 9 2 2 3 3" xfId="44261" xr:uid="{00000000-0005-0000-0000-000043860000}"/>
    <cellStyle name="40 % - Markeringsfarve5 9 2 2 4" xfId="22274" xr:uid="{00000000-0005-0000-0000-000044860000}"/>
    <cellStyle name="40 % - Markeringsfarve5 9 2 2 5" xfId="37262" xr:uid="{00000000-0005-0000-0000-000045860000}"/>
    <cellStyle name="40 % - Markeringsfarve5 9 2 3" xfId="6499" xr:uid="{00000000-0005-0000-0000-000046860000}"/>
    <cellStyle name="40 % - Markeringsfarve5 9 2 3 2" xfId="14413" xr:uid="{00000000-0005-0000-0000-000047860000}"/>
    <cellStyle name="40 % - Markeringsfarve5 9 2 3 2 2" xfId="30727" xr:uid="{00000000-0005-0000-0000-000048860000}"/>
    <cellStyle name="40 % - Markeringsfarve5 9 2 3 2 3" xfId="45691" xr:uid="{00000000-0005-0000-0000-000049860000}"/>
    <cellStyle name="40 % - Markeringsfarve5 9 2 3 3" xfId="23705" xr:uid="{00000000-0005-0000-0000-00004A860000}"/>
    <cellStyle name="40 % - Markeringsfarve5 9 2 3 4" xfId="38692" xr:uid="{00000000-0005-0000-0000-00004B860000}"/>
    <cellStyle name="40 % - Markeringsfarve5 9 2 4" xfId="12976" xr:uid="{00000000-0005-0000-0000-00004C860000}"/>
    <cellStyle name="40 % - Markeringsfarve5 9 2 4 2" xfId="29295" xr:uid="{00000000-0005-0000-0000-00004D860000}"/>
    <cellStyle name="40 % - Markeringsfarve5 9 2 4 3" xfId="44260" xr:uid="{00000000-0005-0000-0000-00004E860000}"/>
    <cellStyle name="40 % - Markeringsfarve5 9 2 5" xfId="22273" xr:uid="{00000000-0005-0000-0000-00004F860000}"/>
    <cellStyle name="40 % - Markeringsfarve5 9 2 6" xfId="37261" xr:uid="{00000000-0005-0000-0000-000050860000}"/>
    <cellStyle name="40 % - Markeringsfarve5 9 3" xfId="4421" xr:uid="{00000000-0005-0000-0000-000051860000}"/>
    <cellStyle name="40 % - Markeringsfarve5 9 3 2" xfId="7248" xr:uid="{00000000-0005-0000-0000-000052860000}"/>
    <cellStyle name="40 % - Markeringsfarve5 9 3 2 2" xfId="15158" xr:uid="{00000000-0005-0000-0000-000053860000}"/>
    <cellStyle name="40 % - Markeringsfarve5 9 3 2 2 2" xfId="31472" xr:uid="{00000000-0005-0000-0000-000054860000}"/>
    <cellStyle name="40 % - Markeringsfarve5 9 3 2 2 3" xfId="46436" xr:uid="{00000000-0005-0000-0000-000055860000}"/>
    <cellStyle name="40 % - Markeringsfarve5 9 3 2 3" xfId="24450" xr:uid="{00000000-0005-0000-0000-000056860000}"/>
    <cellStyle name="40 % - Markeringsfarve5 9 3 2 4" xfId="39437" xr:uid="{00000000-0005-0000-0000-000057860000}"/>
    <cellStyle name="40 % - Markeringsfarve5 9 3 3" xfId="12978" xr:uid="{00000000-0005-0000-0000-000058860000}"/>
    <cellStyle name="40 % - Markeringsfarve5 9 3 3 2" xfId="29297" xr:uid="{00000000-0005-0000-0000-000059860000}"/>
    <cellStyle name="40 % - Markeringsfarve5 9 3 3 3" xfId="44262" xr:uid="{00000000-0005-0000-0000-00005A860000}"/>
    <cellStyle name="40 % - Markeringsfarve5 9 3 4" xfId="22275" xr:uid="{00000000-0005-0000-0000-00005B860000}"/>
    <cellStyle name="40 % - Markeringsfarve5 9 3 5" xfId="37263" xr:uid="{00000000-0005-0000-0000-00005C860000}"/>
    <cellStyle name="40 % - Markeringsfarve5 9 4" xfId="4422" xr:uid="{00000000-0005-0000-0000-00005D860000}"/>
    <cellStyle name="40 % - Markeringsfarve5 9 4 2" xfId="8455" xr:uid="{00000000-0005-0000-0000-00005E860000}"/>
    <cellStyle name="40 % - Markeringsfarve5 9 4 2 2" xfId="16347" xr:uid="{00000000-0005-0000-0000-00005F860000}"/>
    <cellStyle name="40 % - Markeringsfarve5 9 4 2 2 2" xfId="32661" xr:uid="{00000000-0005-0000-0000-000060860000}"/>
    <cellStyle name="40 % - Markeringsfarve5 9 4 2 2 3" xfId="47625" xr:uid="{00000000-0005-0000-0000-000061860000}"/>
    <cellStyle name="40 % - Markeringsfarve5 9 4 2 3" xfId="25639" xr:uid="{00000000-0005-0000-0000-000062860000}"/>
    <cellStyle name="40 % - Markeringsfarve5 9 4 2 4" xfId="40626" xr:uid="{00000000-0005-0000-0000-000063860000}"/>
    <cellStyle name="40 % - Markeringsfarve5 9 4 3" xfId="12979" xr:uid="{00000000-0005-0000-0000-000064860000}"/>
    <cellStyle name="40 % - Markeringsfarve5 9 4 3 2" xfId="29298" xr:uid="{00000000-0005-0000-0000-000065860000}"/>
    <cellStyle name="40 % - Markeringsfarve5 9 4 3 3" xfId="44263" xr:uid="{00000000-0005-0000-0000-000066860000}"/>
    <cellStyle name="40 % - Markeringsfarve5 9 4 4" xfId="22276" xr:uid="{00000000-0005-0000-0000-000067860000}"/>
    <cellStyle name="40 % - Markeringsfarve5 9 4 5" xfId="37264" xr:uid="{00000000-0005-0000-0000-000068860000}"/>
    <cellStyle name="40 % - Markeringsfarve5 9 5" xfId="6026" xr:uid="{00000000-0005-0000-0000-000069860000}"/>
    <cellStyle name="40 % - Markeringsfarve5 9 5 2" xfId="13944" xr:uid="{00000000-0005-0000-0000-00006A860000}"/>
    <cellStyle name="40 % - Markeringsfarve5 9 5 2 2" xfId="30258" xr:uid="{00000000-0005-0000-0000-00006B860000}"/>
    <cellStyle name="40 % - Markeringsfarve5 9 5 2 3" xfId="45222" xr:uid="{00000000-0005-0000-0000-00006C860000}"/>
    <cellStyle name="40 % - Markeringsfarve5 9 5 3" xfId="23236" xr:uid="{00000000-0005-0000-0000-00006D860000}"/>
    <cellStyle name="40 % - Markeringsfarve5 9 5 4" xfId="38223" xr:uid="{00000000-0005-0000-0000-00006E860000}"/>
    <cellStyle name="40 % - Markeringsfarve5 9 6" xfId="12975" xr:uid="{00000000-0005-0000-0000-00006F860000}"/>
    <cellStyle name="40 % - Markeringsfarve5 9 6 2" xfId="29294" xr:uid="{00000000-0005-0000-0000-000070860000}"/>
    <cellStyle name="40 % - Markeringsfarve5 9 6 3" xfId="44259" xr:uid="{00000000-0005-0000-0000-000071860000}"/>
    <cellStyle name="40 % - Markeringsfarve5 9 7" xfId="22272" xr:uid="{00000000-0005-0000-0000-000072860000}"/>
    <cellStyle name="40 % - Markeringsfarve5 9 8" xfId="37260" xr:uid="{00000000-0005-0000-0000-000073860000}"/>
    <cellStyle name="40 % - Markeringsfarve6 10" xfId="4424" xr:uid="{00000000-0005-0000-0000-000074860000}"/>
    <cellStyle name="40 % - Markeringsfarve6 10 2" xfId="4425" xr:uid="{00000000-0005-0000-0000-000075860000}"/>
    <cellStyle name="40 % - Markeringsfarve6 10 2 2" xfId="4426" xr:uid="{00000000-0005-0000-0000-000076860000}"/>
    <cellStyle name="40 % - Markeringsfarve6 10 2 2 2" xfId="8179" xr:uid="{00000000-0005-0000-0000-000077860000}"/>
    <cellStyle name="40 % - Markeringsfarve6 10 2 2 2 2" xfId="16080" xr:uid="{00000000-0005-0000-0000-000078860000}"/>
    <cellStyle name="40 % - Markeringsfarve6 10 2 2 2 2 2" xfId="32394" xr:uid="{00000000-0005-0000-0000-000079860000}"/>
    <cellStyle name="40 % - Markeringsfarve6 10 2 2 2 2 3" xfId="47358" xr:uid="{00000000-0005-0000-0000-00007A860000}"/>
    <cellStyle name="40 % - Markeringsfarve6 10 2 2 2 3" xfId="25372" xr:uid="{00000000-0005-0000-0000-00007B860000}"/>
    <cellStyle name="40 % - Markeringsfarve6 10 2 2 2 4" xfId="40359" xr:uid="{00000000-0005-0000-0000-00007C860000}"/>
    <cellStyle name="40 % - Markeringsfarve6 10 2 2 3" xfId="12983" xr:uid="{00000000-0005-0000-0000-00007D860000}"/>
    <cellStyle name="40 % - Markeringsfarve6 10 2 2 3 2" xfId="29302" xr:uid="{00000000-0005-0000-0000-00007E860000}"/>
    <cellStyle name="40 % - Markeringsfarve6 10 2 2 3 3" xfId="44267" xr:uid="{00000000-0005-0000-0000-00007F860000}"/>
    <cellStyle name="40 % - Markeringsfarve6 10 2 2 4" xfId="22280" xr:uid="{00000000-0005-0000-0000-000080860000}"/>
    <cellStyle name="40 % - Markeringsfarve6 10 2 2 5" xfId="37268" xr:uid="{00000000-0005-0000-0000-000081860000}"/>
    <cellStyle name="40 % - Markeringsfarve6 10 2 3" xfId="6672" xr:uid="{00000000-0005-0000-0000-000082860000}"/>
    <cellStyle name="40 % - Markeringsfarve6 10 2 3 2" xfId="14586" xr:uid="{00000000-0005-0000-0000-000083860000}"/>
    <cellStyle name="40 % - Markeringsfarve6 10 2 3 2 2" xfId="30900" xr:uid="{00000000-0005-0000-0000-000084860000}"/>
    <cellStyle name="40 % - Markeringsfarve6 10 2 3 2 3" xfId="45864" xr:uid="{00000000-0005-0000-0000-000085860000}"/>
    <cellStyle name="40 % - Markeringsfarve6 10 2 3 3" xfId="23878" xr:uid="{00000000-0005-0000-0000-000086860000}"/>
    <cellStyle name="40 % - Markeringsfarve6 10 2 3 4" xfId="38865" xr:uid="{00000000-0005-0000-0000-000087860000}"/>
    <cellStyle name="40 % - Markeringsfarve6 10 2 4" xfId="12982" xr:uid="{00000000-0005-0000-0000-000088860000}"/>
    <cellStyle name="40 % - Markeringsfarve6 10 2 4 2" xfId="29301" xr:uid="{00000000-0005-0000-0000-000089860000}"/>
    <cellStyle name="40 % - Markeringsfarve6 10 2 4 3" xfId="44266" xr:uid="{00000000-0005-0000-0000-00008A860000}"/>
    <cellStyle name="40 % - Markeringsfarve6 10 2 5" xfId="22279" xr:uid="{00000000-0005-0000-0000-00008B860000}"/>
    <cellStyle name="40 % - Markeringsfarve6 10 2 6" xfId="37267" xr:uid="{00000000-0005-0000-0000-00008C860000}"/>
    <cellStyle name="40 % - Markeringsfarve6 10 3" xfId="4427" xr:uid="{00000000-0005-0000-0000-00008D860000}"/>
    <cellStyle name="40 % - Markeringsfarve6 10 3 2" xfId="7456" xr:uid="{00000000-0005-0000-0000-00008E860000}"/>
    <cellStyle name="40 % - Markeringsfarve6 10 3 2 2" xfId="15366" xr:uid="{00000000-0005-0000-0000-00008F860000}"/>
    <cellStyle name="40 % - Markeringsfarve6 10 3 2 2 2" xfId="31680" xr:uid="{00000000-0005-0000-0000-000090860000}"/>
    <cellStyle name="40 % - Markeringsfarve6 10 3 2 2 3" xfId="46644" xr:uid="{00000000-0005-0000-0000-000091860000}"/>
    <cellStyle name="40 % - Markeringsfarve6 10 3 2 3" xfId="24658" xr:uid="{00000000-0005-0000-0000-000092860000}"/>
    <cellStyle name="40 % - Markeringsfarve6 10 3 2 4" xfId="39645" xr:uid="{00000000-0005-0000-0000-000093860000}"/>
    <cellStyle name="40 % - Markeringsfarve6 10 3 3" xfId="12984" xr:uid="{00000000-0005-0000-0000-000094860000}"/>
    <cellStyle name="40 % - Markeringsfarve6 10 3 3 2" xfId="29303" xr:uid="{00000000-0005-0000-0000-000095860000}"/>
    <cellStyle name="40 % - Markeringsfarve6 10 3 3 3" xfId="44268" xr:uid="{00000000-0005-0000-0000-000096860000}"/>
    <cellStyle name="40 % - Markeringsfarve6 10 3 4" xfId="22281" xr:uid="{00000000-0005-0000-0000-000097860000}"/>
    <cellStyle name="40 % - Markeringsfarve6 10 3 5" xfId="37269" xr:uid="{00000000-0005-0000-0000-000098860000}"/>
    <cellStyle name="40 % - Markeringsfarve6 10 4" xfId="4428" xr:uid="{00000000-0005-0000-0000-000099860000}"/>
    <cellStyle name="40 % - Markeringsfarve6 10 4 2" xfId="8414" xr:uid="{00000000-0005-0000-0000-00009A860000}"/>
    <cellStyle name="40 % - Markeringsfarve6 10 4 2 2" xfId="16307" xr:uid="{00000000-0005-0000-0000-00009B860000}"/>
    <cellStyle name="40 % - Markeringsfarve6 10 4 2 2 2" xfId="32621" xr:uid="{00000000-0005-0000-0000-00009C860000}"/>
    <cellStyle name="40 % - Markeringsfarve6 10 4 2 2 3" xfId="47585" xr:uid="{00000000-0005-0000-0000-00009D860000}"/>
    <cellStyle name="40 % - Markeringsfarve6 10 4 2 3" xfId="25599" xr:uid="{00000000-0005-0000-0000-00009E860000}"/>
    <cellStyle name="40 % - Markeringsfarve6 10 4 2 4" xfId="40586" xr:uid="{00000000-0005-0000-0000-00009F860000}"/>
    <cellStyle name="40 % - Markeringsfarve6 10 4 3" xfId="12985" xr:uid="{00000000-0005-0000-0000-0000A0860000}"/>
    <cellStyle name="40 % - Markeringsfarve6 10 4 3 2" xfId="29304" xr:uid="{00000000-0005-0000-0000-0000A1860000}"/>
    <cellStyle name="40 % - Markeringsfarve6 10 4 3 3" xfId="44269" xr:uid="{00000000-0005-0000-0000-0000A2860000}"/>
    <cellStyle name="40 % - Markeringsfarve6 10 4 4" xfId="22282" xr:uid="{00000000-0005-0000-0000-0000A3860000}"/>
    <cellStyle name="40 % - Markeringsfarve6 10 4 5" xfId="37270" xr:uid="{00000000-0005-0000-0000-0000A4860000}"/>
    <cellStyle name="40 % - Markeringsfarve6 10 5" xfId="6028" xr:uid="{00000000-0005-0000-0000-0000A5860000}"/>
    <cellStyle name="40 % - Markeringsfarve6 10 5 2" xfId="13946" xr:uid="{00000000-0005-0000-0000-0000A6860000}"/>
    <cellStyle name="40 % - Markeringsfarve6 10 5 2 2" xfId="30260" xr:uid="{00000000-0005-0000-0000-0000A7860000}"/>
    <cellStyle name="40 % - Markeringsfarve6 10 5 2 3" xfId="45224" xr:uid="{00000000-0005-0000-0000-0000A8860000}"/>
    <cellStyle name="40 % - Markeringsfarve6 10 5 3" xfId="23238" xr:uid="{00000000-0005-0000-0000-0000A9860000}"/>
    <cellStyle name="40 % - Markeringsfarve6 10 5 4" xfId="38225" xr:uid="{00000000-0005-0000-0000-0000AA860000}"/>
    <cellStyle name="40 % - Markeringsfarve6 10 6" xfId="12981" xr:uid="{00000000-0005-0000-0000-0000AB860000}"/>
    <cellStyle name="40 % - Markeringsfarve6 10 6 2" xfId="29300" xr:uid="{00000000-0005-0000-0000-0000AC860000}"/>
    <cellStyle name="40 % - Markeringsfarve6 10 6 3" xfId="44265" xr:uid="{00000000-0005-0000-0000-0000AD860000}"/>
    <cellStyle name="40 % - Markeringsfarve6 10 7" xfId="22278" xr:uid="{00000000-0005-0000-0000-0000AE860000}"/>
    <cellStyle name="40 % - Markeringsfarve6 10 8" xfId="37266" xr:uid="{00000000-0005-0000-0000-0000AF860000}"/>
    <cellStyle name="40 % - Markeringsfarve6 11" xfId="4429" xr:uid="{00000000-0005-0000-0000-0000B0860000}"/>
    <cellStyle name="40 % - Markeringsfarve6 11 2" xfId="4430" xr:uid="{00000000-0005-0000-0000-0000B1860000}"/>
    <cellStyle name="40 % - Markeringsfarve6 11 2 2" xfId="7499" xr:uid="{00000000-0005-0000-0000-0000B2860000}"/>
    <cellStyle name="40 % - Markeringsfarve6 11 2 2 2" xfId="15400" xr:uid="{00000000-0005-0000-0000-0000B3860000}"/>
    <cellStyle name="40 % - Markeringsfarve6 11 2 2 2 2" xfId="31714" xr:uid="{00000000-0005-0000-0000-0000B4860000}"/>
    <cellStyle name="40 % - Markeringsfarve6 11 2 2 2 3" xfId="46678" xr:uid="{00000000-0005-0000-0000-0000B5860000}"/>
    <cellStyle name="40 % - Markeringsfarve6 11 2 2 3" xfId="24692" xr:uid="{00000000-0005-0000-0000-0000B6860000}"/>
    <cellStyle name="40 % - Markeringsfarve6 11 2 2 4" xfId="39679" xr:uid="{00000000-0005-0000-0000-0000B7860000}"/>
    <cellStyle name="40 % - Markeringsfarve6 11 2 3" xfId="12987" xr:uid="{00000000-0005-0000-0000-0000B8860000}"/>
    <cellStyle name="40 % - Markeringsfarve6 11 2 3 2" xfId="29306" xr:uid="{00000000-0005-0000-0000-0000B9860000}"/>
    <cellStyle name="40 % - Markeringsfarve6 11 2 3 3" xfId="44271" xr:uid="{00000000-0005-0000-0000-0000BA860000}"/>
    <cellStyle name="40 % - Markeringsfarve6 11 2 4" xfId="22284" xr:uid="{00000000-0005-0000-0000-0000BB860000}"/>
    <cellStyle name="40 % - Markeringsfarve6 11 2 5" xfId="37272" xr:uid="{00000000-0005-0000-0000-0000BC860000}"/>
    <cellStyle name="40 % - Markeringsfarve6 11 3" xfId="4431" xr:uid="{00000000-0005-0000-0000-0000BD860000}"/>
    <cellStyle name="40 % - Markeringsfarve6 11 3 2" xfId="8626" xr:uid="{00000000-0005-0000-0000-0000BE860000}"/>
    <cellStyle name="40 % - Markeringsfarve6 11 3 2 2" xfId="16509" xr:uid="{00000000-0005-0000-0000-0000BF860000}"/>
    <cellStyle name="40 % - Markeringsfarve6 11 3 2 2 2" xfId="32823" xr:uid="{00000000-0005-0000-0000-0000C0860000}"/>
    <cellStyle name="40 % - Markeringsfarve6 11 3 2 2 3" xfId="47787" xr:uid="{00000000-0005-0000-0000-0000C1860000}"/>
    <cellStyle name="40 % - Markeringsfarve6 11 3 2 3" xfId="25801" xr:uid="{00000000-0005-0000-0000-0000C2860000}"/>
    <cellStyle name="40 % - Markeringsfarve6 11 3 2 4" xfId="40788" xr:uid="{00000000-0005-0000-0000-0000C3860000}"/>
    <cellStyle name="40 % - Markeringsfarve6 11 3 3" xfId="12988" xr:uid="{00000000-0005-0000-0000-0000C4860000}"/>
    <cellStyle name="40 % - Markeringsfarve6 11 3 3 2" xfId="29307" xr:uid="{00000000-0005-0000-0000-0000C5860000}"/>
    <cellStyle name="40 % - Markeringsfarve6 11 3 3 3" xfId="44272" xr:uid="{00000000-0005-0000-0000-0000C6860000}"/>
    <cellStyle name="40 % - Markeringsfarve6 11 3 4" xfId="22285" xr:uid="{00000000-0005-0000-0000-0000C7860000}"/>
    <cellStyle name="40 % - Markeringsfarve6 11 3 5" xfId="37273" xr:uid="{00000000-0005-0000-0000-0000C8860000}"/>
    <cellStyle name="40 % - Markeringsfarve6 11 4" xfId="6029" xr:uid="{00000000-0005-0000-0000-0000C9860000}"/>
    <cellStyle name="40 % - Markeringsfarve6 11 4 2" xfId="13947" xr:uid="{00000000-0005-0000-0000-0000CA860000}"/>
    <cellStyle name="40 % - Markeringsfarve6 11 4 2 2" xfId="30261" xr:uid="{00000000-0005-0000-0000-0000CB860000}"/>
    <cellStyle name="40 % - Markeringsfarve6 11 4 2 3" xfId="45225" xr:uid="{00000000-0005-0000-0000-0000CC860000}"/>
    <cellStyle name="40 % - Markeringsfarve6 11 4 3" xfId="23239" xr:uid="{00000000-0005-0000-0000-0000CD860000}"/>
    <cellStyle name="40 % - Markeringsfarve6 11 4 4" xfId="38226" xr:uid="{00000000-0005-0000-0000-0000CE860000}"/>
    <cellStyle name="40 % - Markeringsfarve6 11 5" xfId="12986" xr:uid="{00000000-0005-0000-0000-0000CF860000}"/>
    <cellStyle name="40 % - Markeringsfarve6 11 5 2" xfId="29305" xr:uid="{00000000-0005-0000-0000-0000D0860000}"/>
    <cellStyle name="40 % - Markeringsfarve6 11 5 3" xfId="44270" xr:uid="{00000000-0005-0000-0000-0000D1860000}"/>
    <cellStyle name="40 % - Markeringsfarve6 11 6" xfId="22283" xr:uid="{00000000-0005-0000-0000-0000D2860000}"/>
    <cellStyle name="40 % - Markeringsfarve6 11 7" xfId="37271" xr:uid="{00000000-0005-0000-0000-0000D3860000}"/>
    <cellStyle name="40 % - Markeringsfarve6 12" xfId="4432" xr:uid="{00000000-0005-0000-0000-0000D4860000}"/>
    <cellStyle name="40 % - Markeringsfarve6 12 2" xfId="4433" xr:uid="{00000000-0005-0000-0000-0000D5860000}"/>
    <cellStyle name="40 % - Markeringsfarve6 12 2 2" xfId="8276" xr:uid="{00000000-0005-0000-0000-0000D6860000}"/>
    <cellStyle name="40 % - Markeringsfarve6 12 2 2 2" xfId="16170" xr:uid="{00000000-0005-0000-0000-0000D7860000}"/>
    <cellStyle name="40 % - Markeringsfarve6 12 2 2 2 2" xfId="32484" xr:uid="{00000000-0005-0000-0000-0000D8860000}"/>
    <cellStyle name="40 % - Markeringsfarve6 12 2 2 2 3" xfId="47448" xr:uid="{00000000-0005-0000-0000-0000D9860000}"/>
    <cellStyle name="40 % - Markeringsfarve6 12 2 2 3" xfId="25462" xr:uid="{00000000-0005-0000-0000-0000DA860000}"/>
    <cellStyle name="40 % - Markeringsfarve6 12 2 2 4" xfId="40449" xr:uid="{00000000-0005-0000-0000-0000DB860000}"/>
    <cellStyle name="40 % - Markeringsfarve6 12 2 3" xfId="12990" xr:uid="{00000000-0005-0000-0000-0000DC860000}"/>
    <cellStyle name="40 % - Markeringsfarve6 12 2 3 2" xfId="29309" xr:uid="{00000000-0005-0000-0000-0000DD860000}"/>
    <cellStyle name="40 % - Markeringsfarve6 12 2 3 3" xfId="44274" xr:uid="{00000000-0005-0000-0000-0000DE860000}"/>
    <cellStyle name="40 % - Markeringsfarve6 12 2 4" xfId="22287" xr:uid="{00000000-0005-0000-0000-0000DF860000}"/>
    <cellStyle name="40 % - Markeringsfarve6 12 2 5" xfId="37275" xr:uid="{00000000-0005-0000-0000-0000E0860000}"/>
    <cellStyle name="40 % - Markeringsfarve6 12 3" xfId="6030" xr:uid="{00000000-0005-0000-0000-0000E1860000}"/>
    <cellStyle name="40 % - Markeringsfarve6 12 3 2" xfId="13948" xr:uid="{00000000-0005-0000-0000-0000E2860000}"/>
    <cellStyle name="40 % - Markeringsfarve6 12 3 2 2" xfId="30262" xr:uid="{00000000-0005-0000-0000-0000E3860000}"/>
    <cellStyle name="40 % - Markeringsfarve6 12 3 2 3" xfId="45226" xr:uid="{00000000-0005-0000-0000-0000E4860000}"/>
    <cellStyle name="40 % - Markeringsfarve6 12 3 3" xfId="23240" xr:uid="{00000000-0005-0000-0000-0000E5860000}"/>
    <cellStyle name="40 % - Markeringsfarve6 12 3 4" xfId="38227" xr:uid="{00000000-0005-0000-0000-0000E6860000}"/>
    <cellStyle name="40 % - Markeringsfarve6 12 4" xfId="12989" xr:uid="{00000000-0005-0000-0000-0000E7860000}"/>
    <cellStyle name="40 % - Markeringsfarve6 12 4 2" xfId="29308" xr:uid="{00000000-0005-0000-0000-0000E8860000}"/>
    <cellStyle name="40 % - Markeringsfarve6 12 4 3" xfId="44273" xr:uid="{00000000-0005-0000-0000-0000E9860000}"/>
    <cellStyle name="40 % - Markeringsfarve6 12 5" xfId="22286" xr:uid="{00000000-0005-0000-0000-0000EA860000}"/>
    <cellStyle name="40 % - Markeringsfarve6 12 6" xfId="37274" xr:uid="{00000000-0005-0000-0000-0000EB860000}"/>
    <cellStyle name="40 % - Markeringsfarve6 13" xfId="4434" xr:uid="{00000000-0005-0000-0000-0000EC860000}"/>
    <cellStyle name="40 % - Markeringsfarve6 13 2" xfId="4435" xr:uid="{00000000-0005-0000-0000-0000ED860000}"/>
    <cellStyle name="40 % - Markeringsfarve6 13 2 2" xfId="8600" xr:uid="{00000000-0005-0000-0000-0000EE860000}"/>
    <cellStyle name="40 % - Markeringsfarve6 13 2 2 2" xfId="16486" xr:uid="{00000000-0005-0000-0000-0000EF860000}"/>
    <cellStyle name="40 % - Markeringsfarve6 13 2 2 2 2" xfId="32800" xr:uid="{00000000-0005-0000-0000-0000F0860000}"/>
    <cellStyle name="40 % - Markeringsfarve6 13 2 2 2 3" xfId="47764" xr:uid="{00000000-0005-0000-0000-0000F1860000}"/>
    <cellStyle name="40 % - Markeringsfarve6 13 2 2 3" xfId="25778" xr:uid="{00000000-0005-0000-0000-0000F2860000}"/>
    <cellStyle name="40 % - Markeringsfarve6 13 2 2 4" xfId="40765" xr:uid="{00000000-0005-0000-0000-0000F3860000}"/>
    <cellStyle name="40 % - Markeringsfarve6 13 2 3" xfId="12992" xr:uid="{00000000-0005-0000-0000-0000F4860000}"/>
    <cellStyle name="40 % - Markeringsfarve6 13 2 3 2" xfId="29311" xr:uid="{00000000-0005-0000-0000-0000F5860000}"/>
    <cellStyle name="40 % - Markeringsfarve6 13 2 3 3" xfId="44276" xr:uid="{00000000-0005-0000-0000-0000F6860000}"/>
    <cellStyle name="40 % - Markeringsfarve6 13 2 4" xfId="22289" xr:uid="{00000000-0005-0000-0000-0000F7860000}"/>
    <cellStyle name="40 % - Markeringsfarve6 13 2 5" xfId="37277" xr:uid="{00000000-0005-0000-0000-0000F8860000}"/>
    <cellStyle name="40 % - Markeringsfarve6 13 3" xfId="6031" xr:uid="{00000000-0005-0000-0000-0000F9860000}"/>
    <cellStyle name="40 % - Markeringsfarve6 13 3 2" xfId="13949" xr:uid="{00000000-0005-0000-0000-0000FA860000}"/>
    <cellStyle name="40 % - Markeringsfarve6 13 3 2 2" xfId="30263" xr:uid="{00000000-0005-0000-0000-0000FB860000}"/>
    <cellStyle name="40 % - Markeringsfarve6 13 3 2 3" xfId="45227" xr:uid="{00000000-0005-0000-0000-0000FC860000}"/>
    <cellStyle name="40 % - Markeringsfarve6 13 3 3" xfId="23241" xr:uid="{00000000-0005-0000-0000-0000FD860000}"/>
    <cellStyle name="40 % - Markeringsfarve6 13 3 4" xfId="38228" xr:uid="{00000000-0005-0000-0000-0000FE860000}"/>
    <cellStyle name="40 % - Markeringsfarve6 13 4" xfId="12991" xr:uid="{00000000-0005-0000-0000-0000FF860000}"/>
    <cellStyle name="40 % - Markeringsfarve6 13 4 2" xfId="29310" xr:uid="{00000000-0005-0000-0000-000000870000}"/>
    <cellStyle name="40 % - Markeringsfarve6 13 4 3" xfId="44275" xr:uid="{00000000-0005-0000-0000-000001870000}"/>
    <cellStyle name="40 % - Markeringsfarve6 13 5" xfId="22288" xr:uid="{00000000-0005-0000-0000-000002870000}"/>
    <cellStyle name="40 % - Markeringsfarve6 13 6" xfId="37276" xr:uid="{00000000-0005-0000-0000-000003870000}"/>
    <cellStyle name="40 % - Markeringsfarve6 14" xfId="4436" xr:uid="{00000000-0005-0000-0000-000004870000}"/>
    <cellStyle name="40 % - Markeringsfarve6 14 2" xfId="4437" xr:uid="{00000000-0005-0000-0000-000005870000}"/>
    <cellStyle name="40 % - Markeringsfarve6 14 2 2" xfId="8712" xr:uid="{00000000-0005-0000-0000-000006870000}"/>
    <cellStyle name="40 % - Markeringsfarve6 14 2 2 2" xfId="16592" xr:uid="{00000000-0005-0000-0000-000007870000}"/>
    <cellStyle name="40 % - Markeringsfarve6 14 2 2 2 2" xfId="32906" xr:uid="{00000000-0005-0000-0000-000008870000}"/>
    <cellStyle name="40 % - Markeringsfarve6 14 2 2 2 3" xfId="47870" xr:uid="{00000000-0005-0000-0000-000009870000}"/>
    <cellStyle name="40 % - Markeringsfarve6 14 2 2 3" xfId="25884" xr:uid="{00000000-0005-0000-0000-00000A870000}"/>
    <cellStyle name="40 % - Markeringsfarve6 14 2 2 4" xfId="40871" xr:uid="{00000000-0005-0000-0000-00000B870000}"/>
    <cellStyle name="40 % - Markeringsfarve6 14 2 3" xfId="12994" xr:uid="{00000000-0005-0000-0000-00000C870000}"/>
    <cellStyle name="40 % - Markeringsfarve6 14 2 3 2" xfId="29313" xr:uid="{00000000-0005-0000-0000-00000D870000}"/>
    <cellStyle name="40 % - Markeringsfarve6 14 2 3 3" xfId="44278" xr:uid="{00000000-0005-0000-0000-00000E870000}"/>
    <cellStyle name="40 % - Markeringsfarve6 14 2 4" xfId="22291" xr:uid="{00000000-0005-0000-0000-00000F870000}"/>
    <cellStyle name="40 % - Markeringsfarve6 14 2 5" xfId="37279" xr:uid="{00000000-0005-0000-0000-000010870000}"/>
    <cellStyle name="40 % - Markeringsfarve6 14 3" xfId="6027" xr:uid="{00000000-0005-0000-0000-000011870000}"/>
    <cellStyle name="40 % - Markeringsfarve6 14 3 2" xfId="13945" xr:uid="{00000000-0005-0000-0000-000012870000}"/>
    <cellStyle name="40 % - Markeringsfarve6 14 3 2 2" xfId="30259" xr:uid="{00000000-0005-0000-0000-000013870000}"/>
    <cellStyle name="40 % - Markeringsfarve6 14 3 2 3" xfId="45223" xr:uid="{00000000-0005-0000-0000-000014870000}"/>
    <cellStyle name="40 % - Markeringsfarve6 14 3 3" xfId="23237" xr:uid="{00000000-0005-0000-0000-000015870000}"/>
    <cellStyle name="40 % - Markeringsfarve6 14 3 4" xfId="38224" xr:uid="{00000000-0005-0000-0000-000016870000}"/>
    <cellStyle name="40 % - Markeringsfarve6 14 4" xfId="12993" xr:uid="{00000000-0005-0000-0000-000017870000}"/>
    <cellStyle name="40 % - Markeringsfarve6 14 4 2" xfId="29312" xr:uid="{00000000-0005-0000-0000-000018870000}"/>
    <cellStyle name="40 % - Markeringsfarve6 14 4 3" xfId="44277" xr:uid="{00000000-0005-0000-0000-000019870000}"/>
    <cellStyle name="40 % - Markeringsfarve6 14 5" xfId="22290" xr:uid="{00000000-0005-0000-0000-00001A870000}"/>
    <cellStyle name="40 % - Markeringsfarve6 14 6" xfId="37278" xr:uid="{00000000-0005-0000-0000-00001B870000}"/>
    <cellStyle name="40 % - Markeringsfarve6 15" xfId="4438" xr:uid="{00000000-0005-0000-0000-00001C870000}"/>
    <cellStyle name="40 % - Markeringsfarve6 15 2" xfId="6724" xr:uid="{00000000-0005-0000-0000-00001D870000}"/>
    <cellStyle name="40 % - Markeringsfarve6 15 2 2" xfId="14637" xr:uid="{00000000-0005-0000-0000-00001E870000}"/>
    <cellStyle name="40 % - Markeringsfarve6 15 2 2 2" xfId="30951" xr:uid="{00000000-0005-0000-0000-00001F870000}"/>
    <cellStyle name="40 % - Markeringsfarve6 15 2 2 3" xfId="45915" xr:uid="{00000000-0005-0000-0000-000020870000}"/>
    <cellStyle name="40 % - Markeringsfarve6 15 2 3" xfId="23929" xr:uid="{00000000-0005-0000-0000-000021870000}"/>
    <cellStyle name="40 % - Markeringsfarve6 15 2 4" xfId="38916" xr:uid="{00000000-0005-0000-0000-000022870000}"/>
    <cellStyle name="40 % - Markeringsfarve6 15 3" xfId="12995" xr:uid="{00000000-0005-0000-0000-000023870000}"/>
    <cellStyle name="40 % - Markeringsfarve6 15 3 2" xfId="29314" xr:uid="{00000000-0005-0000-0000-000024870000}"/>
    <cellStyle name="40 % - Markeringsfarve6 15 3 3" xfId="44279" xr:uid="{00000000-0005-0000-0000-000025870000}"/>
    <cellStyle name="40 % - Markeringsfarve6 15 4" xfId="22292" xr:uid="{00000000-0005-0000-0000-000026870000}"/>
    <cellStyle name="40 % - Markeringsfarve6 15 5" xfId="37280" xr:uid="{00000000-0005-0000-0000-000027870000}"/>
    <cellStyle name="40 % - Markeringsfarve6 16" xfId="4439" xr:uid="{00000000-0005-0000-0000-000028870000}"/>
    <cellStyle name="40 % - Markeringsfarve6 16 2" xfId="8445" xr:uid="{00000000-0005-0000-0000-000029870000}"/>
    <cellStyle name="40 % - Markeringsfarve6 16 2 2" xfId="16337" xr:uid="{00000000-0005-0000-0000-00002A870000}"/>
    <cellStyle name="40 % - Markeringsfarve6 16 2 2 2" xfId="32651" xr:uid="{00000000-0005-0000-0000-00002B870000}"/>
    <cellStyle name="40 % - Markeringsfarve6 16 2 2 3" xfId="47615" xr:uid="{00000000-0005-0000-0000-00002C870000}"/>
    <cellStyle name="40 % - Markeringsfarve6 16 2 3" xfId="25629" xr:uid="{00000000-0005-0000-0000-00002D870000}"/>
    <cellStyle name="40 % - Markeringsfarve6 16 2 4" xfId="40616" xr:uid="{00000000-0005-0000-0000-00002E870000}"/>
    <cellStyle name="40 % - Markeringsfarve6 16 3" xfId="12996" xr:uid="{00000000-0005-0000-0000-00002F870000}"/>
    <cellStyle name="40 % - Markeringsfarve6 16 3 2" xfId="29315" xr:uid="{00000000-0005-0000-0000-000030870000}"/>
    <cellStyle name="40 % - Markeringsfarve6 16 3 3" xfId="44280" xr:uid="{00000000-0005-0000-0000-000031870000}"/>
    <cellStyle name="40 % - Markeringsfarve6 16 4" xfId="22293" xr:uid="{00000000-0005-0000-0000-000032870000}"/>
    <cellStyle name="40 % - Markeringsfarve6 16 5" xfId="37281" xr:uid="{00000000-0005-0000-0000-000033870000}"/>
    <cellStyle name="40 % - Markeringsfarve6 17" xfId="4440" xr:uid="{00000000-0005-0000-0000-000034870000}"/>
    <cellStyle name="40 % - Markeringsfarve6 17 2" xfId="8690" xr:uid="{00000000-0005-0000-0000-000035870000}"/>
    <cellStyle name="40 % - Markeringsfarve6 17 2 2" xfId="16571" xr:uid="{00000000-0005-0000-0000-000036870000}"/>
    <cellStyle name="40 % - Markeringsfarve6 17 2 2 2" xfId="32885" xr:uid="{00000000-0005-0000-0000-000037870000}"/>
    <cellStyle name="40 % - Markeringsfarve6 17 2 2 3" xfId="47849" xr:uid="{00000000-0005-0000-0000-000038870000}"/>
    <cellStyle name="40 % - Markeringsfarve6 17 2 3" xfId="25863" xr:uid="{00000000-0005-0000-0000-000039870000}"/>
    <cellStyle name="40 % - Markeringsfarve6 17 2 4" xfId="40850" xr:uid="{00000000-0005-0000-0000-00003A870000}"/>
    <cellStyle name="40 % - Markeringsfarve6 17 3" xfId="12997" xr:uid="{00000000-0005-0000-0000-00003B870000}"/>
    <cellStyle name="40 % - Markeringsfarve6 17 3 2" xfId="29316" xr:uid="{00000000-0005-0000-0000-00003C870000}"/>
    <cellStyle name="40 % - Markeringsfarve6 17 3 3" xfId="44281" xr:uid="{00000000-0005-0000-0000-00003D870000}"/>
    <cellStyle name="40 % - Markeringsfarve6 17 4" xfId="22294" xr:uid="{00000000-0005-0000-0000-00003E870000}"/>
    <cellStyle name="40 % - Markeringsfarve6 17 5" xfId="37282" xr:uid="{00000000-0005-0000-0000-00003F870000}"/>
    <cellStyle name="40 % - Markeringsfarve6 18" xfId="5404" xr:uid="{00000000-0005-0000-0000-000040870000}"/>
    <cellStyle name="40 % - Markeringsfarve6 18 2" xfId="13323" xr:uid="{00000000-0005-0000-0000-000041870000}"/>
    <cellStyle name="40 % - Markeringsfarve6 18 2 2" xfId="29637" xr:uid="{00000000-0005-0000-0000-000042870000}"/>
    <cellStyle name="40 % - Markeringsfarve6 18 2 3" xfId="44601" xr:uid="{00000000-0005-0000-0000-000043870000}"/>
    <cellStyle name="40 % - Markeringsfarve6 18 3" xfId="22615" xr:uid="{00000000-0005-0000-0000-000044870000}"/>
    <cellStyle name="40 % - Markeringsfarve6 18 4" xfId="37602" xr:uid="{00000000-0005-0000-0000-000045870000}"/>
    <cellStyle name="40 % - Markeringsfarve6 19" xfId="4423" xr:uid="{00000000-0005-0000-0000-000046870000}"/>
    <cellStyle name="40 % - Markeringsfarve6 19 2" xfId="12980" xr:uid="{00000000-0005-0000-0000-000047870000}"/>
    <cellStyle name="40 % - Markeringsfarve6 19 2 2" xfId="29299" xr:uid="{00000000-0005-0000-0000-000048870000}"/>
    <cellStyle name="40 % - Markeringsfarve6 19 2 3" xfId="44264" xr:uid="{00000000-0005-0000-0000-000049870000}"/>
    <cellStyle name="40 % - Markeringsfarve6 19 3" xfId="22277" xr:uid="{00000000-0005-0000-0000-00004A870000}"/>
    <cellStyle name="40 % - Markeringsfarve6 19 4" xfId="37265" xr:uid="{00000000-0005-0000-0000-00004B870000}"/>
    <cellStyle name="40 % - Markeringsfarve6 2" xfId="4441" xr:uid="{00000000-0005-0000-0000-00004C870000}"/>
    <cellStyle name="40 % - Markeringsfarve6 2 10" xfId="4442" xr:uid="{00000000-0005-0000-0000-00004D870000}"/>
    <cellStyle name="40 % - Markeringsfarve6 2 10 2" xfId="6753" xr:uid="{00000000-0005-0000-0000-00004E870000}"/>
    <cellStyle name="40 % - Markeringsfarve6 2 10 2 2" xfId="14664" xr:uid="{00000000-0005-0000-0000-00004F870000}"/>
    <cellStyle name="40 % - Markeringsfarve6 2 10 2 2 2" xfId="30978" xr:uid="{00000000-0005-0000-0000-000050870000}"/>
    <cellStyle name="40 % - Markeringsfarve6 2 10 2 2 3" xfId="45942" xr:uid="{00000000-0005-0000-0000-000051870000}"/>
    <cellStyle name="40 % - Markeringsfarve6 2 10 2 3" xfId="23956" xr:uid="{00000000-0005-0000-0000-000052870000}"/>
    <cellStyle name="40 % - Markeringsfarve6 2 10 2 4" xfId="38943" xr:uid="{00000000-0005-0000-0000-000053870000}"/>
    <cellStyle name="40 % - Markeringsfarve6 2 10 3" xfId="12999" xr:uid="{00000000-0005-0000-0000-000054870000}"/>
    <cellStyle name="40 % - Markeringsfarve6 2 10 3 2" xfId="29318" xr:uid="{00000000-0005-0000-0000-000055870000}"/>
    <cellStyle name="40 % - Markeringsfarve6 2 10 3 3" xfId="44283" xr:uid="{00000000-0005-0000-0000-000056870000}"/>
    <cellStyle name="40 % - Markeringsfarve6 2 10 4" xfId="22296" xr:uid="{00000000-0005-0000-0000-000057870000}"/>
    <cellStyle name="40 % - Markeringsfarve6 2 10 5" xfId="37284" xr:uid="{00000000-0005-0000-0000-000058870000}"/>
    <cellStyle name="40 % - Markeringsfarve6 2 11" xfId="4443" xr:uid="{00000000-0005-0000-0000-000059870000}"/>
    <cellStyle name="40 % - Markeringsfarve6 2 11 2" xfId="8251" xr:uid="{00000000-0005-0000-0000-00005A870000}"/>
    <cellStyle name="40 % - Markeringsfarve6 2 11 2 2" xfId="16147" xr:uid="{00000000-0005-0000-0000-00005B870000}"/>
    <cellStyle name="40 % - Markeringsfarve6 2 11 2 2 2" xfId="32461" xr:uid="{00000000-0005-0000-0000-00005C870000}"/>
    <cellStyle name="40 % - Markeringsfarve6 2 11 2 2 3" xfId="47425" xr:uid="{00000000-0005-0000-0000-00005D870000}"/>
    <cellStyle name="40 % - Markeringsfarve6 2 11 2 3" xfId="25439" xr:uid="{00000000-0005-0000-0000-00005E870000}"/>
    <cellStyle name="40 % - Markeringsfarve6 2 11 2 4" xfId="40426" xr:uid="{00000000-0005-0000-0000-00005F870000}"/>
    <cellStyle name="40 % - Markeringsfarve6 2 11 3" xfId="13000" xr:uid="{00000000-0005-0000-0000-000060870000}"/>
    <cellStyle name="40 % - Markeringsfarve6 2 11 3 2" xfId="29319" xr:uid="{00000000-0005-0000-0000-000061870000}"/>
    <cellStyle name="40 % - Markeringsfarve6 2 11 3 3" xfId="44284" xr:uid="{00000000-0005-0000-0000-000062870000}"/>
    <cellStyle name="40 % - Markeringsfarve6 2 11 4" xfId="22297" xr:uid="{00000000-0005-0000-0000-000063870000}"/>
    <cellStyle name="40 % - Markeringsfarve6 2 11 5" xfId="37285" xr:uid="{00000000-0005-0000-0000-000064870000}"/>
    <cellStyle name="40 % - Markeringsfarve6 2 12" xfId="6032" xr:uid="{00000000-0005-0000-0000-000065870000}"/>
    <cellStyle name="40 % - Markeringsfarve6 2 12 2" xfId="13950" xr:uid="{00000000-0005-0000-0000-000066870000}"/>
    <cellStyle name="40 % - Markeringsfarve6 2 12 2 2" xfId="30264" xr:uid="{00000000-0005-0000-0000-000067870000}"/>
    <cellStyle name="40 % - Markeringsfarve6 2 12 2 3" xfId="45228" xr:uid="{00000000-0005-0000-0000-000068870000}"/>
    <cellStyle name="40 % - Markeringsfarve6 2 12 3" xfId="23242" xr:uid="{00000000-0005-0000-0000-000069870000}"/>
    <cellStyle name="40 % - Markeringsfarve6 2 12 4" xfId="38229" xr:uid="{00000000-0005-0000-0000-00006A870000}"/>
    <cellStyle name="40 % - Markeringsfarve6 2 13" xfId="12998" xr:uid="{00000000-0005-0000-0000-00006B870000}"/>
    <cellStyle name="40 % - Markeringsfarve6 2 13 2" xfId="29317" xr:uid="{00000000-0005-0000-0000-00006C870000}"/>
    <cellStyle name="40 % - Markeringsfarve6 2 13 3" xfId="44282" xr:uid="{00000000-0005-0000-0000-00006D870000}"/>
    <cellStyle name="40 % - Markeringsfarve6 2 14" xfId="22295" xr:uid="{00000000-0005-0000-0000-00006E870000}"/>
    <cellStyle name="40 % - Markeringsfarve6 2 15" xfId="37283" xr:uid="{00000000-0005-0000-0000-00006F870000}"/>
    <cellStyle name="40 % - Markeringsfarve6 2 16" xfId="53399" xr:uid="{00000000-0005-0000-0000-000070870000}"/>
    <cellStyle name="40 % - Markeringsfarve6 2 2" xfId="4444" xr:uid="{00000000-0005-0000-0000-000071870000}"/>
    <cellStyle name="40 % - Markeringsfarve6 2 2 10" xfId="6033" xr:uid="{00000000-0005-0000-0000-000072870000}"/>
    <cellStyle name="40 % - Markeringsfarve6 2 2 10 2" xfId="13951" xr:uid="{00000000-0005-0000-0000-000073870000}"/>
    <cellStyle name="40 % - Markeringsfarve6 2 2 10 2 2" xfId="30265" xr:uid="{00000000-0005-0000-0000-000074870000}"/>
    <cellStyle name="40 % - Markeringsfarve6 2 2 10 2 3" xfId="45229" xr:uid="{00000000-0005-0000-0000-000075870000}"/>
    <cellStyle name="40 % - Markeringsfarve6 2 2 10 3" xfId="23243" xr:uid="{00000000-0005-0000-0000-000076870000}"/>
    <cellStyle name="40 % - Markeringsfarve6 2 2 10 4" xfId="38230" xr:uid="{00000000-0005-0000-0000-000077870000}"/>
    <cellStyle name="40 % - Markeringsfarve6 2 2 11" xfId="13001" xr:uid="{00000000-0005-0000-0000-000078870000}"/>
    <cellStyle name="40 % - Markeringsfarve6 2 2 11 2" xfId="29320" xr:uid="{00000000-0005-0000-0000-000079870000}"/>
    <cellStyle name="40 % - Markeringsfarve6 2 2 11 3" xfId="44285" xr:uid="{00000000-0005-0000-0000-00007A870000}"/>
    <cellStyle name="40 % - Markeringsfarve6 2 2 12" xfId="22298" xr:uid="{00000000-0005-0000-0000-00007B870000}"/>
    <cellStyle name="40 % - Markeringsfarve6 2 2 13" xfId="37286" xr:uid="{00000000-0005-0000-0000-00007C870000}"/>
    <cellStyle name="40 % - Markeringsfarve6 2 2 14" xfId="53400" xr:uid="{00000000-0005-0000-0000-00007D870000}"/>
    <cellStyle name="40 % - Markeringsfarve6 2 2 2" xfId="4445" xr:uid="{00000000-0005-0000-0000-00007E870000}"/>
    <cellStyle name="40 % - Markeringsfarve6 2 2 2 2" xfId="4446" xr:uid="{00000000-0005-0000-0000-00007F870000}"/>
    <cellStyle name="40 % - Markeringsfarve6 2 2 2 2 2" xfId="4447" xr:uid="{00000000-0005-0000-0000-000080870000}"/>
    <cellStyle name="40 % - Markeringsfarve6 2 2 2 2 2 2" xfId="7684" xr:uid="{00000000-0005-0000-0000-000081870000}"/>
    <cellStyle name="40 % - Markeringsfarve6 2 2 2 2 2 2 2" xfId="15585" xr:uid="{00000000-0005-0000-0000-000082870000}"/>
    <cellStyle name="40 % - Markeringsfarve6 2 2 2 2 2 2 2 2" xfId="31899" xr:uid="{00000000-0005-0000-0000-000083870000}"/>
    <cellStyle name="40 % - Markeringsfarve6 2 2 2 2 2 2 2 3" xfId="46863" xr:uid="{00000000-0005-0000-0000-000084870000}"/>
    <cellStyle name="40 % - Markeringsfarve6 2 2 2 2 2 2 3" xfId="24877" xr:uid="{00000000-0005-0000-0000-000085870000}"/>
    <cellStyle name="40 % - Markeringsfarve6 2 2 2 2 2 2 4" xfId="39864" xr:uid="{00000000-0005-0000-0000-000086870000}"/>
    <cellStyle name="40 % - Markeringsfarve6 2 2 2 2 2 3" xfId="13004" xr:uid="{00000000-0005-0000-0000-000087870000}"/>
    <cellStyle name="40 % - Markeringsfarve6 2 2 2 2 2 3 2" xfId="29323" xr:uid="{00000000-0005-0000-0000-000088870000}"/>
    <cellStyle name="40 % - Markeringsfarve6 2 2 2 2 2 3 3" xfId="44288" xr:uid="{00000000-0005-0000-0000-000089870000}"/>
    <cellStyle name="40 % - Markeringsfarve6 2 2 2 2 2 4" xfId="22301" xr:uid="{00000000-0005-0000-0000-00008A870000}"/>
    <cellStyle name="40 % - Markeringsfarve6 2 2 2 2 2 5" xfId="37289" xr:uid="{00000000-0005-0000-0000-00008B870000}"/>
    <cellStyle name="40 % - Markeringsfarve6 2 2 2 2 3" xfId="6255" xr:uid="{00000000-0005-0000-0000-00008C870000}"/>
    <cellStyle name="40 % - Markeringsfarve6 2 2 2 2 3 2" xfId="14172" xr:uid="{00000000-0005-0000-0000-00008D870000}"/>
    <cellStyle name="40 % - Markeringsfarve6 2 2 2 2 3 2 2" xfId="30486" xr:uid="{00000000-0005-0000-0000-00008E870000}"/>
    <cellStyle name="40 % - Markeringsfarve6 2 2 2 2 3 2 3" xfId="45450" xr:uid="{00000000-0005-0000-0000-00008F870000}"/>
    <cellStyle name="40 % - Markeringsfarve6 2 2 2 2 3 3" xfId="23464" xr:uid="{00000000-0005-0000-0000-000090870000}"/>
    <cellStyle name="40 % - Markeringsfarve6 2 2 2 2 3 4" xfId="38451" xr:uid="{00000000-0005-0000-0000-000091870000}"/>
    <cellStyle name="40 % - Markeringsfarve6 2 2 2 2 4" xfId="13003" xr:uid="{00000000-0005-0000-0000-000092870000}"/>
    <cellStyle name="40 % - Markeringsfarve6 2 2 2 2 4 2" xfId="29322" xr:uid="{00000000-0005-0000-0000-000093870000}"/>
    <cellStyle name="40 % - Markeringsfarve6 2 2 2 2 4 3" xfId="44287" xr:uid="{00000000-0005-0000-0000-000094870000}"/>
    <cellStyle name="40 % - Markeringsfarve6 2 2 2 2 5" xfId="22300" xr:uid="{00000000-0005-0000-0000-000095870000}"/>
    <cellStyle name="40 % - Markeringsfarve6 2 2 2 2 6" xfId="37288" xr:uid="{00000000-0005-0000-0000-000096870000}"/>
    <cellStyle name="40 % - Markeringsfarve6 2 2 2 2 7" xfId="57204" xr:uid="{00000000-0005-0000-0000-000097870000}"/>
    <cellStyle name="40 % - Markeringsfarve6 2 2 2 3" xfId="4448" xr:uid="{00000000-0005-0000-0000-000098870000}"/>
    <cellStyle name="40 % - Markeringsfarve6 2 2 2 3 2" xfId="6914" xr:uid="{00000000-0005-0000-0000-000099870000}"/>
    <cellStyle name="40 % - Markeringsfarve6 2 2 2 3 2 2" xfId="14825" xr:uid="{00000000-0005-0000-0000-00009A870000}"/>
    <cellStyle name="40 % - Markeringsfarve6 2 2 2 3 2 2 2" xfId="31139" xr:uid="{00000000-0005-0000-0000-00009B870000}"/>
    <cellStyle name="40 % - Markeringsfarve6 2 2 2 3 2 2 3" xfId="46103" xr:uid="{00000000-0005-0000-0000-00009C870000}"/>
    <cellStyle name="40 % - Markeringsfarve6 2 2 2 3 2 3" xfId="24117" xr:uid="{00000000-0005-0000-0000-00009D870000}"/>
    <cellStyle name="40 % - Markeringsfarve6 2 2 2 3 2 4" xfId="39104" xr:uid="{00000000-0005-0000-0000-00009E870000}"/>
    <cellStyle name="40 % - Markeringsfarve6 2 2 2 3 3" xfId="13005" xr:uid="{00000000-0005-0000-0000-00009F870000}"/>
    <cellStyle name="40 % - Markeringsfarve6 2 2 2 3 3 2" xfId="29324" xr:uid="{00000000-0005-0000-0000-0000A0870000}"/>
    <cellStyle name="40 % - Markeringsfarve6 2 2 2 3 3 3" xfId="44289" xr:uid="{00000000-0005-0000-0000-0000A1870000}"/>
    <cellStyle name="40 % - Markeringsfarve6 2 2 2 3 4" xfId="22302" xr:uid="{00000000-0005-0000-0000-0000A2870000}"/>
    <cellStyle name="40 % - Markeringsfarve6 2 2 2 3 5" xfId="37290" xr:uid="{00000000-0005-0000-0000-0000A3870000}"/>
    <cellStyle name="40 % - Markeringsfarve6 2 2 2 4" xfId="4449" xr:uid="{00000000-0005-0000-0000-0000A4870000}"/>
    <cellStyle name="40 % - Markeringsfarve6 2 2 2 4 2" xfId="8545" xr:uid="{00000000-0005-0000-0000-0000A5870000}"/>
    <cellStyle name="40 % - Markeringsfarve6 2 2 2 4 2 2" xfId="16433" xr:uid="{00000000-0005-0000-0000-0000A6870000}"/>
    <cellStyle name="40 % - Markeringsfarve6 2 2 2 4 2 2 2" xfId="32747" xr:uid="{00000000-0005-0000-0000-0000A7870000}"/>
    <cellStyle name="40 % - Markeringsfarve6 2 2 2 4 2 2 3" xfId="47711" xr:uid="{00000000-0005-0000-0000-0000A8870000}"/>
    <cellStyle name="40 % - Markeringsfarve6 2 2 2 4 2 3" xfId="25725" xr:uid="{00000000-0005-0000-0000-0000A9870000}"/>
    <cellStyle name="40 % - Markeringsfarve6 2 2 2 4 2 4" xfId="40712" xr:uid="{00000000-0005-0000-0000-0000AA870000}"/>
    <cellStyle name="40 % - Markeringsfarve6 2 2 2 4 3" xfId="13006" xr:uid="{00000000-0005-0000-0000-0000AB870000}"/>
    <cellStyle name="40 % - Markeringsfarve6 2 2 2 4 3 2" xfId="29325" xr:uid="{00000000-0005-0000-0000-0000AC870000}"/>
    <cellStyle name="40 % - Markeringsfarve6 2 2 2 4 3 3" xfId="44290" xr:uid="{00000000-0005-0000-0000-0000AD870000}"/>
    <cellStyle name="40 % - Markeringsfarve6 2 2 2 4 4" xfId="22303" xr:uid="{00000000-0005-0000-0000-0000AE870000}"/>
    <cellStyle name="40 % - Markeringsfarve6 2 2 2 4 5" xfId="37291" xr:uid="{00000000-0005-0000-0000-0000AF870000}"/>
    <cellStyle name="40 % - Markeringsfarve6 2 2 2 5" xfId="6034" xr:uid="{00000000-0005-0000-0000-0000B0870000}"/>
    <cellStyle name="40 % - Markeringsfarve6 2 2 2 5 2" xfId="13952" xr:uid="{00000000-0005-0000-0000-0000B1870000}"/>
    <cellStyle name="40 % - Markeringsfarve6 2 2 2 5 2 2" xfId="30266" xr:uid="{00000000-0005-0000-0000-0000B2870000}"/>
    <cellStyle name="40 % - Markeringsfarve6 2 2 2 5 2 3" xfId="45230" xr:uid="{00000000-0005-0000-0000-0000B3870000}"/>
    <cellStyle name="40 % - Markeringsfarve6 2 2 2 5 3" xfId="23244" xr:uid="{00000000-0005-0000-0000-0000B4870000}"/>
    <cellStyle name="40 % - Markeringsfarve6 2 2 2 5 4" xfId="38231" xr:uid="{00000000-0005-0000-0000-0000B5870000}"/>
    <cellStyle name="40 % - Markeringsfarve6 2 2 2 6" xfId="13002" xr:uid="{00000000-0005-0000-0000-0000B6870000}"/>
    <cellStyle name="40 % - Markeringsfarve6 2 2 2 6 2" xfId="29321" xr:uid="{00000000-0005-0000-0000-0000B7870000}"/>
    <cellStyle name="40 % - Markeringsfarve6 2 2 2 6 3" xfId="44286" xr:uid="{00000000-0005-0000-0000-0000B8870000}"/>
    <cellStyle name="40 % - Markeringsfarve6 2 2 2 7" xfId="22299" xr:uid="{00000000-0005-0000-0000-0000B9870000}"/>
    <cellStyle name="40 % - Markeringsfarve6 2 2 2 8" xfId="37287" xr:uid="{00000000-0005-0000-0000-0000BA870000}"/>
    <cellStyle name="40 % - Markeringsfarve6 2 2 2 9" xfId="54037" xr:uid="{00000000-0005-0000-0000-0000BB870000}"/>
    <cellStyle name="40 % - Markeringsfarve6 2 2 3" xfId="4450" xr:uid="{00000000-0005-0000-0000-0000BC870000}"/>
    <cellStyle name="40 % - Markeringsfarve6 2 2 3 2" xfId="4451" xr:uid="{00000000-0005-0000-0000-0000BD870000}"/>
    <cellStyle name="40 % - Markeringsfarve6 2 2 3 2 2" xfId="4452" xr:uid="{00000000-0005-0000-0000-0000BE870000}"/>
    <cellStyle name="40 % - Markeringsfarve6 2 2 3 2 2 2" xfId="7827" xr:uid="{00000000-0005-0000-0000-0000BF870000}"/>
    <cellStyle name="40 % - Markeringsfarve6 2 2 3 2 2 2 2" xfId="15728" xr:uid="{00000000-0005-0000-0000-0000C0870000}"/>
    <cellStyle name="40 % - Markeringsfarve6 2 2 3 2 2 2 2 2" xfId="32042" xr:uid="{00000000-0005-0000-0000-0000C1870000}"/>
    <cellStyle name="40 % - Markeringsfarve6 2 2 3 2 2 2 2 3" xfId="47006" xr:uid="{00000000-0005-0000-0000-0000C2870000}"/>
    <cellStyle name="40 % - Markeringsfarve6 2 2 3 2 2 2 3" xfId="25020" xr:uid="{00000000-0005-0000-0000-0000C3870000}"/>
    <cellStyle name="40 % - Markeringsfarve6 2 2 3 2 2 2 4" xfId="40007" xr:uid="{00000000-0005-0000-0000-0000C4870000}"/>
    <cellStyle name="40 % - Markeringsfarve6 2 2 3 2 2 3" xfId="13009" xr:uid="{00000000-0005-0000-0000-0000C5870000}"/>
    <cellStyle name="40 % - Markeringsfarve6 2 2 3 2 2 3 2" xfId="29328" xr:uid="{00000000-0005-0000-0000-0000C6870000}"/>
    <cellStyle name="40 % - Markeringsfarve6 2 2 3 2 2 3 3" xfId="44293" xr:uid="{00000000-0005-0000-0000-0000C7870000}"/>
    <cellStyle name="40 % - Markeringsfarve6 2 2 3 2 2 4" xfId="22306" xr:uid="{00000000-0005-0000-0000-0000C8870000}"/>
    <cellStyle name="40 % - Markeringsfarve6 2 2 3 2 2 5" xfId="37294" xr:uid="{00000000-0005-0000-0000-0000C9870000}"/>
    <cellStyle name="40 % - Markeringsfarve6 2 2 3 2 3" xfId="6373" xr:uid="{00000000-0005-0000-0000-0000CA870000}"/>
    <cellStyle name="40 % - Markeringsfarve6 2 2 3 2 3 2" xfId="14290" xr:uid="{00000000-0005-0000-0000-0000CB870000}"/>
    <cellStyle name="40 % - Markeringsfarve6 2 2 3 2 3 2 2" xfId="30604" xr:uid="{00000000-0005-0000-0000-0000CC870000}"/>
    <cellStyle name="40 % - Markeringsfarve6 2 2 3 2 3 2 3" xfId="45568" xr:uid="{00000000-0005-0000-0000-0000CD870000}"/>
    <cellStyle name="40 % - Markeringsfarve6 2 2 3 2 3 3" xfId="23582" xr:uid="{00000000-0005-0000-0000-0000CE870000}"/>
    <cellStyle name="40 % - Markeringsfarve6 2 2 3 2 3 4" xfId="38569" xr:uid="{00000000-0005-0000-0000-0000CF870000}"/>
    <cellStyle name="40 % - Markeringsfarve6 2 2 3 2 4" xfId="13008" xr:uid="{00000000-0005-0000-0000-0000D0870000}"/>
    <cellStyle name="40 % - Markeringsfarve6 2 2 3 2 4 2" xfId="29327" xr:uid="{00000000-0005-0000-0000-0000D1870000}"/>
    <cellStyle name="40 % - Markeringsfarve6 2 2 3 2 4 3" xfId="44292" xr:uid="{00000000-0005-0000-0000-0000D2870000}"/>
    <cellStyle name="40 % - Markeringsfarve6 2 2 3 2 5" xfId="22305" xr:uid="{00000000-0005-0000-0000-0000D3870000}"/>
    <cellStyle name="40 % - Markeringsfarve6 2 2 3 2 6" xfId="37293" xr:uid="{00000000-0005-0000-0000-0000D4870000}"/>
    <cellStyle name="40 % - Markeringsfarve6 2 2 3 3" xfId="4453" xr:uid="{00000000-0005-0000-0000-0000D5870000}"/>
    <cellStyle name="40 % - Markeringsfarve6 2 2 3 3 2" xfId="7057" xr:uid="{00000000-0005-0000-0000-0000D6870000}"/>
    <cellStyle name="40 % - Markeringsfarve6 2 2 3 3 2 2" xfId="14968" xr:uid="{00000000-0005-0000-0000-0000D7870000}"/>
    <cellStyle name="40 % - Markeringsfarve6 2 2 3 3 2 2 2" xfId="31282" xr:uid="{00000000-0005-0000-0000-0000D8870000}"/>
    <cellStyle name="40 % - Markeringsfarve6 2 2 3 3 2 2 3" xfId="46246" xr:uid="{00000000-0005-0000-0000-0000D9870000}"/>
    <cellStyle name="40 % - Markeringsfarve6 2 2 3 3 2 3" xfId="24260" xr:uid="{00000000-0005-0000-0000-0000DA870000}"/>
    <cellStyle name="40 % - Markeringsfarve6 2 2 3 3 2 4" xfId="39247" xr:uid="{00000000-0005-0000-0000-0000DB870000}"/>
    <cellStyle name="40 % - Markeringsfarve6 2 2 3 3 3" xfId="13010" xr:uid="{00000000-0005-0000-0000-0000DC870000}"/>
    <cellStyle name="40 % - Markeringsfarve6 2 2 3 3 3 2" xfId="29329" xr:uid="{00000000-0005-0000-0000-0000DD870000}"/>
    <cellStyle name="40 % - Markeringsfarve6 2 2 3 3 3 3" xfId="44294" xr:uid="{00000000-0005-0000-0000-0000DE870000}"/>
    <cellStyle name="40 % - Markeringsfarve6 2 2 3 3 4" xfId="22307" xr:uid="{00000000-0005-0000-0000-0000DF870000}"/>
    <cellStyle name="40 % - Markeringsfarve6 2 2 3 3 5" xfId="37295" xr:uid="{00000000-0005-0000-0000-0000E0870000}"/>
    <cellStyle name="40 % - Markeringsfarve6 2 2 3 4" xfId="4454" xr:uid="{00000000-0005-0000-0000-0000E1870000}"/>
    <cellStyle name="40 % - Markeringsfarve6 2 2 3 4 2" xfId="8760" xr:uid="{00000000-0005-0000-0000-0000E2870000}"/>
    <cellStyle name="40 % - Markeringsfarve6 2 2 3 4 2 2" xfId="16636" xr:uid="{00000000-0005-0000-0000-0000E3870000}"/>
    <cellStyle name="40 % - Markeringsfarve6 2 2 3 4 2 2 2" xfId="32950" xr:uid="{00000000-0005-0000-0000-0000E4870000}"/>
    <cellStyle name="40 % - Markeringsfarve6 2 2 3 4 2 2 3" xfId="47914" xr:uid="{00000000-0005-0000-0000-0000E5870000}"/>
    <cellStyle name="40 % - Markeringsfarve6 2 2 3 4 2 3" xfId="25928" xr:uid="{00000000-0005-0000-0000-0000E6870000}"/>
    <cellStyle name="40 % - Markeringsfarve6 2 2 3 4 2 4" xfId="40915" xr:uid="{00000000-0005-0000-0000-0000E7870000}"/>
    <cellStyle name="40 % - Markeringsfarve6 2 2 3 4 3" xfId="13011" xr:uid="{00000000-0005-0000-0000-0000E8870000}"/>
    <cellStyle name="40 % - Markeringsfarve6 2 2 3 4 3 2" xfId="29330" xr:uid="{00000000-0005-0000-0000-0000E9870000}"/>
    <cellStyle name="40 % - Markeringsfarve6 2 2 3 4 3 3" xfId="44295" xr:uid="{00000000-0005-0000-0000-0000EA870000}"/>
    <cellStyle name="40 % - Markeringsfarve6 2 2 3 4 4" xfId="22308" xr:uid="{00000000-0005-0000-0000-0000EB870000}"/>
    <cellStyle name="40 % - Markeringsfarve6 2 2 3 4 5" xfId="37296" xr:uid="{00000000-0005-0000-0000-0000EC870000}"/>
    <cellStyle name="40 % - Markeringsfarve6 2 2 3 5" xfId="6035" xr:uid="{00000000-0005-0000-0000-0000ED870000}"/>
    <cellStyle name="40 % - Markeringsfarve6 2 2 3 5 2" xfId="13953" xr:uid="{00000000-0005-0000-0000-0000EE870000}"/>
    <cellStyle name="40 % - Markeringsfarve6 2 2 3 5 2 2" xfId="30267" xr:uid="{00000000-0005-0000-0000-0000EF870000}"/>
    <cellStyle name="40 % - Markeringsfarve6 2 2 3 5 2 3" xfId="45231" xr:uid="{00000000-0005-0000-0000-0000F0870000}"/>
    <cellStyle name="40 % - Markeringsfarve6 2 2 3 5 3" xfId="23245" xr:uid="{00000000-0005-0000-0000-0000F1870000}"/>
    <cellStyle name="40 % - Markeringsfarve6 2 2 3 5 4" xfId="38232" xr:uid="{00000000-0005-0000-0000-0000F2870000}"/>
    <cellStyle name="40 % - Markeringsfarve6 2 2 3 6" xfId="13007" xr:uid="{00000000-0005-0000-0000-0000F3870000}"/>
    <cellStyle name="40 % - Markeringsfarve6 2 2 3 6 2" xfId="29326" xr:uid="{00000000-0005-0000-0000-0000F4870000}"/>
    <cellStyle name="40 % - Markeringsfarve6 2 2 3 6 3" xfId="44291" xr:uid="{00000000-0005-0000-0000-0000F5870000}"/>
    <cellStyle name="40 % - Markeringsfarve6 2 2 3 7" xfId="22304" xr:uid="{00000000-0005-0000-0000-0000F6870000}"/>
    <cellStyle name="40 % - Markeringsfarve6 2 2 3 8" xfId="37292" xr:uid="{00000000-0005-0000-0000-0000F7870000}"/>
    <cellStyle name="40 % - Markeringsfarve6 2 2 3 9" xfId="56581" xr:uid="{00000000-0005-0000-0000-0000F8870000}"/>
    <cellStyle name="40 % - Markeringsfarve6 2 2 4" xfId="4455" xr:uid="{00000000-0005-0000-0000-0000F9870000}"/>
    <cellStyle name="40 % - Markeringsfarve6 2 2 4 2" xfId="4456" xr:uid="{00000000-0005-0000-0000-0000FA870000}"/>
    <cellStyle name="40 % - Markeringsfarve6 2 2 4 2 2" xfId="4457" xr:uid="{00000000-0005-0000-0000-0000FB870000}"/>
    <cellStyle name="40 % - Markeringsfarve6 2 2 4 2 2 2" xfId="7922" xr:uid="{00000000-0005-0000-0000-0000FC870000}"/>
    <cellStyle name="40 % - Markeringsfarve6 2 2 4 2 2 2 2" xfId="15823" xr:uid="{00000000-0005-0000-0000-0000FD870000}"/>
    <cellStyle name="40 % - Markeringsfarve6 2 2 4 2 2 2 2 2" xfId="32137" xr:uid="{00000000-0005-0000-0000-0000FE870000}"/>
    <cellStyle name="40 % - Markeringsfarve6 2 2 4 2 2 2 2 3" xfId="47101" xr:uid="{00000000-0005-0000-0000-0000FF870000}"/>
    <cellStyle name="40 % - Markeringsfarve6 2 2 4 2 2 2 3" xfId="25115" xr:uid="{00000000-0005-0000-0000-000000880000}"/>
    <cellStyle name="40 % - Markeringsfarve6 2 2 4 2 2 2 4" xfId="40102" xr:uid="{00000000-0005-0000-0000-000001880000}"/>
    <cellStyle name="40 % - Markeringsfarve6 2 2 4 2 2 3" xfId="13014" xr:uid="{00000000-0005-0000-0000-000002880000}"/>
    <cellStyle name="40 % - Markeringsfarve6 2 2 4 2 2 3 2" xfId="29333" xr:uid="{00000000-0005-0000-0000-000003880000}"/>
    <cellStyle name="40 % - Markeringsfarve6 2 2 4 2 2 3 3" xfId="44298" xr:uid="{00000000-0005-0000-0000-000004880000}"/>
    <cellStyle name="40 % - Markeringsfarve6 2 2 4 2 2 4" xfId="22311" xr:uid="{00000000-0005-0000-0000-000005880000}"/>
    <cellStyle name="40 % - Markeringsfarve6 2 2 4 2 2 5" xfId="37299" xr:uid="{00000000-0005-0000-0000-000006880000}"/>
    <cellStyle name="40 % - Markeringsfarve6 2 2 4 2 3" xfId="6457" xr:uid="{00000000-0005-0000-0000-000007880000}"/>
    <cellStyle name="40 % - Markeringsfarve6 2 2 4 2 3 2" xfId="14371" xr:uid="{00000000-0005-0000-0000-000008880000}"/>
    <cellStyle name="40 % - Markeringsfarve6 2 2 4 2 3 2 2" xfId="30685" xr:uid="{00000000-0005-0000-0000-000009880000}"/>
    <cellStyle name="40 % - Markeringsfarve6 2 2 4 2 3 2 3" xfId="45649" xr:uid="{00000000-0005-0000-0000-00000A880000}"/>
    <cellStyle name="40 % - Markeringsfarve6 2 2 4 2 3 3" xfId="23663" xr:uid="{00000000-0005-0000-0000-00000B880000}"/>
    <cellStyle name="40 % - Markeringsfarve6 2 2 4 2 3 4" xfId="38650" xr:uid="{00000000-0005-0000-0000-00000C880000}"/>
    <cellStyle name="40 % - Markeringsfarve6 2 2 4 2 4" xfId="13013" xr:uid="{00000000-0005-0000-0000-00000D880000}"/>
    <cellStyle name="40 % - Markeringsfarve6 2 2 4 2 4 2" xfId="29332" xr:uid="{00000000-0005-0000-0000-00000E880000}"/>
    <cellStyle name="40 % - Markeringsfarve6 2 2 4 2 4 3" xfId="44297" xr:uid="{00000000-0005-0000-0000-00000F880000}"/>
    <cellStyle name="40 % - Markeringsfarve6 2 2 4 2 5" xfId="22310" xr:uid="{00000000-0005-0000-0000-000010880000}"/>
    <cellStyle name="40 % - Markeringsfarve6 2 2 4 2 6" xfId="37298" xr:uid="{00000000-0005-0000-0000-000011880000}"/>
    <cellStyle name="40 % - Markeringsfarve6 2 2 4 3" xfId="4458" xr:uid="{00000000-0005-0000-0000-000012880000}"/>
    <cellStyle name="40 % - Markeringsfarve6 2 2 4 3 2" xfId="7198" xr:uid="{00000000-0005-0000-0000-000013880000}"/>
    <cellStyle name="40 % - Markeringsfarve6 2 2 4 3 2 2" xfId="15108" xr:uid="{00000000-0005-0000-0000-000014880000}"/>
    <cellStyle name="40 % - Markeringsfarve6 2 2 4 3 2 2 2" xfId="31422" xr:uid="{00000000-0005-0000-0000-000015880000}"/>
    <cellStyle name="40 % - Markeringsfarve6 2 2 4 3 2 2 3" xfId="46386" xr:uid="{00000000-0005-0000-0000-000016880000}"/>
    <cellStyle name="40 % - Markeringsfarve6 2 2 4 3 2 3" xfId="24400" xr:uid="{00000000-0005-0000-0000-000017880000}"/>
    <cellStyle name="40 % - Markeringsfarve6 2 2 4 3 2 4" xfId="39387" xr:uid="{00000000-0005-0000-0000-000018880000}"/>
    <cellStyle name="40 % - Markeringsfarve6 2 2 4 3 3" xfId="13015" xr:uid="{00000000-0005-0000-0000-000019880000}"/>
    <cellStyle name="40 % - Markeringsfarve6 2 2 4 3 3 2" xfId="29334" xr:uid="{00000000-0005-0000-0000-00001A880000}"/>
    <cellStyle name="40 % - Markeringsfarve6 2 2 4 3 3 3" xfId="44299" xr:uid="{00000000-0005-0000-0000-00001B880000}"/>
    <cellStyle name="40 % - Markeringsfarve6 2 2 4 3 4" xfId="22312" xr:uid="{00000000-0005-0000-0000-00001C880000}"/>
    <cellStyle name="40 % - Markeringsfarve6 2 2 4 3 5" xfId="37300" xr:uid="{00000000-0005-0000-0000-00001D880000}"/>
    <cellStyle name="40 % - Markeringsfarve6 2 2 4 4" xfId="4459" xr:uid="{00000000-0005-0000-0000-00001E880000}"/>
    <cellStyle name="40 % - Markeringsfarve6 2 2 4 4 2" xfId="8480" xr:uid="{00000000-0005-0000-0000-00001F880000}"/>
    <cellStyle name="40 % - Markeringsfarve6 2 2 4 4 2 2" xfId="16369" xr:uid="{00000000-0005-0000-0000-000020880000}"/>
    <cellStyle name="40 % - Markeringsfarve6 2 2 4 4 2 2 2" xfId="32683" xr:uid="{00000000-0005-0000-0000-000021880000}"/>
    <cellStyle name="40 % - Markeringsfarve6 2 2 4 4 2 2 3" xfId="47647" xr:uid="{00000000-0005-0000-0000-000022880000}"/>
    <cellStyle name="40 % - Markeringsfarve6 2 2 4 4 2 3" xfId="25661" xr:uid="{00000000-0005-0000-0000-000023880000}"/>
    <cellStyle name="40 % - Markeringsfarve6 2 2 4 4 2 4" xfId="40648" xr:uid="{00000000-0005-0000-0000-000024880000}"/>
    <cellStyle name="40 % - Markeringsfarve6 2 2 4 4 3" xfId="13016" xr:uid="{00000000-0005-0000-0000-000025880000}"/>
    <cellStyle name="40 % - Markeringsfarve6 2 2 4 4 3 2" xfId="29335" xr:uid="{00000000-0005-0000-0000-000026880000}"/>
    <cellStyle name="40 % - Markeringsfarve6 2 2 4 4 3 3" xfId="44300" xr:uid="{00000000-0005-0000-0000-000027880000}"/>
    <cellStyle name="40 % - Markeringsfarve6 2 2 4 4 4" xfId="22313" xr:uid="{00000000-0005-0000-0000-000028880000}"/>
    <cellStyle name="40 % - Markeringsfarve6 2 2 4 4 5" xfId="37301" xr:uid="{00000000-0005-0000-0000-000029880000}"/>
    <cellStyle name="40 % - Markeringsfarve6 2 2 4 5" xfId="6036" xr:uid="{00000000-0005-0000-0000-00002A880000}"/>
    <cellStyle name="40 % - Markeringsfarve6 2 2 4 5 2" xfId="13954" xr:uid="{00000000-0005-0000-0000-00002B880000}"/>
    <cellStyle name="40 % - Markeringsfarve6 2 2 4 5 2 2" xfId="30268" xr:uid="{00000000-0005-0000-0000-00002C880000}"/>
    <cellStyle name="40 % - Markeringsfarve6 2 2 4 5 2 3" xfId="45232" xr:uid="{00000000-0005-0000-0000-00002D880000}"/>
    <cellStyle name="40 % - Markeringsfarve6 2 2 4 5 3" xfId="23246" xr:uid="{00000000-0005-0000-0000-00002E880000}"/>
    <cellStyle name="40 % - Markeringsfarve6 2 2 4 5 4" xfId="38233" xr:uid="{00000000-0005-0000-0000-00002F880000}"/>
    <cellStyle name="40 % - Markeringsfarve6 2 2 4 6" xfId="13012" xr:uid="{00000000-0005-0000-0000-000030880000}"/>
    <cellStyle name="40 % - Markeringsfarve6 2 2 4 6 2" xfId="29331" xr:uid="{00000000-0005-0000-0000-000031880000}"/>
    <cellStyle name="40 % - Markeringsfarve6 2 2 4 6 3" xfId="44296" xr:uid="{00000000-0005-0000-0000-000032880000}"/>
    <cellStyle name="40 % - Markeringsfarve6 2 2 4 7" xfId="22309" xr:uid="{00000000-0005-0000-0000-000033880000}"/>
    <cellStyle name="40 % - Markeringsfarve6 2 2 4 8" xfId="37297" xr:uid="{00000000-0005-0000-0000-000034880000}"/>
    <cellStyle name="40 % - Markeringsfarve6 2 2 5" xfId="4460" xr:uid="{00000000-0005-0000-0000-000035880000}"/>
    <cellStyle name="40 % - Markeringsfarve6 2 2 5 2" xfId="4461" xr:uid="{00000000-0005-0000-0000-000036880000}"/>
    <cellStyle name="40 % - Markeringsfarve6 2 2 5 2 2" xfId="4462" xr:uid="{00000000-0005-0000-0000-000037880000}"/>
    <cellStyle name="40 % - Markeringsfarve6 2 2 5 2 2 2" xfId="8039" xr:uid="{00000000-0005-0000-0000-000038880000}"/>
    <cellStyle name="40 % - Markeringsfarve6 2 2 5 2 2 2 2" xfId="15940" xr:uid="{00000000-0005-0000-0000-000039880000}"/>
    <cellStyle name="40 % - Markeringsfarve6 2 2 5 2 2 2 2 2" xfId="32254" xr:uid="{00000000-0005-0000-0000-00003A880000}"/>
    <cellStyle name="40 % - Markeringsfarve6 2 2 5 2 2 2 2 3" xfId="47218" xr:uid="{00000000-0005-0000-0000-00003B880000}"/>
    <cellStyle name="40 % - Markeringsfarve6 2 2 5 2 2 2 3" xfId="25232" xr:uid="{00000000-0005-0000-0000-00003C880000}"/>
    <cellStyle name="40 % - Markeringsfarve6 2 2 5 2 2 2 4" xfId="40219" xr:uid="{00000000-0005-0000-0000-00003D880000}"/>
    <cellStyle name="40 % - Markeringsfarve6 2 2 5 2 2 3" xfId="13019" xr:uid="{00000000-0005-0000-0000-00003E880000}"/>
    <cellStyle name="40 % - Markeringsfarve6 2 2 5 2 2 3 2" xfId="29338" xr:uid="{00000000-0005-0000-0000-00003F880000}"/>
    <cellStyle name="40 % - Markeringsfarve6 2 2 5 2 2 3 3" xfId="44303" xr:uid="{00000000-0005-0000-0000-000040880000}"/>
    <cellStyle name="40 % - Markeringsfarve6 2 2 5 2 2 4" xfId="22316" xr:uid="{00000000-0005-0000-0000-000041880000}"/>
    <cellStyle name="40 % - Markeringsfarve6 2 2 5 2 2 5" xfId="37304" xr:uid="{00000000-0005-0000-0000-000042880000}"/>
    <cellStyle name="40 % - Markeringsfarve6 2 2 5 2 3" xfId="6556" xr:uid="{00000000-0005-0000-0000-000043880000}"/>
    <cellStyle name="40 % - Markeringsfarve6 2 2 5 2 3 2" xfId="14470" xr:uid="{00000000-0005-0000-0000-000044880000}"/>
    <cellStyle name="40 % - Markeringsfarve6 2 2 5 2 3 2 2" xfId="30784" xr:uid="{00000000-0005-0000-0000-000045880000}"/>
    <cellStyle name="40 % - Markeringsfarve6 2 2 5 2 3 2 3" xfId="45748" xr:uid="{00000000-0005-0000-0000-000046880000}"/>
    <cellStyle name="40 % - Markeringsfarve6 2 2 5 2 3 3" xfId="23762" xr:uid="{00000000-0005-0000-0000-000047880000}"/>
    <cellStyle name="40 % - Markeringsfarve6 2 2 5 2 3 4" xfId="38749" xr:uid="{00000000-0005-0000-0000-000048880000}"/>
    <cellStyle name="40 % - Markeringsfarve6 2 2 5 2 4" xfId="13018" xr:uid="{00000000-0005-0000-0000-000049880000}"/>
    <cellStyle name="40 % - Markeringsfarve6 2 2 5 2 4 2" xfId="29337" xr:uid="{00000000-0005-0000-0000-00004A880000}"/>
    <cellStyle name="40 % - Markeringsfarve6 2 2 5 2 4 3" xfId="44302" xr:uid="{00000000-0005-0000-0000-00004B880000}"/>
    <cellStyle name="40 % - Markeringsfarve6 2 2 5 2 5" xfId="22315" xr:uid="{00000000-0005-0000-0000-00004C880000}"/>
    <cellStyle name="40 % - Markeringsfarve6 2 2 5 2 6" xfId="37303" xr:uid="{00000000-0005-0000-0000-00004D880000}"/>
    <cellStyle name="40 % - Markeringsfarve6 2 2 5 3" xfId="4463" xr:uid="{00000000-0005-0000-0000-00004E880000}"/>
    <cellStyle name="40 % - Markeringsfarve6 2 2 5 3 2" xfId="7315" xr:uid="{00000000-0005-0000-0000-00004F880000}"/>
    <cellStyle name="40 % - Markeringsfarve6 2 2 5 3 2 2" xfId="15225" xr:uid="{00000000-0005-0000-0000-000050880000}"/>
    <cellStyle name="40 % - Markeringsfarve6 2 2 5 3 2 2 2" xfId="31539" xr:uid="{00000000-0005-0000-0000-000051880000}"/>
    <cellStyle name="40 % - Markeringsfarve6 2 2 5 3 2 2 3" xfId="46503" xr:uid="{00000000-0005-0000-0000-000052880000}"/>
    <cellStyle name="40 % - Markeringsfarve6 2 2 5 3 2 3" xfId="24517" xr:uid="{00000000-0005-0000-0000-000053880000}"/>
    <cellStyle name="40 % - Markeringsfarve6 2 2 5 3 2 4" xfId="39504" xr:uid="{00000000-0005-0000-0000-000054880000}"/>
    <cellStyle name="40 % - Markeringsfarve6 2 2 5 3 3" xfId="13020" xr:uid="{00000000-0005-0000-0000-000055880000}"/>
    <cellStyle name="40 % - Markeringsfarve6 2 2 5 3 3 2" xfId="29339" xr:uid="{00000000-0005-0000-0000-000056880000}"/>
    <cellStyle name="40 % - Markeringsfarve6 2 2 5 3 3 3" xfId="44304" xr:uid="{00000000-0005-0000-0000-000057880000}"/>
    <cellStyle name="40 % - Markeringsfarve6 2 2 5 3 4" xfId="22317" xr:uid="{00000000-0005-0000-0000-000058880000}"/>
    <cellStyle name="40 % - Markeringsfarve6 2 2 5 3 5" xfId="37305" xr:uid="{00000000-0005-0000-0000-000059880000}"/>
    <cellStyle name="40 % - Markeringsfarve6 2 2 5 4" xfId="4464" xr:uid="{00000000-0005-0000-0000-00005A880000}"/>
    <cellStyle name="40 % - Markeringsfarve6 2 2 5 4 2" xfId="8718" xr:uid="{00000000-0005-0000-0000-00005B880000}"/>
    <cellStyle name="40 % - Markeringsfarve6 2 2 5 4 2 2" xfId="16598" xr:uid="{00000000-0005-0000-0000-00005C880000}"/>
    <cellStyle name="40 % - Markeringsfarve6 2 2 5 4 2 2 2" xfId="32912" xr:uid="{00000000-0005-0000-0000-00005D880000}"/>
    <cellStyle name="40 % - Markeringsfarve6 2 2 5 4 2 2 3" xfId="47876" xr:uid="{00000000-0005-0000-0000-00005E880000}"/>
    <cellStyle name="40 % - Markeringsfarve6 2 2 5 4 2 3" xfId="25890" xr:uid="{00000000-0005-0000-0000-00005F880000}"/>
    <cellStyle name="40 % - Markeringsfarve6 2 2 5 4 2 4" xfId="40877" xr:uid="{00000000-0005-0000-0000-000060880000}"/>
    <cellStyle name="40 % - Markeringsfarve6 2 2 5 4 3" xfId="13021" xr:uid="{00000000-0005-0000-0000-000061880000}"/>
    <cellStyle name="40 % - Markeringsfarve6 2 2 5 4 3 2" xfId="29340" xr:uid="{00000000-0005-0000-0000-000062880000}"/>
    <cellStyle name="40 % - Markeringsfarve6 2 2 5 4 3 3" xfId="44305" xr:uid="{00000000-0005-0000-0000-000063880000}"/>
    <cellStyle name="40 % - Markeringsfarve6 2 2 5 4 4" xfId="22318" xr:uid="{00000000-0005-0000-0000-000064880000}"/>
    <cellStyle name="40 % - Markeringsfarve6 2 2 5 4 5" xfId="37306" xr:uid="{00000000-0005-0000-0000-000065880000}"/>
    <cellStyle name="40 % - Markeringsfarve6 2 2 5 5" xfId="6037" xr:uid="{00000000-0005-0000-0000-000066880000}"/>
    <cellStyle name="40 % - Markeringsfarve6 2 2 5 5 2" xfId="13955" xr:uid="{00000000-0005-0000-0000-000067880000}"/>
    <cellStyle name="40 % - Markeringsfarve6 2 2 5 5 2 2" xfId="30269" xr:uid="{00000000-0005-0000-0000-000068880000}"/>
    <cellStyle name="40 % - Markeringsfarve6 2 2 5 5 2 3" xfId="45233" xr:uid="{00000000-0005-0000-0000-000069880000}"/>
    <cellStyle name="40 % - Markeringsfarve6 2 2 5 5 3" xfId="23247" xr:uid="{00000000-0005-0000-0000-00006A880000}"/>
    <cellStyle name="40 % - Markeringsfarve6 2 2 5 5 4" xfId="38234" xr:uid="{00000000-0005-0000-0000-00006B880000}"/>
    <cellStyle name="40 % - Markeringsfarve6 2 2 5 6" xfId="13017" xr:uid="{00000000-0005-0000-0000-00006C880000}"/>
    <cellStyle name="40 % - Markeringsfarve6 2 2 5 6 2" xfId="29336" xr:uid="{00000000-0005-0000-0000-00006D880000}"/>
    <cellStyle name="40 % - Markeringsfarve6 2 2 5 6 3" xfId="44301" xr:uid="{00000000-0005-0000-0000-00006E880000}"/>
    <cellStyle name="40 % - Markeringsfarve6 2 2 5 7" xfId="22314" xr:uid="{00000000-0005-0000-0000-00006F880000}"/>
    <cellStyle name="40 % - Markeringsfarve6 2 2 5 8" xfId="37302" xr:uid="{00000000-0005-0000-0000-000070880000}"/>
    <cellStyle name="40 % - Markeringsfarve6 2 2 6" xfId="4465" xr:uid="{00000000-0005-0000-0000-000071880000}"/>
    <cellStyle name="40 % - Markeringsfarve6 2 2 6 2" xfId="4466" xr:uid="{00000000-0005-0000-0000-000072880000}"/>
    <cellStyle name="40 % - Markeringsfarve6 2 2 6 2 2" xfId="4467" xr:uid="{00000000-0005-0000-0000-000073880000}"/>
    <cellStyle name="40 % - Markeringsfarve6 2 2 6 2 2 2" xfId="8181" xr:uid="{00000000-0005-0000-0000-000074880000}"/>
    <cellStyle name="40 % - Markeringsfarve6 2 2 6 2 2 2 2" xfId="16082" xr:uid="{00000000-0005-0000-0000-000075880000}"/>
    <cellStyle name="40 % - Markeringsfarve6 2 2 6 2 2 2 2 2" xfId="32396" xr:uid="{00000000-0005-0000-0000-000076880000}"/>
    <cellStyle name="40 % - Markeringsfarve6 2 2 6 2 2 2 2 3" xfId="47360" xr:uid="{00000000-0005-0000-0000-000077880000}"/>
    <cellStyle name="40 % - Markeringsfarve6 2 2 6 2 2 2 3" xfId="25374" xr:uid="{00000000-0005-0000-0000-000078880000}"/>
    <cellStyle name="40 % - Markeringsfarve6 2 2 6 2 2 2 4" xfId="40361" xr:uid="{00000000-0005-0000-0000-000079880000}"/>
    <cellStyle name="40 % - Markeringsfarve6 2 2 6 2 2 3" xfId="13024" xr:uid="{00000000-0005-0000-0000-00007A880000}"/>
    <cellStyle name="40 % - Markeringsfarve6 2 2 6 2 2 3 2" xfId="29343" xr:uid="{00000000-0005-0000-0000-00007B880000}"/>
    <cellStyle name="40 % - Markeringsfarve6 2 2 6 2 2 3 3" xfId="44308" xr:uid="{00000000-0005-0000-0000-00007C880000}"/>
    <cellStyle name="40 % - Markeringsfarve6 2 2 6 2 2 4" xfId="22321" xr:uid="{00000000-0005-0000-0000-00007D880000}"/>
    <cellStyle name="40 % - Markeringsfarve6 2 2 6 2 2 5" xfId="37309" xr:uid="{00000000-0005-0000-0000-00007E880000}"/>
    <cellStyle name="40 % - Markeringsfarve6 2 2 6 2 3" xfId="6674" xr:uid="{00000000-0005-0000-0000-00007F880000}"/>
    <cellStyle name="40 % - Markeringsfarve6 2 2 6 2 3 2" xfId="14588" xr:uid="{00000000-0005-0000-0000-000080880000}"/>
    <cellStyle name="40 % - Markeringsfarve6 2 2 6 2 3 2 2" xfId="30902" xr:uid="{00000000-0005-0000-0000-000081880000}"/>
    <cellStyle name="40 % - Markeringsfarve6 2 2 6 2 3 2 3" xfId="45866" xr:uid="{00000000-0005-0000-0000-000082880000}"/>
    <cellStyle name="40 % - Markeringsfarve6 2 2 6 2 3 3" xfId="23880" xr:uid="{00000000-0005-0000-0000-000083880000}"/>
    <cellStyle name="40 % - Markeringsfarve6 2 2 6 2 3 4" xfId="38867" xr:uid="{00000000-0005-0000-0000-000084880000}"/>
    <cellStyle name="40 % - Markeringsfarve6 2 2 6 2 4" xfId="13023" xr:uid="{00000000-0005-0000-0000-000085880000}"/>
    <cellStyle name="40 % - Markeringsfarve6 2 2 6 2 4 2" xfId="29342" xr:uid="{00000000-0005-0000-0000-000086880000}"/>
    <cellStyle name="40 % - Markeringsfarve6 2 2 6 2 4 3" xfId="44307" xr:uid="{00000000-0005-0000-0000-000087880000}"/>
    <cellStyle name="40 % - Markeringsfarve6 2 2 6 2 5" xfId="22320" xr:uid="{00000000-0005-0000-0000-000088880000}"/>
    <cellStyle name="40 % - Markeringsfarve6 2 2 6 2 6" xfId="37308" xr:uid="{00000000-0005-0000-0000-000089880000}"/>
    <cellStyle name="40 % - Markeringsfarve6 2 2 6 3" xfId="4468" xr:uid="{00000000-0005-0000-0000-00008A880000}"/>
    <cellStyle name="40 % - Markeringsfarve6 2 2 6 3 2" xfId="7458" xr:uid="{00000000-0005-0000-0000-00008B880000}"/>
    <cellStyle name="40 % - Markeringsfarve6 2 2 6 3 2 2" xfId="15368" xr:uid="{00000000-0005-0000-0000-00008C880000}"/>
    <cellStyle name="40 % - Markeringsfarve6 2 2 6 3 2 2 2" xfId="31682" xr:uid="{00000000-0005-0000-0000-00008D880000}"/>
    <cellStyle name="40 % - Markeringsfarve6 2 2 6 3 2 2 3" xfId="46646" xr:uid="{00000000-0005-0000-0000-00008E880000}"/>
    <cellStyle name="40 % - Markeringsfarve6 2 2 6 3 2 3" xfId="24660" xr:uid="{00000000-0005-0000-0000-00008F880000}"/>
    <cellStyle name="40 % - Markeringsfarve6 2 2 6 3 2 4" xfId="39647" xr:uid="{00000000-0005-0000-0000-000090880000}"/>
    <cellStyle name="40 % - Markeringsfarve6 2 2 6 3 3" xfId="13025" xr:uid="{00000000-0005-0000-0000-000091880000}"/>
    <cellStyle name="40 % - Markeringsfarve6 2 2 6 3 3 2" xfId="29344" xr:uid="{00000000-0005-0000-0000-000092880000}"/>
    <cellStyle name="40 % - Markeringsfarve6 2 2 6 3 3 3" xfId="44309" xr:uid="{00000000-0005-0000-0000-000093880000}"/>
    <cellStyle name="40 % - Markeringsfarve6 2 2 6 3 4" xfId="22322" xr:uid="{00000000-0005-0000-0000-000094880000}"/>
    <cellStyle name="40 % - Markeringsfarve6 2 2 6 3 5" xfId="37310" xr:uid="{00000000-0005-0000-0000-000095880000}"/>
    <cellStyle name="40 % - Markeringsfarve6 2 2 6 4" xfId="4469" xr:uid="{00000000-0005-0000-0000-000096880000}"/>
    <cellStyle name="40 % - Markeringsfarve6 2 2 6 4 2" xfId="8443" xr:uid="{00000000-0005-0000-0000-000097880000}"/>
    <cellStyle name="40 % - Markeringsfarve6 2 2 6 4 2 2" xfId="16335" xr:uid="{00000000-0005-0000-0000-000098880000}"/>
    <cellStyle name="40 % - Markeringsfarve6 2 2 6 4 2 2 2" xfId="32649" xr:uid="{00000000-0005-0000-0000-000099880000}"/>
    <cellStyle name="40 % - Markeringsfarve6 2 2 6 4 2 2 3" xfId="47613" xr:uid="{00000000-0005-0000-0000-00009A880000}"/>
    <cellStyle name="40 % - Markeringsfarve6 2 2 6 4 2 3" xfId="25627" xr:uid="{00000000-0005-0000-0000-00009B880000}"/>
    <cellStyle name="40 % - Markeringsfarve6 2 2 6 4 2 4" xfId="40614" xr:uid="{00000000-0005-0000-0000-00009C880000}"/>
    <cellStyle name="40 % - Markeringsfarve6 2 2 6 4 3" xfId="13026" xr:uid="{00000000-0005-0000-0000-00009D880000}"/>
    <cellStyle name="40 % - Markeringsfarve6 2 2 6 4 3 2" xfId="29345" xr:uid="{00000000-0005-0000-0000-00009E880000}"/>
    <cellStyle name="40 % - Markeringsfarve6 2 2 6 4 3 3" xfId="44310" xr:uid="{00000000-0005-0000-0000-00009F880000}"/>
    <cellStyle name="40 % - Markeringsfarve6 2 2 6 4 4" xfId="22323" xr:uid="{00000000-0005-0000-0000-0000A0880000}"/>
    <cellStyle name="40 % - Markeringsfarve6 2 2 6 4 5" xfId="37311" xr:uid="{00000000-0005-0000-0000-0000A1880000}"/>
    <cellStyle name="40 % - Markeringsfarve6 2 2 6 5" xfId="6038" xr:uid="{00000000-0005-0000-0000-0000A2880000}"/>
    <cellStyle name="40 % - Markeringsfarve6 2 2 6 5 2" xfId="13956" xr:uid="{00000000-0005-0000-0000-0000A3880000}"/>
    <cellStyle name="40 % - Markeringsfarve6 2 2 6 5 2 2" xfId="30270" xr:uid="{00000000-0005-0000-0000-0000A4880000}"/>
    <cellStyle name="40 % - Markeringsfarve6 2 2 6 5 2 3" xfId="45234" xr:uid="{00000000-0005-0000-0000-0000A5880000}"/>
    <cellStyle name="40 % - Markeringsfarve6 2 2 6 5 3" xfId="23248" xr:uid="{00000000-0005-0000-0000-0000A6880000}"/>
    <cellStyle name="40 % - Markeringsfarve6 2 2 6 5 4" xfId="38235" xr:uid="{00000000-0005-0000-0000-0000A7880000}"/>
    <cellStyle name="40 % - Markeringsfarve6 2 2 6 6" xfId="13022" xr:uid="{00000000-0005-0000-0000-0000A8880000}"/>
    <cellStyle name="40 % - Markeringsfarve6 2 2 6 6 2" xfId="29341" xr:uid="{00000000-0005-0000-0000-0000A9880000}"/>
    <cellStyle name="40 % - Markeringsfarve6 2 2 6 6 3" xfId="44306" xr:uid="{00000000-0005-0000-0000-0000AA880000}"/>
    <cellStyle name="40 % - Markeringsfarve6 2 2 6 7" xfId="22319" xr:uid="{00000000-0005-0000-0000-0000AB880000}"/>
    <cellStyle name="40 % - Markeringsfarve6 2 2 6 8" xfId="37307" xr:uid="{00000000-0005-0000-0000-0000AC880000}"/>
    <cellStyle name="40 % - Markeringsfarve6 2 2 7" xfId="4470" xr:uid="{00000000-0005-0000-0000-0000AD880000}"/>
    <cellStyle name="40 % - Markeringsfarve6 2 2 7 2" xfId="4471" xr:uid="{00000000-0005-0000-0000-0000AE880000}"/>
    <cellStyle name="40 % - Markeringsfarve6 2 2 7 2 2" xfId="7565" xr:uid="{00000000-0005-0000-0000-0000AF880000}"/>
    <cellStyle name="40 % - Markeringsfarve6 2 2 7 2 2 2" xfId="15466" xr:uid="{00000000-0005-0000-0000-0000B0880000}"/>
    <cellStyle name="40 % - Markeringsfarve6 2 2 7 2 2 2 2" xfId="31780" xr:uid="{00000000-0005-0000-0000-0000B1880000}"/>
    <cellStyle name="40 % - Markeringsfarve6 2 2 7 2 2 2 3" xfId="46744" xr:uid="{00000000-0005-0000-0000-0000B2880000}"/>
    <cellStyle name="40 % - Markeringsfarve6 2 2 7 2 2 3" xfId="24758" xr:uid="{00000000-0005-0000-0000-0000B3880000}"/>
    <cellStyle name="40 % - Markeringsfarve6 2 2 7 2 2 4" xfId="39745" xr:uid="{00000000-0005-0000-0000-0000B4880000}"/>
    <cellStyle name="40 % - Markeringsfarve6 2 2 7 2 3" xfId="13028" xr:uid="{00000000-0005-0000-0000-0000B5880000}"/>
    <cellStyle name="40 % - Markeringsfarve6 2 2 7 2 3 2" xfId="29347" xr:uid="{00000000-0005-0000-0000-0000B6880000}"/>
    <cellStyle name="40 % - Markeringsfarve6 2 2 7 2 3 3" xfId="44312" xr:uid="{00000000-0005-0000-0000-0000B7880000}"/>
    <cellStyle name="40 % - Markeringsfarve6 2 2 7 2 4" xfId="22325" xr:uid="{00000000-0005-0000-0000-0000B8880000}"/>
    <cellStyle name="40 % - Markeringsfarve6 2 2 7 2 5" xfId="37313" xr:uid="{00000000-0005-0000-0000-0000B9880000}"/>
    <cellStyle name="40 % - Markeringsfarve6 2 2 7 3" xfId="6156" xr:uid="{00000000-0005-0000-0000-0000BA880000}"/>
    <cellStyle name="40 % - Markeringsfarve6 2 2 7 3 2" xfId="14073" xr:uid="{00000000-0005-0000-0000-0000BB880000}"/>
    <cellStyle name="40 % - Markeringsfarve6 2 2 7 3 2 2" xfId="30387" xr:uid="{00000000-0005-0000-0000-0000BC880000}"/>
    <cellStyle name="40 % - Markeringsfarve6 2 2 7 3 2 3" xfId="45351" xr:uid="{00000000-0005-0000-0000-0000BD880000}"/>
    <cellStyle name="40 % - Markeringsfarve6 2 2 7 3 3" xfId="23365" xr:uid="{00000000-0005-0000-0000-0000BE880000}"/>
    <cellStyle name="40 % - Markeringsfarve6 2 2 7 3 4" xfId="38352" xr:uid="{00000000-0005-0000-0000-0000BF880000}"/>
    <cellStyle name="40 % - Markeringsfarve6 2 2 7 4" xfId="13027" xr:uid="{00000000-0005-0000-0000-0000C0880000}"/>
    <cellStyle name="40 % - Markeringsfarve6 2 2 7 4 2" xfId="29346" xr:uid="{00000000-0005-0000-0000-0000C1880000}"/>
    <cellStyle name="40 % - Markeringsfarve6 2 2 7 4 3" xfId="44311" xr:uid="{00000000-0005-0000-0000-0000C2880000}"/>
    <cellStyle name="40 % - Markeringsfarve6 2 2 7 5" xfId="22324" xr:uid="{00000000-0005-0000-0000-0000C3880000}"/>
    <cellStyle name="40 % - Markeringsfarve6 2 2 7 6" xfId="37312" xr:uid="{00000000-0005-0000-0000-0000C4880000}"/>
    <cellStyle name="40 % - Markeringsfarve6 2 2 8" xfId="4472" xr:uid="{00000000-0005-0000-0000-0000C5880000}"/>
    <cellStyle name="40 % - Markeringsfarve6 2 2 8 2" xfId="6793" xr:uid="{00000000-0005-0000-0000-0000C6880000}"/>
    <cellStyle name="40 % - Markeringsfarve6 2 2 8 2 2" xfId="14704" xr:uid="{00000000-0005-0000-0000-0000C7880000}"/>
    <cellStyle name="40 % - Markeringsfarve6 2 2 8 2 2 2" xfId="31018" xr:uid="{00000000-0005-0000-0000-0000C8880000}"/>
    <cellStyle name="40 % - Markeringsfarve6 2 2 8 2 2 3" xfId="45982" xr:uid="{00000000-0005-0000-0000-0000C9880000}"/>
    <cellStyle name="40 % - Markeringsfarve6 2 2 8 2 3" xfId="23996" xr:uid="{00000000-0005-0000-0000-0000CA880000}"/>
    <cellStyle name="40 % - Markeringsfarve6 2 2 8 2 4" xfId="38983" xr:uid="{00000000-0005-0000-0000-0000CB880000}"/>
    <cellStyle name="40 % - Markeringsfarve6 2 2 8 3" xfId="13029" xr:uid="{00000000-0005-0000-0000-0000CC880000}"/>
    <cellStyle name="40 % - Markeringsfarve6 2 2 8 3 2" xfId="29348" xr:uid="{00000000-0005-0000-0000-0000CD880000}"/>
    <cellStyle name="40 % - Markeringsfarve6 2 2 8 3 3" xfId="44313" xr:uid="{00000000-0005-0000-0000-0000CE880000}"/>
    <cellStyle name="40 % - Markeringsfarve6 2 2 8 4" xfId="22326" xr:uid="{00000000-0005-0000-0000-0000CF880000}"/>
    <cellStyle name="40 % - Markeringsfarve6 2 2 8 5" xfId="37314" xr:uid="{00000000-0005-0000-0000-0000D0880000}"/>
    <cellStyle name="40 % - Markeringsfarve6 2 2 9" xfId="4473" xr:uid="{00000000-0005-0000-0000-0000D1880000}"/>
    <cellStyle name="40 % - Markeringsfarve6 2 2 9 2" xfId="8204" xr:uid="{00000000-0005-0000-0000-0000D2880000}"/>
    <cellStyle name="40 % - Markeringsfarve6 2 2 9 2 2" xfId="16102" xr:uid="{00000000-0005-0000-0000-0000D3880000}"/>
    <cellStyle name="40 % - Markeringsfarve6 2 2 9 2 2 2" xfId="32416" xr:uid="{00000000-0005-0000-0000-0000D4880000}"/>
    <cellStyle name="40 % - Markeringsfarve6 2 2 9 2 2 3" xfId="47380" xr:uid="{00000000-0005-0000-0000-0000D5880000}"/>
    <cellStyle name="40 % - Markeringsfarve6 2 2 9 2 3" xfId="25394" xr:uid="{00000000-0005-0000-0000-0000D6880000}"/>
    <cellStyle name="40 % - Markeringsfarve6 2 2 9 2 4" xfId="40381" xr:uid="{00000000-0005-0000-0000-0000D7880000}"/>
    <cellStyle name="40 % - Markeringsfarve6 2 2 9 3" xfId="13030" xr:uid="{00000000-0005-0000-0000-0000D8880000}"/>
    <cellStyle name="40 % - Markeringsfarve6 2 2 9 3 2" xfId="29349" xr:uid="{00000000-0005-0000-0000-0000D9880000}"/>
    <cellStyle name="40 % - Markeringsfarve6 2 2 9 3 3" xfId="44314" xr:uid="{00000000-0005-0000-0000-0000DA880000}"/>
    <cellStyle name="40 % - Markeringsfarve6 2 2 9 4" xfId="22327" xr:uid="{00000000-0005-0000-0000-0000DB880000}"/>
    <cellStyle name="40 % - Markeringsfarve6 2 2 9 5" xfId="37315" xr:uid="{00000000-0005-0000-0000-0000DC880000}"/>
    <cellStyle name="40 % - Markeringsfarve6 2 3" xfId="4474" xr:uid="{00000000-0005-0000-0000-0000DD880000}"/>
    <cellStyle name="40 % - Markeringsfarve6 2 3 10" xfId="6039" xr:uid="{00000000-0005-0000-0000-0000DE880000}"/>
    <cellStyle name="40 % - Markeringsfarve6 2 3 10 2" xfId="13957" xr:uid="{00000000-0005-0000-0000-0000DF880000}"/>
    <cellStyle name="40 % - Markeringsfarve6 2 3 10 2 2" xfId="30271" xr:uid="{00000000-0005-0000-0000-0000E0880000}"/>
    <cellStyle name="40 % - Markeringsfarve6 2 3 10 2 3" xfId="45235" xr:uid="{00000000-0005-0000-0000-0000E1880000}"/>
    <cellStyle name="40 % - Markeringsfarve6 2 3 10 3" xfId="23249" xr:uid="{00000000-0005-0000-0000-0000E2880000}"/>
    <cellStyle name="40 % - Markeringsfarve6 2 3 10 4" xfId="38236" xr:uid="{00000000-0005-0000-0000-0000E3880000}"/>
    <cellStyle name="40 % - Markeringsfarve6 2 3 11" xfId="13031" xr:uid="{00000000-0005-0000-0000-0000E4880000}"/>
    <cellStyle name="40 % - Markeringsfarve6 2 3 11 2" xfId="29350" xr:uid="{00000000-0005-0000-0000-0000E5880000}"/>
    <cellStyle name="40 % - Markeringsfarve6 2 3 11 3" xfId="44315" xr:uid="{00000000-0005-0000-0000-0000E6880000}"/>
    <cellStyle name="40 % - Markeringsfarve6 2 3 12" xfId="22328" xr:uid="{00000000-0005-0000-0000-0000E7880000}"/>
    <cellStyle name="40 % - Markeringsfarve6 2 3 13" xfId="37316" xr:uid="{00000000-0005-0000-0000-0000E8880000}"/>
    <cellStyle name="40 % - Markeringsfarve6 2 3 14" xfId="53401" xr:uid="{00000000-0005-0000-0000-0000E9880000}"/>
    <cellStyle name="40 % - Markeringsfarve6 2 3 2" xfId="4475" xr:uid="{00000000-0005-0000-0000-0000EA880000}"/>
    <cellStyle name="40 % - Markeringsfarve6 2 3 2 2" xfId="4476" xr:uid="{00000000-0005-0000-0000-0000EB880000}"/>
    <cellStyle name="40 % - Markeringsfarve6 2 3 2 2 2" xfId="4477" xr:uid="{00000000-0005-0000-0000-0000EC880000}"/>
    <cellStyle name="40 % - Markeringsfarve6 2 3 2 2 2 2" xfId="7723" xr:uid="{00000000-0005-0000-0000-0000ED880000}"/>
    <cellStyle name="40 % - Markeringsfarve6 2 3 2 2 2 2 2" xfId="15624" xr:uid="{00000000-0005-0000-0000-0000EE880000}"/>
    <cellStyle name="40 % - Markeringsfarve6 2 3 2 2 2 2 2 2" xfId="31938" xr:uid="{00000000-0005-0000-0000-0000EF880000}"/>
    <cellStyle name="40 % - Markeringsfarve6 2 3 2 2 2 2 2 3" xfId="46902" xr:uid="{00000000-0005-0000-0000-0000F0880000}"/>
    <cellStyle name="40 % - Markeringsfarve6 2 3 2 2 2 2 3" xfId="24916" xr:uid="{00000000-0005-0000-0000-0000F1880000}"/>
    <cellStyle name="40 % - Markeringsfarve6 2 3 2 2 2 2 4" xfId="39903" xr:uid="{00000000-0005-0000-0000-0000F2880000}"/>
    <cellStyle name="40 % - Markeringsfarve6 2 3 2 2 2 3" xfId="13034" xr:uid="{00000000-0005-0000-0000-0000F3880000}"/>
    <cellStyle name="40 % - Markeringsfarve6 2 3 2 2 2 3 2" xfId="29353" xr:uid="{00000000-0005-0000-0000-0000F4880000}"/>
    <cellStyle name="40 % - Markeringsfarve6 2 3 2 2 2 3 3" xfId="44318" xr:uid="{00000000-0005-0000-0000-0000F5880000}"/>
    <cellStyle name="40 % - Markeringsfarve6 2 3 2 2 2 4" xfId="22331" xr:uid="{00000000-0005-0000-0000-0000F6880000}"/>
    <cellStyle name="40 % - Markeringsfarve6 2 3 2 2 2 5" xfId="37319" xr:uid="{00000000-0005-0000-0000-0000F7880000}"/>
    <cellStyle name="40 % - Markeringsfarve6 2 3 2 2 3" xfId="6288" xr:uid="{00000000-0005-0000-0000-0000F8880000}"/>
    <cellStyle name="40 % - Markeringsfarve6 2 3 2 2 3 2" xfId="14205" xr:uid="{00000000-0005-0000-0000-0000F9880000}"/>
    <cellStyle name="40 % - Markeringsfarve6 2 3 2 2 3 2 2" xfId="30519" xr:uid="{00000000-0005-0000-0000-0000FA880000}"/>
    <cellStyle name="40 % - Markeringsfarve6 2 3 2 2 3 2 3" xfId="45483" xr:uid="{00000000-0005-0000-0000-0000FB880000}"/>
    <cellStyle name="40 % - Markeringsfarve6 2 3 2 2 3 3" xfId="23497" xr:uid="{00000000-0005-0000-0000-0000FC880000}"/>
    <cellStyle name="40 % - Markeringsfarve6 2 3 2 2 3 4" xfId="38484" xr:uid="{00000000-0005-0000-0000-0000FD880000}"/>
    <cellStyle name="40 % - Markeringsfarve6 2 3 2 2 4" xfId="13033" xr:uid="{00000000-0005-0000-0000-0000FE880000}"/>
    <cellStyle name="40 % - Markeringsfarve6 2 3 2 2 4 2" xfId="29352" xr:uid="{00000000-0005-0000-0000-0000FF880000}"/>
    <cellStyle name="40 % - Markeringsfarve6 2 3 2 2 4 3" xfId="44317" xr:uid="{00000000-0005-0000-0000-000000890000}"/>
    <cellStyle name="40 % - Markeringsfarve6 2 3 2 2 5" xfId="22330" xr:uid="{00000000-0005-0000-0000-000001890000}"/>
    <cellStyle name="40 % - Markeringsfarve6 2 3 2 2 6" xfId="37318" xr:uid="{00000000-0005-0000-0000-000002890000}"/>
    <cellStyle name="40 % - Markeringsfarve6 2 3 2 2 7" xfId="57205" xr:uid="{00000000-0005-0000-0000-000003890000}"/>
    <cellStyle name="40 % - Markeringsfarve6 2 3 2 3" xfId="4478" xr:uid="{00000000-0005-0000-0000-000004890000}"/>
    <cellStyle name="40 % - Markeringsfarve6 2 3 2 3 2" xfId="6953" xr:uid="{00000000-0005-0000-0000-000005890000}"/>
    <cellStyle name="40 % - Markeringsfarve6 2 3 2 3 2 2" xfId="14864" xr:uid="{00000000-0005-0000-0000-000006890000}"/>
    <cellStyle name="40 % - Markeringsfarve6 2 3 2 3 2 2 2" xfId="31178" xr:uid="{00000000-0005-0000-0000-000007890000}"/>
    <cellStyle name="40 % - Markeringsfarve6 2 3 2 3 2 2 3" xfId="46142" xr:uid="{00000000-0005-0000-0000-000008890000}"/>
    <cellStyle name="40 % - Markeringsfarve6 2 3 2 3 2 3" xfId="24156" xr:uid="{00000000-0005-0000-0000-000009890000}"/>
    <cellStyle name="40 % - Markeringsfarve6 2 3 2 3 2 4" xfId="39143" xr:uid="{00000000-0005-0000-0000-00000A890000}"/>
    <cellStyle name="40 % - Markeringsfarve6 2 3 2 3 3" xfId="13035" xr:uid="{00000000-0005-0000-0000-00000B890000}"/>
    <cellStyle name="40 % - Markeringsfarve6 2 3 2 3 3 2" xfId="29354" xr:uid="{00000000-0005-0000-0000-00000C890000}"/>
    <cellStyle name="40 % - Markeringsfarve6 2 3 2 3 3 3" xfId="44319" xr:uid="{00000000-0005-0000-0000-00000D890000}"/>
    <cellStyle name="40 % - Markeringsfarve6 2 3 2 3 4" xfId="22332" xr:uid="{00000000-0005-0000-0000-00000E890000}"/>
    <cellStyle name="40 % - Markeringsfarve6 2 3 2 3 5" xfId="37320" xr:uid="{00000000-0005-0000-0000-00000F890000}"/>
    <cellStyle name="40 % - Markeringsfarve6 2 3 2 4" xfId="4479" xr:uid="{00000000-0005-0000-0000-000010890000}"/>
    <cellStyle name="40 % - Markeringsfarve6 2 3 2 4 2" xfId="8401" xr:uid="{00000000-0005-0000-0000-000011890000}"/>
    <cellStyle name="40 % - Markeringsfarve6 2 3 2 4 2 2" xfId="16294" xr:uid="{00000000-0005-0000-0000-000012890000}"/>
    <cellStyle name="40 % - Markeringsfarve6 2 3 2 4 2 2 2" xfId="32608" xr:uid="{00000000-0005-0000-0000-000013890000}"/>
    <cellStyle name="40 % - Markeringsfarve6 2 3 2 4 2 2 3" xfId="47572" xr:uid="{00000000-0005-0000-0000-000014890000}"/>
    <cellStyle name="40 % - Markeringsfarve6 2 3 2 4 2 3" xfId="25586" xr:uid="{00000000-0005-0000-0000-000015890000}"/>
    <cellStyle name="40 % - Markeringsfarve6 2 3 2 4 2 4" xfId="40573" xr:uid="{00000000-0005-0000-0000-000016890000}"/>
    <cellStyle name="40 % - Markeringsfarve6 2 3 2 4 3" xfId="13036" xr:uid="{00000000-0005-0000-0000-000017890000}"/>
    <cellStyle name="40 % - Markeringsfarve6 2 3 2 4 3 2" xfId="29355" xr:uid="{00000000-0005-0000-0000-000018890000}"/>
    <cellStyle name="40 % - Markeringsfarve6 2 3 2 4 3 3" xfId="44320" xr:uid="{00000000-0005-0000-0000-000019890000}"/>
    <cellStyle name="40 % - Markeringsfarve6 2 3 2 4 4" xfId="22333" xr:uid="{00000000-0005-0000-0000-00001A890000}"/>
    <cellStyle name="40 % - Markeringsfarve6 2 3 2 4 5" xfId="37321" xr:uid="{00000000-0005-0000-0000-00001B890000}"/>
    <cellStyle name="40 % - Markeringsfarve6 2 3 2 5" xfId="6040" xr:uid="{00000000-0005-0000-0000-00001C890000}"/>
    <cellStyle name="40 % - Markeringsfarve6 2 3 2 5 2" xfId="13958" xr:uid="{00000000-0005-0000-0000-00001D890000}"/>
    <cellStyle name="40 % - Markeringsfarve6 2 3 2 5 2 2" xfId="30272" xr:uid="{00000000-0005-0000-0000-00001E890000}"/>
    <cellStyle name="40 % - Markeringsfarve6 2 3 2 5 2 3" xfId="45236" xr:uid="{00000000-0005-0000-0000-00001F890000}"/>
    <cellStyle name="40 % - Markeringsfarve6 2 3 2 5 3" xfId="23250" xr:uid="{00000000-0005-0000-0000-000020890000}"/>
    <cellStyle name="40 % - Markeringsfarve6 2 3 2 5 4" xfId="38237" xr:uid="{00000000-0005-0000-0000-000021890000}"/>
    <cellStyle name="40 % - Markeringsfarve6 2 3 2 6" xfId="13032" xr:uid="{00000000-0005-0000-0000-000022890000}"/>
    <cellStyle name="40 % - Markeringsfarve6 2 3 2 6 2" xfId="29351" xr:uid="{00000000-0005-0000-0000-000023890000}"/>
    <cellStyle name="40 % - Markeringsfarve6 2 3 2 6 3" xfId="44316" xr:uid="{00000000-0005-0000-0000-000024890000}"/>
    <cellStyle name="40 % - Markeringsfarve6 2 3 2 7" xfId="22329" xr:uid="{00000000-0005-0000-0000-000025890000}"/>
    <cellStyle name="40 % - Markeringsfarve6 2 3 2 8" xfId="37317" xr:uid="{00000000-0005-0000-0000-000026890000}"/>
    <cellStyle name="40 % - Markeringsfarve6 2 3 2 9" xfId="54038" xr:uid="{00000000-0005-0000-0000-000027890000}"/>
    <cellStyle name="40 % - Markeringsfarve6 2 3 3" xfId="4480" xr:uid="{00000000-0005-0000-0000-000028890000}"/>
    <cellStyle name="40 % - Markeringsfarve6 2 3 3 2" xfId="4481" xr:uid="{00000000-0005-0000-0000-000029890000}"/>
    <cellStyle name="40 % - Markeringsfarve6 2 3 3 2 2" xfId="4482" xr:uid="{00000000-0005-0000-0000-00002A890000}"/>
    <cellStyle name="40 % - Markeringsfarve6 2 3 3 2 2 2" xfId="7828" xr:uid="{00000000-0005-0000-0000-00002B890000}"/>
    <cellStyle name="40 % - Markeringsfarve6 2 3 3 2 2 2 2" xfId="15729" xr:uid="{00000000-0005-0000-0000-00002C890000}"/>
    <cellStyle name="40 % - Markeringsfarve6 2 3 3 2 2 2 2 2" xfId="32043" xr:uid="{00000000-0005-0000-0000-00002D890000}"/>
    <cellStyle name="40 % - Markeringsfarve6 2 3 3 2 2 2 2 3" xfId="47007" xr:uid="{00000000-0005-0000-0000-00002E890000}"/>
    <cellStyle name="40 % - Markeringsfarve6 2 3 3 2 2 2 3" xfId="25021" xr:uid="{00000000-0005-0000-0000-00002F890000}"/>
    <cellStyle name="40 % - Markeringsfarve6 2 3 3 2 2 2 4" xfId="40008" xr:uid="{00000000-0005-0000-0000-000030890000}"/>
    <cellStyle name="40 % - Markeringsfarve6 2 3 3 2 2 3" xfId="13039" xr:uid="{00000000-0005-0000-0000-000031890000}"/>
    <cellStyle name="40 % - Markeringsfarve6 2 3 3 2 2 3 2" xfId="29358" xr:uid="{00000000-0005-0000-0000-000032890000}"/>
    <cellStyle name="40 % - Markeringsfarve6 2 3 3 2 2 3 3" xfId="44323" xr:uid="{00000000-0005-0000-0000-000033890000}"/>
    <cellStyle name="40 % - Markeringsfarve6 2 3 3 2 2 4" xfId="22336" xr:uid="{00000000-0005-0000-0000-000034890000}"/>
    <cellStyle name="40 % - Markeringsfarve6 2 3 3 2 2 5" xfId="37324" xr:uid="{00000000-0005-0000-0000-000035890000}"/>
    <cellStyle name="40 % - Markeringsfarve6 2 3 3 2 3" xfId="6374" xr:uid="{00000000-0005-0000-0000-000036890000}"/>
    <cellStyle name="40 % - Markeringsfarve6 2 3 3 2 3 2" xfId="14291" xr:uid="{00000000-0005-0000-0000-000037890000}"/>
    <cellStyle name="40 % - Markeringsfarve6 2 3 3 2 3 2 2" xfId="30605" xr:uid="{00000000-0005-0000-0000-000038890000}"/>
    <cellStyle name="40 % - Markeringsfarve6 2 3 3 2 3 2 3" xfId="45569" xr:uid="{00000000-0005-0000-0000-000039890000}"/>
    <cellStyle name="40 % - Markeringsfarve6 2 3 3 2 3 3" xfId="23583" xr:uid="{00000000-0005-0000-0000-00003A890000}"/>
    <cellStyle name="40 % - Markeringsfarve6 2 3 3 2 3 4" xfId="38570" xr:uid="{00000000-0005-0000-0000-00003B890000}"/>
    <cellStyle name="40 % - Markeringsfarve6 2 3 3 2 4" xfId="13038" xr:uid="{00000000-0005-0000-0000-00003C890000}"/>
    <cellStyle name="40 % - Markeringsfarve6 2 3 3 2 4 2" xfId="29357" xr:uid="{00000000-0005-0000-0000-00003D890000}"/>
    <cellStyle name="40 % - Markeringsfarve6 2 3 3 2 4 3" xfId="44322" xr:uid="{00000000-0005-0000-0000-00003E890000}"/>
    <cellStyle name="40 % - Markeringsfarve6 2 3 3 2 5" xfId="22335" xr:uid="{00000000-0005-0000-0000-00003F890000}"/>
    <cellStyle name="40 % - Markeringsfarve6 2 3 3 2 6" xfId="37323" xr:uid="{00000000-0005-0000-0000-000040890000}"/>
    <cellStyle name="40 % - Markeringsfarve6 2 3 3 3" xfId="4483" xr:uid="{00000000-0005-0000-0000-000041890000}"/>
    <cellStyle name="40 % - Markeringsfarve6 2 3 3 3 2" xfId="7058" xr:uid="{00000000-0005-0000-0000-000042890000}"/>
    <cellStyle name="40 % - Markeringsfarve6 2 3 3 3 2 2" xfId="14969" xr:uid="{00000000-0005-0000-0000-000043890000}"/>
    <cellStyle name="40 % - Markeringsfarve6 2 3 3 3 2 2 2" xfId="31283" xr:uid="{00000000-0005-0000-0000-000044890000}"/>
    <cellStyle name="40 % - Markeringsfarve6 2 3 3 3 2 2 3" xfId="46247" xr:uid="{00000000-0005-0000-0000-000045890000}"/>
    <cellStyle name="40 % - Markeringsfarve6 2 3 3 3 2 3" xfId="24261" xr:uid="{00000000-0005-0000-0000-000046890000}"/>
    <cellStyle name="40 % - Markeringsfarve6 2 3 3 3 2 4" xfId="39248" xr:uid="{00000000-0005-0000-0000-000047890000}"/>
    <cellStyle name="40 % - Markeringsfarve6 2 3 3 3 3" xfId="13040" xr:uid="{00000000-0005-0000-0000-000048890000}"/>
    <cellStyle name="40 % - Markeringsfarve6 2 3 3 3 3 2" xfId="29359" xr:uid="{00000000-0005-0000-0000-000049890000}"/>
    <cellStyle name="40 % - Markeringsfarve6 2 3 3 3 3 3" xfId="44324" xr:uid="{00000000-0005-0000-0000-00004A890000}"/>
    <cellStyle name="40 % - Markeringsfarve6 2 3 3 3 4" xfId="22337" xr:uid="{00000000-0005-0000-0000-00004B890000}"/>
    <cellStyle name="40 % - Markeringsfarve6 2 3 3 3 5" xfId="37325" xr:uid="{00000000-0005-0000-0000-00004C890000}"/>
    <cellStyle name="40 % - Markeringsfarve6 2 3 3 4" xfId="4484" xr:uid="{00000000-0005-0000-0000-00004D890000}"/>
    <cellStyle name="40 % - Markeringsfarve6 2 3 3 4 2" xfId="8625" xr:uid="{00000000-0005-0000-0000-00004E890000}"/>
    <cellStyle name="40 % - Markeringsfarve6 2 3 3 4 2 2" xfId="16508" xr:uid="{00000000-0005-0000-0000-00004F890000}"/>
    <cellStyle name="40 % - Markeringsfarve6 2 3 3 4 2 2 2" xfId="32822" xr:uid="{00000000-0005-0000-0000-000050890000}"/>
    <cellStyle name="40 % - Markeringsfarve6 2 3 3 4 2 2 3" xfId="47786" xr:uid="{00000000-0005-0000-0000-000051890000}"/>
    <cellStyle name="40 % - Markeringsfarve6 2 3 3 4 2 3" xfId="25800" xr:uid="{00000000-0005-0000-0000-000052890000}"/>
    <cellStyle name="40 % - Markeringsfarve6 2 3 3 4 2 4" xfId="40787" xr:uid="{00000000-0005-0000-0000-000053890000}"/>
    <cellStyle name="40 % - Markeringsfarve6 2 3 3 4 3" xfId="13041" xr:uid="{00000000-0005-0000-0000-000054890000}"/>
    <cellStyle name="40 % - Markeringsfarve6 2 3 3 4 3 2" xfId="29360" xr:uid="{00000000-0005-0000-0000-000055890000}"/>
    <cellStyle name="40 % - Markeringsfarve6 2 3 3 4 3 3" xfId="44325" xr:uid="{00000000-0005-0000-0000-000056890000}"/>
    <cellStyle name="40 % - Markeringsfarve6 2 3 3 4 4" xfId="22338" xr:uid="{00000000-0005-0000-0000-000057890000}"/>
    <cellStyle name="40 % - Markeringsfarve6 2 3 3 4 5" xfId="37326" xr:uid="{00000000-0005-0000-0000-000058890000}"/>
    <cellStyle name="40 % - Markeringsfarve6 2 3 3 5" xfId="6041" xr:uid="{00000000-0005-0000-0000-000059890000}"/>
    <cellStyle name="40 % - Markeringsfarve6 2 3 3 5 2" xfId="13959" xr:uid="{00000000-0005-0000-0000-00005A890000}"/>
    <cellStyle name="40 % - Markeringsfarve6 2 3 3 5 2 2" xfId="30273" xr:uid="{00000000-0005-0000-0000-00005B890000}"/>
    <cellStyle name="40 % - Markeringsfarve6 2 3 3 5 2 3" xfId="45237" xr:uid="{00000000-0005-0000-0000-00005C890000}"/>
    <cellStyle name="40 % - Markeringsfarve6 2 3 3 5 3" xfId="23251" xr:uid="{00000000-0005-0000-0000-00005D890000}"/>
    <cellStyle name="40 % - Markeringsfarve6 2 3 3 5 4" xfId="38238" xr:uid="{00000000-0005-0000-0000-00005E890000}"/>
    <cellStyle name="40 % - Markeringsfarve6 2 3 3 6" xfId="13037" xr:uid="{00000000-0005-0000-0000-00005F890000}"/>
    <cellStyle name="40 % - Markeringsfarve6 2 3 3 6 2" xfId="29356" xr:uid="{00000000-0005-0000-0000-000060890000}"/>
    <cellStyle name="40 % - Markeringsfarve6 2 3 3 6 3" xfId="44321" xr:uid="{00000000-0005-0000-0000-000061890000}"/>
    <cellStyle name="40 % - Markeringsfarve6 2 3 3 7" xfId="22334" xr:uid="{00000000-0005-0000-0000-000062890000}"/>
    <cellStyle name="40 % - Markeringsfarve6 2 3 3 8" xfId="37322" xr:uid="{00000000-0005-0000-0000-000063890000}"/>
    <cellStyle name="40 % - Markeringsfarve6 2 3 3 9" xfId="56582" xr:uid="{00000000-0005-0000-0000-000064890000}"/>
    <cellStyle name="40 % - Markeringsfarve6 2 3 4" xfId="4485" xr:uid="{00000000-0005-0000-0000-000065890000}"/>
    <cellStyle name="40 % - Markeringsfarve6 2 3 4 2" xfId="4486" xr:uid="{00000000-0005-0000-0000-000066890000}"/>
    <cellStyle name="40 % - Markeringsfarve6 2 3 4 2 2" xfId="4487" xr:uid="{00000000-0005-0000-0000-000067890000}"/>
    <cellStyle name="40 % - Markeringsfarve6 2 3 4 2 2 2" xfId="7961" xr:uid="{00000000-0005-0000-0000-000068890000}"/>
    <cellStyle name="40 % - Markeringsfarve6 2 3 4 2 2 2 2" xfId="15862" xr:uid="{00000000-0005-0000-0000-000069890000}"/>
    <cellStyle name="40 % - Markeringsfarve6 2 3 4 2 2 2 2 2" xfId="32176" xr:uid="{00000000-0005-0000-0000-00006A890000}"/>
    <cellStyle name="40 % - Markeringsfarve6 2 3 4 2 2 2 2 3" xfId="47140" xr:uid="{00000000-0005-0000-0000-00006B890000}"/>
    <cellStyle name="40 % - Markeringsfarve6 2 3 4 2 2 2 3" xfId="25154" xr:uid="{00000000-0005-0000-0000-00006C890000}"/>
    <cellStyle name="40 % - Markeringsfarve6 2 3 4 2 2 2 4" xfId="40141" xr:uid="{00000000-0005-0000-0000-00006D890000}"/>
    <cellStyle name="40 % - Markeringsfarve6 2 3 4 2 2 3" xfId="13044" xr:uid="{00000000-0005-0000-0000-00006E890000}"/>
    <cellStyle name="40 % - Markeringsfarve6 2 3 4 2 2 3 2" xfId="29363" xr:uid="{00000000-0005-0000-0000-00006F890000}"/>
    <cellStyle name="40 % - Markeringsfarve6 2 3 4 2 2 3 3" xfId="44328" xr:uid="{00000000-0005-0000-0000-000070890000}"/>
    <cellStyle name="40 % - Markeringsfarve6 2 3 4 2 2 4" xfId="22341" xr:uid="{00000000-0005-0000-0000-000071890000}"/>
    <cellStyle name="40 % - Markeringsfarve6 2 3 4 2 2 5" xfId="37329" xr:uid="{00000000-0005-0000-0000-000072890000}"/>
    <cellStyle name="40 % - Markeringsfarve6 2 3 4 2 3" xfId="6490" xr:uid="{00000000-0005-0000-0000-000073890000}"/>
    <cellStyle name="40 % - Markeringsfarve6 2 3 4 2 3 2" xfId="14404" xr:uid="{00000000-0005-0000-0000-000074890000}"/>
    <cellStyle name="40 % - Markeringsfarve6 2 3 4 2 3 2 2" xfId="30718" xr:uid="{00000000-0005-0000-0000-000075890000}"/>
    <cellStyle name="40 % - Markeringsfarve6 2 3 4 2 3 2 3" xfId="45682" xr:uid="{00000000-0005-0000-0000-000076890000}"/>
    <cellStyle name="40 % - Markeringsfarve6 2 3 4 2 3 3" xfId="23696" xr:uid="{00000000-0005-0000-0000-000077890000}"/>
    <cellStyle name="40 % - Markeringsfarve6 2 3 4 2 3 4" xfId="38683" xr:uid="{00000000-0005-0000-0000-000078890000}"/>
    <cellStyle name="40 % - Markeringsfarve6 2 3 4 2 4" xfId="13043" xr:uid="{00000000-0005-0000-0000-000079890000}"/>
    <cellStyle name="40 % - Markeringsfarve6 2 3 4 2 4 2" xfId="29362" xr:uid="{00000000-0005-0000-0000-00007A890000}"/>
    <cellStyle name="40 % - Markeringsfarve6 2 3 4 2 4 3" xfId="44327" xr:uid="{00000000-0005-0000-0000-00007B890000}"/>
    <cellStyle name="40 % - Markeringsfarve6 2 3 4 2 5" xfId="22340" xr:uid="{00000000-0005-0000-0000-00007C890000}"/>
    <cellStyle name="40 % - Markeringsfarve6 2 3 4 2 6" xfId="37328" xr:uid="{00000000-0005-0000-0000-00007D890000}"/>
    <cellStyle name="40 % - Markeringsfarve6 2 3 4 3" xfId="4488" xr:uid="{00000000-0005-0000-0000-00007E890000}"/>
    <cellStyle name="40 % - Markeringsfarve6 2 3 4 3 2" xfId="7237" xr:uid="{00000000-0005-0000-0000-00007F890000}"/>
    <cellStyle name="40 % - Markeringsfarve6 2 3 4 3 2 2" xfId="15147" xr:uid="{00000000-0005-0000-0000-000080890000}"/>
    <cellStyle name="40 % - Markeringsfarve6 2 3 4 3 2 2 2" xfId="31461" xr:uid="{00000000-0005-0000-0000-000081890000}"/>
    <cellStyle name="40 % - Markeringsfarve6 2 3 4 3 2 2 3" xfId="46425" xr:uid="{00000000-0005-0000-0000-000082890000}"/>
    <cellStyle name="40 % - Markeringsfarve6 2 3 4 3 2 3" xfId="24439" xr:uid="{00000000-0005-0000-0000-000083890000}"/>
    <cellStyle name="40 % - Markeringsfarve6 2 3 4 3 2 4" xfId="39426" xr:uid="{00000000-0005-0000-0000-000084890000}"/>
    <cellStyle name="40 % - Markeringsfarve6 2 3 4 3 3" xfId="13045" xr:uid="{00000000-0005-0000-0000-000085890000}"/>
    <cellStyle name="40 % - Markeringsfarve6 2 3 4 3 3 2" xfId="29364" xr:uid="{00000000-0005-0000-0000-000086890000}"/>
    <cellStyle name="40 % - Markeringsfarve6 2 3 4 3 3 3" xfId="44329" xr:uid="{00000000-0005-0000-0000-000087890000}"/>
    <cellStyle name="40 % - Markeringsfarve6 2 3 4 3 4" xfId="22342" xr:uid="{00000000-0005-0000-0000-000088890000}"/>
    <cellStyle name="40 % - Markeringsfarve6 2 3 4 3 5" xfId="37330" xr:uid="{00000000-0005-0000-0000-000089890000}"/>
    <cellStyle name="40 % - Markeringsfarve6 2 3 4 4" xfId="4489" xr:uid="{00000000-0005-0000-0000-00008A890000}"/>
    <cellStyle name="40 % - Markeringsfarve6 2 3 4 4 2" xfId="8275" xr:uid="{00000000-0005-0000-0000-00008B890000}"/>
    <cellStyle name="40 % - Markeringsfarve6 2 3 4 4 2 2" xfId="16169" xr:uid="{00000000-0005-0000-0000-00008C890000}"/>
    <cellStyle name="40 % - Markeringsfarve6 2 3 4 4 2 2 2" xfId="32483" xr:uid="{00000000-0005-0000-0000-00008D890000}"/>
    <cellStyle name="40 % - Markeringsfarve6 2 3 4 4 2 2 3" xfId="47447" xr:uid="{00000000-0005-0000-0000-00008E890000}"/>
    <cellStyle name="40 % - Markeringsfarve6 2 3 4 4 2 3" xfId="25461" xr:uid="{00000000-0005-0000-0000-00008F890000}"/>
    <cellStyle name="40 % - Markeringsfarve6 2 3 4 4 2 4" xfId="40448" xr:uid="{00000000-0005-0000-0000-000090890000}"/>
    <cellStyle name="40 % - Markeringsfarve6 2 3 4 4 3" xfId="13046" xr:uid="{00000000-0005-0000-0000-000091890000}"/>
    <cellStyle name="40 % - Markeringsfarve6 2 3 4 4 3 2" xfId="29365" xr:uid="{00000000-0005-0000-0000-000092890000}"/>
    <cellStyle name="40 % - Markeringsfarve6 2 3 4 4 3 3" xfId="44330" xr:uid="{00000000-0005-0000-0000-000093890000}"/>
    <cellStyle name="40 % - Markeringsfarve6 2 3 4 4 4" xfId="22343" xr:uid="{00000000-0005-0000-0000-000094890000}"/>
    <cellStyle name="40 % - Markeringsfarve6 2 3 4 4 5" xfId="37331" xr:uid="{00000000-0005-0000-0000-000095890000}"/>
    <cellStyle name="40 % - Markeringsfarve6 2 3 4 5" xfId="6042" xr:uid="{00000000-0005-0000-0000-000096890000}"/>
    <cellStyle name="40 % - Markeringsfarve6 2 3 4 5 2" xfId="13960" xr:uid="{00000000-0005-0000-0000-000097890000}"/>
    <cellStyle name="40 % - Markeringsfarve6 2 3 4 5 2 2" xfId="30274" xr:uid="{00000000-0005-0000-0000-000098890000}"/>
    <cellStyle name="40 % - Markeringsfarve6 2 3 4 5 2 3" xfId="45238" xr:uid="{00000000-0005-0000-0000-000099890000}"/>
    <cellStyle name="40 % - Markeringsfarve6 2 3 4 5 3" xfId="23252" xr:uid="{00000000-0005-0000-0000-00009A890000}"/>
    <cellStyle name="40 % - Markeringsfarve6 2 3 4 5 4" xfId="38239" xr:uid="{00000000-0005-0000-0000-00009B890000}"/>
    <cellStyle name="40 % - Markeringsfarve6 2 3 4 6" xfId="13042" xr:uid="{00000000-0005-0000-0000-00009C890000}"/>
    <cellStyle name="40 % - Markeringsfarve6 2 3 4 6 2" xfId="29361" xr:uid="{00000000-0005-0000-0000-00009D890000}"/>
    <cellStyle name="40 % - Markeringsfarve6 2 3 4 6 3" xfId="44326" xr:uid="{00000000-0005-0000-0000-00009E890000}"/>
    <cellStyle name="40 % - Markeringsfarve6 2 3 4 7" xfId="22339" xr:uid="{00000000-0005-0000-0000-00009F890000}"/>
    <cellStyle name="40 % - Markeringsfarve6 2 3 4 8" xfId="37327" xr:uid="{00000000-0005-0000-0000-0000A0890000}"/>
    <cellStyle name="40 % - Markeringsfarve6 2 3 5" xfId="4490" xr:uid="{00000000-0005-0000-0000-0000A1890000}"/>
    <cellStyle name="40 % - Markeringsfarve6 2 3 5 2" xfId="4491" xr:uid="{00000000-0005-0000-0000-0000A2890000}"/>
    <cellStyle name="40 % - Markeringsfarve6 2 3 5 2 2" xfId="4492" xr:uid="{00000000-0005-0000-0000-0000A3890000}"/>
    <cellStyle name="40 % - Markeringsfarve6 2 3 5 2 2 2" xfId="8078" xr:uid="{00000000-0005-0000-0000-0000A4890000}"/>
    <cellStyle name="40 % - Markeringsfarve6 2 3 5 2 2 2 2" xfId="15979" xr:uid="{00000000-0005-0000-0000-0000A5890000}"/>
    <cellStyle name="40 % - Markeringsfarve6 2 3 5 2 2 2 2 2" xfId="32293" xr:uid="{00000000-0005-0000-0000-0000A6890000}"/>
    <cellStyle name="40 % - Markeringsfarve6 2 3 5 2 2 2 2 3" xfId="47257" xr:uid="{00000000-0005-0000-0000-0000A7890000}"/>
    <cellStyle name="40 % - Markeringsfarve6 2 3 5 2 2 2 3" xfId="25271" xr:uid="{00000000-0005-0000-0000-0000A8890000}"/>
    <cellStyle name="40 % - Markeringsfarve6 2 3 5 2 2 2 4" xfId="40258" xr:uid="{00000000-0005-0000-0000-0000A9890000}"/>
    <cellStyle name="40 % - Markeringsfarve6 2 3 5 2 2 3" xfId="13049" xr:uid="{00000000-0005-0000-0000-0000AA890000}"/>
    <cellStyle name="40 % - Markeringsfarve6 2 3 5 2 2 3 2" xfId="29368" xr:uid="{00000000-0005-0000-0000-0000AB890000}"/>
    <cellStyle name="40 % - Markeringsfarve6 2 3 5 2 2 3 3" xfId="44333" xr:uid="{00000000-0005-0000-0000-0000AC890000}"/>
    <cellStyle name="40 % - Markeringsfarve6 2 3 5 2 2 4" xfId="22346" xr:uid="{00000000-0005-0000-0000-0000AD890000}"/>
    <cellStyle name="40 % - Markeringsfarve6 2 3 5 2 2 5" xfId="37334" xr:uid="{00000000-0005-0000-0000-0000AE890000}"/>
    <cellStyle name="40 % - Markeringsfarve6 2 3 5 2 3" xfId="6589" xr:uid="{00000000-0005-0000-0000-0000AF890000}"/>
    <cellStyle name="40 % - Markeringsfarve6 2 3 5 2 3 2" xfId="14503" xr:uid="{00000000-0005-0000-0000-0000B0890000}"/>
    <cellStyle name="40 % - Markeringsfarve6 2 3 5 2 3 2 2" xfId="30817" xr:uid="{00000000-0005-0000-0000-0000B1890000}"/>
    <cellStyle name="40 % - Markeringsfarve6 2 3 5 2 3 2 3" xfId="45781" xr:uid="{00000000-0005-0000-0000-0000B2890000}"/>
    <cellStyle name="40 % - Markeringsfarve6 2 3 5 2 3 3" xfId="23795" xr:uid="{00000000-0005-0000-0000-0000B3890000}"/>
    <cellStyle name="40 % - Markeringsfarve6 2 3 5 2 3 4" xfId="38782" xr:uid="{00000000-0005-0000-0000-0000B4890000}"/>
    <cellStyle name="40 % - Markeringsfarve6 2 3 5 2 4" xfId="13048" xr:uid="{00000000-0005-0000-0000-0000B5890000}"/>
    <cellStyle name="40 % - Markeringsfarve6 2 3 5 2 4 2" xfId="29367" xr:uid="{00000000-0005-0000-0000-0000B6890000}"/>
    <cellStyle name="40 % - Markeringsfarve6 2 3 5 2 4 3" xfId="44332" xr:uid="{00000000-0005-0000-0000-0000B7890000}"/>
    <cellStyle name="40 % - Markeringsfarve6 2 3 5 2 5" xfId="22345" xr:uid="{00000000-0005-0000-0000-0000B8890000}"/>
    <cellStyle name="40 % - Markeringsfarve6 2 3 5 2 6" xfId="37333" xr:uid="{00000000-0005-0000-0000-0000B9890000}"/>
    <cellStyle name="40 % - Markeringsfarve6 2 3 5 3" xfId="4493" xr:uid="{00000000-0005-0000-0000-0000BA890000}"/>
    <cellStyle name="40 % - Markeringsfarve6 2 3 5 3 2" xfId="7354" xr:uid="{00000000-0005-0000-0000-0000BB890000}"/>
    <cellStyle name="40 % - Markeringsfarve6 2 3 5 3 2 2" xfId="15264" xr:uid="{00000000-0005-0000-0000-0000BC890000}"/>
    <cellStyle name="40 % - Markeringsfarve6 2 3 5 3 2 2 2" xfId="31578" xr:uid="{00000000-0005-0000-0000-0000BD890000}"/>
    <cellStyle name="40 % - Markeringsfarve6 2 3 5 3 2 2 3" xfId="46542" xr:uid="{00000000-0005-0000-0000-0000BE890000}"/>
    <cellStyle name="40 % - Markeringsfarve6 2 3 5 3 2 3" xfId="24556" xr:uid="{00000000-0005-0000-0000-0000BF890000}"/>
    <cellStyle name="40 % - Markeringsfarve6 2 3 5 3 2 4" xfId="39543" xr:uid="{00000000-0005-0000-0000-0000C0890000}"/>
    <cellStyle name="40 % - Markeringsfarve6 2 3 5 3 3" xfId="13050" xr:uid="{00000000-0005-0000-0000-0000C1890000}"/>
    <cellStyle name="40 % - Markeringsfarve6 2 3 5 3 3 2" xfId="29369" xr:uid="{00000000-0005-0000-0000-0000C2890000}"/>
    <cellStyle name="40 % - Markeringsfarve6 2 3 5 3 3 3" xfId="44334" xr:uid="{00000000-0005-0000-0000-0000C3890000}"/>
    <cellStyle name="40 % - Markeringsfarve6 2 3 5 3 4" xfId="22347" xr:uid="{00000000-0005-0000-0000-0000C4890000}"/>
    <cellStyle name="40 % - Markeringsfarve6 2 3 5 3 5" xfId="37335" xr:uid="{00000000-0005-0000-0000-0000C5890000}"/>
    <cellStyle name="40 % - Markeringsfarve6 2 3 5 4" xfId="4494" xr:uid="{00000000-0005-0000-0000-0000C6890000}"/>
    <cellStyle name="40 % - Markeringsfarve6 2 3 5 4 2" xfId="8586" xr:uid="{00000000-0005-0000-0000-0000C7890000}"/>
    <cellStyle name="40 % - Markeringsfarve6 2 3 5 4 2 2" xfId="16473" xr:uid="{00000000-0005-0000-0000-0000C8890000}"/>
    <cellStyle name="40 % - Markeringsfarve6 2 3 5 4 2 2 2" xfId="32787" xr:uid="{00000000-0005-0000-0000-0000C9890000}"/>
    <cellStyle name="40 % - Markeringsfarve6 2 3 5 4 2 2 3" xfId="47751" xr:uid="{00000000-0005-0000-0000-0000CA890000}"/>
    <cellStyle name="40 % - Markeringsfarve6 2 3 5 4 2 3" xfId="25765" xr:uid="{00000000-0005-0000-0000-0000CB890000}"/>
    <cellStyle name="40 % - Markeringsfarve6 2 3 5 4 2 4" xfId="40752" xr:uid="{00000000-0005-0000-0000-0000CC890000}"/>
    <cellStyle name="40 % - Markeringsfarve6 2 3 5 4 3" xfId="13051" xr:uid="{00000000-0005-0000-0000-0000CD890000}"/>
    <cellStyle name="40 % - Markeringsfarve6 2 3 5 4 3 2" xfId="29370" xr:uid="{00000000-0005-0000-0000-0000CE890000}"/>
    <cellStyle name="40 % - Markeringsfarve6 2 3 5 4 3 3" xfId="44335" xr:uid="{00000000-0005-0000-0000-0000CF890000}"/>
    <cellStyle name="40 % - Markeringsfarve6 2 3 5 4 4" xfId="22348" xr:uid="{00000000-0005-0000-0000-0000D0890000}"/>
    <cellStyle name="40 % - Markeringsfarve6 2 3 5 4 5" xfId="37336" xr:uid="{00000000-0005-0000-0000-0000D1890000}"/>
    <cellStyle name="40 % - Markeringsfarve6 2 3 5 5" xfId="6043" xr:uid="{00000000-0005-0000-0000-0000D2890000}"/>
    <cellStyle name="40 % - Markeringsfarve6 2 3 5 5 2" xfId="13961" xr:uid="{00000000-0005-0000-0000-0000D3890000}"/>
    <cellStyle name="40 % - Markeringsfarve6 2 3 5 5 2 2" xfId="30275" xr:uid="{00000000-0005-0000-0000-0000D4890000}"/>
    <cellStyle name="40 % - Markeringsfarve6 2 3 5 5 2 3" xfId="45239" xr:uid="{00000000-0005-0000-0000-0000D5890000}"/>
    <cellStyle name="40 % - Markeringsfarve6 2 3 5 5 3" xfId="23253" xr:uid="{00000000-0005-0000-0000-0000D6890000}"/>
    <cellStyle name="40 % - Markeringsfarve6 2 3 5 5 4" xfId="38240" xr:uid="{00000000-0005-0000-0000-0000D7890000}"/>
    <cellStyle name="40 % - Markeringsfarve6 2 3 5 6" xfId="13047" xr:uid="{00000000-0005-0000-0000-0000D8890000}"/>
    <cellStyle name="40 % - Markeringsfarve6 2 3 5 6 2" xfId="29366" xr:uid="{00000000-0005-0000-0000-0000D9890000}"/>
    <cellStyle name="40 % - Markeringsfarve6 2 3 5 6 3" xfId="44331" xr:uid="{00000000-0005-0000-0000-0000DA890000}"/>
    <cellStyle name="40 % - Markeringsfarve6 2 3 5 7" xfId="22344" xr:uid="{00000000-0005-0000-0000-0000DB890000}"/>
    <cellStyle name="40 % - Markeringsfarve6 2 3 5 8" xfId="37332" xr:uid="{00000000-0005-0000-0000-0000DC890000}"/>
    <cellStyle name="40 % - Markeringsfarve6 2 3 6" xfId="4495" xr:uid="{00000000-0005-0000-0000-0000DD890000}"/>
    <cellStyle name="40 % - Markeringsfarve6 2 3 6 2" xfId="4496" xr:uid="{00000000-0005-0000-0000-0000DE890000}"/>
    <cellStyle name="40 % - Markeringsfarve6 2 3 6 2 2" xfId="4497" xr:uid="{00000000-0005-0000-0000-0000DF890000}"/>
    <cellStyle name="40 % - Markeringsfarve6 2 3 6 2 2 2" xfId="8182" xr:uid="{00000000-0005-0000-0000-0000E0890000}"/>
    <cellStyle name="40 % - Markeringsfarve6 2 3 6 2 2 2 2" xfId="16083" xr:uid="{00000000-0005-0000-0000-0000E1890000}"/>
    <cellStyle name="40 % - Markeringsfarve6 2 3 6 2 2 2 2 2" xfId="32397" xr:uid="{00000000-0005-0000-0000-0000E2890000}"/>
    <cellStyle name="40 % - Markeringsfarve6 2 3 6 2 2 2 2 3" xfId="47361" xr:uid="{00000000-0005-0000-0000-0000E3890000}"/>
    <cellStyle name="40 % - Markeringsfarve6 2 3 6 2 2 2 3" xfId="25375" xr:uid="{00000000-0005-0000-0000-0000E4890000}"/>
    <cellStyle name="40 % - Markeringsfarve6 2 3 6 2 2 2 4" xfId="40362" xr:uid="{00000000-0005-0000-0000-0000E5890000}"/>
    <cellStyle name="40 % - Markeringsfarve6 2 3 6 2 2 3" xfId="13054" xr:uid="{00000000-0005-0000-0000-0000E6890000}"/>
    <cellStyle name="40 % - Markeringsfarve6 2 3 6 2 2 3 2" xfId="29373" xr:uid="{00000000-0005-0000-0000-0000E7890000}"/>
    <cellStyle name="40 % - Markeringsfarve6 2 3 6 2 2 3 3" xfId="44338" xr:uid="{00000000-0005-0000-0000-0000E8890000}"/>
    <cellStyle name="40 % - Markeringsfarve6 2 3 6 2 2 4" xfId="22351" xr:uid="{00000000-0005-0000-0000-0000E9890000}"/>
    <cellStyle name="40 % - Markeringsfarve6 2 3 6 2 2 5" xfId="37339" xr:uid="{00000000-0005-0000-0000-0000EA890000}"/>
    <cellStyle name="40 % - Markeringsfarve6 2 3 6 2 3" xfId="6675" xr:uid="{00000000-0005-0000-0000-0000EB890000}"/>
    <cellStyle name="40 % - Markeringsfarve6 2 3 6 2 3 2" xfId="14589" xr:uid="{00000000-0005-0000-0000-0000EC890000}"/>
    <cellStyle name="40 % - Markeringsfarve6 2 3 6 2 3 2 2" xfId="30903" xr:uid="{00000000-0005-0000-0000-0000ED890000}"/>
    <cellStyle name="40 % - Markeringsfarve6 2 3 6 2 3 2 3" xfId="45867" xr:uid="{00000000-0005-0000-0000-0000EE890000}"/>
    <cellStyle name="40 % - Markeringsfarve6 2 3 6 2 3 3" xfId="23881" xr:uid="{00000000-0005-0000-0000-0000EF890000}"/>
    <cellStyle name="40 % - Markeringsfarve6 2 3 6 2 3 4" xfId="38868" xr:uid="{00000000-0005-0000-0000-0000F0890000}"/>
    <cellStyle name="40 % - Markeringsfarve6 2 3 6 2 4" xfId="13053" xr:uid="{00000000-0005-0000-0000-0000F1890000}"/>
    <cellStyle name="40 % - Markeringsfarve6 2 3 6 2 4 2" xfId="29372" xr:uid="{00000000-0005-0000-0000-0000F2890000}"/>
    <cellStyle name="40 % - Markeringsfarve6 2 3 6 2 4 3" xfId="44337" xr:uid="{00000000-0005-0000-0000-0000F3890000}"/>
    <cellStyle name="40 % - Markeringsfarve6 2 3 6 2 5" xfId="22350" xr:uid="{00000000-0005-0000-0000-0000F4890000}"/>
    <cellStyle name="40 % - Markeringsfarve6 2 3 6 2 6" xfId="37338" xr:uid="{00000000-0005-0000-0000-0000F5890000}"/>
    <cellStyle name="40 % - Markeringsfarve6 2 3 6 3" xfId="4498" xr:uid="{00000000-0005-0000-0000-0000F6890000}"/>
    <cellStyle name="40 % - Markeringsfarve6 2 3 6 3 2" xfId="7459" xr:uid="{00000000-0005-0000-0000-0000F7890000}"/>
    <cellStyle name="40 % - Markeringsfarve6 2 3 6 3 2 2" xfId="15369" xr:uid="{00000000-0005-0000-0000-0000F8890000}"/>
    <cellStyle name="40 % - Markeringsfarve6 2 3 6 3 2 2 2" xfId="31683" xr:uid="{00000000-0005-0000-0000-0000F9890000}"/>
    <cellStyle name="40 % - Markeringsfarve6 2 3 6 3 2 2 3" xfId="46647" xr:uid="{00000000-0005-0000-0000-0000FA890000}"/>
    <cellStyle name="40 % - Markeringsfarve6 2 3 6 3 2 3" xfId="24661" xr:uid="{00000000-0005-0000-0000-0000FB890000}"/>
    <cellStyle name="40 % - Markeringsfarve6 2 3 6 3 2 4" xfId="39648" xr:uid="{00000000-0005-0000-0000-0000FC890000}"/>
    <cellStyle name="40 % - Markeringsfarve6 2 3 6 3 3" xfId="13055" xr:uid="{00000000-0005-0000-0000-0000FD890000}"/>
    <cellStyle name="40 % - Markeringsfarve6 2 3 6 3 3 2" xfId="29374" xr:uid="{00000000-0005-0000-0000-0000FE890000}"/>
    <cellStyle name="40 % - Markeringsfarve6 2 3 6 3 3 3" xfId="44339" xr:uid="{00000000-0005-0000-0000-0000FF890000}"/>
    <cellStyle name="40 % - Markeringsfarve6 2 3 6 3 4" xfId="22352" xr:uid="{00000000-0005-0000-0000-0000008A0000}"/>
    <cellStyle name="40 % - Markeringsfarve6 2 3 6 3 5" xfId="37340" xr:uid="{00000000-0005-0000-0000-0000018A0000}"/>
    <cellStyle name="40 % - Markeringsfarve6 2 3 6 4" xfId="4499" xr:uid="{00000000-0005-0000-0000-0000028A0000}"/>
    <cellStyle name="40 % - Markeringsfarve6 2 3 6 4 2" xfId="8236" xr:uid="{00000000-0005-0000-0000-0000038A0000}"/>
    <cellStyle name="40 % - Markeringsfarve6 2 3 6 4 2 2" xfId="16133" xr:uid="{00000000-0005-0000-0000-0000048A0000}"/>
    <cellStyle name="40 % - Markeringsfarve6 2 3 6 4 2 2 2" xfId="32447" xr:uid="{00000000-0005-0000-0000-0000058A0000}"/>
    <cellStyle name="40 % - Markeringsfarve6 2 3 6 4 2 2 3" xfId="47411" xr:uid="{00000000-0005-0000-0000-0000068A0000}"/>
    <cellStyle name="40 % - Markeringsfarve6 2 3 6 4 2 3" xfId="25425" xr:uid="{00000000-0005-0000-0000-0000078A0000}"/>
    <cellStyle name="40 % - Markeringsfarve6 2 3 6 4 2 4" xfId="40412" xr:uid="{00000000-0005-0000-0000-0000088A0000}"/>
    <cellStyle name="40 % - Markeringsfarve6 2 3 6 4 3" xfId="13056" xr:uid="{00000000-0005-0000-0000-0000098A0000}"/>
    <cellStyle name="40 % - Markeringsfarve6 2 3 6 4 3 2" xfId="29375" xr:uid="{00000000-0005-0000-0000-00000A8A0000}"/>
    <cellStyle name="40 % - Markeringsfarve6 2 3 6 4 3 3" xfId="44340" xr:uid="{00000000-0005-0000-0000-00000B8A0000}"/>
    <cellStyle name="40 % - Markeringsfarve6 2 3 6 4 4" xfId="22353" xr:uid="{00000000-0005-0000-0000-00000C8A0000}"/>
    <cellStyle name="40 % - Markeringsfarve6 2 3 6 4 5" xfId="37341" xr:uid="{00000000-0005-0000-0000-00000D8A0000}"/>
    <cellStyle name="40 % - Markeringsfarve6 2 3 6 5" xfId="6044" xr:uid="{00000000-0005-0000-0000-00000E8A0000}"/>
    <cellStyle name="40 % - Markeringsfarve6 2 3 6 5 2" xfId="13962" xr:uid="{00000000-0005-0000-0000-00000F8A0000}"/>
    <cellStyle name="40 % - Markeringsfarve6 2 3 6 5 2 2" xfId="30276" xr:uid="{00000000-0005-0000-0000-0000108A0000}"/>
    <cellStyle name="40 % - Markeringsfarve6 2 3 6 5 2 3" xfId="45240" xr:uid="{00000000-0005-0000-0000-0000118A0000}"/>
    <cellStyle name="40 % - Markeringsfarve6 2 3 6 5 3" xfId="23254" xr:uid="{00000000-0005-0000-0000-0000128A0000}"/>
    <cellStyle name="40 % - Markeringsfarve6 2 3 6 5 4" xfId="38241" xr:uid="{00000000-0005-0000-0000-0000138A0000}"/>
    <cellStyle name="40 % - Markeringsfarve6 2 3 6 6" xfId="13052" xr:uid="{00000000-0005-0000-0000-0000148A0000}"/>
    <cellStyle name="40 % - Markeringsfarve6 2 3 6 6 2" xfId="29371" xr:uid="{00000000-0005-0000-0000-0000158A0000}"/>
    <cellStyle name="40 % - Markeringsfarve6 2 3 6 6 3" xfId="44336" xr:uid="{00000000-0005-0000-0000-0000168A0000}"/>
    <cellStyle name="40 % - Markeringsfarve6 2 3 6 7" xfId="22349" xr:uid="{00000000-0005-0000-0000-0000178A0000}"/>
    <cellStyle name="40 % - Markeringsfarve6 2 3 6 8" xfId="37337" xr:uid="{00000000-0005-0000-0000-0000188A0000}"/>
    <cellStyle name="40 % - Markeringsfarve6 2 3 7" xfId="4500" xr:uid="{00000000-0005-0000-0000-0000198A0000}"/>
    <cellStyle name="40 % - Markeringsfarve6 2 3 7 2" xfId="4501" xr:uid="{00000000-0005-0000-0000-00001A8A0000}"/>
    <cellStyle name="40 % - Markeringsfarve6 2 3 7 2 2" xfId="7604" xr:uid="{00000000-0005-0000-0000-00001B8A0000}"/>
    <cellStyle name="40 % - Markeringsfarve6 2 3 7 2 2 2" xfId="15505" xr:uid="{00000000-0005-0000-0000-00001C8A0000}"/>
    <cellStyle name="40 % - Markeringsfarve6 2 3 7 2 2 2 2" xfId="31819" xr:uid="{00000000-0005-0000-0000-00001D8A0000}"/>
    <cellStyle name="40 % - Markeringsfarve6 2 3 7 2 2 2 3" xfId="46783" xr:uid="{00000000-0005-0000-0000-00001E8A0000}"/>
    <cellStyle name="40 % - Markeringsfarve6 2 3 7 2 2 3" xfId="24797" xr:uid="{00000000-0005-0000-0000-00001F8A0000}"/>
    <cellStyle name="40 % - Markeringsfarve6 2 3 7 2 2 4" xfId="39784" xr:uid="{00000000-0005-0000-0000-0000208A0000}"/>
    <cellStyle name="40 % - Markeringsfarve6 2 3 7 2 3" xfId="13058" xr:uid="{00000000-0005-0000-0000-0000218A0000}"/>
    <cellStyle name="40 % - Markeringsfarve6 2 3 7 2 3 2" xfId="29377" xr:uid="{00000000-0005-0000-0000-0000228A0000}"/>
    <cellStyle name="40 % - Markeringsfarve6 2 3 7 2 3 3" xfId="44342" xr:uid="{00000000-0005-0000-0000-0000238A0000}"/>
    <cellStyle name="40 % - Markeringsfarve6 2 3 7 2 4" xfId="22355" xr:uid="{00000000-0005-0000-0000-0000248A0000}"/>
    <cellStyle name="40 % - Markeringsfarve6 2 3 7 2 5" xfId="37343" xr:uid="{00000000-0005-0000-0000-0000258A0000}"/>
    <cellStyle name="40 % - Markeringsfarve6 2 3 7 3" xfId="6189" xr:uid="{00000000-0005-0000-0000-0000268A0000}"/>
    <cellStyle name="40 % - Markeringsfarve6 2 3 7 3 2" xfId="14106" xr:uid="{00000000-0005-0000-0000-0000278A0000}"/>
    <cellStyle name="40 % - Markeringsfarve6 2 3 7 3 2 2" xfId="30420" xr:uid="{00000000-0005-0000-0000-0000288A0000}"/>
    <cellStyle name="40 % - Markeringsfarve6 2 3 7 3 2 3" xfId="45384" xr:uid="{00000000-0005-0000-0000-0000298A0000}"/>
    <cellStyle name="40 % - Markeringsfarve6 2 3 7 3 3" xfId="23398" xr:uid="{00000000-0005-0000-0000-00002A8A0000}"/>
    <cellStyle name="40 % - Markeringsfarve6 2 3 7 3 4" xfId="38385" xr:uid="{00000000-0005-0000-0000-00002B8A0000}"/>
    <cellStyle name="40 % - Markeringsfarve6 2 3 7 4" xfId="13057" xr:uid="{00000000-0005-0000-0000-00002C8A0000}"/>
    <cellStyle name="40 % - Markeringsfarve6 2 3 7 4 2" xfId="29376" xr:uid="{00000000-0005-0000-0000-00002D8A0000}"/>
    <cellStyle name="40 % - Markeringsfarve6 2 3 7 4 3" xfId="44341" xr:uid="{00000000-0005-0000-0000-00002E8A0000}"/>
    <cellStyle name="40 % - Markeringsfarve6 2 3 7 5" xfId="22354" xr:uid="{00000000-0005-0000-0000-00002F8A0000}"/>
    <cellStyle name="40 % - Markeringsfarve6 2 3 7 6" xfId="37342" xr:uid="{00000000-0005-0000-0000-0000308A0000}"/>
    <cellStyle name="40 % - Markeringsfarve6 2 3 8" xfId="4502" xr:uid="{00000000-0005-0000-0000-0000318A0000}"/>
    <cellStyle name="40 % - Markeringsfarve6 2 3 8 2" xfId="6832" xr:uid="{00000000-0005-0000-0000-0000328A0000}"/>
    <cellStyle name="40 % - Markeringsfarve6 2 3 8 2 2" xfId="14743" xr:uid="{00000000-0005-0000-0000-0000338A0000}"/>
    <cellStyle name="40 % - Markeringsfarve6 2 3 8 2 2 2" xfId="31057" xr:uid="{00000000-0005-0000-0000-0000348A0000}"/>
    <cellStyle name="40 % - Markeringsfarve6 2 3 8 2 2 3" xfId="46021" xr:uid="{00000000-0005-0000-0000-0000358A0000}"/>
    <cellStyle name="40 % - Markeringsfarve6 2 3 8 2 3" xfId="24035" xr:uid="{00000000-0005-0000-0000-0000368A0000}"/>
    <cellStyle name="40 % - Markeringsfarve6 2 3 8 2 4" xfId="39022" xr:uid="{00000000-0005-0000-0000-0000378A0000}"/>
    <cellStyle name="40 % - Markeringsfarve6 2 3 8 3" xfId="13059" xr:uid="{00000000-0005-0000-0000-0000388A0000}"/>
    <cellStyle name="40 % - Markeringsfarve6 2 3 8 3 2" xfId="29378" xr:uid="{00000000-0005-0000-0000-0000398A0000}"/>
    <cellStyle name="40 % - Markeringsfarve6 2 3 8 3 3" xfId="44343" xr:uid="{00000000-0005-0000-0000-00003A8A0000}"/>
    <cellStyle name="40 % - Markeringsfarve6 2 3 8 4" xfId="22356" xr:uid="{00000000-0005-0000-0000-00003B8A0000}"/>
    <cellStyle name="40 % - Markeringsfarve6 2 3 8 5" xfId="37344" xr:uid="{00000000-0005-0000-0000-00003C8A0000}"/>
    <cellStyle name="40 % - Markeringsfarve6 2 3 9" xfId="4503" xr:uid="{00000000-0005-0000-0000-00003D8A0000}"/>
    <cellStyle name="40 % - Markeringsfarve6 2 3 9 2" xfId="8677" xr:uid="{00000000-0005-0000-0000-00003E8A0000}"/>
    <cellStyle name="40 % - Markeringsfarve6 2 3 9 2 2" xfId="16559" xr:uid="{00000000-0005-0000-0000-00003F8A0000}"/>
    <cellStyle name="40 % - Markeringsfarve6 2 3 9 2 2 2" xfId="32873" xr:uid="{00000000-0005-0000-0000-0000408A0000}"/>
    <cellStyle name="40 % - Markeringsfarve6 2 3 9 2 2 3" xfId="47837" xr:uid="{00000000-0005-0000-0000-0000418A0000}"/>
    <cellStyle name="40 % - Markeringsfarve6 2 3 9 2 3" xfId="25851" xr:uid="{00000000-0005-0000-0000-0000428A0000}"/>
    <cellStyle name="40 % - Markeringsfarve6 2 3 9 2 4" xfId="40838" xr:uid="{00000000-0005-0000-0000-0000438A0000}"/>
    <cellStyle name="40 % - Markeringsfarve6 2 3 9 3" xfId="13060" xr:uid="{00000000-0005-0000-0000-0000448A0000}"/>
    <cellStyle name="40 % - Markeringsfarve6 2 3 9 3 2" xfId="29379" xr:uid="{00000000-0005-0000-0000-0000458A0000}"/>
    <cellStyle name="40 % - Markeringsfarve6 2 3 9 3 3" xfId="44344" xr:uid="{00000000-0005-0000-0000-0000468A0000}"/>
    <cellStyle name="40 % - Markeringsfarve6 2 3 9 4" xfId="22357" xr:uid="{00000000-0005-0000-0000-0000478A0000}"/>
    <cellStyle name="40 % - Markeringsfarve6 2 3 9 5" xfId="37345" xr:uid="{00000000-0005-0000-0000-0000488A0000}"/>
    <cellStyle name="40 % - Markeringsfarve6 2 4" xfId="4504" xr:uid="{00000000-0005-0000-0000-0000498A0000}"/>
    <cellStyle name="40 % - Markeringsfarve6 2 4 2" xfId="4505" xr:uid="{00000000-0005-0000-0000-00004A8A0000}"/>
    <cellStyle name="40 % - Markeringsfarve6 2 4 2 2" xfId="4506" xr:uid="{00000000-0005-0000-0000-00004B8A0000}"/>
    <cellStyle name="40 % - Markeringsfarve6 2 4 2 2 2" xfId="7645" xr:uid="{00000000-0005-0000-0000-00004C8A0000}"/>
    <cellStyle name="40 % - Markeringsfarve6 2 4 2 2 2 2" xfId="15546" xr:uid="{00000000-0005-0000-0000-00004D8A0000}"/>
    <cellStyle name="40 % - Markeringsfarve6 2 4 2 2 2 2 2" xfId="31860" xr:uid="{00000000-0005-0000-0000-00004E8A0000}"/>
    <cellStyle name="40 % - Markeringsfarve6 2 4 2 2 2 2 3" xfId="46824" xr:uid="{00000000-0005-0000-0000-00004F8A0000}"/>
    <cellStyle name="40 % - Markeringsfarve6 2 4 2 2 2 3" xfId="24838" xr:uid="{00000000-0005-0000-0000-0000508A0000}"/>
    <cellStyle name="40 % - Markeringsfarve6 2 4 2 2 2 4" xfId="39825" xr:uid="{00000000-0005-0000-0000-0000518A0000}"/>
    <cellStyle name="40 % - Markeringsfarve6 2 4 2 2 3" xfId="13063" xr:uid="{00000000-0005-0000-0000-0000528A0000}"/>
    <cellStyle name="40 % - Markeringsfarve6 2 4 2 2 3 2" xfId="29382" xr:uid="{00000000-0005-0000-0000-0000538A0000}"/>
    <cellStyle name="40 % - Markeringsfarve6 2 4 2 2 3 3" xfId="44347" xr:uid="{00000000-0005-0000-0000-0000548A0000}"/>
    <cellStyle name="40 % - Markeringsfarve6 2 4 2 2 4" xfId="22360" xr:uid="{00000000-0005-0000-0000-0000558A0000}"/>
    <cellStyle name="40 % - Markeringsfarve6 2 4 2 2 5" xfId="37348" xr:uid="{00000000-0005-0000-0000-0000568A0000}"/>
    <cellStyle name="40 % - Markeringsfarve6 2 4 2 3" xfId="6222" xr:uid="{00000000-0005-0000-0000-0000578A0000}"/>
    <cellStyle name="40 % - Markeringsfarve6 2 4 2 3 2" xfId="14139" xr:uid="{00000000-0005-0000-0000-0000588A0000}"/>
    <cellStyle name="40 % - Markeringsfarve6 2 4 2 3 2 2" xfId="30453" xr:uid="{00000000-0005-0000-0000-0000598A0000}"/>
    <cellStyle name="40 % - Markeringsfarve6 2 4 2 3 2 3" xfId="45417" xr:uid="{00000000-0005-0000-0000-00005A8A0000}"/>
    <cellStyle name="40 % - Markeringsfarve6 2 4 2 3 3" xfId="23431" xr:uid="{00000000-0005-0000-0000-00005B8A0000}"/>
    <cellStyle name="40 % - Markeringsfarve6 2 4 2 3 4" xfId="38418" xr:uid="{00000000-0005-0000-0000-00005C8A0000}"/>
    <cellStyle name="40 % - Markeringsfarve6 2 4 2 4" xfId="13062" xr:uid="{00000000-0005-0000-0000-00005D8A0000}"/>
    <cellStyle name="40 % - Markeringsfarve6 2 4 2 4 2" xfId="29381" xr:uid="{00000000-0005-0000-0000-00005E8A0000}"/>
    <cellStyle name="40 % - Markeringsfarve6 2 4 2 4 3" xfId="44346" xr:uid="{00000000-0005-0000-0000-00005F8A0000}"/>
    <cellStyle name="40 % - Markeringsfarve6 2 4 2 5" xfId="22359" xr:uid="{00000000-0005-0000-0000-0000608A0000}"/>
    <cellStyle name="40 % - Markeringsfarve6 2 4 2 6" xfId="37347" xr:uid="{00000000-0005-0000-0000-0000618A0000}"/>
    <cellStyle name="40 % - Markeringsfarve6 2 4 2 7" xfId="57203" xr:uid="{00000000-0005-0000-0000-0000628A0000}"/>
    <cellStyle name="40 % - Markeringsfarve6 2 4 3" xfId="4507" xr:uid="{00000000-0005-0000-0000-0000638A0000}"/>
    <cellStyle name="40 % - Markeringsfarve6 2 4 3 2" xfId="6875" xr:uid="{00000000-0005-0000-0000-0000648A0000}"/>
    <cellStyle name="40 % - Markeringsfarve6 2 4 3 2 2" xfId="14786" xr:uid="{00000000-0005-0000-0000-0000658A0000}"/>
    <cellStyle name="40 % - Markeringsfarve6 2 4 3 2 2 2" xfId="31100" xr:uid="{00000000-0005-0000-0000-0000668A0000}"/>
    <cellStyle name="40 % - Markeringsfarve6 2 4 3 2 2 3" xfId="46064" xr:uid="{00000000-0005-0000-0000-0000678A0000}"/>
    <cellStyle name="40 % - Markeringsfarve6 2 4 3 2 3" xfId="24078" xr:uid="{00000000-0005-0000-0000-0000688A0000}"/>
    <cellStyle name="40 % - Markeringsfarve6 2 4 3 2 4" xfId="39065" xr:uid="{00000000-0005-0000-0000-0000698A0000}"/>
    <cellStyle name="40 % - Markeringsfarve6 2 4 3 3" xfId="13064" xr:uid="{00000000-0005-0000-0000-00006A8A0000}"/>
    <cellStyle name="40 % - Markeringsfarve6 2 4 3 3 2" xfId="29383" xr:uid="{00000000-0005-0000-0000-00006B8A0000}"/>
    <cellStyle name="40 % - Markeringsfarve6 2 4 3 3 3" xfId="44348" xr:uid="{00000000-0005-0000-0000-00006C8A0000}"/>
    <cellStyle name="40 % - Markeringsfarve6 2 4 3 4" xfId="22361" xr:uid="{00000000-0005-0000-0000-00006D8A0000}"/>
    <cellStyle name="40 % - Markeringsfarve6 2 4 3 5" xfId="37349" xr:uid="{00000000-0005-0000-0000-00006E8A0000}"/>
    <cellStyle name="40 % - Markeringsfarve6 2 4 4" xfId="4508" xr:uid="{00000000-0005-0000-0000-00006F8A0000}"/>
    <cellStyle name="40 % - Markeringsfarve6 2 4 4 2" xfId="6716" xr:uid="{00000000-0005-0000-0000-0000708A0000}"/>
    <cellStyle name="40 % - Markeringsfarve6 2 4 4 2 2" xfId="14629" xr:uid="{00000000-0005-0000-0000-0000718A0000}"/>
    <cellStyle name="40 % - Markeringsfarve6 2 4 4 2 2 2" xfId="30943" xr:uid="{00000000-0005-0000-0000-0000728A0000}"/>
    <cellStyle name="40 % - Markeringsfarve6 2 4 4 2 2 3" xfId="45907" xr:uid="{00000000-0005-0000-0000-0000738A0000}"/>
    <cellStyle name="40 % - Markeringsfarve6 2 4 4 2 3" xfId="23921" xr:uid="{00000000-0005-0000-0000-0000748A0000}"/>
    <cellStyle name="40 % - Markeringsfarve6 2 4 4 2 4" xfId="38908" xr:uid="{00000000-0005-0000-0000-0000758A0000}"/>
    <cellStyle name="40 % - Markeringsfarve6 2 4 4 3" xfId="13065" xr:uid="{00000000-0005-0000-0000-0000768A0000}"/>
    <cellStyle name="40 % - Markeringsfarve6 2 4 4 3 2" xfId="29384" xr:uid="{00000000-0005-0000-0000-0000778A0000}"/>
    <cellStyle name="40 % - Markeringsfarve6 2 4 4 3 3" xfId="44349" xr:uid="{00000000-0005-0000-0000-0000788A0000}"/>
    <cellStyle name="40 % - Markeringsfarve6 2 4 4 4" xfId="22362" xr:uid="{00000000-0005-0000-0000-0000798A0000}"/>
    <cellStyle name="40 % - Markeringsfarve6 2 4 4 5" xfId="37350" xr:uid="{00000000-0005-0000-0000-00007A8A0000}"/>
    <cellStyle name="40 % - Markeringsfarve6 2 4 5" xfId="6045" xr:uid="{00000000-0005-0000-0000-00007B8A0000}"/>
    <cellStyle name="40 % - Markeringsfarve6 2 4 5 2" xfId="13963" xr:uid="{00000000-0005-0000-0000-00007C8A0000}"/>
    <cellStyle name="40 % - Markeringsfarve6 2 4 5 2 2" xfId="30277" xr:uid="{00000000-0005-0000-0000-00007D8A0000}"/>
    <cellStyle name="40 % - Markeringsfarve6 2 4 5 2 3" xfId="45241" xr:uid="{00000000-0005-0000-0000-00007E8A0000}"/>
    <cellStyle name="40 % - Markeringsfarve6 2 4 5 3" xfId="23255" xr:uid="{00000000-0005-0000-0000-00007F8A0000}"/>
    <cellStyle name="40 % - Markeringsfarve6 2 4 5 4" xfId="38242" xr:uid="{00000000-0005-0000-0000-0000808A0000}"/>
    <cellStyle name="40 % - Markeringsfarve6 2 4 6" xfId="13061" xr:uid="{00000000-0005-0000-0000-0000818A0000}"/>
    <cellStyle name="40 % - Markeringsfarve6 2 4 6 2" xfId="29380" xr:uid="{00000000-0005-0000-0000-0000828A0000}"/>
    <cellStyle name="40 % - Markeringsfarve6 2 4 6 3" xfId="44345" xr:uid="{00000000-0005-0000-0000-0000838A0000}"/>
    <cellStyle name="40 % - Markeringsfarve6 2 4 7" xfId="22358" xr:uid="{00000000-0005-0000-0000-0000848A0000}"/>
    <cellStyle name="40 % - Markeringsfarve6 2 4 8" xfId="37346" xr:uid="{00000000-0005-0000-0000-0000858A0000}"/>
    <cellStyle name="40 % - Markeringsfarve6 2 4 9" xfId="54036" xr:uid="{00000000-0005-0000-0000-0000868A0000}"/>
    <cellStyle name="40 % - Markeringsfarve6 2 5" xfId="4509" xr:uid="{00000000-0005-0000-0000-0000878A0000}"/>
    <cellStyle name="40 % - Markeringsfarve6 2 5 2" xfId="4510" xr:uid="{00000000-0005-0000-0000-0000888A0000}"/>
    <cellStyle name="40 % - Markeringsfarve6 2 5 2 2" xfId="4511" xr:uid="{00000000-0005-0000-0000-0000898A0000}"/>
    <cellStyle name="40 % - Markeringsfarve6 2 5 2 2 2" xfId="7826" xr:uid="{00000000-0005-0000-0000-00008A8A0000}"/>
    <cellStyle name="40 % - Markeringsfarve6 2 5 2 2 2 2" xfId="15727" xr:uid="{00000000-0005-0000-0000-00008B8A0000}"/>
    <cellStyle name="40 % - Markeringsfarve6 2 5 2 2 2 2 2" xfId="32041" xr:uid="{00000000-0005-0000-0000-00008C8A0000}"/>
    <cellStyle name="40 % - Markeringsfarve6 2 5 2 2 2 2 3" xfId="47005" xr:uid="{00000000-0005-0000-0000-00008D8A0000}"/>
    <cellStyle name="40 % - Markeringsfarve6 2 5 2 2 2 3" xfId="25019" xr:uid="{00000000-0005-0000-0000-00008E8A0000}"/>
    <cellStyle name="40 % - Markeringsfarve6 2 5 2 2 2 4" xfId="40006" xr:uid="{00000000-0005-0000-0000-00008F8A0000}"/>
    <cellStyle name="40 % - Markeringsfarve6 2 5 2 2 3" xfId="13068" xr:uid="{00000000-0005-0000-0000-0000908A0000}"/>
    <cellStyle name="40 % - Markeringsfarve6 2 5 2 2 3 2" xfId="29387" xr:uid="{00000000-0005-0000-0000-0000918A0000}"/>
    <cellStyle name="40 % - Markeringsfarve6 2 5 2 2 3 3" xfId="44352" xr:uid="{00000000-0005-0000-0000-0000928A0000}"/>
    <cellStyle name="40 % - Markeringsfarve6 2 5 2 2 4" xfId="22365" xr:uid="{00000000-0005-0000-0000-0000938A0000}"/>
    <cellStyle name="40 % - Markeringsfarve6 2 5 2 2 5" xfId="37353" xr:uid="{00000000-0005-0000-0000-0000948A0000}"/>
    <cellStyle name="40 % - Markeringsfarve6 2 5 2 3" xfId="6372" xr:uid="{00000000-0005-0000-0000-0000958A0000}"/>
    <cellStyle name="40 % - Markeringsfarve6 2 5 2 3 2" xfId="14289" xr:uid="{00000000-0005-0000-0000-0000968A0000}"/>
    <cellStyle name="40 % - Markeringsfarve6 2 5 2 3 2 2" xfId="30603" xr:uid="{00000000-0005-0000-0000-0000978A0000}"/>
    <cellStyle name="40 % - Markeringsfarve6 2 5 2 3 2 3" xfId="45567" xr:uid="{00000000-0005-0000-0000-0000988A0000}"/>
    <cellStyle name="40 % - Markeringsfarve6 2 5 2 3 3" xfId="23581" xr:uid="{00000000-0005-0000-0000-0000998A0000}"/>
    <cellStyle name="40 % - Markeringsfarve6 2 5 2 3 4" xfId="38568" xr:uid="{00000000-0005-0000-0000-00009A8A0000}"/>
    <cellStyle name="40 % - Markeringsfarve6 2 5 2 4" xfId="13067" xr:uid="{00000000-0005-0000-0000-00009B8A0000}"/>
    <cellStyle name="40 % - Markeringsfarve6 2 5 2 4 2" xfId="29386" xr:uid="{00000000-0005-0000-0000-00009C8A0000}"/>
    <cellStyle name="40 % - Markeringsfarve6 2 5 2 4 3" xfId="44351" xr:uid="{00000000-0005-0000-0000-00009D8A0000}"/>
    <cellStyle name="40 % - Markeringsfarve6 2 5 2 5" xfId="22364" xr:uid="{00000000-0005-0000-0000-00009E8A0000}"/>
    <cellStyle name="40 % - Markeringsfarve6 2 5 2 6" xfId="37352" xr:uid="{00000000-0005-0000-0000-00009F8A0000}"/>
    <cellStyle name="40 % - Markeringsfarve6 2 5 3" xfId="4512" xr:uid="{00000000-0005-0000-0000-0000A08A0000}"/>
    <cellStyle name="40 % - Markeringsfarve6 2 5 3 2" xfId="7056" xr:uid="{00000000-0005-0000-0000-0000A18A0000}"/>
    <cellStyle name="40 % - Markeringsfarve6 2 5 3 2 2" xfId="14967" xr:uid="{00000000-0005-0000-0000-0000A28A0000}"/>
    <cellStyle name="40 % - Markeringsfarve6 2 5 3 2 2 2" xfId="31281" xr:uid="{00000000-0005-0000-0000-0000A38A0000}"/>
    <cellStyle name="40 % - Markeringsfarve6 2 5 3 2 2 3" xfId="46245" xr:uid="{00000000-0005-0000-0000-0000A48A0000}"/>
    <cellStyle name="40 % - Markeringsfarve6 2 5 3 2 3" xfId="24259" xr:uid="{00000000-0005-0000-0000-0000A58A0000}"/>
    <cellStyle name="40 % - Markeringsfarve6 2 5 3 2 4" xfId="39246" xr:uid="{00000000-0005-0000-0000-0000A68A0000}"/>
    <cellStyle name="40 % - Markeringsfarve6 2 5 3 3" xfId="13069" xr:uid="{00000000-0005-0000-0000-0000A78A0000}"/>
    <cellStyle name="40 % - Markeringsfarve6 2 5 3 3 2" xfId="29388" xr:uid="{00000000-0005-0000-0000-0000A88A0000}"/>
    <cellStyle name="40 % - Markeringsfarve6 2 5 3 3 3" xfId="44353" xr:uid="{00000000-0005-0000-0000-0000A98A0000}"/>
    <cellStyle name="40 % - Markeringsfarve6 2 5 3 4" xfId="22366" xr:uid="{00000000-0005-0000-0000-0000AA8A0000}"/>
    <cellStyle name="40 % - Markeringsfarve6 2 5 3 5" xfId="37354" xr:uid="{00000000-0005-0000-0000-0000AB8A0000}"/>
    <cellStyle name="40 % - Markeringsfarve6 2 5 4" xfId="4513" xr:uid="{00000000-0005-0000-0000-0000AC8A0000}"/>
    <cellStyle name="40 % - Markeringsfarve6 2 5 4 2" xfId="8536" xr:uid="{00000000-0005-0000-0000-0000AD8A0000}"/>
    <cellStyle name="40 % - Markeringsfarve6 2 5 4 2 2" xfId="16424" xr:uid="{00000000-0005-0000-0000-0000AE8A0000}"/>
    <cellStyle name="40 % - Markeringsfarve6 2 5 4 2 2 2" xfId="32738" xr:uid="{00000000-0005-0000-0000-0000AF8A0000}"/>
    <cellStyle name="40 % - Markeringsfarve6 2 5 4 2 2 3" xfId="47702" xr:uid="{00000000-0005-0000-0000-0000B08A0000}"/>
    <cellStyle name="40 % - Markeringsfarve6 2 5 4 2 3" xfId="25716" xr:uid="{00000000-0005-0000-0000-0000B18A0000}"/>
    <cellStyle name="40 % - Markeringsfarve6 2 5 4 2 4" xfId="40703" xr:uid="{00000000-0005-0000-0000-0000B28A0000}"/>
    <cellStyle name="40 % - Markeringsfarve6 2 5 4 3" xfId="13070" xr:uid="{00000000-0005-0000-0000-0000B38A0000}"/>
    <cellStyle name="40 % - Markeringsfarve6 2 5 4 3 2" xfId="29389" xr:uid="{00000000-0005-0000-0000-0000B48A0000}"/>
    <cellStyle name="40 % - Markeringsfarve6 2 5 4 3 3" xfId="44354" xr:uid="{00000000-0005-0000-0000-0000B58A0000}"/>
    <cellStyle name="40 % - Markeringsfarve6 2 5 4 4" xfId="22367" xr:uid="{00000000-0005-0000-0000-0000B68A0000}"/>
    <cellStyle name="40 % - Markeringsfarve6 2 5 4 5" xfId="37355" xr:uid="{00000000-0005-0000-0000-0000B78A0000}"/>
    <cellStyle name="40 % - Markeringsfarve6 2 5 5" xfId="6046" xr:uid="{00000000-0005-0000-0000-0000B88A0000}"/>
    <cellStyle name="40 % - Markeringsfarve6 2 5 5 2" xfId="13964" xr:uid="{00000000-0005-0000-0000-0000B98A0000}"/>
    <cellStyle name="40 % - Markeringsfarve6 2 5 5 2 2" xfId="30278" xr:uid="{00000000-0005-0000-0000-0000BA8A0000}"/>
    <cellStyle name="40 % - Markeringsfarve6 2 5 5 2 3" xfId="45242" xr:uid="{00000000-0005-0000-0000-0000BB8A0000}"/>
    <cellStyle name="40 % - Markeringsfarve6 2 5 5 3" xfId="23256" xr:uid="{00000000-0005-0000-0000-0000BC8A0000}"/>
    <cellStyle name="40 % - Markeringsfarve6 2 5 5 4" xfId="38243" xr:uid="{00000000-0005-0000-0000-0000BD8A0000}"/>
    <cellStyle name="40 % - Markeringsfarve6 2 5 6" xfId="13066" xr:uid="{00000000-0005-0000-0000-0000BE8A0000}"/>
    <cellStyle name="40 % - Markeringsfarve6 2 5 6 2" xfId="29385" xr:uid="{00000000-0005-0000-0000-0000BF8A0000}"/>
    <cellStyle name="40 % - Markeringsfarve6 2 5 6 3" xfId="44350" xr:uid="{00000000-0005-0000-0000-0000C08A0000}"/>
    <cellStyle name="40 % - Markeringsfarve6 2 5 7" xfId="22363" xr:uid="{00000000-0005-0000-0000-0000C18A0000}"/>
    <cellStyle name="40 % - Markeringsfarve6 2 5 8" xfId="37351" xr:uid="{00000000-0005-0000-0000-0000C28A0000}"/>
    <cellStyle name="40 % - Markeringsfarve6 2 5 9" xfId="56580" xr:uid="{00000000-0005-0000-0000-0000C38A0000}"/>
    <cellStyle name="40 % - Markeringsfarve6 2 6" xfId="4514" xr:uid="{00000000-0005-0000-0000-0000C48A0000}"/>
    <cellStyle name="40 % - Markeringsfarve6 2 6 2" xfId="4515" xr:uid="{00000000-0005-0000-0000-0000C58A0000}"/>
    <cellStyle name="40 % - Markeringsfarve6 2 6 2 2" xfId="4516" xr:uid="{00000000-0005-0000-0000-0000C68A0000}"/>
    <cellStyle name="40 % - Markeringsfarve6 2 6 2 2 2" xfId="7883" xr:uid="{00000000-0005-0000-0000-0000C78A0000}"/>
    <cellStyle name="40 % - Markeringsfarve6 2 6 2 2 2 2" xfId="15784" xr:uid="{00000000-0005-0000-0000-0000C88A0000}"/>
    <cellStyle name="40 % - Markeringsfarve6 2 6 2 2 2 2 2" xfId="32098" xr:uid="{00000000-0005-0000-0000-0000C98A0000}"/>
    <cellStyle name="40 % - Markeringsfarve6 2 6 2 2 2 2 3" xfId="47062" xr:uid="{00000000-0005-0000-0000-0000CA8A0000}"/>
    <cellStyle name="40 % - Markeringsfarve6 2 6 2 2 2 3" xfId="25076" xr:uid="{00000000-0005-0000-0000-0000CB8A0000}"/>
    <cellStyle name="40 % - Markeringsfarve6 2 6 2 2 2 4" xfId="40063" xr:uid="{00000000-0005-0000-0000-0000CC8A0000}"/>
    <cellStyle name="40 % - Markeringsfarve6 2 6 2 2 3" xfId="13073" xr:uid="{00000000-0005-0000-0000-0000CD8A0000}"/>
    <cellStyle name="40 % - Markeringsfarve6 2 6 2 2 3 2" xfId="29392" xr:uid="{00000000-0005-0000-0000-0000CE8A0000}"/>
    <cellStyle name="40 % - Markeringsfarve6 2 6 2 2 3 3" xfId="44357" xr:uid="{00000000-0005-0000-0000-0000CF8A0000}"/>
    <cellStyle name="40 % - Markeringsfarve6 2 6 2 2 4" xfId="22370" xr:uid="{00000000-0005-0000-0000-0000D08A0000}"/>
    <cellStyle name="40 % - Markeringsfarve6 2 6 2 2 5" xfId="37358" xr:uid="{00000000-0005-0000-0000-0000D18A0000}"/>
    <cellStyle name="40 % - Markeringsfarve6 2 6 2 3" xfId="6424" xr:uid="{00000000-0005-0000-0000-0000D28A0000}"/>
    <cellStyle name="40 % - Markeringsfarve6 2 6 2 3 2" xfId="14338" xr:uid="{00000000-0005-0000-0000-0000D38A0000}"/>
    <cellStyle name="40 % - Markeringsfarve6 2 6 2 3 2 2" xfId="30652" xr:uid="{00000000-0005-0000-0000-0000D48A0000}"/>
    <cellStyle name="40 % - Markeringsfarve6 2 6 2 3 2 3" xfId="45616" xr:uid="{00000000-0005-0000-0000-0000D58A0000}"/>
    <cellStyle name="40 % - Markeringsfarve6 2 6 2 3 3" xfId="23630" xr:uid="{00000000-0005-0000-0000-0000D68A0000}"/>
    <cellStyle name="40 % - Markeringsfarve6 2 6 2 3 4" xfId="38617" xr:uid="{00000000-0005-0000-0000-0000D78A0000}"/>
    <cellStyle name="40 % - Markeringsfarve6 2 6 2 4" xfId="13072" xr:uid="{00000000-0005-0000-0000-0000D88A0000}"/>
    <cellStyle name="40 % - Markeringsfarve6 2 6 2 4 2" xfId="29391" xr:uid="{00000000-0005-0000-0000-0000D98A0000}"/>
    <cellStyle name="40 % - Markeringsfarve6 2 6 2 4 3" xfId="44356" xr:uid="{00000000-0005-0000-0000-0000DA8A0000}"/>
    <cellStyle name="40 % - Markeringsfarve6 2 6 2 5" xfId="22369" xr:uid="{00000000-0005-0000-0000-0000DB8A0000}"/>
    <cellStyle name="40 % - Markeringsfarve6 2 6 2 6" xfId="37357" xr:uid="{00000000-0005-0000-0000-0000DC8A0000}"/>
    <cellStyle name="40 % - Markeringsfarve6 2 6 3" xfId="4517" xr:uid="{00000000-0005-0000-0000-0000DD8A0000}"/>
    <cellStyle name="40 % - Markeringsfarve6 2 6 3 2" xfId="7159" xr:uid="{00000000-0005-0000-0000-0000DE8A0000}"/>
    <cellStyle name="40 % - Markeringsfarve6 2 6 3 2 2" xfId="15069" xr:uid="{00000000-0005-0000-0000-0000DF8A0000}"/>
    <cellStyle name="40 % - Markeringsfarve6 2 6 3 2 2 2" xfId="31383" xr:uid="{00000000-0005-0000-0000-0000E08A0000}"/>
    <cellStyle name="40 % - Markeringsfarve6 2 6 3 2 2 3" xfId="46347" xr:uid="{00000000-0005-0000-0000-0000E18A0000}"/>
    <cellStyle name="40 % - Markeringsfarve6 2 6 3 2 3" xfId="24361" xr:uid="{00000000-0005-0000-0000-0000E28A0000}"/>
    <cellStyle name="40 % - Markeringsfarve6 2 6 3 2 4" xfId="39348" xr:uid="{00000000-0005-0000-0000-0000E38A0000}"/>
    <cellStyle name="40 % - Markeringsfarve6 2 6 3 3" xfId="13074" xr:uid="{00000000-0005-0000-0000-0000E48A0000}"/>
    <cellStyle name="40 % - Markeringsfarve6 2 6 3 3 2" xfId="29393" xr:uid="{00000000-0005-0000-0000-0000E58A0000}"/>
    <cellStyle name="40 % - Markeringsfarve6 2 6 3 3 3" xfId="44358" xr:uid="{00000000-0005-0000-0000-0000E68A0000}"/>
    <cellStyle name="40 % - Markeringsfarve6 2 6 3 4" xfId="22371" xr:uid="{00000000-0005-0000-0000-0000E78A0000}"/>
    <cellStyle name="40 % - Markeringsfarve6 2 6 3 5" xfId="37359" xr:uid="{00000000-0005-0000-0000-0000E88A0000}"/>
    <cellStyle name="40 % - Markeringsfarve6 2 6 4" xfId="4518" xr:uid="{00000000-0005-0000-0000-0000E98A0000}"/>
    <cellStyle name="40 % - Markeringsfarve6 2 6 4 2" xfId="8757" xr:uid="{00000000-0005-0000-0000-0000EA8A0000}"/>
    <cellStyle name="40 % - Markeringsfarve6 2 6 4 2 2" xfId="16633" xr:uid="{00000000-0005-0000-0000-0000EB8A0000}"/>
    <cellStyle name="40 % - Markeringsfarve6 2 6 4 2 2 2" xfId="32947" xr:uid="{00000000-0005-0000-0000-0000EC8A0000}"/>
    <cellStyle name="40 % - Markeringsfarve6 2 6 4 2 2 3" xfId="47911" xr:uid="{00000000-0005-0000-0000-0000ED8A0000}"/>
    <cellStyle name="40 % - Markeringsfarve6 2 6 4 2 3" xfId="25925" xr:uid="{00000000-0005-0000-0000-0000EE8A0000}"/>
    <cellStyle name="40 % - Markeringsfarve6 2 6 4 2 4" xfId="40912" xr:uid="{00000000-0005-0000-0000-0000EF8A0000}"/>
    <cellStyle name="40 % - Markeringsfarve6 2 6 4 3" xfId="13075" xr:uid="{00000000-0005-0000-0000-0000F08A0000}"/>
    <cellStyle name="40 % - Markeringsfarve6 2 6 4 3 2" xfId="29394" xr:uid="{00000000-0005-0000-0000-0000F18A0000}"/>
    <cellStyle name="40 % - Markeringsfarve6 2 6 4 3 3" xfId="44359" xr:uid="{00000000-0005-0000-0000-0000F28A0000}"/>
    <cellStyle name="40 % - Markeringsfarve6 2 6 4 4" xfId="22372" xr:uid="{00000000-0005-0000-0000-0000F38A0000}"/>
    <cellStyle name="40 % - Markeringsfarve6 2 6 4 5" xfId="37360" xr:uid="{00000000-0005-0000-0000-0000F48A0000}"/>
    <cellStyle name="40 % - Markeringsfarve6 2 6 5" xfId="6047" xr:uid="{00000000-0005-0000-0000-0000F58A0000}"/>
    <cellStyle name="40 % - Markeringsfarve6 2 6 5 2" xfId="13965" xr:uid="{00000000-0005-0000-0000-0000F68A0000}"/>
    <cellStyle name="40 % - Markeringsfarve6 2 6 5 2 2" xfId="30279" xr:uid="{00000000-0005-0000-0000-0000F78A0000}"/>
    <cellStyle name="40 % - Markeringsfarve6 2 6 5 2 3" xfId="45243" xr:uid="{00000000-0005-0000-0000-0000F88A0000}"/>
    <cellStyle name="40 % - Markeringsfarve6 2 6 5 3" xfId="23257" xr:uid="{00000000-0005-0000-0000-0000F98A0000}"/>
    <cellStyle name="40 % - Markeringsfarve6 2 6 5 4" xfId="38244" xr:uid="{00000000-0005-0000-0000-0000FA8A0000}"/>
    <cellStyle name="40 % - Markeringsfarve6 2 6 6" xfId="13071" xr:uid="{00000000-0005-0000-0000-0000FB8A0000}"/>
    <cellStyle name="40 % - Markeringsfarve6 2 6 6 2" xfId="29390" xr:uid="{00000000-0005-0000-0000-0000FC8A0000}"/>
    <cellStyle name="40 % - Markeringsfarve6 2 6 6 3" xfId="44355" xr:uid="{00000000-0005-0000-0000-0000FD8A0000}"/>
    <cellStyle name="40 % - Markeringsfarve6 2 6 7" xfId="22368" xr:uid="{00000000-0005-0000-0000-0000FE8A0000}"/>
    <cellStyle name="40 % - Markeringsfarve6 2 6 8" xfId="37356" xr:uid="{00000000-0005-0000-0000-0000FF8A0000}"/>
    <cellStyle name="40 % - Markeringsfarve6 2 7" xfId="4519" xr:uid="{00000000-0005-0000-0000-0000008B0000}"/>
    <cellStyle name="40 % - Markeringsfarve6 2 7 2" xfId="4520" xr:uid="{00000000-0005-0000-0000-0000018B0000}"/>
    <cellStyle name="40 % - Markeringsfarve6 2 7 2 2" xfId="4521" xr:uid="{00000000-0005-0000-0000-0000028B0000}"/>
    <cellStyle name="40 % - Markeringsfarve6 2 7 2 2 2" xfId="8000" xr:uid="{00000000-0005-0000-0000-0000038B0000}"/>
    <cellStyle name="40 % - Markeringsfarve6 2 7 2 2 2 2" xfId="15901" xr:uid="{00000000-0005-0000-0000-0000048B0000}"/>
    <cellStyle name="40 % - Markeringsfarve6 2 7 2 2 2 2 2" xfId="32215" xr:uid="{00000000-0005-0000-0000-0000058B0000}"/>
    <cellStyle name="40 % - Markeringsfarve6 2 7 2 2 2 2 3" xfId="47179" xr:uid="{00000000-0005-0000-0000-0000068B0000}"/>
    <cellStyle name="40 % - Markeringsfarve6 2 7 2 2 2 3" xfId="25193" xr:uid="{00000000-0005-0000-0000-0000078B0000}"/>
    <cellStyle name="40 % - Markeringsfarve6 2 7 2 2 2 4" xfId="40180" xr:uid="{00000000-0005-0000-0000-0000088B0000}"/>
    <cellStyle name="40 % - Markeringsfarve6 2 7 2 2 3" xfId="13078" xr:uid="{00000000-0005-0000-0000-0000098B0000}"/>
    <cellStyle name="40 % - Markeringsfarve6 2 7 2 2 3 2" xfId="29397" xr:uid="{00000000-0005-0000-0000-00000A8B0000}"/>
    <cellStyle name="40 % - Markeringsfarve6 2 7 2 2 3 3" xfId="44362" xr:uid="{00000000-0005-0000-0000-00000B8B0000}"/>
    <cellStyle name="40 % - Markeringsfarve6 2 7 2 2 4" xfId="22375" xr:uid="{00000000-0005-0000-0000-00000C8B0000}"/>
    <cellStyle name="40 % - Markeringsfarve6 2 7 2 2 5" xfId="37363" xr:uid="{00000000-0005-0000-0000-00000D8B0000}"/>
    <cellStyle name="40 % - Markeringsfarve6 2 7 2 3" xfId="6523" xr:uid="{00000000-0005-0000-0000-00000E8B0000}"/>
    <cellStyle name="40 % - Markeringsfarve6 2 7 2 3 2" xfId="14437" xr:uid="{00000000-0005-0000-0000-00000F8B0000}"/>
    <cellStyle name="40 % - Markeringsfarve6 2 7 2 3 2 2" xfId="30751" xr:uid="{00000000-0005-0000-0000-0000108B0000}"/>
    <cellStyle name="40 % - Markeringsfarve6 2 7 2 3 2 3" xfId="45715" xr:uid="{00000000-0005-0000-0000-0000118B0000}"/>
    <cellStyle name="40 % - Markeringsfarve6 2 7 2 3 3" xfId="23729" xr:uid="{00000000-0005-0000-0000-0000128B0000}"/>
    <cellStyle name="40 % - Markeringsfarve6 2 7 2 3 4" xfId="38716" xr:uid="{00000000-0005-0000-0000-0000138B0000}"/>
    <cellStyle name="40 % - Markeringsfarve6 2 7 2 4" xfId="13077" xr:uid="{00000000-0005-0000-0000-0000148B0000}"/>
    <cellStyle name="40 % - Markeringsfarve6 2 7 2 4 2" xfId="29396" xr:uid="{00000000-0005-0000-0000-0000158B0000}"/>
    <cellStyle name="40 % - Markeringsfarve6 2 7 2 4 3" xfId="44361" xr:uid="{00000000-0005-0000-0000-0000168B0000}"/>
    <cellStyle name="40 % - Markeringsfarve6 2 7 2 5" xfId="22374" xr:uid="{00000000-0005-0000-0000-0000178B0000}"/>
    <cellStyle name="40 % - Markeringsfarve6 2 7 2 6" xfId="37362" xr:uid="{00000000-0005-0000-0000-0000188B0000}"/>
    <cellStyle name="40 % - Markeringsfarve6 2 7 3" xfId="4522" xr:uid="{00000000-0005-0000-0000-0000198B0000}"/>
    <cellStyle name="40 % - Markeringsfarve6 2 7 3 2" xfId="7276" xr:uid="{00000000-0005-0000-0000-00001A8B0000}"/>
    <cellStyle name="40 % - Markeringsfarve6 2 7 3 2 2" xfId="15186" xr:uid="{00000000-0005-0000-0000-00001B8B0000}"/>
    <cellStyle name="40 % - Markeringsfarve6 2 7 3 2 2 2" xfId="31500" xr:uid="{00000000-0005-0000-0000-00001C8B0000}"/>
    <cellStyle name="40 % - Markeringsfarve6 2 7 3 2 2 3" xfId="46464" xr:uid="{00000000-0005-0000-0000-00001D8B0000}"/>
    <cellStyle name="40 % - Markeringsfarve6 2 7 3 2 3" xfId="24478" xr:uid="{00000000-0005-0000-0000-00001E8B0000}"/>
    <cellStyle name="40 % - Markeringsfarve6 2 7 3 2 4" xfId="39465" xr:uid="{00000000-0005-0000-0000-00001F8B0000}"/>
    <cellStyle name="40 % - Markeringsfarve6 2 7 3 3" xfId="13079" xr:uid="{00000000-0005-0000-0000-0000208B0000}"/>
    <cellStyle name="40 % - Markeringsfarve6 2 7 3 3 2" xfId="29398" xr:uid="{00000000-0005-0000-0000-0000218B0000}"/>
    <cellStyle name="40 % - Markeringsfarve6 2 7 3 3 3" xfId="44363" xr:uid="{00000000-0005-0000-0000-0000228B0000}"/>
    <cellStyle name="40 % - Markeringsfarve6 2 7 3 4" xfId="22376" xr:uid="{00000000-0005-0000-0000-0000238B0000}"/>
    <cellStyle name="40 % - Markeringsfarve6 2 7 3 5" xfId="37364" xr:uid="{00000000-0005-0000-0000-0000248B0000}"/>
    <cellStyle name="40 % - Markeringsfarve6 2 7 4" xfId="4523" xr:uid="{00000000-0005-0000-0000-0000258B0000}"/>
    <cellStyle name="40 % - Markeringsfarve6 2 7 4 2" xfId="8477" xr:uid="{00000000-0005-0000-0000-0000268B0000}"/>
    <cellStyle name="40 % - Markeringsfarve6 2 7 4 2 2" xfId="16366" xr:uid="{00000000-0005-0000-0000-0000278B0000}"/>
    <cellStyle name="40 % - Markeringsfarve6 2 7 4 2 2 2" xfId="32680" xr:uid="{00000000-0005-0000-0000-0000288B0000}"/>
    <cellStyle name="40 % - Markeringsfarve6 2 7 4 2 2 3" xfId="47644" xr:uid="{00000000-0005-0000-0000-0000298B0000}"/>
    <cellStyle name="40 % - Markeringsfarve6 2 7 4 2 3" xfId="25658" xr:uid="{00000000-0005-0000-0000-00002A8B0000}"/>
    <cellStyle name="40 % - Markeringsfarve6 2 7 4 2 4" xfId="40645" xr:uid="{00000000-0005-0000-0000-00002B8B0000}"/>
    <cellStyle name="40 % - Markeringsfarve6 2 7 4 3" xfId="13080" xr:uid="{00000000-0005-0000-0000-00002C8B0000}"/>
    <cellStyle name="40 % - Markeringsfarve6 2 7 4 3 2" xfId="29399" xr:uid="{00000000-0005-0000-0000-00002D8B0000}"/>
    <cellStyle name="40 % - Markeringsfarve6 2 7 4 3 3" xfId="44364" xr:uid="{00000000-0005-0000-0000-00002E8B0000}"/>
    <cellStyle name="40 % - Markeringsfarve6 2 7 4 4" xfId="22377" xr:uid="{00000000-0005-0000-0000-00002F8B0000}"/>
    <cellStyle name="40 % - Markeringsfarve6 2 7 4 5" xfId="37365" xr:uid="{00000000-0005-0000-0000-0000308B0000}"/>
    <cellStyle name="40 % - Markeringsfarve6 2 7 5" xfId="6048" xr:uid="{00000000-0005-0000-0000-0000318B0000}"/>
    <cellStyle name="40 % - Markeringsfarve6 2 7 5 2" xfId="13966" xr:uid="{00000000-0005-0000-0000-0000328B0000}"/>
    <cellStyle name="40 % - Markeringsfarve6 2 7 5 2 2" xfId="30280" xr:uid="{00000000-0005-0000-0000-0000338B0000}"/>
    <cellStyle name="40 % - Markeringsfarve6 2 7 5 2 3" xfId="45244" xr:uid="{00000000-0005-0000-0000-0000348B0000}"/>
    <cellStyle name="40 % - Markeringsfarve6 2 7 5 3" xfId="23258" xr:uid="{00000000-0005-0000-0000-0000358B0000}"/>
    <cellStyle name="40 % - Markeringsfarve6 2 7 5 4" xfId="38245" xr:uid="{00000000-0005-0000-0000-0000368B0000}"/>
    <cellStyle name="40 % - Markeringsfarve6 2 7 6" xfId="13076" xr:uid="{00000000-0005-0000-0000-0000378B0000}"/>
    <cellStyle name="40 % - Markeringsfarve6 2 7 6 2" xfId="29395" xr:uid="{00000000-0005-0000-0000-0000388B0000}"/>
    <cellStyle name="40 % - Markeringsfarve6 2 7 6 3" xfId="44360" xr:uid="{00000000-0005-0000-0000-0000398B0000}"/>
    <cellStyle name="40 % - Markeringsfarve6 2 7 7" xfId="22373" xr:uid="{00000000-0005-0000-0000-00003A8B0000}"/>
    <cellStyle name="40 % - Markeringsfarve6 2 7 8" xfId="37361" xr:uid="{00000000-0005-0000-0000-00003B8B0000}"/>
    <cellStyle name="40 % - Markeringsfarve6 2 8" xfId="4524" xr:uid="{00000000-0005-0000-0000-00003C8B0000}"/>
    <cellStyle name="40 % - Markeringsfarve6 2 8 2" xfId="4525" xr:uid="{00000000-0005-0000-0000-00003D8B0000}"/>
    <cellStyle name="40 % - Markeringsfarve6 2 8 2 2" xfId="4526" xr:uid="{00000000-0005-0000-0000-00003E8B0000}"/>
    <cellStyle name="40 % - Markeringsfarve6 2 8 2 2 2" xfId="8180" xr:uid="{00000000-0005-0000-0000-00003F8B0000}"/>
    <cellStyle name="40 % - Markeringsfarve6 2 8 2 2 2 2" xfId="16081" xr:uid="{00000000-0005-0000-0000-0000408B0000}"/>
    <cellStyle name="40 % - Markeringsfarve6 2 8 2 2 2 2 2" xfId="32395" xr:uid="{00000000-0005-0000-0000-0000418B0000}"/>
    <cellStyle name="40 % - Markeringsfarve6 2 8 2 2 2 2 3" xfId="47359" xr:uid="{00000000-0005-0000-0000-0000428B0000}"/>
    <cellStyle name="40 % - Markeringsfarve6 2 8 2 2 2 3" xfId="25373" xr:uid="{00000000-0005-0000-0000-0000438B0000}"/>
    <cellStyle name="40 % - Markeringsfarve6 2 8 2 2 2 4" xfId="40360" xr:uid="{00000000-0005-0000-0000-0000448B0000}"/>
    <cellStyle name="40 % - Markeringsfarve6 2 8 2 2 3" xfId="13083" xr:uid="{00000000-0005-0000-0000-0000458B0000}"/>
    <cellStyle name="40 % - Markeringsfarve6 2 8 2 2 3 2" xfId="29402" xr:uid="{00000000-0005-0000-0000-0000468B0000}"/>
    <cellStyle name="40 % - Markeringsfarve6 2 8 2 2 3 3" xfId="44367" xr:uid="{00000000-0005-0000-0000-0000478B0000}"/>
    <cellStyle name="40 % - Markeringsfarve6 2 8 2 2 4" xfId="22380" xr:uid="{00000000-0005-0000-0000-0000488B0000}"/>
    <cellStyle name="40 % - Markeringsfarve6 2 8 2 2 5" xfId="37368" xr:uid="{00000000-0005-0000-0000-0000498B0000}"/>
    <cellStyle name="40 % - Markeringsfarve6 2 8 2 3" xfId="6673" xr:uid="{00000000-0005-0000-0000-00004A8B0000}"/>
    <cellStyle name="40 % - Markeringsfarve6 2 8 2 3 2" xfId="14587" xr:uid="{00000000-0005-0000-0000-00004B8B0000}"/>
    <cellStyle name="40 % - Markeringsfarve6 2 8 2 3 2 2" xfId="30901" xr:uid="{00000000-0005-0000-0000-00004C8B0000}"/>
    <cellStyle name="40 % - Markeringsfarve6 2 8 2 3 2 3" xfId="45865" xr:uid="{00000000-0005-0000-0000-00004D8B0000}"/>
    <cellStyle name="40 % - Markeringsfarve6 2 8 2 3 3" xfId="23879" xr:uid="{00000000-0005-0000-0000-00004E8B0000}"/>
    <cellStyle name="40 % - Markeringsfarve6 2 8 2 3 4" xfId="38866" xr:uid="{00000000-0005-0000-0000-00004F8B0000}"/>
    <cellStyle name="40 % - Markeringsfarve6 2 8 2 4" xfId="13082" xr:uid="{00000000-0005-0000-0000-0000508B0000}"/>
    <cellStyle name="40 % - Markeringsfarve6 2 8 2 4 2" xfId="29401" xr:uid="{00000000-0005-0000-0000-0000518B0000}"/>
    <cellStyle name="40 % - Markeringsfarve6 2 8 2 4 3" xfId="44366" xr:uid="{00000000-0005-0000-0000-0000528B0000}"/>
    <cellStyle name="40 % - Markeringsfarve6 2 8 2 5" xfId="22379" xr:uid="{00000000-0005-0000-0000-0000538B0000}"/>
    <cellStyle name="40 % - Markeringsfarve6 2 8 2 6" xfId="37367" xr:uid="{00000000-0005-0000-0000-0000548B0000}"/>
    <cellStyle name="40 % - Markeringsfarve6 2 8 3" xfId="4527" xr:uid="{00000000-0005-0000-0000-0000558B0000}"/>
    <cellStyle name="40 % - Markeringsfarve6 2 8 3 2" xfId="7457" xr:uid="{00000000-0005-0000-0000-0000568B0000}"/>
    <cellStyle name="40 % - Markeringsfarve6 2 8 3 2 2" xfId="15367" xr:uid="{00000000-0005-0000-0000-0000578B0000}"/>
    <cellStyle name="40 % - Markeringsfarve6 2 8 3 2 2 2" xfId="31681" xr:uid="{00000000-0005-0000-0000-0000588B0000}"/>
    <cellStyle name="40 % - Markeringsfarve6 2 8 3 2 2 3" xfId="46645" xr:uid="{00000000-0005-0000-0000-0000598B0000}"/>
    <cellStyle name="40 % - Markeringsfarve6 2 8 3 2 3" xfId="24659" xr:uid="{00000000-0005-0000-0000-00005A8B0000}"/>
    <cellStyle name="40 % - Markeringsfarve6 2 8 3 2 4" xfId="39646" xr:uid="{00000000-0005-0000-0000-00005B8B0000}"/>
    <cellStyle name="40 % - Markeringsfarve6 2 8 3 3" xfId="13084" xr:uid="{00000000-0005-0000-0000-00005C8B0000}"/>
    <cellStyle name="40 % - Markeringsfarve6 2 8 3 3 2" xfId="29403" xr:uid="{00000000-0005-0000-0000-00005D8B0000}"/>
    <cellStyle name="40 % - Markeringsfarve6 2 8 3 3 3" xfId="44368" xr:uid="{00000000-0005-0000-0000-00005E8B0000}"/>
    <cellStyle name="40 % - Markeringsfarve6 2 8 3 4" xfId="22381" xr:uid="{00000000-0005-0000-0000-00005F8B0000}"/>
    <cellStyle name="40 % - Markeringsfarve6 2 8 3 5" xfId="37369" xr:uid="{00000000-0005-0000-0000-0000608B0000}"/>
    <cellStyle name="40 % - Markeringsfarve6 2 8 4" xfId="4528" xr:uid="{00000000-0005-0000-0000-0000618B0000}"/>
    <cellStyle name="40 % - Markeringsfarve6 2 8 4 2" xfId="8710" xr:uid="{00000000-0005-0000-0000-0000628B0000}"/>
    <cellStyle name="40 % - Markeringsfarve6 2 8 4 2 2" xfId="16590" xr:uid="{00000000-0005-0000-0000-0000638B0000}"/>
    <cellStyle name="40 % - Markeringsfarve6 2 8 4 2 2 2" xfId="32904" xr:uid="{00000000-0005-0000-0000-0000648B0000}"/>
    <cellStyle name="40 % - Markeringsfarve6 2 8 4 2 2 3" xfId="47868" xr:uid="{00000000-0005-0000-0000-0000658B0000}"/>
    <cellStyle name="40 % - Markeringsfarve6 2 8 4 2 3" xfId="25882" xr:uid="{00000000-0005-0000-0000-0000668B0000}"/>
    <cellStyle name="40 % - Markeringsfarve6 2 8 4 2 4" xfId="40869" xr:uid="{00000000-0005-0000-0000-0000678B0000}"/>
    <cellStyle name="40 % - Markeringsfarve6 2 8 4 3" xfId="13085" xr:uid="{00000000-0005-0000-0000-0000688B0000}"/>
    <cellStyle name="40 % - Markeringsfarve6 2 8 4 3 2" xfId="29404" xr:uid="{00000000-0005-0000-0000-0000698B0000}"/>
    <cellStyle name="40 % - Markeringsfarve6 2 8 4 3 3" xfId="44369" xr:uid="{00000000-0005-0000-0000-00006A8B0000}"/>
    <cellStyle name="40 % - Markeringsfarve6 2 8 4 4" xfId="22382" xr:uid="{00000000-0005-0000-0000-00006B8B0000}"/>
    <cellStyle name="40 % - Markeringsfarve6 2 8 4 5" xfId="37370" xr:uid="{00000000-0005-0000-0000-00006C8B0000}"/>
    <cellStyle name="40 % - Markeringsfarve6 2 8 5" xfId="6049" xr:uid="{00000000-0005-0000-0000-00006D8B0000}"/>
    <cellStyle name="40 % - Markeringsfarve6 2 8 5 2" xfId="13967" xr:uid="{00000000-0005-0000-0000-00006E8B0000}"/>
    <cellStyle name="40 % - Markeringsfarve6 2 8 5 2 2" xfId="30281" xr:uid="{00000000-0005-0000-0000-00006F8B0000}"/>
    <cellStyle name="40 % - Markeringsfarve6 2 8 5 2 3" xfId="45245" xr:uid="{00000000-0005-0000-0000-0000708B0000}"/>
    <cellStyle name="40 % - Markeringsfarve6 2 8 5 3" xfId="23259" xr:uid="{00000000-0005-0000-0000-0000718B0000}"/>
    <cellStyle name="40 % - Markeringsfarve6 2 8 5 4" xfId="38246" xr:uid="{00000000-0005-0000-0000-0000728B0000}"/>
    <cellStyle name="40 % - Markeringsfarve6 2 8 6" xfId="13081" xr:uid="{00000000-0005-0000-0000-0000738B0000}"/>
    <cellStyle name="40 % - Markeringsfarve6 2 8 6 2" xfId="29400" xr:uid="{00000000-0005-0000-0000-0000748B0000}"/>
    <cellStyle name="40 % - Markeringsfarve6 2 8 6 3" xfId="44365" xr:uid="{00000000-0005-0000-0000-0000758B0000}"/>
    <cellStyle name="40 % - Markeringsfarve6 2 8 7" xfId="22378" xr:uid="{00000000-0005-0000-0000-0000768B0000}"/>
    <cellStyle name="40 % - Markeringsfarve6 2 8 8" xfId="37366" xr:uid="{00000000-0005-0000-0000-0000778B0000}"/>
    <cellStyle name="40 % - Markeringsfarve6 2 9" xfId="4529" xr:uid="{00000000-0005-0000-0000-0000788B0000}"/>
    <cellStyle name="40 % - Markeringsfarve6 2 9 2" xfId="4530" xr:uid="{00000000-0005-0000-0000-0000798B0000}"/>
    <cellStyle name="40 % - Markeringsfarve6 2 9 2 2" xfId="7526" xr:uid="{00000000-0005-0000-0000-00007A8B0000}"/>
    <cellStyle name="40 % - Markeringsfarve6 2 9 2 2 2" xfId="15427" xr:uid="{00000000-0005-0000-0000-00007B8B0000}"/>
    <cellStyle name="40 % - Markeringsfarve6 2 9 2 2 2 2" xfId="31741" xr:uid="{00000000-0005-0000-0000-00007C8B0000}"/>
    <cellStyle name="40 % - Markeringsfarve6 2 9 2 2 2 3" xfId="46705" xr:uid="{00000000-0005-0000-0000-00007D8B0000}"/>
    <cellStyle name="40 % - Markeringsfarve6 2 9 2 2 3" xfId="24719" xr:uid="{00000000-0005-0000-0000-00007E8B0000}"/>
    <cellStyle name="40 % - Markeringsfarve6 2 9 2 2 4" xfId="39706" xr:uid="{00000000-0005-0000-0000-00007F8B0000}"/>
    <cellStyle name="40 % - Markeringsfarve6 2 9 2 3" xfId="13087" xr:uid="{00000000-0005-0000-0000-0000808B0000}"/>
    <cellStyle name="40 % - Markeringsfarve6 2 9 2 3 2" xfId="29406" xr:uid="{00000000-0005-0000-0000-0000818B0000}"/>
    <cellStyle name="40 % - Markeringsfarve6 2 9 2 3 3" xfId="44371" xr:uid="{00000000-0005-0000-0000-0000828B0000}"/>
    <cellStyle name="40 % - Markeringsfarve6 2 9 2 4" xfId="22384" xr:uid="{00000000-0005-0000-0000-0000838B0000}"/>
    <cellStyle name="40 % - Markeringsfarve6 2 9 2 5" xfId="37372" xr:uid="{00000000-0005-0000-0000-0000848B0000}"/>
    <cellStyle name="40 % - Markeringsfarve6 2 9 3" xfId="6123" xr:uid="{00000000-0005-0000-0000-0000858B0000}"/>
    <cellStyle name="40 % - Markeringsfarve6 2 9 3 2" xfId="14040" xr:uid="{00000000-0005-0000-0000-0000868B0000}"/>
    <cellStyle name="40 % - Markeringsfarve6 2 9 3 2 2" xfId="30354" xr:uid="{00000000-0005-0000-0000-0000878B0000}"/>
    <cellStyle name="40 % - Markeringsfarve6 2 9 3 2 3" xfId="45318" xr:uid="{00000000-0005-0000-0000-0000888B0000}"/>
    <cellStyle name="40 % - Markeringsfarve6 2 9 3 3" xfId="23332" xr:uid="{00000000-0005-0000-0000-0000898B0000}"/>
    <cellStyle name="40 % - Markeringsfarve6 2 9 3 4" xfId="38319" xr:uid="{00000000-0005-0000-0000-00008A8B0000}"/>
    <cellStyle name="40 % - Markeringsfarve6 2 9 4" xfId="13086" xr:uid="{00000000-0005-0000-0000-00008B8B0000}"/>
    <cellStyle name="40 % - Markeringsfarve6 2 9 4 2" xfId="29405" xr:uid="{00000000-0005-0000-0000-00008C8B0000}"/>
    <cellStyle name="40 % - Markeringsfarve6 2 9 4 3" xfId="44370" xr:uid="{00000000-0005-0000-0000-00008D8B0000}"/>
    <cellStyle name="40 % - Markeringsfarve6 2 9 5" xfId="22383" xr:uid="{00000000-0005-0000-0000-00008E8B0000}"/>
    <cellStyle name="40 % - Markeringsfarve6 2 9 6" xfId="37371" xr:uid="{00000000-0005-0000-0000-00008F8B0000}"/>
    <cellStyle name="40 % - Markeringsfarve6 3" xfId="4531" xr:uid="{00000000-0005-0000-0000-0000908B0000}"/>
    <cellStyle name="40 % - Markeringsfarve6 3 10" xfId="4532" xr:uid="{00000000-0005-0000-0000-0000918B0000}"/>
    <cellStyle name="40 % - Markeringsfarve6 3 10 2" xfId="6739" xr:uid="{00000000-0005-0000-0000-0000928B0000}"/>
    <cellStyle name="40 % - Markeringsfarve6 3 10 2 2" xfId="14651" xr:uid="{00000000-0005-0000-0000-0000938B0000}"/>
    <cellStyle name="40 % - Markeringsfarve6 3 10 2 2 2" xfId="30965" xr:uid="{00000000-0005-0000-0000-0000948B0000}"/>
    <cellStyle name="40 % - Markeringsfarve6 3 10 2 2 3" xfId="45929" xr:uid="{00000000-0005-0000-0000-0000958B0000}"/>
    <cellStyle name="40 % - Markeringsfarve6 3 10 2 3" xfId="23943" xr:uid="{00000000-0005-0000-0000-0000968B0000}"/>
    <cellStyle name="40 % - Markeringsfarve6 3 10 2 4" xfId="38930" xr:uid="{00000000-0005-0000-0000-0000978B0000}"/>
    <cellStyle name="40 % - Markeringsfarve6 3 10 3" xfId="13089" xr:uid="{00000000-0005-0000-0000-0000988B0000}"/>
    <cellStyle name="40 % - Markeringsfarve6 3 10 3 2" xfId="29408" xr:uid="{00000000-0005-0000-0000-0000998B0000}"/>
    <cellStyle name="40 % - Markeringsfarve6 3 10 3 3" xfId="44373" xr:uid="{00000000-0005-0000-0000-00009A8B0000}"/>
    <cellStyle name="40 % - Markeringsfarve6 3 10 4" xfId="22386" xr:uid="{00000000-0005-0000-0000-00009B8B0000}"/>
    <cellStyle name="40 % - Markeringsfarve6 3 10 5" xfId="37374" xr:uid="{00000000-0005-0000-0000-00009C8B0000}"/>
    <cellStyle name="40 % - Markeringsfarve6 3 11" xfId="4533" xr:uid="{00000000-0005-0000-0000-00009D8B0000}"/>
    <cellStyle name="40 % - Markeringsfarve6 3 11 2" xfId="8435" xr:uid="{00000000-0005-0000-0000-00009E8B0000}"/>
    <cellStyle name="40 % - Markeringsfarve6 3 11 2 2" xfId="16327" xr:uid="{00000000-0005-0000-0000-00009F8B0000}"/>
    <cellStyle name="40 % - Markeringsfarve6 3 11 2 2 2" xfId="32641" xr:uid="{00000000-0005-0000-0000-0000A08B0000}"/>
    <cellStyle name="40 % - Markeringsfarve6 3 11 2 2 3" xfId="47605" xr:uid="{00000000-0005-0000-0000-0000A18B0000}"/>
    <cellStyle name="40 % - Markeringsfarve6 3 11 2 3" xfId="25619" xr:uid="{00000000-0005-0000-0000-0000A28B0000}"/>
    <cellStyle name="40 % - Markeringsfarve6 3 11 2 4" xfId="40606" xr:uid="{00000000-0005-0000-0000-0000A38B0000}"/>
    <cellStyle name="40 % - Markeringsfarve6 3 11 3" xfId="13090" xr:uid="{00000000-0005-0000-0000-0000A48B0000}"/>
    <cellStyle name="40 % - Markeringsfarve6 3 11 3 2" xfId="29409" xr:uid="{00000000-0005-0000-0000-0000A58B0000}"/>
    <cellStyle name="40 % - Markeringsfarve6 3 11 3 3" xfId="44374" xr:uid="{00000000-0005-0000-0000-0000A68B0000}"/>
    <cellStyle name="40 % - Markeringsfarve6 3 11 4" xfId="22387" xr:uid="{00000000-0005-0000-0000-0000A78B0000}"/>
    <cellStyle name="40 % - Markeringsfarve6 3 11 5" xfId="37375" xr:uid="{00000000-0005-0000-0000-0000A88B0000}"/>
    <cellStyle name="40 % - Markeringsfarve6 3 12" xfId="6050" xr:uid="{00000000-0005-0000-0000-0000A98B0000}"/>
    <cellStyle name="40 % - Markeringsfarve6 3 12 2" xfId="13968" xr:uid="{00000000-0005-0000-0000-0000AA8B0000}"/>
    <cellStyle name="40 % - Markeringsfarve6 3 12 2 2" xfId="30282" xr:uid="{00000000-0005-0000-0000-0000AB8B0000}"/>
    <cellStyle name="40 % - Markeringsfarve6 3 12 2 3" xfId="45246" xr:uid="{00000000-0005-0000-0000-0000AC8B0000}"/>
    <cellStyle name="40 % - Markeringsfarve6 3 12 3" xfId="23260" xr:uid="{00000000-0005-0000-0000-0000AD8B0000}"/>
    <cellStyle name="40 % - Markeringsfarve6 3 12 4" xfId="38247" xr:uid="{00000000-0005-0000-0000-0000AE8B0000}"/>
    <cellStyle name="40 % - Markeringsfarve6 3 13" xfId="13088" xr:uid="{00000000-0005-0000-0000-0000AF8B0000}"/>
    <cellStyle name="40 % - Markeringsfarve6 3 13 2" xfId="29407" xr:uid="{00000000-0005-0000-0000-0000B08B0000}"/>
    <cellStyle name="40 % - Markeringsfarve6 3 13 3" xfId="44372" xr:uid="{00000000-0005-0000-0000-0000B18B0000}"/>
    <cellStyle name="40 % - Markeringsfarve6 3 14" xfId="22385" xr:uid="{00000000-0005-0000-0000-0000B28B0000}"/>
    <cellStyle name="40 % - Markeringsfarve6 3 15" xfId="37373" xr:uid="{00000000-0005-0000-0000-0000B38B0000}"/>
    <cellStyle name="40 % - Markeringsfarve6 3 16" xfId="53402" xr:uid="{00000000-0005-0000-0000-0000B48B0000}"/>
    <cellStyle name="40 % - Markeringsfarve6 3 2" xfId="4534" xr:uid="{00000000-0005-0000-0000-0000B58B0000}"/>
    <cellStyle name="40 % - Markeringsfarve6 3 2 10" xfId="6051" xr:uid="{00000000-0005-0000-0000-0000B68B0000}"/>
    <cellStyle name="40 % - Markeringsfarve6 3 2 10 2" xfId="13969" xr:uid="{00000000-0005-0000-0000-0000B78B0000}"/>
    <cellStyle name="40 % - Markeringsfarve6 3 2 10 2 2" xfId="30283" xr:uid="{00000000-0005-0000-0000-0000B88B0000}"/>
    <cellStyle name="40 % - Markeringsfarve6 3 2 10 2 3" xfId="45247" xr:uid="{00000000-0005-0000-0000-0000B98B0000}"/>
    <cellStyle name="40 % - Markeringsfarve6 3 2 10 3" xfId="23261" xr:uid="{00000000-0005-0000-0000-0000BA8B0000}"/>
    <cellStyle name="40 % - Markeringsfarve6 3 2 10 4" xfId="38248" xr:uid="{00000000-0005-0000-0000-0000BB8B0000}"/>
    <cellStyle name="40 % - Markeringsfarve6 3 2 11" xfId="13091" xr:uid="{00000000-0005-0000-0000-0000BC8B0000}"/>
    <cellStyle name="40 % - Markeringsfarve6 3 2 11 2" xfId="29410" xr:uid="{00000000-0005-0000-0000-0000BD8B0000}"/>
    <cellStyle name="40 % - Markeringsfarve6 3 2 11 3" xfId="44375" xr:uid="{00000000-0005-0000-0000-0000BE8B0000}"/>
    <cellStyle name="40 % - Markeringsfarve6 3 2 12" xfId="22388" xr:uid="{00000000-0005-0000-0000-0000BF8B0000}"/>
    <cellStyle name="40 % - Markeringsfarve6 3 2 13" xfId="37376" xr:uid="{00000000-0005-0000-0000-0000C08B0000}"/>
    <cellStyle name="40 % - Markeringsfarve6 3 2 14" xfId="54039" xr:uid="{00000000-0005-0000-0000-0000C18B0000}"/>
    <cellStyle name="40 % - Markeringsfarve6 3 2 2" xfId="4535" xr:uid="{00000000-0005-0000-0000-0000C28B0000}"/>
    <cellStyle name="40 % - Markeringsfarve6 3 2 2 2" xfId="4536" xr:uid="{00000000-0005-0000-0000-0000C38B0000}"/>
    <cellStyle name="40 % - Markeringsfarve6 3 2 2 2 2" xfId="4537" xr:uid="{00000000-0005-0000-0000-0000C48B0000}"/>
    <cellStyle name="40 % - Markeringsfarve6 3 2 2 2 2 2" xfId="7672" xr:uid="{00000000-0005-0000-0000-0000C58B0000}"/>
    <cellStyle name="40 % - Markeringsfarve6 3 2 2 2 2 2 2" xfId="15573" xr:uid="{00000000-0005-0000-0000-0000C68B0000}"/>
    <cellStyle name="40 % - Markeringsfarve6 3 2 2 2 2 2 2 2" xfId="31887" xr:uid="{00000000-0005-0000-0000-0000C78B0000}"/>
    <cellStyle name="40 % - Markeringsfarve6 3 2 2 2 2 2 2 3" xfId="46851" xr:uid="{00000000-0005-0000-0000-0000C88B0000}"/>
    <cellStyle name="40 % - Markeringsfarve6 3 2 2 2 2 2 3" xfId="24865" xr:uid="{00000000-0005-0000-0000-0000C98B0000}"/>
    <cellStyle name="40 % - Markeringsfarve6 3 2 2 2 2 2 4" xfId="39852" xr:uid="{00000000-0005-0000-0000-0000CA8B0000}"/>
    <cellStyle name="40 % - Markeringsfarve6 3 2 2 2 2 3" xfId="13094" xr:uid="{00000000-0005-0000-0000-0000CB8B0000}"/>
    <cellStyle name="40 % - Markeringsfarve6 3 2 2 2 2 3 2" xfId="29413" xr:uid="{00000000-0005-0000-0000-0000CC8B0000}"/>
    <cellStyle name="40 % - Markeringsfarve6 3 2 2 2 2 3 3" xfId="44378" xr:uid="{00000000-0005-0000-0000-0000CD8B0000}"/>
    <cellStyle name="40 % - Markeringsfarve6 3 2 2 2 2 4" xfId="22391" xr:uid="{00000000-0005-0000-0000-0000CE8B0000}"/>
    <cellStyle name="40 % - Markeringsfarve6 3 2 2 2 2 5" xfId="37379" xr:uid="{00000000-0005-0000-0000-0000CF8B0000}"/>
    <cellStyle name="40 % - Markeringsfarve6 3 2 2 2 3" xfId="6245" xr:uid="{00000000-0005-0000-0000-0000D08B0000}"/>
    <cellStyle name="40 % - Markeringsfarve6 3 2 2 2 3 2" xfId="14162" xr:uid="{00000000-0005-0000-0000-0000D18B0000}"/>
    <cellStyle name="40 % - Markeringsfarve6 3 2 2 2 3 2 2" xfId="30476" xr:uid="{00000000-0005-0000-0000-0000D28B0000}"/>
    <cellStyle name="40 % - Markeringsfarve6 3 2 2 2 3 2 3" xfId="45440" xr:uid="{00000000-0005-0000-0000-0000D38B0000}"/>
    <cellStyle name="40 % - Markeringsfarve6 3 2 2 2 3 3" xfId="23454" xr:uid="{00000000-0005-0000-0000-0000D48B0000}"/>
    <cellStyle name="40 % - Markeringsfarve6 3 2 2 2 3 4" xfId="38441" xr:uid="{00000000-0005-0000-0000-0000D58B0000}"/>
    <cellStyle name="40 % - Markeringsfarve6 3 2 2 2 4" xfId="13093" xr:uid="{00000000-0005-0000-0000-0000D68B0000}"/>
    <cellStyle name="40 % - Markeringsfarve6 3 2 2 2 4 2" xfId="29412" xr:uid="{00000000-0005-0000-0000-0000D78B0000}"/>
    <cellStyle name="40 % - Markeringsfarve6 3 2 2 2 4 3" xfId="44377" xr:uid="{00000000-0005-0000-0000-0000D88B0000}"/>
    <cellStyle name="40 % - Markeringsfarve6 3 2 2 2 5" xfId="22390" xr:uid="{00000000-0005-0000-0000-0000D98B0000}"/>
    <cellStyle name="40 % - Markeringsfarve6 3 2 2 2 6" xfId="37378" xr:uid="{00000000-0005-0000-0000-0000DA8B0000}"/>
    <cellStyle name="40 % - Markeringsfarve6 3 2 2 3" xfId="4538" xr:uid="{00000000-0005-0000-0000-0000DB8B0000}"/>
    <cellStyle name="40 % - Markeringsfarve6 3 2 2 3 2" xfId="6902" xr:uid="{00000000-0005-0000-0000-0000DC8B0000}"/>
    <cellStyle name="40 % - Markeringsfarve6 3 2 2 3 2 2" xfId="14813" xr:uid="{00000000-0005-0000-0000-0000DD8B0000}"/>
    <cellStyle name="40 % - Markeringsfarve6 3 2 2 3 2 2 2" xfId="31127" xr:uid="{00000000-0005-0000-0000-0000DE8B0000}"/>
    <cellStyle name="40 % - Markeringsfarve6 3 2 2 3 2 2 3" xfId="46091" xr:uid="{00000000-0005-0000-0000-0000DF8B0000}"/>
    <cellStyle name="40 % - Markeringsfarve6 3 2 2 3 2 3" xfId="24105" xr:uid="{00000000-0005-0000-0000-0000E08B0000}"/>
    <cellStyle name="40 % - Markeringsfarve6 3 2 2 3 2 4" xfId="39092" xr:uid="{00000000-0005-0000-0000-0000E18B0000}"/>
    <cellStyle name="40 % - Markeringsfarve6 3 2 2 3 3" xfId="13095" xr:uid="{00000000-0005-0000-0000-0000E28B0000}"/>
    <cellStyle name="40 % - Markeringsfarve6 3 2 2 3 3 2" xfId="29414" xr:uid="{00000000-0005-0000-0000-0000E38B0000}"/>
    <cellStyle name="40 % - Markeringsfarve6 3 2 2 3 3 3" xfId="44379" xr:uid="{00000000-0005-0000-0000-0000E48B0000}"/>
    <cellStyle name="40 % - Markeringsfarve6 3 2 2 3 4" xfId="22392" xr:uid="{00000000-0005-0000-0000-0000E58B0000}"/>
    <cellStyle name="40 % - Markeringsfarve6 3 2 2 3 5" xfId="37380" xr:uid="{00000000-0005-0000-0000-0000E68B0000}"/>
    <cellStyle name="40 % - Markeringsfarve6 3 2 2 4" xfId="4539" xr:uid="{00000000-0005-0000-0000-0000E78B0000}"/>
    <cellStyle name="40 % - Markeringsfarve6 3 2 2 4 2" xfId="8393" xr:uid="{00000000-0005-0000-0000-0000E88B0000}"/>
    <cellStyle name="40 % - Markeringsfarve6 3 2 2 4 2 2" xfId="16286" xr:uid="{00000000-0005-0000-0000-0000E98B0000}"/>
    <cellStyle name="40 % - Markeringsfarve6 3 2 2 4 2 2 2" xfId="32600" xr:uid="{00000000-0005-0000-0000-0000EA8B0000}"/>
    <cellStyle name="40 % - Markeringsfarve6 3 2 2 4 2 2 3" xfId="47564" xr:uid="{00000000-0005-0000-0000-0000EB8B0000}"/>
    <cellStyle name="40 % - Markeringsfarve6 3 2 2 4 2 3" xfId="25578" xr:uid="{00000000-0005-0000-0000-0000EC8B0000}"/>
    <cellStyle name="40 % - Markeringsfarve6 3 2 2 4 2 4" xfId="40565" xr:uid="{00000000-0005-0000-0000-0000ED8B0000}"/>
    <cellStyle name="40 % - Markeringsfarve6 3 2 2 4 3" xfId="13096" xr:uid="{00000000-0005-0000-0000-0000EE8B0000}"/>
    <cellStyle name="40 % - Markeringsfarve6 3 2 2 4 3 2" xfId="29415" xr:uid="{00000000-0005-0000-0000-0000EF8B0000}"/>
    <cellStyle name="40 % - Markeringsfarve6 3 2 2 4 3 3" xfId="44380" xr:uid="{00000000-0005-0000-0000-0000F08B0000}"/>
    <cellStyle name="40 % - Markeringsfarve6 3 2 2 4 4" xfId="22393" xr:uid="{00000000-0005-0000-0000-0000F18B0000}"/>
    <cellStyle name="40 % - Markeringsfarve6 3 2 2 4 5" xfId="37381" xr:uid="{00000000-0005-0000-0000-0000F28B0000}"/>
    <cellStyle name="40 % - Markeringsfarve6 3 2 2 5" xfId="6052" xr:uid="{00000000-0005-0000-0000-0000F38B0000}"/>
    <cellStyle name="40 % - Markeringsfarve6 3 2 2 5 2" xfId="13970" xr:uid="{00000000-0005-0000-0000-0000F48B0000}"/>
    <cellStyle name="40 % - Markeringsfarve6 3 2 2 5 2 2" xfId="30284" xr:uid="{00000000-0005-0000-0000-0000F58B0000}"/>
    <cellStyle name="40 % - Markeringsfarve6 3 2 2 5 2 3" xfId="45248" xr:uid="{00000000-0005-0000-0000-0000F68B0000}"/>
    <cellStyle name="40 % - Markeringsfarve6 3 2 2 5 3" xfId="23262" xr:uid="{00000000-0005-0000-0000-0000F78B0000}"/>
    <cellStyle name="40 % - Markeringsfarve6 3 2 2 5 4" xfId="38249" xr:uid="{00000000-0005-0000-0000-0000F88B0000}"/>
    <cellStyle name="40 % - Markeringsfarve6 3 2 2 6" xfId="13092" xr:uid="{00000000-0005-0000-0000-0000F98B0000}"/>
    <cellStyle name="40 % - Markeringsfarve6 3 2 2 6 2" xfId="29411" xr:uid="{00000000-0005-0000-0000-0000FA8B0000}"/>
    <cellStyle name="40 % - Markeringsfarve6 3 2 2 6 3" xfId="44376" xr:uid="{00000000-0005-0000-0000-0000FB8B0000}"/>
    <cellStyle name="40 % - Markeringsfarve6 3 2 2 7" xfId="22389" xr:uid="{00000000-0005-0000-0000-0000FC8B0000}"/>
    <cellStyle name="40 % - Markeringsfarve6 3 2 2 8" xfId="37377" xr:uid="{00000000-0005-0000-0000-0000FD8B0000}"/>
    <cellStyle name="40 % - Markeringsfarve6 3 2 2 9" xfId="57206" xr:uid="{00000000-0005-0000-0000-0000FE8B0000}"/>
    <cellStyle name="40 % - Markeringsfarve6 3 2 3" xfId="4540" xr:uid="{00000000-0005-0000-0000-0000FF8B0000}"/>
    <cellStyle name="40 % - Markeringsfarve6 3 2 3 2" xfId="4541" xr:uid="{00000000-0005-0000-0000-0000008C0000}"/>
    <cellStyle name="40 % - Markeringsfarve6 3 2 3 2 2" xfId="4542" xr:uid="{00000000-0005-0000-0000-0000018C0000}"/>
    <cellStyle name="40 % - Markeringsfarve6 3 2 3 2 2 2" xfId="7830" xr:uid="{00000000-0005-0000-0000-0000028C0000}"/>
    <cellStyle name="40 % - Markeringsfarve6 3 2 3 2 2 2 2" xfId="15731" xr:uid="{00000000-0005-0000-0000-0000038C0000}"/>
    <cellStyle name="40 % - Markeringsfarve6 3 2 3 2 2 2 2 2" xfId="32045" xr:uid="{00000000-0005-0000-0000-0000048C0000}"/>
    <cellStyle name="40 % - Markeringsfarve6 3 2 3 2 2 2 2 3" xfId="47009" xr:uid="{00000000-0005-0000-0000-0000058C0000}"/>
    <cellStyle name="40 % - Markeringsfarve6 3 2 3 2 2 2 3" xfId="25023" xr:uid="{00000000-0005-0000-0000-0000068C0000}"/>
    <cellStyle name="40 % - Markeringsfarve6 3 2 3 2 2 2 4" xfId="40010" xr:uid="{00000000-0005-0000-0000-0000078C0000}"/>
    <cellStyle name="40 % - Markeringsfarve6 3 2 3 2 2 3" xfId="13099" xr:uid="{00000000-0005-0000-0000-0000088C0000}"/>
    <cellStyle name="40 % - Markeringsfarve6 3 2 3 2 2 3 2" xfId="29418" xr:uid="{00000000-0005-0000-0000-0000098C0000}"/>
    <cellStyle name="40 % - Markeringsfarve6 3 2 3 2 2 3 3" xfId="44383" xr:uid="{00000000-0005-0000-0000-00000A8C0000}"/>
    <cellStyle name="40 % - Markeringsfarve6 3 2 3 2 2 4" xfId="22396" xr:uid="{00000000-0005-0000-0000-00000B8C0000}"/>
    <cellStyle name="40 % - Markeringsfarve6 3 2 3 2 2 5" xfId="37384" xr:uid="{00000000-0005-0000-0000-00000C8C0000}"/>
    <cellStyle name="40 % - Markeringsfarve6 3 2 3 2 3" xfId="6376" xr:uid="{00000000-0005-0000-0000-00000D8C0000}"/>
    <cellStyle name="40 % - Markeringsfarve6 3 2 3 2 3 2" xfId="14293" xr:uid="{00000000-0005-0000-0000-00000E8C0000}"/>
    <cellStyle name="40 % - Markeringsfarve6 3 2 3 2 3 2 2" xfId="30607" xr:uid="{00000000-0005-0000-0000-00000F8C0000}"/>
    <cellStyle name="40 % - Markeringsfarve6 3 2 3 2 3 2 3" xfId="45571" xr:uid="{00000000-0005-0000-0000-0000108C0000}"/>
    <cellStyle name="40 % - Markeringsfarve6 3 2 3 2 3 3" xfId="23585" xr:uid="{00000000-0005-0000-0000-0000118C0000}"/>
    <cellStyle name="40 % - Markeringsfarve6 3 2 3 2 3 4" xfId="38572" xr:uid="{00000000-0005-0000-0000-0000128C0000}"/>
    <cellStyle name="40 % - Markeringsfarve6 3 2 3 2 4" xfId="13098" xr:uid="{00000000-0005-0000-0000-0000138C0000}"/>
    <cellStyle name="40 % - Markeringsfarve6 3 2 3 2 4 2" xfId="29417" xr:uid="{00000000-0005-0000-0000-0000148C0000}"/>
    <cellStyle name="40 % - Markeringsfarve6 3 2 3 2 4 3" xfId="44382" xr:uid="{00000000-0005-0000-0000-0000158C0000}"/>
    <cellStyle name="40 % - Markeringsfarve6 3 2 3 2 5" xfId="22395" xr:uid="{00000000-0005-0000-0000-0000168C0000}"/>
    <cellStyle name="40 % - Markeringsfarve6 3 2 3 2 6" xfId="37383" xr:uid="{00000000-0005-0000-0000-0000178C0000}"/>
    <cellStyle name="40 % - Markeringsfarve6 3 2 3 3" xfId="4543" xr:uid="{00000000-0005-0000-0000-0000188C0000}"/>
    <cellStyle name="40 % - Markeringsfarve6 3 2 3 3 2" xfId="7060" xr:uid="{00000000-0005-0000-0000-0000198C0000}"/>
    <cellStyle name="40 % - Markeringsfarve6 3 2 3 3 2 2" xfId="14971" xr:uid="{00000000-0005-0000-0000-00001A8C0000}"/>
    <cellStyle name="40 % - Markeringsfarve6 3 2 3 3 2 2 2" xfId="31285" xr:uid="{00000000-0005-0000-0000-00001B8C0000}"/>
    <cellStyle name="40 % - Markeringsfarve6 3 2 3 3 2 2 3" xfId="46249" xr:uid="{00000000-0005-0000-0000-00001C8C0000}"/>
    <cellStyle name="40 % - Markeringsfarve6 3 2 3 3 2 3" xfId="24263" xr:uid="{00000000-0005-0000-0000-00001D8C0000}"/>
    <cellStyle name="40 % - Markeringsfarve6 3 2 3 3 2 4" xfId="39250" xr:uid="{00000000-0005-0000-0000-00001E8C0000}"/>
    <cellStyle name="40 % - Markeringsfarve6 3 2 3 3 3" xfId="13100" xr:uid="{00000000-0005-0000-0000-00001F8C0000}"/>
    <cellStyle name="40 % - Markeringsfarve6 3 2 3 3 3 2" xfId="29419" xr:uid="{00000000-0005-0000-0000-0000208C0000}"/>
    <cellStyle name="40 % - Markeringsfarve6 3 2 3 3 3 3" xfId="44384" xr:uid="{00000000-0005-0000-0000-0000218C0000}"/>
    <cellStyle name="40 % - Markeringsfarve6 3 2 3 3 4" xfId="22397" xr:uid="{00000000-0005-0000-0000-0000228C0000}"/>
    <cellStyle name="40 % - Markeringsfarve6 3 2 3 3 5" xfId="37385" xr:uid="{00000000-0005-0000-0000-0000238C0000}"/>
    <cellStyle name="40 % - Markeringsfarve6 3 2 3 4" xfId="4544" xr:uid="{00000000-0005-0000-0000-0000248C0000}"/>
    <cellStyle name="40 % - Markeringsfarve6 3 2 3 4 2" xfId="8622" xr:uid="{00000000-0005-0000-0000-0000258C0000}"/>
    <cellStyle name="40 % - Markeringsfarve6 3 2 3 4 2 2" xfId="16505" xr:uid="{00000000-0005-0000-0000-0000268C0000}"/>
    <cellStyle name="40 % - Markeringsfarve6 3 2 3 4 2 2 2" xfId="32819" xr:uid="{00000000-0005-0000-0000-0000278C0000}"/>
    <cellStyle name="40 % - Markeringsfarve6 3 2 3 4 2 2 3" xfId="47783" xr:uid="{00000000-0005-0000-0000-0000288C0000}"/>
    <cellStyle name="40 % - Markeringsfarve6 3 2 3 4 2 3" xfId="25797" xr:uid="{00000000-0005-0000-0000-0000298C0000}"/>
    <cellStyle name="40 % - Markeringsfarve6 3 2 3 4 2 4" xfId="40784" xr:uid="{00000000-0005-0000-0000-00002A8C0000}"/>
    <cellStyle name="40 % - Markeringsfarve6 3 2 3 4 3" xfId="13101" xr:uid="{00000000-0005-0000-0000-00002B8C0000}"/>
    <cellStyle name="40 % - Markeringsfarve6 3 2 3 4 3 2" xfId="29420" xr:uid="{00000000-0005-0000-0000-00002C8C0000}"/>
    <cellStyle name="40 % - Markeringsfarve6 3 2 3 4 3 3" xfId="44385" xr:uid="{00000000-0005-0000-0000-00002D8C0000}"/>
    <cellStyle name="40 % - Markeringsfarve6 3 2 3 4 4" xfId="22398" xr:uid="{00000000-0005-0000-0000-00002E8C0000}"/>
    <cellStyle name="40 % - Markeringsfarve6 3 2 3 4 5" xfId="37386" xr:uid="{00000000-0005-0000-0000-00002F8C0000}"/>
    <cellStyle name="40 % - Markeringsfarve6 3 2 3 5" xfId="6053" xr:uid="{00000000-0005-0000-0000-0000308C0000}"/>
    <cellStyle name="40 % - Markeringsfarve6 3 2 3 5 2" xfId="13971" xr:uid="{00000000-0005-0000-0000-0000318C0000}"/>
    <cellStyle name="40 % - Markeringsfarve6 3 2 3 5 2 2" xfId="30285" xr:uid="{00000000-0005-0000-0000-0000328C0000}"/>
    <cellStyle name="40 % - Markeringsfarve6 3 2 3 5 2 3" xfId="45249" xr:uid="{00000000-0005-0000-0000-0000338C0000}"/>
    <cellStyle name="40 % - Markeringsfarve6 3 2 3 5 3" xfId="23263" xr:uid="{00000000-0005-0000-0000-0000348C0000}"/>
    <cellStyle name="40 % - Markeringsfarve6 3 2 3 5 4" xfId="38250" xr:uid="{00000000-0005-0000-0000-0000358C0000}"/>
    <cellStyle name="40 % - Markeringsfarve6 3 2 3 6" xfId="13097" xr:uid="{00000000-0005-0000-0000-0000368C0000}"/>
    <cellStyle name="40 % - Markeringsfarve6 3 2 3 6 2" xfId="29416" xr:uid="{00000000-0005-0000-0000-0000378C0000}"/>
    <cellStyle name="40 % - Markeringsfarve6 3 2 3 6 3" xfId="44381" xr:uid="{00000000-0005-0000-0000-0000388C0000}"/>
    <cellStyle name="40 % - Markeringsfarve6 3 2 3 7" xfId="22394" xr:uid="{00000000-0005-0000-0000-0000398C0000}"/>
    <cellStyle name="40 % - Markeringsfarve6 3 2 3 8" xfId="37382" xr:uid="{00000000-0005-0000-0000-00003A8C0000}"/>
    <cellStyle name="40 % - Markeringsfarve6 3 2 4" xfId="4545" xr:uid="{00000000-0005-0000-0000-00003B8C0000}"/>
    <cellStyle name="40 % - Markeringsfarve6 3 2 4 2" xfId="4546" xr:uid="{00000000-0005-0000-0000-00003C8C0000}"/>
    <cellStyle name="40 % - Markeringsfarve6 3 2 4 2 2" xfId="4547" xr:uid="{00000000-0005-0000-0000-00003D8C0000}"/>
    <cellStyle name="40 % - Markeringsfarve6 3 2 4 2 2 2" xfId="7910" xr:uid="{00000000-0005-0000-0000-00003E8C0000}"/>
    <cellStyle name="40 % - Markeringsfarve6 3 2 4 2 2 2 2" xfId="15811" xr:uid="{00000000-0005-0000-0000-00003F8C0000}"/>
    <cellStyle name="40 % - Markeringsfarve6 3 2 4 2 2 2 2 2" xfId="32125" xr:uid="{00000000-0005-0000-0000-0000408C0000}"/>
    <cellStyle name="40 % - Markeringsfarve6 3 2 4 2 2 2 2 3" xfId="47089" xr:uid="{00000000-0005-0000-0000-0000418C0000}"/>
    <cellStyle name="40 % - Markeringsfarve6 3 2 4 2 2 2 3" xfId="25103" xr:uid="{00000000-0005-0000-0000-0000428C0000}"/>
    <cellStyle name="40 % - Markeringsfarve6 3 2 4 2 2 2 4" xfId="40090" xr:uid="{00000000-0005-0000-0000-0000438C0000}"/>
    <cellStyle name="40 % - Markeringsfarve6 3 2 4 2 2 3" xfId="13104" xr:uid="{00000000-0005-0000-0000-0000448C0000}"/>
    <cellStyle name="40 % - Markeringsfarve6 3 2 4 2 2 3 2" xfId="29423" xr:uid="{00000000-0005-0000-0000-0000458C0000}"/>
    <cellStyle name="40 % - Markeringsfarve6 3 2 4 2 2 3 3" xfId="44388" xr:uid="{00000000-0005-0000-0000-0000468C0000}"/>
    <cellStyle name="40 % - Markeringsfarve6 3 2 4 2 2 4" xfId="22401" xr:uid="{00000000-0005-0000-0000-0000478C0000}"/>
    <cellStyle name="40 % - Markeringsfarve6 3 2 4 2 2 5" xfId="37389" xr:uid="{00000000-0005-0000-0000-0000488C0000}"/>
    <cellStyle name="40 % - Markeringsfarve6 3 2 4 2 3" xfId="6447" xr:uid="{00000000-0005-0000-0000-0000498C0000}"/>
    <cellStyle name="40 % - Markeringsfarve6 3 2 4 2 3 2" xfId="14361" xr:uid="{00000000-0005-0000-0000-00004A8C0000}"/>
    <cellStyle name="40 % - Markeringsfarve6 3 2 4 2 3 2 2" xfId="30675" xr:uid="{00000000-0005-0000-0000-00004B8C0000}"/>
    <cellStyle name="40 % - Markeringsfarve6 3 2 4 2 3 2 3" xfId="45639" xr:uid="{00000000-0005-0000-0000-00004C8C0000}"/>
    <cellStyle name="40 % - Markeringsfarve6 3 2 4 2 3 3" xfId="23653" xr:uid="{00000000-0005-0000-0000-00004D8C0000}"/>
    <cellStyle name="40 % - Markeringsfarve6 3 2 4 2 3 4" xfId="38640" xr:uid="{00000000-0005-0000-0000-00004E8C0000}"/>
    <cellStyle name="40 % - Markeringsfarve6 3 2 4 2 4" xfId="13103" xr:uid="{00000000-0005-0000-0000-00004F8C0000}"/>
    <cellStyle name="40 % - Markeringsfarve6 3 2 4 2 4 2" xfId="29422" xr:uid="{00000000-0005-0000-0000-0000508C0000}"/>
    <cellStyle name="40 % - Markeringsfarve6 3 2 4 2 4 3" xfId="44387" xr:uid="{00000000-0005-0000-0000-0000518C0000}"/>
    <cellStyle name="40 % - Markeringsfarve6 3 2 4 2 5" xfId="22400" xr:uid="{00000000-0005-0000-0000-0000528C0000}"/>
    <cellStyle name="40 % - Markeringsfarve6 3 2 4 2 6" xfId="37388" xr:uid="{00000000-0005-0000-0000-0000538C0000}"/>
    <cellStyle name="40 % - Markeringsfarve6 3 2 4 3" xfId="4548" xr:uid="{00000000-0005-0000-0000-0000548C0000}"/>
    <cellStyle name="40 % - Markeringsfarve6 3 2 4 3 2" xfId="7186" xr:uid="{00000000-0005-0000-0000-0000558C0000}"/>
    <cellStyle name="40 % - Markeringsfarve6 3 2 4 3 2 2" xfId="15096" xr:uid="{00000000-0005-0000-0000-0000568C0000}"/>
    <cellStyle name="40 % - Markeringsfarve6 3 2 4 3 2 2 2" xfId="31410" xr:uid="{00000000-0005-0000-0000-0000578C0000}"/>
    <cellStyle name="40 % - Markeringsfarve6 3 2 4 3 2 2 3" xfId="46374" xr:uid="{00000000-0005-0000-0000-0000588C0000}"/>
    <cellStyle name="40 % - Markeringsfarve6 3 2 4 3 2 3" xfId="24388" xr:uid="{00000000-0005-0000-0000-0000598C0000}"/>
    <cellStyle name="40 % - Markeringsfarve6 3 2 4 3 2 4" xfId="39375" xr:uid="{00000000-0005-0000-0000-00005A8C0000}"/>
    <cellStyle name="40 % - Markeringsfarve6 3 2 4 3 3" xfId="13105" xr:uid="{00000000-0005-0000-0000-00005B8C0000}"/>
    <cellStyle name="40 % - Markeringsfarve6 3 2 4 3 3 2" xfId="29424" xr:uid="{00000000-0005-0000-0000-00005C8C0000}"/>
    <cellStyle name="40 % - Markeringsfarve6 3 2 4 3 3 3" xfId="44389" xr:uid="{00000000-0005-0000-0000-00005D8C0000}"/>
    <cellStyle name="40 % - Markeringsfarve6 3 2 4 3 4" xfId="22402" xr:uid="{00000000-0005-0000-0000-00005E8C0000}"/>
    <cellStyle name="40 % - Markeringsfarve6 3 2 4 3 5" xfId="37390" xr:uid="{00000000-0005-0000-0000-00005F8C0000}"/>
    <cellStyle name="40 % - Markeringsfarve6 3 2 4 4" xfId="4549" xr:uid="{00000000-0005-0000-0000-0000608C0000}"/>
    <cellStyle name="40 % - Markeringsfarve6 3 2 4 4 2" xfId="8272" xr:uid="{00000000-0005-0000-0000-0000618C0000}"/>
    <cellStyle name="40 % - Markeringsfarve6 3 2 4 4 2 2" xfId="16166" xr:uid="{00000000-0005-0000-0000-0000628C0000}"/>
    <cellStyle name="40 % - Markeringsfarve6 3 2 4 4 2 2 2" xfId="32480" xr:uid="{00000000-0005-0000-0000-0000638C0000}"/>
    <cellStyle name="40 % - Markeringsfarve6 3 2 4 4 2 2 3" xfId="47444" xr:uid="{00000000-0005-0000-0000-0000648C0000}"/>
    <cellStyle name="40 % - Markeringsfarve6 3 2 4 4 2 3" xfId="25458" xr:uid="{00000000-0005-0000-0000-0000658C0000}"/>
    <cellStyle name="40 % - Markeringsfarve6 3 2 4 4 2 4" xfId="40445" xr:uid="{00000000-0005-0000-0000-0000668C0000}"/>
    <cellStyle name="40 % - Markeringsfarve6 3 2 4 4 3" xfId="13106" xr:uid="{00000000-0005-0000-0000-0000678C0000}"/>
    <cellStyle name="40 % - Markeringsfarve6 3 2 4 4 3 2" xfId="29425" xr:uid="{00000000-0005-0000-0000-0000688C0000}"/>
    <cellStyle name="40 % - Markeringsfarve6 3 2 4 4 3 3" xfId="44390" xr:uid="{00000000-0005-0000-0000-0000698C0000}"/>
    <cellStyle name="40 % - Markeringsfarve6 3 2 4 4 4" xfId="22403" xr:uid="{00000000-0005-0000-0000-00006A8C0000}"/>
    <cellStyle name="40 % - Markeringsfarve6 3 2 4 4 5" xfId="37391" xr:uid="{00000000-0005-0000-0000-00006B8C0000}"/>
    <cellStyle name="40 % - Markeringsfarve6 3 2 4 5" xfId="6054" xr:uid="{00000000-0005-0000-0000-00006C8C0000}"/>
    <cellStyle name="40 % - Markeringsfarve6 3 2 4 5 2" xfId="13972" xr:uid="{00000000-0005-0000-0000-00006D8C0000}"/>
    <cellStyle name="40 % - Markeringsfarve6 3 2 4 5 2 2" xfId="30286" xr:uid="{00000000-0005-0000-0000-00006E8C0000}"/>
    <cellStyle name="40 % - Markeringsfarve6 3 2 4 5 2 3" xfId="45250" xr:uid="{00000000-0005-0000-0000-00006F8C0000}"/>
    <cellStyle name="40 % - Markeringsfarve6 3 2 4 5 3" xfId="23264" xr:uid="{00000000-0005-0000-0000-0000708C0000}"/>
    <cellStyle name="40 % - Markeringsfarve6 3 2 4 5 4" xfId="38251" xr:uid="{00000000-0005-0000-0000-0000718C0000}"/>
    <cellStyle name="40 % - Markeringsfarve6 3 2 4 6" xfId="13102" xr:uid="{00000000-0005-0000-0000-0000728C0000}"/>
    <cellStyle name="40 % - Markeringsfarve6 3 2 4 6 2" xfId="29421" xr:uid="{00000000-0005-0000-0000-0000738C0000}"/>
    <cellStyle name="40 % - Markeringsfarve6 3 2 4 6 3" xfId="44386" xr:uid="{00000000-0005-0000-0000-0000748C0000}"/>
    <cellStyle name="40 % - Markeringsfarve6 3 2 4 7" xfId="22399" xr:uid="{00000000-0005-0000-0000-0000758C0000}"/>
    <cellStyle name="40 % - Markeringsfarve6 3 2 4 8" xfId="37387" xr:uid="{00000000-0005-0000-0000-0000768C0000}"/>
    <cellStyle name="40 % - Markeringsfarve6 3 2 5" xfId="4550" xr:uid="{00000000-0005-0000-0000-0000778C0000}"/>
    <cellStyle name="40 % - Markeringsfarve6 3 2 5 2" xfId="4551" xr:uid="{00000000-0005-0000-0000-0000788C0000}"/>
    <cellStyle name="40 % - Markeringsfarve6 3 2 5 2 2" xfId="4552" xr:uid="{00000000-0005-0000-0000-0000798C0000}"/>
    <cellStyle name="40 % - Markeringsfarve6 3 2 5 2 2 2" xfId="8027" xr:uid="{00000000-0005-0000-0000-00007A8C0000}"/>
    <cellStyle name="40 % - Markeringsfarve6 3 2 5 2 2 2 2" xfId="15928" xr:uid="{00000000-0005-0000-0000-00007B8C0000}"/>
    <cellStyle name="40 % - Markeringsfarve6 3 2 5 2 2 2 2 2" xfId="32242" xr:uid="{00000000-0005-0000-0000-00007C8C0000}"/>
    <cellStyle name="40 % - Markeringsfarve6 3 2 5 2 2 2 2 3" xfId="47206" xr:uid="{00000000-0005-0000-0000-00007D8C0000}"/>
    <cellStyle name="40 % - Markeringsfarve6 3 2 5 2 2 2 3" xfId="25220" xr:uid="{00000000-0005-0000-0000-00007E8C0000}"/>
    <cellStyle name="40 % - Markeringsfarve6 3 2 5 2 2 2 4" xfId="40207" xr:uid="{00000000-0005-0000-0000-00007F8C0000}"/>
    <cellStyle name="40 % - Markeringsfarve6 3 2 5 2 2 3" xfId="13109" xr:uid="{00000000-0005-0000-0000-0000808C0000}"/>
    <cellStyle name="40 % - Markeringsfarve6 3 2 5 2 2 3 2" xfId="29428" xr:uid="{00000000-0005-0000-0000-0000818C0000}"/>
    <cellStyle name="40 % - Markeringsfarve6 3 2 5 2 2 3 3" xfId="44393" xr:uid="{00000000-0005-0000-0000-0000828C0000}"/>
    <cellStyle name="40 % - Markeringsfarve6 3 2 5 2 2 4" xfId="22406" xr:uid="{00000000-0005-0000-0000-0000838C0000}"/>
    <cellStyle name="40 % - Markeringsfarve6 3 2 5 2 2 5" xfId="37394" xr:uid="{00000000-0005-0000-0000-0000848C0000}"/>
    <cellStyle name="40 % - Markeringsfarve6 3 2 5 2 3" xfId="6546" xr:uid="{00000000-0005-0000-0000-0000858C0000}"/>
    <cellStyle name="40 % - Markeringsfarve6 3 2 5 2 3 2" xfId="14460" xr:uid="{00000000-0005-0000-0000-0000868C0000}"/>
    <cellStyle name="40 % - Markeringsfarve6 3 2 5 2 3 2 2" xfId="30774" xr:uid="{00000000-0005-0000-0000-0000878C0000}"/>
    <cellStyle name="40 % - Markeringsfarve6 3 2 5 2 3 2 3" xfId="45738" xr:uid="{00000000-0005-0000-0000-0000888C0000}"/>
    <cellStyle name="40 % - Markeringsfarve6 3 2 5 2 3 3" xfId="23752" xr:uid="{00000000-0005-0000-0000-0000898C0000}"/>
    <cellStyle name="40 % - Markeringsfarve6 3 2 5 2 3 4" xfId="38739" xr:uid="{00000000-0005-0000-0000-00008A8C0000}"/>
    <cellStyle name="40 % - Markeringsfarve6 3 2 5 2 4" xfId="13108" xr:uid="{00000000-0005-0000-0000-00008B8C0000}"/>
    <cellStyle name="40 % - Markeringsfarve6 3 2 5 2 4 2" xfId="29427" xr:uid="{00000000-0005-0000-0000-00008C8C0000}"/>
    <cellStyle name="40 % - Markeringsfarve6 3 2 5 2 4 3" xfId="44392" xr:uid="{00000000-0005-0000-0000-00008D8C0000}"/>
    <cellStyle name="40 % - Markeringsfarve6 3 2 5 2 5" xfId="22405" xr:uid="{00000000-0005-0000-0000-00008E8C0000}"/>
    <cellStyle name="40 % - Markeringsfarve6 3 2 5 2 6" xfId="37393" xr:uid="{00000000-0005-0000-0000-00008F8C0000}"/>
    <cellStyle name="40 % - Markeringsfarve6 3 2 5 3" xfId="4553" xr:uid="{00000000-0005-0000-0000-0000908C0000}"/>
    <cellStyle name="40 % - Markeringsfarve6 3 2 5 3 2" xfId="7303" xr:uid="{00000000-0005-0000-0000-0000918C0000}"/>
    <cellStyle name="40 % - Markeringsfarve6 3 2 5 3 2 2" xfId="15213" xr:uid="{00000000-0005-0000-0000-0000928C0000}"/>
    <cellStyle name="40 % - Markeringsfarve6 3 2 5 3 2 2 2" xfId="31527" xr:uid="{00000000-0005-0000-0000-0000938C0000}"/>
    <cellStyle name="40 % - Markeringsfarve6 3 2 5 3 2 2 3" xfId="46491" xr:uid="{00000000-0005-0000-0000-0000948C0000}"/>
    <cellStyle name="40 % - Markeringsfarve6 3 2 5 3 2 3" xfId="24505" xr:uid="{00000000-0005-0000-0000-0000958C0000}"/>
    <cellStyle name="40 % - Markeringsfarve6 3 2 5 3 2 4" xfId="39492" xr:uid="{00000000-0005-0000-0000-0000968C0000}"/>
    <cellStyle name="40 % - Markeringsfarve6 3 2 5 3 3" xfId="13110" xr:uid="{00000000-0005-0000-0000-0000978C0000}"/>
    <cellStyle name="40 % - Markeringsfarve6 3 2 5 3 3 2" xfId="29429" xr:uid="{00000000-0005-0000-0000-0000988C0000}"/>
    <cellStyle name="40 % - Markeringsfarve6 3 2 5 3 3 3" xfId="44394" xr:uid="{00000000-0005-0000-0000-0000998C0000}"/>
    <cellStyle name="40 % - Markeringsfarve6 3 2 5 3 4" xfId="22407" xr:uid="{00000000-0005-0000-0000-00009A8C0000}"/>
    <cellStyle name="40 % - Markeringsfarve6 3 2 5 3 5" xfId="37395" xr:uid="{00000000-0005-0000-0000-00009B8C0000}"/>
    <cellStyle name="40 % - Markeringsfarve6 3 2 5 4" xfId="4554" xr:uid="{00000000-0005-0000-0000-00009C8C0000}"/>
    <cellStyle name="40 % - Markeringsfarve6 3 2 5 4 2" xfId="8578" xr:uid="{00000000-0005-0000-0000-00009D8C0000}"/>
    <cellStyle name="40 % - Markeringsfarve6 3 2 5 4 2 2" xfId="16465" xr:uid="{00000000-0005-0000-0000-00009E8C0000}"/>
    <cellStyle name="40 % - Markeringsfarve6 3 2 5 4 2 2 2" xfId="32779" xr:uid="{00000000-0005-0000-0000-00009F8C0000}"/>
    <cellStyle name="40 % - Markeringsfarve6 3 2 5 4 2 2 3" xfId="47743" xr:uid="{00000000-0005-0000-0000-0000A08C0000}"/>
    <cellStyle name="40 % - Markeringsfarve6 3 2 5 4 2 3" xfId="25757" xr:uid="{00000000-0005-0000-0000-0000A18C0000}"/>
    <cellStyle name="40 % - Markeringsfarve6 3 2 5 4 2 4" xfId="40744" xr:uid="{00000000-0005-0000-0000-0000A28C0000}"/>
    <cellStyle name="40 % - Markeringsfarve6 3 2 5 4 3" xfId="13111" xr:uid="{00000000-0005-0000-0000-0000A38C0000}"/>
    <cellStyle name="40 % - Markeringsfarve6 3 2 5 4 3 2" xfId="29430" xr:uid="{00000000-0005-0000-0000-0000A48C0000}"/>
    <cellStyle name="40 % - Markeringsfarve6 3 2 5 4 3 3" xfId="44395" xr:uid="{00000000-0005-0000-0000-0000A58C0000}"/>
    <cellStyle name="40 % - Markeringsfarve6 3 2 5 4 4" xfId="22408" xr:uid="{00000000-0005-0000-0000-0000A68C0000}"/>
    <cellStyle name="40 % - Markeringsfarve6 3 2 5 4 5" xfId="37396" xr:uid="{00000000-0005-0000-0000-0000A78C0000}"/>
    <cellStyle name="40 % - Markeringsfarve6 3 2 5 5" xfId="6055" xr:uid="{00000000-0005-0000-0000-0000A88C0000}"/>
    <cellStyle name="40 % - Markeringsfarve6 3 2 5 5 2" xfId="13973" xr:uid="{00000000-0005-0000-0000-0000A98C0000}"/>
    <cellStyle name="40 % - Markeringsfarve6 3 2 5 5 2 2" xfId="30287" xr:uid="{00000000-0005-0000-0000-0000AA8C0000}"/>
    <cellStyle name="40 % - Markeringsfarve6 3 2 5 5 2 3" xfId="45251" xr:uid="{00000000-0005-0000-0000-0000AB8C0000}"/>
    <cellStyle name="40 % - Markeringsfarve6 3 2 5 5 3" xfId="23265" xr:uid="{00000000-0005-0000-0000-0000AC8C0000}"/>
    <cellStyle name="40 % - Markeringsfarve6 3 2 5 5 4" xfId="38252" xr:uid="{00000000-0005-0000-0000-0000AD8C0000}"/>
    <cellStyle name="40 % - Markeringsfarve6 3 2 5 6" xfId="13107" xr:uid="{00000000-0005-0000-0000-0000AE8C0000}"/>
    <cellStyle name="40 % - Markeringsfarve6 3 2 5 6 2" xfId="29426" xr:uid="{00000000-0005-0000-0000-0000AF8C0000}"/>
    <cellStyle name="40 % - Markeringsfarve6 3 2 5 6 3" xfId="44391" xr:uid="{00000000-0005-0000-0000-0000B08C0000}"/>
    <cellStyle name="40 % - Markeringsfarve6 3 2 5 7" xfId="22404" xr:uid="{00000000-0005-0000-0000-0000B18C0000}"/>
    <cellStyle name="40 % - Markeringsfarve6 3 2 5 8" xfId="37392" xr:uid="{00000000-0005-0000-0000-0000B28C0000}"/>
    <cellStyle name="40 % - Markeringsfarve6 3 2 6" xfId="4555" xr:uid="{00000000-0005-0000-0000-0000B38C0000}"/>
    <cellStyle name="40 % - Markeringsfarve6 3 2 6 2" xfId="4556" xr:uid="{00000000-0005-0000-0000-0000B48C0000}"/>
    <cellStyle name="40 % - Markeringsfarve6 3 2 6 2 2" xfId="4557" xr:uid="{00000000-0005-0000-0000-0000B58C0000}"/>
    <cellStyle name="40 % - Markeringsfarve6 3 2 6 2 2 2" xfId="8184" xr:uid="{00000000-0005-0000-0000-0000B68C0000}"/>
    <cellStyle name="40 % - Markeringsfarve6 3 2 6 2 2 2 2" xfId="16085" xr:uid="{00000000-0005-0000-0000-0000B78C0000}"/>
    <cellStyle name="40 % - Markeringsfarve6 3 2 6 2 2 2 2 2" xfId="32399" xr:uid="{00000000-0005-0000-0000-0000B88C0000}"/>
    <cellStyle name="40 % - Markeringsfarve6 3 2 6 2 2 2 2 3" xfId="47363" xr:uid="{00000000-0005-0000-0000-0000B98C0000}"/>
    <cellStyle name="40 % - Markeringsfarve6 3 2 6 2 2 2 3" xfId="25377" xr:uid="{00000000-0005-0000-0000-0000BA8C0000}"/>
    <cellStyle name="40 % - Markeringsfarve6 3 2 6 2 2 2 4" xfId="40364" xr:uid="{00000000-0005-0000-0000-0000BB8C0000}"/>
    <cellStyle name="40 % - Markeringsfarve6 3 2 6 2 2 3" xfId="13114" xr:uid="{00000000-0005-0000-0000-0000BC8C0000}"/>
    <cellStyle name="40 % - Markeringsfarve6 3 2 6 2 2 3 2" xfId="29433" xr:uid="{00000000-0005-0000-0000-0000BD8C0000}"/>
    <cellStyle name="40 % - Markeringsfarve6 3 2 6 2 2 3 3" xfId="44398" xr:uid="{00000000-0005-0000-0000-0000BE8C0000}"/>
    <cellStyle name="40 % - Markeringsfarve6 3 2 6 2 2 4" xfId="22411" xr:uid="{00000000-0005-0000-0000-0000BF8C0000}"/>
    <cellStyle name="40 % - Markeringsfarve6 3 2 6 2 2 5" xfId="37399" xr:uid="{00000000-0005-0000-0000-0000C08C0000}"/>
    <cellStyle name="40 % - Markeringsfarve6 3 2 6 2 3" xfId="6677" xr:uid="{00000000-0005-0000-0000-0000C18C0000}"/>
    <cellStyle name="40 % - Markeringsfarve6 3 2 6 2 3 2" xfId="14591" xr:uid="{00000000-0005-0000-0000-0000C28C0000}"/>
    <cellStyle name="40 % - Markeringsfarve6 3 2 6 2 3 2 2" xfId="30905" xr:uid="{00000000-0005-0000-0000-0000C38C0000}"/>
    <cellStyle name="40 % - Markeringsfarve6 3 2 6 2 3 2 3" xfId="45869" xr:uid="{00000000-0005-0000-0000-0000C48C0000}"/>
    <cellStyle name="40 % - Markeringsfarve6 3 2 6 2 3 3" xfId="23883" xr:uid="{00000000-0005-0000-0000-0000C58C0000}"/>
    <cellStyle name="40 % - Markeringsfarve6 3 2 6 2 3 4" xfId="38870" xr:uid="{00000000-0005-0000-0000-0000C68C0000}"/>
    <cellStyle name="40 % - Markeringsfarve6 3 2 6 2 4" xfId="13113" xr:uid="{00000000-0005-0000-0000-0000C78C0000}"/>
    <cellStyle name="40 % - Markeringsfarve6 3 2 6 2 4 2" xfId="29432" xr:uid="{00000000-0005-0000-0000-0000C88C0000}"/>
    <cellStyle name="40 % - Markeringsfarve6 3 2 6 2 4 3" xfId="44397" xr:uid="{00000000-0005-0000-0000-0000C98C0000}"/>
    <cellStyle name="40 % - Markeringsfarve6 3 2 6 2 5" xfId="22410" xr:uid="{00000000-0005-0000-0000-0000CA8C0000}"/>
    <cellStyle name="40 % - Markeringsfarve6 3 2 6 2 6" xfId="37398" xr:uid="{00000000-0005-0000-0000-0000CB8C0000}"/>
    <cellStyle name="40 % - Markeringsfarve6 3 2 6 3" xfId="4558" xr:uid="{00000000-0005-0000-0000-0000CC8C0000}"/>
    <cellStyle name="40 % - Markeringsfarve6 3 2 6 3 2" xfId="7461" xr:uid="{00000000-0005-0000-0000-0000CD8C0000}"/>
    <cellStyle name="40 % - Markeringsfarve6 3 2 6 3 2 2" xfId="15371" xr:uid="{00000000-0005-0000-0000-0000CE8C0000}"/>
    <cellStyle name="40 % - Markeringsfarve6 3 2 6 3 2 2 2" xfId="31685" xr:uid="{00000000-0005-0000-0000-0000CF8C0000}"/>
    <cellStyle name="40 % - Markeringsfarve6 3 2 6 3 2 2 3" xfId="46649" xr:uid="{00000000-0005-0000-0000-0000D08C0000}"/>
    <cellStyle name="40 % - Markeringsfarve6 3 2 6 3 2 3" xfId="24663" xr:uid="{00000000-0005-0000-0000-0000D18C0000}"/>
    <cellStyle name="40 % - Markeringsfarve6 3 2 6 3 2 4" xfId="39650" xr:uid="{00000000-0005-0000-0000-0000D28C0000}"/>
    <cellStyle name="40 % - Markeringsfarve6 3 2 6 3 3" xfId="13115" xr:uid="{00000000-0005-0000-0000-0000D38C0000}"/>
    <cellStyle name="40 % - Markeringsfarve6 3 2 6 3 3 2" xfId="29434" xr:uid="{00000000-0005-0000-0000-0000D48C0000}"/>
    <cellStyle name="40 % - Markeringsfarve6 3 2 6 3 3 3" xfId="44399" xr:uid="{00000000-0005-0000-0000-0000D58C0000}"/>
    <cellStyle name="40 % - Markeringsfarve6 3 2 6 3 4" xfId="22412" xr:uid="{00000000-0005-0000-0000-0000D68C0000}"/>
    <cellStyle name="40 % - Markeringsfarve6 3 2 6 3 5" xfId="37400" xr:uid="{00000000-0005-0000-0000-0000D78C0000}"/>
    <cellStyle name="40 % - Markeringsfarve6 3 2 6 4" xfId="4559" xr:uid="{00000000-0005-0000-0000-0000D88C0000}"/>
    <cellStyle name="40 % - Markeringsfarve6 3 2 6 4 2" xfId="8227" xr:uid="{00000000-0005-0000-0000-0000D98C0000}"/>
    <cellStyle name="40 % - Markeringsfarve6 3 2 6 4 2 2" xfId="16124" xr:uid="{00000000-0005-0000-0000-0000DA8C0000}"/>
    <cellStyle name="40 % - Markeringsfarve6 3 2 6 4 2 2 2" xfId="32438" xr:uid="{00000000-0005-0000-0000-0000DB8C0000}"/>
    <cellStyle name="40 % - Markeringsfarve6 3 2 6 4 2 2 3" xfId="47402" xr:uid="{00000000-0005-0000-0000-0000DC8C0000}"/>
    <cellStyle name="40 % - Markeringsfarve6 3 2 6 4 2 3" xfId="25416" xr:uid="{00000000-0005-0000-0000-0000DD8C0000}"/>
    <cellStyle name="40 % - Markeringsfarve6 3 2 6 4 2 4" xfId="40403" xr:uid="{00000000-0005-0000-0000-0000DE8C0000}"/>
    <cellStyle name="40 % - Markeringsfarve6 3 2 6 4 3" xfId="13116" xr:uid="{00000000-0005-0000-0000-0000DF8C0000}"/>
    <cellStyle name="40 % - Markeringsfarve6 3 2 6 4 3 2" xfId="29435" xr:uid="{00000000-0005-0000-0000-0000E08C0000}"/>
    <cellStyle name="40 % - Markeringsfarve6 3 2 6 4 3 3" xfId="44400" xr:uid="{00000000-0005-0000-0000-0000E18C0000}"/>
    <cellStyle name="40 % - Markeringsfarve6 3 2 6 4 4" xfId="22413" xr:uid="{00000000-0005-0000-0000-0000E28C0000}"/>
    <cellStyle name="40 % - Markeringsfarve6 3 2 6 4 5" xfId="37401" xr:uid="{00000000-0005-0000-0000-0000E38C0000}"/>
    <cellStyle name="40 % - Markeringsfarve6 3 2 6 5" xfId="6056" xr:uid="{00000000-0005-0000-0000-0000E48C0000}"/>
    <cellStyle name="40 % - Markeringsfarve6 3 2 6 5 2" xfId="13974" xr:uid="{00000000-0005-0000-0000-0000E58C0000}"/>
    <cellStyle name="40 % - Markeringsfarve6 3 2 6 5 2 2" xfId="30288" xr:uid="{00000000-0005-0000-0000-0000E68C0000}"/>
    <cellStyle name="40 % - Markeringsfarve6 3 2 6 5 2 3" xfId="45252" xr:uid="{00000000-0005-0000-0000-0000E78C0000}"/>
    <cellStyle name="40 % - Markeringsfarve6 3 2 6 5 3" xfId="23266" xr:uid="{00000000-0005-0000-0000-0000E88C0000}"/>
    <cellStyle name="40 % - Markeringsfarve6 3 2 6 5 4" xfId="38253" xr:uid="{00000000-0005-0000-0000-0000E98C0000}"/>
    <cellStyle name="40 % - Markeringsfarve6 3 2 6 6" xfId="13112" xr:uid="{00000000-0005-0000-0000-0000EA8C0000}"/>
    <cellStyle name="40 % - Markeringsfarve6 3 2 6 6 2" xfId="29431" xr:uid="{00000000-0005-0000-0000-0000EB8C0000}"/>
    <cellStyle name="40 % - Markeringsfarve6 3 2 6 6 3" xfId="44396" xr:uid="{00000000-0005-0000-0000-0000EC8C0000}"/>
    <cellStyle name="40 % - Markeringsfarve6 3 2 6 7" xfId="22409" xr:uid="{00000000-0005-0000-0000-0000ED8C0000}"/>
    <cellStyle name="40 % - Markeringsfarve6 3 2 6 8" xfId="37397" xr:uid="{00000000-0005-0000-0000-0000EE8C0000}"/>
    <cellStyle name="40 % - Markeringsfarve6 3 2 7" xfId="4560" xr:uid="{00000000-0005-0000-0000-0000EF8C0000}"/>
    <cellStyle name="40 % - Markeringsfarve6 3 2 7 2" xfId="4561" xr:uid="{00000000-0005-0000-0000-0000F08C0000}"/>
    <cellStyle name="40 % - Markeringsfarve6 3 2 7 2 2" xfId="7553" xr:uid="{00000000-0005-0000-0000-0000F18C0000}"/>
    <cellStyle name="40 % - Markeringsfarve6 3 2 7 2 2 2" xfId="15454" xr:uid="{00000000-0005-0000-0000-0000F28C0000}"/>
    <cellStyle name="40 % - Markeringsfarve6 3 2 7 2 2 2 2" xfId="31768" xr:uid="{00000000-0005-0000-0000-0000F38C0000}"/>
    <cellStyle name="40 % - Markeringsfarve6 3 2 7 2 2 2 3" xfId="46732" xr:uid="{00000000-0005-0000-0000-0000F48C0000}"/>
    <cellStyle name="40 % - Markeringsfarve6 3 2 7 2 2 3" xfId="24746" xr:uid="{00000000-0005-0000-0000-0000F58C0000}"/>
    <cellStyle name="40 % - Markeringsfarve6 3 2 7 2 2 4" xfId="39733" xr:uid="{00000000-0005-0000-0000-0000F68C0000}"/>
    <cellStyle name="40 % - Markeringsfarve6 3 2 7 2 3" xfId="13118" xr:uid="{00000000-0005-0000-0000-0000F78C0000}"/>
    <cellStyle name="40 % - Markeringsfarve6 3 2 7 2 3 2" xfId="29437" xr:uid="{00000000-0005-0000-0000-0000F88C0000}"/>
    <cellStyle name="40 % - Markeringsfarve6 3 2 7 2 3 3" xfId="44402" xr:uid="{00000000-0005-0000-0000-0000F98C0000}"/>
    <cellStyle name="40 % - Markeringsfarve6 3 2 7 2 4" xfId="22415" xr:uid="{00000000-0005-0000-0000-0000FA8C0000}"/>
    <cellStyle name="40 % - Markeringsfarve6 3 2 7 2 5" xfId="37403" xr:uid="{00000000-0005-0000-0000-0000FB8C0000}"/>
    <cellStyle name="40 % - Markeringsfarve6 3 2 7 3" xfId="6146" xr:uid="{00000000-0005-0000-0000-0000FC8C0000}"/>
    <cellStyle name="40 % - Markeringsfarve6 3 2 7 3 2" xfId="14063" xr:uid="{00000000-0005-0000-0000-0000FD8C0000}"/>
    <cellStyle name="40 % - Markeringsfarve6 3 2 7 3 2 2" xfId="30377" xr:uid="{00000000-0005-0000-0000-0000FE8C0000}"/>
    <cellStyle name="40 % - Markeringsfarve6 3 2 7 3 2 3" xfId="45341" xr:uid="{00000000-0005-0000-0000-0000FF8C0000}"/>
    <cellStyle name="40 % - Markeringsfarve6 3 2 7 3 3" xfId="23355" xr:uid="{00000000-0005-0000-0000-0000008D0000}"/>
    <cellStyle name="40 % - Markeringsfarve6 3 2 7 3 4" xfId="38342" xr:uid="{00000000-0005-0000-0000-0000018D0000}"/>
    <cellStyle name="40 % - Markeringsfarve6 3 2 7 4" xfId="13117" xr:uid="{00000000-0005-0000-0000-0000028D0000}"/>
    <cellStyle name="40 % - Markeringsfarve6 3 2 7 4 2" xfId="29436" xr:uid="{00000000-0005-0000-0000-0000038D0000}"/>
    <cellStyle name="40 % - Markeringsfarve6 3 2 7 4 3" xfId="44401" xr:uid="{00000000-0005-0000-0000-0000048D0000}"/>
    <cellStyle name="40 % - Markeringsfarve6 3 2 7 5" xfId="22414" xr:uid="{00000000-0005-0000-0000-0000058D0000}"/>
    <cellStyle name="40 % - Markeringsfarve6 3 2 7 6" xfId="37402" xr:uid="{00000000-0005-0000-0000-0000068D0000}"/>
    <cellStyle name="40 % - Markeringsfarve6 3 2 8" xfId="4562" xr:uid="{00000000-0005-0000-0000-0000078D0000}"/>
    <cellStyle name="40 % - Markeringsfarve6 3 2 8 2" xfId="6781" xr:uid="{00000000-0005-0000-0000-0000088D0000}"/>
    <cellStyle name="40 % - Markeringsfarve6 3 2 8 2 2" xfId="14692" xr:uid="{00000000-0005-0000-0000-0000098D0000}"/>
    <cellStyle name="40 % - Markeringsfarve6 3 2 8 2 2 2" xfId="31006" xr:uid="{00000000-0005-0000-0000-00000A8D0000}"/>
    <cellStyle name="40 % - Markeringsfarve6 3 2 8 2 2 3" xfId="45970" xr:uid="{00000000-0005-0000-0000-00000B8D0000}"/>
    <cellStyle name="40 % - Markeringsfarve6 3 2 8 2 3" xfId="23984" xr:uid="{00000000-0005-0000-0000-00000C8D0000}"/>
    <cellStyle name="40 % - Markeringsfarve6 3 2 8 2 4" xfId="38971" xr:uid="{00000000-0005-0000-0000-00000D8D0000}"/>
    <cellStyle name="40 % - Markeringsfarve6 3 2 8 3" xfId="13119" xr:uid="{00000000-0005-0000-0000-00000E8D0000}"/>
    <cellStyle name="40 % - Markeringsfarve6 3 2 8 3 2" xfId="29438" xr:uid="{00000000-0005-0000-0000-00000F8D0000}"/>
    <cellStyle name="40 % - Markeringsfarve6 3 2 8 3 3" xfId="44403" xr:uid="{00000000-0005-0000-0000-0000108D0000}"/>
    <cellStyle name="40 % - Markeringsfarve6 3 2 8 4" xfId="22416" xr:uid="{00000000-0005-0000-0000-0000118D0000}"/>
    <cellStyle name="40 % - Markeringsfarve6 3 2 8 5" xfId="37404" xr:uid="{00000000-0005-0000-0000-0000128D0000}"/>
    <cellStyle name="40 % - Markeringsfarve6 3 2 9" xfId="4563" xr:uid="{00000000-0005-0000-0000-0000138D0000}"/>
    <cellStyle name="40 % - Markeringsfarve6 3 2 9 2" xfId="8670" xr:uid="{00000000-0005-0000-0000-0000148D0000}"/>
    <cellStyle name="40 % - Markeringsfarve6 3 2 9 2 2" xfId="16552" xr:uid="{00000000-0005-0000-0000-0000158D0000}"/>
    <cellStyle name="40 % - Markeringsfarve6 3 2 9 2 2 2" xfId="32866" xr:uid="{00000000-0005-0000-0000-0000168D0000}"/>
    <cellStyle name="40 % - Markeringsfarve6 3 2 9 2 2 3" xfId="47830" xr:uid="{00000000-0005-0000-0000-0000178D0000}"/>
    <cellStyle name="40 % - Markeringsfarve6 3 2 9 2 3" xfId="25844" xr:uid="{00000000-0005-0000-0000-0000188D0000}"/>
    <cellStyle name="40 % - Markeringsfarve6 3 2 9 2 4" xfId="40831" xr:uid="{00000000-0005-0000-0000-0000198D0000}"/>
    <cellStyle name="40 % - Markeringsfarve6 3 2 9 3" xfId="13120" xr:uid="{00000000-0005-0000-0000-00001A8D0000}"/>
    <cellStyle name="40 % - Markeringsfarve6 3 2 9 3 2" xfId="29439" xr:uid="{00000000-0005-0000-0000-00001B8D0000}"/>
    <cellStyle name="40 % - Markeringsfarve6 3 2 9 3 3" xfId="44404" xr:uid="{00000000-0005-0000-0000-00001C8D0000}"/>
    <cellStyle name="40 % - Markeringsfarve6 3 2 9 4" xfId="22417" xr:uid="{00000000-0005-0000-0000-00001D8D0000}"/>
    <cellStyle name="40 % - Markeringsfarve6 3 2 9 5" xfId="37405" xr:uid="{00000000-0005-0000-0000-00001E8D0000}"/>
    <cellStyle name="40 % - Markeringsfarve6 3 3" xfId="4564" xr:uid="{00000000-0005-0000-0000-00001F8D0000}"/>
    <cellStyle name="40 % - Markeringsfarve6 3 3 10" xfId="6057" xr:uid="{00000000-0005-0000-0000-0000208D0000}"/>
    <cellStyle name="40 % - Markeringsfarve6 3 3 10 2" xfId="13975" xr:uid="{00000000-0005-0000-0000-0000218D0000}"/>
    <cellStyle name="40 % - Markeringsfarve6 3 3 10 2 2" xfId="30289" xr:uid="{00000000-0005-0000-0000-0000228D0000}"/>
    <cellStyle name="40 % - Markeringsfarve6 3 3 10 2 3" xfId="45253" xr:uid="{00000000-0005-0000-0000-0000238D0000}"/>
    <cellStyle name="40 % - Markeringsfarve6 3 3 10 3" xfId="23267" xr:uid="{00000000-0005-0000-0000-0000248D0000}"/>
    <cellStyle name="40 % - Markeringsfarve6 3 3 10 4" xfId="38254" xr:uid="{00000000-0005-0000-0000-0000258D0000}"/>
    <cellStyle name="40 % - Markeringsfarve6 3 3 11" xfId="13121" xr:uid="{00000000-0005-0000-0000-0000268D0000}"/>
    <cellStyle name="40 % - Markeringsfarve6 3 3 11 2" xfId="29440" xr:uid="{00000000-0005-0000-0000-0000278D0000}"/>
    <cellStyle name="40 % - Markeringsfarve6 3 3 11 3" xfId="44405" xr:uid="{00000000-0005-0000-0000-0000288D0000}"/>
    <cellStyle name="40 % - Markeringsfarve6 3 3 12" xfId="22418" xr:uid="{00000000-0005-0000-0000-0000298D0000}"/>
    <cellStyle name="40 % - Markeringsfarve6 3 3 13" xfId="37406" xr:uid="{00000000-0005-0000-0000-00002A8D0000}"/>
    <cellStyle name="40 % - Markeringsfarve6 3 3 14" xfId="56583" xr:uid="{00000000-0005-0000-0000-00002B8D0000}"/>
    <cellStyle name="40 % - Markeringsfarve6 3 3 2" xfId="4565" xr:uid="{00000000-0005-0000-0000-00002C8D0000}"/>
    <cellStyle name="40 % - Markeringsfarve6 3 3 2 2" xfId="4566" xr:uid="{00000000-0005-0000-0000-00002D8D0000}"/>
    <cellStyle name="40 % - Markeringsfarve6 3 3 2 2 2" xfId="4567" xr:uid="{00000000-0005-0000-0000-00002E8D0000}"/>
    <cellStyle name="40 % - Markeringsfarve6 3 3 2 2 2 2" xfId="7711" xr:uid="{00000000-0005-0000-0000-00002F8D0000}"/>
    <cellStyle name="40 % - Markeringsfarve6 3 3 2 2 2 2 2" xfId="15612" xr:uid="{00000000-0005-0000-0000-0000308D0000}"/>
    <cellStyle name="40 % - Markeringsfarve6 3 3 2 2 2 2 2 2" xfId="31926" xr:uid="{00000000-0005-0000-0000-0000318D0000}"/>
    <cellStyle name="40 % - Markeringsfarve6 3 3 2 2 2 2 2 3" xfId="46890" xr:uid="{00000000-0005-0000-0000-0000328D0000}"/>
    <cellStyle name="40 % - Markeringsfarve6 3 3 2 2 2 2 3" xfId="24904" xr:uid="{00000000-0005-0000-0000-0000338D0000}"/>
    <cellStyle name="40 % - Markeringsfarve6 3 3 2 2 2 2 4" xfId="39891" xr:uid="{00000000-0005-0000-0000-0000348D0000}"/>
    <cellStyle name="40 % - Markeringsfarve6 3 3 2 2 2 3" xfId="13124" xr:uid="{00000000-0005-0000-0000-0000358D0000}"/>
    <cellStyle name="40 % - Markeringsfarve6 3 3 2 2 2 3 2" xfId="29443" xr:uid="{00000000-0005-0000-0000-0000368D0000}"/>
    <cellStyle name="40 % - Markeringsfarve6 3 3 2 2 2 3 3" xfId="44408" xr:uid="{00000000-0005-0000-0000-0000378D0000}"/>
    <cellStyle name="40 % - Markeringsfarve6 3 3 2 2 2 4" xfId="22421" xr:uid="{00000000-0005-0000-0000-0000388D0000}"/>
    <cellStyle name="40 % - Markeringsfarve6 3 3 2 2 2 5" xfId="37409" xr:uid="{00000000-0005-0000-0000-0000398D0000}"/>
    <cellStyle name="40 % - Markeringsfarve6 3 3 2 2 3" xfId="6278" xr:uid="{00000000-0005-0000-0000-00003A8D0000}"/>
    <cellStyle name="40 % - Markeringsfarve6 3 3 2 2 3 2" xfId="14195" xr:uid="{00000000-0005-0000-0000-00003B8D0000}"/>
    <cellStyle name="40 % - Markeringsfarve6 3 3 2 2 3 2 2" xfId="30509" xr:uid="{00000000-0005-0000-0000-00003C8D0000}"/>
    <cellStyle name="40 % - Markeringsfarve6 3 3 2 2 3 2 3" xfId="45473" xr:uid="{00000000-0005-0000-0000-00003D8D0000}"/>
    <cellStyle name="40 % - Markeringsfarve6 3 3 2 2 3 3" xfId="23487" xr:uid="{00000000-0005-0000-0000-00003E8D0000}"/>
    <cellStyle name="40 % - Markeringsfarve6 3 3 2 2 3 4" xfId="38474" xr:uid="{00000000-0005-0000-0000-00003F8D0000}"/>
    <cellStyle name="40 % - Markeringsfarve6 3 3 2 2 4" xfId="13123" xr:uid="{00000000-0005-0000-0000-0000408D0000}"/>
    <cellStyle name="40 % - Markeringsfarve6 3 3 2 2 4 2" xfId="29442" xr:uid="{00000000-0005-0000-0000-0000418D0000}"/>
    <cellStyle name="40 % - Markeringsfarve6 3 3 2 2 4 3" xfId="44407" xr:uid="{00000000-0005-0000-0000-0000428D0000}"/>
    <cellStyle name="40 % - Markeringsfarve6 3 3 2 2 5" xfId="22420" xr:uid="{00000000-0005-0000-0000-0000438D0000}"/>
    <cellStyle name="40 % - Markeringsfarve6 3 3 2 2 6" xfId="37408" xr:uid="{00000000-0005-0000-0000-0000448D0000}"/>
    <cellStyle name="40 % - Markeringsfarve6 3 3 2 3" xfId="4568" xr:uid="{00000000-0005-0000-0000-0000458D0000}"/>
    <cellStyle name="40 % - Markeringsfarve6 3 3 2 3 2" xfId="6941" xr:uid="{00000000-0005-0000-0000-0000468D0000}"/>
    <cellStyle name="40 % - Markeringsfarve6 3 3 2 3 2 2" xfId="14852" xr:uid="{00000000-0005-0000-0000-0000478D0000}"/>
    <cellStyle name="40 % - Markeringsfarve6 3 3 2 3 2 2 2" xfId="31166" xr:uid="{00000000-0005-0000-0000-0000488D0000}"/>
    <cellStyle name="40 % - Markeringsfarve6 3 3 2 3 2 2 3" xfId="46130" xr:uid="{00000000-0005-0000-0000-0000498D0000}"/>
    <cellStyle name="40 % - Markeringsfarve6 3 3 2 3 2 3" xfId="24144" xr:uid="{00000000-0005-0000-0000-00004A8D0000}"/>
    <cellStyle name="40 % - Markeringsfarve6 3 3 2 3 2 4" xfId="39131" xr:uid="{00000000-0005-0000-0000-00004B8D0000}"/>
    <cellStyle name="40 % - Markeringsfarve6 3 3 2 3 3" xfId="13125" xr:uid="{00000000-0005-0000-0000-00004C8D0000}"/>
    <cellStyle name="40 % - Markeringsfarve6 3 3 2 3 3 2" xfId="29444" xr:uid="{00000000-0005-0000-0000-00004D8D0000}"/>
    <cellStyle name="40 % - Markeringsfarve6 3 3 2 3 3 3" xfId="44409" xr:uid="{00000000-0005-0000-0000-00004E8D0000}"/>
    <cellStyle name="40 % - Markeringsfarve6 3 3 2 3 4" xfId="22422" xr:uid="{00000000-0005-0000-0000-00004F8D0000}"/>
    <cellStyle name="40 % - Markeringsfarve6 3 3 2 3 5" xfId="37410" xr:uid="{00000000-0005-0000-0000-0000508D0000}"/>
    <cellStyle name="40 % - Markeringsfarve6 3 3 2 4" xfId="4569" xr:uid="{00000000-0005-0000-0000-0000518D0000}"/>
    <cellStyle name="40 % - Markeringsfarve6 3 3 2 4 2" xfId="8759" xr:uid="{00000000-0005-0000-0000-0000528D0000}"/>
    <cellStyle name="40 % - Markeringsfarve6 3 3 2 4 2 2" xfId="16635" xr:uid="{00000000-0005-0000-0000-0000538D0000}"/>
    <cellStyle name="40 % - Markeringsfarve6 3 3 2 4 2 2 2" xfId="32949" xr:uid="{00000000-0005-0000-0000-0000548D0000}"/>
    <cellStyle name="40 % - Markeringsfarve6 3 3 2 4 2 2 3" xfId="47913" xr:uid="{00000000-0005-0000-0000-0000558D0000}"/>
    <cellStyle name="40 % - Markeringsfarve6 3 3 2 4 2 3" xfId="25927" xr:uid="{00000000-0005-0000-0000-0000568D0000}"/>
    <cellStyle name="40 % - Markeringsfarve6 3 3 2 4 2 4" xfId="40914" xr:uid="{00000000-0005-0000-0000-0000578D0000}"/>
    <cellStyle name="40 % - Markeringsfarve6 3 3 2 4 3" xfId="13126" xr:uid="{00000000-0005-0000-0000-0000588D0000}"/>
    <cellStyle name="40 % - Markeringsfarve6 3 3 2 4 3 2" xfId="29445" xr:uid="{00000000-0005-0000-0000-0000598D0000}"/>
    <cellStyle name="40 % - Markeringsfarve6 3 3 2 4 3 3" xfId="44410" xr:uid="{00000000-0005-0000-0000-00005A8D0000}"/>
    <cellStyle name="40 % - Markeringsfarve6 3 3 2 4 4" xfId="22423" xr:uid="{00000000-0005-0000-0000-00005B8D0000}"/>
    <cellStyle name="40 % - Markeringsfarve6 3 3 2 4 5" xfId="37411" xr:uid="{00000000-0005-0000-0000-00005C8D0000}"/>
    <cellStyle name="40 % - Markeringsfarve6 3 3 2 5" xfId="6058" xr:uid="{00000000-0005-0000-0000-00005D8D0000}"/>
    <cellStyle name="40 % - Markeringsfarve6 3 3 2 5 2" xfId="13976" xr:uid="{00000000-0005-0000-0000-00005E8D0000}"/>
    <cellStyle name="40 % - Markeringsfarve6 3 3 2 5 2 2" xfId="30290" xr:uid="{00000000-0005-0000-0000-00005F8D0000}"/>
    <cellStyle name="40 % - Markeringsfarve6 3 3 2 5 2 3" xfId="45254" xr:uid="{00000000-0005-0000-0000-0000608D0000}"/>
    <cellStyle name="40 % - Markeringsfarve6 3 3 2 5 3" xfId="23268" xr:uid="{00000000-0005-0000-0000-0000618D0000}"/>
    <cellStyle name="40 % - Markeringsfarve6 3 3 2 5 4" xfId="38255" xr:uid="{00000000-0005-0000-0000-0000628D0000}"/>
    <cellStyle name="40 % - Markeringsfarve6 3 3 2 6" xfId="13122" xr:uid="{00000000-0005-0000-0000-0000638D0000}"/>
    <cellStyle name="40 % - Markeringsfarve6 3 3 2 6 2" xfId="29441" xr:uid="{00000000-0005-0000-0000-0000648D0000}"/>
    <cellStyle name="40 % - Markeringsfarve6 3 3 2 6 3" xfId="44406" xr:uid="{00000000-0005-0000-0000-0000658D0000}"/>
    <cellStyle name="40 % - Markeringsfarve6 3 3 2 7" xfId="22419" xr:uid="{00000000-0005-0000-0000-0000668D0000}"/>
    <cellStyle name="40 % - Markeringsfarve6 3 3 2 8" xfId="37407" xr:uid="{00000000-0005-0000-0000-0000678D0000}"/>
    <cellStyle name="40 % - Markeringsfarve6 3 3 3" xfId="4570" xr:uid="{00000000-0005-0000-0000-0000688D0000}"/>
    <cellStyle name="40 % - Markeringsfarve6 3 3 3 2" xfId="4571" xr:uid="{00000000-0005-0000-0000-0000698D0000}"/>
    <cellStyle name="40 % - Markeringsfarve6 3 3 3 2 2" xfId="4572" xr:uid="{00000000-0005-0000-0000-00006A8D0000}"/>
    <cellStyle name="40 % - Markeringsfarve6 3 3 3 2 2 2" xfId="7831" xr:uid="{00000000-0005-0000-0000-00006B8D0000}"/>
    <cellStyle name="40 % - Markeringsfarve6 3 3 3 2 2 2 2" xfId="15732" xr:uid="{00000000-0005-0000-0000-00006C8D0000}"/>
    <cellStyle name="40 % - Markeringsfarve6 3 3 3 2 2 2 2 2" xfId="32046" xr:uid="{00000000-0005-0000-0000-00006D8D0000}"/>
    <cellStyle name="40 % - Markeringsfarve6 3 3 3 2 2 2 2 3" xfId="47010" xr:uid="{00000000-0005-0000-0000-00006E8D0000}"/>
    <cellStyle name="40 % - Markeringsfarve6 3 3 3 2 2 2 3" xfId="25024" xr:uid="{00000000-0005-0000-0000-00006F8D0000}"/>
    <cellStyle name="40 % - Markeringsfarve6 3 3 3 2 2 2 4" xfId="40011" xr:uid="{00000000-0005-0000-0000-0000708D0000}"/>
    <cellStyle name="40 % - Markeringsfarve6 3 3 3 2 2 3" xfId="13129" xr:uid="{00000000-0005-0000-0000-0000718D0000}"/>
    <cellStyle name="40 % - Markeringsfarve6 3 3 3 2 2 3 2" xfId="29448" xr:uid="{00000000-0005-0000-0000-0000728D0000}"/>
    <cellStyle name="40 % - Markeringsfarve6 3 3 3 2 2 3 3" xfId="44413" xr:uid="{00000000-0005-0000-0000-0000738D0000}"/>
    <cellStyle name="40 % - Markeringsfarve6 3 3 3 2 2 4" xfId="22426" xr:uid="{00000000-0005-0000-0000-0000748D0000}"/>
    <cellStyle name="40 % - Markeringsfarve6 3 3 3 2 2 5" xfId="37414" xr:uid="{00000000-0005-0000-0000-0000758D0000}"/>
    <cellStyle name="40 % - Markeringsfarve6 3 3 3 2 3" xfId="6377" xr:uid="{00000000-0005-0000-0000-0000768D0000}"/>
    <cellStyle name="40 % - Markeringsfarve6 3 3 3 2 3 2" xfId="14294" xr:uid="{00000000-0005-0000-0000-0000778D0000}"/>
    <cellStyle name="40 % - Markeringsfarve6 3 3 3 2 3 2 2" xfId="30608" xr:uid="{00000000-0005-0000-0000-0000788D0000}"/>
    <cellStyle name="40 % - Markeringsfarve6 3 3 3 2 3 2 3" xfId="45572" xr:uid="{00000000-0005-0000-0000-0000798D0000}"/>
    <cellStyle name="40 % - Markeringsfarve6 3 3 3 2 3 3" xfId="23586" xr:uid="{00000000-0005-0000-0000-00007A8D0000}"/>
    <cellStyle name="40 % - Markeringsfarve6 3 3 3 2 3 4" xfId="38573" xr:uid="{00000000-0005-0000-0000-00007B8D0000}"/>
    <cellStyle name="40 % - Markeringsfarve6 3 3 3 2 4" xfId="13128" xr:uid="{00000000-0005-0000-0000-00007C8D0000}"/>
    <cellStyle name="40 % - Markeringsfarve6 3 3 3 2 4 2" xfId="29447" xr:uid="{00000000-0005-0000-0000-00007D8D0000}"/>
    <cellStyle name="40 % - Markeringsfarve6 3 3 3 2 4 3" xfId="44412" xr:uid="{00000000-0005-0000-0000-00007E8D0000}"/>
    <cellStyle name="40 % - Markeringsfarve6 3 3 3 2 5" xfId="22425" xr:uid="{00000000-0005-0000-0000-00007F8D0000}"/>
    <cellStyle name="40 % - Markeringsfarve6 3 3 3 2 6" xfId="37413" xr:uid="{00000000-0005-0000-0000-0000808D0000}"/>
    <cellStyle name="40 % - Markeringsfarve6 3 3 3 3" xfId="4573" xr:uid="{00000000-0005-0000-0000-0000818D0000}"/>
    <cellStyle name="40 % - Markeringsfarve6 3 3 3 3 2" xfId="7061" xr:uid="{00000000-0005-0000-0000-0000828D0000}"/>
    <cellStyle name="40 % - Markeringsfarve6 3 3 3 3 2 2" xfId="14972" xr:uid="{00000000-0005-0000-0000-0000838D0000}"/>
    <cellStyle name="40 % - Markeringsfarve6 3 3 3 3 2 2 2" xfId="31286" xr:uid="{00000000-0005-0000-0000-0000848D0000}"/>
    <cellStyle name="40 % - Markeringsfarve6 3 3 3 3 2 2 3" xfId="46250" xr:uid="{00000000-0005-0000-0000-0000858D0000}"/>
    <cellStyle name="40 % - Markeringsfarve6 3 3 3 3 2 3" xfId="24264" xr:uid="{00000000-0005-0000-0000-0000868D0000}"/>
    <cellStyle name="40 % - Markeringsfarve6 3 3 3 3 2 4" xfId="39251" xr:uid="{00000000-0005-0000-0000-0000878D0000}"/>
    <cellStyle name="40 % - Markeringsfarve6 3 3 3 3 3" xfId="13130" xr:uid="{00000000-0005-0000-0000-0000888D0000}"/>
    <cellStyle name="40 % - Markeringsfarve6 3 3 3 3 3 2" xfId="29449" xr:uid="{00000000-0005-0000-0000-0000898D0000}"/>
    <cellStyle name="40 % - Markeringsfarve6 3 3 3 3 3 3" xfId="44414" xr:uid="{00000000-0005-0000-0000-00008A8D0000}"/>
    <cellStyle name="40 % - Markeringsfarve6 3 3 3 3 4" xfId="22427" xr:uid="{00000000-0005-0000-0000-00008B8D0000}"/>
    <cellStyle name="40 % - Markeringsfarve6 3 3 3 3 5" xfId="37415" xr:uid="{00000000-0005-0000-0000-00008C8D0000}"/>
    <cellStyle name="40 % - Markeringsfarve6 3 3 3 4" xfId="4574" xr:uid="{00000000-0005-0000-0000-00008D8D0000}"/>
    <cellStyle name="40 % - Markeringsfarve6 3 3 3 4 2" xfId="8479" xr:uid="{00000000-0005-0000-0000-00008E8D0000}"/>
    <cellStyle name="40 % - Markeringsfarve6 3 3 3 4 2 2" xfId="16368" xr:uid="{00000000-0005-0000-0000-00008F8D0000}"/>
    <cellStyle name="40 % - Markeringsfarve6 3 3 3 4 2 2 2" xfId="32682" xr:uid="{00000000-0005-0000-0000-0000908D0000}"/>
    <cellStyle name="40 % - Markeringsfarve6 3 3 3 4 2 2 3" xfId="47646" xr:uid="{00000000-0005-0000-0000-0000918D0000}"/>
    <cellStyle name="40 % - Markeringsfarve6 3 3 3 4 2 3" xfId="25660" xr:uid="{00000000-0005-0000-0000-0000928D0000}"/>
    <cellStyle name="40 % - Markeringsfarve6 3 3 3 4 2 4" xfId="40647" xr:uid="{00000000-0005-0000-0000-0000938D0000}"/>
    <cellStyle name="40 % - Markeringsfarve6 3 3 3 4 3" xfId="13131" xr:uid="{00000000-0005-0000-0000-0000948D0000}"/>
    <cellStyle name="40 % - Markeringsfarve6 3 3 3 4 3 2" xfId="29450" xr:uid="{00000000-0005-0000-0000-0000958D0000}"/>
    <cellStyle name="40 % - Markeringsfarve6 3 3 3 4 3 3" xfId="44415" xr:uid="{00000000-0005-0000-0000-0000968D0000}"/>
    <cellStyle name="40 % - Markeringsfarve6 3 3 3 4 4" xfId="22428" xr:uid="{00000000-0005-0000-0000-0000978D0000}"/>
    <cellStyle name="40 % - Markeringsfarve6 3 3 3 4 5" xfId="37416" xr:uid="{00000000-0005-0000-0000-0000988D0000}"/>
    <cellStyle name="40 % - Markeringsfarve6 3 3 3 5" xfId="6059" xr:uid="{00000000-0005-0000-0000-0000998D0000}"/>
    <cellStyle name="40 % - Markeringsfarve6 3 3 3 5 2" xfId="13977" xr:uid="{00000000-0005-0000-0000-00009A8D0000}"/>
    <cellStyle name="40 % - Markeringsfarve6 3 3 3 5 2 2" xfId="30291" xr:uid="{00000000-0005-0000-0000-00009B8D0000}"/>
    <cellStyle name="40 % - Markeringsfarve6 3 3 3 5 2 3" xfId="45255" xr:uid="{00000000-0005-0000-0000-00009C8D0000}"/>
    <cellStyle name="40 % - Markeringsfarve6 3 3 3 5 3" xfId="23269" xr:uid="{00000000-0005-0000-0000-00009D8D0000}"/>
    <cellStyle name="40 % - Markeringsfarve6 3 3 3 5 4" xfId="38256" xr:uid="{00000000-0005-0000-0000-00009E8D0000}"/>
    <cellStyle name="40 % - Markeringsfarve6 3 3 3 6" xfId="13127" xr:uid="{00000000-0005-0000-0000-00009F8D0000}"/>
    <cellStyle name="40 % - Markeringsfarve6 3 3 3 6 2" xfId="29446" xr:uid="{00000000-0005-0000-0000-0000A08D0000}"/>
    <cellStyle name="40 % - Markeringsfarve6 3 3 3 6 3" xfId="44411" xr:uid="{00000000-0005-0000-0000-0000A18D0000}"/>
    <cellStyle name="40 % - Markeringsfarve6 3 3 3 7" xfId="22424" xr:uid="{00000000-0005-0000-0000-0000A28D0000}"/>
    <cellStyle name="40 % - Markeringsfarve6 3 3 3 8" xfId="37412" xr:uid="{00000000-0005-0000-0000-0000A38D0000}"/>
    <cellStyle name="40 % - Markeringsfarve6 3 3 4" xfId="4575" xr:uid="{00000000-0005-0000-0000-0000A48D0000}"/>
    <cellStyle name="40 % - Markeringsfarve6 3 3 4 2" xfId="4576" xr:uid="{00000000-0005-0000-0000-0000A58D0000}"/>
    <cellStyle name="40 % - Markeringsfarve6 3 3 4 2 2" xfId="4577" xr:uid="{00000000-0005-0000-0000-0000A68D0000}"/>
    <cellStyle name="40 % - Markeringsfarve6 3 3 4 2 2 2" xfId="7949" xr:uid="{00000000-0005-0000-0000-0000A78D0000}"/>
    <cellStyle name="40 % - Markeringsfarve6 3 3 4 2 2 2 2" xfId="15850" xr:uid="{00000000-0005-0000-0000-0000A88D0000}"/>
    <cellStyle name="40 % - Markeringsfarve6 3 3 4 2 2 2 2 2" xfId="32164" xr:uid="{00000000-0005-0000-0000-0000A98D0000}"/>
    <cellStyle name="40 % - Markeringsfarve6 3 3 4 2 2 2 2 3" xfId="47128" xr:uid="{00000000-0005-0000-0000-0000AA8D0000}"/>
    <cellStyle name="40 % - Markeringsfarve6 3 3 4 2 2 2 3" xfId="25142" xr:uid="{00000000-0005-0000-0000-0000AB8D0000}"/>
    <cellStyle name="40 % - Markeringsfarve6 3 3 4 2 2 2 4" xfId="40129" xr:uid="{00000000-0005-0000-0000-0000AC8D0000}"/>
    <cellStyle name="40 % - Markeringsfarve6 3 3 4 2 2 3" xfId="13134" xr:uid="{00000000-0005-0000-0000-0000AD8D0000}"/>
    <cellStyle name="40 % - Markeringsfarve6 3 3 4 2 2 3 2" xfId="29453" xr:uid="{00000000-0005-0000-0000-0000AE8D0000}"/>
    <cellStyle name="40 % - Markeringsfarve6 3 3 4 2 2 3 3" xfId="44418" xr:uid="{00000000-0005-0000-0000-0000AF8D0000}"/>
    <cellStyle name="40 % - Markeringsfarve6 3 3 4 2 2 4" xfId="22431" xr:uid="{00000000-0005-0000-0000-0000B08D0000}"/>
    <cellStyle name="40 % - Markeringsfarve6 3 3 4 2 2 5" xfId="37419" xr:uid="{00000000-0005-0000-0000-0000B18D0000}"/>
    <cellStyle name="40 % - Markeringsfarve6 3 3 4 2 3" xfId="6480" xr:uid="{00000000-0005-0000-0000-0000B28D0000}"/>
    <cellStyle name="40 % - Markeringsfarve6 3 3 4 2 3 2" xfId="14394" xr:uid="{00000000-0005-0000-0000-0000B38D0000}"/>
    <cellStyle name="40 % - Markeringsfarve6 3 3 4 2 3 2 2" xfId="30708" xr:uid="{00000000-0005-0000-0000-0000B48D0000}"/>
    <cellStyle name="40 % - Markeringsfarve6 3 3 4 2 3 2 3" xfId="45672" xr:uid="{00000000-0005-0000-0000-0000B58D0000}"/>
    <cellStyle name="40 % - Markeringsfarve6 3 3 4 2 3 3" xfId="23686" xr:uid="{00000000-0005-0000-0000-0000B68D0000}"/>
    <cellStyle name="40 % - Markeringsfarve6 3 3 4 2 3 4" xfId="38673" xr:uid="{00000000-0005-0000-0000-0000B78D0000}"/>
    <cellStyle name="40 % - Markeringsfarve6 3 3 4 2 4" xfId="13133" xr:uid="{00000000-0005-0000-0000-0000B88D0000}"/>
    <cellStyle name="40 % - Markeringsfarve6 3 3 4 2 4 2" xfId="29452" xr:uid="{00000000-0005-0000-0000-0000B98D0000}"/>
    <cellStyle name="40 % - Markeringsfarve6 3 3 4 2 4 3" xfId="44417" xr:uid="{00000000-0005-0000-0000-0000BA8D0000}"/>
    <cellStyle name="40 % - Markeringsfarve6 3 3 4 2 5" xfId="22430" xr:uid="{00000000-0005-0000-0000-0000BB8D0000}"/>
    <cellStyle name="40 % - Markeringsfarve6 3 3 4 2 6" xfId="37418" xr:uid="{00000000-0005-0000-0000-0000BC8D0000}"/>
    <cellStyle name="40 % - Markeringsfarve6 3 3 4 3" xfId="4578" xr:uid="{00000000-0005-0000-0000-0000BD8D0000}"/>
    <cellStyle name="40 % - Markeringsfarve6 3 3 4 3 2" xfId="7225" xr:uid="{00000000-0005-0000-0000-0000BE8D0000}"/>
    <cellStyle name="40 % - Markeringsfarve6 3 3 4 3 2 2" xfId="15135" xr:uid="{00000000-0005-0000-0000-0000BF8D0000}"/>
    <cellStyle name="40 % - Markeringsfarve6 3 3 4 3 2 2 2" xfId="31449" xr:uid="{00000000-0005-0000-0000-0000C08D0000}"/>
    <cellStyle name="40 % - Markeringsfarve6 3 3 4 3 2 2 3" xfId="46413" xr:uid="{00000000-0005-0000-0000-0000C18D0000}"/>
    <cellStyle name="40 % - Markeringsfarve6 3 3 4 3 2 3" xfId="24427" xr:uid="{00000000-0005-0000-0000-0000C28D0000}"/>
    <cellStyle name="40 % - Markeringsfarve6 3 3 4 3 2 4" xfId="39414" xr:uid="{00000000-0005-0000-0000-0000C38D0000}"/>
    <cellStyle name="40 % - Markeringsfarve6 3 3 4 3 3" xfId="13135" xr:uid="{00000000-0005-0000-0000-0000C48D0000}"/>
    <cellStyle name="40 % - Markeringsfarve6 3 3 4 3 3 2" xfId="29454" xr:uid="{00000000-0005-0000-0000-0000C58D0000}"/>
    <cellStyle name="40 % - Markeringsfarve6 3 3 4 3 3 3" xfId="44419" xr:uid="{00000000-0005-0000-0000-0000C68D0000}"/>
    <cellStyle name="40 % - Markeringsfarve6 3 3 4 3 4" xfId="22432" xr:uid="{00000000-0005-0000-0000-0000C78D0000}"/>
    <cellStyle name="40 % - Markeringsfarve6 3 3 4 3 5" xfId="37420" xr:uid="{00000000-0005-0000-0000-0000C88D0000}"/>
    <cellStyle name="40 % - Markeringsfarve6 3 3 4 4" xfId="4579" xr:uid="{00000000-0005-0000-0000-0000C98D0000}"/>
    <cellStyle name="40 % - Markeringsfarve6 3 3 4 4 2" xfId="8738" xr:uid="{00000000-0005-0000-0000-0000CA8D0000}"/>
    <cellStyle name="40 % - Markeringsfarve6 3 3 4 4 2 2" xfId="16617" xr:uid="{00000000-0005-0000-0000-0000CB8D0000}"/>
    <cellStyle name="40 % - Markeringsfarve6 3 3 4 4 2 2 2" xfId="32931" xr:uid="{00000000-0005-0000-0000-0000CC8D0000}"/>
    <cellStyle name="40 % - Markeringsfarve6 3 3 4 4 2 2 3" xfId="47895" xr:uid="{00000000-0005-0000-0000-0000CD8D0000}"/>
    <cellStyle name="40 % - Markeringsfarve6 3 3 4 4 2 3" xfId="25909" xr:uid="{00000000-0005-0000-0000-0000CE8D0000}"/>
    <cellStyle name="40 % - Markeringsfarve6 3 3 4 4 2 4" xfId="40896" xr:uid="{00000000-0005-0000-0000-0000CF8D0000}"/>
    <cellStyle name="40 % - Markeringsfarve6 3 3 4 4 3" xfId="13136" xr:uid="{00000000-0005-0000-0000-0000D08D0000}"/>
    <cellStyle name="40 % - Markeringsfarve6 3 3 4 4 3 2" xfId="29455" xr:uid="{00000000-0005-0000-0000-0000D18D0000}"/>
    <cellStyle name="40 % - Markeringsfarve6 3 3 4 4 3 3" xfId="44420" xr:uid="{00000000-0005-0000-0000-0000D28D0000}"/>
    <cellStyle name="40 % - Markeringsfarve6 3 3 4 4 4" xfId="22433" xr:uid="{00000000-0005-0000-0000-0000D38D0000}"/>
    <cellStyle name="40 % - Markeringsfarve6 3 3 4 4 5" xfId="37421" xr:uid="{00000000-0005-0000-0000-0000D48D0000}"/>
    <cellStyle name="40 % - Markeringsfarve6 3 3 4 5" xfId="6060" xr:uid="{00000000-0005-0000-0000-0000D58D0000}"/>
    <cellStyle name="40 % - Markeringsfarve6 3 3 4 5 2" xfId="13978" xr:uid="{00000000-0005-0000-0000-0000D68D0000}"/>
    <cellStyle name="40 % - Markeringsfarve6 3 3 4 5 2 2" xfId="30292" xr:uid="{00000000-0005-0000-0000-0000D78D0000}"/>
    <cellStyle name="40 % - Markeringsfarve6 3 3 4 5 2 3" xfId="45256" xr:uid="{00000000-0005-0000-0000-0000D88D0000}"/>
    <cellStyle name="40 % - Markeringsfarve6 3 3 4 5 3" xfId="23270" xr:uid="{00000000-0005-0000-0000-0000D98D0000}"/>
    <cellStyle name="40 % - Markeringsfarve6 3 3 4 5 4" xfId="38257" xr:uid="{00000000-0005-0000-0000-0000DA8D0000}"/>
    <cellStyle name="40 % - Markeringsfarve6 3 3 4 6" xfId="13132" xr:uid="{00000000-0005-0000-0000-0000DB8D0000}"/>
    <cellStyle name="40 % - Markeringsfarve6 3 3 4 6 2" xfId="29451" xr:uid="{00000000-0005-0000-0000-0000DC8D0000}"/>
    <cellStyle name="40 % - Markeringsfarve6 3 3 4 6 3" xfId="44416" xr:uid="{00000000-0005-0000-0000-0000DD8D0000}"/>
    <cellStyle name="40 % - Markeringsfarve6 3 3 4 7" xfId="22429" xr:uid="{00000000-0005-0000-0000-0000DE8D0000}"/>
    <cellStyle name="40 % - Markeringsfarve6 3 3 4 8" xfId="37417" xr:uid="{00000000-0005-0000-0000-0000DF8D0000}"/>
    <cellStyle name="40 % - Markeringsfarve6 3 3 5" xfId="4580" xr:uid="{00000000-0005-0000-0000-0000E08D0000}"/>
    <cellStyle name="40 % - Markeringsfarve6 3 3 5 2" xfId="4581" xr:uid="{00000000-0005-0000-0000-0000E18D0000}"/>
    <cellStyle name="40 % - Markeringsfarve6 3 3 5 2 2" xfId="4582" xr:uid="{00000000-0005-0000-0000-0000E28D0000}"/>
    <cellStyle name="40 % - Markeringsfarve6 3 3 5 2 2 2" xfId="8066" xr:uid="{00000000-0005-0000-0000-0000E38D0000}"/>
    <cellStyle name="40 % - Markeringsfarve6 3 3 5 2 2 2 2" xfId="15967" xr:uid="{00000000-0005-0000-0000-0000E48D0000}"/>
    <cellStyle name="40 % - Markeringsfarve6 3 3 5 2 2 2 2 2" xfId="32281" xr:uid="{00000000-0005-0000-0000-0000E58D0000}"/>
    <cellStyle name="40 % - Markeringsfarve6 3 3 5 2 2 2 2 3" xfId="47245" xr:uid="{00000000-0005-0000-0000-0000E68D0000}"/>
    <cellStyle name="40 % - Markeringsfarve6 3 3 5 2 2 2 3" xfId="25259" xr:uid="{00000000-0005-0000-0000-0000E78D0000}"/>
    <cellStyle name="40 % - Markeringsfarve6 3 3 5 2 2 2 4" xfId="40246" xr:uid="{00000000-0005-0000-0000-0000E88D0000}"/>
    <cellStyle name="40 % - Markeringsfarve6 3 3 5 2 2 3" xfId="13139" xr:uid="{00000000-0005-0000-0000-0000E98D0000}"/>
    <cellStyle name="40 % - Markeringsfarve6 3 3 5 2 2 3 2" xfId="29458" xr:uid="{00000000-0005-0000-0000-0000EA8D0000}"/>
    <cellStyle name="40 % - Markeringsfarve6 3 3 5 2 2 3 3" xfId="44423" xr:uid="{00000000-0005-0000-0000-0000EB8D0000}"/>
    <cellStyle name="40 % - Markeringsfarve6 3 3 5 2 2 4" xfId="22436" xr:uid="{00000000-0005-0000-0000-0000EC8D0000}"/>
    <cellStyle name="40 % - Markeringsfarve6 3 3 5 2 2 5" xfId="37424" xr:uid="{00000000-0005-0000-0000-0000ED8D0000}"/>
    <cellStyle name="40 % - Markeringsfarve6 3 3 5 2 3" xfId="6579" xr:uid="{00000000-0005-0000-0000-0000EE8D0000}"/>
    <cellStyle name="40 % - Markeringsfarve6 3 3 5 2 3 2" xfId="14493" xr:uid="{00000000-0005-0000-0000-0000EF8D0000}"/>
    <cellStyle name="40 % - Markeringsfarve6 3 3 5 2 3 2 2" xfId="30807" xr:uid="{00000000-0005-0000-0000-0000F08D0000}"/>
    <cellStyle name="40 % - Markeringsfarve6 3 3 5 2 3 2 3" xfId="45771" xr:uid="{00000000-0005-0000-0000-0000F18D0000}"/>
    <cellStyle name="40 % - Markeringsfarve6 3 3 5 2 3 3" xfId="23785" xr:uid="{00000000-0005-0000-0000-0000F28D0000}"/>
    <cellStyle name="40 % - Markeringsfarve6 3 3 5 2 3 4" xfId="38772" xr:uid="{00000000-0005-0000-0000-0000F38D0000}"/>
    <cellStyle name="40 % - Markeringsfarve6 3 3 5 2 4" xfId="13138" xr:uid="{00000000-0005-0000-0000-0000F48D0000}"/>
    <cellStyle name="40 % - Markeringsfarve6 3 3 5 2 4 2" xfId="29457" xr:uid="{00000000-0005-0000-0000-0000F58D0000}"/>
    <cellStyle name="40 % - Markeringsfarve6 3 3 5 2 4 3" xfId="44422" xr:uid="{00000000-0005-0000-0000-0000F68D0000}"/>
    <cellStyle name="40 % - Markeringsfarve6 3 3 5 2 5" xfId="22435" xr:uid="{00000000-0005-0000-0000-0000F78D0000}"/>
    <cellStyle name="40 % - Markeringsfarve6 3 3 5 2 6" xfId="37423" xr:uid="{00000000-0005-0000-0000-0000F88D0000}"/>
    <cellStyle name="40 % - Markeringsfarve6 3 3 5 3" xfId="4583" xr:uid="{00000000-0005-0000-0000-0000F98D0000}"/>
    <cellStyle name="40 % - Markeringsfarve6 3 3 5 3 2" xfId="7342" xr:uid="{00000000-0005-0000-0000-0000FA8D0000}"/>
    <cellStyle name="40 % - Markeringsfarve6 3 3 5 3 2 2" xfId="15252" xr:uid="{00000000-0005-0000-0000-0000FB8D0000}"/>
    <cellStyle name="40 % - Markeringsfarve6 3 3 5 3 2 2 2" xfId="31566" xr:uid="{00000000-0005-0000-0000-0000FC8D0000}"/>
    <cellStyle name="40 % - Markeringsfarve6 3 3 5 3 2 2 3" xfId="46530" xr:uid="{00000000-0005-0000-0000-0000FD8D0000}"/>
    <cellStyle name="40 % - Markeringsfarve6 3 3 5 3 2 3" xfId="24544" xr:uid="{00000000-0005-0000-0000-0000FE8D0000}"/>
    <cellStyle name="40 % - Markeringsfarve6 3 3 5 3 2 4" xfId="39531" xr:uid="{00000000-0005-0000-0000-0000FF8D0000}"/>
    <cellStyle name="40 % - Markeringsfarve6 3 3 5 3 3" xfId="13140" xr:uid="{00000000-0005-0000-0000-0000008E0000}"/>
    <cellStyle name="40 % - Markeringsfarve6 3 3 5 3 3 2" xfId="29459" xr:uid="{00000000-0005-0000-0000-0000018E0000}"/>
    <cellStyle name="40 % - Markeringsfarve6 3 3 5 3 3 3" xfId="44424" xr:uid="{00000000-0005-0000-0000-0000028E0000}"/>
    <cellStyle name="40 % - Markeringsfarve6 3 3 5 3 4" xfId="22437" xr:uid="{00000000-0005-0000-0000-0000038E0000}"/>
    <cellStyle name="40 % - Markeringsfarve6 3 3 5 3 5" xfId="37425" xr:uid="{00000000-0005-0000-0000-0000048E0000}"/>
    <cellStyle name="40 % - Markeringsfarve6 3 3 5 4" xfId="4584" xr:uid="{00000000-0005-0000-0000-0000058E0000}"/>
    <cellStyle name="40 % - Markeringsfarve6 3 3 5 4 2" xfId="8461" xr:uid="{00000000-0005-0000-0000-0000068E0000}"/>
    <cellStyle name="40 % - Markeringsfarve6 3 3 5 4 2 2" xfId="16352" xr:uid="{00000000-0005-0000-0000-0000078E0000}"/>
    <cellStyle name="40 % - Markeringsfarve6 3 3 5 4 2 2 2" xfId="32666" xr:uid="{00000000-0005-0000-0000-0000088E0000}"/>
    <cellStyle name="40 % - Markeringsfarve6 3 3 5 4 2 2 3" xfId="47630" xr:uid="{00000000-0005-0000-0000-0000098E0000}"/>
    <cellStyle name="40 % - Markeringsfarve6 3 3 5 4 2 3" xfId="25644" xr:uid="{00000000-0005-0000-0000-00000A8E0000}"/>
    <cellStyle name="40 % - Markeringsfarve6 3 3 5 4 2 4" xfId="40631" xr:uid="{00000000-0005-0000-0000-00000B8E0000}"/>
    <cellStyle name="40 % - Markeringsfarve6 3 3 5 4 3" xfId="13141" xr:uid="{00000000-0005-0000-0000-00000C8E0000}"/>
    <cellStyle name="40 % - Markeringsfarve6 3 3 5 4 3 2" xfId="29460" xr:uid="{00000000-0005-0000-0000-00000D8E0000}"/>
    <cellStyle name="40 % - Markeringsfarve6 3 3 5 4 3 3" xfId="44425" xr:uid="{00000000-0005-0000-0000-00000E8E0000}"/>
    <cellStyle name="40 % - Markeringsfarve6 3 3 5 4 4" xfId="22438" xr:uid="{00000000-0005-0000-0000-00000F8E0000}"/>
    <cellStyle name="40 % - Markeringsfarve6 3 3 5 4 5" xfId="37426" xr:uid="{00000000-0005-0000-0000-0000108E0000}"/>
    <cellStyle name="40 % - Markeringsfarve6 3 3 5 5" xfId="6061" xr:uid="{00000000-0005-0000-0000-0000118E0000}"/>
    <cellStyle name="40 % - Markeringsfarve6 3 3 5 5 2" xfId="13979" xr:uid="{00000000-0005-0000-0000-0000128E0000}"/>
    <cellStyle name="40 % - Markeringsfarve6 3 3 5 5 2 2" xfId="30293" xr:uid="{00000000-0005-0000-0000-0000138E0000}"/>
    <cellStyle name="40 % - Markeringsfarve6 3 3 5 5 2 3" xfId="45257" xr:uid="{00000000-0005-0000-0000-0000148E0000}"/>
    <cellStyle name="40 % - Markeringsfarve6 3 3 5 5 3" xfId="23271" xr:uid="{00000000-0005-0000-0000-0000158E0000}"/>
    <cellStyle name="40 % - Markeringsfarve6 3 3 5 5 4" xfId="38258" xr:uid="{00000000-0005-0000-0000-0000168E0000}"/>
    <cellStyle name="40 % - Markeringsfarve6 3 3 5 6" xfId="13137" xr:uid="{00000000-0005-0000-0000-0000178E0000}"/>
    <cellStyle name="40 % - Markeringsfarve6 3 3 5 6 2" xfId="29456" xr:uid="{00000000-0005-0000-0000-0000188E0000}"/>
    <cellStyle name="40 % - Markeringsfarve6 3 3 5 6 3" xfId="44421" xr:uid="{00000000-0005-0000-0000-0000198E0000}"/>
    <cellStyle name="40 % - Markeringsfarve6 3 3 5 7" xfId="22434" xr:uid="{00000000-0005-0000-0000-00001A8E0000}"/>
    <cellStyle name="40 % - Markeringsfarve6 3 3 5 8" xfId="37422" xr:uid="{00000000-0005-0000-0000-00001B8E0000}"/>
    <cellStyle name="40 % - Markeringsfarve6 3 3 6" xfId="4585" xr:uid="{00000000-0005-0000-0000-00001C8E0000}"/>
    <cellStyle name="40 % - Markeringsfarve6 3 3 6 2" xfId="4586" xr:uid="{00000000-0005-0000-0000-00001D8E0000}"/>
    <cellStyle name="40 % - Markeringsfarve6 3 3 6 2 2" xfId="4587" xr:uid="{00000000-0005-0000-0000-00001E8E0000}"/>
    <cellStyle name="40 % - Markeringsfarve6 3 3 6 2 2 2" xfId="8185" xr:uid="{00000000-0005-0000-0000-00001F8E0000}"/>
    <cellStyle name="40 % - Markeringsfarve6 3 3 6 2 2 2 2" xfId="16086" xr:uid="{00000000-0005-0000-0000-0000208E0000}"/>
    <cellStyle name="40 % - Markeringsfarve6 3 3 6 2 2 2 2 2" xfId="32400" xr:uid="{00000000-0005-0000-0000-0000218E0000}"/>
    <cellStyle name="40 % - Markeringsfarve6 3 3 6 2 2 2 2 3" xfId="47364" xr:uid="{00000000-0005-0000-0000-0000228E0000}"/>
    <cellStyle name="40 % - Markeringsfarve6 3 3 6 2 2 2 3" xfId="25378" xr:uid="{00000000-0005-0000-0000-0000238E0000}"/>
    <cellStyle name="40 % - Markeringsfarve6 3 3 6 2 2 2 4" xfId="40365" xr:uid="{00000000-0005-0000-0000-0000248E0000}"/>
    <cellStyle name="40 % - Markeringsfarve6 3 3 6 2 2 3" xfId="13144" xr:uid="{00000000-0005-0000-0000-0000258E0000}"/>
    <cellStyle name="40 % - Markeringsfarve6 3 3 6 2 2 3 2" xfId="29463" xr:uid="{00000000-0005-0000-0000-0000268E0000}"/>
    <cellStyle name="40 % - Markeringsfarve6 3 3 6 2 2 3 3" xfId="44428" xr:uid="{00000000-0005-0000-0000-0000278E0000}"/>
    <cellStyle name="40 % - Markeringsfarve6 3 3 6 2 2 4" xfId="22441" xr:uid="{00000000-0005-0000-0000-0000288E0000}"/>
    <cellStyle name="40 % - Markeringsfarve6 3 3 6 2 2 5" xfId="37429" xr:uid="{00000000-0005-0000-0000-0000298E0000}"/>
    <cellStyle name="40 % - Markeringsfarve6 3 3 6 2 3" xfId="6678" xr:uid="{00000000-0005-0000-0000-00002A8E0000}"/>
    <cellStyle name="40 % - Markeringsfarve6 3 3 6 2 3 2" xfId="14592" xr:uid="{00000000-0005-0000-0000-00002B8E0000}"/>
    <cellStyle name="40 % - Markeringsfarve6 3 3 6 2 3 2 2" xfId="30906" xr:uid="{00000000-0005-0000-0000-00002C8E0000}"/>
    <cellStyle name="40 % - Markeringsfarve6 3 3 6 2 3 2 3" xfId="45870" xr:uid="{00000000-0005-0000-0000-00002D8E0000}"/>
    <cellStyle name="40 % - Markeringsfarve6 3 3 6 2 3 3" xfId="23884" xr:uid="{00000000-0005-0000-0000-00002E8E0000}"/>
    <cellStyle name="40 % - Markeringsfarve6 3 3 6 2 3 4" xfId="38871" xr:uid="{00000000-0005-0000-0000-00002F8E0000}"/>
    <cellStyle name="40 % - Markeringsfarve6 3 3 6 2 4" xfId="13143" xr:uid="{00000000-0005-0000-0000-0000308E0000}"/>
    <cellStyle name="40 % - Markeringsfarve6 3 3 6 2 4 2" xfId="29462" xr:uid="{00000000-0005-0000-0000-0000318E0000}"/>
    <cellStyle name="40 % - Markeringsfarve6 3 3 6 2 4 3" xfId="44427" xr:uid="{00000000-0005-0000-0000-0000328E0000}"/>
    <cellStyle name="40 % - Markeringsfarve6 3 3 6 2 5" xfId="22440" xr:uid="{00000000-0005-0000-0000-0000338E0000}"/>
    <cellStyle name="40 % - Markeringsfarve6 3 3 6 2 6" xfId="37428" xr:uid="{00000000-0005-0000-0000-0000348E0000}"/>
    <cellStyle name="40 % - Markeringsfarve6 3 3 6 3" xfId="4588" xr:uid="{00000000-0005-0000-0000-0000358E0000}"/>
    <cellStyle name="40 % - Markeringsfarve6 3 3 6 3 2" xfId="7462" xr:uid="{00000000-0005-0000-0000-0000368E0000}"/>
    <cellStyle name="40 % - Markeringsfarve6 3 3 6 3 2 2" xfId="15372" xr:uid="{00000000-0005-0000-0000-0000378E0000}"/>
    <cellStyle name="40 % - Markeringsfarve6 3 3 6 3 2 2 2" xfId="31686" xr:uid="{00000000-0005-0000-0000-0000388E0000}"/>
    <cellStyle name="40 % - Markeringsfarve6 3 3 6 3 2 2 3" xfId="46650" xr:uid="{00000000-0005-0000-0000-0000398E0000}"/>
    <cellStyle name="40 % - Markeringsfarve6 3 3 6 3 2 3" xfId="24664" xr:uid="{00000000-0005-0000-0000-00003A8E0000}"/>
    <cellStyle name="40 % - Markeringsfarve6 3 3 6 3 2 4" xfId="39651" xr:uid="{00000000-0005-0000-0000-00003B8E0000}"/>
    <cellStyle name="40 % - Markeringsfarve6 3 3 6 3 3" xfId="13145" xr:uid="{00000000-0005-0000-0000-00003C8E0000}"/>
    <cellStyle name="40 % - Markeringsfarve6 3 3 6 3 3 2" xfId="29464" xr:uid="{00000000-0005-0000-0000-00003D8E0000}"/>
    <cellStyle name="40 % - Markeringsfarve6 3 3 6 3 3 3" xfId="44429" xr:uid="{00000000-0005-0000-0000-00003E8E0000}"/>
    <cellStyle name="40 % - Markeringsfarve6 3 3 6 3 4" xfId="22442" xr:uid="{00000000-0005-0000-0000-00003F8E0000}"/>
    <cellStyle name="40 % - Markeringsfarve6 3 3 6 3 5" xfId="37430" xr:uid="{00000000-0005-0000-0000-0000408E0000}"/>
    <cellStyle name="40 % - Markeringsfarve6 3 3 6 4" xfId="4589" xr:uid="{00000000-0005-0000-0000-0000418E0000}"/>
    <cellStyle name="40 % - Markeringsfarve6 3 3 6 4 2" xfId="8696" xr:uid="{00000000-0005-0000-0000-0000428E0000}"/>
    <cellStyle name="40 % - Markeringsfarve6 3 3 6 4 2 2" xfId="16577" xr:uid="{00000000-0005-0000-0000-0000438E0000}"/>
    <cellStyle name="40 % - Markeringsfarve6 3 3 6 4 2 2 2" xfId="32891" xr:uid="{00000000-0005-0000-0000-0000448E0000}"/>
    <cellStyle name="40 % - Markeringsfarve6 3 3 6 4 2 2 3" xfId="47855" xr:uid="{00000000-0005-0000-0000-0000458E0000}"/>
    <cellStyle name="40 % - Markeringsfarve6 3 3 6 4 2 3" xfId="25869" xr:uid="{00000000-0005-0000-0000-0000468E0000}"/>
    <cellStyle name="40 % - Markeringsfarve6 3 3 6 4 2 4" xfId="40856" xr:uid="{00000000-0005-0000-0000-0000478E0000}"/>
    <cellStyle name="40 % - Markeringsfarve6 3 3 6 4 3" xfId="13146" xr:uid="{00000000-0005-0000-0000-0000488E0000}"/>
    <cellStyle name="40 % - Markeringsfarve6 3 3 6 4 3 2" xfId="29465" xr:uid="{00000000-0005-0000-0000-0000498E0000}"/>
    <cellStyle name="40 % - Markeringsfarve6 3 3 6 4 3 3" xfId="44430" xr:uid="{00000000-0005-0000-0000-00004A8E0000}"/>
    <cellStyle name="40 % - Markeringsfarve6 3 3 6 4 4" xfId="22443" xr:uid="{00000000-0005-0000-0000-00004B8E0000}"/>
    <cellStyle name="40 % - Markeringsfarve6 3 3 6 4 5" xfId="37431" xr:uid="{00000000-0005-0000-0000-00004C8E0000}"/>
    <cellStyle name="40 % - Markeringsfarve6 3 3 6 5" xfId="6062" xr:uid="{00000000-0005-0000-0000-00004D8E0000}"/>
    <cellStyle name="40 % - Markeringsfarve6 3 3 6 5 2" xfId="13980" xr:uid="{00000000-0005-0000-0000-00004E8E0000}"/>
    <cellStyle name="40 % - Markeringsfarve6 3 3 6 5 2 2" xfId="30294" xr:uid="{00000000-0005-0000-0000-00004F8E0000}"/>
    <cellStyle name="40 % - Markeringsfarve6 3 3 6 5 2 3" xfId="45258" xr:uid="{00000000-0005-0000-0000-0000508E0000}"/>
    <cellStyle name="40 % - Markeringsfarve6 3 3 6 5 3" xfId="23272" xr:uid="{00000000-0005-0000-0000-0000518E0000}"/>
    <cellStyle name="40 % - Markeringsfarve6 3 3 6 5 4" xfId="38259" xr:uid="{00000000-0005-0000-0000-0000528E0000}"/>
    <cellStyle name="40 % - Markeringsfarve6 3 3 6 6" xfId="13142" xr:uid="{00000000-0005-0000-0000-0000538E0000}"/>
    <cellStyle name="40 % - Markeringsfarve6 3 3 6 6 2" xfId="29461" xr:uid="{00000000-0005-0000-0000-0000548E0000}"/>
    <cellStyle name="40 % - Markeringsfarve6 3 3 6 6 3" xfId="44426" xr:uid="{00000000-0005-0000-0000-0000558E0000}"/>
    <cellStyle name="40 % - Markeringsfarve6 3 3 6 7" xfId="22439" xr:uid="{00000000-0005-0000-0000-0000568E0000}"/>
    <cellStyle name="40 % - Markeringsfarve6 3 3 6 8" xfId="37427" xr:uid="{00000000-0005-0000-0000-0000578E0000}"/>
    <cellStyle name="40 % - Markeringsfarve6 3 3 7" xfId="4590" xr:uid="{00000000-0005-0000-0000-0000588E0000}"/>
    <cellStyle name="40 % - Markeringsfarve6 3 3 7 2" xfId="4591" xr:uid="{00000000-0005-0000-0000-0000598E0000}"/>
    <cellStyle name="40 % - Markeringsfarve6 3 3 7 2 2" xfId="7592" xr:uid="{00000000-0005-0000-0000-00005A8E0000}"/>
    <cellStyle name="40 % - Markeringsfarve6 3 3 7 2 2 2" xfId="15493" xr:uid="{00000000-0005-0000-0000-00005B8E0000}"/>
    <cellStyle name="40 % - Markeringsfarve6 3 3 7 2 2 2 2" xfId="31807" xr:uid="{00000000-0005-0000-0000-00005C8E0000}"/>
    <cellStyle name="40 % - Markeringsfarve6 3 3 7 2 2 2 3" xfId="46771" xr:uid="{00000000-0005-0000-0000-00005D8E0000}"/>
    <cellStyle name="40 % - Markeringsfarve6 3 3 7 2 2 3" xfId="24785" xr:uid="{00000000-0005-0000-0000-00005E8E0000}"/>
    <cellStyle name="40 % - Markeringsfarve6 3 3 7 2 2 4" xfId="39772" xr:uid="{00000000-0005-0000-0000-00005F8E0000}"/>
    <cellStyle name="40 % - Markeringsfarve6 3 3 7 2 3" xfId="13148" xr:uid="{00000000-0005-0000-0000-0000608E0000}"/>
    <cellStyle name="40 % - Markeringsfarve6 3 3 7 2 3 2" xfId="29467" xr:uid="{00000000-0005-0000-0000-0000618E0000}"/>
    <cellStyle name="40 % - Markeringsfarve6 3 3 7 2 3 3" xfId="44432" xr:uid="{00000000-0005-0000-0000-0000628E0000}"/>
    <cellStyle name="40 % - Markeringsfarve6 3 3 7 2 4" xfId="22445" xr:uid="{00000000-0005-0000-0000-0000638E0000}"/>
    <cellStyle name="40 % - Markeringsfarve6 3 3 7 2 5" xfId="37433" xr:uid="{00000000-0005-0000-0000-0000648E0000}"/>
    <cellStyle name="40 % - Markeringsfarve6 3 3 7 3" xfId="6179" xr:uid="{00000000-0005-0000-0000-0000658E0000}"/>
    <cellStyle name="40 % - Markeringsfarve6 3 3 7 3 2" xfId="14096" xr:uid="{00000000-0005-0000-0000-0000668E0000}"/>
    <cellStyle name="40 % - Markeringsfarve6 3 3 7 3 2 2" xfId="30410" xr:uid="{00000000-0005-0000-0000-0000678E0000}"/>
    <cellStyle name="40 % - Markeringsfarve6 3 3 7 3 2 3" xfId="45374" xr:uid="{00000000-0005-0000-0000-0000688E0000}"/>
    <cellStyle name="40 % - Markeringsfarve6 3 3 7 3 3" xfId="23388" xr:uid="{00000000-0005-0000-0000-0000698E0000}"/>
    <cellStyle name="40 % - Markeringsfarve6 3 3 7 3 4" xfId="38375" xr:uid="{00000000-0005-0000-0000-00006A8E0000}"/>
    <cellStyle name="40 % - Markeringsfarve6 3 3 7 4" xfId="13147" xr:uid="{00000000-0005-0000-0000-00006B8E0000}"/>
    <cellStyle name="40 % - Markeringsfarve6 3 3 7 4 2" xfId="29466" xr:uid="{00000000-0005-0000-0000-00006C8E0000}"/>
    <cellStyle name="40 % - Markeringsfarve6 3 3 7 4 3" xfId="44431" xr:uid="{00000000-0005-0000-0000-00006D8E0000}"/>
    <cellStyle name="40 % - Markeringsfarve6 3 3 7 5" xfId="22444" xr:uid="{00000000-0005-0000-0000-00006E8E0000}"/>
    <cellStyle name="40 % - Markeringsfarve6 3 3 7 6" xfId="37432" xr:uid="{00000000-0005-0000-0000-00006F8E0000}"/>
    <cellStyle name="40 % - Markeringsfarve6 3 3 8" xfId="4592" xr:uid="{00000000-0005-0000-0000-0000708E0000}"/>
    <cellStyle name="40 % - Markeringsfarve6 3 3 8 2" xfId="6820" xr:uid="{00000000-0005-0000-0000-0000718E0000}"/>
    <cellStyle name="40 % - Markeringsfarve6 3 3 8 2 2" xfId="14731" xr:uid="{00000000-0005-0000-0000-0000728E0000}"/>
    <cellStyle name="40 % - Markeringsfarve6 3 3 8 2 2 2" xfId="31045" xr:uid="{00000000-0005-0000-0000-0000738E0000}"/>
    <cellStyle name="40 % - Markeringsfarve6 3 3 8 2 2 3" xfId="46009" xr:uid="{00000000-0005-0000-0000-0000748E0000}"/>
    <cellStyle name="40 % - Markeringsfarve6 3 3 8 2 3" xfId="24023" xr:uid="{00000000-0005-0000-0000-0000758E0000}"/>
    <cellStyle name="40 % - Markeringsfarve6 3 3 8 2 4" xfId="39010" xr:uid="{00000000-0005-0000-0000-0000768E0000}"/>
    <cellStyle name="40 % - Markeringsfarve6 3 3 8 3" xfId="13149" xr:uid="{00000000-0005-0000-0000-0000778E0000}"/>
    <cellStyle name="40 % - Markeringsfarve6 3 3 8 3 2" xfId="29468" xr:uid="{00000000-0005-0000-0000-0000788E0000}"/>
    <cellStyle name="40 % - Markeringsfarve6 3 3 8 3 3" xfId="44433" xr:uid="{00000000-0005-0000-0000-0000798E0000}"/>
    <cellStyle name="40 % - Markeringsfarve6 3 3 8 4" xfId="22446" xr:uid="{00000000-0005-0000-0000-00007A8E0000}"/>
    <cellStyle name="40 % - Markeringsfarve6 3 3 8 5" xfId="37434" xr:uid="{00000000-0005-0000-0000-00007B8E0000}"/>
    <cellStyle name="40 % - Markeringsfarve6 3 3 9" xfId="4593" xr:uid="{00000000-0005-0000-0000-00007C8E0000}"/>
    <cellStyle name="40 % - Markeringsfarve6 3 3 9 2" xfId="8564" xr:uid="{00000000-0005-0000-0000-00007D8E0000}"/>
    <cellStyle name="40 % - Markeringsfarve6 3 3 9 2 2" xfId="16451" xr:uid="{00000000-0005-0000-0000-00007E8E0000}"/>
    <cellStyle name="40 % - Markeringsfarve6 3 3 9 2 2 2" xfId="32765" xr:uid="{00000000-0005-0000-0000-00007F8E0000}"/>
    <cellStyle name="40 % - Markeringsfarve6 3 3 9 2 2 3" xfId="47729" xr:uid="{00000000-0005-0000-0000-0000808E0000}"/>
    <cellStyle name="40 % - Markeringsfarve6 3 3 9 2 3" xfId="25743" xr:uid="{00000000-0005-0000-0000-0000818E0000}"/>
    <cellStyle name="40 % - Markeringsfarve6 3 3 9 2 4" xfId="40730" xr:uid="{00000000-0005-0000-0000-0000828E0000}"/>
    <cellStyle name="40 % - Markeringsfarve6 3 3 9 3" xfId="13150" xr:uid="{00000000-0005-0000-0000-0000838E0000}"/>
    <cellStyle name="40 % - Markeringsfarve6 3 3 9 3 2" xfId="29469" xr:uid="{00000000-0005-0000-0000-0000848E0000}"/>
    <cellStyle name="40 % - Markeringsfarve6 3 3 9 3 3" xfId="44434" xr:uid="{00000000-0005-0000-0000-0000858E0000}"/>
    <cellStyle name="40 % - Markeringsfarve6 3 3 9 4" xfId="22447" xr:uid="{00000000-0005-0000-0000-0000868E0000}"/>
    <cellStyle name="40 % - Markeringsfarve6 3 3 9 5" xfId="37435" xr:uid="{00000000-0005-0000-0000-0000878E0000}"/>
    <cellStyle name="40 % - Markeringsfarve6 3 4" xfId="4594" xr:uid="{00000000-0005-0000-0000-0000888E0000}"/>
    <cellStyle name="40 % - Markeringsfarve6 3 4 2" xfId="4595" xr:uid="{00000000-0005-0000-0000-0000898E0000}"/>
    <cellStyle name="40 % - Markeringsfarve6 3 4 2 2" xfId="4596" xr:uid="{00000000-0005-0000-0000-00008A8E0000}"/>
    <cellStyle name="40 % - Markeringsfarve6 3 4 2 2 2" xfId="7633" xr:uid="{00000000-0005-0000-0000-00008B8E0000}"/>
    <cellStyle name="40 % - Markeringsfarve6 3 4 2 2 2 2" xfId="15534" xr:uid="{00000000-0005-0000-0000-00008C8E0000}"/>
    <cellStyle name="40 % - Markeringsfarve6 3 4 2 2 2 2 2" xfId="31848" xr:uid="{00000000-0005-0000-0000-00008D8E0000}"/>
    <cellStyle name="40 % - Markeringsfarve6 3 4 2 2 2 2 3" xfId="46812" xr:uid="{00000000-0005-0000-0000-00008E8E0000}"/>
    <cellStyle name="40 % - Markeringsfarve6 3 4 2 2 2 3" xfId="24826" xr:uid="{00000000-0005-0000-0000-00008F8E0000}"/>
    <cellStyle name="40 % - Markeringsfarve6 3 4 2 2 2 4" xfId="39813" xr:uid="{00000000-0005-0000-0000-0000908E0000}"/>
    <cellStyle name="40 % - Markeringsfarve6 3 4 2 2 3" xfId="13153" xr:uid="{00000000-0005-0000-0000-0000918E0000}"/>
    <cellStyle name="40 % - Markeringsfarve6 3 4 2 2 3 2" xfId="29472" xr:uid="{00000000-0005-0000-0000-0000928E0000}"/>
    <cellStyle name="40 % - Markeringsfarve6 3 4 2 2 3 3" xfId="44437" xr:uid="{00000000-0005-0000-0000-0000938E0000}"/>
    <cellStyle name="40 % - Markeringsfarve6 3 4 2 2 4" xfId="22450" xr:uid="{00000000-0005-0000-0000-0000948E0000}"/>
    <cellStyle name="40 % - Markeringsfarve6 3 4 2 2 5" xfId="37438" xr:uid="{00000000-0005-0000-0000-0000958E0000}"/>
    <cellStyle name="40 % - Markeringsfarve6 3 4 2 3" xfId="6212" xr:uid="{00000000-0005-0000-0000-0000968E0000}"/>
    <cellStyle name="40 % - Markeringsfarve6 3 4 2 3 2" xfId="14129" xr:uid="{00000000-0005-0000-0000-0000978E0000}"/>
    <cellStyle name="40 % - Markeringsfarve6 3 4 2 3 2 2" xfId="30443" xr:uid="{00000000-0005-0000-0000-0000988E0000}"/>
    <cellStyle name="40 % - Markeringsfarve6 3 4 2 3 2 3" xfId="45407" xr:uid="{00000000-0005-0000-0000-0000998E0000}"/>
    <cellStyle name="40 % - Markeringsfarve6 3 4 2 3 3" xfId="23421" xr:uid="{00000000-0005-0000-0000-00009A8E0000}"/>
    <cellStyle name="40 % - Markeringsfarve6 3 4 2 3 4" xfId="38408" xr:uid="{00000000-0005-0000-0000-00009B8E0000}"/>
    <cellStyle name="40 % - Markeringsfarve6 3 4 2 4" xfId="13152" xr:uid="{00000000-0005-0000-0000-00009C8E0000}"/>
    <cellStyle name="40 % - Markeringsfarve6 3 4 2 4 2" xfId="29471" xr:uid="{00000000-0005-0000-0000-00009D8E0000}"/>
    <cellStyle name="40 % - Markeringsfarve6 3 4 2 4 3" xfId="44436" xr:uid="{00000000-0005-0000-0000-00009E8E0000}"/>
    <cellStyle name="40 % - Markeringsfarve6 3 4 2 5" xfId="22449" xr:uid="{00000000-0005-0000-0000-00009F8E0000}"/>
    <cellStyle name="40 % - Markeringsfarve6 3 4 2 6" xfId="37437" xr:uid="{00000000-0005-0000-0000-0000A08E0000}"/>
    <cellStyle name="40 % - Markeringsfarve6 3 4 3" xfId="4597" xr:uid="{00000000-0005-0000-0000-0000A18E0000}"/>
    <cellStyle name="40 % - Markeringsfarve6 3 4 3 2" xfId="6863" xr:uid="{00000000-0005-0000-0000-0000A28E0000}"/>
    <cellStyle name="40 % - Markeringsfarve6 3 4 3 2 2" xfId="14774" xr:uid="{00000000-0005-0000-0000-0000A38E0000}"/>
    <cellStyle name="40 % - Markeringsfarve6 3 4 3 2 2 2" xfId="31088" xr:uid="{00000000-0005-0000-0000-0000A48E0000}"/>
    <cellStyle name="40 % - Markeringsfarve6 3 4 3 2 2 3" xfId="46052" xr:uid="{00000000-0005-0000-0000-0000A58E0000}"/>
    <cellStyle name="40 % - Markeringsfarve6 3 4 3 2 3" xfId="24066" xr:uid="{00000000-0005-0000-0000-0000A68E0000}"/>
    <cellStyle name="40 % - Markeringsfarve6 3 4 3 2 4" xfId="39053" xr:uid="{00000000-0005-0000-0000-0000A78E0000}"/>
    <cellStyle name="40 % - Markeringsfarve6 3 4 3 3" xfId="13154" xr:uid="{00000000-0005-0000-0000-0000A88E0000}"/>
    <cellStyle name="40 % - Markeringsfarve6 3 4 3 3 2" xfId="29473" xr:uid="{00000000-0005-0000-0000-0000A98E0000}"/>
    <cellStyle name="40 % - Markeringsfarve6 3 4 3 3 3" xfId="44438" xr:uid="{00000000-0005-0000-0000-0000AA8E0000}"/>
    <cellStyle name="40 % - Markeringsfarve6 3 4 3 4" xfId="22451" xr:uid="{00000000-0005-0000-0000-0000AB8E0000}"/>
    <cellStyle name="40 % - Markeringsfarve6 3 4 3 5" xfId="37439" xr:uid="{00000000-0005-0000-0000-0000AC8E0000}"/>
    <cellStyle name="40 % - Markeringsfarve6 3 4 4" xfId="4598" xr:uid="{00000000-0005-0000-0000-0000AD8E0000}"/>
    <cellStyle name="40 % - Markeringsfarve6 3 4 4 2" xfId="8421" xr:uid="{00000000-0005-0000-0000-0000AE8E0000}"/>
    <cellStyle name="40 % - Markeringsfarve6 3 4 4 2 2" xfId="16314" xr:uid="{00000000-0005-0000-0000-0000AF8E0000}"/>
    <cellStyle name="40 % - Markeringsfarve6 3 4 4 2 2 2" xfId="32628" xr:uid="{00000000-0005-0000-0000-0000B08E0000}"/>
    <cellStyle name="40 % - Markeringsfarve6 3 4 4 2 2 3" xfId="47592" xr:uid="{00000000-0005-0000-0000-0000B18E0000}"/>
    <cellStyle name="40 % - Markeringsfarve6 3 4 4 2 3" xfId="25606" xr:uid="{00000000-0005-0000-0000-0000B28E0000}"/>
    <cellStyle name="40 % - Markeringsfarve6 3 4 4 2 4" xfId="40593" xr:uid="{00000000-0005-0000-0000-0000B38E0000}"/>
    <cellStyle name="40 % - Markeringsfarve6 3 4 4 3" xfId="13155" xr:uid="{00000000-0005-0000-0000-0000B48E0000}"/>
    <cellStyle name="40 % - Markeringsfarve6 3 4 4 3 2" xfId="29474" xr:uid="{00000000-0005-0000-0000-0000B58E0000}"/>
    <cellStyle name="40 % - Markeringsfarve6 3 4 4 3 3" xfId="44439" xr:uid="{00000000-0005-0000-0000-0000B68E0000}"/>
    <cellStyle name="40 % - Markeringsfarve6 3 4 4 4" xfId="22452" xr:uid="{00000000-0005-0000-0000-0000B78E0000}"/>
    <cellStyle name="40 % - Markeringsfarve6 3 4 4 5" xfId="37440" xr:uid="{00000000-0005-0000-0000-0000B88E0000}"/>
    <cellStyle name="40 % - Markeringsfarve6 3 4 5" xfId="6063" xr:uid="{00000000-0005-0000-0000-0000B98E0000}"/>
    <cellStyle name="40 % - Markeringsfarve6 3 4 5 2" xfId="13981" xr:uid="{00000000-0005-0000-0000-0000BA8E0000}"/>
    <cellStyle name="40 % - Markeringsfarve6 3 4 5 2 2" xfId="30295" xr:uid="{00000000-0005-0000-0000-0000BB8E0000}"/>
    <cellStyle name="40 % - Markeringsfarve6 3 4 5 2 3" xfId="45259" xr:uid="{00000000-0005-0000-0000-0000BC8E0000}"/>
    <cellStyle name="40 % - Markeringsfarve6 3 4 5 3" xfId="23273" xr:uid="{00000000-0005-0000-0000-0000BD8E0000}"/>
    <cellStyle name="40 % - Markeringsfarve6 3 4 5 4" xfId="38260" xr:uid="{00000000-0005-0000-0000-0000BE8E0000}"/>
    <cellStyle name="40 % - Markeringsfarve6 3 4 6" xfId="13151" xr:uid="{00000000-0005-0000-0000-0000BF8E0000}"/>
    <cellStyle name="40 % - Markeringsfarve6 3 4 6 2" xfId="29470" xr:uid="{00000000-0005-0000-0000-0000C08E0000}"/>
    <cellStyle name="40 % - Markeringsfarve6 3 4 6 3" xfId="44435" xr:uid="{00000000-0005-0000-0000-0000C18E0000}"/>
    <cellStyle name="40 % - Markeringsfarve6 3 4 7" xfId="22448" xr:uid="{00000000-0005-0000-0000-0000C28E0000}"/>
    <cellStyle name="40 % - Markeringsfarve6 3 4 8" xfId="37436" xr:uid="{00000000-0005-0000-0000-0000C38E0000}"/>
    <cellStyle name="40 % - Markeringsfarve6 3 5" xfId="4599" xr:uid="{00000000-0005-0000-0000-0000C48E0000}"/>
    <cellStyle name="40 % - Markeringsfarve6 3 5 2" xfId="4600" xr:uid="{00000000-0005-0000-0000-0000C58E0000}"/>
    <cellStyle name="40 % - Markeringsfarve6 3 5 2 2" xfId="4601" xr:uid="{00000000-0005-0000-0000-0000C68E0000}"/>
    <cellStyle name="40 % - Markeringsfarve6 3 5 2 2 2" xfId="7829" xr:uid="{00000000-0005-0000-0000-0000C78E0000}"/>
    <cellStyle name="40 % - Markeringsfarve6 3 5 2 2 2 2" xfId="15730" xr:uid="{00000000-0005-0000-0000-0000C88E0000}"/>
    <cellStyle name="40 % - Markeringsfarve6 3 5 2 2 2 2 2" xfId="32044" xr:uid="{00000000-0005-0000-0000-0000C98E0000}"/>
    <cellStyle name="40 % - Markeringsfarve6 3 5 2 2 2 2 3" xfId="47008" xr:uid="{00000000-0005-0000-0000-0000CA8E0000}"/>
    <cellStyle name="40 % - Markeringsfarve6 3 5 2 2 2 3" xfId="25022" xr:uid="{00000000-0005-0000-0000-0000CB8E0000}"/>
    <cellStyle name="40 % - Markeringsfarve6 3 5 2 2 2 4" xfId="40009" xr:uid="{00000000-0005-0000-0000-0000CC8E0000}"/>
    <cellStyle name="40 % - Markeringsfarve6 3 5 2 2 3" xfId="13158" xr:uid="{00000000-0005-0000-0000-0000CD8E0000}"/>
    <cellStyle name="40 % - Markeringsfarve6 3 5 2 2 3 2" xfId="29477" xr:uid="{00000000-0005-0000-0000-0000CE8E0000}"/>
    <cellStyle name="40 % - Markeringsfarve6 3 5 2 2 3 3" xfId="44442" xr:uid="{00000000-0005-0000-0000-0000CF8E0000}"/>
    <cellStyle name="40 % - Markeringsfarve6 3 5 2 2 4" xfId="22455" xr:uid="{00000000-0005-0000-0000-0000D08E0000}"/>
    <cellStyle name="40 % - Markeringsfarve6 3 5 2 2 5" xfId="37443" xr:uid="{00000000-0005-0000-0000-0000D18E0000}"/>
    <cellStyle name="40 % - Markeringsfarve6 3 5 2 3" xfId="6375" xr:uid="{00000000-0005-0000-0000-0000D28E0000}"/>
    <cellStyle name="40 % - Markeringsfarve6 3 5 2 3 2" xfId="14292" xr:uid="{00000000-0005-0000-0000-0000D38E0000}"/>
    <cellStyle name="40 % - Markeringsfarve6 3 5 2 3 2 2" xfId="30606" xr:uid="{00000000-0005-0000-0000-0000D48E0000}"/>
    <cellStyle name="40 % - Markeringsfarve6 3 5 2 3 2 3" xfId="45570" xr:uid="{00000000-0005-0000-0000-0000D58E0000}"/>
    <cellStyle name="40 % - Markeringsfarve6 3 5 2 3 3" xfId="23584" xr:uid="{00000000-0005-0000-0000-0000D68E0000}"/>
    <cellStyle name="40 % - Markeringsfarve6 3 5 2 3 4" xfId="38571" xr:uid="{00000000-0005-0000-0000-0000D78E0000}"/>
    <cellStyle name="40 % - Markeringsfarve6 3 5 2 4" xfId="13157" xr:uid="{00000000-0005-0000-0000-0000D88E0000}"/>
    <cellStyle name="40 % - Markeringsfarve6 3 5 2 4 2" xfId="29476" xr:uid="{00000000-0005-0000-0000-0000D98E0000}"/>
    <cellStyle name="40 % - Markeringsfarve6 3 5 2 4 3" xfId="44441" xr:uid="{00000000-0005-0000-0000-0000DA8E0000}"/>
    <cellStyle name="40 % - Markeringsfarve6 3 5 2 5" xfId="22454" xr:uid="{00000000-0005-0000-0000-0000DB8E0000}"/>
    <cellStyle name="40 % - Markeringsfarve6 3 5 2 6" xfId="37442" xr:uid="{00000000-0005-0000-0000-0000DC8E0000}"/>
    <cellStyle name="40 % - Markeringsfarve6 3 5 3" xfId="4602" xr:uid="{00000000-0005-0000-0000-0000DD8E0000}"/>
    <cellStyle name="40 % - Markeringsfarve6 3 5 3 2" xfId="7059" xr:uid="{00000000-0005-0000-0000-0000DE8E0000}"/>
    <cellStyle name="40 % - Markeringsfarve6 3 5 3 2 2" xfId="14970" xr:uid="{00000000-0005-0000-0000-0000DF8E0000}"/>
    <cellStyle name="40 % - Markeringsfarve6 3 5 3 2 2 2" xfId="31284" xr:uid="{00000000-0005-0000-0000-0000E08E0000}"/>
    <cellStyle name="40 % - Markeringsfarve6 3 5 3 2 2 3" xfId="46248" xr:uid="{00000000-0005-0000-0000-0000E18E0000}"/>
    <cellStyle name="40 % - Markeringsfarve6 3 5 3 2 3" xfId="24262" xr:uid="{00000000-0005-0000-0000-0000E28E0000}"/>
    <cellStyle name="40 % - Markeringsfarve6 3 5 3 2 4" xfId="39249" xr:uid="{00000000-0005-0000-0000-0000E38E0000}"/>
    <cellStyle name="40 % - Markeringsfarve6 3 5 3 3" xfId="13159" xr:uid="{00000000-0005-0000-0000-0000E48E0000}"/>
    <cellStyle name="40 % - Markeringsfarve6 3 5 3 3 2" xfId="29478" xr:uid="{00000000-0005-0000-0000-0000E58E0000}"/>
    <cellStyle name="40 % - Markeringsfarve6 3 5 3 3 3" xfId="44443" xr:uid="{00000000-0005-0000-0000-0000E68E0000}"/>
    <cellStyle name="40 % - Markeringsfarve6 3 5 3 4" xfId="22456" xr:uid="{00000000-0005-0000-0000-0000E78E0000}"/>
    <cellStyle name="40 % - Markeringsfarve6 3 5 3 5" xfId="37444" xr:uid="{00000000-0005-0000-0000-0000E88E0000}"/>
    <cellStyle name="40 % - Markeringsfarve6 3 5 4" xfId="4603" xr:uid="{00000000-0005-0000-0000-0000E98E0000}"/>
    <cellStyle name="40 % - Markeringsfarve6 3 5 4 2" xfId="8624" xr:uid="{00000000-0005-0000-0000-0000EA8E0000}"/>
    <cellStyle name="40 % - Markeringsfarve6 3 5 4 2 2" xfId="16507" xr:uid="{00000000-0005-0000-0000-0000EB8E0000}"/>
    <cellStyle name="40 % - Markeringsfarve6 3 5 4 2 2 2" xfId="32821" xr:uid="{00000000-0005-0000-0000-0000EC8E0000}"/>
    <cellStyle name="40 % - Markeringsfarve6 3 5 4 2 2 3" xfId="47785" xr:uid="{00000000-0005-0000-0000-0000ED8E0000}"/>
    <cellStyle name="40 % - Markeringsfarve6 3 5 4 2 3" xfId="25799" xr:uid="{00000000-0005-0000-0000-0000EE8E0000}"/>
    <cellStyle name="40 % - Markeringsfarve6 3 5 4 2 4" xfId="40786" xr:uid="{00000000-0005-0000-0000-0000EF8E0000}"/>
    <cellStyle name="40 % - Markeringsfarve6 3 5 4 3" xfId="13160" xr:uid="{00000000-0005-0000-0000-0000F08E0000}"/>
    <cellStyle name="40 % - Markeringsfarve6 3 5 4 3 2" xfId="29479" xr:uid="{00000000-0005-0000-0000-0000F18E0000}"/>
    <cellStyle name="40 % - Markeringsfarve6 3 5 4 3 3" xfId="44444" xr:uid="{00000000-0005-0000-0000-0000F28E0000}"/>
    <cellStyle name="40 % - Markeringsfarve6 3 5 4 4" xfId="22457" xr:uid="{00000000-0005-0000-0000-0000F38E0000}"/>
    <cellStyle name="40 % - Markeringsfarve6 3 5 4 5" xfId="37445" xr:uid="{00000000-0005-0000-0000-0000F48E0000}"/>
    <cellStyle name="40 % - Markeringsfarve6 3 5 5" xfId="6064" xr:uid="{00000000-0005-0000-0000-0000F58E0000}"/>
    <cellStyle name="40 % - Markeringsfarve6 3 5 5 2" xfId="13982" xr:uid="{00000000-0005-0000-0000-0000F68E0000}"/>
    <cellStyle name="40 % - Markeringsfarve6 3 5 5 2 2" xfId="30296" xr:uid="{00000000-0005-0000-0000-0000F78E0000}"/>
    <cellStyle name="40 % - Markeringsfarve6 3 5 5 2 3" xfId="45260" xr:uid="{00000000-0005-0000-0000-0000F88E0000}"/>
    <cellStyle name="40 % - Markeringsfarve6 3 5 5 3" xfId="23274" xr:uid="{00000000-0005-0000-0000-0000F98E0000}"/>
    <cellStyle name="40 % - Markeringsfarve6 3 5 5 4" xfId="38261" xr:uid="{00000000-0005-0000-0000-0000FA8E0000}"/>
    <cellStyle name="40 % - Markeringsfarve6 3 5 6" xfId="13156" xr:uid="{00000000-0005-0000-0000-0000FB8E0000}"/>
    <cellStyle name="40 % - Markeringsfarve6 3 5 6 2" xfId="29475" xr:uid="{00000000-0005-0000-0000-0000FC8E0000}"/>
    <cellStyle name="40 % - Markeringsfarve6 3 5 6 3" xfId="44440" xr:uid="{00000000-0005-0000-0000-0000FD8E0000}"/>
    <cellStyle name="40 % - Markeringsfarve6 3 5 7" xfId="22453" xr:uid="{00000000-0005-0000-0000-0000FE8E0000}"/>
    <cellStyle name="40 % - Markeringsfarve6 3 5 8" xfId="37441" xr:uid="{00000000-0005-0000-0000-0000FF8E0000}"/>
    <cellStyle name="40 % - Markeringsfarve6 3 6" xfId="4604" xr:uid="{00000000-0005-0000-0000-0000008F0000}"/>
    <cellStyle name="40 % - Markeringsfarve6 3 6 2" xfId="4605" xr:uid="{00000000-0005-0000-0000-0000018F0000}"/>
    <cellStyle name="40 % - Markeringsfarve6 3 6 2 2" xfId="4606" xr:uid="{00000000-0005-0000-0000-0000028F0000}"/>
    <cellStyle name="40 % - Markeringsfarve6 3 6 2 2 2" xfId="7871" xr:uid="{00000000-0005-0000-0000-0000038F0000}"/>
    <cellStyle name="40 % - Markeringsfarve6 3 6 2 2 2 2" xfId="15772" xr:uid="{00000000-0005-0000-0000-0000048F0000}"/>
    <cellStyle name="40 % - Markeringsfarve6 3 6 2 2 2 2 2" xfId="32086" xr:uid="{00000000-0005-0000-0000-0000058F0000}"/>
    <cellStyle name="40 % - Markeringsfarve6 3 6 2 2 2 2 3" xfId="47050" xr:uid="{00000000-0005-0000-0000-0000068F0000}"/>
    <cellStyle name="40 % - Markeringsfarve6 3 6 2 2 2 3" xfId="25064" xr:uid="{00000000-0005-0000-0000-0000078F0000}"/>
    <cellStyle name="40 % - Markeringsfarve6 3 6 2 2 2 4" xfId="40051" xr:uid="{00000000-0005-0000-0000-0000088F0000}"/>
    <cellStyle name="40 % - Markeringsfarve6 3 6 2 2 3" xfId="13163" xr:uid="{00000000-0005-0000-0000-0000098F0000}"/>
    <cellStyle name="40 % - Markeringsfarve6 3 6 2 2 3 2" xfId="29482" xr:uid="{00000000-0005-0000-0000-00000A8F0000}"/>
    <cellStyle name="40 % - Markeringsfarve6 3 6 2 2 3 3" xfId="44447" xr:uid="{00000000-0005-0000-0000-00000B8F0000}"/>
    <cellStyle name="40 % - Markeringsfarve6 3 6 2 2 4" xfId="22460" xr:uid="{00000000-0005-0000-0000-00000C8F0000}"/>
    <cellStyle name="40 % - Markeringsfarve6 3 6 2 2 5" xfId="37448" xr:uid="{00000000-0005-0000-0000-00000D8F0000}"/>
    <cellStyle name="40 % - Markeringsfarve6 3 6 2 3" xfId="6414" xr:uid="{00000000-0005-0000-0000-00000E8F0000}"/>
    <cellStyle name="40 % - Markeringsfarve6 3 6 2 3 2" xfId="14328" xr:uid="{00000000-0005-0000-0000-00000F8F0000}"/>
    <cellStyle name="40 % - Markeringsfarve6 3 6 2 3 2 2" xfId="30642" xr:uid="{00000000-0005-0000-0000-0000108F0000}"/>
    <cellStyle name="40 % - Markeringsfarve6 3 6 2 3 2 3" xfId="45606" xr:uid="{00000000-0005-0000-0000-0000118F0000}"/>
    <cellStyle name="40 % - Markeringsfarve6 3 6 2 3 3" xfId="23620" xr:uid="{00000000-0005-0000-0000-0000128F0000}"/>
    <cellStyle name="40 % - Markeringsfarve6 3 6 2 3 4" xfId="38607" xr:uid="{00000000-0005-0000-0000-0000138F0000}"/>
    <cellStyle name="40 % - Markeringsfarve6 3 6 2 4" xfId="13162" xr:uid="{00000000-0005-0000-0000-0000148F0000}"/>
    <cellStyle name="40 % - Markeringsfarve6 3 6 2 4 2" xfId="29481" xr:uid="{00000000-0005-0000-0000-0000158F0000}"/>
    <cellStyle name="40 % - Markeringsfarve6 3 6 2 4 3" xfId="44446" xr:uid="{00000000-0005-0000-0000-0000168F0000}"/>
    <cellStyle name="40 % - Markeringsfarve6 3 6 2 5" xfId="22459" xr:uid="{00000000-0005-0000-0000-0000178F0000}"/>
    <cellStyle name="40 % - Markeringsfarve6 3 6 2 6" xfId="37447" xr:uid="{00000000-0005-0000-0000-0000188F0000}"/>
    <cellStyle name="40 % - Markeringsfarve6 3 6 3" xfId="4607" xr:uid="{00000000-0005-0000-0000-0000198F0000}"/>
    <cellStyle name="40 % - Markeringsfarve6 3 6 3 2" xfId="7147" xr:uid="{00000000-0005-0000-0000-00001A8F0000}"/>
    <cellStyle name="40 % - Markeringsfarve6 3 6 3 2 2" xfId="15057" xr:uid="{00000000-0005-0000-0000-00001B8F0000}"/>
    <cellStyle name="40 % - Markeringsfarve6 3 6 3 2 2 2" xfId="31371" xr:uid="{00000000-0005-0000-0000-00001C8F0000}"/>
    <cellStyle name="40 % - Markeringsfarve6 3 6 3 2 2 3" xfId="46335" xr:uid="{00000000-0005-0000-0000-00001D8F0000}"/>
    <cellStyle name="40 % - Markeringsfarve6 3 6 3 2 3" xfId="24349" xr:uid="{00000000-0005-0000-0000-00001E8F0000}"/>
    <cellStyle name="40 % - Markeringsfarve6 3 6 3 2 4" xfId="39336" xr:uid="{00000000-0005-0000-0000-00001F8F0000}"/>
    <cellStyle name="40 % - Markeringsfarve6 3 6 3 3" xfId="13164" xr:uid="{00000000-0005-0000-0000-0000208F0000}"/>
    <cellStyle name="40 % - Markeringsfarve6 3 6 3 3 2" xfId="29483" xr:uid="{00000000-0005-0000-0000-0000218F0000}"/>
    <cellStyle name="40 % - Markeringsfarve6 3 6 3 3 3" xfId="44448" xr:uid="{00000000-0005-0000-0000-0000228F0000}"/>
    <cellStyle name="40 % - Markeringsfarve6 3 6 3 4" xfId="22461" xr:uid="{00000000-0005-0000-0000-0000238F0000}"/>
    <cellStyle name="40 % - Markeringsfarve6 3 6 3 5" xfId="37449" xr:uid="{00000000-0005-0000-0000-0000248F0000}"/>
    <cellStyle name="40 % - Markeringsfarve6 3 6 4" xfId="4608" xr:uid="{00000000-0005-0000-0000-0000258F0000}"/>
    <cellStyle name="40 % - Markeringsfarve6 3 6 4 2" xfId="8274" xr:uid="{00000000-0005-0000-0000-0000268F0000}"/>
    <cellStyle name="40 % - Markeringsfarve6 3 6 4 2 2" xfId="16168" xr:uid="{00000000-0005-0000-0000-0000278F0000}"/>
    <cellStyle name="40 % - Markeringsfarve6 3 6 4 2 2 2" xfId="32482" xr:uid="{00000000-0005-0000-0000-0000288F0000}"/>
    <cellStyle name="40 % - Markeringsfarve6 3 6 4 2 2 3" xfId="47446" xr:uid="{00000000-0005-0000-0000-0000298F0000}"/>
    <cellStyle name="40 % - Markeringsfarve6 3 6 4 2 3" xfId="25460" xr:uid="{00000000-0005-0000-0000-00002A8F0000}"/>
    <cellStyle name="40 % - Markeringsfarve6 3 6 4 2 4" xfId="40447" xr:uid="{00000000-0005-0000-0000-00002B8F0000}"/>
    <cellStyle name="40 % - Markeringsfarve6 3 6 4 3" xfId="13165" xr:uid="{00000000-0005-0000-0000-00002C8F0000}"/>
    <cellStyle name="40 % - Markeringsfarve6 3 6 4 3 2" xfId="29484" xr:uid="{00000000-0005-0000-0000-00002D8F0000}"/>
    <cellStyle name="40 % - Markeringsfarve6 3 6 4 3 3" xfId="44449" xr:uid="{00000000-0005-0000-0000-00002E8F0000}"/>
    <cellStyle name="40 % - Markeringsfarve6 3 6 4 4" xfId="22462" xr:uid="{00000000-0005-0000-0000-00002F8F0000}"/>
    <cellStyle name="40 % - Markeringsfarve6 3 6 4 5" xfId="37450" xr:uid="{00000000-0005-0000-0000-0000308F0000}"/>
    <cellStyle name="40 % - Markeringsfarve6 3 6 5" xfId="6065" xr:uid="{00000000-0005-0000-0000-0000318F0000}"/>
    <cellStyle name="40 % - Markeringsfarve6 3 6 5 2" xfId="13983" xr:uid="{00000000-0005-0000-0000-0000328F0000}"/>
    <cellStyle name="40 % - Markeringsfarve6 3 6 5 2 2" xfId="30297" xr:uid="{00000000-0005-0000-0000-0000338F0000}"/>
    <cellStyle name="40 % - Markeringsfarve6 3 6 5 2 3" xfId="45261" xr:uid="{00000000-0005-0000-0000-0000348F0000}"/>
    <cellStyle name="40 % - Markeringsfarve6 3 6 5 3" xfId="23275" xr:uid="{00000000-0005-0000-0000-0000358F0000}"/>
    <cellStyle name="40 % - Markeringsfarve6 3 6 5 4" xfId="38262" xr:uid="{00000000-0005-0000-0000-0000368F0000}"/>
    <cellStyle name="40 % - Markeringsfarve6 3 6 6" xfId="13161" xr:uid="{00000000-0005-0000-0000-0000378F0000}"/>
    <cellStyle name="40 % - Markeringsfarve6 3 6 6 2" xfId="29480" xr:uid="{00000000-0005-0000-0000-0000388F0000}"/>
    <cellStyle name="40 % - Markeringsfarve6 3 6 6 3" xfId="44445" xr:uid="{00000000-0005-0000-0000-0000398F0000}"/>
    <cellStyle name="40 % - Markeringsfarve6 3 6 7" xfId="22458" xr:uid="{00000000-0005-0000-0000-00003A8F0000}"/>
    <cellStyle name="40 % - Markeringsfarve6 3 6 8" xfId="37446" xr:uid="{00000000-0005-0000-0000-00003B8F0000}"/>
    <cellStyle name="40 % - Markeringsfarve6 3 7" xfId="4609" xr:uid="{00000000-0005-0000-0000-00003C8F0000}"/>
    <cellStyle name="40 % - Markeringsfarve6 3 7 2" xfId="4610" xr:uid="{00000000-0005-0000-0000-00003D8F0000}"/>
    <cellStyle name="40 % - Markeringsfarve6 3 7 2 2" xfId="4611" xr:uid="{00000000-0005-0000-0000-00003E8F0000}"/>
    <cellStyle name="40 % - Markeringsfarve6 3 7 2 2 2" xfId="7988" xr:uid="{00000000-0005-0000-0000-00003F8F0000}"/>
    <cellStyle name="40 % - Markeringsfarve6 3 7 2 2 2 2" xfId="15889" xr:uid="{00000000-0005-0000-0000-0000408F0000}"/>
    <cellStyle name="40 % - Markeringsfarve6 3 7 2 2 2 2 2" xfId="32203" xr:uid="{00000000-0005-0000-0000-0000418F0000}"/>
    <cellStyle name="40 % - Markeringsfarve6 3 7 2 2 2 2 3" xfId="47167" xr:uid="{00000000-0005-0000-0000-0000428F0000}"/>
    <cellStyle name="40 % - Markeringsfarve6 3 7 2 2 2 3" xfId="25181" xr:uid="{00000000-0005-0000-0000-0000438F0000}"/>
    <cellStyle name="40 % - Markeringsfarve6 3 7 2 2 2 4" xfId="40168" xr:uid="{00000000-0005-0000-0000-0000448F0000}"/>
    <cellStyle name="40 % - Markeringsfarve6 3 7 2 2 3" xfId="13168" xr:uid="{00000000-0005-0000-0000-0000458F0000}"/>
    <cellStyle name="40 % - Markeringsfarve6 3 7 2 2 3 2" xfId="29487" xr:uid="{00000000-0005-0000-0000-0000468F0000}"/>
    <cellStyle name="40 % - Markeringsfarve6 3 7 2 2 3 3" xfId="44452" xr:uid="{00000000-0005-0000-0000-0000478F0000}"/>
    <cellStyle name="40 % - Markeringsfarve6 3 7 2 2 4" xfId="22465" xr:uid="{00000000-0005-0000-0000-0000488F0000}"/>
    <cellStyle name="40 % - Markeringsfarve6 3 7 2 2 5" xfId="37453" xr:uid="{00000000-0005-0000-0000-0000498F0000}"/>
    <cellStyle name="40 % - Markeringsfarve6 3 7 2 3" xfId="6513" xr:uid="{00000000-0005-0000-0000-00004A8F0000}"/>
    <cellStyle name="40 % - Markeringsfarve6 3 7 2 3 2" xfId="14427" xr:uid="{00000000-0005-0000-0000-00004B8F0000}"/>
    <cellStyle name="40 % - Markeringsfarve6 3 7 2 3 2 2" xfId="30741" xr:uid="{00000000-0005-0000-0000-00004C8F0000}"/>
    <cellStyle name="40 % - Markeringsfarve6 3 7 2 3 2 3" xfId="45705" xr:uid="{00000000-0005-0000-0000-00004D8F0000}"/>
    <cellStyle name="40 % - Markeringsfarve6 3 7 2 3 3" xfId="23719" xr:uid="{00000000-0005-0000-0000-00004E8F0000}"/>
    <cellStyle name="40 % - Markeringsfarve6 3 7 2 3 4" xfId="38706" xr:uid="{00000000-0005-0000-0000-00004F8F0000}"/>
    <cellStyle name="40 % - Markeringsfarve6 3 7 2 4" xfId="13167" xr:uid="{00000000-0005-0000-0000-0000508F0000}"/>
    <cellStyle name="40 % - Markeringsfarve6 3 7 2 4 2" xfId="29486" xr:uid="{00000000-0005-0000-0000-0000518F0000}"/>
    <cellStyle name="40 % - Markeringsfarve6 3 7 2 4 3" xfId="44451" xr:uid="{00000000-0005-0000-0000-0000528F0000}"/>
    <cellStyle name="40 % - Markeringsfarve6 3 7 2 5" xfId="22464" xr:uid="{00000000-0005-0000-0000-0000538F0000}"/>
    <cellStyle name="40 % - Markeringsfarve6 3 7 2 6" xfId="37452" xr:uid="{00000000-0005-0000-0000-0000548F0000}"/>
    <cellStyle name="40 % - Markeringsfarve6 3 7 3" xfId="4612" xr:uid="{00000000-0005-0000-0000-0000558F0000}"/>
    <cellStyle name="40 % - Markeringsfarve6 3 7 3 2" xfId="7264" xr:uid="{00000000-0005-0000-0000-0000568F0000}"/>
    <cellStyle name="40 % - Markeringsfarve6 3 7 3 2 2" xfId="15174" xr:uid="{00000000-0005-0000-0000-0000578F0000}"/>
    <cellStyle name="40 % - Markeringsfarve6 3 7 3 2 2 2" xfId="31488" xr:uid="{00000000-0005-0000-0000-0000588F0000}"/>
    <cellStyle name="40 % - Markeringsfarve6 3 7 3 2 2 3" xfId="46452" xr:uid="{00000000-0005-0000-0000-0000598F0000}"/>
    <cellStyle name="40 % - Markeringsfarve6 3 7 3 2 3" xfId="24466" xr:uid="{00000000-0005-0000-0000-00005A8F0000}"/>
    <cellStyle name="40 % - Markeringsfarve6 3 7 3 2 4" xfId="39453" xr:uid="{00000000-0005-0000-0000-00005B8F0000}"/>
    <cellStyle name="40 % - Markeringsfarve6 3 7 3 3" xfId="13169" xr:uid="{00000000-0005-0000-0000-00005C8F0000}"/>
    <cellStyle name="40 % - Markeringsfarve6 3 7 3 3 2" xfId="29488" xr:uid="{00000000-0005-0000-0000-00005D8F0000}"/>
    <cellStyle name="40 % - Markeringsfarve6 3 7 3 3 3" xfId="44453" xr:uid="{00000000-0005-0000-0000-00005E8F0000}"/>
    <cellStyle name="40 % - Markeringsfarve6 3 7 3 4" xfId="22466" xr:uid="{00000000-0005-0000-0000-00005F8F0000}"/>
    <cellStyle name="40 % - Markeringsfarve6 3 7 3 5" xfId="37454" xr:uid="{00000000-0005-0000-0000-0000608F0000}"/>
    <cellStyle name="40 % - Markeringsfarve6 3 7 4" xfId="4613" xr:uid="{00000000-0005-0000-0000-0000618F0000}"/>
    <cellStyle name="40 % - Markeringsfarve6 3 7 4 2" xfId="8606" xr:uid="{00000000-0005-0000-0000-0000628F0000}"/>
    <cellStyle name="40 % - Markeringsfarve6 3 7 4 2 2" xfId="16492" xr:uid="{00000000-0005-0000-0000-0000638F0000}"/>
    <cellStyle name="40 % - Markeringsfarve6 3 7 4 2 2 2" xfId="32806" xr:uid="{00000000-0005-0000-0000-0000648F0000}"/>
    <cellStyle name="40 % - Markeringsfarve6 3 7 4 2 2 3" xfId="47770" xr:uid="{00000000-0005-0000-0000-0000658F0000}"/>
    <cellStyle name="40 % - Markeringsfarve6 3 7 4 2 3" xfId="25784" xr:uid="{00000000-0005-0000-0000-0000668F0000}"/>
    <cellStyle name="40 % - Markeringsfarve6 3 7 4 2 4" xfId="40771" xr:uid="{00000000-0005-0000-0000-0000678F0000}"/>
    <cellStyle name="40 % - Markeringsfarve6 3 7 4 3" xfId="13170" xr:uid="{00000000-0005-0000-0000-0000688F0000}"/>
    <cellStyle name="40 % - Markeringsfarve6 3 7 4 3 2" xfId="29489" xr:uid="{00000000-0005-0000-0000-0000698F0000}"/>
    <cellStyle name="40 % - Markeringsfarve6 3 7 4 3 3" xfId="44454" xr:uid="{00000000-0005-0000-0000-00006A8F0000}"/>
    <cellStyle name="40 % - Markeringsfarve6 3 7 4 4" xfId="22467" xr:uid="{00000000-0005-0000-0000-00006B8F0000}"/>
    <cellStyle name="40 % - Markeringsfarve6 3 7 4 5" xfId="37455" xr:uid="{00000000-0005-0000-0000-00006C8F0000}"/>
    <cellStyle name="40 % - Markeringsfarve6 3 7 5" xfId="6066" xr:uid="{00000000-0005-0000-0000-00006D8F0000}"/>
    <cellStyle name="40 % - Markeringsfarve6 3 7 5 2" xfId="13984" xr:uid="{00000000-0005-0000-0000-00006E8F0000}"/>
    <cellStyle name="40 % - Markeringsfarve6 3 7 5 2 2" xfId="30298" xr:uid="{00000000-0005-0000-0000-00006F8F0000}"/>
    <cellStyle name="40 % - Markeringsfarve6 3 7 5 2 3" xfId="45262" xr:uid="{00000000-0005-0000-0000-0000708F0000}"/>
    <cellStyle name="40 % - Markeringsfarve6 3 7 5 3" xfId="23276" xr:uid="{00000000-0005-0000-0000-0000718F0000}"/>
    <cellStyle name="40 % - Markeringsfarve6 3 7 5 4" xfId="38263" xr:uid="{00000000-0005-0000-0000-0000728F0000}"/>
    <cellStyle name="40 % - Markeringsfarve6 3 7 6" xfId="13166" xr:uid="{00000000-0005-0000-0000-0000738F0000}"/>
    <cellStyle name="40 % - Markeringsfarve6 3 7 6 2" xfId="29485" xr:uid="{00000000-0005-0000-0000-0000748F0000}"/>
    <cellStyle name="40 % - Markeringsfarve6 3 7 6 3" xfId="44450" xr:uid="{00000000-0005-0000-0000-0000758F0000}"/>
    <cellStyle name="40 % - Markeringsfarve6 3 7 7" xfId="22463" xr:uid="{00000000-0005-0000-0000-0000768F0000}"/>
    <cellStyle name="40 % - Markeringsfarve6 3 7 8" xfId="37451" xr:uid="{00000000-0005-0000-0000-0000778F0000}"/>
    <cellStyle name="40 % - Markeringsfarve6 3 8" xfId="4614" xr:uid="{00000000-0005-0000-0000-0000788F0000}"/>
    <cellStyle name="40 % - Markeringsfarve6 3 8 2" xfId="4615" xr:uid="{00000000-0005-0000-0000-0000798F0000}"/>
    <cellStyle name="40 % - Markeringsfarve6 3 8 2 2" xfId="4616" xr:uid="{00000000-0005-0000-0000-00007A8F0000}"/>
    <cellStyle name="40 % - Markeringsfarve6 3 8 2 2 2" xfId="8183" xr:uid="{00000000-0005-0000-0000-00007B8F0000}"/>
    <cellStyle name="40 % - Markeringsfarve6 3 8 2 2 2 2" xfId="16084" xr:uid="{00000000-0005-0000-0000-00007C8F0000}"/>
    <cellStyle name="40 % - Markeringsfarve6 3 8 2 2 2 2 2" xfId="32398" xr:uid="{00000000-0005-0000-0000-00007D8F0000}"/>
    <cellStyle name="40 % - Markeringsfarve6 3 8 2 2 2 2 3" xfId="47362" xr:uid="{00000000-0005-0000-0000-00007E8F0000}"/>
    <cellStyle name="40 % - Markeringsfarve6 3 8 2 2 2 3" xfId="25376" xr:uid="{00000000-0005-0000-0000-00007F8F0000}"/>
    <cellStyle name="40 % - Markeringsfarve6 3 8 2 2 2 4" xfId="40363" xr:uid="{00000000-0005-0000-0000-0000808F0000}"/>
    <cellStyle name="40 % - Markeringsfarve6 3 8 2 2 3" xfId="13173" xr:uid="{00000000-0005-0000-0000-0000818F0000}"/>
    <cellStyle name="40 % - Markeringsfarve6 3 8 2 2 3 2" xfId="29492" xr:uid="{00000000-0005-0000-0000-0000828F0000}"/>
    <cellStyle name="40 % - Markeringsfarve6 3 8 2 2 3 3" xfId="44457" xr:uid="{00000000-0005-0000-0000-0000838F0000}"/>
    <cellStyle name="40 % - Markeringsfarve6 3 8 2 2 4" xfId="22470" xr:uid="{00000000-0005-0000-0000-0000848F0000}"/>
    <cellStyle name="40 % - Markeringsfarve6 3 8 2 2 5" xfId="37458" xr:uid="{00000000-0005-0000-0000-0000858F0000}"/>
    <cellStyle name="40 % - Markeringsfarve6 3 8 2 3" xfId="6676" xr:uid="{00000000-0005-0000-0000-0000868F0000}"/>
    <cellStyle name="40 % - Markeringsfarve6 3 8 2 3 2" xfId="14590" xr:uid="{00000000-0005-0000-0000-0000878F0000}"/>
    <cellStyle name="40 % - Markeringsfarve6 3 8 2 3 2 2" xfId="30904" xr:uid="{00000000-0005-0000-0000-0000888F0000}"/>
    <cellStyle name="40 % - Markeringsfarve6 3 8 2 3 2 3" xfId="45868" xr:uid="{00000000-0005-0000-0000-0000898F0000}"/>
    <cellStyle name="40 % - Markeringsfarve6 3 8 2 3 3" xfId="23882" xr:uid="{00000000-0005-0000-0000-00008A8F0000}"/>
    <cellStyle name="40 % - Markeringsfarve6 3 8 2 3 4" xfId="38869" xr:uid="{00000000-0005-0000-0000-00008B8F0000}"/>
    <cellStyle name="40 % - Markeringsfarve6 3 8 2 4" xfId="13172" xr:uid="{00000000-0005-0000-0000-00008C8F0000}"/>
    <cellStyle name="40 % - Markeringsfarve6 3 8 2 4 2" xfId="29491" xr:uid="{00000000-0005-0000-0000-00008D8F0000}"/>
    <cellStyle name="40 % - Markeringsfarve6 3 8 2 4 3" xfId="44456" xr:uid="{00000000-0005-0000-0000-00008E8F0000}"/>
    <cellStyle name="40 % - Markeringsfarve6 3 8 2 5" xfId="22469" xr:uid="{00000000-0005-0000-0000-00008F8F0000}"/>
    <cellStyle name="40 % - Markeringsfarve6 3 8 2 6" xfId="37457" xr:uid="{00000000-0005-0000-0000-0000908F0000}"/>
    <cellStyle name="40 % - Markeringsfarve6 3 8 3" xfId="4617" xr:uid="{00000000-0005-0000-0000-0000918F0000}"/>
    <cellStyle name="40 % - Markeringsfarve6 3 8 3 2" xfId="7460" xr:uid="{00000000-0005-0000-0000-0000928F0000}"/>
    <cellStyle name="40 % - Markeringsfarve6 3 8 3 2 2" xfId="15370" xr:uid="{00000000-0005-0000-0000-0000938F0000}"/>
    <cellStyle name="40 % - Markeringsfarve6 3 8 3 2 2 2" xfId="31684" xr:uid="{00000000-0005-0000-0000-0000948F0000}"/>
    <cellStyle name="40 % - Markeringsfarve6 3 8 3 2 2 3" xfId="46648" xr:uid="{00000000-0005-0000-0000-0000958F0000}"/>
    <cellStyle name="40 % - Markeringsfarve6 3 8 3 2 3" xfId="24662" xr:uid="{00000000-0005-0000-0000-0000968F0000}"/>
    <cellStyle name="40 % - Markeringsfarve6 3 8 3 2 4" xfId="39649" xr:uid="{00000000-0005-0000-0000-0000978F0000}"/>
    <cellStyle name="40 % - Markeringsfarve6 3 8 3 3" xfId="13174" xr:uid="{00000000-0005-0000-0000-0000988F0000}"/>
    <cellStyle name="40 % - Markeringsfarve6 3 8 3 3 2" xfId="29493" xr:uid="{00000000-0005-0000-0000-0000998F0000}"/>
    <cellStyle name="40 % - Markeringsfarve6 3 8 3 3 3" xfId="44458" xr:uid="{00000000-0005-0000-0000-00009A8F0000}"/>
    <cellStyle name="40 % - Markeringsfarve6 3 8 3 4" xfId="22471" xr:uid="{00000000-0005-0000-0000-00009B8F0000}"/>
    <cellStyle name="40 % - Markeringsfarve6 3 8 3 5" xfId="37459" xr:uid="{00000000-0005-0000-0000-00009C8F0000}"/>
    <cellStyle name="40 % - Markeringsfarve6 3 8 4" xfId="4618" xr:uid="{00000000-0005-0000-0000-00009D8F0000}"/>
    <cellStyle name="40 % - Markeringsfarve6 3 8 4 2" xfId="8257" xr:uid="{00000000-0005-0000-0000-00009E8F0000}"/>
    <cellStyle name="40 % - Markeringsfarve6 3 8 4 2 2" xfId="16153" xr:uid="{00000000-0005-0000-0000-00009F8F0000}"/>
    <cellStyle name="40 % - Markeringsfarve6 3 8 4 2 2 2" xfId="32467" xr:uid="{00000000-0005-0000-0000-0000A08F0000}"/>
    <cellStyle name="40 % - Markeringsfarve6 3 8 4 2 2 3" xfId="47431" xr:uid="{00000000-0005-0000-0000-0000A18F0000}"/>
    <cellStyle name="40 % - Markeringsfarve6 3 8 4 2 3" xfId="25445" xr:uid="{00000000-0005-0000-0000-0000A28F0000}"/>
    <cellStyle name="40 % - Markeringsfarve6 3 8 4 2 4" xfId="40432" xr:uid="{00000000-0005-0000-0000-0000A38F0000}"/>
    <cellStyle name="40 % - Markeringsfarve6 3 8 4 3" xfId="13175" xr:uid="{00000000-0005-0000-0000-0000A48F0000}"/>
    <cellStyle name="40 % - Markeringsfarve6 3 8 4 3 2" xfId="29494" xr:uid="{00000000-0005-0000-0000-0000A58F0000}"/>
    <cellStyle name="40 % - Markeringsfarve6 3 8 4 3 3" xfId="44459" xr:uid="{00000000-0005-0000-0000-0000A68F0000}"/>
    <cellStyle name="40 % - Markeringsfarve6 3 8 4 4" xfId="22472" xr:uid="{00000000-0005-0000-0000-0000A78F0000}"/>
    <cellStyle name="40 % - Markeringsfarve6 3 8 4 5" xfId="37460" xr:uid="{00000000-0005-0000-0000-0000A88F0000}"/>
    <cellStyle name="40 % - Markeringsfarve6 3 8 5" xfId="6067" xr:uid="{00000000-0005-0000-0000-0000A98F0000}"/>
    <cellStyle name="40 % - Markeringsfarve6 3 8 5 2" xfId="13985" xr:uid="{00000000-0005-0000-0000-0000AA8F0000}"/>
    <cellStyle name="40 % - Markeringsfarve6 3 8 5 2 2" xfId="30299" xr:uid="{00000000-0005-0000-0000-0000AB8F0000}"/>
    <cellStyle name="40 % - Markeringsfarve6 3 8 5 2 3" xfId="45263" xr:uid="{00000000-0005-0000-0000-0000AC8F0000}"/>
    <cellStyle name="40 % - Markeringsfarve6 3 8 5 3" xfId="23277" xr:uid="{00000000-0005-0000-0000-0000AD8F0000}"/>
    <cellStyle name="40 % - Markeringsfarve6 3 8 5 4" xfId="38264" xr:uid="{00000000-0005-0000-0000-0000AE8F0000}"/>
    <cellStyle name="40 % - Markeringsfarve6 3 8 6" xfId="13171" xr:uid="{00000000-0005-0000-0000-0000AF8F0000}"/>
    <cellStyle name="40 % - Markeringsfarve6 3 8 6 2" xfId="29490" xr:uid="{00000000-0005-0000-0000-0000B08F0000}"/>
    <cellStyle name="40 % - Markeringsfarve6 3 8 6 3" xfId="44455" xr:uid="{00000000-0005-0000-0000-0000B18F0000}"/>
    <cellStyle name="40 % - Markeringsfarve6 3 8 7" xfId="22468" xr:uid="{00000000-0005-0000-0000-0000B28F0000}"/>
    <cellStyle name="40 % - Markeringsfarve6 3 8 8" xfId="37456" xr:uid="{00000000-0005-0000-0000-0000B38F0000}"/>
    <cellStyle name="40 % - Markeringsfarve6 3 9" xfId="4619" xr:uid="{00000000-0005-0000-0000-0000B48F0000}"/>
    <cellStyle name="40 % - Markeringsfarve6 3 9 2" xfId="4620" xr:uid="{00000000-0005-0000-0000-0000B58F0000}"/>
    <cellStyle name="40 % - Markeringsfarve6 3 9 2 2" xfId="7514" xr:uid="{00000000-0005-0000-0000-0000B68F0000}"/>
    <cellStyle name="40 % - Markeringsfarve6 3 9 2 2 2" xfId="15415" xr:uid="{00000000-0005-0000-0000-0000B78F0000}"/>
    <cellStyle name="40 % - Markeringsfarve6 3 9 2 2 2 2" xfId="31729" xr:uid="{00000000-0005-0000-0000-0000B88F0000}"/>
    <cellStyle name="40 % - Markeringsfarve6 3 9 2 2 2 3" xfId="46693" xr:uid="{00000000-0005-0000-0000-0000B98F0000}"/>
    <cellStyle name="40 % - Markeringsfarve6 3 9 2 2 3" xfId="24707" xr:uid="{00000000-0005-0000-0000-0000BA8F0000}"/>
    <cellStyle name="40 % - Markeringsfarve6 3 9 2 2 4" xfId="39694" xr:uid="{00000000-0005-0000-0000-0000BB8F0000}"/>
    <cellStyle name="40 % - Markeringsfarve6 3 9 2 3" xfId="13177" xr:uid="{00000000-0005-0000-0000-0000BC8F0000}"/>
    <cellStyle name="40 % - Markeringsfarve6 3 9 2 3 2" xfId="29496" xr:uid="{00000000-0005-0000-0000-0000BD8F0000}"/>
    <cellStyle name="40 % - Markeringsfarve6 3 9 2 3 3" xfId="44461" xr:uid="{00000000-0005-0000-0000-0000BE8F0000}"/>
    <cellStyle name="40 % - Markeringsfarve6 3 9 2 4" xfId="22474" xr:uid="{00000000-0005-0000-0000-0000BF8F0000}"/>
    <cellStyle name="40 % - Markeringsfarve6 3 9 2 5" xfId="37462" xr:uid="{00000000-0005-0000-0000-0000C08F0000}"/>
    <cellStyle name="40 % - Markeringsfarve6 3 9 3" xfId="6113" xr:uid="{00000000-0005-0000-0000-0000C18F0000}"/>
    <cellStyle name="40 % - Markeringsfarve6 3 9 3 2" xfId="14030" xr:uid="{00000000-0005-0000-0000-0000C28F0000}"/>
    <cellStyle name="40 % - Markeringsfarve6 3 9 3 2 2" xfId="30344" xr:uid="{00000000-0005-0000-0000-0000C38F0000}"/>
    <cellStyle name="40 % - Markeringsfarve6 3 9 3 2 3" xfId="45308" xr:uid="{00000000-0005-0000-0000-0000C48F0000}"/>
    <cellStyle name="40 % - Markeringsfarve6 3 9 3 3" xfId="23322" xr:uid="{00000000-0005-0000-0000-0000C58F0000}"/>
    <cellStyle name="40 % - Markeringsfarve6 3 9 3 4" xfId="38309" xr:uid="{00000000-0005-0000-0000-0000C68F0000}"/>
    <cellStyle name="40 % - Markeringsfarve6 3 9 4" xfId="13176" xr:uid="{00000000-0005-0000-0000-0000C78F0000}"/>
    <cellStyle name="40 % - Markeringsfarve6 3 9 4 2" xfId="29495" xr:uid="{00000000-0005-0000-0000-0000C88F0000}"/>
    <cellStyle name="40 % - Markeringsfarve6 3 9 4 3" xfId="44460" xr:uid="{00000000-0005-0000-0000-0000C98F0000}"/>
    <cellStyle name="40 % - Markeringsfarve6 3 9 5" xfId="22473" xr:uid="{00000000-0005-0000-0000-0000CA8F0000}"/>
    <cellStyle name="40 % - Markeringsfarve6 3 9 6" xfId="37461" xr:uid="{00000000-0005-0000-0000-0000CB8F0000}"/>
    <cellStyle name="40 % - Markeringsfarve6 4" xfId="4621" xr:uid="{00000000-0005-0000-0000-0000CC8F0000}"/>
    <cellStyle name="40 % - Markeringsfarve6 4 10" xfId="6068" xr:uid="{00000000-0005-0000-0000-0000CD8F0000}"/>
    <cellStyle name="40 % - Markeringsfarve6 4 10 2" xfId="13986" xr:uid="{00000000-0005-0000-0000-0000CE8F0000}"/>
    <cellStyle name="40 % - Markeringsfarve6 4 10 2 2" xfId="30300" xr:uid="{00000000-0005-0000-0000-0000CF8F0000}"/>
    <cellStyle name="40 % - Markeringsfarve6 4 10 2 3" xfId="45264" xr:uid="{00000000-0005-0000-0000-0000D08F0000}"/>
    <cellStyle name="40 % - Markeringsfarve6 4 10 3" xfId="23278" xr:uid="{00000000-0005-0000-0000-0000D18F0000}"/>
    <cellStyle name="40 % - Markeringsfarve6 4 10 4" xfId="38265" xr:uid="{00000000-0005-0000-0000-0000D28F0000}"/>
    <cellStyle name="40 % - Markeringsfarve6 4 11" xfId="13178" xr:uid="{00000000-0005-0000-0000-0000D38F0000}"/>
    <cellStyle name="40 % - Markeringsfarve6 4 11 2" xfId="29497" xr:uid="{00000000-0005-0000-0000-0000D48F0000}"/>
    <cellStyle name="40 % - Markeringsfarve6 4 11 3" xfId="44462" xr:uid="{00000000-0005-0000-0000-0000D58F0000}"/>
    <cellStyle name="40 % - Markeringsfarve6 4 12" xfId="22475" xr:uid="{00000000-0005-0000-0000-0000D68F0000}"/>
    <cellStyle name="40 % - Markeringsfarve6 4 13" xfId="37463" xr:uid="{00000000-0005-0000-0000-0000D78F0000}"/>
    <cellStyle name="40 % - Markeringsfarve6 4 14" xfId="53403" xr:uid="{00000000-0005-0000-0000-0000D88F0000}"/>
    <cellStyle name="40 % - Markeringsfarve6 4 2" xfId="4622" xr:uid="{00000000-0005-0000-0000-0000D98F0000}"/>
    <cellStyle name="40 % - Markeringsfarve6 4 2 2" xfId="4623" xr:uid="{00000000-0005-0000-0000-0000DA8F0000}"/>
    <cellStyle name="40 % - Markeringsfarve6 4 2 2 2" xfId="4624" xr:uid="{00000000-0005-0000-0000-0000DB8F0000}"/>
    <cellStyle name="40 % - Markeringsfarve6 4 2 2 2 2" xfId="7658" xr:uid="{00000000-0005-0000-0000-0000DC8F0000}"/>
    <cellStyle name="40 % - Markeringsfarve6 4 2 2 2 2 2" xfId="15559" xr:uid="{00000000-0005-0000-0000-0000DD8F0000}"/>
    <cellStyle name="40 % - Markeringsfarve6 4 2 2 2 2 2 2" xfId="31873" xr:uid="{00000000-0005-0000-0000-0000DE8F0000}"/>
    <cellStyle name="40 % - Markeringsfarve6 4 2 2 2 2 2 3" xfId="46837" xr:uid="{00000000-0005-0000-0000-0000DF8F0000}"/>
    <cellStyle name="40 % - Markeringsfarve6 4 2 2 2 2 3" xfId="24851" xr:uid="{00000000-0005-0000-0000-0000E08F0000}"/>
    <cellStyle name="40 % - Markeringsfarve6 4 2 2 2 2 4" xfId="39838" xr:uid="{00000000-0005-0000-0000-0000E18F0000}"/>
    <cellStyle name="40 % - Markeringsfarve6 4 2 2 2 3" xfId="13181" xr:uid="{00000000-0005-0000-0000-0000E28F0000}"/>
    <cellStyle name="40 % - Markeringsfarve6 4 2 2 2 3 2" xfId="29500" xr:uid="{00000000-0005-0000-0000-0000E38F0000}"/>
    <cellStyle name="40 % - Markeringsfarve6 4 2 2 2 3 3" xfId="44465" xr:uid="{00000000-0005-0000-0000-0000E48F0000}"/>
    <cellStyle name="40 % - Markeringsfarve6 4 2 2 2 4" xfId="22478" xr:uid="{00000000-0005-0000-0000-0000E58F0000}"/>
    <cellStyle name="40 % - Markeringsfarve6 4 2 2 2 5" xfId="37466" xr:uid="{00000000-0005-0000-0000-0000E68F0000}"/>
    <cellStyle name="40 % - Markeringsfarve6 4 2 2 3" xfId="6233" xr:uid="{00000000-0005-0000-0000-0000E78F0000}"/>
    <cellStyle name="40 % - Markeringsfarve6 4 2 2 3 2" xfId="14150" xr:uid="{00000000-0005-0000-0000-0000E88F0000}"/>
    <cellStyle name="40 % - Markeringsfarve6 4 2 2 3 2 2" xfId="30464" xr:uid="{00000000-0005-0000-0000-0000E98F0000}"/>
    <cellStyle name="40 % - Markeringsfarve6 4 2 2 3 2 3" xfId="45428" xr:uid="{00000000-0005-0000-0000-0000EA8F0000}"/>
    <cellStyle name="40 % - Markeringsfarve6 4 2 2 3 3" xfId="23442" xr:uid="{00000000-0005-0000-0000-0000EB8F0000}"/>
    <cellStyle name="40 % - Markeringsfarve6 4 2 2 3 4" xfId="38429" xr:uid="{00000000-0005-0000-0000-0000EC8F0000}"/>
    <cellStyle name="40 % - Markeringsfarve6 4 2 2 4" xfId="13180" xr:uid="{00000000-0005-0000-0000-0000ED8F0000}"/>
    <cellStyle name="40 % - Markeringsfarve6 4 2 2 4 2" xfId="29499" xr:uid="{00000000-0005-0000-0000-0000EE8F0000}"/>
    <cellStyle name="40 % - Markeringsfarve6 4 2 2 4 3" xfId="44464" xr:uid="{00000000-0005-0000-0000-0000EF8F0000}"/>
    <cellStyle name="40 % - Markeringsfarve6 4 2 2 5" xfId="22477" xr:uid="{00000000-0005-0000-0000-0000F08F0000}"/>
    <cellStyle name="40 % - Markeringsfarve6 4 2 2 6" xfId="37465" xr:uid="{00000000-0005-0000-0000-0000F18F0000}"/>
    <cellStyle name="40 % - Markeringsfarve6 4 2 2 7" xfId="57207" xr:uid="{00000000-0005-0000-0000-0000F28F0000}"/>
    <cellStyle name="40 % - Markeringsfarve6 4 2 3" xfId="4625" xr:uid="{00000000-0005-0000-0000-0000F38F0000}"/>
    <cellStyle name="40 % - Markeringsfarve6 4 2 3 2" xfId="6888" xr:uid="{00000000-0005-0000-0000-0000F48F0000}"/>
    <cellStyle name="40 % - Markeringsfarve6 4 2 3 2 2" xfId="14799" xr:uid="{00000000-0005-0000-0000-0000F58F0000}"/>
    <cellStyle name="40 % - Markeringsfarve6 4 2 3 2 2 2" xfId="31113" xr:uid="{00000000-0005-0000-0000-0000F68F0000}"/>
    <cellStyle name="40 % - Markeringsfarve6 4 2 3 2 2 3" xfId="46077" xr:uid="{00000000-0005-0000-0000-0000F78F0000}"/>
    <cellStyle name="40 % - Markeringsfarve6 4 2 3 2 3" xfId="24091" xr:uid="{00000000-0005-0000-0000-0000F88F0000}"/>
    <cellStyle name="40 % - Markeringsfarve6 4 2 3 2 4" xfId="39078" xr:uid="{00000000-0005-0000-0000-0000F98F0000}"/>
    <cellStyle name="40 % - Markeringsfarve6 4 2 3 3" xfId="13182" xr:uid="{00000000-0005-0000-0000-0000FA8F0000}"/>
    <cellStyle name="40 % - Markeringsfarve6 4 2 3 3 2" xfId="29501" xr:uid="{00000000-0005-0000-0000-0000FB8F0000}"/>
    <cellStyle name="40 % - Markeringsfarve6 4 2 3 3 3" xfId="44466" xr:uid="{00000000-0005-0000-0000-0000FC8F0000}"/>
    <cellStyle name="40 % - Markeringsfarve6 4 2 3 4" xfId="22479" xr:uid="{00000000-0005-0000-0000-0000FD8F0000}"/>
    <cellStyle name="40 % - Markeringsfarve6 4 2 3 5" xfId="37467" xr:uid="{00000000-0005-0000-0000-0000FE8F0000}"/>
    <cellStyle name="40 % - Markeringsfarve6 4 2 4" xfId="4626" xr:uid="{00000000-0005-0000-0000-0000FF8F0000}"/>
    <cellStyle name="40 % - Markeringsfarve6 4 2 4 2" xfId="8551" xr:uid="{00000000-0005-0000-0000-000000900000}"/>
    <cellStyle name="40 % - Markeringsfarve6 4 2 4 2 2" xfId="16439" xr:uid="{00000000-0005-0000-0000-000001900000}"/>
    <cellStyle name="40 % - Markeringsfarve6 4 2 4 2 2 2" xfId="32753" xr:uid="{00000000-0005-0000-0000-000002900000}"/>
    <cellStyle name="40 % - Markeringsfarve6 4 2 4 2 2 3" xfId="47717" xr:uid="{00000000-0005-0000-0000-000003900000}"/>
    <cellStyle name="40 % - Markeringsfarve6 4 2 4 2 3" xfId="25731" xr:uid="{00000000-0005-0000-0000-000004900000}"/>
    <cellStyle name="40 % - Markeringsfarve6 4 2 4 2 4" xfId="40718" xr:uid="{00000000-0005-0000-0000-000005900000}"/>
    <cellStyle name="40 % - Markeringsfarve6 4 2 4 3" xfId="13183" xr:uid="{00000000-0005-0000-0000-000006900000}"/>
    <cellStyle name="40 % - Markeringsfarve6 4 2 4 3 2" xfId="29502" xr:uid="{00000000-0005-0000-0000-000007900000}"/>
    <cellStyle name="40 % - Markeringsfarve6 4 2 4 3 3" xfId="44467" xr:uid="{00000000-0005-0000-0000-000008900000}"/>
    <cellStyle name="40 % - Markeringsfarve6 4 2 4 4" xfId="22480" xr:uid="{00000000-0005-0000-0000-000009900000}"/>
    <cellStyle name="40 % - Markeringsfarve6 4 2 4 5" xfId="37468" xr:uid="{00000000-0005-0000-0000-00000A900000}"/>
    <cellStyle name="40 % - Markeringsfarve6 4 2 5" xfId="6069" xr:uid="{00000000-0005-0000-0000-00000B900000}"/>
    <cellStyle name="40 % - Markeringsfarve6 4 2 5 2" xfId="13987" xr:uid="{00000000-0005-0000-0000-00000C900000}"/>
    <cellStyle name="40 % - Markeringsfarve6 4 2 5 2 2" xfId="30301" xr:uid="{00000000-0005-0000-0000-00000D900000}"/>
    <cellStyle name="40 % - Markeringsfarve6 4 2 5 2 3" xfId="45265" xr:uid="{00000000-0005-0000-0000-00000E900000}"/>
    <cellStyle name="40 % - Markeringsfarve6 4 2 5 3" xfId="23279" xr:uid="{00000000-0005-0000-0000-00000F900000}"/>
    <cellStyle name="40 % - Markeringsfarve6 4 2 5 4" xfId="38266" xr:uid="{00000000-0005-0000-0000-000010900000}"/>
    <cellStyle name="40 % - Markeringsfarve6 4 2 6" xfId="13179" xr:uid="{00000000-0005-0000-0000-000011900000}"/>
    <cellStyle name="40 % - Markeringsfarve6 4 2 6 2" xfId="29498" xr:uid="{00000000-0005-0000-0000-000012900000}"/>
    <cellStyle name="40 % - Markeringsfarve6 4 2 6 3" xfId="44463" xr:uid="{00000000-0005-0000-0000-000013900000}"/>
    <cellStyle name="40 % - Markeringsfarve6 4 2 7" xfId="22476" xr:uid="{00000000-0005-0000-0000-000014900000}"/>
    <cellStyle name="40 % - Markeringsfarve6 4 2 8" xfId="37464" xr:uid="{00000000-0005-0000-0000-000015900000}"/>
    <cellStyle name="40 % - Markeringsfarve6 4 2 9" xfId="54040" xr:uid="{00000000-0005-0000-0000-000016900000}"/>
    <cellStyle name="40 % - Markeringsfarve6 4 3" xfId="4627" xr:uid="{00000000-0005-0000-0000-000017900000}"/>
    <cellStyle name="40 % - Markeringsfarve6 4 3 2" xfId="4628" xr:uid="{00000000-0005-0000-0000-000018900000}"/>
    <cellStyle name="40 % - Markeringsfarve6 4 3 2 2" xfId="4629" xr:uid="{00000000-0005-0000-0000-000019900000}"/>
    <cellStyle name="40 % - Markeringsfarve6 4 3 2 2 2" xfId="7832" xr:uid="{00000000-0005-0000-0000-00001A900000}"/>
    <cellStyle name="40 % - Markeringsfarve6 4 3 2 2 2 2" xfId="15733" xr:uid="{00000000-0005-0000-0000-00001B900000}"/>
    <cellStyle name="40 % - Markeringsfarve6 4 3 2 2 2 2 2" xfId="32047" xr:uid="{00000000-0005-0000-0000-00001C900000}"/>
    <cellStyle name="40 % - Markeringsfarve6 4 3 2 2 2 2 3" xfId="47011" xr:uid="{00000000-0005-0000-0000-00001D900000}"/>
    <cellStyle name="40 % - Markeringsfarve6 4 3 2 2 2 3" xfId="25025" xr:uid="{00000000-0005-0000-0000-00001E900000}"/>
    <cellStyle name="40 % - Markeringsfarve6 4 3 2 2 2 4" xfId="40012" xr:uid="{00000000-0005-0000-0000-00001F900000}"/>
    <cellStyle name="40 % - Markeringsfarve6 4 3 2 2 3" xfId="13186" xr:uid="{00000000-0005-0000-0000-000020900000}"/>
    <cellStyle name="40 % - Markeringsfarve6 4 3 2 2 3 2" xfId="29505" xr:uid="{00000000-0005-0000-0000-000021900000}"/>
    <cellStyle name="40 % - Markeringsfarve6 4 3 2 2 3 3" xfId="44470" xr:uid="{00000000-0005-0000-0000-000022900000}"/>
    <cellStyle name="40 % - Markeringsfarve6 4 3 2 2 4" xfId="22483" xr:uid="{00000000-0005-0000-0000-000023900000}"/>
    <cellStyle name="40 % - Markeringsfarve6 4 3 2 2 5" xfId="37471" xr:uid="{00000000-0005-0000-0000-000024900000}"/>
    <cellStyle name="40 % - Markeringsfarve6 4 3 2 3" xfId="6378" xr:uid="{00000000-0005-0000-0000-000025900000}"/>
    <cellStyle name="40 % - Markeringsfarve6 4 3 2 3 2" xfId="14295" xr:uid="{00000000-0005-0000-0000-000026900000}"/>
    <cellStyle name="40 % - Markeringsfarve6 4 3 2 3 2 2" xfId="30609" xr:uid="{00000000-0005-0000-0000-000027900000}"/>
    <cellStyle name="40 % - Markeringsfarve6 4 3 2 3 2 3" xfId="45573" xr:uid="{00000000-0005-0000-0000-000028900000}"/>
    <cellStyle name="40 % - Markeringsfarve6 4 3 2 3 3" xfId="23587" xr:uid="{00000000-0005-0000-0000-000029900000}"/>
    <cellStyle name="40 % - Markeringsfarve6 4 3 2 3 4" xfId="38574" xr:uid="{00000000-0005-0000-0000-00002A900000}"/>
    <cellStyle name="40 % - Markeringsfarve6 4 3 2 4" xfId="13185" xr:uid="{00000000-0005-0000-0000-00002B900000}"/>
    <cellStyle name="40 % - Markeringsfarve6 4 3 2 4 2" xfId="29504" xr:uid="{00000000-0005-0000-0000-00002C900000}"/>
    <cellStyle name="40 % - Markeringsfarve6 4 3 2 4 3" xfId="44469" xr:uid="{00000000-0005-0000-0000-00002D900000}"/>
    <cellStyle name="40 % - Markeringsfarve6 4 3 2 5" xfId="22482" xr:uid="{00000000-0005-0000-0000-00002E900000}"/>
    <cellStyle name="40 % - Markeringsfarve6 4 3 2 6" xfId="37470" xr:uid="{00000000-0005-0000-0000-00002F900000}"/>
    <cellStyle name="40 % - Markeringsfarve6 4 3 3" xfId="4630" xr:uid="{00000000-0005-0000-0000-000030900000}"/>
    <cellStyle name="40 % - Markeringsfarve6 4 3 3 2" xfId="7062" xr:uid="{00000000-0005-0000-0000-000031900000}"/>
    <cellStyle name="40 % - Markeringsfarve6 4 3 3 2 2" xfId="14973" xr:uid="{00000000-0005-0000-0000-000032900000}"/>
    <cellStyle name="40 % - Markeringsfarve6 4 3 3 2 2 2" xfId="31287" xr:uid="{00000000-0005-0000-0000-000033900000}"/>
    <cellStyle name="40 % - Markeringsfarve6 4 3 3 2 2 3" xfId="46251" xr:uid="{00000000-0005-0000-0000-000034900000}"/>
    <cellStyle name="40 % - Markeringsfarve6 4 3 3 2 3" xfId="24265" xr:uid="{00000000-0005-0000-0000-000035900000}"/>
    <cellStyle name="40 % - Markeringsfarve6 4 3 3 2 4" xfId="39252" xr:uid="{00000000-0005-0000-0000-000036900000}"/>
    <cellStyle name="40 % - Markeringsfarve6 4 3 3 3" xfId="13187" xr:uid="{00000000-0005-0000-0000-000037900000}"/>
    <cellStyle name="40 % - Markeringsfarve6 4 3 3 3 2" xfId="29506" xr:uid="{00000000-0005-0000-0000-000038900000}"/>
    <cellStyle name="40 % - Markeringsfarve6 4 3 3 3 3" xfId="44471" xr:uid="{00000000-0005-0000-0000-000039900000}"/>
    <cellStyle name="40 % - Markeringsfarve6 4 3 3 4" xfId="22484" xr:uid="{00000000-0005-0000-0000-00003A900000}"/>
    <cellStyle name="40 % - Markeringsfarve6 4 3 3 5" xfId="37472" xr:uid="{00000000-0005-0000-0000-00003B900000}"/>
    <cellStyle name="40 % - Markeringsfarve6 4 3 4" xfId="4631" xr:uid="{00000000-0005-0000-0000-00003C900000}"/>
    <cellStyle name="40 % - Markeringsfarve6 4 3 4 2" xfId="8758" xr:uid="{00000000-0005-0000-0000-00003D900000}"/>
    <cellStyle name="40 % - Markeringsfarve6 4 3 4 2 2" xfId="16634" xr:uid="{00000000-0005-0000-0000-00003E900000}"/>
    <cellStyle name="40 % - Markeringsfarve6 4 3 4 2 2 2" xfId="32948" xr:uid="{00000000-0005-0000-0000-00003F900000}"/>
    <cellStyle name="40 % - Markeringsfarve6 4 3 4 2 2 3" xfId="47912" xr:uid="{00000000-0005-0000-0000-000040900000}"/>
    <cellStyle name="40 % - Markeringsfarve6 4 3 4 2 3" xfId="25926" xr:uid="{00000000-0005-0000-0000-000041900000}"/>
    <cellStyle name="40 % - Markeringsfarve6 4 3 4 2 4" xfId="40913" xr:uid="{00000000-0005-0000-0000-000042900000}"/>
    <cellStyle name="40 % - Markeringsfarve6 4 3 4 3" xfId="13188" xr:uid="{00000000-0005-0000-0000-000043900000}"/>
    <cellStyle name="40 % - Markeringsfarve6 4 3 4 3 2" xfId="29507" xr:uid="{00000000-0005-0000-0000-000044900000}"/>
    <cellStyle name="40 % - Markeringsfarve6 4 3 4 3 3" xfId="44472" xr:uid="{00000000-0005-0000-0000-000045900000}"/>
    <cellStyle name="40 % - Markeringsfarve6 4 3 4 4" xfId="22485" xr:uid="{00000000-0005-0000-0000-000046900000}"/>
    <cellStyle name="40 % - Markeringsfarve6 4 3 4 5" xfId="37473" xr:uid="{00000000-0005-0000-0000-000047900000}"/>
    <cellStyle name="40 % - Markeringsfarve6 4 3 5" xfId="6070" xr:uid="{00000000-0005-0000-0000-000048900000}"/>
    <cellStyle name="40 % - Markeringsfarve6 4 3 5 2" xfId="13988" xr:uid="{00000000-0005-0000-0000-000049900000}"/>
    <cellStyle name="40 % - Markeringsfarve6 4 3 5 2 2" xfId="30302" xr:uid="{00000000-0005-0000-0000-00004A900000}"/>
    <cellStyle name="40 % - Markeringsfarve6 4 3 5 2 3" xfId="45266" xr:uid="{00000000-0005-0000-0000-00004B900000}"/>
    <cellStyle name="40 % - Markeringsfarve6 4 3 5 3" xfId="23280" xr:uid="{00000000-0005-0000-0000-00004C900000}"/>
    <cellStyle name="40 % - Markeringsfarve6 4 3 5 4" xfId="38267" xr:uid="{00000000-0005-0000-0000-00004D900000}"/>
    <cellStyle name="40 % - Markeringsfarve6 4 3 6" xfId="13184" xr:uid="{00000000-0005-0000-0000-00004E900000}"/>
    <cellStyle name="40 % - Markeringsfarve6 4 3 6 2" xfId="29503" xr:uid="{00000000-0005-0000-0000-00004F900000}"/>
    <cellStyle name="40 % - Markeringsfarve6 4 3 6 3" xfId="44468" xr:uid="{00000000-0005-0000-0000-000050900000}"/>
    <cellStyle name="40 % - Markeringsfarve6 4 3 7" xfId="22481" xr:uid="{00000000-0005-0000-0000-000051900000}"/>
    <cellStyle name="40 % - Markeringsfarve6 4 3 8" xfId="37469" xr:uid="{00000000-0005-0000-0000-000052900000}"/>
    <cellStyle name="40 % - Markeringsfarve6 4 3 9" xfId="56584" xr:uid="{00000000-0005-0000-0000-000053900000}"/>
    <cellStyle name="40 % - Markeringsfarve6 4 4" xfId="4632" xr:uid="{00000000-0005-0000-0000-000054900000}"/>
    <cellStyle name="40 % - Markeringsfarve6 4 4 2" xfId="4633" xr:uid="{00000000-0005-0000-0000-000055900000}"/>
    <cellStyle name="40 % - Markeringsfarve6 4 4 2 2" xfId="4634" xr:uid="{00000000-0005-0000-0000-000056900000}"/>
    <cellStyle name="40 % - Markeringsfarve6 4 4 2 2 2" xfId="7896" xr:uid="{00000000-0005-0000-0000-000057900000}"/>
    <cellStyle name="40 % - Markeringsfarve6 4 4 2 2 2 2" xfId="15797" xr:uid="{00000000-0005-0000-0000-000058900000}"/>
    <cellStyle name="40 % - Markeringsfarve6 4 4 2 2 2 2 2" xfId="32111" xr:uid="{00000000-0005-0000-0000-000059900000}"/>
    <cellStyle name="40 % - Markeringsfarve6 4 4 2 2 2 2 3" xfId="47075" xr:uid="{00000000-0005-0000-0000-00005A900000}"/>
    <cellStyle name="40 % - Markeringsfarve6 4 4 2 2 2 3" xfId="25089" xr:uid="{00000000-0005-0000-0000-00005B900000}"/>
    <cellStyle name="40 % - Markeringsfarve6 4 4 2 2 2 4" xfId="40076" xr:uid="{00000000-0005-0000-0000-00005C900000}"/>
    <cellStyle name="40 % - Markeringsfarve6 4 4 2 2 3" xfId="13191" xr:uid="{00000000-0005-0000-0000-00005D900000}"/>
    <cellStyle name="40 % - Markeringsfarve6 4 4 2 2 3 2" xfId="29510" xr:uid="{00000000-0005-0000-0000-00005E900000}"/>
    <cellStyle name="40 % - Markeringsfarve6 4 4 2 2 3 3" xfId="44475" xr:uid="{00000000-0005-0000-0000-00005F900000}"/>
    <cellStyle name="40 % - Markeringsfarve6 4 4 2 2 4" xfId="22488" xr:uid="{00000000-0005-0000-0000-000060900000}"/>
    <cellStyle name="40 % - Markeringsfarve6 4 4 2 2 5" xfId="37476" xr:uid="{00000000-0005-0000-0000-000061900000}"/>
    <cellStyle name="40 % - Markeringsfarve6 4 4 2 3" xfId="6435" xr:uid="{00000000-0005-0000-0000-000062900000}"/>
    <cellStyle name="40 % - Markeringsfarve6 4 4 2 3 2" xfId="14349" xr:uid="{00000000-0005-0000-0000-000063900000}"/>
    <cellStyle name="40 % - Markeringsfarve6 4 4 2 3 2 2" xfId="30663" xr:uid="{00000000-0005-0000-0000-000064900000}"/>
    <cellStyle name="40 % - Markeringsfarve6 4 4 2 3 2 3" xfId="45627" xr:uid="{00000000-0005-0000-0000-000065900000}"/>
    <cellStyle name="40 % - Markeringsfarve6 4 4 2 3 3" xfId="23641" xr:uid="{00000000-0005-0000-0000-000066900000}"/>
    <cellStyle name="40 % - Markeringsfarve6 4 4 2 3 4" xfId="38628" xr:uid="{00000000-0005-0000-0000-000067900000}"/>
    <cellStyle name="40 % - Markeringsfarve6 4 4 2 4" xfId="13190" xr:uid="{00000000-0005-0000-0000-000068900000}"/>
    <cellStyle name="40 % - Markeringsfarve6 4 4 2 4 2" xfId="29509" xr:uid="{00000000-0005-0000-0000-000069900000}"/>
    <cellStyle name="40 % - Markeringsfarve6 4 4 2 4 3" xfId="44474" xr:uid="{00000000-0005-0000-0000-00006A900000}"/>
    <cellStyle name="40 % - Markeringsfarve6 4 4 2 5" xfId="22487" xr:uid="{00000000-0005-0000-0000-00006B900000}"/>
    <cellStyle name="40 % - Markeringsfarve6 4 4 2 6" xfId="37475" xr:uid="{00000000-0005-0000-0000-00006C900000}"/>
    <cellStyle name="40 % - Markeringsfarve6 4 4 3" xfId="4635" xr:uid="{00000000-0005-0000-0000-00006D900000}"/>
    <cellStyle name="40 % - Markeringsfarve6 4 4 3 2" xfId="7172" xr:uid="{00000000-0005-0000-0000-00006E900000}"/>
    <cellStyle name="40 % - Markeringsfarve6 4 4 3 2 2" xfId="15082" xr:uid="{00000000-0005-0000-0000-00006F900000}"/>
    <cellStyle name="40 % - Markeringsfarve6 4 4 3 2 2 2" xfId="31396" xr:uid="{00000000-0005-0000-0000-000070900000}"/>
    <cellStyle name="40 % - Markeringsfarve6 4 4 3 2 2 3" xfId="46360" xr:uid="{00000000-0005-0000-0000-000071900000}"/>
    <cellStyle name="40 % - Markeringsfarve6 4 4 3 2 3" xfId="24374" xr:uid="{00000000-0005-0000-0000-000072900000}"/>
    <cellStyle name="40 % - Markeringsfarve6 4 4 3 2 4" xfId="39361" xr:uid="{00000000-0005-0000-0000-000073900000}"/>
    <cellStyle name="40 % - Markeringsfarve6 4 4 3 3" xfId="13192" xr:uid="{00000000-0005-0000-0000-000074900000}"/>
    <cellStyle name="40 % - Markeringsfarve6 4 4 3 3 2" xfId="29511" xr:uid="{00000000-0005-0000-0000-000075900000}"/>
    <cellStyle name="40 % - Markeringsfarve6 4 4 3 3 3" xfId="44476" xr:uid="{00000000-0005-0000-0000-000076900000}"/>
    <cellStyle name="40 % - Markeringsfarve6 4 4 3 4" xfId="22489" xr:uid="{00000000-0005-0000-0000-000077900000}"/>
    <cellStyle name="40 % - Markeringsfarve6 4 4 3 5" xfId="37477" xr:uid="{00000000-0005-0000-0000-000078900000}"/>
    <cellStyle name="40 % - Markeringsfarve6 4 4 4" xfId="4636" xr:uid="{00000000-0005-0000-0000-000079900000}"/>
    <cellStyle name="40 % - Markeringsfarve6 4 4 4 2" xfId="8478" xr:uid="{00000000-0005-0000-0000-00007A900000}"/>
    <cellStyle name="40 % - Markeringsfarve6 4 4 4 2 2" xfId="16367" xr:uid="{00000000-0005-0000-0000-00007B900000}"/>
    <cellStyle name="40 % - Markeringsfarve6 4 4 4 2 2 2" xfId="32681" xr:uid="{00000000-0005-0000-0000-00007C900000}"/>
    <cellStyle name="40 % - Markeringsfarve6 4 4 4 2 2 3" xfId="47645" xr:uid="{00000000-0005-0000-0000-00007D900000}"/>
    <cellStyle name="40 % - Markeringsfarve6 4 4 4 2 3" xfId="25659" xr:uid="{00000000-0005-0000-0000-00007E900000}"/>
    <cellStyle name="40 % - Markeringsfarve6 4 4 4 2 4" xfId="40646" xr:uid="{00000000-0005-0000-0000-00007F900000}"/>
    <cellStyle name="40 % - Markeringsfarve6 4 4 4 3" xfId="13193" xr:uid="{00000000-0005-0000-0000-000080900000}"/>
    <cellStyle name="40 % - Markeringsfarve6 4 4 4 3 2" xfId="29512" xr:uid="{00000000-0005-0000-0000-000081900000}"/>
    <cellStyle name="40 % - Markeringsfarve6 4 4 4 3 3" xfId="44477" xr:uid="{00000000-0005-0000-0000-000082900000}"/>
    <cellStyle name="40 % - Markeringsfarve6 4 4 4 4" xfId="22490" xr:uid="{00000000-0005-0000-0000-000083900000}"/>
    <cellStyle name="40 % - Markeringsfarve6 4 4 4 5" xfId="37478" xr:uid="{00000000-0005-0000-0000-000084900000}"/>
    <cellStyle name="40 % - Markeringsfarve6 4 4 5" xfId="6071" xr:uid="{00000000-0005-0000-0000-000085900000}"/>
    <cellStyle name="40 % - Markeringsfarve6 4 4 5 2" xfId="13989" xr:uid="{00000000-0005-0000-0000-000086900000}"/>
    <cellStyle name="40 % - Markeringsfarve6 4 4 5 2 2" xfId="30303" xr:uid="{00000000-0005-0000-0000-000087900000}"/>
    <cellStyle name="40 % - Markeringsfarve6 4 4 5 2 3" xfId="45267" xr:uid="{00000000-0005-0000-0000-000088900000}"/>
    <cellStyle name="40 % - Markeringsfarve6 4 4 5 3" xfId="23281" xr:uid="{00000000-0005-0000-0000-000089900000}"/>
    <cellStyle name="40 % - Markeringsfarve6 4 4 5 4" xfId="38268" xr:uid="{00000000-0005-0000-0000-00008A900000}"/>
    <cellStyle name="40 % - Markeringsfarve6 4 4 6" xfId="13189" xr:uid="{00000000-0005-0000-0000-00008B900000}"/>
    <cellStyle name="40 % - Markeringsfarve6 4 4 6 2" xfId="29508" xr:uid="{00000000-0005-0000-0000-00008C900000}"/>
    <cellStyle name="40 % - Markeringsfarve6 4 4 6 3" xfId="44473" xr:uid="{00000000-0005-0000-0000-00008D900000}"/>
    <cellStyle name="40 % - Markeringsfarve6 4 4 7" xfId="22486" xr:uid="{00000000-0005-0000-0000-00008E900000}"/>
    <cellStyle name="40 % - Markeringsfarve6 4 4 8" xfId="37474" xr:uid="{00000000-0005-0000-0000-00008F900000}"/>
    <cellStyle name="40 % - Markeringsfarve6 4 5" xfId="4637" xr:uid="{00000000-0005-0000-0000-000090900000}"/>
    <cellStyle name="40 % - Markeringsfarve6 4 5 2" xfId="4638" xr:uid="{00000000-0005-0000-0000-000091900000}"/>
    <cellStyle name="40 % - Markeringsfarve6 4 5 2 2" xfId="4639" xr:uid="{00000000-0005-0000-0000-000092900000}"/>
    <cellStyle name="40 % - Markeringsfarve6 4 5 2 2 2" xfId="8013" xr:uid="{00000000-0005-0000-0000-000093900000}"/>
    <cellStyle name="40 % - Markeringsfarve6 4 5 2 2 2 2" xfId="15914" xr:uid="{00000000-0005-0000-0000-000094900000}"/>
    <cellStyle name="40 % - Markeringsfarve6 4 5 2 2 2 2 2" xfId="32228" xr:uid="{00000000-0005-0000-0000-000095900000}"/>
    <cellStyle name="40 % - Markeringsfarve6 4 5 2 2 2 2 3" xfId="47192" xr:uid="{00000000-0005-0000-0000-000096900000}"/>
    <cellStyle name="40 % - Markeringsfarve6 4 5 2 2 2 3" xfId="25206" xr:uid="{00000000-0005-0000-0000-000097900000}"/>
    <cellStyle name="40 % - Markeringsfarve6 4 5 2 2 2 4" xfId="40193" xr:uid="{00000000-0005-0000-0000-000098900000}"/>
    <cellStyle name="40 % - Markeringsfarve6 4 5 2 2 3" xfId="13196" xr:uid="{00000000-0005-0000-0000-000099900000}"/>
    <cellStyle name="40 % - Markeringsfarve6 4 5 2 2 3 2" xfId="29515" xr:uid="{00000000-0005-0000-0000-00009A900000}"/>
    <cellStyle name="40 % - Markeringsfarve6 4 5 2 2 3 3" xfId="44480" xr:uid="{00000000-0005-0000-0000-00009B900000}"/>
    <cellStyle name="40 % - Markeringsfarve6 4 5 2 2 4" xfId="22493" xr:uid="{00000000-0005-0000-0000-00009C900000}"/>
    <cellStyle name="40 % - Markeringsfarve6 4 5 2 2 5" xfId="37481" xr:uid="{00000000-0005-0000-0000-00009D900000}"/>
    <cellStyle name="40 % - Markeringsfarve6 4 5 2 3" xfId="6534" xr:uid="{00000000-0005-0000-0000-00009E900000}"/>
    <cellStyle name="40 % - Markeringsfarve6 4 5 2 3 2" xfId="14448" xr:uid="{00000000-0005-0000-0000-00009F900000}"/>
    <cellStyle name="40 % - Markeringsfarve6 4 5 2 3 2 2" xfId="30762" xr:uid="{00000000-0005-0000-0000-0000A0900000}"/>
    <cellStyle name="40 % - Markeringsfarve6 4 5 2 3 2 3" xfId="45726" xr:uid="{00000000-0005-0000-0000-0000A1900000}"/>
    <cellStyle name="40 % - Markeringsfarve6 4 5 2 3 3" xfId="23740" xr:uid="{00000000-0005-0000-0000-0000A2900000}"/>
    <cellStyle name="40 % - Markeringsfarve6 4 5 2 3 4" xfId="38727" xr:uid="{00000000-0005-0000-0000-0000A3900000}"/>
    <cellStyle name="40 % - Markeringsfarve6 4 5 2 4" xfId="13195" xr:uid="{00000000-0005-0000-0000-0000A4900000}"/>
    <cellStyle name="40 % - Markeringsfarve6 4 5 2 4 2" xfId="29514" xr:uid="{00000000-0005-0000-0000-0000A5900000}"/>
    <cellStyle name="40 % - Markeringsfarve6 4 5 2 4 3" xfId="44479" xr:uid="{00000000-0005-0000-0000-0000A6900000}"/>
    <cellStyle name="40 % - Markeringsfarve6 4 5 2 5" xfId="22492" xr:uid="{00000000-0005-0000-0000-0000A7900000}"/>
    <cellStyle name="40 % - Markeringsfarve6 4 5 2 6" xfId="37480" xr:uid="{00000000-0005-0000-0000-0000A8900000}"/>
    <cellStyle name="40 % - Markeringsfarve6 4 5 3" xfId="4640" xr:uid="{00000000-0005-0000-0000-0000A9900000}"/>
    <cellStyle name="40 % - Markeringsfarve6 4 5 3 2" xfId="7289" xr:uid="{00000000-0005-0000-0000-0000AA900000}"/>
    <cellStyle name="40 % - Markeringsfarve6 4 5 3 2 2" xfId="15199" xr:uid="{00000000-0005-0000-0000-0000AB900000}"/>
    <cellStyle name="40 % - Markeringsfarve6 4 5 3 2 2 2" xfId="31513" xr:uid="{00000000-0005-0000-0000-0000AC900000}"/>
    <cellStyle name="40 % - Markeringsfarve6 4 5 3 2 2 3" xfId="46477" xr:uid="{00000000-0005-0000-0000-0000AD900000}"/>
    <cellStyle name="40 % - Markeringsfarve6 4 5 3 2 3" xfId="24491" xr:uid="{00000000-0005-0000-0000-0000AE900000}"/>
    <cellStyle name="40 % - Markeringsfarve6 4 5 3 2 4" xfId="39478" xr:uid="{00000000-0005-0000-0000-0000AF900000}"/>
    <cellStyle name="40 % - Markeringsfarve6 4 5 3 3" xfId="13197" xr:uid="{00000000-0005-0000-0000-0000B0900000}"/>
    <cellStyle name="40 % - Markeringsfarve6 4 5 3 3 2" xfId="29516" xr:uid="{00000000-0005-0000-0000-0000B1900000}"/>
    <cellStyle name="40 % - Markeringsfarve6 4 5 3 3 3" xfId="44481" xr:uid="{00000000-0005-0000-0000-0000B2900000}"/>
    <cellStyle name="40 % - Markeringsfarve6 4 5 3 4" xfId="22494" xr:uid="{00000000-0005-0000-0000-0000B3900000}"/>
    <cellStyle name="40 % - Markeringsfarve6 4 5 3 5" xfId="37482" xr:uid="{00000000-0005-0000-0000-0000B4900000}"/>
    <cellStyle name="40 % - Markeringsfarve6 4 5 4" xfId="4641" xr:uid="{00000000-0005-0000-0000-0000B5900000}"/>
    <cellStyle name="40 % - Markeringsfarve6 4 5 4 2" xfId="8723" xr:uid="{00000000-0005-0000-0000-0000B6900000}"/>
    <cellStyle name="40 % - Markeringsfarve6 4 5 4 2 2" xfId="16603" xr:uid="{00000000-0005-0000-0000-0000B7900000}"/>
    <cellStyle name="40 % - Markeringsfarve6 4 5 4 2 2 2" xfId="32917" xr:uid="{00000000-0005-0000-0000-0000B8900000}"/>
    <cellStyle name="40 % - Markeringsfarve6 4 5 4 2 2 3" xfId="47881" xr:uid="{00000000-0005-0000-0000-0000B9900000}"/>
    <cellStyle name="40 % - Markeringsfarve6 4 5 4 2 3" xfId="25895" xr:uid="{00000000-0005-0000-0000-0000BA900000}"/>
    <cellStyle name="40 % - Markeringsfarve6 4 5 4 2 4" xfId="40882" xr:uid="{00000000-0005-0000-0000-0000BB900000}"/>
    <cellStyle name="40 % - Markeringsfarve6 4 5 4 3" xfId="13198" xr:uid="{00000000-0005-0000-0000-0000BC900000}"/>
    <cellStyle name="40 % - Markeringsfarve6 4 5 4 3 2" xfId="29517" xr:uid="{00000000-0005-0000-0000-0000BD900000}"/>
    <cellStyle name="40 % - Markeringsfarve6 4 5 4 3 3" xfId="44482" xr:uid="{00000000-0005-0000-0000-0000BE900000}"/>
    <cellStyle name="40 % - Markeringsfarve6 4 5 4 4" xfId="22495" xr:uid="{00000000-0005-0000-0000-0000BF900000}"/>
    <cellStyle name="40 % - Markeringsfarve6 4 5 4 5" xfId="37483" xr:uid="{00000000-0005-0000-0000-0000C0900000}"/>
    <cellStyle name="40 % - Markeringsfarve6 4 5 5" xfId="6072" xr:uid="{00000000-0005-0000-0000-0000C1900000}"/>
    <cellStyle name="40 % - Markeringsfarve6 4 5 5 2" xfId="13990" xr:uid="{00000000-0005-0000-0000-0000C2900000}"/>
    <cellStyle name="40 % - Markeringsfarve6 4 5 5 2 2" xfId="30304" xr:uid="{00000000-0005-0000-0000-0000C3900000}"/>
    <cellStyle name="40 % - Markeringsfarve6 4 5 5 2 3" xfId="45268" xr:uid="{00000000-0005-0000-0000-0000C4900000}"/>
    <cellStyle name="40 % - Markeringsfarve6 4 5 5 3" xfId="23282" xr:uid="{00000000-0005-0000-0000-0000C5900000}"/>
    <cellStyle name="40 % - Markeringsfarve6 4 5 5 4" xfId="38269" xr:uid="{00000000-0005-0000-0000-0000C6900000}"/>
    <cellStyle name="40 % - Markeringsfarve6 4 5 6" xfId="13194" xr:uid="{00000000-0005-0000-0000-0000C7900000}"/>
    <cellStyle name="40 % - Markeringsfarve6 4 5 6 2" xfId="29513" xr:uid="{00000000-0005-0000-0000-0000C8900000}"/>
    <cellStyle name="40 % - Markeringsfarve6 4 5 6 3" xfId="44478" xr:uid="{00000000-0005-0000-0000-0000C9900000}"/>
    <cellStyle name="40 % - Markeringsfarve6 4 5 7" xfId="22491" xr:uid="{00000000-0005-0000-0000-0000CA900000}"/>
    <cellStyle name="40 % - Markeringsfarve6 4 5 8" xfId="37479" xr:uid="{00000000-0005-0000-0000-0000CB900000}"/>
    <cellStyle name="40 % - Markeringsfarve6 4 6" xfId="4642" xr:uid="{00000000-0005-0000-0000-0000CC900000}"/>
    <cellStyle name="40 % - Markeringsfarve6 4 6 2" xfId="4643" xr:uid="{00000000-0005-0000-0000-0000CD900000}"/>
    <cellStyle name="40 % - Markeringsfarve6 4 6 2 2" xfId="4644" xr:uid="{00000000-0005-0000-0000-0000CE900000}"/>
    <cellStyle name="40 % - Markeringsfarve6 4 6 2 2 2" xfId="8186" xr:uid="{00000000-0005-0000-0000-0000CF900000}"/>
    <cellStyle name="40 % - Markeringsfarve6 4 6 2 2 2 2" xfId="16087" xr:uid="{00000000-0005-0000-0000-0000D0900000}"/>
    <cellStyle name="40 % - Markeringsfarve6 4 6 2 2 2 2 2" xfId="32401" xr:uid="{00000000-0005-0000-0000-0000D1900000}"/>
    <cellStyle name="40 % - Markeringsfarve6 4 6 2 2 2 2 3" xfId="47365" xr:uid="{00000000-0005-0000-0000-0000D2900000}"/>
    <cellStyle name="40 % - Markeringsfarve6 4 6 2 2 2 3" xfId="25379" xr:uid="{00000000-0005-0000-0000-0000D3900000}"/>
    <cellStyle name="40 % - Markeringsfarve6 4 6 2 2 2 4" xfId="40366" xr:uid="{00000000-0005-0000-0000-0000D4900000}"/>
    <cellStyle name="40 % - Markeringsfarve6 4 6 2 2 3" xfId="13201" xr:uid="{00000000-0005-0000-0000-0000D5900000}"/>
    <cellStyle name="40 % - Markeringsfarve6 4 6 2 2 3 2" xfId="29520" xr:uid="{00000000-0005-0000-0000-0000D6900000}"/>
    <cellStyle name="40 % - Markeringsfarve6 4 6 2 2 3 3" xfId="44485" xr:uid="{00000000-0005-0000-0000-0000D7900000}"/>
    <cellStyle name="40 % - Markeringsfarve6 4 6 2 2 4" xfId="22498" xr:uid="{00000000-0005-0000-0000-0000D8900000}"/>
    <cellStyle name="40 % - Markeringsfarve6 4 6 2 2 5" xfId="37486" xr:uid="{00000000-0005-0000-0000-0000D9900000}"/>
    <cellStyle name="40 % - Markeringsfarve6 4 6 2 3" xfId="6679" xr:uid="{00000000-0005-0000-0000-0000DA900000}"/>
    <cellStyle name="40 % - Markeringsfarve6 4 6 2 3 2" xfId="14593" xr:uid="{00000000-0005-0000-0000-0000DB900000}"/>
    <cellStyle name="40 % - Markeringsfarve6 4 6 2 3 2 2" xfId="30907" xr:uid="{00000000-0005-0000-0000-0000DC900000}"/>
    <cellStyle name="40 % - Markeringsfarve6 4 6 2 3 2 3" xfId="45871" xr:uid="{00000000-0005-0000-0000-0000DD900000}"/>
    <cellStyle name="40 % - Markeringsfarve6 4 6 2 3 3" xfId="23885" xr:uid="{00000000-0005-0000-0000-0000DE900000}"/>
    <cellStyle name="40 % - Markeringsfarve6 4 6 2 3 4" xfId="38872" xr:uid="{00000000-0005-0000-0000-0000DF900000}"/>
    <cellStyle name="40 % - Markeringsfarve6 4 6 2 4" xfId="13200" xr:uid="{00000000-0005-0000-0000-0000E0900000}"/>
    <cellStyle name="40 % - Markeringsfarve6 4 6 2 4 2" xfId="29519" xr:uid="{00000000-0005-0000-0000-0000E1900000}"/>
    <cellStyle name="40 % - Markeringsfarve6 4 6 2 4 3" xfId="44484" xr:uid="{00000000-0005-0000-0000-0000E2900000}"/>
    <cellStyle name="40 % - Markeringsfarve6 4 6 2 5" xfId="22497" xr:uid="{00000000-0005-0000-0000-0000E3900000}"/>
    <cellStyle name="40 % - Markeringsfarve6 4 6 2 6" xfId="37485" xr:uid="{00000000-0005-0000-0000-0000E4900000}"/>
    <cellStyle name="40 % - Markeringsfarve6 4 6 3" xfId="4645" xr:uid="{00000000-0005-0000-0000-0000E5900000}"/>
    <cellStyle name="40 % - Markeringsfarve6 4 6 3 2" xfId="7463" xr:uid="{00000000-0005-0000-0000-0000E6900000}"/>
    <cellStyle name="40 % - Markeringsfarve6 4 6 3 2 2" xfId="15373" xr:uid="{00000000-0005-0000-0000-0000E7900000}"/>
    <cellStyle name="40 % - Markeringsfarve6 4 6 3 2 2 2" xfId="31687" xr:uid="{00000000-0005-0000-0000-0000E8900000}"/>
    <cellStyle name="40 % - Markeringsfarve6 4 6 3 2 2 3" xfId="46651" xr:uid="{00000000-0005-0000-0000-0000E9900000}"/>
    <cellStyle name="40 % - Markeringsfarve6 4 6 3 2 3" xfId="24665" xr:uid="{00000000-0005-0000-0000-0000EA900000}"/>
    <cellStyle name="40 % - Markeringsfarve6 4 6 3 2 4" xfId="39652" xr:uid="{00000000-0005-0000-0000-0000EB900000}"/>
    <cellStyle name="40 % - Markeringsfarve6 4 6 3 3" xfId="13202" xr:uid="{00000000-0005-0000-0000-0000EC900000}"/>
    <cellStyle name="40 % - Markeringsfarve6 4 6 3 3 2" xfId="29521" xr:uid="{00000000-0005-0000-0000-0000ED900000}"/>
    <cellStyle name="40 % - Markeringsfarve6 4 6 3 3 3" xfId="44486" xr:uid="{00000000-0005-0000-0000-0000EE900000}"/>
    <cellStyle name="40 % - Markeringsfarve6 4 6 3 4" xfId="22499" xr:uid="{00000000-0005-0000-0000-0000EF900000}"/>
    <cellStyle name="40 % - Markeringsfarve6 4 6 3 5" xfId="37487" xr:uid="{00000000-0005-0000-0000-0000F0900000}"/>
    <cellStyle name="40 % - Markeringsfarve6 4 6 4" xfId="4646" xr:uid="{00000000-0005-0000-0000-0000F1900000}"/>
    <cellStyle name="40 % - Markeringsfarve6 4 6 4 2" xfId="8448" xr:uid="{00000000-0005-0000-0000-0000F2900000}"/>
    <cellStyle name="40 % - Markeringsfarve6 4 6 4 2 2" xfId="16340" xr:uid="{00000000-0005-0000-0000-0000F3900000}"/>
    <cellStyle name="40 % - Markeringsfarve6 4 6 4 2 2 2" xfId="32654" xr:uid="{00000000-0005-0000-0000-0000F4900000}"/>
    <cellStyle name="40 % - Markeringsfarve6 4 6 4 2 2 3" xfId="47618" xr:uid="{00000000-0005-0000-0000-0000F5900000}"/>
    <cellStyle name="40 % - Markeringsfarve6 4 6 4 2 3" xfId="25632" xr:uid="{00000000-0005-0000-0000-0000F6900000}"/>
    <cellStyle name="40 % - Markeringsfarve6 4 6 4 2 4" xfId="40619" xr:uid="{00000000-0005-0000-0000-0000F7900000}"/>
    <cellStyle name="40 % - Markeringsfarve6 4 6 4 3" xfId="13203" xr:uid="{00000000-0005-0000-0000-0000F8900000}"/>
    <cellStyle name="40 % - Markeringsfarve6 4 6 4 3 2" xfId="29522" xr:uid="{00000000-0005-0000-0000-0000F9900000}"/>
    <cellStyle name="40 % - Markeringsfarve6 4 6 4 3 3" xfId="44487" xr:uid="{00000000-0005-0000-0000-0000FA900000}"/>
    <cellStyle name="40 % - Markeringsfarve6 4 6 4 4" xfId="22500" xr:uid="{00000000-0005-0000-0000-0000FB900000}"/>
    <cellStyle name="40 % - Markeringsfarve6 4 6 4 5" xfId="37488" xr:uid="{00000000-0005-0000-0000-0000FC900000}"/>
    <cellStyle name="40 % - Markeringsfarve6 4 6 5" xfId="6073" xr:uid="{00000000-0005-0000-0000-0000FD900000}"/>
    <cellStyle name="40 % - Markeringsfarve6 4 6 5 2" xfId="13991" xr:uid="{00000000-0005-0000-0000-0000FE900000}"/>
    <cellStyle name="40 % - Markeringsfarve6 4 6 5 2 2" xfId="30305" xr:uid="{00000000-0005-0000-0000-0000FF900000}"/>
    <cellStyle name="40 % - Markeringsfarve6 4 6 5 2 3" xfId="45269" xr:uid="{00000000-0005-0000-0000-000000910000}"/>
    <cellStyle name="40 % - Markeringsfarve6 4 6 5 3" xfId="23283" xr:uid="{00000000-0005-0000-0000-000001910000}"/>
    <cellStyle name="40 % - Markeringsfarve6 4 6 5 4" xfId="38270" xr:uid="{00000000-0005-0000-0000-000002910000}"/>
    <cellStyle name="40 % - Markeringsfarve6 4 6 6" xfId="13199" xr:uid="{00000000-0005-0000-0000-000003910000}"/>
    <cellStyle name="40 % - Markeringsfarve6 4 6 6 2" xfId="29518" xr:uid="{00000000-0005-0000-0000-000004910000}"/>
    <cellStyle name="40 % - Markeringsfarve6 4 6 6 3" xfId="44483" xr:uid="{00000000-0005-0000-0000-000005910000}"/>
    <cellStyle name="40 % - Markeringsfarve6 4 6 7" xfId="22496" xr:uid="{00000000-0005-0000-0000-000006910000}"/>
    <cellStyle name="40 % - Markeringsfarve6 4 6 8" xfId="37484" xr:uid="{00000000-0005-0000-0000-000007910000}"/>
    <cellStyle name="40 % - Markeringsfarve6 4 7" xfId="4647" xr:uid="{00000000-0005-0000-0000-000008910000}"/>
    <cellStyle name="40 % - Markeringsfarve6 4 7 2" xfId="4648" xr:uid="{00000000-0005-0000-0000-000009910000}"/>
    <cellStyle name="40 % - Markeringsfarve6 4 7 2 2" xfId="7539" xr:uid="{00000000-0005-0000-0000-00000A910000}"/>
    <cellStyle name="40 % - Markeringsfarve6 4 7 2 2 2" xfId="15440" xr:uid="{00000000-0005-0000-0000-00000B910000}"/>
    <cellStyle name="40 % - Markeringsfarve6 4 7 2 2 2 2" xfId="31754" xr:uid="{00000000-0005-0000-0000-00000C910000}"/>
    <cellStyle name="40 % - Markeringsfarve6 4 7 2 2 2 3" xfId="46718" xr:uid="{00000000-0005-0000-0000-00000D910000}"/>
    <cellStyle name="40 % - Markeringsfarve6 4 7 2 2 3" xfId="24732" xr:uid="{00000000-0005-0000-0000-00000E910000}"/>
    <cellStyle name="40 % - Markeringsfarve6 4 7 2 2 4" xfId="39719" xr:uid="{00000000-0005-0000-0000-00000F910000}"/>
    <cellStyle name="40 % - Markeringsfarve6 4 7 2 3" xfId="13205" xr:uid="{00000000-0005-0000-0000-000010910000}"/>
    <cellStyle name="40 % - Markeringsfarve6 4 7 2 3 2" xfId="29524" xr:uid="{00000000-0005-0000-0000-000011910000}"/>
    <cellStyle name="40 % - Markeringsfarve6 4 7 2 3 3" xfId="44489" xr:uid="{00000000-0005-0000-0000-000012910000}"/>
    <cellStyle name="40 % - Markeringsfarve6 4 7 2 4" xfId="22502" xr:uid="{00000000-0005-0000-0000-000013910000}"/>
    <cellStyle name="40 % - Markeringsfarve6 4 7 2 5" xfId="37490" xr:uid="{00000000-0005-0000-0000-000014910000}"/>
    <cellStyle name="40 % - Markeringsfarve6 4 7 3" xfId="6134" xr:uid="{00000000-0005-0000-0000-000015910000}"/>
    <cellStyle name="40 % - Markeringsfarve6 4 7 3 2" xfId="14051" xr:uid="{00000000-0005-0000-0000-000016910000}"/>
    <cellStyle name="40 % - Markeringsfarve6 4 7 3 2 2" xfId="30365" xr:uid="{00000000-0005-0000-0000-000017910000}"/>
    <cellStyle name="40 % - Markeringsfarve6 4 7 3 2 3" xfId="45329" xr:uid="{00000000-0005-0000-0000-000018910000}"/>
    <cellStyle name="40 % - Markeringsfarve6 4 7 3 3" xfId="23343" xr:uid="{00000000-0005-0000-0000-000019910000}"/>
    <cellStyle name="40 % - Markeringsfarve6 4 7 3 4" xfId="38330" xr:uid="{00000000-0005-0000-0000-00001A910000}"/>
    <cellStyle name="40 % - Markeringsfarve6 4 7 4" xfId="13204" xr:uid="{00000000-0005-0000-0000-00001B910000}"/>
    <cellStyle name="40 % - Markeringsfarve6 4 7 4 2" xfId="29523" xr:uid="{00000000-0005-0000-0000-00001C910000}"/>
    <cellStyle name="40 % - Markeringsfarve6 4 7 4 3" xfId="44488" xr:uid="{00000000-0005-0000-0000-00001D910000}"/>
    <cellStyle name="40 % - Markeringsfarve6 4 7 5" xfId="22501" xr:uid="{00000000-0005-0000-0000-00001E910000}"/>
    <cellStyle name="40 % - Markeringsfarve6 4 7 6" xfId="37489" xr:uid="{00000000-0005-0000-0000-00001F910000}"/>
    <cellStyle name="40 % - Markeringsfarve6 4 8" xfId="4649" xr:uid="{00000000-0005-0000-0000-000020910000}"/>
    <cellStyle name="40 % - Markeringsfarve6 4 8 2" xfId="6767" xr:uid="{00000000-0005-0000-0000-000021910000}"/>
    <cellStyle name="40 % - Markeringsfarve6 4 8 2 2" xfId="14678" xr:uid="{00000000-0005-0000-0000-000022910000}"/>
    <cellStyle name="40 % - Markeringsfarve6 4 8 2 2 2" xfId="30992" xr:uid="{00000000-0005-0000-0000-000023910000}"/>
    <cellStyle name="40 % - Markeringsfarve6 4 8 2 2 3" xfId="45956" xr:uid="{00000000-0005-0000-0000-000024910000}"/>
    <cellStyle name="40 % - Markeringsfarve6 4 8 2 3" xfId="23970" xr:uid="{00000000-0005-0000-0000-000025910000}"/>
    <cellStyle name="40 % - Markeringsfarve6 4 8 2 4" xfId="38957" xr:uid="{00000000-0005-0000-0000-000026910000}"/>
    <cellStyle name="40 % - Markeringsfarve6 4 8 3" xfId="13206" xr:uid="{00000000-0005-0000-0000-000027910000}"/>
    <cellStyle name="40 % - Markeringsfarve6 4 8 3 2" xfId="29525" xr:uid="{00000000-0005-0000-0000-000028910000}"/>
    <cellStyle name="40 % - Markeringsfarve6 4 8 3 3" xfId="44490" xr:uid="{00000000-0005-0000-0000-000029910000}"/>
    <cellStyle name="40 % - Markeringsfarve6 4 8 4" xfId="22503" xr:uid="{00000000-0005-0000-0000-00002A910000}"/>
    <cellStyle name="40 % - Markeringsfarve6 4 8 5" xfId="37491" xr:uid="{00000000-0005-0000-0000-00002B910000}"/>
    <cellStyle name="40 % - Markeringsfarve6 4 9" xfId="4650" xr:uid="{00000000-0005-0000-0000-00002C910000}"/>
    <cellStyle name="40 % - Markeringsfarve6 4 9 2" xfId="8210" xr:uid="{00000000-0005-0000-0000-00002D910000}"/>
    <cellStyle name="40 % - Markeringsfarve6 4 9 2 2" xfId="16107" xr:uid="{00000000-0005-0000-0000-00002E910000}"/>
    <cellStyle name="40 % - Markeringsfarve6 4 9 2 2 2" xfId="32421" xr:uid="{00000000-0005-0000-0000-00002F910000}"/>
    <cellStyle name="40 % - Markeringsfarve6 4 9 2 2 3" xfId="47385" xr:uid="{00000000-0005-0000-0000-000030910000}"/>
    <cellStyle name="40 % - Markeringsfarve6 4 9 2 3" xfId="25399" xr:uid="{00000000-0005-0000-0000-000031910000}"/>
    <cellStyle name="40 % - Markeringsfarve6 4 9 2 4" xfId="40386" xr:uid="{00000000-0005-0000-0000-000032910000}"/>
    <cellStyle name="40 % - Markeringsfarve6 4 9 3" xfId="13207" xr:uid="{00000000-0005-0000-0000-000033910000}"/>
    <cellStyle name="40 % - Markeringsfarve6 4 9 3 2" xfId="29526" xr:uid="{00000000-0005-0000-0000-000034910000}"/>
    <cellStyle name="40 % - Markeringsfarve6 4 9 3 3" xfId="44491" xr:uid="{00000000-0005-0000-0000-000035910000}"/>
    <cellStyle name="40 % - Markeringsfarve6 4 9 4" xfId="22504" xr:uid="{00000000-0005-0000-0000-000036910000}"/>
    <cellStyle name="40 % - Markeringsfarve6 4 9 5" xfId="37492" xr:uid="{00000000-0005-0000-0000-000037910000}"/>
    <cellStyle name="40 % - Markeringsfarve6 5" xfId="4651" xr:uid="{00000000-0005-0000-0000-000038910000}"/>
    <cellStyle name="40 % - Markeringsfarve6 5 10" xfId="6074" xr:uid="{00000000-0005-0000-0000-000039910000}"/>
    <cellStyle name="40 % - Markeringsfarve6 5 10 2" xfId="13992" xr:uid="{00000000-0005-0000-0000-00003A910000}"/>
    <cellStyle name="40 % - Markeringsfarve6 5 10 2 2" xfId="30306" xr:uid="{00000000-0005-0000-0000-00003B910000}"/>
    <cellStyle name="40 % - Markeringsfarve6 5 10 2 3" xfId="45270" xr:uid="{00000000-0005-0000-0000-00003C910000}"/>
    <cellStyle name="40 % - Markeringsfarve6 5 10 3" xfId="23284" xr:uid="{00000000-0005-0000-0000-00003D910000}"/>
    <cellStyle name="40 % - Markeringsfarve6 5 10 4" xfId="38271" xr:uid="{00000000-0005-0000-0000-00003E910000}"/>
    <cellStyle name="40 % - Markeringsfarve6 5 11" xfId="13208" xr:uid="{00000000-0005-0000-0000-00003F910000}"/>
    <cellStyle name="40 % - Markeringsfarve6 5 11 2" xfId="29527" xr:uid="{00000000-0005-0000-0000-000040910000}"/>
    <cellStyle name="40 % - Markeringsfarve6 5 11 3" xfId="44492" xr:uid="{00000000-0005-0000-0000-000041910000}"/>
    <cellStyle name="40 % - Markeringsfarve6 5 12" xfId="22505" xr:uid="{00000000-0005-0000-0000-000042910000}"/>
    <cellStyle name="40 % - Markeringsfarve6 5 13" xfId="37493" xr:uid="{00000000-0005-0000-0000-000043910000}"/>
    <cellStyle name="40 % - Markeringsfarve6 5 14" xfId="53404" xr:uid="{00000000-0005-0000-0000-000044910000}"/>
    <cellStyle name="40 % - Markeringsfarve6 5 2" xfId="4652" xr:uid="{00000000-0005-0000-0000-000045910000}"/>
    <cellStyle name="40 % - Markeringsfarve6 5 2 2" xfId="4653" xr:uid="{00000000-0005-0000-0000-000046910000}"/>
    <cellStyle name="40 % - Markeringsfarve6 5 2 2 2" xfId="4654" xr:uid="{00000000-0005-0000-0000-000047910000}"/>
    <cellStyle name="40 % - Markeringsfarve6 5 2 2 2 2" xfId="7697" xr:uid="{00000000-0005-0000-0000-000048910000}"/>
    <cellStyle name="40 % - Markeringsfarve6 5 2 2 2 2 2" xfId="15598" xr:uid="{00000000-0005-0000-0000-000049910000}"/>
    <cellStyle name="40 % - Markeringsfarve6 5 2 2 2 2 2 2" xfId="31912" xr:uid="{00000000-0005-0000-0000-00004A910000}"/>
    <cellStyle name="40 % - Markeringsfarve6 5 2 2 2 2 2 3" xfId="46876" xr:uid="{00000000-0005-0000-0000-00004B910000}"/>
    <cellStyle name="40 % - Markeringsfarve6 5 2 2 2 2 3" xfId="24890" xr:uid="{00000000-0005-0000-0000-00004C910000}"/>
    <cellStyle name="40 % - Markeringsfarve6 5 2 2 2 2 4" xfId="39877" xr:uid="{00000000-0005-0000-0000-00004D910000}"/>
    <cellStyle name="40 % - Markeringsfarve6 5 2 2 2 3" xfId="13211" xr:uid="{00000000-0005-0000-0000-00004E910000}"/>
    <cellStyle name="40 % - Markeringsfarve6 5 2 2 2 3 2" xfId="29530" xr:uid="{00000000-0005-0000-0000-00004F910000}"/>
    <cellStyle name="40 % - Markeringsfarve6 5 2 2 2 3 3" xfId="44495" xr:uid="{00000000-0005-0000-0000-000050910000}"/>
    <cellStyle name="40 % - Markeringsfarve6 5 2 2 2 4" xfId="22508" xr:uid="{00000000-0005-0000-0000-000051910000}"/>
    <cellStyle name="40 % - Markeringsfarve6 5 2 2 2 5" xfId="37496" xr:uid="{00000000-0005-0000-0000-000052910000}"/>
    <cellStyle name="40 % - Markeringsfarve6 5 2 2 3" xfId="6266" xr:uid="{00000000-0005-0000-0000-000053910000}"/>
    <cellStyle name="40 % - Markeringsfarve6 5 2 2 3 2" xfId="14183" xr:uid="{00000000-0005-0000-0000-000054910000}"/>
    <cellStyle name="40 % - Markeringsfarve6 5 2 2 3 2 2" xfId="30497" xr:uid="{00000000-0005-0000-0000-000055910000}"/>
    <cellStyle name="40 % - Markeringsfarve6 5 2 2 3 2 3" xfId="45461" xr:uid="{00000000-0005-0000-0000-000056910000}"/>
    <cellStyle name="40 % - Markeringsfarve6 5 2 2 3 3" xfId="23475" xr:uid="{00000000-0005-0000-0000-000057910000}"/>
    <cellStyle name="40 % - Markeringsfarve6 5 2 2 3 4" xfId="38462" xr:uid="{00000000-0005-0000-0000-000058910000}"/>
    <cellStyle name="40 % - Markeringsfarve6 5 2 2 4" xfId="13210" xr:uid="{00000000-0005-0000-0000-000059910000}"/>
    <cellStyle name="40 % - Markeringsfarve6 5 2 2 4 2" xfId="29529" xr:uid="{00000000-0005-0000-0000-00005A910000}"/>
    <cellStyle name="40 % - Markeringsfarve6 5 2 2 4 3" xfId="44494" xr:uid="{00000000-0005-0000-0000-00005B910000}"/>
    <cellStyle name="40 % - Markeringsfarve6 5 2 2 5" xfId="22507" xr:uid="{00000000-0005-0000-0000-00005C910000}"/>
    <cellStyle name="40 % - Markeringsfarve6 5 2 2 6" xfId="37495" xr:uid="{00000000-0005-0000-0000-00005D910000}"/>
    <cellStyle name="40 % - Markeringsfarve6 5 2 2 7" xfId="57208" xr:uid="{00000000-0005-0000-0000-00005E910000}"/>
    <cellStyle name="40 % - Markeringsfarve6 5 2 3" xfId="4655" xr:uid="{00000000-0005-0000-0000-00005F910000}"/>
    <cellStyle name="40 % - Markeringsfarve6 5 2 3 2" xfId="6927" xr:uid="{00000000-0005-0000-0000-000060910000}"/>
    <cellStyle name="40 % - Markeringsfarve6 5 2 3 2 2" xfId="14838" xr:uid="{00000000-0005-0000-0000-000061910000}"/>
    <cellStyle name="40 % - Markeringsfarve6 5 2 3 2 2 2" xfId="31152" xr:uid="{00000000-0005-0000-0000-000062910000}"/>
    <cellStyle name="40 % - Markeringsfarve6 5 2 3 2 2 3" xfId="46116" xr:uid="{00000000-0005-0000-0000-000063910000}"/>
    <cellStyle name="40 % - Markeringsfarve6 5 2 3 2 3" xfId="24130" xr:uid="{00000000-0005-0000-0000-000064910000}"/>
    <cellStyle name="40 % - Markeringsfarve6 5 2 3 2 4" xfId="39117" xr:uid="{00000000-0005-0000-0000-000065910000}"/>
    <cellStyle name="40 % - Markeringsfarve6 5 2 3 3" xfId="13212" xr:uid="{00000000-0005-0000-0000-000066910000}"/>
    <cellStyle name="40 % - Markeringsfarve6 5 2 3 3 2" xfId="29531" xr:uid="{00000000-0005-0000-0000-000067910000}"/>
    <cellStyle name="40 % - Markeringsfarve6 5 2 3 3 3" xfId="44496" xr:uid="{00000000-0005-0000-0000-000068910000}"/>
    <cellStyle name="40 % - Markeringsfarve6 5 2 3 4" xfId="22509" xr:uid="{00000000-0005-0000-0000-000069910000}"/>
    <cellStyle name="40 % - Markeringsfarve6 5 2 3 5" xfId="37497" xr:uid="{00000000-0005-0000-0000-00006A910000}"/>
    <cellStyle name="40 % - Markeringsfarve6 5 2 4" xfId="4656" xr:uid="{00000000-0005-0000-0000-00006B910000}"/>
    <cellStyle name="40 % - Markeringsfarve6 5 2 4 2" xfId="8407" xr:uid="{00000000-0005-0000-0000-00006C910000}"/>
    <cellStyle name="40 % - Markeringsfarve6 5 2 4 2 2" xfId="16300" xr:uid="{00000000-0005-0000-0000-00006D910000}"/>
    <cellStyle name="40 % - Markeringsfarve6 5 2 4 2 2 2" xfId="32614" xr:uid="{00000000-0005-0000-0000-00006E910000}"/>
    <cellStyle name="40 % - Markeringsfarve6 5 2 4 2 2 3" xfId="47578" xr:uid="{00000000-0005-0000-0000-00006F910000}"/>
    <cellStyle name="40 % - Markeringsfarve6 5 2 4 2 3" xfId="25592" xr:uid="{00000000-0005-0000-0000-000070910000}"/>
    <cellStyle name="40 % - Markeringsfarve6 5 2 4 2 4" xfId="40579" xr:uid="{00000000-0005-0000-0000-000071910000}"/>
    <cellStyle name="40 % - Markeringsfarve6 5 2 4 3" xfId="13213" xr:uid="{00000000-0005-0000-0000-000072910000}"/>
    <cellStyle name="40 % - Markeringsfarve6 5 2 4 3 2" xfId="29532" xr:uid="{00000000-0005-0000-0000-000073910000}"/>
    <cellStyle name="40 % - Markeringsfarve6 5 2 4 3 3" xfId="44497" xr:uid="{00000000-0005-0000-0000-000074910000}"/>
    <cellStyle name="40 % - Markeringsfarve6 5 2 4 4" xfId="22510" xr:uid="{00000000-0005-0000-0000-000075910000}"/>
    <cellStyle name="40 % - Markeringsfarve6 5 2 4 5" xfId="37498" xr:uid="{00000000-0005-0000-0000-000076910000}"/>
    <cellStyle name="40 % - Markeringsfarve6 5 2 5" xfId="6075" xr:uid="{00000000-0005-0000-0000-000077910000}"/>
    <cellStyle name="40 % - Markeringsfarve6 5 2 5 2" xfId="13993" xr:uid="{00000000-0005-0000-0000-000078910000}"/>
    <cellStyle name="40 % - Markeringsfarve6 5 2 5 2 2" xfId="30307" xr:uid="{00000000-0005-0000-0000-000079910000}"/>
    <cellStyle name="40 % - Markeringsfarve6 5 2 5 2 3" xfId="45271" xr:uid="{00000000-0005-0000-0000-00007A910000}"/>
    <cellStyle name="40 % - Markeringsfarve6 5 2 5 3" xfId="23285" xr:uid="{00000000-0005-0000-0000-00007B910000}"/>
    <cellStyle name="40 % - Markeringsfarve6 5 2 5 4" xfId="38272" xr:uid="{00000000-0005-0000-0000-00007C910000}"/>
    <cellStyle name="40 % - Markeringsfarve6 5 2 6" xfId="13209" xr:uid="{00000000-0005-0000-0000-00007D910000}"/>
    <cellStyle name="40 % - Markeringsfarve6 5 2 6 2" xfId="29528" xr:uid="{00000000-0005-0000-0000-00007E910000}"/>
    <cellStyle name="40 % - Markeringsfarve6 5 2 6 3" xfId="44493" xr:uid="{00000000-0005-0000-0000-00007F910000}"/>
    <cellStyle name="40 % - Markeringsfarve6 5 2 7" xfId="22506" xr:uid="{00000000-0005-0000-0000-000080910000}"/>
    <cellStyle name="40 % - Markeringsfarve6 5 2 8" xfId="37494" xr:uid="{00000000-0005-0000-0000-000081910000}"/>
    <cellStyle name="40 % - Markeringsfarve6 5 2 9" xfId="54041" xr:uid="{00000000-0005-0000-0000-000082910000}"/>
    <cellStyle name="40 % - Markeringsfarve6 5 3" xfId="4657" xr:uid="{00000000-0005-0000-0000-000083910000}"/>
    <cellStyle name="40 % - Markeringsfarve6 5 3 2" xfId="4658" xr:uid="{00000000-0005-0000-0000-000084910000}"/>
    <cellStyle name="40 % - Markeringsfarve6 5 3 2 2" xfId="4659" xr:uid="{00000000-0005-0000-0000-000085910000}"/>
    <cellStyle name="40 % - Markeringsfarve6 5 3 2 2 2" xfId="7833" xr:uid="{00000000-0005-0000-0000-000086910000}"/>
    <cellStyle name="40 % - Markeringsfarve6 5 3 2 2 2 2" xfId="15734" xr:uid="{00000000-0005-0000-0000-000087910000}"/>
    <cellStyle name="40 % - Markeringsfarve6 5 3 2 2 2 2 2" xfId="32048" xr:uid="{00000000-0005-0000-0000-000088910000}"/>
    <cellStyle name="40 % - Markeringsfarve6 5 3 2 2 2 2 3" xfId="47012" xr:uid="{00000000-0005-0000-0000-000089910000}"/>
    <cellStyle name="40 % - Markeringsfarve6 5 3 2 2 2 3" xfId="25026" xr:uid="{00000000-0005-0000-0000-00008A910000}"/>
    <cellStyle name="40 % - Markeringsfarve6 5 3 2 2 2 4" xfId="40013" xr:uid="{00000000-0005-0000-0000-00008B910000}"/>
    <cellStyle name="40 % - Markeringsfarve6 5 3 2 2 3" xfId="13216" xr:uid="{00000000-0005-0000-0000-00008C910000}"/>
    <cellStyle name="40 % - Markeringsfarve6 5 3 2 2 3 2" xfId="29535" xr:uid="{00000000-0005-0000-0000-00008D910000}"/>
    <cellStyle name="40 % - Markeringsfarve6 5 3 2 2 3 3" xfId="44500" xr:uid="{00000000-0005-0000-0000-00008E910000}"/>
    <cellStyle name="40 % - Markeringsfarve6 5 3 2 2 4" xfId="22513" xr:uid="{00000000-0005-0000-0000-00008F910000}"/>
    <cellStyle name="40 % - Markeringsfarve6 5 3 2 2 5" xfId="37501" xr:uid="{00000000-0005-0000-0000-000090910000}"/>
    <cellStyle name="40 % - Markeringsfarve6 5 3 2 3" xfId="6379" xr:uid="{00000000-0005-0000-0000-000091910000}"/>
    <cellStyle name="40 % - Markeringsfarve6 5 3 2 3 2" xfId="14296" xr:uid="{00000000-0005-0000-0000-000092910000}"/>
    <cellStyle name="40 % - Markeringsfarve6 5 3 2 3 2 2" xfId="30610" xr:uid="{00000000-0005-0000-0000-000093910000}"/>
    <cellStyle name="40 % - Markeringsfarve6 5 3 2 3 2 3" xfId="45574" xr:uid="{00000000-0005-0000-0000-000094910000}"/>
    <cellStyle name="40 % - Markeringsfarve6 5 3 2 3 3" xfId="23588" xr:uid="{00000000-0005-0000-0000-000095910000}"/>
    <cellStyle name="40 % - Markeringsfarve6 5 3 2 3 4" xfId="38575" xr:uid="{00000000-0005-0000-0000-000096910000}"/>
    <cellStyle name="40 % - Markeringsfarve6 5 3 2 4" xfId="13215" xr:uid="{00000000-0005-0000-0000-000097910000}"/>
    <cellStyle name="40 % - Markeringsfarve6 5 3 2 4 2" xfId="29534" xr:uid="{00000000-0005-0000-0000-000098910000}"/>
    <cellStyle name="40 % - Markeringsfarve6 5 3 2 4 3" xfId="44499" xr:uid="{00000000-0005-0000-0000-000099910000}"/>
    <cellStyle name="40 % - Markeringsfarve6 5 3 2 5" xfId="22512" xr:uid="{00000000-0005-0000-0000-00009A910000}"/>
    <cellStyle name="40 % - Markeringsfarve6 5 3 2 6" xfId="37500" xr:uid="{00000000-0005-0000-0000-00009B910000}"/>
    <cellStyle name="40 % - Markeringsfarve6 5 3 3" xfId="4660" xr:uid="{00000000-0005-0000-0000-00009C910000}"/>
    <cellStyle name="40 % - Markeringsfarve6 5 3 3 2" xfId="7063" xr:uid="{00000000-0005-0000-0000-00009D910000}"/>
    <cellStyle name="40 % - Markeringsfarve6 5 3 3 2 2" xfId="14974" xr:uid="{00000000-0005-0000-0000-00009E910000}"/>
    <cellStyle name="40 % - Markeringsfarve6 5 3 3 2 2 2" xfId="31288" xr:uid="{00000000-0005-0000-0000-00009F910000}"/>
    <cellStyle name="40 % - Markeringsfarve6 5 3 3 2 2 3" xfId="46252" xr:uid="{00000000-0005-0000-0000-0000A0910000}"/>
    <cellStyle name="40 % - Markeringsfarve6 5 3 3 2 3" xfId="24266" xr:uid="{00000000-0005-0000-0000-0000A1910000}"/>
    <cellStyle name="40 % - Markeringsfarve6 5 3 3 2 4" xfId="39253" xr:uid="{00000000-0005-0000-0000-0000A2910000}"/>
    <cellStyle name="40 % - Markeringsfarve6 5 3 3 3" xfId="13217" xr:uid="{00000000-0005-0000-0000-0000A3910000}"/>
    <cellStyle name="40 % - Markeringsfarve6 5 3 3 3 2" xfId="29536" xr:uid="{00000000-0005-0000-0000-0000A4910000}"/>
    <cellStyle name="40 % - Markeringsfarve6 5 3 3 3 3" xfId="44501" xr:uid="{00000000-0005-0000-0000-0000A5910000}"/>
    <cellStyle name="40 % - Markeringsfarve6 5 3 3 4" xfId="22514" xr:uid="{00000000-0005-0000-0000-0000A6910000}"/>
    <cellStyle name="40 % - Markeringsfarve6 5 3 3 5" xfId="37502" xr:uid="{00000000-0005-0000-0000-0000A7910000}"/>
    <cellStyle name="40 % - Markeringsfarve6 5 3 4" xfId="4661" xr:uid="{00000000-0005-0000-0000-0000A8910000}"/>
    <cellStyle name="40 % - Markeringsfarve6 5 3 4 2" xfId="8623" xr:uid="{00000000-0005-0000-0000-0000A9910000}"/>
    <cellStyle name="40 % - Markeringsfarve6 5 3 4 2 2" xfId="16506" xr:uid="{00000000-0005-0000-0000-0000AA910000}"/>
    <cellStyle name="40 % - Markeringsfarve6 5 3 4 2 2 2" xfId="32820" xr:uid="{00000000-0005-0000-0000-0000AB910000}"/>
    <cellStyle name="40 % - Markeringsfarve6 5 3 4 2 2 3" xfId="47784" xr:uid="{00000000-0005-0000-0000-0000AC910000}"/>
    <cellStyle name="40 % - Markeringsfarve6 5 3 4 2 3" xfId="25798" xr:uid="{00000000-0005-0000-0000-0000AD910000}"/>
    <cellStyle name="40 % - Markeringsfarve6 5 3 4 2 4" xfId="40785" xr:uid="{00000000-0005-0000-0000-0000AE910000}"/>
    <cellStyle name="40 % - Markeringsfarve6 5 3 4 3" xfId="13218" xr:uid="{00000000-0005-0000-0000-0000AF910000}"/>
    <cellStyle name="40 % - Markeringsfarve6 5 3 4 3 2" xfId="29537" xr:uid="{00000000-0005-0000-0000-0000B0910000}"/>
    <cellStyle name="40 % - Markeringsfarve6 5 3 4 3 3" xfId="44502" xr:uid="{00000000-0005-0000-0000-0000B1910000}"/>
    <cellStyle name="40 % - Markeringsfarve6 5 3 4 4" xfId="22515" xr:uid="{00000000-0005-0000-0000-0000B2910000}"/>
    <cellStyle name="40 % - Markeringsfarve6 5 3 4 5" xfId="37503" xr:uid="{00000000-0005-0000-0000-0000B3910000}"/>
    <cellStyle name="40 % - Markeringsfarve6 5 3 5" xfId="6076" xr:uid="{00000000-0005-0000-0000-0000B4910000}"/>
    <cellStyle name="40 % - Markeringsfarve6 5 3 5 2" xfId="13994" xr:uid="{00000000-0005-0000-0000-0000B5910000}"/>
    <cellStyle name="40 % - Markeringsfarve6 5 3 5 2 2" xfId="30308" xr:uid="{00000000-0005-0000-0000-0000B6910000}"/>
    <cellStyle name="40 % - Markeringsfarve6 5 3 5 2 3" xfId="45272" xr:uid="{00000000-0005-0000-0000-0000B7910000}"/>
    <cellStyle name="40 % - Markeringsfarve6 5 3 5 3" xfId="23286" xr:uid="{00000000-0005-0000-0000-0000B8910000}"/>
    <cellStyle name="40 % - Markeringsfarve6 5 3 5 4" xfId="38273" xr:uid="{00000000-0005-0000-0000-0000B9910000}"/>
    <cellStyle name="40 % - Markeringsfarve6 5 3 6" xfId="13214" xr:uid="{00000000-0005-0000-0000-0000BA910000}"/>
    <cellStyle name="40 % - Markeringsfarve6 5 3 6 2" xfId="29533" xr:uid="{00000000-0005-0000-0000-0000BB910000}"/>
    <cellStyle name="40 % - Markeringsfarve6 5 3 6 3" xfId="44498" xr:uid="{00000000-0005-0000-0000-0000BC910000}"/>
    <cellStyle name="40 % - Markeringsfarve6 5 3 7" xfId="22511" xr:uid="{00000000-0005-0000-0000-0000BD910000}"/>
    <cellStyle name="40 % - Markeringsfarve6 5 3 8" xfId="37499" xr:uid="{00000000-0005-0000-0000-0000BE910000}"/>
    <cellStyle name="40 % - Markeringsfarve6 5 3 9" xfId="56585" xr:uid="{00000000-0005-0000-0000-0000BF910000}"/>
    <cellStyle name="40 % - Markeringsfarve6 5 4" xfId="4662" xr:uid="{00000000-0005-0000-0000-0000C0910000}"/>
    <cellStyle name="40 % - Markeringsfarve6 5 4 2" xfId="4663" xr:uid="{00000000-0005-0000-0000-0000C1910000}"/>
    <cellStyle name="40 % - Markeringsfarve6 5 4 2 2" xfId="4664" xr:uid="{00000000-0005-0000-0000-0000C2910000}"/>
    <cellStyle name="40 % - Markeringsfarve6 5 4 2 2 2" xfId="7935" xr:uid="{00000000-0005-0000-0000-0000C3910000}"/>
    <cellStyle name="40 % - Markeringsfarve6 5 4 2 2 2 2" xfId="15836" xr:uid="{00000000-0005-0000-0000-0000C4910000}"/>
    <cellStyle name="40 % - Markeringsfarve6 5 4 2 2 2 2 2" xfId="32150" xr:uid="{00000000-0005-0000-0000-0000C5910000}"/>
    <cellStyle name="40 % - Markeringsfarve6 5 4 2 2 2 2 3" xfId="47114" xr:uid="{00000000-0005-0000-0000-0000C6910000}"/>
    <cellStyle name="40 % - Markeringsfarve6 5 4 2 2 2 3" xfId="25128" xr:uid="{00000000-0005-0000-0000-0000C7910000}"/>
    <cellStyle name="40 % - Markeringsfarve6 5 4 2 2 2 4" xfId="40115" xr:uid="{00000000-0005-0000-0000-0000C8910000}"/>
    <cellStyle name="40 % - Markeringsfarve6 5 4 2 2 3" xfId="13221" xr:uid="{00000000-0005-0000-0000-0000C9910000}"/>
    <cellStyle name="40 % - Markeringsfarve6 5 4 2 2 3 2" xfId="29540" xr:uid="{00000000-0005-0000-0000-0000CA910000}"/>
    <cellStyle name="40 % - Markeringsfarve6 5 4 2 2 3 3" xfId="44505" xr:uid="{00000000-0005-0000-0000-0000CB910000}"/>
    <cellStyle name="40 % - Markeringsfarve6 5 4 2 2 4" xfId="22518" xr:uid="{00000000-0005-0000-0000-0000CC910000}"/>
    <cellStyle name="40 % - Markeringsfarve6 5 4 2 2 5" xfId="37506" xr:uid="{00000000-0005-0000-0000-0000CD910000}"/>
    <cellStyle name="40 % - Markeringsfarve6 5 4 2 3" xfId="6468" xr:uid="{00000000-0005-0000-0000-0000CE910000}"/>
    <cellStyle name="40 % - Markeringsfarve6 5 4 2 3 2" xfId="14382" xr:uid="{00000000-0005-0000-0000-0000CF910000}"/>
    <cellStyle name="40 % - Markeringsfarve6 5 4 2 3 2 2" xfId="30696" xr:uid="{00000000-0005-0000-0000-0000D0910000}"/>
    <cellStyle name="40 % - Markeringsfarve6 5 4 2 3 2 3" xfId="45660" xr:uid="{00000000-0005-0000-0000-0000D1910000}"/>
    <cellStyle name="40 % - Markeringsfarve6 5 4 2 3 3" xfId="23674" xr:uid="{00000000-0005-0000-0000-0000D2910000}"/>
    <cellStyle name="40 % - Markeringsfarve6 5 4 2 3 4" xfId="38661" xr:uid="{00000000-0005-0000-0000-0000D3910000}"/>
    <cellStyle name="40 % - Markeringsfarve6 5 4 2 4" xfId="13220" xr:uid="{00000000-0005-0000-0000-0000D4910000}"/>
    <cellStyle name="40 % - Markeringsfarve6 5 4 2 4 2" xfId="29539" xr:uid="{00000000-0005-0000-0000-0000D5910000}"/>
    <cellStyle name="40 % - Markeringsfarve6 5 4 2 4 3" xfId="44504" xr:uid="{00000000-0005-0000-0000-0000D6910000}"/>
    <cellStyle name="40 % - Markeringsfarve6 5 4 2 5" xfId="22517" xr:uid="{00000000-0005-0000-0000-0000D7910000}"/>
    <cellStyle name="40 % - Markeringsfarve6 5 4 2 6" xfId="37505" xr:uid="{00000000-0005-0000-0000-0000D8910000}"/>
    <cellStyle name="40 % - Markeringsfarve6 5 4 3" xfId="4665" xr:uid="{00000000-0005-0000-0000-0000D9910000}"/>
    <cellStyle name="40 % - Markeringsfarve6 5 4 3 2" xfId="7211" xr:uid="{00000000-0005-0000-0000-0000DA910000}"/>
    <cellStyle name="40 % - Markeringsfarve6 5 4 3 2 2" xfId="15121" xr:uid="{00000000-0005-0000-0000-0000DB910000}"/>
    <cellStyle name="40 % - Markeringsfarve6 5 4 3 2 2 2" xfId="31435" xr:uid="{00000000-0005-0000-0000-0000DC910000}"/>
    <cellStyle name="40 % - Markeringsfarve6 5 4 3 2 2 3" xfId="46399" xr:uid="{00000000-0005-0000-0000-0000DD910000}"/>
    <cellStyle name="40 % - Markeringsfarve6 5 4 3 2 3" xfId="24413" xr:uid="{00000000-0005-0000-0000-0000DE910000}"/>
    <cellStyle name="40 % - Markeringsfarve6 5 4 3 2 4" xfId="39400" xr:uid="{00000000-0005-0000-0000-0000DF910000}"/>
    <cellStyle name="40 % - Markeringsfarve6 5 4 3 3" xfId="13222" xr:uid="{00000000-0005-0000-0000-0000E0910000}"/>
    <cellStyle name="40 % - Markeringsfarve6 5 4 3 3 2" xfId="29541" xr:uid="{00000000-0005-0000-0000-0000E1910000}"/>
    <cellStyle name="40 % - Markeringsfarve6 5 4 3 3 3" xfId="44506" xr:uid="{00000000-0005-0000-0000-0000E2910000}"/>
    <cellStyle name="40 % - Markeringsfarve6 5 4 3 4" xfId="22519" xr:uid="{00000000-0005-0000-0000-0000E3910000}"/>
    <cellStyle name="40 % - Markeringsfarve6 5 4 3 5" xfId="37507" xr:uid="{00000000-0005-0000-0000-0000E4910000}"/>
    <cellStyle name="40 % - Markeringsfarve6 5 4 4" xfId="4666" xr:uid="{00000000-0005-0000-0000-0000E5910000}"/>
    <cellStyle name="40 % - Markeringsfarve6 5 4 4 2" xfId="8273" xr:uid="{00000000-0005-0000-0000-0000E6910000}"/>
    <cellStyle name="40 % - Markeringsfarve6 5 4 4 2 2" xfId="16167" xr:uid="{00000000-0005-0000-0000-0000E7910000}"/>
    <cellStyle name="40 % - Markeringsfarve6 5 4 4 2 2 2" xfId="32481" xr:uid="{00000000-0005-0000-0000-0000E8910000}"/>
    <cellStyle name="40 % - Markeringsfarve6 5 4 4 2 2 3" xfId="47445" xr:uid="{00000000-0005-0000-0000-0000E9910000}"/>
    <cellStyle name="40 % - Markeringsfarve6 5 4 4 2 3" xfId="25459" xr:uid="{00000000-0005-0000-0000-0000EA910000}"/>
    <cellStyle name="40 % - Markeringsfarve6 5 4 4 2 4" xfId="40446" xr:uid="{00000000-0005-0000-0000-0000EB910000}"/>
    <cellStyle name="40 % - Markeringsfarve6 5 4 4 3" xfId="13223" xr:uid="{00000000-0005-0000-0000-0000EC910000}"/>
    <cellStyle name="40 % - Markeringsfarve6 5 4 4 3 2" xfId="29542" xr:uid="{00000000-0005-0000-0000-0000ED910000}"/>
    <cellStyle name="40 % - Markeringsfarve6 5 4 4 3 3" xfId="44507" xr:uid="{00000000-0005-0000-0000-0000EE910000}"/>
    <cellStyle name="40 % - Markeringsfarve6 5 4 4 4" xfId="22520" xr:uid="{00000000-0005-0000-0000-0000EF910000}"/>
    <cellStyle name="40 % - Markeringsfarve6 5 4 4 5" xfId="37508" xr:uid="{00000000-0005-0000-0000-0000F0910000}"/>
    <cellStyle name="40 % - Markeringsfarve6 5 4 5" xfId="6077" xr:uid="{00000000-0005-0000-0000-0000F1910000}"/>
    <cellStyle name="40 % - Markeringsfarve6 5 4 5 2" xfId="13995" xr:uid="{00000000-0005-0000-0000-0000F2910000}"/>
    <cellStyle name="40 % - Markeringsfarve6 5 4 5 2 2" xfId="30309" xr:uid="{00000000-0005-0000-0000-0000F3910000}"/>
    <cellStyle name="40 % - Markeringsfarve6 5 4 5 2 3" xfId="45273" xr:uid="{00000000-0005-0000-0000-0000F4910000}"/>
    <cellStyle name="40 % - Markeringsfarve6 5 4 5 3" xfId="23287" xr:uid="{00000000-0005-0000-0000-0000F5910000}"/>
    <cellStyle name="40 % - Markeringsfarve6 5 4 5 4" xfId="38274" xr:uid="{00000000-0005-0000-0000-0000F6910000}"/>
    <cellStyle name="40 % - Markeringsfarve6 5 4 6" xfId="13219" xr:uid="{00000000-0005-0000-0000-0000F7910000}"/>
    <cellStyle name="40 % - Markeringsfarve6 5 4 6 2" xfId="29538" xr:uid="{00000000-0005-0000-0000-0000F8910000}"/>
    <cellStyle name="40 % - Markeringsfarve6 5 4 6 3" xfId="44503" xr:uid="{00000000-0005-0000-0000-0000F9910000}"/>
    <cellStyle name="40 % - Markeringsfarve6 5 4 7" xfId="22516" xr:uid="{00000000-0005-0000-0000-0000FA910000}"/>
    <cellStyle name="40 % - Markeringsfarve6 5 4 8" xfId="37504" xr:uid="{00000000-0005-0000-0000-0000FB910000}"/>
    <cellStyle name="40 % - Markeringsfarve6 5 5" xfId="4667" xr:uid="{00000000-0005-0000-0000-0000FC910000}"/>
    <cellStyle name="40 % - Markeringsfarve6 5 5 2" xfId="4668" xr:uid="{00000000-0005-0000-0000-0000FD910000}"/>
    <cellStyle name="40 % - Markeringsfarve6 5 5 2 2" xfId="4669" xr:uid="{00000000-0005-0000-0000-0000FE910000}"/>
    <cellStyle name="40 % - Markeringsfarve6 5 5 2 2 2" xfId="8052" xr:uid="{00000000-0005-0000-0000-0000FF910000}"/>
    <cellStyle name="40 % - Markeringsfarve6 5 5 2 2 2 2" xfId="15953" xr:uid="{00000000-0005-0000-0000-000000920000}"/>
    <cellStyle name="40 % - Markeringsfarve6 5 5 2 2 2 2 2" xfId="32267" xr:uid="{00000000-0005-0000-0000-000001920000}"/>
    <cellStyle name="40 % - Markeringsfarve6 5 5 2 2 2 2 3" xfId="47231" xr:uid="{00000000-0005-0000-0000-000002920000}"/>
    <cellStyle name="40 % - Markeringsfarve6 5 5 2 2 2 3" xfId="25245" xr:uid="{00000000-0005-0000-0000-000003920000}"/>
    <cellStyle name="40 % - Markeringsfarve6 5 5 2 2 2 4" xfId="40232" xr:uid="{00000000-0005-0000-0000-000004920000}"/>
    <cellStyle name="40 % - Markeringsfarve6 5 5 2 2 3" xfId="13226" xr:uid="{00000000-0005-0000-0000-000005920000}"/>
    <cellStyle name="40 % - Markeringsfarve6 5 5 2 2 3 2" xfId="29545" xr:uid="{00000000-0005-0000-0000-000006920000}"/>
    <cellStyle name="40 % - Markeringsfarve6 5 5 2 2 3 3" xfId="44510" xr:uid="{00000000-0005-0000-0000-000007920000}"/>
    <cellStyle name="40 % - Markeringsfarve6 5 5 2 2 4" xfId="22523" xr:uid="{00000000-0005-0000-0000-000008920000}"/>
    <cellStyle name="40 % - Markeringsfarve6 5 5 2 2 5" xfId="37511" xr:uid="{00000000-0005-0000-0000-000009920000}"/>
    <cellStyle name="40 % - Markeringsfarve6 5 5 2 3" xfId="6567" xr:uid="{00000000-0005-0000-0000-00000A920000}"/>
    <cellStyle name="40 % - Markeringsfarve6 5 5 2 3 2" xfId="14481" xr:uid="{00000000-0005-0000-0000-00000B920000}"/>
    <cellStyle name="40 % - Markeringsfarve6 5 5 2 3 2 2" xfId="30795" xr:uid="{00000000-0005-0000-0000-00000C920000}"/>
    <cellStyle name="40 % - Markeringsfarve6 5 5 2 3 2 3" xfId="45759" xr:uid="{00000000-0005-0000-0000-00000D920000}"/>
    <cellStyle name="40 % - Markeringsfarve6 5 5 2 3 3" xfId="23773" xr:uid="{00000000-0005-0000-0000-00000E920000}"/>
    <cellStyle name="40 % - Markeringsfarve6 5 5 2 3 4" xfId="38760" xr:uid="{00000000-0005-0000-0000-00000F920000}"/>
    <cellStyle name="40 % - Markeringsfarve6 5 5 2 4" xfId="13225" xr:uid="{00000000-0005-0000-0000-000010920000}"/>
    <cellStyle name="40 % - Markeringsfarve6 5 5 2 4 2" xfId="29544" xr:uid="{00000000-0005-0000-0000-000011920000}"/>
    <cellStyle name="40 % - Markeringsfarve6 5 5 2 4 3" xfId="44509" xr:uid="{00000000-0005-0000-0000-000012920000}"/>
    <cellStyle name="40 % - Markeringsfarve6 5 5 2 5" xfId="22522" xr:uid="{00000000-0005-0000-0000-000013920000}"/>
    <cellStyle name="40 % - Markeringsfarve6 5 5 2 6" xfId="37510" xr:uid="{00000000-0005-0000-0000-000014920000}"/>
    <cellStyle name="40 % - Markeringsfarve6 5 5 3" xfId="4670" xr:uid="{00000000-0005-0000-0000-000015920000}"/>
    <cellStyle name="40 % - Markeringsfarve6 5 5 3 2" xfId="7328" xr:uid="{00000000-0005-0000-0000-000016920000}"/>
    <cellStyle name="40 % - Markeringsfarve6 5 5 3 2 2" xfId="15238" xr:uid="{00000000-0005-0000-0000-000017920000}"/>
    <cellStyle name="40 % - Markeringsfarve6 5 5 3 2 2 2" xfId="31552" xr:uid="{00000000-0005-0000-0000-000018920000}"/>
    <cellStyle name="40 % - Markeringsfarve6 5 5 3 2 2 3" xfId="46516" xr:uid="{00000000-0005-0000-0000-000019920000}"/>
    <cellStyle name="40 % - Markeringsfarve6 5 5 3 2 3" xfId="24530" xr:uid="{00000000-0005-0000-0000-00001A920000}"/>
    <cellStyle name="40 % - Markeringsfarve6 5 5 3 2 4" xfId="39517" xr:uid="{00000000-0005-0000-0000-00001B920000}"/>
    <cellStyle name="40 % - Markeringsfarve6 5 5 3 3" xfId="13227" xr:uid="{00000000-0005-0000-0000-00001C920000}"/>
    <cellStyle name="40 % - Markeringsfarve6 5 5 3 3 2" xfId="29546" xr:uid="{00000000-0005-0000-0000-00001D920000}"/>
    <cellStyle name="40 % - Markeringsfarve6 5 5 3 3 3" xfId="44511" xr:uid="{00000000-0005-0000-0000-00001E920000}"/>
    <cellStyle name="40 % - Markeringsfarve6 5 5 3 4" xfId="22524" xr:uid="{00000000-0005-0000-0000-00001F920000}"/>
    <cellStyle name="40 % - Markeringsfarve6 5 5 3 5" xfId="37512" xr:uid="{00000000-0005-0000-0000-000020920000}"/>
    <cellStyle name="40 % - Markeringsfarve6 5 5 4" xfId="4671" xr:uid="{00000000-0005-0000-0000-000021920000}"/>
    <cellStyle name="40 % - Markeringsfarve6 5 5 4 2" xfId="8591" xr:uid="{00000000-0005-0000-0000-000022920000}"/>
    <cellStyle name="40 % - Markeringsfarve6 5 5 4 2 2" xfId="16478" xr:uid="{00000000-0005-0000-0000-000023920000}"/>
    <cellStyle name="40 % - Markeringsfarve6 5 5 4 2 2 2" xfId="32792" xr:uid="{00000000-0005-0000-0000-000024920000}"/>
    <cellStyle name="40 % - Markeringsfarve6 5 5 4 2 2 3" xfId="47756" xr:uid="{00000000-0005-0000-0000-000025920000}"/>
    <cellStyle name="40 % - Markeringsfarve6 5 5 4 2 3" xfId="25770" xr:uid="{00000000-0005-0000-0000-000026920000}"/>
    <cellStyle name="40 % - Markeringsfarve6 5 5 4 2 4" xfId="40757" xr:uid="{00000000-0005-0000-0000-000027920000}"/>
    <cellStyle name="40 % - Markeringsfarve6 5 5 4 3" xfId="13228" xr:uid="{00000000-0005-0000-0000-000028920000}"/>
    <cellStyle name="40 % - Markeringsfarve6 5 5 4 3 2" xfId="29547" xr:uid="{00000000-0005-0000-0000-000029920000}"/>
    <cellStyle name="40 % - Markeringsfarve6 5 5 4 3 3" xfId="44512" xr:uid="{00000000-0005-0000-0000-00002A920000}"/>
    <cellStyle name="40 % - Markeringsfarve6 5 5 4 4" xfId="22525" xr:uid="{00000000-0005-0000-0000-00002B920000}"/>
    <cellStyle name="40 % - Markeringsfarve6 5 5 4 5" xfId="37513" xr:uid="{00000000-0005-0000-0000-00002C920000}"/>
    <cellStyle name="40 % - Markeringsfarve6 5 5 5" xfId="6078" xr:uid="{00000000-0005-0000-0000-00002D920000}"/>
    <cellStyle name="40 % - Markeringsfarve6 5 5 5 2" xfId="13996" xr:uid="{00000000-0005-0000-0000-00002E920000}"/>
    <cellStyle name="40 % - Markeringsfarve6 5 5 5 2 2" xfId="30310" xr:uid="{00000000-0005-0000-0000-00002F920000}"/>
    <cellStyle name="40 % - Markeringsfarve6 5 5 5 2 3" xfId="45274" xr:uid="{00000000-0005-0000-0000-000030920000}"/>
    <cellStyle name="40 % - Markeringsfarve6 5 5 5 3" xfId="23288" xr:uid="{00000000-0005-0000-0000-000031920000}"/>
    <cellStyle name="40 % - Markeringsfarve6 5 5 5 4" xfId="38275" xr:uid="{00000000-0005-0000-0000-000032920000}"/>
    <cellStyle name="40 % - Markeringsfarve6 5 5 6" xfId="13224" xr:uid="{00000000-0005-0000-0000-000033920000}"/>
    <cellStyle name="40 % - Markeringsfarve6 5 5 6 2" xfId="29543" xr:uid="{00000000-0005-0000-0000-000034920000}"/>
    <cellStyle name="40 % - Markeringsfarve6 5 5 6 3" xfId="44508" xr:uid="{00000000-0005-0000-0000-000035920000}"/>
    <cellStyle name="40 % - Markeringsfarve6 5 5 7" xfId="22521" xr:uid="{00000000-0005-0000-0000-000036920000}"/>
    <cellStyle name="40 % - Markeringsfarve6 5 5 8" xfId="37509" xr:uid="{00000000-0005-0000-0000-000037920000}"/>
    <cellStyle name="40 % - Markeringsfarve6 5 6" xfId="4672" xr:uid="{00000000-0005-0000-0000-000038920000}"/>
    <cellStyle name="40 % - Markeringsfarve6 5 6 2" xfId="4673" xr:uid="{00000000-0005-0000-0000-000039920000}"/>
    <cellStyle name="40 % - Markeringsfarve6 5 6 2 2" xfId="4674" xr:uid="{00000000-0005-0000-0000-00003A920000}"/>
    <cellStyle name="40 % - Markeringsfarve6 5 6 2 2 2" xfId="8187" xr:uid="{00000000-0005-0000-0000-00003B920000}"/>
    <cellStyle name="40 % - Markeringsfarve6 5 6 2 2 2 2" xfId="16088" xr:uid="{00000000-0005-0000-0000-00003C920000}"/>
    <cellStyle name="40 % - Markeringsfarve6 5 6 2 2 2 2 2" xfId="32402" xr:uid="{00000000-0005-0000-0000-00003D920000}"/>
    <cellStyle name="40 % - Markeringsfarve6 5 6 2 2 2 2 3" xfId="47366" xr:uid="{00000000-0005-0000-0000-00003E920000}"/>
    <cellStyle name="40 % - Markeringsfarve6 5 6 2 2 2 3" xfId="25380" xr:uid="{00000000-0005-0000-0000-00003F920000}"/>
    <cellStyle name="40 % - Markeringsfarve6 5 6 2 2 2 4" xfId="40367" xr:uid="{00000000-0005-0000-0000-000040920000}"/>
    <cellStyle name="40 % - Markeringsfarve6 5 6 2 2 3" xfId="13231" xr:uid="{00000000-0005-0000-0000-000041920000}"/>
    <cellStyle name="40 % - Markeringsfarve6 5 6 2 2 3 2" xfId="29550" xr:uid="{00000000-0005-0000-0000-000042920000}"/>
    <cellStyle name="40 % - Markeringsfarve6 5 6 2 2 3 3" xfId="44515" xr:uid="{00000000-0005-0000-0000-000043920000}"/>
    <cellStyle name="40 % - Markeringsfarve6 5 6 2 2 4" xfId="22528" xr:uid="{00000000-0005-0000-0000-000044920000}"/>
    <cellStyle name="40 % - Markeringsfarve6 5 6 2 2 5" xfId="37516" xr:uid="{00000000-0005-0000-0000-000045920000}"/>
    <cellStyle name="40 % - Markeringsfarve6 5 6 2 3" xfId="6680" xr:uid="{00000000-0005-0000-0000-000046920000}"/>
    <cellStyle name="40 % - Markeringsfarve6 5 6 2 3 2" xfId="14594" xr:uid="{00000000-0005-0000-0000-000047920000}"/>
    <cellStyle name="40 % - Markeringsfarve6 5 6 2 3 2 2" xfId="30908" xr:uid="{00000000-0005-0000-0000-000048920000}"/>
    <cellStyle name="40 % - Markeringsfarve6 5 6 2 3 2 3" xfId="45872" xr:uid="{00000000-0005-0000-0000-000049920000}"/>
    <cellStyle name="40 % - Markeringsfarve6 5 6 2 3 3" xfId="23886" xr:uid="{00000000-0005-0000-0000-00004A920000}"/>
    <cellStyle name="40 % - Markeringsfarve6 5 6 2 3 4" xfId="38873" xr:uid="{00000000-0005-0000-0000-00004B920000}"/>
    <cellStyle name="40 % - Markeringsfarve6 5 6 2 4" xfId="13230" xr:uid="{00000000-0005-0000-0000-00004C920000}"/>
    <cellStyle name="40 % - Markeringsfarve6 5 6 2 4 2" xfId="29549" xr:uid="{00000000-0005-0000-0000-00004D920000}"/>
    <cellStyle name="40 % - Markeringsfarve6 5 6 2 4 3" xfId="44514" xr:uid="{00000000-0005-0000-0000-00004E920000}"/>
    <cellStyle name="40 % - Markeringsfarve6 5 6 2 5" xfId="22527" xr:uid="{00000000-0005-0000-0000-00004F920000}"/>
    <cellStyle name="40 % - Markeringsfarve6 5 6 2 6" xfId="37515" xr:uid="{00000000-0005-0000-0000-000050920000}"/>
    <cellStyle name="40 % - Markeringsfarve6 5 6 3" xfId="4675" xr:uid="{00000000-0005-0000-0000-000051920000}"/>
    <cellStyle name="40 % - Markeringsfarve6 5 6 3 2" xfId="7464" xr:uid="{00000000-0005-0000-0000-000052920000}"/>
    <cellStyle name="40 % - Markeringsfarve6 5 6 3 2 2" xfId="15374" xr:uid="{00000000-0005-0000-0000-000053920000}"/>
    <cellStyle name="40 % - Markeringsfarve6 5 6 3 2 2 2" xfId="31688" xr:uid="{00000000-0005-0000-0000-000054920000}"/>
    <cellStyle name="40 % - Markeringsfarve6 5 6 3 2 2 3" xfId="46652" xr:uid="{00000000-0005-0000-0000-000055920000}"/>
    <cellStyle name="40 % - Markeringsfarve6 5 6 3 2 3" xfId="24666" xr:uid="{00000000-0005-0000-0000-000056920000}"/>
    <cellStyle name="40 % - Markeringsfarve6 5 6 3 2 4" xfId="39653" xr:uid="{00000000-0005-0000-0000-000057920000}"/>
    <cellStyle name="40 % - Markeringsfarve6 5 6 3 3" xfId="13232" xr:uid="{00000000-0005-0000-0000-000058920000}"/>
    <cellStyle name="40 % - Markeringsfarve6 5 6 3 3 2" xfId="29551" xr:uid="{00000000-0005-0000-0000-000059920000}"/>
    <cellStyle name="40 % - Markeringsfarve6 5 6 3 3 3" xfId="44516" xr:uid="{00000000-0005-0000-0000-00005A920000}"/>
    <cellStyle name="40 % - Markeringsfarve6 5 6 3 4" xfId="22529" xr:uid="{00000000-0005-0000-0000-00005B920000}"/>
    <cellStyle name="40 % - Markeringsfarve6 5 6 3 5" xfId="37517" xr:uid="{00000000-0005-0000-0000-00005C920000}"/>
    <cellStyle name="40 % - Markeringsfarve6 5 6 4" xfId="4676" xr:uid="{00000000-0005-0000-0000-00005D920000}"/>
    <cellStyle name="40 % - Markeringsfarve6 5 6 4 2" xfId="8242" xr:uid="{00000000-0005-0000-0000-00005E920000}"/>
    <cellStyle name="40 % - Markeringsfarve6 5 6 4 2 2" xfId="16139" xr:uid="{00000000-0005-0000-0000-00005F920000}"/>
    <cellStyle name="40 % - Markeringsfarve6 5 6 4 2 2 2" xfId="32453" xr:uid="{00000000-0005-0000-0000-000060920000}"/>
    <cellStyle name="40 % - Markeringsfarve6 5 6 4 2 2 3" xfId="47417" xr:uid="{00000000-0005-0000-0000-000061920000}"/>
    <cellStyle name="40 % - Markeringsfarve6 5 6 4 2 3" xfId="25431" xr:uid="{00000000-0005-0000-0000-000062920000}"/>
    <cellStyle name="40 % - Markeringsfarve6 5 6 4 2 4" xfId="40418" xr:uid="{00000000-0005-0000-0000-000063920000}"/>
    <cellStyle name="40 % - Markeringsfarve6 5 6 4 3" xfId="13233" xr:uid="{00000000-0005-0000-0000-000064920000}"/>
    <cellStyle name="40 % - Markeringsfarve6 5 6 4 3 2" xfId="29552" xr:uid="{00000000-0005-0000-0000-000065920000}"/>
    <cellStyle name="40 % - Markeringsfarve6 5 6 4 3 3" xfId="44517" xr:uid="{00000000-0005-0000-0000-000066920000}"/>
    <cellStyle name="40 % - Markeringsfarve6 5 6 4 4" xfId="22530" xr:uid="{00000000-0005-0000-0000-000067920000}"/>
    <cellStyle name="40 % - Markeringsfarve6 5 6 4 5" xfId="37518" xr:uid="{00000000-0005-0000-0000-000068920000}"/>
    <cellStyle name="40 % - Markeringsfarve6 5 6 5" xfId="6079" xr:uid="{00000000-0005-0000-0000-000069920000}"/>
    <cellStyle name="40 % - Markeringsfarve6 5 6 5 2" xfId="13997" xr:uid="{00000000-0005-0000-0000-00006A920000}"/>
    <cellStyle name="40 % - Markeringsfarve6 5 6 5 2 2" xfId="30311" xr:uid="{00000000-0005-0000-0000-00006B920000}"/>
    <cellStyle name="40 % - Markeringsfarve6 5 6 5 2 3" xfId="45275" xr:uid="{00000000-0005-0000-0000-00006C920000}"/>
    <cellStyle name="40 % - Markeringsfarve6 5 6 5 3" xfId="23289" xr:uid="{00000000-0005-0000-0000-00006D920000}"/>
    <cellStyle name="40 % - Markeringsfarve6 5 6 5 4" xfId="38276" xr:uid="{00000000-0005-0000-0000-00006E920000}"/>
    <cellStyle name="40 % - Markeringsfarve6 5 6 6" xfId="13229" xr:uid="{00000000-0005-0000-0000-00006F920000}"/>
    <cellStyle name="40 % - Markeringsfarve6 5 6 6 2" xfId="29548" xr:uid="{00000000-0005-0000-0000-000070920000}"/>
    <cellStyle name="40 % - Markeringsfarve6 5 6 6 3" xfId="44513" xr:uid="{00000000-0005-0000-0000-000071920000}"/>
    <cellStyle name="40 % - Markeringsfarve6 5 6 7" xfId="22526" xr:uid="{00000000-0005-0000-0000-000072920000}"/>
    <cellStyle name="40 % - Markeringsfarve6 5 6 8" xfId="37514" xr:uid="{00000000-0005-0000-0000-000073920000}"/>
    <cellStyle name="40 % - Markeringsfarve6 5 7" xfId="4677" xr:uid="{00000000-0005-0000-0000-000074920000}"/>
    <cellStyle name="40 % - Markeringsfarve6 5 7 2" xfId="4678" xr:uid="{00000000-0005-0000-0000-000075920000}"/>
    <cellStyle name="40 % - Markeringsfarve6 5 7 2 2" xfId="7578" xr:uid="{00000000-0005-0000-0000-000076920000}"/>
    <cellStyle name="40 % - Markeringsfarve6 5 7 2 2 2" xfId="15479" xr:uid="{00000000-0005-0000-0000-000077920000}"/>
    <cellStyle name="40 % - Markeringsfarve6 5 7 2 2 2 2" xfId="31793" xr:uid="{00000000-0005-0000-0000-000078920000}"/>
    <cellStyle name="40 % - Markeringsfarve6 5 7 2 2 2 3" xfId="46757" xr:uid="{00000000-0005-0000-0000-000079920000}"/>
    <cellStyle name="40 % - Markeringsfarve6 5 7 2 2 3" xfId="24771" xr:uid="{00000000-0005-0000-0000-00007A920000}"/>
    <cellStyle name="40 % - Markeringsfarve6 5 7 2 2 4" xfId="39758" xr:uid="{00000000-0005-0000-0000-00007B920000}"/>
    <cellStyle name="40 % - Markeringsfarve6 5 7 2 3" xfId="13235" xr:uid="{00000000-0005-0000-0000-00007C920000}"/>
    <cellStyle name="40 % - Markeringsfarve6 5 7 2 3 2" xfId="29554" xr:uid="{00000000-0005-0000-0000-00007D920000}"/>
    <cellStyle name="40 % - Markeringsfarve6 5 7 2 3 3" xfId="44519" xr:uid="{00000000-0005-0000-0000-00007E920000}"/>
    <cellStyle name="40 % - Markeringsfarve6 5 7 2 4" xfId="22532" xr:uid="{00000000-0005-0000-0000-00007F920000}"/>
    <cellStyle name="40 % - Markeringsfarve6 5 7 2 5" xfId="37520" xr:uid="{00000000-0005-0000-0000-000080920000}"/>
    <cellStyle name="40 % - Markeringsfarve6 5 7 3" xfId="6167" xr:uid="{00000000-0005-0000-0000-000081920000}"/>
    <cellStyle name="40 % - Markeringsfarve6 5 7 3 2" xfId="14084" xr:uid="{00000000-0005-0000-0000-000082920000}"/>
    <cellStyle name="40 % - Markeringsfarve6 5 7 3 2 2" xfId="30398" xr:uid="{00000000-0005-0000-0000-000083920000}"/>
    <cellStyle name="40 % - Markeringsfarve6 5 7 3 2 3" xfId="45362" xr:uid="{00000000-0005-0000-0000-000084920000}"/>
    <cellStyle name="40 % - Markeringsfarve6 5 7 3 3" xfId="23376" xr:uid="{00000000-0005-0000-0000-000085920000}"/>
    <cellStyle name="40 % - Markeringsfarve6 5 7 3 4" xfId="38363" xr:uid="{00000000-0005-0000-0000-000086920000}"/>
    <cellStyle name="40 % - Markeringsfarve6 5 7 4" xfId="13234" xr:uid="{00000000-0005-0000-0000-000087920000}"/>
    <cellStyle name="40 % - Markeringsfarve6 5 7 4 2" xfId="29553" xr:uid="{00000000-0005-0000-0000-000088920000}"/>
    <cellStyle name="40 % - Markeringsfarve6 5 7 4 3" xfId="44518" xr:uid="{00000000-0005-0000-0000-000089920000}"/>
    <cellStyle name="40 % - Markeringsfarve6 5 7 5" xfId="22531" xr:uid="{00000000-0005-0000-0000-00008A920000}"/>
    <cellStyle name="40 % - Markeringsfarve6 5 7 6" xfId="37519" xr:uid="{00000000-0005-0000-0000-00008B920000}"/>
    <cellStyle name="40 % - Markeringsfarve6 5 8" xfId="4679" xr:uid="{00000000-0005-0000-0000-00008C920000}"/>
    <cellStyle name="40 % - Markeringsfarve6 5 8 2" xfId="6806" xr:uid="{00000000-0005-0000-0000-00008D920000}"/>
    <cellStyle name="40 % - Markeringsfarve6 5 8 2 2" xfId="14717" xr:uid="{00000000-0005-0000-0000-00008E920000}"/>
    <cellStyle name="40 % - Markeringsfarve6 5 8 2 2 2" xfId="31031" xr:uid="{00000000-0005-0000-0000-00008F920000}"/>
    <cellStyle name="40 % - Markeringsfarve6 5 8 2 2 3" xfId="45995" xr:uid="{00000000-0005-0000-0000-000090920000}"/>
    <cellStyle name="40 % - Markeringsfarve6 5 8 2 3" xfId="24009" xr:uid="{00000000-0005-0000-0000-000091920000}"/>
    <cellStyle name="40 % - Markeringsfarve6 5 8 2 4" xfId="38996" xr:uid="{00000000-0005-0000-0000-000092920000}"/>
    <cellStyle name="40 % - Markeringsfarve6 5 8 3" xfId="13236" xr:uid="{00000000-0005-0000-0000-000093920000}"/>
    <cellStyle name="40 % - Markeringsfarve6 5 8 3 2" xfId="29555" xr:uid="{00000000-0005-0000-0000-000094920000}"/>
    <cellStyle name="40 % - Markeringsfarve6 5 8 3 3" xfId="44520" xr:uid="{00000000-0005-0000-0000-000095920000}"/>
    <cellStyle name="40 % - Markeringsfarve6 5 8 4" xfId="22533" xr:uid="{00000000-0005-0000-0000-000096920000}"/>
    <cellStyle name="40 % - Markeringsfarve6 5 8 5" xfId="37521" xr:uid="{00000000-0005-0000-0000-000097920000}"/>
    <cellStyle name="40 % - Markeringsfarve6 5 9" xfId="4680" xr:uid="{00000000-0005-0000-0000-000098920000}"/>
    <cellStyle name="40 % - Markeringsfarve6 5 9 2" xfId="8683" xr:uid="{00000000-0005-0000-0000-000099920000}"/>
    <cellStyle name="40 % - Markeringsfarve6 5 9 2 2" xfId="16564" xr:uid="{00000000-0005-0000-0000-00009A920000}"/>
    <cellStyle name="40 % - Markeringsfarve6 5 9 2 2 2" xfId="32878" xr:uid="{00000000-0005-0000-0000-00009B920000}"/>
    <cellStyle name="40 % - Markeringsfarve6 5 9 2 2 3" xfId="47842" xr:uid="{00000000-0005-0000-0000-00009C920000}"/>
    <cellStyle name="40 % - Markeringsfarve6 5 9 2 3" xfId="25856" xr:uid="{00000000-0005-0000-0000-00009D920000}"/>
    <cellStyle name="40 % - Markeringsfarve6 5 9 2 4" xfId="40843" xr:uid="{00000000-0005-0000-0000-00009E920000}"/>
    <cellStyle name="40 % - Markeringsfarve6 5 9 3" xfId="13237" xr:uid="{00000000-0005-0000-0000-00009F920000}"/>
    <cellStyle name="40 % - Markeringsfarve6 5 9 3 2" xfId="29556" xr:uid="{00000000-0005-0000-0000-0000A0920000}"/>
    <cellStyle name="40 % - Markeringsfarve6 5 9 3 3" xfId="44521" xr:uid="{00000000-0005-0000-0000-0000A1920000}"/>
    <cellStyle name="40 % - Markeringsfarve6 5 9 4" xfId="22534" xr:uid="{00000000-0005-0000-0000-0000A2920000}"/>
    <cellStyle name="40 % - Markeringsfarve6 5 9 5" xfId="37522" xr:uid="{00000000-0005-0000-0000-0000A3920000}"/>
    <cellStyle name="40 % - Markeringsfarve6 6" xfId="4681" xr:uid="{00000000-0005-0000-0000-0000A4920000}"/>
    <cellStyle name="40 % - Markeringsfarve6 6 2" xfId="4682" xr:uid="{00000000-0005-0000-0000-0000A5920000}"/>
    <cellStyle name="40 % - Markeringsfarve6 6 2 2" xfId="4683" xr:uid="{00000000-0005-0000-0000-0000A6920000}"/>
    <cellStyle name="40 % - Markeringsfarve6 6 2 2 2" xfId="7619" xr:uid="{00000000-0005-0000-0000-0000A7920000}"/>
    <cellStyle name="40 % - Markeringsfarve6 6 2 2 2 2" xfId="15520" xr:uid="{00000000-0005-0000-0000-0000A8920000}"/>
    <cellStyle name="40 % - Markeringsfarve6 6 2 2 2 2 2" xfId="31834" xr:uid="{00000000-0005-0000-0000-0000A9920000}"/>
    <cellStyle name="40 % - Markeringsfarve6 6 2 2 2 2 3" xfId="46798" xr:uid="{00000000-0005-0000-0000-0000AA920000}"/>
    <cellStyle name="40 % - Markeringsfarve6 6 2 2 2 3" xfId="24812" xr:uid="{00000000-0005-0000-0000-0000AB920000}"/>
    <cellStyle name="40 % - Markeringsfarve6 6 2 2 2 4" xfId="39799" xr:uid="{00000000-0005-0000-0000-0000AC920000}"/>
    <cellStyle name="40 % - Markeringsfarve6 6 2 2 3" xfId="13240" xr:uid="{00000000-0005-0000-0000-0000AD920000}"/>
    <cellStyle name="40 % - Markeringsfarve6 6 2 2 3 2" xfId="29559" xr:uid="{00000000-0005-0000-0000-0000AE920000}"/>
    <cellStyle name="40 % - Markeringsfarve6 6 2 2 3 3" xfId="44524" xr:uid="{00000000-0005-0000-0000-0000AF920000}"/>
    <cellStyle name="40 % - Markeringsfarve6 6 2 2 4" xfId="22537" xr:uid="{00000000-0005-0000-0000-0000B0920000}"/>
    <cellStyle name="40 % - Markeringsfarve6 6 2 2 5" xfId="37525" xr:uid="{00000000-0005-0000-0000-0000B1920000}"/>
    <cellStyle name="40 % - Markeringsfarve6 6 2 2 6" xfId="57209" xr:uid="{00000000-0005-0000-0000-0000B2920000}"/>
    <cellStyle name="40 % - Markeringsfarve6 6 2 3" xfId="6200" xr:uid="{00000000-0005-0000-0000-0000B3920000}"/>
    <cellStyle name="40 % - Markeringsfarve6 6 2 3 2" xfId="14117" xr:uid="{00000000-0005-0000-0000-0000B4920000}"/>
    <cellStyle name="40 % - Markeringsfarve6 6 2 3 2 2" xfId="30431" xr:uid="{00000000-0005-0000-0000-0000B5920000}"/>
    <cellStyle name="40 % - Markeringsfarve6 6 2 3 2 3" xfId="45395" xr:uid="{00000000-0005-0000-0000-0000B6920000}"/>
    <cellStyle name="40 % - Markeringsfarve6 6 2 3 3" xfId="23409" xr:uid="{00000000-0005-0000-0000-0000B7920000}"/>
    <cellStyle name="40 % - Markeringsfarve6 6 2 3 4" xfId="38396" xr:uid="{00000000-0005-0000-0000-0000B8920000}"/>
    <cellStyle name="40 % - Markeringsfarve6 6 2 4" xfId="13239" xr:uid="{00000000-0005-0000-0000-0000B9920000}"/>
    <cellStyle name="40 % - Markeringsfarve6 6 2 4 2" xfId="29558" xr:uid="{00000000-0005-0000-0000-0000BA920000}"/>
    <cellStyle name="40 % - Markeringsfarve6 6 2 4 3" xfId="44523" xr:uid="{00000000-0005-0000-0000-0000BB920000}"/>
    <cellStyle name="40 % - Markeringsfarve6 6 2 5" xfId="22536" xr:uid="{00000000-0005-0000-0000-0000BC920000}"/>
    <cellStyle name="40 % - Markeringsfarve6 6 2 6" xfId="37524" xr:uid="{00000000-0005-0000-0000-0000BD920000}"/>
    <cellStyle name="40 % - Markeringsfarve6 6 2 7" xfId="54042" xr:uid="{00000000-0005-0000-0000-0000BE920000}"/>
    <cellStyle name="40 % - Markeringsfarve6 6 3" xfId="4684" xr:uid="{00000000-0005-0000-0000-0000BF920000}"/>
    <cellStyle name="40 % - Markeringsfarve6 6 3 2" xfId="6849" xr:uid="{00000000-0005-0000-0000-0000C0920000}"/>
    <cellStyle name="40 % - Markeringsfarve6 6 3 2 2" xfId="14760" xr:uid="{00000000-0005-0000-0000-0000C1920000}"/>
    <cellStyle name="40 % - Markeringsfarve6 6 3 2 2 2" xfId="31074" xr:uid="{00000000-0005-0000-0000-0000C2920000}"/>
    <cellStyle name="40 % - Markeringsfarve6 6 3 2 2 3" xfId="46038" xr:uid="{00000000-0005-0000-0000-0000C3920000}"/>
    <cellStyle name="40 % - Markeringsfarve6 6 3 2 3" xfId="24052" xr:uid="{00000000-0005-0000-0000-0000C4920000}"/>
    <cellStyle name="40 % - Markeringsfarve6 6 3 2 4" xfId="39039" xr:uid="{00000000-0005-0000-0000-0000C5920000}"/>
    <cellStyle name="40 % - Markeringsfarve6 6 3 3" xfId="13241" xr:uid="{00000000-0005-0000-0000-0000C6920000}"/>
    <cellStyle name="40 % - Markeringsfarve6 6 3 3 2" xfId="29560" xr:uid="{00000000-0005-0000-0000-0000C7920000}"/>
    <cellStyle name="40 % - Markeringsfarve6 6 3 3 3" xfId="44525" xr:uid="{00000000-0005-0000-0000-0000C8920000}"/>
    <cellStyle name="40 % - Markeringsfarve6 6 3 4" xfId="22538" xr:uid="{00000000-0005-0000-0000-0000C9920000}"/>
    <cellStyle name="40 % - Markeringsfarve6 6 3 5" xfId="37526" xr:uid="{00000000-0005-0000-0000-0000CA920000}"/>
    <cellStyle name="40 % - Markeringsfarve6 6 3 6" xfId="56586" xr:uid="{00000000-0005-0000-0000-0000CB920000}"/>
    <cellStyle name="40 % - Markeringsfarve6 6 4" xfId="4685" xr:uid="{00000000-0005-0000-0000-0000CC920000}"/>
    <cellStyle name="40 % - Markeringsfarve6 6 4 2" xfId="7075" xr:uid="{00000000-0005-0000-0000-0000CD920000}"/>
    <cellStyle name="40 % - Markeringsfarve6 6 4 2 2" xfId="14986" xr:uid="{00000000-0005-0000-0000-0000CE920000}"/>
    <cellStyle name="40 % - Markeringsfarve6 6 4 2 2 2" xfId="31300" xr:uid="{00000000-0005-0000-0000-0000CF920000}"/>
    <cellStyle name="40 % - Markeringsfarve6 6 4 2 2 3" xfId="46264" xr:uid="{00000000-0005-0000-0000-0000D0920000}"/>
    <cellStyle name="40 % - Markeringsfarve6 6 4 2 3" xfId="24278" xr:uid="{00000000-0005-0000-0000-0000D1920000}"/>
    <cellStyle name="40 % - Markeringsfarve6 6 4 2 4" xfId="39265" xr:uid="{00000000-0005-0000-0000-0000D2920000}"/>
    <cellStyle name="40 % - Markeringsfarve6 6 4 3" xfId="13242" xr:uid="{00000000-0005-0000-0000-0000D3920000}"/>
    <cellStyle name="40 % - Markeringsfarve6 6 4 3 2" xfId="29561" xr:uid="{00000000-0005-0000-0000-0000D4920000}"/>
    <cellStyle name="40 % - Markeringsfarve6 6 4 3 3" xfId="44526" xr:uid="{00000000-0005-0000-0000-0000D5920000}"/>
    <cellStyle name="40 % - Markeringsfarve6 6 4 4" xfId="22539" xr:uid="{00000000-0005-0000-0000-0000D6920000}"/>
    <cellStyle name="40 % - Markeringsfarve6 6 4 5" xfId="37527" xr:uid="{00000000-0005-0000-0000-0000D7920000}"/>
    <cellStyle name="40 % - Markeringsfarve6 6 5" xfId="6080" xr:uid="{00000000-0005-0000-0000-0000D8920000}"/>
    <cellStyle name="40 % - Markeringsfarve6 6 5 2" xfId="13998" xr:uid="{00000000-0005-0000-0000-0000D9920000}"/>
    <cellStyle name="40 % - Markeringsfarve6 6 5 2 2" xfId="30312" xr:uid="{00000000-0005-0000-0000-0000DA920000}"/>
    <cellStyle name="40 % - Markeringsfarve6 6 5 2 3" xfId="45276" xr:uid="{00000000-0005-0000-0000-0000DB920000}"/>
    <cellStyle name="40 % - Markeringsfarve6 6 5 3" xfId="23290" xr:uid="{00000000-0005-0000-0000-0000DC920000}"/>
    <cellStyle name="40 % - Markeringsfarve6 6 5 4" xfId="38277" xr:uid="{00000000-0005-0000-0000-0000DD920000}"/>
    <cellStyle name="40 % - Markeringsfarve6 6 6" xfId="13238" xr:uid="{00000000-0005-0000-0000-0000DE920000}"/>
    <cellStyle name="40 % - Markeringsfarve6 6 6 2" xfId="29557" xr:uid="{00000000-0005-0000-0000-0000DF920000}"/>
    <cellStyle name="40 % - Markeringsfarve6 6 6 3" xfId="44522" xr:uid="{00000000-0005-0000-0000-0000E0920000}"/>
    <cellStyle name="40 % - Markeringsfarve6 6 7" xfId="22535" xr:uid="{00000000-0005-0000-0000-0000E1920000}"/>
    <cellStyle name="40 % - Markeringsfarve6 6 8" xfId="37523" xr:uid="{00000000-0005-0000-0000-0000E2920000}"/>
    <cellStyle name="40 % - Markeringsfarve6 6 9" xfId="53405" xr:uid="{00000000-0005-0000-0000-0000E3920000}"/>
    <cellStyle name="40 % - Markeringsfarve6 7" xfId="4686" xr:uid="{00000000-0005-0000-0000-0000E4920000}"/>
    <cellStyle name="40 % - Markeringsfarve6 7 2" xfId="4687" xr:uid="{00000000-0005-0000-0000-0000E5920000}"/>
    <cellStyle name="40 % - Markeringsfarve6 7 2 2" xfId="4688" xr:uid="{00000000-0005-0000-0000-0000E6920000}"/>
    <cellStyle name="40 % - Markeringsfarve6 7 2 2 2" xfId="7825" xr:uid="{00000000-0005-0000-0000-0000E7920000}"/>
    <cellStyle name="40 % - Markeringsfarve6 7 2 2 2 2" xfId="15726" xr:uid="{00000000-0005-0000-0000-0000E8920000}"/>
    <cellStyle name="40 % - Markeringsfarve6 7 2 2 2 2 2" xfId="32040" xr:uid="{00000000-0005-0000-0000-0000E9920000}"/>
    <cellStyle name="40 % - Markeringsfarve6 7 2 2 2 2 3" xfId="47004" xr:uid="{00000000-0005-0000-0000-0000EA920000}"/>
    <cellStyle name="40 % - Markeringsfarve6 7 2 2 2 3" xfId="25018" xr:uid="{00000000-0005-0000-0000-0000EB920000}"/>
    <cellStyle name="40 % - Markeringsfarve6 7 2 2 2 4" xfId="40005" xr:uid="{00000000-0005-0000-0000-0000EC920000}"/>
    <cellStyle name="40 % - Markeringsfarve6 7 2 2 3" xfId="13245" xr:uid="{00000000-0005-0000-0000-0000ED920000}"/>
    <cellStyle name="40 % - Markeringsfarve6 7 2 2 3 2" xfId="29564" xr:uid="{00000000-0005-0000-0000-0000EE920000}"/>
    <cellStyle name="40 % - Markeringsfarve6 7 2 2 3 3" xfId="44529" xr:uid="{00000000-0005-0000-0000-0000EF920000}"/>
    <cellStyle name="40 % - Markeringsfarve6 7 2 2 4" xfId="22542" xr:uid="{00000000-0005-0000-0000-0000F0920000}"/>
    <cellStyle name="40 % - Markeringsfarve6 7 2 2 5" xfId="37530" xr:uid="{00000000-0005-0000-0000-0000F1920000}"/>
    <cellStyle name="40 % - Markeringsfarve6 7 2 3" xfId="6371" xr:uid="{00000000-0005-0000-0000-0000F2920000}"/>
    <cellStyle name="40 % - Markeringsfarve6 7 2 3 2" xfId="14288" xr:uid="{00000000-0005-0000-0000-0000F3920000}"/>
    <cellStyle name="40 % - Markeringsfarve6 7 2 3 2 2" xfId="30602" xr:uid="{00000000-0005-0000-0000-0000F4920000}"/>
    <cellStyle name="40 % - Markeringsfarve6 7 2 3 2 3" xfId="45566" xr:uid="{00000000-0005-0000-0000-0000F5920000}"/>
    <cellStyle name="40 % - Markeringsfarve6 7 2 3 3" xfId="23580" xr:uid="{00000000-0005-0000-0000-0000F6920000}"/>
    <cellStyle name="40 % - Markeringsfarve6 7 2 3 4" xfId="38567" xr:uid="{00000000-0005-0000-0000-0000F7920000}"/>
    <cellStyle name="40 % - Markeringsfarve6 7 2 4" xfId="13244" xr:uid="{00000000-0005-0000-0000-0000F8920000}"/>
    <cellStyle name="40 % - Markeringsfarve6 7 2 4 2" xfId="29563" xr:uid="{00000000-0005-0000-0000-0000F9920000}"/>
    <cellStyle name="40 % - Markeringsfarve6 7 2 4 3" xfId="44528" xr:uid="{00000000-0005-0000-0000-0000FA920000}"/>
    <cellStyle name="40 % - Markeringsfarve6 7 2 5" xfId="22541" xr:uid="{00000000-0005-0000-0000-0000FB920000}"/>
    <cellStyle name="40 % - Markeringsfarve6 7 2 6" xfId="37529" xr:uid="{00000000-0005-0000-0000-0000FC920000}"/>
    <cellStyle name="40 % - Markeringsfarve6 7 2 7" xfId="57123" xr:uid="{00000000-0005-0000-0000-0000FD920000}"/>
    <cellStyle name="40 % - Markeringsfarve6 7 3" xfId="4689" xr:uid="{00000000-0005-0000-0000-0000FE920000}"/>
    <cellStyle name="40 % - Markeringsfarve6 7 3 2" xfId="7055" xr:uid="{00000000-0005-0000-0000-0000FF920000}"/>
    <cellStyle name="40 % - Markeringsfarve6 7 3 2 2" xfId="14966" xr:uid="{00000000-0005-0000-0000-000000930000}"/>
    <cellStyle name="40 % - Markeringsfarve6 7 3 2 2 2" xfId="31280" xr:uid="{00000000-0005-0000-0000-000001930000}"/>
    <cellStyle name="40 % - Markeringsfarve6 7 3 2 2 3" xfId="46244" xr:uid="{00000000-0005-0000-0000-000002930000}"/>
    <cellStyle name="40 % - Markeringsfarve6 7 3 2 3" xfId="24258" xr:uid="{00000000-0005-0000-0000-000003930000}"/>
    <cellStyle name="40 % - Markeringsfarve6 7 3 2 4" xfId="39245" xr:uid="{00000000-0005-0000-0000-000004930000}"/>
    <cellStyle name="40 % - Markeringsfarve6 7 3 3" xfId="13246" xr:uid="{00000000-0005-0000-0000-000005930000}"/>
    <cellStyle name="40 % - Markeringsfarve6 7 3 3 2" xfId="29565" xr:uid="{00000000-0005-0000-0000-000006930000}"/>
    <cellStyle name="40 % - Markeringsfarve6 7 3 3 3" xfId="44530" xr:uid="{00000000-0005-0000-0000-000007930000}"/>
    <cellStyle name="40 % - Markeringsfarve6 7 3 4" xfId="22543" xr:uid="{00000000-0005-0000-0000-000008930000}"/>
    <cellStyle name="40 % - Markeringsfarve6 7 3 5" xfId="37531" xr:uid="{00000000-0005-0000-0000-000009930000}"/>
    <cellStyle name="40 % - Markeringsfarve6 7 4" xfId="4690" xr:uid="{00000000-0005-0000-0000-00000A930000}"/>
    <cellStyle name="40 % - Markeringsfarve6 7 4 2" xfId="6698" xr:uid="{00000000-0005-0000-0000-00000B930000}"/>
    <cellStyle name="40 % - Markeringsfarve6 7 4 2 2" xfId="14611" xr:uid="{00000000-0005-0000-0000-00000C930000}"/>
    <cellStyle name="40 % - Markeringsfarve6 7 4 2 2 2" xfId="30925" xr:uid="{00000000-0005-0000-0000-00000D930000}"/>
    <cellStyle name="40 % - Markeringsfarve6 7 4 2 2 3" xfId="45889" xr:uid="{00000000-0005-0000-0000-00000E930000}"/>
    <cellStyle name="40 % - Markeringsfarve6 7 4 2 3" xfId="23903" xr:uid="{00000000-0005-0000-0000-00000F930000}"/>
    <cellStyle name="40 % - Markeringsfarve6 7 4 2 4" xfId="38890" xr:uid="{00000000-0005-0000-0000-000010930000}"/>
    <cellStyle name="40 % - Markeringsfarve6 7 4 3" xfId="13247" xr:uid="{00000000-0005-0000-0000-000011930000}"/>
    <cellStyle name="40 % - Markeringsfarve6 7 4 3 2" xfId="29566" xr:uid="{00000000-0005-0000-0000-000012930000}"/>
    <cellStyle name="40 % - Markeringsfarve6 7 4 3 3" xfId="44531" xr:uid="{00000000-0005-0000-0000-000013930000}"/>
    <cellStyle name="40 % - Markeringsfarve6 7 4 4" xfId="22544" xr:uid="{00000000-0005-0000-0000-000014930000}"/>
    <cellStyle name="40 % - Markeringsfarve6 7 4 5" xfId="37532" xr:uid="{00000000-0005-0000-0000-000015930000}"/>
    <cellStyle name="40 % - Markeringsfarve6 7 5" xfId="6081" xr:uid="{00000000-0005-0000-0000-000016930000}"/>
    <cellStyle name="40 % - Markeringsfarve6 7 5 2" xfId="13999" xr:uid="{00000000-0005-0000-0000-000017930000}"/>
    <cellStyle name="40 % - Markeringsfarve6 7 5 2 2" xfId="30313" xr:uid="{00000000-0005-0000-0000-000018930000}"/>
    <cellStyle name="40 % - Markeringsfarve6 7 5 2 3" xfId="45277" xr:uid="{00000000-0005-0000-0000-000019930000}"/>
    <cellStyle name="40 % - Markeringsfarve6 7 5 3" xfId="23291" xr:uid="{00000000-0005-0000-0000-00001A930000}"/>
    <cellStyle name="40 % - Markeringsfarve6 7 5 4" xfId="38278" xr:uid="{00000000-0005-0000-0000-00001B930000}"/>
    <cellStyle name="40 % - Markeringsfarve6 7 6" xfId="13243" xr:uid="{00000000-0005-0000-0000-00001C930000}"/>
    <cellStyle name="40 % - Markeringsfarve6 7 6 2" xfId="29562" xr:uid="{00000000-0005-0000-0000-00001D930000}"/>
    <cellStyle name="40 % - Markeringsfarve6 7 6 3" xfId="44527" xr:uid="{00000000-0005-0000-0000-00001E930000}"/>
    <cellStyle name="40 % - Markeringsfarve6 7 7" xfId="22540" xr:uid="{00000000-0005-0000-0000-00001F930000}"/>
    <cellStyle name="40 % - Markeringsfarve6 7 8" xfId="37528" xr:uid="{00000000-0005-0000-0000-000020930000}"/>
    <cellStyle name="40 % - Markeringsfarve6 7 9" xfId="53956" xr:uid="{00000000-0005-0000-0000-000021930000}"/>
    <cellStyle name="40 % - Markeringsfarve6 8" xfId="4691" xr:uid="{00000000-0005-0000-0000-000022930000}"/>
    <cellStyle name="40 % - Markeringsfarve6 8 2" xfId="4692" xr:uid="{00000000-0005-0000-0000-000023930000}"/>
    <cellStyle name="40 % - Markeringsfarve6 8 2 2" xfId="4693" xr:uid="{00000000-0005-0000-0000-000024930000}"/>
    <cellStyle name="40 % - Markeringsfarve6 8 2 2 2" xfId="7857" xr:uid="{00000000-0005-0000-0000-000025930000}"/>
    <cellStyle name="40 % - Markeringsfarve6 8 2 2 2 2" xfId="15758" xr:uid="{00000000-0005-0000-0000-000026930000}"/>
    <cellStyle name="40 % - Markeringsfarve6 8 2 2 2 2 2" xfId="32072" xr:uid="{00000000-0005-0000-0000-000027930000}"/>
    <cellStyle name="40 % - Markeringsfarve6 8 2 2 2 2 3" xfId="47036" xr:uid="{00000000-0005-0000-0000-000028930000}"/>
    <cellStyle name="40 % - Markeringsfarve6 8 2 2 2 3" xfId="25050" xr:uid="{00000000-0005-0000-0000-000029930000}"/>
    <cellStyle name="40 % - Markeringsfarve6 8 2 2 2 4" xfId="40037" xr:uid="{00000000-0005-0000-0000-00002A930000}"/>
    <cellStyle name="40 % - Markeringsfarve6 8 2 2 3" xfId="13250" xr:uid="{00000000-0005-0000-0000-00002B930000}"/>
    <cellStyle name="40 % - Markeringsfarve6 8 2 2 3 2" xfId="29569" xr:uid="{00000000-0005-0000-0000-00002C930000}"/>
    <cellStyle name="40 % - Markeringsfarve6 8 2 2 3 3" xfId="44534" xr:uid="{00000000-0005-0000-0000-00002D930000}"/>
    <cellStyle name="40 % - Markeringsfarve6 8 2 2 4" xfId="22547" xr:uid="{00000000-0005-0000-0000-00002E930000}"/>
    <cellStyle name="40 % - Markeringsfarve6 8 2 2 5" xfId="37535" xr:uid="{00000000-0005-0000-0000-00002F930000}"/>
    <cellStyle name="40 % - Markeringsfarve6 8 2 3" xfId="6402" xr:uid="{00000000-0005-0000-0000-000030930000}"/>
    <cellStyle name="40 % - Markeringsfarve6 8 2 3 2" xfId="14316" xr:uid="{00000000-0005-0000-0000-000031930000}"/>
    <cellStyle name="40 % - Markeringsfarve6 8 2 3 2 2" xfId="30630" xr:uid="{00000000-0005-0000-0000-000032930000}"/>
    <cellStyle name="40 % - Markeringsfarve6 8 2 3 2 3" xfId="45594" xr:uid="{00000000-0005-0000-0000-000033930000}"/>
    <cellStyle name="40 % - Markeringsfarve6 8 2 3 3" xfId="23608" xr:uid="{00000000-0005-0000-0000-000034930000}"/>
    <cellStyle name="40 % - Markeringsfarve6 8 2 3 4" xfId="38595" xr:uid="{00000000-0005-0000-0000-000035930000}"/>
    <cellStyle name="40 % - Markeringsfarve6 8 2 4" xfId="13249" xr:uid="{00000000-0005-0000-0000-000036930000}"/>
    <cellStyle name="40 % - Markeringsfarve6 8 2 4 2" xfId="29568" xr:uid="{00000000-0005-0000-0000-000037930000}"/>
    <cellStyle name="40 % - Markeringsfarve6 8 2 4 3" xfId="44533" xr:uid="{00000000-0005-0000-0000-000038930000}"/>
    <cellStyle name="40 % - Markeringsfarve6 8 2 5" xfId="22546" xr:uid="{00000000-0005-0000-0000-000039930000}"/>
    <cellStyle name="40 % - Markeringsfarve6 8 2 6" xfId="37534" xr:uid="{00000000-0005-0000-0000-00003A930000}"/>
    <cellStyle name="40 % - Markeringsfarve6 8 3" xfId="4694" xr:uid="{00000000-0005-0000-0000-00003B930000}"/>
    <cellStyle name="40 % - Markeringsfarve6 8 3 2" xfId="7133" xr:uid="{00000000-0005-0000-0000-00003C930000}"/>
    <cellStyle name="40 % - Markeringsfarve6 8 3 2 2" xfId="15043" xr:uid="{00000000-0005-0000-0000-00003D930000}"/>
    <cellStyle name="40 % - Markeringsfarve6 8 3 2 2 2" xfId="31357" xr:uid="{00000000-0005-0000-0000-00003E930000}"/>
    <cellStyle name="40 % - Markeringsfarve6 8 3 2 2 3" xfId="46321" xr:uid="{00000000-0005-0000-0000-00003F930000}"/>
    <cellStyle name="40 % - Markeringsfarve6 8 3 2 3" xfId="24335" xr:uid="{00000000-0005-0000-0000-000040930000}"/>
    <cellStyle name="40 % - Markeringsfarve6 8 3 2 4" xfId="39322" xr:uid="{00000000-0005-0000-0000-000041930000}"/>
    <cellStyle name="40 % - Markeringsfarve6 8 3 3" xfId="13251" xr:uid="{00000000-0005-0000-0000-000042930000}"/>
    <cellStyle name="40 % - Markeringsfarve6 8 3 3 2" xfId="29570" xr:uid="{00000000-0005-0000-0000-000043930000}"/>
    <cellStyle name="40 % - Markeringsfarve6 8 3 3 3" xfId="44535" xr:uid="{00000000-0005-0000-0000-000044930000}"/>
    <cellStyle name="40 % - Markeringsfarve6 8 3 4" xfId="22548" xr:uid="{00000000-0005-0000-0000-000045930000}"/>
    <cellStyle name="40 % - Markeringsfarve6 8 3 5" xfId="37536" xr:uid="{00000000-0005-0000-0000-000046930000}"/>
    <cellStyle name="40 % - Markeringsfarve6 8 4" xfId="4695" xr:uid="{00000000-0005-0000-0000-000047930000}"/>
    <cellStyle name="40 % - Markeringsfarve6 8 4 2" xfId="8541" xr:uid="{00000000-0005-0000-0000-000048930000}"/>
    <cellStyle name="40 % - Markeringsfarve6 8 4 2 2" xfId="16429" xr:uid="{00000000-0005-0000-0000-000049930000}"/>
    <cellStyle name="40 % - Markeringsfarve6 8 4 2 2 2" xfId="32743" xr:uid="{00000000-0005-0000-0000-00004A930000}"/>
    <cellStyle name="40 % - Markeringsfarve6 8 4 2 2 3" xfId="47707" xr:uid="{00000000-0005-0000-0000-00004B930000}"/>
    <cellStyle name="40 % - Markeringsfarve6 8 4 2 3" xfId="25721" xr:uid="{00000000-0005-0000-0000-00004C930000}"/>
    <cellStyle name="40 % - Markeringsfarve6 8 4 2 4" xfId="40708" xr:uid="{00000000-0005-0000-0000-00004D930000}"/>
    <cellStyle name="40 % - Markeringsfarve6 8 4 3" xfId="13252" xr:uid="{00000000-0005-0000-0000-00004E930000}"/>
    <cellStyle name="40 % - Markeringsfarve6 8 4 3 2" xfId="29571" xr:uid="{00000000-0005-0000-0000-00004F930000}"/>
    <cellStyle name="40 % - Markeringsfarve6 8 4 3 3" xfId="44536" xr:uid="{00000000-0005-0000-0000-000050930000}"/>
    <cellStyle name="40 % - Markeringsfarve6 8 4 4" xfId="22549" xr:uid="{00000000-0005-0000-0000-000051930000}"/>
    <cellStyle name="40 % - Markeringsfarve6 8 4 5" xfId="37537" xr:uid="{00000000-0005-0000-0000-000052930000}"/>
    <cellStyle name="40 % - Markeringsfarve6 8 5" xfId="6082" xr:uid="{00000000-0005-0000-0000-000053930000}"/>
    <cellStyle name="40 % - Markeringsfarve6 8 5 2" xfId="14000" xr:uid="{00000000-0005-0000-0000-000054930000}"/>
    <cellStyle name="40 % - Markeringsfarve6 8 5 2 2" xfId="30314" xr:uid="{00000000-0005-0000-0000-000055930000}"/>
    <cellStyle name="40 % - Markeringsfarve6 8 5 2 3" xfId="45278" xr:uid="{00000000-0005-0000-0000-000056930000}"/>
    <cellStyle name="40 % - Markeringsfarve6 8 5 3" xfId="23292" xr:uid="{00000000-0005-0000-0000-000057930000}"/>
    <cellStyle name="40 % - Markeringsfarve6 8 5 4" xfId="38279" xr:uid="{00000000-0005-0000-0000-000058930000}"/>
    <cellStyle name="40 % - Markeringsfarve6 8 6" xfId="13248" xr:uid="{00000000-0005-0000-0000-000059930000}"/>
    <cellStyle name="40 % - Markeringsfarve6 8 6 2" xfId="29567" xr:uid="{00000000-0005-0000-0000-00005A930000}"/>
    <cellStyle name="40 % - Markeringsfarve6 8 6 3" xfId="44532" xr:uid="{00000000-0005-0000-0000-00005B930000}"/>
    <cellStyle name="40 % - Markeringsfarve6 8 7" xfId="22545" xr:uid="{00000000-0005-0000-0000-00005C930000}"/>
    <cellStyle name="40 % - Markeringsfarve6 8 8" xfId="37533" xr:uid="{00000000-0005-0000-0000-00005D930000}"/>
    <cellStyle name="40 % - Markeringsfarve6 9" xfId="4696" xr:uid="{00000000-0005-0000-0000-00005E930000}"/>
    <cellStyle name="40 % - Markeringsfarve6 9 2" xfId="4697" xr:uid="{00000000-0005-0000-0000-00005F930000}"/>
    <cellStyle name="40 % - Markeringsfarve6 9 2 2" xfId="4698" xr:uid="{00000000-0005-0000-0000-000060930000}"/>
    <cellStyle name="40 % - Markeringsfarve6 9 2 2 2" xfId="7974" xr:uid="{00000000-0005-0000-0000-000061930000}"/>
    <cellStyle name="40 % - Markeringsfarve6 9 2 2 2 2" xfId="15875" xr:uid="{00000000-0005-0000-0000-000062930000}"/>
    <cellStyle name="40 % - Markeringsfarve6 9 2 2 2 2 2" xfId="32189" xr:uid="{00000000-0005-0000-0000-000063930000}"/>
    <cellStyle name="40 % - Markeringsfarve6 9 2 2 2 2 3" xfId="47153" xr:uid="{00000000-0005-0000-0000-000064930000}"/>
    <cellStyle name="40 % - Markeringsfarve6 9 2 2 2 3" xfId="25167" xr:uid="{00000000-0005-0000-0000-000065930000}"/>
    <cellStyle name="40 % - Markeringsfarve6 9 2 2 2 4" xfId="40154" xr:uid="{00000000-0005-0000-0000-000066930000}"/>
    <cellStyle name="40 % - Markeringsfarve6 9 2 2 3" xfId="13255" xr:uid="{00000000-0005-0000-0000-000067930000}"/>
    <cellStyle name="40 % - Markeringsfarve6 9 2 2 3 2" xfId="29574" xr:uid="{00000000-0005-0000-0000-000068930000}"/>
    <cellStyle name="40 % - Markeringsfarve6 9 2 2 3 3" xfId="44539" xr:uid="{00000000-0005-0000-0000-000069930000}"/>
    <cellStyle name="40 % - Markeringsfarve6 9 2 2 4" xfId="22552" xr:uid="{00000000-0005-0000-0000-00006A930000}"/>
    <cellStyle name="40 % - Markeringsfarve6 9 2 2 5" xfId="37540" xr:uid="{00000000-0005-0000-0000-00006B930000}"/>
    <cellStyle name="40 % - Markeringsfarve6 9 2 3" xfId="6501" xr:uid="{00000000-0005-0000-0000-00006C930000}"/>
    <cellStyle name="40 % - Markeringsfarve6 9 2 3 2" xfId="14415" xr:uid="{00000000-0005-0000-0000-00006D930000}"/>
    <cellStyle name="40 % - Markeringsfarve6 9 2 3 2 2" xfId="30729" xr:uid="{00000000-0005-0000-0000-00006E930000}"/>
    <cellStyle name="40 % - Markeringsfarve6 9 2 3 2 3" xfId="45693" xr:uid="{00000000-0005-0000-0000-00006F930000}"/>
    <cellStyle name="40 % - Markeringsfarve6 9 2 3 3" xfId="23707" xr:uid="{00000000-0005-0000-0000-000070930000}"/>
    <cellStyle name="40 % - Markeringsfarve6 9 2 3 4" xfId="38694" xr:uid="{00000000-0005-0000-0000-000071930000}"/>
    <cellStyle name="40 % - Markeringsfarve6 9 2 4" xfId="13254" xr:uid="{00000000-0005-0000-0000-000072930000}"/>
    <cellStyle name="40 % - Markeringsfarve6 9 2 4 2" xfId="29573" xr:uid="{00000000-0005-0000-0000-000073930000}"/>
    <cellStyle name="40 % - Markeringsfarve6 9 2 4 3" xfId="44538" xr:uid="{00000000-0005-0000-0000-000074930000}"/>
    <cellStyle name="40 % - Markeringsfarve6 9 2 5" xfId="22551" xr:uid="{00000000-0005-0000-0000-000075930000}"/>
    <cellStyle name="40 % - Markeringsfarve6 9 2 6" xfId="37539" xr:uid="{00000000-0005-0000-0000-000076930000}"/>
    <cellStyle name="40 % - Markeringsfarve6 9 3" xfId="4699" xr:uid="{00000000-0005-0000-0000-000077930000}"/>
    <cellStyle name="40 % - Markeringsfarve6 9 3 2" xfId="7250" xr:uid="{00000000-0005-0000-0000-000078930000}"/>
    <cellStyle name="40 % - Markeringsfarve6 9 3 2 2" xfId="15160" xr:uid="{00000000-0005-0000-0000-000079930000}"/>
    <cellStyle name="40 % - Markeringsfarve6 9 3 2 2 2" xfId="31474" xr:uid="{00000000-0005-0000-0000-00007A930000}"/>
    <cellStyle name="40 % - Markeringsfarve6 9 3 2 2 3" xfId="46438" xr:uid="{00000000-0005-0000-0000-00007B930000}"/>
    <cellStyle name="40 % - Markeringsfarve6 9 3 2 3" xfId="24452" xr:uid="{00000000-0005-0000-0000-00007C930000}"/>
    <cellStyle name="40 % - Markeringsfarve6 9 3 2 4" xfId="39439" xr:uid="{00000000-0005-0000-0000-00007D930000}"/>
    <cellStyle name="40 % - Markeringsfarve6 9 3 3" xfId="13256" xr:uid="{00000000-0005-0000-0000-00007E930000}"/>
    <cellStyle name="40 % - Markeringsfarve6 9 3 3 2" xfId="29575" xr:uid="{00000000-0005-0000-0000-00007F930000}"/>
    <cellStyle name="40 % - Markeringsfarve6 9 3 3 3" xfId="44540" xr:uid="{00000000-0005-0000-0000-000080930000}"/>
    <cellStyle name="40 % - Markeringsfarve6 9 3 4" xfId="22553" xr:uid="{00000000-0005-0000-0000-000081930000}"/>
    <cellStyle name="40 % - Markeringsfarve6 9 3 5" xfId="37541" xr:uid="{00000000-0005-0000-0000-000082930000}"/>
    <cellStyle name="40 % - Markeringsfarve6 9 4" xfId="4700" xr:uid="{00000000-0005-0000-0000-000083930000}"/>
    <cellStyle name="40 % - Markeringsfarve6 9 4 2" xfId="8756" xr:uid="{00000000-0005-0000-0000-000084930000}"/>
    <cellStyle name="40 % - Markeringsfarve6 9 4 2 2" xfId="16632" xr:uid="{00000000-0005-0000-0000-000085930000}"/>
    <cellStyle name="40 % - Markeringsfarve6 9 4 2 2 2" xfId="32946" xr:uid="{00000000-0005-0000-0000-000086930000}"/>
    <cellStyle name="40 % - Markeringsfarve6 9 4 2 2 3" xfId="47910" xr:uid="{00000000-0005-0000-0000-000087930000}"/>
    <cellStyle name="40 % - Markeringsfarve6 9 4 2 3" xfId="25924" xr:uid="{00000000-0005-0000-0000-000088930000}"/>
    <cellStyle name="40 % - Markeringsfarve6 9 4 2 4" xfId="40911" xr:uid="{00000000-0005-0000-0000-000089930000}"/>
    <cellStyle name="40 % - Markeringsfarve6 9 4 3" xfId="13257" xr:uid="{00000000-0005-0000-0000-00008A930000}"/>
    <cellStyle name="40 % - Markeringsfarve6 9 4 3 2" xfId="29576" xr:uid="{00000000-0005-0000-0000-00008B930000}"/>
    <cellStyle name="40 % - Markeringsfarve6 9 4 3 3" xfId="44541" xr:uid="{00000000-0005-0000-0000-00008C930000}"/>
    <cellStyle name="40 % - Markeringsfarve6 9 4 4" xfId="22554" xr:uid="{00000000-0005-0000-0000-00008D930000}"/>
    <cellStyle name="40 % - Markeringsfarve6 9 4 5" xfId="37542" xr:uid="{00000000-0005-0000-0000-00008E930000}"/>
    <cellStyle name="40 % - Markeringsfarve6 9 5" xfId="6083" xr:uid="{00000000-0005-0000-0000-00008F930000}"/>
    <cellStyle name="40 % - Markeringsfarve6 9 5 2" xfId="14001" xr:uid="{00000000-0005-0000-0000-000090930000}"/>
    <cellStyle name="40 % - Markeringsfarve6 9 5 2 2" xfId="30315" xr:uid="{00000000-0005-0000-0000-000091930000}"/>
    <cellStyle name="40 % - Markeringsfarve6 9 5 2 3" xfId="45279" xr:uid="{00000000-0005-0000-0000-000092930000}"/>
    <cellStyle name="40 % - Markeringsfarve6 9 5 3" xfId="23293" xr:uid="{00000000-0005-0000-0000-000093930000}"/>
    <cellStyle name="40 % - Markeringsfarve6 9 5 4" xfId="38280" xr:uid="{00000000-0005-0000-0000-000094930000}"/>
    <cellStyle name="40 % - Markeringsfarve6 9 6" xfId="13253" xr:uid="{00000000-0005-0000-0000-000095930000}"/>
    <cellStyle name="40 % - Markeringsfarve6 9 6 2" xfId="29572" xr:uid="{00000000-0005-0000-0000-000096930000}"/>
    <cellStyle name="40 % - Markeringsfarve6 9 6 3" xfId="44537" xr:uid="{00000000-0005-0000-0000-000097930000}"/>
    <cellStyle name="40 % - Markeringsfarve6 9 7" xfId="22550" xr:uid="{00000000-0005-0000-0000-000098930000}"/>
    <cellStyle name="40 % - Markeringsfarve6 9 8" xfId="37538" xr:uid="{00000000-0005-0000-0000-000099930000}"/>
    <cellStyle name="40% - Accent1" xfId="1133" builtinId="31" customBuiltin="1"/>
    <cellStyle name="40% - Accent1 10" xfId="51064" xr:uid="{00000000-0005-0000-0000-00009B930000}"/>
    <cellStyle name="40% - Accent1 11" xfId="51667" xr:uid="{00000000-0005-0000-0000-00009C930000}"/>
    <cellStyle name="40% - Accent1 12" xfId="52086" xr:uid="{00000000-0005-0000-0000-00009D930000}"/>
    <cellStyle name="40% - Accent1 13" xfId="53146" xr:uid="{00000000-0005-0000-0000-00009E930000}"/>
    <cellStyle name="40% - Accent1 14" xfId="1545" xr:uid="{00000000-0005-0000-0000-00009F930000}"/>
    <cellStyle name="40% - Accent1 2" xfId="8930" xr:uid="{00000000-0005-0000-0000-0000A0930000}"/>
    <cellStyle name="40% - Accent1 2 2" xfId="16706" xr:uid="{00000000-0005-0000-0000-0000A1930000}"/>
    <cellStyle name="40% - Accent1 2 2 2" xfId="33019" xr:uid="{00000000-0005-0000-0000-0000A2930000}"/>
    <cellStyle name="40% - Accent1 2 2 3" xfId="47983" xr:uid="{00000000-0005-0000-0000-0000A3930000}"/>
    <cellStyle name="40% - Accent1 2 3" xfId="25997" xr:uid="{00000000-0005-0000-0000-0000A4930000}"/>
    <cellStyle name="40% - Accent1 2 4" xfId="40984" xr:uid="{00000000-0005-0000-0000-0000A5930000}"/>
    <cellStyle name="40% - Accent1 2 5" xfId="53189" xr:uid="{00000000-0005-0000-0000-0000A6930000}"/>
    <cellStyle name="40% - Accent1 3" xfId="9715" xr:uid="{00000000-0005-0000-0000-0000A7930000}"/>
    <cellStyle name="40% - Accent1 3 2" xfId="26045" xr:uid="{00000000-0005-0000-0000-0000A8930000}"/>
    <cellStyle name="40% - Accent1 3 3" xfId="41025" xr:uid="{00000000-0005-0000-0000-0000A9930000}"/>
    <cellStyle name="40% - Accent1 3 4" xfId="56420" xr:uid="{00000000-0005-0000-0000-0000AA930000}"/>
    <cellStyle name="40% - Accent1 4" xfId="19026" xr:uid="{00000000-0005-0000-0000-0000AB930000}"/>
    <cellStyle name="40% - Accent1 5" xfId="34023" xr:uid="{00000000-0005-0000-0000-0000AC930000}"/>
    <cellStyle name="40% - Accent1 6" xfId="49287" xr:uid="{00000000-0005-0000-0000-0000AD930000}"/>
    <cellStyle name="40% - Accent1 7" xfId="49692" xr:uid="{00000000-0005-0000-0000-0000AE930000}"/>
    <cellStyle name="40% - Accent1 8" xfId="50101" xr:uid="{00000000-0005-0000-0000-0000AF930000}"/>
    <cellStyle name="40% - Accent1 9" xfId="50506" xr:uid="{00000000-0005-0000-0000-0000B0930000}"/>
    <cellStyle name="40% - Accent2" xfId="1137" builtinId="35" customBuiltin="1"/>
    <cellStyle name="40% - Accent2 10" xfId="50508" xr:uid="{00000000-0005-0000-0000-0000B2930000}"/>
    <cellStyle name="40% - Accent2 11" xfId="51067" xr:uid="{00000000-0005-0000-0000-0000B3930000}"/>
    <cellStyle name="40% - Accent2 12" xfId="51669" xr:uid="{00000000-0005-0000-0000-0000B4930000}"/>
    <cellStyle name="40% - Accent2 13" xfId="52088" xr:uid="{00000000-0005-0000-0000-0000B5930000}"/>
    <cellStyle name="40% - Accent2 14" xfId="53148" xr:uid="{00000000-0005-0000-0000-0000B6930000}"/>
    <cellStyle name="40% - Accent2 15" xfId="1547" xr:uid="{00000000-0005-0000-0000-0000B7930000}"/>
    <cellStyle name="40% - Accent2 2" xfId="1579" xr:uid="{00000000-0005-0000-0000-0000B8930000}"/>
    <cellStyle name="40% - Accent2 2 2" xfId="10142" xr:uid="{00000000-0005-0000-0000-0000B9930000}"/>
    <cellStyle name="40% - Accent2 2 2 2" xfId="26461" xr:uid="{00000000-0005-0000-0000-0000BA930000}"/>
    <cellStyle name="40% - Accent2 2 2 3" xfId="41427" xr:uid="{00000000-0005-0000-0000-0000BB930000}"/>
    <cellStyle name="40% - Accent2 2 3" xfId="19439" xr:uid="{00000000-0005-0000-0000-0000BC930000}"/>
    <cellStyle name="40% - Accent2 2 4" xfId="34428" xr:uid="{00000000-0005-0000-0000-0000BD930000}"/>
    <cellStyle name="40% - Accent2 2 5" xfId="53190" xr:uid="{00000000-0005-0000-0000-0000BE930000}"/>
    <cellStyle name="40% - Accent2 3" xfId="8932" xr:uid="{00000000-0005-0000-0000-0000BF930000}"/>
    <cellStyle name="40% - Accent2 3 2" xfId="16708" xr:uid="{00000000-0005-0000-0000-0000C0930000}"/>
    <cellStyle name="40% - Accent2 3 2 2" xfId="33021" xr:uid="{00000000-0005-0000-0000-0000C1930000}"/>
    <cellStyle name="40% - Accent2 3 2 3" xfId="47985" xr:uid="{00000000-0005-0000-0000-0000C2930000}"/>
    <cellStyle name="40% - Accent2 3 3" xfId="25999" xr:uid="{00000000-0005-0000-0000-0000C3930000}"/>
    <cellStyle name="40% - Accent2 3 4" xfId="40986" xr:uid="{00000000-0005-0000-0000-0000C4930000}"/>
    <cellStyle name="40% - Accent2 3 5" xfId="56422" xr:uid="{00000000-0005-0000-0000-0000C5930000}"/>
    <cellStyle name="40% - Accent2 4" xfId="9717" xr:uid="{00000000-0005-0000-0000-0000C6930000}"/>
    <cellStyle name="40% - Accent2 4 2" xfId="26047" xr:uid="{00000000-0005-0000-0000-0000C7930000}"/>
    <cellStyle name="40% - Accent2 4 3" xfId="41027" xr:uid="{00000000-0005-0000-0000-0000C8930000}"/>
    <cellStyle name="40% - Accent2 5" xfId="19028" xr:uid="{00000000-0005-0000-0000-0000C9930000}"/>
    <cellStyle name="40% - Accent2 6" xfId="34025" xr:uid="{00000000-0005-0000-0000-0000CA930000}"/>
    <cellStyle name="40% - Accent2 7" xfId="49289" xr:uid="{00000000-0005-0000-0000-0000CB930000}"/>
    <cellStyle name="40% - Accent2 8" xfId="49694" xr:uid="{00000000-0005-0000-0000-0000CC930000}"/>
    <cellStyle name="40% - Accent2 9" xfId="50103" xr:uid="{00000000-0005-0000-0000-0000CD930000}"/>
    <cellStyle name="40% - Accent3" xfId="1141" builtinId="39" customBuiltin="1"/>
    <cellStyle name="40% - Accent3 10" xfId="51069" xr:uid="{00000000-0005-0000-0000-0000CF930000}"/>
    <cellStyle name="40% - Accent3 11" xfId="51671" xr:uid="{00000000-0005-0000-0000-0000D0930000}"/>
    <cellStyle name="40% - Accent3 12" xfId="52090" xr:uid="{00000000-0005-0000-0000-0000D1930000}"/>
    <cellStyle name="40% - Accent3 13" xfId="53150" xr:uid="{00000000-0005-0000-0000-0000D2930000}"/>
    <cellStyle name="40% - Accent3 14" xfId="1549" xr:uid="{00000000-0005-0000-0000-0000D3930000}"/>
    <cellStyle name="40% - Accent3 2" xfId="8934" xr:uid="{00000000-0005-0000-0000-0000D4930000}"/>
    <cellStyle name="40% - Accent3 2 2" xfId="16710" xr:uid="{00000000-0005-0000-0000-0000D5930000}"/>
    <cellStyle name="40% - Accent3 2 2 2" xfId="33023" xr:uid="{00000000-0005-0000-0000-0000D6930000}"/>
    <cellStyle name="40% - Accent3 2 2 3" xfId="47987" xr:uid="{00000000-0005-0000-0000-0000D7930000}"/>
    <cellStyle name="40% - Accent3 2 3" xfId="26001" xr:uid="{00000000-0005-0000-0000-0000D8930000}"/>
    <cellStyle name="40% - Accent3 2 4" xfId="40988" xr:uid="{00000000-0005-0000-0000-0000D9930000}"/>
    <cellStyle name="40% - Accent3 2 5" xfId="53191" xr:uid="{00000000-0005-0000-0000-0000DA930000}"/>
    <cellStyle name="40% - Accent3 3" xfId="9719" xr:uid="{00000000-0005-0000-0000-0000DB930000}"/>
    <cellStyle name="40% - Accent3 3 2" xfId="26049" xr:uid="{00000000-0005-0000-0000-0000DC930000}"/>
    <cellStyle name="40% - Accent3 3 3" xfId="41029" xr:uid="{00000000-0005-0000-0000-0000DD930000}"/>
    <cellStyle name="40% - Accent3 3 4" xfId="56424" xr:uid="{00000000-0005-0000-0000-0000DE930000}"/>
    <cellStyle name="40% - Accent3 4" xfId="19030" xr:uid="{00000000-0005-0000-0000-0000DF930000}"/>
    <cellStyle name="40% - Accent3 5" xfId="34027" xr:uid="{00000000-0005-0000-0000-0000E0930000}"/>
    <cellStyle name="40% - Accent3 6" xfId="49291" xr:uid="{00000000-0005-0000-0000-0000E1930000}"/>
    <cellStyle name="40% - Accent3 7" xfId="49696" xr:uid="{00000000-0005-0000-0000-0000E2930000}"/>
    <cellStyle name="40% - Accent3 8" xfId="50105" xr:uid="{00000000-0005-0000-0000-0000E3930000}"/>
    <cellStyle name="40% - Accent3 9" xfId="50510" xr:uid="{00000000-0005-0000-0000-0000E4930000}"/>
    <cellStyle name="40% - Accent4" xfId="1145" builtinId="43" customBuiltin="1"/>
    <cellStyle name="40% - Accent4 10" xfId="51071" xr:uid="{00000000-0005-0000-0000-0000E6930000}"/>
    <cellStyle name="40% - Accent4 11" xfId="51673" xr:uid="{00000000-0005-0000-0000-0000E7930000}"/>
    <cellStyle name="40% - Accent4 12" xfId="52092" xr:uid="{00000000-0005-0000-0000-0000E8930000}"/>
    <cellStyle name="40% - Accent4 13" xfId="53152" xr:uid="{00000000-0005-0000-0000-0000E9930000}"/>
    <cellStyle name="40% - Accent4 14" xfId="1551" xr:uid="{00000000-0005-0000-0000-0000EA930000}"/>
    <cellStyle name="40% - Accent4 2" xfId="8936" xr:uid="{00000000-0005-0000-0000-0000EB930000}"/>
    <cellStyle name="40% - Accent4 2 2" xfId="16712" xr:uid="{00000000-0005-0000-0000-0000EC930000}"/>
    <cellStyle name="40% - Accent4 2 2 2" xfId="33025" xr:uid="{00000000-0005-0000-0000-0000ED930000}"/>
    <cellStyle name="40% - Accent4 2 2 3" xfId="47989" xr:uid="{00000000-0005-0000-0000-0000EE930000}"/>
    <cellStyle name="40% - Accent4 2 3" xfId="26003" xr:uid="{00000000-0005-0000-0000-0000EF930000}"/>
    <cellStyle name="40% - Accent4 2 4" xfId="40990" xr:uid="{00000000-0005-0000-0000-0000F0930000}"/>
    <cellStyle name="40% - Accent4 2 5" xfId="53192" xr:uid="{00000000-0005-0000-0000-0000F1930000}"/>
    <cellStyle name="40% - Accent4 3" xfId="9721" xr:uid="{00000000-0005-0000-0000-0000F2930000}"/>
    <cellStyle name="40% - Accent4 3 2" xfId="26051" xr:uid="{00000000-0005-0000-0000-0000F3930000}"/>
    <cellStyle name="40% - Accent4 3 3" xfId="41031" xr:uid="{00000000-0005-0000-0000-0000F4930000}"/>
    <cellStyle name="40% - Accent4 3 4" xfId="56426" xr:uid="{00000000-0005-0000-0000-0000F5930000}"/>
    <cellStyle name="40% - Accent4 4" xfId="19032" xr:uid="{00000000-0005-0000-0000-0000F6930000}"/>
    <cellStyle name="40% - Accent4 5" xfId="34029" xr:uid="{00000000-0005-0000-0000-0000F7930000}"/>
    <cellStyle name="40% - Accent4 6" xfId="49293" xr:uid="{00000000-0005-0000-0000-0000F8930000}"/>
    <cellStyle name="40% - Accent4 7" xfId="49698" xr:uid="{00000000-0005-0000-0000-0000F9930000}"/>
    <cellStyle name="40% - Accent4 8" xfId="50107" xr:uid="{00000000-0005-0000-0000-0000FA930000}"/>
    <cellStyle name="40% - Accent4 9" xfId="50512" xr:uid="{00000000-0005-0000-0000-0000FB930000}"/>
    <cellStyle name="40% - Accent5" xfId="1149" builtinId="47" customBuiltin="1"/>
    <cellStyle name="40% - Accent5 10" xfId="51074" xr:uid="{00000000-0005-0000-0000-0000FD930000}"/>
    <cellStyle name="40% - Accent5 11" xfId="51675" xr:uid="{00000000-0005-0000-0000-0000FE930000}"/>
    <cellStyle name="40% - Accent5 12" xfId="52094" xr:uid="{00000000-0005-0000-0000-0000FF930000}"/>
    <cellStyle name="40% - Accent5 13" xfId="53154" xr:uid="{00000000-0005-0000-0000-000000940000}"/>
    <cellStyle name="40% - Accent5 14" xfId="1553" xr:uid="{00000000-0005-0000-0000-000001940000}"/>
    <cellStyle name="40% - Accent5 2" xfId="8938" xr:uid="{00000000-0005-0000-0000-000002940000}"/>
    <cellStyle name="40% - Accent5 2 2" xfId="16714" xr:uid="{00000000-0005-0000-0000-000003940000}"/>
    <cellStyle name="40% - Accent5 2 2 2" xfId="33027" xr:uid="{00000000-0005-0000-0000-000004940000}"/>
    <cellStyle name="40% - Accent5 2 2 3" xfId="47991" xr:uid="{00000000-0005-0000-0000-000005940000}"/>
    <cellStyle name="40% - Accent5 2 3" xfId="26005" xr:uid="{00000000-0005-0000-0000-000006940000}"/>
    <cellStyle name="40% - Accent5 2 4" xfId="40992" xr:uid="{00000000-0005-0000-0000-000007940000}"/>
    <cellStyle name="40% - Accent5 2 5" xfId="53193" xr:uid="{00000000-0005-0000-0000-000008940000}"/>
    <cellStyle name="40% - Accent5 3" xfId="9723" xr:uid="{00000000-0005-0000-0000-000009940000}"/>
    <cellStyle name="40% - Accent5 3 2" xfId="26053" xr:uid="{00000000-0005-0000-0000-00000A940000}"/>
    <cellStyle name="40% - Accent5 3 3" xfId="41033" xr:uid="{00000000-0005-0000-0000-00000B940000}"/>
    <cellStyle name="40% - Accent5 3 4" xfId="56428" xr:uid="{00000000-0005-0000-0000-00000C940000}"/>
    <cellStyle name="40% - Accent5 4" xfId="19034" xr:uid="{00000000-0005-0000-0000-00000D940000}"/>
    <cellStyle name="40% - Accent5 5" xfId="34031" xr:uid="{00000000-0005-0000-0000-00000E940000}"/>
    <cellStyle name="40% - Accent5 6" xfId="49295" xr:uid="{00000000-0005-0000-0000-00000F940000}"/>
    <cellStyle name="40% - Accent5 7" xfId="49700" xr:uid="{00000000-0005-0000-0000-000010940000}"/>
    <cellStyle name="40% - Accent5 8" xfId="50109" xr:uid="{00000000-0005-0000-0000-000011940000}"/>
    <cellStyle name="40% - Accent5 9" xfId="50514" xr:uid="{00000000-0005-0000-0000-000012940000}"/>
    <cellStyle name="40% - Accent6" xfId="1153" builtinId="51" customBuiltin="1"/>
    <cellStyle name="40% - Accent6 10" xfId="51076" xr:uid="{00000000-0005-0000-0000-000014940000}"/>
    <cellStyle name="40% - Accent6 11" xfId="51677" xr:uid="{00000000-0005-0000-0000-000015940000}"/>
    <cellStyle name="40% - Accent6 12" xfId="52096" xr:uid="{00000000-0005-0000-0000-000016940000}"/>
    <cellStyle name="40% - Accent6 13" xfId="53156" xr:uid="{00000000-0005-0000-0000-000017940000}"/>
    <cellStyle name="40% - Accent6 14" xfId="1555" xr:uid="{00000000-0005-0000-0000-000018940000}"/>
    <cellStyle name="40% - Accent6 2" xfId="8940" xr:uid="{00000000-0005-0000-0000-000019940000}"/>
    <cellStyle name="40% - Accent6 2 2" xfId="16716" xr:uid="{00000000-0005-0000-0000-00001A940000}"/>
    <cellStyle name="40% - Accent6 2 2 2" xfId="33029" xr:uid="{00000000-0005-0000-0000-00001B940000}"/>
    <cellStyle name="40% - Accent6 2 2 3" xfId="47993" xr:uid="{00000000-0005-0000-0000-00001C940000}"/>
    <cellStyle name="40% - Accent6 2 3" xfId="26007" xr:uid="{00000000-0005-0000-0000-00001D940000}"/>
    <cellStyle name="40% - Accent6 2 4" xfId="40994" xr:uid="{00000000-0005-0000-0000-00001E940000}"/>
    <cellStyle name="40% - Accent6 2 5" xfId="53194" xr:uid="{00000000-0005-0000-0000-00001F940000}"/>
    <cellStyle name="40% - Accent6 3" xfId="9725" xr:uid="{00000000-0005-0000-0000-000020940000}"/>
    <cellStyle name="40% - Accent6 3 2" xfId="26055" xr:uid="{00000000-0005-0000-0000-000021940000}"/>
    <cellStyle name="40% - Accent6 3 3" xfId="41035" xr:uid="{00000000-0005-0000-0000-000022940000}"/>
    <cellStyle name="40% - Accent6 3 4" xfId="56430" xr:uid="{00000000-0005-0000-0000-000023940000}"/>
    <cellStyle name="40% - Accent6 4" xfId="19036" xr:uid="{00000000-0005-0000-0000-000024940000}"/>
    <cellStyle name="40% - Accent6 5" xfId="34033" xr:uid="{00000000-0005-0000-0000-000025940000}"/>
    <cellStyle name="40% - Accent6 6" xfId="49297" xr:uid="{00000000-0005-0000-0000-000026940000}"/>
    <cellStyle name="40% - Accent6 7" xfId="49702" xr:uid="{00000000-0005-0000-0000-000027940000}"/>
    <cellStyle name="40% - Accent6 8" xfId="50111" xr:uid="{00000000-0005-0000-0000-000028940000}"/>
    <cellStyle name="40% - Accent6 9" xfId="50516" xr:uid="{00000000-0005-0000-0000-000029940000}"/>
    <cellStyle name="40% - Colore 1" xfId="7" xr:uid="{00000000-0005-0000-0000-00002A940000}"/>
    <cellStyle name="40% - Colore 2" xfId="8" xr:uid="{00000000-0005-0000-0000-00002B940000}"/>
    <cellStyle name="40% - Colore 3" xfId="9" xr:uid="{00000000-0005-0000-0000-00002C940000}"/>
    <cellStyle name="40% - Colore 4" xfId="10" xr:uid="{00000000-0005-0000-0000-00002D940000}"/>
    <cellStyle name="40% - Colore 5" xfId="11" xr:uid="{00000000-0005-0000-0000-00002E940000}"/>
    <cellStyle name="40% - Colore 6" xfId="12" xr:uid="{00000000-0005-0000-0000-00002F940000}"/>
    <cellStyle name="5x indented GHG Textfiels" xfId="13" xr:uid="{00000000-0005-0000-0000-000030940000}"/>
    <cellStyle name="5x indented GHG Textfiels 2" xfId="14" xr:uid="{00000000-0005-0000-0000-000031940000}"/>
    <cellStyle name="5x indented GHG Textfiels 2 2" xfId="9727" xr:uid="{00000000-0005-0000-0000-000032940000}"/>
    <cellStyle name="5x indented GHG Textfiels 2 2 2" xfId="26056" xr:uid="{00000000-0005-0000-0000-000033940000}"/>
    <cellStyle name="5x indented GHG Textfiels 2 3" xfId="9703" xr:uid="{00000000-0005-0000-0000-000034940000}"/>
    <cellStyle name="5x indented GHG Textfiels 2 4" xfId="18015" xr:uid="{00000000-0005-0000-0000-000035940000}"/>
    <cellStyle name="5x indented GHG Textfiels 3" xfId="1194" xr:uid="{00000000-0005-0000-0000-000036940000}"/>
    <cellStyle name="60 % - Markeringsfarve1 2" xfId="4702" xr:uid="{00000000-0005-0000-0000-000037940000}"/>
    <cellStyle name="60 % - Markeringsfarve1 3" xfId="4703" xr:uid="{00000000-0005-0000-0000-000038940000}"/>
    <cellStyle name="60 % - Markeringsfarve1 4" xfId="4704" xr:uid="{00000000-0005-0000-0000-000039940000}"/>
    <cellStyle name="60 % - Markeringsfarve1 5" xfId="4705" xr:uid="{00000000-0005-0000-0000-00003A940000}"/>
    <cellStyle name="60 % - Markeringsfarve1 5 2" xfId="8560" xr:uid="{00000000-0005-0000-0000-00003B940000}"/>
    <cellStyle name="60 % - Markeringsfarve1 6" xfId="5386" xr:uid="{00000000-0005-0000-0000-00003C940000}"/>
    <cellStyle name="60 % - Markeringsfarve1 7" xfId="4701" xr:uid="{00000000-0005-0000-0000-00003D940000}"/>
    <cellStyle name="60 % - Markeringsfarve2 2" xfId="4707" xr:uid="{00000000-0005-0000-0000-00003E940000}"/>
    <cellStyle name="60 % - Markeringsfarve2 3" xfId="4708" xr:uid="{00000000-0005-0000-0000-00003F940000}"/>
    <cellStyle name="60 % - Markeringsfarve2 4" xfId="4709" xr:uid="{00000000-0005-0000-0000-000040940000}"/>
    <cellStyle name="60 % - Markeringsfarve2 5" xfId="4710" xr:uid="{00000000-0005-0000-0000-000041940000}"/>
    <cellStyle name="60 % - Markeringsfarve2 5 2" xfId="8733" xr:uid="{00000000-0005-0000-0000-000042940000}"/>
    <cellStyle name="60 % - Markeringsfarve2 6" xfId="5390" xr:uid="{00000000-0005-0000-0000-000043940000}"/>
    <cellStyle name="60 % - Markeringsfarve2 7" xfId="4706" xr:uid="{00000000-0005-0000-0000-000044940000}"/>
    <cellStyle name="60 % - Markeringsfarve3 2" xfId="4712" xr:uid="{00000000-0005-0000-0000-000045940000}"/>
    <cellStyle name="60 % - Markeringsfarve3 2 2" xfId="4713" xr:uid="{00000000-0005-0000-0000-000046940000}"/>
    <cellStyle name="60 % - Markeringsfarve3 2 2 2" xfId="6380" xr:uid="{00000000-0005-0000-0000-000047940000}"/>
    <cellStyle name="60 % - Markeringsfarve3 3" xfId="4714" xr:uid="{00000000-0005-0000-0000-000048940000}"/>
    <cellStyle name="60 % - Markeringsfarve3 4" xfId="4715" xr:uid="{00000000-0005-0000-0000-000049940000}"/>
    <cellStyle name="60 % - Markeringsfarve3 5" xfId="4716" xr:uid="{00000000-0005-0000-0000-00004A940000}"/>
    <cellStyle name="60 % - Markeringsfarve3 6" xfId="4717" xr:uid="{00000000-0005-0000-0000-00004B940000}"/>
    <cellStyle name="60 % - Markeringsfarve3 6 2" xfId="8618" xr:uid="{00000000-0005-0000-0000-00004C940000}"/>
    <cellStyle name="60 % - Markeringsfarve3 7" xfId="5394" xr:uid="{00000000-0005-0000-0000-00004D940000}"/>
    <cellStyle name="60 % - Markeringsfarve3 8" xfId="4711" xr:uid="{00000000-0005-0000-0000-00004E940000}"/>
    <cellStyle name="60 % - Markeringsfarve4 2" xfId="4719" xr:uid="{00000000-0005-0000-0000-00004F940000}"/>
    <cellStyle name="60 % - Markeringsfarve4 2 2" xfId="4720" xr:uid="{00000000-0005-0000-0000-000050940000}"/>
    <cellStyle name="60 % - Markeringsfarve4 2 2 2" xfId="6381" xr:uid="{00000000-0005-0000-0000-000051940000}"/>
    <cellStyle name="60 % - Markeringsfarve4 3" xfId="4721" xr:uid="{00000000-0005-0000-0000-000052940000}"/>
    <cellStyle name="60 % - Markeringsfarve4 4" xfId="4722" xr:uid="{00000000-0005-0000-0000-000053940000}"/>
    <cellStyle name="60 % - Markeringsfarve4 5" xfId="4723" xr:uid="{00000000-0005-0000-0000-000054940000}"/>
    <cellStyle name="60 % - Markeringsfarve4 6" xfId="4724" xr:uid="{00000000-0005-0000-0000-000055940000}"/>
    <cellStyle name="60 % - Markeringsfarve4 6 2" xfId="8206" xr:uid="{00000000-0005-0000-0000-000056940000}"/>
    <cellStyle name="60 % - Markeringsfarve4 7" xfId="5398" xr:uid="{00000000-0005-0000-0000-000057940000}"/>
    <cellStyle name="60 % - Markeringsfarve4 8" xfId="4718" xr:uid="{00000000-0005-0000-0000-000058940000}"/>
    <cellStyle name="60 % - Markeringsfarve5 2" xfId="4726" xr:uid="{00000000-0005-0000-0000-000059940000}"/>
    <cellStyle name="60 % - Markeringsfarve5 3" xfId="4727" xr:uid="{00000000-0005-0000-0000-00005A940000}"/>
    <cellStyle name="60 % - Markeringsfarve5 4" xfId="4728" xr:uid="{00000000-0005-0000-0000-00005B940000}"/>
    <cellStyle name="60 % - Markeringsfarve5 5" xfId="4729" xr:uid="{00000000-0005-0000-0000-00005C940000}"/>
    <cellStyle name="60 % - Markeringsfarve5 5 2" xfId="8752" xr:uid="{00000000-0005-0000-0000-00005D940000}"/>
    <cellStyle name="60 % - Markeringsfarve5 6" xfId="5401" xr:uid="{00000000-0005-0000-0000-00005E940000}"/>
    <cellStyle name="60 % - Markeringsfarve5 7" xfId="4725" xr:uid="{00000000-0005-0000-0000-00005F940000}"/>
    <cellStyle name="60 % - Markeringsfarve6 2" xfId="4731" xr:uid="{00000000-0005-0000-0000-000060940000}"/>
    <cellStyle name="60 % - Markeringsfarve6 2 2" xfId="4732" xr:uid="{00000000-0005-0000-0000-000061940000}"/>
    <cellStyle name="60 % - Markeringsfarve6 2 2 2" xfId="6382" xr:uid="{00000000-0005-0000-0000-000062940000}"/>
    <cellStyle name="60 % - Markeringsfarve6 3" xfId="4733" xr:uid="{00000000-0005-0000-0000-000063940000}"/>
    <cellStyle name="60 % - Markeringsfarve6 4" xfId="4734" xr:uid="{00000000-0005-0000-0000-000064940000}"/>
    <cellStyle name="60 % - Markeringsfarve6 5" xfId="4735" xr:uid="{00000000-0005-0000-0000-000065940000}"/>
    <cellStyle name="60 % - Markeringsfarve6 6" xfId="4736" xr:uid="{00000000-0005-0000-0000-000066940000}"/>
    <cellStyle name="60 % - Markeringsfarve6 6 2" xfId="8680" xr:uid="{00000000-0005-0000-0000-000067940000}"/>
    <cellStyle name="60 % - Markeringsfarve6 7" xfId="5405" xr:uid="{00000000-0005-0000-0000-000068940000}"/>
    <cellStyle name="60 % - Markeringsfarve6 8" xfId="4730" xr:uid="{00000000-0005-0000-0000-000069940000}"/>
    <cellStyle name="60% - Accent1" xfId="1134" builtinId="32" customBuiltin="1"/>
    <cellStyle name="60% - Accent1 2" xfId="53195" xr:uid="{00000000-0005-0000-0000-00006B940000}"/>
    <cellStyle name="60% - Accent2" xfId="1138" builtinId="36" customBuiltin="1"/>
    <cellStyle name="60% - Accent2 2" xfId="53196" xr:uid="{00000000-0005-0000-0000-00006D940000}"/>
    <cellStyle name="60% - Accent3" xfId="1142" builtinId="40" customBuiltin="1"/>
    <cellStyle name="60% - Accent3 2" xfId="53197" xr:uid="{00000000-0005-0000-0000-00006F940000}"/>
    <cellStyle name="60% - Accent4" xfId="1146" builtinId="44" customBuiltin="1"/>
    <cellStyle name="60% - Accent4 2" xfId="53198" xr:uid="{00000000-0005-0000-0000-000071940000}"/>
    <cellStyle name="60% - Accent5" xfId="1150" builtinId="48" customBuiltin="1"/>
    <cellStyle name="60% - Accent5 2" xfId="53199" xr:uid="{00000000-0005-0000-0000-000073940000}"/>
    <cellStyle name="60% - Accent6" xfId="1154" builtinId="52" customBuiltin="1"/>
    <cellStyle name="60% - Accent6 2" xfId="53200" xr:uid="{00000000-0005-0000-0000-000075940000}"/>
    <cellStyle name="60% - Colore 1" xfId="15" xr:uid="{00000000-0005-0000-0000-000076940000}"/>
    <cellStyle name="60% - Colore 2" xfId="16" xr:uid="{00000000-0005-0000-0000-000077940000}"/>
    <cellStyle name="60% - Colore 3" xfId="17" xr:uid="{00000000-0005-0000-0000-000078940000}"/>
    <cellStyle name="60% - Colore 4" xfId="18" xr:uid="{00000000-0005-0000-0000-000079940000}"/>
    <cellStyle name="60% - Colore 5" xfId="19" xr:uid="{00000000-0005-0000-0000-00007A940000}"/>
    <cellStyle name="60% - Colore 6" xfId="20" xr:uid="{00000000-0005-0000-0000-00007B940000}"/>
    <cellStyle name="Accent1" xfId="1131" builtinId="29" customBuiltin="1"/>
    <cellStyle name="Accent1 2" xfId="53201" xr:uid="{00000000-0005-0000-0000-00007D940000}"/>
    <cellStyle name="Accent2" xfId="1135" builtinId="33" customBuiltin="1"/>
    <cellStyle name="Accent2 2" xfId="53202" xr:uid="{00000000-0005-0000-0000-00007F940000}"/>
    <cellStyle name="Accent3" xfId="1139" builtinId="37" customBuiltin="1"/>
    <cellStyle name="Accent3 2" xfId="53203" xr:uid="{00000000-0005-0000-0000-000081940000}"/>
    <cellStyle name="Accent4" xfId="1143" builtinId="41" customBuiltin="1"/>
    <cellStyle name="Accent4 2" xfId="53204" xr:uid="{00000000-0005-0000-0000-000083940000}"/>
    <cellStyle name="Accent5" xfId="1147" builtinId="45" customBuiltin="1"/>
    <cellStyle name="Accent5 2" xfId="53205" xr:uid="{00000000-0005-0000-0000-000085940000}"/>
    <cellStyle name="Accent6" xfId="1151" builtinId="49" customBuiltin="1"/>
    <cellStyle name="Accent6 2" xfId="53206" xr:uid="{00000000-0005-0000-0000-000087940000}"/>
    <cellStyle name="AggOrange_CRFReport-template" xfId="21" xr:uid="{00000000-0005-0000-0000-000088940000}"/>
    <cellStyle name="AggOrange9_CRFReport-template" xfId="22" xr:uid="{00000000-0005-0000-0000-000089940000}"/>
    <cellStyle name="AZ1" xfId="4737" xr:uid="{00000000-0005-0000-0000-00008A940000}"/>
    <cellStyle name="AZ1 2" xfId="4738" xr:uid="{00000000-0005-0000-0000-00008B940000}"/>
    <cellStyle name="Background" xfId="1160" xr:uid="{00000000-0005-0000-0000-00008C940000}"/>
    <cellStyle name="Bad" xfId="23" builtinId="27" customBuiltin="1"/>
    <cellStyle name="Bad 2" xfId="24" xr:uid="{00000000-0005-0000-0000-00008E940000}"/>
    <cellStyle name="Bad 2 2" xfId="53207" xr:uid="{00000000-0005-0000-0000-00008F940000}"/>
    <cellStyle name="Bad 3" xfId="17948" xr:uid="{00000000-0005-0000-0000-000090940000}"/>
    <cellStyle name="Bemærk! 2" xfId="1187" xr:uid="{00000000-0005-0000-0000-000091940000}"/>
    <cellStyle name="Bemærk! 2 10" xfId="4740" xr:uid="{00000000-0005-0000-0000-000092940000}"/>
    <cellStyle name="Bemærk! 2 10 2" xfId="4741" xr:uid="{00000000-0005-0000-0000-000093940000}"/>
    <cellStyle name="Bemærk! 2 10 2 2" xfId="7501" xr:uid="{00000000-0005-0000-0000-000094940000}"/>
    <cellStyle name="Bemærk! 2 10 2 2 2" xfId="15402" xr:uid="{00000000-0005-0000-0000-000095940000}"/>
    <cellStyle name="Bemærk! 2 10 2 2 2 2" xfId="31716" xr:uid="{00000000-0005-0000-0000-000096940000}"/>
    <cellStyle name="Bemærk! 2 10 2 2 2 3" xfId="46680" xr:uid="{00000000-0005-0000-0000-000097940000}"/>
    <cellStyle name="Bemærk! 2 10 2 2 3" xfId="24694" xr:uid="{00000000-0005-0000-0000-000098940000}"/>
    <cellStyle name="Bemærk! 2 10 2 2 4" xfId="39681" xr:uid="{00000000-0005-0000-0000-000099940000}"/>
    <cellStyle name="Bemærk! 2 11" xfId="4742" xr:uid="{00000000-0005-0000-0000-00009A940000}"/>
    <cellStyle name="Bemærk! 2 11 2" xfId="4743" xr:uid="{00000000-0005-0000-0000-00009B940000}"/>
    <cellStyle name="Bemærk! 2 11 2 2" xfId="8750" xr:uid="{00000000-0005-0000-0000-00009C940000}"/>
    <cellStyle name="Bemærk! 2 11 2 2 2" xfId="16629" xr:uid="{00000000-0005-0000-0000-00009D940000}"/>
    <cellStyle name="Bemærk! 2 11 2 2 2 2" xfId="32943" xr:uid="{00000000-0005-0000-0000-00009E940000}"/>
    <cellStyle name="Bemærk! 2 11 2 2 2 3" xfId="47907" xr:uid="{00000000-0005-0000-0000-00009F940000}"/>
    <cellStyle name="Bemærk! 2 11 2 2 3" xfId="25921" xr:uid="{00000000-0005-0000-0000-0000A0940000}"/>
    <cellStyle name="Bemærk! 2 11 2 2 4" xfId="40908" xr:uid="{00000000-0005-0000-0000-0000A1940000}"/>
    <cellStyle name="Bemærk! 2 11 3" xfId="6102" xr:uid="{00000000-0005-0000-0000-0000A2940000}"/>
    <cellStyle name="Bemærk! 2 11 3 2" xfId="14019" xr:uid="{00000000-0005-0000-0000-0000A3940000}"/>
    <cellStyle name="Bemærk! 2 11 3 2 2" xfId="30333" xr:uid="{00000000-0005-0000-0000-0000A4940000}"/>
    <cellStyle name="Bemærk! 2 11 3 2 3" xfId="45297" xr:uid="{00000000-0005-0000-0000-0000A5940000}"/>
    <cellStyle name="Bemærk! 2 11 3 3" xfId="23311" xr:uid="{00000000-0005-0000-0000-0000A6940000}"/>
    <cellStyle name="Bemærk! 2 11 3 4" xfId="38298" xr:uid="{00000000-0005-0000-0000-0000A7940000}"/>
    <cellStyle name="Bemærk! 2 12" xfId="4744" xr:uid="{00000000-0005-0000-0000-0000A8940000}"/>
    <cellStyle name="Bemærk! 2 12 2" xfId="6726" xr:uid="{00000000-0005-0000-0000-0000A9940000}"/>
    <cellStyle name="Bemærk! 2 12 2 2" xfId="14638" xr:uid="{00000000-0005-0000-0000-0000AA940000}"/>
    <cellStyle name="Bemærk! 2 12 2 2 2" xfId="30952" xr:uid="{00000000-0005-0000-0000-0000AB940000}"/>
    <cellStyle name="Bemærk! 2 12 2 2 3" xfId="45916" xr:uid="{00000000-0005-0000-0000-0000AC940000}"/>
    <cellStyle name="Bemærk! 2 12 2 3" xfId="23930" xr:uid="{00000000-0005-0000-0000-0000AD940000}"/>
    <cellStyle name="Bemærk! 2 12 2 4" xfId="38917" xr:uid="{00000000-0005-0000-0000-0000AE940000}"/>
    <cellStyle name="Bemærk! 2 13" xfId="4739" xr:uid="{00000000-0005-0000-0000-0000AF940000}"/>
    <cellStyle name="Bemærk! 2 14" xfId="53406" xr:uid="{00000000-0005-0000-0000-0000B0940000}"/>
    <cellStyle name="Bemærk! 2 2" xfId="4745" xr:uid="{00000000-0005-0000-0000-0000B1940000}"/>
    <cellStyle name="Bemærk! 2 2 10" xfId="4746" xr:uid="{00000000-0005-0000-0000-0000B2940000}"/>
    <cellStyle name="Bemærk! 2 2 10 2" xfId="4747" xr:uid="{00000000-0005-0000-0000-0000B3940000}"/>
    <cellStyle name="Bemærk! 2 2 10 2 2" xfId="8555" xr:uid="{00000000-0005-0000-0000-0000B4940000}"/>
    <cellStyle name="Bemærk! 2 2 10 2 2 2" xfId="16443" xr:uid="{00000000-0005-0000-0000-0000B5940000}"/>
    <cellStyle name="Bemærk! 2 2 10 2 2 2 2" xfId="32757" xr:uid="{00000000-0005-0000-0000-0000B6940000}"/>
    <cellStyle name="Bemærk! 2 2 10 2 2 2 3" xfId="47721" xr:uid="{00000000-0005-0000-0000-0000B7940000}"/>
    <cellStyle name="Bemærk! 2 2 10 2 2 3" xfId="25735" xr:uid="{00000000-0005-0000-0000-0000B8940000}"/>
    <cellStyle name="Bemærk! 2 2 10 2 2 4" xfId="40722" xr:uid="{00000000-0005-0000-0000-0000B9940000}"/>
    <cellStyle name="Bemærk! 2 2 10 3" xfId="6124" xr:uid="{00000000-0005-0000-0000-0000BA940000}"/>
    <cellStyle name="Bemærk! 2 2 10 3 2" xfId="14041" xr:uid="{00000000-0005-0000-0000-0000BB940000}"/>
    <cellStyle name="Bemærk! 2 2 10 3 2 2" xfId="30355" xr:uid="{00000000-0005-0000-0000-0000BC940000}"/>
    <cellStyle name="Bemærk! 2 2 10 3 2 3" xfId="45319" xr:uid="{00000000-0005-0000-0000-0000BD940000}"/>
    <cellStyle name="Bemærk! 2 2 10 3 3" xfId="23333" xr:uid="{00000000-0005-0000-0000-0000BE940000}"/>
    <cellStyle name="Bemærk! 2 2 10 3 4" xfId="38320" xr:uid="{00000000-0005-0000-0000-0000BF940000}"/>
    <cellStyle name="Bemærk! 2 2 11" xfId="4748" xr:uid="{00000000-0005-0000-0000-0000C0940000}"/>
    <cellStyle name="Bemærk! 2 2 11 2" xfId="6754" xr:uid="{00000000-0005-0000-0000-0000C1940000}"/>
    <cellStyle name="Bemærk! 2 2 11 2 2" xfId="14665" xr:uid="{00000000-0005-0000-0000-0000C2940000}"/>
    <cellStyle name="Bemærk! 2 2 11 2 2 2" xfId="30979" xr:uid="{00000000-0005-0000-0000-0000C3940000}"/>
    <cellStyle name="Bemærk! 2 2 11 2 2 3" xfId="45943" xr:uid="{00000000-0005-0000-0000-0000C4940000}"/>
    <cellStyle name="Bemærk! 2 2 11 2 3" xfId="23957" xr:uid="{00000000-0005-0000-0000-0000C5940000}"/>
    <cellStyle name="Bemærk! 2 2 11 2 4" xfId="38944" xr:uid="{00000000-0005-0000-0000-0000C6940000}"/>
    <cellStyle name="Bemærk! 2 2 12" xfId="53407" xr:uid="{00000000-0005-0000-0000-0000C7940000}"/>
    <cellStyle name="Bemærk! 2 2 2" xfId="4749" xr:uid="{00000000-0005-0000-0000-0000C8940000}"/>
    <cellStyle name="Bemærk! 2 2 2 10" xfId="53408" xr:uid="{00000000-0005-0000-0000-0000C9940000}"/>
    <cellStyle name="Bemærk! 2 2 2 2" xfId="4750" xr:uid="{00000000-0005-0000-0000-0000CA940000}"/>
    <cellStyle name="Bemærk! 2 2 2 2 2" xfId="4751" xr:uid="{00000000-0005-0000-0000-0000CB940000}"/>
    <cellStyle name="Bemærk! 2 2 2 2 2 2" xfId="4752" xr:uid="{00000000-0005-0000-0000-0000CC940000}"/>
    <cellStyle name="Bemærk! 2 2 2 2 2 2 2" xfId="7685" xr:uid="{00000000-0005-0000-0000-0000CD940000}"/>
    <cellStyle name="Bemærk! 2 2 2 2 2 2 2 2" xfId="15586" xr:uid="{00000000-0005-0000-0000-0000CE940000}"/>
    <cellStyle name="Bemærk! 2 2 2 2 2 2 2 2 2" xfId="31900" xr:uid="{00000000-0005-0000-0000-0000CF940000}"/>
    <cellStyle name="Bemærk! 2 2 2 2 2 2 2 2 3" xfId="46864" xr:uid="{00000000-0005-0000-0000-0000D0940000}"/>
    <cellStyle name="Bemærk! 2 2 2 2 2 2 2 3" xfId="24878" xr:uid="{00000000-0005-0000-0000-0000D1940000}"/>
    <cellStyle name="Bemærk! 2 2 2 2 2 2 2 4" xfId="39865" xr:uid="{00000000-0005-0000-0000-0000D2940000}"/>
    <cellStyle name="Bemærk! 2 2 2 2 2 3" xfId="57212" xr:uid="{00000000-0005-0000-0000-0000D3940000}"/>
    <cellStyle name="Bemærk! 2 2 2 2 3" xfId="4753" xr:uid="{00000000-0005-0000-0000-0000D4940000}"/>
    <cellStyle name="Bemærk! 2 2 2 2 3 2" xfId="4754" xr:uid="{00000000-0005-0000-0000-0000D5940000}"/>
    <cellStyle name="Bemærk! 2 2 2 2 3 2 2" xfId="8615" xr:uid="{00000000-0005-0000-0000-0000D6940000}"/>
    <cellStyle name="Bemærk! 2 2 2 2 3 2 2 2" xfId="16501" xr:uid="{00000000-0005-0000-0000-0000D7940000}"/>
    <cellStyle name="Bemærk! 2 2 2 2 3 2 2 2 2" xfId="32815" xr:uid="{00000000-0005-0000-0000-0000D8940000}"/>
    <cellStyle name="Bemærk! 2 2 2 2 3 2 2 2 3" xfId="47779" xr:uid="{00000000-0005-0000-0000-0000D9940000}"/>
    <cellStyle name="Bemærk! 2 2 2 2 3 2 2 3" xfId="25793" xr:uid="{00000000-0005-0000-0000-0000DA940000}"/>
    <cellStyle name="Bemærk! 2 2 2 2 3 2 2 4" xfId="40780" xr:uid="{00000000-0005-0000-0000-0000DB940000}"/>
    <cellStyle name="Bemærk! 2 2 2 2 3 3" xfId="6256" xr:uid="{00000000-0005-0000-0000-0000DC940000}"/>
    <cellStyle name="Bemærk! 2 2 2 2 3 3 2" xfId="14173" xr:uid="{00000000-0005-0000-0000-0000DD940000}"/>
    <cellStyle name="Bemærk! 2 2 2 2 3 3 2 2" xfId="30487" xr:uid="{00000000-0005-0000-0000-0000DE940000}"/>
    <cellStyle name="Bemærk! 2 2 2 2 3 3 2 3" xfId="45451" xr:uid="{00000000-0005-0000-0000-0000DF940000}"/>
    <cellStyle name="Bemærk! 2 2 2 2 3 3 3" xfId="23465" xr:uid="{00000000-0005-0000-0000-0000E0940000}"/>
    <cellStyle name="Bemærk! 2 2 2 2 3 3 4" xfId="38452" xr:uid="{00000000-0005-0000-0000-0000E1940000}"/>
    <cellStyle name="Bemærk! 2 2 2 2 4" xfId="4755" xr:uid="{00000000-0005-0000-0000-0000E2940000}"/>
    <cellStyle name="Bemærk! 2 2 2 2 4 2" xfId="6915" xr:uid="{00000000-0005-0000-0000-0000E3940000}"/>
    <cellStyle name="Bemærk! 2 2 2 2 4 2 2" xfId="14826" xr:uid="{00000000-0005-0000-0000-0000E4940000}"/>
    <cellStyle name="Bemærk! 2 2 2 2 4 2 2 2" xfId="31140" xr:uid="{00000000-0005-0000-0000-0000E5940000}"/>
    <cellStyle name="Bemærk! 2 2 2 2 4 2 2 3" xfId="46104" xr:uid="{00000000-0005-0000-0000-0000E6940000}"/>
    <cellStyle name="Bemærk! 2 2 2 2 4 2 3" xfId="24118" xr:uid="{00000000-0005-0000-0000-0000E7940000}"/>
    <cellStyle name="Bemærk! 2 2 2 2 4 2 4" xfId="39105" xr:uid="{00000000-0005-0000-0000-0000E8940000}"/>
    <cellStyle name="Bemærk! 2 2 2 2 5" xfId="54045" xr:uid="{00000000-0005-0000-0000-0000E9940000}"/>
    <cellStyle name="Bemærk! 2 2 2 3" xfId="4756" xr:uid="{00000000-0005-0000-0000-0000EA940000}"/>
    <cellStyle name="Bemærk! 2 2 2 3 2" xfId="4757" xr:uid="{00000000-0005-0000-0000-0000EB940000}"/>
    <cellStyle name="Bemærk! 2 2 2 3 2 2" xfId="4758" xr:uid="{00000000-0005-0000-0000-0000EC940000}"/>
    <cellStyle name="Bemærk! 2 2 2 3 2 2 2" xfId="7836" xr:uid="{00000000-0005-0000-0000-0000ED940000}"/>
    <cellStyle name="Bemærk! 2 2 2 3 2 2 2 2" xfId="15737" xr:uid="{00000000-0005-0000-0000-0000EE940000}"/>
    <cellStyle name="Bemærk! 2 2 2 3 2 2 2 2 2" xfId="32051" xr:uid="{00000000-0005-0000-0000-0000EF940000}"/>
    <cellStyle name="Bemærk! 2 2 2 3 2 2 2 2 3" xfId="47015" xr:uid="{00000000-0005-0000-0000-0000F0940000}"/>
    <cellStyle name="Bemærk! 2 2 2 3 2 2 2 3" xfId="25029" xr:uid="{00000000-0005-0000-0000-0000F1940000}"/>
    <cellStyle name="Bemærk! 2 2 2 3 2 2 2 4" xfId="40016" xr:uid="{00000000-0005-0000-0000-0000F2940000}"/>
    <cellStyle name="Bemærk! 2 2 2 3 3" xfId="4759" xr:uid="{00000000-0005-0000-0000-0000F3940000}"/>
    <cellStyle name="Bemærk! 2 2 2 3 3 2" xfId="4760" xr:uid="{00000000-0005-0000-0000-0000F4940000}"/>
    <cellStyle name="Bemærk! 2 2 2 3 3 2 2" xfId="8400" xr:uid="{00000000-0005-0000-0000-0000F5940000}"/>
    <cellStyle name="Bemærk! 2 2 2 3 3 2 2 2" xfId="16293" xr:uid="{00000000-0005-0000-0000-0000F6940000}"/>
    <cellStyle name="Bemærk! 2 2 2 3 3 2 2 2 2" xfId="32607" xr:uid="{00000000-0005-0000-0000-0000F7940000}"/>
    <cellStyle name="Bemærk! 2 2 2 3 3 2 2 2 3" xfId="47571" xr:uid="{00000000-0005-0000-0000-0000F8940000}"/>
    <cellStyle name="Bemærk! 2 2 2 3 3 2 2 3" xfId="25585" xr:uid="{00000000-0005-0000-0000-0000F9940000}"/>
    <cellStyle name="Bemærk! 2 2 2 3 3 2 2 4" xfId="40572" xr:uid="{00000000-0005-0000-0000-0000FA940000}"/>
    <cellStyle name="Bemærk! 2 2 2 3 3 3" xfId="6385" xr:uid="{00000000-0005-0000-0000-0000FB940000}"/>
    <cellStyle name="Bemærk! 2 2 2 3 3 3 2" xfId="14299" xr:uid="{00000000-0005-0000-0000-0000FC940000}"/>
    <cellStyle name="Bemærk! 2 2 2 3 3 3 2 2" xfId="30613" xr:uid="{00000000-0005-0000-0000-0000FD940000}"/>
    <cellStyle name="Bemærk! 2 2 2 3 3 3 2 3" xfId="45577" xr:uid="{00000000-0005-0000-0000-0000FE940000}"/>
    <cellStyle name="Bemærk! 2 2 2 3 3 3 3" xfId="23591" xr:uid="{00000000-0005-0000-0000-0000FF940000}"/>
    <cellStyle name="Bemærk! 2 2 2 3 3 3 4" xfId="38578" xr:uid="{00000000-0005-0000-0000-000000950000}"/>
    <cellStyle name="Bemærk! 2 2 2 3 4" xfId="4761" xr:uid="{00000000-0005-0000-0000-000001950000}"/>
    <cellStyle name="Bemærk! 2 2 2 3 4 2" xfId="7067" xr:uid="{00000000-0005-0000-0000-000002950000}"/>
    <cellStyle name="Bemærk! 2 2 2 3 4 2 2" xfId="14978" xr:uid="{00000000-0005-0000-0000-000003950000}"/>
    <cellStyle name="Bemærk! 2 2 2 3 4 2 2 2" xfId="31292" xr:uid="{00000000-0005-0000-0000-000004950000}"/>
    <cellStyle name="Bemærk! 2 2 2 3 4 2 2 3" xfId="46256" xr:uid="{00000000-0005-0000-0000-000005950000}"/>
    <cellStyle name="Bemærk! 2 2 2 3 4 2 3" xfId="24270" xr:uid="{00000000-0005-0000-0000-000006950000}"/>
    <cellStyle name="Bemærk! 2 2 2 3 4 2 4" xfId="39257" xr:uid="{00000000-0005-0000-0000-000007950000}"/>
    <cellStyle name="Bemærk! 2 2 2 3 5" xfId="56589" xr:uid="{00000000-0005-0000-0000-000008950000}"/>
    <cellStyle name="Bemærk! 2 2 2 4" xfId="4762" xr:uid="{00000000-0005-0000-0000-000009950000}"/>
    <cellStyle name="Bemærk! 2 2 2 4 2" xfId="4763" xr:uid="{00000000-0005-0000-0000-00000A950000}"/>
    <cellStyle name="Bemærk! 2 2 2 4 2 2" xfId="4764" xr:uid="{00000000-0005-0000-0000-00000B950000}"/>
    <cellStyle name="Bemærk! 2 2 2 4 2 2 2" xfId="7923" xr:uid="{00000000-0005-0000-0000-00000C950000}"/>
    <cellStyle name="Bemærk! 2 2 2 4 2 2 2 2" xfId="15824" xr:uid="{00000000-0005-0000-0000-00000D950000}"/>
    <cellStyle name="Bemærk! 2 2 2 4 2 2 2 2 2" xfId="32138" xr:uid="{00000000-0005-0000-0000-00000E950000}"/>
    <cellStyle name="Bemærk! 2 2 2 4 2 2 2 2 3" xfId="47102" xr:uid="{00000000-0005-0000-0000-00000F950000}"/>
    <cellStyle name="Bemærk! 2 2 2 4 2 2 2 3" xfId="25116" xr:uid="{00000000-0005-0000-0000-000010950000}"/>
    <cellStyle name="Bemærk! 2 2 2 4 2 2 2 4" xfId="40103" xr:uid="{00000000-0005-0000-0000-000011950000}"/>
    <cellStyle name="Bemærk! 2 2 2 4 3" xfId="4765" xr:uid="{00000000-0005-0000-0000-000012950000}"/>
    <cellStyle name="Bemærk! 2 2 2 4 3 2" xfId="4766" xr:uid="{00000000-0005-0000-0000-000013950000}"/>
    <cellStyle name="Bemærk! 2 2 2 4 3 2 2" xfId="8265" xr:uid="{00000000-0005-0000-0000-000014950000}"/>
    <cellStyle name="Bemærk! 2 2 2 4 3 2 2 2" xfId="16161" xr:uid="{00000000-0005-0000-0000-000015950000}"/>
    <cellStyle name="Bemærk! 2 2 2 4 3 2 2 2 2" xfId="32475" xr:uid="{00000000-0005-0000-0000-000016950000}"/>
    <cellStyle name="Bemærk! 2 2 2 4 3 2 2 2 3" xfId="47439" xr:uid="{00000000-0005-0000-0000-000017950000}"/>
    <cellStyle name="Bemærk! 2 2 2 4 3 2 2 3" xfId="25453" xr:uid="{00000000-0005-0000-0000-000018950000}"/>
    <cellStyle name="Bemærk! 2 2 2 4 3 2 2 4" xfId="40440" xr:uid="{00000000-0005-0000-0000-000019950000}"/>
    <cellStyle name="Bemærk! 2 2 2 4 3 3" xfId="6458" xr:uid="{00000000-0005-0000-0000-00001A950000}"/>
    <cellStyle name="Bemærk! 2 2 2 4 3 3 2" xfId="14372" xr:uid="{00000000-0005-0000-0000-00001B950000}"/>
    <cellStyle name="Bemærk! 2 2 2 4 3 3 2 2" xfId="30686" xr:uid="{00000000-0005-0000-0000-00001C950000}"/>
    <cellStyle name="Bemærk! 2 2 2 4 3 3 2 3" xfId="45650" xr:uid="{00000000-0005-0000-0000-00001D950000}"/>
    <cellStyle name="Bemærk! 2 2 2 4 3 3 3" xfId="23664" xr:uid="{00000000-0005-0000-0000-00001E950000}"/>
    <cellStyle name="Bemærk! 2 2 2 4 3 3 4" xfId="38651" xr:uid="{00000000-0005-0000-0000-00001F950000}"/>
    <cellStyle name="Bemærk! 2 2 2 4 4" xfId="4767" xr:uid="{00000000-0005-0000-0000-000020950000}"/>
    <cellStyle name="Bemærk! 2 2 2 4 4 2" xfId="7199" xr:uid="{00000000-0005-0000-0000-000021950000}"/>
    <cellStyle name="Bemærk! 2 2 2 4 4 2 2" xfId="15109" xr:uid="{00000000-0005-0000-0000-000022950000}"/>
    <cellStyle name="Bemærk! 2 2 2 4 4 2 2 2" xfId="31423" xr:uid="{00000000-0005-0000-0000-000023950000}"/>
    <cellStyle name="Bemærk! 2 2 2 4 4 2 2 3" xfId="46387" xr:uid="{00000000-0005-0000-0000-000024950000}"/>
    <cellStyle name="Bemærk! 2 2 2 4 4 2 3" xfId="24401" xr:uid="{00000000-0005-0000-0000-000025950000}"/>
    <cellStyle name="Bemærk! 2 2 2 4 4 2 4" xfId="39388" xr:uid="{00000000-0005-0000-0000-000026950000}"/>
    <cellStyle name="Bemærk! 2 2 2 5" xfId="4768" xr:uid="{00000000-0005-0000-0000-000027950000}"/>
    <cellStyle name="Bemærk! 2 2 2 5 2" xfId="4769" xr:uid="{00000000-0005-0000-0000-000028950000}"/>
    <cellStyle name="Bemærk! 2 2 2 5 2 2" xfId="4770" xr:uid="{00000000-0005-0000-0000-000029950000}"/>
    <cellStyle name="Bemærk! 2 2 2 5 2 2 2" xfId="8040" xr:uid="{00000000-0005-0000-0000-00002A950000}"/>
    <cellStyle name="Bemærk! 2 2 2 5 2 2 2 2" xfId="15941" xr:uid="{00000000-0005-0000-0000-00002B950000}"/>
    <cellStyle name="Bemærk! 2 2 2 5 2 2 2 2 2" xfId="32255" xr:uid="{00000000-0005-0000-0000-00002C950000}"/>
    <cellStyle name="Bemærk! 2 2 2 5 2 2 2 2 3" xfId="47219" xr:uid="{00000000-0005-0000-0000-00002D950000}"/>
    <cellStyle name="Bemærk! 2 2 2 5 2 2 2 3" xfId="25233" xr:uid="{00000000-0005-0000-0000-00002E950000}"/>
    <cellStyle name="Bemærk! 2 2 2 5 2 2 2 4" xfId="40220" xr:uid="{00000000-0005-0000-0000-00002F950000}"/>
    <cellStyle name="Bemærk! 2 2 2 5 3" xfId="4771" xr:uid="{00000000-0005-0000-0000-000030950000}"/>
    <cellStyle name="Bemærk! 2 2 2 5 3 2" xfId="4772" xr:uid="{00000000-0005-0000-0000-000031950000}"/>
    <cellStyle name="Bemærk! 2 2 2 5 3 2 2" xfId="8213" xr:uid="{00000000-0005-0000-0000-000032950000}"/>
    <cellStyle name="Bemærk! 2 2 2 5 3 2 2 2" xfId="16110" xr:uid="{00000000-0005-0000-0000-000033950000}"/>
    <cellStyle name="Bemærk! 2 2 2 5 3 2 2 2 2" xfId="32424" xr:uid="{00000000-0005-0000-0000-000034950000}"/>
    <cellStyle name="Bemærk! 2 2 2 5 3 2 2 2 3" xfId="47388" xr:uid="{00000000-0005-0000-0000-000035950000}"/>
    <cellStyle name="Bemærk! 2 2 2 5 3 2 2 3" xfId="25402" xr:uid="{00000000-0005-0000-0000-000036950000}"/>
    <cellStyle name="Bemærk! 2 2 2 5 3 2 2 4" xfId="40389" xr:uid="{00000000-0005-0000-0000-000037950000}"/>
    <cellStyle name="Bemærk! 2 2 2 5 3 3" xfId="6557" xr:uid="{00000000-0005-0000-0000-000038950000}"/>
    <cellStyle name="Bemærk! 2 2 2 5 3 3 2" xfId="14471" xr:uid="{00000000-0005-0000-0000-000039950000}"/>
    <cellStyle name="Bemærk! 2 2 2 5 3 3 2 2" xfId="30785" xr:uid="{00000000-0005-0000-0000-00003A950000}"/>
    <cellStyle name="Bemærk! 2 2 2 5 3 3 2 3" xfId="45749" xr:uid="{00000000-0005-0000-0000-00003B950000}"/>
    <cellStyle name="Bemærk! 2 2 2 5 3 3 3" xfId="23763" xr:uid="{00000000-0005-0000-0000-00003C950000}"/>
    <cellStyle name="Bemærk! 2 2 2 5 3 3 4" xfId="38750" xr:uid="{00000000-0005-0000-0000-00003D950000}"/>
    <cellStyle name="Bemærk! 2 2 2 5 4" xfId="4773" xr:uid="{00000000-0005-0000-0000-00003E950000}"/>
    <cellStyle name="Bemærk! 2 2 2 5 4 2" xfId="7316" xr:uid="{00000000-0005-0000-0000-00003F950000}"/>
    <cellStyle name="Bemærk! 2 2 2 5 4 2 2" xfId="15226" xr:uid="{00000000-0005-0000-0000-000040950000}"/>
    <cellStyle name="Bemærk! 2 2 2 5 4 2 2 2" xfId="31540" xr:uid="{00000000-0005-0000-0000-000041950000}"/>
    <cellStyle name="Bemærk! 2 2 2 5 4 2 2 3" xfId="46504" xr:uid="{00000000-0005-0000-0000-000042950000}"/>
    <cellStyle name="Bemærk! 2 2 2 5 4 2 3" xfId="24518" xr:uid="{00000000-0005-0000-0000-000043950000}"/>
    <cellStyle name="Bemærk! 2 2 2 5 4 2 4" xfId="39505" xr:uid="{00000000-0005-0000-0000-000044950000}"/>
    <cellStyle name="Bemærk! 2 2 2 6" xfId="4774" xr:uid="{00000000-0005-0000-0000-000045950000}"/>
    <cellStyle name="Bemærk! 2 2 2 6 2" xfId="4775" xr:uid="{00000000-0005-0000-0000-000046950000}"/>
    <cellStyle name="Bemærk! 2 2 2 6 2 2" xfId="4776" xr:uid="{00000000-0005-0000-0000-000047950000}"/>
    <cellStyle name="Bemærk! 2 2 2 6 2 2 2" xfId="8190" xr:uid="{00000000-0005-0000-0000-000048950000}"/>
    <cellStyle name="Bemærk! 2 2 2 6 2 2 2 2" xfId="16091" xr:uid="{00000000-0005-0000-0000-000049950000}"/>
    <cellStyle name="Bemærk! 2 2 2 6 2 2 2 2 2" xfId="32405" xr:uid="{00000000-0005-0000-0000-00004A950000}"/>
    <cellStyle name="Bemærk! 2 2 2 6 2 2 2 2 3" xfId="47369" xr:uid="{00000000-0005-0000-0000-00004B950000}"/>
    <cellStyle name="Bemærk! 2 2 2 6 2 2 2 3" xfId="25383" xr:uid="{00000000-0005-0000-0000-00004C950000}"/>
    <cellStyle name="Bemærk! 2 2 2 6 2 2 2 4" xfId="40370" xr:uid="{00000000-0005-0000-0000-00004D950000}"/>
    <cellStyle name="Bemærk! 2 2 2 6 3" xfId="4777" xr:uid="{00000000-0005-0000-0000-00004E950000}"/>
    <cellStyle name="Bemærk! 2 2 2 6 3 2" xfId="4778" xr:uid="{00000000-0005-0000-0000-00004F950000}"/>
    <cellStyle name="Bemærk! 2 2 2 6 3 2 2" xfId="8802" xr:uid="{00000000-0005-0000-0000-000050950000}"/>
    <cellStyle name="Bemærk! 2 2 2 6 3 2 2 2" xfId="16678" xr:uid="{00000000-0005-0000-0000-000051950000}"/>
    <cellStyle name="Bemærk! 2 2 2 6 3 2 2 2 2" xfId="32992" xr:uid="{00000000-0005-0000-0000-000052950000}"/>
    <cellStyle name="Bemærk! 2 2 2 6 3 2 2 2 3" xfId="47956" xr:uid="{00000000-0005-0000-0000-000053950000}"/>
    <cellStyle name="Bemærk! 2 2 2 6 3 2 2 3" xfId="25970" xr:uid="{00000000-0005-0000-0000-000054950000}"/>
    <cellStyle name="Bemærk! 2 2 2 6 3 2 2 4" xfId="40957" xr:uid="{00000000-0005-0000-0000-000055950000}"/>
    <cellStyle name="Bemærk! 2 2 2 6 3 3" xfId="6683" xr:uid="{00000000-0005-0000-0000-000056950000}"/>
    <cellStyle name="Bemærk! 2 2 2 6 3 3 2" xfId="14597" xr:uid="{00000000-0005-0000-0000-000057950000}"/>
    <cellStyle name="Bemærk! 2 2 2 6 3 3 2 2" xfId="30911" xr:uid="{00000000-0005-0000-0000-000058950000}"/>
    <cellStyle name="Bemærk! 2 2 2 6 3 3 2 3" xfId="45875" xr:uid="{00000000-0005-0000-0000-000059950000}"/>
    <cellStyle name="Bemærk! 2 2 2 6 3 3 3" xfId="23889" xr:uid="{00000000-0005-0000-0000-00005A950000}"/>
    <cellStyle name="Bemærk! 2 2 2 6 3 3 4" xfId="38876" xr:uid="{00000000-0005-0000-0000-00005B950000}"/>
    <cellStyle name="Bemærk! 2 2 2 6 4" xfId="4779" xr:uid="{00000000-0005-0000-0000-00005C950000}"/>
    <cellStyle name="Bemærk! 2 2 2 6 4 2" xfId="7467" xr:uid="{00000000-0005-0000-0000-00005D950000}"/>
    <cellStyle name="Bemærk! 2 2 2 6 4 2 2" xfId="15377" xr:uid="{00000000-0005-0000-0000-00005E950000}"/>
    <cellStyle name="Bemærk! 2 2 2 6 4 2 2 2" xfId="31691" xr:uid="{00000000-0005-0000-0000-00005F950000}"/>
    <cellStyle name="Bemærk! 2 2 2 6 4 2 2 3" xfId="46655" xr:uid="{00000000-0005-0000-0000-000060950000}"/>
    <cellStyle name="Bemærk! 2 2 2 6 4 2 3" xfId="24669" xr:uid="{00000000-0005-0000-0000-000061950000}"/>
    <cellStyle name="Bemærk! 2 2 2 6 4 2 4" xfId="39656" xr:uid="{00000000-0005-0000-0000-000062950000}"/>
    <cellStyle name="Bemærk! 2 2 2 7" xfId="4780" xr:uid="{00000000-0005-0000-0000-000063950000}"/>
    <cellStyle name="Bemærk! 2 2 2 7 2" xfId="4781" xr:uid="{00000000-0005-0000-0000-000064950000}"/>
    <cellStyle name="Bemærk! 2 2 2 7 2 2" xfId="7566" xr:uid="{00000000-0005-0000-0000-000065950000}"/>
    <cellStyle name="Bemærk! 2 2 2 7 2 2 2" xfId="15467" xr:uid="{00000000-0005-0000-0000-000066950000}"/>
    <cellStyle name="Bemærk! 2 2 2 7 2 2 2 2" xfId="31781" xr:uid="{00000000-0005-0000-0000-000067950000}"/>
    <cellStyle name="Bemærk! 2 2 2 7 2 2 2 3" xfId="46745" xr:uid="{00000000-0005-0000-0000-000068950000}"/>
    <cellStyle name="Bemærk! 2 2 2 7 2 2 3" xfId="24759" xr:uid="{00000000-0005-0000-0000-000069950000}"/>
    <cellStyle name="Bemærk! 2 2 2 7 2 2 4" xfId="39746" xr:uid="{00000000-0005-0000-0000-00006A950000}"/>
    <cellStyle name="Bemærk! 2 2 2 8" xfId="4782" xr:uid="{00000000-0005-0000-0000-00006B950000}"/>
    <cellStyle name="Bemærk! 2 2 2 8 2" xfId="4783" xr:uid="{00000000-0005-0000-0000-00006C950000}"/>
    <cellStyle name="Bemærk! 2 2 2 8 2 2" xfId="8415" xr:uid="{00000000-0005-0000-0000-00006D950000}"/>
    <cellStyle name="Bemærk! 2 2 2 8 2 2 2" xfId="16308" xr:uid="{00000000-0005-0000-0000-00006E950000}"/>
    <cellStyle name="Bemærk! 2 2 2 8 2 2 2 2" xfId="32622" xr:uid="{00000000-0005-0000-0000-00006F950000}"/>
    <cellStyle name="Bemærk! 2 2 2 8 2 2 2 3" xfId="47586" xr:uid="{00000000-0005-0000-0000-000070950000}"/>
    <cellStyle name="Bemærk! 2 2 2 8 2 2 3" xfId="25600" xr:uid="{00000000-0005-0000-0000-000071950000}"/>
    <cellStyle name="Bemærk! 2 2 2 8 2 2 4" xfId="40587" xr:uid="{00000000-0005-0000-0000-000072950000}"/>
    <cellStyle name="Bemærk! 2 2 2 8 3" xfId="6157" xr:uid="{00000000-0005-0000-0000-000073950000}"/>
    <cellStyle name="Bemærk! 2 2 2 8 3 2" xfId="14074" xr:uid="{00000000-0005-0000-0000-000074950000}"/>
    <cellStyle name="Bemærk! 2 2 2 8 3 2 2" xfId="30388" xr:uid="{00000000-0005-0000-0000-000075950000}"/>
    <cellStyle name="Bemærk! 2 2 2 8 3 2 3" xfId="45352" xr:uid="{00000000-0005-0000-0000-000076950000}"/>
    <cellStyle name="Bemærk! 2 2 2 8 3 3" xfId="23366" xr:uid="{00000000-0005-0000-0000-000077950000}"/>
    <cellStyle name="Bemærk! 2 2 2 8 3 4" xfId="38353" xr:uid="{00000000-0005-0000-0000-000078950000}"/>
    <cellStyle name="Bemærk! 2 2 2 9" xfId="4784" xr:uid="{00000000-0005-0000-0000-000079950000}"/>
    <cellStyle name="Bemærk! 2 2 2 9 2" xfId="6794" xr:uid="{00000000-0005-0000-0000-00007A950000}"/>
    <cellStyle name="Bemærk! 2 2 2 9 2 2" xfId="14705" xr:uid="{00000000-0005-0000-0000-00007B950000}"/>
    <cellStyle name="Bemærk! 2 2 2 9 2 2 2" xfId="31019" xr:uid="{00000000-0005-0000-0000-00007C950000}"/>
    <cellStyle name="Bemærk! 2 2 2 9 2 2 3" xfId="45983" xr:uid="{00000000-0005-0000-0000-00007D950000}"/>
    <cellStyle name="Bemærk! 2 2 2 9 2 3" xfId="23997" xr:uid="{00000000-0005-0000-0000-00007E950000}"/>
    <cellStyle name="Bemærk! 2 2 2 9 2 4" xfId="38984" xr:uid="{00000000-0005-0000-0000-00007F950000}"/>
    <cellStyle name="Bemærk! 2 2 3" xfId="4785" xr:uid="{00000000-0005-0000-0000-000080950000}"/>
    <cellStyle name="Bemærk! 2 2 3 10" xfId="53409" xr:uid="{00000000-0005-0000-0000-000081950000}"/>
    <cellStyle name="Bemærk! 2 2 3 2" xfId="4786" xr:uid="{00000000-0005-0000-0000-000082950000}"/>
    <cellStyle name="Bemærk! 2 2 3 2 2" xfId="4787" xr:uid="{00000000-0005-0000-0000-000083950000}"/>
    <cellStyle name="Bemærk! 2 2 3 2 2 2" xfId="4788" xr:uid="{00000000-0005-0000-0000-000084950000}"/>
    <cellStyle name="Bemærk! 2 2 3 2 2 2 2" xfId="7724" xr:uid="{00000000-0005-0000-0000-000085950000}"/>
    <cellStyle name="Bemærk! 2 2 3 2 2 2 2 2" xfId="15625" xr:uid="{00000000-0005-0000-0000-000086950000}"/>
    <cellStyle name="Bemærk! 2 2 3 2 2 2 2 2 2" xfId="31939" xr:uid="{00000000-0005-0000-0000-000087950000}"/>
    <cellStyle name="Bemærk! 2 2 3 2 2 2 2 2 3" xfId="46903" xr:uid="{00000000-0005-0000-0000-000088950000}"/>
    <cellStyle name="Bemærk! 2 2 3 2 2 2 2 3" xfId="24917" xr:uid="{00000000-0005-0000-0000-000089950000}"/>
    <cellStyle name="Bemærk! 2 2 3 2 2 2 2 4" xfId="39904" xr:uid="{00000000-0005-0000-0000-00008A950000}"/>
    <cellStyle name="Bemærk! 2 2 3 2 2 3" xfId="57213" xr:uid="{00000000-0005-0000-0000-00008B950000}"/>
    <cellStyle name="Bemærk! 2 2 3 2 3" xfId="4789" xr:uid="{00000000-0005-0000-0000-00008C950000}"/>
    <cellStyle name="Bemærk! 2 2 3 2 3 2" xfId="4790" xr:uid="{00000000-0005-0000-0000-00008D950000}"/>
    <cellStyle name="Bemærk! 2 2 3 2 3 2 2" xfId="8392" xr:uid="{00000000-0005-0000-0000-00008E950000}"/>
    <cellStyle name="Bemærk! 2 2 3 2 3 2 2 2" xfId="16285" xr:uid="{00000000-0005-0000-0000-00008F950000}"/>
    <cellStyle name="Bemærk! 2 2 3 2 3 2 2 2 2" xfId="32599" xr:uid="{00000000-0005-0000-0000-000090950000}"/>
    <cellStyle name="Bemærk! 2 2 3 2 3 2 2 2 3" xfId="47563" xr:uid="{00000000-0005-0000-0000-000091950000}"/>
    <cellStyle name="Bemærk! 2 2 3 2 3 2 2 3" xfId="25577" xr:uid="{00000000-0005-0000-0000-000092950000}"/>
    <cellStyle name="Bemærk! 2 2 3 2 3 2 2 4" xfId="40564" xr:uid="{00000000-0005-0000-0000-000093950000}"/>
    <cellStyle name="Bemærk! 2 2 3 2 3 3" xfId="6289" xr:uid="{00000000-0005-0000-0000-000094950000}"/>
    <cellStyle name="Bemærk! 2 2 3 2 3 3 2" xfId="14206" xr:uid="{00000000-0005-0000-0000-000095950000}"/>
    <cellStyle name="Bemærk! 2 2 3 2 3 3 2 2" xfId="30520" xr:uid="{00000000-0005-0000-0000-000096950000}"/>
    <cellStyle name="Bemærk! 2 2 3 2 3 3 2 3" xfId="45484" xr:uid="{00000000-0005-0000-0000-000097950000}"/>
    <cellStyle name="Bemærk! 2 2 3 2 3 3 3" xfId="23498" xr:uid="{00000000-0005-0000-0000-000098950000}"/>
    <cellStyle name="Bemærk! 2 2 3 2 3 3 4" xfId="38485" xr:uid="{00000000-0005-0000-0000-000099950000}"/>
    <cellStyle name="Bemærk! 2 2 3 2 4" xfId="4791" xr:uid="{00000000-0005-0000-0000-00009A950000}"/>
    <cellStyle name="Bemærk! 2 2 3 2 4 2" xfId="6954" xr:uid="{00000000-0005-0000-0000-00009B950000}"/>
    <cellStyle name="Bemærk! 2 2 3 2 4 2 2" xfId="14865" xr:uid="{00000000-0005-0000-0000-00009C950000}"/>
    <cellStyle name="Bemærk! 2 2 3 2 4 2 2 2" xfId="31179" xr:uid="{00000000-0005-0000-0000-00009D950000}"/>
    <cellStyle name="Bemærk! 2 2 3 2 4 2 2 3" xfId="46143" xr:uid="{00000000-0005-0000-0000-00009E950000}"/>
    <cellStyle name="Bemærk! 2 2 3 2 4 2 3" xfId="24157" xr:uid="{00000000-0005-0000-0000-00009F950000}"/>
    <cellStyle name="Bemærk! 2 2 3 2 4 2 4" xfId="39144" xr:uid="{00000000-0005-0000-0000-0000A0950000}"/>
    <cellStyle name="Bemærk! 2 2 3 2 5" xfId="54046" xr:uid="{00000000-0005-0000-0000-0000A1950000}"/>
    <cellStyle name="Bemærk! 2 2 3 3" xfId="4792" xr:uid="{00000000-0005-0000-0000-0000A2950000}"/>
    <cellStyle name="Bemærk! 2 2 3 3 2" xfId="4793" xr:uid="{00000000-0005-0000-0000-0000A3950000}"/>
    <cellStyle name="Bemærk! 2 2 3 3 2 2" xfId="4794" xr:uid="{00000000-0005-0000-0000-0000A4950000}"/>
    <cellStyle name="Bemærk! 2 2 3 3 2 2 2" xfId="7837" xr:uid="{00000000-0005-0000-0000-0000A5950000}"/>
    <cellStyle name="Bemærk! 2 2 3 3 2 2 2 2" xfId="15738" xr:uid="{00000000-0005-0000-0000-0000A6950000}"/>
    <cellStyle name="Bemærk! 2 2 3 3 2 2 2 2 2" xfId="32052" xr:uid="{00000000-0005-0000-0000-0000A7950000}"/>
    <cellStyle name="Bemærk! 2 2 3 3 2 2 2 2 3" xfId="47016" xr:uid="{00000000-0005-0000-0000-0000A8950000}"/>
    <cellStyle name="Bemærk! 2 2 3 3 2 2 2 3" xfId="25030" xr:uid="{00000000-0005-0000-0000-0000A9950000}"/>
    <cellStyle name="Bemærk! 2 2 3 3 2 2 2 4" xfId="40017" xr:uid="{00000000-0005-0000-0000-0000AA950000}"/>
    <cellStyle name="Bemærk! 2 2 3 3 3" xfId="4795" xr:uid="{00000000-0005-0000-0000-0000AB950000}"/>
    <cellStyle name="Bemærk! 2 2 3 3 3 2" xfId="4796" xr:uid="{00000000-0005-0000-0000-0000AC950000}"/>
    <cellStyle name="Bemærk! 2 2 3 3 3 2 2" xfId="8614" xr:uid="{00000000-0005-0000-0000-0000AD950000}"/>
    <cellStyle name="Bemærk! 2 2 3 3 3 2 2 2" xfId="16500" xr:uid="{00000000-0005-0000-0000-0000AE950000}"/>
    <cellStyle name="Bemærk! 2 2 3 3 3 2 2 2 2" xfId="32814" xr:uid="{00000000-0005-0000-0000-0000AF950000}"/>
    <cellStyle name="Bemærk! 2 2 3 3 3 2 2 2 3" xfId="47778" xr:uid="{00000000-0005-0000-0000-0000B0950000}"/>
    <cellStyle name="Bemærk! 2 2 3 3 3 2 2 3" xfId="25792" xr:uid="{00000000-0005-0000-0000-0000B1950000}"/>
    <cellStyle name="Bemærk! 2 2 3 3 3 2 2 4" xfId="40779" xr:uid="{00000000-0005-0000-0000-0000B2950000}"/>
    <cellStyle name="Bemærk! 2 2 3 3 3 3" xfId="6386" xr:uid="{00000000-0005-0000-0000-0000B3950000}"/>
    <cellStyle name="Bemærk! 2 2 3 3 3 3 2" xfId="14300" xr:uid="{00000000-0005-0000-0000-0000B4950000}"/>
    <cellStyle name="Bemærk! 2 2 3 3 3 3 2 2" xfId="30614" xr:uid="{00000000-0005-0000-0000-0000B5950000}"/>
    <cellStyle name="Bemærk! 2 2 3 3 3 3 2 3" xfId="45578" xr:uid="{00000000-0005-0000-0000-0000B6950000}"/>
    <cellStyle name="Bemærk! 2 2 3 3 3 3 3" xfId="23592" xr:uid="{00000000-0005-0000-0000-0000B7950000}"/>
    <cellStyle name="Bemærk! 2 2 3 3 3 3 4" xfId="38579" xr:uid="{00000000-0005-0000-0000-0000B8950000}"/>
    <cellStyle name="Bemærk! 2 2 3 3 4" xfId="4797" xr:uid="{00000000-0005-0000-0000-0000B9950000}"/>
    <cellStyle name="Bemærk! 2 2 3 3 4 2" xfId="7068" xr:uid="{00000000-0005-0000-0000-0000BA950000}"/>
    <cellStyle name="Bemærk! 2 2 3 3 4 2 2" xfId="14979" xr:uid="{00000000-0005-0000-0000-0000BB950000}"/>
    <cellStyle name="Bemærk! 2 2 3 3 4 2 2 2" xfId="31293" xr:uid="{00000000-0005-0000-0000-0000BC950000}"/>
    <cellStyle name="Bemærk! 2 2 3 3 4 2 2 3" xfId="46257" xr:uid="{00000000-0005-0000-0000-0000BD950000}"/>
    <cellStyle name="Bemærk! 2 2 3 3 4 2 3" xfId="24271" xr:uid="{00000000-0005-0000-0000-0000BE950000}"/>
    <cellStyle name="Bemærk! 2 2 3 3 4 2 4" xfId="39258" xr:uid="{00000000-0005-0000-0000-0000BF950000}"/>
    <cellStyle name="Bemærk! 2 2 3 3 5" xfId="56590" xr:uid="{00000000-0005-0000-0000-0000C0950000}"/>
    <cellStyle name="Bemærk! 2 2 3 4" xfId="4798" xr:uid="{00000000-0005-0000-0000-0000C1950000}"/>
    <cellStyle name="Bemærk! 2 2 3 4 2" xfId="4799" xr:uid="{00000000-0005-0000-0000-0000C2950000}"/>
    <cellStyle name="Bemærk! 2 2 3 4 2 2" xfId="4800" xr:uid="{00000000-0005-0000-0000-0000C3950000}"/>
    <cellStyle name="Bemærk! 2 2 3 4 2 2 2" xfId="7962" xr:uid="{00000000-0005-0000-0000-0000C4950000}"/>
    <cellStyle name="Bemærk! 2 2 3 4 2 2 2 2" xfId="15863" xr:uid="{00000000-0005-0000-0000-0000C5950000}"/>
    <cellStyle name="Bemærk! 2 2 3 4 2 2 2 2 2" xfId="32177" xr:uid="{00000000-0005-0000-0000-0000C6950000}"/>
    <cellStyle name="Bemærk! 2 2 3 4 2 2 2 2 3" xfId="47141" xr:uid="{00000000-0005-0000-0000-0000C7950000}"/>
    <cellStyle name="Bemærk! 2 2 3 4 2 2 2 3" xfId="25155" xr:uid="{00000000-0005-0000-0000-0000C8950000}"/>
    <cellStyle name="Bemærk! 2 2 3 4 2 2 2 4" xfId="40142" xr:uid="{00000000-0005-0000-0000-0000C9950000}"/>
    <cellStyle name="Bemærk! 2 2 3 4 3" xfId="4801" xr:uid="{00000000-0005-0000-0000-0000CA950000}"/>
    <cellStyle name="Bemærk! 2 2 3 4 3 2" xfId="4802" xr:uid="{00000000-0005-0000-0000-0000CB950000}"/>
    <cellStyle name="Bemærk! 2 2 3 4 3 2 2" xfId="8441" xr:uid="{00000000-0005-0000-0000-0000CC950000}"/>
    <cellStyle name="Bemærk! 2 2 3 4 3 2 2 2" xfId="16333" xr:uid="{00000000-0005-0000-0000-0000CD950000}"/>
    <cellStyle name="Bemærk! 2 2 3 4 3 2 2 2 2" xfId="32647" xr:uid="{00000000-0005-0000-0000-0000CE950000}"/>
    <cellStyle name="Bemærk! 2 2 3 4 3 2 2 2 3" xfId="47611" xr:uid="{00000000-0005-0000-0000-0000CF950000}"/>
    <cellStyle name="Bemærk! 2 2 3 4 3 2 2 3" xfId="25625" xr:uid="{00000000-0005-0000-0000-0000D0950000}"/>
    <cellStyle name="Bemærk! 2 2 3 4 3 2 2 4" xfId="40612" xr:uid="{00000000-0005-0000-0000-0000D1950000}"/>
    <cellStyle name="Bemærk! 2 2 3 4 3 3" xfId="6491" xr:uid="{00000000-0005-0000-0000-0000D2950000}"/>
    <cellStyle name="Bemærk! 2 2 3 4 3 3 2" xfId="14405" xr:uid="{00000000-0005-0000-0000-0000D3950000}"/>
    <cellStyle name="Bemærk! 2 2 3 4 3 3 2 2" xfId="30719" xr:uid="{00000000-0005-0000-0000-0000D4950000}"/>
    <cellStyle name="Bemærk! 2 2 3 4 3 3 2 3" xfId="45683" xr:uid="{00000000-0005-0000-0000-0000D5950000}"/>
    <cellStyle name="Bemærk! 2 2 3 4 3 3 3" xfId="23697" xr:uid="{00000000-0005-0000-0000-0000D6950000}"/>
    <cellStyle name="Bemærk! 2 2 3 4 3 3 4" xfId="38684" xr:uid="{00000000-0005-0000-0000-0000D7950000}"/>
    <cellStyle name="Bemærk! 2 2 3 4 4" xfId="4803" xr:uid="{00000000-0005-0000-0000-0000D8950000}"/>
    <cellStyle name="Bemærk! 2 2 3 4 4 2" xfId="7238" xr:uid="{00000000-0005-0000-0000-0000D9950000}"/>
    <cellStyle name="Bemærk! 2 2 3 4 4 2 2" xfId="15148" xr:uid="{00000000-0005-0000-0000-0000DA950000}"/>
    <cellStyle name="Bemærk! 2 2 3 4 4 2 2 2" xfId="31462" xr:uid="{00000000-0005-0000-0000-0000DB950000}"/>
    <cellStyle name="Bemærk! 2 2 3 4 4 2 2 3" xfId="46426" xr:uid="{00000000-0005-0000-0000-0000DC950000}"/>
    <cellStyle name="Bemærk! 2 2 3 4 4 2 3" xfId="24440" xr:uid="{00000000-0005-0000-0000-0000DD950000}"/>
    <cellStyle name="Bemærk! 2 2 3 4 4 2 4" xfId="39427" xr:uid="{00000000-0005-0000-0000-0000DE950000}"/>
    <cellStyle name="Bemærk! 2 2 3 5" xfId="4804" xr:uid="{00000000-0005-0000-0000-0000DF950000}"/>
    <cellStyle name="Bemærk! 2 2 3 5 2" xfId="4805" xr:uid="{00000000-0005-0000-0000-0000E0950000}"/>
    <cellStyle name="Bemærk! 2 2 3 5 2 2" xfId="4806" xr:uid="{00000000-0005-0000-0000-0000E1950000}"/>
    <cellStyle name="Bemærk! 2 2 3 5 2 2 2" xfId="8079" xr:uid="{00000000-0005-0000-0000-0000E2950000}"/>
    <cellStyle name="Bemærk! 2 2 3 5 2 2 2 2" xfId="15980" xr:uid="{00000000-0005-0000-0000-0000E3950000}"/>
    <cellStyle name="Bemærk! 2 2 3 5 2 2 2 2 2" xfId="32294" xr:uid="{00000000-0005-0000-0000-0000E4950000}"/>
    <cellStyle name="Bemærk! 2 2 3 5 2 2 2 2 3" xfId="47258" xr:uid="{00000000-0005-0000-0000-0000E5950000}"/>
    <cellStyle name="Bemærk! 2 2 3 5 2 2 2 3" xfId="25272" xr:uid="{00000000-0005-0000-0000-0000E6950000}"/>
    <cellStyle name="Bemærk! 2 2 3 5 2 2 2 4" xfId="40259" xr:uid="{00000000-0005-0000-0000-0000E7950000}"/>
    <cellStyle name="Bemærk! 2 2 3 5 3" xfId="4807" xr:uid="{00000000-0005-0000-0000-0000E8950000}"/>
    <cellStyle name="Bemærk! 2 2 3 5 3 2" xfId="4808" xr:uid="{00000000-0005-0000-0000-0000E9950000}"/>
    <cellStyle name="Bemærk! 2 2 3 5 3 2 2" xfId="8799" xr:uid="{00000000-0005-0000-0000-0000EA950000}"/>
    <cellStyle name="Bemærk! 2 2 3 5 3 2 2 2" xfId="16675" xr:uid="{00000000-0005-0000-0000-0000EB950000}"/>
    <cellStyle name="Bemærk! 2 2 3 5 3 2 2 2 2" xfId="32989" xr:uid="{00000000-0005-0000-0000-0000EC950000}"/>
    <cellStyle name="Bemærk! 2 2 3 5 3 2 2 2 3" xfId="47953" xr:uid="{00000000-0005-0000-0000-0000ED950000}"/>
    <cellStyle name="Bemærk! 2 2 3 5 3 2 2 3" xfId="25967" xr:uid="{00000000-0005-0000-0000-0000EE950000}"/>
    <cellStyle name="Bemærk! 2 2 3 5 3 2 2 4" xfId="40954" xr:uid="{00000000-0005-0000-0000-0000EF950000}"/>
    <cellStyle name="Bemærk! 2 2 3 5 3 3" xfId="6590" xr:uid="{00000000-0005-0000-0000-0000F0950000}"/>
    <cellStyle name="Bemærk! 2 2 3 5 3 3 2" xfId="14504" xr:uid="{00000000-0005-0000-0000-0000F1950000}"/>
    <cellStyle name="Bemærk! 2 2 3 5 3 3 2 2" xfId="30818" xr:uid="{00000000-0005-0000-0000-0000F2950000}"/>
    <cellStyle name="Bemærk! 2 2 3 5 3 3 2 3" xfId="45782" xr:uid="{00000000-0005-0000-0000-0000F3950000}"/>
    <cellStyle name="Bemærk! 2 2 3 5 3 3 3" xfId="23796" xr:uid="{00000000-0005-0000-0000-0000F4950000}"/>
    <cellStyle name="Bemærk! 2 2 3 5 3 3 4" xfId="38783" xr:uid="{00000000-0005-0000-0000-0000F5950000}"/>
    <cellStyle name="Bemærk! 2 2 3 5 4" xfId="4809" xr:uid="{00000000-0005-0000-0000-0000F6950000}"/>
    <cellStyle name="Bemærk! 2 2 3 5 4 2" xfId="7355" xr:uid="{00000000-0005-0000-0000-0000F7950000}"/>
    <cellStyle name="Bemærk! 2 2 3 5 4 2 2" xfId="15265" xr:uid="{00000000-0005-0000-0000-0000F8950000}"/>
    <cellStyle name="Bemærk! 2 2 3 5 4 2 2 2" xfId="31579" xr:uid="{00000000-0005-0000-0000-0000F9950000}"/>
    <cellStyle name="Bemærk! 2 2 3 5 4 2 2 3" xfId="46543" xr:uid="{00000000-0005-0000-0000-0000FA950000}"/>
    <cellStyle name="Bemærk! 2 2 3 5 4 2 3" xfId="24557" xr:uid="{00000000-0005-0000-0000-0000FB950000}"/>
    <cellStyle name="Bemærk! 2 2 3 5 4 2 4" xfId="39544" xr:uid="{00000000-0005-0000-0000-0000FC950000}"/>
    <cellStyle name="Bemærk! 2 2 3 6" xfId="4810" xr:uid="{00000000-0005-0000-0000-0000FD950000}"/>
    <cellStyle name="Bemærk! 2 2 3 6 2" xfId="4811" xr:uid="{00000000-0005-0000-0000-0000FE950000}"/>
    <cellStyle name="Bemærk! 2 2 3 6 2 2" xfId="4812" xr:uid="{00000000-0005-0000-0000-0000FF950000}"/>
    <cellStyle name="Bemærk! 2 2 3 6 2 2 2" xfId="8191" xr:uid="{00000000-0005-0000-0000-000000960000}"/>
    <cellStyle name="Bemærk! 2 2 3 6 2 2 2 2" xfId="16092" xr:uid="{00000000-0005-0000-0000-000001960000}"/>
    <cellStyle name="Bemærk! 2 2 3 6 2 2 2 2 2" xfId="32406" xr:uid="{00000000-0005-0000-0000-000002960000}"/>
    <cellStyle name="Bemærk! 2 2 3 6 2 2 2 2 3" xfId="47370" xr:uid="{00000000-0005-0000-0000-000003960000}"/>
    <cellStyle name="Bemærk! 2 2 3 6 2 2 2 3" xfId="25384" xr:uid="{00000000-0005-0000-0000-000004960000}"/>
    <cellStyle name="Bemærk! 2 2 3 6 2 2 2 4" xfId="40371" xr:uid="{00000000-0005-0000-0000-000005960000}"/>
    <cellStyle name="Bemærk! 2 2 3 6 3" xfId="4813" xr:uid="{00000000-0005-0000-0000-000006960000}"/>
    <cellStyle name="Bemærk! 2 2 3 6 3 2" xfId="4814" xr:uid="{00000000-0005-0000-0000-000007960000}"/>
    <cellStyle name="Bemærk! 2 2 3 6 3 2 2" xfId="8803" xr:uid="{00000000-0005-0000-0000-000008960000}"/>
    <cellStyle name="Bemærk! 2 2 3 6 3 2 2 2" xfId="16679" xr:uid="{00000000-0005-0000-0000-000009960000}"/>
    <cellStyle name="Bemærk! 2 2 3 6 3 2 2 2 2" xfId="32993" xr:uid="{00000000-0005-0000-0000-00000A960000}"/>
    <cellStyle name="Bemærk! 2 2 3 6 3 2 2 2 3" xfId="47957" xr:uid="{00000000-0005-0000-0000-00000B960000}"/>
    <cellStyle name="Bemærk! 2 2 3 6 3 2 2 3" xfId="25971" xr:uid="{00000000-0005-0000-0000-00000C960000}"/>
    <cellStyle name="Bemærk! 2 2 3 6 3 2 2 4" xfId="40958" xr:uid="{00000000-0005-0000-0000-00000D960000}"/>
    <cellStyle name="Bemærk! 2 2 3 6 3 3" xfId="6684" xr:uid="{00000000-0005-0000-0000-00000E960000}"/>
    <cellStyle name="Bemærk! 2 2 3 6 3 3 2" xfId="14598" xr:uid="{00000000-0005-0000-0000-00000F960000}"/>
    <cellStyle name="Bemærk! 2 2 3 6 3 3 2 2" xfId="30912" xr:uid="{00000000-0005-0000-0000-000010960000}"/>
    <cellStyle name="Bemærk! 2 2 3 6 3 3 2 3" xfId="45876" xr:uid="{00000000-0005-0000-0000-000011960000}"/>
    <cellStyle name="Bemærk! 2 2 3 6 3 3 3" xfId="23890" xr:uid="{00000000-0005-0000-0000-000012960000}"/>
    <cellStyle name="Bemærk! 2 2 3 6 3 3 4" xfId="38877" xr:uid="{00000000-0005-0000-0000-000013960000}"/>
    <cellStyle name="Bemærk! 2 2 3 6 4" xfId="4815" xr:uid="{00000000-0005-0000-0000-000014960000}"/>
    <cellStyle name="Bemærk! 2 2 3 6 4 2" xfId="7468" xr:uid="{00000000-0005-0000-0000-000015960000}"/>
    <cellStyle name="Bemærk! 2 2 3 6 4 2 2" xfId="15378" xr:uid="{00000000-0005-0000-0000-000016960000}"/>
    <cellStyle name="Bemærk! 2 2 3 6 4 2 2 2" xfId="31692" xr:uid="{00000000-0005-0000-0000-000017960000}"/>
    <cellStyle name="Bemærk! 2 2 3 6 4 2 2 3" xfId="46656" xr:uid="{00000000-0005-0000-0000-000018960000}"/>
    <cellStyle name="Bemærk! 2 2 3 6 4 2 3" xfId="24670" xr:uid="{00000000-0005-0000-0000-000019960000}"/>
    <cellStyle name="Bemærk! 2 2 3 6 4 2 4" xfId="39657" xr:uid="{00000000-0005-0000-0000-00001A960000}"/>
    <cellStyle name="Bemærk! 2 2 3 7" xfId="4816" xr:uid="{00000000-0005-0000-0000-00001B960000}"/>
    <cellStyle name="Bemærk! 2 2 3 7 2" xfId="4817" xr:uid="{00000000-0005-0000-0000-00001C960000}"/>
    <cellStyle name="Bemærk! 2 2 3 7 2 2" xfId="7605" xr:uid="{00000000-0005-0000-0000-00001D960000}"/>
    <cellStyle name="Bemærk! 2 2 3 7 2 2 2" xfId="15506" xr:uid="{00000000-0005-0000-0000-00001E960000}"/>
    <cellStyle name="Bemærk! 2 2 3 7 2 2 2 2" xfId="31820" xr:uid="{00000000-0005-0000-0000-00001F960000}"/>
    <cellStyle name="Bemærk! 2 2 3 7 2 2 2 3" xfId="46784" xr:uid="{00000000-0005-0000-0000-000020960000}"/>
    <cellStyle name="Bemærk! 2 2 3 7 2 2 3" xfId="24798" xr:uid="{00000000-0005-0000-0000-000021960000}"/>
    <cellStyle name="Bemærk! 2 2 3 7 2 2 4" xfId="39785" xr:uid="{00000000-0005-0000-0000-000022960000}"/>
    <cellStyle name="Bemærk! 2 2 3 8" xfId="4818" xr:uid="{00000000-0005-0000-0000-000023960000}"/>
    <cellStyle name="Bemærk! 2 2 3 8 2" xfId="4819" xr:uid="{00000000-0005-0000-0000-000024960000}"/>
    <cellStyle name="Bemærk! 2 2 3 8 2 2" xfId="8462" xr:uid="{00000000-0005-0000-0000-000025960000}"/>
    <cellStyle name="Bemærk! 2 2 3 8 2 2 2" xfId="16353" xr:uid="{00000000-0005-0000-0000-000026960000}"/>
    <cellStyle name="Bemærk! 2 2 3 8 2 2 2 2" xfId="32667" xr:uid="{00000000-0005-0000-0000-000027960000}"/>
    <cellStyle name="Bemærk! 2 2 3 8 2 2 2 3" xfId="47631" xr:uid="{00000000-0005-0000-0000-000028960000}"/>
    <cellStyle name="Bemærk! 2 2 3 8 2 2 3" xfId="25645" xr:uid="{00000000-0005-0000-0000-000029960000}"/>
    <cellStyle name="Bemærk! 2 2 3 8 2 2 4" xfId="40632" xr:uid="{00000000-0005-0000-0000-00002A960000}"/>
    <cellStyle name="Bemærk! 2 2 3 8 3" xfId="6190" xr:uid="{00000000-0005-0000-0000-00002B960000}"/>
    <cellStyle name="Bemærk! 2 2 3 8 3 2" xfId="14107" xr:uid="{00000000-0005-0000-0000-00002C960000}"/>
    <cellStyle name="Bemærk! 2 2 3 8 3 2 2" xfId="30421" xr:uid="{00000000-0005-0000-0000-00002D960000}"/>
    <cellStyle name="Bemærk! 2 2 3 8 3 2 3" xfId="45385" xr:uid="{00000000-0005-0000-0000-00002E960000}"/>
    <cellStyle name="Bemærk! 2 2 3 8 3 3" xfId="23399" xr:uid="{00000000-0005-0000-0000-00002F960000}"/>
    <cellStyle name="Bemærk! 2 2 3 8 3 4" xfId="38386" xr:uid="{00000000-0005-0000-0000-000030960000}"/>
    <cellStyle name="Bemærk! 2 2 3 9" xfId="4820" xr:uid="{00000000-0005-0000-0000-000031960000}"/>
    <cellStyle name="Bemærk! 2 2 3 9 2" xfId="6833" xr:uid="{00000000-0005-0000-0000-000032960000}"/>
    <cellStyle name="Bemærk! 2 2 3 9 2 2" xfId="14744" xr:uid="{00000000-0005-0000-0000-000033960000}"/>
    <cellStyle name="Bemærk! 2 2 3 9 2 2 2" xfId="31058" xr:uid="{00000000-0005-0000-0000-000034960000}"/>
    <cellStyle name="Bemærk! 2 2 3 9 2 2 3" xfId="46022" xr:uid="{00000000-0005-0000-0000-000035960000}"/>
    <cellStyle name="Bemærk! 2 2 3 9 2 3" xfId="24036" xr:uid="{00000000-0005-0000-0000-000036960000}"/>
    <cellStyle name="Bemærk! 2 2 3 9 2 4" xfId="39023" xr:uid="{00000000-0005-0000-0000-000037960000}"/>
    <cellStyle name="Bemærk! 2 2 4" xfId="4821" xr:uid="{00000000-0005-0000-0000-000038960000}"/>
    <cellStyle name="Bemærk! 2 2 4 2" xfId="4822" xr:uid="{00000000-0005-0000-0000-000039960000}"/>
    <cellStyle name="Bemærk! 2 2 4 2 2" xfId="4823" xr:uid="{00000000-0005-0000-0000-00003A960000}"/>
    <cellStyle name="Bemærk! 2 2 4 2 2 2" xfId="7646" xr:uid="{00000000-0005-0000-0000-00003B960000}"/>
    <cellStyle name="Bemærk! 2 2 4 2 2 2 2" xfId="15547" xr:uid="{00000000-0005-0000-0000-00003C960000}"/>
    <cellStyle name="Bemærk! 2 2 4 2 2 2 2 2" xfId="31861" xr:uid="{00000000-0005-0000-0000-00003D960000}"/>
    <cellStyle name="Bemærk! 2 2 4 2 2 2 2 3" xfId="46825" xr:uid="{00000000-0005-0000-0000-00003E960000}"/>
    <cellStyle name="Bemærk! 2 2 4 2 2 2 3" xfId="24839" xr:uid="{00000000-0005-0000-0000-00003F960000}"/>
    <cellStyle name="Bemærk! 2 2 4 2 2 2 4" xfId="39826" xr:uid="{00000000-0005-0000-0000-000040960000}"/>
    <cellStyle name="Bemærk! 2 2 4 2 3" xfId="57211" xr:uid="{00000000-0005-0000-0000-000041960000}"/>
    <cellStyle name="Bemærk! 2 2 4 3" xfId="4824" xr:uid="{00000000-0005-0000-0000-000042960000}"/>
    <cellStyle name="Bemærk! 2 2 4 3 2" xfId="4825" xr:uid="{00000000-0005-0000-0000-000043960000}"/>
    <cellStyle name="Bemærk! 2 2 4 3 2 2" xfId="8749" xr:uid="{00000000-0005-0000-0000-000044960000}"/>
    <cellStyle name="Bemærk! 2 2 4 3 2 2 2" xfId="16628" xr:uid="{00000000-0005-0000-0000-000045960000}"/>
    <cellStyle name="Bemærk! 2 2 4 3 2 2 2 2" xfId="32942" xr:uid="{00000000-0005-0000-0000-000046960000}"/>
    <cellStyle name="Bemærk! 2 2 4 3 2 2 2 3" xfId="47906" xr:uid="{00000000-0005-0000-0000-000047960000}"/>
    <cellStyle name="Bemærk! 2 2 4 3 2 2 3" xfId="25920" xr:uid="{00000000-0005-0000-0000-000048960000}"/>
    <cellStyle name="Bemærk! 2 2 4 3 2 2 4" xfId="40907" xr:uid="{00000000-0005-0000-0000-000049960000}"/>
    <cellStyle name="Bemærk! 2 2 4 3 3" xfId="6223" xr:uid="{00000000-0005-0000-0000-00004A960000}"/>
    <cellStyle name="Bemærk! 2 2 4 3 3 2" xfId="14140" xr:uid="{00000000-0005-0000-0000-00004B960000}"/>
    <cellStyle name="Bemærk! 2 2 4 3 3 2 2" xfId="30454" xr:uid="{00000000-0005-0000-0000-00004C960000}"/>
    <cellStyle name="Bemærk! 2 2 4 3 3 2 3" xfId="45418" xr:uid="{00000000-0005-0000-0000-00004D960000}"/>
    <cellStyle name="Bemærk! 2 2 4 3 3 3" xfId="23432" xr:uid="{00000000-0005-0000-0000-00004E960000}"/>
    <cellStyle name="Bemærk! 2 2 4 3 3 4" xfId="38419" xr:uid="{00000000-0005-0000-0000-00004F960000}"/>
    <cellStyle name="Bemærk! 2 2 4 4" xfId="4826" xr:uid="{00000000-0005-0000-0000-000050960000}"/>
    <cellStyle name="Bemærk! 2 2 4 4 2" xfId="6876" xr:uid="{00000000-0005-0000-0000-000051960000}"/>
    <cellStyle name="Bemærk! 2 2 4 4 2 2" xfId="14787" xr:uid="{00000000-0005-0000-0000-000052960000}"/>
    <cellStyle name="Bemærk! 2 2 4 4 2 2 2" xfId="31101" xr:uid="{00000000-0005-0000-0000-000053960000}"/>
    <cellStyle name="Bemærk! 2 2 4 4 2 2 3" xfId="46065" xr:uid="{00000000-0005-0000-0000-000054960000}"/>
    <cellStyle name="Bemærk! 2 2 4 4 2 3" xfId="24079" xr:uid="{00000000-0005-0000-0000-000055960000}"/>
    <cellStyle name="Bemærk! 2 2 4 4 2 4" xfId="39066" xr:uid="{00000000-0005-0000-0000-000056960000}"/>
    <cellStyle name="Bemærk! 2 2 4 5" xfId="54044" xr:uid="{00000000-0005-0000-0000-000057960000}"/>
    <cellStyle name="Bemærk! 2 2 5" xfId="4827" xr:uid="{00000000-0005-0000-0000-000058960000}"/>
    <cellStyle name="Bemærk! 2 2 5 2" xfId="4828" xr:uid="{00000000-0005-0000-0000-000059960000}"/>
    <cellStyle name="Bemærk! 2 2 5 2 2" xfId="4829" xr:uid="{00000000-0005-0000-0000-00005A960000}"/>
    <cellStyle name="Bemærk! 2 2 5 2 2 2" xfId="7835" xr:uid="{00000000-0005-0000-0000-00005B960000}"/>
    <cellStyle name="Bemærk! 2 2 5 2 2 2 2" xfId="15736" xr:uid="{00000000-0005-0000-0000-00005C960000}"/>
    <cellStyle name="Bemærk! 2 2 5 2 2 2 2 2" xfId="32050" xr:uid="{00000000-0005-0000-0000-00005D960000}"/>
    <cellStyle name="Bemærk! 2 2 5 2 2 2 2 3" xfId="47014" xr:uid="{00000000-0005-0000-0000-00005E960000}"/>
    <cellStyle name="Bemærk! 2 2 5 2 2 2 3" xfId="25028" xr:uid="{00000000-0005-0000-0000-00005F960000}"/>
    <cellStyle name="Bemærk! 2 2 5 2 2 2 4" xfId="40015" xr:uid="{00000000-0005-0000-0000-000060960000}"/>
    <cellStyle name="Bemærk! 2 2 5 3" xfId="4830" xr:uid="{00000000-0005-0000-0000-000061960000}"/>
    <cellStyle name="Bemærk! 2 2 5 3 2" xfId="4831" xr:uid="{00000000-0005-0000-0000-000062960000}"/>
    <cellStyle name="Bemærk! 2 2 5 3 2 2" xfId="8676" xr:uid="{00000000-0005-0000-0000-000063960000}"/>
    <cellStyle name="Bemærk! 2 2 5 3 2 2 2" xfId="16558" xr:uid="{00000000-0005-0000-0000-000064960000}"/>
    <cellStyle name="Bemærk! 2 2 5 3 2 2 2 2" xfId="32872" xr:uid="{00000000-0005-0000-0000-000065960000}"/>
    <cellStyle name="Bemærk! 2 2 5 3 2 2 2 3" xfId="47836" xr:uid="{00000000-0005-0000-0000-000066960000}"/>
    <cellStyle name="Bemærk! 2 2 5 3 2 2 3" xfId="25850" xr:uid="{00000000-0005-0000-0000-000067960000}"/>
    <cellStyle name="Bemærk! 2 2 5 3 2 2 4" xfId="40837" xr:uid="{00000000-0005-0000-0000-000068960000}"/>
    <cellStyle name="Bemærk! 2 2 5 3 3" xfId="6384" xr:uid="{00000000-0005-0000-0000-000069960000}"/>
    <cellStyle name="Bemærk! 2 2 5 3 3 2" xfId="14298" xr:uid="{00000000-0005-0000-0000-00006A960000}"/>
    <cellStyle name="Bemærk! 2 2 5 3 3 2 2" xfId="30612" xr:uid="{00000000-0005-0000-0000-00006B960000}"/>
    <cellStyle name="Bemærk! 2 2 5 3 3 2 3" xfId="45576" xr:uid="{00000000-0005-0000-0000-00006C960000}"/>
    <cellStyle name="Bemærk! 2 2 5 3 3 3" xfId="23590" xr:uid="{00000000-0005-0000-0000-00006D960000}"/>
    <cellStyle name="Bemærk! 2 2 5 3 3 4" xfId="38577" xr:uid="{00000000-0005-0000-0000-00006E960000}"/>
    <cellStyle name="Bemærk! 2 2 5 4" xfId="4832" xr:uid="{00000000-0005-0000-0000-00006F960000}"/>
    <cellStyle name="Bemærk! 2 2 5 4 2" xfId="7066" xr:uid="{00000000-0005-0000-0000-000070960000}"/>
    <cellStyle name="Bemærk! 2 2 5 4 2 2" xfId="14977" xr:uid="{00000000-0005-0000-0000-000071960000}"/>
    <cellStyle name="Bemærk! 2 2 5 4 2 2 2" xfId="31291" xr:uid="{00000000-0005-0000-0000-000072960000}"/>
    <cellStyle name="Bemærk! 2 2 5 4 2 2 3" xfId="46255" xr:uid="{00000000-0005-0000-0000-000073960000}"/>
    <cellStyle name="Bemærk! 2 2 5 4 2 3" xfId="24269" xr:uid="{00000000-0005-0000-0000-000074960000}"/>
    <cellStyle name="Bemærk! 2 2 5 4 2 4" xfId="39256" xr:uid="{00000000-0005-0000-0000-000075960000}"/>
    <cellStyle name="Bemærk! 2 2 5 5" xfId="56588" xr:uid="{00000000-0005-0000-0000-000076960000}"/>
    <cellStyle name="Bemærk! 2 2 6" xfId="4833" xr:uid="{00000000-0005-0000-0000-000077960000}"/>
    <cellStyle name="Bemærk! 2 2 6 2" xfId="4834" xr:uid="{00000000-0005-0000-0000-000078960000}"/>
    <cellStyle name="Bemærk! 2 2 6 2 2" xfId="4835" xr:uid="{00000000-0005-0000-0000-000079960000}"/>
    <cellStyle name="Bemærk! 2 2 6 2 2 2" xfId="7884" xr:uid="{00000000-0005-0000-0000-00007A960000}"/>
    <cellStyle name="Bemærk! 2 2 6 2 2 2 2" xfId="15785" xr:uid="{00000000-0005-0000-0000-00007B960000}"/>
    <cellStyle name="Bemærk! 2 2 6 2 2 2 2 2" xfId="32099" xr:uid="{00000000-0005-0000-0000-00007C960000}"/>
    <cellStyle name="Bemærk! 2 2 6 2 2 2 2 3" xfId="47063" xr:uid="{00000000-0005-0000-0000-00007D960000}"/>
    <cellStyle name="Bemærk! 2 2 6 2 2 2 3" xfId="25077" xr:uid="{00000000-0005-0000-0000-00007E960000}"/>
    <cellStyle name="Bemærk! 2 2 6 2 2 2 4" xfId="40064" xr:uid="{00000000-0005-0000-0000-00007F960000}"/>
    <cellStyle name="Bemærk! 2 2 6 3" xfId="4836" xr:uid="{00000000-0005-0000-0000-000080960000}"/>
    <cellStyle name="Bemærk! 2 2 6 3 2" xfId="4837" xr:uid="{00000000-0005-0000-0000-000081960000}"/>
    <cellStyle name="Bemærk! 2 2 6 3 2 2" xfId="7076" xr:uid="{00000000-0005-0000-0000-000082960000}"/>
    <cellStyle name="Bemærk! 2 2 6 3 2 2 2" xfId="14987" xr:uid="{00000000-0005-0000-0000-000083960000}"/>
    <cellStyle name="Bemærk! 2 2 6 3 2 2 2 2" xfId="31301" xr:uid="{00000000-0005-0000-0000-000084960000}"/>
    <cellStyle name="Bemærk! 2 2 6 3 2 2 2 3" xfId="46265" xr:uid="{00000000-0005-0000-0000-000085960000}"/>
    <cellStyle name="Bemærk! 2 2 6 3 2 2 3" xfId="24279" xr:uid="{00000000-0005-0000-0000-000086960000}"/>
    <cellStyle name="Bemærk! 2 2 6 3 2 2 4" xfId="39266" xr:uid="{00000000-0005-0000-0000-000087960000}"/>
    <cellStyle name="Bemærk! 2 2 6 3 3" xfId="6425" xr:uid="{00000000-0005-0000-0000-000088960000}"/>
    <cellStyle name="Bemærk! 2 2 6 3 3 2" xfId="14339" xr:uid="{00000000-0005-0000-0000-000089960000}"/>
    <cellStyle name="Bemærk! 2 2 6 3 3 2 2" xfId="30653" xr:uid="{00000000-0005-0000-0000-00008A960000}"/>
    <cellStyle name="Bemærk! 2 2 6 3 3 2 3" xfId="45617" xr:uid="{00000000-0005-0000-0000-00008B960000}"/>
    <cellStyle name="Bemærk! 2 2 6 3 3 3" xfId="23631" xr:uid="{00000000-0005-0000-0000-00008C960000}"/>
    <cellStyle name="Bemærk! 2 2 6 3 3 4" xfId="38618" xr:uid="{00000000-0005-0000-0000-00008D960000}"/>
    <cellStyle name="Bemærk! 2 2 6 4" xfId="4838" xr:uid="{00000000-0005-0000-0000-00008E960000}"/>
    <cellStyle name="Bemærk! 2 2 6 4 2" xfId="7160" xr:uid="{00000000-0005-0000-0000-00008F960000}"/>
    <cellStyle name="Bemærk! 2 2 6 4 2 2" xfId="15070" xr:uid="{00000000-0005-0000-0000-000090960000}"/>
    <cellStyle name="Bemærk! 2 2 6 4 2 2 2" xfId="31384" xr:uid="{00000000-0005-0000-0000-000091960000}"/>
    <cellStyle name="Bemærk! 2 2 6 4 2 2 3" xfId="46348" xr:uid="{00000000-0005-0000-0000-000092960000}"/>
    <cellStyle name="Bemærk! 2 2 6 4 2 3" xfId="24362" xr:uid="{00000000-0005-0000-0000-000093960000}"/>
    <cellStyle name="Bemærk! 2 2 6 4 2 4" xfId="39349" xr:uid="{00000000-0005-0000-0000-000094960000}"/>
    <cellStyle name="Bemærk! 2 2 7" xfId="4839" xr:uid="{00000000-0005-0000-0000-000095960000}"/>
    <cellStyle name="Bemærk! 2 2 7 2" xfId="4840" xr:uid="{00000000-0005-0000-0000-000096960000}"/>
    <cellStyle name="Bemærk! 2 2 7 2 2" xfId="4841" xr:uid="{00000000-0005-0000-0000-000097960000}"/>
    <cellStyle name="Bemærk! 2 2 7 2 2 2" xfId="8001" xr:uid="{00000000-0005-0000-0000-000098960000}"/>
    <cellStyle name="Bemærk! 2 2 7 2 2 2 2" xfId="15902" xr:uid="{00000000-0005-0000-0000-000099960000}"/>
    <cellStyle name="Bemærk! 2 2 7 2 2 2 2 2" xfId="32216" xr:uid="{00000000-0005-0000-0000-00009A960000}"/>
    <cellStyle name="Bemærk! 2 2 7 2 2 2 2 3" xfId="47180" xr:uid="{00000000-0005-0000-0000-00009B960000}"/>
    <cellStyle name="Bemærk! 2 2 7 2 2 2 3" xfId="25194" xr:uid="{00000000-0005-0000-0000-00009C960000}"/>
    <cellStyle name="Bemærk! 2 2 7 2 2 2 4" xfId="40181" xr:uid="{00000000-0005-0000-0000-00009D960000}"/>
    <cellStyle name="Bemærk! 2 2 7 3" xfId="4842" xr:uid="{00000000-0005-0000-0000-00009E960000}"/>
    <cellStyle name="Bemærk! 2 2 7 3 2" xfId="4843" xr:uid="{00000000-0005-0000-0000-00009F960000}"/>
    <cellStyle name="Bemærk! 2 2 7 3 2 2" xfId="8469" xr:uid="{00000000-0005-0000-0000-0000A0960000}"/>
    <cellStyle name="Bemærk! 2 2 7 3 2 2 2" xfId="16360" xr:uid="{00000000-0005-0000-0000-0000A1960000}"/>
    <cellStyle name="Bemærk! 2 2 7 3 2 2 2 2" xfId="32674" xr:uid="{00000000-0005-0000-0000-0000A2960000}"/>
    <cellStyle name="Bemærk! 2 2 7 3 2 2 2 3" xfId="47638" xr:uid="{00000000-0005-0000-0000-0000A3960000}"/>
    <cellStyle name="Bemærk! 2 2 7 3 2 2 3" xfId="25652" xr:uid="{00000000-0005-0000-0000-0000A4960000}"/>
    <cellStyle name="Bemærk! 2 2 7 3 2 2 4" xfId="40639" xr:uid="{00000000-0005-0000-0000-0000A5960000}"/>
    <cellStyle name="Bemærk! 2 2 7 3 3" xfId="6524" xr:uid="{00000000-0005-0000-0000-0000A6960000}"/>
    <cellStyle name="Bemærk! 2 2 7 3 3 2" xfId="14438" xr:uid="{00000000-0005-0000-0000-0000A7960000}"/>
    <cellStyle name="Bemærk! 2 2 7 3 3 2 2" xfId="30752" xr:uid="{00000000-0005-0000-0000-0000A8960000}"/>
    <cellStyle name="Bemærk! 2 2 7 3 3 2 3" xfId="45716" xr:uid="{00000000-0005-0000-0000-0000A9960000}"/>
    <cellStyle name="Bemærk! 2 2 7 3 3 3" xfId="23730" xr:uid="{00000000-0005-0000-0000-0000AA960000}"/>
    <cellStyle name="Bemærk! 2 2 7 3 3 4" xfId="38717" xr:uid="{00000000-0005-0000-0000-0000AB960000}"/>
    <cellStyle name="Bemærk! 2 2 7 4" xfId="4844" xr:uid="{00000000-0005-0000-0000-0000AC960000}"/>
    <cellStyle name="Bemærk! 2 2 7 4 2" xfId="7277" xr:uid="{00000000-0005-0000-0000-0000AD960000}"/>
    <cellStyle name="Bemærk! 2 2 7 4 2 2" xfId="15187" xr:uid="{00000000-0005-0000-0000-0000AE960000}"/>
    <cellStyle name="Bemærk! 2 2 7 4 2 2 2" xfId="31501" xr:uid="{00000000-0005-0000-0000-0000AF960000}"/>
    <cellStyle name="Bemærk! 2 2 7 4 2 2 3" xfId="46465" xr:uid="{00000000-0005-0000-0000-0000B0960000}"/>
    <cellStyle name="Bemærk! 2 2 7 4 2 3" xfId="24479" xr:uid="{00000000-0005-0000-0000-0000B1960000}"/>
    <cellStyle name="Bemærk! 2 2 7 4 2 4" xfId="39466" xr:uid="{00000000-0005-0000-0000-0000B2960000}"/>
    <cellStyle name="Bemærk! 2 2 8" xfId="4845" xr:uid="{00000000-0005-0000-0000-0000B3960000}"/>
    <cellStyle name="Bemærk! 2 2 8 2" xfId="4846" xr:uid="{00000000-0005-0000-0000-0000B4960000}"/>
    <cellStyle name="Bemærk! 2 2 8 2 2" xfId="4847" xr:uid="{00000000-0005-0000-0000-0000B5960000}"/>
    <cellStyle name="Bemærk! 2 2 8 2 2 2" xfId="8189" xr:uid="{00000000-0005-0000-0000-0000B6960000}"/>
    <cellStyle name="Bemærk! 2 2 8 2 2 2 2" xfId="16090" xr:uid="{00000000-0005-0000-0000-0000B7960000}"/>
    <cellStyle name="Bemærk! 2 2 8 2 2 2 2 2" xfId="32404" xr:uid="{00000000-0005-0000-0000-0000B8960000}"/>
    <cellStyle name="Bemærk! 2 2 8 2 2 2 2 3" xfId="47368" xr:uid="{00000000-0005-0000-0000-0000B9960000}"/>
    <cellStyle name="Bemærk! 2 2 8 2 2 2 3" xfId="25382" xr:uid="{00000000-0005-0000-0000-0000BA960000}"/>
    <cellStyle name="Bemærk! 2 2 8 2 2 2 4" xfId="40369" xr:uid="{00000000-0005-0000-0000-0000BB960000}"/>
    <cellStyle name="Bemærk! 2 2 8 3" xfId="4848" xr:uid="{00000000-0005-0000-0000-0000BC960000}"/>
    <cellStyle name="Bemærk! 2 2 8 3 2" xfId="4849" xr:uid="{00000000-0005-0000-0000-0000BD960000}"/>
    <cellStyle name="Bemærk! 2 2 8 3 2 2" xfId="8801" xr:uid="{00000000-0005-0000-0000-0000BE960000}"/>
    <cellStyle name="Bemærk! 2 2 8 3 2 2 2" xfId="16677" xr:uid="{00000000-0005-0000-0000-0000BF960000}"/>
    <cellStyle name="Bemærk! 2 2 8 3 2 2 2 2" xfId="32991" xr:uid="{00000000-0005-0000-0000-0000C0960000}"/>
    <cellStyle name="Bemærk! 2 2 8 3 2 2 2 3" xfId="47955" xr:uid="{00000000-0005-0000-0000-0000C1960000}"/>
    <cellStyle name="Bemærk! 2 2 8 3 2 2 3" xfId="25969" xr:uid="{00000000-0005-0000-0000-0000C2960000}"/>
    <cellStyle name="Bemærk! 2 2 8 3 2 2 4" xfId="40956" xr:uid="{00000000-0005-0000-0000-0000C3960000}"/>
    <cellStyle name="Bemærk! 2 2 8 3 3" xfId="6682" xr:uid="{00000000-0005-0000-0000-0000C4960000}"/>
    <cellStyle name="Bemærk! 2 2 8 3 3 2" xfId="14596" xr:uid="{00000000-0005-0000-0000-0000C5960000}"/>
    <cellStyle name="Bemærk! 2 2 8 3 3 2 2" xfId="30910" xr:uid="{00000000-0005-0000-0000-0000C6960000}"/>
    <cellStyle name="Bemærk! 2 2 8 3 3 2 3" xfId="45874" xr:uid="{00000000-0005-0000-0000-0000C7960000}"/>
    <cellStyle name="Bemærk! 2 2 8 3 3 3" xfId="23888" xr:uid="{00000000-0005-0000-0000-0000C8960000}"/>
    <cellStyle name="Bemærk! 2 2 8 3 3 4" xfId="38875" xr:uid="{00000000-0005-0000-0000-0000C9960000}"/>
    <cellStyle name="Bemærk! 2 2 8 4" xfId="4850" xr:uid="{00000000-0005-0000-0000-0000CA960000}"/>
    <cellStyle name="Bemærk! 2 2 8 4 2" xfId="7466" xr:uid="{00000000-0005-0000-0000-0000CB960000}"/>
    <cellStyle name="Bemærk! 2 2 8 4 2 2" xfId="15376" xr:uid="{00000000-0005-0000-0000-0000CC960000}"/>
    <cellStyle name="Bemærk! 2 2 8 4 2 2 2" xfId="31690" xr:uid="{00000000-0005-0000-0000-0000CD960000}"/>
    <cellStyle name="Bemærk! 2 2 8 4 2 2 3" xfId="46654" xr:uid="{00000000-0005-0000-0000-0000CE960000}"/>
    <cellStyle name="Bemærk! 2 2 8 4 2 3" xfId="24668" xr:uid="{00000000-0005-0000-0000-0000CF960000}"/>
    <cellStyle name="Bemærk! 2 2 8 4 2 4" xfId="39655" xr:uid="{00000000-0005-0000-0000-0000D0960000}"/>
    <cellStyle name="Bemærk! 2 2 9" xfId="4851" xr:uid="{00000000-0005-0000-0000-0000D1960000}"/>
    <cellStyle name="Bemærk! 2 2 9 2" xfId="4852" xr:uid="{00000000-0005-0000-0000-0000D2960000}"/>
    <cellStyle name="Bemærk! 2 2 9 2 2" xfId="7527" xr:uid="{00000000-0005-0000-0000-0000D3960000}"/>
    <cellStyle name="Bemærk! 2 2 9 2 2 2" xfId="15428" xr:uid="{00000000-0005-0000-0000-0000D4960000}"/>
    <cellStyle name="Bemærk! 2 2 9 2 2 2 2" xfId="31742" xr:uid="{00000000-0005-0000-0000-0000D5960000}"/>
    <cellStyle name="Bemærk! 2 2 9 2 2 2 3" xfId="46706" xr:uid="{00000000-0005-0000-0000-0000D6960000}"/>
    <cellStyle name="Bemærk! 2 2 9 2 2 3" xfId="24720" xr:uid="{00000000-0005-0000-0000-0000D7960000}"/>
    <cellStyle name="Bemærk! 2 2 9 2 2 4" xfId="39707" xr:uid="{00000000-0005-0000-0000-0000D8960000}"/>
    <cellStyle name="Bemærk! 2 3" xfId="4853" xr:uid="{00000000-0005-0000-0000-0000D9960000}"/>
    <cellStyle name="Bemærk! 2 3 10" xfId="53410" xr:uid="{00000000-0005-0000-0000-0000DA960000}"/>
    <cellStyle name="Bemærk! 2 3 2" xfId="4854" xr:uid="{00000000-0005-0000-0000-0000DB960000}"/>
    <cellStyle name="Bemærk! 2 3 2 2" xfId="4855" xr:uid="{00000000-0005-0000-0000-0000DC960000}"/>
    <cellStyle name="Bemærk! 2 3 2 2 2" xfId="4856" xr:uid="{00000000-0005-0000-0000-0000DD960000}"/>
    <cellStyle name="Bemærk! 2 3 2 2 2 2" xfId="7659" xr:uid="{00000000-0005-0000-0000-0000DE960000}"/>
    <cellStyle name="Bemærk! 2 3 2 2 2 2 2" xfId="15560" xr:uid="{00000000-0005-0000-0000-0000DF960000}"/>
    <cellStyle name="Bemærk! 2 3 2 2 2 2 2 2" xfId="31874" xr:uid="{00000000-0005-0000-0000-0000E0960000}"/>
    <cellStyle name="Bemærk! 2 3 2 2 2 2 2 3" xfId="46838" xr:uid="{00000000-0005-0000-0000-0000E1960000}"/>
    <cellStyle name="Bemærk! 2 3 2 2 2 2 3" xfId="24852" xr:uid="{00000000-0005-0000-0000-0000E2960000}"/>
    <cellStyle name="Bemærk! 2 3 2 2 2 2 4" xfId="39839" xr:uid="{00000000-0005-0000-0000-0000E3960000}"/>
    <cellStyle name="Bemærk! 2 3 2 2 3" xfId="57214" xr:uid="{00000000-0005-0000-0000-0000E4960000}"/>
    <cellStyle name="Bemærk! 2 3 2 3" xfId="4857" xr:uid="{00000000-0005-0000-0000-0000E5960000}"/>
    <cellStyle name="Bemærk! 2 3 2 3 2" xfId="4858" xr:uid="{00000000-0005-0000-0000-0000E6960000}"/>
    <cellStyle name="Bemærk! 2 3 2 3 2 2" xfId="8553" xr:uid="{00000000-0005-0000-0000-0000E7960000}"/>
    <cellStyle name="Bemærk! 2 3 2 3 2 2 2" xfId="16441" xr:uid="{00000000-0005-0000-0000-0000E8960000}"/>
    <cellStyle name="Bemærk! 2 3 2 3 2 2 2 2" xfId="32755" xr:uid="{00000000-0005-0000-0000-0000E9960000}"/>
    <cellStyle name="Bemærk! 2 3 2 3 2 2 2 3" xfId="47719" xr:uid="{00000000-0005-0000-0000-0000EA960000}"/>
    <cellStyle name="Bemærk! 2 3 2 3 2 2 3" xfId="25733" xr:uid="{00000000-0005-0000-0000-0000EB960000}"/>
    <cellStyle name="Bemærk! 2 3 2 3 2 2 4" xfId="40720" xr:uid="{00000000-0005-0000-0000-0000EC960000}"/>
    <cellStyle name="Bemærk! 2 3 2 3 3" xfId="6234" xr:uid="{00000000-0005-0000-0000-0000ED960000}"/>
    <cellStyle name="Bemærk! 2 3 2 3 3 2" xfId="14151" xr:uid="{00000000-0005-0000-0000-0000EE960000}"/>
    <cellStyle name="Bemærk! 2 3 2 3 3 2 2" xfId="30465" xr:uid="{00000000-0005-0000-0000-0000EF960000}"/>
    <cellStyle name="Bemærk! 2 3 2 3 3 2 3" xfId="45429" xr:uid="{00000000-0005-0000-0000-0000F0960000}"/>
    <cellStyle name="Bemærk! 2 3 2 3 3 3" xfId="23443" xr:uid="{00000000-0005-0000-0000-0000F1960000}"/>
    <cellStyle name="Bemærk! 2 3 2 3 3 4" xfId="38430" xr:uid="{00000000-0005-0000-0000-0000F2960000}"/>
    <cellStyle name="Bemærk! 2 3 2 4" xfId="4859" xr:uid="{00000000-0005-0000-0000-0000F3960000}"/>
    <cellStyle name="Bemærk! 2 3 2 4 2" xfId="6889" xr:uid="{00000000-0005-0000-0000-0000F4960000}"/>
    <cellStyle name="Bemærk! 2 3 2 4 2 2" xfId="14800" xr:uid="{00000000-0005-0000-0000-0000F5960000}"/>
    <cellStyle name="Bemærk! 2 3 2 4 2 2 2" xfId="31114" xr:uid="{00000000-0005-0000-0000-0000F6960000}"/>
    <cellStyle name="Bemærk! 2 3 2 4 2 2 3" xfId="46078" xr:uid="{00000000-0005-0000-0000-0000F7960000}"/>
    <cellStyle name="Bemærk! 2 3 2 4 2 3" xfId="24092" xr:uid="{00000000-0005-0000-0000-0000F8960000}"/>
    <cellStyle name="Bemærk! 2 3 2 4 2 4" xfId="39079" xr:uid="{00000000-0005-0000-0000-0000F9960000}"/>
    <cellStyle name="Bemærk! 2 3 2 5" xfId="54047" xr:uid="{00000000-0005-0000-0000-0000FA960000}"/>
    <cellStyle name="Bemærk! 2 3 3" xfId="4860" xr:uid="{00000000-0005-0000-0000-0000FB960000}"/>
    <cellStyle name="Bemærk! 2 3 3 2" xfId="4861" xr:uid="{00000000-0005-0000-0000-0000FC960000}"/>
    <cellStyle name="Bemærk! 2 3 3 2 2" xfId="4862" xr:uid="{00000000-0005-0000-0000-0000FD960000}"/>
    <cellStyle name="Bemærk! 2 3 3 2 2 2" xfId="7838" xr:uid="{00000000-0005-0000-0000-0000FE960000}"/>
    <cellStyle name="Bemærk! 2 3 3 2 2 2 2" xfId="15739" xr:uid="{00000000-0005-0000-0000-0000FF960000}"/>
    <cellStyle name="Bemærk! 2 3 3 2 2 2 2 2" xfId="32053" xr:uid="{00000000-0005-0000-0000-000000970000}"/>
    <cellStyle name="Bemærk! 2 3 3 2 2 2 2 3" xfId="47017" xr:uid="{00000000-0005-0000-0000-000001970000}"/>
    <cellStyle name="Bemærk! 2 3 3 2 2 2 3" xfId="25031" xr:uid="{00000000-0005-0000-0000-000002970000}"/>
    <cellStyle name="Bemærk! 2 3 3 2 2 2 4" xfId="40018" xr:uid="{00000000-0005-0000-0000-000003970000}"/>
    <cellStyle name="Bemærk! 2 3 3 3" xfId="4863" xr:uid="{00000000-0005-0000-0000-000004970000}"/>
    <cellStyle name="Bemærk! 2 3 3 3 2" xfId="4864" xr:uid="{00000000-0005-0000-0000-000005970000}"/>
    <cellStyle name="Bemærk! 2 3 3 3 2 2" xfId="8266" xr:uid="{00000000-0005-0000-0000-000006970000}"/>
    <cellStyle name="Bemærk! 2 3 3 3 2 2 2" xfId="16162" xr:uid="{00000000-0005-0000-0000-000007970000}"/>
    <cellStyle name="Bemærk! 2 3 3 3 2 2 2 2" xfId="32476" xr:uid="{00000000-0005-0000-0000-000008970000}"/>
    <cellStyle name="Bemærk! 2 3 3 3 2 2 2 3" xfId="47440" xr:uid="{00000000-0005-0000-0000-000009970000}"/>
    <cellStyle name="Bemærk! 2 3 3 3 2 2 3" xfId="25454" xr:uid="{00000000-0005-0000-0000-00000A970000}"/>
    <cellStyle name="Bemærk! 2 3 3 3 2 2 4" xfId="40441" xr:uid="{00000000-0005-0000-0000-00000B970000}"/>
    <cellStyle name="Bemærk! 2 3 3 3 3" xfId="6387" xr:uid="{00000000-0005-0000-0000-00000C970000}"/>
    <cellStyle name="Bemærk! 2 3 3 3 3 2" xfId="14301" xr:uid="{00000000-0005-0000-0000-00000D970000}"/>
    <cellStyle name="Bemærk! 2 3 3 3 3 2 2" xfId="30615" xr:uid="{00000000-0005-0000-0000-00000E970000}"/>
    <cellStyle name="Bemærk! 2 3 3 3 3 2 3" xfId="45579" xr:uid="{00000000-0005-0000-0000-00000F970000}"/>
    <cellStyle name="Bemærk! 2 3 3 3 3 3" xfId="23593" xr:uid="{00000000-0005-0000-0000-000010970000}"/>
    <cellStyle name="Bemærk! 2 3 3 3 3 4" xfId="38580" xr:uid="{00000000-0005-0000-0000-000011970000}"/>
    <cellStyle name="Bemærk! 2 3 3 4" xfId="4865" xr:uid="{00000000-0005-0000-0000-000012970000}"/>
    <cellStyle name="Bemærk! 2 3 3 4 2" xfId="7069" xr:uid="{00000000-0005-0000-0000-000013970000}"/>
    <cellStyle name="Bemærk! 2 3 3 4 2 2" xfId="14980" xr:uid="{00000000-0005-0000-0000-000014970000}"/>
    <cellStyle name="Bemærk! 2 3 3 4 2 2 2" xfId="31294" xr:uid="{00000000-0005-0000-0000-000015970000}"/>
    <cellStyle name="Bemærk! 2 3 3 4 2 2 3" xfId="46258" xr:uid="{00000000-0005-0000-0000-000016970000}"/>
    <cellStyle name="Bemærk! 2 3 3 4 2 3" xfId="24272" xr:uid="{00000000-0005-0000-0000-000017970000}"/>
    <cellStyle name="Bemærk! 2 3 3 4 2 4" xfId="39259" xr:uid="{00000000-0005-0000-0000-000018970000}"/>
    <cellStyle name="Bemærk! 2 3 3 5" xfId="56591" xr:uid="{00000000-0005-0000-0000-000019970000}"/>
    <cellStyle name="Bemærk! 2 3 4" xfId="4866" xr:uid="{00000000-0005-0000-0000-00001A970000}"/>
    <cellStyle name="Bemærk! 2 3 4 2" xfId="4867" xr:uid="{00000000-0005-0000-0000-00001B970000}"/>
    <cellStyle name="Bemærk! 2 3 4 2 2" xfId="4868" xr:uid="{00000000-0005-0000-0000-00001C970000}"/>
    <cellStyle name="Bemærk! 2 3 4 2 2 2" xfId="7897" xr:uid="{00000000-0005-0000-0000-00001D970000}"/>
    <cellStyle name="Bemærk! 2 3 4 2 2 2 2" xfId="15798" xr:uid="{00000000-0005-0000-0000-00001E970000}"/>
    <cellStyle name="Bemærk! 2 3 4 2 2 2 2 2" xfId="32112" xr:uid="{00000000-0005-0000-0000-00001F970000}"/>
    <cellStyle name="Bemærk! 2 3 4 2 2 2 2 3" xfId="47076" xr:uid="{00000000-0005-0000-0000-000020970000}"/>
    <cellStyle name="Bemærk! 2 3 4 2 2 2 3" xfId="25090" xr:uid="{00000000-0005-0000-0000-000021970000}"/>
    <cellStyle name="Bemærk! 2 3 4 2 2 2 4" xfId="40077" xr:uid="{00000000-0005-0000-0000-000022970000}"/>
    <cellStyle name="Bemærk! 2 3 4 3" xfId="4869" xr:uid="{00000000-0005-0000-0000-000023970000}"/>
    <cellStyle name="Bemærk! 2 3 4 3 2" xfId="4870" xr:uid="{00000000-0005-0000-0000-000024970000}"/>
    <cellStyle name="Bemærk! 2 3 4 3 2 2" xfId="8581" xr:uid="{00000000-0005-0000-0000-000025970000}"/>
    <cellStyle name="Bemærk! 2 3 4 3 2 2 2" xfId="16468" xr:uid="{00000000-0005-0000-0000-000026970000}"/>
    <cellStyle name="Bemærk! 2 3 4 3 2 2 2 2" xfId="32782" xr:uid="{00000000-0005-0000-0000-000027970000}"/>
    <cellStyle name="Bemærk! 2 3 4 3 2 2 2 3" xfId="47746" xr:uid="{00000000-0005-0000-0000-000028970000}"/>
    <cellStyle name="Bemærk! 2 3 4 3 2 2 3" xfId="25760" xr:uid="{00000000-0005-0000-0000-000029970000}"/>
    <cellStyle name="Bemærk! 2 3 4 3 2 2 4" xfId="40747" xr:uid="{00000000-0005-0000-0000-00002A970000}"/>
    <cellStyle name="Bemærk! 2 3 4 3 3" xfId="6436" xr:uid="{00000000-0005-0000-0000-00002B970000}"/>
    <cellStyle name="Bemærk! 2 3 4 3 3 2" xfId="14350" xr:uid="{00000000-0005-0000-0000-00002C970000}"/>
    <cellStyle name="Bemærk! 2 3 4 3 3 2 2" xfId="30664" xr:uid="{00000000-0005-0000-0000-00002D970000}"/>
    <cellStyle name="Bemærk! 2 3 4 3 3 2 3" xfId="45628" xr:uid="{00000000-0005-0000-0000-00002E970000}"/>
    <cellStyle name="Bemærk! 2 3 4 3 3 3" xfId="23642" xr:uid="{00000000-0005-0000-0000-00002F970000}"/>
    <cellStyle name="Bemærk! 2 3 4 3 3 4" xfId="38629" xr:uid="{00000000-0005-0000-0000-000030970000}"/>
    <cellStyle name="Bemærk! 2 3 4 4" xfId="4871" xr:uid="{00000000-0005-0000-0000-000031970000}"/>
    <cellStyle name="Bemærk! 2 3 4 4 2" xfId="7173" xr:uid="{00000000-0005-0000-0000-000032970000}"/>
    <cellStyle name="Bemærk! 2 3 4 4 2 2" xfId="15083" xr:uid="{00000000-0005-0000-0000-000033970000}"/>
    <cellStyle name="Bemærk! 2 3 4 4 2 2 2" xfId="31397" xr:uid="{00000000-0005-0000-0000-000034970000}"/>
    <cellStyle name="Bemærk! 2 3 4 4 2 2 3" xfId="46361" xr:uid="{00000000-0005-0000-0000-000035970000}"/>
    <cellStyle name="Bemærk! 2 3 4 4 2 3" xfId="24375" xr:uid="{00000000-0005-0000-0000-000036970000}"/>
    <cellStyle name="Bemærk! 2 3 4 4 2 4" xfId="39362" xr:uid="{00000000-0005-0000-0000-000037970000}"/>
    <cellStyle name="Bemærk! 2 3 5" xfId="4872" xr:uid="{00000000-0005-0000-0000-000038970000}"/>
    <cellStyle name="Bemærk! 2 3 5 2" xfId="4873" xr:uid="{00000000-0005-0000-0000-000039970000}"/>
    <cellStyle name="Bemærk! 2 3 5 2 2" xfId="4874" xr:uid="{00000000-0005-0000-0000-00003A970000}"/>
    <cellStyle name="Bemærk! 2 3 5 2 2 2" xfId="8014" xr:uid="{00000000-0005-0000-0000-00003B970000}"/>
    <cellStyle name="Bemærk! 2 3 5 2 2 2 2" xfId="15915" xr:uid="{00000000-0005-0000-0000-00003C970000}"/>
    <cellStyle name="Bemærk! 2 3 5 2 2 2 2 2" xfId="32229" xr:uid="{00000000-0005-0000-0000-00003D970000}"/>
    <cellStyle name="Bemærk! 2 3 5 2 2 2 2 3" xfId="47193" xr:uid="{00000000-0005-0000-0000-00003E970000}"/>
    <cellStyle name="Bemærk! 2 3 5 2 2 2 3" xfId="25207" xr:uid="{00000000-0005-0000-0000-00003F970000}"/>
    <cellStyle name="Bemærk! 2 3 5 2 2 2 4" xfId="40194" xr:uid="{00000000-0005-0000-0000-000040970000}"/>
    <cellStyle name="Bemærk! 2 3 5 3" xfId="4875" xr:uid="{00000000-0005-0000-0000-000041970000}"/>
    <cellStyle name="Bemærk! 2 3 5 3 2" xfId="4876" xr:uid="{00000000-0005-0000-0000-000042970000}"/>
    <cellStyle name="Bemærk! 2 3 5 3 2 2" xfId="8540" xr:uid="{00000000-0005-0000-0000-000043970000}"/>
    <cellStyle name="Bemærk! 2 3 5 3 2 2 2" xfId="16428" xr:uid="{00000000-0005-0000-0000-000044970000}"/>
    <cellStyle name="Bemærk! 2 3 5 3 2 2 2 2" xfId="32742" xr:uid="{00000000-0005-0000-0000-000045970000}"/>
    <cellStyle name="Bemærk! 2 3 5 3 2 2 2 3" xfId="47706" xr:uid="{00000000-0005-0000-0000-000046970000}"/>
    <cellStyle name="Bemærk! 2 3 5 3 2 2 3" xfId="25720" xr:uid="{00000000-0005-0000-0000-000047970000}"/>
    <cellStyle name="Bemærk! 2 3 5 3 2 2 4" xfId="40707" xr:uid="{00000000-0005-0000-0000-000048970000}"/>
    <cellStyle name="Bemærk! 2 3 5 3 3" xfId="6535" xr:uid="{00000000-0005-0000-0000-000049970000}"/>
    <cellStyle name="Bemærk! 2 3 5 3 3 2" xfId="14449" xr:uid="{00000000-0005-0000-0000-00004A970000}"/>
    <cellStyle name="Bemærk! 2 3 5 3 3 2 2" xfId="30763" xr:uid="{00000000-0005-0000-0000-00004B970000}"/>
    <cellStyle name="Bemærk! 2 3 5 3 3 2 3" xfId="45727" xr:uid="{00000000-0005-0000-0000-00004C970000}"/>
    <cellStyle name="Bemærk! 2 3 5 3 3 3" xfId="23741" xr:uid="{00000000-0005-0000-0000-00004D970000}"/>
    <cellStyle name="Bemærk! 2 3 5 3 3 4" xfId="38728" xr:uid="{00000000-0005-0000-0000-00004E970000}"/>
    <cellStyle name="Bemærk! 2 3 5 4" xfId="4877" xr:uid="{00000000-0005-0000-0000-00004F970000}"/>
    <cellStyle name="Bemærk! 2 3 5 4 2" xfId="7290" xr:uid="{00000000-0005-0000-0000-000050970000}"/>
    <cellStyle name="Bemærk! 2 3 5 4 2 2" xfId="15200" xr:uid="{00000000-0005-0000-0000-000051970000}"/>
    <cellStyle name="Bemærk! 2 3 5 4 2 2 2" xfId="31514" xr:uid="{00000000-0005-0000-0000-000052970000}"/>
    <cellStyle name="Bemærk! 2 3 5 4 2 2 3" xfId="46478" xr:uid="{00000000-0005-0000-0000-000053970000}"/>
    <cellStyle name="Bemærk! 2 3 5 4 2 3" xfId="24492" xr:uid="{00000000-0005-0000-0000-000054970000}"/>
    <cellStyle name="Bemærk! 2 3 5 4 2 4" xfId="39479" xr:uid="{00000000-0005-0000-0000-000055970000}"/>
    <cellStyle name="Bemærk! 2 3 6" xfId="4878" xr:uid="{00000000-0005-0000-0000-000056970000}"/>
    <cellStyle name="Bemærk! 2 3 6 2" xfId="4879" xr:uid="{00000000-0005-0000-0000-000057970000}"/>
    <cellStyle name="Bemærk! 2 3 6 2 2" xfId="4880" xr:uid="{00000000-0005-0000-0000-000058970000}"/>
    <cellStyle name="Bemærk! 2 3 6 2 2 2" xfId="8192" xr:uid="{00000000-0005-0000-0000-000059970000}"/>
    <cellStyle name="Bemærk! 2 3 6 2 2 2 2" xfId="16093" xr:uid="{00000000-0005-0000-0000-00005A970000}"/>
    <cellStyle name="Bemærk! 2 3 6 2 2 2 2 2" xfId="32407" xr:uid="{00000000-0005-0000-0000-00005B970000}"/>
    <cellStyle name="Bemærk! 2 3 6 2 2 2 2 3" xfId="47371" xr:uid="{00000000-0005-0000-0000-00005C970000}"/>
    <cellStyle name="Bemærk! 2 3 6 2 2 2 3" xfId="25385" xr:uid="{00000000-0005-0000-0000-00005D970000}"/>
    <cellStyle name="Bemærk! 2 3 6 2 2 2 4" xfId="40372" xr:uid="{00000000-0005-0000-0000-00005E970000}"/>
    <cellStyle name="Bemærk! 2 3 6 3" xfId="4881" xr:uid="{00000000-0005-0000-0000-00005F970000}"/>
    <cellStyle name="Bemærk! 2 3 6 3 2" xfId="4882" xr:uid="{00000000-0005-0000-0000-000060970000}"/>
    <cellStyle name="Bemærk! 2 3 6 3 2 2" xfId="8804" xr:uid="{00000000-0005-0000-0000-000061970000}"/>
    <cellStyle name="Bemærk! 2 3 6 3 2 2 2" xfId="16680" xr:uid="{00000000-0005-0000-0000-000062970000}"/>
    <cellStyle name="Bemærk! 2 3 6 3 2 2 2 2" xfId="32994" xr:uid="{00000000-0005-0000-0000-000063970000}"/>
    <cellStyle name="Bemærk! 2 3 6 3 2 2 2 3" xfId="47958" xr:uid="{00000000-0005-0000-0000-000064970000}"/>
    <cellStyle name="Bemærk! 2 3 6 3 2 2 3" xfId="25972" xr:uid="{00000000-0005-0000-0000-000065970000}"/>
    <cellStyle name="Bemærk! 2 3 6 3 2 2 4" xfId="40959" xr:uid="{00000000-0005-0000-0000-000066970000}"/>
    <cellStyle name="Bemærk! 2 3 6 3 3" xfId="6685" xr:uid="{00000000-0005-0000-0000-000067970000}"/>
    <cellStyle name="Bemærk! 2 3 6 3 3 2" xfId="14599" xr:uid="{00000000-0005-0000-0000-000068970000}"/>
    <cellStyle name="Bemærk! 2 3 6 3 3 2 2" xfId="30913" xr:uid="{00000000-0005-0000-0000-000069970000}"/>
    <cellStyle name="Bemærk! 2 3 6 3 3 2 3" xfId="45877" xr:uid="{00000000-0005-0000-0000-00006A970000}"/>
    <cellStyle name="Bemærk! 2 3 6 3 3 3" xfId="23891" xr:uid="{00000000-0005-0000-0000-00006B970000}"/>
    <cellStyle name="Bemærk! 2 3 6 3 3 4" xfId="38878" xr:uid="{00000000-0005-0000-0000-00006C970000}"/>
    <cellStyle name="Bemærk! 2 3 6 4" xfId="4883" xr:uid="{00000000-0005-0000-0000-00006D970000}"/>
    <cellStyle name="Bemærk! 2 3 6 4 2" xfId="7469" xr:uid="{00000000-0005-0000-0000-00006E970000}"/>
    <cellStyle name="Bemærk! 2 3 6 4 2 2" xfId="15379" xr:uid="{00000000-0005-0000-0000-00006F970000}"/>
    <cellStyle name="Bemærk! 2 3 6 4 2 2 2" xfId="31693" xr:uid="{00000000-0005-0000-0000-000070970000}"/>
    <cellStyle name="Bemærk! 2 3 6 4 2 2 3" xfId="46657" xr:uid="{00000000-0005-0000-0000-000071970000}"/>
    <cellStyle name="Bemærk! 2 3 6 4 2 3" xfId="24671" xr:uid="{00000000-0005-0000-0000-000072970000}"/>
    <cellStyle name="Bemærk! 2 3 6 4 2 4" xfId="39658" xr:uid="{00000000-0005-0000-0000-000073970000}"/>
    <cellStyle name="Bemærk! 2 3 7" xfId="4884" xr:uid="{00000000-0005-0000-0000-000074970000}"/>
    <cellStyle name="Bemærk! 2 3 7 2" xfId="4885" xr:uid="{00000000-0005-0000-0000-000075970000}"/>
    <cellStyle name="Bemærk! 2 3 7 2 2" xfId="7540" xr:uid="{00000000-0005-0000-0000-000076970000}"/>
    <cellStyle name="Bemærk! 2 3 7 2 2 2" xfId="15441" xr:uid="{00000000-0005-0000-0000-000077970000}"/>
    <cellStyle name="Bemærk! 2 3 7 2 2 2 2" xfId="31755" xr:uid="{00000000-0005-0000-0000-000078970000}"/>
    <cellStyle name="Bemærk! 2 3 7 2 2 2 3" xfId="46719" xr:uid="{00000000-0005-0000-0000-000079970000}"/>
    <cellStyle name="Bemærk! 2 3 7 2 2 3" xfId="24733" xr:uid="{00000000-0005-0000-0000-00007A970000}"/>
    <cellStyle name="Bemærk! 2 3 7 2 2 4" xfId="39720" xr:uid="{00000000-0005-0000-0000-00007B970000}"/>
    <cellStyle name="Bemærk! 2 3 8" xfId="4886" xr:uid="{00000000-0005-0000-0000-00007C970000}"/>
    <cellStyle name="Bemærk! 2 3 8 2" xfId="4887" xr:uid="{00000000-0005-0000-0000-00007D970000}"/>
    <cellStyle name="Bemærk! 2 3 8 2 2" xfId="6705" xr:uid="{00000000-0005-0000-0000-00007E970000}"/>
    <cellStyle name="Bemærk! 2 3 8 2 2 2" xfId="14618" xr:uid="{00000000-0005-0000-0000-00007F970000}"/>
    <cellStyle name="Bemærk! 2 3 8 2 2 2 2" xfId="30932" xr:uid="{00000000-0005-0000-0000-000080970000}"/>
    <cellStyle name="Bemærk! 2 3 8 2 2 2 3" xfId="45896" xr:uid="{00000000-0005-0000-0000-000081970000}"/>
    <cellStyle name="Bemærk! 2 3 8 2 2 3" xfId="23910" xr:uid="{00000000-0005-0000-0000-000082970000}"/>
    <cellStyle name="Bemærk! 2 3 8 2 2 4" xfId="38897" xr:uid="{00000000-0005-0000-0000-000083970000}"/>
    <cellStyle name="Bemærk! 2 3 8 3" xfId="6135" xr:uid="{00000000-0005-0000-0000-000084970000}"/>
    <cellStyle name="Bemærk! 2 3 8 3 2" xfId="14052" xr:uid="{00000000-0005-0000-0000-000085970000}"/>
    <cellStyle name="Bemærk! 2 3 8 3 2 2" xfId="30366" xr:uid="{00000000-0005-0000-0000-000086970000}"/>
    <cellStyle name="Bemærk! 2 3 8 3 2 3" xfId="45330" xr:uid="{00000000-0005-0000-0000-000087970000}"/>
    <cellStyle name="Bemærk! 2 3 8 3 3" xfId="23344" xr:uid="{00000000-0005-0000-0000-000088970000}"/>
    <cellStyle name="Bemærk! 2 3 8 3 4" xfId="38331" xr:uid="{00000000-0005-0000-0000-000089970000}"/>
    <cellStyle name="Bemærk! 2 3 9" xfId="4888" xr:uid="{00000000-0005-0000-0000-00008A970000}"/>
    <cellStyle name="Bemærk! 2 3 9 2" xfId="6768" xr:uid="{00000000-0005-0000-0000-00008B970000}"/>
    <cellStyle name="Bemærk! 2 3 9 2 2" xfId="14679" xr:uid="{00000000-0005-0000-0000-00008C970000}"/>
    <cellStyle name="Bemærk! 2 3 9 2 2 2" xfId="30993" xr:uid="{00000000-0005-0000-0000-00008D970000}"/>
    <cellStyle name="Bemærk! 2 3 9 2 2 3" xfId="45957" xr:uid="{00000000-0005-0000-0000-00008E970000}"/>
    <cellStyle name="Bemærk! 2 3 9 2 3" xfId="23971" xr:uid="{00000000-0005-0000-0000-00008F970000}"/>
    <cellStyle name="Bemærk! 2 3 9 2 4" xfId="38958" xr:uid="{00000000-0005-0000-0000-000090970000}"/>
    <cellStyle name="Bemærk! 2 4" xfId="4889" xr:uid="{00000000-0005-0000-0000-000091970000}"/>
    <cellStyle name="Bemærk! 2 4 10" xfId="53411" xr:uid="{00000000-0005-0000-0000-000092970000}"/>
    <cellStyle name="Bemærk! 2 4 2" xfId="4890" xr:uid="{00000000-0005-0000-0000-000093970000}"/>
    <cellStyle name="Bemærk! 2 4 2 2" xfId="4891" xr:uid="{00000000-0005-0000-0000-000094970000}"/>
    <cellStyle name="Bemærk! 2 4 2 2 2" xfId="4892" xr:uid="{00000000-0005-0000-0000-000095970000}"/>
    <cellStyle name="Bemærk! 2 4 2 2 2 2" xfId="7698" xr:uid="{00000000-0005-0000-0000-000096970000}"/>
    <cellStyle name="Bemærk! 2 4 2 2 2 2 2" xfId="15599" xr:uid="{00000000-0005-0000-0000-000097970000}"/>
    <cellStyle name="Bemærk! 2 4 2 2 2 2 2 2" xfId="31913" xr:uid="{00000000-0005-0000-0000-000098970000}"/>
    <cellStyle name="Bemærk! 2 4 2 2 2 2 2 3" xfId="46877" xr:uid="{00000000-0005-0000-0000-000099970000}"/>
    <cellStyle name="Bemærk! 2 4 2 2 2 2 3" xfId="24891" xr:uid="{00000000-0005-0000-0000-00009A970000}"/>
    <cellStyle name="Bemærk! 2 4 2 2 2 2 4" xfId="39878" xr:uid="{00000000-0005-0000-0000-00009B970000}"/>
    <cellStyle name="Bemærk! 2 4 2 2 3" xfId="57215" xr:uid="{00000000-0005-0000-0000-00009C970000}"/>
    <cellStyle name="Bemærk! 2 4 2 3" xfId="4893" xr:uid="{00000000-0005-0000-0000-00009D970000}"/>
    <cellStyle name="Bemærk! 2 4 2 3 2" xfId="4894" xr:uid="{00000000-0005-0000-0000-00009E970000}"/>
    <cellStyle name="Bemærk! 2 4 2 3 2 2" xfId="8267" xr:uid="{00000000-0005-0000-0000-00009F970000}"/>
    <cellStyle name="Bemærk! 2 4 2 3 2 2 2" xfId="16163" xr:uid="{00000000-0005-0000-0000-0000A0970000}"/>
    <cellStyle name="Bemærk! 2 4 2 3 2 2 2 2" xfId="32477" xr:uid="{00000000-0005-0000-0000-0000A1970000}"/>
    <cellStyle name="Bemærk! 2 4 2 3 2 2 2 3" xfId="47441" xr:uid="{00000000-0005-0000-0000-0000A2970000}"/>
    <cellStyle name="Bemærk! 2 4 2 3 2 2 3" xfId="25455" xr:uid="{00000000-0005-0000-0000-0000A3970000}"/>
    <cellStyle name="Bemærk! 2 4 2 3 2 2 4" xfId="40442" xr:uid="{00000000-0005-0000-0000-0000A4970000}"/>
    <cellStyle name="Bemærk! 2 4 2 3 3" xfId="6267" xr:uid="{00000000-0005-0000-0000-0000A5970000}"/>
    <cellStyle name="Bemærk! 2 4 2 3 3 2" xfId="14184" xr:uid="{00000000-0005-0000-0000-0000A6970000}"/>
    <cellStyle name="Bemærk! 2 4 2 3 3 2 2" xfId="30498" xr:uid="{00000000-0005-0000-0000-0000A7970000}"/>
    <cellStyle name="Bemærk! 2 4 2 3 3 2 3" xfId="45462" xr:uid="{00000000-0005-0000-0000-0000A8970000}"/>
    <cellStyle name="Bemærk! 2 4 2 3 3 3" xfId="23476" xr:uid="{00000000-0005-0000-0000-0000A9970000}"/>
    <cellStyle name="Bemærk! 2 4 2 3 3 4" xfId="38463" xr:uid="{00000000-0005-0000-0000-0000AA970000}"/>
    <cellStyle name="Bemærk! 2 4 2 4" xfId="4895" xr:uid="{00000000-0005-0000-0000-0000AB970000}"/>
    <cellStyle name="Bemærk! 2 4 2 4 2" xfId="6928" xr:uid="{00000000-0005-0000-0000-0000AC970000}"/>
    <cellStyle name="Bemærk! 2 4 2 4 2 2" xfId="14839" xr:uid="{00000000-0005-0000-0000-0000AD970000}"/>
    <cellStyle name="Bemærk! 2 4 2 4 2 2 2" xfId="31153" xr:uid="{00000000-0005-0000-0000-0000AE970000}"/>
    <cellStyle name="Bemærk! 2 4 2 4 2 2 3" xfId="46117" xr:uid="{00000000-0005-0000-0000-0000AF970000}"/>
    <cellStyle name="Bemærk! 2 4 2 4 2 3" xfId="24131" xr:uid="{00000000-0005-0000-0000-0000B0970000}"/>
    <cellStyle name="Bemærk! 2 4 2 4 2 4" xfId="39118" xr:uid="{00000000-0005-0000-0000-0000B1970000}"/>
    <cellStyle name="Bemærk! 2 4 2 5" xfId="54048" xr:uid="{00000000-0005-0000-0000-0000B2970000}"/>
    <cellStyle name="Bemærk! 2 4 3" xfId="4896" xr:uid="{00000000-0005-0000-0000-0000B3970000}"/>
    <cellStyle name="Bemærk! 2 4 3 2" xfId="4897" xr:uid="{00000000-0005-0000-0000-0000B4970000}"/>
    <cellStyle name="Bemærk! 2 4 3 2 2" xfId="4898" xr:uid="{00000000-0005-0000-0000-0000B5970000}"/>
    <cellStyle name="Bemærk! 2 4 3 2 2 2" xfId="7839" xr:uid="{00000000-0005-0000-0000-0000B6970000}"/>
    <cellStyle name="Bemærk! 2 4 3 2 2 2 2" xfId="15740" xr:uid="{00000000-0005-0000-0000-0000B7970000}"/>
    <cellStyle name="Bemærk! 2 4 3 2 2 2 2 2" xfId="32054" xr:uid="{00000000-0005-0000-0000-0000B8970000}"/>
    <cellStyle name="Bemærk! 2 4 3 2 2 2 2 3" xfId="47018" xr:uid="{00000000-0005-0000-0000-0000B9970000}"/>
    <cellStyle name="Bemærk! 2 4 3 2 2 2 3" xfId="25032" xr:uid="{00000000-0005-0000-0000-0000BA970000}"/>
    <cellStyle name="Bemærk! 2 4 3 2 2 2 4" xfId="40019" xr:uid="{00000000-0005-0000-0000-0000BB970000}"/>
    <cellStyle name="Bemærk! 2 4 3 3" xfId="4899" xr:uid="{00000000-0005-0000-0000-0000BC970000}"/>
    <cellStyle name="Bemærk! 2 4 3 3 2" xfId="4900" xr:uid="{00000000-0005-0000-0000-0000BD970000}"/>
    <cellStyle name="Bemærk! 2 4 3 3 2 2" xfId="8585" xr:uid="{00000000-0005-0000-0000-0000BE970000}"/>
    <cellStyle name="Bemærk! 2 4 3 3 2 2 2" xfId="16472" xr:uid="{00000000-0005-0000-0000-0000BF970000}"/>
    <cellStyle name="Bemærk! 2 4 3 3 2 2 2 2" xfId="32786" xr:uid="{00000000-0005-0000-0000-0000C0970000}"/>
    <cellStyle name="Bemærk! 2 4 3 3 2 2 2 3" xfId="47750" xr:uid="{00000000-0005-0000-0000-0000C1970000}"/>
    <cellStyle name="Bemærk! 2 4 3 3 2 2 3" xfId="25764" xr:uid="{00000000-0005-0000-0000-0000C2970000}"/>
    <cellStyle name="Bemærk! 2 4 3 3 2 2 4" xfId="40751" xr:uid="{00000000-0005-0000-0000-0000C3970000}"/>
    <cellStyle name="Bemærk! 2 4 3 3 3" xfId="6388" xr:uid="{00000000-0005-0000-0000-0000C4970000}"/>
    <cellStyle name="Bemærk! 2 4 3 3 3 2" xfId="14302" xr:uid="{00000000-0005-0000-0000-0000C5970000}"/>
    <cellStyle name="Bemærk! 2 4 3 3 3 2 2" xfId="30616" xr:uid="{00000000-0005-0000-0000-0000C6970000}"/>
    <cellStyle name="Bemærk! 2 4 3 3 3 2 3" xfId="45580" xr:uid="{00000000-0005-0000-0000-0000C7970000}"/>
    <cellStyle name="Bemærk! 2 4 3 3 3 3" xfId="23594" xr:uid="{00000000-0005-0000-0000-0000C8970000}"/>
    <cellStyle name="Bemærk! 2 4 3 3 3 4" xfId="38581" xr:uid="{00000000-0005-0000-0000-0000C9970000}"/>
    <cellStyle name="Bemærk! 2 4 3 4" xfId="4901" xr:uid="{00000000-0005-0000-0000-0000CA970000}"/>
    <cellStyle name="Bemærk! 2 4 3 4 2" xfId="7070" xr:uid="{00000000-0005-0000-0000-0000CB970000}"/>
    <cellStyle name="Bemærk! 2 4 3 4 2 2" xfId="14981" xr:uid="{00000000-0005-0000-0000-0000CC970000}"/>
    <cellStyle name="Bemærk! 2 4 3 4 2 2 2" xfId="31295" xr:uid="{00000000-0005-0000-0000-0000CD970000}"/>
    <cellStyle name="Bemærk! 2 4 3 4 2 2 3" xfId="46259" xr:uid="{00000000-0005-0000-0000-0000CE970000}"/>
    <cellStyle name="Bemærk! 2 4 3 4 2 3" xfId="24273" xr:uid="{00000000-0005-0000-0000-0000CF970000}"/>
    <cellStyle name="Bemærk! 2 4 3 4 2 4" xfId="39260" xr:uid="{00000000-0005-0000-0000-0000D0970000}"/>
    <cellStyle name="Bemærk! 2 4 3 5" xfId="56592" xr:uid="{00000000-0005-0000-0000-0000D1970000}"/>
    <cellStyle name="Bemærk! 2 4 4" xfId="4902" xr:uid="{00000000-0005-0000-0000-0000D2970000}"/>
    <cellStyle name="Bemærk! 2 4 4 2" xfId="4903" xr:uid="{00000000-0005-0000-0000-0000D3970000}"/>
    <cellStyle name="Bemærk! 2 4 4 2 2" xfId="4904" xr:uid="{00000000-0005-0000-0000-0000D4970000}"/>
    <cellStyle name="Bemærk! 2 4 4 2 2 2" xfId="7936" xr:uid="{00000000-0005-0000-0000-0000D5970000}"/>
    <cellStyle name="Bemærk! 2 4 4 2 2 2 2" xfId="15837" xr:uid="{00000000-0005-0000-0000-0000D6970000}"/>
    <cellStyle name="Bemærk! 2 4 4 2 2 2 2 2" xfId="32151" xr:uid="{00000000-0005-0000-0000-0000D7970000}"/>
    <cellStyle name="Bemærk! 2 4 4 2 2 2 2 3" xfId="47115" xr:uid="{00000000-0005-0000-0000-0000D8970000}"/>
    <cellStyle name="Bemærk! 2 4 4 2 2 2 3" xfId="25129" xr:uid="{00000000-0005-0000-0000-0000D9970000}"/>
    <cellStyle name="Bemærk! 2 4 4 2 2 2 4" xfId="40116" xr:uid="{00000000-0005-0000-0000-0000DA970000}"/>
    <cellStyle name="Bemærk! 2 4 4 3" xfId="4905" xr:uid="{00000000-0005-0000-0000-0000DB970000}"/>
    <cellStyle name="Bemærk! 2 4 4 3 2" xfId="4906" xr:uid="{00000000-0005-0000-0000-0000DC970000}"/>
    <cellStyle name="Bemærk! 2 4 4 3 2 2" xfId="8662" xr:uid="{00000000-0005-0000-0000-0000DD970000}"/>
    <cellStyle name="Bemærk! 2 4 4 3 2 2 2" xfId="16545" xr:uid="{00000000-0005-0000-0000-0000DE970000}"/>
    <cellStyle name="Bemærk! 2 4 4 3 2 2 2 2" xfId="32859" xr:uid="{00000000-0005-0000-0000-0000DF970000}"/>
    <cellStyle name="Bemærk! 2 4 4 3 2 2 2 3" xfId="47823" xr:uid="{00000000-0005-0000-0000-0000E0970000}"/>
    <cellStyle name="Bemærk! 2 4 4 3 2 2 3" xfId="25837" xr:uid="{00000000-0005-0000-0000-0000E1970000}"/>
    <cellStyle name="Bemærk! 2 4 4 3 2 2 4" xfId="40824" xr:uid="{00000000-0005-0000-0000-0000E2970000}"/>
    <cellStyle name="Bemærk! 2 4 4 3 3" xfId="6469" xr:uid="{00000000-0005-0000-0000-0000E3970000}"/>
    <cellStyle name="Bemærk! 2 4 4 3 3 2" xfId="14383" xr:uid="{00000000-0005-0000-0000-0000E4970000}"/>
    <cellStyle name="Bemærk! 2 4 4 3 3 2 2" xfId="30697" xr:uid="{00000000-0005-0000-0000-0000E5970000}"/>
    <cellStyle name="Bemærk! 2 4 4 3 3 2 3" xfId="45661" xr:uid="{00000000-0005-0000-0000-0000E6970000}"/>
    <cellStyle name="Bemærk! 2 4 4 3 3 3" xfId="23675" xr:uid="{00000000-0005-0000-0000-0000E7970000}"/>
    <cellStyle name="Bemærk! 2 4 4 3 3 4" xfId="38662" xr:uid="{00000000-0005-0000-0000-0000E8970000}"/>
    <cellStyle name="Bemærk! 2 4 4 4" xfId="4907" xr:uid="{00000000-0005-0000-0000-0000E9970000}"/>
    <cellStyle name="Bemærk! 2 4 4 4 2" xfId="7212" xr:uid="{00000000-0005-0000-0000-0000EA970000}"/>
    <cellStyle name="Bemærk! 2 4 4 4 2 2" xfId="15122" xr:uid="{00000000-0005-0000-0000-0000EB970000}"/>
    <cellStyle name="Bemærk! 2 4 4 4 2 2 2" xfId="31436" xr:uid="{00000000-0005-0000-0000-0000EC970000}"/>
    <cellStyle name="Bemærk! 2 4 4 4 2 2 3" xfId="46400" xr:uid="{00000000-0005-0000-0000-0000ED970000}"/>
    <cellStyle name="Bemærk! 2 4 4 4 2 3" xfId="24414" xr:uid="{00000000-0005-0000-0000-0000EE970000}"/>
    <cellStyle name="Bemærk! 2 4 4 4 2 4" xfId="39401" xr:uid="{00000000-0005-0000-0000-0000EF970000}"/>
    <cellStyle name="Bemærk! 2 4 5" xfId="4908" xr:uid="{00000000-0005-0000-0000-0000F0970000}"/>
    <cellStyle name="Bemærk! 2 4 5 2" xfId="4909" xr:uid="{00000000-0005-0000-0000-0000F1970000}"/>
    <cellStyle name="Bemærk! 2 4 5 2 2" xfId="4910" xr:uid="{00000000-0005-0000-0000-0000F2970000}"/>
    <cellStyle name="Bemærk! 2 4 5 2 2 2" xfId="8053" xr:uid="{00000000-0005-0000-0000-0000F3970000}"/>
    <cellStyle name="Bemærk! 2 4 5 2 2 2 2" xfId="15954" xr:uid="{00000000-0005-0000-0000-0000F4970000}"/>
    <cellStyle name="Bemærk! 2 4 5 2 2 2 2 2" xfId="32268" xr:uid="{00000000-0005-0000-0000-0000F5970000}"/>
    <cellStyle name="Bemærk! 2 4 5 2 2 2 2 3" xfId="47232" xr:uid="{00000000-0005-0000-0000-0000F6970000}"/>
    <cellStyle name="Bemærk! 2 4 5 2 2 2 3" xfId="25246" xr:uid="{00000000-0005-0000-0000-0000F7970000}"/>
    <cellStyle name="Bemærk! 2 4 5 2 2 2 4" xfId="40233" xr:uid="{00000000-0005-0000-0000-0000F8970000}"/>
    <cellStyle name="Bemærk! 2 4 5 3" xfId="4911" xr:uid="{00000000-0005-0000-0000-0000F9970000}"/>
    <cellStyle name="Bemærk! 2 4 5 3 2" xfId="4912" xr:uid="{00000000-0005-0000-0000-0000FA970000}"/>
    <cellStyle name="Bemærk! 2 4 5 3 2 2" xfId="8246" xr:uid="{00000000-0005-0000-0000-0000FB970000}"/>
    <cellStyle name="Bemærk! 2 4 5 3 2 2 2" xfId="16143" xr:uid="{00000000-0005-0000-0000-0000FC970000}"/>
    <cellStyle name="Bemærk! 2 4 5 3 2 2 2 2" xfId="32457" xr:uid="{00000000-0005-0000-0000-0000FD970000}"/>
    <cellStyle name="Bemærk! 2 4 5 3 2 2 2 3" xfId="47421" xr:uid="{00000000-0005-0000-0000-0000FE970000}"/>
    <cellStyle name="Bemærk! 2 4 5 3 2 2 3" xfId="25435" xr:uid="{00000000-0005-0000-0000-0000FF970000}"/>
    <cellStyle name="Bemærk! 2 4 5 3 2 2 4" xfId="40422" xr:uid="{00000000-0005-0000-0000-000000980000}"/>
    <cellStyle name="Bemærk! 2 4 5 3 3" xfId="6568" xr:uid="{00000000-0005-0000-0000-000001980000}"/>
    <cellStyle name="Bemærk! 2 4 5 3 3 2" xfId="14482" xr:uid="{00000000-0005-0000-0000-000002980000}"/>
    <cellStyle name="Bemærk! 2 4 5 3 3 2 2" xfId="30796" xr:uid="{00000000-0005-0000-0000-000003980000}"/>
    <cellStyle name="Bemærk! 2 4 5 3 3 2 3" xfId="45760" xr:uid="{00000000-0005-0000-0000-000004980000}"/>
    <cellStyle name="Bemærk! 2 4 5 3 3 3" xfId="23774" xr:uid="{00000000-0005-0000-0000-000005980000}"/>
    <cellStyle name="Bemærk! 2 4 5 3 3 4" xfId="38761" xr:uid="{00000000-0005-0000-0000-000006980000}"/>
    <cellStyle name="Bemærk! 2 4 5 4" xfId="4913" xr:uid="{00000000-0005-0000-0000-000007980000}"/>
    <cellStyle name="Bemærk! 2 4 5 4 2" xfId="7329" xr:uid="{00000000-0005-0000-0000-000008980000}"/>
    <cellStyle name="Bemærk! 2 4 5 4 2 2" xfId="15239" xr:uid="{00000000-0005-0000-0000-000009980000}"/>
    <cellStyle name="Bemærk! 2 4 5 4 2 2 2" xfId="31553" xr:uid="{00000000-0005-0000-0000-00000A980000}"/>
    <cellStyle name="Bemærk! 2 4 5 4 2 2 3" xfId="46517" xr:uid="{00000000-0005-0000-0000-00000B980000}"/>
    <cellStyle name="Bemærk! 2 4 5 4 2 3" xfId="24531" xr:uid="{00000000-0005-0000-0000-00000C980000}"/>
    <cellStyle name="Bemærk! 2 4 5 4 2 4" xfId="39518" xr:uid="{00000000-0005-0000-0000-00000D980000}"/>
    <cellStyle name="Bemærk! 2 4 6" xfId="4914" xr:uid="{00000000-0005-0000-0000-00000E980000}"/>
    <cellStyle name="Bemærk! 2 4 6 2" xfId="4915" xr:uid="{00000000-0005-0000-0000-00000F980000}"/>
    <cellStyle name="Bemærk! 2 4 6 2 2" xfId="4916" xr:uid="{00000000-0005-0000-0000-000010980000}"/>
    <cellStyle name="Bemærk! 2 4 6 2 2 2" xfId="8193" xr:uid="{00000000-0005-0000-0000-000011980000}"/>
    <cellStyle name="Bemærk! 2 4 6 2 2 2 2" xfId="16094" xr:uid="{00000000-0005-0000-0000-000012980000}"/>
    <cellStyle name="Bemærk! 2 4 6 2 2 2 2 2" xfId="32408" xr:uid="{00000000-0005-0000-0000-000013980000}"/>
    <cellStyle name="Bemærk! 2 4 6 2 2 2 2 3" xfId="47372" xr:uid="{00000000-0005-0000-0000-000014980000}"/>
    <cellStyle name="Bemærk! 2 4 6 2 2 2 3" xfId="25386" xr:uid="{00000000-0005-0000-0000-000015980000}"/>
    <cellStyle name="Bemærk! 2 4 6 2 2 2 4" xfId="40373" xr:uid="{00000000-0005-0000-0000-000016980000}"/>
    <cellStyle name="Bemærk! 2 4 6 3" xfId="4917" xr:uid="{00000000-0005-0000-0000-000017980000}"/>
    <cellStyle name="Bemærk! 2 4 6 3 2" xfId="4918" xr:uid="{00000000-0005-0000-0000-000018980000}"/>
    <cellStyle name="Bemærk! 2 4 6 3 2 2" xfId="8805" xr:uid="{00000000-0005-0000-0000-000019980000}"/>
    <cellStyle name="Bemærk! 2 4 6 3 2 2 2" xfId="16681" xr:uid="{00000000-0005-0000-0000-00001A980000}"/>
    <cellStyle name="Bemærk! 2 4 6 3 2 2 2 2" xfId="32995" xr:uid="{00000000-0005-0000-0000-00001B980000}"/>
    <cellStyle name="Bemærk! 2 4 6 3 2 2 2 3" xfId="47959" xr:uid="{00000000-0005-0000-0000-00001C980000}"/>
    <cellStyle name="Bemærk! 2 4 6 3 2 2 3" xfId="25973" xr:uid="{00000000-0005-0000-0000-00001D980000}"/>
    <cellStyle name="Bemærk! 2 4 6 3 2 2 4" xfId="40960" xr:uid="{00000000-0005-0000-0000-00001E980000}"/>
    <cellStyle name="Bemærk! 2 4 6 3 3" xfId="6686" xr:uid="{00000000-0005-0000-0000-00001F980000}"/>
    <cellStyle name="Bemærk! 2 4 6 3 3 2" xfId="14600" xr:uid="{00000000-0005-0000-0000-000020980000}"/>
    <cellStyle name="Bemærk! 2 4 6 3 3 2 2" xfId="30914" xr:uid="{00000000-0005-0000-0000-000021980000}"/>
    <cellStyle name="Bemærk! 2 4 6 3 3 2 3" xfId="45878" xr:uid="{00000000-0005-0000-0000-000022980000}"/>
    <cellStyle name="Bemærk! 2 4 6 3 3 3" xfId="23892" xr:uid="{00000000-0005-0000-0000-000023980000}"/>
    <cellStyle name="Bemærk! 2 4 6 3 3 4" xfId="38879" xr:uid="{00000000-0005-0000-0000-000024980000}"/>
    <cellStyle name="Bemærk! 2 4 6 4" xfId="4919" xr:uid="{00000000-0005-0000-0000-000025980000}"/>
    <cellStyle name="Bemærk! 2 4 6 4 2" xfId="7470" xr:uid="{00000000-0005-0000-0000-000026980000}"/>
    <cellStyle name="Bemærk! 2 4 6 4 2 2" xfId="15380" xr:uid="{00000000-0005-0000-0000-000027980000}"/>
    <cellStyle name="Bemærk! 2 4 6 4 2 2 2" xfId="31694" xr:uid="{00000000-0005-0000-0000-000028980000}"/>
    <cellStyle name="Bemærk! 2 4 6 4 2 2 3" xfId="46658" xr:uid="{00000000-0005-0000-0000-000029980000}"/>
    <cellStyle name="Bemærk! 2 4 6 4 2 3" xfId="24672" xr:uid="{00000000-0005-0000-0000-00002A980000}"/>
    <cellStyle name="Bemærk! 2 4 6 4 2 4" xfId="39659" xr:uid="{00000000-0005-0000-0000-00002B980000}"/>
    <cellStyle name="Bemærk! 2 4 7" xfId="4920" xr:uid="{00000000-0005-0000-0000-00002C980000}"/>
    <cellStyle name="Bemærk! 2 4 7 2" xfId="4921" xr:uid="{00000000-0005-0000-0000-00002D980000}"/>
    <cellStyle name="Bemærk! 2 4 7 2 2" xfId="7579" xr:uid="{00000000-0005-0000-0000-00002E980000}"/>
    <cellStyle name="Bemærk! 2 4 7 2 2 2" xfId="15480" xr:uid="{00000000-0005-0000-0000-00002F980000}"/>
    <cellStyle name="Bemærk! 2 4 7 2 2 2 2" xfId="31794" xr:uid="{00000000-0005-0000-0000-000030980000}"/>
    <cellStyle name="Bemærk! 2 4 7 2 2 2 3" xfId="46758" xr:uid="{00000000-0005-0000-0000-000031980000}"/>
    <cellStyle name="Bemærk! 2 4 7 2 2 3" xfId="24772" xr:uid="{00000000-0005-0000-0000-000032980000}"/>
    <cellStyle name="Bemærk! 2 4 7 2 2 4" xfId="39759" xr:uid="{00000000-0005-0000-0000-000033980000}"/>
    <cellStyle name="Bemærk! 2 4 8" xfId="4922" xr:uid="{00000000-0005-0000-0000-000034980000}"/>
    <cellStyle name="Bemærk! 2 4 8 2" xfId="4923" xr:uid="{00000000-0005-0000-0000-000035980000}"/>
    <cellStyle name="Bemærk! 2 4 8 2 2" xfId="8678" xr:uid="{00000000-0005-0000-0000-000036980000}"/>
    <cellStyle name="Bemærk! 2 4 8 2 2 2" xfId="16560" xr:uid="{00000000-0005-0000-0000-000037980000}"/>
    <cellStyle name="Bemærk! 2 4 8 2 2 2 2" xfId="32874" xr:uid="{00000000-0005-0000-0000-000038980000}"/>
    <cellStyle name="Bemærk! 2 4 8 2 2 2 3" xfId="47838" xr:uid="{00000000-0005-0000-0000-000039980000}"/>
    <cellStyle name="Bemærk! 2 4 8 2 2 3" xfId="25852" xr:uid="{00000000-0005-0000-0000-00003A980000}"/>
    <cellStyle name="Bemærk! 2 4 8 2 2 4" xfId="40839" xr:uid="{00000000-0005-0000-0000-00003B980000}"/>
    <cellStyle name="Bemærk! 2 4 8 3" xfId="6168" xr:uid="{00000000-0005-0000-0000-00003C980000}"/>
    <cellStyle name="Bemærk! 2 4 8 3 2" xfId="14085" xr:uid="{00000000-0005-0000-0000-00003D980000}"/>
    <cellStyle name="Bemærk! 2 4 8 3 2 2" xfId="30399" xr:uid="{00000000-0005-0000-0000-00003E980000}"/>
    <cellStyle name="Bemærk! 2 4 8 3 2 3" xfId="45363" xr:uid="{00000000-0005-0000-0000-00003F980000}"/>
    <cellStyle name="Bemærk! 2 4 8 3 3" xfId="23377" xr:uid="{00000000-0005-0000-0000-000040980000}"/>
    <cellStyle name="Bemærk! 2 4 8 3 4" xfId="38364" xr:uid="{00000000-0005-0000-0000-000041980000}"/>
    <cellStyle name="Bemærk! 2 4 9" xfId="4924" xr:uid="{00000000-0005-0000-0000-000042980000}"/>
    <cellStyle name="Bemærk! 2 4 9 2" xfId="6807" xr:uid="{00000000-0005-0000-0000-000043980000}"/>
    <cellStyle name="Bemærk! 2 4 9 2 2" xfId="14718" xr:uid="{00000000-0005-0000-0000-000044980000}"/>
    <cellStyle name="Bemærk! 2 4 9 2 2 2" xfId="31032" xr:uid="{00000000-0005-0000-0000-000045980000}"/>
    <cellStyle name="Bemærk! 2 4 9 2 2 3" xfId="45996" xr:uid="{00000000-0005-0000-0000-000046980000}"/>
    <cellStyle name="Bemærk! 2 4 9 2 3" xfId="24010" xr:uid="{00000000-0005-0000-0000-000047980000}"/>
    <cellStyle name="Bemærk! 2 4 9 2 4" xfId="38997" xr:uid="{00000000-0005-0000-0000-000048980000}"/>
    <cellStyle name="Bemærk! 2 5" xfId="4925" xr:uid="{00000000-0005-0000-0000-000049980000}"/>
    <cellStyle name="Bemærk! 2 5 2" xfId="4926" xr:uid="{00000000-0005-0000-0000-00004A980000}"/>
    <cellStyle name="Bemærk! 2 5 2 2" xfId="4927" xr:uid="{00000000-0005-0000-0000-00004B980000}"/>
    <cellStyle name="Bemærk! 2 5 2 2 2" xfId="7620" xr:uid="{00000000-0005-0000-0000-00004C980000}"/>
    <cellStyle name="Bemærk! 2 5 2 2 2 2" xfId="15521" xr:uid="{00000000-0005-0000-0000-00004D980000}"/>
    <cellStyle name="Bemærk! 2 5 2 2 2 2 2" xfId="31835" xr:uid="{00000000-0005-0000-0000-00004E980000}"/>
    <cellStyle name="Bemærk! 2 5 2 2 2 2 3" xfId="46799" xr:uid="{00000000-0005-0000-0000-00004F980000}"/>
    <cellStyle name="Bemærk! 2 5 2 2 2 3" xfId="24813" xr:uid="{00000000-0005-0000-0000-000050980000}"/>
    <cellStyle name="Bemærk! 2 5 2 2 2 4" xfId="39800" xr:uid="{00000000-0005-0000-0000-000051980000}"/>
    <cellStyle name="Bemærk! 2 5 2 2 3" xfId="57216" xr:uid="{00000000-0005-0000-0000-000052980000}"/>
    <cellStyle name="Bemærk! 2 5 2 3" xfId="54049" xr:uid="{00000000-0005-0000-0000-000053980000}"/>
    <cellStyle name="Bemærk! 2 5 3" xfId="4928" xr:uid="{00000000-0005-0000-0000-000054980000}"/>
    <cellStyle name="Bemærk! 2 5 3 2" xfId="4929" xr:uid="{00000000-0005-0000-0000-000055980000}"/>
    <cellStyle name="Bemærk! 2 5 3 2 2" xfId="8724" xr:uid="{00000000-0005-0000-0000-000056980000}"/>
    <cellStyle name="Bemærk! 2 5 3 2 2 2" xfId="16604" xr:uid="{00000000-0005-0000-0000-000057980000}"/>
    <cellStyle name="Bemærk! 2 5 3 2 2 2 2" xfId="32918" xr:uid="{00000000-0005-0000-0000-000058980000}"/>
    <cellStyle name="Bemærk! 2 5 3 2 2 2 3" xfId="47882" xr:uid="{00000000-0005-0000-0000-000059980000}"/>
    <cellStyle name="Bemærk! 2 5 3 2 2 3" xfId="25896" xr:uid="{00000000-0005-0000-0000-00005A980000}"/>
    <cellStyle name="Bemærk! 2 5 3 2 2 4" xfId="40883" xr:uid="{00000000-0005-0000-0000-00005B980000}"/>
    <cellStyle name="Bemærk! 2 5 3 3" xfId="6201" xr:uid="{00000000-0005-0000-0000-00005C980000}"/>
    <cellStyle name="Bemærk! 2 5 3 3 2" xfId="14118" xr:uid="{00000000-0005-0000-0000-00005D980000}"/>
    <cellStyle name="Bemærk! 2 5 3 3 2 2" xfId="30432" xr:uid="{00000000-0005-0000-0000-00005E980000}"/>
    <cellStyle name="Bemærk! 2 5 3 3 2 3" xfId="45396" xr:uid="{00000000-0005-0000-0000-00005F980000}"/>
    <cellStyle name="Bemærk! 2 5 3 3 3" xfId="23410" xr:uid="{00000000-0005-0000-0000-000060980000}"/>
    <cellStyle name="Bemærk! 2 5 3 3 4" xfId="38397" xr:uid="{00000000-0005-0000-0000-000061980000}"/>
    <cellStyle name="Bemærk! 2 5 3 4" xfId="56593" xr:uid="{00000000-0005-0000-0000-000062980000}"/>
    <cellStyle name="Bemærk! 2 5 4" xfId="4930" xr:uid="{00000000-0005-0000-0000-000063980000}"/>
    <cellStyle name="Bemærk! 2 5 4 2" xfId="6850" xr:uid="{00000000-0005-0000-0000-000064980000}"/>
    <cellStyle name="Bemærk! 2 5 4 2 2" xfId="14761" xr:uid="{00000000-0005-0000-0000-000065980000}"/>
    <cellStyle name="Bemærk! 2 5 4 2 2 2" xfId="31075" xr:uid="{00000000-0005-0000-0000-000066980000}"/>
    <cellStyle name="Bemærk! 2 5 4 2 2 3" xfId="46039" xr:uid="{00000000-0005-0000-0000-000067980000}"/>
    <cellStyle name="Bemærk! 2 5 4 2 3" xfId="24053" xr:uid="{00000000-0005-0000-0000-000068980000}"/>
    <cellStyle name="Bemærk! 2 5 4 2 4" xfId="39040" xr:uid="{00000000-0005-0000-0000-000069980000}"/>
    <cellStyle name="Bemærk! 2 5 5" xfId="53412" xr:uid="{00000000-0005-0000-0000-00006A980000}"/>
    <cellStyle name="Bemærk! 2 6" xfId="4931" xr:uid="{00000000-0005-0000-0000-00006B980000}"/>
    <cellStyle name="Bemærk! 2 6 2" xfId="4932" xr:uid="{00000000-0005-0000-0000-00006C980000}"/>
    <cellStyle name="Bemærk! 2 6 2 2" xfId="4933" xr:uid="{00000000-0005-0000-0000-00006D980000}"/>
    <cellStyle name="Bemærk! 2 6 2 2 2" xfId="7834" xr:uid="{00000000-0005-0000-0000-00006E980000}"/>
    <cellStyle name="Bemærk! 2 6 2 2 2 2" xfId="15735" xr:uid="{00000000-0005-0000-0000-00006F980000}"/>
    <cellStyle name="Bemærk! 2 6 2 2 2 2 2" xfId="32049" xr:uid="{00000000-0005-0000-0000-000070980000}"/>
    <cellStyle name="Bemærk! 2 6 2 2 2 2 3" xfId="47013" xr:uid="{00000000-0005-0000-0000-000071980000}"/>
    <cellStyle name="Bemærk! 2 6 2 2 2 3" xfId="25027" xr:uid="{00000000-0005-0000-0000-000072980000}"/>
    <cellStyle name="Bemærk! 2 6 2 2 2 4" xfId="40014" xr:uid="{00000000-0005-0000-0000-000073980000}"/>
    <cellStyle name="Bemærk! 2 6 3" xfId="4934" xr:uid="{00000000-0005-0000-0000-000074980000}"/>
    <cellStyle name="Bemærk! 2 6 3 2" xfId="4935" xr:uid="{00000000-0005-0000-0000-000075980000}"/>
    <cellStyle name="Bemærk! 2 6 3 2 2" xfId="8442" xr:uid="{00000000-0005-0000-0000-000076980000}"/>
    <cellStyle name="Bemærk! 2 6 3 2 2 2" xfId="16334" xr:uid="{00000000-0005-0000-0000-000077980000}"/>
    <cellStyle name="Bemærk! 2 6 3 2 2 2 2" xfId="32648" xr:uid="{00000000-0005-0000-0000-000078980000}"/>
    <cellStyle name="Bemærk! 2 6 3 2 2 2 3" xfId="47612" xr:uid="{00000000-0005-0000-0000-000079980000}"/>
    <cellStyle name="Bemærk! 2 6 3 2 2 3" xfId="25626" xr:uid="{00000000-0005-0000-0000-00007A980000}"/>
    <cellStyle name="Bemærk! 2 6 3 2 2 4" xfId="40613" xr:uid="{00000000-0005-0000-0000-00007B980000}"/>
    <cellStyle name="Bemærk! 2 6 3 3" xfId="6383" xr:uid="{00000000-0005-0000-0000-00007C980000}"/>
    <cellStyle name="Bemærk! 2 6 3 3 2" xfId="14297" xr:uid="{00000000-0005-0000-0000-00007D980000}"/>
    <cellStyle name="Bemærk! 2 6 3 3 2 2" xfId="30611" xr:uid="{00000000-0005-0000-0000-00007E980000}"/>
    <cellStyle name="Bemærk! 2 6 3 3 2 3" xfId="45575" xr:uid="{00000000-0005-0000-0000-00007F980000}"/>
    <cellStyle name="Bemærk! 2 6 3 3 3" xfId="23589" xr:uid="{00000000-0005-0000-0000-000080980000}"/>
    <cellStyle name="Bemærk! 2 6 3 3 4" xfId="38576" xr:uid="{00000000-0005-0000-0000-000081980000}"/>
    <cellStyle name="Bemærk! 2 6 4" xfId="4936" xr:uid="{00000000-0005-0000-0000-000082980000}"/>
    <cellStyle name="Bemærk! 2 6 4 2" xfId="7065" xr:uid="{00000000-0005-0000-0000-000083980000}"/>
    <cellStyle name="Bemærk! 2 6 4 2 2" xfId="14976" xr:uid="{00000000-0005-0000-0000-000084980000}"/>
    <cellStyle name="Bemærk! 2 6 4 2 2 2" xfId="31290" xr:uid="{00000000-0005-0000-0000-000085980000}"/>
    <cellStyle name="Bemærk! 2 6 4 2 2 3" xfId="46254" xr:uid="{00000000-0005-0000-0000-000086980000}"/>
    <cellStyle name="Bemærk! 2 6 4 2 3" xfId="24268" xr:uid="{00000000-0005-0000-0000-000087980000}"/>
    <cellStyle name="Bemærk! 2 6 4 2 4" xfId="39255" xr:uid="{00000000-0005-0000-0000-000088980000}"/>
    <cellStyle name="Bemærk! 2 6 5" xfId="53413" xr:uid="{00000000-0005-0000-0000-000089980000}"/>
    <cellStyle name="Bemærk! 2 7" xfId="4937" xr:uid="{00000000-0005-0000-0000-00008A980000}"/>
    <cellStyle name="Bemærk! 2 7 2" xfId="4938" xr:uid="{00000000-0005-0000-0000-00008B980000}"/>
    <cellStyle name="Bemærk! 2 7 2 2" xfId="4939" xr:uid="{00000000-0005-0000-0000-00008C980000}"/>
    <cellStyle name="Bemærk! 2 7 2 2 2" xfId="7858" xr:uid="{00000000-0005-0000-0000-00008D980000}"/>
    <cellStyle name="Bemærk! 2 7 2 2 2 2" xfId="15759" xr:uid="{00000000-0005-0000-0000-00008E980000}"/>
    <cellStyle name="Bemærk! 2 7 2 2 2 2 2" xfId="32073" xr:uid="{00000000-0005-0000-0000-00008F980000}"/>
    <cellStyle name="Bemærk! 2 7 2 2 2 2 3" xfId="47037" xr:uid="{00000000-0005-0000-0000-000090980000}"/>
    <cellStyle name="Bemærk! 2 7 2 2 2 3" xfId="25051" xr:uid="{00000000-0005-0000-0000-000091980000}"/>
    <cellStyle name="Bemærk! 2 7 2 2 2 4" xfId="40038" xr:uid="{00000000-0005-0000-0000-000092980000}"/>
    <cellStyle name="Bemærk! 2 7 2 2 3" xfId="57217" xr:uid="{00000000-0005-0000-0000-000093980000}"/>
    <cellStyle name="Bemærk! 2 7 2 3" xfId="54050" xr:uid="{00000000-0005-0000-0000-000094980000}"/>
    <cellStyle name="Bemærk! 2 7 3" xfId="4940" xr:uid="{00000000-0005-0000-0000-000095980000}"/>
    <cellStyle name="Bemærk! 2 7 3 2" xfId="4941" xr:uid="{00000000-0005-0000-0000-000096980000}"/>
    <cellStyle name="Bemærk! 2 7 3 2 2" xfId="8747" xr:uid="{00000000-0005-0000-0000-000097980000}"/>
    <cellStyle name="Bemærk! 2 7 3 2 2 2" xfId="16626" xr:uid="{00000000-0005-0000-0000-000098980000}"/>
    <cellStyle name="Bemærk! 2 7 3 2 2 2 2" xfId="32940" xr:uid="{00000000-0005-0000-0000-000099980000}"/>
    <cellStyle name="Bemærk! 2 7 3 2 2 2 3" xfId="47904" xr:uid="{00000000-0005-0000-0000-00009A980000}"/>
    <cellStyle name="Bemærk! 2 7 3 2 2 3" xfId="25918" xr:uid="{00000000-0005-0000-0000-00009B980000}"/>
    <cellStyle name="Bemærk! 2 7 3 2 2 4" xfId="40905" xr:uid="{00000000-0005-0000-0000-00009C980000}"/>
    <cellStyle name="Bemærk! 2 7 3 3" xfId="6403" xr:uid="{00000000-0005-0000-0000-00009D980000}"/>
    <cellStyle name="Bemærk! 2 7 3 3 2" xfId="14317" xr:uid="{00000000-0005-0000-0000-00009E980000}"/>
    <cellStyle name="Bemærk! 2 7 3 3 2 2" xfId="30631" xr:uid="{00000000-0005-0000-0000-00009F980000}"/>
    <cellStyle name="Bemærk! 2 7 3 3 2 3" xfId="45595" xr:uid="{00000000-0005-0000-0000-0000A0980000}"/>
    <cellStyle name="Bemærk! 2 7 3 3 3" xfId="23609" xr:uid="{00000000-0005-0000-0000-0000A1980000}"/>
    <cellStyle name="Bemærk! 2 7 3 3 4" xfId="38596" xr:uid="{00000000-0005-0000-0000-0000A2980000}"/>
    <cellStyle name="Bemærk! 2 7 3 4" xfId="56594" xr:uid="{00000000-0005-0000-0000-0000A3980000}"/>
    <cellStyle name="Bemærk! 2 7 4" xfId="4942" xr:uid="{00000000-0005-0000-0000-0000A4980000}"/>
    <cellStyle name="Bemærk! 2 7 4 2" xfId="7134" xr:uid="{00000000-0005-0000-0000-0000A5980000}"/>
    <cellStyle name="Bemærk! 2 7 4 2 2" xfId="15044" xr:uid="{00000000-0005-0000-0000-0000A6980000}"/>
    <cellStyle name="Bemærk! 2 7 4 2 2 2" xfId="31358" xr:uid="{00000000-0005-0000-0000-0000A7980000}"/>
    <cellStyle name="Bemærk! 2 7 4 2 2 3" xfId="46322" xr:uid="{00000000-0005-0000-0000-0000A8980000}"/>
    <cellStyle name="Bemærk! 2 7 4 2 3" xfId="24336" xr:uid="{00000000-0005-0000-0000-0000A9980000}"/>
    <cellStyle name="Bemærk! 2 7 4 2 4" xfId="39323" xr:uid="{00000000-0005-0000-0000-0000AA980000}"/>
    <cellStyle name="Bemærk! 2 7 5" xfId="53414" xr:uid="{00000000-0005-0000-0000-0000AB980000}"/>
    <cellStyle name="Bemærk! 2 8" xfId="4943" xr:uid="{00000000-0005-0000-0000-0000AC980000}"/>
    <cellStyle name="Bemærk! 2 8 2" xfId="4944" xr:uid="{00000000-0005-0000-0000-0000AD980000}"/>
    <cellStyle name="Bemærk! 2 8 2 2" xfId="4945" xr:uid="{00000000-0005-0000-0000-0000AE980000}"/>
    <cellStyle name="Bemærk! 2 8 2 2 2" xfId="7975" xr:uid="{00000000-0005-0000-0000-0000AF980000}"/>
    <cellStyle name="Bemærk! 2 8 2 2 2 2" xfId="15876" xr:uid="{00000000-0005-0000-0000-0000B0980000}"/>
    <cellStyle name="Bemærk! 2 8 2 2 2 2 2" xfId="32190" xr:uid="{00000000-0005-0000-0000-0000B1980000}"/>
    <cellStyle name="Bemærk! 2 8 2 2 2 2 3" xfId="47154" xr:uid="{00000000-0005-0000-0000-0000B2980000}"/>
    <cellStyle name="Bemærk! 2 8 2 2 2 3" xfId="25168" xr:uid="{00000000-0005-0000-0000-0000B3980000}"/>
    <cellStyle name="Bemærk! 2 8 2 2 2 4" xfId="40155" xr:uid="{00000000-0005-0000-0000-0000B4980000}"/>
    <cellStyle name="Bemærk! 2 8 2 3" xfId="57210" xr:uid="{00000000-0005-0000-0000-0000B5980000}"/>
    <cellStyle name="Bemærk! 2 8 3" xfId="4946" xr:uid="{00000000-0005-0000-0000-0000B6980000}"/>
    <cellStyle name="Bemærk! 2 8 3 2" xfId="4947" xr:uid="{00000000-0005-0000-0000-0000B7980000}"/>
    <cellStyle name="Bemærk! 2 8 3 2 2" xfId="8709" xr:uid="{00000000-0005-0000-0000-0000B8980000}"/>
    <cellStyle name="Bemærk! 2 8 3 2 2 2" xfId="16589" xr:uid="{00000000-0005-0000-0000-0000B9980000}"/>
    <cellStyle name="Bemærk! 2 8 3 2 2 2 2" xfId="32903" xr:uid="{00000000-0005-0000-0000-0000BA980000}"/>
    <cellStyle name="Bemærk! 2 8 3 2 2 2 3" xfId="47867" xr:uid="{00000000-0005-0000-0000-0000BB980000}"/>
    <cellStyle name="Bemærk! 2 8 3 2 2 3" xfId="25881" xr:uid="{00000000-0005-0000-0000-0000BC980000}"/>
    <cellStyle name="Bemærk! 2 8 3 2 2 4" xfId="40868" xr:uid="{00000000-0005-0000-0000-0000BD980000}"/>
    <cellStyle name="Bemærk! 2 8 3 3" xfId="6502" xr:uid="{00000000-0005-0000-0000-0000BE980000}"/>
    <cellStyle name="Bemærk! 2 8 3 3 2" xfId="14416" xr:uid="{00000000-0005-0000-0000-0000BF980000}"/>
    <cellStyle name="Bemærk! 2 8 3 3 2 2" xfId="30730" xr:uid="{00000000-0005-0000-0000-0000C0980000}"/>
    <cellStyle name="Bemærk! 2 8 3 3 2 3" xfId="45694" xr:uid="{00000000-0005-0000-0000-0000C1980000}"/>
    <cellStyle name="Bemærk! 2 8 3 3 3" xfId="23708" xr:uid="{00000000-0005-0000-0000-0000C2980000}"/>
    <cellStyle name="Bemærk! 2 8 3 3 4" xfId="38695" xr:uid="{00000000-0005-0000-0000-0000C3980000}"/>
    <cellStyle name="Bemærk! 2 8 4" xfId="4948" xr:uid="{00000000-0005-0000-0000-0000C4980000}"/>
    <cellStyle name="Bemærk! 2 8 4 2" xfId="7251" xr:uid="{00000000-0005-0000-0000-0000C5980000}"/>
    <cellStyle name="Bemærk! 2 8 4 2 2" xfId="15161" xr:uid="{00000000-0005-0000-0000-0000C6980000}"/>
    <cellStyle name="Bemærk! 2 8 4 2 2 2" xfId="31475" xr:uid="{00000000-0005-0000-0000-0000C7980000}"/>
    <cellStyle name="Bemærk! 2 8 4 2 2 3" xfId="46439" xr:uid="{00000000-0005-0000-0000-0000C8980000}"/>
    <cellStyle name="Bemærk! 2 8 4 2 3" xfId="24453" xr:uid="{00000000-0005-0000-0000-0000C9980000}"/>
    <cellStyle name="Bemærk! 2 8 4 2 4" xfId="39440" xr:uid="{00000000-0005-0000-0000-0000CA980000}"/>
    <cellStyle name="Bemærk! 2 8 5" xfId="54043" xr:uid="{00000000-0005-0000-0000-0000CB980000}"/>
    <cellStyle name="Bemærk! 2 9" xfId="4949" xr:uid="{00000000-0005-0000-0000-0000CC980000}"/>
    <cellStyle name="Bemærk! 2 9 2" xfId="4950" xr:uid="{00000000-0005-0000-0000-0000CD980000}"/>
    <cellStyle name="Bemærk! 2 9 2 2" xfId="4951" xr:uid="{00000000-0005-0000-0000-0000CE980000}"/>
    <cellStyle name="Bemærk! 2 9 2 2 2" xfId="8188" xr:uid="{00000000-0005-0000-0000-0000CF980000}"/>
    <cellStyle name="Bemærk! 2 9 2 2 2 2" xfId="16089" xr:uid="{00000000-0005-0000-0000-0000D0980000}"/>
    <cellStyle name="Bemærk! 2 9 2 2 2 2 2" xfId="32403" xr:uid="{00000000-0005-0000-0000-0000D1980000}"/>
    <cellStyle name="Bemærk! 2 9 2 2 2 2 3" xfId="47367" xr:uid="{00000000-0005-0000-0000-0000D2980000}"/>
    <cellStyle name="Bemærk! 2 9 2 2 2 3" xfId="25381" xr:uid="{00000000-0005-0000-0000-0000D3980000}"/>
    <cellStyle name="Bemærk! 2 9 2 2 2 4" xfId="40368" xr:uid="{00000000-0005-0000-0000-0000D4980000}"/>
    <cellStyle name="Bemærk! 2 9 3" xfId="4952" xr:uid="{00000000-0005-0000-0000-0000D5980000}"/>
    <cellStyle name="Bemærk! 2 9 3 2" xfId="4953" xr:uid="{00000000-0005-0000-0000-0000D6980000}"/>
    <cellStyle name="Bemærk! 2 9 3 2 2" xfId="8800" xr:uid="{00000000-0005-0000-0000-0000D7980000}"/>
    <cellStyle name="Bemærk! 2 9 3 2 2 2" xfId="16676" xr:uid="{00000000-0005-0000-0000-0000D8980000}"/>
    <cellStyle name="Bemærk! 2 9 3 2 2 2 2" xfId="32990" xr:uid="{00000000-0005-0000-0000-0000D9980000}"/>
    <cellStyle name="Bemærk! 2 9 3 2 2 2 3" xfId="47954" xr:uid="{00000000-0005-0000-0000-0000DA980000}"/>
    <cellStyle name="Bemærk! 2 9 3 2 2 3" xfId="25968" xr:uid="{00000000-0005-0000-0000-0000DB980000}"/>
    <cellStyle name="Bemærk! 2 9 3 2 2 4" xfId="40955" xr:uid="{00000000-0005-0000-0000-0000DC980000}"/>
    <cellStyle name="Bemærk! 2 9 3 3" xfId="6681" xr:uid="{00000000-0005-0000-0000-0000DD980000}"/>
    <cellStyle name="Bemærk! 2 9 3 3 2" xfId="14595" xr:uid="{00000000-0005-0000-0000-0000DE980000}"/>
    <cellStyle name="Bemærk! 2 9 3 3 2 2" xfId="30909" xr:uid="{00000000-0005-0000-0000-0000DF980000}"/>
    <cellStyle name="Bemærk! 2 9 3 3 2 3" xfId="45873" xr:uid="{00000000-0005-0000-0000-0000E0980000}"/>
    <cellStyle name="Bemærk! 2 9 3 3 3" xfId="23887" xr:uid="{00000000-0005-0000-0000-0000E1980000}"/>
    <cellStyle name="Bemærk! 2 9 3 3 4" xfId="38874" xr:uid="{00000000-0005-0000-0000-0000E2980000}"/>
    <cellStyle name="Bemærk! 2 9 4" xfId="4954" xr:uid="{00000000-0005-0000-0000-0000E3980000}"/>
    <cellStyle name="Bemærk! 2 9 4 2" xfId="7465" xr:uid="{00000000-0005-0000-0000-0000E4980000}"/>
    <cellStyle name="Bemærk! 2 9 4 2 2" xfId="15375" xr:uid="{00000000-0005-0000-0000-0000E5980000}"/>
    <cellStyle name="Bemærk! 2 9 4 2 2 2" xfId="31689" xr:uid="{00000000-0005-0000-0000-0000E6980000}"/>
    <cellStyle name="Bemærk! 2 9 4 2 2 3" xfId="46653" xr:uid="{00000000-0005-0000-0000-0000E7980000}"/>
    <cellStyle name="Bemærk! 2 9 4 2 3" xfId="24667" xr:uid="{00000000-0005-0000-0000-0000E8980000}"/>
    <cellStyle name="Bemærk! 2 9 4 2 4" xfId="39654" xr:uid="{00000000-0005-0000-0000-0000E9980000}"/>
    <cellStyle name="Bemærk! 2 9 5" xfId="56587" xr:uid="{00000000-0005-0000-0000-0000EA980000}"/>
    <cellStyle name="Bemærk! 3" xfId="4955" xr:uid="{00000000-0005-0000-0000-0000EB980000}"/>
    <cellStyle name="Bemærk! 3 10" xfId="4956" xr:uid="{00000000-0005-0000-0000-0000EC980000}"/>
    <cellStyle name="Bemærk! 3 10 2" xfId="4957" xr:uid="{00000000-0005-0000-0000-0000ED980000}"/>
    <cellStyle name="Bemærk! 3 10 2 2" xfId="8471" xr:uid="{00000000-0005-0000-0000-0000EE980000}"/>
    <cellStyle name="Bemærk! 3 10 2 2 2" xfId="16362" xr:uid="{00000000-0005-0000-0000-0000EF980000}"/>
    <cellStyle name="Bemærk! 3 10 2 2 2 2" xfId="32676" xr:uid="{00000000-0005-0000-0000-0000F0980000}"/>
    <cellStyle name="Bemærk! 3 10 2 2 2 3" xfId="47640" xr:uid="{00000000-0005-0000-0000-0000F1980000}"/>
    <cellStyle name="Bemærk! 3 10 2 2 3" xfId="25654" xr:uid="{00000000-0005-0000-0000-0000F2980000}"/>
    <cellStyle name="Bemærk! 3 10 2 2 4" xfId="40641" xr:uid="{00000000-0005-0000-0000-0000F3980000}"/>
    <cellStyle name="Bemærk! 3 10 3" xfId="6103" xr:uid="{00000000-0005-0000-0000-0000F4980000}"/>
    <cellStyle name="Bemærk! 3 10 3 2" xfId="14020" xr:uid="{00000000-0005-0000-0000-0000F5980000}"/>
    <cellStyle name="Bemærk! 3 10 3 2 2" xfId="30334" xr:uid="{00000000-0005-0000-0000-0000F6980000}"/>
    <cellStyle name="Bemærk! 3 10 3 2 3" xfId="45298" xr:uid="{00000000-0005-0000-0000-0000F7980000}"/>
    <cellStyle name="Bemærk! 3 10 3 3" xfId="23312" xr:uid="{00000000-0005-0000-0000-0000F8980000}"/>
    <cellStyle name="Bemærk! 3 10 3 4" xfId="38299" xr:uid="{00000000-0005-0000-0000-0000F9980000}"/>
    <cellStyle name="Bemærk! 3 11" xfId="4958" xr:uid="{00000000-0005-0000-0000-0000FA980000}"/>
    <cellStyle name="Bemærk! 3 11 2" xfId="6727" xr:uid="{00000000-0005-0000-0000-0000FB980000}"/>
    <cellStyle name="Bemærk! 3 11 2 2" xfId="14639" xr:uid="{00000000-0005-0000-0000-0000FC980000}"/>
    <cellStyle name="Bemærk! 3 11 2 2 2" xfId="30953" xr:uid="{00000000-0005-0000-0000-0000FD980000}"/>
    <cellStyle name="Bemærk! 3 11 2 2 3" xfId="45917" xr:uid="{00000000-0005-0000-0000-0000FE980000}"/>
    <cellStyle name="Bemærk! 3 11 2 3" xfId="23931" xr:uid="{00000000-0005-0000-0000-0000FF980000}"/>
    <cellStyle name="Bemærk! 3 11 2 4" xfId="38918" xr:uid="{00000000-0005-0000-0000-000000990000}"/>
    <cellStyle name="Bemærk! 3 12" xfId="53415" xr:uid="{00000000-0005-0000-0000-000001990000}"/>
    <cellStyle name="Bemærk! 3 2" xfId="4959" xr:uid="{00000000-0005-0000-0000-000002990000}"/>
    <cellStyle name="Bemærk! 3 2 2" xfId="4960" xr:uid="{00000000-0005-0000-0000-000003990000}"/>
    <cellStyle name="Bemærk! 3 2 2 2" xfId="4961" xr:uid="{00000000-0005-0000-0000-000004990000}"/>
    <cellStyle name="Bemærk! 3 2 2 2 2" xfId="4962" xr:uid="{00000000-0005-0000-0000-000005990000}"/>
    <cellStyle name="Bemærk! 3 2 2 2 2 2" xfId="7660" xr:uid="{00000000-0005-0000-0000-000006990000}"/>
    <cellStyle name="Bemærk! 3 2 2 2 2 2 2" xfId="15561" xr:uid="{00000000-0005-0000-0000-000007990000}"/>
    <cellStyle name="Bemærk! 3 2 2 2 2 2 2 2" xfId="31875" xr:uid="{00000000-0005-0000-0000-000008990000}"/>
    <cellStyle name="Bemærk! 3 2 2 2 2 2 2 3" xfId="46839" xr:uid="{00000000-0005-0000-0000-000009990000}"/>
    <cellStyle name="Bemærk! 3 2 2 2 2 2 3" xfId="24853" xr:uid="{00000000-0005-0000-0000-00000A990000}"/>
    <cellStyle name="Bemærk! 3 2 2 2 2 2 4" xfId="39840" xr:uid="{00000000-0005-0000-0000-00000B990000}"/>
    <cellStyle name="Bemærk! 3 2 2 3" xfId="4963" xr:uid="{00000000-0005-0000-0000-00000C990000}"/>
    <cellStyle name="Bemærk! 3 2 2 3 2" xfId="4964" xr:uid="{00000000-0005-0000-0000-00000D990000}"/>
    <cellStyle name="Bemærk! 3 2 2 3 2 2" xfId="8748" xr:uid="{00000000-0005-0000-0000-00000E990000}"/>
    <cellStyle name="Bemærk! 3 2 2 3 2 2 2" xfId="16627" xr:uid="{00000000-0005-0000-0000-00000F990000}"/>
    <cellStyle name="Bemærk! 3 2 2 3 2 2 2 2" xfId="32941" xr:uid="{00000000-0005-0000-0000-000010990000}"/>
    <cellStyle name="Bemærk! 3 2 2 3 2 2 2 3" xfId="47905" xr:uid="{00000000-0005-0000-0000-000011990000}"/>
    <cellStyle name="Bemærk! 3 2 2 3 2 2 3" xfId="25919" xr:uid="{00000000-0005-0000-0000-000012990000}"/>
    <cellStyle name="Bemærk! 3 2 2 3 2 2 4" xfId="40906" xr:uid="{00000000-0005-0000-0000-000013990000}"/>
    <cellStyle name="Bemærk! 3 2 2 3 3" xfId="6235" xr:uid="{00000000-0005-0000-0000-000014990000}"/>
    <cellStyle name="Bemærk! 3 2 2 3 3 2" xfId="14152" xr:uid="{00000000-0005-0000-0000-000015990000}"/>
    <cellStyle name="Bemærk! 3 2 2 3 3 2 2" xfId="30466" xr:uid="{00000000-0005-0000-0000-000016990000}"/>
    <cellStyle name="Bemærk! 3 2 2 3 3 2 3" xfId="45430" xr:uid="{00000000-0005-0000-0000-000017990000}"/>
    <cellStyle name="Bemærk! 3 2 2 3 3 3" xfId="23444" xr:uid="{00000000-0005-0000-0000-000018990000}"/>
    <cellStyle name="Bemærk! 3 2 2 3 3 4" xfId="38431" xr:uid="{00000000-0005-0000-0000-000019990000}"/>
    <cellStyle name="Bemærk! 3 2 2 4" xfId="4965" xr:uid="{00000000-0005-0000-0000-00001A990000}"/>
    <cellStyle name="Bemærk! 3 2 2 4 2" xfId="6890" xr:uid="{00000000-0005-0000-0000-00001B990000}"/>
    <cellStyle name="Bemærk! 3 2 2 4 2 2" xfId="14801" xr:uid="{00000000-0005-0000-0000-00001C990000}"/>
    <cellStyle name="Bemærk! 3 2 2 4 2 2 2" xfId="31115" xr:uid="{00000000-0005-0000-0000-00001D990000}"/>
    <cellStyle name="Bemærk! 3 2 2 4 2 2 3" xfId="46079" xr:uid="{00000000-0005-0000-0000-00001E990000}"/>
    <cellStyle name="Bemærk! 3 2 2 4 2 3" xfId="24093" xr:uid="{00000000-0005-0000-0000-00001F990000}"/>
    <cellStyle name="Bemærk! 3 2 2 4 2 4" xfId="39080" xr:uid="{00000000-0005-0000-0000-000020990000}"/>
    <cellStyle name="Bemærk! 3 2 3" xfId="4966" xr:uid="{00000000-0005-0000-0000-000021990000}"/>
    <cellStyle name="Bemærk! 3 2 3 2" xfId="4967" xr:uid="{00000000-0005-0000-0000-000022990000}"/>
    <cellStyle name="Bemærk! 3 2 3 2 2" xfId="4968" xr:uid="{00000000-0005-0000-0000-000023990000}"/>
    <cellStyle name="Bemærk! 3 2 3 2 2 2" xfId="7841" xr:uid="{00000000-0005-0000-0000-000024990000}"/>
    <cellStyle name="Bemærk! 3 2 3 2 2 2 2" xfId="15742" xr:uid="{00000000-0005-0000-0000-000025990000}"/>
    <cellStyle name="Bemærk! 3 2 3 2 2 2 2 2" xfId="32056" xr:uid="{00000000-0005-0000-0000-000026990000}"/>
    <cellStyle name="Bemærk! 3 2 3 2 2 2 2 3" xfId="47020" xr:uid="{00000000-0005-0000-0000-000027990000}"/>
    <cellStyle name="Bemærk! 3 2 3 2 2 2 3" xfId="25034" xr:uid="{00000000-0005-0000-0000-000028990000}"/>
    <cellStyle name="Bemærk! 3 2 3 2 2 2 4" xfId="40021" xr:uid="{00000000-0005-0000-0000-000029990000}"/>
    <cellStyle name="Bemærk! 3 2 3 3" xfId="4969" xr:uid="{00000000-0005-0000-0000-00002A990000}"/>
    <cellStyle name="Bemærk! 3 2 3 3 2" xfId="4970" xr:uid="{00000000-0005-0000-0000-00002B990000}"/>
    <cellStyle name="Bemærk! 3 2 3 3 2 2" xfId="6700" xr:uid="{00000000-0005-0000-0000-00002C990000}"/>
    <cellStyle name="Bemærk! 3 2 3 3 2 2 2" xfId="14613" xr:uid="{00000000-0005-0000-0000-00002D990000}"/>
    <cellStyle name="Bemærk! 3 2 3 3 2 2 2 2" xfId="30927" xr:uid="{00000000-0005-0000-0000-00002E990000}"/>
    <cellStyle name="Bemærk! 3 2 3 3 2 2 2 3" xfId="45891" xr:uid="{00000000-0005-0000-0000-00002F990000}"/>
    <cellStyle name="Bemærk! 3 2 3 3 2 2 3" xfId="23905" xr:uid="{00000000-0005-0000-0000-000030990000}"/>
    <cellStyle name="Bemærk! 3 2 3 3 2 2 4" xfId="38892" xr:uid="{00000000-0005-0000-0000-000031990000}"/>
    <cellStyle name="Bemærk! 3 2 3 3 3" xfId="6390" xr:uid="{00000000-0005-0000-0000-000032990000}"/>
    <cellStyle name="Bemærk! 3 2 3 3 3 2" xfId="14304" xr:uid="{00000000-0005-0000-0000-000033990000}"/>
    <cellStyle name="Bemærk! 3 2 3 3 3 2 2" xfId="30618" xr:uid="{00000000-0005-0000-0000-000034990000}"/>
    <cellStyle name="Bemærk! 3 2 3 3 3 2 3" xfId="45582" xr:uid="{00000000-0005-0000-0000-000035990000}"/>
    <cellStyle name="Bemærk! 3 2 3 3 3 3" xfId="23596" xr:uid="{00000000-0005-0000-0000-000036990000}"/>
    <cellStyle name="Bemærk! 3 2 3 3 3 4" xfId="38583" xr:uid="{00000000-0005-0000-0000-000037990000}"/>
    <cellStyle name="Bemærk! 3 2 3 4" xfId="4971" xr:uid="{00000000-0005-0000-0000-000038990000}"/>
    <cellStyle name="Bemærk! 3 2 3 4 2" xfId="7072" xr:uid="{00000000-0005-0000-0000-000039990000}"/>
    <cellStyle name="Bemærk! 3 2 3 4 2 2" xfId="14983" xr:uid="{00000000-0005-0000-0000-00003A990000}"/>
    <cellStyle name="Bemærk! 3 2 3 4 2 2 2" xfId="31297" xr:uid="{00000000-0005-0000-0000-00003B990000}"/>
    <cellStyle name="Bemærk! 3 2 3 4 2 2 3" xfId="46261" xr:uid="{00000000-0005-0000-0000-00003C990000}"/>
    <cellStyle name="Bemærk! 3 2 3 4 2 3" xfId="24275" xr:uid="{00000000-0005-0000-0000-00003D990000}"/>
    <cellStyle name="Bemærk! 3 2 3 4 2 4" xfId="39262" xr:uid="{00000000-0005-0000-0000-00003E990000}"/>
    <cellStyle name="Bemærk! 3 2 4" xfId="4972" xr:uid="{00000000-0005-0000-0000-00003F990000}"/>
    <cellStyle name="Bemærk! 3 2 4 2" xfId="4973" xr:uid="{00000000-0005-0000-0000-000040990000}"/>
    <cellStyle name="Bemærk! 3 2 4 2 2" xfId="4974" xr:uid="{00000000-0005-0000-0000-000041990000}"/>
    <cellStyle name="Bemærk! 3 2 4 2 2 2" xfId="7898" xr:uid="{00000000-0005-0000-0000-000042990000}"/>
    <cellStyle name="Bemærk! 3 2 4 2 2 2 2" xfId="15799" xr:uid="{00000000-0005-0000-0000-000043990000}"/>
    <cellStyle name="Bemærk! 3 2 4 2 2 2 2 2" xfId="32113" xr:uid="{00000000-0005-0000-0000-000044990000}"/>
    <cellStyle name="Bemærk! 3 2 4 2 2 2 2 3" xfId="47077" xr:uid="{00000000-0005-0000-0000-000045990000}"/>
    <cellStyle name="Bemærk! 3 2 4 2 2 2 3" xfId="25091" xr:uid="{00000000-0005-0000-0000-000046990000}"/>
    <cellStyle name="Bemærk! 3 2 4 2 2 2 4" xfId="40078" xr:uid="{00000000-0005-0000-0000-000047990000}"/>
    <cellStyle name="Bemærk! 3 2 4 3" xfId="4975" xr:uid="{00000000-0005-0000-0000-000048990000}"/>
    <cellStyle name="Bemærk! 3 2 4 3 2" xfId="4976" xr:uid="{00000000-0005-0000-0000-000049990000}"/>
    <cellStyle name="Bemærk! 3 2 4 3 2 2" xfId="8231" xr:uid="{00000000-0005-0000-0000-00004A990000}"/>
    <cellStyle name="Bemærk! 3 2 4 3 2 2 2" xfId="16128" xr:uid="{00000000-0005-0000-0000-00004B990000}"/>
    <cellStyle name="Bemærk! 3 2 4 3 2 2 2 2" xfId="32442" xr:uid="{00000000-0005-0000-0000-00004C990000}"/>
    <cellStyle name="Bemærk! 3 2 4 3 2 2 2 3" xfId="47406" xr:uid="{00000000-0005-0000-0000-00004D990000}"/>
    <cellStyle name="Bemærk! 3 2 4 3 2 2 3" xfId="25420" xr:uid="{00000000-0005-0000-0000-00004E990000}"/>
    <cellStyle name="Bemærk! 3 2 4 3 2 2 4" xfId="40407" xr:uid="{00000000-0005-0000-0000-00004F990000}"/>
    <cellStyle name="Bemærk! 3 2 4 3 3" xfId="6437" xr:uid="{00000000-0005-0000-0000-000050990000}"/>
    <cellStyle name="Bemærk! 3 2 4 3 3 2" xfId="14351" xr:uid="{00000000-0005-0000-0000-000051990000}"/>
    <cellStyle name="Bemærk! 3 2 4 3 3 2 2" xfId="30665" xr:uid="{00000000-0005-0000-0000-000052990000}"/>
    <cellStyle name="Bemærk! 3 2 4 3 3 2 3" xfId="45629" xr:uid="{00000000-0005-0000-0000-000053990000}"/>
    <cellStyle name="Bemærk! 3 2 4 3 3 3" xfId="23643" xr:uid="{00000000-0005-0000-0000-000054990000}"/>
    <cellStyle name="Bemærk! 3 2 4 3 3 4" xfId="38630" xr:uid="{00000000-0005-0000-0000-000055990000}"/>
    <cellStyle name="Bemærk! 3 2 4 4" xfId="4977" xr:uid="{00000000-0005-0000-0000-000056990000}"/>
    <cellStyle name="Bemærk! 3 2 4 4 2" xfId="7174" xr:uid="{00000000-0005-0000-0000-000057990000}"/>
    <cellStyle name="Bemærk! 3 2 4 4 2 2" xfId="15084" xr:uid="{00000000-0005-0000-0000-000058990000}"/>
    <cellStyle name="Bemærk! 3 2 4 4 2 2 2" xfId="31398" xr:uid="{00000000-0005-0000-0000-000059990000}"/>
    <cellStyle name="Bemærk! 3 2 4 4 2 2 3" xfId="46362" xr:uid="{00000000-0005-0000-0000-00005A990000}"/>
    <cellStyle name="Bemærk! 3 2 4 4 2 3" xfId="24376" xr:uid="{00000000-0005-0000-0000-00005B990000}"/>
    <cellStyle name="Bemærk! 3 2 4 4 2 4" xfId="39363" xr:uid="{00000000-0005-0000-0000-00005C990000}"/>
    <cellStyle name="Bemærk! 3 2 5" xfId="4978" xr:uid="{00000000-0005-0000-0000-00005D990000}"/>
    <cellStyle name="Bemærk! 3 2 5 2" xfId="4979" xr:uid="{00000000-0005-0000-0000-00005E990000}"/>
    <cellStyle name="Bemærk! 3 2 5 2 2" xfId="4980" xr:uid="{00000000-0005-0000-0000-00005F990000}"/>
    <cellStyle name="Bemærk! 3 2 5 2 2 2" xfId="8015" xr:uid="{00000000-0005-0000-0000-000060990000}"/>
    <cellStyle name="Bemærk! 3 2 5 2 2 2 2" xfId="15916" xr:uid="{00000000-0005-0000-0000-000061990000}"/>
    <cellStyle name="Bemærk! 3 2 5 2 2 2 2 2" xfId="32230" xr:uid="{00000000-0005-0000-0000-000062990000}"/>
    <cellStyle name="Bemærk! 3 2 5 2 2 2 2 3" xfId="47194" xr:uid="{00000000-0005-0000-0000-000063990000}"/>
    <cellStyle name="Bemærk! 3 2 5 2 2 2 3" xfId="25208" xr:uid="{00000000-0005-0000-0000-000064990000}"/>
    <cellStyle name="Bemærk! 3 2 5 2 2 2 4" xfId="40195" xr:uid="{00000000-0005-0000-0000-000065990000}"/>
    <cellStyle name="Bemærk! 3 2 5 3" xfId="4981" xr:uid="{00000000-0005-0000-0000-000066990000}"/>
    <cellStyle name="Bemærk! 3 2 5 3 2" xfId="4982" xr:uid="{00000000-0005-0000-0000-000067990000}"/>
    <cellStyle name="Bemærk! 3 2 5 3 2 2" xfId="8745" xr:uid="{00000000-0005-0000-0000-000068990000}"/>
    <cellStyle name="Bemærk! 3 2 5 3 2 2 2" xfId="16624" xr:uid="{00000000-0005-0000-0000-000069990000}"/>
    <cellStyle name="Bemærk! 3 2 5 3 2 2 2 2" xfId="32938" xr:uid="{00000000-0005-0000-0000-00006A990000}"/>
    <cellStyle name="Bemærk! 3 2 5 3 2 2 2 3" xfId="47902" xr:uid="{00000000-0005-0000-0000-00006B990000}"/>
    <cellStyle name="Bemærk! 3 2 5 3 2 2 3" xfId="25916" xr:uid="{00000000-0005-0000-0000-00006C990000}"/>
    <cellStyle name="Bemærk! 3 2 5 3 2 2 4" xfId="40903" xr:uid="{00000000-0005-0000-0000-00006D990000}"/>
    <cellStyle name="Bemærk! 3 2 5 3 3" xfId="6536" xr:uid="{00000000-0005-0000-0000-00006E990000}"/>
    <cellStyle name="Bemærk! 3 2 5 3 3 2" xfId="14450" xr:uid="{00000000-0005-0000-0000-00006F990000}"/>
    <cellStyle name="Bemærk! 3 2 5 3 3 2 2" xfId="30764" xr:uid="{00000000-0005-0000-0000-000070990000}"/>
    <cellStyle name="Bemærk! 3 2 5 3 3 2 3" xfId="45728" xr:uid="{00000000-0005-0000-0000-000071990000}"/>
    <cellStyle name="Bemærk! 3 2 5 3 3 3" xfId="23742" xr:uid="{00000000-0005-0000-0000-000072990000}"/>
    <cellStyle name="Bemærk! 3 2 5 3 3 4" xfId="38729" xr:uid="{00000000-0005-0000-0000-000073990000}"/>
    <cellStyle name="Bemærk! 3 2 5 4" xfId="4983" xr:uid="{00000000-0005-0000-0000-000074990000}"/>
    <cellStyle name="Bemærk! 3 2 5 4 2" xfId="7291" xr:uid="{00000000-0005-0000-0000-000075990000}"/>
    <cellStyle name="Bemærk! 3 2 5 4 2 2" xfId="15201" xr:uid="{00000000-0005-0000-0000-000076990000}"/>
    <cellStyle name="Bemærk! 3 2 5 4 2 2 2" xfId="31515" xr:uid="{00000000-0005-0000-0000-000077990000}"/>
    <cellStyle name="Bemærk! 3 2 5 4 2 2 3" xfId="46479" xr:uid="{00000000-0005-0000-0000-000078990000}"/>
    <cellStyle name="Bemærk! 3 2 5 4 2 3" xfId="24493" xr:uid="{00000000-0005-0000-0000-000079990000}"/>
    <cellStyle name="Bemærk! 3 2 5 4 2 4" xfId="39480" xr:uid="{00000000-0005-0000-0000-00007A990000}"/>
    <cellStyle name="Bemærk! 3 2 6" xfId="4984" xr:uid="{00000000-0005-0000-0000-00007B990000}"/>
    <cellStyle name="Bemærk! 3 2 6 2" xfId="4985" xr:uid="{00000000-0005-0000-0000-00007C990000}"/>
    <cellStyle name="Bemærk! 3 2 6 2 2" xfId="4986" xr:uid="{00000000-0005-0000-0000-00007D990000}"/>
    <cellStyle name="Bemærk! 3 2 6 2 2 2" xfId="8195" xr:uid="{00000000-0005-0000-0000-00007E990000}"/>
    <cellStyle name="Bemærk! 3 2 6 2 2 2 2" xfId="16096" xr:uid="{00000000-0005-0000-0000-00007F990000}"/>
    <cellStyle name="Bemærk! 3 2 6 2 2 2 2 2" xfId="32410" xr:uid="{00000000-0005-0000-0000-000080990000}"/>
    <cellStyle name="Bemærk! 3 2 6 2 2 2 2 3" xfId="47374" xr:uid="{00000000-0005-0000-0000-000081990000}"/>
    <cellStyle name="Bemærk! 3 2 6 2 2 2 3" xfId="25388" xr:uid="{00000000-0005-0000-0000-000082990000}"/>
    <cellStyle name="Bemærk! 3 2 6 2 2 2 4" xfId="40375" xr:uid="{00000000-0005-0000-0000-000083990000}"/>
    <cellStyle name="Bemærk! 3 2 6 3" xfId="4987" xr:uid="{00000000-0005-0000-0000-000084990000}"/>
    <cellStyle name="Bemærk! 3 2 6 3 2" xfId="4988" xr:uid="{00000000-0005-0000-0000-000085990000}"/>
    <cellStyle name="Bemærk! 3 2 6 3 2 2" xfId="8807" xr:uid="{00000000-0005-0000-0000-000086990000}"/>
    <cellStyle name="Bemærk! 3 2 6 3 2 2 2" xfId="16683" xr:uid="{00000000-0005-0000-0000-000087990000}"/>
    <cellStyle name="Bemærk! 3 2 6 3 2 2 2 2" xfId="32997" xr:uid="{00000000-0005-0000-0000-000088990000}"/>
    <cellStyle name="Bemærk! 3 2 6 3 2 2 2 3" xfId="47961" xr:uid="{00000000-0005-0000-0000-000089990000}"/>
    <cellStyle name="Bemærk! 3 2 6 3 2 2 3" xfId="25975" xr:uid="{00000000-0005-0000-0000-00008A990000}"/>
    <cellStyle name="Bemærk! 3 2 6 3 2 2 4" xfId="40962" xr:uid="{00000000-0005-0000-0000-00008B990000}"/>
    <cellStyle name="Bemærk! 3 2 6 3 3" xfId="6688" xr:uid="{00000000-0005-0000-0000-00008C990000}"/>
    <cellStyle name="Bemærk! 3 2 6 3 3 2" xfId="14602" xr:uid="{00000000-0005-0000-0000-00008D990000}"/>
    <cellStyle name="Bemærk! 3 2 6 3 3 2 2" xfId="30916" xr:uid="{00000000-0005-0000-0000-00008E990000}"/>
    <cellStyle name="Bemærk! 3 2 6 3 3 2 3" xfId="45880" xr:uid="{00000000-0005-0000-0000-00008F990000}"/>
    <cellStyle name="Bemærk! 3 2 6 3 3 3" xfId="23894" xr:uid="{00000000-0005-0000-0000-000090990000}"/>
    <cellStyle name="Bemærk! 3 2 6 3 3 4" xfId="38881" xr:uid="{00000000-0005-0000-0000-000091990000}"/>
    <cellStyle name="Bemærk! 3 2 6 4" xfId="4989" xr:uid="{00000000-0005-0000-0000-000092990000}"/>
    <cellStyle name="Bemærk! 3 2 6 4 2" xfId="7472" xr:uid="{00000000-0005-0000-0000-000093990000}"/>
    <cellStyle name="Bemærk! 3 2 6 4 2 2" xfId="15382" xr:uid="{00000000-0005-0000-0000-000094990000}"/>
    <cellStyle name="Bemærk! 3 2 6 4 2 2 2" xfId="31696" xr:uid="{00000000-0005-0000-0000-000095990000}"/>
    <cellStyle name="Bemærk! 3 2 6 4 2 2 3" xfId="46660" xr:uid="{00000000-0005-0000-0000-000096990000}"/>
    <cellStyle name="Bemærk! 3 2 6 4 2 3" xfId="24674" xr:uid="{00000000-0005-0000-0000-000097990000}"/>
    <cellStyle name="Bemærk! 3 2 6 4 2 4" xfId="39661" xr:uid="{00000000-0005-0000-0000-000098990000}"/>
    <cellStyle name="Bemærk! 3 2 7" xfId="4990" xr:uid="{00000000-0005-0000-0000-000099990000}"/>
    <cellStyle name="Bemærk! 3 2 7 2" xfId="4991" xr:uid="{00000000-0005-0000-0000-00009A990000}"/>
    <cellStyle name="Bemærk! 3 2 7 2 2" xfId="7541" xr:uid="{00000000-0005-0000-0000-00009B990000}"/>
    <cellStyle name="Bemærk! 3 2 7 2 2 2" xfId="15442" xr:uid="{00000000-0005-0000-0000-00009C990000}"/>
    <cellStyle name="Bemærk! 3 2 7 2 2 2 2" xfId="31756" xr:uid="{00000000-0005-0000-0000-00009D990000}"/>
    <cellStyle name="Bemærk! 3 2 7 2 2 2 3" xfId="46720" xr:uid="{00000000-0005-0000-0000-00009E990000}"/>
    <cellStyle name="Bemærk! 3 2 7 2 2 3" xfId="24734" xr:uid="{00000000-0005-0000-0000-00009F990000}"/>
    <cellStyle name="Bemærk! 3 2 7 2 2 4" xfId="39721" xr:uid="{00000000-0005-0000-0000-0000A0990000}"/>
    <cellStyle name="Bemærk! 3 2 8" xfId="4992" xr:uid="{00000000-0005-0000-0000-0000A1990000}"/>
    <cellStyle name="Bemærk! 3 2 8 2" xfId="4993" xr:uid="{00000000-0005-0000-0000-0000A2990000}"/>
    <cellStyle name="Bemærk! 3 2 8 2 2" xfId="7078" xr:uid="{00000000-0005-0000-0000-0000A3990000}"/>
    <cellStyle name="Bemærk! 3 2 8 2 2 2" xfId="14989" xr:uid="{00000000-0005-0000-0000-0000A4990000}"/>
    <cellStyle name="Bemærk! 3 2 8 2 2 2 2" xfId="31303" xr:uid="{00000000-0005-0000-0000-0000A5990000}"/>
    <cellStyle name="Bemærk! 3 2 8 2 2 2 3" xfId="46267" xr:uid="{00000000-0005-0000-0000-0000A6990000}"/>
    <cellStyle name="Bemærk! 3 2 8 2 2 3" xfId="24281" xr:uid="{00000000-0005-0000-0000-0000A7990000}"/>
    <cellStyle name="Bemærk! 3 2 8 2 2 4" xfId="39268" xr:uid="{00000000-0005-0000-0000-0000A8990000}"/>
    <cellStyle name="Bemærk! 3 2 8 3" xfId="6136" xr:uid="{00000000-0005-0000-0000-0000A9990000}"/>
    <cellStyle name="Bemærk! 3 2 8 3 2" xfId="14053" xr:uid="{00000000-0005-0000-0000-0000AA990000}"/>
    <cellStyle name="Bemærk! 3 2 8 3 2 2" xfId="30367" xr:uid="{00000000-0005-0000-0000-0000AB990000}"/>
    <cellStyle name="Bemærk! 3 2 8 3 2 3" xfId="45331" xr:uid="{00000000-0005-0000-0000-0000AC990000}"/>
    <cellStyle name="Bemærk! 3 2 8 3 3" xfId="23345" xr:uid="{00000000-0005-0000-0000-0000AD990000}"/>
    <cellStyle name="Bemærk! 3 2 8 3 4" xfId="38332" xr:uid="{00000000-0005-0000-0000-0000AE990000}"/>
    <cellStyle name="Bemærk! 3 2 9" xfId="4994" xr:uid="{00000000-0005-0000-0000-0000AF990000}"/>
    <cellStyle name="Bemærk! 3 2 9 2" xfId="6769" xr:uid="{00000000-0005-0000-0000-0000B0990000}"/>
    <cellStyle name="Bemærk! 3 2 9 2 2" xfId="14680" xr:uid="{00000000-0005-0000-0000-0000B1990000}"/>
    <cellStyle name="Bemærk! 3 2 9 2 2 2" xfId="30994" xr:uid="{00000000-0005-0000-0000-0000B2990000}"/>
    <cellStyle name="Bemærk! 3 2 9 2 2 3" xfId="45958" xr:uid="{00000000-0005-0000-0000-0000B3990000}"/>
    <cellStyle name="Bemærk! 3 2 9 2 3" xfId="23972" xr:uid="{00000000-0005-0000-0000-0000B4990000}"/>
    <cellStyle name="Bemærk! 3 2 9 2 4" xfId="38959" xr:uid="{00000000-0005-0000-0000-0000B5990000}"/>
    <cellStyle name="Bemærk! 3 3" xfId="4995" xr:uid="{00000000-0005-0000-0000-0000B6990000}"/>
    <cellStyle name="Bemærk! 3 3 2" xfId="4996" xr:uid="{00000000-0005-0000-0000-0000B7990000}"/>
    <cellStyle name="Bemærk! 3 3 2 2" xfId="4997" xr:uid="{00000000-0005-0000-0000-0000B8990000}"/>
    <cellStyle name="Bemærk! 3 3 2 2 2" xfId="4998" xr:uid="{00000000-0005-0000-0000-0000B9990000}"/>
    <cellStyle name="Bemærk! 3 3 2 2 2 2" xfId="7699" xr:uid="{00000000-0005-0000-0000-0000BA990000}"/>
    <cellStyle name="Bemærk! 3 3 2 2 2 2 2" xfId="15600" xr:uid="{00000000-0005-0000-0000-0000BB990000}"/>
    <cellStyle name="Bemærk! 3 3 2 2 2 2 2 2" xfId="31914" xr:uid="{00000000-0005-0000-0000-0000BC990000}"/>
    <cellStyle name="Bemærk! 3 3 2 2 2 2 2 3" xfId="46878" xr:uid="{00000000-0005-0000-0000-0000BD990000}"/>
    <cellStyle name="Bemærk! 3 3 2 2 2 2 3" xfId="24892" xr:uid="{00000000-0005-0000-0000-0000BE990000}"/>
    <cellStyle name="Bemærk! 3 3 2 2 2 2 4" xfId="39879" xr:uid="{00000000-0005-0000-0000-0000BF990000}"/>
    <cellStyle name="Bemærk! 3 3 2 3" xfId="4999" xr:uid="{00000000-0005-0000-0000-0000C0990000}"/>
    <cellStyle name="Bemærk! 3 3 2 3 2" xfId="5000" xr:uid="{00000000-0005-0000-0000-0000C1990000}"/>
    <cellStyle name="Bemærk! 3 3 2 3 2 2" xfId="8599" xr:uid="{00000000-0005-0000-0000-0000C2990000}"/>
    <cellStyle name="Bemærk! 3 3 2 3 2 2 2" xfId="16485" xr:uid="{00000000-0005-0000-0000-0000C3990000}"/>
    <cellStyle name="Bemærk! 3 3 2 3 2 2 2 2" xfId="32799" xr:uid="{00000000-0005-0000-0000-0000C4990000}"/>
    <cellStyle name="Bemærk! 3 3 2 3 2 2 2 3" xfId="47763" xr:uid="{00000000-0005-0000-0000-0000C5990000}"/>
    <cellStyle name="Bemærk! 3 3 2 3 2 2 3" xfId="25777" xr:uid="{00000000-0005-0000-0000-0000C6990000}"/>
    <cellStyle name="Bemærk! 3 3 2 3 2 2 4" xfId="40764" xr:uid="{00000000-0005-0000-0000-0000C7990000}"/>
    <cellStyle name="Bemærk! 3 3 2 3 3" xfId="6268" xr:uid="{00000000-0005-0000-0000-0000C8990000}"/>
    <cellStyle name="Bemærk! 3 3 2 3 3 2" xfId="14185" xr:uid="{00000000-0005-0000-0000-0000C9990000}"/>
    <cellStyle name="Bemærk! 3 3 2 3 3 2 2" xfId="30499" xr:uid="{00000000-0005-0000-0000-0000CA990000}"/>
    <cellStyle name="Bemærk! 3 3 2 3 3 2 3" xfId="45463" xr:uid="{00000000-0005-0000-0000-0000CB990000}"/>
    <cellStyle name="Bemærk! 3 3 2 3 3 3" xfId="23477" xr:uid="{00000000-0005-0000-0000-0000CC990000}"/>
    <cellStyle name="Bemærk! 3 3 2 3 3 4" xfId="38464" xr:uid="{00000000-0005-0000-0000-0000CD990000}"/>
    <cellStyle name="Bemærk! 3 3 2 4" xfId="5001" xr:uid="{00000000-0005-0000-0000-0000CE990000}"/>
    <cellStyle name="Bemærk! 3 3 2 4 2" xfId="6929" xr:uid="{00000000-0005-0000-0000-0000CF990000}"/>
    <cellStyle name="Bemærk! 3 3 2 4 2 2" xfId="14840" xr:uid="{00000000-0005-0000-0000-0000D0990000}"/>
    <cellStyle name="Bemærk! 3 3 2 4 2 2 2" xfId="31154" xr:uid="{00000000-0005-0000-0000-0000D1990000}"/>
    <cellStyle name="Bemærk! 3 3 2 4 2 2 3" xfId="46118" xr:uid="{00000000-0005-0000-0000-0000D2990000}"/>
    <cellStyle name="Bemærk! 3 3 2 4 2 3" xfId="24132" xr:uid="{00000000-0005-0000-0000-0000D3990000}"/>
    <cellStyle name="Bemærk! 3 3 2 4 2 4" xfId="39119" xr:uid="{00000000-0005-0000-0000-0000D4990000}"/>
    <cellStyle name="Bemærk! 3 3 3" xfId="5002" xr:uid="{00000000-0005-0000-0000-0000D5990000}"/>
    <cellStyle name="Bemærk! 3 3 3 2" xfId="5003" xr:uid="{00000000-0005-0000-0000-0000D6990000}"/>
    <cellStyle name="Bemærk! 3 3 3 2 2" xfId="5004" xr:uid="{00000000-0005-0000-0000-0000D7990000}"/>
    <cellStyle name="Bemærk! 3 3 3 2 2 2" xfId="7842" xr:uid="{00000000-0005-0000-0000-0000D8990000}"/>
    <cellStyle name="Bemærk! 3 3 3 2 2 2 2" xfId="15743" xr:uid="{00000000-0005-0000-0000-0000D9990000}"/>
    <cellStyle name="Bemærk! 3 3 3 2 2 2 2 2" xfId="32057" xr:uid="{00000000-0005-0000-0000-0000DA990000}"/>
    <cellStyle name="Bemærk! 3 3 3 2 2 2 2 3" xfId="47021" xr:uid="{00000000-0005-0000-0000-0000DB990000}"/>
    <cellStyle name="Bemærk! 3 3 3 2 2 2 3" xfId="25035" xr:uid="{00000000-0005-0000-0000-0000DC990000}"/>
    <cellStyle name="Bemærk! 3 3 3 2 2 2 4" xfId="40022" xr:uid="{00000000-0005-0000-0000-0000DD990000}"/>
    <cellStyle name="Bemærk! 3 3 3 3" xfId="5005" xr:uid="{00000000-0005-0000-0000-0000DE990000}"/>
    <cellStyle name="Bemærk! 3 3 3 3 2" xfId="5006" xr:uid="{00000000-0005-0000-0000-0000DF990000}"/>
    <cellStyle name="Bemærk! 3 3 3 3 2 2" xfId="8535" xr:uid="{00000000-0005-0000-0000-0000E0990000}"/>
    <cellStyle name="Bemærk! 3 3 3 3 2 2 2" xfId="16423" xr:uid="{00000000-0005-0000-0000-0000E1990000}"/>
    <cellStyle name="Bemærk! 3 3 3 3 2 2 2 2" xfId="32737" xr:uid="{00000000-0005-0000-0000-0000E2990000}"/>
    <cellStyle name="Bemærk! 3 3 3 3 2 2 2 3" xfId="47701" xr:uid="{00000000-0005-0000-0000-0000E3990000}"/>
    <cellStyle name="Bemærk! 3 3 3 3 2 2 3" xfId="25715" xr:uid="{00000000-0005-0000-0000-0000E4990000}"/>
    <cellStyle name="Bemærk! 3 3 3 3 2 2 4" xfId="40702" xr:uid="{00000000-0005-0000-0000-0000E5990000}"/>
    <cellStyle name="Bemærk! 3 3 3 3 3" xfId="6391" xr:uid="{00000000-0005-0000-0000-0000E6990000}"/>
    <cellStyle name="Bemærk! 3 3 3 3 3 2" xfId="14305" xr:uid="{00000000-0005-0000-0000-0000E7990000}"/>
    <cellStyle name="Bemærk! 3 3 3 3 3 2 2" xfId="30619" xr:uid="{00000000-0005-0000-0000-0000E8990000}"/>
    <cellStyle name="Bemærk! 3 3 3 3 3 2 3" xfId="45583" xr:uid="{00000000-0005-0000-0000-0000E9990000}"/>
    <cellStyle name="Bemærk! 3 3 3 3 3 3" xfId="23597" xr:uid="{00000000-0005-0000-0000-0000EA990000}"/>
    <cellStyle name="Bemærk! 3 3 3 3 3 4" xfId="38584" xr:uid="{00000000-0005-0000-0000-0000EB990000}"/>
    <cellStyle name="Bemærk! 3 3 3 4" xfId="5007" xr:uid="{00000000-0005-0000-0000-0000EC990000}"/>
    <cellStyle name="Bemærk! 3 3 3 4 2" xfId="7073" xr:uid="{00000000-0005-0000-0000-0000ED990000}"/>
    <cellStyle name="Bemærk! 3 3 3 4 2 2" xfId="14984" xr:uid="{00000000-0005-0000-0000-0000EE990000}"/>
    <cellStyle name="Bemærk! 3 3 3 4 2 2 2" xfId="31298" xr:uid="{00000000-0005-0000-0000-0000EF990000}"/>
    <cellStyle name="Bemærk! 3 3 3 4 2 2 3" xfId="46262" xr:uid="{00000000-0005-0000-0000-0000F0990000}"/>
    <cellStyle name="Bemærk! 3 3 3 4 2 3" xfId="24276" xr:uid="{00000000-0005-0000-0000-0000F1990000}"/>
    <cellStyle name="Bemærk! 3 3 3 4 2 4" xfId="39263" xr:uid="{00000000-0005-0000-0000-0000F2990000}"/>
    <cellStyle name="Bemærk! 3 3 4" xfId="5008" xr:uid="{00000000-0005-0000-0000-0000F3990000}"/>
    <cellStyle name="Bemærk! 3 3 4 2" xfId="5009" xr:uid="{00000000-0005-0000-0000-0000F4990000}"/>
    <cellStyle name="Bemærk! 3 3 4 2 2" xfId="5010" xr:uid="{00000000-0005-0000-0000-0000F5990000}"/>
    <cellStyle name="Bemærk! 3 3 4 2 2 2" xfId="7937" xr:uid="{00000000-0005-0000-0000-0000F6990000}"/>
    <cellStyle name="Bemærk! 3 3 4 2 2 2 2" xfId="15838" xr:uid="{00000000-0005-0000-0000-0000F7990000}"/>
    <cellStyle name="Bemærk! 3 3 4 2 2 2 2 2" xfId="32152" xr:uid="{00000000-0005-0000-0000-0000F8990000}"/>
    <cellStyle name="Bemærk! 3 3 4 2 2 2 2 3" xfId="47116" xr:uid="{00000000-0005-0000-0000-0000F9990000}"/>
    <cellStyle name="Bemærk! 3 3 4 2 2 2 3" xfId="25130" xr:uid="{00000000-0005-0000-0000-0000FA990000}"/>
    <cellStyle name="Bemærk! 3 3 4 2 2 2 4" xfId="40117" xr:uid="{00000000-0005-0000-0000-0000FB990000}"/>
    <cellStyle name="Bemærk! 3 3 4 3" xfId="5011" xr:uid="{00000000-0005-0000-0000-0000FC990000}"/>
    <cellStyle name="Bemærk! 3 3 4 3 2" xfId="5012" xr:uid="{00000000-0005-0000-0000-0000FD990000}"/>
    <cellStyle name="Bemærk! 3 3 4 3 2 2" xfId="8384" xr:uid="{00000000-0005-0000-0000-0000FE990000}"/>
    <cellStyle name="Bemærk! 3 3 4 3 2 2 2" xfId="16278" xr:uid="{00000000-0005-0000-0000-0000FF990000}"/>
    <cellStyle name="Bemærk! 3 3 4 3 2 2 2 2" xfId="32592" xr:uid="{00000000-0005-0000-0000-0000009A0000}"/>
    <cellStyle name="Bemærk! 3 3 4 3 2 2 2 3" xfId="47556" xr:uid="{00000000-0005-0000-0000-0000019A0000}"/>
    <cellStyle name="Bemærk! 3 3 4 3 2 2 3" xfId="25570" xr:uid="{00000000-0005-0000-0000-0000029A0000}"/>
    <cellStyle name="Bemærk! 3 3 4 3 2 2 4" xfId="40557" xr:uid="{00000000-0005-0000-0000-0000039A0000}"/>
    <cellStyle name="Bemærk! 3 3 4 3 3" xfId="6470" xr:uid="{00000000-0005-0000-0000-0000049A0000}"/>
    <cellStyle name="Bemærk! 3 3 4 3 3 2" xfId="14384" xr:uid="{00000000-0005-0000-0000-0000059A0000}"/>
    <cellStyle name="Bemærk! 3 3 4 3 3 2 2" xfId="30698" xr:uid="{00000000-0005-0000-0000-0000069A0000}"/>
    <cellStyle name="Bemærk! 3 3 4 3 3 2 3" xfId="45662" xr:uid="{00000000-0005-0000-0000-0000079A0000}"/>
    <cellStyle name="Bemærk! 3 3 4 3 3 3" xfId="23676" xr:uid="{00000000-0005-0000-0000-0000089A0000}"/>
    <cellStyle name="Bemærk! 3 3 4 3 3 4" xfId="38663" xr:uid="{00000000-0005-0000-0000-0000099A0000}"/>
    <cellStyle name="Bemærk! 3 3 4 4" xfId="5013" xr:uid="{00000000-0005-0000-0000-00000A9A0000}"/>
    <cellStyle name="Bemærk! 3 3 4 4 2" xfId="7213" xr:uid="{00000000-0005-0000-0000-00000B9A0000}"/>
    <cellStyle name="Bemærk! 3 3 4 4 2 2" xfId="15123" xr:uid="{00000000-0005-0000-0000-00000C9A0000}"/>
    <cellStyle name="Bemærk! 3 3 4 4 2 2 2" xfId="31437" xr:uid="{00000000-0005-0000-0000-00000D9A0000}"/>
    <cellStyle name="Bemærk! 3 3 4 4 2 2 3" xfId="46401" xr:uid="{00000000-0005-0000-0000-00000E9A0000}"/>
    <cellStyle name="Bemærk! 3 3 4 4 2 3" xfId="24415" xr:uid="{00000000-0005-0000-0000-00000F9A0000}"/>
    <cellStyle name="Bemærk! 3 3 4 4 2 4" xfId="39402" xr:uid="{00000000-0005-0000-0000-0000109A0000}"/>
    <cellStyle name="Bemærk! 3 3 5" xfId="5014" xr:uid="{00000000-0005-0000-0000-0000119A0000}"/>
    <cellStyle name="Bemærk! 3 3 5 2" xfId="5015" xr:uid="{00000000-0005-0000-0000-0000129A0000}"/>
    <cellStyle name="Bemærk! 3 3 5 2 2" xfId="5016" xr:uid="{00000000-0005-0000-0000-0000139A0000}"/>
    <cellStyle name="Bemærk! 3 3 5 2 2 2" xfId="8054" xr:uid="{00000000-0005-0000-0000-0000149A0000}"/>
    <cellStyle name="Bemærk! 3 3 5 2 2 2 2" xfId="15955" xr:uid="{00000000-0005-0000-0000-0000159A0000}"/>
    <cellStyle name="Bemærk! 3 3 5 2 2 2 2 2" xfId="32269" xr:uid="{00000000-0005-0000-0000-0000169A0000}"/>
    <cellStyle name="Bemærk! 3 3 5 2 2 2 2 3" xfId="47233" xr:uid="{00000000-0005-0000-0000-0000179A0000}"/>
    <cellStyle name="Bemærk! 3 3 5 2 2 2 3" xfId="25247" xr:uid="{00000000-0005-0000-0000-0000189A0000}"/>
    <cellStyle name="Bemærk! 3 3 5 2 2 2 4" xfId="40234" xr:uid="{00000000-0005-0000-0000-0000199A0000}"/>
    <cellStyle name="Bemærk! 3 3 5 3" xfId="5017" xr:uid="{00000000-0005-0000-0000-00001A9A0000}"/>
    <cellStyle name="Bemærk! 3 3 5 3 2" xfId="5018" xr:uid="{00000000-0005-0000-0000-00001B9A0000}"/>
    <cellStyle name="Bemærk! 3 3 5 3 2 2" xfId="7074" xr:uid="{00000000-0005-0000-0000-00001C9A0000}"/>
    <cellStyle name="Bemærk! 3 3 5 3 2 2 2" xfId="14985" xr:uid="{00000000-0005-0000-0000-00001D9A0000}"/>
    <cellStyle name="Bemærk! 3 3 5 3 2 2 2 2" xfId="31299" xr:uid="{00000000-0005-0000-0000-00001E9A0000}"/>
    <cellStyle name="Bemærk! 3 3 5 3 2 2 2 3" xfId="46263" xr:uid="{00000000-0005-0000-0000-00001F9A0000}"/>
    <cellStyle name="Bemærk! 3 3 5 3 2 2 3" xfId="24277" xr:uid="{00000000-0005-0000-0000-0000209A0000}"/>
    <cellStyle name="Bemærk! 3 3 5 3 2 2 4" xfId="39264" xr:uid="{00000000-0005-0000-0000-0000219A0000}"/>
    <cellStyle name="Bemærk! 3 3 5 3 3" xfId="6569" xr:uid="{00000000-0005-0000-0000-0000229A0000}"/>
    <cellStyle name="Bemærk! 3 3 5 3 3 2" xfId="14483" xr:uid="{00000000-0005-0000-0000-0000239A0000}"/>
    <cellStyle name="Bemærk! 3 3 5 3 3 2 2" xfId="30797" xr:uid="{00000000-0005-0000-0000-0000249A0000}"/>
    <cellStyle name="Bemærk! 3 3 5 3 3 2 3" xfId="45761" xr:uid="{00000000-0005-0000-0000-0000259A0000}"/>
    <cellStyle name="Bemærk! 3 3 5 3 3 3" xfId="23775" xr:uid="{00000000-0005-0000-0000-0000269A0000}"/>
    <cellStyle name="Bemærk! 3 3 5 3 3 4" xfId="38762" xr:uid="{00000000-0005-0000-0000-0000279A0000}"/>
    <cellStyle name="Bemærk! 3 3 5 4" xfId="5019" xr:uid="{00000000-0005-0000-0000-0000289A0000}"/>
    <cellStyle name="Bemærk! 3 3 5 4 2" xfId="7330" xr:uid="{00000000-0005-0000-0000-0000299A0000}"/>
    <cellStyle name="Bemærk! 3 3 5 4 2 2" xfId="15240" xr:uid="{00000000-0005-0000-0000-00002A9A0000}"/>
    <cellStyle name="Bemærk! 3 3 5 4 2 2 2" xfId="31554" xr:uid="{00000000-0005-0000-0000-00002B9A0000}"/>
    <cellStyle name="Bemærk! 3 3 5 4 2 2 3" xfId="46518" xr:uid="{00000000-0005-0000-0000-00002C9A0000}"/>
    <cellStyle name="Bemærk! 3 3 5 4 2 3" xfId="24532" xr:uid="{00000000-0005-0000-0000-00002D9A0000}"/>
    <cellStyle name="Bemærk! 3 3 5 4 2 4" xfId="39519" xr:uid="{00000000-0005-0000-0000-00002E9A0000}"/>
    <cellStyle name="Bemærk! 3 3 6" xfId="5020" xr:uid="{00000000-0005-0000-0000-00002F9A0000}"/>
    <cellStyle name="Bemærk! 3 3 6 2" xfId="5021" xr:uid="{00000000-0005-0000-0000-0000309A0000}"/>
    <cellStyle name="Bemærk! 3 3 6 2 2" xfId="5022" xr:uid="{00000000-0005-0000-0000-0000319A0000}"/>
    <cellStyle name="Bemærk! 3 3 6 2 2 2" xfId="8196" xr:uid="{00000000-0005-0000-0000-0000329A0000}"/>
    <cellStyle name="Bemærk! 3 3 6 2 2 2 2" xfId="16097" xr:uid="{00000000-0005-0000-0000-0000339A0000}"/>
    <cellStyle name="Bemærk! 3 3 6 2 2 2 2 2" xfId="32411" xr:uid="{00000000-0005-0000-0000-0000349A0000}"/>
    <cellStyle name="Bemærk! 3 3 6 2 2 2 2 3" xfId="47375" xr:uid="{00000000-0005-0000-0000-0000359A0000}"/>
    <cellStyle name="Bemærk! 3 3 6 2 2 2 3" xfId="25389" xr:uid="{00000000-0005-0000-0000-0000369A0000}"/>
    <cellStyle name="Bemærk! 3 3 6 2 2 2 4" xfId="40376" xr:uid="{00000000-0005-0000-0000-0000379A0000}"/>
    <cellStyle name="Bemærk! 3 3 6 3" xfId="5023" xr:uid="{00000000-0005-0000-0000-0000389A0000}"/>
    <cellStyle name="Bemærk! 3 3 6 3 2" xfId="5024" xr:uid="{00000000-0005-0000-0000-0000399A0000}"/>
    <cellStyle name="Bemærk! 3 3 6 3 2 2" xfId="8808" xr:uid="{00000000-0005-0000-0000-00003A9A0000}"/>
    <cellStyle name="Bemærk! 3 3 6 3 2 2 2" xfId="16684" xr:uid="{00000000-0005-0000-0000-00003B9A0000}"/>
    <cellStyle name="Bemærk! 3 3 6 3 2 2 2 2" xfId="32998" xr:uid="{00000000-0005-0000-0000-00003C9A0000}"/>
    <cellStyle name="Bemærk! 3 3 6 3 2 2 2 3" xfId="47962" xr:uid="{00000000-0005-0000-0000-00003D9A0000}"/>
    <cellStyle name="Bemærk! 3 3 6 3 2 2 3" xfId="25976" xr:uid="{00000000-0005-0000-0000-00003E9A0000}"/>
    <cellStyle name="Bemærk! 3 3 6 3 2 2 4" xfId="40963" xr:uid="{00000000-0005-0000-0000-00003F9A0000}"/>
    <cellStyle name="Bemærk! 3 3 6 3 3" xfId="6689" xr:uid="{00000000-0005-0000-0000-0000409A0000}"/>
    <cellStyle name="Bemærk! 3 3 6 3 3 2" xfId="14603" xr:uid="{00000000-0005-0000-0000-0000419A0000}"/>
    <cellStyle name="Bemærk! 3 3 6 3 3 2 2" xfId="30917" xr:uid="{00000000-0005-0000-0000-0000429A0000}"/>
    <cellStyle name="Bemærk! 3 3 6 3 3 2 3" xfId="45881" xr:uid="{00000000-0005-0000-0000-0000439A0000}"/>
    <cellStyle name="Bemærk! 3 3 6 3 3 3" xfId="23895" xr:uid="{00000000-0005-0000-0000-0000449A0000}"/>
    <cellStyle name="Bemærk! 3 3 6 3 3 4" xfId="38882" xr:uid="{00000000-0005-0000-0000-0000459A0000}"/>
    <cellStyle name="Bemærk! 3 3 6 4" xfId="5025" xr:uid="{00000000-0005-0000-0000-0000469A0000}"/>
    <cellStyle name="Bemærk! 3 3 6 4 2" xfId="7473" xr:uid="{00000000-0005-0000-0000-0000479A0000}"/>
    <cellStyle name="Bemærk! 3 3 6 4 2 2" xfId="15383" xr:uid="{00000000-0005-0000-0000-0000489A0000}"/>
    <cellStyle name="Bemærk! 3 3 6 4 2 2 2" xfId="31697" xr:uid="{00000000-0005-0000-0000-0000499A0000}"/>
    <cellStyle name="Bemærk! 3 3 6 4 2 2 3" xfId="46661" xr:uid="{00000000-0005-0000-0000-00004A9A0000}"/>
    <cellStyle name="Bemærk! 3 3 6 4 2 3" xfId="24675" xr:uid="{00000000-0005-0000-0000-00004B9A0000}"/>
    <cellStyle name="Bemærk! 3 3 6 4 2 4" xfId="39662" xr:uid="{00000000-0005-0000-0000-00004C9A0000}"/>
    <cellStyle name="Bemærk! 3 3 7" xfId="5026" xr:uid="{00000000-0005-0000-0000-00004D9A0000}"/>
    <cellStyle name="Bemærk! 3 3 7 2" xfId="5027" xr:uid="{00000000-0005-0000-0000-00004E9A0000}"/>
    <cellStyle name="Bemærk! 3 3 7 2 2" xfId="7580" xr:uid="{00000000-0005-0000-0000-00004F9A0000}"/>
    <cellStyle name="Bemærk! 3 3 7 2 2 2" xfId="15481" xr:uid="{00000000-0005-0000-0000-0000509A0000}"/>
    <cellStyle name="Bemærk! 3 3 7 2 2 2 2" xfId="31795" xr:uid="{00000000-0005-0000-0000-0000519A0000}"/>
    <cellStyle name="Bemærk! 3 3 7 2 2 2 3" xfId="46759" xr:uid="{00000000-0005-0000-0000-0000529A0000}"/>
    <cellStyle name="Bemærk! 3 3 7 2 2 3" xfId="24773" xr:uid="{00000000-0005-0000-0000-0000539A0000}"/>
    <cellStyle name="Bemærk! 3 3 7 2 2 4" xfId="39760" xr:uid="{00000000-0005-0000-0000-0000549A0000}"/>
    <cellStyle name="Bemærk! 3 3 8" xfId="5028" xr:uid="{00000000-0005-0000-0000-0000559A0000}"/>
    <cellStyle name="Bemærk! 3 3 8 2" xfId="5029" xr:uid="{00000000-0005-0000-0000-0000569A0000}"/>
    <cellStyle name="Bemærk! 3 3 8 2 2" xfId="8402" xr:uid="{00000000-0005-0000-0000-0000579A0000}"/>
    <cellStyle name="Bemærk! 3 3 8 2 2 2" xfId="16295" xr:uid="{00000000-0005-0000-0000-0000589A0000}"/>
    <cellStyle name="Bemærk! 3 3 8 2 2 2 2" xfId="32609" xr:uid="{00000000-0005-0000-0000-0000599A0000}"/>
    <cellStyle name="Bemærk! 3 3 8 2 2 2 3" xfId="47573" xr:uid="{00000000-0005-0000-0000-00005A9A0000}"/>
    <cellStyle name="Bemærk! 3 3 8 2 2 3" xfId="25587" xr:uid="{00000000-0005-0000-0000-00005B9A0000}"/>
    <cellStyle name="Bemærk! 3 3 8 2 2 4" xfId="40574" xr:uid="{00000000-0005-0000-0000-00005C9A0000}"/>
    <cellStyle name="Bemærk! 3 3 8 3" xfId="6169" xr:uid="{00000000-0005-0000-0000-00005D9A0000}"/>
    <cellStyle name="Bemærk! 3 3 8 3 2" xfId="14086" xr:uid="{00000000-0005-0000-0000-00005E9A0000}"/>
    <cellStyle name="Bemærk! 3 3 8 3 2 2" xfId="30400" xr:uid="{00000000-0005-0000-0000-00005F9A0000}"/>
    <cellStyle name="Bemærk! 3 3 8 3 2 3" xfId="45364" xr:uid="{00000000-0005-0000-0000-0000609A0000}"/>
    <cellStyle name="Bemærk! 3 3 8 3 3" xfId="23378" xr:uid="{00000000-0005-0000-0000-0000619A0000}"/>
    <cellStyle name="Bemærk! 3 3 8 3 4" xfId="38365" xr:uid="{00000000-0005-0000-0000-0000629A0000}"/>
    <cellStyle name="Bemærk! 3 3 9" xfId="5030" xr:uid="{00000000-0005-0000-0000-0000639A0000}"/>
    <cellStyle name="Bemærk! 3 3 9 2" xfId="6808" xr:uid="{00000000-0005-0000-0000-0000649A0000}"/>
    <cellStyle name="Bemærk! 3 3 9 2 2" xfId="14719" xr:uid="{00000000-0005-0000-0000-0000659A0000}"/>
    <cellStyle name="Bemærk! 3 3 9 2 2 2" xfId="31033" xr:uid="{00000000-0005-0000-0000-0000669A0000}"/>
    <cellStyle name="Bemærk! 3 3 9 2 2 3" xfId="45997" xr:uid="{00000000-0005-0000-0000-0000679A0000}"/>
    <cellStyle name="Bemærk! 3 3 9 2 3" xfId="24011" xr:uid="{00000000-0005-0000-0000-0000689A0000}"/>
    <cellStyle name="Bemærk! 3 3 9 2 4" xfId="38998" xr:uid="{00000000-0005-0000-0000-0000699A0000}"/>
    <cellStyle name="Bemærk! 3 4" xfId="5031" xr:uid="{00000000-0005-0000-0000-00006A9A0000}"/>
    <cellStyle name="Bemærk! 3 4 2" xfId="5032" xr:uid="{00000000-0005-0000-0000-00006B9A0000}"/>
    <cellStyle name="Bemærk! 3 4 2 2" xfId="5033" xr:uid="{00000000-0005-0000-0000-00006C9A0000}"/>
    <cellStyle name="Bemærk! 3 4 2 2 2" xfId="7621" xr:uid="{00000000-0005-0000-0000-00006D9A0000}"/>
    <cellStyle name="Bemærk! 3 4 2 2 2 2" xfId="15522" xr:uid="{00000000-0005-0000-0000-00006E9A0000}"/>
    <cellStyle name="Bemærk! 3 4 2 2 2 2 2" xfId="31836" xr:uid="{00000000-0005-0000-0000-00006F9A0000}"/>
    <cellStyle name="Bemærk! 3 4 2 2 2 2 3" xfId="46800" xr:uid="{00000000-0005-0000-0000-0000709A0000}"/>
    <cellStyle name="Bemærk! 3 4 2 2 2 3" xfId="24814" xr:uid="{00000000-0005-0000-0000-0000719A0000}"/>
    <cellStyle name="Bemærk! 3 4 2 2 2 4" xfId="39801" xr:uid="{00000000-0005-0000-0000-0000729A0000}"/>
    <cellStyle name="Bemærk! 3 4 3" xfId="5034" xr:uid="{00000000-0005-0000-0000-0000739A0000}"/>
    <cellStyle name="Bemærk! 3 4 3 2" xfId="5035" xr:uid="{00000000-0005-0000-0000-0000749A0000}"/>
    <cellStyle name="Bemærk! 3 4 3 2 2" xfId="8449" xr:uid="{00000000-0005-0000-0000-0000759A0000}"/>
    <cellStyle name="Bemærk! 3 4 3 2 2 2" xfId="16341" xr:uid="{00000000-0005-0000-0000-0000769A0000}"/>
    <cellStyle name="Bemærk! 3 4 3 2 2 2 2" xfId="32655" xr:uid="{00000000-0005-0000-0000-0000779A0000}"/>
    <cellStyle name="Bemærk! 3 4 3 2 2 2 3" xfId="47619" xr:uid="{00000000-0005-0000-0000-0000789A0000}"/>
    <cellStyle name="Bemærk! 3 4 3 2 2 3" xfId="25633" xr:uid="{00000000-0005-0000-0000-0000799A0000}"/>
    <cellStyle name="Bemærk! 3 4 3 2 2 4" xfId="40620" xr:uid="{00000000-0005-0000-0000-00007A9A0000}"/>
    <cellStyle name="Bemærk! 3 4 3 3" xfId="6202" xr:uid="{00000000-0005-0000-0000-00007B9A0000}"/>
    <cellStyle name="Bemærk! 3 4 3 3 2" xfId="14119" xr:uid="{00000000-0005-0000-0000-00007C9A0000}"/>
    <cellStyle name="Bemærk! 3 4 3 3 2 2" xfId="30433" xr:uid="{00000000-0005-0000-0000-00007D9A0000}"/>
    <cellStyle name="Bemærk! 3 4 3 3 2 3" xfId="45397" xr:uid="{00000000-0005-0000-0000-00007E9A0000}"/>
    <cellStyle name="Bemærk! 3 4 3 3 3" xfId="23411" xr:uid="{00000000-0005-0000-0000-00007F9A0000}"/>
    <cellStyle name="Bemærk! 3 4 3 3 4" xfId="38398" xr:uid="{00000000-0005-0000-0000-0000809A0000}"/>
    <cellStyle name="Bemærk! 3 4 4" xfId="5036" xr:uid="{00000000-0005-0000-0000-0000819A0000}"/>
    <cellStyle name="Bemærk! 3 4 4 2" xfId="6851" xr:uid="{00000000-0005-0000-0000-0000829A0000}"/>
    <cellStyle name="Bemærk! 3 4 4 2 2" xfId="14762" xr:uid="{00000000-0005-0000-0000-0000839A0000}"/>
    <cellStyle name="Bemærk! 3 4 4 2 2 2" xfId="31076" xr:uid="{00000000-0005-0000-0000-0000849A0000}"/>
    <cellStyle name="Bemærk! 3 4 4 2 2 3" xfId="46040" xr:uid="{00000000-0005-0000-0000-0000859A0000}"/>
    <cellStyle name="Bemærk! 3 4 4 2 3" xfId="24054" xr:uid="{00000000-0005-0000-0000-0000869A0000}"/>
    <cellStyle name="Bemærk! 3 4 4 2 4" xfId="39041" xr:uid="{00000000-0005-0000-0000-0000879A0000}"/>
    <cellStyle name="Bemærk! 3 5" xfId="5037" xr:uid="{00000000-0005-0000-0000-0000889A0000}"/>
    <cellStyle name="Bemærk! 3 5 2" xfId="5038" xr:uid="{00000000-0005-0000-0000-0000899A0000}"/>
    <cellStyle name="Bemærk! 3 5 2 2" xfId="5039" xr:uid="{00000000-0005-0000-0000-00008A9A0000}"/>
    <cellStyle name="Bemærk! 3 5 2 2 2" xfId="7840" xr:uid="{00000000-0005-0000-0000-00008B9A0000}"/>
    <cellStyle name="Bemærk! 3 5 2 2 2 2" xfId="15741" xr:uid="{00000000-0005-0000-0000-00008C9A0000}"/>
    <cellStyle name="Bemærk! 3 5 2 2 2 2 2" xfId="32055" xr:uid="{00000000-0005-0000-0000-00008D9A0000}"/>
    <cellStyle name="Bemærk! 3 5 2 2 2 2 3" xfId="47019" xr:uid="{00000000-0005-0000-0000-00008E9A0000}"/>
    <cellStyle name="Bemærk! 3 5 2 2 2 3" xfId="25033" xr:uid="{00000000-0005-0000-0000-00008F9A0000}"/>
    <cellStyle name="Bemærk! 3 5 2 2 2 4" xfId="40020" xr:uid="{00000000-0005-0000-0000-0000909A0000}"/>
    <cellStyle name="Bemærk! 3 5 3" xfId="5040" xr:uid="{00000000-0005-0000-0000-0000919A0000}"/>
    <cellStyle name="Bemærk! 3 5 3 2" xfId="5041" xr:uid="{00000000-0005-0000-0000-0000929A0000}"/>
    <cellStyle name="Bemærk! 3 5 3 2 2" xfId="8235" xr:uid="{00000000-0005-0000-0000-0000939A0000}"/>
    <cellStyle name="Bemærk! 3 5 3 2 2 2" xfId="16132" xr:uid="{00000000-0005-0000-0000-0000949A0000}"/>
    <cellStyle name="Bemærk! 3 5 3 2 2 2 2" xfId="32446" xr:uid="{00000000-0005-0000-0000-0000959A0000}"/>
    <cellStyle name="Bemærk! 3 5 3 2 2 2 3" xfId="47410" xr:uid="{00000000-0005-0000-0000-0000969A0000}"/>
    <cellStyle name="Bemærk! 3 5 3 2 2 3" xfId="25424" xr:uid="{00000000-0005-0000-0000-0000979A0000}"/>
    <cellStyle name="Bemærk! 3 5 3 2 2 4" xfId="40411" xr:uid="{00000000-0005-0000-0000-0000989A0000}"/>
    <cellStyle name="Bemærk! 3 5 3 3" xfId="6389" xr:uid="{00000000-0005-0000-0000-0000999A0000}"/>
    <cellStyle name="Bemærk! 3 5 3 3 2" xfId="14303" xr:uid="{00000000-0005-0000-0000-00009A9A0000}"/>
    <cellStyle name="Bemærk! 3 5 3 3 2 2" xfId="30617" xr:uid="{00000000-0005-0000-0000-00009B9A0000}"/>
    <cellStyle name="Bemærk! 3 5 3 3 2 3" xfId="45581" xr:uid="{00000000-0005-0000-0000-00009C9A0000}"/>
    <cellStyle name="Bemærk! 3 5 3 3 3" xfId="23595" xr:uid="{00000000-0005-0000-0000-00009D9A0000}"/>
    <cellStyle name="Bemærk! 3 5 3 3 4" xfId="38582" xr:uid="{00000000-0005-0000-0000-00009E9A0000}"/>
    <cellStyle name="Bemærk! 3 5 4" xfId="5042" xr:uid="{00000000-0005-0000-0000-00009F9A0000}"/>
    <cellStyle name="Bemærk! 3 5 4 2" xfId="7071" xr:uid="{00000000-0005-0000-0000-0000A09A0000}"/>
    <cellStyle name="Bemærk! 3 5 4 2 2" xfId="14982" xr:uid="{00000000-0005-0000-0000-0000A19A0000}"/>
    <cellStyle name="Bemærk! 3 5 4 2 2 2" xfId="31296" xr:uid="{00000000-0005-0000-0000-0000A29A0000}"/>
    <cellStyle name="Bemærk! 3 5 4 2 2 3" xfId="46260" xr:uid="{00000000-0005-0000-0000-0000A39A0000}"/>
    <cellStyle name="Bemærk! 3 5 4 2 3" xfId="24274" xr:uid="{00000000-0005-0000-0000-0000A49A0000}"/>
    <cellStyle name="Bemærk! 3 5 4 2 4" xfId="39261" xr:uid="{00000000-0005-0000-0000-0000A59A0000}"/>
    <cellStyle name="Bemærk! 3 6" xfId="5043" xr:uid="{00000000-0005-0000-0000-0000A69A0000}"/>
    <cellStyle name="Bemærk! 3 6 2" xfId="5044" xr:uid="{00000000-0005-0000-0000-0000A79A0000}"/>
    <cellStyle name="Bemærk! 3 6 2 2" xfId="5045" xr:uid="{00000000-0005-0000-0000-0000A89A0000}"/>
    <cellStyle name="Bemærk! 3 6 2 2 2" xfId="7859" xr:uid="{00000000-0005-0000-0000-0000A99A0000}"/>
    <cellStyle name="Bemærk! 3 6 2 2 2 2" xfId="15760" xr:uid="{00000000-0005-0000-0000-0000AA9A0000}"/>
    <cellStyle name="Bemærk! 3 6 2 2 2 2 2" xfId="32074" xr:uid="{00000000-0005-0000-0000-0000AB9A0000}"/>
    <cellStyle name="Bemærk! 3 6 2 2 2 2 3" xfId="47038" xr:uid="{00000000-0005-0000-0000-0000AC9A0000}"/>
    <cellStyle name="Bemærk! 3 6 2 2 2 3" xfId="25052" xr:uid="{00000000-0005-0000-0000-0000AD9A0000}"/>
    <cellStyle name="Bemærk! 3 6 2 2 2 4" xfId="40039" xr:uid="{00000000-0005-0000-0000-0000AE9A0000}"/>
    <cellStyle name="Bemærk! 3 6 3" xfId="5046" xr:uid="{00000000-0005-0000-0000-0000AF9A0000}"/>
    <cellStyle name="Bemærk! 3 6 3 2" xfId="5047" xr:uid="{00000000-0005-0000-0000-0000B09A0000}"/>
    <cellStyle name="Bemærk! 3 6 3 2 2" xfId="8470" xr:uid="{00000000-0005-0000-0000-0000B19A0000}"/>
    <cellStyle name="Bemærk! 3 6 3 2 2 2" xfId="16361" xr:uid="{00000000-0005-0000-0000-0000B29A0000}"/>
    <cellStyle name="Bemærk! 3 6 3 2 2 2 2" xfId="32675" xr:uid="{00000000-0005-0000-0000-0000B39A0000}"/>
    <cellStyle name="Bemærk! 3 6 3 2 2 2 3" xfId="47639" xr:uid="{00000000-0005-0000-0000-0000B49A0000}"/>
    <cellStyle name="Bemærk! 3 6 3 2 2 3" xfId="25653" xr:uid="{00000000-0005-0000-0000-0000B59A0000}"/>
    <cellStyle name="Bemærk! 3 6 3 2 2 4" xfId="40640" xr:uid="{00000000-0005-0000-0000-0000B69A0000}"/>
    <cellStyle name="Bemærk! 3 6 3 3" xfId="6404" xr:uid="{00000000-0005-0000-0000-0000B79A0000}"/>
    <cellStyle name="Bemærk! 3 6 3 3 2" xfId="14318" xr:uid="{00000000-0005-0000-0000-0000B89A0000}"/>
    <cellStyle name="Bemærk! 3 6 3 3 2 2" xfId="30632" xr:uid="{00000000-0005-0000-0000-0000B99A0000}"/>
    <cellStyle name="Bemærk! 3 6 3 3 2 3" xfId="45596" xr:uid="{00000000-0005-0000-0000-0000BA9A0000}"/>
    <cellStyle name="Bemærk! 3 6 3 3 3" xfId="23610" xr:uid="{00000000-0005-0000-0000-0000BB9A0000}"/>
    <cellStyle name="Bemærk! 3 6 3 3 4" xfId="38597" xr:uid="{00000000-0005-0000-0000-0000BC9A0000}"/>
    <cellStyle name="Bemærk! 3 6 4" xfId="5048" xr:uid="{00000000-0005-0000-0000-0000BD9A0000}"/>
    <cellStyle name="Bemærk! 3 6 4 2" xfId="7135" xr:uid="{00000000-0005-0000-0000-0000BE9A0000}"/>
    <cellStyle name="Bemærk! 3 6 4 2 2" xfId="15045" xr:uid="{00000000-0005-0000-0000-0000BF9A0000}"/>
    <cellStyle name="Bemærk! 3 6 4 2 2 2" xfId="31359" xr:uid="{00000000-0005-0000-0000-0000C09A0000}"/>
    <cellStyle name="Bemærk! 3 6 4 2 2 3" xfId="46323" xr:uid="{00000000-0005-0000-0000-0000C19A0000}"/>
    <cellStyle name="Bemærk! 3 6 4 2 3" xfId="24337" xr:uid="{00000000-0005-0000-0000-0000C29A0000}"/>
    <cellStyle name="Bemærk! 3 6 4 2 4" xfId="39324" xr:uid="{00000000-0005-0000-0000-0000C39A0000}"/>
    <cellStyle name="Bemærk! 3 7" xfId="5049" xr:uid="{00000000-0005-0000-0000-0000C49A0000}"/>
    <cellStyle name="Bemærk! 3 7 2" xfId="5050" xr:uid="{00000000-0005-0000-0000-0000C59A0000}"/>
    <cellStyle name="Bemærk! 3 7 2 2" xfId="5051" xr:uid="{00000000-0005-0000-0000-0000C69A0000}"/>
    <cellStyle name="Bemærk! 3 7 2 2 2" xfId="7976" xr:uid="{00000000-0005-0000-0000-0000C79A0000}"/>
    <cellStyle name="Bemærk! 3 7 2 2 2 2" xfId="15877" xr:uid="{00000000-0005-0000-0000-0000C89A0000}"/>
    <cellStyle name="Bemærk! 3 7 2 2 2 2 2" xfId="32191" xr:uid="{00000000-0005-0000-0000-0000C99A0000}"/>
    <cellStyle name="Bemærk! 3 7 2 2 2 2 3" xfId="47155" xr:uid="{00000000-0005-0000-0000-0000CA9A0000}"/>
    <cellStyle name="Bemærk! 3 7 2 2 2 3" xfId="25169" xr:uid="{00000000-0005-0000-0000-0000CB9A0000}"/>
    <cellStyle name="Bemærk! 3 7 2 2 2 4" xfId="40156" xr:uid="{00000000-0005-0000-0000-0000CC9A0000}"/>
    <cellStyle name="Bemærk! 3 7 3" xfId="5052" xr:uid="{00000000-0005-0000-0000-0000CD9A0000}"/>
    <cellStyle name="Bemærk! 3 7 3 2" xfId="5053" xr:uid="{00000000-0005-0000-0000-0000CE9A0000}"/>
    <cellStyle name="Bemærk! 3 7 3 2 2" xfId="8434" xr:uid="{00000000-0005-0000-0000-0000CF9A0000}"/>
    <cellStyle name="Bemærk! 3 7 3 2 2 2" xfId="16326" xr:uid="{00000000-0005-0000-0000-0000D09A0000}"/>
    <cellStyle name="Bemærk! 3 7 3 2 2 2 2" xfId="32640" xr:uid="{00000000-0005-0000-0000-0000D19A0000}"/>
    <cellStyle name="Bemærk! 3 7 3 2 2 2 3" xfId="47604" xr:uid="{00000000-0005-0000-0000-0000D29A0000}"/>
    <cellStyle name="Bemærk! 3 7 3 2 2 3" xfId="25618" xr:uid="{00000000-0005-0000-0000-0000D39A0000}"/>
    <cellStyle name="Bemærk! 3 7 3 2 2 4" xfId="40605" xr:uid="{00000000-0005-0000-0000-0000D49A0000}"/>
    <cellStyle name="Bemærk! 3 7 3 3" xfId="6503" xr:uid="{00000000-0005-0000-0000-0000D59A0000}"/>
    <cellStyle name="Bemærk! 3 7 3 3 2" xfId="14417" xr:uid="{00000000-0005-0000-0000-0000D69A0000}"/>
    <cellStyle name="Bemærk! 3 7 3 3 2 2" xfId="30731" xr:uid="{00000000-0005-0000-0000-0000D79A0000}"/>
    <cellStyle name="Bemærk! 3 7 3 3 2 3" xfId="45695" xr:uid="{00000000-0005-0000-0000-0000D89A0000}"/>
    <cellStyle name="Bemærk! 3 7 3 3 3" xfId="23709" xr:uid="{00000000-0005-0000-0000-0000D99A0000}"/>
    <cellStyle name="Bemærk! 3 7 3 3 4" xfId="38696" xr:uid="{00000000-0005-0000-0000-0000DA9A0000}"/>
    <cellStyle name="Bemærk! 3 7 4" xfId="5054" xr:uid="{00000000-0005-0000-0000-0000DB9A0000}"/>
    <cellStyle name="Bemærk! 3 7 4 2" xfId="7252" xr:uid="{00000000-0005-0000-0000-0000DC9A0000}"/>
    <cellStyle name="Bemærk! 3 7 4 2 2" xfId="15162" xr:uid="{00000000-0005-0000-0000-0000DD9A0000}"/>
    <cellStyle name="Bemærk! 3 7 4 2 2 2" xfId="31476" xr:uid="{00000000-0005-0000-0000-0000DE9A0000}"/>
    <cellStyle name="Bemærk! 3 7 4 2 2 3" xfId="46440" xr:uid="{00000000-0005-0000-0000-0000DF9A0000}"/>
    <cellStyle name="Bemærk! 3 7 4 2 3" xfId="24454" xr:uid="{00000000-0005-0000-0000-0000E09A0000}"/>
    <cellStyle name="Bemærk! 3 7 4 2 4" xfId="39441" xr:uid="{00000000-0005-0000-0000-0000E19A0000}"/>
    <cellStyle name="Bemærk! 3 8" xfId="5055" xr:uid="{00000000-0005-0000-0000-0000E29A0000}"/>
    <cellStyle name="Bemærk! 3 8 2" xfId="5056" xr:uid="{00000000-0005-0000-0000-0000E39A0000}"/>
    <cellStyle name="Bemærk! 3 8 2 2" xfId="5057" xr:uid="{00000000-0005-0000-0000-0000E49A0000}"/>
    <cellStyle name="Bemærk! 3 8 2 2 2" xfId="8194" xr:uid="{00000000-0005-0000-0000-0000E59A0000}"/>
    <cellStyle name="Bemærk! 3 8 2 2 2 2" xfId="16095" xr:uid="{00000000-0005-0000-0000-0000E69A0000}"/>
    <cellStyle name="Bemærk! 3 8 2 2 2 2 2" xfId="32409" xr:uid="{00000000-0005-0000-0000-0000E79A0000}"/>
    <cellStyle name="Bemærk! 3 8 2 2 2 2 3" xfId="47373" xr:uid="{00000000-0005-0000-0000-0000E89A0000}"/>
    <cellStyle name="Bemærk! 3 8 2 2 2 3" xfId="25387" xr:uid="{00000000-0005-0000-0000-0000E99A0000}"/>
    <cellStyle name="Bemærk! 3 8 2 2 2 4" xfId="40374" xr:uid="{00000000-0005-0000-0000-0000EA9A0000}"/>
    <cellStyle name="Bemærk! 3 8 3" xfId="5058" xr:uid="{00000000-0005-0000-0000-0000EB9A0000}"/>
    <cellStyle name="Bemærk! 3 8 3 2" xfId="5059" xr:uid="{00000000-0005-0000-0000-0000EC9A0000}"/>
    <cellStyle name="Bemærk! 3 8 3 2 2" xfId="8806" xr:uid="{00000000-0005-0000-0000-0000ED9A0000}"/>
    <cellStyle name="Bemærk! 3 8 3 2 2 2" xfId="16682" xr:uid="{00000000-0005-0000-0000-0000EE9A0000}"/>
    <cellStyle name="Bemærk! 3 8 3 2 2 2 2" xfId="32996" xr:uid="{00000000-0005-0000-0000-0000EF9A0000}"/>
    <cellStyle name="Bemærk! 3 8 3 2 2 2 3" xfId="47960" xr:uid="{00000000-0005-0000-0000-0000F09A0000}"/>
    <cellStyle name="Bemærk! 3 8 3 2 2 3" xfId="25974" xr:uid="{00000000-0005-0000-0000-0000F19A0000}"/>
    <cellStyle name="Bemærk! 3 8 3 2 2 4" xfId="40961" xr:uid="{00000000-0005-0000-0000-0000F29A0000}"/>
    <cellStyle name="Bemærk! 3 8 3 3" xfId="6687" xr:uid="{00000000-0005-0000-0000-0000F39A0000}"/>
    <cellStyle name="Bemærk! 3 8 3 3 2" xfId="14601" xr:uid="{00000000-0005-0000-0000-0000F49A0000}"/>
    <cellStyle name="Bemærk! 3 8 3 3 2 2" xfId="30915" xr:uid="{00000000-0005-0000-0000-0000F59A0000}"/>
    <cellStyle name="Bemærk! 3 8 3 3 2 3" xfId="45879" xr:uid="{00000000-0005-0000-0000-0000F69A0000}"/>
    <cellStyle name="Bemærk! 3 8 3 3 3" xfId="23893" xr:uid="{00000000-0005-0000-0000-0000F79A0000}"/>
    <cellStyle name="Bemærk! 3 8 3 3 4" xfId="38880" xr:uid="{00000000-0005-0000-0000-0000F89A0000}"/>
    <cellStyle name="Bemærk! 3 8 4" xfId="5060" xr:uid="{00000000-0005-0000-0000-0000F99A0000}"/>
    <cellStyle name="Bemærk! 3 8 4 2" xfId="7471" xr:uid="{00000000-0005-0000-0000-0000FA9A0000}"/>
    <cellStyle name="Bemærk! 3 8 4 2 2" xfId="15381" xr:uid="{00000000-0005-0000-0000-0000FB9A0000}"/>
    <cellStyle name="Bemærk! 3 8 4 2 2 2" xfId="31695" xr:uid="{00000000-0005-0000-0000-0000FC9A0000}"/>
    <cellStyle name="Bemærk! 3 8 4 2 2 3" xfId="46659" xr:uid="{00000000-0005-0000-0000-0000FD9A0000}"/>
    <cellStyle name="Bemærk! 3 8 4 2 3" xfId="24673" xr:uid="{00000000-0005-0000-0000-0000FE9A0000}"/>
    <cellStyle name="Bemærk! 3 8 4 2 4" xfId="39660" xr:uid="{00000000-0005-0000-0000-0000FF9A0000}"/>
    <cellStyle name="Bemærk! 3 9" xfId="5061" xr:uid="{00000000-0005-0000-0000-0000009B0000}"/>
    <cellStyle name="Bemærk! 3 9 2" xfId="5062" xr:uid="{00000000-0005-0000-0000-0000019B0000}"/>
    <cellStyle name="Bemærk! 3 9 2 2" xfId="7502" xr:uid="{00000000-0005-0000-0000-0000029B0000}"/>
    <cellStyle name="Bemærk! 3 9 2 2 2" xfId="15403" xr:uid="{00000000-0005-0000-0000-0000039B0000}"/>
    <cellStyle name="Bemærk! 3 9 2 2 2 2" xfId="31717" xr:uid="{00000000-0005-0000-0000-0000049B0000}"/>
    <cellStyle name="Bemærk! 3 9 2 2 2 3" xfId="46681" xr:uid="{00000000-0005-0000-0000-0000059B0000}"/>
    <cellStyle name="Bemærk! 3 9 2 2 3" xfId="24695" xr:uid="{00000000-0005-0000-0000-0000069B0000}"/>
    <cellStyle name="Bemærk! 3 9 2 2 4" xfId="39682" xr:uid="{00000000-0005-0000-0000-0000079B0000}"/>
    <cellStyle name="Bemærk! 4" xfId="53416" xr:uid="{00000000-0005-0000-0000-0000089B0000}"/>
    <cellStyle name="Bemærk! 4 2" xfId="53417" xr:uid="{00000000-0005-0000-0000-0000099B0000}"/>
    <cellStyle name="Bemærk! 4 2 2" xfId="54051" xr:uid="{00000000-0005-0000-0000-00000A9B0000}"/>
    <cellStyle name="Bemærk! 4 2 2 2" xfId="57218" xr:uid="{00000000-0005-0000-0000-00000B9B0000}"/>
    <cellStyle name="Bemærk! 4 2 3" xfId="56595" xr:uid="{00000000-0005-0000-0000-00000C9B0000}"/>
    <cellStyle name="Bemærk! 5" xfId="53418" xr:uid="{00000000-0005-0000-0000-00000D9B0000}"/>
    <cellStyle name="Bemærk! 6" xfId="53419" xr:uid="{00000000-0005-0000-0000-00000E9B0000}"/>
    <cellStyle name="Bemærk! 6 2" xfId="54052" xr:uid="{00000000-0005-0000-0000-00000F9B0000}"/>
    <cellStyle name="Bemærk! 6 2 2" xfId="57219" xr:uid="{00000000-0005-0000-0000-0000109B0000}"/>
    <cellStyle name="Bemærk! 6 3" xfId="56596" xr:uid="{00000000-0005-0000-0000-0000119B0000}"/>
    <cellStyle name="Beregning 2" xfId="5064" xr:uid="{00000000-0005-0000-0000-0000129B0000}"/>
    <cellStyle name="Beregning 3" xfId="5065" xr:uid="{00000000-0005-0000-0000-0000139B0000}"/>
    <cellStyle name="Beregning 4" xfId="5066" xr:uid="{00000000-0005-0000-0000-0000149B0000}"/>
    <cellStyle name="Beregning 5" xfId="5067" xr:uid="{00000000-0005-0000-0000-0000159B0000}"/>
    <cellStyle name="Beregning 5 2" xfId="8665" xr:uid="{00000000-0005-0000-0000-0000169B0000}"/>
    <cellStyle name="Beregning 6" xfId="5380" xr:uid="{00000000-0005-0000-0000-0000179B0000}"/>
    <cellStyle name="Beregning 7" xfId="5063" xr:uid="{00000000-0005-0000-0000-0000189B0000}"/>
    <cellStyle name="Bold GHG Numbers (0.00)" xfId="25" xr:uid="{00000000-0005-0000-0000-0000199B0000}"/>
    <cellStyle name="Bruger data" xfId="16746" xr:uid="{00000000-0005-0000-0000-00001A9B0000}"/>
    <cellStyle name="C01_Main head" xfId="53208" xr:uid="{00000000-0005-0000-0000-00001B9B0000}"/>
    <cellStyle name="C02_Column heads" xfId="53209" xr:uid="{00000000-0005-0000-0000-00001C9B0000}"/>
    <cellStyle name="C03_Sub head bold" xfId="53210" xr:uid="{00000000-0005-0000-0000-00001D9B0000}"/>
    <cellStyle name="C03a_Sub head" xfId="53211" xr:uid="{00000000-0005-0000-0000-00001E9B0000}"/>
    <cellStyle name="C04_Total text white bold" xfId="53212" xr:uid="{00000000-0005-0000-0000-00001F9B0000}"/>
    <cellStyle name="C04a_Total text black with rule" xfId="53213" xr:uid="{00000000-0005-0000-0000-0000209B0000}"/>
    <cellStyle name="C05_Main text" xfId="53214" xr:uid="{00000000-0005-0000-0000-0000219B0000}"/>
    <cellStyle name="C06_Figs" xfId="53215" xr:uid="{00000000-0005-0000-0000-0000229B0000}"/>
    <cellStyle name="C07_Figs 1 dec percent" xfId="53216" xr:uid="{00000000-0005-0000-0000-0000239B0000}"/>
    <cellStyle name="C08_Figs 1 decimal" xfId="53217" xr:uid="{00000000-0005-0000-0000-0000249B0000}"/>
    <cellStyle name="C09_Notes" xfId="53218" xr:uid="{00000000-0005-0000-0000-0000259B0000}"/>
    <cellStyle name="Calcolo" xfId="26" xr:uid="{00000000-0005-0000-0000-0000269B0000}"/>
    <cellStyle name="Calcolo 2" xfId="9728" xr:uid="{00000000-0005-0000-0000-0000279B0000}"/>
    <cellStyle name="Calcolo 3" xfId="51764" xr:uid="{00000000-0005-0000-0000-0000289B0000}"/>
    <cellStyle name="Calculation" xfId="1126" builtinId="22" customBuiltin="1"/>
    <cellStyle name="Calculation 2" xfId="17949" xr:uid="{00000000-0005-0000-0000-00002A9B0000}"/>
    <cellStyle name="Calculation 2 2" xfId="53311" xr:uid="{00000000-0005-0000-0000-00002B9B0000}"/>
    <cellStyle name="Calculation 2 3" xfId="53219" xr:uid="{00000000-0005-0000-0000-00002C9B0000}"/>
    <cellStyle name="Calculations" xfId="16747" xr:uid="{00000000-0005-0000-0000-00002D9B0000}"/>
    <cellStyle name="Cella collegata" xfId="27" xr:uid="{00000000-0005-0000-0000-00002E9B0000}"/>
    <cellStyle name="Cella da controllare" xfId="28" xr:uid="{00000000-0005-0000-0000-00002F9B0000}"/>
    <cellStyle name="Check Cell" xfId="1128" builtinId="23" customBuiltin="1"/>
    <cellStyle name="Check Cell 2" xfId="53220" xr:uid="{00000000-0005-0000-0000-0000319B0000}"/>
    <cellStyle name="Colore 1" xfId="29" xr:uid="{00000000-0005-0000-0000-0000329B0000}"/>
    <cellStyle name="Colore 2" xfId="30" xr:uid="{00000000-0005-0000-0000-0000339B0000}"/>
    <cellStyle name="Colore 3" xfId="31" xr:uid="{00000000-0005-0000-0000-0000349B0000}"/>
    <cellStyle name="Colore 4" xfId="32" xr:uid="{00000000-0005-0000-0000-0000359B0000}"/>
    <cellStyle name="Colore 5" xfId="33" xr:uid="{00000000-0005-0000-0000-0000369B0000}"/>
    <cellStyle name="Colore 6" xfId="34" xr:uid="{00000000-0005-0000-0000-0000379B0000}"/>
    <cellStyle name="Comma" xfId="35" builtinId="3"/>
    <cellStyle name="Comma 10" xfId="49379" xr:uid="{00000000-0005-0000-0000-0000399B0000}"/>
    <cellStyle name="Comma 10 2" xfId="53221" xr:uid="{00000000-0005-0000-0000-00003A9B0000}"/>
    <cellStyle name="Comma 11" xfId="49785" xr:uid="{00000000-0005-0000-0000-00003B9B0000}"/>
    <cellStyle name="Comma 12" xfId="50193" xr:uid="{00000000-0005-0000-0000-00003C9B0000}"/>
    <cellStyle name="Comma 13" xfId="50607" xr:uid="{00000000-0005-0000-0000-00003D9B0000}"/>
    <cellStyle name="Comma 14" xfId="51354" xr:uid="{00000000-0005-0000-0000-00003E9B0000}"/>
    <cellStyle name="Comma 15" xfId="51765" xr:uid="{00000000-0005-0000-0000-00003F9B0000}"/>
    <cellStyle name="Comma 2" xfId="36" xr:uid="{00000000-0005-0000-0000-0000409B0000}"/>
    <cellStyle name="Comma 2 10" xfId="34035" xr:uid="{00000000-0005-0000-0000-0000419B0000}"/>
    <cellStyle name="Comma 2 10 2" xfId="53169" xr:uid="{00000000-0005-0000-0000-0000429B0000}"/>
    <cellStyle name="Comma 2 11" xfId="48975" xr:uid="{00000000-0005-0000-0000-0000439B0000}"/>
    <cellStyle name="Comma 2 11 2" xfId="54647" xr:uid="{00000000-0005-0000-0000-0000449B0000}"/>
    <cellStyle name="Comma 2 12" xfId="49380" xr:uid="{00000000-0005-0000-0000-0000459B0000}"/>
    <cellStyle name="Comma 2 13" xfId="49786" xr:uid="{00000000-0005-0000-0000-0000469B0000}"/>
    <cellStyle name="Comma 2 14" xfId="50194" xr:uid="{00000000-0005-0000-0000-0000479B0000}"/>
    <cellStyle name="Comma 2 15" xfId="50608" xr:uid="{00000000-0005-0000-0000-0000489B0000}"/>
    <cellStyle name="Comma 2 16" xfId="51355" xr:uid="{00000000-0005-0000-0000-0000499B0000}"/>
    <cellStyle name="Comma 2 17" xfId="51766" xr:uid="{00000000-0005-0000-0000-00004A9B0000}"/>
    <cellStyle name="Comma 2 2" xfId="37" xr:uid="{00000000-0005-0000-0000-00004B9B0000}"/>
    <cellStyle name="Comma 2 2 10" xfId="50609" xr:uid="{00000000-0005-0000-0000-00004C9B0000}"/>
    <cellStyle name="Comma 2 2 11" xfId="51356" xr:uid="{00000000-0005-0000-0000-00004D9B0000}"/>
    <cellStyle name="Comma 2 2 12" xfId="51767" xr:uid="{00000000-0005-0000-0000-00004E9B0000}"/>
    <cellStyle name="Comma 2 2 2" xfId="8965" xr:uid="{00000000-0005-0000-0000-00004F9B0000}"/>
    <cellStyle name="Comma 2 2 2 2" xfId="18016" xr:uid="{00000000-0005-0000-0000-0000509B0000}"/>
    <cellStyle name="Comma 2 2 2 2 2" xfId="18979" xr:uid="{00000000-0005-0000-0000-0000519B0000}"/>
    <cellStyle name="Comma 2 2 2 3" xfId="18953" xr:uid="{00000000-0005-0000-0000-0000529B0000}"/>
    <cellStyle name="Comma 2 2 2 4" xfId="16748" xr:uid="{00000000-0005-0000-0000-0000539B0000}"/>
    <cellStyle name="Comma 2 2 3" xfId="9731" xr:uid="{00000000-0005-0000-0000-0000549B0000}"/>
    <cellStyle name="Comma 2 2 3 2" xfId="18952" xr:uid="{00000000-0005-0000-0000-0000559B0000}"/>
    <cellStyle name="Comma 2 2 3 3" xfId="26059" xr:uid="{00000000-0005-0000-0000-0000569B0000}"/>
    <cellStyle name="Comma 2 2 3 4" xfId="41038" xr:uid="{00000000-0005-0000-0000-0000579B0000}"/>
    <cellStyle name="Comma 2 2 4" xfId="19040" xr:uid="{00000000-0005-0000-0000-0000589B0000}"/>
    <cellStyle name="Comma 2 2 4 2" xfId="53163" xr:uid="{00000000-0005-0000-0000-0000599B0000}"/>
    <cellStyle name="Comma 2 2 5" xfId="34036" xr:uid="{00000000-0005-0000-0000-00005A9B0000}"/>
    <cellStyle name="Comma 2 2 5 2" xfId="56441" xr:uid="{00000000-0005-0000-0000-00005B9B0000}"/>
    <cellStyle name="Comma 2 2 5 3" xfId="53222" xr:uid="{00000000-0005-0000-0000-00005C9B0000}"/>
    <cellStyle name="Comma 2 2 6" xfId="48976" xr:uid="{00000000-0005-0000-0000-00005D9B0000}"/>
    <cellStyle name="Comma 2 2 7" xfId="49381" xr:uid="{00000000-0005-0000-0000-00005E9B0000}"/>
    <cellStyle name="Comma 2 2 8" xfId="49787" xr:uid="{00000000-0005-0000-0000-00005F9B0000}"/>
    <cellStyle name="Comma 2 2 9" xfId="50195" xr:uid="{00000000-0005-0000-0000-0000609B0000}"/>
    <cellStyle name="Comma 2 3" xfId="38" xr:uid="{00000000-0005-0000-0000-0000619B0000}"/>
    <cellStyle name="Comma 2 3 10" xfId="49382" xr:uid="{00000000-0005-0000-0000-0000629B0000}"/>
    <cellStyle name="Comma 2 3 11" xfId="49788" xr:uid="{00000000-0005-0000-0000-0000639B0000}"/>
    <cellStyle name="Comma 2 3 12" xfId="50196" xr:uid="{00000000-0005-0000-0000-0000649B0000}"/>
    <cellStyle name="Comma 2 3 13" xfId="50610" xr:uid="{00000000-0005-0000-0000-0000659B0000}"/>
    <cellStyle name="Comma 2 3 14" xfId="51357" xr:uid="{00000000-0005-0000-0000-0000669B0000}"/>
    <cellStyle name="Comma 2 3 15" xfId="51768" xr:uid="{00000000-0005-0000-0000-0000679B0000}"/>
    <cellStyle name="Comma 2 3 2" xfId="39" xr:uid="{00000000-0005-0000-0000-0000689B0000}"/>
    <cellStyle name="Comma 2 3 2 10" xfId="50611" xr:uid="{00000000-0005-0000-0000-0000699B0000}"/>
    <cellStyle name="Comma 2 3 2 11" xfId="51358" xr:uid="{00000000-0005-0000-0000-00006A9B0000}"/>
    <cellStyle name="Comma 2 3 2 12" xfId="51769" xr:uid="{00000000-0005-0000-0000-00006B9B0000}"/>
    <cellStyle name="Comma 2 3 2 2" xfId="8967" xr:uid="{00000000-0005-0000-0000-00006C9B0000}"/>
    <cellStyle name="Comma 2 3 2 3" xfId="9733" xr:uid="{00000000-0005-0000-0000-00006D9B0000}"/>
    <cellStyle name="Comma 2 3 2 3 2" xfId="26061" xr:uid="{00000000-0005-0000-0000-00006E9B0000}"/>
    <cellStyle name="Comma 2 3 2 3 3" xfId="41040" xr:uid="{00000000-0005-0000-0000-00006F9B0000}"/>
    <cellStyle name="Comma 2 3 2 4" xfId="19042" xr:uid="{00000000-0005-0000-0000-0000709B0000}"/>
    <cellStyle name="Comma 2 3 2 5" xfId="34038" xr:uid="{00000000-0005-0000-0000-0000719B0000}"/>
    <cellStyle name="Comma 2 3 2 6" xfId="48978" xr:uid="{00000000-0005-0000-0000-0000729B0000}"/>
    <cellStyle name="Comma 2 3 2 7" xfId="49383" xr:uid="{00000000-0005-0000-0000-0000739B0000}"/>
    <cellStyle name="Comma 2 3 2 8" xfId="49789" xr:uid="{00000000-0005-0000-0000-0000749B0000}"/>
    <cellStyle name="Comma 2 3 2 9" xfId="50197" xr:uid="{00000000-0005-0000-0000-0000759B0000}"/>
    <cellStyle name="Comma 2 3 3" xfId="8966" xr:uid="{00000000-0005-0000-0000-0000769B0000}"/>
    <cellStyle name="Comma 2 3 3 2" xfId="18018" xr:uid="{00000000-0005-0000-0000-0000779B0000}"/>
    <cellStyle name="Comma 2 3 3 2 2" xfId="18981" xr:uid="{00000000-0005-0000-0000-0000789B0000}"/>
    <cellStyle name="Comma 2 3 3 3" xfId="18955" xr:uid="{00000000-0005-0000-0000-0000799B0000}"/>
    <cellStyle name="Comma 2 3 3 4" xfId="16750" xr:uid="{00000000-0005-0000-0000-00007A9B0000}"/>
    <cellStyle name="Comma 2 3 4" xfId="9732" xr:uid="{00000000-0005-0000-0000-00007B9B0000}"/>
    <cellStyle name="Comma 2 3 4 2" xfId="18980" xr:uid="{00000000-0005-0000-0000-00007C9B0000}"/>
    <cellStyle name="Comma 2 3 4 3" xfId="18017" xr:uid="{00000000-0005-0000-0000-00007D9B0000}"/>
    <cellStyle name="Comma 2 3 4 4" xfId="26060" xr:uid="{00000000-0005-0000-0000-00007E9B0000}"/>
    <cellStyle name="Comma 2 3 4 5" xfId="41039" xr:uid="{00000000-0005-0000-0000-00007F9B0000}"/>
    <cellStyle name="Comma 2 3 5" xfId="18954" xr:uid="{00000000-0005-0000-0000-0000809B0000}"/>
    <cellStyle name="Comma 2 3 6" xfId="16749" xr:uid="{00000000-0005-0000-0000-0000819B0000}"/>
    <cellStyle name="Comma 2 3 7" xfId="19041" xr:uid="{00000000-0005-0000-0000-0000829B0000}"/>
    <cellStyle name="Comma 2 3 8" xfId="34037" xr:uid="{00000000-0005-0000-0000-0000839B0000}"/>
    <cellStyle name="Comma 2 3 9" xfId="48977" xr:uid="{00000000-0005-0000-0000-0000849B0000}"/>
    <cellStyle name="Comma 2 4" xfId="40" xr:uid="{00000000-0005-0000-0000-0000859B0000}"/>
    <cellStyle name="Comma 2 4 10" xfId="49790" xr:uid="{00000000-0005-0000-0000-0000869B0000}"/>
    <cellStyle name="Comma 2 4 11" xfId="50198" xr:uid="{00000000-0005-0000-0000-0000879B0000}"/>
    <cellStyle name="Comma 2 4 12" xfId="50612" xr:uid="{00000000-0005-0000-0000-0000889B0000}"/>
    <cellStyle name="Comma 2 4 13" xfId="51008" xr:uid="{00000000-0005-0000-0000-0000899B0000}"/>
    <cellStyle name="Comma 2 4 14" xfId="51359" xr:uid="{00000000-0005-0000-0000-00008A9B0000}"/>
    <cellStyle name="Comma 2 4 15" xfId="51770" xr:uid="{00000000-0005-0000-0000-00008B9B0000}"/>
    <cellStyle name="Comma 2 4 16" xfId="1537" xr:uid="{00000000-0005-0000-0000-00008C9B0000}"/>
    <cellStyle name="Comma 2 4 2" xfId="1195" xr:uid="{00000000-0005-0000-0000-00008D9B0000}"/>
    <cellStyle name="Comma 2 4 2 10" xfId="50529" xr:uid="{00000000-0005-0000-0000-00008E9B0000}"/>
    <cellStyle name="Comma 2 4 2 11" xfId="51089" xr:uid="{00000000-0005-0000-0000-00008F9B0000}"/>
    <cellStyle name="Comma 2 4 2 12" xfId="51007" xr:uid="{00000000-0005-0000-0000-0000909B0000}"/>
    <cellStyle name="Comma 2 4 2 13" xfId="51690" xr:uid="{00000000-0005-0000-0000-0000919B0000}"/>
    <cellStyle name="Comma 2 4 2 14" xfId="52110" xr:uid="{00000000-0005-0000-0000-0000929B0000}"/>
    <cellStyle name="Comma 2 4 2 15" xfId="1571" xr:uid="{00000000-0005-0000-0000-0000939B0000}"/>
    <cellStyle name="Comma 2 4 2 2" xfId="8955" xr:uid="{00000000-0005-0000-0000-0000949B0000}"/>
    <cellStyle name="Comma 2 4 2 2 2" xfId="16729" xr:uid="{00000000-0005-0000-0000-0000959B0000}"/>
    <cellStyle name="Comma 2 4 2 2 2 2" xfId="33042" xr:uid="{00000000-0005-0000-0000-0000969B0000}"/>
    <cellStyle name="Comma 2 4 2 2 2 3" xfId="48006" xr:uid="{00000000-0005-0000-0000-0000979B0000}"/>
    <cellStyle name="Comma 2 4 2 2 3" xfId="26020" xr:uid="{00000000-0005-0000-0000-0000989B0000}"/>
    <cellStyle name="Comma 2 4 2 2 4" xfId="41007" xr:uid="{00000000-0005-0000-0000-0000999B0000}"/>
    <cellStyle name="Comma 2 4 2 3" xfId="10069" xr:uid="{00000000-0005-0000-0000-00009A9B0000}"/>
    <cellStyle name="Comma 2 4 2 3 2" xfId="26389" xr:uid="{00000000-0005-0000-0000-00009B9B0000}"/>
    <cellStyle name="Comma 2 4 2 3 3" xfId="41357" xr:uid="{00000000-0005-0000-0000-00009C9B0000}"/>
    <cellStyle name="Comma 2 4 2 4" xfId="18956" xr:uid="{00000000-0005-0000-0000-00009D9B0000}"/>
    <cellStyle name="Comma 2 4 2 5" xfId="19368" xr:uid="{00000000-0005-0000-0000-00009E9B0000}"/>
    <cellStyle name="Comma 2 4 2 6" xfId="34358" xr:uid="{00000000-0005-0000-0000-00009F9B0000}"/>
    <cellStyle name="Comma 2 4 2 7" xfId="49310" xr:uid="{00000000-0005-0000-0000-0000A09B0000}"/>
    <cellStyle name="Comma 2 4 2 8" xfId="49715" xr:uid="{00000000-0005-0000-0000-0000A19B0000}"/>
    <cellStyle name="Comma 2 4 2 9" xfId="50124" xr:uid="{00000000-0005-0000-0000-0000A29B0000}"/>
    <cellStyle name="Comma 2 4 3" xfId="8922" xr:uid="{00000000-0005-0000-0000-0000A39B0000}"/>
    <cellStyle name="Comma 2 4 3 2" xfId="16698" xr:uid="{00000000-0005-0000-0000-0000A49B0000}"/>
    <cellStyle name="Comma 2 4 3 2 2" xfId="33011" xr:uid="{00000000-0005-0000-0000-0000A59B0000}"/>
    <cellStyle name="Comma 2 4 3 2 3" xfId="47975" xr:uid="{00000000-0005-0000-0000-0000A69B0000}"/>
    <cellStyle name="Comma 2 4 3 3" xfId="25989" xr:uid="{00000000-0005-0000-0000-0000A79B0000}"/>
    <cellStyle name="Comma 2 4 3 4" xfId="40976" xr:uid="{00000000-0005-0000-0000-0000A89B0000}"/>
    <cellStyle name="Comma 2 4 4" xfId="8968" xr:uid="{00000000-0005-0000-0000-0000A99B0000}"/>
    <cellStyle name="Comma 2 4 5" xfId="9734" xr:uid="{00000000-0005-0000-0000-0000AA9B0000}"/>
    <cellStyle name="Comma 2 4 5 2" xfId="26062" xr:uid="{00000000-0005-0000-0000-0000AB9B0000}"/>
    <cellStyle name="Comma 2 4 5 3" xfId="41041" xr:uid="{00000000-0005-0000-0000-0000AC9B0000}"/>
    <cellStyle name="Comma 2 4 6" xfId="19043" xr:uid="{00000000-0005-0000-0000-0000AD9B0000}"/>
    <cellStyle name="Comma 2 4 7" xfId="34039" xr:uid="{00000000-0005-0000-0000-0000AE9B0000}"/>
    <cellStyle name="Comma 2 4 8" xfId="48979" xr:uid="{00000000-0005-0000-0000-0000AF9B0000}"/>
    <cellStyle name="Comma 2 4 9" xfId="49384" xr:uid="{00000000-0005-0000-0000-0000B09B0000}"/>
    <cellStyle name="Comma 2 5" xfId="8964" xr:uid="{00000000-0005-0000-0000-0000B19B0000}"/>
    <cellStyle name="Comma 2 5 2" xfId="18957" xr:uid="{00000000-0005-0000-0000-0000B29B0000}"/>
    <cellStyle name="Comma 2 5 2 2" xfId="56385" xr:uid="{00000000-0005-0000-0000-0000B39B0000}"/>
    <cellStyle name="Comma 2 5 3" xfId="16751" xr:uid="{00000000-0005-0000-0000-0000B49B0000}"/>
    <cellStyle name="Comma 2 6" xfId="9730" xr:uid="{00000000-0005-0000-0000-0000B59B0000}"/>
    <cellStyle name="Comma 2 6 2" xfId="16753" xr:uid="{00000000-0005-0000-0000-0000B69B0000}"/>
    <cellStyle name="Comma 2 6 2 2" xfId="33058" xr:uid="{00000000-0005-0000-0000-0000B79B0000}"/>
    <cellStyle name="Comma 2 6 2 2 2" xfId="54714" xr:uid="{00000000-0005-0000-0000-0000B89B0000}"/>
    <cellStyle name="Comma 2 6 2 3" xfId="48019" xr:uid="{00000000-0005-0000-0000-0000B99B0000}"/>
    <cellStyle name="Comma 2 6 2 3 2" xfId="55464" xr:uid="{00000000-0005-0000-0000-0000BA9B0000}"/>
    <cellStyle name="Comma 2 6 2 4" xfId="52182" xr:uid="{00000000-0005-0000-0000-0000BB9B0000}"/>
    <cellStyle name="Comma 2 6 3" xfId="16752" xr:uid="{00000000-0005-0000-0000-0000BC9B0000}"/>
    <cellStyle name="Comma 2 6 3 2" xfId="33057" xr:uid="{00000000-0005-0000-0000-0000BD9B0000}"/>
    <cellStyle name="Comma 2 6 3 3" xfId="48018" xr:uid="{00000000-0005-0000-0000-0000BE9B0000}"/>
    <cellStyle name="Comma 2 6 3 4" xfId="54713" xr:uid="{00000000-0005-0000-0000-0000BF9B0000}"/>
    <cellStyle name="Comma 2 6 4" xfId="26058" xr:uid="{00000000-0005-0000-0000-0000C09B0000}"/>
    <cellStyle name="Comma 2 6 4 2" xfId="55463" xr:uid="{00000000-0005-0000-0000-0000C19B0000}"/>
    <cellStyle name="Comma 2 6 5" xfId="41037" xr:uid="{00000000-0005-0000-0000-0000C29B0000}"/>
    <cellStyle name="Comma 2 6 6" xfId="52181" xr:uid="{00000000-0005-0000-0000-0000C39B0000}"/>
    <cellStyle name="Comma 2 7" xfId="19000" xr:uid="{00000000-0005-0000-0000-0000C49B0000}"/>
    <cellStyle name="Comma 2 7 2" xfId="34001" xr:uid="{00000000-0005-0000-0000-0000C59B0000}"/>
    <cellStyle name="Comma 2 7 2 2" xfId="54712" xr:uid="{00000000-0005-0000-0000-0000C69B0000}"/>
    <cellStyle name="Comma 2 7 3" xfId="48962" xr:uid="{00000000-0005-0000-0000-0000C79B0000}"/>
    <cellStyle name="Comma 2 7 3 2" xfId="56408" xr:uid="{00000000-0005-0000-0000-0000C89B0000}"/>
    <cellStyle name="Comma 2 7 4" xfId="53134" xr:uid="{00000000-0005-0000-0000-0000C99B0000}"/>
    <cellStyle name="Comma 2 8" xfId="18951" xr:uid="{00000000-0005-0000-0000-0000CA9B0000}"/>
    <cellStyle name="Comma 2 9" xfId="19039" xr:uid="{00000000-0005-0000-0000-0000CB9B0000}"/>
    <cellStyle name="Comma 2 9 2" xfId="56434" xr:uid="{00000000-0005-0000-0000-0000CC9B0000}"/>
    <cellStyle name="Comma 2 9 3" xfId="53160" xr:uid="{00000000-0005-0000-0000-0000CD9B0000}"/>
    <cellStyle name="Comma 3" xfId="41" xr:uid="{00000000-0005-0000-0000-0000CE9B0000}"/>
    <cellStyle name="Comma 3 10" xfId="49385" xr:uid="{00000000-0005-0000-0000-0000CF9B0000}"/>
    <cellStyle name="Comma 3 11" xfId="49791" xr:uid="{00000000-0005-0000-0000-0000D09B0000}"/>
    <cellStyle name="Comma 3 12" xfId="50199" xr:uid="{00000000-0005-0000-0000-0000D19B0000}"/>
    <cellStyle name="Comma 3 13" xfId="50613" xr:uid="{00000000-0005-0000-0000-0000D29B0000}"/>
    <cellStyle name="Comma 3 14" xfId="51360" xr:uid="{00000000-0005-0000-0000-0000D39B0000}"/>
    <cellStyle name="Comma 3 15" xfId="51771" xr:uid="{00000000-0005-0000-0000-0000D49B0000}"/>
    <cellStyle name="Comma 3 2" xfId="1165" xr:uid="{00000000-0005-0000-0000-0000D59B0000}"/>
    <cellStyle name="Comma 3 2 2" xfId="16755" xr:uid="{00000000-0005-0000-0000-0000D69B0000}"/>
    <cellStyle name="Comma 3 2 2 2" xfId="18960" xr:uid="{00000000-0005-0000-0000-0000D79B0000}"/>
    <cellStyle name="Comma 3 2 3" xfId="18959" xr:uid="{00000000-0005-0000-0000-0000D89B0000}"/>
    <cellStyle name="Comma 3 2 4" xfId="16754" xr:uid="{00000000-0005-0000-0000-0000D99B0000}"/>
    <cellStyle name="Comma 3 2 4 2" xfId="56442" xr:uid="{00000000-0005-0000-0000-0000DA9B0000}"/>
    <cellStyle name="Comma 3 2 4 3" xfId="53223" xr:uid="{00000000-0005-0000-0000-0000DB9B0000}"/>
    <cellStyle name="Comma 3 3" xfId="1196" xr:uid="{00000000-0005-0000-0000-0000DC9B0000}"/>
    <cellStyle name="Comma 3 3 10" xfId="50530" xr:uid="{00000000-0005-0000-0000-0000DD9B0000}"/>
    <cellStyle name="Comma 3 3 11" xfId="51090" xr:uid="{00000000-0005-0000-0000-0000DE9B0000}"/>
    <cellStyle name="Comma 3 3 12" xfId="51691" xr:uid="{00000000-0005-0000-0000-0000DF9B0000}"/>
    <cellStyle name="Comma 3 3 13" xfId="52111" xr:uid="{00000000-0005-0000-0000-0000E09B0000}"/>
    <cellStyle name="Comma 3 3 14" xfId="52183" xr:uid="{00000000-0005-0000-0000-0000E19B0000}"/>
    <cellStyle name="Comma 3 3 2" xfId="10070" xr:uid="{00000000-0005-0000-0000-0000E29B0000}"/>
    <cellStyle name="Comma 3 3 2 2" xfId="18983" xr:uid="{00000000-0005-0000-0000-0000E39B0000}"/>
    <cellStyle name="Comma 3 3 2 2 2" xfId="33989" xr:uid="{00000000-0005-0000-0000-0000E49B0000}"/>
    <cellStyle name="Comma 3 3 2 2 2 2" xfId="56396" xr:uid="{00000000-0005-0000-0000-0000E59B0000}"/>
    <cellStyle name="Comma 3 3 2 2 3" xfId="48950" xr:uid="{00000000-0005-0000-0000-0000E69B0000}"/>
    <cellStyle name="Comma 3 3 2 2 4" xfId="53122" xr:uid="{00000000-0005-0000-0000-0000E79B0000}"/>
    <cellStyle name="Comma 3 3 2 3" xfId="18020" xr:uid="{00000000-0005-0000-0000-0000E89B0000}"/>
    <cellStyle name="Comma 3 3 2 3 2" xfId="33670" xr:uid="{00000000-0005-0000-0000-0000E99B0000}"/>
    <cellStyle name="Comma 3 3 2 3 3" xfId="48631" xr:uid="{00000000-0005-0000-0000-0000EA9B0000}"/>
    <cellStyle name="Comma 3 3 2 3 4" xfId="55154" xr:uid="{00000000-0005-0000-0000-0000EB9B0000}"/>
    <cellStyle name="Comma 3 3 2 4" xfId="26390" xr:uid="{00000000-0005-0000-0000-0000EC9B0000}"/>
    <cellStyle name="Comma 3 3 2 4 2" xfId="56076" xr:uid="{00000000-0005-0000-0000-0000ED9B0000}"/>
    <cellStyle name="Comma 3 3 2 5" xfId="41358" xr:uid="{00000000-0005-0000-0000-0000EE9B0000}"/>
    <cellStyle name="Comma 3 3 2 6" xfId="52799" xr:uid="{00000000-0005-0000-0000-0000EF9B0000}"/>
    <cellStyle name="Comma 3 3 3" xfId="18961" xr:uid="{00000000-0005-0000-0000-0000F09B0000}"/>
    <cellStyle name="Comma 3 3 3 2" xfId="33979" xr:uid="{00000000-0005-0000-0000-0000F19B0000}"/>
    <cellStyle name="Comma 3 3 3 2 2" xfId="56386" xr:uid="{00000000-0005-0000-0000-0000F29B0000}"/>
    <cellStyle name="Comma 3 3 3 3" xfId="48940" xr:uid="{00000000-0005-0000-0000-0000F39B0000}"/>
    <cellStyle name="Comma 3 3 3 4" xfId="53112" xr:uid="{00000000-0005-0000-0000-0000F49B0000}"/>
    <cellStyle name="Comma 3 3 4" xfId="16756" xr:uid="{00000000-0005-0000-0000-0000F59B0000}"/>
    <cellStyle name="Comma 3 3 4 2" xfId="33059" xr:uid="{00000000-0005-0000-0000-0000F69B0000}"/>
    <cellStyle name="Comma 3 3 4 3" xfId="48020" xr:uid="{00000000-0005-0000-0000-0000F79B0000}"/>
    <cellStyle name="Comma 3 3 4 4" xfId="54716" xr:uid="{00000000-0005-0000-0000-0000F89B0000}"/>
    <cellStyle name="Comma 3 3 5" xfId="19369" xr:uid="{00000000-0005-0000-0000-0000F99B0000}"/>
    <cellStyle name="Comma 3 3 5 2" xfId="55465" xr:uid="{00000000-0005-0000-0000-0000FA9B0000}"/>
    <cellStyle name="Comma 3 3 6" xfId="34359" xr:uid="{00000000-0005-0000-0000-0000FB9B0000}"/>
    <cellStyle name="Comma 3 3 7" xfId="49311" xr:uid="{00000000-0005-0000-0000-0000FC9B0000}"/>
    <cellStyle name="Comma 3 3 8" xfId="49716" xr:uid="{00000000-0005-0000-0000-0000FD9B0000}"/>
    <cellStyle name="Comma 3 3 9" xfId="50125" xr:uid="{00000000-0005-0000-0000-0000FE9B0000}"/>
    <cellStyle name="Comma 3 4" xfId="9735" xr:uid="{00000000-0005-0000-0000-0000FF9B0000}"/>
    <cellStyle name="Comma 3 4 2" xfId="18982" xr:uid="{00000000-0005-0000-0000-0000009C0000}"/>
    <cellStyle name="Comma 3 4 3" xfId="18019" xr:uid="{00000000-0005-0000-0000-0000019C0000}"/>
    <cellStyle name="Comma 3 4 4" xfId="26063" xr:uid="{00000000-0005-0000-0000-0000029C0000}"/>
    <cellStyle name="Comma 3 4 5" xfId="41042" xr:uid="{00000000-0005-0000-0000-0000039C0000}"/>
    <cellStyle name="Comma 3 5" xfId="19002" xr:uid="{00000000-0005-0000-0000-0000049C0000}"/>
    <cellStyle name="Comma 3 5 2" xfId="34003" xr:uid="{00000000-0005-0000-0000-0000059C0000}"/>
    <cellStyle name="Comma 3 5 2 2" xfId="54715" xr:uid="{00000000-0005-0000-0000-0000069C0000}"/>
    <cellStyle name="Comma 3 5 3" xfId="48964" xr:uid="{00000000-0005-0000-0000-0000079C0000}"/>
    <cellStyle name="Comma 3 5 3 2" xfId="56410" xr:uid="{00000000-0005-0000-0000-0000089C0000}"/>
    <cellStyle name="Comma 3 5 4" xfId="53136" xr:uid="{00000000-0005-0000-0000-0000099C0000}"/>
    <cellStyle name="Comma 3 6" xfId="18958" xr:uid="{00000000-0005-0000-0000-00000A9C0000}"/>
    <cellStyle name="Comma 3 7" xfId="19044" xr:uid="{00000000-0005-0000-0000-00000B9C0000}"/>
    <cellStyle name="Comma 3 7 2" xfId="56435" xr:uid="{00000000-0005-0000-0000-00000C9C0000}"/>
    <cellStyle name="Comma 3 7 3" xfId="53161" xr:uid="{00000000-0005-0000-0000-00000D9C0000}"/>
    <cellStyle name="Comma 3 8" xfId="34040" xr:uid="{00000000-0005-0000-0000-00000E9C0000}"/>
    <cellStyle name="Comma 3 8 2" xfId="53168" xr:uid="{00000000-0005-0000-0000-00000F9C0000}"/>
    <cellStyle name="Comma 3 9" xfId="48980" xr:uid="{00000000-0005-0000-0000-0000109C0000}"/>
    <cellStyle name="Comma 3 9 2" xfId="54648" xr:uid="{00000000-0005-0000-0000-0000119C0000}"/>
    <cellStyle name="Comma 4" xfId="42" xr:uid="{00000000-0005-0000-0000-0000129C0000}"/>
    <cellStyle name="Comma 4 2" xfId="1197" xr:uid="{00000000-0005-0000-0000-0000139C0000}"/>
    <cellStyle name="Comma 4 2 2" xfId="16759" xr:uid="{00000000-0005-0000-0000-0000149C0000}"/>
    <cellStyle name="Comma 4 2 2 2" xfId="18964" xr:uid="{00000000-0005-0000-0000-0000159C0000}"/>
    <cellStyle name="Comma 4 2 3" xfId="18963" xr:uid="{00000000-0005-0000-0000-0000169C0000}"/>
    <cellStyle name="Comma 4 2 4" xfId="16758" xr:uid="{00000000-0005-0000-0000-0000179C0000}"/>
    <cellStyle name="Comma 4 2 4 2" xfId="56443" xr:uid="{00000000-0005-0000-0000-0000189C0000}"/>
    <cellStyle name="Comma 4 2 4 3" xfId="53224" xr:uid="{00000000-0005-0000-0000-0000199C0000}"/>
    <cellStyle name="Comma 4 3" xfId="8969" xr:uid="{00000000-0005-0000-0000-00001A9C0000}"/>
    <cellStyle name="Comma 4 3 2" xfId="18022" xr:uid="{00000000-0005-0000-0000-00001B9C0000}"/>
    <cellStyle name="Comma 4 3 2 2" xfId="18985" xr:uid="{00000000-0005-0000-0000-00001C9C0000}"/>
    <cellStyle name="Comma 4 3 2 2 2" xfId="33990" xr:uid="{00000000-0005-0000-0000-00001D9C0000}"/>
    <cellStyle name="Comma 4 3 2 2 2 2" xfId="56397" xr:uid="{00000000-0005-0000-0000-00001E9C0000}"/>
    <cellStyle name="Comma 4 3 2 2 3" xfId="48951" xr:uid="{00000000-0005-0000-0000-00001F9C0000}"/>
    <cellStyle name="Comma 4 3 2 2 4" xfId="53123" xr:uid="{00000000-0005-0000-0000-0000209C0000}"/>
    <cellStyle name="Comma 4 3 2 3" xfId="33671" xr:uid="{00000000-0005-0000-0000-0000219C0000}"/>
    <cellStyle name="Comma 4 3 2 3 2" xfId="55155" xr:uid="{00000000-0005-0000-0000-0000229C0000}"/>
    <cellStyle name="Comma 4 3 2 4" xfId="48632" xr:uid="{00000000-0005-0000-0000-0000239C0000}"/>
    <cellStyle name="Comma 4 3 2 4 2" xfId="56077" xr:uid="{00000000-0005-0000-0000-0000249C0000}"/>
    <cellStyle name="Comma 4 3 2 5" xfId="52800" xr:uid="{00000000-0005-0000-0000-0000259C0000}"/>
    <cellStyle name="Comma 4 3 3" xfId="18965" xr:uid="{00000000-0005-0000-0000-0000269C0000}"/>
    <cellStyle name="Comma 4 3 3 2" xfId="33980" xr:uid="{00000000-0005-0000-0000-0000279C0000}"/>
    <cellStyle name="Comma 4 3 3 2 2" xfId="56387" xr:uid="{00000000-0005-0000-0000-0000289C0000}"/>
    <cellStyle name="Comma 4 3 3 3" xfId="48941" xr:uid="{00000000-0005-0000-0000-0000299C0000}"/>
    <cellStyle name="Comma 4 3 3 4" xfId="53113" xr:uid="{00000000-0005-0000-0000-00002A9C0000}"/>
    <cellStyle name="Comma 4 3 4" xfId="16760" xr:uid="{00000000-0005-0000-0000-00002B9C0000}"/>
    <cellStyle name="Comma 4 3 4 2" xfId="33060" xr:uid="{00000000-0005-0000-0000-00002C9C0000}"/>
    <cellStyle name="Comma 4 3 4 3" xfId="48021" xr:uid="{00000000-0005-0000-0000-00002D9C0000}"/>
    <cellStyle name="Comma 4 3 4 4" xfId="54717" xr:uid="{00000000-0005-0000-0000-00002E9C0000}"/>
    <cellStyle name="Comma 4 3 5" xfId="55466" xr:uid="{00000000-0005-0000-0000-00002F9C0000}"/>
    <cellStyle name="Comma 4 3 6" xfId="52184" xr:uid="{00000000-0005-0000-0000-0000309C0000}"/>
    <cellStyle name="Comma 4 4" xfId="9736" xr:uid="{00000000-0005-0000-0000-0000319C0000}"/>
    <cellStyle name="Comma 4 4 2" xfId="18023" xr:uid="{00000000-0005-0000-0000-0000329C0000}"/>
    <cellStyle name="Comma 4 4 2 2" xfId="18986" xr:uid="{00000000-0005-0000-0000-0000339C0000}"/>
    <cellStyle name="Comma 4 4 3" xfId="18966" xr:uid="{00000000-0005-0000-0000-0000349C0000}"/>
    <cellStyle name="Comma 4 4 4" xfId="16761" xr:uid="{00000000-0005-0000-0000-0000359C0000}"/>
    <cellStyle name="Comma 4 5" xfId="18021" xr:uid="{00000000-0005-0000-0000-0000369C0000}"/>
    <cellStyle name="Comma 4 5 2" xfId="18984" xr:uid="{00000000-0005-0000-0000-0000379C0000}"/>
    <cellStyle name="Comma 4 6" xfId="18962" xr:uid="{00000000-0005-0000-0000-0000389C0000}"/>
    <cellStyle name="Comma 4 7" xfId="16757" xr:uid="{00000000-0005-0000-0000-0000399C0000}"/>
    <cellStyle name="Comma 4 7 2" xfId="56436" xr:uid="{00000000-0005-0000-0000-00003A9C0000}"/>
    <cellStyle name="Comma 4 7 3" xfId="53162" xr:uid="{00000000-0005-0000-0000-00003B9C0000}"/>
    <cellStyle name="Comma 4 8" xfId="51210" xr:uid="{00000000-0005-0000-0000-00003C9C0000}"/>
    <cellStyle name="Comma 4 8 2" xfId="53170" xr:uid="{00000000-0005-0000-0000-00003D9C0000}"/>
    <cellStyle name="Comma 5" xfId="8842" xr:uid="{00000000-0005-0000-0000-00003E9C0000}"/>
    <cellStyle name="Comma 5 2" xfId="16691" xr:uid="{00000000-0005-0000-0000-00003F9C0000}"/>
    <cellStyle name="Comma 5 2 2" xfId="18987" xr:uid="{00000000-0005-0000-0000-0000409C0000}"/>
    <cellStyle name="Comma 5 2 3" xfId="18024" xr:uid="{00000000-0005-0000-0000-0000419C0000}"/>
    <cellStyle name="Comma 5 2 3 2" xfId="56444" xr:uid="{00000000-0005-0000-0000-0000429C0000}"/>
    <cellStyle name="Comma 5 2 3 3" xfId="53225" xr:uid="{00000000-0005-0000-0000-0000439C0000}"/>
    <cellStyle name="Comma 5 2 4" xfId="33005" xr:uid="{00000000-0005-0000-0000-0000449C0000}"/>
    <cellStyle name="Comma 5 2 5" xfId="47969" xr:uid="{00000000-0005-0000-0000-0000459C0000}"/>
    <cellStyle name="Comma 5 3" xfId="18967" xr:uid="{00000000-0005-0000-0000-0000469C0000}"/>
    <cellStyle name="Comma 5 4" xfId="16762" xr:uid="{00000000-0005-0000-0000-0000479C0000}"/>
    <cellStyle name="Comma 5 5" xfId="25983" xr:uid="{00000000-0005-0000-0000-0000489C0000}"/>
    <cellStyle name="Comma 5 5 2" xfId="53171" xr:uid="{00000000-0005-0000-0000-0000499C0000}"/>
    <cellStyle name="Comma 5 6" xfId="40970" xr:uid="{00000000-0005-0000-0000-00004A9C0000}"/>
    <cellStyle name="Comma 5 7" xfId="51006" xr:uid="{00000000-0005-0000-0000-00004B9C0000}"/>
    <cellStyle name="Comma 6" xfId="8970" xr:uid="{00000000-0005-0000-0000-00004C9C0000}"/>
    <cellStyle name="Comma 6 2" xfId="18025" xr:uid="{00000000-0005-0000-0000-00004D9C0000}"/>
    <cellStyle name="Comma 6 2 2" xfId="18988" xr:uid="{00000000-0005-0000-0000-00004E9C0000}"/>
    <cellStyle name="Comma 6 2 3" xfId="53226" xr:uid="{00000000-0005-0000-0000-00004F9C0000}"/>
    <cellStyle name="Comma 6 2 3 2" xfId="56445" xr:uid="{00000000-0005-0000-0000-0000509C0000}"/>
    <cellStyle name="Comma 6 3" xfId="18968" xr:uid="{00000000-0005-0000-0000-0000519C0000}"/>
    <cellStyle name="Comma 6 4" xfId="51005" xr:uid="{00000000-0005-0000-0000-0000529C0000}"/>
    <cellStyle name="Comma 6 4 2" xfId="53167" xr:uid="{00000000-0005-0000-0000-0000539C0000}"/>
    <cellStyle name="Comma 7" xfId="9729" xr:uid="{00000000-0005-0000-0000-0000549C0000}"/>
    <cellStyle name="Comma 7 2" xfId="18950" xr:uid="{00000000-0005-0000-0000-0000559C0000}"/>
    <cellStyle name="Comma 7 2 2" xfId="18997" xr:uid="{00000000-0005-0000-0000-0000569C0000}"/>
    <cellStyle name="Comma 7 2 2 2" xfId="33998" xr:uid="{00000000-0005-0000-0000-0000579C0000}"/>
    <cellStyle name="Comma 7 2 2 2 2" xfId="56405" xr:uid="{00000000-0005-0000-0000-0000589C0000}"/>
    <cellStyle name="Comma 7 2 2 3" xfId="48959" xr:uid="{00000000-0005-0000-0000-0000599C0000}"/>
    <cellStyle name="Comma 7 2 2 4" xfId="53131" xr:uid="{00000000-0005-0000-0000-00005A9C0000}"/>
    <cellStyle name="Comma 7 2 3" xfId="33978" xr:uid="{00000000-0005-0000-0000-00005B9C0000}"/>
    <cellStyle name="Comma 7 2 3 2" xfId="55462" xr:uid="{00000000-0005-0000-0000-00005C9C0000}"/>
    <cellStyle name="Comma 7 2 4" xfId="48939" xr:uid="{00000000-0005-0000-0000-00005D9C0000}"/>
    <cellStyle name="Comma 7 2 4 2" xfId="56384" xr:uid="{00000000-0005-0000-0000-00005E9C0000}"/>
    <cellStyle name="Comma 7 2 5" xfId="53111" xr:uid="{00000000-0005-0000-0000-00005F9C0000}"/>
    <cellStyle name="Comma 7 3" xfId="18978" xr:uid="{00000000-0005-0000-0000-0000609C0000}"/>
    <cellStyle name="Comma 7 3 2" xfId="33988" xr:uid="{00000000-0005-0000-0000-0000619C0000}"/>
    <cellStyle name="Comma 7 3 2 2" xfId="56395" xr:uid="{00000000-0005-0000-0000-0000629C0000}"/>
    <cellStyle name="Comma 7 3 3" xfId="48949" xr:uid="{00000000-0005-0000-0000-0000639C0000}"/>
    <cellStyle name="Comma 7 3 4" xfId="53121" xr:uid="{00000000-0005-0000-0000-0000649C0000}"/>
    <cellStyle name="Comma 7 4" xfId="17947" xr:uid="{00000000-0005-0000-0000-0000659C0000}"/>
    <cellStyle name="Comma 7 4 2" xfId="33609" xr:uid="{00000000-0005-0000-0000-0000669C0000}"/>
    <cellStyle name="Comma 7 4 2 2" xfId="56446" xr:uid="{00000000-0005-0000-0000-0000679C0000}"/>
    <cellStyle name="Comma 7 4 3" xfId="48570" xr:uid="{00000000-0005-0000-0000-0000689C0000}"/>
    <cellStyle name="Comma 7 4 4" xfId="53227" xr:uid="{00000000-0005-0000-0000-0000699C0000}"/>
    <cellStyle name="Comma 7 5" xfId="26057" xr:uid="{00000000-0005-0000-0000-00006A9C0000}"/>
    <cellStyle name="Comma 7 5 2" xfId="55093" xr:uid="{00000000-0005-0000-0000-00006B9C0000}"/>
    <cellStyle name="Comma 7 6" xfId="41036" xr:uid="{00000000-0005-0000-0000-00006C9C0000}"/>
    <cellStyle name="Comma 7 6 2" xfId="56015" xr:uid="{00000000-0005-0000-0000-00006D9C0000}"/>
    <cellStyle name="Comma 7 7" xfId="52738" xr:uid="{00000000-0005-0000-0000-00006E9C0000}"/>
    <cellStyle name="Comma 8" xfId="19038" xr:uid="{00000000-0005-0000-0000-00006F9C0000}"/>
    <cellStyle name="Comma 8 2" xfId="34034" xr:uid="{00000000-0005-0000-0000-0000709C0000}"/>
    <cellStyle name="Comma 8 2 2" xfId="56447" xr:uid="{00000000-0005-0000-0000-0000719C0000}"/>
    <cellStyle name="Comma 8 3" xfId="53228" xr:uid="{00000000-0005-0000-0000-0000729C0000}"/>
    <cellStyle name="Comma 9" xfId="48974" xr:uid="{00000000-0005-0000-0000-0000739C0000}"/>
    <cellStyle name="Comma 9 2" xfId="53255" xr:uid="{00000000-0005-0000-0000-0000749C0000}"/>
    <cellStyle name="Comma 9 2 2" xfId="53271" xr:uid="{00000000-0005-0000-0000-0000759C0000}"/>
    <cellStyle name="Comma 9 2 2 2" xfId="53917" xr:uid="{00000000-0005-0000-0000-0000769C0000}"/>
    <cellStyle name="Comma 9 2 2 2 2" xfId="57084" xr:uid="{00000000-0005-0000-0000-0000779C0000}"/>
    <cellStyle name="Comma 9 2 2 3" xfId="56473" xr:uid="{00000000-0005-0000-0000-0000789C0000}"/>
    <cellStyle name="Comma 9 2 3" xfId="53287" xr:uid="{00000000-0005-0000-0000-0000799C0000}"/>
    <cellStyle name="Comma 9 2 3 2" xfId="53933" xr:uid="{00000000-0005-0000-0000-00007A9C0000}"/>
    <cellStyle name="Comma 9 2 3 2 2" xfId="57100" xr:uid="{00000000-0005-0000-0000-00007B9C0000}"/>
    <cellStyle name="Comma 9 2 3 3" xfId="56489" xr:uid="{00000000-0005-0000-0000-00007C9C0000}"/>
    <cellStyle name="Comma 9 2 4" xfId="53901" xr:uid="{00000000-0005-0000-0000-00007D9C0000}"/>
    <cellStyle name="Comma 9 2 4 2" xfId="57068" xr:uid="{00000000-0005-0000-0000-00007E9C0000}"/>
    <cellStyle name="Comma 9 2 5" xfId="56457" xr:uid="{00000000-0005-0000-0000-00007F9C0000}"/>
    <cellStyle name="Comma 9 3" xfId="53263" xr:uid="{00000000-0005-0000-0000-0000809C0000}"/>
    <cellStyle name="Comma 9 3 2" xfId="53909" xr:uid="{00000000-0005-0000-0000-0000819C0000}"/>
    <cellStyle name="Comma 9 3 2 2" xfId="57076" xr:uid="{00000000-0005-0000-0000-0000829C0000}"/>
    <cellStyle name="Comma 9 3 3" xfId="56465" xr:uid="{00000000-0005-0000-0000-0000839C0000}"/>
    <cellStyle name="Comma 9 4" xfId="53279" xr:uid="{00000000-0005-0000-0000-0000849C0000}"/>
    <cellStyle name="Comma 9 4 2" xfId="53925" xr:uid="{00000000-0005-0000-0000-0000859C0000}"/>
    <cellStyle name="Comma 9 4 2 2" xfId="57092" xr:uid="{00000000-0005-0000-0000-0000869C0000}"/>
    <cellStyle name="Comma 9 4 3" xfId="56481" xr:uid="{00000000-0005-0000-0000-0000879C0000}"/>
    <cellStyle name="Comma 9 5" xfId="53307" xr:uid="{00000000-0005-0000-0000-0000889C0000}"/>
    <cellStyle name="Comma 9 5 2" xfId="53943" xr:uid="{00000000-0005-0000-0000-0000899C0000}"/>
    <cellStyle name="Comma 9 5 2 2" xfId="57110" xr:uid="{00000000-0005-0000-0000-00008A9C0000}"/>
    <cellStyle name="Comma 9 5 3" xfId="56499" xr:uid="{00000000-0005-0000-0000-00008B9C0000}"/>
    <cellStyle name="Comma 9 6" xfId="53893" xr:uid="{00000000-0005-0000-0000-00008C9C0000}"/>
    <cellStyle name="Comma 9 6 2" xfId="57060" xr:uid="{00000000-0005-0000-0000-00008D9C0000}"/>
    <cellStyle name="Comma 9 7" xfId="56448" xr:uid="{00000000-0005-0000-0000-00008E9C0000}"/>
    <cellStyle name="Comma 9 8" xfId="53229" xr:uid="{00000000-0005-0000-0000-00008F9C0000}"/>
    <cellStyle name="Comma0" xfId="5068" xr:uid="{00000000-0005-0000-0000-0000909C0000}"/>
    <cellStyle name="Comma0 - Type3" xfId="43" xr:uid="{00000000-0005-0000-0000-0000919C0000}"/>
    <cellStyle name="Comma0 - Typografi1" xfId="5069" xr:uid="{00000000-0005-0000-0000-0000929C0000}"/>
    <cellStyle name="Comma0 - Typografi1 2" xfId="5070" xr:uid="{00000000-0005-0000-0000-0000939C0000}"/>
    <cellStyle name="Comma0 - Typografi1 2 2" xfId="5071" xr:uid="{00000000-0005-0000-0000-0000949C0000}"/>
    <cellStyle name="Comma0 - Typografi1 2 2 2" xfId="8849" xr:uid="{00000000-0005-0000-0000-0000959C0000}"/>
    <cellStyle name="Comma0 - Typografi1 2 3" xfId="8848" xr:uid="{00000000-0005-0000-0000-0000969C0000}"/>
    <cellStyle name="Comma0 - Typografi1 3" xfId="5072" xr:uid="{00000000-0005-0000-0000-0000979C0000}"/>
    <cellStyle name="Comma0 - Typografi1 3 2" xfId="8850" xr:uid="{00000000-0005-0000-0000-0000989C0000}"/>
    <cellStyle name="Comma0 - Typografi1 4" xfId="5073" xr:uid="{00000000-0005-0000-0000-0000999C0000}"/>
    <cellStyle name="Comma0 - Typografi1 4 2" xfId="8851" xr:uid="{00000000-0005-0000-0000-00009A9C0000}"/>
    <cellStyle name="Comma0 - Typografi1 5" xfId="8847" xr:uid="{00000000-0005-0000-0000-00009B9C0000}"/>
    <cellStyle name="Comma0 10" xfId="8823" xr:uid="{00000000-0005-0000-0000-00009C9C0000}"/>
    <cellStyle name="Comma0 11" xfId="8831" xr:uid="{00000000-0005-0000-0000-00009D9C0000}"/>
    <cellStyle name="Comma0 12" xfId="8815" xr:uid="{00000000-0005-0000-0000-00009E9C0000}"/>
    <cellStyle name="Comma0 13" xfId="6084" xr:uid="{00000000-0005-0000-0000-00009F9C0000}"/>
    <cellStyle name="Comma0 14" xfId="8824" xr:uid="{00000000-0005-0000-0000-0000A09C0000}"/>
    <cellStyle name="Comma0 15" xfId="8814" xr:uid="{00000000-0005-0000-0000-0000A19C0000}"/>
    <cellStyle name="Comma0 16" xfId="8820" xr:uid="{00000000-0005-0000-0000-0000A29C0000}"/>
    <cellStyle name="Comma0 2" xfId="7479" xr:uid="{00000000-0005-0000-0000-0000A39C0000}"/>
    <cellStyle name="Comma0 3" xfId="8825" xr:uid="{00000000-0005-0000-0000-0000A49C0000}"/>
    <cellStyle name="Comma0 4" xfId="8830" xr:uid="{00000000-0005-0000-0000-0000A59C0000}"/>
    <cellStyle name="Comma0 5" xfId="8827" xr:uid="{00000000-0005-0000-0000-0000A69C0000}"/>
    <cellStyle name="Comma0 6" xfId="8811" xr:uid="{00000000-0005-0000-0000-0000A79C0000}"/>
    <cellStyle name="Comma0 7" xfId="8821" xr:uid="{00000000-0005-0000-0000-0000A89C0000}"/>
    <cellStyle name="Comma0 8" xfId="8819" xr:uid="{00000000-0005-0000-0000-0000A99C0000}"/>
    <cellStyle name="Comma0 9" xfId="8835" xr:uid="{00000000-0005-0000-0000-0000AA9C0000}"/>
    <cellStyle name="Comma1 - Typografi1" xfId="5074" xr:uid="{00000000-0005-0000-0000-0000AB9C0000}"/>
    <cellStyle name="Currency0" xfId="5075" xr:uid="{00000000-0005-0000-0000-0000AC9C0000}"/>
    <cellStyle name="Currency0 2" xfId="7480" xr:uid="{00000000-0005-0000-0000-0000AD9C0000}"/>
    <cellStyle name="CustomizationCells" xfId="44" xr:uid="{00000000-0005-0000-0000-0000AE9C0000}"/>
    <cellStyle name="CustomizationCells 2" xfId="9737" xr:uid="{00000000-0005-0000-0000-0000AF9C0000}"/>
    <cellStyle name="CustomizationCells 2 2" xfId="26064" xr:uid="{00000000-0005-0000-0000-0000B09C0000}"/>
    <cellStyle name="CustomizationCells 3" xfId="17908" xr:uid="{00000000-0005-0000-0000-0000B19C0000}"/>
    <cellStyle name="Date" xfId="5076" xr:uid="{00000000-0005-0000-0000-0000B29C0000}"/>
    <cellStyle name="Date - Typografi3" xfId="5077" xr:uid="{00000000-0005-0000-0000-0000B39C0000}"/>
    <cellStyle name="Date 10" xfId="8833" xr:uid="{00000000-0005-0000-0000-0000B49C0000}"/>
    <cellStyle name="Date 11" xfId="8818" xr:uid="{00000000-0005-0000-0000-0000B59C0000}"/>
    <cellStyle name="Date 12" xfId="8816" xr:uid="{00000000-0005-0000-0000-0000B69C0000}"/>
    <cellStyle name="Date 13" xfId="8813" xr:uid="{00000000-0005-0000-0000-0000B79C0000}"/>
    <cellStyle name="Date 14" xfId="8832" xr:uid="{00000000-0005-0000-0000-0000B89C0000}"/>
    <cellStyle name="Date 15" xfId="8822" xr:uid="{00000000-0005-0000-0000-0000B99C0000}"/>
    <cellStyle name="Date 16" xfId="8829" xr:uid="{00000000-0005-0000-0000-0000BA9C0000}"/>
    <cellStyle name="Date 2" xfId="7481" xr:uid="{00000000-0005-0000-0000-0000BB9C0000}"/>
    <cellStyle name="Date 3" xfId="8826" xr:uid="{00000000-0005-0000-0000-0000BC9C0000}"/>
    <cellStyle name="Date 4" xfId="8810" xr:uid="{00000000-0005-0000-0000-0000BD9C0000}"/>
    <cellStyle name="Date 5" xfId="8828" xr:uid="{00000000-0005-0000-0000-0000BE9C0000}"/>
    <cellStyle name="Date 6" xfId="8812" xr:uid="{00000000-0005-0000-0000-0000BF9C0000}"/>
    <cellStyle name="Date 7" xfId="8836" xr:uid="{00000000-0005-0000-0000-0000C09C0000}"/>
    <cellStyle name="Date 8" xfId="8817" xr:uid="{00000000-0005-0000-0000-0000C19C0000}"/>
    <cellStyle name="Date 9" xfId="8834" xr:uid="{00000000-0005-0000-0000-0000C29C0000}"/>
    <cellStyle name="Euro" xfId="45" xr:uid="{00000000-0005-0000-0000-0000C39C0000}"/>
    <cellStyle name="Euro 10" xfId="46" xr:uid="{00000000-0005-0000-0000-0000C49C0000}"/>
    <cellStyle name="Euro 10 2" xfId="47" xr:uid="{00000000-0005-0000-0000-0000C59C0000}"/>
    <cellStyle name="Euro 10 2 2" xfId="1198" xr:uid="{00000000-0005-0000-0000-0000C69C0000}"/>
    <cellStyle name="Euro 10 3" xfId="48" xr:uid="{00000000-0005-0000-0000-0000C79C0000}"/>
    <cellStyle name="Euro 10 3 2" xfId="49" xr:uid="{00000000-0005-0000-0000-0000C89C0000}"/>
    <cellStyle name="Euro 10 3 3" xfId="16764" xr:uid="{00000000-0005-0000-0000-0000C99C0000}"/>
    <cellStyle name="Euro 10 3 3 2" xfId="18027" xr:uid="{00000000-0005-0000-0000-0000CA9C0000}"/>
    <cellStyle name="Euro 10 3 4" xfId="18026" xr:uid="{00000000-0005-0000-0000-0000CB9C0000}"/>
    <cellStyle name="Euro 10 3 5" xfId="16763" xr:uid="{00000000-0005-0000-0000-0000CC9C0000}"/>
    <cellStyle name="Euro 10 4" xfId="8971" xr:uid="{00000000-0005-0000-0000-0000CD9C0000}"/>
    <cellStyle name="Euro 10 4 2" xfId="16766" xr:uid="{00000000-0005-0000-0000-0000CE9C0000}"/>
    <cellStyle name="Euro 10 4 2 2" xfId="18029" xr:uid="{00000000-0005-0000-0000-0000CF9C0000}"/>
    <cellStyle name="Euro 10 4 3" xfId="18028" xr:uid="{00000000-0005-0000-0000-0000D09C0000}"/>
    <cellStyle name="Euro 10 4 4" xfId="16765" xr:uid="{00000000-0005-0000-0000-0000D19C0000}"/>
    <cellStyle name="Euro 10 5" xfId="8972" xr:uid="{00000000-0005-0000-0000-0000D29C0000}"/>
    <cellStyle name="Euro 10 6" xfId="51004" xr:uid="{00000000-0005-0000-0000-0000D39C0000}"/>
    <cellStyle name="Euro 11" xfId="50" xr:uid="{00000000-0005-0000-0000-0000D49C0000}"/>
    <cellStyle name="Euro 11 2" xfId="51" xr:uid="{00000000-0005-0000-0000-0000D59C0000}"/>
    <cellStyle name="Euro 11 2 2" xfId="1199" xr:uid="{00000000-0005-0000-0000-0000D69C0000}"/>
    <cellStyle name="Euro 11 3" xfId="52" xr:uid="{00000000-0005-0000-0000-0000D79C0000}"/>
    <cellStyle name="Euro 11 3 2" xfId="53" xr:uid="{00000000-0005-0000-0000-0000D89C0000}"/>
    <cellStyle name="Euro 11 3 3" xfId="16768" xr:uid="{00000000-0005-0000-0000-0000D99C0000}"/>
    <cellStyle name="Euro 11 3 3 2" xfId="18031" xr:uid="{00000000-0005-0000-0000-0000DA9C0000}"/>
    <cellStyle name="Euro 11 3 4" xfId="18030" xr:uid="{00000000-0005-0000-0000-0000DB9C0000}"/>
    <cellStyle name="Euro 11 3 5" xfId="16767" xr:uid="{00000000-0005-0000-0000-0000DC9C0000}"/>
    <cellStyle name="Euro 11 4" xfId="8973" xr:uid="{00000000-0005-0000-0000-0000DD9C0000}"/>
    <cellStyle name="Euro 11 4 2" xfId="16770" xr:uid="{00000000-0005-0000-0000-0000DE9C0000}"/>
    <cellStyle name="Euro 11 4 2 2" xfId="18033" xr:uid="{00000000-0005-0000-0000-0000DF9C0000}"/>
    <cellStyle name="Euro 11 4 3" xfId="18032" xr:uid="{00000000-0005-0000-0000-0000E09C0000}"/>
    <cellStyle name="Euro 11 4 4" xfId="16769" xr:uid="{00000000-0005-0000-0000-0000E19C0000}"/>
    <cellStyle name="Euro 11 5" xfId="8974" xr:uid="{00000000-0005-0000-0000-0000E29C0000}"/>
    <cellStyle name="Euro 11 6" xfId="51003" xr:uid="{00000000-0005-0000-0000-0000E39C0000}"/>
    <cellStyle name="Euro 12" xfId="54" xr:uid="{00000000-0005-0000-0000-0000E49C0000}"/>
    <cellStyle name="Euro 12 2" xfId="55" xr:uid="{00000000-0005-0000-0000-0000E59C0000}"/>
    <cellStyle name="Euro 12 2 2" xfId="1200" xr:uid="{00000000-0005-0000-0000-0000E69C0000}"/>
    <cellStyle name="Euro 12 3" xfId="56" xr:uid="{00000000-0005-0000-0000-0000E79C0000}"/>
    <cellStyle name="Euro 12 3 2" xfId="57" xr:uid="{00000000-0005-0000-0000-0000E89C0000}"/>
    <cellStyle name="Euro 12 3 3" xfId="16772" xr:uid="{00000000-0005-0000-0000-0000E99C0000}"/>
    <cellStyle name="Euro 12 3 3 2" xfId="18035" xr:uid="{00000000-0005-0000-0000-0000EA9C0000}"/>
    <cellStyle name="Euro 12 3 4" xfId="18034" xr:uid="{00000000-0005-0000-0000-0000EB9C0000}"/>
    <cellStyle name="Euro 12 3 5" xfId="16771" xr:uid="{00000000-0005-0000-0000-0000EC9C0000}"/>
    <cellStyle name="Euro 12 4" xfId="8975" xr:uid="{00000000-0005-0000-0000-0000ED9C0000}"/>
    <cellStyle name="Euro 12 4 2" xfId="16774" xr:uid="{00000000-0005-0000-0000-0000EE9C0000}"/>
    <cellStyle name="Euro 12 4 2 2" xfId="18037" xr:uid="{00000000-0005-0000-0000-0000EF9C0000}"/>
    <cellStyle name="Euro 12 4 3" xfId="18036" xr:uid="{00000000-0005-0000-0000-0000F09C0000}"/>
    <cellStyle name="Euro 12 4 4" xfId="16773" xr:uid="{00000000-0005-0000-0000-0000F19C0000}"/>
    <cellStyle name="Euro 12 5" xfId="8976" xr:uid="{00000000-0005-0000-0000-0000F29C0000}"/>
    <cellStyle name="Euro 12 6" xfId="51002" xr:uid="{00000000-0005-0000-0000-0000F39C0000}"/>
    <cellStyle name="Euro 13" xfId="58" xr:uid="{00000000-0005-0000-0000-0000F49C0000}"/>
    <cellStyle name="Euro 13 2" xfId="59" xr:uid="{00000000-0005-0000-0000-0000F59C0000}"/>
    <cellStyle name="Euro 13 2 2" xfId="1201" xr:uid="{00000000-0005-0000-0000-0000F69C0000}"/>
    <cellStyle name="Euro 13 3" xfId="60" xr:uid="{00000000-0005-0000-0000-0000F79C0000}"/>
    <cellStyle name="Euro 13 3 2" xfId="61" xr:uid="{00000000-0005-0000-0000-0000F89C0000}"/>
    <cellStyle name="Euro 13 3 3" xfId="16776" xr:uid="{00000000-0005-0000-0000-0000F99C0000}"/>
    <cellStyle name="Euro 13 3 3 2" xfId="18039" xr:uid="{00000000-0005-0000-0000-0000FA9C0000}"/>
    <cellStyle name="Euro 13 3 4" xfId="18038" xr:uid="{00000000-0005-0000-0000-0000FB9C0000}"/>
    <cellStyle name="Euro 13 3 5" xfId="16775" xr:uid="{00000000-0005-0000-0000-0000FC9C0000}"/>
    <cellStyle name="Euro 13 4" xfId="8977" xr:uid="{00000000-0005-0000-0000-0000FD9C0000}"/>
    <cellStyle name="Euro 13 4 2" xfId="16778" xr:uid="{00000000-0005-0000-0000-0000FE9C0000}"/>
    <cellStyle name="Euro 13 4 2 2" xfId="18041" xr:uid="{00000000-0005-0000-0000-0000FF9C0000}"/>
    <cellStyle name="Euro 13 4 3" xfId="18040" xr:uid="{00000000-0005-0000-0000-0000009D0000}"/>
    <cellStyle name="Euro 13 4 4" xfId="16777" xr:uid="{00000000-0005-0000-0000-0000019D0000}"/>
    <cellStyle name="Euro 13 5" xfId="8978" xr:uid="{00000000-0005-0000-0000-0000029D0000}"/>
    <cellStyle name="Euro 13 6" xfId="51001" xr:uid="{00000000-0005-0000-0000-0000039D0000}"/>
    <cellStyle name="Euro 14" xfId="62" xr:uid="{00000000-0005-0000-0000-0000049D0000}"/>
    <cellStyle name="Euro 14 2" xfId="63" xr:uid="{00000000-0005-0000-0000-0000059D0000}"/>
    <cellStyle name="Euro 14 2 2" xfId="1202" xr:uid="{00000000-0005-0000-0000-0000069D0000}"/>
    <cellStyle name="Euro 14 3" xfId="64" xr:uid="{00000000-0005-0000-0000-0000079D0000}"/>
    <cellStyle name="Euro 14 3 2" xfId="65" xr:uid="{00000000-0005-0000-0000-0000089D0000}"/>
    <cellStyle name="Euro 14 3 3" xfId="16781" xr:uid="{00000000-0005-0000-0000-0000099D0000}"/>
    <cellStyle name="Euro 14 3 3 2" xfId="18043" xr:uid="{00000000-0005-0000-0000-00000A9D0000}"/>
    <cellStyle name="Euro 14 3 4" xfId="18042" xr:uid="{00000000-0005-0000-0000-00000B9D0000}"/>
    <cellStyle name="Euro 14 3 5" xfId="16780" xr:uid="{00000000-0005-0000-0000-00000C9D0000}"/>
    <cellStyle name="Euro 14 4" xfId="8979" xr:uid="{00000000-0005-0000-0000-00000D9D0000}"/>
    <cellStyle name="Euro 14 4 2" xfId="16783" xr:uid="{00000000-0005-0000-0000-00000E9D0000}"/>
    <cellStyle name="Euro 14 4 2 2" xfId="18045" xr:uid="{00000000-0005-0000-0000-00000F9D0000}"/>
    <cellStyle name="Euro 14 4 3" xfId="18044" xr:uid="{00000000-0005-0000-0000-0000109D0000}"/>
    <cellStyle name="Euro 14 4 4" xfId="16782" xr:uid="{00000000-0005-0000-0000-0000119D0000}"/>
    <cellStyle name="Euro 14 5" xfId="8980" xr:uid="{00000000-0005-0000-0000-0000129D0000}"/>
    <cellStyle name="Euro 14 6" xfId="51061" xr:uid="{00000000-0005-0000-0000-0000139D0000}"/>
    <cellStyle name="Euro 15" xfId="66" xr:uid="{00000000-0005-0000-0000-0000149D0000}"/>
    <cellStyle name="Euro 15 2" xfId="67" xr:uid="{00000000-0005-0000-0000-0000159D0000}"/>
    <cellStyle name="Euro 15 2 2" xfId="1203" xr:uid="{00000000-0005-0000-0000-0000169D0000}"/>
    <cellStyle name="Euro 15 3" xfId="68" xr:uid="{00000000-0005-0000-0000-0000179D0000}"/>
    <cellStyle name="Euro 15 3 2" xfId="69" xr:uid="{00000000-0005-0000-0000-0000189D0000}"/>
    <cellStyle name="Euro 15 3 3" xfId="16785" xr:uid="{00000000-0005-0000-0000-0000199D0000}"/>
    <cellStyle name="Euro 15 3 3 2" xfId="18047" xr:uid="{00000000-0005-0000-0000-00001A9D0000}"/>
    <cellStyle name="Euro 15 3 4" xfId="18046" xr:uid="{00000000-0005-0000-0000-00001B9D0000}"/>
    <cellStyle name="Euro 15 3 5" xfId="16784" xr:uid="{00000000-0005-0000-0000-00001C9D0000}"/>
    <cellStyle name="Euro 15 4" xfId="8981" xr:uid="{00000000-0005-0000-0000-00001D9D0000}"/>
    <cellStyle name="Euro 15 4 2" xfId="16787" xr:uid="{00000000-0005-0000-0000-00001E9D0000}"/>
    <cellStyle name="Euro 15 4 2 2" xfId="18049" xr:uid="{00000000-0005-0000-0000-00001F9D0000}"/>
    <cellStyle name="Euro 15 4 3" xfId="18048" xr:uid="{00000000-0005-0000-0000-0000209D0000}"/>
    <cellStyle name="Euro 15 4 4" xfId="16786" xr:uid="{00000000-0005-0000-0000-0000219D0000}"/>
    <cellStyle name="Euro 15 5" xfId="8982" xr:uid="{00000000-0005-0000-0000-0000229D0000}"/>
    <cellStyle name="Euro 15 6" xfId="51000" xr:uid="{00000000-0005-0000-0000-0000239D0000}"/>
    <cellStyle name="Euro 16" xfId="70" xr:uid="{00000000-0005-0000-0000-0000249D0000}"/>
    <cellStyle name="Euro 16 2" xfId="71" xr:uid="{00000000-0005-0000-0000-0000259D0000}"/>
    <cellStyle name="Euro 16 2 2" xfId="1204" xr:uid="{00000000-0005-0000-0000-0000269D0000}"/>
    <cellStyle name="Euro 16 3" xfId="72" xr:uid="{00000000-0005-0000-0000-0000279D0000}"/>
    <cellStyle name="Euro 16 3 2" xfId="73" xr:uid="{00000000-0005-0000-0000-0000289D0000}"/>
    <cellStyle name="Euro 16 3 3" xfId="16789" xr:uid="{00000000-0005-0000-0000-0000299D0000}"/>
    <cellStyle name="Euro 16 3 3 2" xfId="18051" xr:uid="{00000000-0005-0000-0000-00002A9D0000}"/>
    <cellStyle name="Euro 16 3 4" xfId="18050" xr:uid="{00000000-0005-0000-0000-00002B9D0000}"/>
    <cellStyle name="Euro 16 3 5" xfId="16788" xr:uid="{00000000-0005-0000-0000-00002C9D0000}"/>
    <cellStyle name="Euro 16 4" xfId="8983" xr:uid="{00000000-0005-0000-0000-00002D9D0000}"/>
    <cellStyle name="Euro 16 4 2" xfId="16791" xr:uid="{00000000-0005-0000-0000-00002E9D0000}"/>
    <cellStyle name="Euro 16 4 2 2" xfId="18053" xr:uid="{00000000-0005-0000-0000-00002F9D0000}"/>
    <cellStyle name="Euro 16 4 3" xfId="18052" xr:uid="{00000000-0005-0000-0000-0000309D0000}"/>
    <cellStyle name="Euro 16 4 4" xfId="16790" xr:uid="{00000000-0005-0000-0000-0000319D0000}"/>
    <cellStyle name="Euro 16 5" xfId="8984" xr:uid="{00000000-0005-0000-0000-0000329D0000}"/>
    <cellStyle name="Euro 16 6" xfId="51247" xr:uid="{00000000-0005-0000-0000-0000339D0000}"/>
    <cellStyle name="Euro 17" xfId="74" xr:uid="{00000000-0005-0000-0000-0000349D0000}"/>
    <cellStyle name="Euro 17 2" xfId="75" xr:uid="{00000000-0005-0000-0000-0000359D0000}"/>
    <cellStyle name="Euro 17 2 2" xfId="1205" xr:uid="{00000000-0005-0000-0000-0000369D0000}"/>
    <cellStyle name="Euro 17 3" xfId="76" xr:uid="{00000000-0005-0000-0000-0000379D0000}"/>
    <cellStyle name="Euro 17 3 2" xfId="77" xr:uid="{00000000-0005-0000-0000-0000389D0000}"/>
    <cellStyle name="Euro 17 3 3" xfId="16793" xr:uid="{00000000-0005-0000-0000-0000399D0000}"/>
    <cellStyle name="Euro 17 3 3 2" xfId="18055" xr:uid="{00000000-0005-0000-0000-00003A9D0000}"/>
    <cellStyle name="Euro 17 3 4" xfId="18054" xr:uid="{00000000-0005-0000-0000-00003B9D0000}"/>
    <cellStyle name="Euro 17 3 5" xfId="16792" xr:uid="{00000000-0005-0000-0000-00003C9D0000}"/>
    <cellStyle name="Euro 17 4" xfId="8985" xr:uid="{00000000-0005-0000-0000-00003D9D0000}"/>
    <cellStyle name="Euro 17 4 2" xfId="16795" xr:uid="{00000000-0005-0000-0000-00003E9D0000}"/>
    <cellStyle name="Euro 17 4 2 2" xfId="18057" xr:uid="{00000000-0005-0000-0000-00003F9D0000}"/>
    <cellStyle name="Euro 17 4 3" xfId="18056" xr:uid="{00000000-0005-0000-0000-0000409D0000}"/>
    <cellStyle name="Euro 17 4 4" xfId="16794" xr:uid="{00000000-0005-0000-0000-0000419D0000}"/>
    <cellStyle name="Euro 17 5" xfId="8986" xr:uid="{00000000-0005-0000-0000-0000429D0000}"/>
    <cellStyle name="Euro 17 6" xfId="51248" xr:uid="{00000000-0005-0000-0000-0000439D0000}"/>
    <cellStyle name="Euro 18" xfId="78" xr:uid="{00000000-0005-0000-0000-0000449D0000}"/>
    <cellStyle name="Euro 18 2" xfId="79" xr:uid="{00000000-0005-0000-0000-0000459D0000}"/>
    <cellStyle name="Euro 18 2 2" xfId="1206" xr:uid="{00000000-0005-0000-0000-0000469D0000}"/>
    <cellStyle name="Euro 18 3" xfId="80" xr:uid="{00000000-0005-0000-0000-0000479D0000}"/>
    <cellStyle name="Euro 18 3 2" xfId="81" xr:uid="{00000000-0005-0000-0000-0000489D0000}"/>
    <cellStyle name="Euro 18 3 3" xfId="16797" xr:uid="{00000000-0005-0000-0000-0000499D0000}"/>
    <cellStyle name="Euro 18 3 3 2" xfId="18059" xr:uid="{00000000-0005-0000-0000-00004A9D0000}"/>
    <cellStyle name="Euro 18 3 4" xfId="18058" xr:uid="{00000000-0005-0000-0000-00004B9D0000}"/>
    <cellStyle name="Euro 18 3 5" xfId="16796" xr:uid="{00000000-0005-0000-0000-00004C9D0000}"/>
    <cellStyle name="Euro 18 4" xfId="8987" xr:uid="{00000000-0005-0000-0000-00004D9D0000}"/>
    <cellStyle name="Euro 18 4 2" xfId="16799" xr:uid="{00000000-0005-0000-0000-00004E9D0000}"/>
    <cellStyle name="Euro 18 4 2 2" xfId="18061" xr:uid="{00000000-0005-0000-0000-00004F9D0000}"/>
    <cellStyle name="Euro 18 4 3" xfId="18060" xr:uid="{00000000-0005-0000-0000-0000509D0000}"/>
    <cellStyle name="Euro 18 4 4" xfId="16798" xr:uid="{00000000-0005-0000-0000-0000519D0000}"/>
    <cellStyle name="Euro 18 5" xfId="8988" xr:uid="{00000000-0005-0000-0000-0000529D0000}"/>
    <cellStyle name="Euro 18 6" xfId="51209" xr:uid="{00000000-0005-0000-0000-0000539D0000}"/>
    <cellStyle name="Euro 19" xfId="82" xr:uid="{00000000-0005-0000-0000-0000549D0000}"/>
    <cellStyle name="Euro 19 2" xfId="83" xr:uid="{00000000-0005-0000-0000-0000559D0000}"/>
    <cellStyle name="Euro 19 2 2" xfId="1207" xr:uid="{00000000-0005-0000-0000-0000569D0000}"/>
    <cellStyle name="Euro 19 3" xfId="84" xr:uid="{00000000-0005-0000-0000-0000579D0000}"/>
    <cellStyle name="Euro 19 3 2" xfId="85" xr:uid="{00000000-0005-0000-0000-0000589D0000}"/>
    <cellStyle name="Euro 19 3 3" xfId="16801" xr:uid="{00000000-0005-0000-0000-0000599D0000}"/>
    <cellStyle name="Euro 19 3 3 2" xfId="18063" xr:uid="{00000000-0005-0000-0000-00005A9D0000}"/>
    <cellStyle name="Euro 19 3 4" xfId="18062" xr:uid="{00000000-0005-0000-0000-00005B9D0000}"/>
    <cellStyle name="Euro 19 3 5" xfId="16800" xr:uid="{00000000-0005-0000-0000-00005C9D0000}"/>
    <cellStyle name="Euro 19 4" xfId="8989" xr:uid="{00000000-0005-0000-0000-00005D9D0000}"/>
    <cellStyle name="Euro 19 4 2" xfId="16803" xr:uid="{00000000-0005-0000-0000-00005E9D0000}"/>
    <cellStyle name="Euro 19 4 2 2" xfId="18065" xr:uid="{00000000-0005-0000-0000-00005F9D0000}"/>
    <cellStyle name="Euro 19 4 3" xfId="18064" xr:uid="{00000000-0005-0000-0000-0000609D0000}"/>
    <cellStyle name="Euro 19 4 4" xfId="16802" xr:uid="{00000000-0005-0000-0000-0000619D0000}"/>
    <cellStyle name="Euro 19 5" xfId="8990" xr:uid="{00000000-0005-0000-0000-0000629D0000}"/>
    <cellStyle name="Euro 19 6" xfId="51229" xr:uid="{00000000-0005-0000-0000-0000639D0000}"/>
    <cellStyle name="Euro 2" xfId="86" xr:uid="{00000000-0005-0000-0000-0000649D0000}"/>
    <cellStyle name="Euro 2 2" xfId="87" xr:uid="{00000000-0005-0000-0000-0000659D0000}"/>
    <cellStyle name="Euro 2 2 2" xfId="1208" xr:uid="{00000000-0005-0000-0000-0000669D0000}"/>
    <cellStyle name="Euro 2 3" xfId="88" xr:uid="{00000000-0005-0000-0000-0000679D0000}"/>
    <cellStyle name="Euro 2 3 2" xfId="89" xr:uid="{00000000-0005-0000-0000-0000689D0000}"/>
    <cellStyle name="Euro 2 3 3" xfId="16805" xr:uid="{00000000-0005-0000-0000-0000699D0000}"/>
    <cellStyle name="Euro 2 3 3 2" xfId="18067" xr:uid="{00000000-0005-0000-0000-00006A9D0000}"/>
    <cellStyle name="Euro 2 3 4" xfId="18066" xr:uid="{00000000-0005-0000-0000-00006B9D0000}"/>
    <cellStyle name="Euro 2 3 5" xfId="16804" xr:uid="{00000000-0005-0000-0000-00006C9D0000}"/>
    <cellStyle name="Euro 2 4" xfId="8852" xr:uid="{00000000-0005-0000-0000-00006D9D0000}"/>
    <cellStyle name="Euro 2 4 2" xfId="8991" xr:uid="{00000000-0005-0000-0000-00006E9D0000}"/>
    <cellStyle name="Euro 2 4 2 2" xfId="18069" xr:uid="{00000000-0005-0000-0000-00006F9D0000}"/>
    <cellStyle name="Euro 2 4 2 3" xfId="16807" xr:uid="{00000000-0005-0000-0000-0000709D0000}"/>
    <cellStyle name="Euro 2 4 3" xfId="16693" xr:uid="{00000000-0005-0000-0000-0000719D0000}"/>
    <cellStyle name="Euro 2 4 3 2" xfId="18068" xr:uid="{00000000-0005-0000-0000-0000729D0000}"/>
    <cellStyle name="Euro 2 4 4" xfId="16806" xr:uid="{00000000-0005-0000-0000-0000739D0000}"/>
    <cellStyle name="Euro 2 5" xfId="8992" xr:uid="{00000000-0005-0000-0000-0000749D0000}"/>
    <cellStyle name="Euro 2 6" xfId="50999" xr:uid="{00000000-0005-0000-0000-0000759D0000}"/>
    <cellStyle name="Euro 20" xfId="90" xr:uid="{00000000-0005-0000-0000-0000769D0000}"/>
    <cellStyle name="Euro 20 2" xfId="91" xr:uid="{00000000-0005-0000-0000-0000779D0000}"/>
    <cellStyle name="Euro 20 2 2" xfId="1209" xr:uid="{00000000-0005-0000-0000-0000789D0000}"/>
    <cellStyle name="Euro 20 3" xfId="92" xr:uid="{00000000-0005-0000-0000-0000799D0000}"/>
    <cellStyle name="Euro 20 3 2" xfId="93" xr:uid="{00000000-0005-0000-0000-00007A9D0000}"/>
    <cellStyle name="Euro 20 3 3" xfId="16809" xr:uid="{00000000-0005-0000-0000-00007B9D0000}"/>
    <cellStyle name="Euro 20 3 3 2" xfId="18071" xr:uid="{00000000-0005-0000-0000-00007C9D0000}"/>
    <cellStyle name="Euro 20 3 4" xfId="18070" xr:uid="{00000000-0005-0000-0000-00007D9D0000}"/>
    <cellStyle name="Euro 20 3 5" xfId="16808" xr:uid="{00000000-0005-0000-0000-00007E9D0000}"/>
    <cellStyle name="Euro 20 4" xfId="8993" xr:uid="{00000000-0005-0000-0000-00007F9D0000}"/>
    <cellStyle name="Euro 20 4 2" xfId="16811" xr:uid="{00000000-0005-0000-0000-0000809D0000}"/>
    <cellStyle name="Euro 20 4 2 2" xfId="18073" xr:uid="{00000000-0005-0000-0000-0000819D0000}"/>
    <cellStyle name="Euro 20 4 3" xfId="18072" xr:uid="{00000000-0005-0000-0000-0000829D0000}"/>
    <cellStyle name="Euro 20 4 4" xfId="16810" xr:uid="{00000000-0005-0000-0000-0000839D0000}"/>
    <cellStyle name="Euro 20 5" xfId="8994" xr:uid="{00000000-0005-0000-0000-0000849D0000}"/>
    <cellStyle name="Euro 20 6" xfId="50998" xr:uid="{00000000-0005-0000-0000-0000859D0000}"/>
    <cellStyle name="Euro 21" xfId="94" xr:uid="{00000000-0005-0000-0000-0000869D0000}"/>
    <cellStyle name="Euro 21 2" xfId="95" xr:uid="{00000000-0005-0000-0000-0000879D0000}"/>
    <cellStyle name="Euro 21 2 2" xfId="1210" xr:uid="{00000000-0005-0000-0000-0000889D0000}"/>
    <cellStyle name="Euro 21 3" xfId="96" xr:uid="{00000000-0005-0000-0000-0000899D0000}"/>
    <cellStyle name="Euro 21 3 2" xfId="97" xr:uid="{00000000-0005-0000-0000-00008A9D0000}"/>
    <cellStyle name="Euro 21 3 3" xfId="16813" xr:uid="{00000000-0005-0000-0000-00008B9D0000}"/>
    <cellStyle name="Euro 21 3 3 2" xfId="18075" xr:uid="{00000000-0005-0000-0000-00008C9D0000}"/>
    <cellStyle name="Euro 21 3 4" xfId="18074" xr:uid="{00000000-0005-0000-0000-00008D9D0000}"/>
    <cellStyle name="Euro 21 3 5" xfId="16812" xr:uid="{00000000-0005-0000-0000-00008E9D0000}"/>
    <cellStyle name="Euro 21 4" xfId="8995" xr:uid="{00000000-0005-0000-0000-00008F9D0000}"/>
    <cellStyle name="Euro 21 4 2" xfId="16815" xr:uid="{00000000-0005-0000-0000-0000909D0000}"/>
    <cellStyle name="Euro 21 4 2 2" xfId="18077" xr:uid="{00000000-0005-0000-0000-0000919D0000}"/>
    <cellStyle name="Euro 21 4 3" xfId="18076" xr:uid="{00000000-0005-0000-0000-0000929D0000}"/>
    <cellStyle name="Euro 21 4 4" xfId="16814" xr:uid="{00000000-0005-0000-0000-0000939D0000}"/>
    <cellStyle name="Euro 21 5" xfId="8996" xr:uid="{00000000-0005-0000-0000-0000949D0000}"/>
    <cellStyle name="Euro 21 6" xfId="50997" xr:uid="{00000000-0005-0000-0000-0000959D0000}"/>
    <cellStyle name="Euro 22" xfId="98" xr:uid="{00000000-0005-0000-0000-0000969D0000}"/>
    <cellStyle name="Euro 22 2" xfId="99" xr:uid="{00000000-0005-0000-0000-0000979D0000}"/>
    <cellStyle name="Euro 22 2 2" xfId="1211" xr:uid="{00000000-0005-0000-0000-0000989D0000}"/>
    <cellStyle name="Euro 22 3" xfId="100" xr:uid="{00000000-0005-0000-0000-0000999D0000}"/>
    <cellStyle name="Euro 22 3 2" xfId="101" xr:uid="{00000000-0005-0000-0000-00009A9D0000}"/>
    <cellStyle name="Euro 22 3 3" xfId="16817" xr:uid="{00000000-0005-0000-0000-00009B9D0000}"/>
    <cellStyle name="Euro 22 3 3 2" xfId="18079" xr:uid="{00000000-0005-0000-0000-00009C9D0000}"/>
    <cellStyle name="Euro 22 3 4" xfId="18078" xr:uid="{00000000-0005-0000-0000-00009D9D0000}"/>
    <cellStyle name="Euro 22 3 5" xfId="16816" xr:uid="{00000000-0005-0000-0000-00009E9D0000}"/>
    <cellStyle name="Euro 22 4" xfId="8997" xr:uid="{00000000-0005-0000-0000-00009F9D0000}"/>
    <cellStyle name="Euro 22 4 2" xfId="16819" xr:uid="{00000000-0005-0000-0000-0000A09D0000}"/>
    <cellStyle name="Euro 22 4 2 2" xfId="18081" xr:uid="{00000000-0005-0000-0000-0000A19D0000}"/>
    <cellStyle name="Euro 22 4 3" xfId="18080" xr:uid="{00000000-0005-0000-0000-0000A29D0000}"/>
    <cellStyle name="Euro 22 4 4" xfId="16818" xr:uid="{00000000-0005-0000-0000-0000A39D0000}"/>
    <cellStyle name="Euro 22 5" xfId="8998" xr:uid="{00000000-0005-0000-0000-0000A49D0000}"/>
    <cellStyle name="Euro 22 6" xfId="50996" xr:uid="{00000000-0005-0000-0000-0000A59D0000}"/>
    <cellStyle name="Euro 23" xfId="102" xr:uid="{00000000-0005-0000-0000-0000A69D0000}"/>
    <cellStyle name="Euro 23 2" xfId="103" xr:uid="{00000000-0005-0000-0000-0000A79D0000}"/>
    <cellStyle name="Euro 23 2 2" xfId="1212" xr:uid="{00000000-0005-0000-0000-0000A89D0000}"/>
    <cellStyle name="Euro 23 3" xfId="104" xr:uid="{00000000-0005-0000-0000-0000A99D0000}"/>
    <cellStyle name="Euro 23 3 2" xfId="105" xr:uid="{00000000-0005-0000-0000-0000AA9D0000}"/>
    <cellStyle name="Euro 23 3 3" xfId="16821" xr:uid="{00000000-0005-0000-0000-0000AB9D0000}"/>
    <cellStyle name="Euro 23 3 3 2" xfId="18083" xr:uid="{00000000-0005-0000-0000-0000AC9D0000}"/>
    <cellStyle name="Euro 23 3 4" xfId="18082" xr:uid="{00000000-0005-0000-0000-0000AD9D0000}"/>
    <cellStyle name="Euro 23 3 5" xfId="16820" xr:uid="{00000000-0005-0000-0000-0000AE9D0000}"/>
    <cellStyle name="Euro 23 4" xfId="8999" xr:uid="{00000000-0005-0000-0000-0000AF9D0000}"/>
    <cellStyle name="Euro 23 4 2" xfId="16823" xr:uid="{00000000-0005-0000-0000-0000B09D0000}"/>
    <cellStyle name="Euro 23 4 2 2" xfId="18085" xr:uid="{00000000-0005-0000-0000-0000B19D0000}"/>
    <cellStyle name="Euro 23 4 3" xfId="18084" xr:uid="{00000000-0005-0000-0000-0000B29D0000}"/>
    <cellStyle name="Euro 23 4 4" xfId="16822" xr:uid="{00000000-0005-0000-0000-0000B39D0000}"/>
    <cellStyle name="Euro 23 5" xfId="9000" xr:uid="{00000000-0005-0000-0000-0000B49D0000}"/>
    <cellStyle name="Euro 23 6" xfId="51060" xr:uid="{00000000-0005-0000-0000-0000B59D0000}"/>
    <cellStyle name="Euro 24" xfId="106" xr:uid="{00000000-0005-0000-0000-0000B69D0000}"/>
    <cellStyle name="Euro 24 2" xfId="107" xr:uid="{00000000-0005-0000-0000-0000B79D0000}"/>
    <cellStyle name="Euro 24 2 2" xfId="1213" xr:uid="{00000000-0005-0000-0000-0000B89D0000}"/>
    <cellStyle name="Euro 24 3" xfId="108" xr:uid="{00000000-0005-0000-0000-0000B99D0000}"/>
    <cellStyle name="Euro 24 3 2" xfId="109" xr:uid="{00000000-0005-0000-0000-0000BA9D0000}"/>
    <cellStyle name="Euro 24 3 3" xfId="16825" xr:uid="{00000000-0005-0000-0000-0000BB9D0000}"/>
    <cellStyle name="Euro 24 3 3 2" xfId="18087" xr:uid="{00000000-0005-0000-0000-0000BC9D0000}"/>
    <cellStyle name="Euro 24 3 4" xfId="18086" xr:uid="{00000000-0005-0000-0000-0000BD9D0000}"/>
    <cellStyle name="Euro 24 3 5" xfId="16824" xr:uid="{00000000-0005-0000-0000-0000BE9D0000}"/>
    <cellStyle name="Euro 24 4" xfId="9001" xr:uid="{00000000-0005-0000-0000-0000BF9D0000}"/>
    <cellStyle name="Euro 24 4 2" xfId="16827" xr:uid="{00000000-0005-0000-0000-0000C09D0000}"/>
    <cellStyle name="Euro 24 4 2 2" xfId="18089" xr:uid="{00000000-0005-0000-0000-0000C19D0000}"/>
    <cellStyle name="Euro 24 4 3" xfId="18088" xr:uid="{00000000-0005-0000-0000-0000C29D0000}"/>
    <cellStyle name="Euro 24 4 4" xfId="16826" xr:uid="{00000000-0005-0000-0000-0000C39D0000}"/>
    <cellStyle name="Euro 24 5" xfId="9002" xr:uid="{00000000-0005-0000-0000-0000C49D0000}"/>
    <cellStyle name="Euro 24 6" xfId="51249" xr:uid="{00000000-0005-0000-0000-0000C59D0000}"/>
    <cellStyle name="Euro 25" xfId="110" xr:uid="{00000000-0005-0000-0000-0000C69D0000}"/>
    <cellStyle name="Euro 25 2" xfId="111" xr:uid="{00000000-0005-0000-0000-0000C79D0000}"/>
    <cellStyle name="Euro 25 2 2" xfId="1214" xr:uid="{00000000-0005-0000-0000-0000C89D0000}"/>
    <cellStyle name="Euro 25 3" xfId="112" xr:uid="{00000000-0005-0000-0000-0000C99D0000}"/>
    <cellStyle name="Euro 25 3 2" xfId="113" xr:uid="{00000000-0005-0000-0000-0000CA9D0000}"/>
    <cellStyle name="Euro 25 3 3" xfId="16829" xr:uid="{00000000-0005-0000-0000-0000CB9D0000}"/>
    <cellStyle name="Euro 25 3 3 2" xfId="18091" xr:uid="{00000000-0005-0000-0000-0000CC9D0000}"/>
    <cellStyle name="Euro 25 3 4" xfId="18090" xr:uid="{00000000-0005-0000-0000-0000CD9D0000}"/>
    <cellStyle name="Euro 25 3 5" xfId="16828" xr:uid="{00000000-0005-0000-0000-0000CE9D0000}"/>
    <cellStyle name="Euro 25 4" xfId="9003" xr:uid="{00000000-0005-0000-0000-0000CF9D0000}"/>
    <cellStyle name="Euro 25 4 2" xfId="16831" xr:uid="{00000000-0005-0000-0000-0000D09D0000}"/>
    <cellStyle name="Euro 25 4 2 2" xfId="18093" xr:uid="{00000000-0005-0000-0000-0000D19D0000}"/>
    <cellStyle name="Euro 25 4 3" xfId="18092" xr:uid="{00000000-0005-0000-0000-0000D29D0000}"/>
    <cellStyle name="Euro 25 4 4" xfId="16830" xr:uid="{00000000-0005-0000-0000-0000D39D0000}"/>
    <cellStyle name="Euro 25 5" xfId="9004" xr:uid="{00000000-0005-0000-0000-0000D49D0000}"/>
    <cellStyle name="Euro 25 6" xfId="50995" xr:uid="{00000000-0005-0000-0000-0000D59D0000}"/>
    <cellStyle name="Euro 26" xfId="114" xr:uid="{00000000-0005-0000-0000-0000D69D0000}"/>
    <cellStyle name="Euro 26 2" xfId="115" xr:uid="{00000000-0005-0000-0000-0000D79D0000}"/>
    <cellStyle name="Euro 26 2 2" xfId="1215" xr:uid="{00000000-0005-0000-0000-0000D89D0000}"/>
    <cellStyle name="Euro 26 3" xfId="116" xr:uid="{00000000-0005-0000-0000-0000D99D0000}"/>
    <cellStyle name="Euro 26 3 2" xfId="117" xr:uid="{00000000-0005-0000-0000-0000DA9D0000}"/>
    <cellStyle name="Euro 26 3 3" xfId="16833" xr:uid="{00000000-0005-0000-0000-0000DB9D0000}"/>
    <cellStyle name="Euro 26 3 3 2" xfId="18095" xr:uid="{00000000-0005-0000-0000-0000DC9D0000}"/>
    <cellStyle name="Euro 26 3 4" xfId="18094" xr:uid="{00000000-0005-0000-0000-0000DD9D0000}"/>
    <cellStyle name="Euro 26 3 5" xfId="16832" xr:uid="{00000000-0005-0000-0000-0000DE9D0000}"/>
    <cellStyle name="Euro 26 4" xfId="9005" xr:uid="{00000000-0005-0000-0000-0000DF9D0000}"/>
    <cellStyle name="Euro 26 4 2" xfId="16835" xr:uid="{00000000-0005-0000-0000-0000E09D0000}"/>
    <cellStyle name="Euro 26 4 2 2" xfId="18097" xr:uid="{00000000-0005-0000-0000-0000E19D0000}"/>
    <cellStyle name="Euro 26 4 3" xfId="18096" xr:uid="{00000000-0005-0000-0000-0000E29D0000}"/>
    <cellStyle name="Euro 26 4 4" xfId="16834" xr:uid="{00000000-0005-0000-0000-0000E39D0000}"/>
    <cellStyle name="Euro 26 5" xfId="9006" xr:uid="{00000000-0005-0000-0000-0000E49D0000}"/>
    <cellStyle name="Euro 26 6" xfId="51208" xr:uid="{00000000-0005-0000-0000-0000E59D0000}"/>
    <cellStyle name="Euro 27" xfId="118" xr:uid="{00000000-0005-0000-0000-0000E69D0000}"/>
    <cellStyle name="Euro 27 2" xfId="119" xr:uid="{00000000-0005-0000-0000-0000E79D0000}"/>
    <cellStyle name="Euro 27 2 2" xfId="1216" xr:uid="{00000000-0005-0000-0000-0000E89D0000}"/>
    <cellStyle name="Euro 27 3" xfId="120" xr:uid="{00000000-0005-0000-0000-0000E99D0000}"/>
    <cellStyle name="Euro 27 3 2" xfId="121" xr:uid="{00000000-0005-0000-0000-0000EA9D0000}"/>
    <cellStyle name="Euro 27 3 3" xfId="16837" xr:uid="{00000000-0005-0000-0000-0000EB9D0000}"/>
    <cellStyle name="Euro 27 3 3 2" xfId="18099" xr:uid="{00000000-0005-0000-0000-0000EC9D0000}"/>
    <cellStyle name="Euro 27 3 4" xfId="18098" xr:uid="{00000000-0005-0000-0000-0000ED9D0000}"/>
    <cellStyle name="Euro 27 3 5" xfId="16836" xr:uid="{00000000-0005-0000-0000-0000EE9D0000}"/>
    <cellStyle name="Euro 27 4" xfId="9007" xr:uid="{00000000-0005-0000-0000-0000EF9D0000}"/>
    <cellStyle name="Euro 27 4 2" xfId="16839" xr:uid="{00000000-0005-0000-0000-0000F09D0000}"/>
    <cellStyle name="Euro 27 4 2 2" xfId="18101" xr:uid="{00000000-0005-0000-0000-0000F19D0000}"/>
    <cellStyle name="Euro 27 4 3" xfId="18100" xr:uid="{00000000-0005-0000-0000-0000F29D0000}"/>
    <cellStyle name="Euro 27 4 4" xfId="16838" xr:uid="{00000000-0005-0000-0000-0000F39D0000}"/>
    <cellStyle name="Euro 27 5" xfId="9008" xr:uid="{00000000-0005-0000-0000-0000F49D0000}"/>
    <cellStyle name="Euro 27 6" xfId="51207" xr:uid="{00000000-0005-0000-0000-0000F59D0000}"/>
    <cellStyle name="Euro 28" xfId="122" xr:uid="{00000000-0005-0000-0000-0000F69D0000}"/>
    <cellStyle name="Euro 28 2" xfId="123" xr:uid="{00000000-0005-0000-0000-0000F79D0000}"/>
    <cellStyle name="Euro 28 2 2" xfId="1217" xr:uid="{00000000-0005-0000-0000-0000F89D0000}"/>
    <cellStyle name="Euro 28 3" xfId="124" xr:uid="{00000000-0005-0000-0000-0000F99D0000}"/>
    <cellStyle name="Euro 28 3 2" xfId="125" xr:uid="{00000000-0005-0000-0000-0000FA9D0000}"/>
    <cellStyle name="Euro 28 3 3" xfId="16841" xr:uid="{00000000-0005-0000-0000-0000FB9D0000}"/>
    <cellStyle name="Euro 28 3 3 2" xfId="18103" xr:uid="{00000000-0005-0000-0000-0000FC9D0000}"/>
    <cellStyle name="Euro 28 3 4" xfId="18102" xr:uid="{00000000-0005-0000-0000-0000FD9D0000}"/>
    <cellStyle name="Euro 28 3 5" xfId="16840" xr:uid="{00000000-0005-0000-0000-0000FE9D0000}"/>
    <cellStyle name="Euro 28 4" xfId="9009" xr:uid="{00000000-0005-0000-0000-0000FF9D0000}"/>
    <cellStyle name="Euro 28 4 2" xfId="16843" xr:uid="{00000000-0005-0000-0000-0000009E0000}"/>
    <cellStyle name="Euro 28 4 2 2" xfId="18105" xr:uid="{00000000-0005-0000-0000-0000019E0000}"/>
    <cellStyle name="Euro 28 4 3" xfId="18104" xr:uid="{00000000-0005-0000-0000-0000029E0000}"/>
    <cellStyle name="Euro 28 4 4" xfId="16842" xr:uid="{00000000-0005-0000-0000-0000039E0000}"/>
    <cellStyle name="Euro 28 5" xfId="9010" xr:uid="{00000000-0005-0000-0000-0000049E0000}"/>
    <cellStyle name="Euro 28 6" xfId="51230" xr:uid="{00000000-0005-0000-0000-0000059E0000}"/>
    <cellStyle name="Euro 29" xfId="126" xr:uid="{00000000-0005-0000-0000-0000069E0000}"/>
    <cellStyle name="Euro 29 2" xfId="127" xr:uid="{00000000-0005-0000-0000-0000079E0000}"/>
    <cellStyle name="Euro 29 2 2" xfId="1218" xr:uid="{00000000-0005-0000-0000-0000089E0000}"/>
    <cellStyle name="Euro 29 3" xfId="128" xr:uid="{00000000-0005-0000-0000-0000099E0000}"/>
    <cellStyle name="Euro 29 3 2" xfId="129" xr:uid="{00000000-0005-0000-0000-00000A9E0000}"/>
    <cellStyle name="Euro 29 3 3" xfId="16845" xr:uid="{00000000-0005-0000-0000-00000B9E0000}"/>
    <cellStyle name="Euro 29 3 3 2" xfId="18107" xr:uid="{00000000-0005-0000-0000-00000C9E0000}"/>
    <cellStyle name="Euro 29 3 4" xfId="18106" xr:uid="{00000000-0005-0000-0000-00000D9E0000}"/>
    <cellStyle name="Euro 29 3 5" xfId="16844" xr:uid="{00000000-0005-0000-0000-00000E9E0000}"/>
    <cellStyle name="Euro 29 4" xfId="9011" xr:uid="{00000000-0005-0000-0000-00000F9E0000}"/>
    <cellStyle name="Euro 29 4 2" xfId="16847" xr:uid="{00000000-0005-0000-0000-0000109E0000}"/>
    <cellStyle name="Euro 29 4 2 2" xfId="18109" xr:uid="{00000000-0005-0000-0000-0000119E0000}"/>
    <cellStyle name="Euro 29 4 3" xfId="18108" xr:uid="{00000000-0005-0000-0000-0000129E0000}"/>
    <cellStyle name="Euro 29 4 4" xfId="16846" xr:uid="{00000000-0005-0000-0000-0000139E0000}"/>
    <cellStyle name="Euro 29 5" xfId="9012" xr:uid="{00000000-0005-0000-0000-0000149E0000}"/>
    <cellStyle name="Euro 29 6" xfId="50994" xr:uid="{00000000-0005-0000-0000-0000159E0000}"/>
    <cellStyle name="Euro 3" xfId="130" xr:uid="{00000000-0005-0000-0000-0000169E0000}"/>
    <cellStyle name="Euro 3 2" xfId="131" xr:uid="{00000000-0005-0000-0000-0000179E0000}"/>
    <cellStyle name="Euro 3 2 2" xfId="1219" xr:uid="{00000000-0005-0000-0000-0000189E0000}"/>
    <cellStyle name="Euro 3 3" xfId="132" xr:uid="{00000000-0005-0000-0000-0000199E0000}"/>
    <cellStyle name="Euro 3 3 2" xfId="133" xr:uid="{00000000-0005-0000-0000-00001A9E0000}"/>
    <cellStyle name="Euro 3 3 3" xfId="16849" xr:uid="{00000000-0005-0000-0000-00001B9E0000}"/>
    <cellStyle name="Euro 3 3 3 2" xfId="18111" xr:uid="{00000000-0005-0000-0000-00001C9E0000}"/>
    <cellStyle name="Euro 3 3 4" xfId="18110" xr:uid="{00000000-0005-0000-0000-00001D9E0000}"/>
    <cellStyle name="Euro 3 3 5" xfId="16848" xr:uid="{00000000-0005-0000-0000-00001E9E0000}"/>
    <cellStyle name="Euro 3 4" xfId="9013" xr:uid="{00000000-0005-0000-0000-00001F9E0000}"/>
    <cellStyle name="Euro 3 4 2" xfId="16851" xr:uid="{00000000-0005-0000-0000-0000209E0000}"/>
    <cellStyle name="Euro 3 4 2 2" xfId="18113" xr:uid="{00000000-0005-0000-0000-0000219E0000}"/>
    <cellStyle name="Euro 3 4 3" xfId="18112" xr:uid="{00000000-0005-0000-0000-0000229E0000}"/>
    <cellStyle name="Euro 3 4 4" xfId="16850" xr:uid="{00000000-0005-0000-0000-0000239E0000}"/>
    <cellStyle name="Euro 3 5" xfId="9014" xr:uid="{00000000-0005-0000-0000-0000249E0000}"/>
    <cellStyle name="Euro 3 6" xfId="50993" xr:uid="{00000000-0005-0000-0000-0000259E0000}"/>
    <cellStyle name="Euro 30" xfId="134" xr:uid="{00000000-0005-0000-0000-0000269E0000}"/>
    <cellStyle name="Euro 30 2" xfId="135" xr:uid="{00000000-0005-0000-0000-0000279E0000}"/>
    <cellStyle name="Euro 30 2 2" xfId="1220" xr:uid="{00000000-0005-0000-0000-0000289E0000}"/>
    <cellStyle name="Euro 30 3" xfId="136" xr:uid="{00000000-0005-0000-0000-0000299E0000}"/>
    <cellStyle name="Euro 30 3 2" xfId="137" xr:uid="{00000000-0005-0000-0000-00002A9E0000}"/>
    <cellStyle name="Euro 30 3 3" xfId="16853" xr:uid="{00000000-0005-0000-0000-00002B9E0000}"/>
    <cellStyle name="Euro 30 3 3 2" xfId="18115" xr:uid="{00000000-0005-0000-0000-00002C9E0000}"/>
    <cellStyle name="Euro 30 3 4" xfId="18114" xr:uid="{00000000-0005-0000-0000-00002D9E0000}"/>
    <cellStyle name="Euro 30 3 5" xfId="16852" xr:uid="{00000000-0005-0000-0000-00002E9E0000}"/>
    <cellStyle name="Euro 30 4" xfId="9015" xr:uid="{00000000-0005-0000-0000-00002F9E0000}"/>
    <cellStyle name="Euro 30 4 2" xfId="16855" xr:uid="{00000000-0005-0000-0000-0000309E0000}"/>
    <cellStyle name="Euro 30 4 2 2" xfId="18117" xr:uid="{00000000-0005-0000-0000-0000319E0000}"/>
    <cellStyle name="Euro 30 4 3" xfId="18116" xr:uid="{00000000-0005-0000-0000-0000329E0000}"/>
    <cellStyle name="Euro 30 4 4" xfId="16854" xr:uid="{00000000-0005-0000-0000-0000339E0000}"/>
    <cellStyle name="Euro 30 5" xfId="9016" xr:uid="{00000000-0005-0000-0000-0000349E0000}"/>
    <cellStyle name="Euro 30 6" xfId="50992" xr:uid="{00000000-0005-0000-0000-0000359E0000}"/>
    <cellStyle name="Euro 31" xfId="138" xr:uid="{00000000-0005-0000-0000-0000369E0000}"/>
    <cellStyle name="Euro 31 2" xfId="139" xr:uid="{00000000-0005-0000-0000-0000379E0000}"/>
    <cellStyle name="Euro 31 2 2" xfId="1221" xr:uid="{00000000-0005-0000-0000-0000389E0000}"/>
    <cellStyle name="Euro 31 3" xfId="140" xr:uid="{00000000-0005-0000-0000-0000399E0000}"/>
    <cellStyle name="Euro 31 3 2" xfId="141" xr:uid="{00000000-0005-0000-0000-00003A9E0000}"/>
    <cellStyle name="Euro 31 3 3" xfId="16857" xr:uid="{00000000-0005-0000-0000-00003B9E0000}"/>
    <cellStyle name="Euro 31 3 3 2" xfId="18119" xr:uid="{00000000-0005-0000-0000-00003C9E0000}"/>
    <cellStyle name="Euro 31 3 4" xfId="18118" xr:uid="{00000000-0005-0000-0000-00003D9E0000}"/>
    <cellStyle name="Euro 31 3 5" xfId="16856" xr:uid="{00000000-0005-0000-0000-00003E9E0000}"/>
    <cellStyle name="Euro 31 4" xfId="9017" xr:uid="{00000000-0005-0000-0000-00003F9E0000}"/>
    <cellStyle name="Euro 31 4 2" xfId="16859" xr:uid="{00000000-0005-0000-0000-0000409E0000}"/>
    <cellStyle name="Euro 31 4 2 2" xfId="18121" xr:uid="{00000000-0005-0000-0000-0000419E0000}"/>
    <cellStyle name="Euro 31 4 3" xfId="18120" xr:uid="{00000000-0005-0000-0000-0000429E0000}"/>
    <cellStyle name="Euro 31 4 4" xfId="16858" xr:uid="{00000000-0005-0000-0000-0000439E0000}"/>
    <cellStyle name="Euro 31 5" xfId="9018" xr:uid="{00000000-0005-0000-0000-0000449E0000}"/>
    <cellStyle name="Euro 31 6" xfId="51250" xr:uid="{00000000-0005-0000-0000-0000459E0000}"/>
    <cellStyle name="Euro 32" xfId="142" xr:uid="{00000000-0005-0000-0000-0000469E0000}"/>
    <cellStyle name="Euro 32 2" xfId="143" xr:uid="{00000000-0005-0000-0000-0000479E0000}"/>
    <cellStyle name="Euro 32 2 2" xfId="1222" xr:uid="{00000000-0005-0000-0000-0000489E0000}"/>
    <cellStyle name="Euro 32 3" xfId="144" xr:uid="{00000000-0005-0000-0000-0000499E0000}"/>
    <cellStyle name="Euro 32 3 2" xfId="145" xr:uid="{00000000-0005-0000-0000-00004A9E0000}"/>
    <cellStyle name="Euro 32 3 3" xfId="16861" xr:uid="{00000000-0005-0000-0000-00004B9E0000}"/>
    <cellStyle name="Euro 32 3 3 2" xfId="18123" xr:uid="{00000000-0005-0000-0000-00004C9E0000}"/>
    <cellStyle name="Euro 32 3 4" xfId="18122" xr:uid="{00000000-0005-0000-0000-00004D9E0000}"/>
    <cellStyle name="Euro 32 3 5" xfId="16860" xr:uid="{00000000-0005-0000-0000-00004E9E0000}"/>
    <cellStyle name="Euro 32 4" xfId="9019" xr:uid="{00000000-0005-0000-0000-00004F9E0000}"/>
    <cellStyle name="Euro 32 4 2" xfId="16863" xr:uid="{00000000-0005-0000-0000-0000509E0000}"/>
    <cellStyle name="Euro 32 4 2 2" xfId="18125" xr:uid="{00000000-0005-0000-0000-0000519E0000}"/>
    <cellStyle name="Euro 32 4 3" xfId="18124" xr:uid="{00000000-0005-0000-0000-0000529E0000}"/>
    <cellStyle name="Euro 32 4 4" xfId="16862" xr:uid="{00000000-0005-0000-0000-0000539E0000}"/>
    <cellStyle name="Euro 32 5" xfId="9020" xr:uid="{00000000-0005-0000-0000-0000549E0000}"/>
    <cellStyle name="Euro 32 6" xfId="51228" xr:uid="{00000000-0005-0000-0000-0000559E0000}"/>
    <cellStyle name="Euro 33" xfId="146" xr:uid="{00000000-0005-0000-0000-0000569E0000}"/>
    <cellStyle name="Euro 33 2" xfId="147" xr:uid="{00000000-0005-0000-0000-0000579E0000}"/>
    <cellStyle name="Euro 33 2 2" xfId="1223" xr:uid="{00000000-0005-0000-0000-0000589E0000}"/>
    <cellStyle name="Euro 33 3" xfId="148" xr:uid="{00000000-0005-0000-0000-0000599E0000}"/>
    <cellStyle name="Euro 33 3 2" xfId="149" xr:uid="{00000000-0005-0000-0000-00005A9E0000}"/>
    <cellStyle name="Euro 33 3 3" xfId="16865" xr:uid="{00000000-0005-0000-0000-00005B9E0000}"/>
    <cellStyle name="Euro 33 3 3 2" xfId="18127" xr:uid="{00000000-0005-0000-0000-00005C9E0000}"/>
    <cellStyle name="Euro 33 3 4" xfId="18126" xr:uid="{00000000-0005-0000-0000-00005D9E0000}"/>
    <cellStyle name="Euro 33 3 5" xfId="16864" xr:uid="{00000000-0005-0000-0000-00005E9E0000}"/>
    <cellStyle name="Euro 33 4" xfId="9021" xr:uid="{00000000-0005-0000-0000-00005F9E0000}"/>
    <cellStyle name="Euro 33 4 2" xfId="16867" xr:uid="{00000000-0005-0000-0000-0000609E0000}"/>
    <cellStyle name="Euro 33 4 2 2" xfId="18129" xr:uid="{00000000-0005-0000-0000-0000619E0000}"/>
    <cellStyle name="Euro 33 4 3" xfId="18128" xr:uid="{00000000-0005-0000-0000-0000629E0000}"/>
    <cellStyle name="Euro 33 4 4" xfId="16866" xr:uid="{00000000-0005-0000-0000-0000639E0000}"/>
    <cellStyle name="Euro 33 5" xfId="9022" xr:uid="{00000000-0005-0000-0000-0000649E0000}"/>
    <cellStyle name="Euro 33 6" xfId="50991" xr:uid="{00000000-0005-0000-0000-0000659E0000}"/>
    <cellStyle name="Euro 34" xfId="150" xr:uid="{00000000-0005-0000-0000-0000669E0000}"/>
    <cellStyle name="Euro 34 2" xfId="151" xr:uid="{00000000-0005-0000-0000-0000679E0000}"/>
    <cellStyle name="Euro 34 2 2" xfId="1224" xr:uid="{00000000-0005-0000-0000-0000689E0000}"/>
    <cellStyle name="Euro 34 3" xfId="152" xr:uid="{00000000-0005-0000-0000-0000699E0000}"/>
    <cellStyle name="Euro 34 3 2" xfId="153" xr:uid="{00000000-0005-0000-0000-00006A9E0000}"/>
    <cellStyle name="Euro 34 3 3" xfId="16869" xr:uid="{00000000-0005-0000-0000-00006B9E0000}"/>
    <cellStyle name="Euro 34 3 3 2" xfId="18131" xr:uid="{00000000-0005-0000-0000-00006C9E0000}"/>
    <cellStyle name="Euro 34 3 4" xfId="18130" xr:uid="{00000000-0005-0000-0000-00006D9E0000}"/>
    <cellStyle name="Euro 34 3 5" xfId="16868" xr:uid="{00000000-0005-0000-0000-00006E9E0000}"/>
    <cellStyle name="Euro 34 4" xfId="9023" xr:uid="{00000000-0005-0000-0000-00006F9E0000}"/>
    <cellStyle name="Euro 34 4 2" xfId="16871" xr:uid="{00000000-0005-0000-0000-0000709E0000}"/>
    <cellStyle name="Euro 34 4 2 2" xfId="18133" xr:uid="{00000000-0005-0000-0000-0000719E0000}"/>
    <cellStyle name="Euro 34 4 3" xfId="18132" xr:uid="{00000000-0005-0000-0000-0000729E0000}"/>
    <cellStyle name="Euro 34 4 4" xfId="16870" xr:uid="{00000000-0005-0000-0000-0000739E0000}"/>
    <cellStyle name="Euro 34 5" xfId="9024" xr:uid="{00000000-0005-0000-0000-0000749E0000}"/>
    <cellStyle name="Euro 34 6" xfId="50990" xr:uid="{00000000-0005-0000-0000-0000759E0000}"/>
    <cellStyle name="Euro 35" xfId="154" xr:uid="{00000000-0005-0000-0000-0000769E0000}"/>
    <cellStyle name="Euro 35 2" xfId="155" xr:uid="{00000000-0005-0000-0000-0000779E0000}"/>
    <cellStyle name="Euro 35 2 2" xfId="1225" xr:uid="{00000000-0005-0000-0000-0000789E0000}"/>
    <cellStyle name="Euro 35 3" xfId="156" xr:uid="{00000000-0005-0000-0000-0000799E0000}"/>
    <cellStyle name="Euro 35 3 2" xfId="157" xr:uid="{00000000-0005-0000-0000-00007A9E0000}"/>
    <cellStyle name="Euro 35 3 3" xfId="16873" xr:uid="{00000000-0005-0000-0000-00007B9E0000}"/>
    <cellStyle name="Euro 35 3 3 2" xfId="18135" xr:uid="{00000000-0005-0000-0000-00007C9E0000}"/>
    <cellStyle name="Euro 35 3 4" xfId="18134" xr:uid="{00000000-0005-0000-0000-00007D9E0000}"/>
    <cellStyle name="Euro 35 3 5" xfId="16872" xr:uid="{00000000-0005-0000-0000-00007E9E0000}"/>
    <cellStyle name="Euro 35 4" xfId="9025" xr:uid="{00000000-0005-0000-0000-00007F9E0000}"/>
    <cellStyle name="Euro 35 4 2" xfId="16875" xr:uid="{00000000-0005-0000-0000-0000809E0000}"/>
    <cellStyle name="Euro 35 4 2 2" xfId="18137" xr:uid="{00000000-0005-0000-0000-0000819E0000}"/>
    <cellStyle name="Euro 35 4 3" xfId="18136" xr:uid="{00000000-0005-0000-0000-0000829E0000}"/>
    <cellStyle name="Euro 35 4 4" xfId="16874" xr:uid="{00000000-0005-0000-0000-0000839E0000}"/>
    <cellStyle name="Euro 35 5" xfId="9026" xr:uid="{00000000-0005-0000-0000-0000849E0000}"/>
    <cellStyle name="Euro 35 6" xfId="51206" xr:uid="{00000000-0005-0000-0000-0000859E0000}"/>
    <cellStyle name="Euro 36" xfId="158" xr:uid="{00000000-0005-0000-0000-0000869E0000}"/>
    <cellStyle name="Euro 36 2" xfId="159" xr:uid="{00000000-0005-0000-0000-0000879E0000}"/>
    <cellStyle name="Euro 36 2 2" xfId="1226" xr:uid="{00000000-0005-0000-0000-0000889E0000}"/>
    <cellStyle name="Euro 36 3" xfId="160" xr:uid="{00000000-0005-0000-0000-0000899E0000}"/>
    <cellStyle name="Euro 36 3 2" xfId="161" xr:uid="{00000000-0005-0000-0000-00008A9E0000}"/>
    <cellStyle name="Euro 36 3 3" xfId="16877" xr:uid="{00000000-0005-0000-0000-00008B9E0000}"/>
    <cellStyle name="Euro 36 3 3 2" xfId="18139" xr:uid="{00000000-0005-0000-0000-00008C9E0000}"/>
    <cellStyle name="Euro 36 3 4" xfId="18138" xr:uid="{00000000-0005-0000-0000-00008D9E0000}"/>
    <cellStyle name="Euro 36 3 5" xfId="16876" xr:uid="{00000000-0005-0000-0000-00008E9E0000}"/>
    <cellStyle name="Euro 36 4" xfId="9027" xr:uid="{00000000-0005-0000-0000-00008F9E0000}"/>
    <cellStyle name="Euro 36 4 2" xfId="16879" xr:uid="{00000000-0005-0000-0000-0000909E0000}"/>
    <cellStyle name="Euro 36 4 2 2" xfId="18141" xr:uid="{00000000-0005-0000-0000-0000919E0000}"/>
    <cellStyle name="Euro 36 4 3" xfId="18140" xr:uid="{00000000-0005-0000-0000-0000929E0000}"/>
    <cellStyle name="Euro 36 4 4" xfId="16878" xr:uid="{00000000-0005-0000-0000-0000939E0000}"/>
    <cellStyle name="Euro 36 5" xfId="9028" xr:uid="{00000000-0005-0000-0000-0000949E0000}"/>
    <cellStyle name="Euro 36 6" xfId="51205" xr:uid="{00000000-0005-0000-0000-0000959E0000}"/>
    <cellStyle name="Euro 37" xfId="162" xr:uid="{00000000-0005-0000-0000-0000969E0000}"/>
    <cellStyle name="Euro 37 2" xfId="163" xr:uid="{00000000-0005-0000-0000-0000979E0000}"/>
    <cellStyle name="Euro 37 2 2" xfId="1227" xr:uid="{00000000-0005-0000-0000-0000989E0000}"/>
    <cellStyle name="Euro 37 3" xfId="164" xr:uid="{00000000-0005-0000-0000-0000999E0000}"/>
    <cellStyle name="Euro 37 3 2" xfId="165" xr:uid="{00000000-0005-0000-0000-00009A9E0000}"/>
    <cellStyle name="Euro 37 3 3" xfId="16881" xr:uid="{00000000-0005-0000-0000-00009B9E0000}"/>
    <cellStyle name="Euro 37 3 3 2" xfId="18143" xr:uid="{00000000-0005-0000-0000-00009C9E0000}"/>
    <cellStyle name="Euro 37 3 4" xfId="18142" xr:uid="{00000000-0005-0000-0000-00009D9E0000}"/>
    <cellStyle name="Euro 37 3 5" xfId="16880" xr:uid="{00000000-0005-0000-0000-00009E9E0000}"/>
    <cellStyle name="Euro 37 4" xfId="9029" xr:uid="{00000000-0005-0000-0000-00009F9E0000}"/>
    <cellStyle name="Euro 37 4 2" xfId="16883" xr:uid="{00000000-0005-0000-0000-0000A09E0000}"/>
    <cellStyle name="Euro 37 4 2 2" xfId="18145" xr:uid="{00000000-0005-0000-0000-0000A19E0000}"/>
    <cellStyle name="Euro 37 4 3" xfId="18144" xr:uid="{00000000-0005-0000-0000-0000A29E0000}"/>
    <cellStyle name="Euro 37 4 4" xfId="16882" xr:uid="{00000000-0005-0000-0000-0000A39E0000}"/>
    <cellStyle name="Euro 37 5" xfId="9030" xr:uid="{00000000-0005-0000-0000-0000A49E0000}"/>
    <cellStyle name="Euro 37 6" xfId="51212" xr:uid="{00000000-0005-0000-0000-0000A59E0000}"/>
    <cellStyle name="Euro 38" xfId="166" xr:uid="{00000000-0005-0000-0000-0000A69E0000}"/>
    <cellStyle name="Euro 38 2" xfId="167" xr:uid="{00000000-0005-0000-0000-0000A79E0000}"/>
    <cellStyle name="Euro 38 2 2" xfId="1228" xr:uid="{00000000-0005-0000-0000-0000A89E0000}"/>
    <cellStyle name="Euro 38 3" xfId="168" xr:uid="{00000000-0005-0000-0000-0000A99E0000}"/>
    <cellStyle name="Euro 38 3 2" xfId="169" xr:uid="{00000000-0005-0000-0000-0000AA9E0000}"/>
    <cellStyle name="Euro 38 3 3" xfId="16885" xr:uid="{00000000-0005-0000-0000-0000AB9E0000}"/>
    <cellStyle name="Euro 38 3 3 2" xfId="18147" xr:uid="{00000000-0005-0000-0000-0000AC9E0000}"/>
    <cellStyle name="Euro 38 3 4" xfId="18146" xr:uid="{00000000-0005-0000-0000-0000AD9E0000}"/>
    <cellStyle name="Euro 38 3 5" xfId="16884" xr:uid="{00000000-0005-0000-0000-0000AE9E0000}"/>
    <cellStyle name="Euro 38 4" xfId="9031" xr:uid="{00000000-0005-0000-0000-0000AF9E0000}"/>
    <cellStyle name="Euro 38 4 2" xfId="16887" xr:uid="{00000000-0005-0000-0000-0000B09E0000}"/>
    <cellStyle name="Euro 38 4 2 2" xfId="18149" xr:uid="{00000000-0005-0000-0000-0000B19E0000}"/>
    <cellStyle name="Euro 38 4 3" xfId="18148" xr:uid="{00000000-0005-0000-0000-0000B29E0000}"/>
    <cellStyle name="Euro 38 4 4" xfId="16886" xr:uid="{00000000-0005-0000-0000-0000B39E0000}"/>
    <cellStyle name="Euro 38 5" xfId="9032" xr:uid="{00000000-0005-0000-0000-0000B49E0000}"/>
    <cellStyle name="Euro 38 6" xfId="50989" xr:uid="{00000000-0005-0000-0000-0000B59E0000}"/>
    <cellStyle name="Euro 39" xfId="170" xr:uid="{00000000-0005-0000-0000-0000B69E0000}"/>
    <cellStyle name="Euro 39 2" xfId="171" xr:uid="{00000000-0005-0000-0000-0000B79E0000}"/>
    <cellStyle name="Euro 39 2 2" xfId="1229" xr:uid="{00000000-0005-0000-0000-0000B89E0000}"/>
    <cellStyle name="Euro 39 3" xfId="172" xr:uid="{00000000-0005-0000-0000-0000B99E0000}"/>
    <cellStyle name="Euro 39 3 2" xfId="173" xr:uid="{00000000-0005-0000-0000-0000BA9E0000}"/>
    <cellStyle name="Euro 39 3 3" xfId="16889" xr:uid="{00000000-0005-0000-0000-0000BB9E0000}"/>
    <cellStyle name="Euro 39 3 3 2" xfId="18151" xr:uid="{00000000-0005-0000-0000-0000BC9E0000}"/>
    <cellStyle name="Euro 39 3 4" xfId="18150" xr:uid="{00000000-0005-0000-0000-0000BD9E0000}"/>
    <cellStyle name="Euro 39 3 5" xfId="16888" xr:uid="{00000000-0005-0000-0000-0000BE9E0000}"/>
    <cellStyle name="Euro 39 4" xfId="9033" xr:uid="{00000000-0005-0000-0000-0000BF9E0000}"/>
    <cellStyle name="Euro 39 4 2" xfId="16891" xr:uid="{00000000-0005-0000-0000-0000C09E0000}"/>
    <cellStyle name="Euro 39 4 2 2" xfId="18153" xr:uid="{00000000-0005-0000-0000-0000C19E0000}"/>
    <cellStyle name="Euro 39 4 3" xfId="18152" xr:uid="{00000000-0005-0000-0000-0000C29E0000}"/>
    <cellStyle name="Euro 39 4 4" xfId="16890" xr:uid="{00000000-0005-0000-0000-0000C39E0000}"/>
    <cellStyle name="Euro 39 5" xfId="9034" xr:uid="{00000000-0005-0000-0000-0000C49E0000}"/>
    <cellStyle name="Euro 39 6" xfId="51251" xr:uid="{00000000-0005-0000-0000-0000C59E0000}"/>
    <cellStyle name="Euro 4" xfId="174" xr:uid="{00000000-0005-0000-0000-0000C69E0000}"/>
    <cellStyle name="Euro 4 2" xfId="175" xr:uid="{00000000-0005-0000-0000-0000C79E0000}"/>
    <cellStyle name="Euro 4 2 2" xfId="1230" xr:uid="{00000000-0005-0000-0000-0000C89E0000}"/>
    <cellStyle name="Euro 4 3" xfId="176" xr:uid="{00000000-0005-0000-0000-0000C99E0000}"/>
    <cellStyle name="Euro 4 3 2" xfId="177" xr:uid="{00000000-0005-0000-0000-0000CA9E0000}"/>
    <cellStyle name="Euro 4 3 3" xfId="16893" xr:uid="{00000000-0005-0000-0000-0000CB9E0000}"/>
    <cellStyle name="Euro 4 3 3 2" xfId="18155" xr:uid="{00000000-0005-0000-0000-0000CC9E0000}"/>
    <cellStyle name="Euro 4 3 4" xfId="18154" xr:uid="{00000000-0005-0000-0000-0000CD9E0000}"/>
    <cellStyle name="Euro 4 3 5" xfId="16892" xr:uid="{00000000-0005-0000-0000-0000CE9E0000}"/>
    <cellStyle name="Euro 4 4" xfId="9035" xr:uid="{00000000-0005-0000-0000-0000CF9E0000}"/>
    <cellStyle name="Euro 4 4 2" xfId="16895" xr:uid="{00000000-0005-0000-0000-0000D09E0000}"/>
    <cellStyle name="Euro 4 4 2 2" xfId="18157" xr:uid="{00000000-0005-0000-0000-0000D19E0000}"/>
    <cellStyle name="Euro 4 4 3" xfId="18156" xr:uid="{00000000-0005-0000-0000-0000D29E0000}"/>
    <cellStyle name="Euro 4 4 4" xfId="16894" xr:uid="{00000000-0005-0000-0000-0000D39E0000}"/>
    <cellStyle name="Euro 4 5" xfId="9036" xr:uid="{00000000-0005-0000-0000-0000D49E0000}"/>
    <cellStyle name="Euro 4 6" xfId="51252" xr:uid="{00000000-0005-0000-0000-0000D59E0000}"/>
    <cellStyle name="Euro 40" xfId="178" xr:uid="{00000000-0005-0000-0000-0000D69E0000}"/>
    <cellStyle name="Euro 40 2" xfId="179" xr:uid="{00000000-0005-0000-0000-0000D79E0000}"/>
    <cellStyle name="Euro 40 2 2" xfId="1231" xr:uid="{00000000-0005-0000-0000-0000D89E0000}"/>
    <cellStyle name="Euro 40 3" xfId="180" xr:uid="{00000000-0005-0000-0000-0000D99E0000}"/>
    <cellStyle name="Euro 40 3 2" xfId="181" xr:uid="{00000000-0005-0000-0000-0000DA9E0000}"/>
    <cellStyle name="Euro 40 3 3" xfId="16897" xr:uid="{00000000-0005-0000-0000-0000DB9E0000}"/>
    <cellStyle name="Euro 40 3 3 2" xfId="18159" xr:uid="{00000000-0005-0000-0000-0000DC9E0000}"/>
    <cellStyle name="Euro 40 3 4" xfId="18158" xr:uid="{00000000-0005-0000-0000-0000DD9E0000}"/>
    <cellStyle name="Euro 40 3 5" xfId="16896" xr:uid="{00000000-0005-0000-0000-0000DE9E0000}"/>
    <cellStyle name="Euro 40 4" xfId="9037" xr:uid="{00000000-0005-0000-0000-0000DF9E0000}"/>
    <cellStyle name="Euro 40 4 2" xfId="16899" xr:uid="{00000000-0005-0000-0000-0000E09E0000}"/>
    <cellStyle name="Euro 40 4 2 2" xfId="18161" xr:uid="{00000000-0005-0000-0000-0000E19E0000}"/>
    <cellStyle name="Euro 40 4 3" xfId="18160" xr:uid="{00000000-0005-0000-0000-0000E29E0000}"/>
    <cellStyle name="Euro 40 4 4" xfId="16898" xr:uid="{00000000-0005-0000-0000-0000E39E0000}"/>
    <cellStyle name="Euro 40 5" xfId="9038" xr:uid="{00000000-0005-0000-0000-0000E49E0000}"/>
    <cellStyle name="Euro 40 6" xfId="50988" xr:uid="{00000000-0005-0000-0000-0000E59E0000}"/>
    <cellStyle name="Euro 41" xfId="182" xr:uid="{00000000-0005-0000-0000-0000E69E0000}"/>
    <cellStyle name="Euro 41 2" xfId="183" xr:uid="{00000000-0005-0000-0000-0000E79E0000}"/>
    <cellStyle name="Euro 41 2 2" xfId="1232" xr:uid="{00000000-0005-0000-0000-0000E89E0000}"/>
    <cellStyle name="Euro 41 3" xfId="184" xr:uid="{00000000-0005-0000-0000-0000E99E0000}"/>
    <cellStyle name="Euro 41 3 2" xfId="185" xr:uid="{00000000-0005-0000-0000-0000EA9E0000}"/>
    <cellStyle name="Euro 41 3 3" xfId="16901" xr:uid="{00000000-0005-0000-0000-0000EB9E0000}"/>
    <cellStyle name="Euro 41 3 3 2" xfId="18163" xr:uid="{00000000-0005-0000-0000-0000EC9E0000}"/>
    <cellStyle name="Euro 41 3 4" xfId="18162" xr:uid="{00000000-0005-0000-0000-0000ED9E0000}"/>
    <cellStyle name="Euro 41 3 5" xfId="16900" xr:uid="{00000000-0005-0000-0000-0000EE9E0000}"/>
    <cellStyle name="Euro 41 4" xfId="9039" xr:uid="{00000000-0005-0000-0000-0000EF9E0000}"/>
    <cellStyle name="Euro 41 4 2" xfId="16903" xr:uid="{00000000-0005-0000-0000-0000F09E0000}"/>
    <cellStyle name="Euro 41 4 2 2" xfId="18165" xr:uid="{00000000-0005-0000-0000-0000F19E0000}"/>
    <cellStyle name="Euro 41 4 3" xfId="18164" xr:uid="{00000000-0005-0000-0000-0000F29E0000}"/>
    <cellStyle name="Euro 41 4 4" xfId="16902" xr:uid="{00000000-0005-0000-0000-0000F39E0000}"/>
    <cellStyle name="Euro 41 5" xfId="9040" xr:uid="{00000000-0005-0000-0000-0000F49E0000}"/>
    <cellStyle name="Euro 41 6" xfId="51062" xr:uid="{00000000-0005-0000-0000-0000F59E0000}"/>
    <cellStyle name="Euro 42" xfId="186" xr:uid="{00000000-0005-0000-0000-0000F69E0000}"/>
    <cellStyle name="Euro 42 2" xfId="187" xr:uid="{00000000-0005-0000-0000-0000F79E0000}"/>
    <cellStyle name="Euro 42 2 2" xfId="1233" xr:uid="{00000000-0005-0000-0000-0000F89E0000}"/>
    <cellStyle name="Euro 42 3" xfId="188" xr:uid="{00000000-0005-0000-0000-0000F99E0000}"/>
    <cellStyle name="Euro 42 3 2" xfId="189" xr:uid="{00000000-0005-0000-0000-0000FA9E0000}"/>
    <cellStyle name="Euro 42 3 3" xfId="16905" xr:uid="{00000000-0005-0000-0000-0000FB9E0000}"/>
    <cellStyle name="Euro 42 3 3 2" xfId="18167" xr:uid="{00000000-0005-0000-0000-0000FC9E0000}"/>
    <cellStyle name="Euro 42 3 4" xfId="18166" xr:uid="{00000000-0005-0000-0000-0000FD9E0000}"/>
    <cellStyle name="Euro 42 3 5" xfId="16904" xr:uid="{00000000-0005-0000-0000-0000FE9E0000}"/>
    <cellStyle name="Euro 42 4" xfId="9041" xr:uid="{00000000-0005-0000-0000-0000FF9E0000}"/>
    <cellStyle name="Euro 42 4 2" xfId="16907" xr:uid="{00000000-0005-0000-0000-0000009F0000}"/>
    <cellStyle name="Euro 42 4 2 2" xfId="18169" xr:uid="{00000000-0005-0000-0000-0000019F0000}"/>
    <cellStyle name="Euro 42 4 3" xfId="18168" xr:uid="{00000000-0005-0000-0000-0000029F0000}"/>
    <cellStyle name="Euro 42 4 4" xfId="16906" xr:uid="{00000000-0005-0000-0000-0000039F0000}"/>
    <cellStyle name="Euro 42 5" xfId="9042" xr:uid="{00000000-0005-0000-0000-0000049F0000}"/>
    <cellStyle name="Euro 42 6" xfId="50987" xr:uid="{00000000-0005-0000-0000-0000059F0000}"/>
    <cellStyle name="Euro 43" xfId="190" xr:uid="{00000000-0005-0000-0000-0000069F0000}"/>
    <cellStyle name="Euro 43 2" xfId="191" xr:uid="{00000000-0005-0000-0000-0000079F0000}"/>
    <cellStyle name="Euro 43 2 2" xfId="1234" xr:uid="{00000000-0005-0000-0000-0000089F0000}"/>
    <cellStyle name="Euro 43 3" xfId="192" xr:uid="{00000000-0005-0000-0000-0000099F0000}"/>
    <cellStyle name="Euro 43 3 2" xfId="193" xr:uid="{00000000-0005-0000-0000-00000A9F0000}"/>
    <cellStyle name="Euro 43 3 3" xfId="16909" xr:uid="{00000000-0005-0000-0000-00000B9F0000}"/>
    <cellStyle name="Euro 43 3 3 2" xfId="18171" xr:uid="{00000000-0005-0000-0000-00000C9F0000}"/>
    <cellStyle name="Euro 43 3 4" xfId="18170" xr:uid="{00000000-0005-0000-0000-00000D9F0000}"/>
    <cellStyle name="Euro 43 3 5" xfId="16908" xr:uid="{00000000-0005-0000-0000-00000E9F0000}"/>
    <cellStyle name="Euro 43 4" xfId="9043" xr:uid="{00000000-0005-0000-0000-00000F9F0000}"/>
    <cellStyle name="Euro 43 4 2" xfId="16911" xr:uid="{00000000-0005-0000-0000-0000109F0000}"/>
    <cellStyle name="Euro 43 4 2 2" xfId="18173" xr:uid="{00000000-0005-0000-0000-0000119F0000}"/>
    <cellStyle name="Euro 43 4 3" xfId="18172" xr:uid="{00000000-0005-0000-0000-0000129F0000}"/>
    <cellStyle name="Euro 43 4 4" xfId="16910" xr:uid="{00000000-0005-0000-0000-0000139F0000}"/>
    <cellStyle name="Euro 43 5" xfId="9044" xr:uid="{00000000-0005-0000-0000-0000149F0000}"/>
    <cellStyle name="Euro 43 6" xfId="51234" xr:uid="{00000000-0005-0000-0000-0000159F0000}"/>
    <cellStyle name="Euro 44" xfId="194" xr:uid="{00000000-0005-0000-0000-0000169F0000}"/>
    <cellStyle name="Euro 44 2" xfId="195" xr:uid="{00000000-0005-0000-0000-0000179F0000}"/>
    <cellStyle name="Euro 44 2 2" xfId="1235" xr:uid="{00000000-0005-0000-0000-0000189F0000}"/>
    <cellStyle name="Euro 44 3" xfId="196" xr:uid="{00000000-0005-0000-0000-0000199F0000}"/>
    <cellStyle name="Euro 44 3 2" xfId="197" xr:uid="{00000000-0005-0000-0000-00001A9F0000}"/>
    <cellStyle name="Euro 44 3 3" xfId="16913" xr:uid="{00000000-0005-0000-0000-00001B9F0000}"/>
    <cellStyle name="Euro 44 3 3 2" xfId="18175" xr:uid="{00000000-0005-0000-0000-00001C9F0000}"/>
    <cellStyle name="Euro 44 3 4" xfId="18174" xr:uid="{00000000-0005-0000-0000-00001D9F0000}"/>
    <cellStyle name="Euro 44 3 5" xfId="16912" xr:uid="{00000000-0005-0000-0000-00001E9F0000}"/>
    <cellStyle name="Euro 44 4" xfId="9045" xr:uid="{00000000-0005-0000-0000-00001F9F0000}"/>
    <cellStyle name="Euro 44 4 2" xfId="16915" xr:uid="{00000000-0005-0000-0000-0000209F0000}"/>
    <cellStyle name="Euro 44 4 2 2" xfId="18177" xr:uid="{00000000-0005-0000-0000-0000219F0000}"/>
    <cellStyle name="Euro 44 4 3" xfId="18176" xr:uid="{00000000-0005-0000-0000-0000229F0000}"/>
    <cellStyle name="Euro 44 4 4" xfId="16914" xr:uid="{00000000-0005-0000-0000-0000239F0000}"/>
    <cellStyle name="Euro 44 5" xfId="9046" xr:uid="{00000000-0005-0000-0000-0000249F0000}"/>
    <cellStyle name="Euro 44 6" xfId="51253" xr:uid="{00000000-0005-0000-0000-0000259F0000}"/>
    <cellStyle name="Euro 45" xfId="198" xr:uid="{00000000-0005-0000-0000-0000269F0000}"/>
    <cellStyle name="Euro 45 2" xfId="1236" xr:uid="{00000000-0005-0000-0000-0000279F0000}"/>
    <cellStyle name="Euro 45 2 2" xfId="18179" xr:uid="{00000000-0005-0000-0000-0000289F0000}"/>
    <cellStyle name="Euro 45 2 3" xfId="16916" xr:uid="{00000000-0005-0000-0000-0000299F0000}"/>
    <cellStyle name="Euro 45 3" xfId="18178" xr:uid="{00000000-0005-0000-0000-00002A9F0000}"/>
    <cellStyle name="Euro 45 4" xfId="54718" xr:uid="{00000000-0005-0000-0000-00002B9F0000}"/>
    <cellStyle name="Euro 46" xfId="199" xr:uid="{00000000-0005-0000-0000-00002C9F0000}"/>
    <cellStyle name="Euro 46 2" xfId="1237" xr:uid="{00000000-0005-0000-0000-00002D9F0000}"/>
    <cellStyle name="Euro 47" xfId="200" xr:uid="{00000000-0005-0000-0000-00002E9F0000}"/>
    <cellStyle name="Euro 47 2" xfId="201" xr:uid="{00000000-0005-0000-0000-00002F9F0000}"/>
    <cellStyle name="Euro 47 3" xfId="16918" xr:uid="{00000000-0005-0000-0000-0000309F0000}"/>
    <cellStyle name="Euro 47 3 2" xfId="18181" xr:uid="{00000000-0005-0000-0000-0000319F0000}"/>
    <cellStyle name="Euro 47 4" xfId="18180" xr:uid="{00000000-0005-0000-0000-0000329F0000}"/>
    <cellStyle name="Euro 47 5" xfId="16917" xr:uid="{00000000-0005-0000-0000-0000339F0000}"/>
    <cellStyle name="Euro 48" xfId="202" xr:uid="{00000000-0005-0000-0000-0000349F0000}"/>
    <cellStyle name="Euro 48 2" xfId="1238" xr:uid="{00000000-0005-0000-0000-0000359F0000}"/>
    <cellStyle name="Euro 49" xfId="1157" xr:uid="{00000000-0005-0000-0000-0000369F0000}"/>
    <cellStyle name="Euro 49 2" xfId="9047" xr:uid="{00000000-0005-0000-0000-0000379F0000}"/>
    <cellStyle name="Euro 49 2 2" xfId="18183" xr:uid="{00000000-0005-0000-0000-0000389F0000}"/>
    <cellStyle name="Euro 49 2 3" xfId="16920" xr:uid="{00000000-0005-0000-0000-0000399F0000}"/>
    <cellStyle name="Euro 49 3" xfId="10054" xr:uid="{00000000-0005-0000-0000-00003A9F0000}"/>
    <cellStyle name="Euro 49 3 2" xfId="18182" xr:uid="{00000000-0005-0000-0000-00003B9F0000}"/>
    <cellStyle name="Euro 49 4" xfId="16919" xr:uid="{00000000-0005-0000-0000-00003C9F0000}"/>
    <cellStyle name="Euro 5" xfId="203" xr:uid="{00000000-0005-0000-0000-00003D9F0000}"/>
    <cellStyle name="Euro 5 2" xfId="204" xr:uid="{00000000-0005-0000-0000-00003E9F0000}"/>
    <cellStyle name="Euro 5 2 2" xfId="1239" xr:uid="{00000000-0005-0000-0000-00003F9F0000}"/>
    <cellStyle name="Euro 5 3" xfId="205" xr:uid="{00000000-0005-0000-0000-0000409F0000}"/>
    <cellStyle name="Euro 5 3 2" xfId="206" xr:uid="{00000000-0005-0000-0000-0000419F0000}"/>
    <cellStyle name="Euro 5 3 3" xfId="16922" xr:uid="{00000000-0005-0000-0000-0000429F0000}"/>
    <cellStyle name="Euro 5 3 3 2" xfId="18185" xr:uid="{00000000-0005-0000-0000-0000439F0000}"/>
    <cellStyle name="Euro 5 3 4" xfId="18184" xr:uid="{00000000-0005-0000-0000-0000449F0000}"/>
    <cellStyle name="Euro 5 3 5" xfId="16921" xr:uid="{00000000-0005-0000-0000-0000459F0000}"/>
    <cellStyle name="Euro 5 4" xfId="9048" xr:uid="{00000000-0005-0000-0000-0000469F0000}"/>
    <cellStyle name="Euro 5 4 2" xfId="16924" xr:uid="{00000000-0005-0000-0000-0000479F0000}"/>
    <cellStyle name="Euro 5 4 2 2" xfId="18187" xr:uid="{00000000-0005-0000-0000-0000489F0000}"/>
    <cellStyle name="Euro 5 4 3" xfId="18186" xr:uid="{00000000-0005-0000-0000-0000499F0000}"/>
    <cellStyle name="Euro 5 4 4" xfId="16923" xr:uid="{00000000-0005-0000-0000-00004A9F0000}"/>
    <cellStyle name="Euro 5 5" xfId="9049" xr:uid="{00000000-0005-0000-0000-00004B9F0000}"/>
    <cellStyle name="Euro 5 6" xfId="51059" xr:uid="{00000000-0005-0000-0000-00004C9F0000}"/>
    <cellStyle name="Euro 50" xfId="1161" xr:uid="{00000000-0005-0000-0000-00004D9F0000}"/>
    <cellStyle name="Euro 50 2" xfId="8941" xr:uid="{00000000-0005-0000-0000-00004E9F0000}"/>
    <cellStyle name="Euro 50 3" xfId="9050" xr:uid="{00000000-0005-0000-0000-00004F9F0000}"/>
    <cellStyle name="Euro 50 4" xfId="10055" xr:uid="{00000000-0005-0000-0000-0000509F0000}"/>
    <cellStyle name="Euro 50 5" xfId="1556" xr:uid="{00000000-0005-0000-0000-0000519F0000}"/>
    <cellStyle name="Euro 51" xfId="16925" xr:uid="{00000000-0005-0000-0000-0000529F0000}"/>
    <cellStyle name="Euro 51 2" xfId="18188" xr:uid="{00000000-0005-0000-0000-0000539F0000}"/>
    <cellStyle name="Euro 51 3" xfId="51254" xr:uid="{00000000-0005-0000-0000-0000549F0000}"/>
    <cellStyle name="Euro 6" xfId="207" xr:uid="{00000000-0005-0000-0000-0000559F0000}"/>
    <cellStyle name="Euro 6 2" xfId="208" xr:uid="{00000000-0005-0000-0000-0000569F0000}"/>
    <cellStyle name="Euro 6 2 2" xfId="1240" xr:uid="{00000000-0005-0000-0000-0000579F0000}"/>
    <cellStyle name="Euro 6 3" xfId="209" xr:uid="{00000000-0005-0000-0000-0000589F0000}"/>
    <cellStyle name="Euro 6 3 2" xfId="210" xr:uid="{00000000-0005-0000-0000-0000599F0000}"/>
    <cellStyle name="Euro 6 3 3" xfId="16927" xr:uid="{00000000-0005-0000-0000-00005A9F0000}"/>
    <cellStyle name="Euro 6 3 3 2" xfId="18190" xr:uid="{00000000-0005-0000-0000-00005B9F0000}"/>
    <cellStyle name="Euro 6 3 4" xfId="18189" xr:uid="{00000000-0005-0000-0000-00005C9F0000}"/>
    <cellStyle name="Euro 6 3 5" xfId="16926" xr:uid="{00000000-0005-0000-0000-00005D9F0000}"/>
    <cellStyle name="Euro 6 4" xfId="9051" xr:uid="{00000000-0005-0000-0000-00005E9F0000}"/>
    <cellStyle name="Euro 6 4 2" xfId="16929" xr:uid="{00000000-0005-0000-0000-00005F9F0000}"/>
    <cellStyle name="Euro 6 4 2 2" xfId="18192" xr:uid="{00000000-0005-0000-0000-0000609F0000}"/>
    <cellStyle name="Euro 6 4 3" xfId="18191" xr:uid="{00000000-0005-0000-0000-0000619F0000}"/>
    <cellStyle name="Euro 6 4 4" xfId="16928" xr:uid="{00000000-0005-0000-0000-0000629F0000}"/>
    <cellStyle name="Euro 6 5" xfId="9052" xr:uid="{00000000-0005-0000-0000-0000639F0000}"/>
    <cellStyle name="Euro 6 6" xfId="51227" xr:uid="{00000000-0005-0000-0000-0000649F0000}"/>
    <cellStyle name="Euro 7" xfId="211" xr:uid="{00000000-0005-0000-0000-0000659F0000}"/>
    <cellStyle name="Euro 7 2" xfId="212" xr:uid="{00000000-0005-0000-0000-0000669F0000}"/>
    <cellStyle name="Euro 7 2 2" xfId="1241" xr:uid="{00000000-0005-0000-0000-0000679F0000}"/>
    <cellStyle name="Euro 7 3" xfId="213" xr:uid="{00000000-0005-0000-0000-0000689F0000}"/>
    <cellStyle name="Euro 7 3 2" xfId="214" xr:uid="{00000000-0005-0000-0000-0000699F0000}"/>
    <cellStyle name="Euro 7 3 3" xfId="16931" xr:uid="{00000000-0005-0000-0000-00006A9F0000}"/>
    <cellStyle name="Euro 7 3 3 2" xfId="18194" xr:uid="{00000000-0005-0000-0000-00006B9F0000}"/>
    <cellStyle name="Euro 7 3 4" xfId="18193" xr:uid="{00000000-0005-0000-0000-00006C9F0000}"/>
    <cellStyle name="Euro 7 3 5" xfId="16930" xr:uid="{00000000-0005-0000-0000-00006D9F0000}"/>
    <cellStyle name="Euro 7 4" xfId="9053" xr:uid="{00000000-0005-0000-0000-00006E9F0000}"/>
    <cellStyle name="Euro 7 4 2" xfId="16933" xr:uid="{00000000-0005-0000-0000-00006F9F0000}"/>
    <cellStyle name="Euro 7 4 2 2" xfId="18196" xr:uid="{00000000-0005-0000-0000-0000709F0000}"/>
    <cellStyle name="Euro 7 4 3" xfId="18195" xr:uid="{00000000-0005-0000-0000-0000719F0000}"/>
    <cellStyle name="Euro 7 4 4" xfId="16932" xr:uid="{00000000-0005-0000-0000-0000729F0000}"/>
    <cellStyle name="Euro 7 5" xfId="9054" xr:uid="{00000000-0005-0000-0000-0000739F0000}"/>
    <cellStyle name="Euro 7 6" xfId="50986" xr:uid="{00000000-0005-0000-0000-0000749F0000}"/>
    <cellStyle name="Euro 8" xfId="215" xr:uid="{00000000-0005-0000-0000-0000759F0000}"/>
    <cellStyle name="Euro 8 2" xfId="216" xr:uid="{00000000-0005-0000-0000-0000769F0000}"/>
    <cellStyle name="Euro 8 2 2" xfId="1242" xr:uid="{00000000-0005-0000-0000-0000779F0000}"/>
    <cellStyle name="Euro 8 3" xfId="217" xr:uid="{00000000-0005-0000-0000-0000789F0000}"/>
    <cellStyle name="Euro 8 3 2" xfId="218" xr:uid="{00000000-0005-0000-0000-0000799F0000}"/>
    <cellStyle name="Euro 8 3 3" xfId="16935" xr:uid="{00000000-0005-0000-0000-00007A9F0000}"/>
    <cellStyle name="Euro 8 3 3 2" xfId="18198" xr:uid="{00000000-0005-0000-0000-00007B9F0000}"/>
    <cellStyle name="Euro 8 3 4" xfId="18197" xr:uid="{00000000-0005-0000-0000-00007C9F0000}"/>
    <cellStyle name="Euro 8 3 5" xfId="16934" xr:uid="{00000000-0005-0000-0000-00007D9F0000}"/>
    <cellStyle name="Euro 8 4" xfId="9055" xr:uid="{00000000-0005-0000-0000-00007E9F0000}"/>
    <cellStyle name="Euro 8 4 2" xfId="16937" xr:uid="{00000000-0005-0000-0000-00007F9F0000}"/>
    <cellStyle name="Euro 8 4 2 2" xfId="18200" xr:uid="{00000000-0005-0000-0000-0000809F0000}"/>
    <cellStyle name="Euro 8 4 3" xfId="18199" xr:uid="{00000000-0005-0000-0000-0000819F0000}"/>
    <cellStyle name="Euro 8 4 4" xfId="16936" xr:uid="{00000000-0005-0000-0000-0000829F0000}"/>
    <cellStyle name="Euro 8 5" xfId="9056" xr:uid="{00000000-0005-0000-0000-0000839F0000}"/>
    <cellStyle name="Euro 8 6" xfId="50985" xr:uid="{00000000-0005-0000-0000-0000849F0000}"/>
    <cellStyle name="Euro 9" xfId="219" xr:uid="{00000000-0005-0000-0000-0000859F0000}"/>
    <cellStyle name="Euro 9 2" xfId="220" xr:uid="{00000000-0005-0000-0000-0000869F0000}"/>
    <cellStyle name="Euro 9 2 2" xfId="1243" xr:uid="{00000000-0005-0000-0000-0000879F0000}"/>
    <cellStyle name="Euro 9 3" xfId="221" xr:uid="{00000000-0005-0000-0000-0000889F0000}"/>
    <cellStyle name="Euro 9 3 2" xfId="222" xr:uid="{00000000-0005-0000-0000-0000899F0000}"/>
    <cellStyle name="Euro 9 3 3" xfId="16939" xr:uid="{00000000-0005-0000-0000-00008A9F0000}"/>
    <cellStyle name="Euro 9 3 3 2" xfId="18202" xr:uid="{00000000-0005-0000-0000-00008B9F0000}"/>
    <cellStyle name="Euro 9 3 4" xfId="18201" xr:uid="{00000000-0005-0000-0000-00008C9F0000}"/>
    <cellStyle name="Euro 9 3 5" xfId="16938" xr:uid="{00000000-0005-0000-0000-00008D9F0000}"/>
    <cellStyle name="Euro 9 4" xfId="9057" xr:uid="{00000000-0005-0000-0000-00008E9F0000}"/>
    <cellStyle name="Euro 9 4 2" xfId="16941" xr:uid="{00000000-0005-0000-0000-00008F9F0000}"/>
    <cellStyle name="Euro 9 4 2 2" xfId="18204" xr:uid="{00000000-0005-0000-0000-0000909F0000}"/>
    <cellStyle name="Euro 9 4 3" xfId="18203" xr:uid="{00000000-0005-0000-0000-0000919F0000}"/>
    <cellStyle name="Euro 9 4 4" xfId="16940" xr:uid="{00000000-0005-0000-0000-0000929F0000}"/>
    <cellStyle name="Euro 9 5" xfId="9058" xr:uid="{00000000-0005-0000-0000-0000939F0000}"/>
    <cellStyle name="Euro 9 6" xfId="51058" xr:uid="{00000000-0005-0000-0000-0000949F0000}"/>
    <cellStyle name="Explanatory Text" xfId="223" builtinId="53" customBuiltin="1"/>
    <cellStyle name="Explanatory Text 2" xfId="53230" xr:uid="{00000000-0005-0000-0000-0000969F0000}"/>
    <cellStyle name="Fixed" xfId="5078" xr:uid="{00000000-0005-0000-0000-0000979F0000}"/>
    <cellStyle name="Fixed 2" xfId="7482" xr:uid="{00000000-0005-0000-0000-0000989F0000}"/>
    <cellStyle name="Fixed2 - Type2" xfId="224" xr:uid="{00000000-0005-0000-0000-0000999F0000}"/>
    <cellStyle name="Följde hyperlänken" xfId="1518" xr:uid="{00000000-0005-0000-0000-00009A9F0000}"/>
    <cellStyle name="Format 1" xfId="1185" xr:uid="{00000000-0005-0000-0000-00009B9F0000}"/>
    <cellStyle name="God 2" xfId="1186" xr:uid="{00000000-0005-0000-0000-00009C9F0000}"/>
    <cellStyle name="God 2 2" xfId="5080" xr:uid="{00000000-0005-0000-0000-00009D9F0000}"/>
    <cellStyle name="God 3" xfId="5081" xr:uid="{00000000-0005-0000-0000-00009E9F0000}"/>
    <cellStyle name="God 4" xfId="5082" xr:uid="{00000000-0005-0000-0000-00009F9F0000}"/>
    <cellStyle name="God 5" xfId="5083" xr:uid="{00000000-0005-0000-0000-0000A09F0000}"/>
    <cellStyle name="God 5 2" xfId="8754" xr:uid="{00000000-0005-0000-0000-0000A19F0000}"/>
    <cellStyle name="God 6" xfId="5375" xr:uid="{00000000-0005-0000-0000-0000A29F0000}"/>
    <cellStyle name="God 7" xfId="5079" xr:uid="{00000000-0005-0000-0000-0000A39F0000}"/>
    <cellStyle name="Good" xfId="1124" builtinId="26" customBuiltin="1"/>
    <cellStyle name="Good 2" xfId="53231" xr:uid="{00000000-0005-0000-0000-0000A59F0000}"/>
    <cellStyle name="Heading 1" xfId="1120" builtinId="16" customBuiltin="1"/>
    <cellStyle name="Heading 1 2" xfId="5085" xr:uid="{00000000-0005-0000-0000-0000A79F0000}"/>
    <cellStyle name="Heading 1 2 2" xfId="8202" xr:uid="{00000000-0005-0000-0000-0000A89F0000}"/>
    <cellStyle name="Heading 1 2 3" xfId="50984" xr:uid="{00000000-0005-0000-0000-0000A99F0000}"/>
    <cellStyle name="Heading 1 2 4" xfId="53232" xr:uid="{00000000-0005-0000-0000-0000AA9F0000}"/>
    <cellStyle name="Heading 1 3" xfId="7483" xr:uid="{00000000-0005-0000-0000-0000AB9F0000}"/>
    <cellStyle name="Heading 1 4" xfId="5084" xr:uid="{00000000-0005-0000-0000-0000AC9F0000}"/>
    <cellStyle name="Heading 2" xfId="1121" builtinId="17" customBuiltin="1"/>
    <cellStyle name="Heading 2 2" xfId="5087" xr:uid="{00000000-0005-0000-0000-0000AE9F0000}"/>
    <cellStyle name="Heading 2 2 2" xfId="8203" xr:uid="{00000000-0005-0000-0000-0000AF9F0000}"/>
    <cellStyle name="Heading 2 2 3" xfId="53233" xr:uid="{00000000-0005-0000-0000-0000B09F0000}"/>
    <cellStyle name="Heading 2 3" xfId="7484" xr:uid="{00000000-0005-0000-0000-0000B19F0000}"/>
    <cellStyle name="Heading 2 4" xfId="5086" xr:uid="{00000000-0005-0000-0000-0000B29F0000}"/>
    <cellStyle name="Heading 3" xfId="1122" builtinId="18" customBuiltin="1"/>
    <cellStyle name="Heading 3 2" xfId="53234" xr:uid="{00000000-0005-0000-0000-0000B49F0000}"/>
    <cellStyle name="Heading 4" xfId="1123" builtinId="19" customBuiltin="1"/>
    <cellStyle name="Heading 4 2" xfId="53235" xr:uid="{00000000-0005-0000-0000-0000B69F0000}"/>
    <cellStyle name="Headline" xfId="225" xr:uid="{00000000-0005-0000-0000-0000B79F0000}"/>
    <cellStyle name="Hyperlink" xfId="1517" builtinId="8"/>
    <cellStyle name="Hyperlink 2" xfId="1519" xr:uid="{00000000-0005-0000-0000-0000B99F0000}"/>
    <cellStyle name="Hyperlink 2 2" xfId="53236" xr:uid="{00000000-0005-0000-0000-0000BA9F0000}"/>
    <cellStyle name="Hyperlink 2 3" xfId="16942" xr:uid="{00000000-0005-0000-0000-0000BB9F0000}"/>
    <cellStyle name="Hyperlink 3" xfId="51255" xr:uid="{00000000-0005-0000-0000-0000BC9F0000}"/>
    <cellStyle name="Hyperlink 3 2" xfId="53237" xr:uid="{00000000-0005-0000-0000-0000BD9F0000}"/>
    <cellStyle name="Hyperlink 4" xfId="50983" xr:uid="{00000000-0005-0000-0000-0000BE9F0000}"/>
    <cellStyle name="Hyperlink 5" xfId="51759" xr:uid="{00000000-0005-0000-0000-0000BF9F0000}"/>
    <cellStyle name="Hyperlink 6" xfId="52180" xr:uid="{00000000-0005-0000-0000-0000C09F0000}"/>
    <cellStyle name="Hyperlink 7" xfId="51760" xr:uid="{00000000-0005-0000-0000-0000C19F0000}"/>
    <cellStyle name="Input" xfId="226" builtinId="20" customBuiltin="1"/>
    <cellStyle name="Input 10" xfId="51761" xr:uid="{00000000-0005-0000-0000-0000C39F0000}"/>
    <cellStyle name="Input 2" xfId="227" xr:uid="{00000000-0005-0000-0000-0000C49F0000}"/>
    <cellStyle name="Input 2 2" xfId="5089" xr:uid="{00000000-0005-0000-0000-0000C59F0000}"/>
    <cellStyle name="Input 2 2 2" xfId="53312" xr:uid="{00000000-0005-0000-0000-0000C69F0000}"/>
    <cellStyle name="Input 2 3" xfId="9739" xr:uid="{00000000-0005-0000-0000-0000C79F0000}"/>
    <cellStyle name="Input 2 4" xfId="51772" xr:uid="{00000000-0005-0000-0000-0000C89F0000}"/>
    <cellStyle name="Input 3" xfId="1162" xr:uid="{00000000-0005-0000-0000-0000C99F0000}"/>
    <cellStyle name="Input 3 2" xfId="5090" xr:uid="{00000000-0005-0000-0000-0000CA9F0000}"/>
    <cellStyle name="Input 4" xfId="5091" xr:uid="{00000000-0005-0000-0000-0000CB9F0000}"/>
    <cellStyle name="Input 5" xfId="5092" xr:uid="{00000000-0005-0000-0000-0000CC9F0000}"/>
    <cellStyle name="Input 5 2" xfId="8704" xr:uid="{00000000-0005-0000-0000-0000CD9F0000}"/>
    <cellStyle name="Input 6" xfId="5378" xr:uid="{00000000-0005-0000-0000-0000CE9F0000}"/>
    <cellStyle name="Input 7" xfId="5088" xr:uid="{00000000-0005-0000-0000-0000CF9F0000}"/>
    <cellStyle name="Input 8" xfId="9738" xr:uid="{00000000-0005-0000-0000-0000D09F0000}"/>
    <cellStyle name="Input 9" xfId="19045" xr:uid="{00000000-0005-0000-0000-0000D19F0000}"/>
    <cellStyle name="InputCell" xfId="1155" xr:uid="{00000000-0005-0000-0000-0000D29F0000}"/>
    <cellStyle name="InputCells" xfId="228" xr:uid="{00000000-0005-0000-0000-0000D39F0000}"/>
    <cellStyle name="Komma 10" xfId="8844" xr:uid="{00000000-0005-0000-0000-0000D49F0000}"/>
    <cellStyle name="Komma 10 2" xfId="16692" xr:uid="{00000000-0005-0000-0000-0000D59F0000}"/>
    <cellStyle name="Komma 10 2 2" xfId="33006" xr:uid="{00000000-0005-0000-0000-0000D69F0000}"/>
    <cellStyle name="Komma 10 2 2 2" xfId="57104" xr:uid="{00000000-0005-0000-0000-0000D79F0000}"/>
    <cellStyle name="Komma 10 2 3" xfId="47970" xr:uid="{00000000-0005-0000-0000-0000D89F0000}"/>
    <cellStyle name="Komma 10 2 4" xfId="53937" xr:uid="{00000000-0005-0000-0000-0000D99F0000}"/>
    <cellStyle name="Komma 10 3" xfId="25984" xr:uid="{00000000-0005-0000-0000-0000DA9F0000}"/>
    <cellStyle name="Komma 10 3 2" xfId="56493" xr:uid="{00000000-0005-0000-0000-0000DB9F0000}"/>
    <cellStyle name="Komma 10 4" xfId="40971" xr:uid="{00000000-0005-0000-0000-0000DC9F0000}"/>
    <cellStyle name="Komma 10 5" xfId="53292" xr:uid="{00000000-0005-0000-0000-0000DD9F0000}"/>
    <cellStyle name="Komma 11" xfId="53164" xr:uid="{00000000-0005-0000-0000-0000DE9F0000}"/>
    <cellStyle name="Komma 2" xfId="1156" xr:uid="{00000000-0005-0000-0000-0000DF9F0000}"/>
    <cellStyle name="Komma 2 2" xfId="1184" xr:uid="{00000000-0005-0000-0000-0000E09F0000}"/>
    <cellStyle name="Komma 2 2 2" xfId="8855" xr:uid="{00000000-0005-0000-0000-0000E19F0000}"/>
    <cellStyle name="Komma 2 2 2 2" xfId="16694" xr:uid="{00000000-0005-0000-0000-0000E29F0000}"/>
    <cellStyle name="Komma 2 2 2 2 2" xfId="33007" xr:uid="{00000000-0005-0000-0000-0000E39F0000}"/>
    <cellStyle name="Komma 2 2 2 2 3" xfId="47971" xr:uid="{00000000-0005-0000-0000-0000E49F0000}"/>
    <cellStyle name="Komma 2 2 2 3" xfId="18970" xr:uid="{00000000-0005-0000-0000-0000E59F0000}"/>
    <cellStyle name="Komma 2 2 2 4" xfId="25985" xr:uid="{00000000-0005-0000-0000-0000E69F0000}"/>
    <cellStyle name="Komma 2 2 2 5" xfId="40972" xr:uid="{00000000-0005-0000-0000-0000E79F0000}"/>
    <cellStyle name="Komma 2 2 3" xfId="5095" xr:uid="{00000000-0005-0000-0000-0000E89F0000}"/>
    <cellStyle name="Komma 2 2 3 2" xfId="13258" xr:uid="{00000000-0005-0000-0000-0000E99F0000}"/>
    <cellStyle name="Komma 2 2 3 2 2" xfId="29577" xr:uid="{00000000-0005-0000-0000-0000EA9F0000}"/>
    <cellStyle name="Komma 2 2 3 2 3" xfId="44542" xr:uid="{00000000-0005-0000-0000-0000EB9F0000}"/>
    <cellStyle name="Komma 2 2 3 3" xfId="22555" xr:uid="{00000000-0005-0000-0000-0000EC9F0000}"/>
    <cellStyle name="Komma 2 2 3 4" xfId="37543" xr:uid="{00000000-0005-0000-0000-0000ED9F0000}"/>
    <cellStyle name="Komma 2 2 3 5" xfId="53295" xr:uid="{00000000-0005-0000-0000-0000EE9F0000}"/>
    <cellStyle name="Komma 2 2 4" xfId="16943" xr:uid="{00000000-0005-0000-0000-0000EF9F0000}"/>
    <cellStyle name="Komma 2 3" xfId="5096" xr:uid="{00000000-0005-0000-0000-0000F09F0000}"/>
    <cellStyle name="Komma 2 3 2" xfId="8856" xr:uid="{00000000-0005-0000-0000-0000F19F0000}"/>
    <cellStyle name="Komma 2 3 2 2" xfId="16695" xr:uid="{00000000-0005-0000-0000-0000F29F0000}"/>
    <cellStyle name="Komma 2 3 2 2 2" xfId="33008" xr:uid="{00000000-0005-0000-0000-0000F39F0000}"/>
    <cellStyle name="Komma 2 3 2 2 3" xfId="47972" xr:uid="{00000000-0005-0000-0000-0000F49F0000}"/>
    <cellStyle name="Komma 2 3 2 3" xfId="25986" xr:uid="{00000000-0005-0000-0000-0000F59F0000}"/>
    <cellStyle name="Komma 2 3 2 4" xfId="40973" xr:uid="{00000000-0005-0000-0000-0000F69F0000}"/>
    <cellStyle name="Komma 2 3 2 5" xfId="53420" xr:uid="{00000000-0005-0000-0000-0000F79F0000}"/>
    <cellStyle name="Komma 2 3 3" xfId="13259" xr:uid="{00000000-0005-0000-0000-0000F89F0000}"/>
    <cellStyle name="Komma 2 3 3 2" xfId="29578" xr:uid="{00000000-0005-0000-0000-0000F99F0000}"/>
    <cellStyle name="Komma 2 3 3 3" xfId="44543" xr:uid="{00000000-0005-0000-0000-0000FA9F0000}"/>
    <cellStyle name="Komma 2 3 3 4" xfId="54719" xr:uid="{00000000-0005-0000-0000-0000FB9F0000}"/>
    <cellStyle name="Komma 2 3 4" xfId="19001" xr:uid="{00000000-0005-0000-0000-0000FC9F0000}"/>
    <cellStyle name="Komma 2 3 4 2" xfId="34002" xr:uid="{00000000-0005-0000-0000-0000FD9F0000}"/>
    <cellStyle name="Komma 2 3 4 3" xfId="48963" xr:uid="{00000000-0005-0000-0000-0000FE9F0000}"/>
    <cellStyle name="Komma 2 3 4 4" xfId="56409" xr:uid="{00000000-0005-0000-0000-0000FF9F0000}"/>
    <cellStyle name="Komma 2 3 5" xfId="22556" xr:uid="{00000000-0005-0000-0000-000000A00000}"/>
    <cellStyle name="Komma 2 3 6" xfId="37544" xr:uid="{00000000-0005-0000-0000-000001A00000}"/>
    <cellStyle name="Komma 2 3 7" xfId="53135" xr:uid="{00000000-0005-0000-0000-000002A00000}"/>
    <cellStyle name="Komma 2 4" xfId="5097" xr:uid="{00000000-0005-0000-0000-000003A00000}"/>
    <cellStyle name="Komma 2 4 2" xfId="18969" xr:uid="{00000000-0005-0000-0000-000004A00000}"/>
    <cellStyle name="Komma 2 4 2 2" xfId="57107" xr:uid="{00000000-0005-0000-0000-000005A00000}"/>
    <cellStyle name="Komma 2 4 2 3" xfId="53940" xr:uid="{00000000-0005-0000-0000-000006A00000}"/>
    <cellStyle name="Komma 2 4 3" xfId="53304" xr:uid="{00000000-0005-0000-0000-000007A00000}"/>
    <cellStyle name="Komma 2 4 3 2" xfId="56496" xr:uid="{00000000-0005-0000-0000-000008A00000}"/>
    <cellStyle name="Komma 2 5" xfId="5098" xr:uid="{00000000-0005-0000-0000-000009A00000}"/>
    <cellStyle name="Komma 2 5 2" xfId="5099" xr:uid="{00000000-0005-0000-0000-00000AA00000}"/>
    <cellStyle name="Komma 2 5 2 2" xfId="5100" xr:uid="{00000000-0005-0000-0000-00000BA00000}"/>
    <cellStyle name="Komma 2 5 2 2 2" xfId="8198" xr:uid="{00000000-0005-0000-0000-00000CA00000}"/>
    <cellStyle name="Komma 2 5 2 2 2 2" xfId="16099" xr:uid="{00000000-0005-0000-0000-00000DA00000}"/>
    <cellStyle name="Komma 2 5 2 2 2 2 2" xfId="32413" xr:uid="{00000000-0005-0000-0000-00000EA00000}"/>
    <cellStyle name="Komma 2 5 2 2 2 2 3" xfId="47377" xr:uid="{00000000-0005-0000-0000-00000FA00000}"/>
    <cellStyle name="Komma 2 5 2 2 2 3" xfId="25391" xr:uid="{00000000-0005-0000-0000-000010A00000}"/>
    <cellStyle name="Komma 2 5 2 2 2 4" xfId="40378" xr:uid="{00000000-0005-0000-0000-000011A00000}"/>
    <cellStyle name="Komma 2 5 3" xfId="5101" xr:uid="{00000000-0005-0000-0000-000012A00000}"/>
    <cellStyle name="Komma 2 5 3 2" xfId="5102" xr:uid="{00000000-0005-0000-0000-000013A00000}"/>
    <cellStyle name="Komma 2 5 3 2 2" xfId="8809" xr:uid="{00000000-0005-0000-0000-000014A00000}"/>
    <cellStyle name="Komma 2 5 3 2 2 2" xfId="16685" xr:uid="{00000000-0005-0000-0000-000015A00000}"/>
    <cellStyle name="Komma 2 5 3 2 2 2 2" xfId="32999" xr:uid="{00000000-0005-0000-0000-000016A00000}"/>
    <cellStyle name="Komma 2 5 3 2 2 2 3" xfId="47963" xr:uid="{00000000-0005-0000-0000-000017A00000}"/>
    <cellStyle name="Komma 2 5 3 2 2 3" xfId="25977" xr:uid="{00000000-0005-0000-0000-000018A00000}"/>
    <cellStyle name="Komma 2 5 3 2 2 4" xfId="40964" xr:uid="{00000000-0005-0000-0000-000019A00000}"/>
    <cellStyle name="Komma 2 5 3 3" xfId="6690" xr:uid="{00000000-0005-0000-0000-00001AA00000}"/>
    <cellStyle name="Komma 2 5 3 3 2" xfId="14604" xr:uid="{00000000-0005-0000-0000-00001BA00000}"/>
    <cellStyle name="Komma 2 5 3 3 2 2" xfId="30918" xr:uid="{00000000-0005-0000-0000-00001CA00000}"/>
    <cellStyle name="Komma 2 5 3 3 2 3" xfId="45882" xr:uid="{00000000-0005-0000-0000-00001DA00000}"/>
    <cellStyle name="Komma 2 5 3 3 3" xfId="23896" xr:uid="{00000000-0005-0000-0000-00001EA00000}"/>
    <cellStyle name="Komma 2 5 3 3 4" xfId="38883" xr:uid="{00000000-0005-0000-0000-00001FA00000}"/>
    <cellStyle name="Komma 2 5 4" xfId="5103" xr:uid="{00000000-0005-0000-0000-000020A00000}"/>
    <cellStyle name="Komma 2 5 4 2" xfId="7475" xr:uid="{00000000-0005-0000-0000-000021A00000}"/>
    <cellStyle name="Komma 2 5 4 2 2" xfId="15385" xr:uid="{00000000-0005-0000-0000-000022A00000}"/>
    <cellStyle name="Komma 2 5 4 2 2 2" xfId="31699" xr:uid="{00000000-0005-0000-0000-000023A00000}"/>
    <cellStyle name="Komma 2 5 4 2 2 3" xfId="46663" xr:uid="{00000000-0005-0000-0000-000024A00000}"/>
    <cellStyle name="Komma 2 5 4 2 3" xfId="24677" xr:uid="{00000000-0005-0000-0000-000025A00000}"/>
    <cellStyle name="Komma 2 5 4 2 4" xfId="39664" xr:uid="{00000000-0005-0000-0000-000026A00000}"/>
    <cellStyle name="Komma 2 5 5" xfId="53181" xr:uid="{00000000-0005-0000-0000-000027A00000}"/>
    <cellStyle name="Komma 2 6" xfId="5104" xr:uid="{00000000-0005-0000-0000-000028A00000}"/>
    <cellStyle name="Komma 2 6 2" xfId="54649" xr:uid="{00000000-0005-0000-0000-000029A00000}"/>
    <cellStyle name="Komma 2 7" xfId="8854" xr:uid="{00000000-0005-0000-0000-00002AA00000}"/>
    <cellStyle name="Komma 2 8" xfId="5094" xr:uid="{00000000-0005-0000-0000-00002BA00000}"/>
    <cellStyle name="Komma 3" xfId="1164" xr:uid="{00000000-0005-0000-0000-00002CA00000}"/>
    <cellStyle name="Komma 3 10" xfId="53179" xr:uid="{00000000-0005-0000-0000-00002DA00000}"/>
    <cellStyle name="Komma 3 10 2" xfId="56439" xr:uid="{00000000-0005-0000-0000-00002EA00000}"/>
    <cellStyle name="Komma 3 11" xfId="54650" xr:uid="{00000000-0005-0000-0000-00002FA00000}"/>
    <cellStyle name="Komma 3 12" xfId="55467" xr:uid="{00000000-0005-0000-0000-000030A00000}"/>
    <cellStyle name="Komma 3 13" xfId="52185" xr:uid="{00000000-0005-0000-0000-000031A00000}"/>
    <cellStyle name="Komma 3 14" xfId="1557" xr:uid="{00000000-0005-0000-0000-000032A00000}"/>
    <cellStyle name="Komma 3 2" xfId="1190" xr:uid="{00000000-0005-0000-0000-000033A00000}"/>
    <cellStyle name="Komma 3 2 2" xfId="5106" xr:uid="{00000000-0005-0000-0000-000034A00000}"/>
    <cellStyle name="Komma 3 2 2 2" xfId="53423" xr:uid="{00000000-0005-0000-0000-000035A00000}"/>
    <cellStyle name="Komma 3 2 2 2 2" xfId="54055" xr:uid="{00000000-0005-0000-0000-000036A00000}"/>
    <cellStyle name="Komma 3 2 2 2 2 2" xfId="57222" xr:uid="{00000000-0005-0000-0000-000037A00000}"/>
    <cellStyle name="Komma 3 2 2 2 3" xfId="56599" xr:uid="{00000000-0005-0000-0000-000038A00000}"/>
    <cellStyle name="Komma 3 2 2 3" xfId="53915" xr:uid="{00000000-0005-0000-0000-000039A00000}"/>
    <cellStyle name="Komma 3 2 2 3 2" xfId="57082" xr:uid="{00000000-0005-0000-0000-00003AA00000}"/>
    <cellStyle name="Komma 3 2 2 4" xfId="56471" xr:uid="{00000000-0005-0000-0000-00003BA00000}"/>
    <cellStyle name="Komma 3 2 2 5" xfId="53269" xr:uid="{00000000-0005-0000-0000-00003CA00000}"/>
    <cellStyle name="Komma 3 2 3" xfId="16945" xr:uid="{00000000-0005-0000-0000-00003DA00000}"/>
    <cellStyle name="Komma 3 2 3 2" xfId="33062" xr:uid="{00000000-0005-0000-0000-00003EA00000}"/>
    <cellStyle name="Komma 3 2 3 2 2" xfId="54056" xr:uid="{00000000-0005-0000-0000-00003FA00000}"/>
    <cellStyle name="Komma 3 2 3 2 2 2" xfId="57223" xr:uid="{00000000-0005-0000-0000-000040A00000}"/>
    <cellStyle name="Komma 3 2 3 2 3" xfId="56600" xr:uid="{00000000-0005-0000-0000-000041A00000}"/>
    <cellStyle name="Komma 3 2 3 2 4" xfId="53424" xr:uid="{00000000-0005-0000-0000-000042A00000}"/>
    <cellStyle name="Komma 3 2 3 3" xfId="48023" xr:uid="{00000000-0005-0000-0000-000043A00000}"/>
    <cellStyle name="Komma 3 2 3 3 2" xfId="57098" xr:uid="{00000000-0005-0000-0000-000044A00000}"/>
    <cellStyle name="Komma 3 2 3 3 3" xfId="53931" xr:uid="{00000000-0005-0000-0000-000045A00000}"/>
    <cellStyle name="Komma 3 2 3 4" xfId="56487" xr:uid="{00000000-0005-0000-0000-000046A00000}"/>
    <cellStyle name="Komma 3 2 3 5" xfId="53285" xr:uid="{00000000-0005-0000-0000-000047A00000}"/>
    <cellStyle name="Komma 3 2 4" xfId="53422" xr:uid="{00000000-0005-0000-0000-000048A00000}"/>
    <cellStyle name="Komma 3 2 4 2" xfId="54054" xr:uid="{00000000-0005-0000-0000-000049A00000}"/>
    <cellStyle name="Komma 3 2 4 2 2" xfId="57221" xr:uid="{00000000-0005-0000-0000-00004AA00000}"/>
    <cellStyle name="Komma 3 2 4 3" xfId="56598" xr:uid="{00000000-0005-0000-0000-00004BA00000}"/>
    <cellStyle name="Komma 3 2 5" xfId="53899" xr:uid="{00000000-0005-0000-0000-00004CA00000}"/>
    <cellStyle name="Komma 3 2 5 2" xfId="57066" xr:uid="{00000000-0005-0000-0000-00004DA00000}"/>
    <cellStyle name="Komma 3 2 6" xfId="53253" xr:uid="{00000000-0005-0000-0000-00004EA00000}"/>
    <cellStyle name="Komma 3 2 6 2" xfId="56455" xr:uid="{00000000-0005-0000-0000-00004FA00000}"/>
    <cellStyle name="Komma 3 2 7" xfId="54721" xr:uid="{00000000-0005-0000-0000-000050A00000}"/>
    <cellStyle name="Komma 3 2 8" xfId="55468" xr:uid="{00000000-0005-0000-0000-000051A00000}"/>
    <cellStyle name="Komma 3 2 9" xfId="52186" xr:uid="{00000000-0005-0000-0000-000052A00000}"/>
    <cellStyle name="Komma 3 3" xfId="5107" xr:uid="{00000000-0005-0000-0000-000053A00000}"/>
    <cellStyle name="Komma 3 3 2" xfId="53425" xr:uid="{00000000-0005-0000-0000-000054A00000}"/>
    <cellStyle name="Komma 3 3 2 2" xfId="54057" xr:uid="{00000000-0005-0000-0000-000055A00000}"/>
    <cellStyle name="Komma 3 3 2 2 2" xfId="57224" xr:uid="{00000000-0005-0000-0000-000056A00000}"/>
    <cellStyle name="Komma 3 3 2 3" xfId="56601" xr:uid="{00000000-0005-0000-0000-000057A00000}"/>
    <cellStyle name="Komma 3 3 3" xfId="53907" xr:uid="{00000000-0005-0000-0000-000058A00000}"/>
    <cellStyle name="Komma 3 3 3 2" xfId="57074" xr:uid="{00000000-0005-0000-0000-000059A00000}"/>
    <cellStyle name="Komma 3 3 4" xfId="54720" xr:uid="{00000000-0005-0000-0000-00005AA00000}"/>
    <cellStyle name="Komma 3 3 5" xfId="56463" xr:uid="{00000000-0005-0000-0000-00005BA00000}"/>
    <cellStyle name="Komma 3 3 6" xfId="53261" xr:uid="{00000000-0005-0000-0000-00005CA00000}"/>
    <cellStyle name="Komma 3 4" xfId="8857" xr:uid="{00000000-0005-0000-0000-00005DA00000}"/>
    <cellStyle name="Komma 3 4 2" xfId="16696" xr:uid="{00000000-0005-0000-0000-00005EA00000}"/>
    <cellStyle name="Komma 3 4 2 2" xfId="33009" xr:uid="{00000000-0005-0000-0000-00005FA00000}"/>
    <cellStyle name="Komma 3 4 2 2 2" xfId="57225" xr:uid="{00000000-0005-0000-0000-000060A00000}"/>
    <cellStyle name="Komma 3 4 2 2 3" xfId="54058" xr:uid="{00000000-0005-0000-0000-000061A00000}"/>
    <cellStyle name="Komma 3 4 2 3" xfId="47973" xr:uid="{00000000-0005-0000-0000-000062A00000}"/>
    <cellStyle name="Komma 3 4 2 3 2" xfId="56602" xr:uid="{00000000-0005-0000-0000-000063A00000}"/>
    <cellStyle name="Komma 3 4 2 4" xfId="53426" xr:uid="{00000000-0005-0000-0000-000064A00000}"/>
    <cellStyle name="Komma 3 4 3" xfId="25987" xr:uid="{00000000-0005-0000-0000-000065A00000}"/>
    <cellStyle name="Komma 3 4 3 2" xfId="57090" xr:uid="{00000000-0005-0000-0000-000066A00000}"/>
    <cellStyle name="Komma 3 4 3 3" xfId="53923" xr:uid="{00000000-0005-0000-0000-000067A00000}"/>
    <cellStyle name="Komma 3 4 4" xfId="40974" xr:uid="{00000000-0005-0000-0000-000068A00000}"/>
    <cellStyle name="Komma 3 4 4 2" xfId="56479" xr:uid="{00000000-0005-0000-0000-000069A00000}"/>
    <cellStyle name="Komma 3 4 5" xfId="53277" xr:uid="{00000000-0005-0000-0000-00006AA00000}"/>
    <cellStyle name="Komma 3 5" xfId="5105" xr:uid="{00000000-0005-0000-0000-00006BA00000}"/>
    <cellStyle name="Komma 3 5 2" xfId="13260" xr:uid="{00000000-0005-0000-0000-00006CA00000}"/>
    <cellStyle name="Komma 3 5 2 2" xfId="29579" xr:uid="{00000000-0005-0000-0000-00006DA00000}"/>
    <cellStyle name="Komma 3 5 2 2 2" xfId="57226" xr:uid="{00000000-0005-0000-0000-00006EA00000}"/>
    <cellStyle name="Komma 3 5 2 3" xfId="44544" xr:uid="{00000000-0005-0000-0000-00006FA00000}"/>
    <cellStyle name="Komma 3 5 2 4" xfId="54059" xr:uid="{00000000-0005-0000-0000-000070A00000}"/>
    <cellStyle name="Komma 3 5 3" xfId="22557" xr:uid="{00000000-0005-0000-0000-000071A00000}"/>
    <cellStyle name="Komma 3 5 3 2" xfId="56603" xr:uid="{00000000-0005-0000-0000-000072A00000}"/>
    <cellStyle name="Komma 3 5 4" xfId="37545" xr:uid="{00000000-0005-0000-0000-000073A00000}"/>
    <cellStyle name="Komma 3 5 5" xfId="53427" xr:uid="{00000000-0005-0000-0000-000074A00000}"/>
    <cellStyle name="Komma 3 6" xfId="8942" xr:uid="{00000000-0005-0000-0000-000075A00000}"/>
    <cellStyle name="Komma 3 7" xfId="16944" xr:uid="{00000000-0005-0000-0000-000076A00000}"/>
    <cellStyle name="Komma 3 7 2" xfId="33061" xr:uid="{00000000-0005-0000-0000-000077A00000}"/>
    <cellStyle name="Komma 3 7 2 2" xfId="57220" xr:uid="{00000000-0005-0000-0000-000078A00000}"/>
    <cellStyle name="Komma 3 7 2 3" xfId="54053" xr:uid="{00000000-0005-0000-0000-000079A00000}"/>
    <cellStyle name="Komma 3 7 3" xfId="48022" xr:uid="{00000000-0005-0000-0000-00007AA00000}"/>
    <cellStyle name="Komma 3 7 3 2" xfId="56597" xr:uid="{00000000-0005-0000-0000-00007BA00000}"/>
    <cellStyle name="Komma 3 7 4" xfId="53421" xr:uid="{00000000-0005-0000-0000-00007CA00000}"/>
    <cellStyle name="Komma 3 8" xfId="53298" xr:uid="{00000000-0005-0000-0000-00007DA00000}"/>
    <cellStyle name="Komma 3 9" xfId="53891" xr:uid="{00000000-0005-0000-0000-00007EA00000}"/>
    <cellStyle name="Komma 3 9 2" xfId="57058" xr:uid="{00000000-0005-0000-0000-00007FA00000}"/>
    <cellStyle name="Komma 4" xfId="1191" xr:uid="{00000000-0005-0000-0000-000080A00000}"/>
    <cellStyle name="Komma 4 10" xfId="49308" xr:uid="{00000000-0005-0000-0000-000081A00000}"/>
    <cellStyle name="Komma 4 10 2" xfId="55469" xr:uid="{00000000-0005-0000-0000-000082A00000}"/>
    <cellStyle name="Komma 4 11" xfId="49713" xr:uid="{00000000-0005-0000-0000-000083A00000}"/>
    <cellStyle name="Komma 4 12" xfId="50122" xr:uid="{00000000-0005-0000-0000-000084A00000}"/>
    <cellStyle name="Komma 4 13" xfId="50527" xr:uid="{00000000-0005-0000-0000-000085A00000}"/>
    <cellStyle name="Komma 4 14" xfId="51087" xr:uid="{00000000-0005-0000-0000-000086A00000}"/>
    <cellStyle name="Komma 4 15" xfId="51688" xr:uid="{00000000-0005-0000-0000-000087A00000}"/>
    <cellStyle name="Komma 4 16" xfId="52108" xr:uid="{00000000-0005-0000-0000-000088A00000}"/>
    <cellStyle name="Komma 4 17" xfId="52187" xr:uid="{00000000-0005-0000-0000-000089A00000}"/>
    <cellStyle name="Komma 4 18" xfId="1569" xr:uid="{00000000-0005-0000-0000-00008AA00000}"/>
    <cellStyle name="Komma 4 2" xfId="5109" xr:uid="{00000000-0005-0000-0000-00008BA00000}"/>
    <cellStyle name="Komma 4 2 2" xfId="8859" xr:uid="{00000000-0005-0000-0000-00008CA00000}"/>
    <cellStyle name="Komma 4 2 2 2" xfId="18989" xr:uid="{00000000-0005-0000-0000-00008DA00000}"/>
    <cellStyle name="Komma 4 2 2 2 2" xfId="33991" xr:uid="{00000000-0005-0000-0000-00008EA00000}"/>
    <cellStyle name="Komma 4 2 2 2 2 2" xfId="57229" xr:uid="{00000000-0005-0000-0000-00008FA00000}"/>
    <cellStyle name="Komma 4 2 2 2 3" xfId="48952" xr:uid="{00000000-0005-0000-0000-000090A00000}"/>
    <cellStyle name="Komma 4 2 2 2 4" xfId="54062" xr:uid="{00000000-0005-0000-0000-000091A00000}"/>
    <cellStyle name="Komma 4 2 2 3" xfId="53430" xr:uid="{00000000-0005-0000-0000-000092A00000}"/>
    <cellStyle name="Komma 4 2 2 3 2" xfId="56606" xr:uid="{00000000-0005-0000-0000-000093A00000}"/>
    <cellStyle name="Komma 4 2 2 4" xfId="56398" xr:uid="{00000000-0005-0000-0000-000094A00000}"/>
    <cellStyle name="Komma 4 2 2 5" xfId="53124" xr:uid="{00000000-0005-0000-0000-000095A00000}"/>
    <cellStyle name="Komma 4 2 3" xfId="18205" xr:uid="{00000000-0005-0000-0000-000096A00000}"/>
    <cellStyle name="Komma 4 2 3 2" xfId="33672" xr:uid="{00000000-0005-0000-0000-000097A00000}"/>
    <cellStyle name="Komma 4 2 3 2 2" xfId="57230" xr:uid="{00000000-0005-0000-0000-000098A00000}"/>
    <cellStyle name="Komma 4 2 3 2 3" xfId="54063" xr:uid="{00000000-0005-0000-0000-000099A00000}"/>
    <cellStyle name="Komma 4 2 3 3" xfId="48633" xr:uid="{00000000-0005-0000-0000-00009AA00000}"/>
    <cellStyle name="Komma 4 2 3 3 2" xfId="56607" xr:uid="{00000000-0005-0000-0000-00009BA00000}"/>
    <cellStyle name="Komma 4 2 3 4" xfId="53431" xr:uid="{00000000-0005-0000-0000-00009CA00000}"/>
    <cellStyle name="Komma 4 2 4" xfId="53432" xr:uid="{00000000-0005-0000-0000-00009DA00000}"/>
    <cellStyle name="Komma 4 2 4 2" xfId="54064" xr:uid="{00000000-0005-0000-0000-00009EA00000}"/>
    <cellStyle name="Komma 4 2 4 2 2" xfId="57231" xr:uid="{00000000-0005-0000-0000-00009FA00000}"/>
    <cellStyle name="Komma 4 2 4 3" xfId="56608" xr:uid="{00000000-0005-0000-0000-0000A0A00000}"/>
    <cellStyle name="Komma 4 2 5" xfId="54061" xr:uid="{00000000-0005-0000-0000-0000A1A00000}"/>
    <cellStyle name="Komma 4 2 5 2" xfId="57228" xr:uid="{00000000-0005-0000-0000-0000A2A00000}"/>
    <cellStyle name="Komma 4 2 6" xfId="53429" xr:uid="{00000000-0005-0000-0000-0000A3A00000}"/>
    <cellStyle name="Komma 4 2 6 2" xfId="56605" xr:uid="{00000000-0005-0000-0000-0000A4A00000}"/>
    <cellStyle name="Komma 4 2 7" xfId="55156" xr:uid="{00000000-0005-0000-0000-0000A5A00000}"/>
    <cellStyle name="Komma 4 2 8" xfId="56078" xr:uid="{00000000-0005-0000-0000-0000A6A00000}"/>
    <cellStyle name="Komma 4 2 9" xfId="52801" xr:uid="{00000000-0005-0000-0000-0000A7A00000}"/>
    <cellStyle name="Komma 4 3" xfId="8858" xr:uid="{00000000-0005-0000-0000-0000A8A00000}"/>
    <cellStyle name="Komma 4 3 2" xfId="18971" xr:uid="{00000000-0005-0000-0000-0000A9A00000}"/>
    <cellStyle name="Komma 4 3 2 2" xfId="33981" xr:uid="{00000000-0005-0000-0000-0000AAA00000}"/>
    <cellStyle name="Komma 4 3 2 2 2" xfId="57233" xr:uid="{00000000-0005-0000-0000-0000ABA00000}"/>
    <cellStyle name="Komma 4 3 2 2 3" xfId="54066" xr:uid="{00000000-0005-0000-0000-0000ACA00000}"/>
    <cellStyle name="Komma 4 3 2 3" xfId="48942" xr:uid="{00000000-0005-0000-0000-0000ADA00000}"/>
    <cellStyle name="Komma 4 3 2 3 2" xfId="56610" xr:uid="{00000000-0005-0000-0000-0000AEA00000}"/>
    <cellStyle name="Komma 4 3 2 4" xfId="53434" xr:uid="{00000000-0005-0000-0000-0000AFA00000}"/>
    <cellStyle name="Komma 4 3 3" xfId="53435" xr:uid="{00000000-0005-0000-0000-0000B0A00000}"/>
    <cellStyle name="Komma 4 3 3 2" xfId="54067" xr:uid="{00000000-0005-0000-0000-0000B1A00000}"/>
    <cellStyle name="Komma 4 3 3 2 2" xfId="57234" xr:uid="{00000000-0005-0000-0000-0000B2A00000}"/>
    <cellStyle name="Komma 4 3 3 3" xfId="56611" xr:uid="{00000000-0005-0000-0000-0000B3A00000}"/>
    <cellStyle name="Komma 4 3 4" xfId="54065" xr:uid="{00000000-0005-0000-0000-0000B4A00000}"/>
    <cellStyle name="Komma 4 3 4 2" xfId="57232" xr:uid="{00000000-0005-0000-0000-0000B5A00000}"/>
    <cellStyle name="Komma 4 3 5" xfId="53433" xr:uid="{00000000-0005-0000-0000-0000B6A00000}"/>
    <cellStyle name="Komma 4 3 5 2" xfId="56609" xr:uid="{00000000-0005-0000-0000-0000B7A00000}"/>
    <cellStyle name="Komma 4 3 6" xfId="56388" xr:uid="{00000000-0005-0000-0000-0000B8A00000}"/>
    <cellStyle name="Komma 4 3 7" xfId="53114" xr:uid="{00000000-0005-0000-0000-0000B9A00000}"/>
    <cellStyle name="Komma 4 4" xfId="5108" xr:uid="{00000000-0005-0000-0000-0000BAA00000}"/>
    <cellStyle name="Komma 4 4 2" xfId="54068" xr:uid="{00000000-0005-0000-0000-0000BBA00000}"/>
    <cellStyle name="Komma 4 4 2 2" xfId="57235" xr:uid="{00000000-0005-0000-0000-0000BCA00000}"/>
    <cellStyle name="Komma 4 4 3" xfId="56612" xr:uid="{00000000-0005-0000-0000-0000BDA00000}"/>
    <cellStyle name="Komma 4 4 4" xfId="53436" xr:uid="{00000000-0005-0000-0000-0000BEA00000}"/>
    <cellStyle name="Komma 4 5" xfId="8953" xr:uid="{00000000-0005-0000-0000-0000BFA00000}"/>
    <cellStyle name="Komma 4 5 2" xfId="16727" xr:uid="{00000000-0005-0000-0000-0000C0A00000}"/>
    <cellStyle name="Komma 4 5 2 2" xfId="33040" xr:uid="{00000000-0005-0000-0000-0000C1A00000}"/>
    <cellStyle name="Komma 4 5 2 2 2" xfId="57236" xr:uid="{00000000-0005-0000-0000-0000C2A00000}"/>
    <cellStyle name="Komma 4 5 2 3" xfId="48004" xr:uid="{00000000-0005-0000-0000-0000C3A00000}"/>
    <cellStyle name="Komma 4 5 2 4" xfId="54069" xr:uid="{00000000-0005-0000-0000-0000C4A00000}"/>
    <cellStyle name="Komma 4 5 3" xfId="26018" xr:uid="{00000000-0005-0000-0000-0000C5A00000}"/>
    <cellStyle name="Komma 4 5 3 2" xfId="56613" xr:uid="{00000000-0005-0000-0000-0000C6A00000}"/>
    <cellStyle name="Komma 4 5 4" xfId="41005" xr:uid="{00000000-0005-0000-0000-0000C7A00000}"/>
    <cellStyle name="Komma 4 5 5" xfId="53437" xr:uid="{00000000-0005-0000-0000-0000C8A00000}"/>
    <cellStyle name="Komma 4 6" xfId="10067" xr:uid="{00000000-0005-0000-0000-0000C9A00000}"/>
    <cellStyle name="Komma 4 6 2" xfId="26387" xr:uid="{00000000-0005-0000-0000-0000CAA00000}"/>
    <cellStyle name="Komma 4 6 2 2" xfId="57237" xr:uid="{00000000-0005-0000-0000-0000CBA00000}"/>
    <cellStyle name="Komma 4 6 2 3" xfId="54070" xr:uid="{00000000-0005-0000-0000-0000CCA00000}"/>
    <cellStyle name="Komma 4 6 3" xfId="41355" xr:uid="{00000000-0005-0000-0000-0000CDA00000}"/>
    <cellStyle name="Komma 4 6 3 2" xfId="56614" xr:uid="{00000000-0005-0000-0000-0000CEA00000}"/>
    <cellStyle name="Komma 4 6 4" xfId="53438" xr:uid="{00000000-0005-0000-0000-0000CFA00000}"/>
    <cellStyle name="Komma 4 7" xfId="16946" xr:uid="{00000000-0005-0000-0000-0000D0A00000}"/>
    <cellStyle name="Komma 4 7 2" xfId="33063" xr:uid="{00000000-0005-0000-0000-0000D1A00000}"/>
    <cellStyle name="Komma 4 7 2 2" xfId="57227" xr:uid="{00000000-0005-0000-0000-0000D2A00000}"/>
    <cellStyle name="Komma 4 7 3" xfId="48024" xr:uid="{00000000-0005-0000-0000-0000D3A00000}"/>
    <cellStyle name="Komma 4 7 4" xfId="54060" xr:uid="{00000000-0005-0000-0000-0000D4A00000}"/>
    <cellStyle name="Komma 4 8" xfId="19366" xr:uid="{00000000-0005-0000-0000-0000D5A00000}"/>
    <cellStyle name="Komma 4 8 2" xfId="56604" xr:uid="{00000000-0005-0000-0000-0000D6A00000}"/>
    <cellStyle name="Komma 4 8 3" xfId="53428" xr:uid="{00000000-0005-0000-0000-0000D7A00000}"/>
    <cellStyle name="Komma 4 9" xfId="34356" xr:uid="{00000000-0005-0000-0000-0000D8A00000}"/>
    <cellStyle name="Komma 4 9 2" xfId="54722" xr:uid="{00000000-0005-0000-0000-0000D9A00000}"/>
    <cellStyle name="Komma 5" xfId="1181" xr:uid="{00000000-0005-0000-0000-0000DAA00000}"/>
    <cellStyle name="Komma 5 2" xfId="8860" xr:uid="{00000000-0005-0000-0000-0000DBA00000}"/>
    <cellStyle name="Komma 5 2 2" xfId="18990" xr:uid="{00000000-0005-0000-0000-0000DCA00000}"/>
    <cellStyle name="Komma 5 2 2 2" xfId="54073" xr:uid="{00000000-0005-0000-0000-0000DDA00000}"/>
    <cellStyle name="Komma 5 2 2 2 2" xfId="57240" xr:uid="{00000000-0005-0000-0000-0000DEA00000}"/>
    <cellStyle name="Komma 5 2 2 3" xfId="53441" xr:uid="{00000000-0005-0000-0000-0000DFA00000}"/>
    <cellStyle name="Komma 5 2 2 3 2" xfId="56617" xr:uid="{00000000-0005-0000-0000-0000E0A00000}"/>
    <cellStyle name="Komma 5 2 3" xfId="53442" xr:uid="{00000000-0005-0000-0000-0000E1A00000}"/>
    <cellStyle name="Komma 5 2 3 2" xfId="54074" xr:uid="{00000000-0005-0000-0000-0000E2A00000}"/>
    <cellStyle name="Komma 5 2 3 2 2" xfId="57241" xr:uid="{00000000-0005-0000-0000-0000E3A00000}"/>
    <cellStyle name="Komma 5 2 3 3" xfId="56618" xr:uid="{00000000-0005-0000-0000-0000E4A00000}"/>
    <cellStyle name="Komma 5 2 4" xfId="54072" xr:uid="{00000000-0005-0000-0000-0000E5A00000}"/>
    <cellStyle name="Komma 5 2 4 2" xfId="57239" xr:uid="{00000000-0005-0000-0000-0000E6A00000}"/>
    <cellStyle name="Komma 5 2 5" xfId="53440" xr:uid="{00000000-0005-0000-0000-0000E7A00000}"/>
    <cellStyle name="Komma 5 2 5 2" xfId="56616" xr:uid="{00000000-0005-0000-0000-0000E8A00000}"/>
    <cellStyle name="Komma 5 3" xfId="5110" xr:uid="{00000000-0005-0000-0000-0000E9A00000}"/>
    <cellStyle name="Komma 5 3 2" xfId="54075" xr:uid="{00000000-0005-0000-0000-0000EAA00000}"/>
    <cellStyle name="Komma 5 3 2 2" xfId="57242" xr:uid="{00000000-0005-0000-0000-0000EBA00000}"/>
    <cellStyle name="Komma 5 3 3" xfId="53443" xr:uid="{00000000-0005-0000-0000-0000ECA00000}"/>
    <cellStyle name="Komma 5 3 3 2" xfId="56619" xr:uid="{00000000-0005-0000-0000-0000EDA00000}"/>
    <cellStyle name="Komma 5 4" xfId="53444" xr:uid="{00000000-0005-0000-0000-0000EEA00000}"/>
    <cellStyle name="Komma 5 4 2" xfId="54076" xr:uid="{00000000-0005-0000-0000-0000EFA00000}"/>
    <cellStyle name="Komma 5 4 2 2" xfId="57243" xr:uid="{00000000-0005-0000-0000-0000F0A00000}"/>
    <cellStyle name="Komma 5 4 3" xfId="56620" xr:uid="{00000000-0005-0000-0000-0000F1A00000}"/>
    <cellStyle name="Komma 5 5" xfId="53445" xr:uid="{00000000-0005-0000-0000-0000F2A00000}"/>
    <cellStyle name="Komma 5 5 2" xfId="54077" xr:uid="{00000000-0005-0000-0000-0000F3A00000}"/>
    <cellStyle name="Komma 5 5 2 2" xfId="57244" xr:uid="{00000000-0005-0000-0000-0000F4A00000}"/>
    <cellStyle name="Komma 5 5 3" xfId="56621" xr:uid="{00000000-0005-0000-0000-0000F5A00000}"/>
    <cellStyle name="Komma 5 6" xfId="54071" xr:uid="{00000000-0005-0000-0000-0000F6A00000}"/>
    <cellStyle name="Komma 5 6 2" xfId="57238" xr:uid="{00000000-0005-0000-0000-0000F7A00000}"/>
    <cellStyle name="Komma 5 7" xfId="53439" xr:uid="{00000000-0005-0000-0000-0000F8A00000}"/>
    <cellStyle name="Komma 5 7 2" xfId="56615" xr:uid="{00000000-0005-0000-0000-0000F9A00000}"/>
    <cellStyle name="Komma 6" xfId="5111" xr:uid="{00000000-0005-0000-0000-0000FAA00000}"/>
    <cellStyle name="Komma 6 2" xfId="53446" xr:uid="{00000000-0005-0000-0000-0000FBA00000}"/>
    <cellStyle name="Komma 6 2 2" xfId="53447" xr:uid="{00000000-0005-0000-0000-0000FCA00000}"/>
    <cellStyle name="Komma 6 2 2 2" xfId="54080" xr:uid="{00000000-0005-0000-0000-0000FDA00000}"/>
    <cellStyle name="Komma 6 2 2 2 2" xfId="57247" xr:uid="{00000000-0005-0000-0000-0000FEA00000}"/>
    <cellStyle name="Komma 6 2 2 3" xfId="56623" xr:uid="{00000000-0005-0000-0000-0000FFA00000}"/>
    <cellStyle name="Komma 6 2 3" xfId="53448" xr:uid="{00000000-0005-0000-0000-000000A10000}"/>
    <cellStyle name="Komma 6 2 3 2" xfId="54081" xr:uid="{00000000-0005-0000-0000-000001A10000}"/>
    <cellStyle name="Komma 6 2 3 2 2" xfId="57248" xr:uid="{00000000-0005-0000-0000-000002A10000}"/>
    <cellStyle name="Komma 6 2 3 3" xfId="56624" xr:uid="{00000000-0005-0000-0000-000003A10000}"/>
    <cellStyle name="Komma 6 2 4" xfId="54079" xr:uid="{00000000-0005-0000-0000-000004A10000}"/>
    <cellStyle name="Komma 6 2 4 2" xfId="57246" xr:uid="{00000000-0005-0000-0000-000005A10000}"/>
    <cellStyle name="Komma 6 2 5" xfId="56622" xr:uid="{00000000-0005-0000-0000-000006A10000}"/>
    <cellStyle name="Komma 6 3" xfId="53449" xr:uid="{00000000-0005-0000-0000-000007A10000}"/>
    <cellStyle name="Komma 6 3 2" xfId="54082" xr:uid="{00000000-0005-0000-0000-000008A10000}"/>
    <cellStyle name="Komma 6 3 2 2" xfId="57249" xr:uid="{00000000-0005-0000-0000-000009A10000}"/>
    <cellStyle name="Komma 6 3 3" xfId="56625" xr:uid="{00000000-0005-0000-0000-00000AA10000}"/>
    <cellStyle name="Komma 6 4" xfId="53450" xr:uid="{00000000-0005-0000-0000-00000BA10000}"/>
    <cellStyle name="Komma 6 4 2" xfId="54083" xr:uid="{00000000-0005-0000-0000-00000CA10000}"/>
    <cellStyle name="Komma 6 4 2 2" xfId="57250" xr:uid="{00000000-0005-0000-0000-00000DA10000}"/>
    <cellStyle name="Komma 6 4 3" xfId="56626" xr:uid="{00000000-0005-0000-0000-00000EA10000}"/>
    <cellStyle name="Komma 6 5" xfId="53451" xr:uid="{00000000-0005-0000-0000-00000FA10000}"/>
    <cellStyle name="Komma 6 5 2" xfId="54084" xr:uid="{00000000-0005-0000-0000-000010A10000}"/>
    <cellStyle name="Komma 6 5 2 2" xfId="57251" xr:uid="{00000000-0005-0000-0000-000011A10000}"/>
    <cellStyle name="Komma 6 5 3" xfId="56627" xr:uid="{00000000-0005-0000-0000-000012A10000}"/>
    <cellStyle name="Komma 6 6" xfId="54078" xr:uid="{00000000-0005-0000-0000-000013A10000}"/>
    <cellStyle name="Komma 6 6 2" xfId="57245" xr:uid="{00000000-0005-0000-0000-000014A10000}"/>
    <cellStyle name="Komma 6 7" xfId="56432" xr:uid="{00000000-0005-0000-0000-000015A10000}"/>
    <cellStyle name="Komma 6 8" xfId="53158" xr:uid="{00000000-0005-0000-0000-000016A10000}"/>
    <cellStyle name="Komma 7" xfId="5112" xr:uid="{00000000-0005-0000-0000-000017A10000}"/>
    <cellStyle name="Komma 7 2" xfId="8861" xr:uid="{00000000-0005-0000-0000-000018A10000}"/>
    <cellStyle name="Komma 7 2 2" xfId="53454" xr:uid="{00000000-0005-0000-0000-000019A10000}"/>
    <cellStyle name="Komma 7 2 2 2" xfId="54087" xr:uid="{00000000-0005-0000-0000-00001AA10000}"/>
    <cellStyle name="Komma 7 2 2 2 2" xfId="57254" xr:uid="{00000000-0005-0000-0000-00001BA10000}"/>
    <cellStyle name="Komma 7 2 2 3" xfId="56630" xr:uid="{00000000-0005-0000-0000-00001CA10000}"/>
    <cellStyle name="Komma 7 2 3" xfId="53455" xr:uid="{00000000-0005-0000-0000-00001DA10000}"/>
    <cellStyle name="Komma 7 2 3 2" xfId="54088" xr:uid="{00000000-0005-0000-0000-00001EA10000}"/>
    <cellStyle name="Komma 7 2 3 2 2" xfId="57255" xr:uid="{00000000-0005-0000-0000-00001FA10000}"/>
    <cellStyle name="Komma 7 2 3 3" xfId="56631" xr:uid="{00000000-0005-0000-0000-000020A10000}"/>
    <cellStyle name="Komma 7 2 4" xfId="54086" xr:uid="{00000000-0005-0000-0000-000021A10000}"/>
    <cellStyle name="Komma 7 2 4 2" xfId="57253" xr:uid="{00000000-0005-0000-0000-000022A10000}"/>
    <cellStyle name="Komma 7 2 5" xfId="56629" xr:uid="{00000000-0005-0000-0000-000023A10000}"/>
    <cellStyle name="Komma 7 2 6" xfId="53453" xr:uid="{00000000-0005-0000-0000-000024A10000}"/>
    <cellStyle name="Komma 7 3" xfId="53456" xr:uid="{00000000-0005-0000-0000-000025A10000}"/>
    <cellStyle name="Komma 7 3 2" xfId="54089" xr:uid="{00000000-0005-0000-0000-000026A10000}"/>
    <cellStyle name="Komma 7 3 2 2" xfId="57256" xr:uid="{00000000-0005-0000-0000-000027A10000}"/>
    <cellStyle name="Komma 7 3 3" xfId="56632" xr:uid="{00000000-0005-0000-0000-000028A10000}"/>
    <cellStyle name="Komma 7 4" xfId="53457" xr:uid="{00000000-0005-0000-0000-000029A10000}"/>
    <cellStyle name="Komma 7 4 2" xfId="54090" xr:uid="{00000000-0005-0000-0000-00002AA10000}"/>
    <cellStyle name="Komma 7 4 2 2" xfId="57257" xr:uid="{00000000-0005-0000-0000-00002BA10000}"/>
    <cellStyle name="Komma 7 4 3" xfId="56633" xr:uid="{00000000-0005-0000-0000-00002CA10000}"/>
    <cellStyle name="Komma 7 5" xfId="54085" xr:uid="{00000000-0005-0000-0000-00002DA10000}"/>
    <cellStyle name="Komma 7 5 2" xfId="57252" xr:uid="{00000000-0005-0000-0000-00002EA10000}"/>
    <cellStyle name="Komma 7 6" xfId="56628" xr:uid="{00000000-0005-0000-0000-00002FA10000}"/>
    <cellStyle name="Komma 7 7" xfId="53452" xr:uid="{00000000-0005-0000-0000-000030A10000}"/>
    <cellStyle name="Komma 8" xfId="5093" xr:uid="{00000000-0005-0000-0000-000031A10000}"/>
    <cellStyle name="Komma 8 2" xfId="8853" xr:uid="{00000000-0005-0000-0000-000032A10000}"/>
    <cellStyle name="Komma 8 2 2" xfId="54092" xr:uid="{00000000-0005-0000-0000-000033A10000}"/>
    <cellStyle name="Komma 8 2 2 2" xfId="57259" xr:uid="{00000000-0005-0000-0000-000034A10000}"/>
    <cellStyle name="Komma 8 2 3" xfId="56635" xr:uid="{00000000-0005-0000-0000-000035A10000}"/>
    <cellStyle name="Komma 8 2 4" xfId="53459" xr:uid="{00000000-0005-0000-0000-000036A10000}"/>
    <cellStyle name="Komma 8 3" xfId="53460" xr:uid="{00000000-0005-0000-0000-000037A10000}"/>
    <cellStyle name="Komma 8 3 2" xfId="54093" xr:uid="{00000000-0005-0000-0000-000038A10000}"/>
    <cellStyle name="Komma 8 3 2 2" xfId="57260" xr:uid="{00000000-0005-0000-0000-000039A10000}"/>
    <cellStyle name="Komma 8 3 3" xfId="56636" xr:uid="{00000000-0005-0000-0000-00003AA10000}"/>
    <cellStyle name="Komma 8 4" xfId="54091" xr:uid="{00000000-0005-0000-0000-00003BA10000}"/>
    <cellStyle name="Komma 8 4 2" xfId="57258" xr:uid="{00000000-0005-0000-0000-00003CA10000}"/>
    <cellStyle name="Komma 8 5" xfId="56634" xr:uid="{00000000-0005-0000-0000-00003DA10000}"/>
    <cellStyle name="Komma 8 6" xfId="53458" xr:uid="{00000000-0005-0000-0000-00003EA10000}"/>
    <cellStyle name="Komma 9" xfId="1582" xr:uid="{00000000-0005-0000-0000-00003FA10000}"/>
    <cellStyle name="Komma 9 2" xfId="8919" xr:uid="{00000000-0005-0000-0000-000040A10000}"/>
    <cellStyle name="Komma 9 2 2" xfId="16697" xr:uid="{00000000-0005-0000-0000-000041A10000}"/>
    <cellStyle name="Komma 9 2 2 2" xfId="33010" xr:uid="{00000000-0005-0000-0000-000042A10000}"/>
    <cellStyle name="Komma 9 2 2 3" xfId="47974" xr:uid="{00000000-0005-0000-0000-000043A10000}"/>
    <cellStyle name="Komma 9 2 2 4" xfId="57261" xr:uid="{00000000-0005-0000-0000-000044A10000}"/>
    <cellStyle name="Komma 9 2 3" xfId="25988" xr:uid="{00000000-0005-0000-0000-000045A10000}"/>
    <cellStyle name="Komma 9 2 4" xfId="40975" xr:uid="{00000000-0005-0000-0000-000046A10000}"/>
    <cellStyle name="Komma 9 2 5" xfId="54094" xr:uid="{00000000-0005-0000-0000-000047A10000}"/>
    <cellStyle name="Komma 9 3" xfId="10144" xr:uid="{00000000-0005-0000-0000-000048A10000}"/>
    <cellStyle name="Komma 9 3 2" xfId="26463" xr:uid="{00000000-0005-0000-0000-000049A10000}"/>
    <cellStyle name="Komma 9 3 3" xfId="41429" xr:uid="{00000000-0005-0000-0000-00004AA10000}"/>
    <cellStyle name="Komma 9 3 4" xfId="56637" xr:uid="{00000000-0005-0000-0000-00004BA10000}"/>
    <cellStyle name="Komma 9 4" xfId="19441" xr:uid="{00000000-0005-0000-0000-00004CA10000}"/>
    <cellStyle name="Komma 9 5" xfId="34430" xr:uid="{00000000-0005-0000-0000-00004DA10000}"/>
    <cellStyle name="Komma 9 6" xfId="53461" xr:uid="{00000000-0005-0000-0000-00004EA10000}"/>
    <cellStyle name="Link 2" xfId="1183" xr:uid="{00000000-0005-0000-0000-00004FA10000}"/>
    <cellStyle name="Link 2 2" xfId="5115" xr:uid="{00000000-0005-0000-0000-000050A10000}"/>
    <cellStyle name="Link 2 3" xfId="5114" xr:uid="{00000000-0005-0000-0000-000051A10000}"/>
    <cellStyle name="Link 2 3 2" xfId="53463" xr:uid="{00000000-0005-0000-0000-000052A10000}"/>
    <cellStyle name="Link 2 4" xfId="16947" xr:uid="{00000000-0005-0000-0000-000053A10000}"/>
    <cellStyle name="Link 2 5" xfId="53294" xr:uid="{00000000-0005-0000-0000-000054A10000}"/>
    <cellStyle name="Link 3" xfId="1188" xr:uid="{00000000-0005-0000-0000-000055A10000}"/>
    <cellStyle name="Link 3 2" xfId="5116" xr:uid="{00000000-0005-0000-0000-000056A10000}"/>
    <cellStyle name="Link 3 2 2" xfId="53464" xr:uid="{00000000-0005-0000-0000-000057A10000}"/>
    <cellStyle name="Link 3 3" xfId="16948" xr:uid="{00000000-0005-0000-0000-000058A10000}"/>
    <cellStyle name="Link 4" xfId="5117" xr:uid="{00000000-0005-0000-0000-000059A10000}"/>
    <cellStyle name="Link 4 2" xfId="53462" xr:uid="{00000000-0005-0000-0000-00005AA10000}"/>
    <cellStyle name="Link 5" xfId="5118" xr:uid="{00000000-0005-0000-0000-00005BA10000}"/>
    <cellStyle name="Link 5 2" xfId="53300" xr:uid="{00000000-0005-0000-0000-00005CA10000}"/>
    <cellStyle name="Link 6" xfId="5113" xr:uid="{00000000-0005-0000-0000-00005DA10000}"/>
    <cellStyle name="Link 6 2" xfId="54515" xr:uid="{00000000-0005-0000-0000-00005EA10000}"/>
    <cellStyle name="Linked Cell" xfId="1127" builtinId="24" customBuiltin="1"/>
    <cellStyle name="Linked Cell 2" xfId="53238" xr:uid="{00000000-0005-0000-0000-000060A10000}"/>
    <cellStyle name="Markeringsfarve1 2" xfId="5120" xr:uid="{00000000-0005-0000-0000-000061A10000}"/>
    <cellStyle name="Markeringsfarve1 3" xfId="5121" xr:uid="{00000000-0005-0000-0000-000062A10000}"/>
    <cellStyle name="Markeringsfarve1 4" xfId="5122" xr:uid="{00000000-0005-0000-0000-000063A10000}"/>
    <cellStyle name="Markeringsfarve1 5" xfId="5123" xr:uid="{00000000-0005-0000-0000-000064A10000}"/>
    <cellStyle name="Markeringsfarve1 5 2" xfId="8268" xr:uid="{00000000-0005-0000-0000-000065A10000}"/>
    <cellStyle name="Markeringsfarve1 6" xfId="5383" xr:uid="{00000000-0005-0000-0000-000066A10000}"/>
    <cellStyle name="Markeringsfarve1 7" xfId="5119" xr:uid="{00000000-0005-0000-0000-000067A10000}"/>
    <cellStyle name="Markeringsfarve2 2" xfId="5125" xr:uid="{00000000-0005-0000-0000-000068A10000}"/>
    <cellStyle name="Markeringsfarve2 3" xfId="5126" xr:uid="{00000000-0005-0000-0000-000069A10000}"/>
    <cellStyle name="Markeringsfarve2 4" xfId="5127" xr:uid="{00000000-0005-0000-0000-00006AA10000}"/>
    <cellStyle name="Markeringsfarve2 5" xfId="5128" xr:uid="{00000000-0005-0000-0000-00006BA10000}"/>
    <cellStyle name="Markeringsfarve2 5 2" xfId="8753" xr:uid="{00000000-0005-0000-0000-00006CA10000}"/>
    <cellStyle name="Markeringsfarve2 6" xfId="5387" xr:uid="{00000000-0005-0000-0000-00006DA10000}"/>
    <cellStyle name="Markeringsfarve2 7" xfId="5124" xr:uid="{00000000-0005-0000-0000-00006EA10000}"/>
    <cellStyle name="Markeringsfarve3 2" xfId="5130" xr:uid="{00000000-0005-0000-0000-00006FA10000}"/>
    <cellStyle name="Markeringsfarve3 3" xfId="5131" xr:uid="{00000000-0005-0000-0000-000070A10000}"/>
    <cellStyle name="Markeringsfarve3 4" xfId="5132" xr:uid="{00000000-0005-0000-0000-000071A10000}"/>
    <cellStyle name="Markeringsfarve3 5" xfId="5133" xr:uid="{00000000-0005-0000-0000-000072A10000}"/>
    <cellStyle name="Markeringsfarve3 5 2" xfId="8457" xr:uid="{00000000-0005-0000-0000-000073A10000}"/>
    <cellStyle name="Markeringsfarve3 6" xfId="5391" xr:uid="{00000000-0005-0000-0000-000074A10000}"/>
    <cellStyle name="Markeringsfarve3 7" xfId="5129" xr:uid="{00000000-0005-0000-0000-000075A10000}"/>
    <cellStyle name="Markeringsfarve4 2" xfId="5135" xr:uid="{00000000-0005-0000-0000-000076A10000}"/>
    <cellStyle name="Markeringsfarve4 3" xfId="5136" xr:uid="{00000000-0005-0000-0000-000077A10000}"/>
    <cellStyle name="Markeringsfarve4 4" xfId="5137" xr:uid="{00000000-0005-0000-0000-000078A10000}"/>
    <cellStyle name="Markeringsfarve4 5" xfId="5138" xr:uid="{00000000-0005-0000-0000-000079A10000}"/>
    <cellStyle name="Markeringsfarve4 5 2" xfId="8270" xr:uid="{00000000-0005-0000-0000-00007AA10000}"/>
    <cellStyle name="Markeringsfarve4 6" xfId="5395" xr:uid="{00000000-0005-0000-0000-00007BA10000}"/>
    <cellStyle name="Markeringsfarve4 7" xfId="5134" xr:uid="{00000000-0005-0000-0000-00007CA10000}"/>
    <cellStyle name="Markeringsfarve6 2" xfId="5140" xr:uid="{00000000-0005-0000-0000-00007DA10000}"/>
    <cellStyle name="Markeringsfarve6 3" xfId="5141" xr:uid="{00000000-0005-0000-0000-00007EA10000}"/>
    <cellStyle name="Markeringsfarve6 4" xfId="5142" xr:uid="{00000000-0005-0000-0000-00007FA10000}"/>
    <cellStyle name="Markeringsfarve6 5" xfId="5143" xr:uid="{00000000-0005-0000-0000-000080A10000}"/>
    <cellStyle name="Markeringsfarve6 5 2" xfId="8473" xr:uid="{00000000-0005-0000-0000-000081A10000}"/>
    <cellStyle name="Markeringsfarve6 6" xfId="5402" xr:uid="{00000000-0005-0000-0000-000082A10000}"/>
    <cellStyle name="Markeringsfarve6 7" xfId="5139" xr:uid="{00000000-0005-0000-0000-000083A10000}"/>
    <cellStyle name="Migliaia [0] 10" xfId="229" xr:uid="{00000000-0005-0000-0000-000084A10000}"/>
    <cellStyle name="Migliaia [0] 10 10" xfId="50200" xr:uid="{00000000-0005-0000-0000-000085A10000}"/>
    <cellStyle name="Migliaia [0] 10 11" xfId="50642" xr:uid="{00000000-0005-0000-0000-000086A10000}"/>
    <cellStyle name="Migliaia [0] 10 12" xfId="51361" xr:uid="{00000000-0005-0000-0000-000087A10000}"/>
    <cellStyle name="Migliaia [0] 10 13" xfId="51773" xr:uid="{00000000-0005-0000-0000-000088A10000}"/>
    <cellStyle name="Migliaia [0] 10 14" xfId="52188" xr:uid="{00000000-0005-0000-0000-000089A10000}"/>
    <cellStyle name="Migliaia [0] 10 2" xfId="9059" xr:uid="{00000000-0005-0000-0000-00008AA10000}"/>
    <cellStyle name="Migliaia [0] 10 2 2" xfId="17950" xr:uid="{00000000-0005-0000-0000-00008BA10000}"/>
    <cellStyle name="Migliaia [0] 10 2 2 2" xfId="33610" xr:uid="{00000000-0005-0000-0000-00008CA10000}"/>
    <cellStyle name="Migliaia [0] 10 2 2 3" xfId="48571" xr:uid="{00000000-0005-0000-0000-00008DA10000}"/>
    <cellStyle name="Migliaia [0] 10 2 2 4" xfId="55094" xr:uid="{00000000-0005-0000-0000-00008EA10000}"/>
    <cellStyle name="Migliaia [0] 10 2 3" xfId="56016" xr:uid="{00000000-0005-0000-0000-00008FA10000}"/>
    <cellStyle name="Migliaia [0] 10 2 4" xfId="52739" xr:uid="{00000000-0005-0000-0000-000090A10000}"/>
    <cellStyle name="Migliaia [0] 10 3" xfId="9740" xr:uid="{00000000-0005-0000-0000-000091A10000}"/>
    <cellStyle name="Migliaia [0] 10 3 2" xfId="26065" xr:uid="{00000000-0005-0000-0000-000092A10000}"/>
    <cellStyle name="Migliaia [0] 10 3 3" xfId="41043" xr:uid="{00000000-0005-0000-0000-000093A10000}"/>
    <cellStyle name="Migliaia [0] 10 3 4" xfId="54526" xr:uid="{00000000-0005-0000-0000-000094A10000}"/>
    <cellStyle name="Migliaia [0] 10 4" xfId="16949" xr:uid="{00000000-0005-0000-0000-000095A10000}"/>
    <cellStyle name="Migliaia [0] 10 4 2" xfId="33064" xr:uid="{00000000-0005-0000-0000-000096A10000}"/>
    <cellStyle name="Migliaia [0] 10 4 3" xfId="48025" xr:uid="{00000000-0005-0000-0000-000097A10000}"/>
    <cellStyle name="Migliaia [0] 10 4 4" xfId="55470" xr:uid="{00000000-0005-0000-0000-000098A10000}"/>
    <cellStyle name="Migliaia [0] 10 5" xfId="19046" xr:uid="{00000000-0005-0000-0000-000099A10000}"/>
    <cellStyle name="Migliaia [0] 10 6" xfId="34041" xr:uid="{00000000-0005-0000-0000-00009AA10000}"/>
    <cellStyle name="Migliaia [0] 10 7" xfId="48981" xr:uid="{00000000-0005-0000-0000-00009BA10000}"/>
    <cellStyle name="Migliaia [0] 10 8" xfId="49386" xr:uid="{00000000-0005-0000-0000-00009CA10000}"/>
    <cellStyle name="Migliaia [0] 10 9" xfId="49792" xr:uid="{00000000-0005-0000-0000-00009DA10000}"/>
    <cellStyle name="Migliaia [0] 11" xfId="230" xr:uid="{00000000-0005-0000-0000-00009EA10000}"/>
    <cellStyle name="Migliaia [0] 11 10" xfId="50201" xr:uid="{00000000-0005-0000-0000-00009FA10000}"/>
    <cellStyle name="Migliaia [0] 11 11" xfId="50643" xr:uid="{00000000-0005-0000-0000-0000A0A10000}"/>
    <cellStyle name="Migliaia [0] 11 12" xfId="51362" xr:uid="{00000000-0005-0000-0000-0000A1A10000}"/>
    <cellStyle name="Migliaia [0] 11 13" xfId="51774" xr:uid="{00000000-0005-0000-0000-0000A2A10000}"/>
    <cellStyle name="Migliaia [0] 11 14" xfId="52189" xr:uid="{00000000-0005-0000-0000-0000A3A10000}"/>
    <cellStyle name="Migliaia [0] 11 2" xfId="9060" xr:uid="{00000000-0005-0000-0000-0000A4A10000}"/>
    <cellStyle name="Migliaia [0] 11 2 2" xfId="17951" xr:uid="{00000000-0005-0000-0000-0000A5A10000}"/>
    <cellStyle name="Migliaia [0] 11 2 2 2" xfId="33611" xr:uid="{00000000-0005-0000-0000-0000A6A10000}"/>
    <cellStyle name="Migliaia [0] 11 2 2 3" xfId="48572" xr:uid="{00000000-0005-0000-0000-0000A7A10000}"/>
    <cellStyle name="Migliaia [0] 11 2 2 4" xfId="55095" xr:uid="{00000000-0005-0000-0000-0000A8A10000}"/>
    <cellStyle name="Migliaia [0] 11 2 3" xfId="56017" xr:uid="{00000000-0005-0000-0000-0000A9A10000}"/>
    <cellStyle name="Migliaia [0] 11 2 4" xfId="52740" xr:uid="{00000000-0005-0000-0000-0000AAA10000}"/>
    <cellStyle name="Migliaia [0] 11 3" xfId="9741" xr:uid="{00000000-0005-0000-0000-0000ABA10000}"/>
    <cellStyle name="Migliaia [0] 11 3 2" xfId="26066" xr:uid="{00000000-0005-0000-0000-0000ACA10000}"/>
    <cellStyle name="Migliaia [0] 11 3 3" xfId="41044" xr:uid="{00000000-0005-0000-0000-0000ADA10000}"/>
    <cellStyle name="Migliaia [0] 11 3 4" xfId="54527" xr:uid="{00000000-0005-0000-0000-0000AEA10000}"/>
    <cellStyle name="Migliaia [0] 11 4" xfId="16950" xr:uid="{00000000-0005-0000-0000-0000AFA10000}"/>
    <cellStyle name="Migliaia [0] 11 4 2" xfId="33065" xr:uid="{00000000-0005-0000-0000-0000B0A10000}"/>
    <cellStyle name="Migliaia [0] 11 4 3" xfId="48026" xr:uid="{00000000-0005-0000-0000-0000B1A10000}"/>
    <cellStyle name="Migliaia [0] 11 4 4" xfId="55471" xr:uid="{00000000-0005-0000-0000-0000B2A10000}"/>
    <cellStyle name="Migliaia [0] 11 5" xfId="19047" xr:uid="{00000000-0005-0000-0000-0000B3A10000}"/>
    <cellStyle name="Migliaia [0] 11 6" xfId="34042" xr:uid="{00000000-0005-0000-0000-0000B4A10000}"/>
    <cellStyle name="Migliaia [0] 11 7" xfId="48982" xr:uid="{00000000-0005-0000-0000-0000B5A10000}"/>
    <cellStyle name="Migliaia [0] 11 8" xfId="49387" xr:uid="{00000000-0005-0000-0000-0000B6A10000}"/>
    <cellStyle name="Migliaia [0] 11 9" xfId="49793" xr:uid="{00000000-0005-0000-0000-0000B7A10000}"/>
    <cellStyle name="Migliaia [0] 12" xfId="231" xr:uid="{00000000-0005-0000-0000-0000B8A10000}"/>
    <cellStyle name="Migliaia [0] 12 10" xfId="50202" xr:uid="{00000000-0005-0000-0000-0000B9A10000}"/>
    <cellStyle name="Migliaia [0] 12 11" xfId="50644" xr:uid="{00000000-0005-0000-0000-0000BAA10000}"/>
    <cellStyle name="Migliaia [0] 12 12" xfId="51363" xr:uid="{00000000-0005-0000-0000-0000BBA10000}"/>
    <cellStyle name="Migliaia [0] 12 13" xfId="51775" xr:uid="{00000000-0005-0000-0000-0000BCA10000}"/>
    <cellStyle name="Migliaia [0] 12 14" xfId="52190" xr:uid="{00000000-0005-0000-0000-0000BDA10000}"/>
    <cellStyle name="Migliaia [0] 12 2" xfId="9061" xr:uid="{00000000-0005-0000-0000-0000BEA10000}"/>
    <cellStyle name="Migliaia [0] 12 2 2" xfId="17952" xr:uid="{00000000-0005-0000-0000-0000BFA10000}"/>
    <cellStyle name="Migliaia [0] 12 2 2 2" xfId="33612" xr:uid="{00000000-0005-0000-0000-0000C0A10000}"/>
    <cellStyle name="Migliaia [0] 12 2 2 3" xfId="48573" xr:uid="{00000000-0005-0000-0000-0000C1A10000}"/>
    <cellStyle name="Migliaia [0] 12 2 2 4" xfId="55096" xr:uid="{00000000-0005-0000-0000-0000C2A10000}"/>
    <cellStyle name="Migliaia [0] 12 2 3" xfId="56018" xr:uid="{00000000-0005-0000-0000-0000C3A10000}"/>
    <cellStyle name="Migliaia [0] 12 2 4" xfId="52741" xr:uid="{00000000-0005-0000-0000-0000C4A10000}"/>
    <cellStyle name="Migliaia [0] 12 3" xfId="9742" xr:uid="{00000000-0005-0000-0000-0000C5A10000}"/>
    <cellStyle name="Migliaia [0] 12 3 2" xfId="26067" xr:uid="{00000000-0005-0000-0000-0000C6A10000}"/>
    <cellStyle name="Migliaia [0] 12 3 3" xfId="41045" xr:uid="{00000000-0005-0000-0000-0000C7A10000}"/>
    <cellStyle name="Migliaia [0] 12 3 4" xfId="54528" xr:uid="{00000000-0005-0000-0000-0000C8A10000}"/>
    <cellStyle name="Migliaia [0] 12 4" xfId="16951" xr:uid="{00000000-0005-0000-0000-0000C9A10000}"/>
    <cellStyle name="Migliaia [0] 12 4 2" xfId="33066" xr:uid="{00000000-0005-0000-0000-0000CAA10000}"/>
    <cellStyle name="Migliaia [0] 12 4 3" xfId="48027" xr:uid="{00000000-0005-0000-0000-0000CBA10000}"/>
    <cellStyle name="Migliaia [0] 12 4 4" xfId="55472" xr:uid="{00000000-0005-0000-0000-0000CCA10000}"/>
    <cellStyle name="Migliaia [0] 12 5" xfId="19048" xr:uid="{00000000-0005-0000-0000-0000CDA10000}"/>
    <cellStyle name="Migliaia [0] 12 6" xfId="34043" xr:uid="{00000000-0005-0000-0000-0000CEA10000}"/>
    <cellStyle name="Migliaia [0] 12 7" xfId="48983" xr:uid="{00000000-0005-0000-0000-0000CFA10000}"/>
    <cellStyle name="Migliaia [0] 12 8" xfId="49388" xr:uid="{00000000-0005-0000-0000-0000D0A10000}"/>
    <cellStyle name="Migliaia [0] 12 9" xfId="49794" xr:uid="{00000000-0005-0000-0000-0000D1A10000}"/>
    <cellStyle name="Migliaia [0] 13" xfId="232" xr:uid="{00000000-0005-0000-0000-0000D2A10000}"/>
    <cellStyle name="Migliaia [0] 13 10" xfId="50203" xr:uid="{00000000-0005-0000-0000-0000D3A10000}"/>
    <cellStyle name="Migliaia [0] 13 11" xfId="50645" xr:uid="{00000000-0005-0000-0000-0000D4A10000}"/>
    <cellStyle name="Migliaia [0] 13 12" xfId="51364" xr:uid="{00000000-0005-0000-0000-0000D5A10000}"/>
    <cellStyle name="Migliaia [0] 13 13" xfId="51776" xr:uid="{00000000-0005-0000-0000-0000D6A10000}"/>
    <cellStyle name="Migliaia [0] 13 14" xfId="52191" xr:uid="{00000000-0005-0000-0000-0000D7A10000}"/>
    <cellStyle name="Migliaia [0] 13 2" xfId="9062" xr:uid="{00000000-0005-0000-0000-0000D8A10000}"/>
    <cellStyle name="Migliaia [0] 13 2 2" xfId="17953" xr:uid="{00000000-0005-0000-0000-0000D9A10000}"/>
    <cellStyle name="Migliaia [0] 13 2 2 2" xfId="33613" xr:uid="{00000000-0005-0000-0000-0000DAA10000}"/>
    <cellStyle name="Migliaia [0] 13 2 2 3" xfId="48574" xr:uid="{00000000-0005-0000-0000-0000DBA10000}"/>
    <cellStyle name="Migliaia [0] 13 2 2 4" xfId="55097" xr:uid="{00000000-0005-0000-0000-0000DCA10000}"/>
    <cellStyle name="Migliaia [0] 13 2 3" xfId="56019" xr:uid="{00000000-0005-0000-0000-0000DDA10000}"/>
    <cellStyle name="Migliaia [0] 13 2 4" xfId="52742" xr:uid="{00000000-0005-0000-0000-0000DEA10000}"/>
    <cellStyle name="Migliaia [0] 13 3" xfId="9743" xr:uid="{00000000-0005-0000-0000-0000DFA10000}"/>
    <cellStyle name="Migliaia [0] 13 3 2" xfId="26068" xr:uid="{00000000-0005-0000-0000-0000E0A10000}"/>
    <cellStyle name="Migliaia [0] 13 3 3" xfId="41046" xr:uid="{00000000-0005-0000-0000-0000E1A10000}"/>
    <cellStyle name="Migliaia [0] 13 3 4" xfId="54529" xr:uid="{00000000-0005-0000-0000-0000E2A10000}"/>
    <cellStyle name="Migliaia [0] 13 4" xfId="16952" xr:uid="{00000000-0005-0000-0000-0000E3A10000}"/>
    <cellStyle name="Migliaia [0] 13 4 2" xfId="33067" xr:uid="{00000000-0005-0000-0000-0000E4A10000}"/>
    <cellStyle name="Migliaia [0] 13 4 3" xfId="48028" xr:uid="{00000000-0005-0000-0000-0000E5A10000}"/>
    <cellStyle name="Migliaia [0] 13 4 4" xfId="55473" xr:uid="{00000000-0005-0000-0000-0000E6A10000}"/>
    <cellStyle name="Migliaia [0] 13 5" xfId="19049" xr:uid="{00000000-0005-0000-0000-0000E7A10000}"/>
    <cellStyle name="Migliaia [0] 13 6" xfId="34044" xr:uid="{00000000-0005-0000-0000-0000E8A10000}"/>
    <cellStyle name="Migliaia [0] 13 7" xfId="48984" xr:uid="{00000000-0005-0000-0000-0000E9A10000}"/>
    <cellStyle name="Migliaia [0] 13 8" xfId="49389" xr:uid="{00000000-0005-0000-0000-0000EAA10000}"/>
    <cellStyle name="Migliaia [0] 13 9" xfId="49795" xr:uid="{00000000-0005-0000-0000-0000EBA10000}"/>
    <cellStyle name="Migliaia [0] 14" xfId="233" xr:uid="{00000000-0005-0000-0000-0000ECA10000}"/>
    <cellStyle name="Migliaia [0] 14 10" xfId="50204" xr:uid="{00000000-0005-0000-0000-0000EDA10000}"/>
    <cellStyle name="Migliaia [0] 14 11" xfId="50646" xr:uid="{00000000-0005-0000-0000-0000EEA10000}"/>
    <cellStyle name="Migliaia [0] 14 12" xfId="51365" xr:uid="{00000000-0005-0000-0000-0000EFA10000}"/>
    <cellStyle name="Migliaia [0] 14 13" xfId="51777" xr:uid="{00000000-0005-0000-0000-0000F0A10000}"/>
    <cellStyle name="Migliaia [0] 14 14" xfId="52192" xr:uid="{00000000-0005-0000-0000-0000F1A10000}"/>
    <cellStyle name="Migliaia [0] 14 2" xfId="9063" xr:uid="{00000000-0005-0000-0000-0000F2A10000}"/>
    <cellStyle name="Migliaia [0] 14 2 2" xfId="17954" xr:uid="{00000000-0005-0000-0000-0000F3A10000}"/>
    <cellStyle name="Migliaia [0] 14 2 2 2" xfId="33614" xr:uid="{00000000-0005-0000-0000-0000F4A10000}"/>
    <cellStyle name="Migliaia [0] 14 2 2 3" xfId="48575" xr:uid="{00000000-0005-0000-0000-0000F5A10000}"/>
    <cellStyle name="Migliaia [0] 14 2 2 4" xfId="55098" xr:uid="{00000000-0005-0000-0000-0000F6A10000}"/>
    <cellStyle name="Migliaia [0] 14 2 3" xfId="56020" xr:uid="{00000000-0005-0000-0000-0000F7A10000}"/>
    <cellStyle name="Migliaia [0] 14 2 4" xfId="52743" xr:uid="{00000000-0005-0000-0000-0000F8A10000}"/>
    <cellStyle name="Migliaia [0] 14 3" xfId="9744" xr:uid="{00000000-0005-0000-0000-0000F9A10000}"/>
    <cellStyle name="Migliaia [0] 14 3 2" xfId="26069" xr:uid="{00000000-0005-0000-0000-0000FAA10000}"/>
    <cellStyle name="Migliaia [0] 14 3 3" xfId="41047" xr:uid="{00000000-0005-0000-0000-0000FBA10000}"/>
    <cellStyle name="Migliaia [0] 14 3 4" xfId="54530" xr:uid="{00000000-0005-0000-0000-0000FCA10000}"/>
    <cellStyle name="Migliaia [0] 14 4" xfId="16953" xr:uid="{00000000-0005-0000-0000-0000FDA10000}"/>
    <cellStyle name="Migliaia [0] 14 4 2" xfId="33068" xr:uid="{00000000-0005-0000-0000-0000FEA10000}"/>
    <cellStyle name="Migliaia [0] 14 4 3" xfId="48029" xr:uid="{00000000-0005-0000-0000-0000FFA10000}"/>
    <cellStyle name="Migliaia [0] 14 4 4" xfId="55474" xr:uid="{00000000-0005-0000-0000-000000A20000}"/>
    <cellStyle name="Migliaia [0] 14 5" xfId="19050" xr:uid="{00000000-0005-0000-0000-000001A20000}"/>
    <cellStyle name="Migliaia [0] 14 6" xfId="34045" xr:uid="{00000000-0005-0000-0000-000002A20000}"/>
    <cellStyle name="Migliaia [0] 14 7" xfId="48985" xr:uid="{00000000-0005-0000-0000-000003A20000}"/>
    <cellStyle name="Migliaia [0] 14 8" xfId="49390" xr:uid="{00000000-0005-0000-0000-000004A20000}"/>
    <cellStyle name="Migliaia [0] 14 9" xfId="49796" xr:uid="{00000000-0005-0000-0000-000005A20000}"/>
    <cellStyle name="Migliaia [0] 15" xfId="234" xr:uid="{00000000-0005-0000-0000-000006A20000}"/>
    <cellStyle name="Migliaia [0] 15 10" xfId="50205" xr:uid="{00000000-0005-0000-0000-000007A20000}"/>
    <cellStyle name="Migliaia [0] 15 11" xfId="50647" xr:uid="{00000000-0005-0000-0000-000008A20000}"/>
    <cellStyle name="Migliaia [0] 15 12" xfId="51366" xr:uid="{00000000-0005-0000-0000-000009A20000}"/>
    <cellStyle name="Migliaia [0] 15 13" xfId="51778" xr:uid="{00000000-0005-0000-0000-00000AA20000}"/>
    <cellStyle name="Migliaia [0] 15 14" xfId="52193" xr:uid="{00000000-0005-0000-0000-00000BA20000}"/>
    <cellStyle name="Migliaia [0] 15 2" xfId="9064" xr:uid="{00000000-0005-0000-0000-00000CA20000}"/>
    <cellStyle name="Migliaia [0] 15 2 2" xfId="17955" xr:uid="{00000000-0005-0000-0000-00000DA20000}"/>
    <cellStyle name="Migliaia [0] 15 2 2 2" xfId="33615" xr:uid="{00000000-0005-0000-0000-00000EA20000}"/>
    <cellStyle name="Migliaia [0] 15 2 2 3" xfId="48576" xr:uid="{00000000-0005-0000-0000-00000FA20000}"/>
    <cellStyle name="Migliaia [0] 15 2 2 4" xfId="55099" xr:uid="{00000000-0005-0000-0000-000010A20000}"/>
    <cellStyle name="Migliaia [0] 15 2 3" xfId="56021" xr:uid="{00000000-0005-0000-0000-000011A20000}"/>
    <cellStyle name="Migliaia [0] 15 2 4" xfId="52744" xr:uid="{00000000-0005-0000-0000-000012A20000}"/>
    <cellStyle name="Migliaia [0] 15 3" xfId="9745" xr:uid="{00000000-0005-0000-0000-000013A20000}"/>
    <cellStyle name="Migliaia [0] 15 3 2" xfId="26070" xr:uid="{00000000-0005-0000-0000-000014A20000}"/>
    <cellStyle name="Migliaia [0] 15 3 3" xfId="41048" xr:uid="{00000000-0005-0000-0000-000015A20000}"/>
    <cellStyle name="Migliaia [0] 15 3 4" xfId="54531" xr:uid="{00000000-0005-0000-0000-000016A20000}"/>
    <cellStyle name="Migliaia [0] 15 4" xfId="16954" xr:uid="{00000000-0005-0000-0000-000017A20000}"/>
    <cellStyle name="Migliaia [0] 15 4 2" xfId="33069" xr:uid="{00000000-0005-0000-0000-000018A20000}"/>
    <cellStyle name="Migliaia [0] 15 4 3" xfId="48030" xr:uid="{00000000-0005-0000-0000-000019A20000}"/>
    <cellStyle name="Migliaia [0] 15 4 4" xfId="55475" xr:uid="{00000000-0005-0000-0000-00001AA20000}"/>
    <cellStyle name="Migliaia [0] 15 5" xfId="19051" xr:uid="{00000000-0005-0000-0000-00001BA20000}"/>
    <cellStyle name="Migliaia [0] 15 6" xfId="34046" xr:uid="{00000000-0005-0000-0000-00001CA20000}"/>
    <cellStyle name="Migliaia [0] 15 7" xfId="48986" xr:uid="{00000000-0005-0000-0000-00001DA20000}"/>
    <cellStyle name="Migliaia [0] 15 8" xfId="49391" xr:uid="{00000000-0005-0000-0000-00001EA20000}"/>
    <cellStyle name="Migliaia [0] 15 9" xfId="49797" xr:uid="{00000000-0005-0000-0000-00001FA20000}"/>
    <cellStyle name="Migliaia [0] 16" xfId="235" xr:uid="{00000000-0005-0000-0000-000020A20000}"/>
    <cellStyle name="Migliaia [0] 16 10" xfId="50206" xr:uid="{00000000-0005-0000-0000-000021A20000}"/>
    <cellStyle name="Migliaia [0] 16 11" xfId="50648" xr:uid="{00000000-0005-0000-0000-000022A20000}"/>
    <cellStyle name="Migliaia [0] 16 12" xfId="51367" xr:uid="{00000000-0005-0000-0000-000023A20000}"/>
    <cellStyle name="Migliaia [0] 16 13" xfId="51779" xr:uid="{00000000-0005-0000-0000-000024A20000}"/>
    <cellStyle name="Migliaia [0] 16 14" xfId="52194" xr:uid="{00000000-0005-0000-0000-000025A20000}"/>
    <cellStyle name="Migliaia [0] 16 2" xfId="9065" xr:uid="{00000000-0005-0000-0000-000026A20000}"/>
    <cellStyle name="Migliaia [0] 16 2 2" xfId="17956" xr:uid="{00000000-0005-0000-0000-000027A20000}"/>
    <cellStyle name="Migliaia [0] 16 2 2 2" xfId="33616" xr:uid="{00000000-0005-0000-0000-000028A20000}"/>
    <cellStyle name="Migliaia [0] 16 2 2 3" xfId="48577" xr:uid="{00000000-0005-0000-0000-000029A20000}"/>
    <cellStyle name="Migliaia [0] 16 2 2 4" xfId="55100" xr:uid="{00000000-0005-0000-0000-00002AA20000}"/>
    <cellStyle name="Migliaia [0] 16 2 3" xfId="56022" xr:uid="{00000000-0005-0000-0000-00002BA20000}"/>
    <cellStyle name="Migliaia [0] 16 2 4" xfId="52745" xr:uid="{00000000-0005-0000-0000-00002CA20000}"/>
    <cellStyle name="Migliaia [0] 16 3" xfId="9746" xr:uid="{00000000-0005-0000-0000-00002DA20000}"/>
    <cellStyle name="Migliaia [0] 16 3 2" xfId="26071" xr:uid="{00000000-0005-0000-0000-00002EA20000}"/>
    <cellStyle name="Migliaia [0] 16 3 3" xfId="41049" xr:uid="{00000000-0005-0000-0000-00002FA20000}"/>
    <cellStyle name="Migliaia [0] 16 3 4" xfId="54532" xr:uid="{00000000-0005-0000-0000-000030A20000}"/>
    <cellStyle name="Migliaia [0] 16 4" xfId="16955" xr:uid="{00000000-0005-0000-0000-000031A20000}"/>
    <cellStyle name="Migliaia [0] 16 4 2" xfId="33070" xr:uid="{00000000-0005-0000-0000-000032A20000}"/>
    <cellStyle name="Migliaia [0] 16 4 3" xfId="48031" xr:uid="{00000000-0005-0000-0000-000033A20000}"/>
    <cellStyle name="Migliaia [0] 16 4 4" xfId="55476" xr:uid="{00000000-0005-0000-0000-000034A20000}"/>
    <cellStyle name="Migliaia [0] 16 5" xfId="19052" xr:uid="{00000000-0005-0000-0000-000035A20000}"/>
    <cellStyle name="Migliaia [0] 16 6" xfId="34047" xr:uid="{00000000-0005-0000-0000-000036A20000}"/>
    <cellStyle name="Migliaia [0] 16 7" xfId="48987" xr:uid="{00000000-0005-0000-0000-000037A20000}"/>
    <cellStyle name="Migliaia [0] 16 8" xfId="49392" xr:uid="{00000000-0005-0000-0000-000038A20000}"/>
    <cellStyle name="Migliaia [0] 16 9" xfId="49798" xr:uid="{00000000-0005-0000-0000-000039A20000}"/>
    <cellStyle name="Migliaia [0] 17" xfId="236" xr:uid="{00000000-0005-0000-0000-00003AA20000}"/>
    <cellStyle name="Migliaia [0] 17 10" xfId="50207" xr:uid="{00000000-0005-0000-0000-00003BA20000}"/>
    <cellStyle name="Migliaia [0] 17 11" xfId="50649" xr:uid="{00000000-0005-0000-0000-00003CA20000}"/>
    <cellStyle name="Migliaia [0] 17 12" xfId="51368" xr:uid="{00000000-0005-0000-0000-00003DA20000}"/>
    <cellStyle name="Migliaia [0] 17 13" xfId="51780" xr:uid="{00000000-0005-0000-0000-00003EA20000}"/>
    <cellStyle name="Migliaia [0] 17 14" xfId="52195" xr:uid="{00000000-0005-0000-0000-00003FA20000}"/>
    <cellStyle name="Migliaia [0] 17 2" xfId="9066" xr:uid="{00000000-0005-0000-0000-000040A20000}"/>
    <cellStyle name="Migliaia [0] 17 2 2" xfId="17957" xr:uid="{00000000-0005-0000-0000-000041A20000}"/>
    <cellStyle name="Migliaia [0] 17 2 2 2" xfId="33617" xr:uid="{00000000-0005-0000-0000-000042A20000}"/>
    <cellStyle name="Migliaia [0] 17 2 2 3" xfId="48578" xr:uid="{00000000-0005-0000-0000-000043A20000}"/>
    <cellStyle name="Migliaia [0] 17 2 2 4" xfId="55101" xr:uid="{00000000-0005-0000-0000-000044A20000}"/>
    <cellStyle name="Migliaia [0] 17 2 3" xfId="56023" xr:uid="{00000000-0005-0000-0000-000045A20000}"/>
    <cellStyle name="Migliaia [0] 17 2 4" xfId="52746" xr:uid="{00000000-0005-0000-0000-000046A20000}"/>
    <cellStyle name="Migliaia [0] 17 3" xfId="9747" xr:uid="{00000000-0005-0000-0000-000047A20000}"/>
    <cellStyle name="Migliaia [0] 17 3 2" xfId="26072" xr:uid="{00000000-0005-0000-0000-000048A20000}"/>
    <cellStyle name="Migliaia [0] 17 3 3" xfId="41050" xr:uid="{00000000-0005-0000-0000-000049A20000}"/>
    <cellStyle name="Migliaia [0] 17 3 4" xfId="54533" xr:uid="{00000000-0005-0000-0000-00004AA20000}"/>
    <cellStyle name="Migliaia [0] 17 4" xfId="16956" xr:uid="{00000000-0005-0000-0000-00004BA20000}"/>
    <cellStyle name="Migliaia [0] 17 4 2" xfId="33071" xr:uid="{00000000-0005-0000-0000-00004CA20000}"/>
    <cellStyle name="Migliaia [0] 17 4 3" xfId="48032" xr:uid="{00000000-0005-0000-0000-00004DA20000}"/>
    <cellStyle name="Migliaia [0] 17 4 4" xfId="55477" xr:uid="{00000000-0005-0000-0000-00004EA20000}"/>
    <cellStyle name="Migliaia [0] 17 5" xfId="19053" xr:uid="{00000000-0005-0000-0000-00004FA20000}"/>
    <cellStyle name="Migliaia [0] 17 6" xfId="34048" xr:uid="{00000000-0005-0000-0000-000050A20000}"/>
    <cellStyle name="Migliaia [0] 17 7" xfId="48988" xr:uid="{00000000-0005-0000-0000-000051A20000}"/>
    <cellStyle name="Migliaia [0] 17 8" xfId="49393" xr:uid="{00000000-0005-0000-0000-000052A20000}"/>
    <cellStyle name="Migliaia [0] 17 9" xfId="49799" xr:uid="{00000000-0005-0000-0000-000053A20000}"/>
    <cellStyle name="Migliaia [0] 18" xfId="237" xr:uid="{00000000-0005-0000-0000-000054A20000}"/>
    <cellStyle name="Migliaia [0] 18 10" xfId="50208" xr:uid="{00000000-0005-0000-0000-000055A20000}"/>
    <cellStyle name="Migliaia [0] 18 11" xfId="50650" xr:uid="{00000000-0005-0000-0000-000056A20000}"/>
    <cellStyle name="Migliaia [0] 18 12" xfId="51369" xr:uid="{00000000-0005-0000-0000-000057A20000}"/>
    <cellStyle name="Migliaia [0] 18 13" xfId="51781" xr:uid="{00000000-0005-0000-0000-000058A20000}"/>
    <cellStyle name="Migliaia [0] 18 14" xfId="52196" xr:uid="{00000000-0005-0000-0000-000059A20000}"/>
    <cellStyle name="Migliaia [0] 18 2" xfId="9067" xr:uid="{00000000-0005-0000-0000-00005AA20000}"/>
    <cellStyle name="Migliaia [0] 18 2 2" xfId="17958" xr:uid="{00000000-0005-0000-0000-00005BA20000}"/>
    <cellStyle name="Migliaia [0] 18 2 2 2" xfId="33618" xr:uid="{00000000-0005-0000-0000-00005CA20000}"/>
    <cellStyle name="Migliaia [0] 18 2 2 3" xfId="48579" xr:uid="{00000000-0005-0000-0000-00005DA20000}"/>
    <cellStyle name="Migliaia [0] 18 2 2 4" xfId="55102" xr:uid="{00000000-0005-0000-0000-00005EA20000}"/>
    <cellStyle name="Migliaia [0] 18 2 3" xfId="56024" xr:uid="{00000000-0005-0000-0000-00005FA20000}"/>
    <cellStyle name="Migliaia [0] 18 2 4" xfId="52747" xr:uid="{00000000-0005-0000-0000-000060A20000}"/>
    <cellStyle name="Migliaia [0] 18 3" xfId="9748" xr:uid="{00000000-0005-0000-0000-000061A20000}"/>
    <cellStyle name="Migliaia [0] 18 3 2" xfId="26073" xr:uid="{00000000-0005-0000-0000-000062A20000}"/>
    <cellStyle name="Migliaia [0] 18 3 3" xfId="41051" xr:uid="{00000000-0005-0000-0000-000063A20000}"/>
    <cellStyle name="Migliaia [0] 18 3 4" xfId="54534" xr:uid="{00000000-0005-0000-0000-000064A20000}"/>
    <cellStyle name="Migliaia [0] 18 4" xfId="16957" xr:uid="{00000000-0005-0000-0000-000065A20000}"/>
    <cellStyle name="Migliaia [0] 18 4 2" xfId="33072" xr:uid="{00000000-0005-0000-0000-000066A20000}"/>
    <cellStyle name="Migliaia [0] 18 4 3" xfId="48033" xr:uid="{00000000-0005-0000-0000-000067A20000}"/>
    <cellStyle name="Migliaia [0] 18 4 4" xfId="55478" xr:uid="{00000000-0005-0000-0000-000068A20000}"/>
    <cellStyle name="Migliaia [0] 18 5" xfId="19054" xr:uid="{00000000-0005-0000-0000-000069A20000}"/>
    <cellStyle name="Migliaia [0] 18 6" xfId="34049" xr:uid="{00000000-0005-0000-0000-00006AA20000}"/>
    <cellStyle name="Migliaia [0] 18 7" xfId="48989" xr:uid="{00000000-0005-0000-0000-00006BA20000}"/>
    <cellStyle name="Migliaia [0] 18 8" xfId="49394" xr:uid="{00000000-0005-0000-0000-00006CA20000}"/>
    <cellStyle name="Migliaia [0] 18 9" xfId="49800" xr:uid="{00000000-0005-0000-0000-00006DA20000}"/>
    <cellStyle name="Migliaia [0] 19" xfId="238" xr:uid="{00000000-0005-0000-0000-00006EA20000}"/>
    <cellStyle name="Migliaia [0] 19 10" xfId="50209" xr:uid="{00000000-0005-0000-0000-00006FA20000}"/>
    <cellStyle name="Migliaia [0] 19 11" xfId="50651" xr:uid="{00000000-0005-0000-0000-000070A20000}"/>
    <cellStyle name="Migliaia [0] 19 12" xfId="51370" xr:uid="{00000000-0005-0000-0000-000071A20000}"/>
    <cellStyle name="Migliaia [0] 19 13" xfId="51782" xr:uid="{00000000-0005-0000-0000-000072A20000}"/>
    <cellStyle name="Migliaia [0] 19 14" xfId="52197" xr:uid="{00000000-0005-0000-0000-000073A20000}"/>
    <cellStyle name="Migliaia [0] 19 2" xfId="9068" xr:uid="{00000000-0005-0000-0000-000074A20000}"/>
    <cellStyle name="Migliaia [0] 19 2 2" xfId="17959" xr:uid="{00000000-0005-0000-0000-000075A20000}"/>
    <cellStyle name="Migliaia [0] 19 2 2 2" xfId="33619" xr:uid="{00000000-0005-0000-0000-000076A20000}"/>
    <cellStyle name="Migliaia [0] 19 2 2 3" xfId="48580" xr:uid="{00000000-0005-0000-0000-000077A20000}"/>
    <cellStyle name="Migliaia [0] 19 2 2 4" xfId="55103" xr:uid="{00000000-0005-0000-0000-000078A20000}"/>
    <cellStyle name="Migliaia [0] 19 2 3" xfId="56025" xr:uid="{00000000-0005-0000-0000-000079A20000}"/>
    <cellStyle name="Migliaia [0] 19 2 4" xfId="52748" xr:uid="{00000000-0005-0000-0000-00007AA20000}"/>
    <cellStyle name="Migliaia [0] 19 3" xfId="9749" xr:uid="{00000000-0005-0000-0000-00007BA20000}"/>
    <cellStyle name="Migliaia [0] 19 3 2" xfId="26074" xr:uid="{00000000-0005-0000-0000-00007CA20000}"/>
    <cellStyle name="Migliaia [0] 19 3 3" xfId="41052" xr:uid="{00000000-0005-0000-0000-00007DA20000}"/>
    <cellStyle name="Migliaia [0] 19 3 4" xfId="54535" xr:uid="{00000000-0005-0000-0000-00007EA20000}"/>
    <cellStyle name="Migliaia [0] 19 4" xfId="16958" xr:uid="{00000000-0005-0000-0000-00007FA20000}"/>
    <cellStyle name="Migliaia [0] 19 4 2" xfId="33073" xr:uid="{00000000-0005-0000-0000-000080A20000}"/>
    <cellStyle name="Migliaia [0] 19 4 3" xfId="48034" xr:uid="{00000000-0005-0000-0000-000081A20000}"/>
    <cellStyle name="Migliaia [0] 19 4 4" xfId="55479" xr:uid="{00000000-0005-0000-0000-000082A20000}"/>
    <cellStyle name="Migliaia [0] 19 5" xfId="19055" xr:uid="{00000000-0005-0000-0000-000083A20000}"/>
    <cellStyle name="Migliaia [0] 19 6" xfId="34050" xr:uid="{00000000-0005-0000-0000-000084A20000}"/>
    <cellStyle name="Migliaia [0] 19 7" xfId="48990" xr:uid="{00000000-0005-0000-0000-000085A20000}"/>
    <cellStyle name="Migliaia [0] 19 8" xfId="49395" xr:uid="{00000000-0005-0000-0000-000086A20000}"/>
    <cellStyle name="Migliaia [0] 19 9" xfId="49801" xr:uid="{00000000-0005-0000-0000-000087A20000}"/>
    <cellStyle name="Migliaia [0] 2" xfId="239" xr:uid="{00000000-0005-0000-0000-000088A20000}"/>
    <cellStyle name="Migliaia [0] 2 10" xfId="50210" xr:uid="{00000000-0005-0000-0000-000089A20000}"/>
    <cellStyle name="Migliaia [0] 2 11" xfId="50652" xr:uid="{00000000-0005-0000-0000-00008AA20000}"/>
    <cellStyle name="Migliaia [0] 2 12" xfId="51371" xr:uid="{00000000-0005-0000-0000-00008BA20000}"/>
    <cellStyle name="Migliaia [0] 2 13" xfId="51783" xr:uid="{00000000-0005-0000-0000-00008CA20000}"/>
    <cellStyle name="Migliaia [0] 2 14" xfId="52198" xr:uid="{00000000-0005-0000-0000-00008DA20000}"/>
    <cellStyle name="Migliaia [0] 2 2" xfId="9069" xr:uid="{00000000-0005-0000-0000-00008EA20000}"/>
    <cellStyle name="Migliaia [0] 2 2 2" xfId="17960" xr:uid="{00000000-0005-0000-0000-00008FA20000}"/>
    <cellStyle name="Migliaia [0] 2 2 2 2" xfId="33620" xr:uid="{00000000-0005-0000-0000-000090A20000}"/>
    <cellStyle name="Migliaia [0] 2 2 2 3" xfId="48581" xr:uid="{00000000-0005-0000-0000-000091A20000}"/>
    <cellStyle name="Migliaia [0] 2 2 2 4" xfId="55104" xr:uid="{00000000-0005-0000-0000-000092A20000}"/>
    <cellStyle name="Migliaia [0] 2 2 3" xfId="56026" xr:uid="{00000000-0005-0000-0000-000093A20000}"/>
    <cellStyle name="Migliaia [0] 2 2 4" xfId="52749" xr:uid="{00000000-0005-0000-0000-000094A20000}"/>
    <cellStyle name="Migliaia [0] 2 3" xfId="9750" xr:uid="{00000000-0005-0000-0000-000095A20000}"/>
    <cellStyle name="Migliaia [0] 2 3 2" xfId="26075" xr:uid="{00000000-0005-0000-0000-000096A20000}"/>
    <cellStyle name="Migliaia [0] 2 3 3" xfId="41053" xr:uid="{00000000-0005-0000-0000-000097A20000}"/>
    <cellStyle name="Migliaia [0] 2 3 4" xfId="54536" xr:uid="{00000000-0005-0000-0000-000098A20000}"/>
    <cellStyle name="Migliaia [0] 2 4" xfId="16959" xr:uid="{00000000-0005-0000-0000-000099A20000}"/>
    <cellStyle name="Migliaia [0] 2 4 2" xfId="33074" xr:uid="{00000000-0005-0000-0000-00009AA20000}"/>
    <cellStyle name="Migliaia [0] 2 4 3" xfId="48035" xr:uid="{00000000-0005-0000-0000-00009BA20000}"/>
    <cellStyle name="Migliaia [0] 2 4 4" xfId="55480" xr:uid="{00000000-0005-0000-0000-00009CA20000}"/>
    <cellStyle name="Migliaia [0] 2 5" xfId="19056" xr:uid="{00000000-0005-0000-0000-00009DA20000}"/>
    <cellStyle name="Migliaia [0] 2 6" xfId="34051" xr:uid="{00000000-0005-0000-0000-00009EA20000}"/>
    <cellStyle name="Migliaia [0] 2 7" xfId="48991" xr:uid="{00000000-0005-0000-0000-00009FA20000}"/>
    <cellStyle name="Migliaia [0] 2 8" xfId="49396" xr:uid="{00000000-0005-0000-0000-0000A0A20000}"/>
    <cellStyle name="Migliaia [0] 2 9" xfId="49802" xr:uid="{00000000-0005-0000-0000-0000A1A20000}"/>
    <cellStyle name="Migliaia [0] 20" xfId="240" xr:uid="{00000000-0005-0000-0000-0000A2A20000}"/>
    <cellStyle name="Migliaia [0] 20 10" xfId="50211" xr:uid="{00000000-0005-0000-0000-0000A3A20000}"/>
    <cellStyle name="Migliaia [0] 20 11" xfId="50653" xr:uid="{00000000-0005-0000-0000-0000A4A20000}"/>
    <cellStyle name="Migliaia [0] 20 12" xfId="51372" xr:uid="{00000000-0005-0000-0000-0000A5A20000}"/>
    <cellStyle name="Migliaia [0] 20 13" xfId="51784" xr:uid="{00000000-0005-0000-0000-0000A6A20000}"/>
    <cellStyle name="Migliaia [0] 20 14" xfId="52199" xr:uid="{00000000-0005-0000-0000-0000A7A20000}"/>
    <cellStyle name="Migliaia [0] 20 2" xfId="9070" xr:uid="{00000000-0005-0000-0000-0000A8A20000}"/>
    <cellStyle name="Migliaia [0] 20 2 2" xfId="17961" xr:uid="{00000000-0005-0000-0000-0000A9A20000}"/>
    <cellStyle name="Migliaia [0] 20 2 2 2" xfId="33621" xr:uid="{00000000-0005-0000-0000-0000AAA20000}"/>
    <cellStyle name="Migliaia [0] 20 2 2 3" xfId="48582" xr:uid="{00000000-0005-0000-0000-0000ABA20000}"/>
    <cellStyle name="Migliaia [0] 20 2 2 4" xfId="55105" xr:uid="{00000000-0005-0000-0000-0000ACA20000}"/>
    <cellStyle name="Migliaia [0] 20 2 3" xfId="56027" xr:uid="{00000000-0005-0000-0000-0000ADA20000}"/>
    <cellStyle name="Migliaia [0] 20 2 4" xfId="52750" xr:uid="{00000000-0005-0000-0000-0000AEA20000}"/>
    <cellStyle name="Migliaia [0] 20 3" xfId="9751" xr:uid="{00000000-0005-0000-0000-0000AFA20000}"/>
    <cellStyle name="Migliaia [0] 20 3 2" xfId="26076" xr:uid="{00000000-0005-0000-0000-0000B0A20000}"/>
    <cellStyle name="Migliaia [0] 20 3 3" xfId="41054" xr:uid="{00000000-0005-0000-0000-0000B1A20000}"/>
    <cellStyle name="Migliaia [0] 20 3 4" xfId="54537" xr:uid="{00000000-0005-0000-0000-0000B2A20000}"/>
    <cellStyle name="Migliaia [0] 20 4" xfId="16960" xr:uid="{00000000-0005-0000-0000-0000B3A20000}"/>
    <cellStyle name="Migliaia [0] 20 4 2" xfId="33075" xr:uid="{00000000-0005-0000-0000-0000B4A20000}"/>
    <cellStyle name="Migliaia [0] 20 4 3" xfId="48036" xr:uid="{00000000-0005-0000-0000-0000B5A20000}"/>
    <cellStyle name="Migliaia [0] 20 4 4" xfId="55481" xr:uid="{00000000-0005-0000-0000-0000B6A20000}"/>
    <cellStyle name="Migliaia [0] 20 5" xfId="19057" xr:uid="{00000000-0005-0000-0000-0000B7A20000}"/>
    <cellStyle name="Migliaia [0] 20 6" xfId="34052" xr:uid="{00000000-0005-0000-0000-0000B8A20000}"/>
    <cellStyle name="Migliaia [0] 20 7" xfId="48992" xr:uid="{00000000-0005-0000-0000-0000B9A20000}"/>
    <cellStyle name="Migliaia [0] 20 8" xfId="49397" xr:uid="{00000000-0005-0000-0000-0000BAA20000}"/>
    <cellStyle name="Migliaia [0] 20 9" xfId="49803" xr:uid="{00000000-0005-0000-0000-0000BBA20000}"/>
    <cellStyle name="Migliaia [0] 21" xfId="241" xr:uid="{00000000-0005-0000-0000-0000BCA20000}"/>
    <cellStyle name="Migliaia [0] 21 10" xfId="50212" xr:uid="{00000000-0005-0000-0000-0000BDA20000}"/>
    <cellStyle name="Migliaia [0] 21 11" xfId="50654" xr:uid="{00000000-0005-0000-0000-0000BEA20000}"/>
    <cellStyle name="Migliaia [0] 21 12" xfId="51373" xr:uid="{00000000-0005-0000-0000-0000BFA20000}"/>
    <cellStyle name="Migliaia [0] 21 13" xfId="51785" xr:uid="{00000000-0005-0000-0000-0000C0A20000}"/>
    <cellStyle name="Migliaia [0] 21 14" xfId="52200" xr:uid="{00000000-0005-0000-0000-0000C1A20000}"/>
    <cellStyle name="Migliaia [0] 21 2" xfId="9071" xr:uid="{00000000-0005-0000-0000-0000C2A20000}"/>
    <cellStyle name="Migliaia [0] 21 2 2" xfId="17962" xr:uid="{00000000-0005-0000-0000-0000C3A20000}"/>
    <cellStyle name="Migliaia [0] 21 2 2 2" xfId="33622" xr:uid="{00000000-0005-0000-0000-0000C4A20000}"/>
    <cellStyle name="Migliaia [0] 21 2 2 3" xfId="48583" xr:uid="{00000000-0005-0000-0000-0000C5A20000}"/>
    <cellStyle name="Migliaia [0] 21 2 2 4" xfId="55106" xr:uid="{00000000-0005-0000-0000-0000C6A20000}"/>
    <cellStyle name="Migliaia [0] 21 2 3" xfId="56028" xr:uid="{00000000-0005-0000-0000-0000C7A20000}"/>
    <cellStyle name="Migliaia [0] 21 2 4" xfId="52751" xr:uid="{00000000-0005-0000-0000-0000C8A20000}"/>
    <cellStyle name="Migliaia [0] 21 3" xfId="9752" xr:uid="{00000000-0005-0000-0000-0000C9A20000}"/>
    <cellStyle name="Migliaia [0] 21 3 2" xfId="26077" xr:uid="{00000000-0005-0000-0000-0000CAA20000}"/>
    <cellStyle name="Migliaia [0] 21 3 3" xfId="41055" xr:uid="{00000000-0005-0000-0000-0000CBA20000}"/>
    <cellStyle name="Migliaia [0] 21 3 4" xfId="54538" xr:uid="{00000000-0005-0000-0000-0000CCA20000}"/>
    <cellStyle name="Migliaia [0] 21 4" xfId="16961" xr:uid="{00000000-0005-0000-0000-0000CDA20000}"/>
    <cellStyle name="Migliaia [0] 21 4 2" xfId="33076" xr:uid="{00000000-0005-0000-0000-0000CEA20000}"/>
    <cellStyle name="Migliaia [0] 21 4 3" xfId="48037" xr:uid="{00000000-0005-0000-0000-0000CFA20000}"/>
    <cellStyle name="Migliaia [0] 21 4 4" xfId="55482" xr:uid="{00000000-0005-0000-0000-0000D0A20000}"/>
    <cellStyle name="Migliaia [0] 21 5" xfId="19058" xr:uid="{00000000-0005-0000-0000-0000D1A20000}"/>
    <cellStyle name="Migliaia [0] 21 6" xfId="34053" xr:uid="{00000000-0005-0000-0000-0000D2A20000}"/>
    <cellStyle name="Migliaia [0] 21 7" xfId="48993" xr:uid="{00000000-0005-0000-0000-0000D3A20000}"/>
    <cellStyle name="Migliaia [0] 21 8" xfId="49398" xr:uid="{00000000-0005-0000-0000-0000D4A20000}"/>
    <cellStyle name="Migliaia [0] 21 9" xfId="49804" xr:uid="{00000000-0005-0000-0000-0000D5A20000}"/>
    <cellStyle name="Migliaia [0] 22" xfId="242" xr:uid="{00000000-0005-0000-0000-0000D6A20000}"/>
    <cellStyle name="Migliaia [0] 22 10" xfId="50213" xr:uid="{00000000-0005-0000-0000-0000D7A20000}"/>
    <cellStyle name="Migliaia [0] 22 11" xfId="50655" xr:uid="{00000000-0005-0000-0000-0000D8A20000}"/>
    <cellStyle name="Migliaia [0] 22 12" xfId="51374" xr:uid="{00000000-0005-0000-0000-0000D9A20000}"/>
    <cellStyle name="Migliaia [0] 22 13" xfId="51786" xr:uid="{00000000-0005-0000-0000-0000DAA20000}"/>
    <cellStyle name="Migliaia [0] 22 14" xfId="52201" xr:uid="{00000000-0005-0000-0000-0000DBA20000}"/>
    <cellStyle name="Migliaia [0] 22 2" xfId="9072" xr:uid="{00000000-0005-0000-0000-0000DCA20000}"/>
    <cellStyle name="Migliaia [0] 22 2 2" xfId="17963" xr:uid="{00000000-0005-0000-0000-0000DDA20000}"/>
    <cellStyle name="Migliaia [0] 22 2 2 2" xfId="33623" xr:uid="{00000000-0005-0000-0000-0000DEA20000}"/>
    <cellStyle name="Migliaia [0] 22 2 2 3" xfId="48584" xr:uid="{00000000-0005-0000-0000-0000DFA20000}"/>
    <cellStyle name="Migliaia [0] 22 2 2 4" xfId="55107" xr:uid="{00000000-0005-0000-0000-0000E0A20000}"/>
    <cellStyle name="Migliaia [0] 22 2 3" xfId="56029" xr:uid="{00000000-0005-0000-0000-0000E1A20000}"/>
    <cellStyle name="Migliaia [0] 22 2 4" xfId="52752" xr:uid="{00000000-0005-0000-0000-0000E2A20000}"/>
    <cellStyle name="Migliaia [0] 22 3" xfId="9753" xr:uid="{00000000-0005-0000-0000-0000E3A20000}"/>
    <cellStyle name="Migliaia [0] 22 3 2" xfId="26078" xr:uid="{00000000-0005-0000-0000-0000E4A20000}"/>
    <cellStyle name="Migliaia [0] 22 3 3" xfId="41056" xr:uid="{00000000-0005-0000-0000-0000E5A20000}"/>
    <cellStyle name="Migliaia [0] 22 3 4" xfId="54539" xr:uid="{00000000-0005-0000-0000-0000E6A20000}"/>
    <cellStyle name="Migliaia [0] 22 4" xfId="16962" xr:uid="{00000000-0005-0000-0000-0000E7A20000}"/>
    <cellStyle name="Migliaia [0] 22 4 2" xfId="33077" xr:uid="{00000000-0005-0000-0000-0000E8A20000}"/>
    <cellStyle name="Migliaia [0] 22 4 3" xfId="48038" xr:uid="{00000000-0005-0000-0000-0000E9A20000}"/>
    <cellStyle name="Migliaia [0] 22 4 4" xfId="55483" xr:uid="{00000000-0005-0000-0000-0000EAA20000}"/>
    <cellStyle name="Migliaia [0] 22 5" xfId="19059" xr:uid="{00000000-0005-0000-0000-0000EBA20000}"/>
    <cellStyle name="Migliaia [0] 22 6" xfId="34054" xr:uid="{00000000-0005-0000-0000-0000ECA20000}"/>
    <cellStyle name="Migliaia [0] 22 7" xfId="48994" xr:uid="{00000000-0005-0000-0000-0000EDA20000}"/>
    <cellStyle name="Migliaia [0] 22 8" xfId="49399" xr:uid="{00000000-0005-0000-0000-0000EEA20000}"/>
    <cellStyle name="Migliaia [0] 22 9" xfId="49805" xr:uid="{00000000-0005-0000-0000-0000EFA20000}"/>
    <cellStyle name="Migliaia [0] 23" xfId="243" xr:uid="{00000000-0005-0000-0000-0000F0A20000}"/>
    <cellStyle name="Migliaia [0] 23 10" xfId="50214" xr:uid="{00000000-0005-0000-0000-0000F1A20000}"/>
    <cellStyle name="Migliaia [0] 23 11" xfId="50656" xr:uid="{00000000-0005-0000-0000-0000F2A20000}"/>
    <cellStyle name="Migliaia [0] 23 12" xfId="51375" xr:uid="{00000000-0005-0000-0000-0000F3A20000}"/>
    <cellStyle name="Migliaia [0] 23 13" xfId="51787" xr:uid="{00000000-0005-0000-0000-0000F4A20000}"/>
    <cellStyle name="Migliaia [0] 23 14" xfId="52202" xr:uid="{00000000-0005-0000-0000-0000F5A20000}"/>
    <cellStyle name="Migliaia [0] 23 2" xfId="9073" xr:uid="{00000000-0005-0000-0000-0000F6A20000}"/>
    <cellStyle name="Migliaia [0] 23 2 2" xfId="17964" xr:uid="{00000000-0005-0000-0000-0000F7A20000}"/>
    <cellStyle name="Migliaia [0] 23 2 2 2" xfId="33624" xr:uid="{00000000-0005-0000-0000-0000F8A20000}"/>
    <cellStyle name="Migliaia [0] 23 2 2 3" xfId="48585" xr:uid="{00000000-0005-0000-0000-0000F9A20000}"/>
    <cellStyle name="Migliaia [0] 23 2 2 4" xfId="55108" xr:uid="{00000000-0005-0000-0000-0000FAA20000}"/>
    <cellStyle name="Migliaia [0] 23 2 3" xfId="56030" xr:uid="{00000000-0005-0000-0000-0000FBA20000}"/>
    <cellStyle name="Migliaia [0] 23 2 4" xfId="52753" xr:uid="{00000000-0005-0000-0000-0000FCA20000}"/>
    <cellStyle name="Migliaia [0] 23 3" xfId="9754" xr:uid="{00000000-0005-0000-0000-0000FDA20000}"/>
    <cellStyle name="Migliaia [0] 23 3 2" xfId="26079" xr:uid="{00000000-0005-0000-0000-0000FEA20000}"/>
    <cellStyle name="Migliaia [0] 23 3 3" xfId="41057" xr:uid="{00000000-0005-0000-0000-0000FFA20000}"/>
    <cellStyle name="Migliaia [0] 23 3 4" xfId="54540" xr:uid="{00000000-0005-0000-0000-000000A30000}"/>
    <cellStyle name="Migliaia [0] 23 4" xfId="16963" xr:uid="{00000000-0005-0000-0000-000001A30000}"/>
    <cellStyle name="Migliaia [0] 23 4 2" xfId="33078" xr:uid="{00000000-0005-0000-0000-000002A30000}"/>
    <cellStyle name="Migliaia [0] 23 4 3" xfId="48039" xr:uid="{00000000-0005-0000-0000-000003A30000}"/>
    <cellStyle name="Migliaia [0] 23 4 4" xfId="55484" xr:uid="{00000000-0005-0000-0000-000004A30000}"/>
    <cellStyle name="Migliaia [0] 23 5" xfId="19060" xr:uid="{00000000-0005-0000-0000-000005A30000}"/>
    <cellStyle name="Migliaia [0] 23 6" xfId="34055" xr:uid="{00000000-0005-0000-0000-000006A30000}"/>
    <cellStyle name="Migliaia [0] 23 7" xfId="48995" xr:uid="{00000000-0005-0000-0000-000007A30000}"/>
    <cellStyle name="Migliaia [0] 23 8" xfId="49400" xr:uid="{00000000-0005-0000-0000-000008A30000}"/>
    <cellStyle name="Migliaia [0] 23 9" xfId="49806" xr:uid="{00000000-0005-0000-0000-000009A30000}"/>
    <cellStyle name="Migliaia [0] 24" xfId="244" xr:uid="{00000000-0005-0000-0000-00000AA30000}"/>
    <cellStyle name="Migliaia [0] 24 10" xfId="50215" xr:uid="{00000000-0005-0000-0000-00000BA30000}"/>
    <cellStyle name="Migliaia [0] 24 11" xfId="50657" xr:uid="{00000000-0005-0000-0000-00000CA30000}"/>
    <cellStyle name="Migliaia [0] 24 12" xfId="51376" xr:uid="{00000000-0005-0000-0000-00000DA30000}"/>
    <cellStyle name="Migliaia [0] 24 13" xfId="51788" xr:uid="{00000000-0005-0000-0000-00000EA30000}"/>
    <cellStyle name="Migliaia [0] 24 14" xfId="52203" xr:uid="{00000000-0005-0000-0000-00000FA30000}"/>
    <cellStyle name="Migliaia [0] 24 2" xfId="9074" xr:uid="{00000000-0005-0000-0000-000010A30000}"/>
    <cellStyle name="Migliaia [0] 24 2 2" xfId="17965" xr:uid="{00000000-0005-0000-0000-000011A30000}"/>
    <cellStyle name="Migliaia [0] 24 2 2 2" xfId="33625" xr:uid="{00000000-0005-0000-0000-000012A30000}"/>
    <cellStyle name="Migliaia [0] 24 2 2 3" xfId="48586" xr:uid="{00000000-0005-0000-0000-000013A30000}"/>
    <cellStyle name="Migliaia [0] 24 2 2 4" xfId="55109" xr:uid="{00000000-0005-0000-0000-000014A30000}"/>
    <cellStyle name="Migliaia [0] 24 2 3" xfId="56031" xr:uid="{00000000-0005-0000-0000-000015A30000}"/>
    <cellStyle name="Migliaia [0] 24 2 4" xfId="52754" xr:uid="{00000000-0005-0000-0000-000016A30000}"/>
    <cellStyle name="Migliaia [0] 24 3" xfId="9755" xr:uid="{00000000-0005-0000-0000-000017A30000}"/>
    <cellStyle name="Migliaia [0] 24 3 2" xfId="26080" xr:uid="{00000000-0005-0000-0000-000018A30000}"/>
    <cellStyle name="Migliaia [0] 24 3 3" xfId="41058" xr:uid="{00000000-0005-0000-0000-000019A30000}"/>
    <cellStyle name="Migliaia [0] 24 3 4" xfId="54541" xr:uid="{00000000-0005-0000-0000-00001AA30000}"/>
    <cellStyle name="Migliaia [0] 24 4" xfId="16964" xr:uid="{00000000-0005-0000-0000-00001BA30000}"/>
    <cellStyle name="Migliaia [0] 24 4 2" xfId="33079" xr:uid="{00000000-0005-0000-0000-00001CA30000}"/>
    <cellStyle name="Migliaia [0] 24 4 3" xfId="48040" xr:uid="{00000000-0005-0000-0000-00001DA30000}"/>
    <cellStyle name="Migliaia [0] 24 4 4" xfId="55485" xr:uid="{00000000-0005-0000-0000-00001EA30000}"/>
    <cellStyle name="Migliaia [0] 24 5" xfId="19061" xr:uid="{00000000-0005-0000-0000-00001FA30000}"/>
    <cellStyle name="Migliaia [0] 24 6" xfId="34056" xr:uid="{00000000-0005-0000-0000-000020A30000}"/>
    <cellStyle name="Migliaia [0] 24 7" xfId="48996" xr:uid="{00000000-0005-0000-0000-000021A30000}"/>
    <cellStyle name="Migliaia [0] 24 8" xfId="49401" xr:uid="{00000000-0005-0000-0000-000022A30000}"/>
    <cellStyle name="Migliaia [0] 24 9" xfId="49807" xr:uid="{00000000-0005-0000-0000-000023A30000}"/>
    <cellStyle name="Migliaia [0] 25" xfId="245" xr:uid="{00000000-0005-0000-0000-000024A30000}"/>
    <cellStyle name="Migliaia [0] 25 10" xfId="50216" xr:uid="{00000000-0005-0000-0000-000025A30000}"/>
    <cellStyle name="Migliaia [0] 25 11" xfId="50658" xr:uid="{00000000-0005-0000-0000-000026A30000}"/>
    <cellStyle name="Migliaia [0] 25 12" xfId="51377" xr:uid="{00000000-0005-0000-0000-000027A30000}"/>
    <cellStyle name="Migliaia [0] 25 13" xfId="51789" xr:uid="{00000000-0005-0000-0000-000028A30000}"/>
    <cellStyle name="Migliaia [0] 25 14" xfId="52204" xr:uid="{00000000-0005-0000-0000-000029A30000}"/>
    <cellStyle name="Migliaia [0] 25 2" xfId="9075" xr:uid="{00000000-0005-0000-0000-00002AA30000}"/>
    <cellStyle name="Migliaia [0] 25 2 2" xfId="17966" xr:uid="{00000000-0005-0000-0000-00002BA30000}"/>
    <cellStyle name="Migliaia [0] 25 2 2 2" xfId="33626" xr:uid="{00000000-0005-0000-0000-00002CA30000}"/>
    <cellStyle name="Migliaia [0] 25 2 2 3" xfId="48587" xr:uid="{00000000-0005-0000-0000-00002DA30000}"/>
    <cellStyle name="Migliaia [0] 25 2 2 4" xfId="55110" xr:uid="{00000000-0005-0000-0000-00002EA30000}"/>
    <cellStyle name="Migliaia [0] 25 2 3" xfId="56032" xr:uid="{00000000-0005-0000-0000-00002FA30000}"/>
    <cellStyle name="Migliaia [0] 25 2 4" xfId="52755" xr:uid="{00000000-0005-0000-0000-000030A30000}"/>
    <cellStyle name="Migliaia [0] 25 3" xfId="9756" xr:uid="{00000000-0005-0000-0000-000031A30000}"/>
    <cellStyle name="Migliaia [0] 25 3 2" xfId="26081" xr:uid="{00000000-0005-0000-0000-000032A30000}"/>
    <cellStyle name="Migliaia [0] 25 3 3" xfId="41059" xr:uid="{00000000-0005-0000-0000-000033A30000}"/>
    <cellStyle name="Migliaia [0] 25 3 4" xfId="54542" xr:uid="{00000000-0005-0000-0000-000034A30000}"/>
    <cellStyle name="Migliaia [0] 25 4" xfId="16965" xr:uid="{00000000-0005-0000-0000-000035A30000}"/>
    <cellStyle name="Migliaia [0] 25 4 2" xfId="33080" xr:uid="{00000000-0005-0000-0000-000036A30000}"/>
    <cellStyle name="Migliaia [0] 25 4 3" xfId="48041" xr:uid="{00000000-0005-0000-0000-000037A30000}"/>
    <cellStyle name="Migliaia [0] 25 4 4" xfId="55486" xr:uid="{00000000-0005-0000-0000-000038A30000}"/>
    <cellStyle name="Migliaia [0] 25 5" xfId="19062" xr:uid="{00000000-0005-0000-0000-000039A30000}"/>
    <cellStyle name="Migliaia [0] 25 6" xfId="34057" xr:uid="{00000000-0005-0000-0000-00003AA30000}"/>
    <cellStyle name="Migliaia [0] 25 7" xfId="48997" xr:uid="{00000000-0005-0000-0000-00003BA30000}"/>
    <cellStyle name="Migliaia [0] 25 8" xfId="49402" xr:uid="{00000000-0005-0000-0000-00003CA30000}"/>
    <cellStyle name="Migliaia [0] 25 9" xfId="49808" xr:uid="{00000000-0005-0000-0000-00003DA30000}"/>
    <cellStyle name="Migliaia [0] 26" xfId="246" xr:uid="{00000000-0005-0000-0000-00003EA30000}"/>
    <cellStyle name="Migliaia [0] 26 10" xfId="50217" xr:uid="{00000000-0005-0000-0000-00003FA30000}"/>
    <cellStyle name="Migliaia [0] 26 11" xfId="50659" xr:uid="{00000000-0005-0000-0000-000040A30000}"/>
    <cellStyle name="Migliaia [0] 26 12" xfId="51378" xr:uid="{00000000-0005-0000-0000-000041A30000}"/>
    <cellStyle name="Migliaia [0] 26 13" xfId="51790" xr:uid="{00000000-0005-0000-0000-000042A30000}"/>
    <cellStyle name="Migliaia [0] 26 14" xfId="52205" xr:uid="{00000000-0005-0000-0000-000043A30000}"/>
    <cellStyle name="Migliaia [0] 26 2" xfId="9076" xr:uid="{00000000-0005-0000-0000-000044A30000}"/>
    <cellStyle name="Migliaia [0] 26 2 2" xfId="17967" xr:uid="{00000000-0005-0000-0000-000045A30000}"/>
    <cellStyle name="Migliaia [0] 26 2 2 2" xfId="33627" xr:uid="{00000000-0005-0000-0000-000046A30000}"/>
    <cellStyle name="Migliaia [0] 26 2 2 3" xfId="48588" xr:uid="{00000000-0005-0000-0000-000047A30000}"/>
    <cellStyle name="Migliaia [0] 26 2 2 4" xfId="55111" xr:uid="{00000000-0005-0000-0000-000048A30000}"/>
    <cellStyle name="Migliaia [0] 26 2 3" xfId="56033" xr:uid="{00000000-0005-0000-0000-000049A30000}"/>
    <cellStyle name="Migliaia [0] 26 2 4" xfId="52756" xr:uid="{00000000-0005-0000-0000-00004AA30000}"/>
    <cellStyle name="Migliaia [0] 26 3" xfId="9757" xr:uid="{00000000-0005-0000-0000-00004BA30000}"/>
    <cellStyle name="Migliaia [0] 26 3 2" xfId="26082" xr:uid="{00000000-0005-0000-0000-00004CA30000}"/>
    <cellStyle name="Migliaia [0] 26 3 3" xfId="41060" xr:uid="{00000000-0005-0000-0000-00004DA30000}"/>
    <cellStyle name="Migliaia [0] 26 3 4" xfId="54543" xr:uid="{00000000-0005-0000-0000-00004EA30000}"/>
    <cellStyle name="Migliaia [0] 26 4" xfId="16966" xr:uid="{00000000-0005-0000-0000-00004FA30000}"/>
    <cellStyle name="Migliaia [0] 26 4 2" xfId="33081" xr:uid="{00000000-0005-0000-0000-000050A30000}"/>
    <cellStyle name="Migliaia [0] 26 4 3" xfId="48042" xr:uid="{00000000-0005-0000-0000-000051A30000}"/>
    <cellStyle name="Migliaia [0] 26 4 4" xfId="55487" xr:uid="{00000000-0005-0000-0000-000052A30000}"/>
    <cellStyle name="Migliaia [0] 26 5" xfId="19063" xr:uid="{00000000-0005-0000-0000-000053A30000}"/>
    <cellStyle name="Migliaia [0] 26 6" xfId="34058" xr:uid="{00000000-0005-0000-0000-000054A30000}"/>
    <cellStyle name="Migliaia [0] 26 7" xfId="48998" xr:uid="{00000000-0005-0000-0000-000055A30000}"/>
    <cellStyle name="Migliaia [0] 26 8" xfId="49403" xr:uid="{00000000-0005-0000-0000-000056A30000}"/>
    <cellStyle name="Migliaia [0] 26 9" xfId="49809" xr:uid="{00000000-0005-0000-0000-000057A30000}"/>
    <cellStyle name="Migliaia [0] 27" xfId="247" xr:uid="{00000000-0005-0000-0000-000058A30000}"/>
    <cellStyle name="Migliaia [0] 27 10" xfId="50218" xr:uid="{00000000-0005-0000-0000-000059A30000}"/>
    <cellStyle name="Migliaia [0] 27 11" xfId="50660" xr:uid="{00000000-0005-0000-0000-00005AA30000}"/>
    <cellStyle name="Migliaia [0] 27 12" xfId="51379" xr:uid="{00000000-0005-0000-0000-00005BA30000}"/>
    <cellStyle name="Migliaia [0] 27 13" xfId="51791" xr:uid="{00000000-0005-0000-0000-00005CA30000}"/>
    <cellStyle name="Migliaia [0] 27 14" xfId="52206" xr:uid="{00000000-0005-0000-0000-00005DA30000}"/>
    <cellStyle name="Migliaia [0] 27 2" xfId="9077" xr:uid="{00000000-0005-0000-0000-00005EA30000}"/>
    <cellStyle name="Migliaia [0] 27 2 2" xfId="17968" xr:uid="{00000000-0005-0000-0000-00005FA30000}"/>
    <cellStyle name="Migliaia [0] 27 2 2 2" xfId="33628" xr:uid="{00000000-0005-0000-0000-000060A30000}"/>
    <cellStyle name="Migliaia [0] 27 2 2 3" xfId="48589" xr:uid="{00000000-0005-0000-0000-000061A30000}"/>
    <cellStyle name="Migliaia [0] 27 2 2 4" xfId="55112" xr:uid="{00000000-0005-0000-0000-000062A30000}"/>
    <cellStyle name="Migliaia [0] 27 2 3" xfId="56034" xr:uid="{00000000-0005-0000-0000-000063A30000}"/>
    <cellStyle name="Migliaia [0] 27 2 4" xfId="52757" xr:uid="{00000000-0005-0000-0000-000064A30000}"/>
    <cellStyle name="Migliaia [0] 27 3" xfId="9758" xr:uid="{00000000-0005-0000-0000-000065A30000}"/>
    <cellStyle name="Migliaia [0] 27 3 2" xfId="26083" xr:uid="{00000000-0005-0000-0000-000066A30000}"/>
    <cellStyle name="Migliaia [0] 27 3 3" xfId="41061" xr:uid="{00000000-0005-0000-0000-000067A30000}"/>
    <cellStyle name="Migliaia [0] 27 3 4" xfId="54544" xr:uid="{00000000-0005-0000-0000-000068A30000}"/>
    <cellStyle name="Migliaia [0] 27 4" xfId="16967" xr:uid="{00000000-0005-0000-0000-000069A30000}"/>
    <cellStyle name="Migliaia [0] 27 4 2" xfId="33082" xr:uid="{00000000-0005-0000-0000-00006AA30000}"/>
    <cellStyle name="Migliaia [0] 27 4 3" xfId="48043" xr:uid="{00000000-0005-0000-0000-00006BA30000}"/>
    <cellStyle name="Migliaia [0] 27 4 4" xfId="55488" xr:uid="{00000000-0005-0000-0000-00006CA30000}"/>
    <cellStyle name="Migliaia [0] 27 5" xfId="19064" xr:uid="{00000000-0005-0000-0000-00006DA30000}"/>
    <cellStyle name="Migliaia [0] 27 6" xfId="34059" xr:uid="{00000000-0005-0000-0000-00006EA30000}"/>
    <cellStyle name="Migliaia [0] 27 7" xfId="48999" xr:uid="{00000000-0005-0000-0000-00006FA30000}"/>
    <cellStyle name="Migliaia [0] 27 8" xfId="49404" xr:uid="{00000000-0005-0000-0000-000070A30000}"/>
    <cellStyle name="Migliaia [0] 27 9" xfId="49810" xr:uid="{00000000-0005-0000-0000-000071A30000}"/>
    <cellStyle name="Migliaia [0] 28" xfId="248" xr:uid="{00000000-0005-0000-0000-000072A30000}"/>
    <cellStyle name="Migliaia [0] 28 10" xfId="50219" xr:uid="{00000000-0005-0000-0000-000073A30000}"/>
    <cellStyle name="Migliaia [0] 28 11" xfId="50661" xr:uid="{00000000-0005-0000-0000-000074A30000}"/>
    <cellStyle name="Migliaia [0] 28 12" xfId="51380" xr:uid="{00000000-0005-0000-0000-000075A30000}"/>
    <cellStyle name="Migliaia [0] 28 13" xfId="51792" xr:uid="{00000000-0005-0000-0000-000076A30000}"/>
    <cellStyle name="Migliaia [0] 28 14" xfId="52207" xr:uid="{00000000-0005-0000-0000-000077A30000}"/>
    <cellStyle name="Migliaia [0] 28 2" xfId="9078" xr:uid="{00000000-0005-0000-0000-000078A30000}"/>
    <cellStyle name="Migliaia [0] 28 2 2" xfId="17969" xr:uid="{00000000-0005-0000-0000-000079A30000}"/>
    <cellStyle name="Migliaia [0] 28 2 2 2" xfId="33629" xr:uid="{00000000-0005-0000-0000-00007AA30000}"/>
    <cellStyle name="Migliaia [0] 28 2 2 3" xfId="48590" xr:uid="{00000000-0005-0000-0000-00007BA30000}"/>
    <cellStyle name="Migliaia [0] 28 2 2 4" xfId="55113" xr:uid="{00000000-0005-0000-0000-00007CA30000}"/>
    <cellStyle name="Migliaia [0] 28 2 3" xfId="56035" xr:uid="{00000000-0005-0000-0000-00007DA30000}"/>
    <cellStyle name="Migliaia [0] 28 2 4" xfId="52758" xr:uid="{00000000-0005-0000-0000-00007EA30000}"/>
    <cellStyle name="Migliaia [0] 28 3" xfId="9759" xr:uid="{00000000-0005-0000-0000-00007FA30000}"/>
    <cellStyle name="Migliaia [0] 28 3 2" xfId="26084" xr:uid="{00000000-0005-0000-0000-000080A30000}"/>
    <cellStyle name="Migliaia [0] 28 3 3" xfId="41062" xr:uid="{00000000-0005-0000-0000-000081A30000}"/>
    <cellStyle name="Migliaia [0] 28 3 4" xfId="54545" xr:uid="{00000000-0005-0000-0000-000082A30000}"/>
    <cellStyle name="Migliaia [0] 28 4" xfId="16968" xr:uid="{00000000-0005-0000-0000-000083A30000}"/>
    <cellStyle name="Migliaia [0] 28 4 2" xfId="33083" xr:uid="{00000000-0005-0000-0000-000084A30000}"/>
    <cellStyle name="Migliaia [0] 28 4 3" xfId="48044" xr:uid="{00000000-0005-0000-0000-000085A30000}"/>
    <cellStyle name="Migliaia [0] 28 4 4" xfId="55489" xr:uid="{00000000-0005-0000-0000-000086A30000}"/>
    <cellStyle name="Migliaia [0] 28 5" xfId="19065" xr:uid="{00000000-0005-0000-0000-000087A30000}"/>
    <cellStyle name="Migliaia [0] 28 6" xfId="34060" xr:uid="{00000000-0005-0000-0000-000088A30000}"/>
    <cellStyle name="Migliaia [0] 28 7" xfId="49000" xr:uid="{00000000-0005-0000-0000-000089A30000}"/>
    <cellStyle name="Migliaia [0] 28 8" xfId="49405" xr:uid="{00000000-0005-0000-0000-00008AA30000}"/>
    <cellStyle name="Migliaia [0] 28 9" xfId="49811" xr:uid="{00000000-0005-0000-0000-00008BA30000}"/>
    <cellStyle name="Migliaia [0] 29" xfId="249" xr:uid="{00000000-0005-0000-0000-00008CA30000}"/>
    <cellStyle name="Migliaia [0] 29 10" xfId="50220" xr:uid="{00000000-0005-0000-0000-00008DA30000}"/>
    <cellStyle name="Migliaia [0] 29 11" xfId="50662" xr:uid="{00000000-0005-0000-0000-00008EA30000}"/>
    <cellStyle name="Migliaia [0] 29 12" xfId="51381" xr:uid="{00000000-0005-0000-0000-00008FA30000}"/>
    <cellStyle name="Migliaia [0] 29 13" xfId="51793" xr:uid="{00000000-0005-0000-0000-000090A30000}"/>
    <cellStyle name="Migliaia [0] 29 14" xfId="52208" xr:uid="{00000000-0005-0000-0000-000091A30000}"/>
    <cellStyle name="Migliaia [0] 29 2" xfId="9079" xr:uid="{00000000-0005-0000-0000-000092A30000}"/>
    <cellStyle name="Migliaia [0] 29 2 2" xfId="17970" xr:uid="{00000000-0005-0000-0000-000093A30000}"/>
    <cellStyle name="Migliaia [0] 29 2 2 2" xfId="33630" xr:uid="{00000000-0005-0000-0000-000094A30000}"/>
    <cellStyle name="Migliaia [0] 29 2 2 3" xfId="48591" xr:uid="{00000000-0005-0000-0000-000095A30000}"/>
    <cellStyle name="Migliaia [0] 29 2 2 4" xfId="55114" xr:uid="{00000000-0005-0000-0000-000096A30000}"/>
    <cellStyle name="Migliaia [0] 29 2 3" xfId="56036" xr:uid="{00000000-0005-0000-0000-000097A30000}"/>
    <cellStyle name="Migliaia [0] 29 2 4" xfId="52759" xr:uid="{00000000-0005-0000-0000-000098A30000}"/>
    <cellStyle name="Migliaia [0] 29 3" xfId="9760" xr:uid="{00000000-0005-0000-0000-000099A30000}"/>
    <cellStyle name="Migliaia [0] 29 3 2" xfId="26085" xr:uid="{00000000-0005-0000-0000-00009AA30000}"/>
    <cellStyle name="Migliaia [0] 29 3 3" xfId="41063" xr:uid="{00000000-0005-0000-0000-00009BA30000}"/>
    <cellStyle name="Migliaia [0] 29 3 4" xfId="54546" xr:uid="{00000000-0005-0000-0000-00009CA30000}"/>
    <cellStyle name="Migliaia [0] 29 4" xfId="16969" xr:uid="{00000000-0005-0000-0000-00009DA30000}"/>
    <cellStyle name="Migliaia [0] 29 4 2" xfId="33084" xr:uid="{00000000-0005-0000-0000-00009EA30000}"/>
    <cellStyle name="Migliaia [0] 29 4 3" xfId="48045" xr:uid="{00000000-0005-0000-0000-00009FA30000}"/>
    <cellStyle name="Migliaia [0] 29 4 4" xfId="55490" xr:uid="{00000000-0005-0000-0000-0000A0A30000}"/>
    <cellStyle name="Migliaia [0] 29 5" xfId="19066" xr:uid="{00000000-0005-0000-0000-0000A1A30000}"/>
    <cellStyle name="Migliaia [0] 29 6" xfId="34061" xr:uid="{00000000-0005-0000-0000-0000A2A30000}"/>
    <cellStyle name="Migliaia [0] 29 7" xfId="49001" xr:uid="{00000000-0005-0000-0000-0000A3A30000}"/>
    <cellStyle name="Migliaia [0] 29 8" xfId="49406" xr:uid="{00000000-0005-0000-0000-0000A4A30000}"/>
    <cellStyle name="Migliaia [0] 29 9" xfId="49812" xr:uid="{00000000-0005-0000-0000-0000A5A30000}"/>
    <cellStyle name="Migliaia [0] 3" xfId="250" xr:uid="{00000000-0005-0000-0000-0000A6A30000}"/>
    <cellStyle name="Migliaia [0] 3 10" xfId="50221" xr:uid="{00000000-0005-0000-0000-0000A7A30000}"/>
    <cellStyle name="Migliaia [0] 3 11" xfId="50663" xr:uid="{00000000-0005-0000-0000-0000A8A30000}"/>
    <cellStyle name="Migliaia [0] 3 12" xfId="51382" xr:uid="{00000000-0005-0000-0000-0000A9A30000}"/>
    <cellStyle name="Migliaia [0] 3 13" xfId="51794" xr:uid="{00000000-0005-0000-0000-0000AAA30000}"/>
    <cellStyle name="Migliaia [0] 3 14" xfId="52209" xr:uid="{00000000-0005-0000-0000-0000ABA30000}"/>
    <cellStyle name="Migliaia [0] 3 2" xfId="9080" xr:uid="{00000000-0005-0000-0000-0000ACA30000}"/>
    <cellStyle name="Migliaia [0] 3 2 2" xfId="17971" xr:uid="{00000000-0005-0000-0000-0000ADA30000}"/>
    <cellStyle name="Migliaia [0] 3 2 2 2" xfId="33631" xr:uid="{00000000-0005-0000-0000-0000AEA30000}"/>
    <cellStyle name="Migliaia [0] 3 2 2 3" xfId="48592" xr:uid="{00000000-0005-0000-0000-0000AFA30000}"/>
    <cellStyle name="Migliaia [0] 3 2 2 4" xfId="55115" xr:uid="{00000000-0005-0000-0000-0000B0A30000}"/>
    <cellStyle name="Migliaia [0] 3 2 3" xfId="56037" xr:uid="{00000000-0005-0000-0000-0000B1A30000}"/>
    <cellStyle name="Migliaia [0] 3 2 4" xfId="52760" xr:uid="{00000000-0005-0000-0000-0000B2A30000}"/>
    <cellStyle name="Migliaia [0] 3 3" xfId="9761" xr:uid="{00000000-0005-0000-0000-0000B3A30000}"/>
    <cellStyle name="Migliaia [0] 3 3 2" xfId="26086" xr:uid="{00000000-0005-0000-0000-0000B4A30000}"/>
    <cellStyle name="Migliaia [0] 3 3 3" xfId="41064" xr:uid="{00000000-0005-0000-0000-0000B5A30000}"/>
    <cellStyle name="Migliaia [0] 3 3 4" xfId="54547" xr:uid="{00000000-0005-0000-0000-0000B6A30000}"/>
    <cellStyle name="Migliaia [0] 3 4" xfId="16970" xr:uid="{00000000-0005-0000-0000-0000B7A30000}"/>
    <cellStyle name="Migliaia [0] 3 4 2" xfId="33085" xr:uid="{00000000-0005-0000-0000-0000B8A30000}"/>
    <cellStyle name="Migliaia [0] 3 4 3" xfId="48046" xr:uid="{00000000-0005-0000-0000-0000B9A30000}"/>
    <cellStyle name="Migliaia [0] 3 4 4" xfId="55491" xr:uid="{00000000-0005-0000-0000-0000BAA30000}"/>
    <cellStyle name="Migliaia [0] 3 5" xfId="19067" xr:uid="{00000000-0005-0000-0000-0000BBA30000}"/>
    <cellStyle name="Migliaia [0] 3 6" xfId="34062" xr:uid="{00000000-0005-0000-0000-0000BCA30000}"/>
    <cellStyle name="Migliaia [0] 3 7" xfId="49002" xr:uid="{00000000-0005-0000-0000-0000BDA30000}"/>
    <cellStyle name="Migliaia [0] 3 8" xfId="49407" xr:uid="{00000000-0005-0000-0000-0000BEA30000}"/>
    <cellStyle name="Migliaia [0] 3 9" xfId="49813" xr:uid="{00000000-0005-0000-0000-0000BFA30000}"/>
    <cellStyle name="Migliaia [0] 30" xfId="251" xr:uid="{00000000-0005-0000-0000-0000C0A30000}"/>
    <cellStyle name="Migliaia [0] 30 10" xfId="50222" xr:uid="{00000000-0005-0000-0000-0000C1A30000}"/>
    <cellStyle name="Migliaia [0] 30 11" xfId="50664" xr:uid="{00000000-0005-0000-0000-0000C2A30000}"/>
    <cellStyle name="Migliaia [0] 30 12" xfId="51383" xr:uid="{00000000-0005-0000-0000-0000C3A30000}"/>
    <cellStyle name="Migliaia [0] 30 13" xfId="51795" xr:uid="{00000000-0005-0000-0000-0000C4A30000}"/>
    <cellStyle name="Migliaia [0] 30 14" xfId="52210" xr:uid="{00000000-0005-0000-0000-0000C5A30000}"/>
    <cellStyle name="Migliaia [0] 30 2" xfId="9081" xr:uid="{00000000-0005-0000-0000-0000C6A30000}"/>
    <cellStyle name="Migliaia [0] 30 2 2" xfId="17972" xr:uid="{00000000-0005-0000-0000-0000C7A30000}"/>
    <cellStyle name="Migliaia [0] 30 2 2 2" xfId="33632" xr:uid="{00000000-0005-0000-0000-0000C8A30000}"/>
    <cellStyle name="Migliaia [0] 30 2 2 3" xfId="48593" xr:uid="{00000000-0005-0000-0000-0000C9A30000}"/>
    <cellStyle name="Migliaia [0] 30 2 2 4" xfId="55116" xr:uid="{00000000-0005-0000-0000-0000CAA30000}"/>
    <cellStyle name="Migliaia [0] 30 2 3" xfId="56038" xr:uid="{00000000-0005-0000-0000-0000CBA30000}"/>
    <cellStyle name="Migliaia [0] 30 2 4" xfId="52761" xr:uid="{00000000-0005-0000-0000-0000CCA30000}"/>
    <cellStyle name="Migliaia [0] 30 3" xfId="9762" xr:uid="{00000000-0005-0000-0000-0000CDA30000}"/>
    <cellStyle name="Migliaia [0] 30 3 2" xfId="26087" xr:uid="{00000000-0005-0000-0000-0000CEA30000}"/>
    <cellStyle name="Migliaia [0] 30 3 3" xfId="41065" xr:uid="{00000000-0005-0000-0000-0000CFA30000}"/>
    <cellStyle name="Migliaia [0] 30 3 4" xfId="54548" xr:uid="{00000000-0005-0000-0000-0000D0A30000}"/>
    <cellStyle name="Migliaia [0] 30 4" xfId="16971" xr:uid="{00000000-0005-0000-0000-0000D1A30000}"/>
    <cellStyle name="Migliaia [0] 30 4 2" xfId="33086" xr:uid="{00000000-0005-0000-0000-0000D2A30000}"/>
    <cellStyle name="Migliaia [0] 30 4 3" xfId="48047" xr:uid="{00000000-0005-0000-0000-0000D3A30000}"/>
    <cellStyle name="Migliaia [0] 30 4 4" xfId="55492" xr:uid="{00000000-0005-0000-0000-0000D4A30000}"/>
    <cellStyle name="Migliaia [0] 30 5" xfId="19068" xr:uid="{00000000-0005-0000-0000-0000D5A30000}"/>
    <cellStyle name="Migliaia [0] 30 6" xfId="34063" xr:uid="{00000000-0005-0000-0000-0000D6A30000}"/>
    <cellStyle name="Migliaia [0] 30 7" xfId="49003" xr:uid="{00000000-0005-0000-0000-0000D7A30000}"/>
    <cellStyle name="Migliaia [0] 30 8" xfId="49408" xr:uid="{00000000-0005-0000-0000-0000D8A30000}"/>
    <cellStyle name="Migliaia [0] 30 9" xfId="49814" xr:uid="{00000000-0005-0000-0000-0000D9A30000}"/>
    <cellStyle name="Migliaia [0] 31" xfId="252" xr:uid="{00000000-0005-0000-0000-0000DAA30000}"/>
    <cellStyle name="Migliaia [0] 31 10" xfId="50223" xr:uid="{00000000-0005-0000-0000-0000DBA30000}"/>
    <cellStyle name="Migliaia [0] 31 11" xfId="50665" xr:uid="{00000000-0005-0000-0000-0000DCA30000}"/>
    <cellStyle name="Migliaia [0] 31 12" xfId="51384" xr:uid="{00000000-0005-0000-0000-0000DDA30000}"/>
    <cellStyle name="Migliaia [0] 31 13" xfId="51796" xr:uid="{00000000-0005-0000-0000-0000DEA30000}"/>
    <cellStyle name="Migliaia [0] 31 14" xfId="52211" xr:uid="{00000000-0005-0000-0000-0000DFA30000}"/>
    <cellStyle name="Migliaia [0] 31 2" xfId="9082" xr:uid="{00000000-0005-0000-0000-0000E0A30000}"/>
    <cellStyle name="Migliaia [0] 31 2 2" xfId="17973" xr:uid="{00000000-0005-0000-0000-0000E1A30000}"/>
    <cellStyle name="Migliaia [0] 31 2 2 2" xfId="33633" xr:uid="{00000000-0005-0000-0000-0000E2A30000}"/>
    <cellStyle name="Migliaia [0] 31 2 2 3" xfId="48594" xr:uid="{00000000-0005-0000-0000-0000E3A30000}"/>
    <cellStyle name="Migliaia [0] 31 2 2 4" xfId="55117" xr:uid="{00000000-0005-0000-0000-0000E4A30000}"/>
    <cellStyle name="Migliaia [0] 31 2 3" xfId="56039" xr:uid="{00000000-0005-0000-0000-0000E5A30000}"/>
    <cellStyle name="Migliaia [0] 31 2 4" xfId="52762" xr:uid="{00000000-0005-0000-0000-0000E6A30000}"/>
    <cellStyle name="Migliaia [0] 31 3" xfId="9763" xr:uid="{00000000-0005-0000-0000-0000E7A30000}"/>
    <cellStyle name="Migliaia [0] 31 3 2" xfId="26088" xr:uid="{00000000-0005-0000-0000-0000E8A30000}"/>
    <cellStyle name="Migliaia [0] 31 3 3" xfId="41066" xr:uid="{00000000-0005-0000-0000-0000E9A30000}"/>
    <cellStyle name="Migliaia [0] 31 3 4" xfId="54549" xr:uid="{00000000-0005-0000-0000-0000EAA30000}"/>
    <cellStyle name="Migliaia [0] 31 4" xfId="16972" xr:uid="{00000000-0005-0000-0000-0000EBA30000}"/>
    <cellStyle name="Migliaia [0] 31 4 2" xfId="33087" xr:uid="{00000000-0005-0000-0000-0000ECA30000}"/>
    <cellStyle name="Migliaia [0] 31 4 3" xfId="48048" xr:uid="{00000000-0005-0000-0000-0000EDA30000}"/>
    <cellStyle name="Migliaia [0] 31 4 4" xfId="55493" xr:uid="{00000000-0005-0000-0000-0000EEA30000}"/>
    <cellStyle name="Migliaia [0] 31 5" xfId="19069" xr:uid="{00000000-0005-0000-0000-0000EFA30000}"/>
    <cellStyle name="Migliaia [0] 31 6" xfId="34064" xr:uid="{00000000-0005-0000-0000-0000F0A30000}"/>
    <cellStyle name="Migliaia [0] 31 7" xfId="49004" xr:uid="{00000000-0005-0000-0000-0000F1A30000}"/>
    <cellStyle name="Migliaia [0] 31 8" xfId="49409" xr:uid="{00000000-0005-0000-0000-0000F2A30000}"/>
    <cellStyle name="Migliaia [0] 31 9" xfId="49815" xr:uid="{00000000-0005-0000-0000-0000F3A30000}"/>
    <cellStyle name="Migliaia [0] 32" xfId="253" xr:uid="{00000000-0005-0000-0000-0000F4A30000}"/>
    <cellStyle name="Migliaia [0] 32 10" xfId="50224" xr:uid="{00000000-0005-0000-0000-0000F5A30000}"/>
    <cellStyle name="Migliaia [0] 32 11" xfId="50666" xr:uid="{00000000-0005-0000-0000-0000F6A30000}"/>
    <cellStyle name="Migliaia [0] 32 12" xfId="51385" xr:uid="{00000000-0005-0000-0000-0000F7A30000}"/>
    <cellStyle name="Migliaia [0] 32 13" xfId="51797" xr:uid="{00000000-0005-0000-0000-0000F8A30000}"/>
    <cellStyle name="Migliaia [0] 32 14" xfId="52212" xr:uid="{00000000-0005-0000-0000-0000F9A30000}"/>
    <cellStyle name="Migliaia [0] 32 2" xfId="9083" xr:uid="{00000000-0005-0000-0000-0000FAA30000}"/>
    <cellStyle name="Migliaia [0] 32 2 2" xfId="17974" xr:uid="{00000000-0005-0000-0000-0000FBA30000}"/>
    <cellStyle name="Migliaia [0] 32 2 2 2" xfId="33634" xr:uid="{00000000-0005-0000-0000-0000FCA30000}"/>
    <cellStyle name="Migliaia [0] 32 2 2 3" xfId="48595" xr:uid="{00000000-0005-0000-0000-0000FDA30000}"/>
    <cellStyle name="Migliaia [0] 32 2 2 4" xfId="55118" xr:uid="{00000000-0005-0000-0000-0000FEA30000}"/>
    <cellStyle name="Migliaia [0] 32 2 3" xfId="56040" xr:uid="{00000000-0005-0000-0000-0000FFA30000}"/>
    <cellStyle name="Migliaia [0] 32 2 4" xfId="52763" xr:uid="{00000000-0005-0000-0000-000000A40000}"/>
    <cellStyle name="Migliaia [0] 32 3" xfId="9764" xr:uid="{00000000-0005-0000-0000-000001A40000}"/>
    <cellStyle name="Migliaia [0] 32 3 2" xfId="26089" xr:uid="{00000000-0005-0000-0000-000002A40000}"/>
    <cellStyle name="Migliaia [0] 32 3 3" xfId="41067" xr:uid="{00000000-0005-0000-0000-000003A40000}"/>
    <cellStyle name="Migliaia [0] 32 3 4" xfId="54550" xr:uid="{00000000-0005-0000-0000-000004A40000}"/>
    <cellStyle name="Migliaia [0] 32 4" xfId="16973" xr:uid="{00000000-0005-0000-0000-000005A40000}"/>
    <cellStyle name="Migliaia [0] 32 4 2" xfId="33088" xr:uid="{00000000-0005-0000-0000-000006A40000}"/>
    <cellStyle name="Migliaia [0] 32 4 3" xfId="48049" xr:uid="{00000000-0005-0000-0000-000007A40000}"/>
    <cellStyle name="Migliaia [0] 32 4 4" xfId="55494" xr:uid="{00000000-0005-0000-0000-000008A40000}"/>
    <cellStyle name="Migliaia [0] 32 5" xfId="19070" xr:uid="{00000000-0005-0000-0000-000009A40000}"/>
    <cellStyle name="Migliaia [0] 32 6" xfId="34065" xr:uid="{00000000-0005-0000-0000-00000AA40000}"/>
    <cellStyle name="Migliaia [0] 32 7" xfId="49005" xr:uid="{00000000-0005-0000-0000-00000BA40000}"/>
    <cellStyle name="Migliaia [0] 32 8" xfId="49410" xr:uid="{00000000-0005-0000-0000-00000CA40000}"/>
    <cellStyle name="Migliaia [0] 32 9" xfId="49816" xr:uid="{00000000-0005-0000-0000-00000DA40000}"/>
    <cellStyle name="Migliaia [0] 33" xfId="254" xr:uid="{00000000-0005-0000-0000-00000EA40000}"/>
    <cellStyle name="Migliaia [0] 33 10" xfId="50225" xr:uid="{00000000-0005-0000-0000-00000FA40000}"/>
    <cellStyle name="Migliaia [0] 33 11" xfId="50667" xr:uid="{00000000-0005-0000-0000-000010A40000}"/>
    <cellStyle name="Migliaia [0] 33 12" xfId="51386" xr:uid="{00000000-0005-0000-0000-000011A40000}"/>
    <cellStyle name="Migliaia [0] 33 13" xfId="51798" xr:uid="{00000000-0005-0000-0000-000012A40000}"/>
    <cellStyle name="Migliaia [0] 33 14" xfId="52213" xr:uid="{00000000-0005-0000-0000-000013A40000}"/>
    <cellStyle name="Migliaia [0] 33 2" xfId="9084" xr:uid="{00000000-0005-0000-0000-000014A40000}"/>
    <cellStyle name="Migliaia [0] 33 2 2" xfId="17975" xr:uid="{00000000-0005-0000-0000-000015A40000}"/>
    <cellStyle name="Migliaia [0] 33 2 2 2" xfId="33635" xr:uid="{00000000-0005-0000-0000-000016A40000}"/>
    <cellStyle name="Migliaia [0] 33 2 2 3" xfId="48596" xr:uid="{00000000-0005-0000-0000-000017A40000}"/>
    <cellStyle name="Migliaia [0] 33 2 2 4" xfId="55119" xr:uid="{00000000-0005-0000-0000-000018A40000}"/>
    <cellStyle name="Migliaia [0] 33 2 3" xfId="56041" xr:uid="{00000000-0005-0000-0000-000019A40000}"/>
    <cellStyle name="Migliaia [0] 33 2 4" xfId="52764" xr:uid="{00000000-0005-0000-0000-00001AA40000}"/>
    <cellStyle name="Migliaia [0] 33 3" xfId="9765" xr:uid="{00000000-0005-0000-0000-00001BA40000}"/>
    <cellStyle name="Migliaia [0] 33 3 2" xfId="26090" xr:uid="{00000000-0005-0000-0000-00001CA40000}"/>
    <cellStyle name="Migliaia [0] 33 3 3" xfId="41068" xr:uid="{00000000-0005-0000-0000-00001DA40000}"/>
    <cellStyle name="Migliaia [0] 33 3 4" xfId="54551" xr:uid="{00000000-0005-0000-0000-00001EA40000}"/>
    <cellStyle name="Migliaia [0] 33 4" xfId="16974" xr:uid="{00000000-0005-0000-0000-00001FA40000}"/>
    <cellStyle name="Migliaia [0] 33 4 2" xfId="33089" xr:uid="{00000000-0005-0000-0000-000020A40000}"/>
    <cellStyle name="Migliaia [0] 33 4 3" xfId="48050" xr:uid="{00000000-0005-0000-0000-000021A40000}"/>
    <cellStyle name="Migliaia [0] 33 4 4" xfId="55495" xr:uid="{00000000-0005-0000-0000-000022A40000}"/>
    <cellStyle name="Migliaia [0] 33 5" xfId="19071" xr:uid="{00000000-0005-0000-0000-000023A40000}"/>
    <cellStyle name="Migliaia [0] 33 6" xfId="34066" xr:uid="{00000000-0005-0000-0000-000024A40000}"/>
    <cellStyle name="Migliaia [0] 33 7" xfId="49006" xr:uid="{00000000-0005-0000-0000-000025A40000}"/>
    <cellStyle name="Migliaia [0] 33 8" xfId="49411" xr:uid="{00000000-0005-0000-0000-000026A40000}"/>
    <cellStyle name="Migliaia [0] 33 9" xfId="49817" xr:uid="{00000000-0005-0000-0000-000027A40000}"/>
    <cellStyle name="Migliaia [0] 34" xfId="255" xr:uid="{00000000-0005-0000-0000-000028A40000}"/>
    <cellStyle name="Migliaia [0] 34 10" xfId="50226" xr:uid="{00000000-0005-0000-0000-000029A40000}"/>
    <cellStyle name="Migliaia [0] 34 11" xfId="50668" xr:uid="{00000000-0005-0000-0000-00002AA40000}"/>
    <cellStyle name="Migliaia [0] 34 12" xfId="51387" xr:uid="{00000000-0005-0000-0000-00002BA40000}"/>
    <cellStyle name="Migliaia [0] 34 13" xfId="51799" xr:uid="{00000000-0005-0000-0000-00002CA40000}"/>
    <cellStyle name="Migliaia [0] 34 14" xfId="52214" xr:uid="{00000000-0005-0000-0000-00002DA40000}"/>
    <cellStyle name="Migliaia [0] 34 2" xfId="9085" xr:uid="{00000000-0005-0000-0000-00002EA40000}"/>
    <cellStyle name="Migliaia [0] 34 2 2" xfId="17976" xr:uid="{00000000-0005-0000-0000-00002FA40000}"/>
    <cellStyle name="Migliaia [0] 34 2 2 2" xfId="33636" xr:uid="{00000000-0005-0000-0000-000030A40000}"/>
    <cellStyle name="Migliaia [0] 34 2 2 3" xfId="48597" xr:uid="{00000000-0005-0000-0000-000031A40000}"/>
    <cellStyle name="Migliaia [0] 34 2 2 4" xfId="55120" xr:uid="{00000000-0005-0000-0000-000032A40000}"/>
    <cellStyle name="Migliaia [0] 34 2 3" xfId="56042" xr:uid="{00000000-0005-0000-0000-000033A40000}"/>
    <cellStyle name="Migliaia [0] 34 2 4" xfId="52765" xr:uid="{00000000-0005-0000-0000-000034A40000}"/>
    <cellStyle name="Migliaia [0] 34 3" xfId="9766" xr:uid="{00000000-0005-0000-0000-000035A40000}"/>
    <cellStyle name="Migliaia [0] 34 3 2" xfId="26091" xr:uid="{00000000-0005-0000-0000-000036A40000}"/>
    <cellStyle name="Migliaia [0] 34 3 3" xfId="41069" xr:uid="{00000000-0005-0000-0000-000037A40000}"/>
    <cellStyle name="Migliaia [0] 34 3 4" xfId="54552" xr:uid="{00000000-0005-0000-0000-000038A40000}"/>
    <cellStyle name="Migliaia [0] 34 4" xfId="16975" xr:uid="{00000000-0005-0000-0000-000039A40000}"/>
    <cellStyle name="Migliaia [0] 34 4 2" xfId="33090" xr:uid="{00000000-0005-0000-0000-00003AA40000}"/>
    <cellStyle name="Migliaia [0] 34 4 3" xfId="48051" xr:uid="{00000000-0005-0000-0000-00003BA40000}"/>
    <cellStyle name="Migliaia [0] 34 4 4" xfId="55496" xr:uid="{00000000-0005-0000-0000-00003CA40000}"/>
    <cellStyle name="Migliaia [0] 34 5" xfId="19072" xr:uid="{00000000-0005-0000-0000-00003DA40000}"/>
    <cellStyle name="Migliaia [0] 34 6" xfId="34067" xr:uid="{00000000-0005-0000-0000-00003EA40000}"/>
    <cellStyle name="Migliaia [0] 34 7" xfId="49007" xr:uid="{00000000-0005-0000-0000-00003FA40000}"/>
    <cellStyle name="Migliaia [0] 34 8" xfId="49412" xr:uid="{00000000-0005-0000-0000-000040A40000}"/>
    <cellStyle name="Migliaia [0] 34 9" xfId="49818" xr:uid="{00000000-0005-0000-0000-000041A40000}"/>
    <cellStyle name="Migliaia [0] 35" xfId="256" xr:uid="{00000000-0005-0000-0000-000042A40000}"/>
    <cellStyle name="Migliaia [0] 35 10" xfId="50227" xr:uid="{00000000-0005-0000-0000-000043A40000}"/>
    <cellStyle name="Migliaia [0] 35 11" xfId="50669" xr:uid="{00000000-0005-0000-0000-000044A40000}"/>
    <cellStyle name="Migliaia [0] 35 12" xfId="51388" xr:uid="{00000000-0005-0000-0000-000045A40000}"/>
    <cellStyle name="Migliaia [0] 35 13" xfId="51800" xr:uid="{00000000-0005-0000-0000-000046A40000}"/>
    <cellStyle name="Migliaia [0] 35 14" xfId="52215" xr:uid="{00000000-0005-0000-0000-000047A40000}"/>
    <cellStyle name="Migliaia [0] 35 2" xfId="9086" xr:uid="{00000000-0005-0000-0000-000048A40000}"/>
    <cellStyle name="Migliaia [0] 35 2 2" xfId="17977" xr:uid="{00000000-0005-0000-0000-000049A40000}"/>
    <cellStyle name="Migliaia [0] 35 2 2 2" xfId="33637" xr:uid="{00000000-0005-0000-0000-00004AA40000}"/>
    <cellStyle name="Migliaia [0] 35 2 2 3" xfId="48598" xr:uid="{00000000-0005-0000-0000-00004BA40000}"/>
    <cellStyle name="Migliaia [0] 35 2 2 4" xfId="55121" xr:uid="{00000000-0005-0000-0000-00004CA40000}"/>
    <cellStyle name="Migliaia [0] 35 2 3" xfId="56043" xr:uid="{00000000-0005-0000-0000-00004DA40000}"/>
    <cellStyle name="Migliaia [0] 35 2 4" xfId="52766" xr:uid="{00000000-0005-0000-0000-00004EA40000}"/>
    <cellStyle name="Migliaia [0] 35 3" xfId="9767" xr:uid="{00000000-0005-0000-0000-00004FA40000}"/>
    <cellStyle name="Migliaia [0] 35 3 2" xfId="26092" xr:uid="{00000000-0005-0000-0000-000050A40000}"/>
    <cellStyle name="Migliaia [0] 35 3 3" xfId="41070" xr:uid="{00000000-0005-0000-0000-000051A40000}"/>
    <cellStyle name="Migliaia [0] 35 3 4" xfId="54553" xr:uid="{00000000-0005-0000-0000-000052A40000}"/>
    <cellStyle name="Migliaia [0] 35 4" xfId="16976" xr:uid="{00000000-0005-0000-0000-000053A40000}"/>
    <cellStyle name="Migliaia [0] 35 4 2" xfId="33091" xr:uid="{00000000-0005-0000-0000-000054A40000}"/>
    <cellStyle name="Migliaia [0] 35 4 3" xfId="48052" xr:uid="{00000000-0005-0000-0000-000055A40000}"/>
    <cellStyle name="Migliaia [0] 35 4 4" xfId="55497" xr:uid="{00000000-0005-0000-0000-000056A40000}"/>
    <cellStyle name="Migliaia [0] 35 5" xfId="19073" xr:uid="{00000000-0005-0000-0000-000057A40000}"/>
    <cellStyle name="Migliaia [0] 35 6" xfId="34068" xr:uid="{00000000-0005-0000-0000-000058A40000}"/>
    <cellStyle name="Migliaia [0] 35 7" xfId="49008" xr:uid="{00000000-0005-0000-0000-000059A40000}"/>
    <cellStyle name="Migliaia [0] 35 8" xfId="49413" xr:uid="{00000000-0005-0000-0000-00005AA40000}"/>
    <cellStyle name="Migliaia [0] 35 9" xfId="49819" xr:uid="{00000000-0005-0000-0000-00005BA40000}"/>
    <cellStyle name="Migliaia [0] 36" xfId="257" xr:uid="{00000000-0005-0000-0000-00005CA40000}"/>
    <cellStyle name="Migliaia [0] 36 10" xfId="50228" xr:uid="{00000000-0005-0000-0000-00005DA40000}"/>
    <cellStyle name="Migliaia [0] 36 11" xfId="50670" xr:uid="{00000000-0005-0000-0000-00005EA40000}"/>
    <cellStyle name="Migliaia [0] 36 12" xfId="51389" xr:uid="{00000000-0005-0000-0000-00005FA40000}"/>
    <cellStyle name="Migliaia [0] 36 13" xfId="51801" xr:uid="{00000000-0005-0000-0000-000060A40000}"/>
    <cellStyle name="Migliaia [0] 36 14" xfId="52216" xr:uid="{00000000-0005-0000-0000-000061A40000}"/>
    <cellStyle name="Migliaia [0] 36 2" xfId="9087" xr:uid="{00000000-0005-0000-0000-000062A40000}"/>
    <cellStyle name="Migliaia [0] 36 2 2" xfId="17978" xr:uid="{00000000-0005-0000-0000-000063A40000}"/>
    <cellStyle name="Migliaia [0] 36 2 2 2" xfId="33638" xr:uid="{00000000-0005-0000-0000-000064A40000}"/>
    <cellStyle name="Migliaia [0] 36 2 2 3" xfId="48599" xr:uid="{00000000-0005-0000-0000-000065A40000}"/>
    <cellStyle name="Migliaia [0] 36 2 2 4" xfId="55122" xr:uid="{00000000-0005-0000-0000-000066A40000}"/>
    <cellStyle name="Migliaia [0] 36 2 3" xfId="56044" xr:uid="{00000000-0005-0000-0000-000067A40000}"/>
    <cellStyle name="Migliaia [0] 36 2 4" xfId="52767" xr:uid="{00000000-0005-0000-0000-000068A40000}"/>
    <cellStyle name="Migliaia [0] 36 3" xfId="9768" xr:uid="{00000000-0005-0000-0000-000069A40000}"/>
    <cellStyle name="Migliaia [0] 36 3 2" xfId="26093" xr:uid="{00000000-0005-0000-0000-00006AA40000}"/>
    <cellStyle name="Migliaia [0] 36 3 3" xfId="41071" xr:uid="{00000000-0005-0000-0000-00006BA40000}"/>
    <cellStyle name="Migliaia [0] 36 3 4" xfId="54554" xr:uid="{00000000-0005-0000-0000-00006CA40000}"/>
    <cellStyle name="Migliaia [0] 36 4" xfId="16977" xr:uid="{00000000-0005-0000-0000-00006DA40000}"/>
    <cellStyle name="Migliaia [0] 36 4 2" xfId="33092" xr:uid="{00000000-0005-0000-0000-00006EA40000}"/>
    <cellStyle name="Migliaia [0] 36 4 3" xfId="48053" xr:uid="{00000000-0005-0000-0000-00006FA40000}"/>
    <cellStyle name="Migliaia [0] 36 4 4" xfId="55498" xr:uid="{00000000-0005-0000-0000-000070A40000}"/>
    <cellStyle name="Migliaia [0] 36 5" xfId="19074" xr:uid="{00000000-0005-0000-0000-000071A40000}"/>
    <cellStyle name="Migliaia [0] 36 6" xfId="34069" xr:uid="{00000000-0005-0000-0000-000072A40000}"/>
    <cellStyle name="Migliaia [0] 36 7" xfId="49009" xr:uid="{00000000-0005-0000-0000-000073A40000}"/>
    <cellStyle name="Migliaia [0] 36 8" xfId="49414" xr:uid="{00000000-0005-0000-0000-000074A40000}"/>
    <cellStyle name="Migliaia [0] 36 9" xfId="49820" xr:uid="{00000000-0005-0000-0000-000075A40000}"/>
    <cellStyle name="Migliaia [0] 37" xfId="258" xr:uid="{00000000-0005-0000-0000-000076A40000}"/>
    <cellStyle name="Migliaia [0] 37 10" xfId="50229" xr:uid="{00000000-0005-0000-0000-000077A40000}"/>
    <cellStyle name="Migliaia [0] 37 11" xfId="50671" xr:uid="{00000000-0005-0000-0000-000078A40000}"/>
    <cellStyle name="Migliaia [0] 37 12" xfId="51390" xr:uid="{00000000-0005-0000-0000-000079A40000}"/>
    <cellStyle name="Migliaia [0] 37 13" xfId="51802" xr:uid="{00000000-0005-0000-0000-00007AA40000}"/>
    <cellStyle name="Migliaia [0] 37 14" xfId="52217" xr:uid="{00000000-0005-0000-0000-00007BA40000}"/>
    <cellStyle name="Migliaia [0] 37 2" xfId="9088" xr:uid="{00000000-0005-0000-0000-00007CA40000}"/>
    <cellStyle name="Migliaia [0] 37 2 2" xfId="17979" xr:uid="{00000000-0005-0000-0000-00007DA40000}"/>
    <cellStyle name="Migliaia [0] 37 2 2 2" xfId="33639" xr:uid="{00000000-0005-0000-0000-00007EA40000}"/>
    <cellStyle name="Migliaia [0] 37 2 2 3" xfId="48600" xr:uid="{00000000-0005-0000-0000-00007FA40000}"/>
    <cellStyle name="Migliaia [0] 37 2 2 4" xfId="55123" xr:uid="{00000000-0005-0000-0000-000080A40000}"/>
    <cellStyle name="Migliaia [0] 37 2 3" xfId="56045" xr:uid="{00000000-0005-0000-0000-000081A40000}"/>
    <cellStyle name="Migliaia [0] 37 2 4" xfId="52768" xr:uid="{00000000-0005-0000-0000-000082A40000}"/>
    <cellStyle name="Migliaia [0] 37 3" xfId="9769" xr:uid="{00000000-0005-0000-0000-000083A40000}"/>
    <cellStyle name="Migliaia [0] 37 3 2" xfId="26094" xr:uid="{00000000-0005-0000-0000-000084A40000}"/>
    <cellStyle name="Migliaia [0] 37 3 3" xfId="41072" xr:uid="{00000000-0005-0000-0000-000085A40000}"/>
    <cellStyle name="Migliaia [0] 37 3 4" xfId="54555" xr:uid="{00000000-0005-0000-0000-000086A40000}"/>
    <cellStyle name="Migliaia [0] 37 4" xfId="16978" xr:uid="{00000000-0005-0000-0000-000087A40000}"/>
    <cellStyle name="Migliaia [0] 37 4 2" xfId="33093" xr:uid="{00000000-0005-0000-0000-000088A40000}"/>
    <cellStyle name="Migliaia [0] 37 4 3" xfId="48054" xr:uid="{00000000-0005-0000-0000-000089A40000}"/>
    <cellStyle name="Migliaia [0] 37 4 4" xfId="55499" xr:uid="{00000000-0005-0000-0000-00008AA40000}"/>
    <cellStyle name="Migliaia [0] 37 5" xfId="19075" xr:uid="{00000000-0005-0000-0000-00008BA40000}"/>
    <cellStyle name="Migliaia [0] 37 6" xfId="34070" xr:uid="{00000000-0005-0000-0000-00008CA40000}"/>
    <cellStyle name="Migliaia [0] 37 7" xfId="49010" xr:uid="{00000000-0005-0000-0000-00008DA40000}"/>
    <cellStyle name="Migliaia [0] 37 8" xfId="49415" xr:uid="{00000000-0005-0000-0000-00008EA40000}"/>
    <cellStyle name="Migliaia [0] 37 9" xfId="49821" xr:uid="{00000000-0005-0000-0000-00008FA40000}"/>
    <cellStyle name="Migliaia [0] 38" xfId="259" xr:uid="{00000000-0005-0000-0000-000090A40000}"/>
    <cellStyle name="Migliaia [0] 38 10" xfId="50230" xr:uid="{00000000-0005-0000-0000-000091A40000}"/>
    <cellStyle name="Migliaia [0] 38 11" xfId="50672" xr:uid="{00000000-0005-0000-0000-000092A40000}"/>
    <cellStyle name="Migliaia [0] 38 12" xfId="51391" xr:uid="{00000000-0005-0000-0000-000093A40000}"/>
    <cellStyle name="Migliaia [0] 38 13" xfId="51803" xr:uid="{00000000-0005-0000-0000-000094A40000}"/>
    <cellStyle name="Migliaia [0] 38 14" xfId="52218" xr:uid="{00000000-0005-0000-0000-000095A40000}"/>
    <cellStyle name="Migliaia [0] 38 2" xfId="9089" xr:uid="{00000000-0005-0000-0000-000096A40000}"/>
    <cellStyle name="Migliaia [0] 38 2 2" xfId="17980" xr:uid="{00000000-0005-0000-0000-000097A40000}"/>
    <cellStyle name="Migliaia [0] 38 2 2 2" xfId="33640" xr:uid="{00000000-0005-0000-0000-000098A40000}"/>
    <cellStyle name="Migliaia [0] 38 2 2 3" xfId="48601" xr:uid="{00000000-0005-0000-0000-000099A40000}"/>
    <cellStyle name="Migliaia [0] 38 2 2 4" xfId="55124" xr:uid="{00000000-0005-0000-0000-00009AA40000}"/>
    <cellStyle name="Migliaia [0] 38 2 3" xfId="56046" xr:uid="{00000000-0005-0000-0000-00009BA40000}"/>
    <cellStyle name="Migliaia [0] 38 2 4" xfId="52769" xr:uid="{00000000-0005-0000-0000-00009CA40000}"/>
    <cellStyle name="Migliaia [0] 38 3" xfId="9770" xr:uid="{00000000-0005-0000-0000-00009DA40000}"/>
    <cellStyle name="Migliaia [0] 38 3 2" xfId="26095" xr:uid="{00000000-0005-0000-0000-00009EA40000}"/>
    <cellStyle name="Migliaia [0] 38 3 3" xfId="41073" xr:uid="{00000000-0005-0000-0000-00009FA40000}"/>
    <cellStyle name="Migliaia [0] 38 3 4" xfId="54556" xr:uid="{00000000-0005-0000-0000-0000A0A40000}"/>
    <cellStyle name="Migliaia [0] 38 4" xfId="16979" xr:uid="{00000000-0005-0000-0000-0000A1A40000}"/>
    <cellStyle name="Migliaia [0] 38 4 2" xfId="33094" xr:uid="{00000000-0005-0000-0000-0000A2A40000}"/>
    <cellStyle name="Migliaia [0] 38 4 3" xfId="48055" xr:uid="{00000000-0005-0000-0000-0000A3A40000}"/>
    <cellStyle name="Migliaia [0] 38 4 4" xfId="55500" xr:uid="{00000000-0005-0000-0000-0000A4A40000}"/>
    <cellStyle name="Migliaia [0] 38 5" xfId="19076" xr:uid="{00000000-0005-0000-0000-0000A5A40000}"/>
    <cellStyle name="Migliaia [0] 38 6" xfId="34071" xr:uid="{00000000-0005-0000-0000-0000A6A40000}"/>
    <cellStyle name="Migliaia [0] 38 7" xfId="49011" xr:uid="{00000000-0005-0000-0000-0000A7A40000}"/>
    <cellStyle name="Migliaia [0] 38 8" xfId="49416" xr:uid="{00000000-0005-0000-0000-0000A8A40000}"/>
    <cellStyle name="Migliaia [0] 38 9" xfId="49822" xr:uid="{00000000-0005-0000-0000-0000A9A40000}"/>
    <cellStyle name="Migliaia [0] 39" xfId="260" xr:uid="{00000000-0005-0000-0000-0000AAA40000}"/>
    <cellStyle name="Migliaia [0] 39 10" xfId="50231" xr:uid="{00000000-0005-0000-0000-0000ABA40000}"/>
    <cellStyle name="Migliaia [0] 39 11" xfId="50673" xr:uid="{00000000-0005-0000-0000-0000ACA40000}"/>
    <cellStyle name="Migliaia [0] 39 12" xfId="51392" xr:uid="{00000000-0005-0000-0000-0000ADA40000}"/>
    <cellStyle name="Migliaia [0] 39 13" xfId="51804" xr:uid="{00000000-0005-0000-0000-0000AEA40000}"/>
    <cellStyle name="Migliaia [0] 39 14" xfId="52219" xr:uid="{00000000-0005-0000-0000-0000AFA40000}"/>
    <cellStyle name="Migliaia [0] 39 2" xfId="9090" xr:uid="{00000000-0005-0000-0000-0000B0A40000}"/>
    <cellStyle name="Migliaia [0] 39 2 2" xfId="17981" xr:uid="{00000000-0005-0000-0000-0000B1A40000}"/>
    <cellStyle name="Migliaia [0] 39 2 2 2" xfId="33641" xr:uid="{00000000-0005-0000-0000-0000B2A40000}"/>
    <cellStyle name="Migliaia [0] 39 2 2 3" xfId="48602" xr:uid="{00000000-0005-0000-0000-0000B3A40000}"/>
    <cellStyle name="Migliaia [0] 39 2 2 4" xfId="55125" xr:uid="{00000000-0005-0000-0000-0000B4A40000}"/>
    <cellStyle name="Migliaia [0] 39 2 3" xfId="56047" xr:uid="{00000000-0005-0000-0000-0000B5A40000}"/>
    <cellStyle name="Migliaia [0] 39 2 4" xfId="52770" xr:uid="{00000000-0005-0000-0000-0000B6A40000}"/>
    <cellStyle name="Migliaia [0] 39 3" xfId="9771" xr:uid="{00000000-0005-0000-0000-0000B7A40000}"/>
    <cellStyle name="Migliaia [0] 39 3 2" xfId="26096" xr:uid="{00000000-0005-0000-0000-0000B8A40000}"/>
    <cellStyle name="Migliaia [0] 39 3 3" xfId="41074" xr:uid="{00000000-0005-0000-0000-0000B9A40000}"/>
    <cellStyle name="Migliaia [0] 39 3 4" xfId="54557" xr:uid="{00000000-0005-0000-0000-0000BAA40000}"/>
    <cellStyle name="Migliaia [0] 39 4" xfId="16980" xr:uid="{00000000-0005-0000-0000-0000BBA40000}"/>
    <cellStyle name="Migliaia [0] 39 4 2" xfId="33095" xr:uid="{00000000-0005-0000-0000-0000BCA40000}"/>
    <cellStyle name="Migliaia [0] 39 4 3" xfId="48056" xr:uid="{00000000-0005-0000-0000-0000BDA40000}"/>
    <cellStyle name="Migliaia [0] 39 4 4" xfId="55501" xr:uid="{00000000-0005-0000-0000-0000BEA40000}"/>
    <cellStyle name="Migliaia [0] 39 5" xfId="19077" xr:uid="{00000000-0005-0000-0000-0000BFA40000}"/>
    <cellStyle name="Migliaia [0] 39 6" xfId="34072" xr:uid="{00000000-0005-0000-0000-0000C0A40000}"/>
    <cellStyle name="Migliaia [0] 39 7" xfId="49012" xr:uid="{00000000-0005-0000-0000-0000C1A40000}"/>
    <cellStyle name="Migliaia [0] 39 8" xfId="49417" xr:uid="{00000000-0005-0000-0000-0000C2A40000}"/>
    <cellStyle name="Migliaia [0] 39 9" xfId="49823" xr:uid="{00000000-0005-0000-0000-0000C3A40000}"/>
    <cellStyle name="Migliaia [0] 4" xfId="261" xr:uid="{00000000-0005-0000-0000-0000C4A40000}"/>
    <cellStyle name="Migliaia [0] 4 10" xfId="50232" xr:uid="{00000000-0005-0000-0000-0000C5A40000}"/>
    <cellStyle name="Migliaia [0] 4 11" xfId="50674" xr:uid="{00000000-0005-0000-0000-0000C6A40000}"/>
    <cellStyle name="Migliaia [0] 4 12" xfId="51393" xr:uid="{00000000-0005-0000-0000-0000C7A40000}"/>
    <cellStyle name="Migliaia [0] 4 13" xfId="51805" xr:uid="{00000000-0005-0000-0000-0000C8A40000}"/>
    <cellStyle name="Migliaia [0] 4 14" xfId="52220" xr:uid="{00000000-0005-0000-0000-0000C9A40000}"/>
    <cellStyle name="Migliaia [0] 4 2" xfId="9091" xr:uid="{00000000-0005-0000-0000-0000CAA40000}"/>
    <cellStyle name="Migliaia [0] 4 2 2" xfId="17982" xr:uid="{00000000-0005-0000-0000-0000CBA40000}"/>
    <cellStyle name="Migliaia [0] 4 2 2 2" xfId="33642" xr:uid="{00000000-0005-0000-0000-0000CCA40000}"/>
    <cellStyle name="Migliaia [0] 4 2 2 3" xfId="48603" xr:uid="{00000000-0005-0000-0000-0000CDA40000}"/>
    <cellStyle name="Migliaia [0] 4 2 2 4" xfId="55126" xr:uid="{00000000-0005-0000-0000-0000CEA40000}"/>
    <cellStyle name="Migliaia [0] 4 2 3" xfId="56048" xr:uid="{00000000-0005-0000-0000-0000CFA40000}"/>
    <cellStyle name="Migliaia [0] 4 2 4" xfId="52771" xr:uid="{00000000-0005-0000-0000-0000D0A40000}"/>
    <cellStyle name="Migliaia [0] 4 3" xfId="9772" xr:uid="{00000000-0005-0000-0000-0000D1A40000}"/>
    <cellStyle name="Migliaia [0] 4 3 2" xfId="26097" xr:uid="{00000000-0005-0000-0000-0000D2A40000}"/>
    <cellStyle name="Migliaia [0] 4 3 3" xfId="41075" xr:uid="{00000000-0005-0000-0000-0000D3A40000}"/>
    <cellStyle name="Migliaia [0] 4 3 4" xfId="54558" xr:uid="{00000000-0005-0000-0000-0000D4A40000}"/>
    <cellStyle name="Migliaia [0] 4 4" xfId="16981" xr:uid="{00000000-0005-0000-0000-0000D5A40000}"/>
    <cellStyle name="Migliaia [0] 4 4 2" xfId="33096" xr:uid="{00000000-0005-0000-0000-0000D6A40000}"/>
    <cellStyle name="Migliaia [0] 4 4 3" xfId="48057" xr:uid="{00000000-0005-0000-0000-0000D7A40000}"/>
    <cellStyle name="Migliaia [0] 4 4 4" xfId="55502" xr:uid="{00000000-0005-0000-0000-0000D8A40000}"/>
    <cellStyle name="Migliaia [0] 4 5" xfId="19078" xr:uid="{00000000-0005-0000-0000-0000D9A40000}"/>
    <cellStyle name="Migliaia [0] 4 6" xfId="34073" xr:uid="{00000000-0005-0000-0000-0000DAA40000}"/>
    <cellStyle name="Migliaia [0] 4 7" xfId="49013" xr:uid="{00000000-0005-0000-0000-0000DBA40000}"/>
    <cellStyle name="Migliaia [0] 4 8" xfId="49418" xr:uid="{00000000-0005-0000-0000-0000DCA40000}"/>
    <cellStyle name="Migliaia [0] 4 9" xfId="49824" xr:uid="{00000000-0005-0000-0000-0000DDA40000}"/>
    <cellStyle name="Migliaia [0] 40" xfId="262" xr:uid="{00000000-0005-0000-0000-0000DEA40000}"/>
    <cellStyle name="Migliaia [0] 40 10" xfId="50233" xr:uid="{00000000-0005-0000-0000-0000DFA40000}"/>
    <cellStyle name="Migliaia [0] 40 11" xfId="50675" xr:uid="{00000000-0005-0000-0000-0000E0A40000}"/>
    <cellStyle name="Migliaia [0] 40 12" xfId="51394" xr:uid="{00000000-0005-0000-0000-0000E1A40000}"/>
    <cellStyle name="Migliaia [0] 40 13" xfId="51806" xr:uid="{00000000-0005-0000-0000-0000E2A40000}"/>
    <cellStyle name="Migliaia [0] 40 14" xfId="52221" xr:uid="{00000000-0005-0000-0000-0000E3A40000}"/>
    <cellStyle name="Migliaia [0] 40 2" xfId="9092" xr:uid="{00000000-0005-0000-0000-0000E4A40000}"/>
    <cellStyle name="Migliaia [0] 40 2 2" xfId="17983" xr:uid="{00000000-0005-0000-0000-0000E5A40000}"/>
    <cellStyle name="Migliaia [0] 40 2 2 2" xfId="33643" xr:uid="{00000000-0005-0000-0000-0000E6A40000}"/>
    <cellStyle name="Migliaia [0] 40 2 2 3" xfId="48604" xr:uid="{00000000-0005-0000-0000-0000E7A40000}"/>
    <cellStyle name="Migliaia [0] 40 2 2 4" xfId="55127" xr:uid="{00000000-0005-0000-0000-0000E8A40000}"/>
    <cellStyle name="Migliaia [0] 40 2 3" xfId="56049" xr:uid="{00000000-0005-0000-0000-0000E9A40000}"/>
    <cellStyle name="Migliaia [0] 40 2 4" xfId="52772" xr:uid="{00000000-0005-0000-0000-0000EAA40000}"/>
    <cellStyle name="Migliaia [0] 40 3" xfId="9773" xr:uid="{00000000-0005-0000-0000-0000EBA40000}"/>
    <cellStyle name="Migliaia [0] 40 3 2" xfId="26098" xr:uid="{00000000-0005-0000-0000-0000ECA40000}"/>
    <cellStyle name="Migliaia [0] 40 3 3" xfId="41076" xr:uid="{00000000-0005-0000-0000-0000EDA40000}"/>
    <cellStyle name="Migliaia [0] 40 3 4" xfId="54559" xr:uid="{00000000-0005-0000-0000-0000EEA40000}"/>
    <cellStyle name="Migliaia [0] 40 4" xfId="16982" xr:uid="{00000000-0005-0000-0000-0000EFA40000}"/>
    <cellStyle name="Migliaia [0] 40 4 2" xfId="33097" xr:uid="{00000000-0005-0000-0000-0000F0A40000}"/>
    <cellStyle name="Migliaia [0] 40 4 3" xfId="48058" xr:uid="{00000000-0005-0000-0000-0000F1A40000}"/>
    <cellStyle name="Migliaia [0] 40 4 4" xfId="55503" xr:uid="{00000000-0005-0000-0000-0000F2A40000}"/>
    <cellStyle name="Migliaia [0] 40 5" xfId="19079" xr:uid="{00000000-0005-0000-0000-0000F3A40000}"/>
    <cellStyle name="Migliaia [0] 40 6" xfId="34074" xr:uid="{00000000-0005-0000-0000-0000F4A40000}"/>
    <cellStyle name="Migliaia [0] 40 7" xfId="49014" xr:uid="{00000000-0005-0000-0000-0000F5A40000}"/>
    <cellStyle name="Migliaia [0] 40 8" xfId="49419" xr:uid="{00000000-0005-0000-0000-0000F6A40000}"/>
    <cellStyle name="Migliaia [0] 40 9" xfId="49825" xr:uid="{00000000-0005-0000-0000-0000F7A40000}"/>
    <cellStyle name="Migliaia [0] 41" xfId="263" xr:uid="{00000000-0005-0000-0000-0000F8A40000}"/>
    <cellStyle name="Migliaia [0] 41 10" xfId="50234" xr:uid="{00000000-0005-0000-0000-0000F9A40000}"/>
    <cellStyle name="Migliaia [0] 41 11" xfId="50676" xr:uid="{00000000-0005-0000-0000-0000FAA40000}"/>
    <cellStyle name="Migliaia [0] 41 12" xfId="51395" xr:uid="{00000000-0005-0000-0000-0000FBA40000}"/>
    <cellStyle name="Migliaia [0] 41 13" xfId="51807" xr:uid="{00000000-0005-0000-0000-0000FCA40000}"/>
    <cellStyle name="Migliaia [0] 41 14" xfId="52222" xr:uid="{00000000-0005-0000-0000-0000FDA40000}"/>
    <cellStyle name="Migliaia [0] 41 2" xfId="9093" xr:uid="{00000000-0005-0000-0000-0000FEA40000}"/>
    <cellStyle name="Migliaia [0] 41 2 2" xfId="17984" xr:uid="{00000000-0005-0000-0000-0000FFA40000}"/>
    <cellStyle name="Migliaia [0] 41 2 2 2" xfId="33644" xr:uid="{00000000-0005-0000-0000-000000A50000}"/>
    <cellStyle name="Migliaia [0] 41 2 2 3" xfId="48605" xr:uid="{00000000-0005-0000-0000-000001A50000}"/>
    <cellStyle name="Migliaia [0] 41 2 2 4" xfId="55128" xr:uid="{00000000-0005-0000-0000-000002A50000}"/>
    <cellStyle name="Migliaia [0] 41 2 3" xfId="56050" xr:uid="{00000000-0005-0000-0000-000003A50000}"/>
    <cellStyle name="Migliaia [0] 41 2 4" xfId="52773" xr:uid="{00000000-0005-0000-0000-000004A50000}"/>
    <cellStyle name="Migliaia [0] 41 3" xfId="9774" xr:uid="{00000000-0005-0000-0000-000005A50000}"/>
    <cellStyle name="Migliaia [0] 41 3 2" xfId="26099" xr:uid="{00000000-0005-0000-0000-000006A50000}"/>
    <cellStyle name="Migliaia [0] 41 3 3" xfId="41077" xr:uid="{00000000-0005-0000-0000-000007A50000}"/>
    <cellStyle name="Migliaia [0] 41 3 4" xfId="54560" xr:uid="{00000000-0005-0000-0000-000008A50000}"/>
    <cellStyle name="Migliaia [0] 41 4" xfId="16983" xr:uid="{00000000-0005-0000-0000-000009A50000}"/>
    <cellStyle name="Migliaia [0] 41 4 2" xfId="33098" xr:uid="{00000000-0005-0000-0000-00000AA50000}"/>
    <cellStyle name="Migliaia [0] 41 4 3" xfId="48059" xr:uid="{00000000-0005-0000-0000-00000BA50000}"/>
    <cellStyle name="Migliaia [0] 41 4 4" xfId="55504" xr:uid="{00000000-0005-0000-0000-00000CA50000}"/>
    <cellStyle name="Migliaia [0] 41 5" xfId="19080" xr:uid="{00000000-0005-0000-0000-00000DA50000}"/>
    <cellStyle name="Migliaia [0] 41 6" xfId="34075" xr:uid="{00000000-0005-0000-0000-00000EA50000}"/>
    <cellStyle name="Migliaia [0] 41 7" xfId="49015" xr:uid="{00000000-0005-0000-0000-00000FA50000}"/>
    <cellStyle name="Migliaia [0] 41 8" xfId="49420" xr:uid="{00000000-0005-0000-0000-000010A50000}"/>
    <cellStyle name="Migliaia [0] 41 9" xfId="49826" xr:uid="{00000000-0005-0000-0000-000011A50000}"/>
    <cellStyle name="Migliaia [0] 42" xfId="264" xr:uid="{00000000-0005-0000-0000-000012A50000}"/>
    <cellStyle name="Migliaia [0] 42 10" xfId="50235" xr:uid="{00000000-0005-0000-0000-000013A50000}"/>
    <cellStyle name="Migliaia [0] 42 11" xfId="50677" xr:uid="{00000000-0005-0000-0000-000014A50000}"/>
    <cellStyle name="Migliaia [0] 42 12" xfId="51396" xr:uid="{00000000-0005-0000-0000-000015A50000}"/>
    <cellStyle name="Migliaia [0] 42 13" xfId="51808" xr:uid="{00000000-0005-0000-0000-000016A50000}"/>
    <cellStyle name="Migliaia [0] 42 14" xfId="52223" xr:uid="{00000000-0005-0000-0000-000017A50000}"/>
    <cellStyle name="Migliaia [0] 42 2" xfId="9094" xr:uid="{00000000-0005-0000-0000-000018A50000}"/>
    <cellStyle name="Migliaia [0] 42 2 2" xfId="17985" xr:uid="{00000000-0005-0000-0000-000019A50000}"/>
    <cellStyle name="Migliaia [0] 42 2 2 2" xfId="33645" xr:uid="{00000000-0005-0000-0000-00001AA50000}"/>
    <cellStyle name="Migliaia [0] 42 2 2 3" xfId="48606" xr:uid="{00000000-0005-0000-0000-00001BA50000}"/>
    <cellStyle name="Migliaia [0] 42 2 2 4" xfId="55129" xr:uid="{00000000-0005-0000-0000-00001CA50000}"/>
    <cellStyle name="Migliaia [0] 42 2 3" xfId="56051" xr:uid="{00000000-0005-0000-0000-00001DA50000}"/>
    <cellStyle name="Migliaia [0] 42 2 4" xfId="52774" xr:uid="{00000000-0005-0000-0000-00001EA50000}"/>
    <cellStyle name="Migliaia [0] 42 3" xfId="9775" xr:uid="{00000000-0005-0000-0000-00001FA50000}"/>
    <cellStyle name="Migliaia [0] 42 3 2" xfId="26100" xr:uid="{00000000-0005-0000-0000-000020A50000}"/>
    <cellStyle name="Migliaia [0] 42 3 3" xfId="41078" xr:uid="{00000000-0005-0000-0000-000021A50000}"/>
    <cellStyle name="Migliaia [0] 42 3 4" xfId="54561" xr:uid="{00000000-0005-0000-0000-000022A50000}"/>
    <cellStyle name="Migliaia [0] 42 4" xfId="16984" xr:uid="{00000000-0005-0000-0000-000023A50000}"/>
    <cellStyle name="Migliaia [0] 42 4 2" xfId="33099" xr:uid="{00000000-0005-0000-0000-000024A50000}"/>
    <cellStyle name="Migliaia [0] 42 4 3" xfId="48060" xr:uid="{00000000-0005-0000-0000-000025A50000}"/>
    <cellStyle name="Migliaia [0] 42 4 4" xfId="55505" xr:uid="{00000000-0005-0000-0000-000026A50000}"/>
    <cellStyle name="Migliaia [0] 42 5" xfId="19081" xr:uid="{00000000-0005-0000-0000-000027A50000}"/>
    <cellStyle name="Migliaia [0] 42 6" xfId="34076" xr:uid="{00000000-0005-0000-0000-000028A50000}"/>
    <cellStyle name="Migliaia [0] 42 7" xfId="49016" xr:uid="{00000000-0005-0000-0000-000029A50000}"/>
    <cellStyle name="Migliaia [0] 42 8" xfId="49421" xr:uid="{00000000-0005-0000-0000-00002AA50000}"/>
    <cellStyle name="Migliaia [0] 42 9" xfId="49827" xr:uid="{00000000-0005-0000-0000-00002BA50000}"/>
    <cellStyle name="Migliaia [0] 43" xfId="265" xr:uid="{00000000-0005-0000-0000-00002CA50000}"/>
    <cellStyle name="Migliaia [0] 43 10" xfId="50236" xr:uid="{00000000-0005-0000-0000-00002DA50000}"/>
    <cellStyle name="Migliaia [0] 43 11" xfId="50678" xr:uid="{00000000-0005-0000-0000-00002EA50000}"/>
    <cellStyle name="Migliaia [0] 43 12" xfId="51397" xr:uid="{00000000-0005-0000-0000-00002FA50000}"/>
    <cellStyle name="Migliaia [0] 43 13" xfId="51809" xr:uid="{00000000-0005-0000-0000-000030A50000}"/>
    <cellStyle name="Migliaia [0] 43 14" xfId="52224" xr:uid="{00000000-0005-0000-0000-000031A50000}"/>
    <cellStyle name="Migliaia [0] 43 2" xfId="9095" xr:uid="{00000000-0005-0000-0000-000032A50000}"/>
    <cellStyle name="Migliaia [0] 43 2 2" xfId="17986" xr:uid="{00000000-0005-0000-0000-000033A50000}"/>
    <cellStyle name="Migliaia [0] 43 2 2 2" xfId="33646" xr:uid="{00000000-0005-0000-0000-000034A50000}"/>
    <cellStyle name="Migliaia [0] 43 2 2 3" xfId="48607" xr:uid="{00000000-0005-0000-0000-000035A50000}"/>
    <cellStyle name="Migliaia [0] 43 2 2 4" xfId="55130" xr:uid="{00000000-0005-0000-0000-000036A50000}"/>
    <cellStyle name="Migliaia [0] 43 2 3" xfId="56052" xr:uid="{00000000-0005-0000-0000-000037A50000}"/>
    <cellStyle name="Migliaia [0] 43 2 4" xfId="52775" xr:uid="{00000000-0005-0000-0000-000038A50000}"/>
    <cellStyle name="Migliaia [0] 43 3" xfId="9776" xr:uid="{00000000-0005-0000-0000-000039A50000}"/>
    <cellStyle name="Migliaia [0] 43 3 2" xfId="26101" xr:uid="{00000000-0005-0000-0000-00003AA50000}"/>
    <cellStyle name="Migliaia [0] 43 3 3" xfId="41079" xr:uid="{00000000-0005-0000-0000-00003BA50000}"/>
    <cellStyle name="Migliaia [0] 43 3 4" xfId="54562" xr:uid="{00000000-0005-0000-0000-00003CA50000}"/>
    <cellStyle name="Migliaia [0] 43 4" xfId="16985" xr:uid="{00000000-0005-0000-0000-00003DA50000}"/>
    <cellStyle name="Migliaia [0] 43 4 2" xfId="33100" xr:uid="{00000000-0005-0000-0000-00003EA50000}"/>
    <cellStyle name="Migliaia [0] 43 4 3" xfId="48061" xr:uid="{00000000-0005-0000-0000-00003FA50000}"/>
    <cellStyle name="Migliaia [0] 43 4 4" xfId="55506" xr:uid="{00000000-0005-0000-0000-000040A50000}"/>
    <cellStyle name="Migliaia [0] 43 5" xfId="19082" xr:uid="{00000000-0005-0000-0000-000041A50000}"/>
    <cellStyle name="Migliaia [0] 43 6" xfId="34077" xr:uid="{00000000-0005-0000-0000-000042A50000}"/>
    <cellStyle name="Migliaia [0] 43 7" xfId="49017" xr:uid="{00000000-0005-0000-0000-000043A50000}"/>
    <cellStyle name="Migliaia [0] 43 8" xfId="49422" xr:uid="{00000000-0005-0000-0000-000044A50000}"/>
    <cellStyle name="Migliaia [0] 43 9" xfId="49828" xr:uid="{00000000-0005-0000-0000-000045A50000}"/>
    <cellStyle name="Migliaia [0] 44" xfId="266" xr:uid="{00000000-0005-0000-0000-000046A50000}"/>
    <cellStyle name="Migliaia [0] 44 10" xfId="50237" xr:uid="{00000000-0005-0000-0000-000047A50000}"/>
    <cellStyle name="Migliaia [0] 44 11" xfId="50679" xr:uid="{00000000-0005-0000-0000-000048A50000}"/>
    <cellStyle name="Migliaia [0] 44 12" xfId="51398" xr:uid="{00000000-0005-0000-0000-000049A50000}"/>
    <cellStyle name="Migliaia [0] 44 13" xfId="51810" xr:uid="{00000000-0005-0000-0000-00004AA50000}"/>
    <cellStyle name="Migliaia [0] 44 14" xfId="52225" xr:uid="{00000000-0005-0000-0000-00004BA50000}"/>
    <cellStyle name="Migliaia [0] 44 2" xfId="9096" xr:uid="{00000000-0005-0000-0000-00004CA50000}"/>
    <cellStyle name="Migliaia [0] 44 2 2" xfId="17987" xr:uid="{00000000-0005-0000-0000-00004DA50000}"/>
    <cellStyle name="Migliaia [0] 44 2 2 2" xfId="33647" xr:uid="{00000000-0005-0000-0000-00004EA50000}"/>
    <cellStyle name="Migliaia [0] 44 2 2 3" xfId="48608" xr:uid="{00000000-0005-0000-0000-00004FA50000}"/>
    <cellStyle name="Migliaia [0] 44 2 2 4" xfId="55131" xr:uid="{00000000-0005-0000-0000-000050A50000}"/>
    <cellStyle name="Migliaia [0] 44 2 3" xfId="56053" xr:uid="{00000000-0005-0000-0000-000051A50000}"/>
    <cellStyle name="Migliaia [0] 44 2 4" xfId="52776" xr:uid="{00000000-0005-0000-0000-000052A50000}"/>
    <cellStyle name="Migliaia [0] 44 3" xfId="9777" xr:uid="{00000000-0005-0000-0000-000053A50000}"/>
    <cellStyle name="Migliaia [0] 44 3 2" xfId="26102" xr:uid="{00000000-0005-0000-0000-000054A50000}"/>
    <cellStyle name="Migliaia [0] 44 3 3" xfId="41080" xr:uid="{00000000-0005-0000-0000-000055A50000}"/>
    <cellStyle name="Migliaia [0] 44 3 4" xfId="54563" xr:uid="{00000000-0005-0000-0000-000056A50000}"/>
    <cellStyle name="Migliaia [0] 44 4" xfId="16986" xr:uid="{00000000-0005-0000-0000-000057A50000}"/>
    <cellStyle name="Migliaia [0] 44 4 2" xfId="33101" xr:uid="{00000000-0005-0000-0000-000058A50000}"/>
    <cellStyle name="Migliaia [0] 44 4 3" xfId="48062" xr:uid="{00000000-0005-0000-0000-000059A50000}"/>
    <cellStyle name="Migliaia [0] 44 4 4" xfId="55507" xr:uid="{00000000-0005-0000-0000-00005AA50000}"/>
    <cellStyle name="Migliaia [0] 44 5" xfId="19083" xr:uid="{00000000-0005-0000-0000-00005BA50000}"/>
    <cellStyle name="Migliaia [0] 44 6" xfId="34078" xr:uid="{00000000-0005-0000-0000-00005CA50000}"/>
    <cellStyle name="Migliaia [0] 44 7" xfId="49018" xr:uid="{00000000-0005-0000-0000-00005DA50000}"/>
    <cellStyle name="Migliaia [0] 44 8" xfId="49423" xr:uid="{00000000-0005-0000-0000-00005EA50000}"/>
    <cellStyle name="Migliaia [0] 44 9" xfId="49829" xr:uid="{00000000-0005-0000-0000-00005FA50000}"/>
    <cellStyle name="Migliaia [0] 45" xfId="267" xr:uid="{00000000-0005-0000-0000-000060A50000}"/>
    <cellStyle name="Migliaia [0] 45 10" xfId="50238" xr:uid="{00000000-0005-0000-0000-000061A50000}"/>
    <cellStyle name="Migliaia [0] 45 11" xfId="50680" xr:uid="{00000000-0005-0000-0000-000062A50000}"/>
    <cellStyle name="Migliaia [0] 45 12" xfId="51399" xr:uid="{00000000-0005-0000-0000-000063A50000}"/>
    <cellStyle name="Migliaia [0] 45 13" xfId="51811" xr:uid="{00000000-0005-0000-0000-000064A50000}"/>
    <cellStyle name="Migliaia [0] 45 14" xfId="52226" xr:uid="{00000000-0005-0000-0000-000065A50000}"/>
    <cellStyle name="Migliaia [0] 45 2" xfId="9097" xr:uid="{00000000-0005-0000-0000-000066A50000}"/>
    <cellStyle name="Migliaia [0] 45 2 2" xfId="17988" xr:uid="{00000000-0005-0000-0000-000067A50000}"/>
    <cellStyle name="Migliaia [0] 45 2 2 2" xfId="33648" xr:uid="{00000000-0005-0000-0000-000068A50000}"/>
    <cellStyle name="Migliaia [0] 45 2 2 3" xfId="48609" xr:uid="{00000000-0005-0000-0000-000069A50000}"/>
    <cellStyle name="Migliaia [0] 45 2 2 4" xfId="55132" xr:uid="{00000000-0005-0000-0000-00006AA50000}"/>
    <cellStyle name="Migliaia [0] 45 2 3" xfId="56054" xr:uid="{00000000-0005-0000-0000-00006BA50000}"/>
    <cellStyle name="Migliaia [0] 45 2 4" xfId="52777" xr:uid="{00000000-0005-0000-0000-00006CA50000}"/>
    <cellStyle name="Migliaia [0] 45 3" xfId="9778" xr:uid="{00000000-0005-0000-0000-00006DA50000}"/>
    <cellStyle name="Migliaia [0] 45 3 2" xfId="26103" xr:uid="{00000000-0005-0000-0000-00006EA50000}"/>
    <cellStyle name="Migliaia [0] 45 3 3" xfId="41081" xr:uid="{00000000-0005-0000-0000-00006FA50000}"/>
    <cellStyle name="Migliaia [0] 45 3 4" xfId="54564" xr:uid="{00000000-0005-0000-0000-000070A50000}"/>
    <cellStyle name="Migliaia [0] 45 4" xfId="16987" xr:uid="{00000000-0005-0000-0000-000071A50000}"/>
    <cellStyle name="Migliaia [0] 45 4 2" xfId="33102" xr:uid="{00000000-0005-0000-0000-000072A50000}"/>
    <cellStyle name="Migliaia [0] 45 4 3" xfId="48063" xr:uid="{00000000-0005-0000-0000-000073A50000}"/>
    <cellStyle name="Migliaia [0] 45 4 4" xfId="55508" xr:uid="{00000000-0005-0000-0000-000074A50000}"/>
    <cellStyle name="Migliaia [0] 45 5" xfId="19084" xr:uid="{00000000-0005-0000-0000-000075A50000}"/>
    <cellStyle name="Migliaia [0] 45 6" xfId="34079" xr:uid="{00000000-0005-0000-0000-000076A50000}"/>
    <cellStyle name="Migliaia [0] 45 7" xfId="49019" xr:uid="{00000000-0005-0000-0000-000077A50000}"/>
    <cellStyle name="Migliaia [0] 45 8" xfId="49424" xr:uid="{00000000-0005-0000-0000-000078A50000}"/>
    <cellStyle name="Migliaia [0] 45 9" xfId="49830" xr:uid="{00000000-0005-0000-0000-000079A50000}"/>
    <cellStyle name="Migliaia [0] 46" xfId="268" xr:uid="{00000000-0005-0000-0000-00007AA50000}"/>
    <cellStyle name="Migliaia [0] 46 10" xfId="50239" xr:uid="{00000000-0005-0000-0000-00007BA50000}"/>
    <cellStyle name="Migliaia [0] 46 11" xfId="50681" xr:uid="{00000000-0005-0000-0000-00007CA50000}"/>
    <cellStyle name="Migliaia [0] 46 12" xfId="51400" xr:uid="{00000000-0005-0000-0000-00007DA50000}"/>
    <cellStyle name="Migliaia [0] 46 13" xfId="51812" xr:uid="{00000000-0005-0000-0000-00007EA50000}"/>
    <cellStyle name="Migliaia [0] 46 14" xfId="52227" xr:uid="{00000000-0005-0000-0000-00007FA50000}"/>
    <cellStyle name="Migliaia [0] 46 2" xfId="9098" xr:uid="{00000000-0005-0000-0000-000080A50000}"/>
    <cellStyle name="Migliaia [0] 46 2 2" xfId="17989" xr:uid="{00000000-0005-0000-0000-000081A50000}"/>
    <cellStyle name="Migliaia [0] 46 2 2 2" xfId="33649" xr:uid="{00000000-0005-0000-0000-000082A50000}"/>
    <cellStyle name="Migliaia [0] 46 2 2 3" xfId="48610" xr:uid="{00000000-0005-0000-0000-000083A50000}"/>
    <cellStyle name="Migliaia [0] 46 2 2 4" xfId="55133" xr:uid="{00000000-0005-0000-0000-000084A50000}"/>
    <cellStyle name="Migliaia [0] 46 2 3" xfId="56055" xr:uid="{00000000-0005-0000-0000-000085A50000}"/>
    <cellStyle name="Migliaia [0] 46 2 4" xfId="52778" xr:uid="{00000000-0005-0000-0000-000086A50000}"/>
    <cellStyle name="Migliaia [0] 46 3" xfId="9779" xr:uid="{00000000-0005-0000-0000-000087A50000}"/>
    <cellStyle name="Migliaia [0] 46 3 2" xfId="26104" xr:uid="{00000000-0005-0000-0000-000088A50000}"/>
    <cellStyle name="Migliaia [0] 46 3 3" xfId="41082" xr:uid="{00000000-0005-0000-0000-000089A50000}"/>
    <cellStyle name="Migliaia [0] 46 3 4" xfId="54565" xr:uid="{00000000-0005-0000-0000-00008AA50000}"/>
    <cellStyle name="Migliaia [0] 46 4" xfId="16988" xr:uid="{00000000-0005-0000-0000-00008BA50000}"/>
    <cellStyle name="Migliaia [0] 46 4 2" xfId="33103" xr:uid="{00000000-0005-0000-0000-00008CA50000}"/>
    <cellStyle name="Migliaia [0] 46 4 3" xfId="48064" xr:uid="{00000000-0005-0000-0000-00008DA50000}"/>
    <cellStyle name="Migliaia [0] 46 4 4" xfId="55509" xr:uid="{00000000-0005-0000-0000-00008EA50000}"/>
    <cellStyle name="Migliaia [0] 46 5" xfId="19085" xr:uid="{00000000-0005-0000-0000-00008FA50000}"/>
    <cellStyle name="Migliaia [0] 46 6" xfId="34080" xr:uid="{00000000-0005-0000-0000-000090A50000}"/>
    <cellStyle name="Migliaia [0] 46 7" xfId="49020" xr:uid="{00000000-0005-0000-0000-000091A50000}"/>
    <cellStyle name="Migliaia [0] 46 8" xfId="49425" xr:uid="{00000000-0005-0000-0000-000092A50000}"/>
    <cellStyle name="Migliaia [0] 46 9" xfId="49831" xr:uid="{00000000-0005-0000-0000-000093A50000}"/>
    <cellStyle name="Migliaia [0] 47" xfId="269" xr:uid="{00000000-0005-0000-0000-000094A50000}"/>
    <cellStyle name="Migliaia [0] 47 10" xfId="50240" xr:uid="{00000000-0005-0000-0000-000095A50000}"/>
    <cellStyle name="Migliaia [0] 47 11" xfId="50682" xr:uid="{00000000-0005-0000-0000-000096A50000}"/>
    <cellStyle name="Migliaia [0] 47 12" xfId="51401" xr:uid="{00000000-0005-0000-0000-000097A50000}"/>
    <cellStyle name="Migliaia [0] 47 13" xfId="51813" xr:uid="{00000000-0005-0000-0000-000098A50000}"/>
    <cellStyle name="Migliaia [0] 47 14" xfId="52228" xr:uid="{00000000-0005-0000-0000-000099A50000}"/>
    <cellStyle name="Migliaia [0] 47 2" xfId="9099" xr:uid="{00000000-0005-0000-0000-00009AA50000}"/>
    <cellStyle name="Migliaia [0] 47 2 2" xfId="17990" xr:uid="{00000000-0005-0000-0000-00009BA50000}"/>
    <cellStyle name="Migliaia [0] 47 2 2 2" xfId="33650" xr:uid="{00000000-0005-0000-0000-00009CA50000}"/>
    <cellStyle name="Migliaia [0] 47 2 2 3" xfId="48611" xr:uid="{00000000-0005-0000-0000-00009DA50000}"/>
    <cellStyle name="Migliaia [0] 47 2 2 4" xfId="55134" xr:uid="{00000000-0005-0000-0000-00009EA50000}"/>
    <cellStyle name="Migliaia [0] 47 2 3" xfId="56056" xr:uid="{00000000-0005-0000-0000-00009FA50000}"/>
    <cellStyle name="Migliaia [0] 47 2 4" xfId="52779" xr:uid="{00000000-0005-0000-0000-0000A0A50000}"/>
    <cellStyle name="Migliaia [0] 47 3" xfId="9780" xr:uid="{00000000-0005-0000-0000-0000A1A50000}"/>
    <cellStyle name="Migliaia [0] 47 3 2" xfId="26105" xr:uid="{00000000-0005-0000-0000-0000A2A50000}"/>
    <cellStyle name="Migliaia [0] 47 3 3" xfId="41083" xr:uid="{00000000-0005-0000-0000-0000A3A50000}"/>
    <cellStyle name="Migliaia [0] 47 3 4" xfId="54566" xr:uid="{00000000-0005-0000-0000-0000A4A50000}"/>
    <cellStyle name="Migliaia [0] 47 4" xfId="16989" xr:uid="{00000000-0005-0000-0000-0000A5A50000}"/>
    <cellStyle name="Migliaia [0] 47 4 2" xfId="33104" xr:uid="{00000000-0005-0000-0000-0000A6A50000}"/>
    <cellStyle name="Migliaia [0] 47 4 3" xfId="48065" xr:uid="{00000000-0005-0000-0000-0000A7A50000}"/>
    <cellStyle name="Migliaia [0] 47 4 4" xfId="55510" xr:uid="{00000000-0005-0000-0000-0000A8A50000}"/>
    <cellStyle name="Migliaia [0] 47 5" xfId="19086" xr:uid="{00000000-0005-0000-0000-0000A9A50000}"/>
    <cellStyle name="Migliaia [0] 47 6" xfId="34081" xr:uid="{00000000-0005-0000-0000-0000AAA50000}"/>
    <cellStyle name="Migliaia [0] 47 7" xfId="49021" xr:uid="{00000000-0005-0000-0000-0000ABA50000}"/>
    <cellStyle name="Migliaia [0] 47 8" xfId="49426" xr:uid="{00000000-0005-0000-0000-0000ACA50000}"/>
    <cellStyle name="Migliaia [0] 47 9" xfId="49832" xr:uid="{00000000-0005-0000-0000-0000ADA50000}"/>
    <cellStyle name="Migliaia [0] 48" xfId="270" xr:uid="{00000000-0005-0000-0000-0000AEA50000}"/>
    <cellStyle name="Migliaia [0] 48 10" xfId="50241" xr:uid="{00000000-0005-0000-0000-0000AFA50000}"/>
    <cellStyle name="Migliaia [0] 48 11" xfId="50683" xr:uid="{00000000-0005-0000-0000-0000B0A50000}"/>
    <cellStyle name="Migliaia [0] 48 12" xfId="51402" xr:uid="{00000000-0005-0000-0000-0000B1A50000}"/>
    <cellStyle name="Migliaia [0] 48 13" xfId="51814" xr:uid="{00000000-0005-0000-0000-0000B2A50000}"/>
    <cellStyle name="Migliaia [0] 48 14" xfId="52229" xr:uid="{00000000-0005-0000-0000-0000B3A50000}"/>
    <cellStyle name="Migliaia [0] 48 2" xfId="9100" xr:uid="{00000000-0005-0000-0000-0000B4A50000}"/>
    <cellStyle name="Migliaia [0] 48 2 2" xfId="17991" xr:uid="{00000000-0005-0000-0000-0000B5A50000}"/>
    <cellStyle name="Migliaia [0] 48 2 2 2" xfId="33651" xr:uid="{00000000-0005-0000-0000-0000B6A50000}"/>
    <cellStyle name="Migliaia [0] 48 2 2 3" xfId="48612" xr:uid="{00000000-0005-0000-0000-0000B7A50000}"/>
    <cellStyle name="Migliaia [0] 48 2 2 4" xfId="55135" xr:uid="{00000000-0005-0000-0000-0000B8A50000}"/>
    <cellStyle name="Migliaia [0] 48 2 3" xfId="56057" xr:uid="{00000000-0005-0000-0000-0000B9A50000}"/>
    <cellStyle name="Migliaia [0] 48 2 4" xfId="52780" xr:uid="{00000000-0005-0000-0000-0000BAA50000}"/>
    <cellStyle name="Migliaia [0] 48 3" xfId="9781" xr:uid="{00000000-0005-0000-0000-0000BBA50000}"/>
    <cellStyle name="Migliaia [0] 48 3 2" xfId="26106" xr:uid="{00000000-0005-0000-0000-0000BCA50000}"/>
    <cellStyle name="Migliaia [0] 48 3 3" xfId="41084" xr:uid="{00000000-0005-0000-0000-0000BDA50000}"/>
    <cellStyle name="Migliaia [0] 48 3 4" xfId="54567" xr:uid="{00000000-0005-0000-0000-0000BEA50000}"/>
    <cellStyle name="Migliaia [0] 48 4" xfId="16990" xr:uid="{00000000-0005-0000-0000-0000BFA50000}"/>
    <cellStyle name="Migliaia [0] 48 4 2" xfId="33105" xr:uid="{00000000-0005-0000-0000-0000C0A50000}"/>
    <cellStyle name="Migliaia [0] 48 4 3" xfId="48066" xr:uid="{00000000-0005-0000-0000-0000C1A50000}"/>
    <cellStyle name="Migliaia [0] 48 4 4" xfId="55511" xr:uid="{00000000-0005-0000-0000-0000C2A50000}"/>
    <cellStyle name="Migliaia [0] 48 5" xfId="19087" xr:uid="{00000000-0005-0000-0000-0000C3A50000}"/>
    <cellStyle name="Migliaia [0] 48 6" xfId="34082" xr:uid="{00000000-0005-0000-0000-0000C4A50000}"/>
    <cellStyle name="Migliaia [0] 48 7" xfId="49022" xr:uid="{00000000-0005-0000-0000-0000C5A50000}"/>
    <cellStyle name="Migliaia [0] 48 8" xfId="49427" xr:uid="{00000000-0005-0000-0000-0000C6A50000}"/>
    <cellStyle name="Migliaia [0] 48 9" xfId="49833" xr:uid="{00000000-0005-0000-0000-0000C7A50000}"/>
    <cellStyle name="Migliaia [0] 49" xfId="271" xr:uid="{00000000-0005-0000-0000-0000C8A50000}"/>
    <cellStyle name="Migliaia [0] 49 10" xfId="50242" xr:uid="{00000000-0005-0000-0000-0000C9A50000}"/>
    <cellStyle name="Migliaia [0] 49 11" xfId="50684" xr:uid="{00000000-0005-0000-0000-0000CAA50000}"/>
    <cellStyle name="Migliaia [0] 49 12" xfId="51403" xr:uid="{00000000-0005-0000-0000-0000CBA50000}"/>
    <cellStyle name="Migliaia [0] 49 13" xfId="51815" xr:uid="{00000000-0005-0000-0000-0000CCA50000}"/>
    <cellStyle name="Migliaia [0] 49 14" xfId="52230" xr:uid="{00000000-0005-0000-0000-0000CDA50000}"/>
    <cellStyle name="Migliaia [0] 49 2" xfId="9101" xr:uid="{00000000-0005-0000-0000-0000CEA50000}"/>
    <cellStyle name="Migliaia [0] 49 2 2" xfId="17992" xr:uid="{00000000-0005-0000-0000-0000CFA50000}"/>
    <cellStyle name="Migliaia [0] 49 2 2 2" xfId="33652" xr:uid="{00000000-0005-0000-0000-0000D0A50000}"/>
    <cellStyle name="Migliaia [0] 49 2 2 3" xfId="48613" xr:uid="{00000000-0005-0000-0000-0000D1A50000}"/>
    <cellStyle name="Migliaia [0] 49 2 2 4" xfId="55136" xr:uid="{00000000-0005-0000-0000-0000D2A50000}"/>
    <cellStyle name="Migliaia [0] 49 2 3" xfId="56058" xr:uid="{00000000-0005-0000-0000-0000D3A50000}"/>
    <cellStyle name="Migliaia [0] 49 2 4" xfId="52781" xr:uid="{00000000-0005-0000-0000-0000D4A50000}"/>
    <cellStyle name="Migliaia [0] 49 3" xfId="9782" xr:uid="{00000000-0005-0000-0000-0000D5A50000}"/>
    <cellStyle name="Migliaia [0] 49 3 2" xfId="26107" xr:uid="{00000000-0005-0000-0000-0000D6A50000}"/>
    <cellStyle name="Migliaia [0] 49 3 3" xfId="41085" xr:uid="{00000000-0005-0000-0000-0000D7A50000}"/>
    <cellStyle name="Migliaia [0] 49 3 4" xfId="54568" xr:uid="{00000000-0005-0000-0000-0000D8A50000}"/>
    <cellStyle name="Migliaia [0] 49 4" xfId="16991" xr:uid="{00000000-0005-0000-0000-0000D9A50000}"/>
    <cellStyle name="Migliaia [0] 49 4 2" xfId="33106" xr:uid="{00000000-0005-0000-0000-0000DAA50000}"/>
    <cellStyle name="Migliaia [0] 49 4 3" xfId="48067" xr:uid="{00000000-0005-0000-0000-0000DBA50000}"/>
    <cellStyle name="Migliaia [0] 49 4 4" xfId="55512" xr:uid="{00000000-0005-0000-0000-0000DCA50000}"/>
    <cellStyle name="Migliaia [0] 49 5" xfId="19088" xr:uid="{00000000-0005-0000-0000-0000DDA50000}"/>
    <cellStyle name="Migliaia [0] 49 6" xfId="34083" xr:uid="{00000000-0005-0000-0000-0000DEA50000}"/>
    <cellStyle name="Migliaia [0] 49 7" xfId="49023" xr:uid="{00000000-0005-0000-0000-0000DFA50000}"/>
    <cellStyle name="Migliaia [0] 49 8" xfId="49428" xr:uid="{00000000-0005-0000-0000-0000E0A50000}"/>
    <cellStyle name="Migliaia [0] 49 9" xfId="49834" xr:uid="{00000000-0005-0000-0000-0000E1A50000}"/>
    <cellStyle name="Migliaia [0] 5" xfId="272" xr:uid="{00000000-0005-0000-0000-0000E2A50000}"/>
    <cellStyle name="Migliaia [0] 5 10" xfId="50243" xr:uid="{00000000-0005-0000-0000-0000E3A50000}"/>
    <cellStyle name="Migliaia [0] 5 11" xfId="50685" xr:uid="{00000000-0005-0000-0000-0000E4A50000}"/>
    <cellStyle name="Migliaia [0] 5 12" xfId="51404" xr:uid="{00000000-0005-0000-0000-0000E5A50000}"/>
    <cellStyle name="Migliaia [0] 5 13" xfId="51816" xr:uid="{00000000-0005-0000-0000-0000E6A50000}"/>
    <cellStyle name="Migliaia [0] 5 14" xfId="52231" xr:uid="{00000000-0005-0000-0000-0000E7A50000}"/>
    <cellStyle name="Migliaia [0] 5 2" xfId="9102" xr:uid="{00000000-0005-0000-0000-0000E8A50000}"/>
    <cellStyle name="Migliaia [0] 5 2 2" xfId="17993" xr:uid="{00000000-0005-0000-0000-0000E9A50000}"/>
    <cellStyle name="Migliaia [0] 5 2 2 2" xfId="33653" xr:uid="{00000000-0005-0000-0000-0000EAA50000}"/>
    <cellStyle name="Migliaia [0] 5 2 2 3" xfId="48614" xr:uid="{00000000-0005-0000-0000-0000EBA50000}"/>
    <cellStyle name="Migliaia [0] 5 2 2 4" xfId="55137" xr:uid="{00000000-0005-0000-0000-0000ECA50000}"/>
    <cellStyle name="Migliaia [0] 5 2 3" xfId="56059" xr:uid="{00000000-0005-0000-0000-0000EDA50000}"/>
    <cellStyle name="Migliaia [0] 5 2 4" xfId="52782" xr:uid="{00000000-0005-0000-0000-0000EEA50000}"/>
    <cellStyle name="Migliaia [0] 5 3" xfId="9783" xr:uid="{00000000-0005-0000-0000-0000EFA50000}"/>
    <cellStyle name="Migliaia [0] 5 3 2" xfId="26108" xr:uid="{00000000-0005-0000-0000-0000F0A50000}"/>
    <cellStyle name="Migliaia [0] 5 3 3" xfId="41086" xr:uid="{00000000-0005-0000-0000-0000F1A50000}"/>
    <cellStyle name="Migliaia [0] 5 3 4" xfId="54569" xr:uid="{00000000-0005-0000-0000-0000F2A50000}"/>
    <cellStyle name="Migliaia [0] 5 4" xfId="16992" xr:uid="{00000000-0005-0000-0000-0000F3A50000}"/>
    <cellStyle name="Migliaia [0] 5 4 2" xfId="33107" xr:uid="{00000000-0005-0000-0000-0000F4A50000}"/>
    <cellStyle name="Migliaia [0] 5 4 3" xfId="48068" xr:uid="{00000000-0005-0000-0000-0000F5A50000}"/>
    <cellStyle name="Migliaia [0] 5 4 4" xfId="55513" xr:uid="{00000000-0005-0000-0000-0000F6A50000}"/>
    <cellStyle name="Migliaia [0] 5 5" xfId="19089" xr:uid="{00000000-0005-0000-0000-0000F7A50000}"/>
    <cellStyle name="Migliaia [0] 5 6" xfId="34084" xr:uid="{00000000-0005-0000-0000-0000F8A50000}"/>
    <cellStyle name="Migliaia [0] 5 7" xfId="49024" xr:uid="{00000000-0005-0000-0000-0000F9A50000}"/>
    <cellStyle name="Migliaia [0] 5 8" xfId="49429" xr:uid="{00000000-0005-0000-0000-0000FAA50000}"/>
    <cellStyle name="Migliaia [0] 5 9" xfId="49835" xr:uid="{00000000-0005-0000-0000-0000FBA50000}"/>
    <cellStyle name="Migliaia [0] 50" xfId="273" xr:uid="{00000000-0005-0000-0000-0000FCA50000}"/>
    <cellStyle name="Migliaia [0] 50 10" xfId="50244" xr:uid="{00000000-0005-0000-0000-0000FDA50000}"/>
    <cellStyle name="Migliaia [0] 50 11" xfId="50686" xr:uid="{00000000-0005-0000-0000-0000FEA50000}"/>
    <cellStyle name="Migliaia [0] 50 12" xfId="51405" xr:uid="{00000000-0005-0000-0000-0000FFA50000}"/>
    <cellStyle name="Migliaia [0] 50 13" xfId="51817" xr:uid="{00000000-0005-0000-0000-000000A60000}"/>
    <cellStyle name="Migliaia [0] 50 14" xfId="52232" xr:uid="{00000000-0005-0000-0000-000001A60000}"/>
    <cellStyle name="Migliaia [0] 50 2" xfId="9103" xr:uid="{00000000-0005-0000-0000-000002A60000}"/>
    <cellStyle name="Migliaia [0] 50 2 2" xfId="17994" xr:uid="{00000000-0005-0000-0000-000003A60000}"/>
    <cellStyle name="Migliaia [0] 50 2 2 2" xfId="33654" xr:uid="{00000000-0005-0000-0000-000004A60000}"/>
    <cellStyle name="Migliaia [0] 50 2 2 3" xfId="48615" xr:uid="{00000000-0005-0000-0000-000005A60000}"/>
    <cellStyle name="Migliaia [0] 50 2 2 4" xfId="55138" xr:uid="{00000000-0005-0000-0000-000006A60000}"/>
    <cellStyle name="Migliaia [0] 50 2 3" xfId="56060" xr:uid="{00000000-0005-0000-0000-000007A60000}"/>
    <cellStyle name="Migliaia [0] 50 2 4" xfId="52783" xr:uid="{00000000-0005-0000-0000-000008A60000}"/>
    <cellStyle name="Migliaia [0] 50 3" xfId="9784" xr:uid="{00000000-0005-0000-0000-000009A60000}"/>
    <cellStyle name="Migliaia [0] 50 3 2" xfId="26109" xr:uid="{00000000-0005-0000-0000-00000AA60000}"/>
    <cellStyle name="Migliaia [0] 50 3 3" xfId="41087" xr:uid="{00000000-0005-0000-0000-00000BA60000}"/>
    <cellStyle name="Migliaia [0] 50 3 4" xfId="54570" xr:uid="{00000000-0005-0000-0000-00000CA60000}"/>
    <cellStyle name="Migliaia [0] 50 4" xfId="16993" xr:uid="{00000000-0005-0000-0000-00000DA60000}"/>
    <cellStyle name="Migliaia [0] 50 4 2" xfId="33108" xr:uid="{00000000-0005-0000-0000-00000EA60000}"/>
    <cellStyle name="Migliaia [0] 50 4 3" xfId="48069" xr:uid="{00000000-0005-0000-0000-00000FA60000}"/>
    <cellStyle name="Migliaia [0] 50 4 4" xfId="55514" xr:uid="{00000000-0005-0000-0000-000010A60000}"/>
    <cellStyle name="Migliaia [0] 50 5" xfId="19090" xr:uid="{00000000-0005-0000-0000-000011A60000}"/>
    <cellStyle name="Migliaia [0] 50 6" xfId="34085" xr:uid="{00000000-0005-0000-0000-000012A60000}"/>
    <cellStyle name="Migliaia [0] 50 7" xfId="49025" xr:uid="{00000000-0005-0000-0000-000013A60000}"/>
    <cellStyle name="Migliaia [0] 50 8" xfId="49430" xr:uid="{00000000-0005-0000-0000-000014A60000}"/>
    <cellStyle name="Migliaia [0] 50 9" xfId="49836" xr:uid="{00000000-0005-0000-0000-000015A60000}"/>
    <cellStyle name="Migliaia [0] 51" xfId="274" xr:uid="{00000000-0005-0000-0000-000016A60000}"/>
    <cellStyle name="Migliaia [0] 51 10" xfId="50245" xr:uid="{00000000-0005-0000-0000-000017A60000}"/>
    <cellStyle name="Migliaia [0] 51 11" xfId="50687" xr:uid="{00000000-0005-0000-0000-000018A60000}"/>
    <cellStyle name="Migliaia [0] 51 12" xfId="51406" xr:uid="{00000000-0005-0000-0000-000019A60000}"/>
    <cellStyle name="Migliaia [0] 51 13" xfId="51818" xr:uid="{00000000-0005-0000-0000-00001AA60000}"/>
    <cellStyle name="Migliaia [0] 51 14" xfId="52233" xr:uid="{00000000-0005-0000-0000-00001BA60000}"/>
    <cellStyle name="Migliaia [0] 51 2" xfId="9104" xr:uid="{00000000-0005-0000-0000-00001CA60000}"/>
    <cellStyle name="Migliaia [0] 51 2 2" xfId="17995" xr:uid="{00000000-0005-0000-0000-00001DA60000}"/>
    <cellStyle name="Migliaia [0] 51 2 2 2" xfId="33655" xr:uid="{00000000-0005-0000-0000-00001EA60000}"/>
    <cellStyle name="Migliaia [0] 51 2 2 3" xfId="48616" xr:uid="{00000000-0005-0000-0000-00001FA60000}"/>
    <cellStyle name="Migliaia [0] 51 2 2 4" xfId="55139" xr:uid="{00000000-0005-0000-0000-000020A60000}"/>
    <cellStyle name="Migliaia [0] 51 2 3" xfId="56061" xr:uid="{00000000-0005-0000-0000-000021A60000}"/>
    <cellStyle name="Migliaia [0] 51 2 4" xfId="52784" xr:uid="{00000000-0005-0000-0000-000022A60000}"/>
    <cellStyle name="Migliaia [0] 51 3" xfId="9785" xr:uid="{00000000-0005-0000-0000-000023A60000}"/>
    <cellStyle name="Migliaia [0] 51 3 2" xfId="26110" xr:uid="{00000000-0005-0000-0000-000024A60000}"/>
    <cellStyle name="Migliaia [0] 51 3 3" xfId="41088" xr:uid="{00000000-0005-0000-0000-000025A60000}"/>
    <cellStyle name="Migliaia [0] 51 3 4" xfId="54571" xr:uid="{00000000-0005-0000-0000-000026A60000}"/>
    <cellStyle name="Migliaia [0] 51 4" xfId="16994" xr:uid="{00000000-0005-0000-0000-000027A60000}"/>
    <cellStyle name="Migliaia [0] 51 4 2" xfId="33109" xr:uid="{00000000-0005-0000-0000-000028A60000}"/>
    <cellStyle name="Migliaia [0] 51 4 3" xfId="48070" xr:uid="{00000000-0005-0000-0000-000029A60000}"/>
    <cellStyle name="Migliaia [0] 51 4 4" xfId="55515" xr:uid="{00000000-0005-0000-0000-00002AA60000}"/>
    <cellStyle name="Migliaia [0] 51 5" xfId="19091" xr:uid="{00000000-0005-0000-0000-00002BA60000}"/>
    <cellStyle name="Migliaia [0] 51 6" xfId="34086" xr:uid="{00000000-0005-0000-0000-00002CA60000}"/>
    <cellStyle name="Migliaia [0] 51 7" xfId="49026" xr:uid="{00000000-0005-0000-0000-00002DA60000}"/>
    <cellStyle name="Migliaia [0] 51 8" xfId="49431" xr:uid="{00000000-0005-0000-0000-00002EA60000}"/>
    <cellStyle name="Migliaia [0] 51 9" xfId="49837" xr:uid="{00000000-0005-0000-0000-00002FA60000}"/>
    <cellStyle name="Migliaia [0] 52" xfId="275" xr:uid="{00000000-0005-0000-0000-000030A60000}"/>
    <cellStyle name="Migliaia [0] 52 10" xfId="50246" xr:uid="{00000000-0005-0000-0000-000031A60000}"/>
    <cellStyle name="Migliaia [0] 52 11" xfId="50688" xr:uid="{00000000-0005-0000-0000-000032A60000}"/>
    <cellStyle name="Migliaia [0] 52 12" xfId="51407" xr:uid="{00000000-0005-0000-0000-000033A60000}"/>
    <cellStyle name="Migliaia [0] 52 13" xfId="51819" xr:uid="{00000000-0005-0000-0000-000034A60000}"/>
    <cellStyle name="Migliaia [0] 52 14" xfId="52234" xr:uid="{00000000-0005-0000-0000-000035A60000}"/>
    <cellStyle name="Migliaia [0] 52 2" xfId="9105" xr:uid="{00000000-0005-0000-0000-000036A60000}"/>
    <cellStyle name="Migliaia [0] 52 2 2" xfId="17996" xr:uid="{00000000-0005-0000-0000-000037A60000}"/>
    <cellStyle name="Migliaia [0] 52 2 2 2" xfId="33656" xr:uid="{00000000-0005-0000-0000-000038A60000}"/>
    <cellStyle name="Migliaia [0] 52 2 2 3" xfId="48617" xr:uid="{00000000-0005-0000-0000-000039A60000}"/>
    <cellStyle name="Migliaia [0] 52 2 2 4" xfId="55140" xr:uid="{00000000-0005-0000-0000-00003AA60000}"/>
    <cellStyle name="Migliaia [0] 52 2 3" xfId="56062" xr:uid="{00000000-0005-0000-0000-00003BA60000}"/>
    <cellStyle name="Migliaia [0] 52 2 4" xfId="52785" xr:uid="{00000000-0005-0000-0000-00003CA60000}"/>
    <cellStyle name="Migliaia [0] 52 3" xfId="9786" xr:uid="{00000000-0005-0000-0000-00003DA60000}"/>
    <cellStyle name="Migliaia [0] 52 3 2" xfId="26111" xr:uid="{00000000-0005-0000-0000-00003EA60000}"/>
    <cellStyle name="Migliaia [0] 52 3 3" xfId="41089" xr:uid="{00000000-0005-0000-0000-00003FA60000}"/>
    <cellStyle name="Migliaia [0] 52 3 4" xfId="54572" xr:uid="{00000000-0005-0000-0000-000040A60000}"/>
    <cellStyle name="Migliaia [0] 52 4" xfId="16995" xr:uid="{00000000-0005-0000-0000-000041A60000}"/>
    <cellStyle name="Migliaia [0] 52 4 2" xfId="33110" xr:uid="{00000000-0005-0000-0000-000042A60000}"/>
    <cellStyle name="Migliaia [0] 52 4 3" xfId="48071" xr:uid="{00000000-0005-0000-0000-000043A60000}"/>
    <cellStyle name="Migliaia [0] 52 4 4" xfId="55516" xr:uid="{00000000-0005-0000-0000-000044A60000}"/>
    <cellStyle name="Migliaia [0] 52 5" xfId="19092" xr:uid="{00000000-0005-0000-0000-000045A60000}"/>
    <cellStyle name="Migliaia [0] 52 6" xfId="34087" xr:uid="{00000000-0005-0000-0000-000046A60000}"/>
    <cellStyle name="Migliaia [0] 52 7" xfId="49027" xr:uid="{00000000-0005-0000-0000-000047A60000}"/>
    <cellStyle name="Migliaia [0] 52 8" xfId="49432" xr:uid="{00000000-0005-0000-0000-000048A60000}"/>
    <cellStyle name="Migliaia [0] 52 9" xfId="49838" xr:uid="{00000000-0005-0000-0000-000049A60000}"/>
    <cellStyle name="Migliaia [0] 53" xfId="276" xr:uid="{00000000-0005-0000-0000-00004AA60000}"/>
    <cellStyle name="Migliaia [0] 53 10" xfId="50247" xr:uid="{00000000-0005-0000-0000-00004BA60000}"/>
    <cellStyle name="Migliaia [0] 53 11" xfId="50689" xr:uid="{00000000-0005-0000-0000-00004CA60000}"/>
    <cellStyle name="Migliaia [0] 53 12" xfId="51408" xr:uid="{00000000-0005-0000-0000-00004DA60000}"/>
    <cellStyle name="Migliaia [0] 53 13" xfId="51820" xr:uid="{00000000-0005-0000-0000-00004EA60000}"/>
    <cellStyle name="Migliaia [0] 53 14" xfId="52235" xr:uid="{00000000-0005-0000-0000-00004FA60000}"/>
    <cellStyle name="Migliaia [0] 53 2" xfId="9106" xr:uid="{00000000-0005-0000-0000-000050A60000}"/>
    <cellStyle name="Migliaia [0] 53 2 2" xfId="17997" xr:uid="{00000000-0005-0000-0000-000051A60000}"/>
    <cellStyle name="Migliaia [0] 53 2 2 2" xfId="33657" xr:uid="{00000000-0005-0000-0000-000052A60000}"/>
    <cellStyle name="Migliaia [0] 53 2 2 3" xfId="48618" xr:uid="{00000000-0005-0000-0000-000053A60000}"/>
    <cellStyle name="Migliaia [0] 53 2 2 4" xfId="55141" xr:uid="{00000000-0005-0000-0000-000054A60000}"/>
    <cellStyle name="Migliaia [0] 53 2 3" xfId="56063" xr:uid="{00000000-0005-0000-0000-000055A60000}"/>
    <cellStyle name="Migliaia [0] 53 2 4" xfId="52786" xr:uid="{00000000-0005-0000-0000-000056A60000}"/>
    <cellStyle name="Migliaia [0] 53 3" xfId="9787" xr:uid="{00000000-0005-0000-0000-000057A60000}"/>
    <cellStyle name="Migliaia [0] 53 3 2" xfId="26112" xr:uid="{00000000-0005-0000-0000-000058A60000}"/>
    <cellStyle name="Migliaia [0] 53 3 3" xfId="41090" xr:uid="{00000000-0005-0000-0000-000059A60000}"/>
    <cellStyle name="Migliaia [0] 53 3 4" xfId="54573" xr:uid="{00000000-0005-0000-0000-00005AA60000}"/>
    <cellStyle name="Migliaia [0] 53 4" xfId="16996" xr:uid="{00000000-0005-0000-0000-00005BA60000}"/>
    <cellStyle name="Migliaia [0] 53 4 2" xfId="33111" xr:uid="{00000000-0005-0000-0000-00005CA60000}"/>
    <cellStyle name="Migliaia [0] 53 4 3" xfId="48072" xr:uid="{00000000-0005-0000-0000-00005DA60000}"/>
    <cellStyle name="Migliaia [0] 53 4 4" xfId="55517" xr:uid="{00000000-0005-0000-0000-00005EA60000}"/>
    <cellStyle name="Migliaia [0] 53 5" xfId="19093" xr:uid="{00000000-0005-0000-0000-00005FA60000}"/>
    <cellStyle name="Migliaia [0] 53 6" xfId="34088" xr:uid="{00000000-0005-0000-0000-000060A60000}"/>
    <cellStyle name="Migliaia [0] 53 7" xfId="49028" xr:uid="{00000000-0005-0000-0000-000061A60000}"/>
    <cellStyle name="Migliaia [0] 53 8" xfId="49433" xr:uid="{00000000-0005-0000-0000-000062A60000}"/>
    <cellStyle name="Migliaia [0] 53 9" xfId="49839" xr:uid="{00000000-0005-0000-0000-000063A60000}"/>
    <cellStyle name="Migliaia [0] 54" xfId="277" xr:uid="{00000000-0005-0000-0000-000064A60000}"/>
    <cellStyle name="Migliaia [0] 54 10" xfId="50248" xr:uid="{00000000-0005-0000-0000-000065A60000}"/>
    <cellStyle name="Migliaia [0] 54 11" xfId="50690" xr:uid="{00000000-0005-0000-0000-000066A60000}"/>
    <cellStyle name="Migliaia [0] 54 12" xfId="51409" xr:uid="{00000000-0005-0000-0000-000067A60000}"/>
    <cellStyle name="Migliaia [0] 54 13" xfId="51821" xr:uid="{00000000-0005-0000-0000-000068A60000}"/>
    <cellStyle name="Migliaia [0] 54 14" xfId="52236" xr:uid="{00000000-0005-0000-0000-000069A60000}"/>
    <cellStyle name="Migliaia [0] 54 2" xfId="9107" xr:uid="{00000000-0005-0000-0000-00006AA60000}"/>
    <cellStyle name="Migliaia [0] 54 2 2" xfId="17998" xr:uid="{00000000-0005-0000-0000-00006BA60000}"/>
    <cellStyle name="Migliaia [0] 54 2 2 2" xfId="33658" xr:uid="{00000000-0005-0000-0000-00006CA60000}"/>
    <cellStyle name="Migliaia [0] 54 2 2 3" xfId="48619" xr:uid="{00000000-0005-0000-0000-00006DA60000}"/>
    <cellStyle name="Migliaia [0] 54 2 2 4" xfId="55142" xr:uid="{00000000-0005-0000-0000-00006EA60000}"/>
    <cellStyle name="Migliaia [0] 54 2 3" xfId="56064" xr:uid="{00000000-0005-0000-0000-00006FA60000}"/>
    <cellStyle name="Migliaia [0] 54 2 4" xfId="52787" xr:uid="{00000000-0005-0000-0000-000070A60000}"/>
    <cellStyle name="Migliaia [0] 54 3" xfId="9788" xr:uid="{00000000-0005-0000-0000-000071A60000}"/>
    <cellStyle name="Migliaia [0] 54 3 2" xfId="26113" xr:uid="{00000000-0005-0000-0000-000072A60000}"/>
    <cellStyle name="Migliaia [0] 54 3 3" xfId="41091" xr:uid="{00000000-0005-0000-0000-000073A60000}"/>
    <cellStyle name="Migliaia [0] 54 3 4" xfId="54574" xr:uid="{00000000-0005-0000-0000-000074A60000}"/>
    <cellStyle name="Migliaia [0] 54 4" xfId="16997" xr:uid="{00000000-0005-0000-0000-000075A60000}"/>
    <cellStyle name="Migliaia [0] 54 4 2" xfId="33112" xr:uid="{00000000-0005-0000-0000-000076A60000}"/>
    <cellStyle name="Migliaia [0] 54 4 3" xfId="48073" xr:uid="{00000000-0005-0000-0000-000077A60000}"/>
    <cellStyle name="Migliaia [0] 54 4 4" xfId="55518" xr:uid="{00000000-0005-0000-0000-000078A60000}"/>
    <cellStyle name="Migliaia [0] 54 5" xfId="19094" xr:uid="{00000000-0005-0000-0000-000079A60000}"/>
    <cellStyle name="Migliaia [0] 54 6" xfId="34089" xr:uid="{00000000-0005-0000-0000-00007AA60000}"/>
    <cellStyle name="Migliaia [0] 54 7" xfId="49029" xr:uid="{00000000-0005-0000-0000-00007BA60000}"/>
    <cellStyle name="Migliaia [0] 54 8" xfId="49434" xr:uid="{00000000-0005-0000-0000-00007CA60000}"/>
    <cellStyle name="Migliaia [0] 54 9" xfId="49840" xr:uid="{00000000-0005-0000-0000-00007DA60000}"/>
    <cellStyle name="Migliaia [0] 55" xfId="278" xr:uid="{00000000-0005-0000-0000-00007EA60000}"/>
    <cellStyle name="Migliaia [0] 55 10" xfId="50249" xr:uid="{00000000-0005-0000-0000-00007FA60000}"/>
    <cellStyle name="Migliaia [0] 55 11" xfId="50691" xr:uid="{00000000-0005-0000-0000-000080A60000}"/>
    <cellStyle name="Migliaia [0] 55 12" xfId="51410" xr:uid="{00000000-0005-0000-0000-000081A60000}"/>
    <cellStyle name="Migliaia [0] 55 13" xfId="51822" xr:uid="{00000000-0005-0000-0000-000082A60000}"/>
    <cellStyle name="Migliaia [0] 55 14" xfId="52237" xr:uid="{00000000-0005-0000-0000-000083A60000}"/>
    <cellStyle name="Migliaia [0] 55 2" xfId="9108" xr:uid="{00000000-0005-0000-0000-000084A60000}"/>
    <cellStyle name="Migliaia [0] 55 2 2" xfId="17999" xr:uid="{00000000-0005-0000-0000-000085A60000}"/>
    <cellStyle name="Migliaia [0] 55 2 2 2" xfId="33659" xr:uid="{00000000-0005-0000-0000-000086A60000}"/>
    <cellStyle name="Migliaia [0] 55 2 2 3" xfId="48620" xr:uid="{00000000-0005-0000-0000-000087A60000}"/>
    <cellStyle name="Migliaia [0] 55 2 2 4" xfId="55143" xr:uid="{00000000-0005-0000-0000-000088A60000}"/>
    <cellStyle name="Migliaia [0] 55 2 3" xfId="56065" xr:uid="{00000000-0005-0000-0000-000089A60000}"/>
    <cellStyle name="Migliaia [0] 55 2 4" xfId="52788" xr:uid="{00000000-0005-0000-0000-00008AA60000}"/>
    <cellStyle name="Migliaia [0] 55 3" xfId="9789" xr:uid="{00000000-0005-0000-0000-00008BA60000}"/>
    <cellStyle name="Migliaia [0] 55 3 2" xfId="26114" xr:uid="{00000000-0005-0000-0000-00008CA60000}"/>
    <cellStyle name="Migliaia [0] 55 3 3" xfId="41092" xr:uid="{00000000-0005-0000-0000-00008DA60000}"/>
    <cellStyle name="Migliaia [0] 55 3 4" xfId="54575" xr:uid="{00000000-0005-0000-0000-00008EA60000}"/>
    <cellStyle name="Migliaia [0] 55 4" xfId="16998" xr:uid="{00000000-0005-0000-0000-00008FA60000}"/>
    <cellStyle name="Migliaia [0] 55 4 2" xfId="33113" xr:uid="{00000000-0005-0000-0000-000090A60000}"/>
    <cellStyle name="Migliaia [0] 55 4 3" xfId="48074" xr:uid="{00000000-0005-0000-0000-000091A60000}"/>
    <cellStyle name="Migliaia [0] 55 4 4" xfId="55519" xr:uid="{00000000-0005-0000-0000-000092A60000}"/>
    <cellStyle name="Migliaia [0] 55 5" xfId="19095" xr:uid="{00000000-0005-0000-0000-000093A60000}"/>
    <cellStyle name="Migliaia [0] 55 6" xfId="34090" xr:uid="{00000000-0005-0000-0000-000094A60000}"/>
    <cellStyle name="Migliaia [0] 55 7" xfId="49030" xr:uid="{00000000-0005-0000-0000-000095A60000}"/>
    <cellStyle name="Migliaia [0] 55 8" xfId="49435" xr:uid="{00000000-0005-0000-0000-000096A60000}"/>
    <cellStyle name="Migliaia [0] 55 9" xfId="49841" xr:uid="{00000000-0005-0000-0000-000097A60000}"/>
    <cellStyle name="Migliaia [0] 56" xfId="279" xr:uid="{00000000-0005-0000-0000-000098A60000}"/>
    <cellStyle name="Migliaia [0] 56 10" xfId="50250" xr:uid="{00000000-0005-0000-0000-000099A60000}"/>
    <cellStyle name="Migliaia [0] 56 11" xfId="50692" xr:uid="{00000000-0005-0000-0000-00009AA60000}"/>
    <cellStyle name="Migliaia [0] 56 12" xfId="51411" xr:uid="{00000000-0005-0000-0000-00009BA60000}"/>
    <cellStyle name="Migliaia [0] 56 13" xfId="51823" xr:uid="{00000000-0005-0000-0000-00009CA60000}"/>
    <cellStyle name="Migliaia [0] 56 14" xfId="52238" xr:uid="{00000000-0005-0000-0000-00009DA60000}"/>
    <cellStyle name="Migliaia [0] 56 2" xfId="9109" xr:uid="{00000000-0005-0000-0000-00009EA60000}"/>
    <cellStyle name="Migliaia [0] 56 2 2" xfId="18000" xr:uid="{00000000-0005-0000-0000-00009FA60000}"/>
    <cellStyle name="Migliaia [0] 56 2 2 2" xfId="33660" xr:uid="{00000000-0005-0000-0000-0000A0A60000}"/>
    <cellStyle name="Migliaia [0] 56 2 2 3" xfId="48621" xr:uid="{00000000-0005-0000-0000-0000A1A60000}"/>
    <cellStyle name="Migliaia [0] 56 2 2 4" xfId="55144" xr:uid="{00000000-0005-0000-0000-0000A2A60000}"/>
    <cellStyle name="Migliaia [0] 56 2 3" xfId="56066" xr:uid="{00000000-0005-0000-0000-0000A3A60000}"/>
    <cellStyle name="Migliaia [0] 56 2 4" xfId="52789" xr:uid="{00000000-0005-0000-0000-0000A4A60000}"/>
    <cellStyle name="Migliaia [0] 56 3" xfId="9790" xr:uid="{00000000-0005-0000-0000-0000A5A60000}"/>
    <cellStyle name="Migliaia [0] 56 3 2" xfId="26115" xr:uid="{00000000-0005-0000-0000-0000A6A60000}"/>
    <cellStyle name="Migliaia [0] 56 3 3" xfId="41093" xr:uid="{00000000-0005-0000-0000-0000A7A60000}"/>
    <cellStyle name="Migliaia [0] 56 3 4" xfId="54576" xr:uid="{00000000-0005-0000-0000-0000A8A60000}"/>
    <cellStyle name="Migliaia [0] 56 4" xfId="16999" xr:uid="{00000000-0005-0000-0000-0000A9A60000}"/>
    <cellStyle name="Migliaia [0] 56 4 2" xfId="33114" xr:uid="{00000000-0005-0000-0000-0000AAA60000}"/>
    <cellStyle name="Migliaia [0] 56 4 3" xfId="48075" xr:uid="{00000000-0005-0000-0000-0000ABA60000}"/>
    <cellStyle name="Migliaia [0] 56 4 4" xfId="55520" xr:uid="{00000000-0005-0000-0000-0000ACA60000}"/>
    <cellStyle name="Migliaia [0] 56 5" xfId="19096" xr:uid="{00000000-0005-0000-0000-0000ADA60000}"/>
    <cellStyle name="Migliaia [0] 56 6" xfId="34091" xr:uid="{00000000-0005-0000-0000-0000AEA60000}"/>
    <cellStyle name="Migliaia [0] 56 7" xfId="49031" xr:uid="{00000000-0005-0000-0000-0000AFA60000}"/>
    <cellStyle name="Migliaia [0] 56 8" xfId="49436" xr:uid="{00000000-0005-0000-0000-0000B0A60000}"/>
    <cellStyle name="Migliaia [0] 56 9" xfId="49842" xr:uid="{00000000-0005-0000-0000-0000B1A60000}"/>
    <cellStyle name="Migliaia [0] 57" xfId="280" xr:uid="{00000000-0005-0000-0000-0000B2A60000}"/>
    <cellStyle name="Migliaia [0] 57 10" xfId="50251" xr:uid="{00000000-0005-0000-0000-0000B3A60000}"/>
    <cellStyle name="Migliaia [0] 57 11" xfId="50693" xr:uid="{00000000-0005-0000-0000-0000B4A60000}"/>
    <cellStyle name="Migliaia [0] 57 12" xfId="51412" xr:uid="{00000000-0005-0000-0000-0000B5A60000}"/>
    <cellStyle name="Migliaia [0] 57 13" xfId="51824" xr:uid="{00000000-0005-0000-0000-0000B6A60000}"/>
    <cellStyle name="Migliaia [0] 57 14" xfId="52239" xr:uid="{00000000-0005-0000-0000-0000B7A60000}"/>
    <cellStyle name="Migliaia [0] 57 2" xfId="9110" xr:uid="{00000000-0005-0000-0000-0000B8A60000}"/>
    <cellStyle name="Migliaia [0] 57 2 2" xfId="18001" xr:uid="{00000000-0005-0000-0000-0000B9A60000}"/>
    <cellStyle name="Migliaia [0] 57 2 2 2" xfId="33661" xr:uid="{00000000-0005-0000-0000-0000BAA60000}"/>
    <cellStyle name="Migliaia [0] 57 2 2 3" xfId="48622" xr:uid="{00000000-0005-0000-0000-0000BBA60000}"/>
    <cellStyle name="Migliaia [0] 57 2 2 4" xfId="55145" xr:uid="{00000000-0005-0000-0000-0000BCA60000}"/>
    <cellStyle name="Migliaia [0] 57 2 3" xfId="56067" xr:uid="{00000000-0005-0000-0000-0000BDA60000}"/>
    <cellStyle name="Migliaia [0] 57 2 4" xfId="52790" xr:uid="{00000000-0005-0000-0000-0000BEA60000}"/>
    <cellStyle name="Migliaia [0] 57 3" xfId="9791" xr:uid="{00000000-0005-0000-0000-0000BFA60000}"/>
    <cellStyle name="Migliaia [0] 57 3 2" xfId="26116" xr:uid="{00000000-0005-0000-0000-0000C0A60000}"/>
    <cellStyle name="Migliaia [0] 57 3 3" xfId="41094" xr:uid="{00000000-0005-0000-0000-0000C1A60000}"/>
    <cellStyle name="Migliaia [0] 57 3 4" xfId="54577" xr:uid="{00000000-0005-0000-0000-0000C2A60000}"/>
    <cellStyle name="Migliaia [0] 57 4" xfId="17000" xr:uid="{00000000-0005-0000-0000-0000C3A60000}"/>
    <cellStyle name="Migliaia [0] 57 4 2" xfId="33115" xr:uid="{00000000-0005-0000-0000-0000C4A60000}"/>
    <cellStyle name="Migliaia [0] 57 4 3" xfId="48076" xr:uid="{00000000-0005-0000-0000-0000C5A60000}"/>
    <cellStyle name="Migliaia [0] 57 4 4" xfId="55521" xr:uid="{00000000-0005-0000-0000-0000C6A60000}"/>
    <cellStyle name="Migliaia [0] 57 5" xfId="19097" xr:uid="{00000000-0005-0000-0000-0000C7A60000}"/>
    <cellStyle name="Migliaia [0] 57 6" xfId="34092" xr:uid="{00000000-0005-0000-0000-0000C8A60000}"/>
    <cellStyle name="Migliaia [0] 57 7" xfId="49032" xr:uid="{00000000-0005-0000-0000-0000C9A60000}"/>
    <cellStyle name="Migliaia [0] 57 8" xfId="49437" xr:uid="{00000000-0005-0000-0000-0000CAA60000}"/>
    <cellStyle name="Migliaia [0] 57 9" xfId="49843" xr:uid="{00000000-0005-0000-0000-0000CBA60000}"/>
    <cellStyle name="Migliaia [0] 58" xfId="281" xr:uid="{00000000-0005-0000-0000-0000CCA60000}"/>
    <cellStyle name="Migliaia [0] 58 10" xfId="50252" xr:uid="{00000000-0005-0000-0000-0000CDA60000}"/>
    <cellStyle name="Migliaia [0] 58 11" xfId="50694" xr:uid="{00000000-0005-0000-0000-0000CEA60000}"/>
    <cellStyle name="Migliaia [0] 58 12" xfId="51413" xr:uid="{00000000-0005-0000-0000-0000CFA60000}"/>
    <cellStyle name="Migliaia [0] 58 13" xfId="51825" xr:uid="{00000000-0005-0000-0000-0000D0A60000}"/>
    <cellStyle name="Migliaia [0] 58 14" xfId="52240" xr:uid="{00000000-0005-0000-0000-0000D1A60000}"/>
    <cellStyle name="Migliaia [0] 58 2" xfId="9111" xr:uid="{00000000-0005-0000-0000-0000D2A60000}"/>
    <cellStyle name="Migliaia [0] 58 2 2" xfId="18002" xr:uid="{00000000-0005-0000-0000-0000D3A60000}"/>
    <cellStyle name="Migliaia [0] 58 2 2 2" xfId="33662" xr:uid="{00000000-0005-0000-0000-0000D4A60000}"/>
    <cellStyle name="Migliaia [0] 58 2 2 3" xfId="48623" xr:uid="{00000000-0005-0000-0000-0000D5A60000}"/>
    <cellStyle name="Migliaia [0] 58 2 2 4" xfId="55146" xr:uid="{00000000-0005-0000-0000-0000D6A60000}"/>
    <cellStyle name="Migliaia [0] 58 2 3" xfId="56068" xr:uid="{00000000-0005-0000-0000-0000D7A60000}"/>
    <cellStyle name="Migliaia [0] 58 2 4" xfId="52791" xr:uid="{00000000-0005-0000-0000-0000D8A60000}"/>
    <cellStyle name="Migliaia [0] 58 3" xfId="9792" xr:uid="{00000000-0005-0000-0000-0000D9A60000}"/>
    <cellStyle name="Migliaia [0] 58 3 2" xfId="26117" xr:uid="{00000000-0005-0000-0000-0000DAA60000}"/>
    <cellStyle name="Migliaia [0] 58 3 3" xfId="41095" xr:uid="{00000000-0005-0000-0000-0000DBA60000}"/>
    <cellStyle name="Migliaia [0] 58 3 4" xfId="54578" xr:uid="{00000000-0005-0000-0000-0000DCA60000}"/>
    <cellStyle name="Migliaia [0] 58 4" xfId="17001" xr:uid="{00000000-0005-0000-0000-0000DDA60000}"/>
    <cellStyle name="Migliaia [0] 58 4 2" xfId="33116" xr:uid="{00000000-0005-0000-0000-0000DEA60000}"/>
    <cellStyle name="Migliaia [0] 58 4 3" xfId="48077" xr:uid="{00000000-0005-0000-0000-0000DFA60000}"/>
    <cellStyle name="Migliaia [0] 58 4 4" xfId="55522" xr:uid="{00000000-0005-0000-0000-0000E0A60000}"/>
    <cellStyle name="Migliaia [0] 58 5" xfId="19098" xr:uid="{00000000-0005-0000-0000-0000E1A60000}"/>
    <cellStyle name="Migliaia [0] 58 6" xfId="34093" xr:uid="{00000000-0005-0000-0000-0000E2A60000}"/>
    <cellStyle name="Migliaia [0] 58 7" xfId="49033" xr:uid="{00000000-0005-0000-0000-0000E3A60000}"/>
    <cellStyle name="Migliaia [0] 58 8" xfId="49438" xr:uid="{00000000-0005-0000-0000-0000E4A60000}"/>
    <cellStyle name="Migliaia [0] 58 9" xfId="49844" xr:uid="{00000000-0005-0000-0000-0000E5A60000}"/>
    <cellStyle name="Migliaia [0] 59" xfId="282" xr:uid="{00000000-0005-0000-0000-0000E6A60000}"/>
    <cellStyle name="Migliaia [0] 59 10" xfId="50253" xr:uid="{00000000-0005-0000-0000-0000E7A60000}"/>
    <cellStyle name="Migliaia [0] 59 11" xfId="50695" xr:uid="{00000000-0005-0000-0000-0000E8A60000}"/>
    <cellStyle name="Migliaia [0] 59 12" xfId="51414" xr:uid="{00000000-0005-0000-0000-0000E9A60000}"/>
    <cellStyle name="Migliaia [0] 59 13" xfId="51826" xr:uid="{00000000-0005-0000-0000-0000EAA60000}"/>
    <cellStyle name="Migliaia [0] 59 14" xfId="52241" xr:uid="{00000000-0005-0000-0000-0000EBA60000}"/>
    <cellStyle name="Migliaia [0] 59 2" xfId="9112" xr:uid="{00000000-0005-0000-0000-0000ECA60000}"/>
    <cellStyle name="Migliaia [0] 59 2 2" xfId="18003" xr:uid="{00000000-0005-0000-0000-0000EDA60000}"/>
    <cellStyle name="Migliaia [0] 59 2 2 2" xfId="33663" xr:uid="{00000000-0005-0000-0000-0000EEA60000}"/>
    <cellStyle name="Migliaia [0] 59 2 2 3" xfId="48624" xr:uid="{00000000-0005-0000-0000-0000EFA60000}"/>
    <cellStyle name="Migliaia [0] 59 2 2 4" xfId="55147" xr:uid="{00000000-0005-0000-0000-0000F0A60000}"/>
    <cellStyle name="Migliaia [0] 59 2 3" xfId="56069" xr:uid="{00000000-0005-0000-0000-0000F1A60000}"/>
    <cellStyle name="Migliaia [0] 59 2 4" xfId="52792" xr:uid="{00000000-0005-0000-0000-0000F2A60000}"/>
    <cellStyle name="Migliaia [0] 59 3" xfId="9793" xr:uid="{00000000-0005-0000-0000-0000F3A60000}"/>
    <cellStyle name="Migliaia [0] 59 3 2" xfId="26118" xr:uid="{00000000-0005-0000-0000-0000F4A60000}"/>
    <cellStyle name="Migliaia [0] 59 3 3" xfId="41096" xr:uid="{00000000-0005-0000-0000-0000F5A60000}"/>
    <cellStyle name="Migliaia [0] 59 3 4" xfId="54579" xr:uid="{00000000-0005-0000-0000-0000F6A60000}"/>
    <cellStyle name="Migliaia [0] 59 4" xfId="17002" xr:uid="{00000000-0005-0000-0000-0000F7A60000}"/>
    <cellStyle name="Migliaia [0] 59 4 2" xfId="33117" xr:uid="{00000000-0005-0000-0000-0000F8A60000}"/>
    <cellStyle name="Migliaia [0] 59 4 3" xfId="48078" xr:uid="{00000000-0005-0000-0000-0000F9A60000}"/>
    <cellStyle name="Migliaia [0] 59 4 4" xfId="55523" xr:uid="{00000000-0005-0000-0000-0000FAA60000}"/>
    <cellStyle name="Migliaia [0] 59 5" xfId="19099" xr:uid="{00000000-0005-0000-0000-0000FBA60000}"/>
    <cellStyle name="Migliaia [0] 59 6" xfId="34094" xr:uid="{00000000-0005-0000-0000-0000FCA60000}"/>
    <cellStyle name="Migliaia [0] 59 7" xfId="49034" xr:uid="{00000000-0005-0000-0000-0000FDA60000}"/>
    <cellStyle name="Migliaia [0] 59 8" xfId="49439" xr:uid="{00000000-0005-0000-0000-0000FEA60000}"/>
    <cellStyle name="Migliaia [0] 59 9" xfId="49845" xr:uid="{00000000-0005-0000-0000-0000FFA60000}"/>
    <cellStyle name="Migliaia [0] 6" xfId="283" xr:uid="{00000000-0005-0000-0000-000000A70000}"/>
    <cellStyle name="Migliaia [0] 6 10" xfId="50254" xr:uid="{00000000-0005-0000-0000-000001A70000}"/>
    <cellStyle name="Migliaia [0] 6 11" xfId="50696" xr:uid="{00000000-0005-0000-0000-000002A70000}"/>
    <cellStyle name="Migliaia [0] 6 12" xfId="51415" xr:uid="{00000000-0005-0000-0000-000003A70000}"/>
    <cellStyle name="Migliaia [0] 6 13" xfId="51827" xr:uid="{00000000-0005-0000-0000-000004A70000}"/>
    <cellStyle name="Migliaia [0] 6 14" xfId="52242" xr:uid="{00000000-0005-0000-0000-000005A70000}"/>
    <cellStyle name="Migliaia [0] 6 2" xfId="9113" xr:uid="{00000000-0005-0000-0000-000006A70000}"/>
    <cellStyle name="Migliaia [0] 6 2 2" xfId="18004" xr:uid="{00000000-0005-0000-0000-000007A70000}"/>
    <cellStyle name="Migliaia [0] 6 2 2 2" xfId="33664" xr:uid="{00000000-0005-0000-0000-000008A70000}"/>
    <cellStyle name="Migliaia [0] 6 2 2 3" xfId="48625" xr:uid="{00000000-0005-0000-0000-000009A70000}"/>
    <cellStyle name="Migliaia [0] 6 2 2 4" xfId="55148" xr:uid="{00000000-0005-0000-0000-00000AA70000}"/>
    <cellStyle name="Migliaia [0] 6 2 3" xfId="56070" xr:uid="{00000000-0005-0000-0000-00000BA70000}"/>
    <cellStyle name="Migliaia [0] 6 2 4" xfId="52793" xr:uid="{00000000-0005-0000-0000-00000CA70000}"/>
    <cellStyle name="Migliaia [0] 6 3" xfId="9794" xr:uid="{00000000-0005-0000-0000-00000DA70000}"/>
    <cellStyle name="Migliaia [0] 6 3 2" xfId="26119" xr:uid="{00000000-0005-0000-0000-00000EA70000}"/>
    <cellStyle name="Migliaia [0] 6 3 3" xfId="41097" xr:uid="{00000000-0005-0000-0000-00000FA70000}"/>
    <cellStyle name="Migliaia [0] 6 3 4" xfId="54580" xr:uid="{00000000-0005-0000-0000-000010A70000}"/>
    <cellStyle name="Migliaia [0] 6 4" xfId="17003" xr:uid="{00000000-0005-0000-0000-000011A70000}"/>
    <cellStyle name="Migliaia [0] 6 4 2" xfId="33118" xr:uid="{00000000-0005-0000-0000-000012A70000}"/>
    <cellStyle name="Migliaia [0] 6 4 3" xfId="48079" xr:uid="{00000000-0005-0000-0000-000013A70000}"/>
    <cellStyle name="Migliaia [0] 6 4 4" xfId="55524" xr:uid="{00000000-0005-0000-0000-000014A70000}"/>
    <cellStyle name="Migliaia [0] 6 5" xfId="19100" xr:uid="{00000000-0005-0000-0000-000015A70000}"/>
    <cellStyle name="Migliaia [0] 6 6" xfId="34095" xr:uid="{00000000-0005-0000-0000-000016A70000}"/>
    <cellStyle name="Migliaia [0] 6 7" xfId="49035" xr:uid="{00000000-0005-0000-0000-000017A70000}"/>
    <cellStyle name="Migliaia [0] 6 8" xfId="49440" xr:uid="{00000000-0005-0000-0000-000018A70000}"/>
    <cellStyle name="Migliaia [0] 6 9" xfId="49846" xr:uid="{00000000-0005-0000-0000-000019A70000}"/>
    <cellStyle name="Migliaia [0] 7" xfId="284" xr:uid="{00000000-0005-0000-0000-00001AA70000}"/>
    <cellStyle name="Migliaia [0] 7 10" xfId="50255" xr:uid="{00000000-0005-0000-0000-00001BA70000}"/>
    <cellStyle name="Migliaia [0] 7 11" xfId="50697" xr:uid="{00000000-0005-0000-0000-00001CA70000}"/>
    <cellStyle name="Migliaia [0] 7 12" xfId="51416" xr:uid="{00000000-0005-0000-0000-00001DA70000}"/>
    <cellStyle name="Migliaia [0] 7 13" xfId="51828" xr:uid="{00000000-0005-0000-0000-00001EA70000}"/>
    <cellStyle name="Migliaia [0] 7 14" xfId="52243" xr:uid="{00000000-0005-0000-0000-00001FA70000}"/>
    <cellStyle name="Migliaia [0] 7 2" xfId="9114" xr:uid="{00000000-0005-0000-0000-000020A70000}"/>
    <cellStyle name="Migliaia [0] 7 2 2" xfId="18005" xr:uid="{00000000-0005-0000-0000-000021A70000}"/>
    <cellStyle name="Migliaia [0] 7 2 2 2" xfId="33665" xr:uid="{00000000-0005-0000-0000-000022A70000}"/>
    <cellStyle name="Migliaia [0] 7 2 2 3" xfId="48626" xr:uid="{00000000-0005-0000-0000-000023A70000}"/>
    <cellStyle name="Migliaia [0] 7 2 2 4" xfId="55149" xr:uid="{00000000-0005-0000-0000-000024A70000}"/>
    <cellStyle name="Migliaia [0] 7 2 3" xfId="56071" xr:uid="{00000000-0005-0000-0000-000025A70000}"/>
    <cellStyle name="Migliaia [0] 7 2 4" xfId="52794" xr:uid="{00000000-0005-0000-0000-000026A70000}"/>
    <cellStyle name="Migliaia [0] 7 3" xfId="9795" xr:uid="{00000000-0005-0000-0000-000027A70000}"/>
    <cellStyle name="Migliaia [0] 7 3 2" xfId="26120" xr:uid="{00000000-0005-0000-0000-000028A70000}"/>
    <cellStyle name="Migliaia [0] 7 3 3" xfId="41098" xr:uid="{00000000-0005-0000-0000-000029A70000}"/>
    <cellStyle name="Migliaia [0] 7 3 4" xfId="54581" xr:uid="{00000000-0005-0000-0000-00002AA70000}"/>
    <cellStyle name="Migliaia [0] 7 4" xfId="17004" xr:uid="{00000000-0005-0000-0000-00002BA70000}"/>
    <cellStyle name="Migliaia [0] 7 4 2" xfId="33119" xr:uid="{00000000-0005-0000-0000-00002CA70000}"/>
    <cellStyle name="Migliaia [0] 7 4 3" xfId="48080" xr:uid="{00000000-0005-0000-0000-00002DA70000}"/>
    <cellStyle name="Migliaia [0] 7 4 4" xfId="55525" xr:uid="{00000000-0005-0000-0000-00002EA70000}"/>
    <cellStyle name="Migliaia [0] 7 5" xfId="19101" xr:uid="{00000000-0005-0000-0000-00002FA70000}"/>
    <cellStyle name="Migliaia [0] 7 6" xfId="34096" xr:uid="{00000000-0005-0000-0000-000030A70000}"/>
    <cellStyle name="Migliaia [0] 7 7" xfId="49036" xr:uid="{00000000-0005-0000-0000-000031A70000}"/>
    <cellStyle name="Migliaia [0] 7 8" xfId="49441" xr:uid="{00000000-0005-0000-0000-000032A70000}"/>
    <cellStyle name="Migliaia [0] 7 9" xfId="49847" xr:uid="{00000000-0005-0000-0000-000033A70000}"/>
    <cellStyle name="Migliaia [0] 8" xfId="285" xr:uid="{00000000-0005-0000-0000-000034A70000}"/>
    <cellStyle name="Migliaia [0] 8 10" xfId="50256" xr:uid="{00000000-0005-0000-0000-000035A70000}"/>
    <cellStyle name="Migliaia [0] 8 11" xfId="50698" xr:uid="{00000000-0005-0000-0000-000036A70000}"/>
    <cellStyle name="Migliaia [0] 8 12" xfId="51417" xr:uid="{00000000-0005-0000-0000-000037A70000}"/>
    <cellStyle name="Migliaia [0] 8 13" xfId="51829" xr:uid="{00000000-0005-0000-0000-000038A70000}"/>
    <cellStyle name="Migliaia [0] 8 14" xfId="52244" xr:uid="{00000000-0005-0000-0000-000039A70000}"/>
    <cellStyle name="Migliaia [0] 8 2" xfId="9115" xr:uid="{00000000-0005-0000-0000-00003AA70000}"/>
    <cellStyle name="Migliaia [0] 8 2 2" xfId="18006" xr:uid="{00000000-0005-0000-0000-00003BA70000}"/>
    <cellStyle name="Migliaia [0] 8 2 2 2" xfId="33666" xr:uid="{00000000-0005-0000-0000-00003CA70000}"/>
    <cellStyle name="Migliaia [0] 8 2 2 3" xfId="48627" xr:uid="{00000000-0005-0000-0000-00003DA70000}"/>
    <cellStyle name="Migliaia [0] 8 2 2 4" xfId="55150" xr:uid="{00000000-0005-0000-0000-00003EA70000}"/>
    <cellStyle name="Migliaia [0] 8 2 3" xfId="56072" xr:uid="{00000000-0005-0000-0000-00003FA70000}"/>
    <cellStyle name="Migliaia [0] 8 2 4" xfId="52795" xr:uid="{00000000-0005-0000-0000-000040A70000}"/>
    <cellStyle name="Migliaia [0] 8 3" xfId="9796" xr:uid="{00000000-0005-0000-0000-000041A70000}"/>
    <cellStyle name="Migliaia [0] 8 3 2" xfId="26121" xr:uid="{00000000-0005-0000-0000-000042A70000}"/>
    <cellStyle name="Migliaia [0] 8 3 3" xfId="41099" xr:uid="{00000000-0005-0000-0000-000043A70000}"/>
    <cellStyle name="Migliaia [0] 8 3 4" xfId="54582" xr:uid="{00000000-0005-0000-0000-000044A70000}"/>
    <cellStyle name="Migliaia [0] 8 4" xfId="17005" xr:uid="{00000000-0005-0000-0000-000045A70000}"/>
    <cellStyle name="Migliaia [0] 8 4 2" xfId="33120" xr:uid="{00000000-0005-0000-0000-000046A70000}"/>
    <cellStyle name="Migliaia [0] 8 4 3" xfId="48081" xr:uid="{00000000-0005-0000-0000-000047A70000}"/>
    <cellStyle name="Migliaia [0] 8 4 4" xfId="55526" xr:uid="{00000000-0005-0000-0000-000048A70000}"/>
    <cellStyle name="Migliaia [0] 8 5" xfId="19102" xr:uid="{00000000-0005-0000-0000-000049A70000}"/>
    <cellStyle name="Migliaia [0] 8 6" xfId="34097" xr:uid="{00000000-0005-0000-0000-00004AA70000}"/>
    <cellStyle name="Migliaia [0] 8 7" xfId="49037" xr:uid="{00000000-0005-0000-0000-00004BA70000}"/>
    <cellStyle name="Migliaia [0] 8 8" xfId="49442" xr:uid="{00000000-0005-0000-0000-00004CA70000}"/>
    <cellStyle name="Migliaia [0] 8 9" xfId="49848" xr:uid="{00000000-0005-0000-0000-00004DA70000}"/>
    <cellStyle name="Migliaia [0] 9" xfId="286" xr:uid="{00000000-0005-0000-0000-00004EA70000}"/>
    <cellStyle name="Migliaia [0] 9 10" xfId="50257" xr:uid="{00000000-0005-0000-0000-00004FA70000}"/>
    <cellStyle name="Migliaia [0] 9 11" xfId="50699" xr:uid="{00000000-0005-0000-0000-000050A70000}"/>
    <cellStyle name="Migliaia [0] 9 12" xfId="51418" xr:uid="{00000000-0005-0000-0000-000051A70000}"/>
    <cellStyle name="Migliaia [0] 9 13" xfId="51830" xr:uid="{00000000-0005-0000-0000-000052A70000}"/>
    <cellStyle name="Migliaia [0] 9 14" xfId="52245" xr:uid="{00000000-0005-0000-0000-000053A70000}"/>
    <cellStyle name="Migliaia [0] 9 2" xfId="9116" xr:uid="{00000000-0005-0000-0000-000054A70000}"/>
    <cellStyle name="Migliaia [0] 9 2 2" xfId="18007" xr:uid="{00000000-0005-0000-0000-000055A70000}"/>
    <cellStyle name="Migliaia [0] 9 2 2 2" xfId="33667" xr:uid="{00000000-0005-0000-0000-000056A70000}"/>
    <cellStyle name="Migliaia [0] 9 2 2 3" xfId="48628" xr:uid="{00000000-0005-0000-0000-000057A70000}"/>
    <cellStyle name="Migliaia [0] 9 2 2 4" xfId="55151" xr:uid="{00000000-0005-0000-0000-000058A70000}"/>
    <cellStyle name="Migliaia [0] 9 2 3" xfId="56073" xr:uid="{00000000-0005-0000-0000-000059A70000}"/>
    <cellStyle name="Migliaia [0] 9 2 4" xfId="52796" xr:uid="{00000000-0005-0000-0000-00005AA70000}"/>
    <cellStyle name="Migliaia [0] 9 3" xfId="9797" xr:uid="{00000000-0005-0000-0000-00005BA70000}"/>
    <cellStyle name="Migliaia [0] 9 3 2" xfId="26122" xr:uid="{00000000-0005-0000-0000-00005CA70000}"/>
    <cellStyle name="Migliaia [0] 9 3 3" xfId="41100" xr:uid="{00000000-0005-0000-0000-00005DA70000}"/>
    <cellStyle name="Migliaia [0] 9 3 4" xfId="54583" xr:uid="{00000000-0005-0000-0000-00005EA70000}"/>
    <cellStyle name="Migliaia [0] 9 4" xfId="17006" xr:uid="{00000000-0005-0000-0000-00005FA70000}"/>
    <cellStyle name="Migliaia [0] 9 4 2" xfId="33121" xr:uid="{00000000-0005-0000-0000-000060A70000}"/>
    <cellStyle name="Migliaia [0] 9 4 3" xfId="48082" xr:uid="{00000000-0005-0000-0000-000061A70000}"/>
    <cellStyle name="Migliaia [0] 9 4 4" xfId="55527" xr:uid="{00000000-0005-0000-0000-000062A70000}"/>
    <cellStyle name="Migliaia [0] 9 5" xfId="19103" xr:uid="{00000000-0005-0000-0000-000063A70000}"/>
    <cellStyle name="Migliaia [0] 9 6" xfId="34098" xr:uid="{00000000-0005-0000-0000-000064A70000}"/>
    <cellStyle name="Migliaia [0] 9 7" xfId="49038" xr:uid="{00000000-0005-0000-0000-000065A70000}"/>
    <cellStyle name="Migliaia [0] 9 8" xfId="49443" xr:uid="{00000000-0005-0000-0000-000066A70000}"/>
    <cellStyle name="Migliaia [0] 9 9" xfId="49849" xr:uid="{00000000-0005-0000-0000-000067A70000}"/>
    <cellStyle name="Migliaia 10" xfId="287" xr:uid="{00000000-0005-0000-0000-000068A70000}"/>
    <cellStyle name="Migliaia 10 10" xfId="34099" xr:uid="{00000000-0005-0000-0000-000069A70000}"/>
    <cellStyle name="Migliaia 10 11" xfId="49039" xr:uid="{00000000-0005-0000-0000-00006AA70000}"/>
    <cellStyle name="Migliaia 10 12" xfId="49444" xr:uid="{00000000-0005-0000-0000-00006BA70000}"/>
    <cellStyle name="Migliaia 10 13" xfId="49850" xr:uid="{00000000-0005-0000-0000-00006CA70000}"/>
    <cellStyle name="Migliaia 10 14" xfId="50258" xr:uid="{00000000-0005-0000-0000-00006DA70000}"/>
    <cellStyle name="Migliaia 10 15" xfId="50700" xr:uid="{00000000-0005-0000-0000-00006EA70000}"/>
    <cellStyle name="Migliaia 10 16" xfId="51419" xr:uid="{00000000-0005-0000-0000-00006FA70000}"/>
    <cellStyle name="Migliaia 10 17" xfId="51831" xr:uid="{00000000-0005-0000-0000-000070A70000}"/>
    <cellStyle name="Migliaia 10 18" xfId="52246" xr:uid="{00000000-0005-0000-0000-000071A70000}"/>
    <cellStyle name="Migliaia 10 2" xfId="288" xr:uid="{00000000-0005-0000-0000-000072A70000}"/>
    <cellStyle name="Migliaia 10 2 10" xfId="49851" xr:uid="{00000000-0005-0000-0000-000073A70000}"/>
    <cellStyle name="Migliaia 10 2 11" xfId="50259" xr:uid="{00000000-0005-0000-0000-000074A70000}"/>
    <cellStyle name="Migliaia 10 2 12" xfId="50701" xr:uid="{00000000-0005-0000-0000-000075A70000}"/>
    <cellStyle name="Migliaia 10 2 13" xfId="51420" xr:uid="{00000000-0005-0000-0000-000076A70000}"/>
    <cellStyle name="Migliaia 10 2 14" xfId="51832" xr:uid="{00000000-0005-0000-0000-000077A70000}"/>
    <cellStyle name="Migliaia 10 2 15" xfId="52247" xr:uid="{00000000-0005-0000-0000-000078A70000}"/>
    <cellStyle name="Migliaia 10 2 2" xfId="1244" xr:uid="{00000000-0005-0000-0000-000079A70000}"/>
    <cellStyle name="Migliaia 10 2 2 10" xfId="51096" xr:uid="{00000000-0005-0000-0000-00007AA70000}"/>
    <cellStyle name="Migliaia 10 2 2 11" xfId="51692" xr:uid="{00000000-0005-0000-0000-00007BA70000}"/>
    <cellStyle name="Migliaia 10 2 2 12" xfId="52112" xr:uid="{00000000-0005-0000-0000-00007CA70000}"/>
    <cellStyle name="Migliaia 10 2 2 13" xfId="52802" xr:uid="{00000000-0005-0000-0000-00007DA70000}"/>
    <cellStyle name="Migliaia 10 2 2 2" xfId="10071" xr:uid="{00000000-0005-0000-0000-00007EA70000}"/>
    <cellStyle name="Migliaia 10 2 2 2 2" xfId="26391" xr:uid="{00000000-0005-0000-0000-00007FA70000}"/>
    <cellStyle name="Migliaia 10 2 2 2 3" xfId="41359" xr:uid="{00000000-0005-0000-0000-000080A70000}"/>
    <cellStyle name="Migliaia 10 2 2 2 4" xfId="55157" xr:uid="{00000000-0005-0000-0000-000081A70000}"/>
    <cellStyle name="Migliaia 10 2 2 3" xfId="18206" xr:uid="{00000000-0005-0000-0000-000082A70000}"/>
    <cellStyle name="Migliaia 10 2 2 3 2" xfId="33673" xr:uid="{00000000-0005-0000-0000-000083A70000}"/>
    <cellStyle name="Migliaia 10 2 2 3 3" xfId="48634" xr:uid="{00000000-0005-0000-0000-000084A70000}"/>
    <cellStyle name="Migliaia 10 2 2 3 4" xfId="56079" xr:uid="{00000000-0005-0000-0000-000085A70000}"/>
    <cellStyle name="Migliaia 10 2 2 4" xfId="19370" xr:uid="{00000000-0005-0000-0000-000086A70000}"/>
    <cellStyle name="Migliaia 10 2 2 5" xfId="34360" xr:uid="{00000000-0005-0000-0000-000087A70000}"/>
    <cellStyle name="Migliaia 10 2 2 6" xfId="49312" xr:uid="{00000000-0005-0000-0000-000088A70000}"/>
    <cellStyle name="Migliaia 10 2 2 7" xfId="49717" xr:uid="{00000000-0005-0000-0000-000089A70000}"/>
    <cellStyle name="Migliaia 10 2 2 8" xfId="50126" xr:uid="{00000000-0005-0000-0000-00008AA70000}"/>
    <cellStyle name="Migliaia 10 2 2 9" xfId="50531" xr:uid="{00000000-0005-0000-0000-00008BA70000}"/>
    <cellStyle name="Migliaia 10 2 3" xfId="9118" xr:uid="{00000000-0005-0000-0000-00008CA70000}"/>
    <cellStyle name="Migliaia 10 2 3 2" xfId="54651" xr:uid="{00000000-0005-0000-0000-00008DA70000}"/>
    <cellStyle name="Migliaia 10 2 4" xfId="9799" xr:uid="{00000000-0005-0000-0000-00008EA70000}"/>
    <cellStyle name="Migliaia 10 2 4 2" xfId="26124" xr:uid="{00000000-0005-0000-0000-00008FA70000}"/>
    <cellStyle name="Migliaia 10 2 4 3" xfId="41102" xr:uid="{00000000-0005-0000-0000-000090A70000}"/>
    <cellStyle name="Migliaia 10 2 4 4" xfId="55529" xr:uid="{00000000-0005-0000-0000-000091A70000}"/>
    <cellStyle name="Migliaia 10 2 5" xfId="17008" xr:uid="{00000000-0005-0000-0000-000092A70000}"/>
    <cellStyle name="Migliaia 10 2 5 2" xfId="33123" xr:uid="{00000000-0005-0000-0000-000093A70000}"/>
    <cellStyle name="Migliaia 10 2 5 3" xfId="48084" xr:uid="{00000000-0005-0000-0000-000094A70000}"/>
    <cellStyle name="Migliaia 10 2 6" xfId="19105" xr:uid="{00000000-0005-0000-0000-000095A70000}"/>
    <cellStyle name="Migliaia 10 2 7" xfId="34100" xr:uid="{00000000-0005-0000-0000-000096A70000}"/>
    <cellStyle name="Migliaia 10 2 8" xfId="49040" xr:uid="{00000000-0005-0000-0000-000097A70000}"/>
    <cellStyle name="Migliaia 10 2 9" xfId="49445" xr:uid="{00000000-0005-0000-0000-000098A70000}"/>
    <cellStyle name="Migliaia 10 3" xfId="289" xr:uid="{00000000-0005-0000-0000-000099A70000}"/>
    <cellStyle name="Migliaia 10 3 10" xfId="49852" xr:uid="{00000000-0005-0000-0000-00009AA70000}"/>
    <cellStyle name="Migliaia 10 3 11" xfId="50260" xr:uid="{00000000-0005-0000-0000-00009BA70000}"/>
    <cellStyle name="Migliaia 10 3 12" xfId="50702" xr:uid="{00000000-0005-0000-0000-00009CA70000}"/>
    <cellStyle name="Migliaia 10 3 13" xfId="51421" xr:uid="{00000000-0005-0000-0000-00009DA70000}"/>
    <cellStyle name="Migliaia 10 3 14" xfId="51833" xr:uid="{00000000-0005-0000-0000-00009EA70000}"/>
    <cellStyle name="Migliaia 10 3 15" xfId="52248" xr:uid="{00000000-0005-0000-0000-00009FA70000}"/>
    <cellStyle name="Migliaia 10 3 2" xfId="290" xr:uid="{00000000-0005-0000-0000-0000A0A70000}"/>
    <cellStyle name="Migliaia 10 3 2 10" xfId="50261" xr:uid="{00000000-0005-0000-0000-0000A1A70000}"/>
    <cellStyle name="Migliaia 10 3 2 11" xfId="50703" xr:uid="{00000000-0005-0000-0000-0000A2A70000}"/>
    <cellStyle name="Migliaia 10 3 2 12" xfId="51422" xr:uid="{00000000-0005-0000-0000-0000A3A70000}"/>
    <cellStyle name="Migliaia 10 3 2 13" xfId="51834" xr:uid="{00000000-0005-0000-0000-0000A4A70000}"/>
    <cellStyle name="Migliaia 10 3 2 14" xfId="52249" xr:uid="{00000000-0005-0000-0000-0000A5A70000}"/>
    <cellStyle name="Migliaia 10 3 2 2" xfId="9120" xr:uid="{00000000-0005-0000-0000-0000A6A70000}"/>
    <cellStyle name="Migliaia 10 3 2 2 2" xfId="54724" xr:uid="{00000000-0005-0000-0000-0000A7A70000}"/>
    <cellStyle name="Migliaia 10 3 2 3" xfId="9801" xr:uid="{00000000-0005-0000-0000-0000A8A70000}"/>
    <cellStyle name="Migliaia 10 3 2 3 2" xfId="26126" xr:uid="{00000000-0005-0000-0000-0000A9A70000}"/>
    <cellStyle name="Migliaia 10 3 2 3 3" xfId="41104" xr:uid="{00000000-0005-0000-0000-0000AAA70000}"/>
    <cellStyle name="Migliaia 10 3 2 3 4" xfId="55531" xr:uid="{00000000-0005-0000-0000-0000ABA70000}"/>
    <cellStyle name="Migliaia 10 3 2 4" xfId="17010" xr:uid="{00000000-0005-0000-0000-0000ACA70000}"/>
    <cellStyle name="Migliaia 10 3 2 4 2" xfId="33125" xr:uid="{00000000-0005-0000-0000-0000ADA70000}"/>
    <cellStyle name="Migliaia 10 3 2 4 3" xfId="48086" xr:uid="{00000000-0005-0000-0000-0000AEA70000}"/>
    <cellStyle name="Migliaia 10 3 2 5" xfId="19107" xr:uid="{00000000-0005-0000-0000-0000AFA70000}"/>
    <cellStyle name="Migliaia 10 3 2 6" xfId="34102" xr:uid="{00000000-0005-0000-0000-0000B0A70000}"/>
    <cellStyle name="Migliaia 10 3 2 7" xfId="49042" xr:uid="{00000000-0005-0000-0000-0000B1A70000}"/>
    <cellStyle name="Migliaia 10 3 2 8" xfId="49447" xr:uid="{00000000-0005-0000-0000-0000B2A70000}"/>
    <cellStyle name="Migliaia 10 3 2 9" xfId="49853" xr:uid="{00000000-0005-0000-0000-0000B3A70000}"/>
    <cellStyle name="Migliaia 10 3 3" xfId="9119" xr:uid="{00000000-0005-0000-0000-0000B4A70000}"/>
    <cellStyle name="Migliaia 10 3 3 2" xfId="18208" xr:uid="{00000000-0005-0000-0000-0000B5A70000}"/>
    <cellStyle name="Migliaia 10 3 3 2 2" xfId="33675" xr:uid="{00000000-0005-0000-0000-0000B6A70000}"/>
    <cellStyle name="Migliaia 10 3 3 2 2 2" xfId="55159" xr:uid="{00000000-0005-0000-0000-0000B7A70000}"/>
    <cellStyle name="Migliaia 10 3 3 2 3" xfId="48636" xr:uid="{00000000-0005-0000-0000-0000B8A70000}"/>
    <cellStyle name="Migliaia 10 3 3 2 3 2" xfId="56081" xr:uid="{00000000-0005-0000-0000-0000B9A70000}"/>
    <cellStyle name="Migliaia 10 3 3 2 4" xfId="52804" xr:uid="{00000000-0005-0000-0000-0000BAA70000}"/>
    <cellStyle name="Migliaia 10 3 3 3" xfId="17011" xr:uid="{00000000-0005-0000-0000-0000BBA70000}"/>
    <cellStyle name="Migliaia 10 3 3 3 2" xfId="33126" xr:uid="{00000000-0005-0000-0000-0000BCA70000}"/>
    <cellStyle name="Migliaia 10 3 3 3 3" xfId="48087" xr:uid="{00000000-0005-0000-0000-0000BDA70000}"/>
    <cellStyle name="Migliaia 10 3 3 3 4" xfId="54725" xr:uid="{00000000-0005-0000-0000-0000BEA70000}"/>
    <cellStyle name="Migliaia 10 3 3 4" xfId="55532" xr:uid="{00000000-0005-0000-0000-0000BFA70000}"/>
    <cellStyle name="Migliaia 10 3 3 5" xfId="52250" xr:uid="{00000000-0005-0000-0000-0000C0A70000}"/>
    <cellStyle name="Migliaia 10 3 4" xfId="9800" xr:uid="{00000000-0005-0000-0000-0000C1A70000}"/>
    <cellStyle name="Migliaia 10 3 4 2" xfId="18207" xr:uid="{00000000-0005-0000-0000-0000C2A70000}"/>
    <cellStyle name="Migliaia 10 3 4 2 2" xfId="33674" xr:uid="{00000000-0005-0000-0000-0000C3A70000}"/>
    <cellStyle name="Migliaia 10 3 4 2 3" xfId="48635" xr:uid="{00000000-0005-0000-0000-0000C4A70000}"/>
    <cellStyle name="Migliaia 10 3 4 2 4" xfId="55158" xr:uid="{00000000-0005-0000-0000-0000C5A70000}"/>
    <cellStyle name="Migliaia 10 3 4 3" xfId="26125" xr:uid="{00000000-0005-0000-0000-0000C6A70000}"/>
    <cellStyle name="Migliaia 10 3 4 3 2" xfId="56080" xr:uid="{00000000-0005-0000-0000-0000C7A70000}"/>
    <cellStyle name="Migliaia 10 3 4 4" xfId="41103" xr:uid="{00000000-0005-0000-0000-0000C8A70000}"/>
    <cellStyle name="Migliaia 10 3 4 5" xfId="52803" xr:uid="{00000000-0005-0000-0000-0000C9A70000}"/>
    <cellStyle name="Migliaia 10 3 5" xfId="17009" xr:uid="{00000000-0005-0000-0000-0000CAA70000}"/>
    <cellStyle name="Migliaia 10 3 5 2" xfId="33124" xr:uid="{00000000-0005-0000-0000-0000CBA70000}"/>
    <cellStyle name="Migliaia 10 3 5 3" xfId="48085" xr:uid="{00000000-0005-0000-0000-0000CCA70000}"/>
    <cellStyle name="Migliaia 10 3 5 4" xfId="54723" xr:uid="{00000000-0005-0000-0000-0000CDA70000}"/>
    <cellStyle name="Migliaia 10 3 6" xfId="19106" xr:uid="{00000000-0005-0000-0000-0000CEA70000}"/>
    <cellStyle name="Migliaia 10 3 6 2" xfId="55530" xr:uid="{00000000-0005-0000-0000-0000CFA70000}"/>
    <cellStyle name="Migliaia 10 3 7" xfId="34101" xr:uid="{00000000-0005-0000-0000-0000D0A70000}"/>
    <cellStyle name="Migliaia 10 3 8" xfId="49041" xr:uid="{00000000-0005-0000-0000-0000D1A70000}"/>
    <cellStyle name="Migliaia 10 3 9" xfId="49446" xr:uid="{00000000-0005-0000-0000-0000D2A70000}"/>
    <cellStyle name="Migliaia 10 4" xfId="9121" xr:uid="{00000000-0005-0000-0000-0000D3A70000}"/>
    <cellStyle name="Migliaia 10 4 2" xfId="17013" xr:uid="{00000000-0005-0000-0000-0000D4A70000}"/>
    <cellStyle name="Migliaia 10 4 2 2" xfId="18210" xr:uid="{00000000-0005-0000-0000-0000D5A70000}"/>
    <cellStyle name="Migliaia 10 4 2 2 2" xfId="33677" xr:uid="{00000000-0005-0000-0000-0000D6A70000}"/>
    <cellStyle name="Migliaia 10 4 2 2 2 2" xfId="55161" xr:uid="{00000000-0005-0000-0000-0000D7A70000}"/>
    <cellStyle name="Migliaia 10 4 2 2 3" xfId="48638" xr:uid="{00000000-0005-0000-0000-0000D8A70000}"/>
    <cellStyle name="Migliaia 10 4 2 2 3 2" xfId="56083" xr:uid="{00000000-0005-0000-0000-0000D9A70000}"/>
    <cellStyle name="Migliaia 10 4 2 2 4" xfId="52806" xr:uid="{00000000-0005-0000-0000-0000DAA70000}"/>
    <cellStyle name="Migliaia 10 4 2 3" xfId="33128" xr:uid="{00000000-0005-0000-0000-0000DBA70000}"/>
    <cellStyle name="Migliaia 10 4 2 3 2" xfId="54727" xr:uid="{00000000-0005-0000-0000-0000DCA70000}"/>
    <cellStyle name="Migliaia 10 4 2 4" xfId="48089" xr:uid="{00000000-0005-0000-0000-0000DDA70000}"/>
    <cellStyle name="Migliaia 10 4 2 4 2" xfId="55534" xr:uid="{00000000-0005-0000-0000-0000DEA70000}"/>
    <cellStyle name="Migliaia 10 4 2 5" xfId="52252" xr:uid="{00000000-0005-0000-0000-0000DFA70000}"/>
    <cellStyle name="Migliaia 10 4 3" xfId="18209" xr:uid="{00000000-0005-0000-0000-0000E0A70000}"/>
    <cellStyle name="Migliaia 10 4 3 2" xfId="33676" xr:uid="{00000000-0005-0000-0000-0000E1A70000}"/>
    <cellStyle name="Migliaia 10 4 3 2 2" xfId="55160" xr:uid="{00000000-0005-0000-0000-0000E2A70000}"/>
    <cellStyle name="Migliaia 10 4 3 3" xfId="48637" xr:uid="{00000000-0005-0000-0000-0000E3A70000}"/>
    <cellStyle name="Migliaia 10 4 3 3 2" xfId="56082" xr:uid="{00000000-0005-0000-0000-0000E4A70000}"/>
    <cellStyle name="Migliaia 10 4 3 4" xfId="52805" xr:uid="{00000000-0005-0000-0000-0000E5A70000}"/>
    <cellStyle name="Migliaia 10 4 4" xfId="17012" xr:uid="{00000000-0005-0000-0000-0000E6A70000}"/>
    <cellStyle name="Migliaia 10 4 4 2" xfId="33127" xr:uid="{00000000-0005-0000-0000-0000E7A70000}"/>
    <cellStyle name="Migliaia 10 4 4 3" xfId="48088" xr:uid="{00000000-0005-0000-0000-0000E8A70000}"/>
    <cellStyle name="Migliaia 10 4 4 4" xfId="54726" xr:uid="{00000000-0005-0000-0000-0000E9A70000}"/>
    <cellStyle name="Migliaia 10 4 5" xfId="51202" xr:uid="{00000000-0005-0000-0000-0000EAA70000}"/>
    <cellStyle name="Migliaia 10 4 5 2" xfId="55533" xr:uid="{00000000-0005-0000-0000-0000EBA70000}"/>
    <cellStyle name="Migliaia 10 4 6" xfId="52251" xr:uid="{00000000-0005-0000-0000-0000ECA70000}"/>
    <cellStyle name="Migliaia 10 5" xfId="9122" xr:uid="{00000000-0005-0000-0000-0000EDA70000}"/>
    <cellStyle name="Migliaia 10 5 2" xfId="17014" xr:uid="{00000000-0005-0000-0000-0000EEA70000}"/>
    <cellStyle name="Migliaia 10 5 2 2" xfId="33129" xr:uid="{00000000-0005-0000-0000-0000EFA70000}"/>
    <cellStyle name="Migliaia 10 5 2 3" xfId="48090" xr:uid="{00000000-0005-0000-0000-0000F0A70000}"/>
    <cellStyle name="Migliaia 10 5 2 4" xfId="54728" xr:uid="{00000000-0005-0000-0000-0000F1A70000}"/>
    <cellStyle name="Migliaia 10 5 3" xfId="51256" xr:uid="{00000000-0005-0000-0000-0000F2A70000}"/>
    <cellStyle name="Migliaia 10 5 3 2" xfId="55535" xr:uid="{00000000-0005-0000-0000-0000F3A70000}"/>
    <cellStyle name="Migliaia 10 5 4" xfId="52253" xr:uid="{00000000-0005-0000-0000-0000F4A70000}"/>
    <cellStyle name="Migliaia 10 6" xfId="9117" xr:uid="{00000000-0005-0000-0000-0000F5A70000}"/>
    <cellStyle name="Migliaia 10 6 2" xfId="51204" xr:uid="{00000000-0005-0000-0000-0000F6A70000}"/>
    <cellStyle name="Migliaia 10 6 3" xfId="54584" xr:uid="{00000000-0005-0000-0000-0000F7A70000}"/>
    <cellStyle name="Migliaia 10 7" xfId="9798" xr:uid="{00000000-0005-0000-0000-0000F8A70000}"/>
    <cellStyle name="Migliaia 10 7 2" xfId="26123" xr:uid="{00000000-0005-0000-0000-0000F9A70000}"/>
    <cellStyle name="Migliaia 10 7 3" xfId="41101" xr:uid="{00000000-0005-0000-0000-0000FAA70000}"/>
    <cellStyle name="Migliaia 10 7 4" xfId="55528" xr:uid="{00000000-0005-0000-0000-0000FBA70000}"/>
    <cellStyle name="Migliaia 10 8" xfId="17007" xr:uid="{00000000-0005-0000-0000-0000FCA70000}"/>
    <cellStyle name="Migliaia 10 8 2" xfId="33122" xr:uid="{00000000-0005-0000-0000-0000FDA70000}"/>
    <cellStyle name="Migliaia 10 8 3" xfId="48083" xr:uid="{00000000-0005-0000-0000-0000FEA70000}"/>
    <cellStyle name="Migliaia 10 9" xfId="19104" xr:uid="{00000000-0005-0000-0000-0000FFA70000}"/>
    <cellStyle name="Migliaia 11" xfId="291" xr:uid="{00000000-0005-0000-0000-000000A80000}"/>
    <cellStyle name="Migliaia 11 10" xfId="34103" xr:uid="{00000000-0005-0000-0000-000001A80000}"/>
    <cellStyle name="Migliaia 11 11" xfId="49043" xr:uid="{00000000-0005-0000-0000-000002A80000}"/>
    <cellStyle name="Migliaia 11 12" xfId="49448" xr:uid="{00000000-0005-0000-0000-000003A80000}"/>
    <cellStyle name="Migliaia 11 13" xfId="49854" xr:uid="{00000000-0005-0000-0000-000004A80000}"/>
    <cellStyle name="Migliaia 11 14" xfId="50262" xr:uid="{00000000-0005-0000-0000-000005A80000}"/>
    <cellStyle name="Migliaia 11 15" xfId="50704" xr:uid="{00000000-0005-0000-0000-000006A80000}"/>
    <cellStyle name="Migliaia 11 16" xfId="51423" xr:uid="{00000000-0005-0000-0000-000007A80000}"/>
    <cellStyle name="Migliaia 11 17" xfId="51835" xr:uid="{00000000-0005-0000-0000-000008A80000}"/>
    <cellStyle name="Migliaia 11 18" xfId="52254" xr:uid="{00000000-0005-0000-0000-000009A80000}"/>
    <cellStyle name="Migliaia 11 2" xfId="292" xr:uid="{00000000-0005-0000-0000-00000AA80000}"/>
    <cellStyle name="Migliaia 11 2 10" xfId="49855" xr:uid="{00000000-0005-0000-0000-00000BA80000}"/>
    <cellStyle name="Migliaia 11 2 11" xfId="50263" xr:uid="{00000000-0005-0000-0000-00000CA80000}"/>
    <cellStyle name="Migliaia 11 2 12" xfId="50705" xr:uid="{00000000-0005-0000-0000-00000DA80000}"/>
    <cellStyle name="Migliaia 11 2 13" xfId="51424" xr:uid="{00000000-0005-0000-0000-00000EA80000}"/>
    <cellStyle name="Migliaia 11 2 14" xfId="51836" xr:uid="{00000000-0005-0000-0000-00000FA80000}"/>
    <cellStyle name="Migliaia 11 2 15" xfId="52255" xr:uid="{00000000-0005-0000-0000-000010A80000}"/>
    <cellStyle name="Migliaia 11 2 2" xfId="1245" xr:uid="{00000000-0005-0000-0000-000011A80000}"/>
    <cellStyle name="Migliaia 11 2 2 10" xfId="51097" xr:uid="{00000000-0005-0000-0000-000012A80000}"/>
    <cellStyle name="Migliaia 11 2 2 11" xfId="51693" xr:uid="{00000000-0005-0000-0000-000013A80000}"/>
    <cellStyle name="Migliaia 11 2 2 12" xfId="52113" xr:uid="{00000000-0005-0000-0000-000014A80000}"/>
    <cellStyle name="Migliaia 11 2 2 13" xfId="52807" xr:uid="{00000000-0005-0000-0000-000015A80000}"/>
    <cellStyle name="Migliaia 11 2 2 2" xfId="10072" xr:uid="{00000000-0005-0000-0000-000016A80000}"/>
    <cellStyle name="Migliaia 11 2 2 2 2" xfId="26392" xr:uid="{00000000-0005-0000-0000-000017A80000}"/>
    <cellStyle name="Migliaia 11 2 2 2 3" xfId="41360" xr:uid="{00000000-0005-0000-0000-000018A80000}"/>
    <cellStyle name="Migliaia 11 2 2 2 4" xfId="55162" xr:uid="{00000000-0005-0000-0000-000019A80000}"/>
    <cellStyle name="Migliaia 11 2 2 3" xfId="18211" xr:uid="{00000000-0005-0000-0000-00001AA80000}"/>
    <cellStyle name="Migliaia 11 2 2 3 2" xfId="33678" xr:uid="{00000000-0005-0000-0000-00001BA80000}"/>
    <cellStyle name="Migliaia 11 2 2 3 3" xfId="48639" xr:uid="{00000000-0005-0000-0000-00001CA80000}"/>
    <cellStyle name="Migliaia 11 2 2 3 4" xfId="56084" xr:uid="{00000000-0005-0000-0000-00001DA80000}"/>
    <cellStyle name="Migliaia 11 2 2 4" xfId="19371" xr:uid="{00000000-0005-0000-0000-00001EA80000}"/>
    <cellStyle name="Migliaia 11 2 2 5" xfId="34361" xr:uid="{00000000-0005-0000-0000-00001FA80000}"/>
    <cellStyle name="Migliaia 11 2 2 6" xfId="49313" xr:uid="{00000000-0005-0000-0000-000020A80000}"/>
    <cellStyle name="Migliaia 11 2 2 7" xfId="49718" xr:uid="{00000000-0005-0000-0000-000021A80000}"/>
    <cellStyle name="Migliaia 11 2 2 8" xfId="50127" xr:uid="{00000000-0005-0000-0000-000022A80000}"/>
    <cellStyle name="Migliaia 11 2 2 9" xfId="50532" xr:uid="{00000000-0005-0000-0000-000023A80000}"/>
    <cellStyle name="Migliaia 11 2 3" xfId="9124" xr:uid="{00000000-0005-0000-0000-000024A80000}"/>
    <cellStyle name="Migliaia 11 2 3 2" xfId="54652" xr:uid="{00000000-0005-0000-0000-000025A80000}"/>
    <cellStyle name="Migliaia 11 2 4" xfId="9803" xr:uid="{00000000-0005-0000-0000-000026A80000}"/>
    <cellStyle name="Migliaia 11 2 4 2" xfId="26128" xr:uid="{00000000-0005-0000-0000-000027A80000}"/>
    <cellStyle name="Migliaia 11 2 4 3" xfId="41106" xr:uid="{00000000-0005-0000-0000-000028A80000}"/>
    <cellStyle name="Migliaia 11 2 4 4" xfId="55537" xr:uid="{00000000-0005-0000-0000-000029A80000}"/>
    <cellStyle name="Migliaia 11 2 5" xfId="17016" xr:uid="{00000000-0005-0000-0000-00002AA80000}"/>
    <cellStyle name="Migliaia 11 2 5 2" xfId="33131" xr:uid="{00000000-0005-0000-0000-00002BA80000}"/>
    <cellStyle name="Migliaia 11 2 5 3" xfId="48092" xr:uid="{00000000-0005-0000-0000-00002CA80000}"/>
    <cellStyle name="Migliaia 11 2 6" xfId="19109" xr:uid="{00000000-0005-0000-0000-00002DA80000}"/>
    <cellStyle name="Migliaia 11 2 7" xfId="34104" xr:uid="{00000000-0005-0000-0000-00002EA80000}"/>
    <cellStyle name="Migliaia 11 2 8" xfId="49044" xr:uid="{00000000-0005-0000-0000-00002FA80000}"/>
    <cellStyle name="Migliaia 11 2 9" xfId="49449" xr:uid="{00000000-0005-0000-0000-000030A80000}"/>
    <cellStyle name="Migliaia 11 3" xfId="293" xr:uid="{00000000-0005-0000-0000-000031A80000}"/>
    <cellStyle name="Migliaia 11 3 10" xfId="49856" xr:uid="{00000000-0005-0000-0000-000032A80000}"/>
    <cellStyle name="Migliaia 11 3 11" xfId="50264" xr:uid="{00000000-0005-0000-0000-000033A80000}"/>
    <cellStyle name="Migliaia 11 3 12" xfId="50706" xr:uid="{00000000-0005-0000-0000-000034A80000}"/>
    <cellStyle name="Migliaia 11 3 13" xfId="51425" xr:uid="{00000000-0005-0000-0000-000035A80000}"/>
    <cellStyle name="Migliaia 11 3 14" xfId="51837" xr:uid="{00000000-0005-0000-0000-000036A80000}"/>
    <cellStyle name="Migliaia 11 3 15" xfId="52256" xr:uid="{00000000-0005-0000-0000-000037A80000}"/>
    <cellStyle name="Migliaia 11 3 2" xfId="294" xr:uid="{00000000-0005-0000-0000-000038A80000}"/>
    <cellStyle name="Migliaia 11 3 2 10" xfId="50265" xr:uid="{00000000-0005-0000-0000-000039A80000}"/>
    <cellStyle name="Migliaia 11 3 2 11" xfId="50707" xr:uid="{00000000-0005-0000-0000-00003AA80000}"/>
    <cellStyle name="Migliaia 11 3 2 12" xfId="51426" xr:uid="{00000000-0005-0000-0000-00003BA80000}"/>
    <cellStyle name="Migliaia 11 3 2 13" xfId="51838" xr:uid="{00000000-0005-0000-0000-00003CA80000}"/>
    <cellStyle name="Migliaia 11 3 2 14" xfId="52257" xr:uid="{00000000-0005-0000-0000-00003DA80000}"/>
    <cellStyle name="Migliaia 11 3 2 2" xfId="9126" xr:uid="{00000000-0005-0000-0000-00003EA80000}"/>
    <cellStyle name="Migliaia 11 3 2 2 2" xfId="54730" xr:uid="{00000000-0005-0000-0000-00003FA80000}"/>
    <cellStyle name="Migliaia 11 3 2 3" xfId="9805" xr:uid="{00000000-0005-0000-0000-000040A80000}"/>
    <cellStyle name="Migliaia 11 3 2 3 2" xfId="26130" xr:uid="{00000000-0005-0000-0000-000041A80000}"/>
    <cellStyle name="Migliaia 11 3 2 3 3" xfId="41108" xr:uid="{00000000-0005-0000-0000-000042A80000}"/>
    <cellStyle name="Migliaia 11 3 2 3 4" xfId="55539" xr:uid="{00000000-0005-0000-0000-000043A80000}"/>
    <cellStyle name="Migliaia 11 3 2 4" xfId="17018" xr:uid="{00000000-0005-0000-0000-000044A80000}"/>
    <cellStyle name="Migliaia 11 3 2 4 2" xfId="33133" xr:uid="{00000000-0005-0000-0000-000045A80000}"/>
    <cellStyle name="Migliaia 11 3 2 4 3" xfId="48094" xr:uid="{00000000-0005-0000-0000-000046A80000}"/>
    <cellStyle name="Migliaia 11 3 2 5" xfId="19111" xr:uid="{00000000-0005-0000-0000-000047A80000}"/>
    <cellStyle name="Migliaia 11 3 2 6" xfId="34106" xr:uid="{00000000-0005-0000-0000-000048A80000}"/>
    <cellStyle name="Migliaia 11 3 2 7" xfId="49046" xr:uid="{00000000-0005-0000-0000-000049A80000}"/>
    <cellStyle name="Migliaia 11 3 2 8" xfId="49451" xr:uid="{00000000-0005-0000-0000-00004AA80000}"/>
    <cellStyle name="Migliaia 11 3 2 9" xfId="49857" xr:uid="{00000000-0005-0000-0000-00004BA80000}"/>
    <cellStyle name="Migliaia 11 3 3" xfId="9125" xr:uid="{00000000-0005-0000-0000-00004CA80000}"/>
    <cellStyle name="Migliaia 11 3 3 2" xfId="18213" xr:uid="{00000000-0005-0000-0000-00004DA80000}"/>
    <cellStyle name="Migliaia 11 3 3 2 2" xfId="33680" xr:uid="{00000000-0005-0000-0000-00004EA80000}"/>
    <cellStyle name="Migliaia 11 3 3 2 2 2" xfId="55164" xr:uid="{00000000-0005-0000-0000-00004FA80000}"/>
    <cellStyle name="Migliaia 11 3 3 2 3" xfId="48641" xr:uid="{00000000-0005-0000-0000-000050A80000}"/>
    <cellStyle name="Migliaia 11 3 3 2 3 2" xfId="56086" xr:uid="{00000000-0005-0000-0000-000051A80000}"/>
    <cellStyle name="Migliaia 11 3 3 2 4" xfId="52809" xr:uid="{00000000-0005-0000-0000-000052A80000}"/>
    <cellStyle name="Migliaia 11 3 3 3" xfId="17019" xr:uid="{00000000-0005-0000-0000-000053A80000}"/>
    <cellStyle name="Migliaia 11 3 3 3 2" xfId="33134" xr:uid="{00000000-0005-0000-0000-000054A80000}"/>
    <cellStyle name="Migliaia 11 3 3 3 3" xfId="48095" xr:uid="{00000000-0005-0000-0000-000055A80000}"/>
    <cellStyle name="Migliaia 11 3 3 3 4" xfId="54731" xr:uid="{00000000-0005-0000-0000-000056A80000}"/>
    <cellStyle name="Migliaia 11 3 3 4" xfId="55540" xr:uid="{00000000-0005-0000-0000-000057A80000}"/>
    <cellStyle name="Migliaia 11 3 3 5" xfId="52258" xr:uid="{00000000-0005-0000-0000-000058A80000}"/>
    <cellStyle name="Migliaia 11 3 4" xfId="9804" xr:uid="{00000000-0005-0000-0000-000059A80000}"/>
    <cellStyle name="Migliaia 11 3 4 2" xfId="18212" xr:uid="{00000000-0005-0000-0000-00005AA80000}"/>
    <cellStyle name="Migliaia 11 3 4 2 2" xfId="33679" xr:uid="{00000000-0005-0000-0000-00005BA80000}"/>
    <cellStyle name="Migliaia 11 3 4 2 3" xfId="48640" xr:uid="{00000000-0005-0000-0000-00005CA80000}"/>
    <cellStyle name="Migliaia 11 3 4 2 4" xfId="55163" xr:uid="{00000000-0005-0000-0000-00005DA80000}"/>
    <cellStyle name="Migliaia 11 3 4 3" xfId="26129" xr:uid="{00000000-0005-0000-0000-00005EA80000}"/>
    <cellStyle name="Migliaia 11 3 4 3 2" xfId="56085" xr:uid="{00000000-0005-0000-0000-00005FA80000}"/>
    <cellStyle name="Migliaia 11 3 4 4" xfId="41107" xr:uid="{00000000-0005-0000-0000-000060A80000}"/>
    <cellStyle name="Migliaia 11 3 4 5" xfId="52808" xr:uid="{00000000-0005-0000-0000-000061A80000}"/>
    <cellStyle name="Migliaia 11 3 5" xfId="17017" xr:uid="{00000000-0005-0000-0000-000062A80000}"/>
    <cellStyle name="Migliaia 11 3 5 2" xfId="33132" xr:uid="{00000000-0005-0000-0000-000063A80000}"/>
    <cellStyle name="Migliaia 11 3 5 3" xfId="48093" xr:uid="{00000000-0005-0000-0000-000064A80000}"/>
    <cellStyle name="Migliaia 11 3 5 4" xfId="54729" xr:uid="{00000000-0005-0000-0000-000065A80000}"/>
    <cellStyle name="Migliaia 11 3 6" xfId="19110" xr:uid="{00000000-0005-0000-0000-000066A80000}"/>
    <cellStyle name="Migliaia 11 3 6 2" xfId="55538" xr:uid="{00000000-0005-0000-0000-000067A80000}"/>
    <cellStyle name="Migliaia 11 3 7" xfId="34105" xr:uid="{00000000-0005-0000-0000-000068A80000}"/>
    <cellStyle name="Migliaia 11 3 8" xfId="49045" xr:uid="{00000000-0005-0000-0000-000069A80000}"/>
    <cellStyle name="Migliaia 11 3 9" xfId="49450" xr:uid="{00000000-0005-0000-0000-00006AA80000}"/>
    <cellStyle name="Migliaia 11 4" xfId="9127" xr:uid="{00000000-0005-0000-0000-00006BA80000}"/>
    <cellStyle name="Migliaia 11 4 2" xfId="17021" xr:uid="{00000000-0005-0000-0000-00006CA80000}"/>
    <cellStyle name="Migliaia 11 4 2 2" xfId="18215" xr:uid="{00000000-0005-0000-0000-00006DA80000}"/>
    <cellStyle name="Migliaia 11 4 2 2 2" xfId="33682" xr:uid="{00000000-0005-0000-0000-00006EA80000}"/>
    <cellStyle name="Migliaia 11 4 2 2 2 2" xfId="55166" xr:uid="{00000000-0005-0000-0000-00006FA80000}"/>
    <cellStyle name="Migliaia 11 4 2 2 3" xfId="48643" xr:uid="{00000000-0005-0000-0000-000070A80000}"/>
    <cellStyle name="Migliaia 11 4 2 2 3 2" xfId="56088" xr:uid="{00000000-0005-0000-0000-000071A80000}"/>
    <cellStyle name="Migliaia 11 4 2 2 4" xfId="52811" xr:uid="{00000000-0005-0000-0000-000072A80000}"/>
    <cellStyle name="Migliaia 11 4 2 3" xfId="33136" xr:uid="{00000000-0005-0000-0000-000073A80000}"/>
    <cellStyle name="Migliaia 11 4 2 3 2" xfId="54733" xr:uid="{00000000-0005-0000-0000-000074A80000}"/>
    <cellStyle name="Migliaia 11 4 2 4" xfId="48097" xr:uid="{00000000-0005-0000-0000-000075A80000}"/>
    <cellStyle name="Migliaia 11 4 2 4 2" xfId="55542" xr:uid="{00000000-0005-0000-0000-000076A80000}"/>
    <cellStyle name="Migliaia 11 4 2 5" xfId="52260" xr:uid="{00000000-0005-0000-0000-000077A80000}"/>
    <cellStyle name="Migliaia 11 4 3" xfId="18214" xr:uid="{00000000-0005-0000-0000-000078A80000}"/>
    <cellStyle name="Migliaia 11 4 3 2" xfId="33681" xr:uid="{00000000-0005-0000-0000-000079A80000}"/>
    <cellStyle name="Migliaia 11 4 3 2 2" xfId="55165" xr:uid="{00000000-0005-0000-0000-00007AA80000}"/>
    <cellStyle name="Migliaia 11 4 3 3" xfId="48642" xr:uid="{00000000-0005-0000-0000-00007BA80000}"/>
    <cellStyle name="Migliaia 11 4 3 3 2" xfId="56087" xr:uid="{00000000-0005-0000-0000-00007CA80000}"/>
    <cellStyle name="Migliaia 11 4 3 4" xfId="52810" xr:uid="{00000000-0005-0000-0000-00007DA80000}"/>
    <cellStyle name="Migliaia 11 4 4" xfId="17020" xr:uid="{00000000-0005-0000-0000-00007EA80000}"/>
    <cellStyle name="Migliaia 11 4 4 2" xfId="33135" xr:uid="{00000000-0005-0000-0000-00007FA80000}"/>
    <cellStyle name="Migliaia 11 4 4 3" xfId="48096" xr:uid="{00000000-0005-0000-0000-000080A80000}"/>
    <cellStyle name="Migliaia 11 4 4 4" xfId="54732" xr:uid="{00000000-0005-0000-0000-000081A80000}"/>
    <cellStyle name="Migliaia 11 4 5" xfId="51203" xr:uid="{00000000-0005-0000-0000-000082A80000}"/>
    <cellStyle name="Migliaia 11 4 5 2" xfId="55541" xr:uid="{00000000-0005-0000-0000-000083A80000}"/>
    <cellStyle name="Migliaia 11 4 6" xfId="52259" xr:uid="{00000000-0005-0000-0000-000084A80000}"/>
    <cellStyle name="Migliaia 11 5" xfId="9128" xr:uid="{00000000-0005-0000-0000-000085A80000}"/>
    <cellStyle name="Migliaia 11 5 2" xfId="17022" xr:uid="{00000000-0005-0000-0000-000086A80000}"/>
    <cellStyle name="Migliaia 11 5 2 2" xfId="33137" xr:uid="{00000000-0005-0000-0000-000087A80000}"/>
    <cellStyle name="Migliaia 11 5 2 3" xfId="48098" xr:uid="{00000000-0005-0000-0000-000088A80000}"/>
    <cellStyle name="Migliaia 11 5 2 4" xfId="54734" xr:uid="{00000000-0005-0000-0000-000089A80000}"/>
    <cellStyle name="Migliaia 11 5 3" xfId="51257" xr:uid="{00000000-0005-0000-0000-00008AA80000}"/>
    <cellStyle name="Migliaia 11 5 3 2" xfId="55543" xr:uid="{00000000-0005-0000-0000-00008BA80000}"/>
    <cellStyle name="Migliaia 11 5 4" xfId="52261" xr:uid="{00000000-0005-0000-0000-00008CA80000}"/>
    <cellStyle name="Migliaia 11 6" xfId="9123" xr:uid="{00000000-0005-0000-0000-00008DA80000}"/>
    <cellStyle name="Migliaia 11 6 2" xfId="51235" xr:uid="{00000000-0005-0000-0000-00008EA80000}"/>
    <cellStyle name="Migliaia 11 6 3" xfId="54585" xr:uid="{00000000-0005-0000-0000-00008FA80000}"/>
    <cellStyle name="Migliaia 11 7" xfId="9802" xr:uid="{00000000-0005-0000-0000-000090A80000}"/>
    <cellStyle name="Migliaia 11 7 2" xfId="26127" xr:uid="{00000000-0005-0000-0000-000091A80000}"/>
    <cellStyle name="Migliaia 11 7 3" xfId="41105" xr:uid="{00000000-0005-0000-0000-000092A80000}"/>
    <cellStyle name="Migliaia 11 7 4" xfId="55536" xr:uid="{00000000-0005-0000-0000-000093A80000}"/>
    <cellStyle name="Migliaia 11 8" xfId="17015" xr:uid="{00000000-0005-0000-0000-000094A80000}"/>
    <cellStyle name="Migliaia 11 8 2" xfId="33130" xr:uid="{00000000-0005-0000-0000-000095A80000}"/>
    <cellStyle name="Migliaia 11 8 3" xfId="48091" xr:uid="{00000000-0005-0000-0000-000096A80000}"/>
    <cellStyle name="Migliaia 11 9" xfId="19108" xr:uid="{00000000-0005-0000-0000-000097A80000}"/>
    <cellStyle name="Migliaia 12" xfId="295" xr:uid="{00000000-0005-0000-0000-000098A80000}"/>
    <cellStyle name="Migliaia 12 10" xfId="34107" xr:uid="{00000000-0005-0000-0000-000099A80000}"/>
    <cellStyle name="Migliaia 12 11" xfId="49047" xr:uid="{00000000-0005-0000-0000-00009AA80000}"/>
    <cellStyle name="Migliaia 12 12" xfId="49452" xr:uid="{00000000-0005-0000-0000-00009BA80000}"/>
    <cellStyle name="Migliaia 12 13" xfId="49858" xr:uid="{00000000-0005-0000-0000-00009CA80000}"/>
    <cellStyle name="Migliaia 12 14" xfId="50266" xr:uid="{00000000-0005-0000-0000-00009DA80000}"/>
    <cellStyle name="Migliaia 12 15" xfId="50708" xr:uid="{00000000-0005-0000-0000-00009EA80000}"/>
    <cellStyle name="Migliaia 12 16" xfId="51427" xr:uid="{00000000-0005-0000-0000-00009FA80000}"/>
    <cellStyle name="Migliaia 12 17" xfId="51839" xr:uid="{00000000-0005-0000-0000-0000A0A80000}"/>
    <cellStyle name="Migliaia 12 18" xfId="52262" xr:uid="{00000000-0005-0000-0000-0000A1A80000}"/>
    <cellStyle name="Migliaia 12 2" xfId="296" xr:uid="{00000000-0005-0000-0000-0000A2A80000}"/>
    <cellStyle name="Migliaia 12 2 10" xfId="49859" xr:uid="{00000000-0005-0000-0000-0000A3A80000}"/>
    <cellStyle name="Migliaia 12 2 11" xfId="50267" xr:uid="{00000000-0005-0000-0000-0000A4A80000}"/>
    <cellStyle name="Migliaia 12 2 12" xfId="50709" xr:uid="{00000000-0005-0000-0000-0000A5A80000}"/>
    <cellStyle name="Migliaia 12 2 13" xfId="51428" xr:uid="{00000000-0005-0000-0000-0000A6A80000}"/>
    <cellStyle name="Migliaia 12 2 14" xfId="51840" xr:uid="{00000000-0005-0000-0000-0000A7A80000}"/>
    <cellStyle name="Migliaia 12 2 15" xfId="52263" xr:uid="{00000000-0005-0000-0000-0000A8A80000}"/>
    <cellStyle name="Migliaia 12 2 2" xfId="1246" xr:uid="{00000000-0005-0000-0000-0000A9A80000}"/>
    <cellStyle name="Migliaia 12 2 2 10" xfId="51098" xr:uid="{00000000-0005-0000-0000-0000AAA80000}"/>
    <cellStyle name="Migliaia 12 2 2 11" xfId="51694" xr:uid="{00000000-0005-0000-0000-0000ABA80000}"/>
    <cellStyle name="Migliaia 12 2 2 12" xfId="52114" xr:uid="{00000000-0005-0000-0000-0000ACA80000}"/>
    <cellStyle name="Migliaia 12 2 2 13" xfId="52812" xr:uid="{00000000-0005-0000-0000-0000ADA80000}"/>
    <cellStyle name="Migliaia 12 2 2 2" xfId="10073" xr:uid="{00000000-0005-0000-0000-0000AEA80000}"/>
    <cellStyle name="Migliaia 12 2 2 2 2" xfId="26393" xr:uid="{00000000-0005-0000-0000-0000AFA80000}"/>
    <cellStyle name="Migliaia 12 2 2 2 3" xfId="41361" xr:uid="{00000000-0005-0000-0000-0000B0A80000}"/>
    <cellStyle name="Migliaia 12 2 2 2 4" xfId="55167" xr:uid="{00000000-0005-0000-0000-0000B1A80000}"/>
    <cellStyle name="Migliaia 12 2 2 3" xfId="18216" xr:uid="{00000000-0005-0000-0000-0000B2A80000}"/>
    <cellStyle name="Migliaia 12 2 2 3 2" xfId="33683" xr:uid="{00000000-0005-0000-0000-0000B3A80000}"/>
    <cellStyle name="Migliaia 12 2 2 3 3" xfId="48644" xr:uid="{00000000-0005-0000-0000-0000B4A80000}"/>
    <cellStyle name="Migliaia 12 2 2 3 4" xfId="56089" xr:uid="{00000000-0005-0000-0000-0000B5A80000}"/>
    <cellStyle name="Migliaia 12 2 2 4" xfId="19372" xr:uid="{00000000-0005-0000-0000-0000B6A80000}"/>
    <cellStyle name="Migliaia 12 2 2 5" xfId="34362" xr:uid="{00000000-0005-0000-0000-0000B7A80000}"/>
    <cellStyle name="Migliaia 12 2 2 6" xfId="49314" xr:uid="{00000000-0005-0000-0000-0000B8A80000}"/>
    <cellStyle name="Migliaia 12 2 2 7" xfId="49719" xr:uid="{00000000-0005-0000-0000-0000B9A80000}"/>
    <cellStyle name="Migliaia 12 2 2 8" xfId="50128" xr:uid="{00000000-0005-0000-0000-0000BAA80000}"/>
    <cellStyle name="Migliaia 12 2 2 9" xfId="50533" xr:uid="{00000000-0005-0000-0000-0000BBA80000}"/>
    <cellStyle name="Migliaia 12 2 3" xfId="9130" xr:uid="{00000000-0005-0000-0000-0000BCA80000}"/>
    <cellStyle name="Migliaia 12 2 3 2" xfId="54653" xr:uid="{00000000-0005-0000-0000-0000BDA80000}"/>
    <cellStyle name="Migliaia 12 2 4" xfId="9807" xr:uid="{00000000-0005-0000-0000-0000BEA80000}"/>
    <cellStyle name="Migliaia 12 2 4 2" xfId="26132" xr:uid="{00000000-0005-0000-0000-0000BFA80000}"/>
    <cellStyle name="Migliaia 12 2 4 3" xfId="41110" xr:uid="{00000000-0005-0000-0000-0000C0A80000}"/>
    <cellStyle name="Migliaia 12 2 4 4" xfId="55545" xr:uid="{00000000-0005-0000-0000-0000C1A80000}"/>
    <cellStyle name="Migliaia 12 2 5" xfId="17024" xr:uid="{00000000-0005-0000-0000-0000C2A80000}"/>
    <cellStyle name="Migliaia 12 2 5 2" xfId="33139" xr:uid="{00000000-0005-0000-0000-0000C3A80000}"/>
    <cellStyle name="Migliaia 12 2 5 3" xfId="48100" xr:uid="{00000000-0005-0000-0000-0000C4A80000}"/>
    <cellStyle name="Migliaia 12 2 6" xfId="19113" xr:uid="{00000000-0005-0000-0000-0000C5A80000}"/>
    <cellStyle name="Migliaia 12 2 7" xfId="34108" xr:uid="{00000000-0005-0000-0000-0000C6A80000}"/>
    <cellStyle name="Migliaia 12 2 8" xfId="49048" xr:uid="{00000000-0005-0000-0000-0000C7A80000}"/>
    <cellStyle name="Migliaia 12 2 9" xfId="49453" xr:uid="{00000000-0005-0000-0000-0000C8A80000}"/>
    <cellStyle name="Migliaia 12 3" xfId="297" xr:uid="{00000000-0005-0000-0000-0000C9A80000}"/>
    <cellStyle name="Migliaia 12 3 10" xfId="49860" xr:uid="{00000000-0005-0000-0000-0000CAA80000}"/>
    <cellStyle name="Migliaia 12 3 11" xfId="50268" xr:uid="{00000000-0005-0000-0000-0000CBA80000}"/>
    <cellStyle name="Migliaia 12 3 12" xfId="50710" xr:uid="{00000000-0005-0000-0000-0000CCA80000}"/>
    <cellStyle name="Migliaia 12 3 13" xfId="51429" xr:uid="{00000000-0005-0000-0000-0000CDA80000}"/>
    <cellStyle name="Migliaia 12 3 14" xfId="51841" xr:uid="{00000000-0005-0000-0000-0000CEA80000}"/>
    <cellStyle name="Migliaia 12 3 15" xfId="52264" xr:uid="{00000000-0005-0000-0000-0000CFA80000}"/>
    <cellStyle name="Migliaia 12 3 2" xfId="298" xr:uid="{00000000-0005-0000-0000-0000D0A80000}"/>
    <cellStyle name="Migliaia 12 3 2 10" xfId="50269" xr:uid="{00000000-0005-0000-0000-0000D1A80000}"/>
    <cellStyle name="Migliaia 12 3 2 11" xfId="50711" xr:uid="{00000000-0005-0000-0000-0000D2A80000}"/>
    <cellStyle name="Migliaia 12 3 2 12" xfId="51430" xr:uid="{00000000-0005-0000-0000-0000D3A80000}"/>
    <cellStyle name="Migliaia 12 3 2 13" xfId="51842" xr:uid="{00000000-0005-0000-0000-0000D4A80000}"/>
    <cellStyle name="Migliaia 12 3 2 14" xfId="52265" xr:uid="{00000000-0005-0000-0000-0000D5A80000}"/>
    <cellStyle name="Migliaia 12 3 2 2" xfId="9132" xr:uid="{00000000-0005-0000-0000-0000D6A80000}"/>
    <cellStyle name="Migliaia 12 3 2 2 2" xfId="54736" xr:uid="{00000000-0005-0000-0000-0000D7A80000}"/>
    <cellStyle name="Migliaia 12 3 2 3" xfId="9809" xr:uid="{00000000-0005-0000-0000-0000D8A80000}"/>
    <cellStyle name="Migliaia 12 3 2 3 2" xfId="26134" xr:uid="{00000000-0005-0000-0000-0000D9A80000}"/>
    <cellStyle name="Migliaia 12 3 2 3 3" xfId="41112" xr:uid="{00000000-0005-0000-0000-0000DAA80000}"/>
    <cellStyle name="Migliaia 12 3 2 3 4" xfId="55547" xr:uid="{00000000-0005-0000-0000-0000DBA80000}"/>
    <cellStyle name="Migliaia 12 3 2 4" xfId="17026" xr:uid="{00000000-0005-0000-0000-0000DCA80000}"/>
    <cellStyle name="Migliaia 12 3 2 4 2" xfId="33141" xr:uid="{00000000-0005-0000-0000-0000DDA80000}"/>
    <cellStyle name="Migliaia 12 3 2 4 3" xfId="48102" xr:uid="{00000000-0005-0000-0000-0000DEA80000}"/>
    <cellStyle name="Migliaia 12 3 2 5" xfId="19115" xr:uid="{00000000-0005-0000-0000-0000DFA80000}"/>
    <cellStyle name="Migliaia 12 3 2 6" xfId="34110" xr:uid="{00000000-0005-0000-0000-0000E0A80000}"/>
    <cellStyle name="Migliaia 12 3 2 7" xfId="49050" xr:uid="{00000000-0005-0000-0000-0000E1A80000}"/>
    <cellStyle name="Migliaia 12 3 2 8" xfId="49455" xr:uid="{00000000-0005-0000-0000-0000E2A80000}"/>
    <cellStyle name="Migliaia 12 3 2 9" xfId="49861" xr:uid="{00000000-0005-0000-0000-0000E3A80000}"/>
    <cellStyle name="Migliaia 12 3 3" xfId="9131" xr:uid="{00000000-0005-0000-0000-0000E4A80000}"/>
    <cellStyle name="Migliaia 12 3 3 2" xfId="18218" xr:uid="{00000000-0005-0000-0000-0000E5A80000}"/>
    <cellStyle name="Migliaia 12 3 3 2 2" xfId="33685" xr:uid="{00000000-0005-0000-0000-0000E6A80000}"/>
    <cellStyle name="Migliaia 12 3 3 2 2 2" xfId="55169" xr:uid="{00000000-0005-0000-0000-0000E7A80000}"/>
    <cellStyle name="Migliaia 12 3 3 2 3" xfId="48646" xr:uid="{00000000-0005-0000-0000-0000E8A80000}"/>
    <cellStyle name="Migliaia 12 3 3 2 3 2" xfId="56091" xr:uid="{00000000-0005-0000-0000-0000E9A80000}"/>
    <cellStyle name="Migliaia 12 3 3 2 4" xfId="52814" xr:uid="{00000000-0005-0000-0000-0000EAA80000}"/>
    <cellStyle name="Migliaia 12 3 3 3" xfId="17027" xr:uid="{00000000-0005-0000-0000-0000EBA80000}"/>
    <cellStyle name="Migliaia 12 3 3 3 2" xfId="33142" xr:uid="{00000000-0005-0000-0000-0000ECA80000}"/>
    <cellStyle name="Migliaia 12 3 3 3 3" xfId="48103" xr:uid="{00000000-0005-0000-0000-0000EDA80000}"/>
    <cellStyle name="Migliaia 12 3 3 3 4" xfId="54737" xr:uid="{00000000-0005-0000-0000-0000EEA80000}"/>
    <cellStyle name="Migliaia 12 3 3 4" xfId="55548" xr:uid="{00000000-0005-0000-0000-0000EFA80000}"/>
    <cellStyle name="Migliaia 12 3 3 5" xfId="52266" xr:uid="{00000000-0005-0000-0000-0000F0A80000}"/>
    <cellStyle name="Migliaia 12 3 4" xfId="9808" xr:uid="{00000000-0005-0000-0000-0000F1A80000}"/>
    <cellStyle name="Migliaia 12 3 4 2" xfId="18217" xr:uid="{00000000-0005-0000-0000-0000F2A80000}"/>
    <cellStyle name="Migliaia 12 3 4 2 2" xfId="33684" xr:uid="{00000000-0005-0000-0000-0000F3A80000}"/>
    <cellStyle name="Migliaia 12 3 4 2 3" xfId="48645" xr:uid="{00000000-0005-0000-0000-0000F4A80000}"/>
    <cellStyle name="Migliaia 12 3 4 2 4" xfId="55168" xr:uid="{00000000-0005-0000-0000-0000F5A80000}"/>
    <cellStyle name="Migliaia 12 3 4 3" xfId="26133" xr:uid="{00000000-0005-0000-0000-0000F6A80000}"/>
    <cellStyle name="Migliaia 12 3 4 3 2" xfId="56090" xr:uid="{00000000-0005-0000-0000-0000F7A80000}"/>
    <cellStyle name="Migliaia 12 3 4 4" xfId="41111" xr:uid="{00000000-0005-0000-0000-0000F8A80000}"/>
    <cellStyle name="Migliaia 12 3 4 5" xfId="52813" xr:uid="{00000000-0005-0000-0000-0000F9A80000}"/>
    <cellStyle name="Migliaia 12 3 5" xfId="17025" xr:uid="{00000000-0005-0000-0000-0000FAA80000}"/>
    <cellStyle name="Migliaia 12 3 5 2" xfId="33140" xr:uid="{00000000-0005-0000-0000-0000FBA80000}"/>
    <cellStyle name="Migliaia 12 3 5 3" xfId="48101" xr:uid="{00000000-0005-0000-0000-0000FCA80000}"/>
    <cellStyle name="Migliaia 12 3 5 4" xfId="54735" xr:uid="{00000000-0005-0000-0000-0000FDA80000}"/>
    <cellStyle name="Migliaia 12 3 6" xfId="19114" xr:uid="{00000000-0005-0000-0000-0000FEA80000}"/>
    <cellStyle name="Migliaia 12 3 6 2" xfId="55546" xr:uid="{00000000-0005-0000-0000-0000FFA80000}"/>
    <cellStyle name="Migliaia 12 3 7" xfId="34109" xr:uid="{00000000-0005-0000-0000-000000A90000}"/>
    <cellStyle name="Migliaia 12 3 8" xfId="49049" xr:uid="{00000000-0005-0000-0000-000001A90000}"/>
    <cellStyle name="Migliaia 12 3 9" xfId="49454" xr:uid="{00000000-0005-0000-0000-000002A90000}"/>
    <cellStyle name="Migliaia 12 4" xfId="9133" xr:uid="{00000000-0005-0000-0000-000003A90000}"/>
    <cellStyle name="Migliaia 12 4 2" xfId="17029" xr:uid="{00000000-0005-0000-0000-000004A90000}"/>
    <cellStyle name="Migliaia 12 4 2 2" xfId="18220" xr:uid="{00000000-0005-0000-0000-000005A90000}"/>
    <cellStyle name="Migliaia 12 4 2 2 2" xfId="33687" xr:uid="{00000000-0005-0000-0000-000006A90000}"/>
    <cellStyle name="Migliaia 12 4 2 2 2 2" xfId="55171" xr:uid="{00000000-0005-0000-0000-000007A90000}"/>
    <cellStyle name="Migliaia 12 4 2 2 3" xfId="48648" xr:uid="{00000000-0005-0000-0000-000008A90000}"/>
    <cellStyle name="Migliaia 12 4 2 2 3 2" xfId="56093" xr:uid="{00000000-0005-0000-0000-000009A90000}"/>
    <cellStyle name="Migliaia 12 4 2 2 4" xfId="52816" xr:uid="{00000000-0005-0000-0000-00000AA90000}"/>
    <cellStyle name="Migliaia 12 4 2 3" xfId="33144" xr:uid="{00000000-0005-0000-0000-00000BA90000}"/>
    <cellStyle name="Migliaia 12 4 2 3 2" xfId="54739" xr:uid="{00000000-0005-0000-0000-00000CA90000}"/>
    <cellStyle name="Migliaia 12 4 2 4" xfId="48105" xr:uid="{00000000-0005-0000-0000-00000DA90000}"/>
    <cellStyle name="Migliaia 12 4 2 4 2" xfId="55550" xr:uid="{00000000-0005-0000-0000-00000EA90000}"/>
    <cellStyle name="Migliaia 12 4 2 5" xfId="52268" xr:uid="{00000000-0005-0000-0000-00000FA90000}"/>
    <cellStyle name="Migliaia 12 4 3" xfId="18219" xr:uid="{00000000-0005-0000-0000-000010A90000}"/>
    <cellStyle name="Migliaia 12 4 3 2" xfId="33686" xr:uid="{00000000-0005-0000-0000-000011A90000}"/>
    <cellStyle name="Migliaia 12 4 3 2 2" xfId="55170" xr:uid="{00000000-0005-0000-0000-000012A90000}"/>
    <cellStyle name="Migliaia 12 4 3 3" xfId="48647" xr:uid="{00000000-0005-0000-0000-000013A90000}"/>
    <cellStyle name="Migliaia 12 4 3 3 2" xfId="56092" xr:uid="{00000000-0005-0000-0000-000014A90000}"/>
    <cellStyle name="Migliaia 12 4 3 4" xfId="52815" xr:uid="{00000000-0005-0000-0000-000015A90000}"/>
    <cellStyle name="Migliaia 12 4 4" xfId="17028" xr:uid="{00000000-0005-0000-0000-000016A90000}"/>
    <cellStyle name="Migliaia 12 4 4 2" xfId="33143" xr:uid="{00000000-0005-0000-0000-000017A90000}"/>
    <cellStyle name="Migliaia 12 4 4 3" xfId="48104" xr:uid="{00000000-0005-0000-0000-000018A90000}"/>
    <cellStyle name="Migliaia 12 4 4 4" xfId="54738" xr:uid="{00000000-0005-0000-0000-000019A90000}"/>
    <cellStyle name="Migliaia 12 4 5" xfId="51057" xr:uid="{00000000-0005-0000-0000-00001AA90000}"/>
    <cellStyle name="Migliaia 12 4 5 2" xfId="55549" xr:uid="{00000000-0005-0000-0000-00001BA90000}"/>
    <cellStyle name="Migliaia 12 4 6" xfId="52267" xr:uid="{00000000-0005-0000-0000-00001CA90000}"/>
    <cellStyle name="Migliaia 12 5" xfId="9134" xr:uid="{00000000-0005-0000-0000-00001DA90000}"/>
    <cellStyle name="Migliaia 12 5 2" xfId="17030" xr:uid="{00000000-0005-0000-0000-00001EA90000}"/>
    <cellStyle name="Migliaia 12 5 2 2" xfId="33145" xr:uid="{00000000-0005-0000-0000-00001FA90000}"/>
    <cellStyle name="Migliaia 12 5 2 3" xfId="48106" xr:uid="{00000000-0005-0000-0000-000020A90000}"/>
    <cellStyle name="Migliaia 12 5 2 4" xfId="54740" xr:uid="{00000000-0005-0000-0000-000021A90000}"/>
    <cellStyle name="Migliaia 12 5 3" xfId="50982" xr:uid="{00000000-0005-0000-0000-000022A90000}"/>
    <cellStyle name="Migliaia 12 5 3 2" xfId="55551" xr:uid="{00000000-0005-0000-0000-000023A90000}"/>
    <cellStyle name="Migliaia 12 5 4" xfId="52269" xr:uid="{00000000-0005-0000-0000-000024A90000}"/>
    <cellStyle name="Migliaia 12 6" xfId="9129" xr:uid="{00000000-0005-0000-0000-000025A90000}"/>
    <cellStyle name="Migliaia 12 6 2" xfId="51200" xr:uid="{00000000-0005-0000-0000-000026A90000}"/>
    <cellStyle name="Migliaia 12 6 3" xfId="54586" xr:uid="{00000000-0005-0000-0000-000027A90000}"/>
    <cellStyle name="Migliaia 12 7" xfId="9806" xr:uid="{00000000-0005-0000-0000-000028A90000}"/>
    <cellStyle name="Migliaia 12 7 2" xfId="26131" xr:uid="{00000000-0005-0000-0000-000029A90000}"/>
    <cellStyle name="Migliaia 12 7 3" xfId="41109" xr:uid="{00000000-0005-0000-0000-00002AA90000}"/>
    <cellStyle name="Migliaia 12 7 4" xfId="55544" xr:uid="{00000000-0005-0000-0000-00002BA90000}"/>
    <cellStyle name="Migliaia 12 8" xfId="17023" xr:uid="{00000000-0005-0000-0000-00002CA90000}"/>
    <cellStyle name="Migliaia 12 8 2" xfId="33138" xr:uid="{00000000-0005-0000-0000-00002DA90000}"/>
    <cellStyle name="Migliaia 12 8 3" xfId="48099" xr:uid="{00000000-0005-0000-0000-00002EA90000}"/>
    <cellStyle name="Migliaia 12 9" xfId="19112" xr:uid="{00000000-0005-0000-0000-00002FA90000}"/>
    <cellStyle name="Migliaia 13" xfId="299" xr:uid="{00000000-0005-0000-0000-000030A90000}"/>
    <cellStyle name="Migliaia 13 10" xfId="34111" xr:uid="{00000000-0005-0000-0000-000031A90000}"/>
    <cellStyle name="Migliaia 13 11" xfId="49051" xr:uid="{00000000-0005-0000-0000-000032A90000}"/>
    <cellStyle name="Migliaia 13 12" xfId="49456" xr:uid="{00000000-0005-0000-0000-000033A90000}"/>
    <cellStyle name="Migliaia 13 13" xfId="49862" xr:uid="{00000000-0005-0000-0000-000034A90000}"/>
    <cellStyle name="Migliaia 13 14" xfId="50270" xr:uid="{00000000-0005-0000-0000-000035A90000}"/>
    <cellStyle name="Migliaia 13 15" xfId="50712" xr:uid="{00000000-0005-0000-0000-000036A90000}"/>
    <cellStyle name="Migliaia 13 16" xfId="51431" xr:uid="{00000000-0005-0000-0000-000037A90000}"/>
    <cellStyle name="Migliaia 13 17" xfId="51843" xr:uid="{00000000-0005-0000-0000-000038A90000}"/>
    <cellStyle name="Migliaia 13 18" xfId="52270" xr:uid="{00000000-0005-0000-0000-000039A90000}"/>
    <cellStyle name="Migliaia 13 2" xfId="300" xr:uid="{00000000-0005-0000-0000-00003AA90000}"/>
    <cellStyle name="Migliaia 13 2 10" xfId="49863" xr:uid="{00000000-0005-0000-0000-00003BA90000}"/>
    <cellStyle name="Migliaia 13 2 11" xfId="50271" xr:uid="{00000000-0005-0000-0000-00003CA90000}"/>
    <cellStyle name="Migliaia 13 2 12" xfId="50713" xr:uid="{00000000-0005-0000-0000-00003DA90000}"/>
    <cellStyle name="Migliaia 13 2 13" xfId="51432" xr:uid="{00000000-0005-0000-0000-00003EA90000}"/>
    <cellStyle name="Migliaia 13 2 14" xfId="51844" xr:uid="{00000000-0005-0000-0000-00003FA90000}"/>
    <cellStyle name="Migliaia 13 2 15" xfId="52271" xr:uid="{00000000-0005-0000-0000-000040A90000}"/>
    <cellStyle name="Migliaia 13 2 2" xfId="1247" xr:uid="{00000000-0005-0000-0000-000041A90000}"/>
    <cellStyle name="Migliaia 13 2 2 10" xfId="51099" xr:uid="{00000000-0005-0000-0000-000042A90000}"/>
    <cellStyle name="Migliaia 13 2 2 11" xfId="51695" xr:uid="{00000000-0005-0000-0000-000043A90000}"/>
    <cellStyle name="Migliaia 13 2 2 12" xfId="52115" xr:uid="{00000000-0005-0000-0000-000044A90000}"/>
    <cellStyle name="Migliaia 13 2 2 13" xfId="52817" xr:uid="{00000000-0005-0000-0000-000045A90000}"/>
    <cellStyle name="Migliaia 13 2 2 2" xfId="10074" xr:uid="{00000000-0005-0000-0000-000046A90000}"/>
    <cellStyle name="Migliaia 13 2 2 2 2" xfId="26394" xr:uid="{00000000-0005-0000-0000-000047A90000}"/>
    <cellStyle name="Migliaia 13 2 2 2 3" xfId="41362" xr:uid="{00000000-0005-0000-0000-000048A90000}"/>
    <cellStyle name="Migliaia 13 2 2 2 4" xfId="55172" xr:uid="{00000000-0005-0000-0000-000049A90000}"/>
    <cellStyle name="Migliaia 13 2 2 3" xfId="18221" xr:uid="{00000000-0005-0000-0000-00004AA90000}"/>
    <cellStyle name="Migliaia 13 2 2 3 2" xfId="33688" xr:uid="{00000000-0005-0000-0000-00004BA90000}"/>
    <cellStyle name="Migliaia 13 2 2 3 3" xfId="48649" xr:uid="{00000000-0005-0000-0000-00004CA90000}"/>
    <cellStyle name="Migliaia 13 2 2 3 4" xfId="56094" xr:uid="{00000000-0005-0000-0000-00004DA90000}"/>
    <cellStyle name="Migliaia 13 2 2 4" xfId="19373" xr:uid="{00000000-0005-0000-0000-00004EA90000}"/>
    <cellStyle name="Migliaia 13 2 2 5" xfId="34363" xr:uid="{00000000-0005-0000-0000-00004FA90000}"/>
    <cellStyle name="Migliaia 13 2 2 6" xfId="49315" xr:uid="{00000000-0005-0000-0000-000050A90000}"/>
    <cellStyle name="Migliaia 13 2 2 7" xfId="49720" xr:uid="{00000000-0005-0000-0000-000051A90000}"/>
    <cellStyle name="Migliaia 13 2 2 8" xfId="50129" xr:uid="{00000000-0005-0000-0000-000052A90000}"/>
    <cellStyle name="Migliaia 13 2 2 9" xfId="50534" xr:uid="{00000000-0005-0000-0000-000053A90000}"/>
    <cellStyle name="Migliaia 13 2 3" xfId="9136" xr:uid="{00000000-0005-0000-0000-000054A90000}"/>
    <cellStyle name="Migliaia 13 2 3 2" xfId="54654" xr:uid="{00000000-0005-0000-0000-000055A90000}"/>
    <cellStyle name="Migliaia 13 2 4" xfId="9811" xr:uid="{00000000-0005-0000-0000-000056A90000}"/>
    <cellStyle name="Migliaia 13 2 4 2" xfId="26136" xr:uid="{00000000-0005-0000-0000-000057A90000}"/>
    <cellStyle name="Migliaia 13 2 4 3" xfId="41114" xr:uid="{00000000-0005-0000-0000-000058A90000}"/>
    <cellStyle name="Migliaia 13 2 4 4" xfId="55553" xr:uid="{00000000-0005-0000-0000-000059A90000}"/>
    <cellStyle name="Migliaia 13 2 5" xfId="17032" xr:uid="{00000000-0005-0000-0000-00005AA90000}"/>
    <cellStyle name="Migliaia 13 2 5 2" xfId="33147" xr:uid="{00000000-0005-0000-0000-00005BA90000}"/>
    <cellStyle name="Migliaia 13 2 5 3" xfId="48108" xr:uid="{00000000-0005-0000-0000-00005CA90000}"/>
    <cellStyle name="Migliaia 13 2 6" xfId="19117" xr:uid="{00000000-0005-0000-0000-00005DA90000}"/>
    <cellStyle name="Migliaia 13 2 7" xfId="34112" xr:uid="{00000000-0005-0000-0000-00005EA90000}"/>
    <cellStyle name="Migliaia 13 2 8" xfId="49052" xr:uid="{00000000-0005-0000-0000-00005FA90000}"/>
    <cellStyle name="Migliaia 13 2 9" xfId="49457" xr:uid="{00000000-0005-0000-0000-000060A90000}"/>
    <cellStyle name="Migliaia 13 3" xfId="301" xr:uid="{00000000-0005-0000-0000-000061A90000}"/>
    <cellStyle name="Migliaia 13 3 10" xfId="49864" xr:uid="{00000000-0005-0000-0000-000062A90000}"/>
    <cellStyle name="Migliaia 13 3 11" xfId="50272" xr:uid="{00000000-0005-0000-0000-000063A90000}"/>
    <cellStyle name="Migliaia 13 3 12" xfId="50714" xr:uid="{00000000-0005-0000-0000-000064A90000}"/>
    <cellStyle name="Migliaia 13 3 13" xfId="51433" xr:uid="{00000000-0005-0000-0000-000065A90000}"/>
    <cellStyle name="Migliaia 13 3 14" xfId="51845" xr:uid="{00000000-0005-0000-0000-000066A90000}"/>
    <cellStyle name="Migliaia 13 3 15" xfId="52272" xr:uid="{00000000-0005-0000-0000-000067A90000}"/>
    <cellStyle name="Migliaia 13 3 2" xfId="302" xr:uid="{00000000-0005-0000-0000-000068A90000}"/>
    <cellStyle name="Migliaia 13 3 2 10" xfId="50273" xr:uid="{00000000-0005-0000-0000-000069A90000}"/>
    <cellStyle name="Migliaia 13 3 2 11" xfId="50715" xr:uid="{00000000-0005-0000-0000-00006AA90000}"/>
    <cellStyle name="Migliaia 13 3 2 12" xfId="51434" xr:uid="{00000000-0005-0000-0000-00006BA90000}"/>
    <cellStyle name="Migliaia 13 3 2 13" xfId="51846" xr:uid="{00000000-0005-0000-0000-00006CA90000}"/>
    <cellStyle name="Migliaia 13 3 2 14" xfId="52273" xr:uid="{00000000-0005-0000-0000-00006DA90000}"/>
    <cellStyle name="Migliaia 13 3 2 2" xfId="9138" xr:uid="{00000000-0005-0000-0000-00006EA90000}"/>
    <cellStyle name="Migliaia 13 3 2 2 2" xfId="54742" xr:uid="{00000000-0005-0000-0000-00006FA90000}"/>
    <cellStyle name="Migliaia 13 3 2 3" xfId="9813" xr:uid="{00000000-0005-0000-0000-000070A90000}"/>
    <cellStyle name="Migliaia 13 3 2 3 2" xfId="26138" xr:uid="{00000000-0005-0000-0000-000071A90000}"/>
    <cellStyle name="Migliaia 13 3 2 3 3" xfId="41116" xr:uid="{00000000-0005-0000-0000-000072A90000}"/>
    <cellStyle name="Migliaia 13 3 2 3 4" xfId="55555" xr:uid="{00000000-0005-0000-0000-000073A90000}"/>
    <cellStyle name="Migliaia 13 3 2 4" xfId="17034" xr:uid="{00000000-0005-0000-0000-000074A90000}"/>
    <cellStyle name="Migliaia 13 3 2 4 2" xfId="33149" xr:uid="{00000000-0005-0000-0000-000075A90000}"/>
    <cellStyle name="Migliaia 13 3 2 4 3" xfId="48110" xr:uid="{00000000-0005-0000-0000-000076A90000}"/>
    <cellStyle name="Migliaia 13 3 2 5" xfId="19119" xr:uid="{00000000-0005-0000-0000-000077A90000}"/>
    <cellStyle name="Migliaia 13 3 2 6" xfId="34114" xr:uid="{00000000-0005-0000-0000-000078A90000}"/>
    <cellStyle name="Migliaia 13 3 2 7" xfId="49054" xr:uid="{00000000-0005-0000-0000-000079A90000}"/>
    <cellStyle name="Migliaia 13 3 2 8" xfId="49459" xr:uid="{00000000-0005-0000-0000-00007AA90000}"/>
    <cellStyle name="Migliaia 13 3 2 9" xfId="49865" xr:uid="{00000000-0005-0000-0000-00007BA90000}"/>
    <cellStyle name="Migliaia 13 3 3" xfId="9137" xr:uid="{00000000-0005-0000-0000-00007CA90000}"/>
    <cellStyle name="Migliaia 13 3 3 2" xfId="18223" xr:uid="{00000000-0005-0000-0000-00007DA90000}"/>
    <cellStyle name="Migliaia 13 3 3 2 2" xfId="33690" xr:uid="{00000000-0005-0000-0000-00007EA90000}"/>
    <cellStyle name="Migliaia 13 3 3 2 2 2" xfId="55174" xr:uid="{00000000-0005-0000-0000-00007FA90000}"/>
    <cellStyle name="Migliaia 13 3 3 2 3" xfId="48651" xr:uid="{00000000-0005-0000-0000-000080A90000}"/>
    <cellStyle name="Migliaia 13 3 3 2 3 2" xfId="56096" xr:uid="{00000000-0005-0000-0000-000081A90000}"/>
    <cellStyle name="Migliaia 13 3 3 2 4" xfId="52819" xr:uid="{00000000-0005-0000-0000-000082A90000}"/>
    <cellStyle name="Migliaia 13 3 3 3" xfId="17035" xr:uid="{00000000-0005-0000-0000-000083A90000}"/>
    <cellStyle name="Migliaia 13 3 3 3 2" xfId="33150" xr:uid="{00000000-0005-0000-0000-000084A90000}"/>
    <cellStyle name="Migliaia 13 3 3 3 3" xfId="48111" xr:uid="{00000000-0005-0000-0000-000085A90000}"/>
    <cellStyle name="Migliaia 13 3 3 3 4" xfId="54743" xr:uid="{00000000-0005-0000-0000-000086A90000}"/>
    <cellStyle name="Migliaia 13 3 3 4" xfId="55556" xr:uid="{00000000-0005-0000-0000-000087A90000}"/>
    <cellStyle name="Migliaia 13 3 3 5" xfId="52274" xr:uid="{00000000-0005-0000-0000-000088A90000}"/>
    <cellStyle name="Migliaia 13 3 4" xfId="9812" xr:uid="{00000000-0005-0000-0000-000089A90000}"/>
    <cellStyle name="Migliaia 13 3 4 2" xfId="18222" xr:uid="{00000000-0005-0000-0000-00008AA90000}"/>
    <cellStyle name="Migliaia 13 3 4 2 2" xfId="33689" xr:uid="{00000000-0005-0000-0000-00008BA90000}"/>
    <cellStyle name="Migliaia 13 3 4 2 3" xfId="48650" xr:uid="{00000000-0005-0000-0000-00008CA90000}"/>
    <cellStyle name="Migliaia 13 3 4 2 4" xfId="55173" xr:uid="{00000000-0005-0000-0000-00008DA90000}"/>
    <cellStyle name="Migliaia 13 3 4 3" xfId="26137" xr:uid="{00000000-0005-0000-0000-00008EA90000}"/>
    <cellStyle name="Migliaia 13 3 4 3 2" xfId="56095" xr:uid="{00000000-0005-0000-0000-00008FA90000}"/>
    <cellStyle name="Migliaia 13 3 4 4" xfId="41115" xr:uid="{00000000-0005-0000-0000-000090A90000}"/>
    <cellStyle name="Migliaia 13 3 4 5" xfId="52818" xr:uid="{00000000-0005-0000-0000-000091A90000}"/>
    <cellStyle name="Migliaia 13 3 5" xfId="17033" xr:uid="{00000000-0005-0000-0000-000092A90000}"/>
    <cellStyle name="Migliaia 13 3 5 2" xfId="33148" xr:uid="{00000000-0005-0000-0000-000093A90000}"/>
    <cellStyle name="Migliaia 13 3 5 3" xfId="48109" xr:uid="{00000000-0005-0000-0000-000094A90000}"/>
    <cellStyle name="Migliaia 13 3 5 4" xfId="54741" xr:uid="{00000000-0005-0000-0000-000095A90000}"/>
    <cellStyle name="Migliaia 13 3 6" xfId="19118" xr:uid="{00000000-0005-0000-0000-000096A90000}"/>
    <cellStyle name="Migliaia 13 3 6 2" xfId="55554" xr:uid="{00000000-0005-0000-0000-000097A90000}"/>
    <cellStyle name="Migliaia 13 3 7" xfId="34113" xr:uid="{00000000-0005-0000-0000-000098A90000}"/>
    <cellStyle name="Migliaia 13 3 8" xfId="49053" xr:uid="{00000000-0005-0000-0000-000099A90000}"/>
    <cellStyle name="Migliaia 13 3 9" xfId="49458" xr:uid="{00000000-0005-0000-0000-00009AA90000}"/>
    <cellStyle name="Migliaia 13 4" xfId="9139" xr:uid="{00000000-0005-0000-0000-00009BA90000}"/>
    <cellStyle name="Migliaia 13 4 2" xfId="17037" xr:uid="{00000000-0005-0000-0000-00009CA90000}"/>
    <cellStyle name="Migliaia 13 4 2 2" xfId="18225" xr:uid="{00000000-0005-0000-0000-00009DA90000}"/>
    <cellStyle name="Migliaia 13 4 2 2 2" xfId="33692" xr:uid="{00000000-0005-0000-0000-00009EA90000}"/>
    <cellStyle name="Migliaia 13 4 2 2 2 2" xfId="55176" xr:uid="{00000000-0005-0000-0000-00009FA90000}"/>
    <cellStyle name="Migliaia 13 4 2 2 3" xfId="48653" xr:uid="{00000000-0005-0000-0000-0000A0A90000}"/>
    <cellStyle name="Migliaia 13 4 2 2 3 2" xfId="56098" xr:uid="{00000000-0005-0000-0000-0000A1A90000}"/>
    <cellStyle name="Migliaia 13 4 2 2 4" xfId="52821" xr:uid="{00000000-0005-0000-0000-0000A2A90000}"/>
    <cellStyle name="Migliaia 13 4 2 3" xfId="33152" xr:uid="{00000000-0005-0000-0000-0000A3A90000}"/>
    <cellStyle name="Migliaia 13 4 2 3 2" xfId="54745" xr:uid="{00000000-0005-0000-0000-0000A4A90000}"/>
    <cellStyle name="Migliaia 13 4 2 4" xfId="48113" xr:uid="{00000000-0005-0000-0000-0000A5A90000}"/>
    <cellStyle name="Migliaia 13 4 2 4 2" xfId="55558" xr:uid="{00000000-0005-0000-0000-0000A6A90000}"/>
    <cellStyle name="Migliaia 13 4 2 5" xfId="52276" xr:uid="{00000000-0005-0000-0000-0000A7A90000}"/>
    <cellStyle name="Migliaia 13 4 3" xfId="18224" xr:uid="{00000000-0005-0000-0000-0000A8A90000}"/>
    <cellStyle name="Migliaia 13 4 3 2" xfId="33691" xr:uid="{00000000-0005-0000-0000-0000A9A90000}"/>
    <cellStyle name="Migliaia 13 4 3 2 2" xfId="55175" xr:uid="{00000000-0005-0000-0000-0000AAA90000}"/>
    <cellStyle name="Migliaia 13 4 3 3" xfId="48652" xr:uid="{00000000-0005-0000-0000-0000ABA90000}"/>
    <cellStyle name="Migliaia 13 4 3 3 2" xfId="56097" xr:uid="{00000000-0005-0000-0000-0000ACA90000}"/>
    <cellStyle name="Migliaia 13 4 3 4" xfId="52820" xr:uid="{00000000-0005-0000-0000-0000ADA90000}"/>
    <cellStyle name="Migliaia 13 4 4" xfId="17036" xr:uid="{00000000-0005-0000-0000-0000AEA90000}"/>
    <cellStyle name="Migliaia 13 4 4 2" xfId="33151" xr:uid="{00000000-0005-0000-0000-0000AFA90000}"/>
    <cellStyle name="Migliaia 13 4 4 3" xfId="48112" xr:uid="{00000000-0005-0000-0000-0000B0A90000}"/>
    <cellStyle name="Migliaia 13 4 4 4" xfId="54744" xr:uid="{00000000-0005-0000-0000-0000B1A90000}"/>
    <cellStyle name="Migliaia 13 4 5" xfId="51258" xr:uid="{00000000-0005-0000-0000-0000B2A90000}"/>
    <cellStyle name="Migliaia 13 4 5 2" xfId="55557" xr:uid="{00000000-0005-0000-0000-0000B3A90000}"/>
    <cellStyle name="Migliaia 13 4 6" xfId="52275" xr:uid="{00000000-0005-0000-0000-0000B4A90000}"/>
    <cellStyle name="Migliaia 13 5" xfId="9140" xr:uid="{00000000-0005-0000-0000-0000B5A90000}"/>
    <cellStyle name="Migliaia 13 5 2" xfId="17038" xr:uid="{00000000-0005-0000-0000-0000B6A90000}"/>
    <cellStyle name="Migliaia 13 5 2 2" xfId="33153" xr:uid="{00000000-0005-0000-0000-0000B7A90000}"/>
    <cellStyle name="Migliaia 13 5 2 3" xfId="48114" xr:uid="{00000000-0005-0000-0000-0000B8A90000}"/>
    <cellStyle name="Migliaia 13 5 2 4" xfId="54746" xr:uid="{00000000-0005-0000-0000-0000B9A90000}"/>
    <cellStyle name="Migliaia 13 5 3" xfId="50981" xr:uid="{00000000-0005-0000-0000-0000BAA90000}"/>
    <cellStyle name="Migliaia 13 5 3 2" xfId="55559" xr:uid="{00000000-0005-0000-0000-0000BBA90000}"/>
    <cellStyle name="Migliaia 13 5 4" xfId="52277" xr:uid="{00000000-0005-0000-0000-0000BCA90000}"/>
    <cellStyle name="Migliaia 13 6" xfId="9135" xr:uid="{00000000-0005-0000-0000-0000BDA90000}"/>
    <cellStyle name="Migliaia 13 6 2" xfId="51201" xr:uid="{00000000-0005-0000-0000-0000BEA90000}"/>
    <cellStyle name="Migliaia 13 6 3" xfId="54587" xr:uid="{00000000-0005-0000-0000-0000BFA90000}"/>
    <cellStyle name="Migliaia 13 7" xfId="9810" xr:uid="{00000000-0005-0000-0000-0000C0A90000}"/>
    <cellStyle name="Migliaia 13 7 2" xfId="26135" xr:uid="{00000000-0005-0000-0000-0000C1A90000}"/>
    <cellStyle name="Migliaia 13 7 3" xfId="41113" xr:uid="{00000000-0005-0000-0000-0000C2A90000}"/>
    <cellStyle name="Migliaia 13 7 4" xfId="55552" xr:uid="{00000000-0005-0000-0000-0000C3A90000}"/>
    <cellStyle name="Migliaia 13 8" xfId="17031" xr:uid="{00000000-0005-0000-0000-0000C4A90000}"/>
    <cellStyle name="Migliaia 13 8 2" xfId="33146" xr:uid="{00000000-0005-0000-0000-0000C5A90000}"/>
    <cellStyle name="Migliaia 13 8 3" xfId="48107" xr:uid="{00000000-0005-0000-0000-0000C6A90000}"/>
    <cellStyle name="Migliaia 13 9" xfId="19116" xr:uid="{00000000-0005-0000-0000-0000C7A90000}"/>
    <cellStyle name="Migliaia 14" xfId="303" xr:uid="{00000000-0005-0000-0000-0000C8A90000}"/>
    <cellStyle name="Migliaia 14 10" xfId="34115" xr:uid="{00000000-0005-0000-0000-0000C9A90000}"/>
    <cellStyle name="Migliaia 14 11" xfId="49055" xr:uid="{00000000-0005-0000-0000-0000CAA90000}"/>
    <cellStyle name="Migliaia 14 12" xfId="49460" xr:uid="{00000000-0005-0000-0000-0000CBA90000}"/>
    <cellStyle name="Migliaia 14 13" xfId="49866" xr:uid="{00000000-0005-0000-0000-0000CCA90000}"/>
    <cellStyle name="Migliaia 14 14" xfId="50274" xr:uid="{00000000-0005-0000-0000-0000CDA90000}"/>
    <cellStyle name="Migliaia 14 15" xfId="50716" xr:uid="{00000000-0005-0000-0000-0000CEA90000}"/>
    <cellStyle name="Migliaia 14 16" xfId="51435" xr:uid="{00000000-0005-0000-0000-0000CFA90000}"/>
    <cellStyle name="Migliaia 14 17" xfId="51847" xr:uid="{00000000-0005-0000-0000-0000D0A90000}"/>
    <cellStyle name="Migliaia 14 18" xfId="52278" xr:uid="{00000000-0005-0000-0000-0000D1A90000}"/>
    <cellStyle name="Migliaia 14 2" xfId="304" xr:uid="{00000000-0005-0000-0000-0000D2A90000}"/>
    <cellStyle name="Migliaia 14 2 10" xfId="49867" xr:uid="{00000000-0005-0000-0000-0000D3A90000}"/>
    <cellStyle name="Migliaia 14 2 11" xfId="50275" xr:uid="{00000000-0005-0000-0000-0000D4A90000}"/>
    <cellStyle name="Migliaia 14 2 12" xfId="50717" xr:uid="{00000000-0005-0000-0000-0000D5A90000}"/>
    <cellStyle name="Migliaia 14 2 13" xfId="51436" xr:uid="{00000000-0005-0000-0000-0000D6A90000}"/>
    <cellStyle name="Migliaia 14 2 14" xfId="51848" xr:uid="{00000000-0005-0000-0000-0000D7A90000}"/>
    <cellStyle name="Migliaia 14 2 15" xfId="52279" xr:uid="{00000000-0005-0000-0000-0000D8A90000}"/>
    <cellStyle name="Migliaia 14 2 2" xfId="1248" xr:uid="{00000000-0005-0000-0000-0000D9A90000}"/>
    <cellStyle name="Migliaia 14 2 2 10" xfId="51100" xr:uid="{00000000-0005-0000-0000-0000DAA90000}"/>
    <cellStyle name="Migliaia 14 2 2 11" xfId="51696" xr:uid="{00000000-0005-0000-0000-0000DBA90000}"/>
    <cellStyle name="Migliaia 14 2 2 12" xfId="52116" xr:uid="{00000000-0005-0000-0000-0000DCA90000}"/>
    <cellStyle name="Migliaia 14 2 2 13" xfId="52822" xr:uid="{00000000-0005-0000-0000-0000DDA90000}"/>
    <cellStyle name="Migliaia 14 2 2 2" xfId="10075" xr:uid="{00000000-0005-0000-0000-0000DEA90000}"/>
    <cellStyle name="Migliaia 14 2 2 2 2" xfId="26395" xr:uid="{00000000-0005-0000-0000-0000DFA90000}"/>
    <cellStyle name="Migliaia 14 2 2 2 3" xfId="41363" xr:uid="{00000000-0005-0000-0000-0000E0A90000}"/>
    <cellStyle name="Migliaia 14 2 2 2 4" xfId="55177" xr:uid="{00000000-0005-0000-0000-0000E1A90000}"/>
    <cellStyle name="Migliaia 14 2 2 3" xfId="18226" xr:uid="{00000000-0005-0000-0000-0000E2A90000}"/>
    <cellStyle name="Migliaia 14 2 2 3 2" xfId="33693" xr:uid="{00000000-0005-0000-0000-0000E3A90000}"/>
    <cellStyle name="Migliaia 14 2 2 3 3" xfId="48654" xr:uid="{00000000-0005-0000-0000-0000E4A90000}"/>
    <cellStyle name="Migliaia 14 2 2 3 4" xfId="56099" xr:uid="{00000000-0005-0000-0000-0000E5A90000}"/>
    <cellStyle name="Migliaia 14 2 2 4" xfId="19374" xr:uid="{00000000-0005-0000-0000-0000E6A90000}"/>
    <cellStyle name="Migliaia 14 2 2 5" xfId="34364" xr:uid="{00000000-0005-0000-0000-0000E7A90000}"/>
    <cellStyle name="Migliaia 14 2 2 6" xfId="49316" xr:uid="{00000000-0005-0000-0000-0000E8A90000}"/>
    <cellStyle name="Migliaia 14 2 2 7" xfId="49721" xr:uid="{00000000-0005-0000-0000-0000E9A90000}"/>
    <cellStyle name="Migliaia 14 2 2 8" xfId="50130" xr:uid="{00000000-0005-0000-0000-0000EAA90000}"/>
    <cellStyle name="Migliaia 14 2 2 9" xfId="50535" xr:uid="{00000000-0005-0000-0000-0000EBA90000}"/>
    <cellStyle name="Migliaia 14 2 3" xfId="9142" xr:uid="{00000000-0005-0000-0000-0000ECA90000}"/>
    <cellStyle name="Migliaia 14 2 3 2" xfId="54655" xr:uid="{00000000-0005-0000-0000-0000EDA90000}"/>
    <cellStyle name="Migliaia 14 2 4" xfId="9815" xr:uid="{00000000-0005-0000-0000-0000EEA90000}"/>
    <cellStyle name="Migliaia 14 2 4 2" xfId="26140" xr:uid="{00000000-0005-0000-0000-0000EFA90000}"/>
    <cellStyle name="Migliaia 14 2 4 3" xfId="41118" xr:uid="{00000000-0005-0000-0000-0000F0A90000}"/>
    <cellStyle name="Migliaia 14 2 4 4" xfId="55561" xr:uid="{00000000-0005-0000-0000-0000F1A90000}"/>
    <cellStyle name="Migliaia 14 2 5" xfId="17040" xr:uid="{00000000-0005-0000-0000-0000F2A90000}"/>
    <cellStyle name="Migliaia 14 2 5 2" xfId="33155" xr:uid="{00000000-0005-0000-0000-0000F3A90000}"/>
    <cellStyle name="Migliaia 14 2 5 3" xfId="48116" xr:uid="{00000000-0005-0000-0000-0000F4A90000}"/>
    <cellStyle name="Migliaia 14 2 6" xfId="19121" xr:uid="{00000000-0005-0000-0000-0000F5A90000}"/>
    <cellStyle name="Migliaia 14 2 7" xfId="34116" xr:uid="{00000000-0005-0000-0000-0000F6A90000}"/>
    <cellStyle name="Migliaia 14 2 8" xfId="49056" xr:uid="{00000000-0005-0000-0000-0000F7A90000}"/>
    <cellStyle name="Migliaia 14 2 9" xfId="49461" xr:uid="{00000000-0005-0000-0000-0000F8A90000}"/>
    <cellStyle name="Migliaia 14 3" xfId="305" xr:uid="{00000000-0005-0000-0000-0000F9A90000}"/>
    <cellStyle name="Migliaia 14 3 10" xfId="49868" xr:uid="{00000000-0005-0000-0000-0000FAA90000}"/>
    <cellStyle name="Migliaia 14 3 11" xfId="50276" xr:uid="{00000000-0005-0000-0000-0000FBA90000}"/>
    <cellStyle name="Migliaia 14 3 12" xfId="50718" xr:uid="{00000000-0005-0000-0000-0000FCA90000}"/>
    <cellStyle name="Migliaia 14 3 13" xfId="51437" xr:uid="{00000000-0005-0000-0000-0000FDA90000}"/>
    <cellStyle name="Migliaia 14 3 14" xfId="51849" xr:uid="{00000000-0005-0000-0000-0000FEA90000}"/>
    <cellStyle name="Migliaia 14 3 15" xfId="52280" xr:uid="{00000000-0005-0000-0000-0000FFA90000}"/>
    <cellStyle name="Migliaia 14 3 2" xfId="306" xr:uid="{00000000-0005-0000-0000-000000AA0000}"/>
    <cellStyle name="Migliaia 14 3 2 10" xfId="50277" xr:uid="{00000000-0005-0000-0000-000001AA0000}"/>
    <cellStyle name="Migliaia 14 3 2 11" xfId="50719" xr:uid="{00000000-0005-0000-0000-000002AA0000}"/>
    <cellStyle name="Migliaia 14 3 2 12" xfId="51438" xr:uid="{00000000-0005-0000-0000-000003AA0000}"/>
    <cellStyle name="Migliaia 14 3 2 13" xfId="51850" xr:uid="{00000000-0005-0000-0000-000004AA0000}"/>
    <cellStyle name="Migliaia 14 3 2 14" xfId="52281" xr:uid="{00000000-0005-0000-0000-000005AA0000}"/>
    <cellStyle name="Migliaia 14 3 2 2" xfId="9144" xr:uid="{00000000-0005-0000-0000-000006AA0000}"/>
    <cellStyle name="Migliaia 14 3 2 2 2" xfId="54748" xr:uid="{00000000-0005-0000-0000-000007AA0000}"/>
    <cellStyle name="Migliaia 14 3 2 3" xfId="9817" xr:uid="{00000000-0005-0000-0000-000008AA0000}"/>
    <cellStyle name="Migliaia 14 3 2 3 2" xfId="26142" xr:uid="{00000000-0005-0000-0000-000009AA0000}"/>
    <cellStyle name="Migliaia 14 3 2 3 3" xfId="41120" xr:uid="{00000000-0005-0000-0000-00000AAA0000}"/>
    <cellStyle name="Migliaia 14 3 2 3 4" xfId="55563" xr:uid="{00000000-0005-0000-0000-00000BAA0000}"/>
    <cellStyle name="Migliaia 14 3 2 4" xfId="17042" xr:uid="{00000000-0005-0000-0000-00000CAA0000}"/>
    <cellStyle name="Migliaia 14 3 2 4 2" xfId="33157" xr:uid="{00000000-0005-0000-0000-00000DAA0000}"/>
    <cellStyle name="Migliaia 14 3 2 4 3" xfId="48118" xr:uid="{00000000-0005-0000-0000-00000EAA0000}"/>
    <cellStyle name="Migliaia 14 3 2 5" xfId="19123" xr:uid="{00000000-0005-0000-0000-00000FAA0000}"/>
    <cellStyle name="Migliaia 14 3 2 6" xfId="34118" xr:uid="{00000000-0005-0000-0000-000010AA0000}"/>
    <cellStyle name="Migliaia 14 3 2 7" xfId="49058" xr:uid="{00000000-0005-0000-0000-000011AA0000}"/>
    <cellStyle name="Migliaia 14 3 2 8" xfId="49463" xr:uid="{00000000-0005-0000-0000-000012AA0000}"/>
    <cellStyle name="Migliaia 14 3 2 9" xfId="49869" xr:uid="{00000000-0005-0000-0000-000013AA0000}"/>
    <cellStyle name="Migliaia 14 3 3" xfId="9143" xr:uid="{00000000-0005-0000-0000-000014AA0000}"/>
    <cellStyle name="Migliaia 14 3 3 2" xfId="18228" xr:uid="{00000000-0005-0000-0000-000015AA0000}"/>
    <cellStyle name="Migliaia 14 3 3 2 2" xfId="33695" xr:uid="{00000000-0005-0000-0000-000016AA0000}"/>
    <cellStyle name="Migliaia 14 3 3 2 2 2" xfId="55179" xr:uid="{00000000-0005-0000-0000-000017AA0000}"/>
    <cellStyle name="Migliaia 14 3 3 2 3" xfId="48656" xr:uid="{00000000-0005-0000-0000-000018AA0000}"/>
    <cellStyle name="Migliaia 14 3 3 2 3 2" xfId="56101" xr:uid="{00000000-0005-0000-0000-000019AA0000}"/>
    <cellStyle name="Migliaia 14 3 3 2 4" xfId="52824" xr:uid="{00000000-0005-0000-0000-00001AAA0000}"/>
    <cellStyle name="Migliaia 14 3 3 3" xfId="17043" xr:uid="{00000000-0005-0000-0000-00001BAA0000}"/>
    <cellStyle name="Migliaia 14 3 3 3 2" xfId="33158" xr:uid="{00000000-0005-0000-0000-00001CAA0000}"/>
    <cellStyle name="Migliaia 14 3 3 3 3" xfId="48119" xr:uid="{00000000-0005-0000-0000-00001DAA0000}"/>
    <cellStyle name="Migliaia 14 3 3 3 4" xfId="54749" xr:uid="{00000000-0005-0000-0000-00001EAA0000}"/>
    <cellStyle name="Migliaia 14 3 3 4" xfId="55564" xr:uid="{00000000-0005-0000-0000-00001FAA0000}"/>
    <cellStyle name="Migliaia 14 3 3 5" xfId="52282" xr:uid="{00000000-0005-0000-0000-000020AA0000}"/>
    <cellStyle name="Migliaia 14 3 4" xfId="9816" xr:uid="{00000000-0005-0000-0000-000021AA0000}"/>
    <cellStyle name="Migliaia 14 3 4 2" xfId="18227" xr:uid="{00000000-0005-0000-0000-000022AA0000}"/>
    <cellStyle name="Migliaia 14 3 4 2 2" xfId="33694" xr:uid="{00000000-0005-0000-0000-000023AA0000}"/>
    <cellStyle name="Migliaia 14 3 4 2 3" xfId="48655" xr:uid="{00000000-0005-0000-0000-000024AA0000}"/>
    <cellStyle name="Migliaia 14 3 4 2 4" xfId="55178" xr:uid="{00000000-0005-0000-0000-000025AA0000}"/>
    <cellStyle name="Migliaia 14 3 4 3" xfId="26141" xr:uid="{00000000-0005-0000-0000-000026AA0000}"/>
    <cellStyle name="Migliaia 14 3 4 3 2" xfId="56100" xr:uid="{00000000-0005-0000-0000-000027AA0000}"/>
    <cellStyle name="Migliaia 14 3 4 4" xfId="41119" xr:uid="{00000000-0005-0000-0000-000028AA0000}"/>
    <cellStyle name="Migliaia 14 3 4 5" xfId="52823" xr:uid="{00000000-0005-0000-0000-000029AA0000}"/>
    <cellStyle name="Migliaia 14 3 5" xfId="17041" xr:uid="{00000000-0005-0000-0000-00002AAA0000}"/>
    <cellStyle name="Migliaia 14 3 5 2" xfId="33156" xr:uid="{00000000-0005-0000-0000-00002BAA0000}"/>
    <cellStyle name="Migliaia 14 3 5 3" xfId="48117" xr:uid="{00000000-0005-0000-0000-00002CAA0000}"/>
    <cellStyle name="Migliaia 14 3 5 4" xfId="54747" xr:uid="{00000000-0005-0000-0000-00002DAA0000}"/>
    <cellStyle name="Migliaia 14 3 6" xfId="19122" xr:uid="{00000000-0005-0000-0000-00002EAA0000}"/>
    <cellStyle name="Migliaia 14 3 6 2" xfId="55562" xr:uid="{00000000-0005-0000-0000-00002FAA0000}"/>
    <cellStyle name="Migliaia 14 3 7" xfId="34117" xr:uid="{00000000-0005-0000-0000-000030AA0000}"/>
    <cellStyle name="Migliaia 14 3 8" xfId="49057" xr:uid="{00000000-0005-0000-0000-000031AA0000}"/>
    <cellStyle name="Migliaia 14 3 9" xfId="49462" xr:uid="{00000000-0005-0000-0000-000032AA0000}"/>
    <cellStyle name="Migliaia 14 4" xfId="9145" xr:uid="{00000000-0005-0000-0000-000033AA0000}"/>
    <cellStyle name="Migliaia 14 4 2" xfId="17045" xr:uid="{00000000-0005-0000-0000-000034AA0000}"/>
    <cellStyle name="Migliaia 14 4 2 2" xfId="18230" xr:uid="{00000000-0005-0000-0000-000035AA0000}"/>
    <cellStyle name="Migliaia 14 4 2 2 2" xfId="33697" xr:uid="{00000000-0005-0000-0000-000036AA0000}"/>
    <cellStyle name="Migliaia 14 4 2 2 2 2" xfId="55181" xr:uid="{00000000-0005-0000-0000-000037AA0000}"/>
    <cellStyle name="Migliaia 14 4 2 2 3" xfId="48658" xr:uid="{00000000-0005-0000-0000-000038AA0000}"/>
    <cellStyle name="Migliaia 14 4 2 2 3 2" xfId="56103" xr:uid="{00000000-0005-0000-0000-000039AA0000}"/>
    <cellStyle name="Migliaia 14 4 2 2 4" xfId="52826" xr:uid="{00000000-0005-0000-0000-00003AAA0000}"/>
    <cellStyle name="Migliaia 14 4 2 3" xfId="33160" xr:uid="{00000000-0005-0000-0000-00003BAA0000}"/>
    <cellStyle name="Migliaia 14 4 2 3 2" xfId="54751" xr:uid="{00000000-0005-0000-0000-00003CAA0000}"/>
    <cellStyle name="Migliaia 14 4 2 4" xfId="48121" xr:uid="{00000000-0005-0000-0000-00003DAA0000}"/>
    <cellStyle name="Migliaia 14 4 2 4 2" xfId="55566" xr:uid="{00000000-0005-0000-0000-00003EAA0000}"/>
    <cellStyle name="Migliaia 14 4 2 5" xfId="52284" xr:uid="{00000000-0005-0000-0000-00003FAA0000}"/>
    <cellStyle name="Migliaia 14 4 3" xfId="18229" xr:uid="{00000000-0005-0000-0000-000040AA0000}"/>
    <cellStyle name="Migliaia 14 4 3 2" xfId="33696" xr:uid="{00000000-0005-0000-0000-000041AA0000}"/>
    <cellStyle name="Migliaia 14 4 3 2 2" xfId="55180" xr:uid="{00000000-0005-0000-0000-000042AA0000}"/>
    <cellStyle name="Migliaia 14 4 3 3" xfId="48657" xr:uid="{00000000-0005-0000-0000-000043AA0000}"/>
    <cellStyle name="Migliaia 14 4 3 3 2" xfId="56102" xr:uid="{00000000-0005-0000-0000-000044AA0000}"/>
    <cellStyle name="Migliaia 14 4 3 4" xfId="52825" xr:uid="{00000000-0005-0000-0000-000045AA0000}"/>
    <cellStyle name="Migliaia 14 4 4" xfId="17044" xr:uid="{00000000-0005-0000-0000-000046AA0000}"/>
    <cellStyle name="Migliaia 14 4 4 2" xfId="33159" xr:uid="{00000000-0005-0000-0000-000047AA0000}"/>
    <cellStyle name="Migliaia 14 4 4 3" xfId="48120" xr:uid="{00000000-0005-0000-0000-000048AA0000}"/>
    <cellStyle name="Migliaia 14 4 4 4" xfId="54750" xr:uid="{00000000-0005-0000-0000-000049AA0000}"/>
    <cellStyle name="Migliaia 14 4 5" xfId="50980" xr:uid="{00000000-0005-0000-0000-00004AAA0000}"/>
    <cellStyle name="Migliaia 14 4 5 2" xfId="55565" xr:uid="{00000000-0005-0000-0000-00004BAA0000}"/>
    <cellStyle name="Migliaia 14 4 6" xfId="52283" xr:uid="{00000000-0005-0000-0000-00004CAA0000}"/>
    <cellStyle name="Migliaia 14 5" xfId="9146" xr:uid="{00000000-0005-0000-0000-00004DAA0000}"/>
    <cellStyle name="Migliaia 14 5 2" xfId="17046" xr:uid="{00000000-0005-0000-0000-00004EAA0000}"/>
    <cellStyle name="Migliaia 14 5 2 2" xfId="33161" xr:uid="{00000000-0005-0000-0000-00004FAA0000}"/>
    <cellStyle name="Migliaia 14 5 2 3" xfId="48122" xr:uid="{00000000-0005-0000-0000-000050AA0000}"/>
    <cellStyle name="Migliaia 14 5 2 4" xfId="54752" xr:uid="{00000000-0005-0000-0000-000051AA0000}"/>
    <cellStyle name="Migliaia 14 5 3" xfId="51226" xr:uid="{00000000-0005-0000-0000-000052AA0000}"/>
    <cellStyle name="Migliaia 14 5 3 2" xfId="55567" xr:uid="{00000000-0005-0000-0000-000053AA0000}"/>
    <cellStyle name="Migliaia 14 5 4" xfId="52285" xr:uid="{00000000-0005-0000-0000-000054AA0000}"/>
    <cellStyle name="Migliaia 14 6" xfId="9141" xr:uid="{00000000-0005-0000-0000-000055AA0000}"/>
    <cellStyle name="Migliaia 14 6 2" xfId="51259" xr:uid="{00000000-0005-0000-0000-000056AA0000}"/>
    <cellStyle name="Migliaia 14 6 3" xfId="54588" xr:uid="{00000000-0005-0000-0000-000057AA0000}"/>
    <cellStyle name="Migliaia 14 7" xfId="9814" xr:uid="{00000000-0005-0000-0000-000058AA0000}"/>
    <cellStyle name="Migliaia 14 7 2" xfId="26139" xr:uid="{00000000-0005-0000-0000-000059AA0000}"/>
    <cellStyle name="Migliaia 14 7 3" xfId="41117" xr:uid="{00000000-0005-0000-0000-00005AAA0000}"/>
    <cellStyle name="Migliaia 14 7 4" xfId="55560" xr:uid="{00000000-0005-0000-0000-00005BAA0000}"/>
    <cellStyle name="Migliaia 14 8" xfId="17039" xr:uid="{00000000-0005-0000-0000-00005CAA0000}"/>
    <cellStyle name="Migliaia 14 8 2" xfId="33154" xr:uid="{00000000-0005-0000-0000-00005DAA0000}"/>
    <cellStyle name="Migliaia 14 8 3" xfId="48115" xr:uid="{00000000-0005-0000-0000-00005EAA0000}"/>
    <cellStyle name="Migliaia 14 9" xfId="19120" xr:uid="{00000000-0005-0000-0000-00005FAA0000}"/>
    <cellStyle name="Migliaia 15" xfId="307" xr:uid="{00000000-0005-0000-0000-000060AA0000}"/>
    <cellStyle name="Migliaia 15 10" xfId="34119" xr:uid="{00000000-0005-0000-0000-000061AA0000}"/>
    <cellStyle name="Migliaia 15 11" xfId="49059" xr:uid="{00000000-0005-0000-0000-000062AA0000}"/>
    <cellStyle name="Migliaia 15 12" xfId="49464" xr:uid="{00000000-0005-0000-0000-000063AA0000}"/>
    <cellStyle name="Migliaia 15 13" xfId="49870" xr:uid="{00000000-0005-0000-0000-000064AA0000}"/>
    <cellStyle name="Migliaia 15 14" xfId="50278" xr:uid="{00000000-0005-0000-0000-000065AA0000}"/>
    <cellStyle name="Migliaia 15 15" xfId="50720" xr:uid="{00000000-0005-0000-0000-000066AA0000}"/>
    <cellStyle name="Migliaia 15 16" xfId="51439" xr:uid="{00000000-0005-0000-0000-000067AA0000}"/>
    <cellStyle name="Migliaia 15 17" xfId="51851" xr:uid="{00000000-0005-0000-0000-000068AA0000}"/>
    <cellStyle name="Migliaia 15 18" xfId="52286" xr:uid="{00000000-0005-0000-0000-000069AA0000}"/>
    <cellStyle name="Migliaia 15 2" xfId="308" xr:uid="{00000000-0005-0000-0000-00006AAA0000}"/>
    <cellStyle name="Migliaia 15 2 10" xfId="49871" xr:uid="{00000000-0005-0000-0000-00006BAA0000}"/>
    <cellStyle name="Migliaia 15 2 11" xfId="50279" xr:uid="{00000000-0005-0000-0000-00006CAA0000}"/>
    <cellStyle name="Migliaia 15 2 12" xfId="50721" xr:uid="{00000000-0005-0000-0000-00006DAA0000}"/>
    <cellStyle name="Migliaia 15 2 13" xfId="51440" xr:uid="{00000000-0005-0000-0000-00006EAA0000}"/>
    <cellStyle name="Migliaia 15 2 14" xfId="51852" xr:uid="{00000000-0005-0000-0000-00006FAA0000}"/>
    <cellStyle name="Migliaia 15 2 15" xfId="52287" xr:uid="{00000000-0005-0000-0000-000070AA0000}"/>
    <cellStyle name="Migliaia 15 2 2" xfId="1249" xr:uid="{00000000-0005-0000-0000-000071AA0000}"/>
    <cellStyle name="Migliaia 15 2 2 10" xfId="51101" xr:uid="{00000000-0005-0000-0000-000072AA0000}"/>
    <cellStyle name="Migliaia 15 2 2 11" xfId="51697" xr:uid="{00000000-0005-0000-0000-000073AA0000}"/>
    <cellStyle name="Migliaia 15 2 2 12" xfId="52117" xr:uid="{00000000-0005-0000-0000-000074AA0000}"/>
    <cellStyle name="Migliaia 15 2 2 13" xfId="52827" xr:uid="{00000000-0005-0000-0000-000075AA0000}"/>
    <cellStyle name="Migliaia 15 2 2 2" xfId="10076" xr:uid="{00000000-0005-0000-0000-000076AA0000}"/>
    <cellStyle name="Migliaia 15 2 2 2 2" xfId="26396" xr:uid="{00000000-0005-0000-0000-000077AA0000}"/>
    <cellStyle name="Migliaia 15 2 2 2 3" xfId="41364" xr:uid="{00000000-0005-0000-0000-000078AA0000}"/>
    <cellStyle name="Migliaia 15 2 2 2 4" xfId="55182" xr:uid="{00000000-0005-0000-0000-000079AA0000}"/>
    <cellStyle name="Migliaia 15 2 2 3" xfId="18231" xr:uid="{00000000-0005-0000-0000-00007AAA0000}"/>
    <cellStyle name="Migliaia 15 2 2 3 2" xfId="33698" xr:uid="{00000000-0005-0000-0000-00007BAA0000}"/>
    <cellStyle name="Migliaia 15 2 2 3 3" xfId="48659" xr:uid="{00000000-0005-0000-0000-00007CAA0000}"/>
    <cellStyle name="Migliaia 15 2 2 3 4" xfId="56104" xr:uid="{00000000-0005-0000-0000-00007DAA0000}"/>
    <cellStyle name="Migliaia 15 2 2 4" xfId="19375" xr:uid="{00000000-0005-0000-0000-00007EAA0000}"/>
    <cellStyle name="Migliaia 15 2 2 5" xfId="34365" xr:uid="{00000000-0005-0000-0000-00007FAA0000}"/>
    <cellStyle name="Migliaia 15 2 2 6" xfId="49317" xr:uid="{00000000-0005-0000-0000-000080AA0000}"/>
    <cellStyle name="Migliaia 15 2 2 7" xfId="49722" xr:uid="{00000000-0005-0000-0000-000081AA0000}"/>
    <cellStyle name="Migliaia 15 2 2 8" xfId="50131" xr:uid="{00000000-0005-0000-0000-000082AA0000}"/>
    <cellStyle name="Migliaia 15 2 2 9" xfId="50536" xr:uid="{00000000-0005-0000-0000-000083AA0000}"/>
    <cellStyle name="Migliaia 15 2 3" xfId="9148" xr:uid="{00000000-0005-0000-0000-000084AA0000}"/>
    <cellStyle name="Migliaia 15 2 3 2" xfId="54656" xr:uid="{00000000-0005-0000-0000-000085AA0000}"/>
    <cellStyle name="Migliaia 15 2 4" xfId="9819" xr:uid="{00000000-0005-0000-0000-000086AA0000}"/>
    <cellStyle name="Migliaia 15 2 4 2" xfId="26144" xr:uid="{00000000-0005-0000-0000-000087AA0000}"/>
    <cellStyle name="Migliaia 15 2 4 3" xfId="41122" xr:uid="{00000000-0005-0000-0000-000088AA0000}"/>
    <cellStyle name="Migliaia 15 2 4 4" xfId="55569" xr:uid="{00000000-0005-0000-0000-000089AA0000}"/>
    <cellStyle name="Migliaia 15 2 5" xfId="17048" xr:uid="{00000000-0005-0000-0000-00008AAA0000}"/>
    <cellStyle name="Migliaia 15 2 5 2" xfId="33163" xr:uid="{00000000-0005-0000-0000-00008BAA0000}"/>
    <cellStyle name="Migliaia 15 2 5 3" xfId="48124" xr:uid="{00000000-0005-0000-0000-00008CAA0000}"/>
    <cellStyle name="Migliaia 15 2 6" xfId="19125" xr:uid="{00000000-0005-0000-0000-00008DAA0000}"/>
    <cellStyle name="Migliaia 15 2 7" xfId="34120" xr:uid="{00000000-0005-0000-0000-00008EAA0000}"/>
    <cellStyle name="Migliaia 15 2 8" xfId="49060" xr:uid="{00000000-0005-0000-0000-00008FAA0000}"/>
    <cellStyle name="Migliaia 15 2 9" xfId="49465" xr:uid="{00000000-0005-0000-0000-000090AA0000}"/>
    <cellStyle name="Migliaia 15 3" xfId="309" xr:uid="{00000000-0005-0000-0000-000091AA0000}"/>
    <cellStyle name="Migliaia 15 3 10" xfId="49872" xr:uid="{00000000-0005-0000-0000-000092AA0000}"/>
    <cellStyle name="Migliaia 15 3 11" xfId="50280" xr:uid="{00000000-0005-0000-0000-000093AA0000}"/>
    <cellStyle name="Migliaia 15 3 12" xfId="50722" xr:uid="{00000000-0005-0000-0000-000094AA0000}"/>
    <cellStyle name="Migliaia 15 3 13" xfId="51441" xr:uid="{00000000-0005-0000-0000-000095AA0000}"/>
    <cellStyle name="Migliaia 15 3 14" xfId="51853" xr:uid="{00000000-0005-0000-0000-000096AA0000}"/>
    <cellStyle name="Migliaia 15 3 15" xfId="52288" xr:uid="{00000000-0005-0000-0000-000097AA0000}"/>
    <cellStyle name="Migliaia 15 3 2" xfId="310" xr:uid="{00000000-0005-0000-0000-000098AA0000}"/>
    <cellStyle name="Migliaia 15 3 2 10" xfId="50281" xr:uid="{00000000-0005-0000-0000-000099AA0000}"/>
    <cellStyle name="Migliaia 15 3 2 11" xfId="50723" xr:uid="{00000000-0005-0000-0000-00009AAA0000}"/>
    <cellStyle name="Migliaia 15 3 2 12" xfId="51442" xr:uid="{00000000-0005-0000-0000-00009BAA0000}"/>
    <cellStyle name="Migliaia 15 3 2 13" xfId="51854" xr:uid="{00000000-0005-0000-0000-00009CAA0000}"/>
    <cellStyle name="Migliaia 15 3 2 14" xfId="52289" xr:uid="{00000000-0005-0000-0000-00009DAA0000}"/>
    <cellStyle name="Migliaia 15 3 2 2" xfId="9150" xr:uid="{00000000-0005-0000-0000-00009EAA0000}"/>
    <cellStyle name="Migliaia 15 3 2 2 2" xfId="54754" xr:uid="{00000000-0005-0000-0000-00009FAA0000}"/>
    <cellStyle name="Migliaia 15 3 2 3" xfId="9821" xr:uid="{00000000-0005-0000-0000-0000A0AA0000}"/>
    <cellStyle name="Migliaia 15 3 2 3 2" xfId="26146" xr:uid="{00000000-0005-0000-0000-0000A1AA0000}"/>
    <cellStyle name="Migliaia 15 3 2 3 3" xfId="41124" xr:uid="{00000000-0005-0000-0000-0000A2AA0000}"/>
    <cellStyle name="Migliaia 15 3 2 3 4" xfId="55571" xr:uid="{00000000-0005-0000-0000-0000A3AA0000}"/>
    <cellStyle name="Migliaia 15 3 2 4" xfId="17050" xr:uid="{00000000-0005-0000-0000-0000A4AA0000}"/>
    <cellStyle name="Migliaia 15 3 2 4 2" xfId="33165" xr:uid="{00000000-0005-0000-0000-0000A5AA0000}"/>
    <cellStyle name="Migliaia 15 3 2 4 3" xfId="48126" xr:uid="{00000000-0005-0000-0000-0000A6AA0000}"/>
    <cellStyle name="Migliaia 15 3 2 5" xfId="19127" xr:uid="{00000000-0005-0000-0000-0000A7AA0000}"/>
    <cellStyle name="Migliaia 15 3 2 6" xfId="34122" xr:uid="{00000000-0005-0000-0000-0000A8AA0000}"/>
    <cellStyle name="Migliaia 15 3 2 7" xfId="49062" xr:uid="{00000000-0005-0000-0000-0000A9AA0000}"/>
    <cellStyle name="Migliaia 15 3 2 8" xfId="49467" xr:uid="{00000000-0005-0000-0000-0000AAAA0000}"/>
    <cellStyle name="Migliaia 15 3 2 9" xfId="49873" xr:uid="{00000000-0005-0000-0000-0000ABAA0000}"/>
    <cellStyle name="Migliaia 15 3 3" xfId="9149" xr:uid="{00000000-0005-0000-0000-0000ACAA0000}"/>
    <cellStyle name="Migliaia 15 3 3 2" xfId="18233" xr:uid="{00000000-0005-0000-0000-0000ADAA0000}"/>
    <cellStyle name="Migliaia 15 3 3 2 2" xfId="33700" xr:uid="{00000000-0005-0000-0000-0000AEAA0000}"/>
    <cellStyle name="Migliaia 15 3 3 2 2 2" xfId="55184" xr:uid="{00000000-0005-0000-0000-0000AFAA0000}"/>
    <cellStyle name="Migliaia 15 3 3 2 3" xfId="48661" xr:uid="{00000000-0005-0000-0000-0000B0AA0000}"/>
    <cellStyle name="Migliaia 15 3 3 2 3 2" xfId="56106" xr:uid="{00000000-0005-0000-0000-0000B1AA0000}"/>
    <cellStyle name="Migliaia 15 3 3 2 4" xfId="52829" xr:uid="{00000000-0005-0000-0000-0000B2AA0000}"/>
    <cellStyle name="Migliaia 15 3 3 3" xfId="17051" xr:uid="{00000000-0005-0000-0000-0000B3AA0000}"/>
    <cellStyle name="Migliaia 15 3 3 3 2" xfId="33166" xr:uid="{00000000-0005-0000-0000-0000B4AA0000}"/>
    <cellStyle name="Migliaia 15 3 3 3 3" xfId="48127" xr:uid="{00000000-0005-0000-0000-0000B5AA0000}"/>
    <cellStyle name="Migliaia 15 3 3 3 4" xfId="54755" xr:uid="{00000000-0005-0000-0000-0000B6AA0000}"/>
    <cellStyle name="Migliaia 15 3 3 4" xfId="55572" xr:uid="{00000000-0005-0000-0000-0000B7AA0000}"/>
    <cellStyle name="Migliaia 15 3 3 5" xfId="52290" xr:uid="{00000000-0005-0000-0000-0000B8AA0000}"/>
    <cellStyle name="Migliaia 15 3 4" xfId="9820" xr:uid="{00000000-0005-0000-0000-0000B9AA0000}"/>
    <cellStyle name="Migliaia 15 3 4 2" xfId="18232" xr:uid="{00000000-0005-0000-0000-0000BAAA0000}"/>
    <cellStyle name="Migliaia 15 3 4 2 2" xfId="33699" xr:uid="{00000000-0005-0000-0000-0000BBAA0000}"/>
    <cellStyle name="Migliaia 15 3 4 2 3" xfId="48660" xr:uid="{00000000-0005-0000-0000-0000BCAA0000}"/>
    <cellStyle name="Migliaia 15 3 4 2 4" xfId="55183" xr:uid="{00000000-0005-0000-0000-0000BDAA0000}"/>
    <cellStyle name="Migliaia 15 3 4 3" xfId="26145" xr:uid="{00000000-0005-0000-0000-0000BEAA0000}"/>
    <cellStyle name="Migliaia 15 3 4 3 2" xfId="56105" xr:uid="{00000000-0005-0000-0000-0000BFAA0000}"/>
    <cellStyle name="Migliaia 15 3 4 4" xfId="41123" xr:uid="{00000000-0005-0000-0000-0000C0AA0000}"/>
    <cellStyle name="Migliaia 15 3 4 5" xfId="52828" xr:uid="{00000000-0005-0000-0000-0000C1AA0000}"/>
    <cellStyle name="Migliaia 15 3 5" xfId="17049" xr:uid="{00000000-0005-0000-0000-0000C2AA0000}"/>
    <cellStyle name="Migliaia 15 3 5 2" xfId="33164" xr:uid="{00000000-0005-0000-0000-0000C3AA0000}"/>
    <cellStyle name="Migliaia 15 3 5 3" xfId="48125" xr:uid="{00000000-0005-0000-0000-0000C4AA0000}"/>
    <cellStyle name="Migliaia 15 3 5 4" xfId="54753" xr:uid="{00000000-0005-0000-0000-0000C5AA0000}"/>
    <cellStyle name="Migliaia 15 3 6" xfId="19126" xr:uid="{00000000-0005-0000-0000-0000C6AA0000}"/>
    <cellStyle name="Migliaia 15 3 6 2" xfId="55570" xr:uid="{00000000-0005-0000-0000-0000C7AA0000}"/>
    <cellStyle name="Migliaia 15 3 7" xfId="34121" xr:uid="{00000000-0005-0000-0000-0000C8AA0000}"/>
    <cellStyle name="Migliaia 15 3 8" xfId="49061" xr:uid="{00000000-0005-0000-0000-0000C9AA0000}"/>
    <cellStyle name="Migliaia 15 3 9" xfId="49466" xr:uid="{00000000-0005-0000-0000-0000CAAA0000}"/>
    <cellStyle name="Migliaia 15 4" xfId="9151" xr:uid="{00000000-0005-0000-0000-0000CBAA0000}"/>
    <cellStyle name="Migliaia 15 4 2" xfId="17053" xr:uid="{00000000-0005-0000-0000-0000CCAA0000}"/>
    <cellStyle name="Migliaia 15 4 2 2" xfId="18235" xr:uid="{00000000-0005-0000-0000-0000CDAA0000}"/>
    <cellStyle name="Migliaia 15 4 2 2 2" xfId="33702" xr:uid="{00000000-0005-0000-0000-0000CEAA0000}"/>
    <cellStyle name="Migliaia 15 4 2 2 2 2" xfId="55186" xr:uid="{00000000-0005-0000-0000-0000CFAA0000}"/>
    <cellStyle name="Migliaia 15 4 2 2 3" xfId="48663" xr:uid="{00000000-0005-0000-0000-0000D0AA0000}"/>
    <cellStyle name="Migliaia 15 4 2 2 3 2" xfId="56108" xr:uid="{00000000-0005-0000-0000-0000D1AA0000}"/>
    <cellStyle name="Migliaia 15 4 2 2 4" xfId="52831" xr:uid="{00000000-0005-0000-0000-0000D2AA0000}"/>
    <cellStyle name="Migliaia 15 4 2 3" xfId="33168" xr:uid="{00000000-0005-0000-0000-0000D3AA0000}"/>
    <cellStyle name="Migliaia 15 4 2 3 2" xfId="54757" xr:uid="{00000000-0005-0000-0000-0000D4AA0000}"/>
    <cellStyle name="Migliaia 15 4 2 4" xfId="48129" xr:uid="{00000000-0005-0000-0000-0000D5AA0000}"/>
    <cellStyle name="Migliaia 15 4 2 4 2" xfId="55574" xr:uid="{00000000-0005-0000-0000-0000D6AA0000}"/>
    <cellStyle name="Migliaia 15 4 2 5" xfId="52292" xr:uid="{00000000-0005-0000-0000-0000D7AA0000}"/>
    <cellStyle name="Migliaia 15 4 3" xfId="18234" xr:uid="{00000000-0005-0000-0000-0000D8AA0000}"/>
    <cellStyle name="Migliaia 15 4 3 2" xfId="33701" xr:uid="{00000000-0005-0000-0000-0000D9AA0000}"/>
    <cellStyle name="Migliaia 15 4 3 2 2" xfId="55185" xr:uid="{00000000-0005-0000-0000-0000DAAA0000}"/>
    <cellStyle name="Migliaia 15 4 3 3" xfId="48662" xr:uid="{00000000-0005-0000-0000-0000DBAA0000}"/>
    <cellStyle name="Migliaia 15 4 3 3 2" xfId="56107" xr:uid="{00000000-0005-0000-0000-0000DCAA0000}"/>
    <cellStyle name="Migliaia 15 4 3 4" xfId="52830" xr:uid="{00000000-0005-0000-0000-0000DDAA0000}"/>
    <cellStyle name="Migliaia 15 4 4" xfId="17052" xr:uid="{00000000-0005-0000-0000-0000DEAA0000}"/>
    <cellStyle name="Migliaia 15 4 4 2" xfId="33167" xr:uid="{00000000-0005-0000-0000-0000DFAA0000}"/>
    <cellStyle name="Migliaia 15 4 4 3" xfId="48128" xr:uid="{00000000-0005-0000-0000-0000E0AA0000}"/>
    <cellStyle name="Migliaia 15 4 4 4" xfId="54756" xr:uid="{00000000-0005-0000-0000-0000E1AA0000}"/>
    <cellStyle name="Migliaia 15 4 5" xfId="51260" xr:uid="{00000000-0005-0000-0000-0000E2AA0000}"/>
    <cellStyle name="Migliaia 15 4 5 2" xfId="55573" xr:uid="{00000000-0005-0000-0000-0000E3AA0000}"/>
    <cellStyle name="Migliaia 15 4 6" xfId="52291" xr:uid="{00000000-0005-0000-0000-0000E4AA0000}"/>
    <cellStyle name="Migliaia 15 5" xfId="9152" xr:uid="{00000000-0005-0000-0000-0000E5AA0000}"/>
    <cellStyle name="Migliaia 15 5 2" xfId="17054" xr:uid="{00000000-0005-0000-0000-0000E6AA0000}"/>
    <cellStyle name="Migliaia 15 5 2 2" xfId="33169" xr:uid="{00000000-0005-0000-0000-0000E7AA0000}"/>
    <cellStyle name="Migliaia 15 5 2 3" xfId="48130" xr:uid="{00000000-0005-0000-0000-0000E8AA0000}"/>
    <cellStyle name="Migliaia 15 5 2 4" xfId="54758" xr:uid="{00000000-0005-0000-0000-0000E9AA0000}"/>
    <cellStyle name="Migliaia 15 5 3" xfId="51199" xr:uid="{00000000-0005-0000-0000-0000EAAA0000}"/>
    <cellStyle name="Migliaia 15 5 3 2" xfId="55575" xr:uid="{00000000-0005-0000-0000-0000EBAA0000}"/>
    <cellStyle name="Migliaia 15 5 4" xfId="52293" xr:uid="{00000000-0005-0000-0000-0000ECAA0000}"/>
    <cellStyle name="Migliaia 15 6" xfId="9147" xr:uid="{00000000-0005-0000-0000-0000EDAA0000}"/>
    <cellStyle name="Migliaia 15 6 2" xfId="51261" xr:uid="{00000000-0005-0000-0000-0000EEAA0000}"/>
    <cellStyle name="Migliaia 15 6 3" xfId="54589" xr:uid="{00000000-0005-0000-0000-0000EFAA0000}"/>
    <cellStyle name="Migliaia 15 7" xfId="9818" xr:uid="{00000000-0005-0000-0000-0000F0AA0000}"/>
    <cellStyle name="Migliaia 15 7 2" xfId="26143" xr:uid="{00000000-0005-0000-0000-0000F1AA0000}"/>
    <cellStyle name="Migliaia 15 7 3" xfId="41121" xr:uid="{00000000-0005-0000-0000-0000F2AA0000}"/>
    <cellStyle name="Migliaia 15 7 4" xfId="55568" xr:uid="{00000000-0005-0000-0000-0000F3AA0000}"/>
    <cellStyle name="Migliaia 15 8" xfId="17047" xr:uid="{00000000-0005-0000-0000-0000F4AA0000}"/>
    <cellStyle name="Migliaia 15 8 2" xfId="33162" xr:uid="{00000000-0005-0000-0000-0000F5AA0000}"/>
    <cellStyle name="Migliaia 15 8 3" xfId="48123" xr:uid="{00000000-0005-0000-0000-0000F6AA0000}"/>
    <cellStyle name="Migliaia 15 9" xfId="19124" xr:uid="{00000000-0005-0000-0000-0000F7AA0000}"/>
    <cellStyle name="Migliaia 16" xfId="311" xr:uid="{00000000-0005-0000-0000-0000F8AA0000}"/>
    <cellStyle name="Migliaia 16 10" xfId="34123" xr:uid="{00000000-0005-0000-0000-0000F9AA0000}"/>
    <cellStyle name="Migliaia 16 11" xfId="49063" xr:uid="{00000000-0005-0000-0000-0000FAAA0000}"/>
    <cellStyle name="Migliaia 16 12" xfId="49468" xr:uid="{00000000-0005-0000-0000-0000FBAA0000}"/>
    <cellStyle name="Migliaia 16 13" xfId="49874" xr:uid="{00000000-0005-0000-0000-0000FCAA0000}"/>
    <cellStyle name="Migliaia 16 14" xfId="50282" xr:uid="{00000000-0005-0000-0000-0000FDAA0000}"/>
    <cellStyle name="Migliaia 16 15" xfId="50724" xr:uid="{00000000-0005-0000-0000-0000FEAA0000}"/>
    <cellStyle name="Migliaia 16 16" xfId="51443" xr:uid="{00000000-0005-0000-0000-0000FFAA0000}"/>
    <cellStyle name="Migliaia 16 17" xfId="51855" xr:uid="{00000000-0005-0000-0000-000000AB0000}"/>
    <cellStyle name="Migliaia 16 18" xfId="52294" xr:uid="{00000000-0005-0000-0000-000001AB0000}"/>
    <cellStyle name="Migliaia 16 2" xfId="312" xr:uid="{00000000-0005-0000-0000-000002AB0000}"/>
    <cellStyle name="Migliaia 16 2 10" xfId="49875" xr:uid="{00000000-0005-0000-0000-000003AB0000}"/>
    <cellStyle name="Migliaia 16 2 11" xfId="50283" xr:uid="{00000000-0005-0000-0000-000004AB0000}"/>
    <cellStyle name="Migliaia 16 2 12" xfId="50725" xr:uid="{00000000-0005-0000-0000-000005AB0000}"/>
    <cellStyle name="Migliaia 16 2 13" xfId="51444" xr:uid="{00000000-0005-0000-0000-000006AB0000}"/>
    <cellStyle name="Migliaia 16 2 14" xfId="51856" xr:uid="{00000000-0005-0000-0000-000007AB0000}"/>
    <cellStyle name="Migliaia 16 2 15" xfId="52295" xr:uid="{00000000-0005-0000-0000-000008AB0000}"/>
    <cellStyle name="Migliaia 16 2 2" xfId="1250" xr:uid="{00000000-0005-0000-0000-000009AB0000}"/>
    <cellStyle name="Migliaia 16 2 2 10" xfId="51102" xr:uid="{00000000-0005-0000-0000-00000AAB0000}"/>
    <cellStyle name="Migliaia 16 2 2 11" xfId="51698" xr:uid="{00000000-0005-0000-0000-00000BAB0000}"/>
    <cellStyle name="Migliaia 16 2 2 12" xfId="52118" xr:uid="{00000000-0005-0000-0000-00000CAB0000}"/>
    <cellStyle name="Migliaia 16 2 2 13" xfId="52832" xr:uid="{00000000-0005-0000-0000-00000DAB0000}"/>
    <cellStyle name="Migliaia 16 2 2 2" xfId="10077" xr:uid="{00000000-0005-0000-0000-00000EAB0000}"/>
    <cellStyle name="Migliaia 16 2 2 2 2" xfId="26397" xr:uid="{00000000-0005-0000-0000-00000FAB0000}"/>
    <cellStyle name="Migliaia 16 2 2 2 3" xfId="41365" xr:uid="{00000000-0005-0000-0000-000010AB0000}"/>
    <cellStyle name="Migliaia 16 2 2 2 4" xfId="55187" xr:uid="{00000000-0005-0000-0000-000011AB0000}"/>
    <cellStyle name="Migliaia 16 2 2 3" xfId="18236" xr:uid="{00000000-0005-0000-0000-000012AB0000}"/>
    <cellStyle name="Migliaia 16 2 2 3 2" xfId="33703" xr:uid="{00000000-0005-0000-0000-000013AB0000}"/>
    <cellStyle name="Migliaia 16 2 2 3 3" xfId="48664" xr:uid="{00000000-0005-0000-0000-000014AB0000}"/>
    <cellStyle name="Migliaia 16 2 2 3 4" xfId="56109" xr:uid="{00000000-0005-0000-0000-000015AB0000}"/>
    <cellStyle name="Migliaia 16 2 2 4" xfId="19376" xr:uid="{00000000-0005-0000-0000-000016AB0000}"/>
    <cellStyle name="Migliaia 16 2 2 5" xfId="34366" xr:uid="{00000000-0005-0000-0000-000017AB0000}"/>
    <cellStyle name="Migliaia 16 2 2 6" xfId="49318" xr:uid="{00000000-0005-0000-0000-000018AB0000}"/>
    <cellStyle name="Migliaia 16 2 2 7" xfId="49723" xr:uid="{00000000-0005-0000-0000-000019AB0000}"/>
    <cellStyle name="Migliaia 16 2 2 8" xfId="50132" xr:uid="{00000000-0005-0000-0000-00001AAB0000}"/>
    <cellStyle name="Migliaia 16 2 2 9" xfId="50537" xr:uid="{00000000-0005-0000-0000-00001BAB0000}"/>
    <cellStyle name="Migliaia 16 2 3" xfId="9154" xr:uid="{00000000-0005-0000-0000-00001CAB0000}"/>
    <cellStyle name="Migliaia 16 2 3 2" xfId="54657" xr:uid="{00000000-0005-0000-0000-00001DAB0000}"/>
    <cellStyle name="Migliaia 16 2 4" xfId="9823" xr:uid="{00000000-0005-0000-0000-00001EAB0000}"/>
    <cellStyle name="Migliaia 16 2 4 2" xfId="26148" xr:uid="{00000000-0005-0000-0000-00001FAB0000}"/>
    <cellStyle name="Migliaia 16 2 4 3" xfId="41126" xr:uid="{00000000-0005-0000-0000-000020AB0000}"/>
    <cellStyle name="Migliaia 16 2 4 4" xfId="55577" xr:uid="{00000000-0005-0000-0000-000021AB0000}"/>
    <cellStyle name="Migliaia 16 2 5" xfId="17056" xr:uid="{00000000-0005-0000-0000-000022AB0000}"/>
    <cellStyle name="Migliaia 16 2 5 2" xfId="33171" xr:uid="{00000000-0005-0000-0000-000023AB0000}"/>
    <cellStyle name="Migliaia 16 2 5 3" xfId="48132" xr:uid="{00000000-0005-0000-0000-000024AB0000}"/>
    <cellStyle name="Migliaia 16 2 6" xfId="19129" xr:uid="{00000000-0005-0000-0000-000025AB0000}"/>
    <cellStyle name="Migliaia 16 2 7" xfId="34124" xr:uid="{00000000-0005-0000-0000-000026AB0000}"/>
    <cellStyle name="Migliaia 16 2 8" xfId="49064" xr:uid="{00000000-0005-0000-0000-000027AB0000}"/>
    <cellStyle name="Migliaia 16 2 9" xfId="49469" xr:uid="{00000000-0005-0000-0000-000028AB0000}"/>
    <cellStyle name="Migliaia 16 3" xfId="313" xr:uid="{00000000-0005-0000-0000-000029AB0000}"/>
    <cellStyle name="Migliaia 16 3 10" xfId="49876" xr:uid="{00000000-0005-0000-0000-00002AAB0000}"/>
    <cellStyle name="Migliaia 16 3 11" xfId="50284" xr:uid="{00000000-0005-0000-0000-00002BAB0000}"/>
    <cellStyle name="Migliaia 16 3 12" xfId="50726" xr:uid="{00000000-0005-0000-0000-00002CAB0000}"/>
    <cellStyle name="Migliaia 16 3 13" xfId="51445" xr:uid="{00000000-0005-0000-0000-00002DAB0000}"/>
    <cellStyle name="Migliaia 16 3 14" xfId="51857" xr:uid="{00000000-0005-0000-0000-00002EAB0000}"/>
    <cellStyle name="Migliaia 16 3 15" xfId="52296" xr:uid="{00000000-0005-0000-0000-00002FAB0000}"/>
    <cellStyle name="Migliaia 16 3 2" xfId="314" xr:uid="{00000000-0005-0000-0000-000030AB0000}"/>
    <cellStyle name="Migliaia 16 3 2 10" xfId="50285" xr:uid="{00000000-0005-0000-0000-000031AB0000}"/>
    <cellStyle name="Migliaia 16 3 2 11" xfId="50727" xr:uid="{00000000-0005-0000-0000-000032AB0000}"/>
    <cellStyle name="Migliaia 16 3 2 12" xfId="51446" xr:uid="{00000000-0005-0000-0000-000033AB0000}"/>
    <cellStyle name="Migliaia 16 3 2 13" xfId="51858" xr:uid="{00000000-0005-0000-0000-000034AB0000}"/>
    <cellStyle name="Migliaia 16 3 2 14" xfId="52297" xr:uid="{00000000-0005-0000-0000-000035AB0000}"/>
    <cellStyle name="Migliaia 16 3 2 2" xfId="9156" xr:uid="{00000000-0005-0000-0000-000036AB0000}"/>
    <cellStyle name="Migliaia 16 3 2 2 2" xfId="54760" xr:uid="{00000000-0005-0000-0000-000037AB0000}"/>
    <cellStyle name="Migliaia 16 3 2 3" xfId="9825" xr:uid="{00000000-0005-0000-0000-000038AB0000}"/>
    <cellStyle name="Migliaia 16 3 2 3 2" xfId="26150" xr:uid="{00000000-0005-0000-0000-000039AB0000}"/>
    <cellStyle name="Migliaia 16 3 2 3 3" xfId="41128" xr:uid="{00000000-0005-0000-0000-00003AAB0000}"/>
    <cellStyle name="Migliaia 16 3 2 3 4" xfId="55579" xr:uid="{00000000-0005-0000-0000-00003BAB0000}"/>
    <cellStyle name="Migliaia 16 3 2 4" xfId="17058" xr:uid="{00000000-0005-0000-0000-00003CAB0000}"/>
    <cellStyle name="Migliaia 16 3 2 4 2" xfId="33173" xr:uid="{00000000-0005-0000-0000-00003DAB0000}"/>
    <cellStyle name="Migliaia 16 3 2 4 3" xfId="48134" xr:uid="{00000000-0005-0000-0000-00003EAB0000}"/>
    <cellStyle name="Migliaia 16 3 2 5" xfId="19131" xr:uid="{00000000-0005-0000-0000-00003FAB0000}"/>
    <cellStyle name="Migliaia 16 3 2 6" xfId="34126" xr:uid="{00000000-0005-0000-0000-000040AB0000}"/>
    <cellStyle name="Migliaia 16 3 2 7" xfId="49066" xr:uid="{00000000-0005-0000-0000-000041AB0000}"/>
    <cellStyle name="Migliaia 16 3 2 8" xfId="49471" xr:uid="{00000000-0005-0000-0000-000042AB0000}"/>
    <cellStyle name="Migliaia 16 3 2 9" xfId="49877" xr:uid="{00000000-0005-0000-0000-000043AB0000}"/>
    <cellStyle name="Migliaia 16 3 3" xfId="9155" xr:uid="{00000000-0005-0000-0000-000044AB0000}"/>
    <cellStyle name="Migliaia 16 3 3 2" xfId="18238" xr:uid="{00000000-0005-0000-0000-000045AB0000}"/>
    <cellStyle name="Migliaia 16 3 3 2 2" xfId="33705" xr:uid="{00000000-0005-0000-0000-000046AB0000}"/>
    <cellStyle name="Migliaia 16 3 3 2 2 2" xfId="55189" xr:uid="{00000000-0005-0000-0000-000047AB0000}"/>
    <cellStyle name="Migliaia 16 3 3 2 3" xfId="48666" xr:uid="{00000000-0005-0000-0000-000048AB0000}"/>
    <cellStyle name="Migliaia 16 3 3 2 3 2" xfId="56111" xr:uid="{00000000-0005-0000-0000-000049AB0000}"/>
    <cellStyle name="Migliaia 16 3 3 2 4" xfId="52834" xr:uid="{00000000-0005-0000-0000-00004AAB0000}"/>
    <cellStyle name="Migliaia 16 3 3 3" xfId="17059" xr:uid="{00000000-0005-0000-0000-00004BAB0000}"/>
    <cellStyle name="Migliaia 16 3 3 3 2" xfId="33174" xr:uid="{00000000-0005-0000-0000-00004CAB0000}"/>
    <cellStyle name="Migliaia 16 3 3 3 3" xfId="48135" xr:uid="{00000000-0005-0000-0000-00004DAB0000}"/>
    <cellStyle name="Migliaia 16 3 3 3 4" xfId="54761" xr:uid="{00000000-0005-0000-0000-00004EAB0000}"/>
    <cellStyle name="Migliaia 16 3 3 4" xfId="55580" xr:uid="{00000000-0005-0000-0000-00004FAB0000}"/>
    <cellStyle name="Migliaia 16 3 3 5" xfId="52298" xr:uid="{00000000-0005-0000-0000-000050AB0000}"/>
    <cellStyle name="Migliaia 16 3 4" xfId="9824" xr:uid="{00000000-0005-0000-0000-000051AB0000}"/>
    <cellStyle name="Migliaia 16 3 4 2" xfId="18237" xr:uid="{00000000-0005-0000-0000-000052AB0000}"/>
    <cellStyle name="Migliaia 16 3 4 2 2" xfId="33704" xr:uid="{00000000-0005-0000-0000-000053AB0000}"/>
    <cellStyle name="Migliaia 16 3 4 2 3" xfId="48665" xr:uid="{00000000-0005-0000-0000-000054AB0000}"/>
    <cellStyle name="Migliaia 16 3 4 2 4" xfId="55188" xr:uid="{00000000-0005-0000-0000-000055AB0000}"/>
    <cellStyle name="Migliaia 16 3 4 3" xfId="26149" xr:uid="{00000000-0005-0000-0000-000056AB0000}"/>
    <cellStyle name="Migliaia 16 3 4 3 2" xfId="56110" xr:uid="{00000000-0005-0000-0000-000057AB0000}"/>
    <cellStyle name="Migliaia 16 3 4 4" xfId="41127" xr:uid="{00000000-0005-0000-0000-000058AB0000}"/>
    <cellStyle name="Migliaia 16 3 4 5" xfId="52833" xr:uid="{00000000-0005-0000-0000-000059AB0000}"/>
    <cellStyle name="Migliaia 16 3 5" xfId="17057" xr:uid="{00000000-0005-0000-0000-00005AAB0000}"/>
    <cellStyle name="Migliaia 16 3 5 2" xfId="33172" xr:uid="{00000000-0005-0000-0000-00005BAB0000}"/>
    <cellStyle name="Migliaia 16 3 5 3" xfId="48133" xr:uid="{00000000-0005-0000-0000-00005CAB0000}"/>
    <cellStyle name="Migliaia 16 3 5 4" xfId="54759" xr:uid="{00000000-0005-0000-0000-00005DAB0000}"/>
    <cellStyle name="Migliaia 16 3 6" xfId="19130" xr:uid="{00000000-0005-0000-0000-00005EAB0000}"/>
    <cellStyle name="Migliaia 16 3 6 2" xfId="55578" xr:uid="{00000000-0005-0000-0000-00005FAB0000}"/>
    <cellStyle name="Migliaia 16 3 7" xfId="34125" xr:uid="{00000000-0005-0000-0000-000060AB0000}"/>
    <cellStyle name="Migliaia 16 3 8" xfId="49065" xr:uid="{00000000-0005-0000-0000-000061AB0000}"/>
    <cellStyle name="Migliaia 16 3 9" xfId="49470" xr:uid="{00000000-0005-0000-0000-000062AB0000}"/>
    <cellStyle name="Migliaia 16 4" xfId="9157" xr:uid="{00000000-0005-0000-0000-000063AB0000}"/>
    <cellStyle name="Migliaia 16 4 2" xfId="17061" xr:uid="{00000000-0005-0000-0000-000064AB0000}"/>
    <cellStyle name="Migliaia 16 4 2 2" xfId="18240" xr:uid="{00000000-0005-0000-0000-000065AB0000}"/>
    <cellStyle name="Migliaia 16 4 2 2 2" xfId="33707" xr:uid="{00000000-0005-0000-0000-000066AB0000}"/>
    <cellStyle name="Migliaia 16 4 2 2 2 2" xfId="55191" xr:uid="{00000000-0005-0000-0000-000067AB0000}"/>
    <cellStyle name="Migliaia 16 4 2 2 3" xfId="48668" xr:uid="{00000000-0005-0000-0000-000068AB0000}"/>
    <cellStyle name="Migliaia 16 4 2 2 3 2" xfId="56113" xr:uid="{00000000-0005-0000-0000-000069AB0000}"/>
    <cellStyle name="Migliaia 16 4 2 2 4" xfId="52836" xr:uid="{00000000-0005-0000-0000-00006AAB0000}"/>
    <cellStyle name="Migliaia 16 4 2 3" xfId="33176" xr:uid="{00000000-0005-0000-0000-00006BAB0000}"/>
    <cellStyle name="Migliaia 16 4 2 3 2" xfId="54763" xr:uid="{00000000-0005-0000-0000-00006CAB0000}"/>
    <cellStyle name="Migliaia 16 4 2 4" xfId="48137" xr:uid="{00000000-0005-0000-0000-00006DAB0000}"/>
    <cellStyle name="Migliaia 16 4 2 4 2" xfId="55582" xr:uid="{00000000-0005-0000-0000-00006EAB0000}"/>
    <cellStyle name="Migliaia 16 4 2 5" xfId="52300" xr:uid="{00000000-0005-0000-0000-00006FAB0000}"/>
    <cellStyle name="Migliaia 16 4 3" xfId="18239" xr:uid="{00000000-0005-0000-0000-000070AB0000}"/>
    <cellStyle name="Migliaia 16 4 3 2" xfId="33706" xr:uid="{00000000-0005-0000-0000-000071AB0000}"/>
    <cellStyle name="Migliaia 16 4 3 2 2" xfId="55190" xr:uid="{00000000-0005-0000-0000-000072AB0000}"/>
    <cellStyle name="Migliaia 16 4 3 3" xfId="48667" xr:uid="{00000000-0005-0000-0000-000073AB0000}"/>
    <cellStyle name="Migliaia 16 4 3 3 2" xfId="56112" xr:uid="{00000000-0005-0000-0000-000074AB0000}"/>
    <cellStyle name="Migliaia 16 4 3 4" xfId="52835" xr:uid="{00000000-0005-0000-0000-000075AB0000}"/>
    <cellStyle name="Migliaia 16 4 4" xfId="17060" xr:uid="{00000000-0005-0000-0000-000076AB0000}"/>
    <cellStyle name="Migliaia 16 4 4 2" xfId="33175" xr:uid="{00000000-0005-0000-0000-000077AB0000}"/>
    <cellStyle name="Migliaia 16 4 4 3" xfId="48136" xr:uid="{00000000-0005-0000-0000-000078AB0000}"/>
    <cellStyle name="Migliaia 16 4 4 4" xfId="54762" xr:uid="{00000000-0005-0000-0000-000079AB0000}"/>
    <cellStyle name="Migliaia 16 4 5" xfId="51262" xr:uid="{00000000-0005-0000-0000-00007AAB0000}"/>
    <cellStyle name="Migliaia 16 4 5 2" xfId="55581" xr:uid="{00000000-0005-0000-0000-00007BAB0000}"/>
    <cellStyle name="Migliaia 16 4 6" xfId="52299" xr:uid="{00000000-0005-0000-0000-00007CAB0000}"/>
    <cellStyle name="Migliaia 16 5" xfId="9158" xr:uid="{00000000-0005-0000-0000-00007DAB0000}"/>
    <cellStyle name="Migliaia 16 5 2" xfId="17062" xr:uid="{00000000-0005-0000-0000-00007EAB0000}"/>
    <cellStyle name="Migliaia 16 5 2 2" xfId="33177" xr:uid="{00000000-0005-0000-0000-00007FAB0000}"/>
    <cellStyle name="Migliaia 16 5 2 3" xfId="48138" xr:uid="{00000000-0005-0000-0000-000080AB0000}"/>
    <cellStyle name="Migliaia 16 5 2 4" xfId="54764" xr:uid="{00000000-0005-0000-0000-000081AB0000}"/>
    <cellStyle name="Migliaia 16 5 3" xfId="50979" xr:uid="{00000000-0005-0000-0000-000082AB0000}"/>
    <cellStyle name="Migliaia 16 5 3 2" xfId="55583" xr:uid="{00000000-0005-0000-0000-000083AB0000}"/>
    <cellStyle name="Migliaia 16 5 4" xfId="52301" xr:uid="{00000000-0005-0000-0000-000084AB0000}"/>
    <cellStyle name="Migliaia 16 6" xfId="9153" xr:uid="{00000000-0005-0000-0000-000085AB0000}"/>
    <cellStyle name="Migliaia 16 6 2" xfId="51056" xr:uid="{00000000-0005-0000-0000-000086AB0000}"/>
    <cellStyle name="Migliaia 16 6 3" xfId="54590" xr:uid="{00000000-0005-0000-0000-000087AB0000}"/>
    <cellStyle name="Migliaia 16 7" xfId="9822" xr:uid="{00000000-0005-0000-0000-000088AB0000}"/>
    <cellStyle name="Migliaia 16 7 2" xfId="26147" xr:uid="{00000000-0005-0000-0000-000089AB0000}"/>
    <cellStyle name="Migliaia 16 7 3" xfId="41125" xr:uid="{00000000-0005-0000-0000-00008AAB0000}"/>
    <cellStyle name="Migliaia 16 7 4" xfId="55576" xr:uid="{00000000-0005-0000-0000-00008BAB0000}"/>
    <cellStyle name="Migliaia 16 8" xfId="17055" xr:uid="{00000000-0005-0000-0000-00008CAB0000}"/>
    <cellStyle name="Migliaia 16 8 2" xfId="33170" xr:uid="{00000000-0005-0000-0000-00008DAB0000}"/>
    <cellStyle name="Migliaia 16 8 3" xfId="48131" xr:uid="{00000000-0005-0000-0000-00008EAB0000}"/>
    <cellStyle name="Migliaia 16 9" xfId="19128" xr:uid="{00000000-0005-0000-0000-00008FAB0000}"/>
    <cellStyle name="Migliaia 17" xfId="315" xr:uid="{00000000-0005-0000-0000-000090AB0000}"/>
    <cellStyle name="Migliaia 17 10" xfId="34127" xr:uid="{00000000-0005-0000-0000-000091AB0000}"/>
    <cellStyle name="Migliaia 17 11" xfId="49067" xr:uid="{00000000-0005-0000-0000-000092AB0000}"/>
    <cellStyle name="Migliaia 17 12" xfId="49472" xr:uid="{00000000-0005-0000-0000-000093AB0000}"/>
    <cellStyle name="Migliaia 17 13" xfId="49878" xr:uid="{00000000-0005-0000-0000-000094AB0000}"/>
    <cellStyle name="Migliaia 17 14" xfId="50286" xr:uid="{00000000-0005-0000-0000-000095AB0000}"/>
    <cellStyle name="Migliaia 17 15" xfId="50728" xr:uid="{00000000-0005-0000-0000-000096AB0000}"/>
    <cellStyle name="Migliaia 17 16" xfId="51447" xr:uid="{00000000-0005-0000-0000-000097AB0000}"/>
    <cellStyle name="Migliaia 17 17" xfId="51859" xr:uid="{00000000-0005-0000-0000-000098AB0000}"/>
    <cellStyle name="Migliaia 17 18" xfId="52302" xr:uid="{00000000-0005-0000-0000-000099AB0000}"/>
    <cellStyle name="Migliaia 17 2" xfId="316" xr:uid="{00000000-0005-0000-0000-00009AAB0000}"/>
    <cellStyle name="Migliaia 17 2 10" xfId="49879" xr:uid="{00000000-0005-0000-0000-00009BAB0000}"/>
    <cellStyle name="Migliaia 17 2 11" xfId="50287" xr:uid="{00000000-0005-0000-0000-00009CAB0000}"/>
    <cellStyle name="Migliaia 17 2 12" xfId="50729" xr:uid="{00000000-0005-0000-0000-00009DAB0000}"/>
    <cellStyle name="Migliaia 17 2 13" xfId="51448" xr:uid="{00000000-0005-0000-0000-00009EAB0000}"/>
    <cellStyle name="Migliaia 17 2 14" xfId="51860" xr:uid="{00000000-0005-0000-0000-00009FAB0000}"/>
    <cellStyle name="Migliaia 17 2 15" xfId="52303" xr:uid="{00000000-0005-0000-0000-0000A0AB0000}"/>
    <cellStyle name="Migliaia 17 2 2" xfId="1251" xr:uid="{00000000-0005-0000-0000-0000A1AB0000}"/>
    <cellStyle name="Migliaia 17 2 2 10" xfId="51103" xr:uid="{00000000-0005-0000-0000-0000A2AB0000}"/>
    <cellStyle name="Migliaia 17 2 2 11" xfId="51699" xr:uid="{00000000-0005-0000-0000-0000A3AB0000}"/>
    <cellStyle name="Migliaia 17 2 2 12" xfId="52119" xr:uid="{00000000-0005-0000-0000-0000A4AB0000}"/>
    <cellStyle name="Migliaia 17 2 2 13" xfId="52837" xr:uid="{00000000-0005-0000-0000-0000A5AB0000}"/>
    <cellStyle name="Migliaia 17 2 2 2" xfId="10078" xr:uid="{00000000-0005-0000-0000-0000A6AB0000}"/>
    <cellStyle name="Migliaia 17 2 2 2 2" xfId="26398" xr:uid="{00000000-0005-0000-0000-0000A7AB0000}"/>
    <cellStyle name="Migliaia 17 2 2 2 3" xfId="41366" xr:uid="{00000000-0005-0000-0000-0000A8AB0000}"/>
    <cellStyle name="Migliaia 17 2 2 2 4" xfId="55192" xr:uid="{00000000-0005-0000-0000-0000A9AB0000}"/>
    <cellStyle name="Migliaia 17 2 2 3" xfId="18241" xr:uid="{00000000-0005-0000-0000-0000AAAB0000}"/>
    <cellStyle name="Migliaia 17 2 2 3 2" xfId="33708" xr:uid="{00000000-0005-0000-0000-0000ABAB0000}"/>
    <cellStyle name="Migliaia 17 2 2 3 3" xfId="48669" xr:uid="{00000000-0005-0000-0000-0000ACAB0000}"/>
    <cellStyle name="Migliaia 17 2 2 3 4" xfId="56114" xr:uid="{00000000-0005-0000-0000-0000ADAB0000}"/>
    <cellStyle name="Migliaia 17 2 2 4" xfId="19377" xr:uid="{00000000-0005-0000-0000-0000AEAB0000}"/>
    <cellStyle name="Migliaia 17 2 2 5" xfId="34367" xr:uid="{00000000-0005-0000-0000-0000AFAB0000}"/>
    <cellStyle name="Migliaia 17 2 2 6" xfId="49319" xr:uid="{00000000-0005-0000-0000-0000B0AB0000}"/>
    <cellStyle name="Migliaia 17 2 2 7" xfId="49724" xr:uid="{00000000-0005-0000-0000-0000B1AB0000}"/>
    <cellStyle name="Migliaia 17 2 2 8" xfId="50133" xr:uid="{00000000-0005-0000-0000-0000B2AB0000}"/>
    <cellStyle name="Migliaia 17 2 2 9" xfId="50538" xr:uid="{00000000-0005-0000-0000-0000B3AB0000}"/>
    <cellStyle name="Migliaia 17 2 3" xfId="9160" xr:uid="{00000000-0005-0000-0000-0000B4AB0000}"/>
    <cellStyle name="Migliaia 17 2 3 2" xfId="54658" xr:uid="{00000000-0005-0000-0000-0000B5AB0000}"/>
    <cellStyle name="Migliaia 17 2 4" xfId="9827" xr:uid="{00000000-0005-0000-0000-0000B6AB0000}"/>
    <cellStyle name="Migliaia 17 2 4 2" xfId="26152" xr:uid="{00000000-0005-0000-0000-0000B7AB0000}"/>
    <cellStyle name="Migliaia 17 2 4 3" xfId="41130" xr:uid="{00000000-0005-0000-0000-0000B8AB0000}"/>
    <cellStyle name="Migliaia 17 2 4 4" xfId="55585" xr:uid="{00000000-0005-0000-0000-0000B9AB0000}"/>
    <cellStyle name="Migliaia 17 2 5" xfId="17064" xr:uid="{00000000-0005-0000-0000-0000BAAB0000}"/>
    <cellStyle name="Migliaia 17 2 5 2" xfId="33179" xr:uid="{00000000-0005-0000-0000-0000BBAB0000}"/>
    <cellStyle name="Migliaia 17 2 5 3" xfId="48140" xr:uid="{00000000-0005-0000-0000-0000BCAB0000}"/>
    <cellStyle name="Migliaia 17 2 6" xfId="19133" xr:uid="{00000000-0005-0000-0000-0000BDAB0000}"/>
    <cellStyle name="Migliaia 17 2 7" xfId="34128" xr:uid="{00000000-0005-0000-0000-0000BEAB0000}"/>
    <cellStyle name="Migliaia 17 2 8" xfId="49068" xr:uid="{00000000-0005-0000-0000-0000BFAB0000}"/>
    <cellStyle name="Migliaia 17 2 9" xfId="49473" xr:uid="{00000000-0005-0000-0000-0000C0AB0000}"/>
    <cellStyle name="Migliaia 17 3" xfId="317" xr:uid="{00000000-0005-0000-0000-0000C1AB0000}"/>
    <cellStyle name="Migliaia 17 3 10" xfId="49880" xr:uid="{00000000-0005-0000-0000-0000C2AB0000}"/>
    <cellStyle name="Migliaia 17 3 11" xfId="50288" xr:uid="{00000000-0005-0000-0000-0000C3AB0000}"/>
    <cellStyle name="Migliaia 17 3 12" xfId="50730" xr:uid="{00000000-0005-0000-0000-0000C4AB0000}"/>
    <cellStyle name="Migliaia 17 3 13" xfId="51449" xr:uid="{00000000-0005-0000-0000-0000C5AB0000}"/>
    <cellStyle name="Migliaia 17 3 14" xfId="51861" xr:uid="{00000000-0005-0000-0000-0000C6AB0000}"/>
    <cellStyle name="Migliaia 17 3 15" xfId="52304" xr:uid="{00000000-0005-0000-0000-0000C7AB0000}"/>
    <cellStyle name="Migliaia 17 3 2" xfId="318" xr:uid="{00000000-0005-0000-0000-0000C8AB0000}"/>
    <cellStyle name="Migliaia 17 3 2 10" xfId="50289" xr:uid="{00000000-0005-0000-0000-0000C9AB0000}"/>
    <cellStyle name="Migliaia 17 3 2 11" xfId="50731" xr:uid="{00000000-0005-0000-0000-0000CAAB0000}"/>
    <cellStyle name="Migliaia 17 3 2 12" xfId="51450" xr:uid="{00000000-0005-0000-0000-0000CBAB0000}"/>
    <cellStyle name="Migliaia 17 3 2 13" xfId="51862" xr:uid="{00000000-0005-0000-0000-0000CCAB0000}"/>
    <cellStyle name="Migliaia 17 3 2 14" xfId="52305" xr:uid="{00000000-0005-0000-0000-0000CDAB0000}"/>
    <cellStyle name="Migliaia 17 3 2 2" xfId="9162" xr:uid="{00000000-0005-0000-0000-0000CEAB0000}"/>
    <cellStyle name="Migliaia 17 3 2 2 2" xfId="54766" xr:uid="{00000000-0005-0000-0000-0000CFAB0000}"/>
    <cellStyle name="Migliaia 17 3 2 3" xfId="9829" xr:uid="{00000000-0005-0000-0000-0000D0AB0000}"/>
    <cellStyle name="Migliaia 17 3 2 3 2" xfId="26154" xr:uid="{00000000-0005-0000-0000-0000D1AB0000}"/>
    <cellStyle name="Migliaia 17 3 2 3 3" xfId="41132" xr:uid="{00000000-0005-0000-0000-0000D2AB0000}"/>
    <cellStyle name="Migliaia 17 3 2 3 4" xfId="55587" xr:uid="{00000000-0005-0000-0000-0000D3AB0000}"/>
    <cellStyle name="Migliaia 17 3 2 4" xfId="17066" xr:uid="{00000000-0005-0000-0000-0000D4AB0000}"/>
    <cellStyle name="Migliaia 17 3 2 4 2" xfId="33181" xr:uid="{00000000-0005-0000-0000-0000D5AB0000}"/>
    <cellStyle name="Migliaia 17 3 2 4 3" xfId="48142" xr:uid="{00000000-0005-0000-0000-0000D6AB0000}"/>
    <cellStyle name="Migliaia 17 3 2 5" xfId="19135" xr:uid="{00000000-0005-0000-0000-0000D7AB0000}"/>
    <cellStyle name="Migliaia 17 3 2 6" xfId="34130" xr:uid="{00000000-0005-0000-0000-0000D8AB0000}"/>
    <cellStyle name="Migliaia 17 3 2 7" xfId="49070" xr:uid="{00000000-0005-0000-0000-0000D9AB0000}"/>
    <cellStyle name="Migliaia 17 3 2 8" xfId="49475" xr:uid="{00000000-0005-0000-0000-0000DAAB0000}"/>
    <cellStyle name="Migliaia 17 3 2 9" xfId="49881" xr:uid="{00000000-0005-0000-0000-0000DBAB0000}"/>
    <cellStyle name="Migliaia 17 3 3" xfId="9161" xr:uid="{00000000-0005-0000-0000-0000DCAB0000}"/>
    <cellStyle name="Migliaia 17 3 3 2" xfId="18243" xr:uid="{00000000-0005-0000-0000-0000DDAB0000}"/>
    <cellStyle name="Migliaia 17 3 3 2 2" xfId="33710" xr:uid="{00000000-0005-0000-0000-0000DEAB0000}"/>
    <cellStyle name="Migliaia 17 3 3 2 2 2" xfId="55194" xr:uid="{00000000-0005-0000-0000-0000DFAB0000}"/>
    <cellStyle name="Migliaia 17 3 3 2 3" xfId="48671" xr:uid="{00000000-0005-0000-0000-0000E0AB0000}"/>
    <cellStyle name="Migliaia 17 3 3 2 3 2" xfId="56116" xr:uid="{00000000-0005-0000-0000-0000E1AB0000}"/>
    <cellStyle name="Migliaia 17 3 3 2 4" xfId="52839" xr:uid="{00000000-0005-0000-0000-0000E2AB0000}"/>
    <cellStyle name="Migliaia 17 3 3 3" xfId="17067" xr:uid="{00000000-0005-0000-0000-0000E3AB0000}"/>
    <cellStyle name="Migliaia 17 3 3 3 2" xfId="33182" xr:uid="{00000000-0005-0000-0000-0000E4AB0000}"/>
    <cellStyle name="Migliaia 17 3 3 3 3" xfId="48143" xr:uid="{00000000-0005-0000-0000-0000E5AB0000}"/>
    <cellStyle name="Migliaia 17 3 3 3 4" xfId="54767" xr:uid="{00000000-0005-0000-0000-0000E6AB0000}"/>
    <cellStyle name="Migliaia 17 3 3 4" xfId="55588" xr:uid="{00000000-0005-0000-0000-0000E7AB0000}"/>
    <cellStyle name="Migliaia 17 3 3 5" xfId="52306" xr:uid="{00000000-0005-0000-0000-0000E8AB0000}"/>
    <cellStyle name="Migliaia 17 3 4" xfId="9828" xr:uid="{00000000-0005-0000-0000-0000E9AB0000}"/>
    <cellStyle name="Migliaia 17 3 4 2" xfId="18242" xr:uid="{00000000-0005-0000-0000-0000EAAB0000}"/>
    <cellStyle name="Migliaia 17 3 4 2 2" xfId="33709" xr:uid="{00000000-0005-0000-0000-0000EBAB0000}"/>
    <cellStyle name="Migliaia 17 3 4 2 3" xfId="48670" xr:uid="{00000000-0005-0000-0000-0000ECAB0000}"/>
    <cellStyle name="Migliaia 17 3 4 2 4" xfId="55193" xr:uid="{00000000-0005-0000-0000-0000EDAB0000}"/>
    <cellStyle name="Migliaia 17 3 4 3" xfId="26153" xr:uid="{00000000-0005-0000-0000-0000EEAB0000}"/>
    <cellStyle name="Migliaia 17 3 4 3 2" xfId="56115" xr:uid="{00000000-0005-0000-0000-0000EFAB0000}"/>
    <cellStyle name="Migliaia 17 3 4 4" xfId="41131" xr:uid="{00000000-0005-0000-0000-0000F0AB0000}"/>
    <cellStyle name="Migliaia 17 3 4 5" xfId="52838" xr:uid="{00000000-0005-0000-0000-0000F1AB0000}"/>
    <cellStyle name="Migliaia 17 3 5" xfId="17065" xr:uid="{00000000-0005-0000-0000-0000F2AB0000}"/>
    <cellStyle name="Migliaia 17 3 5 2" xfId="33180" xr:uid="{00000000-0005-0000-0000-0000F3AB0000}"/>
    <cellStyle name="Migliaia 17 3 5 3" xfId="48141" xr:uid="{00000000-0005-0000-0000-0000F4AB0000}"/>
    <cellStyle name="Migliaia 17 3 5 4" xfId="54765" xr:uid="{00000000-0005-0000-0000-0000F5AB0000}"/>
    <cellStyle name="Migliaia 17 3 6" xfId="19134" xr:uid="{00000000-0005-0000-0000-0000F6AB0000}"/>
    <cellStyle name="Migliaia 17 3 6 2" xfId="55586" xr:uid="{00000000-0005-0000-0000-0000F7AB0000}"/>
    <cellStyle name="Migliaia 17 3 7" xfId="34129" xr:uid="{00000000-0005-0000-0000-0000F8AB0000}"/>
    <cellStyle name="Migliaia 17 3 8" xfId="49069" xr:uid="{00000000-0005-0000-0000-0000F9AB0000}"/>
    <cellStyle name="Migliaia 17 3 9" xfId="49474" xr:uid="{00000000-0005-0000-0000-0000FAAB0000}"/>
    <cellStyle name="Migliaia 17 4" xfId="9163" xr:uid="{00000000-0005-0000-0000-0000FBAB0000}"/>
    <cellStyle name="Migliaia 17 4 2" xfId="17069" xr:uid="{00000000-0005-0000-0000-0000FCAB0000}"/>
    <cellStyle name="Migliaia 17 4 2 2" xfId="18245" xr:uid="{00000000-0005-0000-0000-0000FDAB0000}"/>
    <cellStyle name="Migliaia 17 4 2 2 2" xfId="33712" xr:uid="{00000000-0005-0000-0000-0000FEAB0000}"/>
    <cellStyle name="Migliaia 17 4 2 2 2 2" xfId="55196" xr:uid="{00000000-0005-0000-0000-0000FFAB0000}"/>
    <cellStyle name="Migliaia 17 4 2 2 3" xfId="48673" xr:uid="{00000000-0005-0000-0000-000000AC0000}"/>
    <cellStyle name="Migliaia 17 4 2 2 3 2" xfId="56118" xr:uid="{00000000-0005-0000-0000-000001AC0000}"/>
    <cellStyle name="Migliaia 17 4 2 2 4" xfId="52841" xr:uid="{00000000-0005-0000-0000-000002AC0000}"/>
    <cellStyle name="Migliaia 17 4 2 3" xfId="33184" xr:uid="{00000000-0005-0000-0000-000003AC0000}"/>
    <cellStyle name="Migliaia 17 4 2 3 2" xfId="54769" xr:uid="{00000000-0005-0000-0000-000004AC0000}"/>
    <cellStyle name="Migliaia 17 4 2 4" xfId="48145" xr:uid="{00000000-0005-0000-0000-000005AC0000}"/>
    <cellStyle name="Migliaia 17 4 2 4 2" xfId="55590" xr:uid="{00000000-0005-0000-0000-000006AC0000}"/>
    <cellStyle name="Migliaia 17 4 2 5" xfId="52308" xr:uid="{00000000-0005-0000-0000-000007AC0000}"/>
    <cellStyle name="Migliaia 17 4 3" xfId="18244" xr:uid="{00000000-0005-0000-0000-000008AC0000}"/>
    <cellStyle name="Migliaia 17 4 3 2" xfId="33711" xr:uid="{00000000-0005-0000-0000-000009AC0000}"/>
    <cellStyle name="Migliaia 17 4 3 2 2" xfId="55195" xr:uid="{00000000-0005-0000-0000-00000AAC0000}"/>
    <cellStyle name="Migliaia 17 4 3 3" xfId="48672" xr:uid="{00000000-0005-0000-0000-00000BAC0000}"/>
    <cellStyle name="Migliaia 17 4 3 3 2" xfId="56117" xr:uid="{00000000-0005-0000-0000-00000CAC0000}"/>
    <cellStyle name="Migliaia 17 4 3 4" xfId="52840" xr:uid="{00000000-0005-0000-0000-00000DAC0000}"/>
    <cellStyle name="Migliaia 17 4 4" xfId="17068" xr:uid="{00000000-0005-0000-0000-00000EAC0000}"/>
    <cellStyle name="Migliaia 17 4 4 2" xfId="33183" xr:uid="{00000000-0005-0000-0000-00000FAC0000}"/>
    <cellStyle name="Migliaia 17 4 4 3" xfId="48144" xr:uid="{00000000-0005-0000-0000-000010AC0000}"/>
    <cellStyle name="Migliaia 17 4 4 4" xfId="54768" xr:uid="{00000000-0005-0000-0000-000011AC0000}"/>
    <cellStyle name="Migliaia 17 4 5" xfId="51055" xr:uid="{00000000-0005-0000-0000-000012AC0000}"/>
    <cellStyle name="Migliaia 17 4 5 2" xfId="55589" xr:uid="{00000000-0005-0000-0000-000013AC0000}"/>
    <cellStyle name="Migliaia 17 4 6" xfId="52307" xr:uid="{00000000-0005-0000-0000-000014AC0000}"/>
    <cellStyle name="Migliaia 17 5" xfId="9164" xr:uid="{00000000-0005-0000-0000-000015AC0000}"/>
    <cellStyle name="Migliaia 17 5 2" xfId="17070" xr:uid="{00000000-0005-0000-0000-000016AC0000}"/>
    <cellStyle name="Migliaia 17 5 2 2" xfId="33185" xr:uid="{00000000-0005-0000-0000-000017AC0000}"/>
    <cellStyle name="Migliaia 17 5 2 3" xfId="48146" xr:uid="{00000000-0005-0000-0000-000018AC0000}"/>
    <cellStyle name="Migliaia 17 5 2 4" xfId="54770" xr:uid="{00000000-0005-0000-0000-000019AC0000}"/>
    <cellStyle name="Migliaia 17 5 3" xfId="51198" xr:uid="{00000000-0005-0000-0000-00001AAC0000}"/>
    <cellStyle name="Migliaia 17 5 3 2" xfId="55591" xr:uid="{00000000-0005-0000-0000-00001BAC0000}"/>
    <cellStyle name="Migliaia 17 5 4" xfId="52309" xr:uid="{00000000-0005-0000-0000-00001CAC0000}"/>
    <cellStyle name="Migliaia 17 6" xfId="9159" xr:uid="{00000000-0005-0000-0000-00001DAC0000}"/>
    <cellStyle name="Migliaia 17 6 2" xfId="51264" xr:uid="{00000000-0005-0000-0000-00001EAC0000}"/>
    <cellStyle name="Migliaia 17 6 3" xfId="54591" xr:uid="{00000000-0005-0000-0000-00001FAC0000}"/>
    <cellStyle name="Migliaia 17 7" xfId="9826" xr:uid="{00000000-0005-0000-0000-000020AC0000}"/>
    <cellStyle name="Migliaia 17 7 2" xfId="26151" xr:uid="{00000000-0005-0000-0000-000021AC0000}"/>
    <cellStyle name="Migliaia 17 7 3" xfId="41129" xr:uid="{00000000-0005-0000-0000-000022AC0000}"/>
    <cellStyle name="Migliaia 17 7 4" xfId="55584" xr:uid="{00000000-0005-0000-0000-000023AC0000}"/>
    <cellStyle name="Migliaia 17 8" xfId="17063" xr:uid="{00000000-0005-0000-0000-000024AC0000}"/>
    <cellStyle name="Migliaia 17 8 2" xfId="33178" xr:uid="{00000000-0005-0000-0000-000025AC0000}"/>
    <cellStyle name="Migliaia 17 8 3" xfId="48139" xr:uid="{00000000-0005-0000-0000-000026AC0000}"/>
    <cellStyle name="Migliaia 17 9" xfId="19132" xr:uid="{00000000-0005-0000-0000-000027AC0000}"/>
    <cellStyle name="Migliaia 18" xfId="319" xr:uid="{00000000-0005-0000-0000-000028AC0000}"/>
    <cellStyle name="Migliaia 18 10" xfId="34131" xr:uid="{00000000-0005-0000-0000-000029AC0000}"/>
    <cellStyle name="Migliaia 18 11" xfId="49071" xr:uid="{00000000-0005-0000-0000-00002AAC0000}"/>
    <cellStyle name="Migliaia 18 12" xfId="49476" xr:uid="{00000000-0005-0000-0000-00002BAC0000}"/>
    <cellStyle name="Migliaia 18 13" xfId="49882" xr:uid="{00000000-0005-0000-0000-00002CAC0000}"/>
    <cellStyle name="Migliaia 18 14" xfId="50290" xr:uid="{00000000-0005-0000-0000-00002DAC0000}"/>
    <cellStyle name="Migliaia 18 15" xfId="50732" xr:uid="{00000000-0005-0000-0000-00002EAC0000}"/>
    <cellStyle name="Migliaia 18 16" xfId="51451" xr:uid="{00000000-0005-0000-0000-00002FAC0000}"/>
    <cellStyle name="Migliaia 18 17" xfId="51863" xr:uid="{00000000-0005-0000-0000-000030AC0000}"/>
    <cellStyle name="Migliaia 18 18" xfId="52310" xr:uid="{00000000-0005-0000-0000-000031AC0000}"/>
    <cellStyle name="Migliaia 18 2" xfId="320" xr:uid="{00000000-0005-0000-0000-000032AC0000}"/>
    <cellStyle name="Migliaia 18 2 10" xfId="49883" xr:uid="{00000000-0005-0000-0000-000033AC0000}"/>
    <cellStyle name="Migliaia 18 2 11" xfId="50291" xr:uid="{00000000-0005-0000-0000-000034AC0000}"/>
    <cellStyle name="Migliaia 18 2 12" xfId="50733" xr:uid="{00000000-0005-0000-0000-000035AC0000}"/>
    <cellStyle name="Migliaia 18 2 13" xfId="51452" xr:uid="{00000000-0005-0000-0000-000036AC0000}"/>
    <cellStyle name="Migliaia 18 2 14" xfId="51864" xr:uid="{00000000-0005-0000-0000-000037AC0000}"/>
    <cellStyle name="Migliaia 18 2 15" xfId="52311" xr:uid="{00000000-0005-0000-0000-000038AC0000}"/>
    <cellStyle name="Migliaia 18 2 2" xfId="1252" xr:uid="{00000000-0005-0000-0000-000039AC0000}"/>
    <cellStyle name="Migliaia 18 2 2 10" xfId="51104" xr:uid="{00000000-0005-0000-0000-00003AAC0000}"/>
    <cellStyle name="Migliaia 18 2 2 11" xfId="51700" xr:uid="{00000000-0005-0000-0000-00003BAC0000}"/>
    <cellStyle name="Migliaia 18 2 2 12" xfId="52120" xr:uid="{00000000-0005-0000-0000-00003CAC0000}"/>
    <cellStyle name="Migliaia 18 2 2 13" xfId="52842" xr:uid="{00000000-0005-0000-0000-00003DAC0000}"/>
    <cellStyle name="Migliaia 18 2 2 2" xfId="10079" xr:uid="{00000000-0005-0000-0000-00003EAC0000}"/>
    <cellStyle name="Migliaia 18 2 2 2 2" xfId="26399" xr:uid="{00000000-0005-0000-0000-00003FAC0000}"/>
    <cellStyle name="Migliaia 18 2 2 2 3" xfId="41367" xr:uid="{00000000-0005-0000-0000-000040AC0000}"/>
    <cellStyle name="Migliaia 18 2 2 2 4" xfId="55197" xr:uid="{00000000-0005-0000-0000-000041AC0000}"/>
    <cellStyle name="Migliaia 18 2 2 3" xfId="18246" xr:uid="{00000000-0005-0000-0000-000042AC0000}"/>
    <cellStyle name="Migliaia 18 2 2 3 2" xfId="33713" xr:uid="{00000000-0005-0000-0000-000043AC0000}"/>
    <cellStyle name="Migliaia 18 2 2 3 3" xfId="48674" xr:uid="{00000000-0005-0000-0000-000044AC0000}"/>
    <cellStyle name="Migliaia 18 2 2 3 4" xfId="56119" xr:uid="{00000000-0005-0000-0000-000045AC0000}"/>
    <cellStyle name="Migliaia 18 2 2 4" xfId="19378" xr:uid="{00000000-0005-0000-0000-000046AC0000}"/>
    <cellStyle name="Migliaia 18 2 2 5" xfId="34368" xr:uid="{00000000-0005-0000-0000-000047AC0000}"/>
    <cellStyle name="Migliaia 18 2 2 6" xfId="49320" xr:uid="{00000000-0005-0000-0000-000048AC0000}"/>
    <cellStyle name="Migliaia 18 2 2 7" xfId="49725" xr:uid="{00000000-0005-0000-0000-000049AC0000}"/>
    <cellStyle name="Migliaia 18 2 2 8" xfId="50134" xr:uid="{00000000-0005-0000-0000-00004AAC0000}"/>
    <cellStyle name="Migliaia 18 2 2 9" xfId="50539" xr:uid="{00000000-0005-0000-0000-00004BAC0000}"/>
    <cellStyle name="Migliaia 18 2 3" xfId="9166" xr:uid="{00000000-0005-0000-0000-00004CAC0000}"/>
    <cellStyle name="Migliaia 18 2 3 2" xfId="54659" xr:uid="{00000000-0005-0000-0000-00004DAC0000}"/>
    <cellStyle name="Migliaia 18 2 4" xfId="9831" xr:uid="{00000000-0005-0000-0000-00004EAC0000}"/>
    <cellStyle name="Migliaia 18 2 4 2" xfId="26156" xr:uid="{00000000-0005-0000-0000-00004FAC0000}"/>
    <cellStyle name="Migliaia 18 2 4 3" xfId="41134" xr:uid="{00000000-0005-0000-0000-000050AC0000}"/>
    <cellStyle name="Migliaia 18 2 4 4" xfId="55593" xr:uid="{00000000-0005-0000-0000-000051AC0000}"/>
    <cellStyle name="Migliaia 18 2 5" xfId="17072" xr:uid="{00000000-0005-0000-0000-000052AC0000}"/>
    <cellStyle name="Migliaia 18 2 5 2" xfId="33187" xr:uid="{00000000-0005-0000-0000-000053AC0000}"/>
    <cellStyle name="Migliaia 18 2 5 3" xfId="48148" xr:uid="{00000000-0005-0000-0000-000054AC0000}"/>
    <cellStyle name="Migliaia 18 2 6" xfId="19137" xr:uid="{00000000-0005-0000-0000-000055AC0000}"/>
    <cellStyle name="Migliaia 18 2 7" xfId="34132" xr:uid="{00000000-0005-0000-0000-000056AC0000}"/>
    <cellStyle name="Migliaia 18 2 8" xfId="49072" xr:uid="{00000000-0005-0000-0000-000057AC0000}"/>
    <cellStyle name="Migliaia 18 2 9" xfId="49477" xr:uid="{00000000-0005-0000-0000-000058AC0000}"/>
    <cellStyle name="Migliaia 18 3" xfId="321" xr:uid="{00000000-0005-0000-0000-000059AC0000}"/>
    <cellStyle name="Migliaia 18 3 10" xfId="49884" xr:uid="{00000000-0005-0000-0000-00005AAC0000}"/>
    <cellStyle name="Migliaia 18 3 11" xfId="50292" xr:uid="{00000000-0005-0000-0000-00005BAC0000}"/>
    <cellStyle name="Migliaia 18 3 12" xfId="50734" xr:uid="{00000000-0005-0000-0000-00005CAC0000}"/>
    <cellStyle name="Migliaia 18 3 13" xfId="51453" xr:uid="{00000000-0005-0000-0000-00005DAC0000}"/>
    <cellStyle name="Migliaia 18 3 14" xfId="51865" xr:uid="{00000000-0005-0000-0000-00005EAC0000}"/>
    <cellStyle name="Migliaia 18 3 15" xfId="52312" xr:uid="{00000000-0005-0000-0000-00005FAC0000}"/>
    <cellStyle name="Migliaia 18 3 2" xfId="322" xr:uid="{00000000-0005-0000-0000-000060AC0000}"/>
    <cellStyle name="Migliaia 18 3 2 10" xfId="50293" xr:uid="{00000000-0005-0000-0000-000061AC0000}"/>
    <cellStyle name="Migliaia 18 3 2 11" xfId="50735" xr:uid="{00000000-0005-0000-0000-000062AC0000}"/>
    <cellStyle name="Migliaia 18 3 2 12" xfId="51454" xr:uid="{00000000-0005-0000-0000-000063AC0000}"/>
    <cellStyle name="Migliaia 18 3 2 13" xfId="51866" xr:uid="{00000000-0005-0000-0000-000064AC0000}"/>
    <cellStyle name="Migliaia 18 3 2 14" xfId="52313" xr:uid="{00000000-0005-0000-0000-000065AC0000}"/>
    <cellStyle name="Migliaia 18 3 2 2" xfId="9168" xr:uid="{00000000-0005-0000-0000-000066AC0000}"/>
    <cellStyle name="Migliaia 18 3 2 2 2" xfId="54772" xr:uid="{00000000-0005-0000-0000-000067AC0000}"/>
    <cellStyle name="Migliaia 18 3 2 3" xfId="9833" xr:uid="{00000000-0005-0000-0000-000068AC0000}"/>
    <cellStyle name="Migliaia 18 3 2 3 2" xfId="26158" xr:uid="{00000000-0005-0000-0000-000069AC0000}"/>
    <cellStyle name="Migliaia 18 3 2 3 3" xfId="41136" xr:uid="{00000000-0005-0000-0000-00006AAC0000}"/>
    <cellStyle name="Migliaia 18 3 2 3 4" xfId="55595" xr:uid="{00000000-0005-0000-0000-00006BAC0000}"/>
    <cellStyle name="Migliaia 18 3 2 4" xfId="17074" xr:uid="{00000000-0005-0000-0000-00006CAC0000}"/>
    <cellStyle name="Migliaia 18 3 2 4 2" xfId="33189" xr:uid="{00000000-0005-0000-0000-00006DAC0000}"/>
    <cellStyle name="Migliaia 18 3 2 4 3" xfId="48150" xr:uid="{00000000-0005-0000-0000-00006EAC0000}"/>
    <cellStyle name="Migliaia 18 3 2 5" xfId="19139" xr:uid="{00000000-0005-0000-0000-00006FAC0000}"/>
    <cellStyle name="Migliaia 18 3 2 6" xfId="34134" xr:uid="{00000000-0005-0000-0000-000070AC0000}"/>
    <cellStyle name="Migliaia 18 3 2 7" xfId="49074" xr:uid="{00000000-0005-0000-0000-000071AC0000}"/>
    <cellStyle name="Migliaia 18 3 2 8" xfId="49479" xr:uid="{00000000-0005-0000-0000-000072AC0000}"/>
    <cellStyle name="Migliaia 18 3 2 9" xfId="49885" xr:uid="{00000000-0005-0000-0000-000073AC0000}"/>
    <cellStyle name="Migliaia 18 3 3" xfId="9167" xr:uid="{00000000-0005-0000-0000-000074AC0000}"/>
    <cellStyle name="Migliaia 18 3 3 2" xfId="18248" xr:uid="{00000000-0005-0000-0000-000075AC0000}"/>
    <cellStyle name="Migliaia 18 3 3 2 2" xfId="33715" xr:uid="{00000000-0005-0000-0000-000076AC0000}"/>
    <cellStyle name="Migliaia 18 3 3 2 2 2" xfId="55199" xr:uid="{00000000-0005-0000-0000-000077AC0000}"/>
    <cellStyle name="Migliaia 18 3 3 2 3" xfId="48676" xr:uid="{00000000-0005-0000-0000-000078AC0000}"/>
    <cellStyle name="Migliaia 18 3 3 2 3 2" xfId="56121" xr:uid="{00000000-0005-0000-0000-000079AC0000}"/>
    <cellStyle name="Migliaia 18 3 3 2 4" xfId="52844" xr:uid="{00000000-0005-0000-0000-00007AAC0000}"/>
    <cellStyle name="Migliaia 18 3 3 3" xfId="17075" xr:uid="{00000000-0005-0000-0000-00007BAC0000}"/>
    <cellStyle name="Migliaia 18 3 3 3 2" xfId="33190" xr:uid="{00000000-0005-0000-0000-00007CAC0000}"/>
    <cellStyle name="Migliaia 18 3 3 3 3" xfId="48151" xr:uid="{00000000-0005-0000-0000-00007DAC0000}"/>
    <cellStyle name="Migliaia 18 3 3 3 4" xfId="54773" xr:uid="{00000000-0005-0000-0000-00007EAC0000}"/>
    <cellStyle name="Migliaia 18 3 3 4" xfId="55596" xr:uid="{00000000-0005-0000-0000-00007FAC0000}"/>
    <cellStyle name="Migliaia 18 3 3 5" xfId="52314" xr:uid="{00000000-0005-0000-0000-000080AC0000}"/>
    <cellStyle name="Migliaia 18 3 4" xfId="9832" xr:uid="{00000000-0005-0000-0000-000081AC0000}"/>
    <cellStyle name="Migliaia 18 3 4 2" xfId="18247" xr:uid="{00000000-0005-0000-0000-000082AC0000}"/>
    <cellStyle name="Migliaia 18 3 4 2 2" xfId="33714" xr:uid="{00000000-0005-0000-0000-000083AC0000}"/>
    <cellStyle name="Migliaia 18 3 4 2 3" xfId="48675" xr:uid="{00000000-0005-0000-0000-000084AC0000}"/>
    <cellStyle name="Migliaia 18 3 4 2 4" xfId="55198" xr:uid="{00000000-0005-0000-0000-000085AC0000}"/>
    <cellStyle name="Migliaia 18 3 4 3" xfId="26157" xr:uid="{00000000-0005-0000-0000-000086AC0000}"/>
    <cellStyle name="Migliaia 18 3 4 3 2" xfId="56120" xr:uid="{00000000-0005-0000-0000-000087AC0000}"/>
    <cellStyle name="Migliaia 18 3 4 4" xfId="41135" xr:uid="{00000000-0005-0000-0000-000088AC0000}"/>
    <cellStyle name="Migliaia 18 3 4 5" xfId="52843" xr:uid="{00000000-0005-0000-0000-000089AC0000}"/>
    <cellStyle name="Migliaia 18 3 5" xfId="17073" xr:uid="{00000000-0005-0000-0000-00008AAC0000}"/>
    <cellStyle name="Migliaia 18 3 5 2" xfId="33188" xr:uid="{00000000-0005-0000-0000-00008BAC0000}"/>
    <cellStyle name="Migliaia 18 3 5 3" xfId="48149" xr:uid="{00000000-0005-0000-0000-00008CAC0000}"/>
    <cellStyle name="Migliaia 18 3 5 4" xfId="54771" xr:uid="{00000000-0005-0000-0000-00008DAC0000}"/>
    <cellStyle name="Migliaia 18 3 6" xfId="19138" xr:uid="{00000000-0005-0000-0000-00008EAC0000}"/>
    <cellStyle name="Migliaia 18 3 6 2" xfId="55594" xr:uid="{00000000-0005-0000-0000-00008FAC0000}"/>
    <cellStyle name="Migliaia 18 3 7" xfId="34133" xr:uid="{00000000-0005-0000-0000-000090AC0000}"/>
    <cellStyle name="Migliaia 18 3 8" xfId="49073" xr:uid="{00000000-0005-0000-0000-000091AC0000}"/>
    <cellStyle name="Migliaia 18 3 9" xfId="49478" xr:uid="{00000000-0005-0000-0000-000092AC0000}"/>
    <cellStyle name="Migliaia 18 4" xfId="9169" xr:uid="{00000000-0005-0000-0000-000093AC0000}"/>
    <cellStyle name="Migliaia 18 4 2" xfId="17077" xr:uid="{00000000-0005-0000-0000-000094AC0000}"/>
    <cellStyle name="Migliaia 18 4 2 2" xfId="18250" xr:uid="{00000000-0005-0000-0000-000095AC0000}"/>
    <cellStyle name="Migliaia 18 4 2 2 2" xfId="33717" xr:uid="{00000000-0005-0000-0000-000096AC0000}"/>
    <cellStyle name="Migliaia 18 4 2 2 2 2" xfId="55201" xr:uid="{00000000-0005-0000-0000-000097AC0000}"/>
    <cellStyle name="Migliaia 18 4 2 2 3" xfId="48678" xr:uid="{00000000-0005-0000-0000-000098AC0000}"/>
    <cellStyle name="Migliaia 18 4 2 2 3 2" xfId="56123" xr:uid="{00000000-0005-0000-0000-000099AC0000}"/>
    <cellStyle name="Migliaia 18 4 2 2 4" xfId="52846" xr:uid="{00000000-0005-0000-0000-00009AAC0000}"/>
    <cellStyle name="Migliaia 18 4 2 3" xfId="33192" xr:uid="{00000000-0005-0000-0000-00009BAC0000}"/>
    <cellStyle name="Migliaia 18 4 2 3 2" xfId="54775" xr:uid="{00000000-0005-0000-0000-00009CAC0000}"/>
    <cellStyle name="Migliaia 18 4 2 4" xfId="48153" xr:uid="{00000000-0005-0000-0000-00009DAC0000}"/>
    <cellStyle name="Migliaia 18 4 2 4 2" xfId="55598" xr:uid="{00000000-0005-0000-0000-00009EAC0000}"/>
    <cellStyle name="Migliaia 18 4 2 5" xfId="52316" xr:uid="{00000000-0005-0000-0000-00009FAC0000}"/>
    <cellStyle name="Migliaia 18 4 3" xfId="18249" xr:uid="{00000000-0005-0000-0000-0000A0AC0000}"/>
    <cellStyle name="Migliaia 18 4 3 2" xfId="33716" xr:uid="{00000000-0005-0000-0000-0000A1AC0000}"/>
    <cellStyle name="Migliaia 18 4 3 2 2" xfId="55200" xr:uid="{00000000-0005-0000-0000-0000A2AC0000}"/>
    <cellStyle name="Migliaia 18 4 3 3" xfId="48677" xr:uid="{00000000-0005-0000-0000-0000A3AC0000}"/>
    <cellStyle name="Migliaia 18 4 3 3 2" xfId="56122" xr:uid="{00000000-0005-0000-0000-0000A4AC0000}"/>
    <cellStyle name="Migliaia 18 4 3 4" xfId="52845" xr:uid="{00000000-0005-0000-0000-0000A5AC0000}"/>
    <cellStyle name="Migliaia 18 4 4" xfId="17076" xr:uid="{00000000-0005-0000-0000-0000A6AC0000}"/>
    <cellStyle name="Migliaia 18 4 4 2" xfId="33191" xr:uid="{00000000-0005-0000-0000-0000A7AC0000}"/>
    <cellStyle name="Migliaia 18 4 4 3" xfId="48152" xr:uid="{00000000-0005-0000-0000-0000A8AC0000}"/>
    <cellStyle name="Migliaia 18 4 4 4" xfId="54774" xr:uid="{00000000-0005-0000-0000-0000A9AC0000}"/>
    <cellStyle name="Migliaia 18 4 5" xfId="51263" xr:uid="{00000000-0005-0000-0000-0000AAAC0000}"/>
    <cellStyle name="Migliaia 18 4 5 2" xfId="55597" xr:uid="{00000000-0005-0000-0000-0000ABAC0000}"/>
    <cellStyle name="Migliaia 18 4 6" xfId="52315" xr:uid="{00000000-0005-0000-0000-0000ACAC0000}"/>
    <cellStyle name="Migliaia 18 5" xfId="9170" xr:uid="{00000000-0005-0000-0000-0000ADAC0000}"/>
    <cellStyle name="Migliaia 18 5 2" xfId="17078" xr:uid="{00000000-0005-0000-0000-0000AEAC0000}"/>
    <cellStyle name="Migliaia 18 5 2 2" xfId="33193" xr:uid="{00000000-0005-0000-0000-0000AFAC0000}"/>
    <cellStyle name="Migliaia 18 5 2 3" xfId="48154" xr:uid="{00000000-0005-0000-0000-0000B0AC0000}"/>
    <cellStyle name="Migliaia 18 5 2 4" xfId="54776" xr:uid="{00000000-0005-0000-0000-0000B1AC0000}"/>
    <cellStyle name="Migliaia 18 5 3" xfId="51054" xr:uid="{00000000-0005-0000-0000-0000B2AC0000}"/>
    <cellStyle name="Migliaia 18 5 3 2" xfId="55599" xr:uid="{00000000-0005-0000-0000-0000B3AC0000}"/>
    <cellStyle name="Migliaia 18 5 4" xfId="52317" xr:uid="{00000000-0005-0000-0000-0000B4AC0000}"/>
    <cellStyle name="Migliaia 18 6" xfId="9165" xr:uid="{00000000-0005-0000-0000-0000B5AC0000}"/>
    <cellStyle name="Migliaia 18 6 2" xfId="51197" xr:uid="{00000000-0005-0000-0000-0000B6AC0000}"/>
    <cellStyle name="Migliaia 18 6 3" xfId="54592" xr:uid="{00000000-0005-0000-0000-0000B7AC0000}"/>
    <cellStyle name="Migliaia 18 7" xfId="9830" xr:uid="{00000000-0005-0000-0000-0000B8AC0000}"/>
    <cellStyle name="Migliaia 18 7 2" xfId="26155" xr:uid="{00000000-0005-0000-0000-0000B9AC0000}"/>
    <cellStyle name="Migliaia 18 7 3" xfId="41133" xr:uid="{00000000-0005-0000-0000-0000BAAC0000}"/>
    <cellStyle name="Migliaia 18 7 4" xfId="55592" xr:uid="{00000000-0005-0000-0000-0000BBAC0000}"/>
    <cellStyle name="Migliaia 18 8" xfId="17071" xr:uid="{00000000-0005-0000-0000-0000BCAC0000}"/>
    <cellStyle name="Migliaia 18 8 2" xfId="33186" xr:uid="{00000000-0005-0000-0000-0000BDAC0000}"/>
    <cellStyle name="Migliaia 18 8 3" xfId="48147" xr:uid="{00000000-0005-0000-0000-0000BEAC0000}"/>
    <cellStyle name="Migliaia 18 9" xfId="19136" xr:uid="{00000000-0005-0000-0000-0000BFAC0000}"/>
    <cellStyle name="Migliaia 19" xfId="323" xr:uid="{00000000-0005-0000-0000-0000C0AC0000}"/>
    <cellStyle name="Migliaia 19 10" xfId="34135" xr:uid="{00000000-0005-0000-0000-0000C1AC0000}"/>
    <cellStyle name="Migliaia 19 11" xfId="49075" xr:uid="{00000000-0005-0000-0000-0000C2AC0000}"/>
    <cellStyle name="Migliaia 19 12" xfId="49480" xr:uid="{00000000-0005-0000-0000-0000C3AC0000}"/>
    <cellStyle name="Migliaia 19 13" xfId="49886" xr:uid="{00000000-0005-0000-0000-0000C4AC0000}"/>
    <cellStyle name="Migliaia 19 14" xfId="50294" xr:uid="{00000000-0005-0000-0000-0000C5AC0000}"/>
    <cellStyle name="Migliaia 19 15" xfId="50736" xr:uid="{00000000-0005-0000-0000-0000C6AC0000}"/>
    <cellStyle name="Migliaia 19 16" xfId="51455" xr:uid="{00000000-0005-0000-0000-0000C7AC0000}"/>
    <cellStyle name="Migliaia 19 17" xfId="51867" xr:uid="{00000000-0005-0000-0000-0000C8AC0000}"/>
    <cellStyle name="Migliaia 19 18" xfId="52318" xr:uid="{00000000-0005-0000-0000-0000C9AC0000}"/>
    <cellStyle name="Migliaia 19 2" xfId="324" xr:uid="{00000000-0005-0000-0000-0000CAAC0000}"/>
    <cellStyle name="Migliaia 19 2 10" xfId="49887" xr:uid="{00000000-0005-0000-0000-0000CBAC0000}"/>
    <cellStyle name="Migliaia 19 2 11" xfId="50295" xr:uid="{00000000-0005-0000-0000-0000CCAC0000}"/>
    <cellStyle name="Migliaia 19 2 12" xfId="50737" xr:uid="{00000000-0005-0000-0000-0000CDAC0000}"/>
    <cellStyle name="Migliaia 19 2 13" xfId="51456" xr:uid="{00000000-0005-0000-0000-0000CEAC0000}"/>
    <cellStyle name="Migliaia 19 2 14" xfId="51868" xr:uid="{00000000-0005-0000-0000-0000CFAC0000}"/>
    <cellStyle name="Migliaia 19 2 15" xfId="52319" xr:uid="{00000000-0005-0000-0000-0000D0AC0000}"/>
    <cellStyle name="Migliaia 19 2 2" xfId="1253" xr:uid="{00000000-0005-0000-0000-0000D1AC0000}"/>
    <cellStyle name="Migliaia 19 2 2 10" xfId="51105" xr:uid="{00000000-0005-0000-0000-0000D2AC0000}"/>
    <cellStyle name="Migliaia 19 2 2 11" xfId="51701" xr:uid="{00000000-0005-0000-0000-0000D3AC0000}"/>
    <cellStyle name="Migliaia 19 2 2 12" xfId="52121" xr:uid="{00000000-0005-0000-0000-0000D4AC0000}"/>
    <cellStyle name="Migliaia 19 2 2 13" xfId="52847" xr:uid="{00000000-0005-0000-0000-0000D5AC0000}"/>
    <cellStyle name="Migliaia 19 2 2 2" xfId="10080" xr:uid="{00000000-0005-0000-0000-0000D6AC0000}"/>
    <cellStyle name="Migliaia 19 2 2 2 2" xfId="26400" xr:uid="{00000000-0005-0000-0000-0000D7AC0000}"/>
    <cellStyle name="Migliaia 19 2 2 2 3" xfId="41368" xr:uid="{00000000-0005-0000-0000-0000D8AC0000}"/>
    <cellStyle name="Migliaia 19 2 2 2 4" xfId="55202" xr:uid="{00000000-0005-0000-0000-0000D9AC0000}"/>
    <cellStyle name="Migliaia 19 2 2 3" xfId="18251" xr:uid="{00000000-0005-0000-0000-0000DAAC0000}"/>
    <cellStyle name="Migliaia 19 2 2 3 2" xfId="33718" xr:uid="{00000000-0005-0000-0000-0000DBAC0000}"/>
    <cellStyle name="Migliaia 19 2 2 3 3" xfId="48679" xr:uid="{00000000-0005-0000-0000-0000DCAC0000}"/>
    <cellStyle name="Migliaia 19 2 2 3 4" xfId="56124" xr:uid="{00000000-0005-0000-0000-0000DDAC0000}"/>
    <cellStyle name="Migliaia 19 2 2 4" xfId="19379" xr:uid="{00000000-0005-0000-0000-0000DEAC0000}"/>
    <cellStyle name="Migliaia 19 2 2 5" xfId="34369" xr:uid="{00000000-0005-0000-0000-0000DFAC0000}"/>
    <cellStyle name="Migliaia 19 2 2 6" xfId="49321" xr:uid="{00000000-0005-0000-0000-0000E0AC0000}"/>
    <cellStyle name="Migliaia 19 2 2 7" xfId="49726" xr:uid="{00000000-0005-0000-0000-0000E1AC0000}"/>
    <cellStyle name="Migliaia 19 2 2 8" xfId="50135" xr:uid="{00000000-0005-0000-0000-0000E2AC0000}"/>
    <cellStyle name="Migliaia 19 2 2 9" xfId="50540" xr:uid="{00000000-0005-0000-0000-0000E3AC0000}"/>
    <cellStyle name="Migliaia 19 2 3" xfId="9172" xr:uid="{00000000-0005-0000-0000-0000E4AC0000}"/>
    <cellStyle name="Migliaia 19 2 3 2" xfId="54660" xr:uid="{00000000-0005-0000-0000-0000E5AC0000}"/>
    <cellStyle name="Migliaia 19 2 4" xfId="9835" xr:uid="{00000000-0005-0000-0000-0000E6AC0000}"/>
    <cellStyle name="Migliaia 19 2 4 2" xfId="26160" xr:uid="{00000000-0005-0000-0000-0000E7AC0000}"/>
    <cellStyle name="Migliaia 19 2 4 3" xfId="41138" xr:uid="{00000000-0005-0000-0000-0000E8AC0000}"/>
    <cellStyle name="Migliaia 19 2 4 4" xfId="55601" xr:uid="{00000000-0005-0000-0000-0000E9AC0000}"/>
    <cellStyle name="Migliaia 19 2 5" xfId="17080" xr:uid="{00000000-0005-0000-0000-0000EAAC0000}"/>
    <cellStyle name="Migliaia 19 2 5 2" xfId="33195" xr:uid="{00000000-0005-0000-0000-0000EBAC0000}"/>
    <cellStyle name="Migliaia 19 2 5 3" xfId="48156" xr:uid="{00000000-0005-0000-0000-0000ECAC0000}"/>
    <cellStyle name="Migliaia 19 2 6" xfId="19141" xr:uid="{00000000-0005-0000-0000-0000EDAC0000}"/>
    <cellStyle name="Migliaia 19 2 7" xfId="34136" xr:uid="{00000000-0005-0000-0000-0000EEAC0000}"/>
    <cellStyle name="Migliaia 19 2 8" xfId="49076" xr:uid="{00000000-0005-0000-0000-0000EFAC0000}"/>
    <cellStyle name="Migliaia 19 2 9" xfId="49481" xr:uid="{00000000-0005-0000-0000-0000F0AC0000}"/>
    <cellStyle name="Migliaia 19 3" xfId="325" xr:uid="{00000000-0005-0000-0000-0000F1AC0000}"/>
    <cellStyle name="Migliaia 19 3 10" xfId="49888" xr:uid="{00000000-0005-0000-0000-0000F2AC0000}"/>
    <cellStyle name="Migliaia 19 3 11" xfId="50296" xr:uid="{00000000-0005-0000-0000-0000F3AC0000}"/>
    <cellStyle name="Migliaia 19 3 12" xfId="50738" xr:uid="{00000000-0005-0000-0000-0000F4AC0000}"/>
    <cellStyle name="Migliaia 19 3 13" xfId="51457" xr:uid="{00000000-0005-0000-0000-0000F5AC0000}"/>
    <cellStyle name="Migliaia 19 3 14" xfId="51869" xr:uid="{00000000-0005-0000-0000-0000F6AC0000}"/>
    <cellStyle name="Migliaia 19 3 15" xfId="52320" xr:uid="{00000000-0005-0000-0000-0000F7AC0000}"/>
    <cellStyle name="Migliaia 19 3 2" xfId="326" xr:uid="{00000000-0005-0000-0000-0000F8AC0000}"/>
    <cellStyle name="Migliaia 19 3 2 10" xfId="50297" xr:uid="{00000000-0005-0000-0000-0000F9AC0000}"/>
    <cellStyle name="Migliaia 19 3 2 11" xfId="50739" xr:uid="{00000000-0005-0000-0000-0000FAAC0000}"/>
    <cellStyle name="Migliaia 19 3 2 12" xfId="51458" xr:uid="{00000000-0005-0000-0000-0000FBAC0000}"/>
    <cellStyle name="Migliaia 19 3 2 13" xfId="51870" xr:uid="{00000000-0005-0000-0000-0000FCAC0000}"/>
    <cellStyle name="Migliaia 19 3 2 14" xfId="52321" xr:uid="{00000000-0005-0000-0000-0000FDAC0000}"/>
    <cellStyle name="Migliaia 19 3 2 2" xfId="9174" xr:uid="{00000000-0005-0000-0000-0000FEAC0000}"/>
    <cellStyle name="Migliaia 19 3 2 2 2" xfId="54778" xr:uid="{00000000-0005-0000-0000-0000FFAC0000}"/>
    <cellStyle name="Migliaia 19 3 2 3" xfId="9837" xr:uid="{00000000-0005-0000-0000-000000AD0000}"/>
    <cellStyle name="Migliaia 19 3 2 3 2" xfId="26162" xr:uid="{00000000-0005-0000-0000-000001AD0000}"/>
    <cellStyle name="Migliaia 19 3 2 3 3" xfId="41140" xr:uid="{00000000-0005-0000-0000-000002AD0000}"/>
    <cellStyle name="Migliaia 19 3 2 3 4" xfId="55603" xr:uid="{00000000-0005-0000-0000-000003AD0000}"/>
    <cellStyle name="Migliaia 19 3 2 4" xfId="17082" xr:uid="{00000000-0005-0000-0000-000004AD0000}"/>
    <cellStyle name="Migliaia 19 3 2 4 2" xfId="33197" xr:uid="{00000000-0005-0000-0000-000005AD0000}"/>
    <cellStyle name="Migliaia 19 3 2 4 3" xfId="48158" xr:uid="{00000000-0005-0000-0000-000006AD0000}"/>
    <cellStyle name="Migliaia 19 3 2 5" xfId="19143" xr:uid="{00000000-0005-0000-0000-000007AD0000}"/>
    <cellStyle name="Migliaia 19 3 2 6" xfId="34138" xr:uid="{00000000-0005-0000-0000-000008AD0000}"/>
    <cellStyle name="Migliaia 19 3 2 7" xfId="49078" xr:uid="{00000000-0005-0000-0000-000009AD0000}"/>
    <cellStyle name="Migliaia 19 3 2 8" xfId="49483" xr:uid="{00000000-0005-0000-0000-00000AAD0000}"/>
    <cellStyle name="Migliaia 19 3 2 9" xfId="49889" xr:uid="{00000000-0005-0000-0000-00000BAD0000}"/>
    <cellStyle name="Migliaia 19 3 3" xfId="9173" xr:uid="{00000000-0005-0000-0000-00000CAD0000}"/>
    <cellStyle name="Migliaia 19 3 3 2" xfId="18253" xr:uid="{00000000-0005-0000-0000-00000DAD0000}"/>
    <cellStyle name="Migliaia 19 3 3 2 2" xfId="33720" xr:uid="{00000000-0005-0000-0000-00000EAD0000}"/>
    <cellStyle name="Migliaia 19 3 3 2 2 2" xfId="55204" xr:uid="{00000000-0005-0000-0000-00000FAD0000}"/>
    <cellStyle name="Migliaia 19 3 3 2 3" xfId="48681" xr:uid="{00000000-0005-0000-0000-000010AD0000}"/>
    <cellStyle name="Migliaia 19 3 3 2 3 2" xfId="56126" xr:uid="{00000000-0005-0000-0000-000011AD0000}"/>
    <cellStyle name="Migliaia 19 3 3 2 4" xfId="52849" xr:uid="{00000000-0005-0000-0000-000012AD0000}"/>
    <cellStyle name="Migliaia 19 3 3 3" xfId="17083" xr:uid="{00000000-0005-0000-0000-000013AD0000}"/>
    <cellStyle name="Migliaia 19 3 3 3 2" xfId="33198" xr:uid="{00000000-0005-0000-0000-000014AD0000}"/>
    <cellStyle name="Migliaia 19 3 3 3 3" xfId="48159" xr:uid="{00000000-0005-0000-0000-000015AD0000}"/>
    <cellStyle name="Migliaia 19 3 3 3 4" xfId="54779" xr:uid="{00000000-0005-0000-0000-000016AD0000}"/>
    <cellStyle name="Migliaia 19 3 3 4" xfId="55604" xr:uid="{00000000-0005-0000-0000-000017AD0000}"/>
    <cellStyle name="Migliaia 19 3 3 5" xfId="52322" xr:uid="{00000000-0005-0000-0000-000018AD0000}"/>
    <cellStyle name="Migliaia 19 3 4" xfId="9836" xr:uid="{00000000-0005-0000-0000-000019AD0000}"/>
    <cellStyle name="Migliaia 19 3 4 2" xfId="18252" xr:uid="{00000000-0005-0000-0000-00001AAD0000}"/>
    <cellStyle name="Migliaia 19 3 4 2 2" xfId="33719" xr:uid="{00000000-0005-0000-0000-00001BAD0000}"/>
    <cellStyle name="Migliaia 19 3 4 2 3" xfId="48680" xr:uid="{00000000-0005-0000-0000-00001CAD0000}"/>
    <cellStyle name="Migliaia 19 3 4 2 4" xfId="55203" xr:uid="{00000000-0005-0000-0000-00001DAD0000}"/>
    <cellStyle name="Migliaia 19 3 4 3" xfId="26161" xr:uid="{00000000-0005-0000-0000-00001EAD0000}"/>
    <cellStyle name="Migliaia 19 3 4 3 2" xfId="56125" xr:uid="{00000000-0005-0000-0000-00001FAD0000}"/>
    <cellStyle name="Migliaia 19 3 4 4" xfId="41139" xr:uid="{00000000-0005-0000-0000-000020AD0000}"/>
    <cellStyle name="Migliaia 19 3 4 5" xfId="52848" xr:uid="{00000000-0005-0000-0000-000021AD0000}"/>
    <cellStyle name="Migliaia 19 3 5" xfId="17081" xr:uid="{00000000-0005-0000-0000-000022AD0000}"/>
    <cellStyle name="Migliaia 19 3 5 2" xfId="33196" xr:uid="{00000000-0005-0000-0000-000023AD0000}"/>
    <cellStyle name="Migliaia 19 3 5 3" xfId="48157" xr:uid="{00000000-0005-0000-0000-000024AD0000}"/>
    <cellStyle name="Migliaia 19 3 5 4" xfId="54777" xr:uid="{00000000-0005-0000-0000-000025AD0000}"/>
    <cellStyle name="Migliaia 19 3 6" xfId="19142" xr:uid="{00000000-0005-0000-0000-000026AD0000}"/>
    <cellStyle name="Migliaia 19 3 6 2" xfId="55602" xr:uid="{00000000-0005-0000-0000-000027AD0000}"/>
    <cellStyle name="Migliaia 19 3 7" xfId="34137" xr:uid="{00000000-0005-0000-0000-000028AD0000}"/>
    <cellStyle name="Migliaia 19 3 8" xfId="49077" xr:uid="{00000000-0005-0000-0000-000029AD0000}"/>
    <cellStyle name="Migliaia 19 3 9" xfId="49482" xr:uid="{00000000-0005-0000-0000-00002AAD0000}"/>
    <cellStyle name="Migliaia 19 4" xfId="9175" xr:uid="{00000000-0005-0000-0000-00002BAD0000}"/>
    <cellStyle name="Migliaia 19 4 2" xfId="17085" xr:uid="{00000000-0005-0000-0000-00002CAD0000}"/>
    <cellStyle name="Migliaia 19 4 2 2" xfId="18255" xr:uid="{00000000-0005-0000-0000-00002DAD0000}"/>
    <cellStyle name="Migliaia 19 4 2 2 2" xfId="33722" xr:uid="{00000000-0005-0000-0000-00002EAD0000}"/>
    <cellStyle name="Migliaia 19 4 2 2 2 2" xfId="55206" xr:uid="{00000000-0005-0000-0000-00002FAD0000}"/>
    <cellStyle name="Migliaia 19 4 2 2 3" xfId="48683" xr:uid="{00000000-0005-0000-0000-000030AD0000}"/>
    <cellStyle name="Migliaia 19 4 2 2 3 2" xfId="56128" xr:uid="{00000000-0005-0000-0000-000031AD0000}"/>
    <cellStyle name="Migliaia 19 4 2 2 4" xfId="52851" xr:uid="{00000000-0005-0000-0000-000032AD0000}"/>
    <cellStyle name="Migliaia 19 4 2 3" xfId="33200" xr:uid="{00000000-0005-0000-0000-000033AD0000}"/>
    <cellStyle name="Migliaia 19 4 2 3 2" xfId="54781" xr:uid="{00000000-0005-0000-0000-000034AD0000}"/>
    <cellStyle name="Migliaia 19 4 2 4" xfId="48161" xr:uid="{00000000-0005-0000-0000-000035AD0000}"/>
    <cellStyle name="Migliaia 19 4 2 4 2" xfId="55606" xr:uid="{00000000-0005-0000-0000-000036AD0000}"/>
    <cellStyle name="Migliaia 19 4 2 5" xfId="52324" xr:uid="{00000000-0005-0000-0000-000037AD0000}"/>
    <cellStyle name="Migliaia 19 4 3" xfId="18254" xr:uid="{00000000-0005-0000-0000-000038AD0000}"/>
    <cellStyle name="Migliaia 19 4 3 2" xfId="33721" xr:uid="{00000000-0005-0000-0000-000039AD0000}"/>
    <cellStyle name="Migliaia 19 4 3 2 2" xfId="55205" xr:uid="{00000000-0005-0000-0000-00003AAD0000}"/>
    <cellStyle name="Migliaia 19 4 3 3" xfId="48682" xr:uid="{00000000-0005-0000-0000-00003BAD0000}"/>
    <cellStyle name="Migliaia 19 4 3 3 2" xfId="56127" xr:uid="{00000000-0005-0000-0000-00003CAD0000}"/>
    <cellStyle name="Migliaia 19 4 3 4" xfId="52850" xr:uid="{00000000-0005-0000-0000-00003DAD0000}"/>
    <cellStyle name="Migliaia 19 4 4" xfId="17084" xr:uid="{00000000-0005-0000-0000-00003EAD0000}"/>
    <cellStyle name="Migliaia 19 4 4 2" xfId="33199" xr:uid="{00000000-0005-0000-0000-00003FAD0000}"/>
    <cellStyle name="Migliaia 19 4 4 3" xfId="48160" xr:uid="{00000000-0005-0000-0000-000040AD0000}"/>
    <cellStyle name="Migliaia 19 4 4 4" xfId="54780" xr:uid="{00000000-0005-0000-0000-000041AD0000}"/>
    <cellStyle name="Migliaia 19 4 5" xfId="51236" xr:uid="{00000000-0005-0000-0000-000042AD0000}"/>
    <cellStyle name="Migliaia 19 4 5 2" xfId="55605" xr:uid="{00000000-0005-0000-0000-000043AD0000}"/>
    <cellStyle name="Migliaia 19 4 6" xfId="52323" xr:uid="{00000000-0005-0000-0000-000044AD0000}"/>
    <cellStyle name="Migliaia 19 5" xfId="9176" xr:uid="{00000000-0005-0000-0000-000045AD0000}"/>
    <cellStyle name="Migliaia 19 5 2" xfId="17086" xr:uid="{00000000-0005-0000-0000-000046AD0000}"/>
    <cellStyle name="Migliaia 19 5 2 2" xfId="33201" xr:uid="{00000000-0005-0000-0000-000047AD0000}"/>
    <cellStyle name="Migliaia 19 5 2 3" xfId="48162" xr:uid="{00000000-0005-0000-0000-000048AD0000}"/>
    <cellStyle name="Migliaia 19 5 2 4" xfId="54782" xr:uid="{00000000-0005-0000-0000-000049AD0000}"/>
    <cellStyle name="Migliaia 19 5 3" xfId="51265" xr:uid="{00000000-0005-0000-0000-00004AAD0000}"/>
    <cellStyle name="Migliaia 19 5 3 2" xfId="55607" xr:uid="{00000000-0005-0000-0000-00004BAD0000}"/>
    <cellStyle name="Migliaia 19 5 4" xfId="52325" xr:uid="{00000000-0005-0000-0000-00004CAD0000}"/>
    <cellStyle name="Migliaia 19 6" xfId="9171" xr:uid="{00000000-0005-0000-0000-00004DAD0000}"/>
    <cellStyle name="Migliaia 19 6 2" xfId="51225" xr:uid="{00000000-0005-0000-0000-00004EAD0000}"/>
    <cellStyle name="Migliaia 19 6 3" xfId="54593" xr:uid="{00000000-0005-0000-0000-00004FAD0000}"/>
    <cellStyle name="Migliaia 19 7" xfId="9834" xr:uid="{00000000-0005-0000-0000-000050AD0000}"/>
    <cellStyle name="Migliaia 19 7 2" xfId="26159" xr:uid="{00000000-0005-0000-0000-000051AD0000}"/>
    <cellStyle name="Migliaia 19 7 3" xfId="41137" xr:uid="{00000000-0005-0000-0000-000052AD0000}"/>
    <cellStyle name="Migliaia 19 7 4" xfId="55600" xr:uid="{00000000-0005-0000-0000-000053AD0000}"/>
    <cellStyle name="Migliaia 19 8" xfId="17079" xr:uid="{00000000-0005-0000-0000-000054AD0000}"/>
    <cellStyle name="Migliaia 19 8 2" xfId="33194" xr:uid="{00000000-0005-0000-0000-000055AD0000}"/>
    <cellStyle name="Migliaia 19 8 3" xfId="48155" xr:uid="{00000000-0005-0000-0000-000056AD0000}"/>
    <cellStyle name="Migliaia 19 9" xfId="19140" xr:uid="{00000000-0005-0000-0000-000057AD0000}"/>
    <cellStyle name="Migliaia 2" xfId="327" xr:uid="{00000000-0005-0000-0000-000058AD0000}"/>
    <cellStyle name="Migliaia 2 10" xfId="19144" xr:uid="{00000000-0005-0000-0000-000059AD0000}"/>
    <cellStyle name="Migliaia 2 11" xfId="34139" xr:uid="{00000000-0005-0000-0000-00005AAD0000}"/>
    <cellStyle name="Migliaia 2 12" xfId="49079" xr:uid="{00000000-0005-0000-0000-00005BAD0000}"/>
    <cellStyle name="Migliaia 2 13" xfId="49484" xr:uid="{00000000-0005-0000-0000-00005CAD0000}"/>
    <cellStyle name="Migliaia 2 14" xfId="49890" xr:uid="{00000000-0005-0000-0000-00005DAD0000}"/>
    <cellStyle name="Migliaia 2 15" xfId="50298" xr:uid="{00000000-0005-0000-0000-00005EAD0000}"/>
    <cellStyle name="Migliaia 2 16" xfId="50740" xr:uid="{00000000-0005-0000-0000-00005FAD0000}"/>
    <cellStyle name="Migliaia 2 17" xfId="51459" xr:uid="{00000000-0005-0000-0000-000060AD0000}"/>
    <cellStyle name="Migliaia 2 18" xfId="51871" xr:uid="{00000000-0005-0000-0000-000061AD0000}"/>
    <cellStyle name="Migliaia 2 19" xfId="52326" xr:uid="{00000000-0005-0000-0000-000062AD0000}"/>
    <cellStyle name="Migliaia 2 2" xfId="328" xr:uid="{00000000-0005-0000-0000-000063AD0000}"/>
    <cellStyle name="Migliaia 2 2 10" xfId="49891" xr:uid="{00000000-0005-0000-0000-000064AD0000}"/>
    <cellStyle name="Migliaia 2 2 11" xfId="50299" xr:uid="{00000000-0005-0000-0000-000065AD0000}"/>
    <cellStyle name="Migliaia 2 2 12" xfId="50741" xr:uid="{00000000-0005-0000-0000-000066AD0000}"/>
    <cellStyle name="Migliaia 2 2 13" xfId="51460" xr:uid="{00000000-0005-0000-0000-000067AD0000}"/>
    <cellStyle name="Migliaia 2 2 14" xfId="51872" xr:uid="{00000000-0005-0000-0000-000068AD0000}"/>
    <cellStyle name="Migliaia 2 2 15" xfId="52327" xr:uid="{00000000-0005-0000-0000-000069AD0000}"/>
    <cellStyle name="Migliaia 2 2 2" xfId="1254" xr:uid="{00000000-0005-0000-0000-00006AAD0000}"/>
    <cellStyle name="Migliaia 2 2 2 10" xfId="51106" xr:uid="{00000000-0005-0000-0000-00006BAD0000}"/>
    <cellStyle name="Migliaia 2 2 2 11" xfId="51702" xr:uid="{00000000-0005-0000-0000-00006CAD0000}"/>
    <cellStyle name="Migliaia 2 2 2 12" xfId="52122" xr:uid="{00000000-0005-0000-0000-00006DAD0000}"/>
    <cellStyle name="Migliaia 2 2 2 13" xfId="52797" xr:uid="{00000000-0005-0000-0000-00006EAD0000}"/>
    <cellStyle name="Migliaia 2 2 2 2" xfId="10081" xr:uid="{00000000-0005-0000-0000-00006FAD0000}"/>
    <cellStyle name="Migliaia 2 2 2 2 2" xfId="26401" xr:uid="{00000000-0005-0000-0000-000070AD0000}"/>
    <cellStyle name="Migliaia 2 2 2 2 3" xfId="41369" xr:uid="{00000000-0005-0000-0000-000071AD0000}"/>
    <cellStyle name="Migliaia 2 2 2 2 4" xfId="55152" xr:uid="{00000000-0005-0000-0000-000072AD0000}"/>
    <cellStyle name="Migliaia 2 2 2 3" xfId="18008" xr:uid="{00000000-0005-0000-0000-000073AD0000}"/>
    <cellStyle name="Migliaia 2 2 2 3 2" xfId="33668" xr:uid="{00000000-0005-0000-0000-000074AD0000}"/>
    <cellStyle name="Migliaia 2 2 2 3 3" xfId="48629" xr:uid="{00000000-0005-0000-0000-000075AD0000}"/>
    <cellStyle name="Migliaia 2 2 2 3 4" xfId="56074" xr:uid="{00000000-0005-0000-0000-000076AD0000}"/>
    <cellStyle name="Migliaia 2 2 2 4" xfId="19380" xr:uid="{00000000-0005-0000-0000-000077AD0000}"/>
    <cellStyle name="Migliaia 2 2 2 5" xfId="34370" xr:uid="{00000000-0005-0000-0000-000078AD0000}"/>
    <cellStyle name="Migliaia 2 2 2 6" xfId="49322" xr:uid="{00000000-0005-0000-0000-000079AD0000}"/>
    <cellStyle name="Migliaia 2 2 2 7" xfId="49727" xr:uid="{00000000-0005-0000-0000-00007AAD0000}"/>
    <cellStyle name="Migliaia 2 2 2 8" xfId="50136" xr:uid="{00000000-0005-0000-0000-00007BAD0000}"/>
    <cellStyle name="Migliaia 2 2 2 9" xfId="50541" xr:uid="{00000000-0005-0000-0000-00007CAD0000}"/>
    <cellStyle name="Migliaia 2 2 3" xfId="9178" xr:uid="{00000000-0005-0000-0000-00007DAD0000}"/>
    <cellStyle name="Migliaia 2 2 3 2" xfId="54595" xr:uid="{00000000-0005-0000-0000-00007EAD0000}"/>
    <cellStyle name="Migliaia 2 2 4" xfId="9839" xr:uid="{00000000-0005-0000-0000-00007FAD0000}"/>
    <cellStyle name="Migliaia 2 2 4 2" xfId="26164" xr:uid="{00000000-0005-0000-0000-000080AD0000}"/>
    <cellStyle name="Migliaia 2 2 4 3" xfId="41142" xr:uid="{00000000-0005-0000-0000-000081AD0000}"/>
    <cellStyle name="Migliaia 2 2 4 4" xfId="55609" xr:uid="{00000000-0005-0000-0000-000082AD0000}"/>
    <cellStyle name="Migliaia 2 2 5" xfId="17088" xr:uid="{00000000-0005-0000-0000-000083AD0000}"/>
    <cellStyle name="Migliaia 2 2 5 2" xfId="33203" xr:uid="{00000000-0005-0000-0000-000084AD0000}"/>
    <cellStyle name="Migliaia 2 2 5 3" xfId="48164" xr:uid="{00000000-0005-0000-0000-000085AD0000}"/>
    <cellStyle name="Migliaia 2 2 6" xfId="19145" xr:uid="{00000000-0005-0000-0000-000086AD0000}"/>
    <cellStyle name="Migliaia 2 2 7" xfId="34140" xr:uid="{00000000-0005-0000-0000-000087AD0000}"/>
    <cellStyle name="Migliaia 2 2 8" xfId="49080" xr:uid="{00000000-0005-0000-0000-000088AD0000}"/>
    <cellStyle name="Migliaia 2 2 9" xfId="49485" xr:uid="{00000000-0005-0000-0000-000089AD0000}"/>
    <cellStyle name="Migliaia 2 3" xfId="329" xr:uid="{00000000-0005-0000-0000-00008AAD0000}"/>
    <cellStyle name="Migliaia 2 3 10" xfId="49892" xr:uid="{00000000-0005-0000-0000-00008BAD0000}"/>
    <cellStyle name="Migliaia 2 3 11" xfId="50300" xr:uid="{00000000-0005-0000-0000-00008CAD0000}"/>
    <cellStyle name="Migliaia 2 3 12" xfId="50742" xr:uid="{00000000-0005-0000-0000-00008DAD0000}"/>
    <cellStyle name="Migliaia 2 3 13" xfId="51461" xr:uid="{00000000-0005-0000-0000-00008EAD0000}"/>
    <cellStyle name="Migliaia 2 3 14" xfId="51873" xr:uid="{00000000-0005-0000-0000-00008FAD0000}"/>
    <cellStyle name="Migliaia 2 3 15" xfId="52328" xr:uid="{00000000-0005-0000-0000-000090AD0000}"/>
    <cellStyle name="Migliaia 2 3 2" xfId="1255" xr:uid="{00000000-0005-0000-0000-000091AD0000}"/>
    <cellStyle name="Migliaia 2 3 2 10" xfId="51107" xr:uid="{00000000-0005-0000-0000-000092AD0000}"/>
    <cellStyle name="Migliaia 2 3 2 11" xfId="51703" xr:uid="{00000000-0005-0000-0000-000093AD0000}"/>
    <cellStyle name="Migliaia 2 3 2 12" xfId="52123" xr:uid="{00000000-0005-0000-0000-000094AD0000}"/>
    <cellStyle name="Migliaia 2 3 2 13" xfId="52798" xr:uid="{00000000-0005-0000-0000-000095AD0000}"/>
    <cellStyle name="Migliaia 2 3 2 2" xfId="10082" xr:uid="{00000000-0005-0000-0000-000096AD0000}"/>
    <cellStyle name="Migliaia 2 3 2 2 2" xfId="26402" xr:uid="{00000000-0005-0000-0000-000097AD0000}"/>
    <cellStyle name="Migliaia 2 3 2 2 3" xfId="41370" xr:uid="{00000000-0005-0000-0000-000098AD0000}"/>
    <cellStyle name="Migliaia 2 3 2 2 4" xfId="55153" xr:uid="{00000000-0005-0000-0000-000099AD0000}"/>
    <cellStyle name="Migliaia 2 3 2 3" xfId="18009" xr:uid="{00000000-0005-0000-0000-00009AAD0000}"/>
    <cellStyle name="Migliaia 2 3 2 3 2" xfId="33669" xr:uid="{00000000-0005-0000-0000-00009BAD0000}"/>
    <cellStyle name="Migliaia 2 3 2 3 3" xfId="48630" xr:uid="{00000000-0005-0000-0000-00009CAD0000}"/>
    <cellStyle name="Migliaia 2 3 2 3 4" xfId="56075" xr:uid="{00000000-0005-0000-0000-00009DAD0000}"/>
    <cellStyle name="Migliaia 2 3 2 4" xfId="19381" xr:uid="{00000000-0005-0000-0000-00009EAD0000}"/>
    <cellStyle name="Migliaia 2 3 2 5" xfId="34371" xr:uid="{00000000-0005-0000-0000-00009FAD0000}"/>
    <cellStyle name="Migliaia 2 3 2 6" xfId="49323" xr:uid="{00000000-0005-0000-0000-0000A0AD0000}"/>
    <cellStyle name="Migliaia 2 3 2 7" xfId="49728" xr:uid="{00000000-0005-0000-0000-0000A1AD0000}"/>
    <cellStyle name="Migliaia 2 3 2 8" xfId="50137" xr:uid="{00000000-0005-0000-0000-0000A2AD0000}"/>
    <cellStyle name="Migliaia 2 3 2 9" xfId="50542" xr:uid="{00000000-0005-0000-0000-0000A3AD0000}"/>
    <cellStyle name="Migliaia 2 3 3" xfId="9179" xr:uid="{00000000-0005-0000-0000-0000A4AD0000}"/>
    <cellStyle name="Migliaia 2 3 3 2" xfId="54596" xr:uid="{00000000-0005-0000-0000-0000A5AD0000}"/>
    <cellStyle name="Migliaia 2 3 4" xfId="9840" xr:uid="{00000000-0005-0000-0000-0000A6AD0000}"/>
    <cellStyle name="Migliaia 2 3 4 2" xfId="26165" xr:uid="{00000000-0005-0000-0000-0000A7AD0000}"/>
    <cellStyle name="Migliaia 2 3 4 3" xfId="41143" xr:uid="{00000000-0005-0000-0000-0000A8AD0000}"/>
    <cellStyle name="Migliaia 2 3 4 4" xfId="55610" xr:uid="{00000000-0005-0000-0000-0000A9AD0000}"/>
    <cellStyle name="Migliaia 2 3 5" xfId="17089" xr:uid="{00000000-0005-0000-0000-0000AAAD0000}"/>
    <cellStyle name="Migliaia 2 3 5 2" xfId="33204" xr:uid="{00000000-0005-0000-0000-0000ABAD0000}"/>
    <cellStyle name="Migliaia 2 3 5 3" xfId="48165" xr:uid="{00000000-0005-0000-0000-0000ACAD0000}"/>
    <cellStyle name="Migliaia 2 3 6" xfId="19146" xr:uid="{00000000-0005-0000-0000-0000ADAD0000}"/>
    <cellStyle name="Migliaia 2 3 7" xfId="34141" xr:uid="{00000000-0005-0000-0000-0000AEAD0000}"/>
    <cellStyle name="Migliaia 2 3 8" xfId="49081" xr:uid="{00000000-0005-0000-0000-0000AFAD0000}"/>
    <cellStyle name="Migliaia 2 3 9" xfId="49486" xr:uid="{00000000-0005-0000-0000-0000B0AD0000}"/>
    <cellStyle name="Migliaia 2 4" xfId="330" xr:uid="{00000000-0005-0000-0000-0000B1AD0000}"/>
    <cellStyle name="Migliaia 2 4 10" xfId="49893" xr:uid="{00000000-0005-0000-0000-0000B2AD0000}"/>
    <cellStyle name="Migliaia 2 4 11" xfId="50301" xr:uid="{00000000-0005-0000-0000-0000B3AD0000}"/>
    <cellStyle name="Migliaia 2 4 12" xfId="50743" xr:uid="{00000000-0005-0000-0000-0000B4AD0000}"/>
    <cellStyle name="Migliaia 2 4 13" xfId="51462" xr:uid="{00000000-0005-0000-0000-0000B5AD0000}"/>
    <cellStyle name="Migliaia 2 4 14" xfId="51874" xr:uid="{00000000-0005-0000-0000-0000B6AD0000}"/>
    <cellStyle name="Migliaia 2 4 15" xfId="52329" xr:uid="{00000000-0005-0000-0000-0000B7AD0000}"/>
    <cellStyle name="Migliaia 2 4 2" xfId="331" xr:uid="{00000000-0005-0000-0000-0000B8AD0000}"/>
    <cellStyle name="Migliaia 2 4 2 10" xfId="50302" xr:uid="{00000000-0005-0000-0000-0000B9AD0000}"/>
    <cellStyle name="Migliaia 2 4 2 11" xfId="50744" xr:uid="{00000000-0005-0000-0000-0000BAAD0000}"/>
    <cellStyle name="Migliaia 2 4 2 12" xfId="51463" xr:uid="{00000000-0005-0000-0000-0000BBAD0000}"/>
    <cellStyle name="Migliaia 2 4 2 13" xfId="51875" xr:uid="{00000000-0005-0000-0000-0000BCAD0000}"/>
    <cellStyle name="Migliaia 2 4 2 14" xfId="52330" xr:uid="{00000000-0005-0000-0000-0000BDAD0000}"/>
    <cellStyle name="Migliaia 2 4 2 2" xfId="9181" xr:uid="{00000000-0005-0000-0000-0000BEAD0000}"/>
    <cellStyle name="Migliaia 2 4 2 2 2" xfId="54784" xr:uid="{00000000-0005-0000-0000-0000BFAD0000}"/>
    <cellStyle name="Migliaia 2 4 2 3" xfId="9842" xr:uid="{00000000-0005-0000-0000-0000C0AD0000}"/>
    <cellStyle name="Migliaia 2 4 2 3 2" xfId="26167" xr:uid="{00000000-0005-0000-0000-0000C1AD0000}"/>
    <cellStyle name="Migliaia 2 4 2 3 3" xfId="41145" xr:uid="{00000000-0005-0000-0000-0000C2AD0000}"/>
    <cellStyle name="Migliaia 2 4 2 3 4" xfId="55612" xr:uid="{00000000-0005-0000-0000-0000C3AD0000}"/>
    <cellStyle name="Migliaia 2 4 2 4" xfId="17091" xr:uid="{00000000-0005-0000-0000-0000C4AD0000}"/>
    <cellStyle name="Migliaia 2 4 2 4 2" xfId="33206" xr:uid="{00000000-0005-0000-0000-0000C5AD0000}"/>
    <cellStyle name="Migliaia 2 4 2 4 3" xfId="48167" xr:uid="{00000000-0005-0000-0000-0000C6AD0000}"/>
    <cellStyle name="Migliaia 2 4 2 5" xfId="19148" xr:uid="{00000000-0005-0000-0000-0000C7AD0000}"/>
    <cellStyle name="Migliaia 2 4 2 6" xfId="34143" xr:uid="{00000000-0005-0000-0000-0000C8AD0000}"/>
    <cellStyle name="Migliaia 2 4 2 7" xfId="49083" xr:uid="{00000000-0005-0000-0000-0000C9AD0000}"/>
    <cellStyle name="Migliaia 2 4 2 8" xfId="49488" xr:uid="{00000000-0005-0000-0000-0000CAAD0000}"/>
    <cellStyle name="Migliaia 2 4 2 9" xfId="49894" xr:uid="{00000000-0005-0000-0000-0000CBAD0000}"/>
    <cellStyle name="Migliaia 2 4 3" xfId="9180" xr:uid="{00000000-0005-0000-0000-0000CCAD0000}"/>
    <cellStyle name="Migliaia 2 4 3 2" xfId="18257" xr:uid="{00000000-0005-0000-0000-0000CDAD0000}"/>
    <cellStyle name="Migliaia 2 4 3 2 2" xfId="33724" xr:uid="{00000000-0005-0000-0000-0000CEAD0000}"/>
    <cellStyle name="Migliaia 2 4 3 2 2 2" xfId="55208" xr:uid="{00000000-0005-0000-0000-0000CFAD0000}"/>
    <cellStyle name="Migliaia 2 4 3 2 3" xfId="48685" xr:uid="{00000000-0005-0000-0000-0000D0AD0000}"/>
    <cellStyle name="Migliaia 2 4 3 2 3 2" xfId="56130" xr:uid="{00000000-0005-0000-0000-0000D1AD0000}"/>
    <cellStyle name="Migliaia 2 4 3 2 4" xfId="52853" xr:uid="{00000000-0005-0000-0000-0000D2AD0000}"/>
    <cellStyle name="Migliaia 2 4 3 3" xfId="17092" xr:uid="{00000000-0005-0000-0000-0000D3AD0000}"/>
    <cellStyle name="Migliaia 2 4 3 3 2" xfId="33207" xr:uid="{00000000-0005-0000-0000-0000D4AD0000}"/>
    <cellStyle name="Migliaia 2 4 3 3 3" xfId="48168" xr:uid="{00000000-0005-0000-0000-0000D5AD0000}"/>
    <cellStyle name="Migliaia 2 4 3 3 4" xfId="54785" xr:uid="{00000000-0005-0000-0000-0000D6AD0000}"/>
    <cellStyle name="Migliaia 2 4 3 4" xfId="55613" xr:uid="{00000000-0005-0000-0000-0000D7AD0000}"/>
    <cellStyle name="Migliaia 2 4 3 5" xfId="52331" xr:uid="{00000000-0005-0000-0000-0000D8AD0000}"/>
    <cellStyle name="Migliaia 2 4 4" xfId="9841" xr:uid="{00000000-0005-0000-0000-0000D9AD0000}"/>
    <cellStyle name="Migliaia 2 4 4 2" xfId="18256" xr:uid="{00000000-0005-0000-0000-0000DAAD0000}"/>
    <cellStyle name="Migliaia 2 4 4 2 2" xfId="33723" xr:uid="{00000000-0005-0000-0000-0000DBAD0000}"/>
    <cellStyle name="Migliaia 2 4 4 2 3" xfId="48684" xr:uid="{00000000-0005-0000-0000-0000DCAD0000}"/>
    <cellStyle name="Migliaia 2 4 4 2 4" xfId="55207" xr:uid="{00000000-0005-0000-0000-0000DDAD0000}"/>
    <cellStyle name="Migliaia 2 4 4 3" xfId="26166" xr:uid="{00000000-0005-0000-0000-0000DEAD0000}"/>
    <cellStyle name="Migliaia 2 4 4 3 2" xfId="56129" xr:uid="{00000000-0005-0000-0000-0000DFAD0000}"/>
    <cellStyle name="Migliaia 2 4 4 4" xfId="41144" xr:uid="{00000000-0005-0000-0000-0000E0AD0000}"/>
    <cellStyle name="Migliaia 2 4 4 5" xfId="52852" xr:uid="{00000000-0005-0000-0000-0000E1AD0000}"/>
    <cellStyle name="Migliaia 2 4 5" xfId="17090" xr:uid="{00000000-0005-0000-0000-0000E2AD0000}"/>
    <cellStyle name="Migliaia 2 4 5 2" xfId="33205" xr:uid="{00000000-0005-0000-0000-0000E3AD0000}"/>
    <cellStyle name="Migliaia 2 4 5 3" xfId="48166" xr:uid="{00000000-0005-0000-0000-0000E4AD0000}"/>
    <cellStyle name="Migliaia 2 4 5 4" xfId="54783" xr:uid="{00000000-0005-0000-0000-0000E5AD0000}"/>
    <cellStyle name="Migliaia 2 4 6" xfId="19147" xr:uid="{00000000-0005-0000-0000-0000E6AD0000}"/>
    <cellStyle name="Migliaia 2 4 6 2" xfId="55611" xr:uid="{00000000-0005-0000-0000-0000E7AD0000}"/>
    <cellStyle name="Migliaia 2 4 7" xfId="34142" xr:uid="{00000000-0005-0000-0000-0000E8AD0000}"/>
    <cellStyle name="Migliaia 2 4 8" xfId="49082" xr:uid="{00000000-0005-0000-0000-0000E9AD0000}"/>
    <cellStyle name="Migliaia 2 4 9" xfId="49487" xr:uid="{00000000-0005-0000-0000-0000EAAD0000}"/>
    <cellStyle name="Migliaia 2 5" xfId="9182" xr:uid="{00000000-0005-0000-0000-0000EBAD0000}"/>
    <cellStyle name="Migliaia 2 5 2" xfId="17094" xr:uid="{00000000-0005-0000-0000-0000ECAD0000}"/>
    <cellStyle name="Migliaia 2 5 2 2" xfId="18259" xr:uid="{00000000-0005-0000-0000-0000EDAD0000}"/>
    <cellStyle name="Migliaia 2 5 2 2 2" xfId="33726" xr:uid="{00000000-0005-0000-0000-0000EEAD0000}"/>
    <cellStyle name="Migliaia 2 5 2 2 2 2" xfId="55210" xr:uid="{00000000-0005-0000-0000-0000EFAD0000}"/>
    <cellStyle name="Migliaia 2 5 2 2 3" xfId="48687" xr:uid="{00000000-0005-0000-0000-0000F0AD0000}"/>
    <cellStyle name="Migliaia 2 5 2 2 3 2" xfId="56132" xr:uid="{00000000-0005-0000-0000-0000F1AD0000}"/>
    <cellStyle name="Migliaia 2 5 2 2 4" xfId="52855" xr:uid="{00000000-0005-0000-0000-0000F2AD0000}"/>
    <cellStyle name="Migliaia 2 5 2 3" xfId="33209" xr:uid="{00000000-0005-0000-0000-0000F3AD0000}"/>
    <cellStyle name="Migliaia 2 5 2 3 2" xfId="54787" xr:uid="{00000000-0005-0000-0000-0000F4AD0000}"/>
    <cellStyle name="Migliaia 2 5 2 4" xfId="48170" xr:uid="{00000000-0005-0000-0000-0000F5AD0000}"/>
    <cellStyle name="Migliaia 2 5 2 4 2" xfId="55615" xr:uid="{00000000-0005-0000-0000-0000F6AD0000}"/>
    <cellStyle name="Migliaia 2 5 2 5" xfId="52333" xr:uid="{00000000-0005-0000-0000-0000F7AD0000}"/>
    <cellStyle name="Migliaia 2 5 3" xfId="18258" xr:uid="{00000000-0005-0000-0000-0000F8AD0000}"/>
    <cellStyle name="Migliaia 2 5 3 2" xfId="33725" xr:uid="{00000000-0005-0000-0000-0000F9AD0000}"/>
    <cellStyle name="Migliaia 2 5 3 2 2" xfId="55209" xr:uid="{00000000-0005-0000-0000-0000FAAD0000}"/>
    <cellStyle name="Migliaia 2 5 3 3" xfId="48686" xr:uid="{00000000-0005-0000-0000-0000FBAD0000}"/>
    <cellStyle name="Migliaia 2 5 3 3 2" xfId="56131" xr:uid="{00000000-0005-0000-0000-0000FCAD0000}"/>
    <cellStyle name="Migliaia 2 5 3 4" xfId="52854" xr:uid="{00000000-0005-0000-0000-0000FDAD0000}"/>
    <cellStyle name="Migliaia 2 5 4" xfId="17093" xr:uid="{00000000-0005-0000-0000-0000FEAD0000}"/>
    <cellStyle name="Migliaia 2 5 4 2" xfId="33208" xr:uid="{00000000-0005-0000-0000-0000FFAD0000}"/>
    <cellStyle name="Migliaia 2 5 4 3" xfId="48169" xr:uid="{00000000-0005-0000-0000-000000AE0000}"/>
    <cellStyle name="Migliaia 2 5 4 4" xfId="54786" xr:uid="{00000000-0005-0000-0000-000001AE0000}"/>
    <cellStyle name="Migliaia 2 5 5" xfId="51266" xr:uid="{00000000-0005-0000-0000-000002AE0000}"/>
    <cellStyle name="Migliaia 2 5 5 2" xfId="55614" xr:uid="{00000000-0005-0000-0000-000003AE0000}"/>
    <cellStyle name="Migliaia 2 5 6" xfId="52332" xr:uid="{00000000-0005-0000-0000-000004AE0000}"/>
    <cellStyle name="Migliaia 2 6" xfId="9183" xr:uid="{00000000-0005-0000-0000-000005AE0000}"/>
    <cellStyle name="Migliaia 2 6 2" xfId="17095" xr:uid="{00000000-0005-0000-0000-000006AE0000}"/>
    <cellStyle name="Migliaia 2 6 2 2" xfId="33210" xr:uid="{00000000-0005-0000-0000-000007AE0000}"/>
    <cellStyle name="Migliaia 2 6 2 3" xfId="48171" xr:uid="{00000000-0005-0000-0000-000008AE0000}"/>
    <cellStyle name="Migliaia 2 6 2 4" xfId="54788" xr:uid="{00000000-0005-0000-0000-000009AE0000}"/>
    <cellStyle name="Migliaia 2 6 3" xfId="51053" xr:uid="{00000000-0005-0000-0000-00000AAE0000}"/>
    <cellStyle name="Migliaia 2 6 3 2" xfId="55616" xr:uid="{00000000-0005-0000-0000-00000BAE0000}"/>
    <cellStyle name="Migliaia 2 6 4" xfId="52334" xr:uid="{00000000-0005-0000-0000-00000CAE0000}"/>
    <cellStyle name="Migliaia 2 7" xfId="9177" xr:uid="{00000000-0005-0000-0000-00000DAE0000}"/>
    <cellStyle name="Migliaia 2 7 2" xfId="50978" xr:uid="{00000000-0005-0000-0000-00000EAE0000}"/>
    <cellStyle name="Migliaia 2 7 3" xfId="54594" xr:uid="{00000000-0005-0000-0000-00000FAE0000}"/>
    <cellStyle name="Migliaia 2 8" xfId="9838" xr:uid="{00000000-0005-0000-0000-000010AE0000}"/>
    <cellStyle name="Migliaia 2 8 2" xfId="26163" xr:uid="{00000000-0005-0000-0000-000011AE0000}"/>
    <cellStyle name="Migliaia 2 8 3" xfId="41141" xr:uid="{00000000-0005-0000-0000-000012AE0000}"/>
    <cellStyle name="Migliaia 2 8 4" xfId="55608" xr:uid="{00000000-0005-0000-0000-000013AE0000}"/>
    <cellStyle name="Migliaia 2 9" xfId="17087" xr:uid="{00000000-0005-0000-0000-000014AE0000}"/>
    <cellStyle name="Migliaia 2 9 2" xfId="33202" xr:uid="{00000000-0005-0000-0000-000015AE0000}"/>
    <cellStyle name="Migliaia 2 9 3" xfId="48163" xr:uid="{00000000-0005-0000-0000-000016AE0000}"/>
    <cellStyle name="Migliaia 2_Domestico_reg&amp;naz" xfId="332" xr:uid="{00000000-0005-0000-0000-000017AE0000}"/>
    <cellStyle name="Migliaia 20" xfId="333" xr:uid="{00000000-0005-0000-0000-000018AE0000}"/>
    <cellStyle name="Migliaia 20 10" xfId="34144" xr:uid="{00000000-0005-0000-0000-000019AE0000}"/>
    <cellStyle name="Migliaia 20 11" xfId="49084" xr:uid="{00000000-0005-0000-0000-00001AAE0000}"/>
    <cellStyle name="Migliaia 20 12" xfId="49489" xr:uid="{00000000-0005-0000-0000-00001BAE0000}"/>
    <cellStyle name="Migliaia 20 13" xfId="49895" xr:uid="{00000000-0005-0000-0000-00001CAE0000}"/>
    <cellStyle name="Migliaia 20 14" xfId="50303" xr:uid="{00000000-0005-0000-0000-00001DAE0000}"/>
    <cellStyle name="Migliaia 20 15" xfId="50745" xr:uid="{00000000-0005-0000-0000-00001EAE0000}"/>
    <cellStyle name="Migliaia 20 16" xfId="51464" xr:uid="{00000000-0005-0000-0000-00001FAE0000}"/>
    <cellStyle name="Migliaia 20 17" xfId="51876" xr:uid="{00000000-0005-0000-0000-000020AE0000}"/>
    <cellStyle name="Migliaia 20 18" xfId="52335" xr:uid="{00000000-0005-0000-0000-000021AE0000}"/>
    <cellStyle name="Migliaia 20 2" xfId="334" xr:uid="{00000000-0005-0000-0000-000022AE0000}"/>
    <cellStyle name="Migliaia 20 2 10" xfId="49896" xr:uid="{00000000-0005-0000-0000-000023AE0000}"/>
    <cellStyle name="Migliaia 20 2 11" xfId="50304" xr:uid="{00000000-0005-0000-0000-000024AE0000}"/>
    <cellStyle name="Migliaia 20 2 12" xfId="50746" xr:uid="{00000000-0005-0000-0000-000025AE0000}"/>
    <cellStyle name="Migliaia 20 2 13" xfId="51465" xr:uid="{00000000-0005-0000-0000-000026AE0000}"/>
    <cellStyle name="Migliaia 20 2 14" xfId="51877" xr:uid="{00000000-0005-0000-0000-000027AE0000}"/>
    <cellStyle name="Migliaia 20 2 15" xfId="52336" xr:uid="{00000000-0005-0000-0000-000028AE0000}"/>
    <cellStyle name="Migliaia 20 2 2" xfId="1256" xr:uid="{00000000-0005-0000-0000-000029AE0000}"/>
    <cellStyle name="Migliaia 20 2 2 10" xfId="51108" xr:uid="{00000000-0005-0000-0000-00002AAE0000}"/>
    <cellStyle name="Migliaia 20 2 2 11" xfId="51704" xr:uid="{00000000-0005-0000-0000-00002BAE0000}"/>
    <cellStyle name="Migliaia 20 2 2 12" xfId="52124" xr:uid="{00000000-0005-0000-0000-00002CAE0000}"/>
    <cellStyle name="Migliaia 20 2 2 13" xfId="52856" xr:uid="{00000000-0005-0000-0000-00002DAE0000}"/>
    <cellStyle name="Migliaia 20 2 2 2" xfId="10083" xr:uid="{00000000-0005-0000-0000-00002EAE0000}"/>
    <cellStyle name="Migliaia 20 2 2 2 2" xfId="26403" xr:uid="{00000000-0005-0000-0000-00002FAE0000}"/>
    <cellStyle name="Migliaia 20 2 2 2 3" xfId="41371" xr:uid="{00000000-0005-0000-0000-000030AE0000}"/>
    <cellStyle name="Migliaia 20 2 2 2 4" xfId="55211" xr:uid="{00000000-0005-0000-0000-000031AE0000}"/>
    <cellStyle name="Migliaia 20 2 2 3" xfId="18260" xr:uid="{00000000-0005-0000-0000-000032AE0000}"/>
    <cellStyle name="Migliaia 20 2 2 3 2" xfId="33727" xr:uid="{00000000-0005-0000-0000-000033AE0000}"/>
    <cellStyle name="Migliaia 20 2 2 3 3" xfId="48688" xr:uid="{00000000-0005-0000-0000-000034AE0000}"/>
    <cellStyle name="Migliaia 20 2 2 3 4" xfId="56133" xr:uid="{00000000-0005-0000-0000-000035AE0000}"/>
    <cellStyle name="Migliaia 20 2 2 4" xfId="19382" xr:uid="{00000000-0005-0000-0000-000036AE0000}"/>
    <cellStyle name="Migliaia 20 2 2 5" xfId="34372" xr:uid="{00000000-0005-0000-0000-000037AE0000}"/>
    <cellStyle name="Migliaia 20 2 2 6" xfId="49324" xr:uid="{00000000-0005-0000-0000-000038AE0000}"/>
    <cellStyle name="Migliaia 20 2 2 7" xfId="49729" xr:uid="{00000000-0005-0000-0000-000039AE0000}"/>
    <cellStyle name="Migliaia 20 2 2 8" xfId="50138" xr:uid="{00000000-0005-0000-0000-00003AAE0000}"/>
    <cellStyle name="Migliaia 20 2 2 9" xfId="50543" xr:uid="{00000000-0005-0000-0000-00003BAE0000}"/>
    <cellStyle name="Migliaia 20 2 3" xfId="9185" xr:uid="{00000000-0005-0000-0000-00003CAE0000}"/>
    <cellStyle name="Migliaia 20 2 3 2" xfId="54661" xr:uid="{00000000-0005-0000-0000-00003DAE0000}"/>
    <cellStyle name="Migliaia 20 2 4" xfId="9844" xr:uid="{00000000-0005-0000-0000-00003EAE0000}"/>
    <cellStyle name="Migliaia 20 2 4 2" xfId="26169" xr:uid="{00000000-0005-0000-0000-00003FAE0000}"/>
    <cellStyle name="Migliaia 20 2 4 3" xfId="41147" xr:uid="{00000000-0005-0000-0000-000040AE0000}"/>
    <cellStyle name="Migliaia 20 2 4 4" xfId="55618" xr:uid="{00000000-0005-0000-0000-000041AE0000}"/>
    <cellStyle name="Migliaia 20 2 5" xfId="17097" xr:uid="{00000000-0005-0000-0000-000042AE0000}"/>
    <cellStyle name="Migliaia 20 2 5 2" xfId="33212" xr:uid="{00000000-0005-0000-0000-000043AE0000}"/>
    <cellStyle name="Migliaia 20 2 5 3" xfId="48173" xr:uid="{00000000-0005-0000-0000-000044AE0000}"/>
    <cellStyle name="Migliaia 20 2 6" xfId="19150" xr:uid="{00000000-0005-0000-0000-000045AE0000}"/>
    <cellStyle name="Migliaia 20 2 7" xfId="34145" xr:uid="{00000000-0005-0000-0000-000046AE0000}"/>
    <cellStyle name="Migliaia 20 2 8" xfId="49085" xr:uid="{00000000-0005-0000-0000-000047AE0000}"/>
    <cellStyle name="Migliaia 20 2 9" xfId="49490" xr:uid="{00000000-0005-0000-0000-000048AE0000}"/>
    <cellStyle name="Migliaia 20 3" xfId="335" xr:uid="{00000000-0005-0000-0000-000049AE0000}"/>
    <cellStyle name="Migliaia 20 3 10" xfId="49897" xr:uid="{00000000-0005-0000-0000-00004AAE0000}"/>
    <cellStyle name="Migliaia 20 3 11" xfId="50305" xr:uid="{00000000-0005-0000-0000-00004BAE0000}"/>
    <cellStyle name="Migliaia 20 3 12" xfId="50747" xr:uid="{00000000-0005-0000-0000-00004CAE0000}"/>
    <cellStyle name="Migliaia 20 3 13" xfId="51466" xr:uid="{00000000-0005-0000-0000-00004DAE0000}"/>
    <cellStyle name="Migliaia 20 3 14" xfId="51878" xr:uid="{00000000-0005-0000-0000-00004EAE0000}"/>
    <cellStyle name="Migliaia 20 3 15" xfId="52337" xr:uid="{00000000-0005-0000-0000-00004FAE0000}"/>
    <cellStyle name="Migliaia 20 3 2" xfId="336" xr:uid="{00000000-0005-0000-0000-000050AE0000}"/>
    <cellStyle name="Migliaia 20 3 2 10" xfId="50306" xr:uid="{00000000-0005-0000-0000-000051AE0000}"/>
    <cellStyle name="Migliaia 20 3 2 11" xfId="50748" xr:uid="{00000000-0005-0000-0000-000052AE0000}"/>
    <cellStyle name="Migliaia 20 3 2 12" xfId="51467" xr:uid="{00000000-0005-0000-0000-000053AE0000}"/>
    <cellStyle name="Migliaia 20 3 2 13" xfId="51879" xr:uid="{00000000-0005-0000-0000-000054AE0000}"/>
    <cellStyle name="Migliaia 20 3 2 14" xfId="52338" xr:uid="{00000000-0005-0000-0000-000055AE0000}"/>
    <cellStyle name="Migliaia 20 3 2 2" xfId="9187" xr:uid="{00000000-0005-0000-0000-000056AE0000}"/>
    <cellStyle name="Migliaia 20 3 2 2 2" xfId="54790" xr:uid="{00000000-0005-0000-0000-000057AE0000}"/>
    <cellStyle name="Migliaia 20 3 2 3" xfId="9846" xr:uid="{00000000-0005-0000-0000-000058AE0000}"/>
    <cellStyle name="Migliaia 20 3 2 3 2" xfId="26171" xr:uid="{00000000-0005-0000-0000-000059AE0000}"/>
    <cellStyle name="Migliaia 20 3 2 3 3" xfId="41149" xr:uid="{00000000-0005-0000-0000-00005AAE0000}"/>
    <cellStyle name="Migliaia 20 3 2 3 4" xfId="55620" xr:uid="{00000000-0005-0000-0000-00005BAE0000}"/>
    <cellStyle name="Migliaia 20 3 2 4" xfId="17099" xr:uid="{00000000-0005-0000-0000-00005CAE0000}"/>
    <cellStyle name="Migliaia 20 3 2 4 2" xfId="33214" xr:uid="{00000000-0005-0000-0000-00005DAE0000}"/>
    <cellStyle name="Migliaia 20 3 2 4 3" xfId="48175" xr:uid="{00000000-0005-0000-0000-00005EAE0000}"/>
    <cellStyle name="Migliaia 20 3 2 5" xfId="19152" xr:uid="{00000000-0005-0000-0000-00005FAE0000}"/>
    <cellStyle name="Migliaia 20 3 2 6" xfId="34147" xr:uid="{00000000-0005-0000-0000-000060AE0000}"/>
    <cellStyle name="Migliaia 20 3 2 7" xfId="49087" xr:uid="{00000000-0005-0000-0000-000061AE0000}"/>
    <cellStyle name="Migliaia 20 3 2 8" xfId="49492" xr:uid="{00000000-0005-0000-0000-000062AE0000}"/>
    <cellStyle name="Migliaia 20 3 2 9" xfId="49898" xr:uid="{00000000-0005-0000-0000-000063AE0000}"/>
    <cellStyle name="Migliaia 20 3 3" xfId="9186" xr:uid="{00000000-0005-0000-0000-000064AE0000}"/>
    <cellStyle name="Migliaia 20 3 3 2" xfId="18262" xr:uid="{00000000-0005-0000-0000-000065AE0000}"/>
    <cellStyle name="Migliaia 20 3 3 2 2" xfId="33729" xr:uid="{00000000-0005-0000-0000-000066AE0000}"/>
    <cellStyle name="Migliaia 20 3 3 2 2 2" xfId="55213" xr:uid="{00000000-0005-0000-0000-000067AE0000}"/>
    <cellStyle name="Migliaia 20 3 3 2 3" xfId="48690" xr:uid="{00000000-0005-0000-0000-000068AE0000}"/>
    <cellStyle name="Migliaia 20 3 3 2 3 2" xfId="56135" xr:uid="{00000000-0005-0000-0000-000069AE0000}"/>
    <cellStyle name="Migliaia 20 3 3 2 4" xfId="52858" xr:uid="{00000000-0005-0000-0000-00006AAE0000}"/>
    <cellStyle name="Migliaia 20 3 3 3" xfId="17100" xr:uid="{00000000-0005-0000-0000-00006BAE0000}"/>
    <cellStyle name="Migliaia 20 3 3 3 2" xfId="33215" xr:uid="{00000000-0005-0000-0000-00006CAE0000}"/>
    <cellStyle name="Migliaia 20 3 3 3 3" xfId="48176" xr:uid="{00000000-0005-0000-0000-00006DAE0000}"/>
    <cellStyle name="Migliaia 20 3 3 3 4" xfId="54791" xr:uid="{00000000-0005-0000-0000-00006EAE0000}"/>
    <cellStyle name="Migliaia 20 3 3 4" xfId="55621" xr:uid="{00000000-0005-0000-0000-00006FAE0000}"/>
    <cellStyle name="Migliaia 20 3 3 5" xfId="52339" xr:uid="{00000000-0005-0000-0000-000070AE0000}"/>
    <cellStyle name="Migliaia 20 3 4" xfId="9845" xr:uid="{00000000-0005-0000-0000-000071AE0000}"/>
    <cellStyle name="Migliaia 20 3 4 2" xfId="18261" xr:uid="{00000000-0005-0000-0000-000072AE0000}"/>
    <cellStyle name="Migliaia 20 3 4 2 2" xfId="33728" xr:uid="{00000000-0005-0000-0000-000073AE0000}"/>
    <cellStyle name="Migliaia 20 3 4 2 3" xfId="48689" xr:uid="{00000000-0005-0000-0000-000074AE0000}"/>
    <cellStyle name="Migliaia 20 3 4 2 4" xfId="55212" xr:uid="{00000000-0005-0000-0000-000075AE0000}"/>
    <cellStyle name="Migliaia 20 3 4 3" xfId="26170" xr:uid="{00000000-0005-0000-0000-000076AE0000}"/>
    <cellStyle name="Migliaia 20 3 4 3 2" xfId="56134" xr:uid="{00000000-0005-0000-0000-000077AE0000}"/>
    <cellStyle name="Migliaia 20 3 4 4" xfId="41148" xr:uid="{00000000-0005-0000-0000-000078AE0000}"/>
    <cellStyle name="Migliaia 20 3 4 5" xfId="52857" xr:uid="{00000000-0005-0000-0000-000079AE0000}"/>
    <cellStyle name="Migliaia 20 3 5" xfId="17098" xr:uid="{00000000-0005-0000-0000-00007AAE0000}"/>
    <cellStyle name="Migliaia 20 3 5 2" xfId="33213" xr:uid="{00000000-0005-0000-0000-00007BAE0000}"/>
    <cellStyle name="Migliaia 20 3 5 3" xfId="48174" xr:uid="{00000000-0005-0000-0000-00007CAE0000}"/>
    <cellStyle name="Migliaia 20 3 5 4" xfId="54789" xr:uid="{00000000-0005-0000-0000-00007DAE0000}"/>
    <cellStyle name="Migliaia 20 3 6" xfId="19151" xr:uid="{00000000-0005-0000-0000-00007EAE0000}"/>
    <cellStyle name="Migliaia 20 3 6 2" xfId="55619" xr:uid="{00000000-0005-0000-0000-00007FAE0000}"/>
    <cellStyle name="Migliaia 20 3 7" xfId="34146" xr:uid="{00000000-0005-0000-0000-000080AE0000}"/>
    <cellStyle name="Migliaia 20 3 8" xfId="49086" xr:uid="{00000000-0005-0000-0000-000081AE0000}"/>
    <cellStyle name="Migliaia 20 3 9" xfId="49491" xr:uid="{00000000-0005-0000-0000-000082AE0000}"/>
    <cellStyle name="Migliaia 20 4" xfId="9188" xr:uid="{00000000-0005-0000-0000-000083AE0000}"/>
    <cellStyle name="Migliaia 20 4 2" xfId="17102" xr:uid="{00000000-0005-0000-0000-000084AE0000}"/>
    <cellStyle name="Migliaia 20 4 2 2" xfId="18264" xr:uid="{00000000-0005-0000-0000-000085AE0000}"/>
    <cellStyle name="Migliaia 20 4 2 2 2" xfId="33731" xr:uid="{00000000-0005-0000-0000-000086AE0000}"/>
    <cellStyle name="Migliaia 20 4 2 2 2 2" xfId="55215" xr:uid="{00000000-0005-0000-0000-000087AE0000}"/>
    <cellStyle name="Migliaia 20 4 2 2 3" xfId="48692" xr:uid="{00000000-0005-0000-0000-000088AE0000}"/>
    <cellStyle name="Migliaia 20 4 2 2 3 2" xfId="56137" xr:uid="{00000000-0005-0000-0000-000089AE0000}"/>
    <cellStyle name="Migliaia 20 4 2 2 4" xfId="52860" xr:uid="{00000000-0005-0000-0000-00008AAE0000}"/>
    <cellStyle name="Migliaia 20 4 2 3" xfId="33217" xr:uid="{00000000-0005-0000-0000-00008BAE0000}"/>
    <cellStyle name="Migliaia 20 4 2 3 2" xfId="54793" xr:uid="{00000000-0005-0000-0000-00008CAE0000}"/>
    <cellStyle name="Migliaia 20 4 2 4" xfId="48178" xr:uid="{00000000-0005-0000-0000-00008DAE0000}"/>
    <cellStyle name="Migliaia 20 4 2 4 2" xfId="55623" xr:uid="{00000000-0005-0000-0000-00008EAE0000}"/>
    <cellStyle name="Migliaia 20 4 2 5" xfId="52341" xr:uid="{00000000-0005-0000-0000-00008FAE0000}"/>
    <cellStyle name="Migliaia 20 4 3" xfId="18263" xr:uid="{00000000-0005-0000-0000-000090AE0000}"/>
    <cellStyle name="Migliaia 20 4 3 2" xfId="33730" xr:uid="{00000000-0005-0000-0000-000091AE0000}"/>
    <cellStyle name="Migliaia 20 4 3 2 2" xfId="55214" xr:uid="{00000000-0005-0000-0000-000092AE0000}"/>
    <cellStyle name="Migliaia 20 4 3 3" xfId="48691" xr:uid="{00000000-0005-0000-0000-000093AE0000}"/>
    <cellStyle name="Migliaia 20 4 3 3 2" xfId="56136" xr:uid="{00000000-0005-0000-0000-000094AE0000}"/>
    <cellStyle name="Migliaia 20 4 3 4" xfId="52859" xr:uid="{00000000-0005-0000-0000-000095AE0000}"/>
    <cellStyle name="Migliaia 20 4 4" xfId="17101" xr:uid="{00000000-0005-0000-0000-000096AE0000}"/>
    <cellStyle name="Migliaia 20 4 4 2" xfId="33216" xr:uid="{00000000-0005-0000-0000-000097AE0000}"/>
    <cellStyle name="Migliaia 20 4 4 3" xfId="48177" xr:uid="{00000000-0005-0000-0000-000098AE0000}"/>
    <cellStyle name="Migliaia 20 4 4 4" xfId="54792" xr:uid="{00000000-0005-0000-0000-000099AE0000}"/>
    <cellStyle name="Migliaia 20 4 5" xfId="51224" xr:uid="{00000000-0005-0000-0000-00009AAE0000}"/>
    <cellStyle name="Migliaia 20 4 5 2" xfId="55622" xr:uid="{00000000-0005-0000-0000-00009BAE0000}"/>
    <cellStyle name="Migliaia 20 4 6" xfId="52340" xr:uid="{00000000-0005-0000-0000-00009CAE0000}"/>
    <cellStyle name="Migliaia 20 5" xfId="9189" xr:uid="{00000000-0005-0000-0000-00009DAE0000}"/>
    <cellStyle name="Migliaia 20 5 2" xfId="17103" xr:uid="{00000000-0005-0000-0000-00009EAE0000}"/>
    <cellStyle name="Migliaia 20 5 2 2" xfId="33218" xr:uid="{00000000-0005-0000-0000-00009FAE0000}"/>
    <cellStyle name="Migliaia 20 5 2 3" xfId="48179" xr:uid="{00000000-0005-0000-0000-0000A0AE0000}"/>
    <cellStyle name="Migliaia 20 5 2 4" xfId="54794" xr:uid="{00000000-0005-0000-0000-0000A1AE0000}"/>
    <cellStyle name="Migliaia 20 5 3" xfId="50977" xr:uid="{00000000-0005-0000-0000-0000A2AE0000}"/>
    <cellStyle name="Migliaia 20 5 3 2" xfId="55624" xr:uid="{00000000-0005-0000-0000-0000A3AE0000}"/>
    <cellStyle name="Migliaia 20 5 4" xfId="52342" xr:uid="{00000000-0005-0000-0000-0000A4AE0000}"/>
    <cellStyle name="Migliaia 20 6" xfId="9184" xr:uid="{00000000-0005-0000-0000-0000A5AE0000}"/>
    <cellStyle name="Migliaia 20 6 2" xfId="51267" xr:uid="{00000000-0005-0000-0000-0000A6AE0000}"/>
    <cellStyle name="Migliaia 20 6 3" xfId="54597" xr:uid="{00000000-0005-0000-0000-0000A7AE0000}"/>
    <cellStyle name="Migliaia 20 7" xfId="9843" xr:uid="{00000000-0005-0000-0000-0000A8AE0000}"/>
    <cellStyle name="Migliaia 20 7 2" xfId="26168" xr:uid="{00000000-0005-0000-0000-0000A9AE0000}"/>
    <cellStyle name="Migliaia 20 7 3" xfId="41146" xr:uid="{00000000-0005-0000-0000-0000AAAE0000}"/>
    <cellStyle name="Migliaia 20 7 4" xfId="55617" xr:uid="{00000000-0005-0000-0000-0000ABAE0000}"/>
    <cellStyle name="Migliaia 20 8" xfId="17096" xr:uid="{00000000-0005-0000-0000-0000ACAE0000}"/>
    <cellStyle name="Migliaia 20 8 2" xfId="33211" xr:uid="{00000000-0005-0000-0000-0000ADAE0000}"/>
    <cellStyle name="Migliaia 20 8 3" xfId="48172" xr:uid="{00000000-0005-0000-0000-0000AEAE0000}"/>
    <cellStyle name="Migliaia 20 9" xfId="19149" xr:uid="{00000000-0005-0000-0000-0000AFAE0000}"/>
    <cellStyle name="Migliaia 21" xfId="337" xr:uid="{00000000-0005-0000-0000-0000B0AE0000}"/>
    <cellStyle name="Migliaia 21 10" xfId="34148" xr:uid="{00000000-0005-0000-0000-0000B1AE0000}"/>
    <cellStyle name="Migliaia 21 11" xfId="49088" xr:uid="{00000000-0005-0000-0000-0000B2AE0000}"/>
    <cellStyle name="Migliaia 21 12" xfId="49493" xr:uid="{00000000-0005-0000-0000-0000B3AE0000}"/>
    <cellStyle name="Migliaia 21 13" xfId="49899" xr:uid="{00000000-0005-0000-0000-0000B4AE0000}"/>
    <cellStyle name="Migliaia 21 14" xfId="50307" xr:uid="{00000000-0005-0000-0000-0000B5AE0000}"/>
    <cellStyle name="Migliaia 21 15" xfId="50749" xr:uid="{00000000-0005-0000-0000-0000B6AE0000}"/>
    <cellStyle name="Migliaia 21 16" xfId="51468" xr:uid="{00000000-0005-0000-0000-0000B7AE0000}"/>
    <cellStyle name="Migliaia 21 17" xfId="51880" xr:uid="{00000000-0005-0000-0000-0000B8AE0000}"/>
    <cellStyle name="Migliaia 21 18" xfId="52343" xr:uid="{00000000-0005-0000-0000-0000B9AE0000}"/>
    <cellStyle name="Migliaia 21 2" xfId="338" xr:uid="{00000000-0005-0000-0000-0000BAAE0000}"/>
    <cellStyle name="Migliaia 21 2 10" xfId="49900" xr:uid="{00000000-0005-0000-0000-0000BBAE0000}"/>
    <cellStyle name="Migliaia 21 2 11" xfId="50308" xr:uid="{00000000-0005-0000-0000-0000BCAE0000}"/>
    <cellStyle name="Migliaia 21 2 12" xfId="50750" xr:uid="{00000000-0005-0000-0000-0000BDAE0000}"/>
    <cellStyle name="Migliaia 21 2 13" xfId="51469" xr:uid="{00000000-0005-0000-0000-0000BEAE0000}"/>
    <cellStyle name="Migliaia 21 2 14" xfId="51881" xr:uid="{00000000-0005-0000-0000-0000BFAE0000}"/>
    <cellStyle name="Migliaia 21 2 15" xfId="52344" xr:uid="{00000000-0005-0000-0000-0000C0AE0000}"/>
    <cellStyle name="Migliaia 21 2 2" xfId="1257" xr:uid="{00000000-0005-0000-0000-0000C1AE0000}"/>
    <cellStyle name="Migliaia 21 2 2 10" xfId="51109" xr:uid="{00000000-0005-0000-0000-0000C2AE0000}"/>
    <cellStyle name="Migliaia 21 2 2 11" xfId="51705" xr:uid="{00000000-0005-0000-0000-0000C3AE0000}"/>
    <cellStyle name="Migliaia 21 2 2 12" xfId="52125" xr:uid="{00000000-0005-0000-0000-0000C4AE0000}"/>
    <cellStyle name="Migliaia 21 2 2 13" xfId="52861" xr:uid="{00000000-0005-0000-0000-0000C5AE0000}"/>
    <cellStyle name="Migliaia 21 2 2 2" xfId="10084" xr:uid="{00000000-0005-0000-0000-0000C6AE0000}"/>
    <cellStyle name="Migliaia 21 2 2 2 2" xfId="26404" xr:uid="{00000000-0005-0000-0000-0000C7AE0000}"/>
    <cellStyle name="Migliaia 21 2 2 2 3" xfId="41372" xr:uid="{00000000-0005-0000-0000-0000C8AE0000}"/>
    <cellStyle name="Migliaia 21 2 2 2 4" xfId="55216" xr:uid="{00000000-0005-0000-0000-0000C9AE0000}"/>
    <cellStyle name="Migliaia 21 2 2 3" xfId="18265" xr:uid="{00000000-0005-0000-0000-0000CAAE0000}"/>
    <cellStyle name="Migliaia 21 2 2 3 2" xfId="33732" xr:uid="{00000000-0005-0000-0000-0000CBAE0000}"/>
    <cellStyle name="Migliaia 21 2 2 3 3" xfId="48693" xr:uid="{00000000-0005-0000-0000-0000CCAE0000}"/>
    <cellStyle name="Migliaia 21 2 2 3 4" xfId="56138" xr:uid="{00000000-0005-0000-0000-0000CDAE0000}"/>
    <cellStyle name="Migliaia 21 2 2 4" xfId="19383" xr:uid="{00000000-0005-0000-0000-0000CEAE0000}"/>
    <cellStyle name="Migliaia 21 2 2 5" xfId="34373" xr:uid="{00000000-0005-0000-0000-0000CFAE0000}"/>
    <cellStyle name="Migliaia 21 2 2 6" xfId="49325" xr:uid="{00000000-0005-0000-0000-0000D0AE0000}"/>
    <cellStyle name="Migliaia 21 2 2 7" xfId="49730" xr:uid="{00000000-0005-0000-0000-0000D1AE0000}"/>
    <cellStyle name="Migliaia 21 2 2 8" xfId="50139" xr:uid="{00000000-0005-0000-0000-0000D2AE0000}"/>
    <cellStyle name="Migliaia 21 2 2 9" xfId="50544" xr:uid="{00000000-0005-0000-0000-0000D3AE0000}"/>
    <cellStyle name="Migliaia 21 2 3" xfId="9191" xr:uid="{00000000-0005-0000-0000-0000D4AE0000}"/>
    <cellStyle name="Migliaia 21 2 3 2" xfId="54662" xr:uid="{00000000-0005-0000-0000-0000D5AE0000}"/>
    <cellStyle name="Migliaia 21 2 4" xfId="9848" xr:uid="{00000000-0005-0000-0000-0000D6AE0000}"/>
    <cellStyle name="Migliaia 21 2 4 2" xfId="26173" xr:uid="{00000000-0005-0000-0000-0000D7AE0000}"/>
    <cellStyle name="Migliaia 21 2 4 3" xfId="41151" xr:uid="{00000000-0005-0000-0000-0000D8AE0000}"/>
    <cellStyle name="Migliaia 21 2 4 4" xfId="55626" xr:uid="{00000000-0005-0000-0000-0000D9AE0000}"/>
    <cellStyle name="Migliaia 21 2 5" xfId="17105" xr:uid="{00000000-0005-0000-0000-0000DAAE0000}"/>
    <cellStyle name="Migliaia 21 2 5 2" xfId="33220" xr:uid="{00000000-0005-0000-0000-0000DBAE0000}"/>
    <cellStyle name="Migliaia 21 2 5 3" xfId="48181" xr:uid="{00000000-0005-0000-0000-0000DCAE0000}"/>
    <cellStyle name="Migliaia 21 2 6" xfId="19154" xr:uid="{00000000-0005-0000-0000-0000DDAE0000}"/>
    <cellStyle name="Migliaia 21 2 7" xfId="34149" xr:uid="{00000000-0005-0000-0000-0000DEAE0000}"/>
    <cellStyle name="Migliaia 21 2 8" xfId="49089" xr:uid="{00000000-0005-0000-0000-0000DFAE0000}"/>
    <cellStyle name="Migliaia 21 2 9" xfId="49494" xr:uid="{00000000-0005-0000-0000-0000E0AE0000}"/>
    <cellStyle name="Migliaia 21 3" xfId="339" xr:uid="{00000000-0005-0000-0000-0000E1AE0000}"/>
    <cellStyle name="Migliaia 21 3 10" xfId="49901" xr:uid="{00000000-0005-0000-0000-0000E2AE0000}"/>
    <cellStyle name="Migliaia 21 3 11" xfId="50309" xr:uid="{00000000-0005-0000-0000-0000E3AE0000}"/>
    <cellStyle name="Migliaia 21 3 12" xfId="50751" xr:uid="{00000000-0005-0000-0000-0000E4AE0000}"/>
    <cellStyle name="Migliaia 21 3 13" xfId="51470" xr:uid="{00000000-0005-0000-0000-0000E5AE0000}"/>
    <cellStyle name="Migliaia 21 3 14" xfId="51882" xr:uid="{00000000-0005-0000-0000-0000E6AE0000}"/>
    <cellStyle name="Migliaia 21 3 15" xfId="52345" xr:uid="{00000000-0005-0000-0000-0000E7AE0000}"/>
    <cellStyle name="Migliaia 21 3 2" xfId="340" xr:uid="{00000000-0005-0000-0000-0000E8AE0000}"/>
    <cellStyle name="Migliaia 21 3 2 10" xfId="50310" xr:uid="{00000000-0005-0000-0000-0000E9AE0000}"/>
    <cellStyle name="Migliaia 21 3 2 11" xfId="50752" xr:uid="{00000000-0005-0000-0000-0000EAAE0000}"/>
    <cellStyle name="Migliaia 21 3 2 12" xfId="51471" xr:uid="{00000000-0005-0000-0000-0000EBAE0000}"/>
    <cellStyle name="Migliaia 21 3 2 13" xfId="51883" xr:uid="{00000000-0005-0000-0000-0000ECAE0000}"/>
    <cellStyle name="Migliaia 21 3 2 14" xfId="52346" xr:uid="{00000000-0005-0000-0000-0000EDAE0000}"/>
    <cellStyle name="Migliaia 21 3 2 2" xfId="9193" xr:uid="{00000000-0005-0000-0000-0000EEAE0000}"/>
    <cellStyle name="Migliaia 21 3 2 2 2" xfId="54796" xr:uid="{00000000-0005-0000-0000-0000EFAE0000}"/>
    <cellStyle name="Migliaia 21 3 2 3" xfId="9850" xr:uid="{00000000-0005-0000-0000-0000F0AE0000}"/>
    <cellStyle name="Migliaia 21 3 2 3 2" xfId="26175" xr:uid="{00000000-0005-0000-0000-0000F1AE0000}"/>
    <cellStyle name="Migliaia 21 3 2 3 3" xfId="41153" xr:uid="{00000000-0005-0000-0000-0000F2AE0000}"/>
    <cellStyle name="Migliaia 21 3 2 3 4" xfId="55628" xr:uid="{00000000-0005-0000-0000-0000F3AE0000}"/>
    <cellStyle name="Migliaia 21 3 2 4" xfId="17107" xr:uid="{00000000-0005-0000-0000-0000F4AE0000}"/>
    <cellStyle name="Migliaia 21 3 2 4 2" xfId="33222" xr:uid="{00000000-0005-0000-0000-0000F5AE0000}"/>
    <cellStyle name="Migliaia 21 3 2 4 3" xfId="48183" xr:uid="{00000000-0005-0000-0000-0000F6AE0000}"/>
    <cellStyle name="Migliaia 21 3 2 5" xfId="19156" xr:uid="{00000000-0005-0000-0000-0000F7AE0000}"/>
    <cellStyle name="Migliaia 21 3 2 6" xfId="34151" xr:uid="{00000000-0005-0000-0000-0000F8AE0000}"/>
    <cellStyle name="Migliaia 21 3 2 7" xfId="49091" xr:uid="{00000000-0005-0000-0000-0000F9AE0000}"/>
    <cellStyle name="Migliaia 21 3 2 8" xfId="49496" xr:uid="{00000000-0005-0000-0000-0000FAAE0000}"/>
    <cellStyle name="Migliaia 21 3 2 9" xfId="49902" xr:uid="{00000000-0005-0000-0000-0000FBAE0000}"/>
    <cellStyle name="Migliaia 21 3 3" xfId="9192" xr:uid="{00000000-0005-0000-0000-0000FCAE0000}"/>
    <cellStyle name="Migliaia 21 3 3 2" xfId="18267" xr:uid="{00000000-0005-0000-0000-0000FDAE0000}"/>
    <cellStyle name="Migliaia 21 3 3 2 2" xfId="33734" xr:uid="{00000000-0005-0000-0000-0000FEAE0000}"/>
    <cellStyle name="Migliaia 21 3 3 2 2 2" xfId="55218" xr:uid="{00000000-0005-0000-0000-0000FFAE0000}"/>
    <cellStyle name="Migliaia 21 3 3 2 3" xfId="48695" xr:uid="{00000000-0005-0000-0000-000000AF0000}"/>
    <cellStyle name="Migliaia 21 3 3 2 3 2" xfId="56140" xr:uid="{00000000-0005-0000-0000-000001AF0000}"/>
    <cellStyle name="Migliaia 21 3 3 2 4" xfId="52863" xr:uid="{00000000-0005-0000-0000-000002AF0000}"/>
    <cellStyle name="Migliaia 21 3 3 3" xfId="17108" xr:uid="{00000000-0005-0000-0000-000003AF0000}"/>
    <cellStyle name="Migliaia 21 3 3 3 2" xfId="33223" xr:uid="{00000000-0005-0000-0000-000004AF0000}"/>
    <cellStyle name="Migliaia 21 3 3 3 3" xfId="48184" xr:uid="{00000000-0005-0000-0000-000005AF0000}"/>
    <cellStyle name="Migliaia 21 3 3 3 4" xfId="54797" xr:uid="{00000000-0005-0000-0000-000006AF0000}"/>
    <cellStyle name="Migliaia 21 3 3 4" xfId="55629" xr:uid="{00000000-0005-0000-0000-000007AF0000}"/>
    <cellStyle name="Migliaia 21 3 3 5" xfId="52347" xr:uid="{00000000-0005-0000-0000-000008AF0000}"/>
    <cellStyle name="Migliaia 21 3 4" xfId="9849" xr:uid="{00000000-0005-0000-0000-000009AF0000}"/>
    <cellStyle name="Migliaia 21 3 4 2" xfId="18266" xr:uid="{00000000-0005-0000-0000-00000AAF0000}"/>
    <cellStyle name="Migliaia 21 3 4 2 2" xfId="33733" xr:uid="{00000000-0005-0000-0000-00000BAF0000}"/>
    <cellStyle name="Migliaia 21 3 4 2 3" xfId="48694" xr:uid="{00000000-0005-0000-0000-00000CAF0000}"/>
    <cellStyle name="Migliaia 21 3 4 2 4" xfId="55217" xr:uid="{00000000-0005-0000-0000-00000DAF0000}"/>
    <cellStyle name="Migliaia 21 3 4 3" xfId="26174" xr:uid="{00000000-0005-0000-0000-00000EAF0000}"/>
    <cellStyle name="Migliaia 21 3 4 3 2" xfId="56139" xr:uid="{00000000-0005-0000-0000-00000FAF0000}"/>
    <cellStyle name="Migliaia 21 3 4 4" xfId="41152" xr:uid="{00000000-0005-0000-0000-000010AF0000}"/>
    <cellStyle name="Migliaia 21 3 4 5" xfId="52862" xr:uid="{00000000-0005-0000-0000-000011AF0000}"/>
    <cellStyle name="Migliaia 21 3 5" xfId="17106" xr:uid="{00000000-0005-0000-0000-000012AF0000}"/>
    <cellStyle name="Migliaia 21 3 5 2" xfId="33221" xr:uid="{00000000-0005-0000-0000-000013AF0000}"/>
    <cellStyle name="Migliaia 21 3 5 3" xfId="48182" xr:uid="{00000000-0005-0000-0000-000014AF0000}"/>
    <cellStyle name="Migliaia 21 3 5 4" xfId="54795" xr:uid="{00000000-0005-0000-0000-000015AF0000}"/>
    <cellStyle name="Migliaia 21 3 6" xfId="19155" xr:uid="{00000000-0005-0000-0000-000016AF0000}"/>
    <cellStyle name="Migliaia 21 3 6 2" xfId="55627" xr:uid="{00000000-0005-0000-0000-000017AF0000}"/>
    <cellStyle name="Migliaia 21 3 7" xfId="34150" xr:uid="{00000000-0005-0000-0000-000018AF0000}"/>
    <cellStyle name="Migliaia 21 3 8" xfId="49090" xr:uid="{00000000-0005-0000-0000-000019AF0000}"/>
    <cellStyle name="Migliaia 21 3 9" xfId="49495" xr:uid="{00000000-0005-0000-0000-00001AAF0000}"/>
    <cellStyle name="Migliaia 21 4" xfId="9194" xr:uid="{00000000-0005-0000-0000-00001BAF0000}"/>
    <cellStyle name="Migliaia 21 4 2" xfId="17110" xr:uid="{00000000-0005-0000-0000-00001CAF0000}"/>
    <cellStyle name="Migliaia 21 4 2 2" xfId="18269" xr:uid="{00000000-0005-0000-0000-00001DAF0000}"/>
    <cellStyle name="Migliaia 21 4 2 2 2" xfId="33736" xr:uid="{00000000-0005-0000-0000-00001EAF0000}"/>
    <cellStyle name="Migliaia 21 4 2 2 2 2" xfId="55220" xr:uid="{00000000-0005-0000-0000-00001FAF0000}"/>
    <cellStyle name="Migliaia 21 4 2 2 3" xfId="48697" xr:uid="{00000000-0005-0000-0000-000020AF0000}"/>
    <cellStyle name="Migliaia 21 4 2 2 3 2" xfId="56142" xr:uid="{00000000-0005-0000-0000-000021AF0000}"/>
    <cellStyle name="Migliaia 21 4 2 2 4" xfId="52865" xr:uid="{00000000-0005-0000-0000-000022AF0000}"/>
    <cellStyle name="Migliaia 21 4 2 3" xfId="33225" xr:uid="{00000000-0005-0000-0000-000023AF0000}"/>
    <cellStyle name="Migliaia 21 4 2 3 2" xfId="54799" xr:uid="{00000000-0005-0000-0000-000024AF0000}"/>
    <cellStyle name="Migliaia 21 4 2 4" xfId="48186" xr:uid="{00000000-0005-0000-0000-000025AF0000}"/>
    <cellStyle name="Migliaia 21 4 2 4 2" xfId="55631" xr:uid="{00000000-0005-0000-0000-000026AF0000}"/>
    <cellStyle name="Migliaia 21 4 2 5" xfId="52349" xr:uid="{00000000-0005-0000-0000-000027AF0000}"/>
    <cellStyle name="Migliaia 21 4 3" xfId="18268" xr:uid="{00000000-0005-0000-0000-000028AF0000}"/>
    <cellStyle name="Migliaia 21 4 3 2" xfId="33735" xr:uid="{00000000-0005-0000-0000-000029AF0000}"/>
    <cellStyle name="Migliaia 21 4 3 2 2" xfId="55219" xr:uid="{00000000-0005-0000-0000-00002AAF0000}"/>
    <cellStyle name="Migliaia 21 4 3 3" xfId="48696" xr:uid="{00000000-0005-0000-0000-00002BAF0000}"/>
    <cellStyle name="Migliaia 21 4 3 3 2" xfId="56141" xr:uid="{00000000-0005-0000-0000-00002CAF0000}"/>
    <cellStyle name="Migliaia 21 4 3 4" xfId="52864" xr:uid="{00000000-0005-0000-0000-00002DAF0000}"/>
    <cellStyle name="Migliaia 21 4 4" xfId="17109" xr:uid="{00000000-0005-0000-0000-00002EAF0000}"/>
    <cellStyle name="Migliaia 21 4 4 2" xfId="33224" xr:uid="{00000000-0005-0000-0000-00002FAF0000}"/>
    <cellStyle name="Migliaia 21 4 4 3" xfId="48185" xr:uid="{00000000-0005-0000-0000-000030AF0000}"/>
    <cellStyle name="Migliaia 21 4 4 4" xfId="54798" xr:uid="{00000000-0005-0000-0000-000031AF0000}"/>
    <cellStyle name="Migliaia 21 4 5" xfId="51052" xr:uid="{00000000-0005-0000-0000-000032AF0000}"/>
    <cellStyle name="Migliaia 21 4 5 2" xfId="55630" xr:uid="{00000000-0005-0000-0000-000033AF0000}"/>
    <cellStyle name="Migliaia 21 4 6" xfId="52348" xr:uid="{00000000-0005-0000-0000-000034AF0000}"/>
    <cellStyle name="Migliaia 21 5" xfId="9195" xr:uid="{00000000-0005-0000-0000-000035AF0000}"/>
    <cellStyle name="Migliaia 21 5 2" xfId="17111" xr:uid="{00000000-0005-0000-0000-000036AF0000}"/>
    <cellStyle name="Migliaia 21 5 2 2" xfId="33226" xr:uid="{00000000-0005-0000-0000-000037AF0000}"/>
    <cellStyle name="Migliaia 21 5 2 3" xfId="48187" xr:uid="{00000000-0005-0000-0000-000038AF0000}"/>
    <cellStyle name="Migliaia 21 5 2 4" xfId="54800" xr:uid="{00000000-0005-0000-0000-000039AF0000}"/>
    <cellStyle name="Migliaia 21 5 3" xfId="51196" xr:uid="{00000000-0005-0000-0000-00003AAF0000}"/>
    <cellStyle name="Migliaia 21 5 3 2" xfId="55632" xr:uid="{00000000-0005-0000-0000-00003BAF0000}"/>
    <cellStyle name="Migliaia 21 5 4" xfId="52350" xr:uid="{00000000-0005-0000-0000-00003CAF0000}"/>
    <cellStyle name="Migliaia 21 6" xfId="9190" xr:uid="{00000000-0005-0000-0000-00003DAF0000}"/>
    <cellStyle name="Migliaia 21 6 2" xfId="51051" xr:uid="{00000000-0005-0000-0000-00003EAF0000}"/>
    <cellStyle name="Migliaia 21 6 3" xfId="54598" xr:uid="{00000000-0005-0000-0000-00003FAF0000}"/>
    <cellStyle name="Migliaia 21 7" xfId="9847" xr:uid="{00000000-0005-0000-0000-000040AF0000}"/>
    <cellStyle name="Migliaia 21 7 2" xfId="26172" xr:uid="{00000000-0005-0000-0000-000041AF0000}"/>
    <cellStyle name="Migliaia 21 7 3" xfId="41150" xr:uid="{00000000-0005-0000-0000-000042AF0000}"/>
    <cellStyle name="Migliaia 21 7 4" xfId="55625" xr:uid="{00000000-0005-0000-0000-000043AF0000}"/>
    <cellStyle name="Migliaia 21 8" xfId="17104" xr:uid="{00000000-0005-0000-0000-000044AF0000}"/>
    <cellStyle name="Migliaia 21 8 2" xfId="33219" xr:uid="{00000000-0005-0000-0000-000045AF0000}"/>
    <cellStyle name="Migliaia 21 8 3" xfId="48180" xr:uid="{00000000-0005-0000-0000-000046AF0000}"/>
    <cellStyle name="Migliaia 21 9" xfId="19153" xr:uid="{00000000-0005-0000-0000-000047AF0000}"/>
    <cellStyle name="Migliaia 22" xfId="341" xr:uid="{00000000-0005-0000-0000-000048AF0000}"/>
    <cellStyle name="Migliaia 22 10" xfId="34152" xr:uid="{00000000-0005-0000-0000-000049AF0000}"/>
    <cellStyle name="Migliaia 22 11" xfId="49092" xr:uid="{00000000-0005-0000-0000-00004AAF0000}"/>
    <cellStyle name="Migliaia 22 12" xfId="49497" xr:uid="{00000000-0005-0000-0000-00004BAF0000}"/>
    <cellStyle name="Migliaia 22 13" xfId="49903" xr:uid="{00000000-0005-0000-0000-00004CAF0000}"/>
    <cellStyle name="Migliaia 22 14" xfId="50311" xr:uid="{00000000-0005-0000-0000-00004DAF0000}"/>
    <cellStyle name="Migliaia 22 15" xfId="50753" xr:uid="{00000000-0005-0000-0000-00004EAF0000}"/>
    <cellStyle name="Migliaia 22 16" xfId="51472" xr:uid="{00000000-0005-0000-0000-00004FAF0000}"/>
    <cellStyle name="Migliaia 22 17" xfId="51884" xr:uid="{00000000-0005-0000-0000-000050AF0000}"/>
    <cellStyle name="Migliaia 22 18" xfId="52351" xr:uid="{00000000-0005-0000-0000-000051AF0000}"/>
    <cellStyle name="Migliaia 22 2" xfId="342" xr:uid="{00000000-0005-0000-0000-000052AF0000}"/>
    <cellStyle name="Migliaia 22 2 10" xfId="49904" xr:uid="{00000000-0005-0000-0000-000053AF0000}"/>
    <cellStyle name="Migliaia 22 2 11" xfId="50312" xr:uid="{00000000-0005-0000-0000-000054AF0000}"/>
    <cellStyle name="Migliaia 22 2 12" xfId="50754" xr:uid="{00000000-0005-0000-0000-000055AF0000}"/>
    <cellStyle name="Migliaia 22 2 13" xfId="51473" xr:uid="{00000000-0005-0000-0000-000056AF0000}"/>
    <cellStyle name="Migliaia 22 2 14" xfId="51885" xr:uid="{00000000-0005-0000-0000-000057AF0000}"/>
    <cellStyle name="Migliaia 22 2 15" xfId="52352" xr:uid="{00000000-0005-0000-0000-000058AF0000}"/>
    <cellStyle name="Migliaia 22 2 2" xfId="1258" xr:uid="{00000000-0005-0000-0000-000059AF0000}"/>
    <cellStyle name="Migliaia 22 2 2 10" xfId="51110" xr:uid="{00000000-0005-0000-0000-00005AAF0000}"/>
    <cellStyle name="Migliaia 22 2 2 11" xfId="51706" xr:uid="{00000000-0005-0000-0000-00005BAF0000}"/>
    <cellStyle name="Migliaia 22 2 2 12" xfId="52126" xr:uid="{00000000-0005-0000-0000-00005CAF0000}"/>
    <cellStyle name="Migliaia 22 2 2 13" xfId="52866" xr:uid="{00000000-0005-0000-0000-00005DAF0000}"/>
    <cellStyle name="Migliaia 22 2 2 2" xfId="10085" xr:uid="{00000000-0005-0000-0000-00005EAF0000}"/>
    <cellStyle name="Migliaia 22 2 2 2 2" xfId="26405" xr:uid="{00000000-0005-0000-0000-00005FAF0000}"/>
    <cellStyle name="Migliaia 22 2 2 2 3" xfId="41373" xr:uid="{00000000-0005-0000-0000-000060AF0000}"/>
    <cellStyle name="Migliaia 22 2 2 2 4" xfId="55221" xr:uid="{00000000-0005-0000-0000-000061AF0000}"/>
    <cellStyle name="Migliaia 22 2 2 3" xfId="18270" xr:uid="{00000000-0005-0000-0000-000062AF0000}"/>
    <cellStyle name="Migliaia 22 2 2 3 2" xfId="33737" xr:uid="{00000000-0005-0000-0000-000063AF0000}"/>
    <cellStyle name="Migliaia 22 2 2 3 3" xfId="48698" xr:uid="{00000000-0005-0000-0000-000064AF0000}"/>
    <cellStyle name="Migliaia 22 2 2 3 4" xfId="56143" xr:uid="{00000000-0005-0000-0000-000065AF0000}"/>
    <cellStyle name="Migliaia 22 2 2 4" xfId="19384" xr:uid="{00000000-0005-0000-0000-000066AF0000}"/>
    <cellStyle name="Migliaia 22 2 2 5" xfId="34374" xr:uid="{00000000-0005-0000-0000-000067AF0000}"/>
    <cellStyle name="Migliaia 22 2 2 6" xfId="49326" xr:uid="{00000000-0005-0000-0000-000068AF0000}"/>
    <cellStyle name="Migliaia 22 2 2 7" xfId="49731" xr:uid="{00000000-0005-0000-0000-000069AF0000}"/>
    <cellStyle name="Migliaia 22 2 2 8" xfId="50140" xr:uid="{00000000-0005-0000-0000-00006AAF0000}"/>
    <cellStyle name="Migliaia 22 2 2 9" xfId="50545" xr:uid="{00000000-0005-0000-0000-00006BAF0000}"/>
    <cellStyle name="Migliaia 22 2 3" xfId="9197" xr:uid="{00000000-0005-0000-0000-00006CAF0000}"/>
    <cellStyle name="Migliaia 22 2 3 2" xfId="54663" xr:uid="{00000000-0005-0000-0000-00006DAF0000}"/>
    <cellStyle name="Migliaia 22 2 4" xfId="9852" xr:uid="{00000000-0005-0000-0000-00006EAF0000}"/>
    <cellStyle name="Migliaia 22 2 4 2" xfId="26177" xr:uid="{00000000-0005-0000-0000-00006FAF0000}"/>
    <cellStyle name="Migliaia 22 2 4 3" xfId="41155" xr:uid="{00000000-0005-0000-0000-000070AF0000}"/>
    <cellStyle name="Migliaia 22 2 4 4" xfId="55634" xr:uid="{00000000-0005-0000-0000-000071AF0000}"/>
    <cellStyle name="Migliaia 22 2 5" xfId="17113" xr:uid="{00000000-0005-0000-0000-000072AF0000}"/>
    <cellStyle name="Migliaia 22 2 5 2" xfId="33228" xr:uid="{00000000-0005-0000-0000-000073AF0000}"/>
    <cellStyle name="Migliaia 22 2 5 3" xfId="48189" xr:uid="{00000000-0005-0000-0000-000074AF0000}"/>
    <cellStyle name="Migliaia 22 2 6" xfId="19158" xr:uid="{00000000-0005-0000-0000-000075AF0000}"/>
    <cellStyle name="Migliaia 22 2 7" xfId="34153" xr:uid="{00000000-0005-0000-0000-000076AF0000}"/>
    <cellStyle name="Migliaia 22 2 8" xfId="49093" xr:uid="{00000000-0005-0000-0000-000077AF0000}"/>
    <cellStyle name="Migliaia 22 2 9" xfId="49498" xr:uid="{00000000-0005-0000-0000-000078AF0000}"/>
    <cellStyle name="Migliaia 22 3" xfId="343" xr:uid="{00000000-0005-0000-0000-000079AF0000}"/>
    <cellStyle name="Migliaia 22 3 10" xfId="49905" xr:uid="{00000000-0005-0000-0000-00007AAF0000}"/>
    <cellStyle name="Migliaia 22 3 11" xfId="50313" xr:uid="{00000000-0005-0000-0000-00007BAF0000}"/>
    <cellStyle name="Migliaia 22 3 12" xfId="50755" xr:uid="{00000000-0005-0000-0000-00007CAF0000}"/>
    <cellStyle name="Migliaia 22 3 13" xfId="51474" xr:uid="{00000000-0005-0000-0000-00007DAF0000}"/>
    <cellStyle name="Migliaia 22 3 14" xfId="51886" xr:uid="{00000000-0005-0000-0000-00007EAF0000}"/>
    <cellStyle name="Migliaia 22 3 15" xfId="52353" xr:uid="{00000000-0005-0000-0000-00007FAF0000}"/>
    <cellStyle name="Migliaia 22 3 2" xfId="344" xr:uid="{00000000-0005-0000-0000-000080AF0000}"/>
    <cellStyle name="Migliaia 22 3 2 10" xfId="50314" xr:uid="{00000000-0005-0000-0000-000081AF0000}"/>
    <cellStyle name="Migliaia 22 3 2 11" xfId="50756" xr:uid="{00000000-0005-0000-0000-000082AF0000}"/>
    <cellStyle name="Migliaia 22 3 2 12" xfId="51475" xr:uid="{00000000-0005-0000-0000-000083AF0000}"/>
    <cellStyle name="Migliaia 22 3 2 13" xfId="51887" xr:uid="{00000000-0005-0000-0000-000084AF0000}"/>
    <cellStyle name="Migliaia 22 3 2 14" xfId="52354" xr:uid="{00000000-0005-0000-0000-000085AF0000}"/>
    <cellStyle name="Migliaia 22 3 2 2" xfId="9199" xr:uid="{00000000-0005-0000-0000-000086AF0000}"/>
    <cellStyle name="Migliaia 22 3 2 2 2" xfId="54802" xr:uid="{00000000-0005-0000-0000-000087AF0000}"/>
    <cellStyle name="Migliaia 22 3 2 3" xfId="9854" xr:uid="{00000000-0005-0000-0000-000088AF0000}"/>
    <cellStyle name="Migliaia 22 3 2 3 2" xfId="26179" xr:uid="{00000000-0005-0000-0000-000089AF0000}"/>
    <cellStyle name="Migliaia 22 3 2 3 3" xfId="41157" xr:uid="{00000000-0005-0000-0000-00008AAF0000}"/>
    <cellStyle name="Migliaia 22 3 2 3 4" xfId="55636" xr:uid="{00000000-0005-0000-0000-00008BAF0000}"/>
    <cellStyle name="Migliaia 22 3 2 4" xfId="17115" xr:uid="{00000000-0005-0000-0000-00008CAF0000}"/>
    <cellStyle name="Migliaia 22 3 2 4 2" xfId="33230" xr:uid="{00000000-0005-0000-0000-00008DAF0000}"/>
    <cellStyle name="Migliaia 22 3 2 4 3" xfId="48191" xr:uid="{00000000-0005-0000-0000-00008EAF0000}"/>
    <cellStyle name="Migliaia 22 3 2 5" xfId="19160" xr:uid="{00000000-0005-0000-0000-00008FAF0000}"/>
    <cellStyle name="Migliaia 22 3 2 6" xfId="34155" xr:uid="{00000000-0005-0000-0000-000090AF0000}"/>
    <cellStyle name="Migliaia 22 3 2 7" xfId="49095" xr:uid="{00000000-0005-0000-0000-000091AF0000}"/>
    <cellStyle name="Migliaia 22 3 2 8" xfId="49500" xr:uid="{00000000-0005-0000-0000-000092AF0000}"/>
    <cellStyle name="Migliaia 22 3 2 9" xfId="49906" xr:uid="{00000000-0005-0000-0000-000093AF0000}"/>
    <cellStyle name="Migliaia 22 3 3" xfId="9198" xr:uid="{00000000-0005-0000-0000-000094AF0000}"/>
    <cellStyle name="Migliaia 22 3 3 2" xfId="18272" xr:uid="{00000000-0005-0000-0000-000095AF0000}"/>
    <cellStyle name="Migliaia 22 3 3 2 2" xfId="33739" xr:uid="{00000000-0005-0000-0000-000096AF0000}"/>
    <cellStyle name="Migliaia 22 3 3 2 2 2" xfId="55223" xr:uid="{00000000-0005-0000-0000-000097AF0000}"/>
    <cellStyle name="Migliaia 22 3 3 2 3" xfId="48700" xr:uid="{00000000-0005-0000-0000-000098AF0000}"/>
    <cellStyle name="Migliaia 22 3 3 2 3 2" xfId="56145" xr:uid="{00000000-0005-0000-0000-000099AF0000}"/>
    <cellStyle name="Migliaia 22 3 3 2 4" xfId="52868" xr:uid="{00000000-0005-0000-0000-00009AAF0000}"/>
    <cellStyle name="Migliaia 22 3 3 3" xfId="17116" xr:uid="{00000000-0005-0000-0000-00009BAF0000}"/>
    <cellStyle name="Migliaia 22 3 3 3 2" xfId="33231" xr:uid="{00000000-0005-0000-0000-00009CAF0000}"/>
    <cellStyle name="Migliaia 22 3 3 3 3" xfId="48192" xr:uid="{00000000-0005-0000-0000-00009DAF0000}"/>
    <cellStyle name="Migliaia 22 3 3 3 4" xfId="54803" xr:uid="{00000000-0005-0000-0000-00009EAF0000}"/>
    <cellStyle name="Migliaia 22 3 3 4" xfId="55637" xr:uid="{00000000-0005-0000-0000-00009FAF0000}"/>
    <cellStyle name="Migliaia 22 3 3 5" xfId="52355" xr:uid="{00000000-0005-0000-0000-0000A0AF0000}"/>
    <cellStyle name="Migliaia 22 3 4" xfId="9853" xr:uid="{00000000-0005-0000-0000-0000A1AF0000}"/>
    <cellStyle name="Migliaia 22 3 4 2" xfId="18271" xr:uid="{00000000-0005-0000-0000-0000A2AF0000}"/>
    <cellStyle name="Migliaia 22 3 4 2 2" xfId="33738" xr:uid="{00000000-0005-0000-0000-0000A3AF0000}"/>
    <cellStyle name="Migliaia 22 3 4 2 3" xfId="48699" xr:uid="{00000000-0005-0000-0000-0000A4AF0000}"/>
    <cellStyle name="Migliaia 22 3 4 2 4" xfId="55222" xr:uid="{00000000-0005-0000-0000-0000A5AF0000}"/>
    <cellStyle name="Migliaia 22 3 4 3" xfId="26178" xr:uid="{00000000-0005-0000-0000-0000A6AF0000}"/>
    <cellStyle name="Migliaia 22 3 4 3 2" xfId="56144" xr:uid="{00000000-0005-0000-0000-0000A7AF0000}"/>
    <cellStyle name="Migliaia 22 3 4 4" xfId="41156" xr:uid="{00000000-0005-0000-0000-0000A8AF0000}"/>
    <cellStyle name="Migliaia 22 3 4 5" xfId="52867" xr:uid="{00000000-0005-0000-0000-0000A9AF0000}"/>
    <cellStyle name="Migliaia 22 3 5" xfId="17114" xr:uid="{00000000-0005-0000-0000-0000AAAF0000}"/>
    <cellStyle name="Migliaia 22 3 5 2" xfId="33229" xr:uid="{00000000-0005-0000-0000-0000ABAF0000}"/>
    <cellStyle name="Migliaia 22 3 5 3" xfId="48190" xr:uid="{00000000-0005-0000-0000-0000ACAF0000}"/>
    <cellStyle name="Migliaia 22 3 5 4" xfId="54801" xr:uid="{00000000-0005-0000-0000-0000ADAF0000}"/>
    <cellStyle name="Migliaia 22 3 6" xfId="19159" xr:uid="{00000000-0005-0000-0000-0000AEAF0000}"/>
    <cellStyle name="Migliaia 22 3 6 2" xfId="55635" xr:uid="{00000000-0005-0000-0000-0000AFAF0000}"/>
    <cellStyle name="Migliaia 22 3 7" xfId="34154" xr:uid="{00000000-0005-0000-0000-0000B0AF0000}"/>
    <cellStyle name="Migliaia 22 3 8" xfId="49094" xr:uid="{00000000-0005-0000-0000-0000B1AF0000}"/>
    <cellStyle name="Migliaia 22 3 9" xfId="49499" xr:uid="{00000000-0005-0000-0000-0000B2AF0000}"/>
    <cellStyle name="Migliaia 22 4" xfId="9200" xr:uid="{00000000-0005-0000-0000-0000B3AF0000}"/>
    <cellStyle name="Migliaia 22 4 2" xfId="17118" xr:uid="{00000000-0005-0000-0000-0000B4AF0000}"/>
    <cellStyle name="Migliaia 22 4 2 2" xfId="18274" xr:uid="{00000000-0005-0000-0000-0000B5AF0000}"/>
    <cellStyle name="Migliaia 22 4 2 2 2" xfId="33741" xr:uid="{00000000-0005-0000-0000-0000B6AF0000}"/>
    <cellStyle name="Migliaia 22 4 2 2 2 2" xfId="55225" xr:uid="{00000000-0005-0000-0000-0000B7AF0000}"/>
    <cellStyle name="Migliaia 22 4 2 2 3" xfId="48702" xr:uid="{00000000-0005-0000-0000-0000B8AF0000}"/>
    <cellStyle name="Migliaia 22 4 2 2 3 2" xfId="56147" xr:uid="{00000000-0005-0000-0000-0000B9AF0000}"/>
    <cellStyle name="Migliaia 22 4 2 2 4" xfId="52870" xr:uid="{00000000-0005-0000-0000-0000BAAF0000}"/>
    <cellStyle name="Migliaia 22 4 2 3" xfId="33233" xr:uid="{00000000-0005-0000-0000-0000BBAF0000}"/>
    <cellStyle name="Migliaia 22 4 2 3 2" xfId="54805" xr:uid="{00000000-0005-0000-0000-0000BCAF0000}"/>
    <cellStyle name="Migliaia 22 4 2 4" xfId="48194" xr:uid="{00000000-0005-0000-0000-0000BDAF0000}"/>
    <cellStyle name="Migliaia 22 4 2 4 2" xfId="55639" xr:uid="{00000000-0005-0000-0000-0000BEAF0000}"/>
    <cellStyle name="Migliaia 22 4 2 5" xfId="52357" xr:uid="{00000000-0005-0000-0000-0000BFAF0000}"/>
    <cellStyle name="Migliaia 22 4 3" xfId="18273" xr:uid="{00000000-0005-0000-0000-0000C0AF0000}"/>
    <cellStyle name="Migliaia 22 4 3 2" xfId="33740" xr:uid="{00000000-0005-0000-0000-0000C1AF0000}"/>
    <cellStyle name="Migliaia 22 4 3 2 2" xfId="55224" xr:uid="{00000000-0005-0000-0000-0000C2AF0000}"/>
    <cellStyle name="Migliaia 22 4 3 3" xfId="48701" xr:uid="{00000000-0005-0000-0000-0000C3AF0000}"/>
    <cellStyle name="Migliaia 22 4 3 3 2" xfId="56146" xr:uid="{00000000-0005-0000-0000-0000C4AF0000}"/>
    <cellStyle name="Migliaia 22 4 3 4" xfId="52869" xr:uid="{00000000-0005-0000-0000-0000C5AF0000}"/>
    <cellStyle name="Migliaia 22 4 4" xfId="17117" xr:uid="{00000000-0005-0000-0000-0000C6AF0000}"/>
    <cellStyle name="Migliaia 22 4 4 2" xfId="33232" xr:uid="{00000000-0005-0000-0000-0000C7AF0000}"/>
    <cellStyle name="Migliaia 22 4 4 3" xfId="48193" xr:uid="{00000000-0005-0000-0000-0000C8AF0000}"/>
    <cellStyle name="Migliaia 22 4 4 4" xfId="54804" xr:uid="{00000000-0005-0000-0000-0000C9AF0000}"/>
    <cellStyle name="Migliaia 22 4 5" xfId="51268" xr:uid="{00000000-0005-0000-0000-0000CAAF0000}"/>
    <cellStyle name="Migliaia 22 4 5 2" xfId="55638" xr:uid="{00000000-0005-0000-0000-0000CBAF0000}"/>
    <cellStyle name="Migliaia 22 4 6" xfId="52356" xr:uid="{00000000-0005-0000-0000-0000CCAF0000}"/>
    <cellStyle name="Migliaia 22 5" xfId="9201" xr:uid="{00000000-0005-0000-0000-0000CDAF0000}"/>
    <cellStyle name="Migliaia 22 5 2" xfId="17119" xr:uid="{00000000-0005-0000-0000-0000CEAF0000}"/>
    <cellStyle name="Migliaia 22 5 2 2" xfId="33234" xr:uid="{00000000-0005-0000-0000-0000CFAF0000}"/>
    <cellStyle name="Migliaia 22 5 2 3" xfId="48195" xr:uid="{00000000-0005-0000-0000-0000D0AF0000}"/>
    <cellStyle name="Migliaia 22 5 2 4" xfId="54806" xr:uid="{00000000-0005-0000-0000-0000D1AF0000}"/>
    <cellStyle name="Migliaia 22 5 3" xfId="51195" xr:uid="{00000000-0005-0000-0000-0000D2AF0000}"/>
    <cellStyle name="Migliaia 22 5 3 2" xfId="55640" xr:uid="{00000000-0005-0000-0000-0000D3AF0000}"/>
    <cellStyle name="Migliaia 22 5 4" xfId="52358" xr:uid="{00000000-0005-0000-0000-0000D4AF0000}"/>
    <cellStyle name="Migliaia 22 6" xfId="9196" xr:uid="{00000000-0005-0000-0000-0000D5AF0000}"/>
    <cellStyle name="Migliaia 22 6 2" xfId="51050" xr:uid="{00000000-0005-0000-0000-0000D6AF0000}"/>
    <cellStyle name="Migliaia 22 6 3" xfId="54599" xr:uid="{00000000-0005-0000-0000-0000D7AF0000}"/>
    <cellStyle name="Migliaia 22 7" xfId="9851" xr:uid="{00000000-0005-0000-0000-0000D8AF0000}"/>
    <cellStyle name="Migliaia 22 7 2" xfId="26176" xr:uid="{00000000-0005-0000-0000-0000D9AF0000}"/>
    <cellStyle name="Migliaia 22 7 3" xfId="41154" xr:uid="{00000000-0005-0000-0000-0000DAAF0000}"/>
    <cellStyle name="Migliaia 22 7 4" xfId="55633" xr:uid="{00000000-0005-0000-0000-0000DBAF0000}"/>
    <cellStyle name="Migliaia 22 8" xfId="17112" xr:uid="{00000000-0005-0000-0000-0000DCAF0000}"/>
    <cellStyle name="Migliaia 22 8 2" xfId="33227" xr:uid="{00000000-0005-0000-0000-0000DDAF0000}"/>
    <cellStyle name="Migliaia 22 8 3" xfId="48188" xr:uid="{00000000-0005-0000-0000-0000DEAF0000}"/>
    <cellStyle name="Migliaia 22 9" xfId="19157" xr:uid="{00000000-0005-0000-0000-0000DFAF0000}"/>
    <cellStyle name="Migliaia 23" xfId="345" xr:uid="{00000000-0005-0000-0000-0000E0AF0000}"/>
    <cellStyle name="Migliaia 23 10" xfId="34156" xr:uid="{00000000-0005-0000-0000-0000E1AF0000}"/>
    <cellStyle name="Migliaia 23 11" xfId="49096" xr:uid="{00000000-0005-0000-0000-0000E2AF0000}"/>
    <cellStyle name="Migliaia 23 12" xfId="49501" xr:uid="{00000000-0005-0000-0000-0000E3AF0000}"/>
    <cellStyle name="Migliaia 23 13" xfId="49907" xr:uid="{00000000-0005-0000-0000-0000E4AF0000}"/>
    <cellStyle name="Migliaia 23 14" xfId="50315" xr:uid="{00000000-0005-0000-0000-0000E5AF0000}"/>
    <cellStyle name="Migliaia 23 15" xfId="50757" xr:uid="{00000000-0005-0000-0000-0000E6AF0000}"/>
    <cellStyle name="Migliaia 23 16" xfId="51476" xr:uid="{00000000-0005-0000-0000-0000E7AF0000}"/>
    <cellStyle name="Migliaia 23 17" xfId="51888" xr:uid="{00000000-0005-0000-0000-0000E8AF0000}"/>
    <cellStyle name="Migliaia 23 18" xfId="52359" xr:uid="{00000000-0005-0000-0000-0000E9AF0000}"/>
    <cellStyle name="Migliaia 23 2" xfId="346" xr:uid="{00000000-0005-0000-0000-0000EAAF0000}"/>
    <cellStyle name="Migliaia 23 2 10" xfId="49908" xr:uid="{00000000-0005-0000-0000-0000EBAF0000}"/>
    <cellStyle name="Migliaia 23 2 11" xfId="50316" xr:uid="{00000000-0005-0000-0000-0000ECAF0000}"/>
    <cellStyle name="Migliaia 23 2 12" xfId="50758" xr:uid="{00000000-0005-0000-0000-0000EDAF0000}"/>
    <cellStyle name="Migliaia 23 2 13" xfId="51477" xr:uid="{00000000-0005-0000-0000-0000EEAF0000}"/>
    <cellStyle name="Migliaia 23 2 14" xfId="51889" xr:uid="{00000000-0005-0000-0000-0000EFAF0000}"/>
    <cellStyle name="Migliaia 23 2 15" xfId="52360" xr:uid="{00000000-0005-0000-0000-0000F0AF0000}"/>
    <cellStyle name="Migliaia 23 2 2" xfId="1259" xr:uid="{00000000-0005-0000-0000-0000F1AF0000}"/>
    <cellStyle name="Migliaia 23 2 2 10" xfId="51111" xr:uid="{00000000-0005-0000-0000-0000F2AF0000}"/>
    <cellStyle name="Migliaia 23 2 2 11" xfId="51707" xr:uid="{00000000-0005-0000-0000-0000F3AF0000}"/>
    <cellStyle name="Migliaia 23 2 2 12" xfId="52127" xr:uid="{00000000-0005-0000-0000-0000F4AF0000}"/>
    <cellStyle name="Migliaia 23 2 2 13" xfId="52871" xr:uid="{00000000-0005-0000-0000-0000F5AF0000}"/>
    <cellStyle name="Migliaia 23 2 2 2" xfId="10086" xr:uid="{00000000-0005-0000-0000-0000F6AF0000}"/>
    <cellStyle name="Migliaia 23 2 2 2 2" xfId="26406" xr:uid="{00000000-0005-0000-0000-0000F7AF0000}"/>
    <cellStyle name="Migliaia 23 2 2 2 3" xfId="41374" xr:uid="{00000000-0005-0000-0000-0000F8AF0000}"/>
    <cellStyle name="Migliaia 23 2 2 2 4" xfId="55226" xr:uid="{00000000-0005-0000-0000-0000F9AF0000}"/>
    <cellStyle name="Migliaia 23 2 2 3" xfId="18275" xr:uid="{00000000-0005-0000-0000-0000FAAF0000}"/>
    <cellStyle name="Migliaia 23 2 2 3 2" xfId="33742" xr:uid="{00000000-0005-0000-0000-0000FBAF0000}"/>
    <cellStyle name="Migliaia 23 2 2 3 3" xfId="48703" xr:uid="{00000000-0005-0000-0000-0000FCAF0000}"/>
    <cellStyle name="Migliaia 23 2 2 3 4" xfId="56148" xr:uid="{00000000-0005-0000-0000-0000FDAF0000}"/>
    <cellStyle name="Migliaia 23 2 2 4" xfId="19385" xr:uid="{00000000-0005-0000-0000-0000FEAF0000}"/>
    <cellStyle name="Migliaia 23 2 2 5" xfId="34375" xr:uid="{00000000-0005-0000-0000-0000FFAF0000}"/>
    <cellStyle name="Migliaia 23 2 2 6" xfId="49327" xr:uid="{00000000-0005-0000-0000-000000B00000}"/>
    <cellStyle name="Migliaia 23 2 2 7" xfId="49732" xr:uid="{00000000-0005-0000-0000-000001B00000}"/>
    <cellStyle name="Migliaia 23 2 2 8" xfId="50141" xr:uid="{00000000-0005-0000-0000-000002B00000}"/>
    <cellStyle name="Migliaia 23 2 2 9" xfId="50546" xr:uid="{00000000-0005-0000-0000-000003B00000}"/>
    <cellStyle name="Migliaia 23 2 3" xfId="9203" xr:uid="{00000000-0005-0000-0000-000004B00000}"/>
    <cellStyle name="Migliaia 23 2 3 2" xfId="54664" xr:uid="{00000000-0005-0000-0000-000005B00000}"/>
    <cellStyle name="Migliaia 23 2 4" xfId="9856" xr:uid="{00000000-0005-0000-0000-000006B00000}"/>
    <cellStyle name="Migliaia 23 2 4 2" xfId="26181" xr:uid="{00000000-0005-0000-0000-000007B00000}"/>
    <cellStyle name="Migliaia 23 2 4 3" xfId="41159" xr:uid="{00000000-0005-0000-0000-000008B00000}"/>
    <cellStyle name="Migliaia 23 2 4 4" xfId="55642" xr:uid="{00000000-0005-0000-0000-000009B00000}"/>
    <cellStyle name="Migliaia 23 2 5" xfId="17121" xr:uid="{00000000-0005-0000-0000-00000AB00000}"/>
    <cellStyle name="Migliaia 23 2 5 2" xfId="33236" xr:uid="{00000000-0005-0000-0000-00000BB00000}"/>
    <cellStyle name="Migliaia 23 2 5 3" xfId="48197" xr:uid="{00000000-0005-0000-0000-00000CB00000}"/>
    <cellStyle name="Migliaia 23 2 6" xfId="19162" xr:uid="{00000000-0005-0000-0000-00000DB00000}"/>
    <cellStyle name="Migliaia 23 2 7" xfId="34157" xr:uid="{00000000-0005-0000-0000-00000EB00000}"/>
    <cellStyle name="Migliaia 23 2 8" xfId="49097" xr:uid="{00000000-0005-0000-0000-00000FB00000}"/>
    <cellStyle name="Migliaia 23 2 9" xfId="49502" xr:uid="{00000000-0005-0000-0000-000010B00000}"/>
    <cellStyle name="Migliaia 23 3" xfId="347" xr:uid="{00000000-0005-0000-0000-000011B00000}"/>
    <cellStyle name="Migliaia 23 3 10" xfId="49909" xr:uid="{00000000-0005-0000-0000-000012B00000}"/>
    <cellStyle name="Migliaia 23 3 11" xfId="50317" xr:uid="{00000000-0005-0000-0000-000013B00000}"/>
    <cellStyle name="Migliaia 23 3 12" xfId="50759" xr:uid="{00000000-0005-0000-0000-000014B00000}"/>
    <cellStyle name="Migliaia 23 3 13" xfId="51478" xr:uid="{00000000-0005-0000-0000-000015B00000}"/>
    <cellStyle name="Migliaia 23 3 14" xfId="51890" xr:uid="{00000000-0005-0000-0000-000016B00000}"/>
    <cellStyle name="Migliaia 23 3 15" xfId="52361" xr:uid="{00000000-0005-0000-0000-000017B00000}"/>
    <cellStyle name="Migliaia 23 3 2" xfId="348" xr:uid="{00000000-0005-0000-0000-000018B00000}"/>
    <cellStyle name="Migliaia 23 3 2 10" xfId="50318" xr:uid="{00000000-0005-0000-0000-000019B00000}"/>
    <cellStyle name="Migliaia 23 3 2 11" xfId="50760" xr:uid="{00000000-0005-0000-0000-00001AB00000}"/>
    <cellStyle name="Migliaia 23 3 2 12" xfId="51479" xr:uid="{00000000-0005-0000-0000-00001BB00000}"/>
    <cellStyle name="Migliaia 23 3 2 13" xfId="51891" xr:uid="{00000000-0005-0000-0000-00001CB00000}"/>
    <cellStyle name="Migliaia 23 3 2 14" xfId="52362" xr:uid="{00000000-0005-0000-0000-00001DB00000}"/>
    <cellStyle name="Migliaia 23 3 2 2" xfId="9205" xr:uid="{00000000-0005-0000-0000-00001EB00000}"/>
    <cellStyle name="Migliaia 23 3 2 2 2" xfId="54808" xr:uid="{00000000-0005-0000-0000-00001FB00000}"/>
    <cellStyle name="Migliaia 23 3 2 3" xfId="9858" xr:uid="{00000000-0005-0000-0000-000020B00000}"/>
    <cellStyle name="Migliaia 23 3 2 3 2" xfId="26183" xr:uid="{00000000-0005-0000-0000-000021B00000}"/>
    <cellStyle name="Migliaia 23 3 2 3 3" xfId="41161" xr:uid="{00000000-0005-0000-0000-000022B00000}"/>
    <cellStyle name="Migliaia 23 3 2 3 4" xfId="55644" xr:uid="{00000000-0005-0000-0000-000023B00000}"/>
    <cellStyle name="Migliaia 23 3 2 4" xfId="17123" xr:uid="{00000000-0005-0000-0000-000024B00000}"/>
    <cellStyle name="Migliaia 23 3 2 4 2" xfId="33238" xr:uid="{00000000-0005-0000-0000-000025B00000}"/>
    <cellStyle name="Migliaia 23 3 2 4 3" xfId="48199" xr:uid="{00000000-0005-0000-0000-000026B00000}"/>
    <cellStyle name="Migliaia 23 3 2 5" xfId="19164" xr:uid="{00000000-0005-0000-0000-000027B00000}"/>
    <cellStyle name="Migliaia 23 3 2 6" xfId="34159" xr:uid="{00000000-0005-0000-0000-000028B00000}"/>
    <cellStyle name="Migliaia 23 3 2 7" xfId="49099" xr:uid="{00000000-0005-0000-0000-000029B00000}"/>
    <cellStyle name="Migliaia 23 3 2 8" xfId="49504" xr:uid="{00000000-0005-0000-0000-00002AB00000}"/>
    <cellStyle name="Migliaia 23 3 2 9" xfId="49910" xr:uid="{00000000-0005-0000-0000-00002BB00000}"/>
    <cellStyle name="Migliaia 23 3 3" xfId="9204" xr:uid="{00000000-0005-0000-0000-00002CB00000}"/>
    <cellStyle name="Migliaia 23 3 3 2" xfId="18277" xr:uid="{00000000-0005-0000-0000-00002DB00000}"/>
    <cellStyle name="Migliaia 23 3 3 2 2" xfId="33744" xr:uid="{00000000-0005-0000-0000-00002EB00000}"/>
    <cellStyle name="Migliaia 23 3 3 2 2 2" xfId="55228" xr:uid="{00000000-0005-0000-0000-00002FB00000}"/>
    <cellStyle name="Migliaia 23 3 3 2 3" xfId="48705" xr:uid="{00000000-0005-0000-0000-000030B00000}"/>
    <cellStyle name="Migliaia 23 3 3 2 3 2" xfId="56150" xr:uid="{00000000-0005-0000-0000-000031B00000}"/>
    <cellStyle name="Migliaia 23 3 3 2 4" xfId="52873" xr:uid="{00000000-0005-0000-0000-000032B00000}"/>
    <cellStyle name="Migliaia 23 3 3 3" xfId="17124" xr:uid="{00000000-0005-0000-0000-000033B00000}"/>
    <cellStyle name="Migliaia 23 3 3 3 2" xfId="33239" xr:uid="{00000000-0005-0000-0000-000034B00000}"/>
    <cellStyle name="Migliaia 23 3 3 3 3" xfId="48200" xr:uid="{00000000-0005-0000-0000-000035B00000}"/>
    <cellStyle name="Migliaia 23 3 3 3 4" xfId="54809" xr:uid="{00000000-0005-0000-0000-000036B00000}"/>
    <cellStyle name="Migliaia 23 3 3 4" xfId="55645" xr:uid="{00000000-0005-0000-0000-000037B00000}"/>
    <cellStyle name="Migliaia 23 3 3 5" xfId="52363" xr:uid="{00000000-0005-0000-0000-000038B00000}"/>
    <cellStyle name="Migliaia 23 3 4" xfId="9857" xr:uid="{00000000-0005-0000-0000-000039B00000}"/>
    <cellStyle name="Migliaia 23 3 4 2" xfId="18276" xr:uid="{00000000-0005-0000-0000-00003AB00000}"/>
    <cellStyle name="Migliaia 23 3 4 2 2" xfId="33743" xr:uid="{00000000-0005-0000-0000-00003BB00000}"/>
    <cellStyle name="Migliaia 23 3 4 2 3" xfId="48704" xr:uid="{00000000-0005-0000-0000-00003CB00000}"/>
    <cellStyle name="Migliaia 23 3 4 2 4" xfId="55227" xr:uid="{00000000-0005-0000-0000-00003DB00000}"/>
    <cellStyle name="Migliaia 23 3 4 3" xfId="26182" xr:uid="{00000000-0005-0000-0000-00003EB00000}"/>
    <cellStyle name="Migliaia 23 3 4 3 2" xfId="56149" xr:uid="{00000000-0005-0000-0000-00003FB00000}"/>
    <cellStyle name="Migliaia 23 3 4 4" xfId="41160" xr:uid="{00000000-0005-0000-0000-000040B00000}"/>
    <cellStyle name="Migliaia 23 3 4 5" xfId="52872" xr:uid="{00000000-0005-0000-0000-000041B00000}"/>
    <cellStyle name="Migliaia 23 3 5" xfId="17122" xr:uid="{00000000-0005-0000-0000-000042B00000}"/>
    <cellStyle name="Migliaia 23 3 5 2" xfId="33237" xr:uid="{00000000-0005-0000-0000-000043B00000}"/>
    <cellStyle name="Migliaia 23 3 5 3" xfId="48198" xr:uid="{00000000-0005-0000-0000-000044B00000}"/>
    <cellStyle name="Migliaia 23 3 5 4" xfId="54807" xr:uid="{00000000-0005-0000-0000-000045B00000}"/>
    <cellStyle name="Migliaia 23 3 6" xfId="19163" xr:uid="{00000000-0005-0000-0000-000046B00000}"/>
    <cellStyle name="Migliaia 23 3 6 2" xfId="55643" xr:uid="{00000000-0005-0000-0000-000047B00000}"/>
    <cellStyle name="Migliaia 23 3 7" xfId="34158" xr:uid="{00000000-0005-0000-0000-000048B00000}"/>
    <cellStyle name="Migliaia 23 3 8" xfId="49098" xr:uid="{00000000-0005-0000-0000-000049B00000}"/>
    <cellStyle name="Migliaia 23 3 9" xfId="49503" xr:uid="{00000000-0005-0000-0000-00004AB00000}"/>
    <cellStyle name="Migliaia 23 4" xfId="9206" xr:uid="{00000000-0005-0000-0000-00004BB00000}"/>
    <cellStyle name="Migliaia 23 4 2" xfId="17126" xr:uid="{00000000-0005-0000-0000-00004CB00000}"/>
    <cellStyle name="Migliaia 23 4 2 2" xfId="18279" xr:uid="{00000000-0005-0000-0000-00004DB00000}"/>
    <cellStyle name="Migliaia 23 4 2 2 2" xfId="33746" xr:uid="{00000000-0005-0000-0000-00004EB00000}"/>
    <cellStyle name="Migliaia 23 4 2 2 2 2" xfId="55230" xr:uid="{00000000-0005-0000-0000-00004FB00000}"/>
    <cellStyle name="Migliaia 23 4 2 2 3" xfId="48707" xr:uid="{00000000-0005-0000-0000-000050B00000}"/>
    <cellStyle name="Migliaia 23 4 2 2 3 2" xfId="56152" xr:uid="{00000000-0005-0000-0000-000051B00000}"/>
    <cellStyle name="Migliaia 23 4 2 2 4" xfId="52875" xr:uid="{00000000-0005-0000-0000-000052B00000}"/>
    <cellStyle name="Migliaia 23 4 2 3" xfId="33241" xr:uid="{00000000-0005-0000-0000-000053B00000}"/>
    <cellStyle name="Migliaia 23 4 2 3 2" xfId="54811" xr:uid="{00000000-0005-0000-0000-000054B00000}"/>
    <cellStyle name="Migliaia 23 4 2 4" xfId="48202" xr:uid="{00000000-0005-0000-0000-000055B00000}"/>
    <cellStyle name="Migliaia 23 4 2 4 2" xfId="55647" xr:uid="{00000000-0005-0000-0000-000056B00000}"/>
    <cellStyle name="Migliaia 23 4 2 5" xfId="52365" xr:uid="{00000000-0005-0000-0000-000057B00000}"/>
    <cellStyle name="Migliaia 23 4 3" xfId="18278" xr:uid="{00000000-0005-0000-0000-000058B00000}"/>
    <cellStyle name="Migliaia 23 4 3 2" xfId="33745" xr:uid="{00000000-0005-0000-0000-000059B00000}"/>
    <cellStyle name="Migliaia 23 4 3 2 2" xfId="55229" xr:uid="{00000000-0005-0000-0000-00005AB00000}"/>
    <cellStyle name="Migliaia 23 4 3 3" xfId="48706" xr:uid="{00000000-0005-0000-0000-00005BB00000}"/>
    <cellStyle name="Migliaia 23 4 3 3 2" xfId="56151" xr:uid="{00000000-0005-0000-0000-00005CB00000}"/>
    <cellStyle name="Migliaia 23 4 3 4" xfId="52874" xr:uid="{00000000-0005-0000-0000-00005DB00000}"/>
    <cellStyle name="Migliaia 23 4 4" xfId="17125" xr:uid="{00000000-0005-0000-0000-00005EB00000}"/>
    <cellStyle name="Migliaia 23 4 4 2" xfId="33240" xr:uid="{00000000-0005-0000-0000-00005FB00000}"/>
    <cellStyle name="Migliaia 23 4 4 3" xfId="48201" xr:uid="{00000000-0005-0000-0000-000060B00000}"/>
    <cellStyle name="Migliaia 23 4 4 4" xfId="54810" xr:uid="{00000000-0005-0000-0000-000061B00000}"/>
    <cellStyle name="Migliaia 23 4 5" xfId="51194" xr:uid="{00000000-0005-0000-0000-000062B00000}"/>
    <cellStyle name="Migliaia 23 4 5 2" xfId="55646" xr:uid="{00000000-0005-0000-0000-000063B00000}"/>
    <cellStyle name="Migliaia 23 4 6" xfId="52364" xr:uid="{00000000-0005-0000-0000-000064B00000}"/>
    <cellStyle name="Migliaia 23 5" xfId="9207" xr:uid="{00000000-0005-0000-0000-000065B00000}"/>
    <cellStyle name="Migliaia 23 5 2" xfId="17127" xr:uid="{00000000-0005-0000-0000-000066B00000}"/>
    <cellStyle name="Migliaia 23 5 2 2" xfId="33242" xr:uid="{00000000-0005-0000-0000-000067B00000}"/>
    <cellStyle name="Migliaia 23 5 2 3" xfId="48203" xr:uid="{00000000-0005-0000-0000-000068B00000}"/>
    <cellStyle name="Migliaia 23 5 2 4" xfId="54812" xr:uid="{00000000-0005-0000-0000-000069B00000}"/>
    <cellStyle name="Migliaia 23 5 3" xfId="51049" xr:uid="{00000000-0005-0000-0000-00006AB00000}"/>
    <cellStyle name="Migliaia 23 5 3 2" xfId="55648" xr:uid="{00000000-0005-0000-0000-00006BB00000}"/>
    <cellStyle name="Migliaia 23 5 4" xfId="52366" xr:uid="{00000000-0005-0000-0000-00006CB00000}"/>
    <cellStyle name="Migliaia 23 6" xfId="9202" xr:uid="{00000000-0005-0000-0000-00006DB00000}"/>
    <cellStyle name="Migliaia 23 6 2" xfId="51269" xr:uid="{00000000-0005-0000-0000-00006EB00000}"/>
    <cellStyle name="Migliaia 23 6 3" xfId="54600" xr:uid="{00000000-0005-0000-0000-00006FB00000}"/>
    <cellStyle name="Migliaia 23 7" xfId="9855" xr:uid="{00000000-0005-0000-0000-000070B00000}"/>
    <cellStyle name="Migliaia 23 7 2" xfId="26180" xr:uid="{00000000-0005-0000-0000-000071B00000}"/>
    <cellStyle name="Migliaia 23 7 3" xfId="41158" xr:uid="{00000000-0005-0000-0000-000072B00000}"/>
    <cellStyle name="Migliaia 23 7 4" xfId="55641" xr:uid="{00000000-0005-0000-0000-000073B00000}"/>
    <cellStyle name="Migliaia 23 8" xfId="17120" xr:uid="{00000000-0005-0000-0000-000074B00000}"/>
    <cellStyle name="Migliaia 23 8 2" xfId="33235" xr:uid="{00000000-0005-0000-0000-000075B00000}"/>
    <cellStyle name="Migliaia 23 8 3" xfId="48196" xr:uid="{00000000-0005-0000-0000-000076B00000}"/>
    <cellStyle name="Migliaia 23 9" xfId="19161" xr:uid="{00000000-0005-0000-0000-000077B00000}"/>
    <cellStyle name="Migliaia 24" xfId="349" xr:uid="{00000000-0005-0000-0000-000078B00000}"/>
    <cellStyle name="Migliaia 24 10" xfId="34160" xr:uid="{00000000-0005-0000-0000-000079B00000}"/>
    <cellStyle name="Migliaia 24 11" xfId="49100" xr:uid="{00000000-0005-0000-0000-00007AB00000}"/>
    <cellStyle name="Migliaia 24 12" xfId="49505" xr:uid="{00000000-0005-0000-0000-00007BB00000}"/>
    <cellStyle name="Migliaia 24 13" xfId="49911" xr:uid="{00000000-0005-0000-0000-00007CB00000}"/>
    <cellStyle name="Migliaia 24 14" xfId="50319" xr:uid="{00000000-0005-0000-0000-00007DB00000}"/>
    <cellStyle name="Migliaia 24 15" xfId="50761" xr:uid="{00000000-0005-0000-0000-00007EB00000}"/>
    <cellStyle name="Migliaia 24 16" xfId="51480" xr:uid="{00000000-0005-0000-0000-00007FB00000}"/>
    <cellStyle name="Migliaia 24 17" xfId="51892" xr:uid="{00000000-0005-0000-0000-000080B00000}"/>
    <cellStyle name="Migliaia 24 18" xfId="52367" xr:uid="{00000000-0005-0000-0000-000081B00000}"/>
    <cellStyle name="Migliaia 24 2" xfId="350" xr:uid="{00000000-0005-0000-0000-000082B00000}"/>
    <cellStyle name="Migliaia 24 2 10" xfId="49912" xr:uid="{00000000-0005-0000-0000-000083B00000}"/>
    <cellStyle name="Migliaia 24 2 11" xfId="50320" xr:uid="{00000000-0005-0000-0000-000084B00000}"/>
    <cellStyle name="Migliaia 24 2 12" xfId="50762" xr:uid="{00000000-0005-0000-0000-000085B00000}"/>
    <cellStyle name="Migliaia 24 2 13" xfId="51481" xr:uid="{00000000-0005-0000-0000-000086B00000}"/>
    <cellStyle name="Migliaia 24 2 14" xfId="51893" xr:uid="{00000000-0005-0000-0000-000087B00000}"/>
    <cellStyle name="Migliaia 24 2 15" xfId="52368" xr:uid="{00000000-0005-0000-0000-000088B00000}"/>
    <cellStyle name="Migliaia 24 2 2" xfId="1260" xr:uid="{00000000-0005-0000-0000-000089B00000}"/>
    <cellStyle name="Migliaia 24 2 2 10" xfId="51112" xr:uid="{00000000-0005-0000-0000-00008AB00000}"/>
    <cellStyle name="Migliaia 24 2 2 11" xfId="51708" xr:uid="{00000000-0005-0000-0000-00008BB00000}"/>
    <cellStyle name="Migliaia 24 2 2 12" xfId="52128" xr:uid="{00000000-0005-0000-0000-00008CB00000}"/>
    <cellStyle name="Migliaia 24 2 2 13" xfId="52876" xr:uid="{00000000-0005-0000-0000-00008DB00000}"/>
    <cellStyle name="Migliaia 24 2 2 2" xfId="10087" xr:uid="{00000000-0005-0000-0000-00008EB00000}"/>
    <cellStyle name="Migliaia 24 2 2 2 2" xfId="26407" xr:uid="{00000000-0005-0000-0000-00008FB00000}"/>
    <cellStyle name="Migliaia 24 2 2 2 3" xfId="41375" xr:uid="{00000000-0005-0000-0000-000090B00000}"/>
    <cellStyle name="Migliaia 24 2 2 2 4" xfId="55231" xr:uid="{00000000-0005-0000-0000-000091B00000}"/>
    <cellStyle name="Migliaia 24 2 2 3" xfId="18280" xr:uid="{00000000-0005-0000-0000-000092B00000}"/>
    <cellStyle name="Migliaia 24 2 2 3 2" xfId="33747" xr:uid="{00000000-0005-0000-0000-000093B00000}"/>
    <cellStyle name="Migliaia 24 2 2 3 3" xfId="48708" xr:uid="{00000000-0005-0000-0000-000094B00000}"/>
    <cellStyle name="Migliaia 24 2 2 3 4" xfId="56153" xr:uid="{00000000-0005-0000-0000-000095B00000}"/>
    <cellStyle name="Migliaia 24 2 2 4" xfId="19386" xr:uid="{00000000-0005-0000-0000-000096B00000}"/>
    <cellStyle name="Migliaia 24 2 2 5" xfId="34376" xr:uid="{00000000-0005-0000-0000-000097B00000}"/>
    <cellStyle name="Migliaia 24 2 2 6" xfId="49328" xr:uid="{00000000-0005-0000-0000-000098B00000}"/>
    <cellStyle name="Migliaia 24 2 2 7" xfId="49733" xr:uid="{00000000-0005-0000-0000-000099B00000}"/>
    <cellStyle name="Migliaia 24 2 2 8" xfId="50142" xr:uid="{00000000-0005-0000-0000-00009AB00000}"/>
    <cellStyle name="Migliaia 24 2 2 9" xfId="50547" xr:uid="{00000000-0005-0000-0000-00009BB00000}"/>
    <cellStyle name="Migliaia 24 2 3" xfId="9209" xr:uid="{00000000-0005-0000-0000-00009CB00000}"/>
    <cellStyle name="Migliaia 24 2 3 2" xfId="54665" xr:uid="{00000000-0005-0000-0000-00009DB00000}"/>
    <cellStyle name="Migliaia 24 2 4" xfId="9860" xr:uid="{00000000-0005-0000-0000-00009EB00000}"/>
    <cellStyle name="Migliaia 24 2 4 2" xfId="26185" xr:uid="{00000000-0005-0000-0000-00009FB00000}"/>
    <cellStyle name="Migliaia 24 2 4 3" xfId="41163" xr:uid="{00000000-0005-0000-0000-0000A0B00000}"/>
    <cellStyle name="Migliaia 24 2 4 4" xfId="55650" xr:uid="{00000000-0005-0000-0000-0000A1B00000}"/>
    <cellStyle name="Migliaia 24 2 5" xfId="17129" xr:uid="{00000000-0005-0000-0000-0000A2B00000}"/>
    <cellStyle name="Migliaia 24 2 5 2" xfId="33244" xr:uid="{00000000-0005-0000-0000-0000A3B00000}"/>
    <cellStyle name="Migliaia 24 2 5 3" xfId="48205" xr:uid="{00000000-0005-0000-0000-0000A4B00000}"/>
    <cellStyle name="Migliaia 24 2 6" xfId="19166" xr:uid="{00000000-0005-0000-0000-0000A5B00000}"/>
    <cellStyle name="Migliaia 24 2 7" xfId="34161" xr:uid="{00000000-0005-0000-0000-0000A6B00000}"/>
    <cellStyle name="Migliaia 24 2 8" xfId="49101" xr:uid="{00000000-0005-0000-0000-0000A7B00000}"/>
    <cellStyle name="Migliaia 24 2 9" xfId="49506" xr:uid="{00000000-0005-0000-0000-0000A8B00000}"/>
    <cellStyle name="Migliaia 24 3" xfId="351" xr:uid="{00000000-0005-0000-0000-0000A9B00000}"/>
    <cellStyle name="Migliaia 24 3 10" xfId="49913" xr:uid="{00000000-0005-0000-0000-0000AAB00000}"/>
    <cellStyle name="Migliaia 24 3 11" xfId="50321" xr:uid="{00000000-0005-0000-0000-0000ABB00000}"/>
    <cellStyle name="Migliaia 24 3 12" xfId="50763" xr:uid="{00000000-0005-0000-0000-0000ACB00000}"/>
    <cellStyle name="Migliaia 24 3 13" xfId="51482" xr:uid="{00000000-0005-0000-0000-0000ADB00000}"/>
    <cellStyle name="Migliaia 24 3 14" xfId="51894" xr:uid="{00000000-0005-0000-0000-0000AEB00000}"/>
    <cellStyle name="Migliaia 24 3 15" xfId="52369" xr:uid="{00000000-0005-0000-0000-0000AFB00000}"/>
    <cellStyle name="Migliaia 24 3 2" xfId="352" xr:uid="{00000000-0005-0000-0000-0000B0B00000}"/>
    <cellStyle name="Migliaia 24 3 2 10" xfId="50322" xr:uid="{00000000-0005-0000-0000-0000B1B00000}"/>
    <cellStyle name="Migliaia 24 3 2 11" xfId="50764" xr:uid="{00000000-0005-0000-0000-0000B2B00000}"/>
    <cellStyle name="Migliaia 24 3 2 12" xfId="51483" xr:uid="{00000000-0005-0000-0000-0000B3B00000}"/>
    <cellStyle name="Migliaia 24 3 2 13" xfId="51895" xr:uid="{00000000-0005-0000-0000-0000B4B00000}"/>
    <cellStyle name="Migliaia 24 3 2 14" xfId="52370" xr:uid="{00000000-0005-0000-0000-0000B5B00000}"/>
    <cellStyle name="Migliaia 24 3 2 2" xfId="9211" xr:uid="{00000000-0005-0000-0000-0000B6B00000}"/>
    <cellStyle name="Migliaia 24 3 2 2 2" xfId="54814" xr:uid="{00000000-0005-0000-0000-0000B7B00000}"/>
    <cellStyle name="Migliaia 24 3 2 3" xfId="9862" xr:uid="{00000000-0005-0000-0000-0000B8B00000}"/>
    <cellStyle name="Migliaia 24 3 2 3 2" xfId="26187" xr:uid="{00000000-0005-0000-0000-0000B9B00000}"/>
    <cellStyle name="Migliaia 24 3 2 3 3" xfId="41165" xr:uid="{00000000-0005-0000-0000-0000BAB00000}"/>
    <cellStyle name="Migliaia 24 3 2 3 4" xfId="55652" xr:uid="{00000000-0005-0000-0000-0000BBB00000}"/>
    <cellStyle name="Migliaia 24 3 2 4" xfId="17131" xr:uid="{00000000-0005-0000-0000-0000BCB00000}"/>
    <cellStyle name="Migliaia 24 3 2 4 2" xfId="33246" xr:uid="{00000000-0005-0000-0000-0000BDB00000}"/>
    <cellStyle name="Migliaia 24 3 2 4 3" xfId="48207" xr:uid="{00000000-0005-0000-0000-0000BEB00000}"/>
    <cellStyle name="Migliaia 24 3 2 5" xfId="19168" xr:uid="{00000000-0005-0000-0000-0000BFB00000}"/>
    <cellStyle name="Migliaia 24 3 2 6" xfId="34163" xr:uid="{00000000-0005-0000-0000-0000C0B00000}"/>
    <cellStyle name="Migliaia 24 3 2 7" xfId="49103" xr:uid="{00000000-0005-0000-0000-0000C1B00000}"/>
    <cellStyle name="Migliaia 24 3 2 8" xfId="49508" xr:uid="{00000000-0005-0000-0000-0000C2B00000}"/>
    <cellStyle name="Migliaia 24 3 2 9" xfId="49914" xr:uid="{00000000-0005-0000-0000-0000C3B00000}"/>
    <cellStyle name="Migliaia 24 3 3" xfId="9210" xr:uid="{00000000-0005-0000-0000-0000C4B00000}"/>
    <cellStyle name="Migliaia 24 3 3 2" xfId="18282" xr:uid="{00000000-0005-0000-0000-0000C5B00000}"/>
    <cellStyle name="Migliaia 24 3 3 2 2" xfId="33749" xr:uid="{00000000-0005-0000-0000-0000C6B00000}"/>
    <cellStyle name="Migliaia 24 3 3 2 2 2" xfId="55233" xr:uid="{00000000-0005-0000-0000-0000C7B00000}"/>
    <cellStyle name="Migliaia 24 3 3 2 3" xfId="48710" xr:uid="{00000000-0005-0000-0000-0000C8B00000}"/>
    <cellStyle name="Migliaia 24 3 3 2 3 2" xfId="56155" xr:uid="{00000000-0005-0000-0000-0000C9B00000}"/>
    <cellStyle name="Migliaia 24 3 3 2 4" xfId="52878" xr:uid="{00000000-0005-0000-0000-0000CAB00000}"/>
    <cellStyle name="Migliaia 24 3 3 3" xfId="17132" xr:uid="{00000000-0005-0000-0000-0000CBB00000}"/>
    <cellStyle name="Migliaia 24 3 3 3 2" xfId="33247" xr:uid="{00000000-0005-0000-0000-0000CCB00000}"/>
    <cellStyle name="Migliaia 24 3 3 3 3" xfId="48208" xr:uid="{00000000-0005-0000-0000-0000CDB00000}"/>
    <cellStyle name="Migliaia 24 3 3 3 4" xfId="54815" xr:uid="{00000000-0005-0000-0000-0000CEB00000}"/>
    <cellStyle name="Migliaia 24 3 3 4" xfId="55653" xr:uid="{00000000-0005-0000-0000-0000CFB00000}"/>
    <cellStyle name="Migliaia 24 3 3 5" xfId="52371" xr:uid="{00000000-0005-0000-0000-0000D0B00000}"/>
    <cellStyle name="Migliaia 24 3 4" xfId="9861" xr:uid="{00000000-0005-0000-0000-0000D1B00000}"/>
    <cellStyle name="Migliaia 24 3 4 2" xfId="18281" xr:uid="{00000000-0005-0000-0000-0000D2B00000}"/>
    <cellStyle name="Migliaia 24 3 4 2 2" xfId="33748" xr:uid="{00000000-0005-0000-0000-0000D3B00000}"/>
    <cellStyle name="Migliaia 24 3 4 2 3" xfId="48709" xr:uid="{00000000-0005-0000-0000-0000D4B00000}"/>
    <cellStyle name="Migliaia 24 3 4 2 4" xfId="55232" xr:uid="{00000000-0005-0000-0000-0000D5B00000}"/>
    <cellStyle name="Migliaia 24 3 4 3" xfId="26186" xr:uid="{00000000-0005-0000-0000-0000D6B00000}"/>
    <cellStyle name="Migliaia 24 3 4 3 2" xfId="56154" xr:uid="{00000000-0005-0000-0000-0000D7B00000}"/>
    <cellStyle name="Migliaia 24 3 4 4" xfId="41164" xr:uid="{00000000-0005-0000-0000-0000D8B00000}"/>
    <cellStyle name="Migliaia 24 3 4 5" xfId="52877" xr:uid="{00000000-0005-0000-0000-0000D9B00000}"/>
    <cellStyle name="Migliaia 24 3 5" xfId="17130" xr:uid="{00000000-0005-0000-0000-0000DAB00000}"/>
    <cellStyle name="Migliaia 24 3 5 2" xfId="33245" xr:uid="{00000000-0005-0000-0000-0000DBB00000}"/>
    <cellStyle name="Migliaia 24 3 5 3" xfId="48206" xr:uid="{00000000-0005-0000-0000-0000DCB00000}"/>
    <cellStyle name="Migliaia 24 3 5 4" xfId="54813" xr:uid="{00000000-0005-0000-0000-0000DDB00000}"/>
    <cellStyle name="Migliaia 24 3 6" xfId="19167" xr:uid="{00000000-0005-0000-0000-0000DEB00000}"/>
    <cellStyle name="Migliaia 24 3 6 2" xfId="55651" xr:uid="{00000000-0005-0000-0000-0000DFB00000}"/>
    <cellStyle name="Migliaia 24 3 7" xfId="34162" xr:uid="{00000000-0005-0000-0000-0000E0B00000}"/>
    <cellStyle name="Migliaia 24 3 8" xfId="49102" xr:uid="{00000000-0005-0000-0000-0000E1B00000}"/>
    <cellStyle name="Migliaia 24 3 9" xfId="49507" xr:uid="{00000000-0005-0000-0000-0000E2B00000}"/>
    <cellStyle name="Migliaia 24 4" xfId="9212" xr:uid="{00000000-0005-0000-0000-0000E3B00000}"/>
    <cellStyle name="Migliaia 24 4 2" xfId="17134" xr:uid="{00000000-0005-0000-0000-0000E4B00000}"/>
    <cellStyle name="Migliaia 24 4 2 2" xfId="18284" xr:uid="{00000000-0005-0000-0000-0000E5B00000}"/>
    <cellStyle name="Migliaia 24 4 2 2 2" xfId="33751" xr:uid="{00000000-0005-0000-0000-0000E6B00000}"/>
    <cellStyle name="Migliaia 24 4 2 2 2 2" xfId="55235" xr:uid="{00000000-0005-0000-0000-0000E7B00000}"/>
    <cellStyle name="Migliaia 24 4 2 2 3" xfId="48712" xr:uid="{00000000-0005-0000-0000-0000E8B00000}"/>
    <cellStyle name="Migliaia 24 4 2 2 3 2" xfId="56157" xr:uid="{00000000-0005-0000-0000-0000E9B00000}"/>
    <cellStyle name="Migliaia 24 4 2 2 4" xfId="52880" xr:uid="{00000000-0005-0000-0000-0000EAB00000}"/>
    <cellStyle name="Migliaia 24 4 2 3" xfId="33249" xr:uid="{00000000-0005-0000-0000-0000EBB00000}"/>
    <cellStyle name="Migliaia 24 4 2 3 2" xfId="54817" xr:uid="{00000000-0005-0000-0000-0000ECB00000}"/>
    <cellStyle name="Migliaia 24 4 2 4" xfId="48210" xr:uid="{00000000-0005-0000-0000-0000EDB00000}"/>
    <cellStyle name="Migliaia 24 4 2 4 2" xfId="55655" xr:uid="{00000000-0005-0000-0000-0000EEB00000}"/>
    <cellStyle name="Migliaia 24 4 2 5" xfId="52373" xr:uid="{00000000-0005-0000-0000-0000EFB00000}"/>
    <cellStyle name="Migliaia 24 4 3" xfId="18283" xr:uid="{00000000-0005-0000-0000-0000F0B00000}"/>
    <cellStyle name="Migliaia 24 4 3 2" xfId="33750" xr:uid="{00000000-0005-0000-0000-0000F1B00000}"/>
    <cellStyle name="Migliaia 24 4 3 2 2" xfId="55234" xr:uid="{00000000-0005-0000-0000-0000F2B00000}"/>
    <cellStyle name="Migliaia 24 4 3 3" xfId="48711" xr:uid="{00000000-0005-0000-0000-0000F3B00000}"/>
    <cellStyle name="Migliaia 24 4 3 3 2" xfId="56156" xr:uid="{00000000-0005-0000-0000-0000F4B00000}"/>
    <cellStyle name="Migliaia 24 4 3 4" xfId="52879" xr:uid="{00000000-0005-0000-0000-0000F5B00000}"/>
    <cellStyle name="Migliaia 24 4 4" xfId="17133" xr:uid="{00000000-0005-0000-0000-0000F6B00000}"/>
    <cellStyle name="Migliaia 24 4 4 2" xfId="33248" xr:uid="{00000000-0005-0000-0000-0000F7B00000}"/>
    <cellStyle name="Migliaia 24 4 4 3" xfId="48209" xr:uid="{00000000-0005-0000-0000-0000F8B00000}"/>
    <cellStyle name="Migliaia 24 4 4 4" xfId="54816" xr:uid="{00000000-0005-0000-0000-0000F9B00000}"/>
    <cellStyle name="Migliaia 24 4 5" xfId="51048" xr:uid="{00000000-0005-0000-0000-0000FAB00000}"/>
    <cellStyle name="Migliaia 24 4 5 2" xfId="55654" xr:uid="{00000000-0005-0000-0000-0000FBB00000}"/>
    <cellStyle name="Migliaia 24 4 6" xfId="52372" xr:uid="{00000000-0005-0000-0000-0000FCB00000}"/>
    <cellStyle name="Migliaia 24 5" xfId="9213" xr:uid="{00000000-0005-0000-0000-0000FDB00000}"/>
    <cellStyle name="Migliaia 24 5 2" xfId="17135" xr:uid="{00000000-0005-0000-0000-0000FEB00000}"/>
    <cellStyle name="Migliaia 24 5 2 2" xfId="33250" xr:uid="{00000000-0005-0000-0000-0000FFB00000}"/>
    <cellStyle name="Migliaia 24 5 2 3" xfId="48211" xr:uid="{00000000-0005-0000-0000-000000B10000}"/>
    <cellStyle name="Migliaia 24 5 2 4" xfId="54818" xr:uid="{00000000-0005-0000-0000-000001B10000}"/>
    <cellStyle name="Migliaia 24 5 3" xfId="51193" xr:uid="{00000000-0005-0000-0000-000002B10000}"/>
    <cellStyle name="Migliaia 24 5 3 2" xfId="55656" xr:uid="{00000000-0005-0000-0000-000003B10000}"/>
    <cellStyle name="Migliaia 24 5 4" xfId="52374" xr:uid="{00000000-0005-0000-0000-000004B10000}"/>
    <cellStyle name="Migliaia 24 6" xfId="9208" xr:uid="{00000000-0005-0000-0000-000005B10000}"/>
    <cellStyle name="Migliaia 24 6 2" xfId="51047" xr:uid="{00000000-0005-0000-0000-000006B10000}"/>
    <cellStyle name="Migliaia 24 6 3" xfId="54601" xr:uid="{00000000-0005-0000-0000-000007B10000}"/>
    <cellStyle name="Migliaia 24 7" xfId="9859" xr:uid="{00000000-0005-0000-0000-000008B10000}"/>
    <cellStyle name="Migliaia 24 7 2" xfId="26184" xr:uid="{00000000-0005-0000-0000-000009B10000}"/>
    <cellStyle name="Migliaia 24 7 3" xfId="41162" xr:uid="{00000000-0005-0000-0000-00000AB10000}"/>
    <cellStyle name="Migliaia 24 7 4" xfId="55649" xr:uid="{00000000-0005-0000-0000-00000BB10000}"/>
    <cellStyle name="Migliaia 24 8" xfId="17128" xr:uid="{00000000-0005-0000-0000-00000CB10000}"/>
    <cellStyle name="Migliaia 24 8 2" xfId="33243" xr:uid="{00000000-0005-0000-0000-00000DB10000}"/>
    <cellStyle name="Migliaia 24 8 3" xfId="48204" xr:uid="{00000000-0005-0000-0000-00000EB10000}"/>
    <cellStyle name="Migliaia 24 9" xfId="19165" xr:uid="{00000000-0005-0000-0000-00000FB10000}"/>
    <cellStyle name="Migliaia 25" xfId="353" xr:uid="{00000000-0005-0000-0000-000010B10000}"/>
    <cellStyle name="Migliaia 25 10" xfId="34164" xr:uid="{00000000-0005-0000-0000-000011B10000}"/>
    <cellStyle name="Migliaia 25 11" xfId="49104" xr:uid="{00000000-0005-0000-0000-000012B10000}"/>
    <cellStyle name="Migliaia 25 12" xfId="49509" xr:uid="{00000000-0005-0000-0000-000013B10000}"/>
    <cellStyle name="Migliaia 25 13" xfId="49915" xr:uid="{00000000-0005-0000-0000-000014B10000}"/>
    <cellStyle name="Migliaia 25 14" xfId="50323" xr:uid="{00000000-0005-0000-0000-000015B10000}"/>
    <cellStyle name="Migliaia 25 15" xfId="50765" xr:uid="{00000000-0005-0000-0000-000016B10000}"/>
    <cellStyle name="Migliaia 25 16" xfId="51484" xr:uid="{00000000-0005-0000-0000-000017B10000}"/>
    <cellStyle name="Migliaia 25 17" xfId="51896" xr:uid="{00000000-0005-0000-0000-000018B10000}"/>
    <cellStyle name="Migliaia 25 18" xfId="52375" xr:uid="{00000000-0005-0000-0000-000019B10000}"/>
    <cellStyle name="Migliaia 25 2" xfId="354" xr:uid="{00000000-0005-0000-0000-00001AB10000}"/>
    <cellStyle name="Migliaia 25 2 10" xfId="49916" xr:uid="{00000000-0005-0000-0000-00001BB10000}"/>
    <cellStyle name="Migliaia 25 2 11" xfId="50324" xr:uid="{00000000-0005-0000-0000-00001CB10000}"/>
    <cellStyle name="Migliaia 25 2 12" xfId="50766" xr:uid="{00000000-0005-0000-0000-00001DB10000}"/>
    <cellStyle name="Migliaia 25 2 13" xfId="51485" xr:uid="{00000000-0005-0000-0000-00001EB10000}"/>
    <cellStyle name="Migliaia 25 2 14" xfId="51897" xr:uid="{00000000-0005-0000-0000-00001FB10000}"/>
    <cellStyle name="Migliaia 25 2 15" xfId="52376" xr:uid="{00000000-0005-0000-0000-000020B10000}"/>
    <cellStyle name="Migliaia 25 2 2" xfId="1261" xr:uid="{00000000-0005-0000-0000-000021B10000}"/>
    <cellStyle name="Migliaia 25 2 2 10" xfId="51113" xr:uid="{00000000-0005-0000-0000-000022B10000}"/>
    <cellStyle name="Migliaia 25 2 2 11" xfId="51709" xr:uid="{00000000-0005-0000-0000-000023B10000}"/>
    <cellStyle name="Migliaia 25 2 2 12" xfId="52129" xr:uid="{00000000-0005-0000-0000-000024B10000}"/>
    <cellStyle name="Migliaia 25 2 2 13" xfId="52881" xr:uid="{00000000-0005-0000-0000-000025B10000}"/>
    <cellStyle name="Migliaia 25 2 2 2" xfId="10088" xr:uid="{00000000-0005-0000-0000-000026B10000}"/>
    <cellStyle name="Migliaia 25 2 2 2 2" xfId="26408" xr:uid="{00000000-0005-0000-0000-000027B10000}"/>
    <cellStyle name="Migliaia 25 2 2 2 3" xfId="41376" xr:uid="{00000000-0005-0000-0000-000028B10000}"/>
    <cellStyle name="Migliaia 25 2 2 2 4" xfId="55236" xr:uid="{00000000-0005-0000-0000-000029B10000}"/>
    <cellStyle name="Migliaia 25 2 2 3" xfId="18285" xr:uid="{00000000-0005-0000-0000-00002AB10000}"/>
    <cellStyle name="Migliaia 25 2 2 3 2" xfId="33752" xr:uid="{00000000-0005-0000-0000-00002BB10000}"/>
    <cellStyle name="Migliaia 25 2 2 3 3" xfId="48713" xr:uid="{00000000-0005-0000-0000-00002CB10000}"/>
    <cellStyle name="Migliaia 25 2 2 3 4" xfId="56158" xr:uid="{00000000-0005-0000-0000-00002DB10000}"/>
    <cellStyle name="Migliaia 25 2 2 4" xfId="19387" xr:uid="{00000000-0005-0000-0000-00002EB10000}"/>
    <cellStyle name="Migliaia 25 2 2 5" xfId="34377" xr:uid="{00000000-0005-0000-0000-00002FB10000}"/>
    <cellStyle name="Migliaia 25 2 2 6" xfId="49329" xr:uid="{00000000-0005-0000-0000-000030B10000}"/>
    <cellStyle name="Migliaia 25 2 2 7" xfId="49734" xr:uid="{00000000-0005-0000-0000-000031B10000}"/>
    <cellStyle name="Migliaia 25 2 2 8" xfId="50143" xr:uid="{00000000-0005-0000-0000-000032B10000}"/>
    <cellStyle name="Migliaia 25 2 2 9" xfId="50548" xr:uid="{00000000-0005-0000-0000-000033B10000}"/>
    <cellStyle name="Migliaia 25 2 3" xfId="9215" xr:uid="{00000000-0005-0000-0000-000034B10000}"/>
    <cellStyle name="Migliaia 25 2 3 2" xfId="54666" xr:uid="{00000000-0005-0000-0000-000035B10000}"/>
    <cellStyle name="Migliaia 25 2 4" xfId="9864" xr:uid="{00000000-0005-0000-0000-000036B10000}"/>
    <cellStyle name="Migliaia 25 2 4 2" xfId="26189" xr:uid="{00000000-0005-0000-0000-000037B10000}"/>
    <cellStyle name="Migliaia 25 2 4 3" xfId="41167" xr:uid="{00000000-0005-0000-0000-000038B10000}"/>
    <cellStyle name="Migliaia 25 2 4 4" xfId="55658" xr:uid="{00000000-0005-0000-0000-000039B10000}"/>
    <cellStyle name="Migliaia 25 2 5" xfId="17137" xr:uid="{00000000-0005-0000-0000-00003AB10000}"/>
    <cellStyle name="Migliaia 25 2 5 2" xfId="33252" xr:uid="{00000000-0005-0000-0000-00003BB10000}"/>
    <cellStyle name="Migliaia 25 2 5 3" xfId="48213" xr:uid="{00000000-0005-0000-0000-00003CB10000}"/>
    <cellStyle name="Migliaia 25 2 6" xfId="19170" xr:uid="{00000000-0005-0000-0000-00003DB10000}"/>
    <cellStyle name="Migliaia 25 2 7" xfId="34165" xr:uid="{00000000-0005-0000-0000-00003EB10000}"/>
    <cellStyle name="Migliaia 25 2 8" xfId="49105" xr:uid="{00000000-0005-0000-0000-00003FB10000}"/>
    <cellStyle name="Migliaia 25 2 9" xfId="49510" xr:uid="{00000000-0005-0000-0000-000040B10000}"/>
    <cellStyle name="Migliaia 25 3" xfId="355" xr:uid="{00000000-0005-0000-0000-000041B10000}"/>
    <cellStyle name="Migliaia 25 3 10" xfId="49917" xr:uid="{00000000-0005-0000-0000-000042B10000}"/>
    <cellStyle name="Migliaia 25 3 11" xfId="50325" xr:uid="{00000000-0005-0000-0000-000043B10000}"/>
    <cellStyle name="Migliaia 25 3 12" xfId="50767" xr:uid="{00000000-0005-0000-0000-000044B10000}"/>
    <cellStyle name="Migliaia 25 3 13" xfId="51486" xr:uid="{00000000-0005-0000-0000-000045B10000}"/>
    <cellStyle name="Migliaia 25 3 14" xfId="51898" xr:uid="{00000000-0005-0000-0000-000046B10000}"/>
    <cellStyle name="Migliaia 25 3 15" xfId="52377" xr:uid="{00000000-0005-0000-0000-000047B10000}"/>
    <cellStyle name="Migliaia 25 3 2" xfId="356" xr:uid="{00000000-0005-0000-0000-000048B10000}"/>
    <cellStyle name="Migliaia 25 3 2 10" xfId="50326" xr:uid="{00000000-0005-0000-0000-000049B10000}"/>
    <cellStyle name="Migliaia 25 3 2 11" xfId="50768" xr:uid="{00000000-0005-0000-0000-00004AB10000}"/>
    <cellStyle name="Migliaia 25 3 2 12" xfId="51487" xr:uid="{00000000-0005-0000-0000-00004BB10000}"/>
    <cellStyle name="Migliaia 25 3 2 13" xfId="51899" xr:uid="{00000000-0005-0000-0000-00004CB10000}"/>
    <cellStyle name="Migliaia 25 3 2 14" xfId="52378" xr:uid="{00000000-0005-0000-0000-00004DB10000}"/>
    <cellStyle name="Migliaia 25 3 2 2" xfId="9217" xr:uid="{00000000-0005-0000-0000-00004EB10000}"/>
    <cellStyle name="Migliaia 25 3 2 2 2" xfId="54820" xr:uid="{00000000-0005-0000-0000-00004FB10000}"/>
    <cellStyle name="Migliaia 25 3 2 3" xfId="9866" xr:uid="{00000000-0005-0000-0000-000050B10000}"/>
    <cellStyle name="Migliaia 25 3 2 3 2" xfId="26191" xr:uid="{00000000-0005-0000-0000-000051B10000}"/>
    <cellStyle name="Migliaia 25 3 2 3 3" xfId="41169" xr:uid="{00000000-0005-0000-0000-000052B10000}"/>
    <cellStyle name="Migliaia 25 3 2 3 4" xfId="55660" xr:uid="{00000000-0005-0000-0000-000053B10000}"/>
    <cellStyle name="Migliaia 25 3 2 4" xfId="17139" xr:uid="{00000000-0005-0000-0000-000054B10000}"/>
    <cellStyle name="Migliaia 25 3 2 4 2" xfId="33254" xr:uid="{00000000-0005-0000-0000-000055B10000}"/>
    <cellStyle name="Migliaia 25 3 2 4 3" xfId="48215" xr:uid="{00000000-0005-0000-0000-000056B10000}"/>
    <cellStyle name="Migliaia 25 3 2 5" xfId="19172" xr:uid="{00000000-0005-0000-0000-000057B10000}"/>
    <cellStyle name="Migliaia 25 3 2 6" xfId="34167" xr:uid="{00000000-0005-0000-0000-000058B10000}"/>
    <cellStyle name="Migliaia 25 3 2 7" xfId="49107" xr:uid="{00000000-0005-0000-0000-000059B10000}"/>
    <cellStyle name="Migliaia 25 3 2 8" xfId="49512" xr:uid="{00000000-0005-0000-0000-00005AB10000}"/>
    <cellStyle name="Migliaia 25 3 2 9" xfId="49918" xr:uid="{00000000-0005-0000-0000-00005BB10000}"/>
    <cellStyle name="Migliaia 25 3 3" xfId="9216" xr:uid="{00000000-0005-0000-0000-00005CB10000}"/>
    <cellStyle name="Migliaia 25 3 3 2" xfId="18287" xr:uid="{00000000-0005-0000-0000-00005DB10000}"/>
    <cellStyle name="Migliaia 25 3 3 2 2" xfId="33754" xr:uid="{00000000-0005-0000-0000-00005EB10000}"/>
    <cellStyle name="Migliaia 25 3 3 2 2 2" xfId="55238" xr:uid="{00000000-0005-0000-0000-00005FB10000}"/>
    <cellStyle name="Migliaia 25 3 3 2 3" xfId="48715" xr:uid="{00000000-0005-0000-0000-000060B10000}"/>
    <cellStyle name="Migliaia 25 3 3 2 3 2" xfId="56160" xr:uid="{00000000-0005-0000-0000-000061B10000}"/>
    <cellStyle name="Migliaia 25 3 3 2 4" xfId="52883" xr:uid="{00000000-0005-0000-0000-000062B10000}"/>
    <cellStyle name="Migliaia 25 3 3 3" xfId="17140" xr:uid="{00000000-0005-0000-0000-000063B10000}"/>
    <cellStyle name="Migliaia 25 3 3 3 2" xfId="33255" xr:uid="{00000000-0005-0000-0000-000064B10000}"/>
    <cellStyle name="Migliaia 25 3 3 3 3" xfId="48216" xr:uid="{00000000-0005-0000-0000-000065B10000}"/>
    <cellStyle name="Migliaia 25 3 3 3 4" xfId="54821" xr:uid="{00000000-0005-0000-0000-000066B10000}"/>
    <cellStyle name="Migliaia 25 3 3 4" xfId="55661" xr:uid="{00000000-0005-0000-0000-000067B10000}"/>
    <cellStyle name="Migliaia 25 3 3 5" xfId="52379" xr:uid="{00000000-0005-0000-0000-000068B10000}"/>
    <cellStyle name="Migliaia 25 3 4" xfId="9865" xr:uid="{00000000-0005-0000-0000-000069B10000}"/>
    <cellStyle name="Migliaia 25 3 4 2" xfId="18286" xr:uid="{00000000-0005-0000-0000-00006AB10000}"/>
    <cellStyle name="Migliaia 25 3 4 2 2" xfId="33753" xr:uid="{00000000-0005-0000-0000-00006BB10000}"/>
    <cellStyle name="Migliaia 25 3 4 2 3" xfId="48714" xr:uid="{00000000-0005-0000-0000-00006CB10000}"/>
    <cellStyle name="Migliaia 25 3 4 2 4" xfId="55237" xr:uid="{00000000-0005-0000-0000-00006DB10000}"/>
    <cellStyle name="Migliaia 25 3 4 3" xfId="26190" xr:uid="{00000000-0005-0000-0000-00006EB10000}"/>
    <cellStyle name="Migliaia 25 3 4 3 2" xfId="56159" xr:uid="{00000000-0005-0000-0000-00006FB10000}"/>
    <cellStyle name="Migliaia 25 3 4 4" xfId="41168" xr:uid="{00000000-0005-0000-0000-000070B10000}"/>
    <cellStyle name="Migliaia 25 3 4 5" xfId="52882" xr:uid="{00000000-0005-0000-0000-000071B10000}"/>
    <cellStyle name="Migliaia 25 3 5" xfId="17138" xr:uid="{00000000-0005-0000-0000-000072B10000}"/>
    <cellStyle name="Migliaia 25 3 5 2" xfId="33253" xr:uid="{00000000-0005-0000-0000-000073B10000}"/>
    <cellStyle name="Migliaia 25 3 5 3" xfId="48214" xr:uid="{00000000-0005-0000-0000-000074B10000}"/>
    <cellStyle name="Migliaia 25 3 5 4" xfId="54819" xr:uid="{00000000-0005-0000-0000-000075B10000}"/>
    <cellStyle name="Migliaia 25 3 6" xfId="19171" xr:uid="{00000000-0005-0000-0000-000076B10000}"/>
    <cellStyle name="Migliaia 25 3 6 2" xfId="55659" xr:uid="{00000000-0005-0000-0000-000077B10000}"/>
    <cellStyle name="Migliaia 25 3 7" xfId="34166" xr:uid="{00000000-0005-0000-0000-000078B10000}"/>
    <cellStyle name="Migliaia 25 3 8" xfId="49106" xr:uid="{00000000-0005-0000-0000-000079B10000}"/>
    <cellStyle name="Migliaia 25 3 9" xfId="49511" xr:uid="{00000000-0005-0000-0000-00007AB10000}"/>
    <cellStyle name="Migliaia 25 4" xfId="9218" xr:uid="{00000000-0005-0000-0000-00007BB10000}"/>
    <cellStyle name="Migliaia 25 4 2" xfId="17142" xr:uid="{00000000-0005-0000-0000-00007CB10000}"/>
    <cellStyle name="Migliaia 25 4 2 2" xfId="18289" xr:uid="{00000000-0005-0000-0000-00007DB10000}"/>
    <cellStyle name="Migliaia 25 4 2 2 2" xfId="33756" xr:uid="{00000000-0005-0000-0000-00007EB10000}"/>
    <cellStyle name="Migliaia 25 4 2 2 2 2" xfId="55240" xr:uid="{00000000-0005-0000-0000-00007FB10000}"/>
    <cellStyle name="Migliaia 25 4 2 2 3" xfId="48717" xr:uid="{00000000-0005-0000-0000-000080B10000}"/>
    <cellStyle name="Migliaia 25 4 2 2 3 2" xfId="56162" xr:uid="{00000000-0005-0000-0000-000081B10000}"/>
    <cellStyle name="Migliaia 25 4 2 2 4" xfId="52885" xr:uid="{00000000-0005-0000-0000-000082B10000}"/>
    <cellStyle name="Migliaia 25 4 2 3" xfId="33257" xr:uid="{00000000-0005-0000-0000-000083B10000}"/>
    <cellStyle name="Migliaia 25 4 2 3 2" xfId="54823" xr:uid="{00000000-0005-0000-0000-000084B10000}"/>
    <cellStyle name="Migliaia 25 4 2 4" xfId="48218" xr:uid="{00000000-0005-0000-0000-000085B10000}"/>
    <cellStyle name="Migliaia 25 4 2 4 2" xfId="55663" xr:uid="{00000000-0005-0000-0000-000086B10000}"/>
    <cellStyle name="Migliaia 25 4 2 5" xfId="52381" xr:uid="{00000000-0005-0000-0000-000087B10000}"/>
    <cellStyle name="Migliaia 25 4 3" xfId="18288" xr:uid="{00000000-0005-0000-0000-000088B10000}"/>
    <cellStyle name="Migliaia 25 4 3 2" xfId="33755" xr:uid="{00000000-0005-0000-0000-000089B10000}"/>
    <cellStyle name="Migliaia 25 4 3 2 2" xfId="55239" xr:uid="{00000000-0005-0000-0000-00008AB10000}"/>
    <cellStyle name="Migliaia 25 4 3 3" xfId="48716" xr:uid="{00000000-0005-0000-0000-00008BB10000}"/>
    <cellStyle name="Migliaia 25 4 3 3 2" xfId="56161" xr:uid="{00000000-0005-0000-0000-00008CB10000}"/>
    <cellStyle name="Migliaia 25 4 3 4" xfId="52884" xr:uid="{00000000-0005-0000-0000-00008DB10000}"/>
    <cellStyle name="Migliaia 25 4 4" xfId="17141" xr:uid="{00000000-0005-0000-0000-00008EB10000}"/>
    <cellStyle name="Migliaia 25 4 4 2" xfId="33256" xr:uid="{00000000-0005-0000-0000-00008FB10000}"/>
    <cellStyle name="Migliaia 25 4 4 3" xfId="48217" xr:uid="{00000000-0005-0000-0000-000090B10000}"/>
    <cellStyle name="Migliaia 25 4 4 4" xfId="54822" xr:uid="{00000000-0005-0000-0000-000091B10000}"/>
    <cellStyle name="Migliaia 25 4 5" xfId="51270" xr:uid="{00000000-0005-0000-0000-000092B10000}"/>
    <cellStyle name="Migliaia 25 4 5 2" xfId="55662" xr:uid="{00000000-0005-0000-0000-000093B10000}"/>
    <cellStyle name="Migliaia 25 4 6" xfId="52380" xr:uid="{00000000-0005-0000-0000-000094B10000}"/>
    <cellStyle name="Migliaia 25 5" xfId="9219" xr:uid="{00000000-0005-0000-0000-000095B10000}"/>
    <cellStyle name="Migliaia 25 5 2" xfId="17143" xr:uid="{00000000-0005-0000-0000-000096B10000}"/>
    <cellStyle name="Migliaia 25 5 2 2" xfId="33258" xr:uid="{00000000-0005-0000-0000-000097B10000}"/>
    <cellStyle name="Migliaia 25 5 2 3" xfId="48219" xr:uid="{00000000-0005-0000-0000-000098B10000}"/>
    <cellStyle name="Migliaia 25 5 2 4" xfId="54824" xr:uid="{00000000-0005-0000-0000-000099B10000}"/>
    <cellStyle name="Migliaia 25 5 3" xfId="51237" xr:uid="{00000000-0005-0000-0000-00009AB10000}"/>
    <cellStyle name="Migliaia 25 5 3 2" xfId="55664" xr:uid="{00000000-0005-0000-0000-00009BB10000}"/>
    <cellStyle name="Migliaia 25 5 4" xfId="52382" xr:uid="{00000000-0005-0000-0000-00009CB10000}"/>
    <cellStyle name="Migliaia 25 6" xfId="9214" xr:uid="{00000000-0005-0000-0000-00009DB10000}"/>
    <cellStyle name="Migliaia 25 6 2" xfId="51192" xr:uid="{00000000-0005-0000-0000-00009EB10000}"/>
    <cellStyle name="Migliaia 25 6 3" xfId="54602" xr:uid="{00000000-0005-0000-0000-00009FB10000}"/>
    <cellStyle name="Migliaia 25 7" xfId="9863" xr:uid="{00000000-0005-0000-0000-0000A0B10000}"/>
    <cellStyle name="Migliaia 25 7 2" xfId="26188" xr:uid="{00000000-0005-0000-0000-0000A1B10000}"/>
    <cellStyle name="Migliaia 25 7 3" xfId="41166" xr:uid="{00000000-0005-0000-0000-0000A2B10000}"/>
    <cellStyle name="Migliaia 25 7 4" xfId="55657" xr:uid="{00000000-0005-0000-0000-0000A3B10000}"/>
    <cellStyle name="Migliaia 25 8" xfId="17136" xr:uid="{00000000-0005-0000-0000-0000A4B10000}"/>
    <cellStyle name="Migliaia 25 8 2" xfId="33251" xr:uid="{00000000-0005-0000-0000-0000A5B10000}"/>
    <cellStyle name="Migliaia 25 8 3" xfId="48212" xr:uid="{00000000-0005-0000-0000-0000A6B10000}"/>
    <cellStyle name="Migliaia 25 9" xfId="19169" xr:uid="{00000000-0005-0000-0000-0000A7B10000}"/>
    <cellStyle name="Migliaia 26" xfId="357" xr:uid="{00000000-0005-0000-0000-0000A8B10000}"/>
    <cellStyle name="Migliaia 26 10" xfId="34168" xr:uid="{00000000-0005-0000-0000-0000A9B10000}"/>
    <cellStyle name="Migliaia 26 11" xfId="49108" xr:uid="{00000000-0005-0000-0000-0000AAB10000}"/>
    <cellStyle name="Migliaia 26 12" xfId="49513" xr:uid="{00000000-0005-0000-0000-0000ABB10000}"/>
    <cellStyle name="Migliaia 26 13" xfId="49919" xr:uid="{00000000-0005-0000-0000-0000ACB10000}"/>
    <cellStyle name="Migliaia 26 14" xfId="50327" xr:uid="{00000000-0005-0000-0000-0000ADB10000}"/>
    <cellStyle name="Migliaia 26 15" xfId="50769" xr:uid="{00000000-0005-0000-0000-0000AEB10000}"/>
    <cellStyle name="Migliaia 26 16" xfId="51488" xr:uid="{00000000-0005-0000-0000-0000AFB10000}"/>
    <cellStyle name="Migliaia 26 17" xfId="51900" xr:uid="{00000000-0005-0000-0000-0000B0B10000}"/>
    <cellStyle name="Migliaia 26 18" xfId="52383" xr:uid="{00000000-0005-0000-0000-0000B1B10000}"/>
    <cellStyle name="Migliaia 26 2" xfId="358" xr:uid="{00000000-0005-0000-0000-0000B2B10000}"/>
    <cellStyle name="Migliaia 26 2 10" xfId="49920" xr:uid="{00000000-0005-0000-0000-0000B3B10000}"/>
    <cellStyle name="Migliaia 26 2 11" xfId="50328" xr:uid="{00000000-0005-0000-0000-0000B4B10000}"/>
    <cellStyle name="Migliaia 26 2 12" xfId="50770" xr:uid="{00000000-0005-0000-0000-0000B5B10000}"/>
    <cellStyle name="Migliaia 26 2 13" xfId="51489" xr:uid="{00000000-0005-0000-0000-0000B6B10000}"/>
    <cellStyle name="Migliaia 26 2 14" xfId="51901" xr:uid="{00000000-0005-0000-0000-0000B7B10000}"/>
    <cellStyle name="Migliaia 26 2 15" xfId="52384" xr:uid="{00000000-0005-0000-0000-0000B8B10000}"/>
    <cellStyle name="Migliaia 26 2 2" xfId="1262" xr:uid="{00000000-0005-0000-0000-0000B9B10000}"/>
    <cellStyle name="Migliaia 26 2 2 10" xfId="51114" xr:uid="{00000000-0005-0000-0000-0000BAB10000}"/>
    <cellStyle name="Migliaia 26 2 2 11" xfId="51710" xr:uid="{00000000-0005-0000-0000-0000BBB10000}"/>
    <cellStyle name="Migliaia 26 2 2 12" xfId="52130" xr:uid="{00000000-0005-0000-0000-0000BCB10000}"/>
    <cellStyle name="Migliaia 26 2 2 13" xfId="52886" xr:uid="{00000000-0005-0000-0000-0000BDB10000}"/>
    <cellStyle name="Migliaia 26 2 2 2" xfId="10089" xr:uid="{00000000-0005-0000-0000-0000BEB10000}"/>
    <cellStyle name="Migliaia 26 2 2 2 2" xfId="26409" xr:uid="{00000000-0005-0000-0000-0000BFB10000}"/>
    <cellStyle name="Migliaia 26 2 2 2 3" xfId="41377" xr:uid="{00000000-0005-0000-0000-0000C0B10000}"/>
    <cellStyle name="Migliaia 26 2 2 2 4" xfId="55241" xr:uid="{00000000-0005-0000-0000-0000C1B10000}"/>
    <cellStyle name="Migliaia 26 2 2 3" xfId="18290" xr:uid="{00000000-0005-0000-0000-0000C2B10000}"/>
    <cellStyle name="Migliaia 26 2 2 3 2" xfId="33757" xr:uid="{00000000-0005-0000-0000-0000C3B10000}"/>
    <cellStyle name="Migliaia 26 2 2 3 3" xfId="48718" xr:uid="{00000000-0005-0000-0000-0000C4B10000}"/>
    <cellStyle name="Migliaia 26 2 2 3 4" xfId="56163" xr:uid="{00000000-0005-0000-0000-0000C5B10000}"/>
    <cellStyle name="Migliaia 26 2 2 4" xfId="19388" xr:uid="{00000000-0005-0000-0000-0000C6B10000}"/>
    <cellStyle name="Migliaia 26 2 2 5" xfId="34378" xr:uid="{00000000-0005-0000-0000-0000C7B10000}"/>
    <cellStyle name="Migliaia 26 2 2 6" xfId="49330" xr:uid="{00000000-0005-0000-0000-0000C8B10000}"/>
    <cellStyle name="Migliaia 26 2 2 7" xfId="49735" xr:uid="{00000000-0005-0000-0000-0000C9B10000}"/>
    <cellStyle name="Migliaia 26 2 2 8" xfId="50144" xr:uid="{00000000-0005-0000-0000-0000CAB10000}"/>
    <cellStyle name="Migliaia 26 2 2 9" xfId="50549" xr:uid="{00000000-0005-0000-0000-0000CBB10000}"/>
    <cellStyle name="Migliaia 26 2 3" xfId="9221" xr:uid="{00000000-0005-0000-0000-0000CCB10000}"/>
    <cellStyle name="Migliaia 26 2 3 2" xfId="54667" xr:uid="{00000000-0005-0000-0000-0000CDB10000}"/>
    <cellStyle name="Migliaia 26 2 4" xfId="9868" xr:uid="{00000000-0005-0000-0000-0000CEB10000}"/>
    <cellStyle name="Migliaia 26 2 4 2" xfId="26193" xr:uid="{00000000-0005-0000-0000-0000CFB10000}"/>
    <cellStyle name="Migliaia 26 2 4 3" xfId="41171" xr:uid="{00000000-0005-0000-0000-0000D0B10000}"/>
    <cellStyle name="Migliaia 26 2 4 4" xfId="55666" xr:uid="{00000000-0005-0000-0000-0000D1B10000}"/>
    <cellStyle name="Migliaia 26 2 5" xfId="17145" xr:uid="{00000000-0005-0000-0000-0000D2B10000}"/>
    <cellStyle name="Migliaia 26 2 5 2" xfId="33260" xr:uid="{00000000-0005-0000-0000-0000D3B10000}"/>
    <cellStyle name="Migliaia 26 2 5 3" xfId="48221" xr:uid="{00000000-0005-0000-0000-0000D4B10000}"/>
    <cellStyle name="Migliaia 26 2 6" xfId="19174" xr:uid="{00000000-0005-0000-0000-0000D5B10000}"/>
    <cellStyle name="Migliaia 26 2 7" xfId="34169" xr:uid="{00000000-0005-0000-0000-0000D6B10000}"/>
    <cellStyle name="Migliaia 26 2 8" xfId="49109" xr:uid="{00000000-0005-0000-0000-0000D7B10000}"/>
    <cellStyle name="Migliaia 26 2 9" xfId="49514" xr:uid="{00000000-0005-0000-0000-0000D8B10000}"/>
    <cellStyle name="Migliaia 26 3" xfId="359" xr:uid="{00000000-0005-0000-0000-0000D9B10000}"/>
    <cellStyle name="Migliaia 26 3 10" xfId="49921" xr:uid="{00000000-0005-0000-0000-0000DAB10000}"/>
    <cellStyle name="Migliaia 26 3 11" xfId="50329" xr:uid="{00000000-0005-0000-0000-0000DBB10000}"/>
    <cellStyle name="Migliaia 26 3 12" xfId="50771" xr:uid="{00000000-0005-0000-0000-0000DCB10000}"/>
    <cellStyle name="Migliaia 26 3 13" xfId="51490" xr:uid="{00000000-0005-0000-0000-0000DDB10000}"/>
    <cellStyle name="Migliaia 26 3 14" xfId="51902" xr:uid="{00000000-0005-0000-0000-0000DEB10000}"/>
    <cellStyle name="Migliaia 26 3 15" xfId="52385" xr:uid="{00000000-0005-0000-0000-0000DFB10000}"/>
    <cellStyle name="Migliaia 26 3 2" xfId="360" xr:uid="{00000000-0005-0000-0000-0000E0B10000}"/>
    <cellStyle name="Migliaia 26 3 2 10" xfId="50330" xr:uid="{00000000-0005-0000-0000-0000E1B10000}"/>
    <cellStyle name="Migliaia 26 3 2 11" xfId="50772" xr:uid="{00000000-0005-0000-0000-0000E2B10000}"/>
    <cellStyle name="Migliaia 26 3 2 12" xfId="51491" xr:uid="{00000000-0005-0000-0000-0000E3B10000}"/>
    <cellStyle name="Migliaia 26 3 2 13" xfId="51903" xr:uid="{00000000-0005-0000-0000-0000E4B10000}"/>
    <cellStyle name="Migliaia 26 3 2 14" xfId="52386" xr:uid="{00000000-0005-0000-0000-0000E5B10000}"/>
    <cellStyle name="Migliaia 26 3 2 2" xfId="9223" xr:uid="{00000000-0005-0000-0000-0000E6B10000}"/>
    <cellStyle name="Migliaia 26 3 2 2 2" xfId="54826" xr:uid="{00000000-0005-0000-0000-0000E7B10000}"/>
    <cellStyle name="Migliaia 26 3 2 3" xfId="9870" xr:uid="{00000000-0005-0000-0000-0000E8B10000}"/>
    <cellStyle name="Migliaia 26 3 2 3 2" xfId="26195" xr:uid="{00000000-0005-0000-0000-0000E9B10000}"/>
    <cellStyle name="Migliaia 26 3 2 3 3" xfId="41173" xr:uid="{00000000-0005-0000-0000-0000EAB10000}"/>
    <cellStyle name="Migliaia 26 3 2 3 4" xfId="55668" xr:uid="{00000000-0005-0000-0000-0000EBB10000}"/>
    <cellStyle name="Migliaia 26 3 2 4" xfId="17147" xr:uid="{00000000-0005-0000-0000-0000ECB10000}"/>
    <cellStyle name="Migliaia 26 3 2 4 2" xfId="33262" xr:uid="{00000000-0005-0000-0000-0000EDB10000}"/>
    <cellStyle name="Migliaia 26 3 2 4 3" xfId="48223" xr:uid="{00000000-0005-0000-0000-0000EEB10000}"/>
    <cellStyle name="Migliaia 26 3 2 5" xfId="19176" xr:uid="{00000000-0005-0000-0000-0000EFB10000}"/>
    <cellStyle name="Migliaia 26 3 2 6" xfId="34171" xr:uid="{00000000-0005-0000-0000-0000F0B10000}"/>
    <cellStyle name="Migliaia 26 3 2 7" xfId="49111" xr:uid="{00000000-0005-0000-0000-0000F1B10000}"/>
    <cellStyle name="Migliaia 26 3 2 8" xfId="49516" xr:uid="{00000000-0005-0000-0000-0000F2B10000}"/>
    <cellStyle name="Migliaia 26 3 2 9" xfId="49922" xr:uid="{00000000-0005-0000-0000-0000F3B10000}"/>
    <cellStyle name="Migliaia 26 3 3" xfId="9222" xr:uid="{00000000-0005-0000-0000-0000F4B10000}"/>
    <cellStyle name="Migliaia 26 3 3 2" xfId="18292" xr:uid="{00000000-0005-0000-0000-0000F5B10000}"/>
    <cellStyle name="Migliaia 26 3 3 2 2" xfId="33759" xr:uid="{00000000-0005-0000-0000-0000F6B10000}"/>
    <cellStyle name="Migliaia 26 3 3 2 2 2" xfId="55243" xr:uid="{00000000-0005-0000-0000-0000F7B10000}"/>
    <cellStyle name="Migliaia 26 3 3 2 3" xfId="48720" xr:uid="{00000000-0005-0000-0000-0000F8B10000}"/>
    <cellStyle name="Migliaia 26 3 3 2 3 2" xfId="56165" xr:uid="{00000000-0005-0000-0000-0000F9B10000}"/>
    <cellStyle name="Migliaia 26 3 3 2 4" xfId="52888" xr:uid="{00000000-0005-0000-0000-0000FAB10000}"/>
    <cellStyle name="Migliaia 26 3 3 3" xfId="17148" xr:uid="{00000000-0005-0000-0000-0000FBB10000}"/>
    <cellStyle name="Migliaia 26 3 3 3 2" xfId="33263" xr:uid="{00000000-0005-0000-0000-0000FCB10000}"/>
    <cellStyle name="Migliaia 26 3 3 3 3" xfId="48224" xr:uid="{00000000-0005-0000-0000-0000FDB10000}"/>
    <cellStyle name="Migliaia 26 3 3 3 4" xfId="54827" xr:uid="{00000000-0005-0000-0000-0000FEB10000}"/>
    <cellStyle name="Migliaia 26 3 3 4" xfId="55669" xr:uid="{00000000-0005-0000-0000-0000FFB10000}"/>
    <cellStyle name="Migliaia 26 3 3 5" xfId="52387" xr:uid="{00000000-0005-0000-0000-000000B20000}"/>
    <cellStyle name="Migliaia 26 3 4" xfId="9869" xr:uid="{00000000-0005-0000-0000-000001B20000}"/>
    <cellStyle name="Migliaia 26 3 4 2" xfId="18291" xr:uid="{00000000-0005-0000-0000-000002B20000}"/>
    <cellStyle name="Migliaia 26 3 4 2 2" xfId="33758" xr:uid="{00000000-0005-0000-0000-000003B20000}"/>
    <cellStyle name="Migliaia 26 3 4 2 3" xfId="48719" xr:uid="{00000000-0005-0000-0000-000004B20000}"/>
    <cellStyle name="Migliaia 26 3 4 2 4" xfId="55242" xr:uid="{00000000-0005-0000-0000-000005B20000}"/>
    <cellStyle name="Migliaia 26 3 4 3" xfId="26194" xr:uid="{00000000-0005-0000-0000-000006B20000}"/>
    <cellStyle name="Migliaia 26 3 4 3 2" xfId="56164" xr:uid="{00000000-0005-0000-0000-000007B20000}"/>
    <cellStyle name="Migliaia 26 3 4 4" xfId="41172" xr:uid="{00000000-0005-0000-0000-000008B20000}"/>
    <cellStyle name="Migliaia 26 3 4 5" xfId="52887" xr:uid="{00000000-0005-0000-0000-000009B20000}"/>
    <cellStyle name="Migliaia 26 3 5" xfId="17146" xr:uid="{00000000-0005-0000-0000-00000AB20000}"/>
    <cellStyle name="Migliaia 26 3 5 2" xfId="33261" xr:uid="{00000000-0005-0000-0000-00000BB20000}"/>
    <cellStyle name="Migliaia 26 3 5 3" xfId="48222" xr:uid="{00000000-0005-0000-0000-00000CB20000}"/>
    <cellStyle name="Migliaia 26 3 5 4" xfId="54825" xr:uid="{00000000-0005-0000-0000-00000DB20000}"/>
    <cellStyle name="Migliaia 26 3 6" xfId="19175" xr:uid="{00000000-0005-0000-0000-00000EB20000}"/>
    <cellStyle name="Migliaia 26 3 6 2" xfId="55667" xr:uid="{00000000-0005-0000-0000-00000FB20000}"/>
    <cellStyle name="Migliaia 26 3 7" xfId="34170" xr:uid="{00000000-0005-0000-0000-000010B20000}"/>
    <cellStyle name="Migliaia 26 3 8" xfId="49110" xr:uid="{00000000-0005-0000-0000-000011B20000}"/>
    <cellStyle name="Migliaia 26 3 9" xfId="49515" xr:uid="{00000000-0005-0000-0000-000012B20000}"/>
    <cellStyle name="Migliaia 26 4" xfId="9224" xr:uid="{00000000-0005-0000-0000-000013B20000}"/>
    <cellStyle name="Migliaia 26 4 2" xfId="17150" xr:uid="{00000000-0005-0000-0000-000014B20000}"/>
    <cellStyle name="Migliaia 26 4 2 2" xfId="18294" xr:uid="{00000000-0005-0000-0000-000015B20000}"/>
    <cellStyle name="Migliaia 26 4 2 2 2" xfId="33761" xr:uid="{00000000-0005-0000-0000-000016B20000}"/>
    <cellStyle name="Migliaia 26 4 2 2 2 2" xfId="55245" xr:uid="{00000000-0005-0000-0000-000017B20000}"/>
    <cellStyle name="Migliaia 26 4 2 2 3" xfId="48722" xr:uid="{00000000-0005-0000-0000-000018B20000}"/>
    <cellStyle name="Migliaia 26 4 2 2 3 2" xfId="56167" xr:uid="{00000000-0005-0000-0000-000019B20000}"/>
    <cellStyle name="Migliaia 26 4 2 2 4" xfId="52890" xr:uid="{00000000-0005-0000-0000-00001AB20000}"/>
    <cellStyle name="Migliaia 26 4 2 3" xfId="33265" xr:uid="{00000000-0005-0000-0000-00001BB20000}"/>
    <cellStyle name="Migliaia 26 4 2 3 2" xfId="54829" xr:uid="{00000000-0005-0000-0000-00001CB20000}"/>
    <cellStyle name="Migliaia 26 4 2 4" xfId="48226" xr:uid="{00000000-0005-0000-0000-00001DB20000}"/>
    <cellStyle name="Migliaia 26 4 2 4 2" xfId="55671" xr:uid="{00000000-0005-0000-0000-00001EB20000}"/>
    <cellStyle name="Migliaia 26 4 2 5" xfId="52389" xr:uid="{00000000-0005-0000-0000-00001FB20000}"/>
    <cellStyle name="Migliaia 26 4 3" xfId="18293" xr:uid="{00000000-0005-0000-0000-000020B20000}"/>
    <cellStyle name="Migliaia 26 4 3 2" xfId="33760" xr:uid="{00000000-0005-0000-0000-000021B20000}"/>
    <cellStyle name="Migliaia 26 4 3 2 2" xfId="55244" xr:uid="{00000000-0005-0000-0000-000022B20000}"/>
    <cellStyle name="Migliaia 26 4 3 3" xfId="48721" xr:uid="{00000000-0005-0000-0000-000023B20000}"/>
    <cellStyle name="Migliaia 26 4 3 3 2" xfId="56166" xr:uid="{00000000-0005-0000-0000-000024B20000}"/>
    <cellStyle name="Migliaia 26 4 3 4" xfId="52889" xr:uid="{00000000-0005-0000-0000-000025B20000}"/>
    <cellStyle name="Migliaia 26 4 4" xfId="17149" xr:uid="{00000000-0005-0000-0000-000026B20000}"/>
    <cellStyle name="Migliaia 26 4 4 2" xfId="33264" xr:uid="{00000000-0005-0000-0000-000027B20000}"/>
    <cellStyle name="Migliaia 26 4 4 3" xfId="48225" xr:uid="{00000000-0005-0000-0000-000028B20000}"/>
    <cellStyle name="Migliaia 26 4 4 4" xfId="54828" xr:uid="{00000000-0005-0000-0000-000029B20000}"/>
    <cellStyle name="Migliaia 26 4 5" xfId="51271" xr:uid="{00000000-0005-0000-0000-00002AB20000}"/>
    <cellStyle name="Migliaia 26 4 5 2" xfId="55670" xr:uid="{00000000-0005-0000-0000-00002BB20000}"/>
    <cellStyle name="Migliaia 26 4 6" xfId="52388" xr:uid="{00000000-0005-0000-0000-00002CB20000}"/>
    <cellStyle name="Migliaia 26 5" xfId="9225" xr:uid="{00000000-0005-0000-0000-00002DB20000}"/>
    <cellStyle name="Migliaia 26 5 2" xfId="17151" xr:uid="{00000000-0005-0000-0000-00002EB20000}"/>
    <cellStyle name="Migliaia 26 5 2 2" xfId="33266" xr:uid="{00000000-0005-0000-0000-00002FB20000}"/>
    <cellStyle name="Migliaia 26 5 2 3" xfId="48227" xr:uid="{00000000-0005-0000-0000-000030B20000}"/>
    <cellStyle name="Migliaia 26 5 2 4" xfId="54830" xr:uid="{00000000-0005-0000-0000-000031B20000}"/>
    <cellStyle name="Migliaia 26 5 3" xfId="51238" xr:uid="{00000000-0005-0000-0000-000032B20000}"/>
    <cellStyle name="Migliaia 26 5 3 2" xfId="55672" xr:uid="{00000000-0005-0000-0000-000033B20000}"/>
    <cellStyle name="Migliaia 26 5 4" xfId="52390" xr:uid="{00000000-0005-0000-0000-000034B20000}"/>
    <cellStyle name="Migliaia 26 6" xfId="9220" xr:uid="{00000000-0005-0000-0000-000035B20000}"/>
    <cellStyle name="Migliaia 26 6 2" xfId="51046" xr:uid="{00000000-0005-0000-0000-000036B20000}"/>
    <cellStyle name="Migliaia 26 6 3" xfId="54603" xr:uid="{00000000-0005-0000-0000-000037B20000}"/>
    <cellStyle name="Migliaia 26 7" xfId="9867" xr:uid="{00000000-0005-0000-0000-000038B20000}"/>
    <cellStyle name="Migliaia 26 7 2" xfId="26192" xr:uid="{00000000-0005-0000-0000-000039B20000}"/>
    <cellStyle name="Migliaia 26 7 3" xfId="41170" xr:uid="{00000000-0005-0000-0000-00003AB20000}"/>
    <cellStyle name="Migliaia 26 7 4" xfId="55665" xr:uid="{00000000-0005-0000-0000-00003BB20000}"/>
    <cellStyle name="Migliaia 26 8" xfId="17144" xr:uid="{00000000-0005-0000-0000-00003CB20000}"/>
    <cellStyle name="Migliaia 26 8 2" xfId="33259" xr:uid="{00000000-0005-0000-0000-00003DB20000}"/>
    <cellStyle name="Migliaia 26 8 3" xfId="48220" xr:uid="{00000000-0005-0000-0000-00003EB20000}"/>
    <cellStyle name="Migliaia 26 9" xfId="19173" xr:uid="{00000000-0005-0000-0000-00003FB20000}"/>
    <cellStyle name="Migliaia 27" xfId="361" xr:uid="{00000000-0005-0000-0000-000040B20000}"/>
    <cellStyle name="Migliaia 27 10" xfId="34172" xr:uid="{00000000-0005-0000-0000-000041B20000}"/>
    <cellStyle name="Migliaia 27 11" xfId="49112" xr:uid="{00000000-0005-0000-0000-000042B20000}"/>
    <cellStyle name="Migliaia 27 12" xfId="49517" xr:uid="{00000000-0005-0000-0000-000043B20000}"/>
    <cellStyle name="Migliaia 27 13" xfId="49923" xr:uid="{00000000-0005-0000-0000-000044B20000}"/>
    <cellStyle name="Migliaia 27 14" xfId="50331" xr:uid="{00000000-0005-0000-0000-000045B20000}"/>
    <cellStyle name="Migliaia 27 15" xfId="50773" xr:uid="{00000000-0005-0000-0000-000046B20000}"/>
    <cellStyle name="Migliaia 27 16" xfId="51492" xr:uid="{00000000-0005-0000-0000-000047B20000}"/>
    <cellStyle name="Migliaia 27 17" xfId="51904" xr:uid="{00000000-0005-0000-0000-000048B20000}"/>
    <cellStyle name="Migliaia 27 18" xfId="52391" xr:uid="{00000000-0005-0000-0000-000049B20000}"/>
    <cellStyle name="Migliaia 27 2" xfId="362" xr:uid="{00000000-0005-0000-0000-00004AB20000}"/>
    <cellStyle name="Migliaia 27 2 10" xfId="49924" xr:uid="{00000000-0005-0000-0000-00004BB20000}"/>
    <cellStyle name="Migliaia 27 2 11" xfId="50332" xr:uid="{00000000-0005-0000-0000-00004CB20000}"/>
    <cellStyle name="Migliaia 27 2 12" xfId="50774" xr:uid="{00000000-0005-0000-0000-00004DB20000}"/>
    <cellStyle name="Migliaia 27 2 13" xfId="51493" xr:uid="{00000000-0005-0000-0000-00004EB20000}"/>
    <cellStyle name="Migliaia 27 2 14" xfId="51905" xr:uid="{00000000-0005-0000-0000-00004FB20000}"/>
    <cellStyle name="Migliaia 27 2 15" xfId="52392" xr:uid="{00000000-0005-0000-0000-000050B20000}"/>
    <cellStyle name="Migliaia 27 2 2" xfId="1263" xr:uid="{00000000-0005-0000-0000-000051B20000}"/>
    <cellStyle name="Migliaia 27 2 2 10" xfId="51115" xr:uid="{00000000-0005-0000-0000-000052B20000}"/>
    <cellStyle name="Migliaia 27 2 2 11" xfId="51711" xr:uid="{00000000-0005-0000-0000-000053B20000}"/>
    <cellStyle name="Migliaia 27 2 2 12" xfId="52131" xr:uid="{00000000-0005-0000-0000-000054B20000}"/>
    <cellStyle name="Migliaia 27 2 2 13" xfId="52891" xr:uid="{00000000-0005-0000-0000-000055B20000}"/>
    <cellStyle name="Migliaia 27 2 2 2" xfId="10090" xr:uid="{00000000-0005-0000-0000-000056B20000}"/>
    <cellStyle name="Migliaia 27 2 2 2 2" xfId="26410" xr:uid="{00000000-0005-0000-0000-000057B20000}"/>
    <cellStyle name="Migliaia 27 2 2 2 3" xfId="41378" xr:uid="{00000000-0005-0000-0000-000058B20000}"/>
    <cellStyle name="Migliaia 27 2 2 2 4" xfId="55246" xr:uid="{00000000-0005-0000-0000-000059B20000}"/>
    <cellStyle name="Migliaia 27 2 2 3" xfId="18295" xr:uid="{00000000-0005-0000-0000-00005AB20000}"/>
    <cellStyle name="Migliaia 27 2 2 3 2" xfId="33762" xr:uid="{00000000-0005-0000-0000-00005BB20000}"/>
    <cellStyle name="Migliaia 27 2 2 3 3" xfId="48723" xr:uid="{00000000-0005-0000-0000-00005CB20000}"/>
    <cellStyle name="Migliaia 27 2 2 3 4" xfId="56168" xr:uid="{00000000-0005-0000-0000-00005DB20000}"/>
    <cellStyle name="Migliaia 27 2 2 4" xfId="19389" xr:uid="{00000000-0005-0000-0000-00005EB20000}"/>
    <cellStyle name="Migliaia 27 2 2 5" xfId="34379" xr:uid="{00000000-0005-0000-0000-00005FB20000}"/>
    <cellStyle name="Migliaia 27 2 2 6" xfId="49331" xr:uid="{00000000-0005-0000-0000-000060B20000}"/>
    <cellStyle name="Migliaia 27 2 2 7" xfId="49736" xr:uid="{00000000-0005-0000-0000-000061B20000}"/>
    <cellStyle name="Migliaia 27 2 2 8" xfId="50145" xr:uid="{00000000-0005-0000-0000-000062B20000}"/>
    <cellStyle name="Migliaia 27 2 2 9" xfId="50550" xr:uid="{00000000-0005-0000-0000-000063B20000}"/>
    <cellStyle name="Migliaia 27 2 3" xfId="9227" xr:uid="{00000000-0005-0000-0000-000064B20000}"/>
    <cellStyle name="Migliaia 27 2 3 2" xfId="54668" xr:uid="{00000000-0005-0000-0000-000065B20000}"/>
    <cellStyle name="Migliaia 27 2 4" xfId="9872" xr:uid="{00000000-0005-0000-0000-000066B20000}"/>
    <cellStyle name="Migliaia 27 2 4 2" xfId="26197" xr:uid="{00000000-0005-0000-0000-000067B20000}"/>
    <cellStyle name="Migliaia 27 2 4 3" xfId="41175" xr:uid="{00000000-0005-0000-0000-000068B20000}"/>
    <cellStyle name="Migliaia 27 2 4 4" xfId="55674" xr:uid="{00000000-0005-0000-0000-000069B20000}"/>
    <cellStyle name="Migliaia 27 2 5" xfId="17153" xr:uid="{00000000-0005-0000-0000-00006AB20000}"/>
    <cellStyle name="Migliaia 27 2 5 2" xfId="33268" xr:uid="{00000000-0005-0000-0000-00006BB20000}"/>
    <cellStyle name="Migliaia 27 2 5 3" xfId="48229" xr:uid="{00000000-0005-0000-0000-00006CB20000}"/>
    <cellStyle name="Migliaia 27 2 6" xfId="19178" xr:uid="{00000000-0005-0000-0000-00006DB20000}"/>
    <cellStyle name="Migliaia 27 2 7" xfId="34173" xr:uid="{00000000-0005-0000-0000-00006EB20000}"/>
    <cellStyle name="Migliaia 27 2 8" xfId="49113" xr:uid="{00000000-0005-0000-0000-00006FB20000}"/>
    <cellStyle name="Migliaia 27 2 9" xfId="49518" xr:uid="{00000000-0005-0000-0000-000070B20000}"/>
    <cellStyle name="Migliaia 27 3" xfId="363" xr:uid="{00000000-0005-0000-0000-000071B20000}"/>
    <cellStyle name="Migliaia 27 3 10" xfId="49925" xr:uid="{00000000-0005-0000-0000-000072B20000}"/>
    <cellStyle name="Migliaia 27 3 11" xfId="50333" xr:uid="{00000000-0005-0000-0000-000073B20000}"/>
    <cellStyle name="Migliaia 27 3 12" xfId="50775" xr:uid="{00000000-0005-0000-0000-000074B20000}"/>
    <cellStyle name="Migliaia 27 3 13" xfId="51494" xr:uid="{00000000-0005-0000-0000-000075B20000}"/>
    <cellStyle name="Migliaia 27 3 14" xfId="51906" xr:uid="{00000000-0005-0000-0000-000076B20000}"/>
    <cellStyle name="Migliaia 27 3 15" xfId="52393" xr:uid="{00000000-0005-0000-0000-000077B20000}"/>
    <cellStyle name="Migliaia 27 3 2" xfId="364" xr:uid="{00000000-0005-0000-0000-000078B20000}"/>
    <cellStyle name="Migliaia 27 3 2 10" xfId="50334" xr:uid="{00000000-0005-0000-0000-000079B20000}"/>
    <cellStyle name="Migliaia 27 3 2 11" xfId="50776" xr:uid="{00000000-0005-0000-0000-00007AB20000}"/>
    <cellStyle name="Migliaia 27 3 2 12" xfId="51495" xr:uid="{00000000-0005-0000-0000-00007BB20000}"/>
    <cellStyle name="Migliaia 27 3 2 13" xfId="51907" xr:uid="{00000000-0005-0000-0000-00007CB20000}"/>
    <cellStyle name="Migliaia 27 3 2 14" xfId="52394" xr:uid="{00000000-0005-0000-0000-00007DB20000}"/>
    <cellStyle name="Migliaia 27 3 2 2" xfId="9229" xr:uid="{00000000-0005-0000-0000-00007EB20000}"/>
    <cellStyle name="Migliaia 27 3 2 2 2" xfId="54832" xr:uid="{00000000-0005-0000-0000-00007FB20000}"/>
    <cellStyle name="Migliaia 27 3 2 3" xfId="9874" xr:uid="{00000000-0005-0000-0000-000080B20000}"/>
    <cellStyle name="Migliaia 27 3 2 3 2" xfId="26199" xr:uid="{00000000-0005-0000-0000-000081B20000}"/>
    <cellStyle name="Migliaia 27 3 2 3 3" xfId="41177" xr:uid="{00000000-0005-0000-0000-000082B20000}"/>
    <cellStyle name="Migliaia 27 3 2 3 4" xfId="55676" xr:uid="{00000000-0005-0000-0000-000083B20000}"/>
    <cellStyle name="Migliaia 27 3 2 4" xfId="17155" xr:uid="{00000000-0005-0000-0000-000084B20000}"/>
    <cellStyle name="Migliaia 27 3 2 4 2" xfId="33270" xr:uid="{00000000-0005-0000-0000-000085B20000}"/>
    <cellStyle name="Migliaia 27 3 2 4 3" xfId="48231" xr:uid="{00000000-0005-0000-0000-000086B20000}"/>
    <cellStyle name="Migliaia 27 3 2 5" xfId="19180" xr:uid="{00000000-0005-0000-0000-000087B20000}"/>
    <cellStyle name="Migliaia 27 3 2 6" xfId="34175" xr:uid="{00000000-0005-0000-0000-000088B20000}"/>
    <cellStyle name="Migliaia 27 3 2 7" xfId="49115" xr:uid="{00000000-0005-0000-0000-000089B20000}"/>
    <cellStyle name="Migliaia 27 3 2 8" xfId="49520" xr:uid="{00000000-0005-0000-0000-00008AB20000}"/>
    <cellStyle name="Migliaia 27 3 2 9" xfId="49926" xr:uid="{00000000-0005-0000-0000-00008BB20000}"/>
    <cellStyle name="Migliaia 27 3 3" xfId="9228" xr:uid="{00000000-0005-0000-0000-00008CB20000}"/>
    <cellStyle name="Migliaia 27 3 3 2" xfId="18297" xr:uid="{00000000-0005-0000-0000-00008DB20000}"/>
    <cellStyle name="Migliaia 27 3 3 2 2" xfId="33764" xr:uid="{00000000-0005-0000-0000-00008EB20000}"/>
    <cellStyle name="Migliaia 27 3 3 2 2 2" xfId="55248" xr:uid="{00000000-0005-0000-0000-00008FB20000}"/>
    <cellStyle name="Migliaia 27 3 3 2 3" xfId="48725" xr:uid="{00000000-0005-0000-0000-000090B20000}"/>
    <cellStyle name="Migliaia 27 3 3 2 3 2" xfId="56170" xr:uid="{00000000-0005-0000-0000-000091B20000}"/>
    <cellStyle name="Migliaia 27 3 3 2 4" xfId="52893" xr:uid="{00000000-0005-0000-0000-000092B20000}"/>
    <cellStyle name="Migliaia 27 3 3 3" xfId="17156" xr:uid="{00000000-0005-0000-0000-000093B20000}"/>
    <cellStyle name="Migliaia 27 3 3 3 2" xfId="33271" xr:uid="{00000000-0005-0000-0000-000094B20000}"/>
    <cellStyle name="Migliaia 27 3 3 3 3" xfId="48232" xr:uid="{00000000-0005-0000-0000-000095B20000}"/>
    <cellStyle name="Migliaia 27 3 3 3 4" xfId="54833" xr:uid="{00000000-0005-0000-0000-000096B20000}"/>
    <cellStyle name="Migliaia 27 3 3 4" xfId="55677" xr:uid="{00000000-0005-0000-0000-000097B20000}"/>
    <cellStyle name="Migliaia 27 3 3 5" xfId="52395" xr:uid="{00000000-0005-0000-0000-000098B20000}"/>
    <cellStyle name="Migliaia 27 3 4" xfId="9873" xr:uid="{00000000-0005-0000-0000-000099B20000}"/>
    <cellStyle name="Migliaia 27 3 4 2" xfId="18296" xr:uid="{00000000-0005-0000-0000-00009AB20000}"/>
    <cellStyle name="Migliaia 27 3 4 2 2" xfId="33763" xr:uid="{00000000-0005-0000-0000-00009BB20000}"/>
    <cellStyle name="Migliaia 27 3 4 2 3" xfId="48724" xr:uid="{00000000-0005-0000-0000-00009CB20000}"/>
    <cellStyle name="Migliaia 27 3 4 2 4" xfId="55247" xr:uid="{00000000-0005-0000-0000-00009DB20000}"/>
    <cellStyle name="Migliaia 27 3 4 3" xfId="26198" xr:uid="{00000000-0005-0000-0000-00009EB20000}"/>
    <cellStyle name="Migliaia 27 3 4 3 2" xfId="56169" xr:uid="{00000000-0005-0000-0000-00009FB20000}"/>
    <cellStyle name="Migliaia 27 3 4 4" xfId="41176" xr:uid="{00000000-0005-0000-0000-0000A0B20000}"/>
    <cellStyle name="Migliaia 27 3 4 5" xfId="52892" xr:uid="{00000000-0005-0000-0000-0000A1B20000}"/>
    <cellStyle name="Migliaia 27 3 5" xfId="17154" xr:uid="{00000000-0005-0000-0000-0000A2B20000}"/>
    <cellStyle name="Migliaia 27 3 5 2" xfId="33269" xr:uid="{00000000-0005-0000-0000-0000A3B20000}"/>
    <cellStyle name="Migliaia 27 3 5 3" xfId="48230" xr:uid="{00000000-0005-0000-0000-0000A4B20000}"/>
    <cellStyle name="Migliaia 27 3 5 4" xfId="54831" xr:uid="{00000000-0005-0000-0000-0000A5B20000}"/>
    <cellStyle name="Migliaia 27 3 6" xfId="19179" xr:uid="{00000000-0005-0000-0000-0000A6B20000}"/>
    <cellStyle name="Migliaia 27 3 6 2" xfId="55675" xr:uid="{00000000-0005-0000-0000-0000A7B20000}"/>
    <cellStyle name="Migliaia 27 3 7" xfId="34174" xr:uid="{00000000-0005-0000-0000-0000A8B20000}"/>
    <cellStyle name="Migliaia 27 3 8" xfId="49114" xr:uid="{00000000-0005-0000-0000-0000A9B20000}"/>
    <cellStyle name="Migliaia 27 3 9" xfId="49519" xr:uid="{00000000-0005-0000-0000-0000AAB20000}"/>
    <cellStyle name="Migliaia 27 4" xfId="9230" xr:uid="{00000000-0005-0000-0000-0000ABB20000}"/>
    <cellStyle name="Migliaia 27 4 2" xfId="17158" xr:uid="{00000000-0005-0000-0000-0000ACB20000}"/>
    <cellStyle name="Migliaia 27 4 2 2" xfId="18299" xr:uid="{00000000-0005-0000-0000-0000ADB20000}"/>
    <cellStyle name="Migliaia 27 4 2 2 2" xfId="33766" xr:uid="{00000000-0005-0000-0000-0000AEB20000}"/>
    <cellStyle name="Migliaia 27 4 2 2 2 2" xfId="55250" xr:uid="{00000000-0005-0000-0000-0000AFB20000}"/>
    <cellStyle name="Migliaia 27 4 2 2 3" xfId="48727" xr:uid="{00000000-0005-0000-0000-0000B0B20000}"/>
    <cellStyle name="Migliaia 27 4 2 2 3 2" xfId="56172" xr:uid="{00000000-0005-0000-0000-0000B1B20000}"/>
    <cellStyle name="Migliaia 27 4 2 2 4" xfId="52895" xr:uid="{00000000-0005-0000-0000-0000B2B20000}"/>
    <cellStyle name="Migliaia 27 4 2 3" xfId="33273" xr:uid="{00000000-0005-0000-0000-0000B3B20000}"/>
    <cellStyle name="Migliaia 27 4 2 3 2" xfId="54835" xr:uid="{00000000-0005-0000-0000-0000B4B20000}"/>
    <cellStyle name="Migliaia 27 4 2 4" xfId="48234" xr:uid="{00000000-0005-0000-0000-0000B5B20000}"/>
    <cellStyle name="Migliaia 27 4 2 4 2" xfId="55679" xr:uid="{00000000-0005-0000-0000-0000B6B20000}"/>
    <cellStyle name="Migliaia 27 4 2 5" xfId="52397" xr:uid="{00000000-0005-0000-0000-0000B7B20000}"/>
    <cellStyle name="Migliaia 27 4 3" xfId="18298" xr:uid="{00000000-0005-0000-0000-0000B8B20000}"/>
    <cellStyle name="Migliaia 27 4 3 2" xfId="33765" xr:uid="{00000000-0005-0000-0000-0000B9B20000}"/>
    <cellStyle name="Migliaia 27 4 3 2 2" xfId="55249" xr:uid="{00000000-0005-0000-0000-0000BAB20000}"/>
    <cellStyle name="Migliaia 27 4 3 3" xfId="48726" xr:uid="{00000000-0005-0000-0000-0000BBB20000}"/>
    <cellStyle name="Migliaia 27 4 3 3 2" xfId="56171" xr:uid="{00000000-0005-0000-0000-0000BCB20000}"/>
    <cellStyle name="Migliaia 27 4 3 4" xfId="52894" xr:uid="{00000000-0005-0000-0000-0000BDB20000}"/>
    <cellStyle name="Migliaia 27 4 4" xfId="17157" xr:uid="{00000000-0005-0000-0000-0000BEB20000}"/>
    <cellStyle name="Migliaia 27 4 4 2" xfId="33272" xr:uid="{00000000-0005-0000-0000-0000BFB20000}"/>
    <cellStyle name="Migliaia 27 4 4 3" xfId="48233" xr:uid="{00000000-0005-0000-0000-0000C0B20000}"/>
    <cellStyle name="Migliaia 27 4 4 4" xfId="54834" xr:uid="{00000000-0005-0000-0000-0000C1B20000}"/>
    <cellStyle name="Migliaia 27 4 5" xfId="51045" xr:uid="{00000000-0005-0000-0000-0000C2B20000}"/>
    <cellStyle name="Migliaia 27 4 5 2" xfId="55678" xr:uid="{00000000-0005-0000-0000-0000C3B20000}"/>
    <cellStyle name="Migliaia 27 4 6" xfId="52396" xr:uid="{00000000-0005-0000-0000-0000C4B20000}"/>
    <cellStyle name="Migliaia 27 5" xfId="9231" xr:uid="{00000000-0005-0000-0000-0000C5B20000}"/>
    <cellStyle name="Migliaia 27 5 2" xfId="17159" xr:uid="{00000000-0005-0000-0000-0000C6B20000}"/>
    <cellStyle name="Migliaia 27 5 2 2" xfId="33274" xr:uid="{00000000-0005-0000-0000-0000C7B20000}"/>
    <cellStyle name="Migliaia 27 5 2 3" xfId="48235" xr:uid="{00000000-0005-0000-0000-0000C8B20000}"/>
    <cellStyle name="Migliaia 27 5 2 4" xfId="54836" xr:uid="{00000000-0005-0000-0000-0000C9B20000}"/>
    <cellStyle name="Migliaia 27 5 3" xfId="51272" xr:uid="{00000000-0005-0000-0000-0000CAB20000}"/>
    <cellStyle name="Migliaia 27 5 3 2" xfId="55680" xr:uid="{00000000-0005-0000-0000-0000CBB20000}"/>
    <cellStyle name="Migliaia 27 5 4" xfId="52398" xr:uid="{00000000-0005-0000-0000-0000CCB20000}"/>
    <cellStyle name="Migliaia 27 6" xfId="9226" xr:uid="{00000000-0005-0000-0000-0000CDB20000}"/>
    <cellStyle name="Migliaia 27 6 2" xfId="51223" xr:uid="{00000000-0005-0000-0000-0000CEB20000}"/>
    <cellStyle name="Migliaia 27 6 3" xfId="54604" xr:uid="{00000000-0005-0000-0000-0000CFB20000}"/>
    <cellStyle name="Migliaia 27 7" xfId="9871" xr:uid="{00000000-0005-0000-0000-0000D0B20000}"/>
    <cellStyle name="Migliaia 27 7 2" xfId="26196" xr:uid="{00000000-0005-0000-0000-0000D1B20000}"/>
    <cellStyle name="Migliaia 27 7 3" xfId="41174" xr:uid="{00000000-0005-0000-0000-0000D2B20000}"/>
    <cellStyle name="Migliaia 27 7 4" xfId="55673" xr:uid="{00000000-0005-0000-0000-0000D3B20000}"/>
    <cellStyle name="Migliaia 27 8" xfId="17152" xr:uid="{00000000-0005-0000-0000-0000D4B20000}"/>
    <cellStyle name="Migliaia 27 8 2" xfId="33267" xr:uid="{00000000-0005-0000-0000-0000D5B20000}"/>
    <cellStyle name="Migliaia 27 8 3" xfId="48228" xr:uid="{00000000-0005-0000-0000-0000D6B20000}"/>
    <cellStyle name="Migliaia 27 9" xfId="19177" xr:uid="{00000000-0005-0000-0000-0000D7B20000}"/>
    <cellStyle name="Migliaia 28" xfId="365" xr:uid="{00000000-0005-0000-0000-0000D8B20000}"/>
    <cellStyle name="Migliaia 28 10" xfId="34176" xr:uid="{00000000-0005-0000-0000-0000D9B20000}"/>
    <cellStyle name="Migliaia 28 11" xfId="49116" xr:uid="{00000000-0005-0000-0000-0000DAB20000}"/>
    <cellStyle name="Migliaia 28 12" xfId="49521" xr:uid="{00000000-0005-0000-0000-0000DBB20000}"/>
    <cellStyle name="Migliaia 28 13" xfId="49927" xr:uid="{00000000-0005-0000-0000-0000DCB20000}"/>
    <cellStyle name="Migliaia 28 14" xfId="50335" xr:uid="{00000000-0005-0000-0000-0000DDB20000}"/>
    <cellStyle name="Migliaia 28 15" xfId="50777" xr:uid="{00000000-0005-0000-0000-0000DEB20000}"/>
    <cellStyle name="Migliaia 28 16" xfId="51496" xr:uid="{00000000-0005-0000-0000-0000DFB20000}"/>
    <cellStyle name="Migliaia 28 17" xfId="51908" xr:uid="{00000000-0005-0000-0000-0000E0B20000}"/>
    <cellStyle name="Migliaia 28 18" xfId="52399" xr:uid="{00000000-0005-0000-0000-0000E1B20000}"/>
    <cellStyle name="Migliaia 28 2" xfId="366" xr:uid="{00000000-0005-0000-0000-0000E2B20000}"/>
    <cellStyle name="Migliaia 28 2 10" xfId="49928" xr:uid="{00000000-0005-0000-0000-0000E3B20000}"/>
    <cellStyle name="Migliaia 28 2 11" xfId="50336" xr:uid="{00000000-0005-0000-0000-0000E4B20000}"/>
    <cellStyle name="Migliaia 28 2 12" xfId="50778" xr:uid="{00000000-0005-0000-0000-0000E5B20000}"/>
    <cellStyle name="Migliaia 28 2 13" xfId="51497" xr:uid="{00000000-0005-0000-0000-0000E6B20000}"/>
    <cellStyle name="Migliaia 28 2 14" xfId="51909" xr:uid="{00000000-0005-0000-0000-0000E7B20000}"/>
    <cellStyle name="Migliaia 28 2 15" xfId="52400" xr:uid="{00000000-0005-0000-0000-0000E8B20000}"/>
    <cellStyle name="Migliaia 28 2 2" xfId="1264" xr:uid="{00000000-0005-0000-0000-0000E9B20000}"/>
    <cellStyle name="Migliaia 28 2 2 10" xfId="51116" xr:uid="{00000000-0005-0000-0000-0000EAB20000}"/>
    <cellStyle name="Migliaia 28 2 2 11" xfId="51712" xr:uid="{00000000-0005-0000-0000-0000EBB20000}"/>
    <cellStyle name="Migliaia 28 2 2 12" xfId="52132" xr:uid="{00000000-0005-0000-0000-0000ECB20000}"/>
    <cellStyle name="Migliaia 28 2 2 13" xfId="52896" xr:uid="{00000000-0005-0000-0000-0000EDB20000}"/>
    <cellStyle name="Migliaia 28 2 2 2" xfId="10091" xr:uid="{00000000-0005-0000-0000-0000EEB20000}"/>
    <cellStyle name="Migliaia 28 2 2 2 2" xfId="26411" xr:uid="{00000000-0005-0000-0000-0000EFB20000}"/>
    <cellStyle name="Migliaia 28 2 2 2 3" xfId="41379" xr:uid="{00000000-0005-0000-0000-0000F0B20000}"/>
    <cellStyle name="Migliaia 28 2 2 2 4" xfId="55251" xr:uid="{00000000-0005-0000-0000-0000F1B20000}"/>
    <cellStyle name="Migliaia 28 2 2 3" xfId="18300" xr:uid="{00000000-0005-0000-0000-0000F2B20000}"/>
    <cellStyle name="Migliaia 28 2 2 3 2" xfId="33767" xr:uid="{00000000-0005-0000-0000-0000F3B20000}"/>
    <cellStyle name="Migliaia 28 2 2 3 3" xfId="48728" xr:uid="{00000000-0005-0000-0000-0000F4B20000}"/>
    <cellStyle name="Migliaia 28 2 2 3 4" xfId="56173" xr:uid="{00000000-0005-0000-0000-0000F5B20000}"/>
    <cellStyle name="Migliaia 28 2 2 4" xfId="19390" xr:uid="{00000000-0005-0000-0000-0000F6B20000}"/>
    <cellStyle name="Migliaia 28 2 2 5" xfId="34380" xr:uid="{00000000-0005-0000-0000-0000F7B20000}"/>
    <cellStyle name="Migliaia 28 2 2 6" xfId="49332" xr:uid="{00000000-0005-0000-0000-0000F8B20000}"/>
    <cellStyle name="Migliaia 28 2 2 7" xfId="49737" xr:uid="{00000000-0005-0000-0000-0000F9B20000}"/>
    <cellStyle name="Migliaia 28 2 2 8" xfId="50146" xr:uid="{00000000-0005-0000-0000-0000FAB20000}"/>
    <cellStyle name="Migliaia 28 2 2 9" xfId="50551" xr:uid="{00000000-0005-0000-0000-0000FBB20000}"/>
    <cellStyle name="Migliaia 28 2 3" xfId="9233" xr:uid="{00000000-0005-0000-0000-0000FCB20000}"/>
    <cellStyle name="Migliaia 28 2 3 2" xfId="54669" xr:uid="{00000000-0005-0000-0000-0000FDB20000}"/>
    <cellStyle name="Migliaia 28 2 4" xfId="9876" xr:uid="{00000000-0005-0000-0000-0000FEB20000}"/>
    <cellStyle name="Migliaia 28 2 4 2" xfId="26201" xr:uid="{00000000-0005-0000-0000-0000FFB20000}"/>
    <cellStyle name="Migliaia 28 2 4 3" xfId="41179" xr:uid="{00000000-0005-0000-0000-000000B30000}"/>
    <cellStyle name="Migliaia 28 2 4 4" xfId="55682" xr:uid="{00000000-0005-0000-0000-000001B30000}"/>
    <cellStyle name="Migliaia 28 2 5" xfId="17161" xr:uid="{00000000-0005-0000-0000-000002B30000}"/>
    <cellStyle name="Migliaia 28 2 5 2" xfId="33276" xr:uid="{00000000-0005-0000-0000-000003B30000}"/>
    <cellStyle name="Migliaia 28 2 5 3" xfId="48237" xr:uid="{00000000-0005-0000-0000-000004B30000}"/>
    <cellStyle name="Migliaia 28 2 6" xfId="19182" xr:uid="{00000000-0005-0000-0000-000005B30000}"/>
    <cellStyle name="Migliaia 28 2 7" xfId="34177" xr:uid="{00000000-0005-0000-0000-000006B30000}"/>
    <cellStyle name="Migliaia 28 2 8" xfId="49117" xr:uid="{00000000-0005-0000-0000-000007B30000}"/>
    <cellStyle name="Migliaia 28 2 9" xfId="49522" xr:uid="{00000000-0005-0000-0000-000008B30000}"/>
    <cellStyle name="Migliaia 28 3" xfId="367" xr:uid="{00000000-0005-0000-0000-000009B30000}"/>
    <cellStyle name="Migliaia 28 3 10" xfId="49929" xr:uid="{00000000-0005-0000-0000-00000AB30000}"/>
    <cellStyle name="Migliaia 28 3 11" xfId="50337" xr:uid="{00000000-0005-0000-0000-00000BB30000}"/>
    <cellStyle name="Migliaia 28 3 12" xfId="50779" xr:uid="{00000000-0005-0000-0000-00000CB30000}"/>
    <cellStyle name="Migliaia 28 3 13" xfId="51498" xr:uid="{00000000-0005-0000-0000-00000DB30000}"/>
    <cellStyle name="Migliaia 28 3 14" xfId="51910" xr:uid="{00000000-0005-0000-0000-00000EB30000}"/>
    <cellStyle name="Migliaia 28 3 15" xfId="52401" xr:uid="{00000000-0005-0000-0000-00000FB30000}"/>
    <cellStyle name="Migliaia 28 3 2" xfId="368" xr:uid="{00000000-0005-0000-0000-000010B30000}"/>
    <cellStyle name="Migliaia 28 3 2 10" xfId="50338" xr:uid="{00000000-0005-0000-0000-000011B30000}"/>
    <cellStyle name="Migliaia 28 3 2 11" xfId="50780" xr:uid="{00000000-0005-0000-0000-000012B30000}"/>
    <cellStyle name="Migliaia 28 3 2 12" xfId="51499" xr:uid="{00000000-0005-0000-0000-000013B30000}"/>
    <cellStyle name="Migliaia 28 3 2 13" xfId="51911" xr:uid="{00000000-0005-0000-0000-000014B30000}"/>
    <cellStyle name="Migliaia 28 3 2 14" xfId="52402" xr:uid="{00000000-0005-0000-0000-000015B30000}"/>
    <cellStyle name="Migliaia 28 3 2 2" xfId="9235" xr:uid="{00000000-0005-0000-0000-000016B30000}"/>
    <cellStyle name="Migliaia 28 3 2 2 2" xfId="54838" xr:uid="{00000000-0005-0000-0000-000017B30000}"/>
    <cellStyle name="Migliaia 28 3 2 3" xfId="9878" xr:uid="{00000000-0005-0000-0000-000018B30000}"/>
    <cellStyle name="Migliaia 28 3 2 3 2" xfId="26203" xr:uid="{00000000-0005-0000-0000-000019B30000}"/>
    <cellStyle name="Migliaia 28 3 2 3 3" xfId="41181" xr:uid="{00000000-0005-0000-0000-00001AB30000}"/>
    <cellStyle name="Migliaia 28 3 2 3 4" xfId="55684" xr:uid="{00000000-0005-0000-0000-00001BB30000}"/>
    <cellStyle name="Migliaia 28 3 2 4" xfId="17163" xr:uid="{00000000-0005-0000-0000-00001CB30000}"/>
    <cellStyle name="Migliaia 28 3 2 4 2" xfId="33278" xr:uid="{00000000-0005-0000-0000-00001DB30000}"/>
    <cellStyle name="Migliaia 28 3 2 4 3" xfId="48239" xr:uid="{00000000-0005-0000-0000-00001EB30000}"/>
    <cellStyle name="Migliaia 28 3 2 5" xfId="19184" xr:uid="{00000000-0005-0000-0000-00001FB30000}"/>
    <cellStyle name="Migliaia 28 3 2 6" xfId="34179" xr:uid="{00000000-0005-0000-0000-000020B30000}"/>
    <cellStyle name="Migliaia 28 3 2 7" xfId="49119" xr:uid="{00000000-0005-0000-0000-000021B30000}"/>
    <cellStyle name="Migliaia 28 3 2 8" xfId="49524" xr:uid="{00000000-0005-0000-0000-000022B30000}"/>
    <cellStyle name="Migliaia 28 3 2 9" xfId="49930" xr:uid="{00000000-0005-0000-0000-000023B30000}"/>
    <cellStyle name="Migliaia 28 3 3" xfId="9234" xr:uid="{00000000-0005-0000-0000-000024B30000}"/>
    <cellStyle name="Migliaia 28 3 3 2" xfId="18302" xr:uid="{00000000-0005-0000-0000-000025B30000}"/>
    <cellStyle name="Migliaia 28 3 3 2 2" xfId="33769" xr:uid="{00000000-0005-0000-0000-000026B30000}"/>
    <cellStyle name="Migliaia 28 3 3 2 2 2" xfId="55253" xr:uid="{00000000-0005-0000-0000-000027B30000}"/>
    <cellStyle name="Migliaia 28 3 3 2 3" xfId="48730" xr:uid="{00000000-0005-0000-0000-000028B30000}"/>
    <cellStyle name="Migliaia 28 3 3 2 3 2" xfId="56175" xr:uid="{00000000-0005-0000-0000-000029B30000}"/>
    <cellStyle name="Migliaia 28 3 3 2 4" xfId="52898" xr:uid="{00000000-0005-0000-0000-00002AB30000}"/>
    <cellStyle name="Migliaia 28 3 3 3" xfId="17164" xr:uid="{00000000-0005-0000-0000-00002BB30000}"/>
    <cellStyle name="Migliaia 28 3 3 3 2" xfId="33279" xr:uid="{00000000-0005-0000-0000-00002CB30000}"/>
    <cellStyle name="Migliaia 28 3 3 3 3" xfId="48240" xr:uid="{00000000-0005-0000-0000-00002DB30000}"/>
    <cellStyle name="Migliaia 28 3 3 3 4" xfId="54839" xr:uid="{00000000-0005-0000-0000-00002EB30000}"/>
    <cellStyle name="Migliaia 28 3 3 4" xfId="55685" xr:uid="{00000000-0005-0000-0000-00002FB30000}"/>
    <cellStyle name="Migliaia 28 3 3 5" xfId="52403" xr:uid="{00000000-0005-0000-0000-000030B30000}"/>
    <cellStyle name="Migliaia 28 3 4" xfId="9877" xr:uid="{00000000-0005-0000-0000-000031B30000}"/>
    <cellStyle name="Migliaia 28 3 4 2" xfId="18301" xr:uid="{00000000-0005-0000-0000-000032B30000}"/>
    <cellStyle name="Migliaia 28 3 4 2 2" xfId="33768" xr:uid="{00000000-0005-0000-0000-000033B30000}"/>
    <cellStyle name="Migliaia 28 3 4 2 3" xfId="48729" xr:uid="{00000000-0005-0000-0000-000034B30000}"/>
    <cellStyle name="Migliaia 28 3 4 2 4" xfId="55252" xr:uid="{00000000-0005-0000-0000-000035B30000}"/>
    <cellStyle name="Migliaia 28 3 4 3" xfId="26202" xr:uid="{00000000-0005-0000-0000-000036B30000}"/>
    <cellStyle name="Migliaia 28 3 4 3 2" xfId="56174" xr:uid="{00000000-0005-0000-0000-000037B30000}"/>
    <cellStyle name="Migliaia 28 3 4 4" xfId="41180" xr:uid="{00000000-0005-0000-0000-000038B30000}"/>
    <cellStyle name="Migliaia 28 3 4 5" xfId="52897" xr:uid="{00000000-0005-0000-0000-000039B30000}"/>
    <cellStyle name="Migliaia 28 3 5" xfId="17162" xr:uid="{00000000-0005-0000-0000-00003AB30000}"/>
    <cellStyle name="Migliaia 28 3 5 2" xfId="33277" xr:uid="{00000000-0005-0000-0000-00003BB30000}"/>
    <cellStyle name="Migliaia 28 3 5 3" xfId="48238" xr:uid="{00000000-0005-0000-0000-00003CB30000}"/>
    <cellStyle name="Migliaia 28 3 5 4" xfId="54837" xr:uid="{00000000-0005-0000-0000-00003DB30000}"/>
    <cellStyle name="Migliaia 28 3 6" xfId="19183" xr:uid="{00000000-0005-0000-0000-00003EB30000}"/>
    <cellStyle name="Migliaia 28 3 6 2" xfId="55683" xr:uid="{00000000-0005-0000-0000-00003FB30000}"/>
    <cellStyle name="Migliaia 28 3 7" xfId="34178" xr:uid="{00000000-0005-0000-0000-000040B30000}"/>
    <cellStyle name="Migliaia 28 3 8" xfId="49118" xr:uid="{00000000-0005-0000-0000-000041B30000}"/>
    <cellStyle name="Migliaia 28 3 9" xfId="49523" xr:uid="{00000000-0005-0000-0000-000042B30000}"/>
    <cellStyle name="Migliaia 28 4" xfId="9236" xr:uid="{00000000-0005-0000-0000-000043B30000}"/>
    <cellStyle name="Migliaia 28 4 2" xfId="17166" xr:uid="{00000000-0005-0000-0000-000044B30000}"/>
    <cellStyle name="Migliaia 28 4 2 2" xfId="18304" xr:uid="{00000000-0005-0000-0000-000045B30000}"/>
    <cellStyle name="Migliaia 28 4 2 2 2" xfId="33771" xr:uid="{00000000-0005-0000-0000-000046B30000}"/>
    <cellStyle name="Migliaia 28 4 2 2 2 2" xfId="55255" xr:uid="{00000000-0005-0000-0000-000047B30000}"/>
    <cellStyle name="Migliaia 28 4 2 2 3" xfId="48732" xr:uid="{00000000-0005-0000-0000-000048B30000}"/>
    <cellStyle name="Migliaia 28 4 2 2 3 2" xfId="56177" xr:uid="{00000000-0005-0000-0000-000049B30000}"/>
    <cellStyle name="Migliaia 28 4 2 2 4" xfId="52900" xr:uid="{00000000-0005-0000-0000-00004AB30000}"/>
    <cellStyle name="Migliaia 28 4 2 3" xfId="33281" xr:uid="{00000000-0005-0000-0000-00004BB30000}"/>
    <cellStyle name="Migliaia 28 4 2 3 2" xfId="54841" xr:uid="{00000000-0005-0000-0000-00004CB30000}"/>
    <cellStyle name="Migliaia 28 4 2 4" xfId="48242" xr:uid="{00000000-0005-0000-0000-00004DB30000}"/>
    <cellStyle name="Migliaia 28 4 2 4 2" xfId="55687" xr:uid="{00000000-0005-0000-0000-00004EB30000}"/>
    <cellStyle name="Migliaia 28 4 2 5" xfId="52405" xr:uid="{00000000-0005-0000-0000-00004FB30000}"/>
    <cellStyle name="Migliaia 28 4 3" xfId="18303" xr:uid="{00000000-0005-0000-0000-000050B30000}"/>
    <cellStyle name="Migliaia 28 4 3 2" xfId="33770" xr:uid="{00000000-0005-0000-0000-000051B30000}"/>
    <cellStyle name="Migliaia 28 4 3 2 2" xfId="55254" xr:uid="{00000000-0005-0000-0000-000052B30000}"/>
    <cellStyle name="Migliaia 28 4 3 3" xfId="48731" xr:uid="{00000000-0005-0000-0000-000053B30000}"/>
    <cellStyle name="Migliaia 28 4 3 3 2" xfId="56176" xr:uid="{00000000-0005-0000-0000-000054B30000}"/>
    <cellStyle name="Migliaia 28 4 3 4" xfId="52899" xr:uid="{00000000-0005-0000-0000-000055B30000}"/>
    <cellStyle name="Migliaia 28 4 4" xfId="17165" xr:uid="{00000000-0005-0000-0000-000056B30000}"/>
    <cellStyle name="Migliaia 28 4 4 2" xfId="33280" xr:uid="{00000000-0005-0000-0000-000057B30000}"/>
    <cellStyle name="Migliaia 28 4 4 3" xfId="48241" xr:uid="{00000000-0005-0000-0000-000058B30000}"/>
    <cellStyle name="Migliaia 28 4 4 4" xfId="54840" xr:uid="{00000000-0005-0000-0000-000059B30000}"/>
    <cellStyle name="Migliaia 28 4 5" xfId="50976" xr:uid="{00000000-0005-0000-0000-00005AB30000}"/>
    <cellStyle name="Migliaia 28 4 5 2" xfId="55686" xr:uid="{00000000-0005-0000-0000-00005BB30000}"/>
    <cellStyle name="Migliaia 28 4 6" xfId="52404" xr:uid="{00000000-0005-0000-0000-00005CB30000}"/>
    <cellStyle name="Migliaia 28 5" xfId="9237" xr:uid="{00000000-0005-0000-0000-00005DB30000}"/>
    <cellStyle name="Migliaia 28 5 2" xfId="17167" xr:uid="{00000000-0005-0000-0000-00005EB30000}"/>
    <cellStyle name="Migliaia 28 5 2 2" xfId="33282" xr:uid="{00000000-0005-0000-0000-00005FB30000}"/>
    <cellStyle name="Migliaia 28 5 2 3" xfId="48243" xr:uid="{00000000-0005-0000-0000-000060B30000}"/>
    <cellStyle name="Migliaia 28 5 2 4" xfId="54842" xr:uid="{00000000-0005-0000-0000-000061B30000}"/>
    <cellStyle name="Migliaia 28 5 3" xfId="51239" xr:uid="{00000000-0005-0000-0000-000062B30000}"/>
    <cellStyle name="Migliaia 28 5 3 2" xfId="55688" xr:uid="{00000000-0005-0000-0000-000063B30000}"/>
    <cellStyle name="Migliaia 28 5 4" xfId="52406" xr:uid="{00000000-0005-0000-0000-000064B30000}"/>
    <cellStyle name="Migliaia 28 6" xfId="9232" xr:uid="{00000000-0005-0000-0000-000065B30000}"/>
    <cellStyle name="Migliaia 28 6 2" xfId="51273" xr:uid="{00000000-0005-0000-0000-000066B30000}"/>
    <cellStyle name="Migliaia 28 6 3" xfId="54605" xr:uid="{00000000-0005-0000-0000-000067B30000}"/>
    <cellStyle name="Migliaia 28 7" xfId="9875" xr:uid="{00000000-0005-0000-0000-000068B30000}"/>
    <cellStyle name="Migliaia 28 7 2" xfId="26200" xr:uid="{00000000-0005-0000-0000-000069B30000}"/>
    <cellStyle name="Migliaia 28 7 3" xfId="41178" xr:uid="{00000000-0005-0000-0000-00006AB30000}"/>
    <cellStyle name="Migliaia 28 7 4" xfId="55681" xr:uid="{00000000-0005-0000-0000-00006BB30000}"/>
    <cellStyle name="Migliaia 28 8" xfId="17160" xr:uid="{00000000-0005-0000-0000-00006CB30000}"/>
    <cellStyle name="Migliaia 28 8 2" xfId="33275" xr:uid="{00000000-0005-0000-0000-00006DB30000}"/>
    <cellStyle name="Migliaia 28 8 3" xfId="48236" xr:uid="{00000000-0005-0000-0000-00006EB30000}"/>
    <cellStyle name="Migliaia 28 9" xfId="19181" xr:uid="{00000000-0005-0000-0000-00006FB30000}"/>
    <cellStyle name="Migliaia 29" xfId="369" xr:uid="{00000000-0005-0000-0000-000070B30000}"/>
    <cellStyle name="Migliaia 29 10" xfId="34180" xr:uid="{00000000-0005-0000-0000-000071B30000}"/>
    <cellStyle name="Migliaia 29 11" xfId="49120" xr:uid="{00000000-0005-0000-0000-000072B30000}"/>
    <cellStyle name="Migliaia 29 12" xfId="49525" xr:uid="{00000000-0005-0000-0000-000073B30000}"/>
    <cellStyle name="Migliaia 29 13" xfId="49931" xr:uid="{00000000-0005-0000-0000-000074B30000}"/>
    <cellStyle name="Migliaia 29 14" xfId="50339" xr:uid="{00000000-0005-0000-0000-000075B30000}"/>
    <cellStyle name="Migliaia 29 15" xfId="50781" xr:uid="{00000000-0005-0000-0000-000076B30000}"/>
    <cellStyle name="Migliaia 29 16" xfId="51500" xr:uid="{00000000-0005-0000-0000-000077B30000}"/>
    <cellStyle name="Migliaia 29 17" xfId="51912" xr:uid="{00000000-0005-0000-0000-000078B30000}"/>
    <cellStyle name="Migliaia 29 18" xfId="52407" xr:uid="{00000000-0005-0000-0000-000079B30000}"/>
    <cellStyle name="Migliaia 29 2" xfId="370" xr:uid="{00000000-0005-0000-0000-00007AB30000}"/>
    <cellStyle name="Migliaia 29 2 10" xfId="49932" xr:uid="{00000000-0005-0000-0000-00007BB30000}"/>
    <cellStyle name="Migliaia 29 2 11" xfId="50340" xr:uid="{00000000-0005-0000-0000-00007CB30000}"/>
    <cellStyle name="Migliaia 29 2 12" xfId="50782" xr:uid="{00000000-0005-0000-0000-00007DB30000}"/>
    <cellStyle name="Migliaia 29 2 13" xfId="51501" xr:uid="{00000000-0005-0000-0000-00007EB30000}"/>
    <cellStyle name="Migliaia 29 2 14" xfId="51913" xr:uid="{00000000-0005-0000-0000-00007FB30000}"/>
    <cellStyle name="Migliaia 29 2 15" xfId="52408" xr:uid="{00000000-0005-0000-0000-000080B30000}"/>
    <cellStyle name="Migliaia 29 2 2" xfId="1265" xr:uid="{00000000-0005-0000-0000-000081B30000}"/>
    <cellStyle name="Migliaia 29 2 2 10" xfId="51117" xr:uid="{00000000-0005-0000-0000-000082B30000}"/>
    <cellStyle name="Migliaia 29 2 2 11" xfId="51713" xr:uid="{00000000-0005-0000-0000-000083B30000}"/>
    <cellStyle name="Migliaia 29 2 2 12" xfId="52133" xr:uid="{00000000-0005-0000-0000-000084B30000}"/>
    <cellStyle name="Migliaia 29 2 2 13" xfId="52901" xr:uid="{00000000-0005-0000-0000-000085B30000}"/>
    <cellStyle name="Migliaia 29 2 2 2" xfId="10092" xr:uid="{00000000-0005-0000-0000-000086B30000}"/>
    <cellStyle name="Migliaia 29 2 2 2 2" xfId="26412" xr:uid="{00000000-0005-0000-0000-000087B30000}"/>
    <cellStyle name="Migliaia 29 2 2 2 3" xfId="41380" xr:uid="{00000000-0005-0000-0000-000088B30000}"/>
    <cellStyle name="Migliaia 29 2 2 2 4" xfId="55256" xr:uid="{00000000-0005-0000-0000-000089B30000}"/>
    <cellStyle name="Migliaia 29 2 2 3" xfId="18305" xr:uid="{00000000-0005-0000-0000-00008AB30000}"/>
    <cellStyle name="Migliaia 29 2 2 3 2" xfId="33772" xr:uid="{00000000-0005-0000-0000-00008BB30000}"/>
    <cellStyle name="Migliaia 29 2 2 3 3" xfId="48733" xr:uid="{00000000-0005-0000-0000-00008CB30000}"/>
    <cellStyle name="Migliaia 29 2 2 3 4" xfId="56178" xr:uid="{00000000-0005-0000-0000-00008DB30000}"/>
    <cellStyle name="Migliaia 29 2 2 4" xfId="19391" xr:uid="{00000000-0005-0000-0000-00008EB30000}"/>
    <cellStyle name="Migliaia 29 2 2 5" xfId="34381" xr:uid="{00000000-0005-0000-0000-00008FB30000}"/>
    <cellStyle name="Migliaia 29 2 2 6" xfId="49333" xr:uid="{00000000-0005-0000-0000-000090B30000}"/>
    <cellStyle name="Migliaia 29 2 2 7" xfId="49738" xr:uid="{00000000-0005-0000-0000-000091B30000}"/>
    <cellStyle name="Migliaia 29 2 2 8" xfId="50147" xr:uid="{00000000-0005-0000-0000-000092B30000}"/>
    <cellStyle name="Migliaia 29 2 2 9" xfId="50552" xr:uid="{00000000-0005-0000-0000-000093B30000}"/>
    <cellStyle name="Migliaia 29 2 3" xfId="9239" xr:uid="{00000000-0005-0000-0000-000094B30000}"/>
    <cellStyle name="Migliaia 29 2 3 2" xfId="54670" xr:uid="{00000000-0005-0000-0000-000095B30000}"/>
    <cellStyle name="Migliaia 29 2 4" xfId="9880" xr:uid="{00000000-0005-0000-0000-000096B30000}"/>
    <cellStyle name="Migliaia 29 2 4 2" xfId="26205" xr:uid="{00000000-0005-0000-0000-000097B30000}"/>
    <cellStyle name="Migliaia 29 2 4 3" xfId="41183" xr:uid="{00000000-0005-0000-0000-000098B30000}"/>
    <cellStyle name="Migliaia 29 2 4 4" xfId="55690" xr:uid="{00000000-0005-0000-0000-000099B30000}"/>
    <cellStyle name="Migliaia 29 2 5" xfId="17169" xr:uid="{00000000-0005-0000-0000-00009AB30000}"/>
    <cellStyle name="Migliaia 29 2 5 2" xfId="33284" xr:uid="{00000000-0005-0000-0000-00009BB30000}"/>
    <cellStyle name="Migliaia 29 2 5 3" xfId="48245" xr:uid="{00000000-0005-0000-0000-00009CB30000}"/>
    <cellStyle name="Migliaia 29 2 6" xfId="19186" xr:uid="{00000000-0005-0000-0000-00009DB30000}"/>
    <cellStyle name="Migliaia 29 2 7" xfId="34181" xr:uid="{00000000-0005-0000-0000-00009EB30000}"/>
    <cellStyle name="Migliaia 29 2 8" xfId="49121" xr:uid="{00000000-0005-0000-0000-00009FB30000}"/>
    <cellStyle name="Migliaia 29 2 9" xfId="49526" xr:uid="{00000000-0005-0000-0000-0000A0B30000}"/>
    <cellStyle name="Migliaia 29 3" xfId="371" xr:uid="{00000000-0005-0000-0000-0000A1B30000}"/>
    <cellStyle name="Migliaia 29 3 10" xfId="49933" xr:uid="{00000000-0005-0000-0000-0000A2B30000}"/>
    <cellStyle name="Migliaia 29 3 11" xfId="50341" xr:uid="{00000000-0005-0000-0000-0000A3B30000}"/>
    <cellStyle name="Migliaia 29 3 12" xfId="50783" xr:uid="{00000000-0005-0000-0000-0000A4B30000}"/>
    <cellStyle name="Migliaia 29 3 13" xfId="51502" xr:uid="{00000000-0005-0000-0000-0000A5B30000}"/>
    <cellStyle name="Migliaia 29 3 14" xfId="51914" xr:uid="{00000000-0005-0000-0000-0000A6B30000}"/>
    <cellStyle name="Migliaia 29 3 15" xfId="52409" xr:uid="{00000000-0005-0000-0000-0000A7B30000}"/>
    <cellStyle name="Migliaia 29 3 2" xfId="372" xr:uid="{00000000-0005-0000-0000-0000A8B30000}"/>
    <cellStyle name="Migliaia 29 3 2 10" xfId="50342" xr:uid="{00000000-0005-0000-0000-0000A9B30000}"/>
    <cellStyle name="Migliaia 29 3 2 11" xfId="50784" xr:uid="{00000000-0005-0000-0000-0000AAB30000}"/>
    <cellStyle name="Migliaia 29 3 2 12" xfId="51503" xr:uid="{00000000-0005-0000-0000-0000ABB30000}"/>
    <cellStyle name="Migliaia 29 3 2 13" xfId="51915" xr:uid="{00000000-0005-0000-0000-0000ACB30000}"/>
    <cellStyle name="Migliaia 29 3 2 14" xfId="52410" xr:uid="{00000000-0005-0000-0000-0000ADB30000}"/>
    <cellStyle name="Migliaia 29 3 2 2" xfId="9241" xr:uid="{00000000-0005-0000-0000-0000AEB30000}"/>
    <cellStyle name="Migliaia 29 3 2 2 2" xfId="54844" xr:uid="{00000000-0005-0000-0000-0000AFB30000}"/>
    <cellStyle name="Migliaia 29 3 2 3" xfId="9882" xr:uid="{00000000-0005-0000-0000-0000B0B30000}"/>
    <cellStyle name="Migliaia 29 3 2 3 2" xfId="26207" xr:uid="{00000000-0005-0000-0000-0000B1B30000}"/>
    <cellStyle name="Migliaia 29 3 2 3 3" xfId="41185" xr:uid="{00000000-0005-0000-0000-0000B2B30000}"/>
    <cellStyle name="Migliaia 29 3 2 3 4" xfId="55692" xr:uid="{00000000-0005-0000-0000-0000B3B30000}"/>
    <cellStyle name="Migliaia 29 3 2 4" xfId="17171" xr:uid="{00000000-0005-0000-0000-0000B4B30000}"/>
    <cellStyle name="Migliaia 29 3 2 4 2" xfId="33286" xr:uid="{00000000-0005-0000-0000-0000B5B30000}"/>
    <cellStyle name="Migliaia 29 3 2 4 3" xfId="48247" xr:uid="{00000000-0005-0000-0000-0000B6B30000}"/>
    <cellStyle name="Migliaia 29 3 2 5" xfId="19188" xr:uid="{00000000-0005-0000-0000-0000B7B30000}"/>
    <cellStyle name="Migliaia 29 3 2 6" xfId="34183" xr:uid="{00000000-0005-0000-0000-0000B8B30000}"/>
    <cellStyle name="Migliaia 29 3 2 7" xfId="49123" xr:uid="{00000000-0005-0000-0000-0000B9B30000}"/>
    <cellStyle name="Migliaia 29 3 2 8" xfId="49528" xr:uid="{00000000-0005-0000-0000-0000BAB30000}"/>
    <cellStyle name="Migliaia 29 3 2 9" xfId="49934" xr:uid="{00000000-0005-0000-0000-0000BBB30000}"/>
    <cellStyle name="Migliaia 29 3 3" xfId="9240" xr:uid="{00000000-0005-0000-0000-0000BCB30000}"/>
    <cellStyle name="Migliaia 29 3 3 2" xfId="18307" xr:uid="{00000000-0005-0000-0000-0000BDB30000}"/>
    <cellStyle name="Migliaia 29 3 3 2 2" xfId="33774" xr:uid="{00000000-0005-0000-0000-0000BEB30000}"/>
    <cellStyle name="Migliaia 29 3 3 2 2 2" xfId="55258" xr:uid="{00000000-0005-0000-0000-0000BFB30000}"/>
    <cellStyle name="Migliaia 29 3 3 2 3" xfId="48735" xr:uid="{00000000-0005-0000-0000-0000C0B30000}"/>
    <cellStyle name="Migliaia 29 3 3 2 3 2" xfId="56180" xr:uid="{00000000-0005-0000-0000-0000C1B30000}"/>
    <cellStyle name="Migliaia 29 3 3 2 4" xfId="52903" xr:uid="{00000000-0005-0000-0000-0000C2B30000}"/>
    <cellStyle name="Migliaia 29 3 3 3" xfId="17172" xr:uid="{00000000-0005-0000-0000-0000C3B30000}"/>
    <cellStyle name="Migliaia 29 3 3 3 2" xfId="33287" xr:uid="{00000000-0005-0000-0000-0000C4B30000}"/>
    <cellStyle name="Migliaia 29 3 3 3 3" xfId="48248" xr:uid="{00000000-0005-0000-0000-0000C5B30000}"/>
    <cellStyle name="Migliaia 29 3 3 3 4" xfId="54845" xr:uid="{00000000-0005-0000-0000-0000C6B30000}"/>
    <cellStyle name="Migliaia 29 3 3 4" xfId="55693" xr:uid="{00000000-0005-0000-0000-0000C7B30000}"/>
    <cellStyle name="Migliaia 29 3 3 5" xfId="52411" xr:uid="{00000000-0005-0000-0000-0000C8B30000}"/>
    <cellStyle name="Migliaia 29 3 4" xfId="9881" xr:uid="{00000000-0005-0000-0000-0000C9B30000}"/>
    <cellStyle name="Migliaia 29 3 4 2" xfId="18306" xr:uid="{00000000-0005-0000-0000-0000CAB30000}"/>
    <cellStyle name="Migliaia 29 3 4 2 2" xfId="33773" xr:uid="{00000000-0005-0000-0000-0000CBB30000}"/>
    <cellStyle name="Migliaia 29 3 4 2 3" xfId="48734" xr:uid="{00000000-0005-0000-0000-0000CCB30000}"/>
    <cellStyle name="Migliaia 29 3 4 2 4" xfId="55257" xr:uid="{00000000-0005-0000-0000-0000CDB30000}"/>
    <cellStyle name="Migliaia 29 3 4 3" xfId="26206" xr:uid="{00000000-0005-0000-0000-0000CEB30000}"/>
    <cellStyle name="Migliaia 29 3 4 3 2" xfId="56179" xr:uid="{00000000-0005-0000-0000-0000CFB30000}"/>
    <cellStyle name="Migliaia 29 3 4 4" xfId="41184" xr:uid="{00000000-0005-0000-0000-0000D0B30000}"/>
    <cellStyle name="Migliaia 29 3 4 5" xfId="52902" xr:uid="{00000000-0005-0000-0000-0000D1B30000}"/>
    <cellStyle name="Migliaia 29 3 5" xfId="17170" xr:uid="{00000000-0005-0000-0000-0000D2B30000}"/>
    <cellStyle name="Migliaia 29 3 5 2" xfId="33285" xr:uid="{00000000-0005-0000-0000-0000D3B30000}"/>
    <cellStyle name="Migliaia 29 3 5 3" xfId="48246" xr:uid="{00000000-0005-0000-0000-0000D4B30000}"/>
    <cellStyle name="Migliaia 29 3 5 4" xfId="54843" xr:uid="{00000000-0005-0000-0000-0000D5B30000}"/>
    <cellStyle name="Migliaia 29 3 6" xfId="19187" xr:uid="{00000000-0005-0000-0000-0000D6B30000}"/>
    <cellStyle name="Migliaia 29 3 6 2" xfId="55691" xr:uid="{00000000-0005-0000-0000-0000D7B30000}"/>
    <cellStyle name="Migliaia 29 3 7" xfId="34182" xr:uid="{00000000-0005-0000-0000-0000D8B30000}"/>
    <cellStyle name="Migliaia 29 3 8" xfId="49122" xr:uid="{00000000-0005-0000-0000-0000D9B30000}"/>
    <cellStyle name="Migliaia 29 3 9" xfId="49527" xr:uid="{00000000-0005-0000-0000-0000DAB30000}"/>
    <cellStyle name="Migliaia 29 4" xfId="9242" xr:uid="{00000000-0005-0000-0000-0000DBB30000}"/>
    <cellStyle name="Migliaia 29 4 2" xfId="17174" xr:uid="{00000000-0005-0000-0000-0000DCB30000}"/>
    <cellStyle name="Migliaia 29 4 2 2" xfId="18309" xr:uid="{00000000-0005-0000-0000-0000DDB30000}"/>
    <cellStyle name="Migliaia 29 4 2 2 2" xfId="33776" xr:uid="{00000000-0005-0000-0000-0000DEB30000}"/>
    <cellStyle name="Migliaia 29 4 2 2 2 2" xfId="55260" xr:uid="{00000000-0005-0000-0000-0000DFB30000}"/>
    <cellStyle name="Migliaia 29 4 2 2 3" xfId="48737" xr:uid="{00000000-0005-0000-0000-0000E0B30000}"/>
    <cellStyle name="Migliaia 29 4 2 2 3 2" xfId="56182" xr:uid="{00000000-0005-0000-0000-0000E1B30000}"/>
    <cellStyle name="Migliaia 29 4 2 2 4" xfId="52905" xr:uid="{00000000-0005-0000-0000-0000E2B30000}"/>
    <cellStyle name="Migliaia 29 4 2 3" xfId="33289" xr:uid="{00000000-0005-0000-0000-0000E3B30000}"/>
    <cellStyle name="Migliaia 29 4 2 3 2" xfId="54847" xr:uid="{00000000-0005-0000-0000-0000E4B30000}"/>
    <cellStyle name="Migliaia 29 4 2 4" xfId="48250" xr:uid="{00000000-0005-0000-0000-0000E5B30000}"/>
    <cellStyle name="Migliaia 29 4 2 4 2" xfId="55695" xr:uid="{00000000-0005-0000-0000-0000E6B30000}"/>
    <cellStyle name="Migliaia 29 4 2 5" xfId="52413" xr:uid="{00000000-0005-0000-0000-0000E7B30000}"/>
    <cellStyle name="Migliaia 29 4 3" xfId="18308" xr:uid="{00000000-0005-0000-0000-0000E8B30000}"/>
    <cellStyle name="Migliaia 29 4 3 2" xfId="33775" xr:uid="{00000000-0005-0000-0000-0000E9B30000}"/>
    <cellStyle name="Migliaia 29 4 3 2 2" xfId="55259" xr:uid="{00000000-0005-0000-0000-0000EAB30000}"/>
    <cellStyle name="Migliaia 29 4 3 3" xfId="48736" xr:uid="{00000000-0005-0000-0000-0000EBB30000}"/>
    <cellStyle name="Migliaia 29 4 3 3 2" xfId="56181" xr:uid="{00000000-0005-0000-0000-0000ECB30000}"/>
    <cellStyle name="Migliaia 29 4 3 4" xfId="52904" xr:uid="{00000000-0005-0000-0000-0000EDB30000}"/>
    <cellStyle name="Migliaia 29 4 4" xfId="17173" xr:uid="{00000000-0005-0000-0000-0000EEB30000}"/>
    <cellStyle name="Migliaia 29 4 4 2" xfId="33288" xr:uid="{00000000-0005-0000-0000-0000EFB30000}"/>
    <cellStyle name="Migliaia 29 4 4 3" xfId="48249" xr:uid="{00000000-0005-0000-0000-0000F0B30000}"/>
    <cellStyle name="Migliaia 29 4 4 4" xfId="54846" xr:uid="{00000000-0005-0000-0000-0000F1B30000}"/>
    <cellStyle name="Migliaia 29 4 5" xfId="51222" xr:uid="{00000000-0005-0000-0000-0000F2B30000}"/>
    <cellStyle name="Migliaia 29 4 5 2" xfId="55694" xr:uid="{00000000-0005-0000-0000-0000F3B30000}"/>
    <cellStyle name="Migliaia 29 4 6" xfId="52412" xr:uid="{00000000-0005-0000-0000-0000F4B30000}"/>
    <cellStyle name="Migliaia 29 5" xfId="9243" xr:uid="{00000000-0005-0000-0000-0000F5B30000}"/>
    <cellStyle name="Migliaia 29 5 2" xfId="17175" xr:uid="{00000000-0005-0000-0000-0000F6B30000}"/>
    <cellStyle name="Migliaia 29 5 2 2" xfId="33290" xr:uid="{00000000-0005-0000-0000-0000F7B30000}"/>
    <cellStyle name="Migliaia 29 5 2 3" xfId="48251" xr:uid="{00000000-0005-0000-0000-0000F8B30000}"/>
    <cellStyle name="Migliaia 29 5 2 4" xfId="54848" xr:uid="{00000000-0005-0000-0000-0000F9B30000}"/>
    <cellStyle name="Migliaia 29 5 3" xfId="50975" xr:uid="{00000000-0005-0000-0000-0000FAB30000}"/>
    <cellStyle name="Migliaia 29 5 3 2" xfId="55696" xr:uid="{00000000-0005-0000-0000-0000FBB30000}"/>
    <cellStyle name="Migliaia 29 5 4" xfId="52414" xr:uid="{00000000-0005-0000-0000-0000FCB30000}"/>
    <cellStyle name="Migliaia 29 6" xfId="9238" xr:uid="{00000000-0005-0000-0000-0000FDB30000}"/>
    <cellStyle name="Migliaia 29 6 2" xfId="51044" xr:uid="{00000000-0005-0000-0000-0000FEB30000}"/>
    <cellStyle name="Migliaia 29 6 3" xfId="54606" xr:uid="{00000000-0005-0000-0000-0000FFB30000}"/>
    <cellStyle name="Migliaia 29 7" xfId="9879" xr:uid="{00000000-0005-0000-0000-000000B40000}"/>
    <cellStyle name="Migliaia 29 7 2" xfId="26204" xr:uid="{00000000-0005-0000-0000-000001B40000}"/>
    <cellStyle name="Migliaia 29 7 3" xfId="41182" xr:uid="{00000000-0005-0000-0000-000002B40000}"/>
    <cellStyle name="Migliaia 29 7 4" xfId="55689" xr:uid="{00000000-0005-0000-0000-000003B40000}"/>
    <cellStyle name="Migliaia 29 8" xfId="17168" xr:uid="{00000000-0005-0000-0000-000004B40000}"/>
    <cellStyle name="Migliaia 29 8 2" xfId="33283" xr:uid="{00000000-0005-0000-0000-000005B40000}"/>
    <cellStyle name="Migliaia 29 8 3" xfId="48244" xr:uid="{00000000-0005-0000-0000-000006B40000}"/>
    <cellStyle name="Migliaia 29 9" xfId="19185" xr:uid="{00000000-0005-0000-0000-000007B40000}"/>
    <cellStyle name="Migliaia 3" xfId="373" xr:uid="{00000000-0005-0000-0000-000008B40000}"/>
    <cellStyle name="Migliaia 3 10" xfId="34184" xr:uid="{00000000-0005-0000-0000-000009B40000}"/>
    <cellStyle name="Migliaia 3 11" xfId="49124" xr:uid="{00000000-0005-0000-0000-00000AB40000}"/>
    <cellStyle name="Migliaia 3 12" xfId="49529" xr:uid="{00000000-0005-0000-0000-00000BB40000}"/>
    <cellStyle name="Migliaia 3 13" xfId="49935" xr:uid="{00000000-0005-0000-0000-00000CB40000}"/>
    <cellStyle name="Migliaia 3 14" xfId="50343" xr:uid="{00000000-0005-0000-0000-00000DB40000}"/>
    <cellStyle name="Migliaia 3 15" xfId="50785" xr:uid="{00000000-0005-0000-0000-00000EB40000}"/>
    <cellStyle name="Migliaia 3 16" xfId="51504" xr:uid="{00000000-0005-0000-0000-00000FB40000}"/>
    <cellStyle name="Migliaia 3 17" xfId="51916" xr:uid="{00000000-0005-0000-0000-000010B40000}"/>
    <cellStyle name="Migliaia 3 18" xfId="52415" xr:uid="{00000000-0005-0000-0000-000011B40000}"/>
    <cellStyle name="Migliaia 3 2" xfId="374" xr:uid="{00000000-0005-0000-0000-000012B40000}"/>
    <cellStyle name="Migliaia 3 2 10" xfId="49936" xr:uid="{00000000-0005-0000-0000-000013B40000}"/>
    <cellStyle name="Migliaia 3 2 11" xfId="50344" xr:uid="{00000000-0005-0000-0000-000014B40000}"/>
    <cellStyle name="Migliaia 3 2 12" xfId="50786" xr:uid="{00000000-0005-0000-0000-000015B40000}"/>
    <cellStyle name="Migliaia 3 2 13" xfId="51505" xr:uid="{00000000-0005-0000-0000-000016B40000}"/>
    <cellStyle name="Migliaia 3 2 14" xfId="51917" xr:uid="{00000000-0005-0000-0000-000017B40000}"/>
    <cellStyle name="Migliaia 3 2 15" xfId="52416" xr:uid="{00000000-0005-0000-0000-000018B40000}"/>
    <cellStyle name="Migliaia 3 2 2" xfId="1266" xr:uid="{00000000-0005-0000-0000-000019B40000}"/>
    <cellStyle name="Migliaia 3 2 2 10" xfId="51118" xr:uid="{00000000-0005-0000-0000-00001AB40000}"/>
    <cellStyle name="Migliaia 3 2 2 11" xfId="51714" xr:uid="{00000000-0005-0000-0000-00001BB40000}"/>
    <cellStyle name="Migliaia 3 2 2 12" xfId="52134" xr:uid="{00000000-0005-0000-0000-00001CB40000}"/>
    <cellStyle name="Migliaia 3 2 2 13" xfId="52906" xr:uid="{00000000-0005-0000-0000-00001DB40000}"/>
    <cellStyle name="Migliaia 3 2 2 2" xfId="10093" xr:uid="{00000000-0005-0000-0000-00001EB40000}"/>
    <cellStyle name="Migliaia 3 2 2 2 2" xfId="26413" xr:uid="{00000000-0005-0000-0000-00001FB40000}"/>
    <cellStyle name="Migliaia 3 2 2 2 3" xfId="41381" xr:uid="{00000000-0005-0000-0000-000020B40000}"/>
    <cellStyle name="Migliaia 3 2 2 2 4" xfId="55261" xr:uid="{00000000-0005-0000-0000-000021B40000}"/>
    <cellStyle name="Migliaia 3 2 2 3" xfId="18310" xr:uid="{00000000-0005-0000-0000-000022B40000}"/>
    <cellStyle name="Migliaia 3 2 2 3 2" xfId="33777" xr:uid="{00000000-0005-0000-0000-000023B40000}"/>
    <cellStyle name="Migliaia 3 2 2 3 3" xfId="48738" xr:uid="{00000000-0005-0000-0000-000024B40000}"/>
    <cellStyle name="Migliaia 3 2 2 3 4" xfId="56183" xr:uid="{00000000-0005-0000-0000-000025B40000}"/>
    <cellStyle name="Migliaia 3 2 2 4" xfId="19392" xr:uid="{00000000-0005-0000-0000-000026B40000}"/>
    <cellStyle name="Migliaia 3 2 2 5" xfId="34382" xr:uid="{00000000-0005-0000-0000-000027B40000}"/>
    <cellStyle name="Migliaia 3 2 2 6" xfId="49334" xr:uid="{00000000-0005-0000-0000-000028B40000}"/>
    <cellStyle name="Migliaia 3 2 2 7" xfId="49739" xr:uid="{00000000-0005-0000-0000-000029B40000}"/>
    <cellStyle name="Migliaia 3 2 2 8" xfId="50148" xr:uid="{00000000-0005-0000-0000-00002AB40000}"/>
    <cellStyle name="Migliaia 3 2 2 9" xfId="50553" xr:uid="{00000000-0005-0000-0000-00002BB40000}"/>
    <cellStyle name="Migliaia 3 2 3" xfId="9245" xr:uid="{00000000-0005-0000-0000-00002CB40000}"/>
    <cellStyle name="Migliaia 3 2 3 2" xfId="54671" xr:uid="{00000000-0005-0000-0000-00002DB40000}"/>
    <cellStyle name="Migliaia 3 2 4" xfId="9884" xr:uid="{00000000-0005-0000-0000-00002EB40000}"/>
    <cellStyle name="Migliaia 3 2 4 2" xfId="26209" xr:uid="{00000000-0005-0000-0000-00002FB40000}"/>
    <cellStyle name="Migliaia 3 2 4 3" xfId="41187" xr:uid="{00000000-0005-0000-0000-000030B40000}"/>
    <cellStyle name="Migliaia 3 2 4 4" xfId="55698" xr:uid="{00000000-0005-0000-0000-000031B40000}"/>
    <cellStyle name="Migliaia 3 2 5" xfId="17177" xr:uid="{00000000-0005-0000-0000-000032B40000}"/>
    <cellStyle name="Migliaia 3 2 5 2" xfId="33292" xr:uid="{00000000-0005-0000-0000-000033B40000}"/>
    <cellStyle name="Migliaia 3 2 5 3" xfId="48253" xr:uid="{00000000-0005-0000-0000-000034B40000}"/>
    <cellStyle name="Migliaia 3 2 6" xfId="19190" xr:uid="{00000000-0005-0000-0000-000035B40000}"/>
    <cellStyle name="Migliaia 3 2 7" xfId="34185" xr:uid="{00000000-0005-0000-0000-000036B40000}"/>
    <cellStyle name="Migliaia 3 2 8" xfId="49125" xr:uid="{00000000-0005-0000-0000-000037B40000}"/>
    <cellStyle name="Migliaia 3 2 9" xfId="49530" xr:uid="{00000000-0005-0000-0000-000038B40000}"/>
    <cellStyle name="Migliaia 3 3" xfId="375" xr:uid="{00000000-0005-0000-0000-000039B40000}"/>
    <cellStyle name="Migliaia 3 3 10" xfId="49937" xr:uid="{00000000-0005-0000-0000-00003AB40000}"/>
    <cellStyle name="Migliaia 3 3 11" xfId="50345" xr:uid="{00000000-0005-0000-0000-00003BB40000}"/>
    <cellStyle name="Migliaia 3 3 12" xfId="50787" xr:uid="{00000000-0005-0000-0000-00003CB40000}"/>
    <cellStyle name="Migliaia 3 3 13" xfId="51506" xr:uid="{00000000-0005-0000-0000-00003DB40000}"/>
    <cellStyle name="Migliaia 3 3 14" xfId="51918" xr:uid="{00000000-0005-0000-0000-00003EB40000}"/>
    <cellStyle name="Migliaia 3 3 15" xfId="52417" xr:uid="{00000000-0005-0000-0000-00003FB40000}"/>
    <cellStyle name="Migliaia 3 3 2" xfId="376" xr:uid="{00000000-0005-0000-0000-000040B40000}"/>
    <cellStyle name="Migliaia 3 3 2 10" xfId="50346" xr:uid="{00000000-0005-0000-0000-000041B40000}"/>
    <cellStyle name="Migliaia 3 3 2 11" xfId="50788" xr:uid="{00000000-0005-0000-0000-000042B40000}"/>
    <cellStyle name="Migliaia 3 3 2 12" xfId="51507" xr:uid="{00000000-0005-0000-0000-000043B40000}"/>
    <cellStyle name="Migliaia 3 3 2 13" xfId="51919" xr:uid="{00000000-0005-0000-0000-000044B40000}"/>
    <cellStyle name="Migliaia 3 3 2 14" xfId="52418" xr:uid="{00000000-0005-0000-0000-000045B40000}"/>
    <cellStyle name="Migliaia 3 3 2 2" xfId="9247" xr:uid="{00000000-0005-0000-0000-000046B40000}"/>
    <cellStyle name="Migliaia 3 3 2 2 2" xfId="54850" xr:uid="{00000000-0005-0000-0000-000047B40000}"/>
    <cellStyle name="Migliaia 3 3 2 3" xfId="9886" xr:uid="{00000000-0005-0000-0000-000048B40000}"/>
    <cellStyle name="Migliaia 3 3 2 3 2" xfId="26211" xr:uid="{00000000-0005-0000-0000-000049B40000}"/>
    <cellStyle name="Migliaia 3 3 2 3 3" xfId="41189" xr:uid="{00000000-0005-0000-0000-00004AB40000}"/>
    <cellStyle name="Migliaia 3 3 2 3 4" xfId="55700" xr:uid="{00000000-0005-0000-0000-00004BB40000}"/>
    <cellStyle name="Migliaia 3 3 2 4" xfId="17179" xr:uid="{00000000-0005-0000-0000-00004CB40000}"/>
    <cellStyle name="Migliaia 3 3 2 4 2" xfId="33294" xr:uid="{00000000-0005-0000-0000-00004DB40000}"/>
    <cellStyle name="Migliaia 3 3 2 4 3" xfId="48255" xr:uid="{00000000-0005-0000-0000-00004EB40000}"/>
    <cellStyle name="Migliaia 3 3 2 5" xfId="19192" xr:uid="{00000000-0005-0000-0000-00004FB40000}"/>
    <cellStyle name="Migliaia 3 3 2 6" xfId="34187" xr:uid="{00000000-0005-0000-0000-000050B40000}"/>
    <cellStyle name="Migliaia 3 3 2 7" xfId="49127" xr:uid="{00000000-0005-0000-0000-000051B40000}"/>
    <cellStyle name="Migliaia 3 3 2 8" xfId="49532" xr:uid="{00000000-0005-0000-0000-000052B40000}"/>
    <cellStyle name="Migliaia 3 3 2 9" xfId="49938" xr:uid="{00000000-0005-0000-0000-000053B40000}"/>
    <cellStyle name="Migliaia 3 3 3" xfId="9246" xr:uid="{00000000-0005-0000-0000-000054B40000}"/>
    <cellStyle name="Migliaia 3 3 3 2" xfId="18312" xr:uid="{00000000-0005-0000-0000-000055B40000}"/>
    <cellStyle name="Migliaia 3 3 3 2 2" xfId="33779" xr:uid="{00000000-0005-0000-0000-000056B40000}"/>
    <cellStyle name="Migliaia 3 3 3 2 2 2" xfId="55263" xr:uid="{00000000-0005-0000-0000-000057B40000}"/>
    <cellStyle name="Migliaia 3 3 3 2 3" xfId="48740" xr:uid="{00000000-0005-0000-0000-000058B40000}"/>
    <cellStyle name="Migliaia 3 3 3 2 3 2" xfId="56185" xr:uid="{00000000-0005-0000-0000-000059B40000}"/>
    <cellStyle name="Migliaia 3 3 3 2 4" xfId="52908" xr:uid="{00000000-0005-0000-0000-00005AB40000}"/>
    <cellStyle name="Migliaia 3 3 3 3" xfId="17180" xr:uid="{00000000-0005-0000-0000-00005BB40000}"/>
    <cellStyle name="Migliaia 3 3 3 3 2" xfId="33295" xr:uid="{00000000-0005-0000-0000-00005CB40000}"/>
    <cellStyle name="Migliaia 3 3 3 3 3" xfId="48256" xr:uid="{00000000-0005-0000-0000-00005DB40000}"/>
    <cellStyle name="Migliaia 3 3 3 3 4" xfId="54851" xr:uid="{00000000-0005-0000-0000-00005EB40000}"/>
    <cellStyle name="Migliaia 3 3 3 4" xfId="55701" xr:uid="{00000000-0005-0000-0000-00005FB40000}"/>
    <cellStyle name="Migliaia 3 3 3 5" xfId="52419" xr:uid="{00000000-0005-0000-0000-000060B40000}"/>
    <cellStyle name="Migliaia 3 3 4" xfId="9885" xr:uid="{00000000-0005-0000-0000-000061B40000}"/>
    <cellStyle name="Migliaia 3 3 4 2" xfId="18311" xr:uid="{00000000-0005-0000-0000-000062B40000}"/>
    <cellStyle name="Migliaia 3 3 4 2 2" xfId="33778" xr:uid="{00000000-0005-0000-0000-000063B40000}"/>
    <cellStyle name="Migliaia 3 3 4 2 3" xfId="48739" xr:uid="{00000000-0005-0000-0000-000064B40000}"/>
    <cellStyle name="Migliaia 3 3 4 2 4" xfId="55262" xr:uid="{00000000-0005-0000-0000-000065B40000}"/>
    <cellStyle name="Migliaia 3 3 4 3" xfId="26210" xr:uid="{00000000-0005-0000-0000-000066B40000}"/>
    <cellStyle name="Migliaia 3 3 4 3 2" xfId="56184" xr:uid="{00000000-0005-0000-0000-000067B40000}"/>
    <cellStyle name="Migliaia 3 3 4 4" xfId="41188" xr:uid="{00000000-0005-0000-0000-000068B40000}"/>
    <cellStyle name="Migliaia 3 3 4 5" xfId="52907" xr:uid="{00000000-0005-0000-0000-000069B40000}"/>
    <cellStyle name="Migliaia 3 3 5" xfId="17178" xr:uid="{00000000-0005-0000-0000-00006AB40000}"/>
    <cellStyle name="Migliaia 3 3 5 2" xfId="33293" xr:uid="{00000000-0005-0000-0000-00006BB40000}"/>
    <cellStyle name="Migliaia 3 3 5 3" xfId="48254" xr:uid="{00000000-0005-0000-0000-00006CB40000}"/>
    <cellStyle name="Migliaia 3 3 5 4" xfId="54849" xr:uid="{00000000-0005-0000-0000-00006DB40000}"/>
    <cellStyle name="Migliaia 3 3 6" xfId="19191" xr:uid="{00000000-0005-0000-0000-00006EB40000}"/>
    <cellStyle name="Migliaia 3 3 6 2" xfId="55699" xr:uid="{00000000-0005-0000-0000-00006FB40000}"/>
    <cellStyle name="Migliaia 3 3 7" xfId="34186" xr:uid="{00000000-0005-0000-0000-000070B40000}"/>
    <cellStyle name="Migliaia 3 3 8" xfId="49126" xr:uid="{00000000-0005-0000-0000-000071B40000}"/>
    <cellStyle name="Migliaia 3 3 9" xfId="49531" xr:uid="{00000000-0005-0000-0000-000072B40000}"/>
    <cellStyle name="Migliaia 3 4" xfId="9248" xr:uid="{00000000-0005-0000-0000-000073B40000}"/>
    <cellStyle name="Migliaia 3 4 2" xfId="17182" xr:uid="{00000000-0005-0000-0000-000074B40000}"/>
    <cellStyle name="Migliaia 3 4 2 2" xfId="18314" xr:uid="{00000000-0005-0000-0000-000075B40000}"/>
    <cellStyle name="Migliaia 3 4 2 2 2" xfId="33781" xr:uid="{00000000-0005-0000-0000-000076B40000}"/>
    <cellStyle name="Migliaia 3 4 2 2 2 2" xfId="55265" xr:uid="{00000000-0005-0000-0000-000077B40000}"/>
    <cellStyle name="Migliaia 3 4 2 2 3" xfId="48742" xr:uid="{00000000-0005-0000-0000-000078B40000}"/>
    <cellStyle name="Migliaia 3 4 2 2 3 2" xfId="56187" xr:uid="{00000000-0005-0000-0000-000079B40000}"/>
    <cellStyle name="Migliaia 3 4 2 2 4" xfId="52910" xr:uid="{00000000-0005-0000-0000-00007AB40000}"/>
    <cellStyle name="Migliaia 3 4 2 3" xfId="33297" xr:uid="{00000000-0005-0000-0000-00007BB40000}"/>
    <cellStyle name="Migliaia 3 4 2 3 2" xfId="54853" xr:uid="{00000000-0005-0000-0000-00007CB40000}"/>
    <cellStyle name="Migliaia 3 4 2 4" xfId="48258" xr:uid="{00000000-0005-0000-0000-00007DB40000}"/>
    <cellStyle name="Migliaia 3 4 2 4 2" xfId="55703" xr:uid="{00000000-0005-0000-0000-00007EB40000}"/>
    <cellStyle name="Migliaia 3 4 2 5" xfId="52421" xr:uid="{00000000-0005-0000-0000-00007FB40000}"/>
    <cellStyle name="Migliaia 3 4 3" xfId="18313" xr:uid="{00000000-0005-0000-0000-000080B40000}"/>
    <cellStyle name="Migliaia 3 4 3 2" xfId="33780" xr:uid="{00000000-0005-0000-0000-000081B40000}"/>
    <cellStyle name="Migliaia 3 4 3 2 2" xfId="55264" xr:uid="{00000000-0005-0000-0000-000082B40000}"/>
    <cellStyle name="Migliaia 3 4 3 3" xfId="48741" xr:uid="{00000000-0005-0000-0000-000083B40000}"/>
    <cellStyle name="Migliaia 3 4 3 3 2" xfId="56186" xr:uid="{00000000-0005-0000-0000-000084B40000}"/>
    <cellStyle name="Migliaia 3 4 3 4" xfId="52909" xr:uid="{00000000-0005-0000-0000-000085B40000}"/>
    <cellStyle name="Migliaia 3 4 4" xfId="17181" xr:uid="{00000000-0005-0000-0000-000086B40000}"/>
    <cellStyle name="Migliaia 3 4 4 2" xfId="33296" xr:uid="{00000000-0005-0000-0000-000087B40000}"/>
    <cellStyle name="Migliaia 3 4 4 3" xfId="48257" xr:uid="{00000000-0005-0000-0000-000088B40000}"/>
    <cellStyle name="Migliaia 3 4 4 4" xfId="54852" xr:uid="{00000000-0005-0000-0000-000089B40000}"/>
    <cellStyle name="Migliaia 3 4 5" xfId="51042" xr:uid="{00000000-0005-0000-0000-00008AB40000}"/>
    <cellStyle name="Migliaia 3 4 5 2" xfId="55702" xr:uid="{00000000-0005-0000-0000-00008BB40000}"/>
    <cellStyle name="Migliaia 3 4 6" xfId="52420" xr:uid="{00000000-0005-0000-0000-00008CB40000}"/>
    <cellStyle name="Migliaia 3 5" xfId="9249" xr:uid="{00000000-0005-0000-0000-00008DB40000}"/>
    <cellStyle name="Migliaia 3 5 2" xfId="17183" xr:uid="{00000000-0005-0000-0000-00008EB40000}"/>
    <cellStyle name="Migliaia 3 5 2 2" xfId="33298" xr:uid="{00000000-0005-0000-0000-00008FB40000}"/>
    <cellStyle name="Migliaia 3 5 2 3" xfId="48259" xr:uid="{00000000-0005-0000-0000-000090B40000}"/>
    <cellStyle name="Migliaia 3 5 2 4" xfId="54854" xr:uid="{00000000-0005-0000-0000-000091B40000}"/>
    <cellStyle name="Migliaia 3 5 3" xfId="51043" xr:uid="{00000000-0005-0000-0000-000092B40000}"/>
    <cellStyle name="Migliaia 3 5 3 2" xfId="55704" xr:uid="{00000000-0005-0000-0000-000093B40000}"/>
    <cellStyle name="Migliaia 3 5 4" xfId="52422" xr:uid="{00000000-0005-0000-0000-000094B40000}"/>
    <cellStyle name="Migliaia 3 6" xfId="9244" xr:uid="{00000000-0005-0000-0000-000095B40000}"/>
    <cellStyle name="Migliaia 3 6 2" xfId="51275" xr:uid="{00000000-0005-0000-0000-000096B40000}"/>
    <cellStyle name="Migliaia 3 6 3" xfId="54607" xr:uid="{00000000-0005-0000-0000-000097B40000}"/>
    <cellStyle name="Migliaia 3 7" xfId="9883" xr:uid="{00000000-0005-0000-0000-000098B40000}"/>
    <cellStyle name="Migliaia 3 7 2" xfId="26208" xr:uid="{00000000-0005-0000-0000-000099B40000}"/>
    <cellStyle name="Migliaia 3 7 3" xfId="41186" xr:uid="{00000000-0005-0000-0000-00009AB40000}"/>
    <cellStyle name="Migliaia 3 7 4" xfId="55697" xr:uid="{00000000-0005-0000-0000-00009BB40000}"/>
    <cellStyle name="Migliaia 3 8" xfId="17176" xr:uid="{00000000-0005-0000-0000-00009CB40000}"/>
    <cellStyle name="Migliaia 3 8 2" xfId="33291" xr:uid="{00000000-0005-0000-0000-00009DB40000}"/>
    <cellStyle name="Migliaia 3 8 3" xfId="48252" xr:uid="{00000000-0005-0000-0000-00009EB40000}"/>
    <cellStyle name="Migliaia 3 9" xfId="19189" xr:uid="{00000000-0005-0000-0000-00009FB40000}"/>
    <cellStyle name="Migliaia 30" xfId="377" xr:uid="{00000000-0005-0000-0000-0000A0B40000}"/>
    <cellStyle name="Migliaia 30 10" xfId="34188" xr:uid="{00000000-0005-0000-0000-0000A1B40000}"/>
    <cellStyle name="Migliaia 30 11" xfId="49128" xr:uid="{00000000-0005-0000-0000-0000A2B40000}"/>
    <cellStyle name="Migliaia 30 12" xfId="49533" xr:uid="{00000000-0005-0000-0000-0000A3B40000}"/>
    <cellStyle name="Migliaia 30 13" xfId="49939" xr:uid="{00000000-0005-0000-0000-0000A4B40000}"/>
    <cellStyle name="Migliaia 30 14" xfId="50347" xr:uid="{00000000-0005-0000-0000-0000A5B40000}"/>
    <cellStyle name="Migliaia 30 15" xfId="50789" xr:uid="{00000000-0005-0000-0000-0000A6B40000}"/>
    <cellStyle name="Migliaia 30 16" xfId="51508" xr:uid="{00000000-0005-0000-0000-0000A7B40000}"/>
    <cellStyle name="Migliaia 30 17" xfId="51920" xr:uid="{00000000-0005-0000-0000-0000A8B40000}"/>
    <cellStyle name="Migliaia 30 18" xfId="52423" xr:uid="{00000000-0005-0000-0000-0000A9B40000}"/>
    <cellStyle name="Migliaia 30 2" xfId="378" xr:uid="{00000000-0005-0000-0000-0000AAB40000}"/>
    <cellStyle name="Migliaia 30 2 10" xfId="49940" xr:uid="{00000000-0005-0000-0000-0000ABB40000}"/>
    <cellStyle name="Migliaia 30 2 11" xfId="50348" xr:uid="{00000000-0005-0000-0000-0000ACB40000}"/>
    <cellStyle name="Migliaia 30 2 12" xfId="50790" xr:uid="{00000000-0005-0000-0000-0000ADB40000}"/>
    <cellStyle name="Migliaia 30 2 13" xfId="51509" xr:uid="{00000000-0005-0000-0000-0000AEB40000}"/>
    <cellStyle name="Migliaia 30 2 14" xfId="51921" xr:uid="{00000000-0005-0000-0000-0000AFB40000}"/>
    <cellStyle name="Migliaia 30 2 15" xfId="52424" xr:uid="{00000000-0005-0000-0000-0000B0B40000}"/>
    <cellStyle name="Migliaia 30 2 2" xfId="1267" xr:uid="{00000000-0005-0000-0000-0000B1B40000}"/>
    <cellStyle name="Migliaia 30 2 2 10" xfId="51119" xr:uid="{00000000-0005-0000-0000-0000B2B40000}"/>
    <cellStyle name="Migliaia 30 2 2 11" xfId="51715" xr:uid="{00000000-0005-0000-0000-0000B3B40000}"/>
    <cellStyle name="Migliaia 30 2 2 12" xfId="52135" xr:uid="{00000000-0005-0000-0000-0000B4B40000}"/>
    <cellStyle name="Migliaia 30 2 2 13" xfId="52911" xr:uid="{00000000-0005-0000-0000-0000B5B40000}"/>
    <cellStyle name="Migliaia 30 2 2 2" xfId="10094" xr:uid="{00000000-0005-0000-0000-0000B6B40000}"/>
    <cellStyle name="Migliaia 30 2 2 2 2" xfId="26414" xr:uid="{00000000-0005-0000-0000-0000B7B40000}"/>
    <cellStyle name="Migliaia 30 2 2 2 3" xfId="41382" xr:uid="{00000000-0005-0000-0000-0000B8B40000}"/>
    <cellStyle name="Migliaia 30 2 2 2 4" xfId="55266" xr:uid="{00000000-0005-0000-0000-0000B9B40000}"/>
    <cellStyle name="Migliaia 30 2 2 3" xfId="18315" xr:uid="{00000000-0005-0000-0000-0000BAB40000}"/>
    <cellStyle name="Migliaia 30 2 2 3 2" xfId="33782" xr:uid="{00000000-0005-0000-0000-0000BBB40000}"/>
    <cellStyle name="Migliaia 30 2 2 3 3" xfId="48743" xr:uid="{00000000-0005-0000-0000-0000BCB40000}"/>
    <cellStyle name="Migliaia 30 2 2 3 4" xfId="56188" xr:uid="{00000000-0005-0000-0000-0000BDB40000}"/>
    <cellStyle name="Migliaia 30 2 2 4" xfId="19393" xr:uid="{00000000-0005-0000-0000-0000BEB40000}"/>
    <cellStyle name="Migliaia 30 2 2 5" xfId="34383" xr:uid="{00000000-0005-0000-0000-0000BFB40000}"/>
    <cellStyle name="Migliaia 30 2 2 6" xfId="49335" xr:uid="{00000000-0005-0000-0000-0000C0B40000}"/>
    <cellStyle name="Migliaia 30 2 2 7" xfId="49740" xr:uid="{00000000-0005-0000-0000-0000C1B40000}"/>
    <cellStyle name="Migliaia 30 2 2 8" xfId="50149" xr:uid="{00000000-0005-0000-0000-0000C2B40000}"/>
    <cellStyle name="Migliaia 30 2 2 9" xfId="50554" xr:uid="{00000000-0005-0000-0000-0000C3B40000}"/>
    <cellStyle name="Migliaia 30 2 3" xfId="9251" xr:uid="{00000000-0005-0000-0000-0000C4B40000}"/>
    <cellStyle name="Migliaia 30 2 3 2" xfId="54672" xr:uid="{00000000-0005-0000-0000-0000C5B40000}"/>
    <cellStyle name="Migliaia 30 2 4" xfId="9888" xr:uid="{00000000-0005-0000-0000-0000C6B40000}"/>
    <cellStyle name="Migliaia 30 2 4 2" xfId="26213" xr:uid="{00000000-0005-0000-0000-0000C7B40000}"/>
    <cellStyle name="Migliaia 30 2 4 3" xfId="41191" xr:uid="{00000000-0005-0000-0000-0000C8B40000}"/>
    <cellStyle name="Migliaia 30 2 4 4" xfId="55706" xr:uid="{00000000-0005-0000-0000-0000C9B40000}"/>
    <cellStyle name="Migliaia 30 2 5" xfId="17185" xr:uid="{00000000-0005-0000-0000-0000CAB40000}"/>
    <cellStyle name="Migliaia 30 2 5 2" xfId="33300" xr:uid="{00000000-0005-0000-0000-0000CBB40000}"/>
    <cellStyle name="Migliaia 30 2 5 3" xfId="48261" xr:uid="{00000000-0005-0000-0000-0000CCB40000}"/>
    <cellStyle name="Migliaia 30 2 6" xfId="19194" xr:uid="{00000000-0005-0000-0000-0000CDB40000}"/>
    <cellStyle name="Migliaia 30 2 7" xfId="34189" xr:uid="{00000000-0005-0000-0000-0000CEB40000}"/>
    <cellStyle name="Migliaia 30 2 8" xfId="49129" xr:uid="{00000000-0005-0000-0000-0000CFB40000}"/>
    <cellStyle name="Migliaia 30 2 9" xfId="49534" xr:uid="{00000000-0005-0000-0000-0000D0B40000}"/>
    <cellStyle name="Migliaia 30 3" xfId="379" xr:uid="{00000000-0005-0000-0000-0000D1B40000}"/>
    <cellStyle name="Migliaia 30 3 10" xfId="49941" xr:uid="{00000000-0005-0000-0000-0000D2B40000}"/>
    <cellStyle name="Migliaia 30 3 11" xfId="50349" xr:uid="{00000000-0005-0000-0000-0000D3B40000}"/>
    <cellStyle name="Migliaia 30 3 12" xfId="50791" xr:uid="{00000000-0005-0000-0000-0000D4B40000}"/>
    <cellStyle name="Migliaia 30 3 13" xfId="51510" xr:uid="{00000000-0005-0000-0000-0000D5B40000}"/>
    <cellStyle name="Migliaia 30 3 14" xfId="51922" xr:uid="{00000000-0005-0000-0000-0000D6B40000}"/>
    <cellStyle name="Migliaia 30 3 15" xfId="52425" xr:uid="{00000000-0005-0000-0000-0000D7B40000}"/>
    <cellStyle name="Migliaia 30 3 2" xfId="380" xr:uid="{00000000-0005-0000-0000-0000D8B40000}"/>
    <cellStyle name="Migliaia 30 3 2 10" xfId="50350" xr:uid="{00000000-0005-0000-0000-0000D9B40000}"/>
    <cellStyle name="Migliaia 30 3 2 11" xfId="50792" xr:uid="{00000000-0005-0000-0000-0000DAB40000}"/>
    <cellStyle name="Migliaia 30 3 2 12" xfId="51511" xr:uid="{00000000-0005-0000-0000-0000DBB40000}"/>
    <cellStyle name="Migliaia 30 3 2 13" xfId="51923" xr:uid="{00000000-0005-0000-0000-0000DCB40000}"/>
    <cellStyle name="Migliaia 30 3 2 14" xfId="52426" xr:uid="{00000000-0005-0000-0000-0000DDB40000}"/>
    <cellStyle name="Migliaia 30 3 2 2" xfId="9253" xr:uid="{00000000-0005-0000-0000-0000DEB40000}"/>
    <cellStyle name="Migliaia 30 3 2 2 2" xfId="54856" xr:uid="{00000000-0005-0000-0000-0000DFB40000}"/>
    <cellStyle name="Migliaia 30 3 2 3" xfId="9890" xr:uid="{00000000-0005-0000-0000-0000E0B40000}"/>
    <cellStyle name="Migliaia 30 3 2 3 2" xfId="26215" xr:uid="{00000000-0005-0000-0000-0000E1B40000}"/>
    <cellStyle name="Migliaia 30 3 2 3 3" xfId="41193" xr:uid="{00000000-0005-0000-0000-0000E2B40000}"/>
    <cellStyle name="Migliaia 30 3 2 3 4" xfId="55708" xr:uid="{00000000-0005-0000-0000-0000E3B40000}"/>
    <cellStyle name="Migliaia 30 3 2 4" xfId="17187" xr:uid="{00000000-0005-0000-0000-0000E4B40000}"/>
    <cellStyle name="Migliaia 30 3 2 4 2" xfId="33302" xr:uid="{00000000-0005-0000-0000-0000E5B40000}"/>
    <cellStyle name="Migliaia 30 3 2 4 3" xfId="48263" xr:uid="{00000000-0005-0000-0000-0000E6B40000}"/>
    <cellStyle name="Migliaia 30 3 2 5" xfId="19196" xr:uid="{00000000-0005-0000-0000-0000E7B40000}"/>
    <cellStyle name="Migliaia 30 3 2 6" xfId="34191" xr:uid="{00000000-0005-0000-0000-0000E8B40000}"/>
    <cellStyle name="Migliaia 30 3 2 7" xfId="49131" xr:uid="{00000000-0005-0000-0000-0000E9B40000}"/>
    <cellStyle name="Migliaia 30 3 2 8" xfId="49536" xr:uid="{00000000-0005-0000-0000-0000EAB40000}"/>
    <cellStyle name="Migliaia 30 3 2 9" xfId="49942" xr:uid="{00000000-0005-0000-0000-0000EBB40000}"/>
    <cellStyle name="Migliaia 30 3 3" xfId="9252" xr:uid="{00000000-0005-0000-0000-0000ECB40000}"/>
    <cellStyle name="Migliaia 30 3 3 2" xfId="18317" xr:uid="{00000000-0005-0000-0000-0000EDB40000}"/>
    <cellStyle name="Migliaia 30 3 3 2 2" xfId="33784" xr:uid="{00000000-0005-0000-0000-0000EEB40000}"/>
    <cellStyle name="Migliaia 30 3 3 2 2 2" xfId="55268" xr:uid="{00000000-0005-0000-0000-0000EFB40000}"/>
    <cellStyle name="Migliaia 30 3 3 2 3" xfId="48745" xr:uid="{00000000-0005-0000-0000-0000F0B40000}"/>
    <cellStyle name="Migliaia 30 3 3 2 3 2" xfId="56190" xr:uid="{00000000-0005-0000-0000-0000F1B40000}"/>
    <cellStyle name="Migliaia 30 3 3 2 4" xfId="52913" xr:uid="{00000000-0005-0000-0000-0000F2B40000}"/>
    <cellStyle name="Migliaia 30 3 3 3" xfId="17188" xr:uid="{00000000-0005-0000-0000-0000F3B40000}"/>
    <cellStyle name="Migliaia 30 3 3 3 2" xfId="33303" xr:uid="{00000000-0005-0000-0000-0000F4B40000}"/>
    <cellStyle name="Migliaia 30 3 3 3 3" xfId="48264" xr:uid="{00000000-0005-0000-0000-0000F5B40000}"/>
    <cellStyle name="Migliaia 30 3 3 3 4" xfId="54857" xr:uid="{00000000-0005-0000-0000-0000F6B40000}"/>
    <cellStyle name="Migliaia 30 3 3 4" xfId="55709" xr:uid="{00000000-0005-0000-0000-0000F7B40000}"/>
    <cellStyle name="Migliaia 30 3 3 5" xfId="52427" xr:uid="{00000000-0005-0000-0000-0000F8B40000}"/>
    <cellStyle name="Migliaia 30 3 4" xfId="9889" xr:uid="{00000000-0005-0000-0000-0000F9B40000}"/>
    <cellStyle name="Migliaia 30 3 4 2" xfId="18316" xr:uid="{00000000-0005-0000-0000-0000FAB40000}"/>
    <cellStyle name="Migliaia 30 3 4 2 2" xfId="33783" xr:uid="{00000000-0005-0000-0000-0000FBB40000}"/>
    <cellStyle name="Migliaia 30 3 4 2 3" xfId="48744" xr:uid="{00000000-0005-0000-0000-0000FCB40000}"/>
    <cellStyle name="Migliaia 30 3 4 2 4" xfId="55267" xr:uid="{00000000-0005-0000-0000-0000FDB40000}"/>
    <cellStyle name="Migliaia 30 3 4 3" xfId="26214" xr:uid="{00000000-0005-0000-0000-0000FEB40000}"/>
    <cellStyle name="Migliaia 30 3 4 3 2" xfId="56189" xr:uid="{00000000-0005-0000-0000-0000FFB40000}"/>
    <cellStyle name="Migliaia 30 3 4 4" xfId="41192" xr:uid="{00000000-0005-0000-0000-000000B50000}"/>
    <cellStyle name="Migliaia 30 3 4 5" xfId="52912" xr:uid="{00000000-0005-0000-0000-000001B50000}"/>
    <cellStyle name="Migliaia 30 3 5" xfId="17186" xr:uid="{00000000-0005-0000-0000-000002B50000}"/>
    <cellStyle name="Migliaia 30 3 5 2" xfId="33301" xr:uid="{00000000-0005-0000-0000-000003B50000}"/>
    <cellStyle name="Migliaia 30 3 5 3" xfId="48262" xr:uid="{00000000-0005-0000-0000-000004B50000}"/>
    <cellStyle name="Migliaia 30 3 5 4" xfId="54855" xr:uid="{00000000-0005-0000-0000-000005B50000}"/>
    <cellStyle name="Migliaia 30 3 6" xfId="19195" xr:uid="{00000000-0005-0000-0000-000006B50000}"/>
    <cellStyle name="Migliaia 30 3 6 2" xfId="55707" xr:uid="{00000000-0005-0000-0000-000007B50000}"/>
    <cellStyle name="Migliaia 30 3 7" xfId="34190" xr:uid="{00000000-0005-0000-0000-000008B50000}"/>
    <cellStyle name="Migliaia 30 3 8" xfId="49130" xr:uid="{00000000-0005-0000-0000-000009B50000}"/>
    <cellStyle name="Migliaia 30 3 9" xfId="49535" xr:uid="{00000000-0005-0000-0000-00000AB50000}"/>
    <cellStyle name="Migliaia 30 4" xfId="9254" xr:uid="{00000000-0005-0000-0000-00000BB50000}"/>
    <cellStyle name="Migliaia 30 4 2" xfId="17190" xr:uid="{00000000-0005-0000-0000-00000CB50000}"/>
    <cellStyle name="Migliaia 30 4 2 2" xfId="18319" xr:uid="{00000000-0005-0000-0000-00000DB50000}"/>
    <cellStyle name="Migliaia 30 4 2 2 2" xfId="33786" xr:uid="{00000000-0005-0000-0000-00000EB50000}"/>
    <cellStyle name="Migliaia 30 4 2 2 2 2" xfId="55270" xr:uid="{00000000-0005-0000-0000-00000FB50000}"/>
    <cellStyle name="Migliaia 30 4 2 2 3" xfId="48747" xr:uid="{00000000-0005-0000-0000-000010B50000}"/>
    <cellStyle name="Migliaia 30 4 2 2 3 2" xfId="56192" xr:uid="{00000000-0005-0000-0000-000011B50000}"/>
    <cellStyle name="Migliaia 30 4 2 2 4" xfId="52915" xr:uid="{00000000-0005-0000-0000-000012B50000}"/>
    <cellStyle name="Migliaia 30 4 2 3" xfId="33305" xr:uid="{00000000-0005-0000-0000-000013B50000}"/>
    <cellStyle name="Migliaia 30 4 2 3 2" xfId="54859" xr:uid="{00000000-0005-0000-0000-000014B50000}"/>
    <cellStyle name="Migliaia 30 4 2 4" xfId="48266" xr:uid="{00000000-0005-0000-0000-000015B50000}"/>
    <cellStyle name="Migliaia 30 4 2 4 2" xfId="55711" xr:uid="{00000000-0005-0000-0000-000016B50000}"/>
    <cellStyle name="Migliaia 30 4 2 5" xfId="52429" xr:uid="{00000000-0005-0000-0000-000017B50000}"/>
    <cellStyle name="Migliaia 30 4 3" xfId="18318" xr:uid="{00000000-0005-0000-0000-000018B50000}"/>
    <cellStyle name="Migliaia 30 4 3 2" xfId="33785" xr:uid="{00000000-0005-0000-0000-000019B50000}"/>
    <cellStyle name="Migliaia 30 4 3 2 2" xfId="55269" xr:uid="{00000000-0005-0000-0000-00001AB50000}"/>
    <cellStyle name="Migliaia 30 4 3 3" xfId="48746" xr:uid="{00000000-0005-0000-0000-00001BB50000}"/>
    <cellStyle name="Migliaia 30 4 3 3 2" xfId="56191" xr:uid="{00000000-0005-0000-0000-00001CB50000}"/>
    <cellStyle name="Migliaia 30 4 3 4" xfId="52914" xr:uid="{00000000-0005-0000-0000-00001DB50000}"/>
    <cellStyle name="Migliaia 30 4 4" xfId="17189" xr:uid="{00000000-0005-0000-0000-00001EB50000}"/>
    <cellStyle name="Migliaia 30 4 4 2" xfId="33304" xr:uid="{00000000-0005-0000-0000-00001FB50000}"/>
    <cellStyle name="Migliaia 30 4 4 3" xfId="48265" xr:uid="{00000000-0005-0000-0000-000020B50000}"/>
    <cellStyle name="Migliaia 30 4 4 4" xfId="54858" xr:uid="{00000000-0005-0000-0000-000021B50000}"/>
    <cellStyle name="Migliaia 30 4 5" xfId="51274" xr:uid="{00000000-0005-0000-0000-000022B50000}"/>
    <cellStyle name="Migliaia 30 4 5 2" xfId="55710" xr:uid="{00000000-0005-0000-0000-000023B50000}"/>
    <cellStyle name="Migliaia 30 4 6" xfId="52428" xr:uid="{00000000-0005-0000-0000-000024B50000}"/>
    <cellStyle name="Migliaia 30 5" xfId="9255" xr:uid="{00000000-0005-0000-0000-000025B50000}"/>
    <cellStyle name="Migliaia 30 5 2" xfId="17191" xr:uid="{00000000-0005-0000-0000-000026B50000}"/>
    <cellStyle name="Migliaia 30 5 2 2" xfId="33306" xr:uid="{00000000-0005-0000-0000-000027B50000}"/>
    <cellStyle name="Migliaia 30 5 2 3" xfId="48267" xr:uid="{00000000-0005-0000-0000-000028B50000}"/>
    <cellStyle name="Migliaia 30 5 2 4" xfId="54860" xr:uid="{00000000-0005-0000-0000-000029B50000}"/>
    <cellStyle name="Migliaia 30 5 3" xfId="51240" xr:uid="{00000000-0005-0000-0000-00002AB50000}"/>
    <cellStyle name="Migliaia 30 5 3 2" xfId="55712" xr:uid="{00000000-0005-0000-0000-00002BB50000}"/>
    <cellStyle name="Migliaia 30 5 4" xfId="52430" xr:uid="{00000000-0005-0000-0000-00002CB50000}"/>
    <cellStyle name="Migliaia 30 6" xfId="9250" xr:uid="{00000000-0005-0000-0000-00002DB50000}"/>
    <cellStyle name="Migliaia 30 6 2" xfId="50974" xr:uid="{00000000-0005-0000-0000-00002EB50000}"/>
    <cellStyle name="Migliaia 30 6 3" xfId="54608" xr:uid="{00000000-0005-0000-0000-00002FB50000}"/>
    <cellStyle name="Migliaia 30 7" xfId="9887" xr:uid="{00000000-0005-0000-0000-000030B50000}"/>
    <cellStyle name="Migliaia 30 7 2" xfId="26212" xr:uid="{00000000-0005-0000-0000-000031B50000}"/>
    <cellStyle name="Migliaia 30 7 3" xfId="41190" xr:uid="{00000000-0005-0000-0000-000032B50000}"/>
    <cellStyle name="Migliaia 30 7 4" xfId="55705" xr:uid="{00000000-0005-0000-0000-000033B50000}"/>
    <cellStyle name="Migliaia 30 8" xfId="17184" xr:uid="{00000000-0005-0000-0000-000034B50000}"/>
    <cellStyle name="Migliaia 30 8 2" xfId="33299" xr:uid="{00000000-0005-0000-0000-000035B50000}"/>
    <cellStyle name="Migliaia 30 8 3" xfId="48260" xr:uid="{00000000-0005-0000-0000-000036B50000}"/>
    <cellStyle name="Migliaia 30 9" xfId="19193" xr:uid="{00000000-0005-0000-0000-000037B50000}"/>
    <cellStyle name="Migliaia 31" xfId="381" xr:uid="{00000000-0005-0000-0000-000038B50000}"/>
    <cellStyle name="Migliaia 31 10" xfId="34192" xr:uid="{00000000-0005-0000-0000-000039B50000}"/>
    <cellStyle name="Migliaia 31 11" xfId="49132" xr:uid="{00000000-0005-0000-0000-00003AB50000}"/>
    <cellStyle name="Migliaia 31 12" xfId="49537" xr:uid="{00000000-0005-0000-0000-00003BB50000}"/>
    <cellStyle name="Migliaia 31 13" xfId="49943" xr:uid="{00000000-0005-0000-0000-00003CB50000}"/>
    <cellStyle name="Migliaia 31 14" xfId="50351" xr:uid="{00000000-0005-0000-0000-00003DB50000}"/>
    <cellStyle name="Migliaia 31 15" xfId="50793" xr:uid="{00000000-0005-0000-0000-00003EB50000}"/>
    <cellStyle name="Migliaia 31 16" xfId="51512" xr:uid="{00000000-0005-0000-0000-00003FB50000}"/>
    <cellStyle name="Migliaia 31 17" xfId="51924" xr:uid="{00000000-0005-0000-0000-000040B50000}"/>
    <cellStyle name="Migliaia 31 18" xfId="52431" xr:uid="{00000000-0005-0000-0000-000041B50000}"/>
    <cellStyle name="Migliaia 31 2" xfId="382" xr:uid="{00000000-0005-0000-0000-000042B50000}"/>
    <cellStyle name="Migliaia 31 2 10" xfId="49944" xr:uid="{00000000-0005-0000-0000-000043B50000}"/>
    <cellStyle name="Migliaia 31 2 11" xfId="50352" xr:uid="{00000000-0005-0000-0000-000044B50000}"/>
    <cellStyle name="Migliaia 31 2 12" xfId="50794" xr:uid="{00000000-0005-0000-0000-000045B50000}"/>
    <cellStyle name="Migliaia 31 2 13" xfId="51513" xr:uid="{00000000-0005-0000-0000-000046B50000}"/>
    <cellStyle name="Migliaia 31 2 14" xfId="51925" xr:uid="{00000000-0005-0000-0000-000047B50000}"/>
    <cellStyle name="Migliaia 31 2 15" xfId="52432" xr:uid="{00000000-0005-0000-0000-000048B50000}"/>
    <cellStyle name="Migliaia 31 2 2" xfId="1268" xr:uid="{00000000-0005-0000-0000-000049B50000}"/>
    <cellStyle name="Migliaia 31 2 2 10" xfId="51120" xr:uid="{00000000-0005-0000-0000-00004AB50000}"/>
    <cellStyle name="Migliaia 31 2 2 11" xfId="51716" xr:uid="{00000000-0005-0000-0000-00004BB50000}"/>
    <cellStyle name="Migliaia 31 2 2 12" xfId="52136" xr:uid="{00000000-0005-0000-0000-00004CB50000}"/>
    <cellStyle name="Migliaia 31 2 2 13" xfId="52916" xr:uid="{00000000-0005-0000-0000-00004DB50000}"/>
    <cellStyle name="Migliaia 31 2 2 2" xfId="10095" xr:uid="{00000000-0005-0000-0000-00004EB50000}"/>
    <cellStyle name="Migliaia 31 2 2 2 2" xfId="26415" xr:uid="{00000000-0005-0000-0000-00004FB50000}"/>
    <cellStyle name="Migliaia 31 2 2 2 3" xfId="41383" xr:uid="{00000000-0005-0000-0000-000050B50000}"/>
    <cellStyle name="Migliaia 31 2 2 2 4" xfId="55271" xr:uid="{00000000-0005-0000-0000-000051B50000}"/>
    <cellStyle name="Migliaia 31 2 2 3" xfId="18320" xr:uid="{00000000-0005-0000-0000-000052B50000}"/>
    <cellStyle name="Migliaia 31 2 2 3 2" xfId="33787" xr:uid="{00000000-0005-0000-0000-000053B50000}"/>
    <cellStyle name="Migliaia 31 2 2 3 3" xfId="48748" xr:uid="{00000000-0005-0000-0000-000054B50000}"/>
    <cellStyle name="Migliaia 31 2 2 3 4" xfId="56193" xr:uid="{00000000-0005-0000-0000-000055B50000}"/>
    <cellStyle name="Migliaia 31 2 2 4" xfId="19394" xr:uid="{00000000-0005-0000-0000-000056B50000}"/>
    <cellStyle name="Migliaia 31 2 2 5" xfId="34384" xr:uid="{00000000-0005-0000-0000-000057B50000}"/>
    <cellStyle name="Migliaia 31 2 2 6" xfId="49336" xr:uid="{00000000-0005-0000-0000-000058B50000}"/>
    <cellStyle name="Migliaia 31 2 2 7" xfId="49741" xr:uid="{00000000-0005-0000-0000-000059B50000}"/>
    <cellStyle name="Migliaia 31 2 2 8" xfId="50150" xr:uid="{00000000-0005-0000-0000-00005AB50000}"/>
    <cellStyle name="Migliaia 31 2 2 9" xfId="50555" xr:uid="{00000000-0005-0000-0000-00005BB50000}"/>
    <cellStyle name="Migliaia 31 2 3" xfId="9257" xr:uid="{00000000-0005-0000-0000-00005CB50000}"/>
    <cellStyle name="Migliaia 31 2 3 2" xfId="54673" xr:uid="{00000000-0005-0000-0000-00005DB50000}"/>
    <cellStyle name="Migliaia 31 2 4" xfId="9892" xr:uid="{00000000-0005-0000-0000-00005EB50000}"/>
    <cellStyle name="Migliaia 31 2 4 2" xfId="26217" xr:uid="{00000000-0005-0000-0000-00005FB50000}"/>
    <cellStyle name="Migliaia 31 2 4 3" xfId="41195" xr:uid="{00000000-0005-0000-0000-000060B50000}"/>
    <cellStyle name="Migliaia 31 2 4 4" xfId="55714" xr:uid="{00000000-0005-0000-0000-000061B50000}"/>
    <cellStyle name="Migliaia 31 2 5" xfId="17193" xr:uid="{00000000-0005-0000-0000-000062B50000}"/>
    <cellStyle name="Migliaia 31 2 5 2" xfId="33308" xr:uid="{00000000-0005-0000-0000-000063B50000}"/>
    <cellStyle name="Migliaia 31 2 5 3" xfId="48269" xr:uid="{00000000-0005-0000-0000-000064B50000}"/>
    <cellStyle name="Migliaia 31 2 6" xfId="19198" xr:uid="{00000000-0005-0000-0000-000065B50000}"/>
    <cellStyle name="Migliaia 31 2 7" xfId="34193" xr:uid="{00000000-0005-0000-0000-000066B50000}"/>
    <cellStyle name="Migliaia 31 2 8" xfId="49133" xr:uid="{00000000-0005-0000-0000-000067B50000}"/>
    <cellStyle name="Migliaia 31 2 9" xfId="49538" xr:uid="{00000000-0005-0000-0000-000068B50000}"/>
    <cellStyle name="Migliaia 31 3" xfId="383" xr:uid="{00000000-0005-0000-0000-000069B50000}"/>
    <cellStyle name="Migliaia 31 3 10" xfId="49945" xr:uid="{00000000-0005-0000-0000-00006AB50000}"/>
    <cellStyle name="Migliaia 31 3 11" xfId="50353" xr:uid="{00000000-0005-0000-0000-00006BB50000}"/>
    <cellStyle name="Migliaia 31 3 12" xfId="50795" xr:uid="{00000000-0005-0000-0000-00006CB50000}"/>
    <cellStyle name="Migliaia 31 3 13" xfId="51514" xr:uid="{00000000-0005-0000-0000-00006DB50000}"/>
    <cellStyle name="Migliaia 31 3 14" xfId="51926" xr:uid="{00000000-0005-0000-0000-00006EB50000}"/>
    <cellStyle name="Migliaia 31 3 15" xfId="52433" xr:uid="{00000000-0005-0000-0000-00006FB50000}"/>
    <cellStyle name="Migliaia 31 3 2" xfId="384" xr:uid="{00000000-0005-0000-0000-000070B50000}"/>
    <cellStyle name="Migliaia 31 3 2 10" xfId="50354" xr:uid="{00000000-0005-0000-0000-000071B50000}"/>
    <cellStyle name="Migliaia 31 3 2 11" xfId="50796" xr:uid="{00000000-0005-0000-0000-000072B50000}"/>
    <cellStyle name="Migliaia 31 3 2 12" xfId="51515" xr:uid="{00000000-0005-0000-0000-000073B50000}"/>
    <cellStyle name="Migliaia 31 3 2 13" xfId="51927" xr:uid="{00000000-0005-0000-0000-000074B50000}"/>
    <cellStyle name="Migliaia 31 3 2 14" xfId="52434" xr:uid="{00000000-0005-0000-0000-000075B50000}"/>
    <cellStyle name="Migliaia 31 3 2 2" xfId="9259" xr:uid="{00000000-0005-0000-0000-000076B50000}"/>
    <cellStyle name="Migliaia 31 3 2 2 2" xfId="54862" xr:uid="{00000000-0005-0000-0000-000077B50000}"/>
    <cellStyle name="Migliaia 31 3 2 3" xfId="9894" xr:uid="{00000000-0005-0000-0000-000078B50000}"/>
    <cellStyle name="Migliaia 31 3 2 3 2" xfId="26219" xr:uid="{00000000-0005-0000-0000-000079B50000}"/>
    <cellStyle name="Migliaia 31 3 2 3 3" xfId="41197" xr:uid="{00000000-0005-0000-0000-00007AB50000}"/>
    <cellStyle name="Migliaia 31 3 2 3 4" xfId="55716" xr:uid="{00000000-0005-0000-0000-00007BB50000}"/>
    <cellStyle name="Migliaia 31 3 2 4" xfId="17195" xr:uid="{00000000-0005-0000-0000-00007CB50000}"/>
    <cellStyle name="Migliaia 31 3 2 4 2" xfId="33310" xr:uid="{00000000-0005-0000-0000-00007DB50000}"/>
    <cellStyle name="Migliaia 31 3 2 4 3" xfId="48271" xr:uid="{00000000-0005-0000-0000-00007EB50000}"/>
    <cellStyle name="Migliaia 31 3 2 5" xfId="19200" xr:uid="{00000000-0005-0000-0000-00007FB50000}"/>
    <cellStyle name="Migliaia 31 3 2 6" xfId="34195" xr:uid="{00000000-0005-0000-0000-000080B50000}"/>
    <cellStyle name="Migliaia 31 3 2 7" xfId="49135" xr:uid="{00000000-0005-0000-0000-000081B50000}"/>
    <cellStyle name="Migliaia 31 3 2 8" xfId="49540" xr:uid="{00000000-0005-0000-0000-000082B50000}"/>
    <cellStyle name="Migliaia 31 3 2 9" xfId="49946" xr:uid="{00000000-0005-0000-0000-000083B50000}"/>
    <cellStyle name="Migliaia 31 3 3" xfId="9258" xr:uid="{00000000-0005-0000-0000-000084B50000}"/>
    <cellStyle name="Migliaia 31 3 3 2" xfId="18322" xr:uid="{00000000-0005-0000-0000-000085B50000}"/>
    <cellStyle name="Migliaia 31 3 3 2 2" xfId="33789" xr:uid="{00000000-0005-0000-0000-000086B50000}"/>
    <cellStyle name="Migliaia 31 3 3 2 2 2" xfId="55273" xr:uid="{00000000-0005-0000-0000-000087B50000}"/>
    <cellStyle name="Migliaia 31 3 3 2 3" xfId="48750" xr:uid="{00000000-0005-0000-0000-000088B50000}"/>
    <cellStyle name="Migliaia 31 3 3 2 3 2" xfId="56195" xr:uid="{00000000-0005-0000-0000-000089B50000}"/>
    <cellStyle name="Migliaia 31 3 3 2 4" xfId="52918" xr:uid="{00000000-0005-0000-0000-00008AB50000}"/>
    <cellStyle name="Migliaia 31 3 3 3" xfId="17196" xr:uid="{00000000-0005-0000-0000-00008BB50000}"/>
    <cellStyle name="Migliaia 31 3 3 3 2" xfId="33311" xr:uid="{00000000-0005-0000-0000-00008CB50000}"/>
    <cellStyle name="Migliaia 31 3 3 3 3" xfId="48272" xr:uid="{00000000-0005-0000-0000-00008DB50000}"/>
    <cellStyle name="Migliaia 31 3 3 3 4" xfId="54863" xr:uid="{00000000-0005-0000-0000-00008EB50000}"/>
    <cellStyle name="Migliaia 31 3 3 4" xfId="55717" xr:uid="{00000000-0005-0000-0000-00008FB50000}"/>
    <cellStyle name="Migliaia 31 3 3 5" xfId="52435" xr:uid="{00000000-0005-0000-0000-000090B50000}"/>
    <cellStyle name="Migliaia 31 3 4" xfId="9893" xr:uid="{00000000-0005-0000-0000-000091B50000}"/>
    <cellStyle name="Migliaia 31 3 4 2" xfId="18321" xr:uid="{00000000-0005-0000-0000-000092B50000}"/>
    <cellStyle name="Migliaia 31 3 4 2 2" xfId="33788" xr:uid="{00000000-0005-0000-0000-000093B50000}"/>
    <cellStyle name="Migliaia 31 3 4 2 3" xfId="48749" xr:uid="{00000000-0005-0000-0000-000094B50000}"/>
    <cellStyle name="Migliaia 31 3 4 2 4" xfId="55272" xr:uid="{00000000-0005-0000-0000-000095B50000}"/>
    <cellStyle name="Migliaia 31 3 4 3" xfId="26218" xr:uid="{00000000-0005-0000-0000-000096B50000}"/>
    <cellStyle name="Migliaia 31 3 4 3 2" xfId="56194" xr:uid="{00000000-0005-0000-0000-000097B50000}"/>
    <cellStyle name="Migliaia 31 3 4 4" xfId="41196" xr:uid="{00000000-0005-0000-0000-000098B50000}"/>
    <cellStyle name="Migliaia 31 3 4 5" xfId="52917" xr:uid="{00000000-0005-0000-0000-000099B50000}"/>
    <cellStyle name="Migliaia 31 3 5" xfId="17194" xr:uid="{00000000-0005-0000-0000-00009AB50000}"/>
    <cellStyle name="Migliaia 31 3 5 2" xfId="33309" xr:uid="{00000000-0005-0000-0000-00009BB50000}"/>
    <cellStyle name="Migliaia 31 3 5 3" xfId="48270" xr:uid="{00000000-0005-0000-0000-00009CB50000}"/>
    <cellStyle name="Migliaia 31 3 5 4" xfId="54861" xr:uid="{00000000-0005-0000-0000-00009DB50000}"/>
    <cellStyle name="Migliaia 31 3 6" xfId="19199" xr:uid="{00000000-0005-0000-0000-00009EB50000}"/>
    <cellStyle name="Migliaia 31 3 6 2" xfId="55715" xr:uid="{00000000-0005-0000-0000-00009FB50000}"/>
    <cellStyle name="Migliaia 31 3 7" xfId="34194" xr:uid="{00000000-0005-0000-0000-0000A0B50000}"/>
    <cellStyle name="Migliaia 31 3 8" xfId="49134" xr:uid="{00000000-0005-0000-0000-0000A1B50000}"/>
    <cellStyle name="Migliaia 31 3 9" xfId="49539" xr:uid="{00000000-0005-0000-0000-0000A2B50000}"/>
    <cellStyle name="Migliaia 31 4" xfId="9260" xr:uid="{00000000-0005-0000-0000-0000A3B50000}"/>
    <cellStyle name="Migliaia 31 4 2" xfId="17198" xr:uid="{00000000-0005-0000-0000-0000A4B50000}"/>
    <cellStyle name="Migliaia 31 4 2 2" xfId="18324" xr:uid="{00000000-0005-0000-0000-0000A5B50000}"/>
    <cellStyle name="Migliaia 31 4 2 2 2" xfId="33791" xr:uid="{00000000-0005-0000-0000-0000A6B50000}"/>
    <cellStyle name="Migliaia 31 4 2 2 2 2" xfId="55275" xr:uid="{00000000-0005-0000-0000-0000A7B50000}"/>
    <cellStyle name="Migliaia 31 4 2 2 3" xfId="48752" xr:uid="{00000000-0005-0000-0000-0000A8B50000}"/>
    <cellStyle name="Migliaia 31 4 2 2 3 2" xfId="56197" xr:uid="{00000000-0005-0000-0000-0000A9B50000}"/>
    <cellStyle name="Migliaia 31 4 2 2 4" xfId="52920" xr:uid="{00000000-0005-0000-0000-0000AAB50000}"/>
    <cellStyle name="Migliaia 31 4 2 3" xfId="33313" xr:uid="{00000000-0005-0000-0000-0000ABB50000}"/>
    <cellStyle name="Migliaia 31 4 2 3 2" xfId="54865" xr:uid="{00000000-0005-0000-0000-0000ACB50000}"/>
    <cellStyle name="Migliaia 31 4 2 4" xfId="48274" xr:uid="{00000000-0005-0000-0000-0000ADB50000}"/>
    <cellStyle name="Migliaia 31 4 2 4 2" xfId="55719" xr:uid="{00000000-0005-0000-0000-0000AEB50000}"/>
    <cellStyle name="Migliaia 31 4 2 5" xfId="52437" xr:uid="{00000000-0005-0000-0000-0000AFB50000}"/>
    <cellStyle name="Migliaia 31 4 3" xfId="18323" xr:uid="{00000000-0005-0000-0000-0000B0B50000}"/>
    <cellStyle name="Migliaia 31 4 3 2" xfId="33790" xr:uid="{00000000-0005-0000-0000-0000B1B50000}"/>
    <cellStyle name="Migliaia 31 4 3 2 2" xfId="55274" xr:uid="{00000000-0005-0000-0000-0000B2B50000}"/>
    <cellStyle name="Migliaia 31 4 3 3" xfId="48751" xr:uid="{00000000-0005-0000-0000-0000B3B50000}"/>
    <cellStyle name="Migliaia 31 4 3 3 2" xfId="56196" xr:uid="{00000000-0005-0000-0000-0000B4B50000}"/>
    <cellStyle name="Migliaia 31 4 3 4" xfId="52919" xr:uid="{00000000-0005-0000-0000-0000B5B50000}"/>
    <cellStyle name="Migliaia 31 4 4" xfId="17197" xr:uid="{00000000-0005-0000-0000-0000B6B50000}"/>
    <cellStyle name="Migliaia 31 4 4 2" xfId="33312" xr:uid="{00000000-0005-0000-0000-0000B7B50000}"/>
    <cellStyle name="Migliaia 31 4 4 3" xfId="48273" xr:uid="{00000000-0005-0000-0000-0000B8B50000}"/>
    <cellStyle name="Migliaia 31 4 4 4" xfId="54864" xr:uid="{00000000-0005-0000-0000-0000B9B50000}"/>
    <cellStyle name="Migliaia 31 4 5" xfId="51041" xr:uid="{00000000-0005-0000-0000-0000BAB50000}"/>
    <cellStyle name="Migliaia 31 4 5 2" xfId="55718" xr:uid="{00000000-0005-0000-0000-0000BBB50000}"/>
    <cellStyle name="Migliaia 31 4 6" xfId="52436" xr:uid="{00000000-0005-0000-0000-0000BCB50000}"/>
    <cellStyle name="Migliaia 31 5" xfId="9261" xr:uid="{00000000-0005-0000-0000-0000BDB50000}"/>
    <cellStyle name="Migliaia 31 5 2" xfId="17199" xr:uid="{00000000-0005-0000-0000-0000BEB50000}"/>
    <cellStyle name="Migliaia 31 5 2 2" xfId="33314" xr:uid="{00000000-0005-0000-0000-0000BFB50000}"/>
    <cellStyle name="Migliaia 31 5 2 3" xfId="48275" xr:uid="{00000000-0005-0000-0000-0000C0B50000}"/>
    <cellStyle name="Migliaia 31 5 2 4" xfId="54866" xr:uid="{00000000-0005-0000-0000-0000C1B50000}"/>
    <cellStyle name="Migliaia 31 5 3" xfId="51191" xr:uid="{00000000-0005-0000-0000-0000C2B50000}"/>
    <cellStyle name="Migliaia 31 5 3 2" xfId="55720" xr:uid="{00000000-0005-0000-0000-0000C3B50000}"/>
    <cellStyle name="Migliaia 31 5 4" xfId="52438" xr:uid="{00000000-0005-0000-0000-0000C4B50000}"/>
    <cellStyle name="Migliaia 31 6" xfId="9256" xr:uid="{00000000-0005-0000-0000-0000C5B50000}"/>
    <cellStyle name="Migliaia 31 6 2" xfId="51040" xr:uid="{00000000-0005-0000-0000-0000C6B50000}"/>
    <cellStyle name="Migliaia 31 6 3" xfId="54609" xr:uid="{00000000-0005-0000-0000-0000C7B50000}"/>
    <cellStyle name="Migliaia 31 7" xfId="9891" xr:uid="{00000000-0005-0000-0000-0000C8B50000}"/>
    <cellStyle name="Migliaia 31 7 2" xfId="26216" xr:uid="{00000000-0005-0000-0000-0000C9B50000}"/>
    <cellStyle name="Migliaia 31 7 3" xfId="41194" xr:uid="{00000000-0005-0000-0000-0000CAB50000}"/>
    <cellStyle name="Migliaia 31 7 4" xfId="55713" xr:uid="{00000000-0005-0000-0000-0000CBB50000}"/>
    <cellStyle name="Migliaia 31 8" xfId="17192" xr:uid="{00000000-0005-0000-0000-0000CCB50000}"/>
    <cellStyle name="Migliaia 31 8 2" xfId="33307" xr:uid="{00000000-0005-0000-0000-0000CDB50000}"/>
    <cellStyle name="Migliaia 31 8 3" xfId="48268" xr:uid="{00000000-0005-0000-0000-0000CEB50000}"/>
    <cellStyle name="Migliaia 31 9" xfId="19197" xr:uid="{00000000-0005-0000-0000-0000CFB50000}"/>
    <cellStyle name="Migliaia 32" xfId="385" xr:uid="{00000000-0005-0000-0000-0000D0B50000}"/>
    <cellStyle name="Migliaia 32 10" xfId="34196" xr:uid="{00000000-0005-0000-0000-0000D1B50000}"/>
    <cellStyle name="Migliaia 32 11" xfId="49136" xr:uid="{00000000-0005-0000-0000-0000D2B50000}"/>
    <cellStyle name="Migliaia 32 12" xfId="49541" xr:uid="{00000000-0005-0000-0000-0000D3B50000}"/>
    <cellStyle name="Migliaia 32 13" xfId="49947" xr:uid="{00000000-0005-0000-0000-0000D4B50000}"/>
    <cellStyle name="Migliaia 32 14" xfId="50355" xr:uid="{00000000-0005-0000-0000-0000D5B50000}"/>
    <cellStyle name="Migliaia 32 15" xfId="50797" xr:uid="{00000000-0005-0000-0000-0000D6B50000}"/>
    <cellStyle name="Migliaia 32 16" xfId="51516" xr:uid="{00000000-0005-0000-0000-0000D7B50000}"/>
    <cellStyle name="Migliaia 32 17" xfId="51928" xr:uid="{00000000-0005-0000-0000-0000D8B50000}"/>
    <cellStyle name="Migliaia 32 18" xfId="52439" xr:uid="{00000000-0005-0000-0000-0000D9B50000}"/>
    <cellStyle name="Migliaia 32 2" xfId="386" xr:uid="{00000000-0005-0000-0000-0000DAB50000}"/>
    <cellStyle name="Migliaia 32 2 10" xfId="49948" xr:uid="{00000000-0005-0000-0000-0000DBB50000}"/>
    <cellStyle name="Migliaia 32 2 11" xfId="50356" xr:uid="{00000000-0005-0000-0000-0000DCB50000}"/>
    <cellStyle name="Migliaia 32 2 12" xfId="50798" xr:uid="{00000000-0005-0000-0000-0000DDB50000}"/>
    <cellStyle name="Migliaia 32 2 13" xfId="51517" xr:uid="{00000000-0005-0000-0000-0000DEB50000}"/>
    <cellStyle name="Migliaia 32 2 14" xfId="51929" xr:uid="{00000000-0005-0000-0000-0000DFB50000}"/>
    <cellStyle name="Migliaia 32 2 15" xfId="52440" xr:uid="{00000000-0005-0000-0000-0000E0B50000}"/>
    <cellStyle name="Migliaia 32 2 2" xfId="1269" xr:uid="{00000000-0005-0000-0000-0000E1B50000}"/>
    <cellStyle name="Migliaia 32 2 2 10" xfId="51121" xr:uid="{00000000-0005-0000-0000-0000E2B50000}"/>
    <cellStyle name="Migliaia 32 2 2 11" xfId="51717" xr:uid="{00000000-0005-0000-0000-0000E3B50000}"/>
    <cellStyle name="Migliaia 32 2 2 12" xfId="52137" xr:uid="{00000000-0005-0000-0000-0000E4B50000}"/>
    <cellStyle name="Migliaia 32 2 2 13" xfId="52921" xr:uid="{00000000-0005-0000-0000-0000E5B50000}"/>
    <cellStyle name="Migliaia 32 2 2 2" xfId="10096" xr:uid="{00000000-0005-0000-0000-0000E6B50000}"/>
    <cellStyle name="Migliaia 32 2 2 2 2" xfId="26416" xr:uid="{00000000-0005-0000-0000-0000E7B50000}"/>
    <cellStyle name="Migliaia 32 2 2 2 3" xfId="41384" xr:uid="{00000000-0005-0000-0000-0000E8B50000}"/>
    <cellStyle name="Migliaia 32 2 2 2 4" xfId="55276" xr:uid="{00000000-0005-0000-0000-0000E9B50000}"/>
    <cellStyle name="Migliaia 32 2 2 3" xfId="18325" xr:uid="{00000000-0005-0000-0000-0000EAB50000}"/>
    <cellStyle name="Migliaia 32 2 2 3 2" xfId="33792" xr:uid="{00000000-0005-0000-0000-0000EBB50000}"/>
    <cellStyle name="Migliaia 32 2 2 3 3" xfId="48753" xr:uid="{00000000-0005-0000-0000-0000ECB50000}"/>
    <cellStyle name="Migliaia 32 2 2 3 4" xfId="56198" xr:uid="{00000000-0005-0000-0000-0000EDB50000}"/>
    <cellStyle name="Migliaia 32 2 2 4" xfId="19395" xr:uid="{00000000-0005-0000-0000-0000EEB50000}"/>
    <cellStyle name="Migliaia 32 2 2 5" xfId="34385" xr:uid="{00000000-0005-0000-0000-0000EFB50000}"/>
    <cellStyle name="Migliaia 32 2 2 6" xfId="49337" xr:uid="{00000000-0005-0000-0000-0000F0B50000}"/>
    <cellStyle name="Migliaia 32 2 2 7" xfId="49742" xr:uid="{00000000-0005-0000-0000-0000F1B50000}"/>
    <cellStyle name="Migliaia 32 2 2 8" xfId="50151" xr:uid="{00000000-0005-0000-0000-0000F2B50000}"/>
    <cellStyle name="Migliaia 32 2 2 9" xfId="50556" xr:uid="{00000000-0005-0000-0000-0000F3B50000}"/>
    <cellStyle name="Migliaia 32 2 3" xfId="9263" xr:uid="{00000000-0005-0000-0000-0000F4B50000}"/>
    <cellStyle name="Migliaia 32 2 3 2" xfId="54674" xr:uid="{00000000-0005-0000-0000-0000F5B50000}"/>
    <cellStyle name="Migliaia 32 2 4" xfId="9896" xr:uid="{00000000-0005-0000-0000-0000F6B50000}"/>
    <cellStyle name="Migliaia 32 2 4 2" xfId="26221" xr:uid="{00000000-0005-0000-0000-0000F7B50000}"/>
    <cellStyle name="Migliaia 32 2 4 3" xfId="41199" xr:uid="{00000000-0005-0000-0000-0000F8B50000}"/>
    <cellStyle name="Migliaia 32 2 4 4" xfId="55722" xr:uid="{00000000-0005-0000-0000-0000F9B50000}"/>
    <cellStyle name="Migliaia 32 2 5" xfId="17201" xr:uid="{00000000-0005-0000-0000-0000FAB50000}"/>
    <cellStyle name="Migliaia 32 2 5 2" xfId="33316" xr:uid="{00000000-0005-0000-0000-0000FBB50000}"/>
    <cellStyle name="Migliaia 32 2 5 3" xfId="48277" xr:uid="{00000000-0005-0000-0000-0000FCB50000}"/>
    <cellStyle name="Migliaia 32 2 6" xfId="19202" xr:uid="{00000000-0005-0000-0000-0000FDB50000}"/>
    <cellStyle name="Migliaia 32 2 7" xfId="34197" xr:uid="{00000000-0005-0000-0000-0000FEB50000}"/>
    <cellStyle name="Migliaia 32 2 8" xfId="49137" xr:uid="{00000000-0005-0000-0000-0000FFB50000}"/>
    <cellStyle name="Migliaia 32 2 9" xfId="49542" xr:uid="{00000000-0005-0000-0000-000000B60000}"/>
    <cellStyle name="Migliaia 32 3" xfId="387" xr:uid="{00000000-0005-0000-0000-000001B60000}"/>
    <cellStyle name="Migliaia 32 3 10" xfId="49949" xr:uid="{00000000-0005-0000-0000-000002B60000}"/>
    <cellStyle name="Migliaia 32 3 11" xfId="50357" xr:uid="{00000000-0005-0000-0000-000003B60000}"/>
    <cellStyle name="Migliaia 32 3 12" xfId="50799" xr:uid="{00000000-0005-0000-0000-000004B60000}"/>
    <cellStyle name="Migliaia 32 3 13" xfId="51518" xr:uid="{00000000-0005-0000-0000-000005B60000}"/>
    <cellStyle name="Migliaia 32 3 14" xfId="51930" xr:uid="{00000000-0005-0000-0000-000006B60000}"/>
    <cellStyle name="Migliaia 32 3 15" xfId="52441" xr:uid="{00000000-0005-0000-0000-000007B60000}"/>
    <cellStyle name="Migliaia 32 3 2" xfId="388" xr:uid="{00000000-0005-0000-0000-000008B60000}"/>
    <cellStyle name="Migliaia 32 3 2 10" xfId="50358" xr:uid="{00000000-0005-0000-0000-000009B60000}"/>
    <cellStyle name="Migliaia 32 3 2 11" xfId="50800" xr:uid="{00000000-0005-0000-0000-00000AB60000}"/>
    <cellStyle name="Migliaia 32 3 2 12" xfId="51519" xr:uid="{00000000-0005-0000-0000-00000BB60000}"/>
    <cellStyle name="Migliaia 32 3 2 13" xfId="51931" xr:uid="{00000000-0005-0000-0000-00000CB60000}"/>
    <cellStyle name="Migliaia 32 3 2 14" xfId="52442" xr:uid="{00000000-0005-0000-0000-00000DB60000}"/>
    <cellStyle name="Migliaia 32 3 2 2" xfId="9265" xr:uid="{00000000-0005-0000-0000-00000EB60000}"/>
    <cellStyle name="Migliaia 32 3 2 2 2" xfId="54868" xr:uid="{00000000-0005-0000-0000-00000FB60000}"/>
    <cellStyle name="Migliaia 32 3 2 3" xfId="9898" xr:uid="{00000000-0005-0000-0000-000010B60000}"/>
    <cellStyle name="Migliaia 32 3 2 3 2" xfId="26223" xr:uid="{00000000-0005-0000-0000-000011B60000}"/>
    <cellStyle name="Migliaia 32 3 2 3 3" xfId="41201" xr:uid="{00000000-0005-0000-0000-000012B60000}"/>
    <cellStyle name="Migliaia 32 3 2 3 4" xfId="55724" xr:uid="{00000000-0005-0000-0000-000013B60000}"/>
    <cellStyle name="Migliaia 32 3 2 4" xfId="17203" xr:uid="{00000000-0005-0000-0000-000014B60000}"/>
    <cellStyle name="Migliaia 32 3 2 4 2" xfId="33318" xr:uid="{00000000-0005-0000-0000-000015B60000}"/>
    <cellStyle name="Migliaia 32 3 2 4 3" xfId="48279" xr:uid="{00000000-0005-0000-0000-000016B60000}"/>
    <cellStyle name="Migliaia 32 3 2 5" xfId="19204" xr:uid="{00000000-0005-0000-0000-000017B60000}"/>
    <cellStyle name="Migliaia 32 3 2 6" xfId="34199" xr:uid="{00000000-0005-0000-0000-000018B60000}"/>
    <cellStyle name="Migliaia 32 3 2 7" xfId="49139" xr:uid="{00000000-0005-0000-0000-000019B60000}"/>
    <cellStyle name="Migliaia 32 3 2 8" xfId="49544" xr:uid="{00000000-0005-0000-0000-00001AB60000}"/>
    <cellStyle name="Migliaia 32 3 2 9" xfId="49950" xr:uid="{00000000-0005-0000-0000-00001BB60000}"/>
    <cellStyle name="Migliaia 32 3 3" xfId="9264" xr:uid="{00000000-0005-0000-0000-00001CB60000}"/>
    <cellStyle name="Migliaia 32 3 3 2" xfId="18327" xr:uid="{00000000-0005-0000-0000-00001DB60000}"/>
    <cellStyle name="Migliaia 32 3 3 2 2" xfId="33794" xr:uid="{00000000-0005-0000-0000-00001EB60000}"/>
    <cellStyle name="Migliaia 32 3 3 2 2 2" xfId="55278" xr:uid="{00000000-0005-0000-0000-00001FB60000}"/>
    <cellStyle name="Migliaia 32 3 3 2 3" xfId="48755" xr:uid="{00000000-0005-0000-0000-000020B60000}"/>
    <cellStyle name="Migliaia 32 3 3 2 3 2" xfId="56200" xr:uid="{00000000-0005-0000-0000-000021B60000}"/>
    <cellStyle name="Migliaia 32 3 3 2 4" xfId="52923" xr:uid="{00000000-0005-0000-0000-000022B60000}"/>
    <cellStyle name="Migliaia 32 3 3 3" xfId="17204" xr:uid="{00000000-0005-0000-0000-000023B60000}"/>
    <cellStyle name="Migliaia 32 3 3 3 2" xfId="33319" xr:uid="{00000000-0005-0000-0000-000024B60000}"/>
    <cellStyle name="Migliaia 32 3 3 3 3" xfId="48280" xr:uid="{00000000-0005-0000-0000-000025B60000}"/>
    <cellStyle name="Migliaia 32 3 3 3 4" xfId="54869" xr:uid="{00000000-0005-0000-0000-000026B60000}"/>
    <cellStyle name="Migliaia 32 3 3 4" xfId="55725" xr:uid="{00000000-0005-0000-0000-000027B60000}"/>
    <cellStyle name="Migliaia 32 3 3 5" xfId="52443" xr:uid="{00000000-0005-0000-0000-000028B60000}"/>
    <cellStyle name="Migliaia 32 3 4" xfId="9897" xr:uid="{00000000-0005-0000-0000-000029B60000}"/>
    <cellStyle name="Migliaia 32 3 4 2" xfId="18326" xr:uid="{00000000-0005-0000-0000-00002AB60000}"/>
    <cellStyle name="Migliaia 32 3 4 2 2" xfId="33793" xr:uid="{00000000-0005-0000-0000-00002BB60000}"/>
    <cellStyle name="Migliaia 32 3 4 2 3" xfId="48754" xr:uid="{00000000-0005-0000-0000-00002CB60000}"/>
    <cellStyle name="Migliaia 32 3 4 2 4" xfId="55277" xr:uid="{00000000-0005-0000-0000-00002DB60000}"/>
    <cellStyle name="Migliaia 32 3 4 3" xfId="26222" xr:uid="{00000000-0005-0000-0000-00002EB60000}"/>
    <cellStyle name="Migliaia 32 3 4 3 2" xfId="56199" xr:uid="{00000000-0005-0000-0000-00002FB60000}"/>
    <cellStyle name="Migliaia 32 3 4 4" xfId="41200" xr:uid="{00000000-0005-0000-0000-000030B60000}"/>
    <cellStyle name="Migliaia 32 3 4 5" xfId="52922" xr:uid="{00000000-0005-0000-0000-000031B60000}"/>
    <cellStyle name="Migliaia 32 3 5" xfId="17202" xr:uid="{00000000-0005-0000-0000-000032B60000}"/>
    <cellStyle name="Migliaia 32 3 5 2" xfId="33317" xr:uid="{00000000-0005-0000-0000-000033B60000}"/>
    <cellStyle name="Migliaia 32 3 5 3" xfId="48278" xr:uid="{00000000-0005-0000-0000-000034B60000}"/>
    <cellStyle name="Migliaia 32 3 5 4" xfId="54867" xr:uid="{00000000-0005-0000-0000-000035B60000}"/>
    <cellStyle name="Migliaia 32 3 6" xfId="19203" xr:uid="{00000000-0005-0000-0000-000036B60000}"/>
    <cellStyle name="Migliaia 32 3 6 2" xfId="55723" xr:uid="{00000000-0005-0000-0000-000037B60000}"/>
    <cellStyle name="Migliaia 32 3 7" xfId="34198" xr:uid="{00000000-0005-0000-0000-000038B60000}"/>
    <cellStyle name="Migliaia 32 3 8" xfId="49138" xr:uid="{00000000-0005-0000-0000-000039B60000}"/>
    <cellStyle name="Migliaia 32 3 9" xfId="49543" xr:uid="{00000000-0005-0000-0000-00003AB60000}"/>
    <cellStyle name="Migliaia 32 4" xfId="9266" xr:uid="{00000000-0005-0000-0000-00003BB60000}"/>
    <cellStyle name="Migliaia 32 4 2" xfId="17206" xr:uid="{00000000-0005-0000-0000-00003CB60000}"/>
    <cellStyle name="Migliaia 32 4 2 2" xfId="18329" xr:uid="{00000000-0005-0000-0000-00003DB60000}"/>
    <cellStyle name="Migliaia 32 4 2 2 2" xfId="33796" xr:uid="{00000000-0005-0000-0000-00003EB60000}"/>
    <cellStyle name="Migliaia 32 4 2 2 2 2" xfId="55280" xr:uid="{00000000-0005-0000-0000-00003FB60000}"/>
    <cellStyle name="Migliaia 32 4 2 2 3" xfId="48757" xr:uid="{00000000-0005-0000-0000-000040B60000}"/>
    <cellStyle name="Migliaia 32 4 2 2 3 2" xfId="56202" xr:uid="{00000000-0005-0000-0000-000041B60000}"/>
    <cellStyle name="Migliaia 32 4 2 2 4" xfId="52925" xr:uid="{00000000-0005-0000-0000-000042B60000}"/>
    <cellStyle name="Migliaia 32 4 2 3" xfId="33321" xr:uid="{00000000-0005-0000-0000-000043B60000}"/>
    <cellStyle name="Migliaia 32 4 2 3 2" xfId="54871" xr:uid="{00000000-0005-0000-0000-000044B60000}"/>
    <cellStyle name="Migliaia 32 4 2 4" xfId="48282" xr:uid="{00000000-0005-0000-0000-000045B60000}"/>
    <cellStyle name="Migliaia 32 4 2 4 2" xfId="55727" xr:uid="{00000000-0005-0000-0000-000046B60000}"/>
    <cellStyle name="Migliaia 32 4 2 5" xfId="52445" xr:uid="{00000000-0005-0000-0000-000047B60000}"/>
    <cellStyle name="Migliaia 32 4 3" xfId="18328" xr:uid="{00000000-0005-0000-0000-000048B60000}"/>
    <cellStyle name="Migliaia 32 4 3 2" xfId="33795" xr:uid="{00000000-0005-0000-0000-000049B60000}"/>
    <cellStyle name="Migliaia 32 4 3 2 2" xfId="55279" xr:uid="{00000000-0005-0000-0000-00004AB60000}"/>
    <cellStyle name="Migliaia 32 4 3 3" xfId="48756" xr:uid="{00000000-0005-0000-0000-00004BB60000}"/>
    <cellStyle name="Migliaia 32 4 3 3 2" xfId="56201" xr:uid="{00000000-0005-0000-0000-00004CB60000}"/>
    <cellStyle name="Migliaia 32 4 3 4" xfId="52924" xr:uid="{00000000-0005-0000-0000-00004DB60000}"/>
    <cellStyle name="Migliaia 32 4 4" xfId="17205" xr:uid="{00000000-0005-0000-0000-00004EB60000}"/>
    <cellStyle name="Migliaia 32 4 4 2" xfId="33320" xr:uid="{00000000-0005-0000-0000-00004FB60000}"/>
    <cellStyle name="Migliaia 32 4 4 3" xfId="48281" xr:uid="{00000000-0005-0000-0000-000050B60000}"/>
    <cellStyle name="Migliaia 32 4 4 4" xfId="54870" xr:uid="{00000000-0005-0000-0000-000051B60000}"/>
    <cellStyle name="Migliaia 32 4 5" xfId="51276" xr:uid="{00000000-0005-0000-0000-000052B60000}"/>
    <cellStyle name="Migliaia 32 4 5 2" xfId="55726" xr:uid="{00000000-0005-0000-0000-000053B60000}"/>
    <cellStyle name="Migliaia 32 4 6" xfId="52444" xr:uid="{00000000-0005-0000-0000-000054B60000}"/>
    <cellStyle name="Migliaia 32 5" xfId="9267" xr:uid="{00000000-0005-0000-0000-000055B60000}"/>
    <cellStyle name="Migliaia 32 5 2" xfId="17207" xr:uid="{00000000-0005-0000-0000-000056B60000}"/>
    <cellStyle name="Migliaia 32 5 2 2" xfId="33322" xr:uid="{00000000-0005-0000-0000-000057B60000}"/>
    <cellStyle name="Migliaia 32 5 2 3" xfId="48283" xr:uid="{00000000-0005-0000-0000-000058B60000}"/>
    <cellStyle name="Migliaia 32 5 2 4" xfId="54872" xr:uid="{00000000-0005-0000-0000-000059B60000}"/>
    <cellStyle name="Migliaia 32 5 3" xfId="51039" xr:uid="{00000000-0005-0000-0000-00005AB60000}"/>
    <cellStyle name="Migliaia 32 5 3 2" xfId="55728" xr:uid="{00000000-0005-0000-0000-00005BB60000}"/>
    <cellStyle name="Migliaia 32 5 4" xfId="52446" xr:uid="{00000000-0005-0000-0000-00005CB60000}"/>
    <cellStyle name="Migliaia 32 6" xfId="9262" xr:uid="{00000000-0005-0000-0000-00005DB60000}"/>
    <cellStyle name="Migliaia 32 6 2" xfId="50973" xr:uid="{00000000-0005-0000-0000-00005EB60000}"/>
    <cellStyle name="Migliaia 32 6 3" xfId="54610" xr:uid="{00000000-0005-0000-0000-00005FB60000}"/>
    <cellStyle name="Migliaia 32 7" xfId="9895" xr:uid="{00000000-0005-0000-0000-000060B60000}"/>
    <cellStyle name="Migliaia 32 7 2" xfId="26220" xr:uid="{00000000-0005-0000-0000-000061B60000}"/>
    <cellStyle name="Migliaia 32 7 3" xfId="41198" xr:uid="{00000000-0005-0000-0000-000062B60000}"/>
    <cellStyle name="Migliaia 32 7 4" xfId="55721" xr:uid="{00000000-0005-0000-0000-000063B60000}"/>
    <cellStyle name="Migliaia 32 8" xfId="17200" xr:uid="{00000000-0005-0000-0000-000064B60000}"/>
    <cellStyle name="Migliaia 32 8 2" xfId="33315" xr:uid="{00000000-0005-0000-0000-000065B60000}"/>
    <cellStyle name="Migliaia 32 8 3" xfId="48276" xr:uid="{00000000-0005-0000-0000-000066B60000}"/>
    <cellStyle name="Migliaia 32 9" xfId="19201" xr:uid="{00000000-0005-0000-0000-000067B60000}"/>
    <cellStyle name="Migliaia 33" xfId="389" xr:uid="{00000000-0005-0000-0000-000068B60000}"/>
    <cellStyle name="Migliaia 33 10" xfId="34200" xr:uid="{00000000-0005-0000-0000-000069B60000}"/>
    <cellStyle name="Migliaia 33 11" xfId="49140" xr:uid="{00000000-0005-0000-0000-00006AB60000}"/>
    <cellStyle name="Migliaia 33 12" xfId="49545" xr:uid="{00000000-0005-0000-0000-00006BB60000}"/>
    <cellStyle name="Migliaia 33 13" xfId="49951" xr:uid="{00000000-0005-0000-0000-00006CB60000}"/>
    <cellStyle name="Migliaia 33 14" xfId="50359" xr:uid="{00000000-0005-0000-0000-00006DB60000}"/>
    <cellStyle name="Migliaia 33 15" xfId="50801" xr:uid="{00000000-0005-0000-0000-00006EB60000}"/>
    <cellStyle name="Migliaia 33 16" xfId="51520" xr:uid="{00000000-0005-0000-0000-00006FB60000}"/>
    <cellStyle name="Migliaia 33 17" xfId="51932" xr:uid="{00000000-0005-0000-0000-000070B60000}"/>
    <cellStyle name="Migliaia 33 18" xfId="52447" xr:uid="{00000000-0005-0000-0000-000071B60000}"/>
    <cellStyle name="Migliaia 33 2" xfId="390" xr:uid="{00000000-0005-0000-0000-000072B60000}"/>
    <cellStyle name="Migliaia 33 2 10" xfId="49952" xr:uid="{00000000-0005-0000-0000-000073B60000}"/>
    <cellStyle name="Migliaia 33 2 11" xfId="50360" xr:uid="{00000000-0005-0000-0000-000074B60000}"/>
    <cellStyle name="Migliaia 33 2 12" xfId="50802" xr:uid="{00000000-0005-0000-0000-000075B60000}"/>
    <cellStyle name="Migliaia 33 2 13" xfId="51521" xr:uid="{00000000-0005-0000-0000-000076B60000}"/>
    <cellStyle name="Migliaia 33 2 14" xfId="51933" xr:uid="{00000000-0005-0000-0000-000077B60000}"/>
    <cellStyle name="Migliaia 33 2 15" xfId="52448" xr:uid="{00000000-0005-0000-0000-000078B60000}"/>
    <cellStyle name="Migliaia 33 2 2" xfId="1270" xr:uid="{00000000-0005-0000-0000-000079B60000}"/>
    <cellStyle name="Migliaia 33 2 2 10" xfId="51122" xr:uid="{00000000-0005-0000-0000-00007AB60000}"/>
    <cellStyle name="Migliaia 33 2 2 11" xfId="51718" xr:uid="{00000000-0005-0000-0000-00007BB60000}"/>
    <cellStyle name="Migliaia 33 2 2 12" xfId="52138" xr:uid="{00000000-0005-0000-0000-00007CB60000}"/>
    <cellStyle name="Migliaia 33 2 2 13" xfId="52926" xr:uid="{00000000-0005-0000-0000-00007DB60000}"/>
    <cellStyle name="Migliaia 33 2 2 2" xfId="10097" xr:uid="{00000000-0005-0000-0000-00007EB60000}"/>
    <cellStyle name="Migliaia 33 2 2 2 2" xfId="26417" xr:uid="{00000000-0005-0000-0000-00007FB60000}"/>
    <cellStyle name="Migliaia 33 2 2 2 3" xfId="41385" xr:uid="{00000000-0005-0000-0000-000080B60000}"/>
    <cellStyle name="Migliaia 33 2 2 2 4" xfId="55281" xr:uid="{00000000-0005-0000-0000-000081B60000}"/>
    <cellStyle name="Migliaia 33 2 2 3" xfId="18330" xr:uid="{00000000-0005-0000-0000-000082B60000}"/>
    <cellStyle name="Migliaia 33 2 2 3 2" xfId="33797" xr:uid="{00000000-0005-0000-0000-000083B60000}"/>
    <cellStyle name="Migliaia 33 2 2 3 3" xfId="48758" xr:uid="{00000000-0005-0000-0000-000084B60000}"/>
    <cellStyle name="Migliaia 33 2 2 3 4" xfId="56203" xr:uid="{00000000-0005-0000-0000-000085B60000}"/>
    <cellStyle name="Migliaia 33 2 2 4" xfId="19396" xr:uid="{00000000-0005-0000-0000-000086B60000}"/>
    <cellStyle name="Migliaia 33 2 2 5" xfId="34386" xr:uid="{00000000-0005-0000-0000-000087B60000}"/>
    <cellStyle name="Migliaia 33 2 2 6" xfId="49338" xr:uid="{00000000-0005-0000-0000-000088B60000}"/>
    <cellStyle name="Migliaia 33 2 2 7" xfId="49743" xr:uid="{00000000-0005-0000-0000-000089B60000}"/>
    <cellStyle name="Migliaia 33 2 2 8" xfId="50152" xr:uid="{00000000-0005-0000-0000-00008AB60000}"/>
    <cellStyle name="Migliaia 33 2 2 9" xfId="50557" xr:uid="{00000000-0005-0000-0000-00008BB60000}"/>
    <cellStyle name="Migliaia 33 2 3" xfId="9269" xr:uid="{00000000-0005-0000-0000-00008CB60000}"/>
    <cellStyle name="Migliaia 33 2 3 2" xfId="54675" xr:uid="{00000000-0005-0000-0000-00008DB60000}"/>
    <cellStyle name="Migliaia 33 2 4" xfId="9900" xr:uid="{00000000-0005-0000-0000-00008EB60000}"/>
    <cellStyle name="Migliaia 33 2 4 2" xfId="26225" xr:uid="{00000000-0005-0000-0000-00008FB60000}"/>
    <cellStyle name="Migliaia 33 2 4 3" xfId="41203" xr:uid="{00000000-0005-0000-0000-000090B60000}"/>
    <cellStyle name="Migliaia 33 2 4 4" xfId="55730" xr:uid="{00000000-0005-0000-0000-000091B60000}"/>
    <cellStyle name="Migliaia 33 2 5" xfId="17209" xr:uid="{00000000-0005-0000-0000-000092B60000}"/>
    <cellStyle name="Migliaia 33 2 5 2" xfId="33324" xr:uid="{00000000-0005-0000-0000-000093B60000}"/>
    <cellStyle name="Migliaia 33 2 5 3" xfId="48285" xr:uid="{00000000-0005-0000-0000-000094B60000}"/>
    <cellStyle name="Migliaia 33 2 6" xfId="19206" xr:uid="{00000000-0005-0000-0000-000095B60000}"/>
    <cellStyle name="Migliaia 33 2 7" xfId="34201" xr:uid="{00000000-0005-0000-0000-000096B60000}"/>
    <cellStyle name="Migliaia 33 2 8" xfId="49141" xr:uid="{00000000-0005-0000-0000-000097B60000}"/>
    <cellStyle name="Migliaia 33 2 9" xfId="49546" xr:uid="{00000000-0005-0000-0000-000098B60000}"/>
    <cellStyle name="Migliaia 33 3" xfId="391" xr:uid="{00000000-0005-0000-0000-000099B60000}"/>
    <cellStyle name="Migliaia 33 3 10" xfId="49953" xr:uid="{00000000-0005-0000-0000-00009AB60000}"/>
    <cellStyle name="Migliaia 33 3 11" xfId="50361" xr:uid="{00000000-0005-0000-0000-00009BB60000}"/>
    <cellStyle name="Migliaia 33 3 12" xfId="50803" xr:uid="{00000000-0005-0000-0000-00009CB60000}"/>
    <cellStyle name="Migliaia 33 3 13" xfId="51522" xr:uid="{00000000-0005-0000-0000-00009DB60000}"/>
    <cellStyle name="Migliaia 33 3 14" xfId="51934" xr:uid="{00000000-0005-0000-0000-00009EB60000}"/>
    <cellStyle name="Migliaia 33 3 15" xfId="52449" xr:uid="{00000000-0005-0000-0000-00009FB60000}"/>
    <cellStyle name="Migliaia 33 3 2" xfId="392" xr:uid="{00000000-0005-0000-0000-0000A0B60000}"/>
    <cellStyle name="Migliaia 33 3 2 10" xfId="50362" xr:uid="{00000000-0005-0000-0000-0000A1B60000}"/>
    <cellStyle name="Migliaia 33 3 2 11" xfId="50804" xr:uid="{00000000-0005-0000-0000-0000A2B60000}"/>
    <cellStyle name="Migliaia 33 3 2 12" xfId="51523" xr:uid="{00000000-0005-0000-0000-0000A3B60000}"/>
    <cellStyle name="Migliaia 33 3 2 13" xfId="51935" xr:uid="{00000000-0005-0000-0000-0000A4B60000}"/>
    <cellStyle name="Migliaia 33 3 2 14" xfId="52450" xr:uid="{00000000-0005-0000-0000-0000A5B60000}"/>
    <cellStyle name="Migliaia 33 3 2 2" xfId="9271" xr:uid="{00000000-0005-0000-0000-0000A6B60000}"/>
    <cellStyle name="Migliaia 33 3 2 2 2" xfId="54874" xr:uid="{00000000-0005-0000-0000-0000A7B60000}"/>
    <cellStyle name="Migliaia 33 3 2 3" xfId="9902" xr:uid="{00000000-0005-0000-0000-0000A8B60000}"/>
    <cellStyle name="Migliaia 33 3 2 3 2" xfId="26227" xr:uid="{00000000-0005-0000-0000-0000A9B60000}"/>
    <cellStyle name="Migliaia 33 3 2 3 3" xfId="41205" xr:uid="{00000000-0005-0000-0000-0000AAB60000}"/>
    <cellStyle name="Migliaia 33 3 2 3 4" xfId="55732" xr:uid="{00000000-0005-0000-0000-0000ABB60000}"/>
    <cellStyle name="Migliaia 33 3 2 4" xfId="17211" xr:uid="{00000000-0005-0000-0000-0000ACB60000}"/>
    <cellStyle name="Migliaia 33 3 2 4 2" xfId="33326" xr:uid="{00000000-0005-0000-0000-0000ADB60000}"/>
    <cellStyle name="Migliaia 33 3 2 4 3" xfId="48287" xr:uid="{00000000-0005-0000-0000-0000AEB60000}"/>
    <cellStyle name="Migliaia 33 3 2 5" xfId="19208" xr:uid="{00000000-0005-0000-0000-0000AFB60000}"/>
    <cellStyle name="Migliaia 33 3 2 6" xfId="34203" xr:uid="{00000000-0005-0000-0000-0000B0B60000}"/>
    <cellStyle name="Migliaia 33 3 2 7" xfId="49143" xr:uid="{00000000-0005-0000-0000-0000B1B60000}"/>
    <cellStyle name="Migliaia 33 3 2 8" xfId="49548" xr:uid="{00000000-0005-0000-0000-0000B2B60000}"/>
    <cellStyle name="Migliaia 33 3 2 9" xfId="49954" xr:uid="{00000000-0005-0000-0000-0000B3B60000}"/>
    <cellStyle name="Migliaia 33 3 3" xfId="9270" xr:uid="{00000000-0005-0000-0000-0000B4B60000}"/>
    <cellStyle name="Migliaia 33 3 3 2" xfId="18332" xr:uid="{00000000-0005-0000-0000-0000B5B60000}"/>
    <cellStyle name="Migliaia 33 3 3 2 2" xfId="33799" xr:uid="{00000000-0005-0000-0000-0000B6B60000}"/>
    <cellStyle name="Migliaia 33 3 3 2 2 2" xfId="55283" xr:uid="{00000000-0005-0000-0000-0000B7B60000}"/>
    <cellStyle name="Migliaia 33 3 3 2 3" xfId="48760" xr:uid="{00000000-0005-0000-0000-0000B8B60000}"/>
    <cellStyle name="Migliaia 33 3 3 2 3 2" xfId="56205" xr:uid="{00000000-0005-0000-0000-0000B9B60000}"/>
    <cellStyle name="Migliaia 33 3 3 2 4" xfId="52928" xr:uid="{00000000-0005-0000-0000-0000BAB60000}"/>
    <cellStyle name="Migliaia 33 3 3 3" xfId="17212" xr:uid="{00000000-0005-0000-0000-0000BBB60000}"/>
    <cellStyle name="Migliaia 33 3 3 3 2" xfId="33327" xr:uid="{00000000-0005-0000-0000-0000BCB60000}"/>
    <cellStyle name="Migliaia 33 3 3 3 3" xfId="48288" xr:uid="{00000000-0005-0000-0000-0000BDB60000}"/>
    <cellStyle name="Migliaia 33 3 3 3 4" xfId="54875" xr:uid="{00000000-0005-0000-0000-0000BEB60000}"/>
    <cellStyle name="Migliaia 33 3 3 4" xfId="55733" xr:uid="{00000000-0005-0000-0000-0000BFB60000}"/>
    <cellStyle name="Migliaia 33 3 3 5" xfId="52451" xr:uid="{00000000-0005-0000-0000-0000C0B60000}"/>
    <cellStyle name="Migliaia 33 3 4" xfId="9901" xr:uid="{00000000-0005-0000-0000-0000C1B60000}"/>
    <cellStyle name="Migliaia 33 3 4 2" xfId="18331" xr:uid="{00000000-0005-0000-0000-0000C2B60000}"/>
    <cellStyle name="Migliaia 33 3 4 2 2" xfId="33798" xr:uid="{00000000-0005-0000-0000-0000C3B60000}"/>
    <cellStyle name="Migliaia 33 3 4 2 3" xfId="48759" xr:uid="{00000000-0005-0000-0000-0000C4B60000}"/>
    <cellStyle name="Migliaia 33 3 4 2 4" xfId="55282" xr:uid="{00000000-0005-0000-0000-0000C5B60000}"/>
    <cellStyle name="Migliaia 33 3 4 3" xfId="26226" xr:uid="{00000000-0005-0000-0000-0000C6B60000}"/>
    <cellStyle name="Migliaia 33 3 4 3 2" xfId="56204" xr:uid="{00000000-0005-0000-0000-0000C7B60000}"/>
    <cellStyle name="Migliaia 33 3 4 4" xfId="41204" xr:uid="{00000000-0005-0000-0000-0000C8B60000}"/>
    <cellStyle name="Migliaia 33 3 4 5" xfId="52927" xr:uid="{00000000-0005-0000-0000-0000C9B60000}"/>
    <cellStyle name="Migliaia 33 3 5" xfId="17210" xr:uid="{00000000-0005-0000-0000-0000CAB60000}"/>
    <cellStyle name="Migliaia 33 3 5 2" xfId="33325" xr:uid="{00000000-0005-0000-0000-0000CBB60000}"/>
    <cellStyle name="Migliaia 33 3 5 3" xfId="48286" xr:uid="{00000000-0005-0000-0000-0000CCB60000}"/>
    <cellStyle name="Migliaia 33 3 5 4" xfId="54873" xr:uid="{00000000-0005-0000-0000-0000CDB60000}"/>
    <cellStyle name="Migliaia 33 3 6" xfId="19207" xr:uid="{00000000-0005-0000-0000-0000CEB60000}"/>
    <cellStyle name="Migliaia 33 3 6 2" xfId="55731" xr:uid="{00000000-0005-0000-0000-0000CFB60000}"/>
    <cellStyle name="Migliaia 33 3 7" xfId="34202" xr:uid="{00000000-0005-0000-0000-0000D0B60000}"/>
    <cellStyle name="Migliaia 33 3 8" xfId="49142" xr:uid="{00000000-0005-0000-0000-0000D1B60000}"/>
    <cellStyle name="Migliaia 33 3 9" xfId="49547" xr:uid="{00000000-0005-0000-0000-0000D2B60000}"/>
    <cellStyle name="Migliaia 33 4" xfId="9272" xr:uid="{00000000-0005-0000-0000-0000D3B60000}"/>
    <cellStyle name="Migliaia 33 4 2" xfId="17214" xr:uid="{00000000-0005-0000-0000-0000D4B60000}"/>
    <cellStyle name="Migliaia 33 4 2 2" xfId="18334" xr:uid="{00000000-0005-0000-0000-0000D5B60000}"/>
    <cellStyle name="Migliaia 33 4 2 2 2" xfId="33801" xr:uid="{00000000-0005-0000-0000-0000D6B60000}"/>
    <cellStyle name="Migliaia 33 4 2 2 2 2" xfId="55285" xr:uid="{00000000-0005-0000-0000-0000D7B60000}"/>
    <cellStyle name="Migliaia 33 4 2 2 3" xfId="48762" xr:uid="{00000000-0005-0000-0000-0000D8B60000}"/>
    <cellStyle name="Migliaia 33 4 2 2 3 2" xfId="56207" xr:uid="{00000000-0005-0000-0000-0000D9B60000}"/>
    <cellStyle name="Migliaia 33 4 2 2 4" xfId="52930" xr:uid="{00000000-0005-0000-0000-0000DAB60000}"/>
    <cellStyle name="Migliaia 33 4 2 3" xfId="33329" xr:uid="{00000000-0005-0000-0000-0000DBB60000}"/>
    <cellStyle name="Migliaia 33 4 2 3 2" xfId="54877" xr:uid="{00000000-0005-0000-0000-0000DCB60000}"/>
    <cellStyle name="Migliaia 33 4 2 4" xfId="48290" xr:uid="{00000000-0005-0000-0000-0000DDB60000}"/>
    <cellStyle name="Migliaia 33 4 2 4 2" xfId="55735" xr:uid="{00000000-0005-0000-0000-0000DEB60000}"/>
    <cellStyle name="Migliaia 33 4 2 5" xfId="52453" xr:uid="{00000000-0005-0000-0000-0000DFB60000}"/>
    <cellStyle name="Migliaia 33 4 3" xfId="18333" xr:uid="{00000000-0005-0000-0000-0000E0B60000}"/>
    <cellStyle name="Migliaia 33 4 3 2" xfId="33800" xr:uid="{00000000-0005-0000-0000-0000E1B60000}"/>
    <cellStyle name="Migliaia 33 4 3 2 2" xfId="55284" xr:uid="{00000000-0005-0000-0000-0000E2B60000}"/>
    <cellStyle name="Migliaia 33 4 3 3" xfId="48761" xr:uid="{00000000-0005-0000-0000-0000E3B60000}"/>
    <cellStyle name="Migliaia 33 4 3 3 2" xfId="56206" xr:uid="{00000000-0005-0000-0000-0000E4B60000}"/>
    <cellStyle name="Migliaia 33 4 3 4" xfId="52929" xr:uid="{00000000-0005-0000-0000-0000E5B60000}"/>
    <cellStyle name="Migliaia 33 4 4" xfId="17213" xr:uid="{00000000-0005-0000-0000-0000E6B60000}"/>
    <cellStyle name="Migliaia 33 4 4 2" xfId="33328" xr:uid="{00000000-0005-0000-0000-0000E7B60000}"/>
    <cellStyle name="Migliaia 33 4 4 3" xfId="48289" xr:uid="{00000000-0005-0000-0000-0000E8B60000}"/>
    <cellStyle name="Migliaia 33 4 4 4" xfId="54876" xr:uid="{00000000-0005-0000-0000-0000E9B60000}"/>
    <cellStyle name="Migliaia 33 4 5" xfId="51038" xr:uid="{00000000-0005-0000-0000-0000EAB60000}"/>
    <cellStyle name="Migliaia 33 4 5 2" xfId="55734" xr:uid="{00000000-0005-0000-0000-0000EBB60000}"/>
    <cellStyle name="Migliaia 33 4 6" xfId="52452" xr:uid="{00000000-0005-0000-0000-0000ECB60000}"/>
    <cellStyle name="Migliaia 33 5" xfId="9273" xr:uid="{00000000-0005-0000-0000-0000EDB60000}"/>
    <cellStyle name="Migliaia 33 5 2" xfId="17215" xr:uid="{00000000-0005-0000-0000-0000EEB60000}"/>
    <cellStyle name="Migliaia 33 5 2 2" xfId="33330" xr:uid="{00000000-0005-0000-0000-0000EFB60000}"/>
    <cellStyle name="Migliaia 33 5 2 3" xfId="48291" xr:uid="{00000000-0005-0000-0000-0000F0B60000}"/>
    <cellStyle name="Migliaia 33 5 2 4" xfId="54878" xr:uid="{00000000-0005-0000-0000-0000F1B60000}"/>
    <cellStyle name="Migliaia 33 5 3" xfId="51277" xr:uid="{00000000-0005-0000-0000-0000F2B60000}"/>
    <cellStyle name="Migliaia 33 5 3 2" xfId="55736" xr:uid="{00000000-0005-0000-0000-0000F3B60000}"/>
    <cellStyle name="Migliaia 33 5 4" xfId="52454" xr:uid="{00000000-0005-0000-0000-0000F4B60000}"/>
    <cellStyle name="Migliaia 33 6" xfId="9268" xr:uid="{00000000-0005-0000-0000-0000F5B60000}"/>
    <cellStyle name="Migliaia 33 6 2" xfId="51241" xr:uid="{00000000-0005-0000-0000-0000F6B60000}"/>
    <cellStyle name="Migliaia 33 6 3" xfId="54611" xr:uid="{00000000-0005-0000-0000-0000F7B60000}"/>
    <cellStyle name="Migliaia 33 7" xfId="9899" xr:uid="{00000000-0005-0000-0000-0000F8B60000}"/>
    <cellStyle name="Migliaia 33 7 2" xfId="26224" xr:uid="{00000000-0005-0000-0000-0000F9B60000}"/>
    <cellStyle name="Migliaia 33 7 3" xfId="41202" xr:uid="{00000000-0005-0000-0000-0000FAB60000}"/>
    <cellStyle name="Migliaia 33 7 4" xfId="55729" xr:uid="{00000000-0005-0000-0000-0000FBB60000}"/>
    <cellStyle name="Migliaia 33 8" xfId="17208" xr:uid="{00000000-0005-0000-0000-0000FCB60000}"/>
    <cellStyle name="Migliaia 33 8 2" xfId="33323" xr:uid="{00000000-0005-0000-0000-0000FDB60000}"/>
    <cellStyle name="Migliaia 33 8 3" xfId="48284" xr:uid="{00000000-0005-0000-0000-0000FEB60000}"/>
    <cellStyle name="Migliaia 33 9" xfId="19205" xr:uid="{00000000-0005-0000-0000-0000FFB60000}"/>
    <cellStyle name="Migliaia 34" xfId="393" xr:uid="{00000000-0005-0000-0000-000000B70000}"/>
    <cellStyle name="Migliaia 34 10" xfId="34204" xr:uid="{00000000-0005-0000-0000-000001B70000}"/>
    <cellStyle name="Migliaia 34 11" xfId="49144" xr:uid="{00000000-0005-0000-0000-000002B70000}"/>
    <cellStyle name="Migliaia 34 12" xfId="49549" xr:uid="{00000000-0005-0000-0000-000003B70000}"/>
    <cellStyle name="Migliaia 34 13" xfId="49955" xr:uid="{00000000-0005-0000-0000-000004B70000}"/>
    <cellStyle name="Migliaia 34 14" xfId="50363" xr:uid="{00000000-0005-0000-0000-000005B70000}"/>
    <cellStyle name="Migliaia 34 15" xfId="50805" xr:uid="{00000000-0005-0000-0000-000006B70000}"/>
    <cellStyle name="Migliaia 34 16" xfId="51524" xr:uid="{00000000-0005-0000-0000-000007B70000}"/>
    <cellStyle name="Migliaia 34 17" xfId="51936" xr:uid="{00000000-0005-0000-0000-000008B70000}"/>
    <cellStyle name="Migliaia 34 18" xfId="52455" xr:uid="{00000000-0005-0000-0000-000009B70000}"/>
    <cellStyle name="Migliaia 34 2" xfId="394" xr:uid="{00000000-0005-0000-0000-00000AB70000}"/>
    <cellStyle name="Migliaia 34 2 10" xfId="49956" xr:uid="{00000000-0005-0000-0000-00000BB70000}"/>
    <cellStyle name="Migliaia 34 2 11" xfId="50364" xr:uid="{00000000-0005-0000-0000-00000CB70000}"/>
    <cellStyle name="Migliaia 34 2 12" xfId="50806" xr:uid="{00000000-0005-0000-0000-00000DB70000}"/>
    <cellStyle name="Migliaia 34 2 13" xfId="51525" xr:uid="{00000000-0005-0000-0000-00000EB70000}"/>
    <cellStyle name="Migliaia 34 2 14" xfId="51937" xr:uid="{00000000-0005-0000-0000-00000FB70000}"/>
    <cellStyle name="Migliaia 34 2 15" xfId="52456" xr:uid="{00000000-0005-0000-0000-000010B70000}"/>
    <cellStyle name="Migliaia 34 2 2" xfId="1271" xr:uid="{00000000-0005-0000-0000-000011B70000}"/>
    <cellStyle name="Migliaia 34 2 2 10" xfId="51123" xr:uid="{00000000-0005-0000-0000-000012B70000}"/>
    <cellStyle name="Migliaia 34 2 2 11" xfId="51719" xr:uid="{00000000-0005-0000-0000-000013B70000}"/>
    <cellStyle name="Migliaia 34 2 2 12" xfId="52139" xr:uid="{00000000-0005-0000-0000-000014B70000}"/>
    <cellStyle name="Migliaia 34 2 2 13" xfId="52931" xr:uid="{00000000-0005-0000-0000-000015B70000}"/>
    <cellStyle name="Migliaia 34 2 2 2" xfId="10098" xr:uid="{00000000-0005-0000-0000-000016B70000}"/>
    <cellStyle name="Migliaia 34 2 2 2 2" xfId="26418" xr:uid="{00000000-0005-0000-0000-000017B70000}"/>
    <cellStyle name="Migliaia 34 2 2 2 3" xfId="41386" xr:uid="{00000000-0005-0000-0000-000018B70000}"/>
    <cellStyle name="Migliaia 34 2 2 2 4" xfId="55286" xr:uid="{00000000-0005-0000-0000-000019B70000}"/>
    <cellStyle name="Migliaia 34 2 2 3" xfId="18335" xr:uid="{00000000-0005-0000-0000-00001AB70000}"/>
    <cellStyle name="Migliaia 34 2 2 3 2" xfId="33802" xr:uid="{00000000-0005-0000-0000-00001BB70000}"/>
    <cellStyle name="Migliaia 34 2 2 3 3" xfId="48763" xr:uid="{00000000-0005-0000-0000-00001CB70000}"/>
    <cellStyle name="Migliaia 34 2 2 3 4" xfId="56208" xr:uid="{00000000-0005-0000-0000-00001DB70000}"/>
    <cellStyle name="Migliaia 34 2 2 4" xfId="19397" xr:uid="{00000000-0005-0000-0000-00001EB70000}"/>
    <cellStyle name="Migliaia 34 2 2 5" xfId="34387" xr:uid="{00000000-0005-0000-0000-00001FB70000}"/>
    <cellStyle name="Migliaia 34 2 2 6" xfId="49339" xr:uid="{00000000-0005-0000-0000-000020B70000}"/>
    <cellStyle name="Migliaia 34 2 2 7" xfId="49744" xr:uid="{00000000-0005-0000-0000-000021B70000}"/>
    <cellStyle name="Migliaia 34 2 2 8" xfId="50153" xr:uid="{00000000-0005-0000-0000-000022B70000}"/>
    <cellStyle name="Migliaia 34 2 2 9" xfId="50558" xr:uid="{00000000-0005-0000-0000-000023B70000}"/>
    <cellStyle name="Migliaia 34 2 3" xfId="9275" xr:uid="{00000000-0005-0000-0000-000024B70000}"/>
    <cellStyle name="Migliaia 34 2 3 2" xfId="54676" xr:uid="{00000000-0005-0000-0000-000025B70000}"/>
    <cellStyle name="Migliaia 34 2 4" xfId="9904" xr:uid="{00000000-0005-0000-0000-000026B70000}"/>
    <cellStyle name="Migliaia 34 2 4 2" xfId="26229" xr:uid="{00000000-0005-0000-0000-000027B70000}"/>
    <cellStyle name="Migliaia 34 2 4 3" xfId="41207" xr:uid="{00000000-0005-0000-0000-000028B70000}"/>
    <cellStyle name="Migliaia 34 2 4 4" xfId="55738" xr:uid="{00000000-0005-0000-0000-000029B70000}"/>
    <cellStyle name="Migliaia 34 2 5" xfId="17217" xr:uid="{00000000-0005-0000-0000-00002AB70000}"/>
    <cellStyle name="Migliaia 34 2 5 2" xfId="33332" xr:uid="{00000000-0005-0000-0000-00002BB70000}"/>
    <cellStyle name="Migliaia 34 2 5 3" xfId="48293" xr:uid="{00000000-0005-0000-0000-00002CB70000}"/>
    <cellStyle name="Migliaia 34 2 6" xfId="19210" xr:uid="{00000000-0005-0000-0000-00002DB70000}"/>
    <cellStyle name="Migliaia 34 2 7" xfId="34205" xr:uid="{00000000-0005-0000-0000-00002EB70000}"/>
    <cellStyle name="Migliaia 34 2 8" xfId="49145" xr:uid="{00000000-0005-0000-0000-00002FB70000}"/>
    <cellStyle name="Migliaia 34 2 9" xfId="49550" xr:uid="{00000000-0005-0000-0000-000030B70000}"/>
    <cellStyle name="Migliaia 34 3" xfId="395" xr:uid="{00000000-0005-0000-0000-000031B70000}"/>
    <cellStyle name="Migliaia 34 3 10" xfId="49957" xr:uid="{00000000-0005-0000-0000-000032B70000}"/>
    <cellStyle name="Migliaia 34 3 11" xfId="50365" xr:uid="{00000000-0005-0000-0000-000033B70000}"/>
    <cellStyle name="Migliaia 34 3 12" xfId="50807" xr:uid="{00000000-0005-0000-0000-000034B70000}"/>
    <cellStyle name="Migliaia 34 3 13" xfId="51526" xr:uid="{00000000-0005-0000-0000-000035B70000}"/>
    <cellStyle name="Migliaia 34 3 14" xfId="51938" xr:uid="{00000000-0005-0000-0000-000036B70000}"/>
    <cellStyle name="Migliaia 34 3 15" xfId="52457" xr:uid="{00000000-0005-0000-0000-000037B70000}"/>
    <cellStyle name="Migliaia 34 3 2" xfId="396" xr:uid="{00000000-0005-0000-0000-000038B70000}"/>
    <cellStyle name="Migliaia 34 3 2 10" xfId="50366" xr:uid="{00000000-0005-0000-0000-000039B70000}"/>
    <cellStyle name="Migliaia 34 3 2 11" xfId="50808" xr:uid="{00000000-0005-0000-0000-00003AB70000}"/>
    <cellStyle name="Migliaia 34 3 2 12" xfId="51527" xr:uid="{00000000-0005-0000-0000-00003BB70000}"/>
    <cellStyle name="Migliaia 34 3 2 13" xfId="51939" xr:uid="{00000000-0005-0000-0000-00003CB70000}"/>
    <cellStyle name="Migliaia 34 3 2 14" xfId="52458" xr:uid="{00000000-0005-0000-0000-00003DB70000}"/>
    <cellStyle name="Migliaia 34 3 2 2" xfId="9277" xr:uid="{00000000-0005-0000-0000-00003EB70000}"/>
    <cellStyle name="Migliaia 34 3 2 2 2" xfId="54880" xr:uid="{00000000-0005-0000-0000-00003FB70000}"/>
    <cellStyle name="Migliaia 34 3 2 3" xfId="9906" xr:uid="{00000000-0005-0000-0000-000040B70000}"/>
    <cellStyle name="Migliaia 34 3 2 3 2" xfId="26231" xr:uid="{00000000-0005-0000-0000-000041B70000}"/>
    <cellStyle name="Migliaia 34 3 2 3 3" xfId="41209" xr:uid="{00000000-0005-0000-0000-000042B70000}"/>
    <cellStyle name="Migliaia 34 3 2 3 4" xfId="55740" xr:uid="{00000000-0005-0000-0000-000043B70000}"/>
    <cellStyle name="Migliaia 34 3 2 4" xfId="17219" xr:uid="{00000000-0005-0000-0000-000044B70000}"/>
    <cellStyle name="Migliaia 34 3 2 4 2" xfId="33334" xr:uid="{00000000-0005-0000-0000-000045B70000}"/>
    <cellStyle name="Migliaia 34 3 2 4 3" xfId="48295" xr:uid="{00000000-0005-0000-0000-000046B70000}"/>
    <cellStyle name="Migliaia 34 3 2 5" xfId="19212" xr:uid="{00000000-0005-0000-0000-000047B70000}"/>
    <cellStyle name="Migliaia 34 3 2 6" xfId="34207" xr:uid="{00000000-0005-0000-0000-000048B70000}"/>
    <cellStyle name="Migliaia 34 3 2 7" xfId="49147" xr:uid="{00000000-0005-0000-0000-000049B70000}"/>
    <cellStyle name="Migliaia 34 3 2 8" xfId="49552" xr:uid="{00000000-0005-0000-0000-00004AB70000}"/>
    <cellStyle name="Migliaia 34 3 2 9" xfId="49958" xr:uid="{00000000-0005-0000-0000-00004BB70000}"/>
    <cellStyle name="Migliaia 34 3 3" xfId="9276" xr:uid="{00000000-0005-0000-0000-00004CB70000}"/>
    <cellStyle name="Migliaia 34 3 3 2" xfId="18337" xr:uid="{00000000-0005-0000-0000-00004DB70000}"/>
    <cellStyle name="Migliaia 34 3 3 2 2" xfId="33804" xr:uid="{00000000-0005-0000-0000-00004EB70000}"/>
    <cellStyle name="Migliaia 34 3 3 2 2 2" xfId="55288" xr:uid="{00000000-0005-0000-0000-00004FB70000}"/>
    <cellStyle name="Migliaia 34 3 3 2 3" xfId="48765" xr:uid="{00000000-0005-0000-0000-000050B70000}"/>
    <cellStyle name="Migliaia 34 3 3 2 3 2" xfId="56210" xr:uid="{00000000-0005-0000-0000-000051B70000}"/>
    <cellStyle name="Migliaia 34 3 3 2 4" xfId="52933" xr:uid="{00000000-0005-0000-0000-000052B70000}"/>
    <cellStyle name="Migliaia 34 3 3 3" xfId="17220" xr:uid="{00000000-0005-0000-0000-000053B70000}"/>
    <cellStyle name="Migliaia 34 3 3 3 2" xfId="33335" xr:uid="{00000000-0005-0000-0000-000054B70000}"/>
    <cellStyle name="Migliaia 34 3 3 3 3" xfId="48296" xr:uid="{00000000-0005-0000-0000-000055B70000}"/>
    <cellStyle name="Migliaia 34 3 3 3 4" xfId="54881" xr:uid="{00000000-0005-0000-0000-000056B70000}"/>
    <cellStyle name="Migliaia 34 3 3 4" xfId="55741" xr:uid="{00000000-0005-0000-0000-000057B70000}"/>
    <cellStyle name="Migliaia 34 3 3 5" xfId="52459" xr:uid="{00000000-0005-0000-0000-000058B70000}"/>
    <cellStyle name="Migliaia 34 3 4" xfId="9905" xr:uid="{00000000-0005-0000-0000-000059B70000}"/>
    <cellStyle name="Migliaia 34 3 4 2" xfId="18336" xr:uid="{00000000-0005-0000-0000-00005AB70000}"/>
    <cellStyle name="Migliaia 34 3 4 2 2" xfId="33803" xr:uid="{00000000-0005-0000-0000-00005BB70000}"/>
    <cellStyle name="Migliaia 34 3 4 2 3" xfId="48764" xr:uid="{00000000-0005-0000-0000-00005CB70000}"/>
    <cellStyle name="Migliaia 34 3 4 2 4" xfId="55287" xr:uid="{00000000-0005-0000-0000-00005DB70000}"/>
    <cellStyle name="Migliaia 34 3 4 3" xfId="26230" xr:uid="{00000000-0005-0000-0000-00005EB70000}"/>
    <cellStyle name="Migliaia 34 3 4 3 2" xfId="56209" xr:uid="{00000000-0005-0000-0000-00005FB70000}"/>
    <cellStyle name="Migliaia 34 3 4 4" xfId="41208" xr:uid="{00000000-0005-0000-0000-000060B70000}"/>
    <cellStyle name="Migliaia 34 3 4 5" xfId="52932" xr:uid="{00000000-0005-0000-0000-000061B70000}"/>
    <cellStyle name="Migliaia 34 3 5" xfId="17218" xr:uid="{00000000-0005-0000-0000-000062B70000}"/>
    <cellStyle name="Migliaia 34 3 5 2" xfId="33333" xr:uid="{00000000-0005-0000-0000-000063B70000}"/>
    <cellStyle name="Migliaia 34 3 5 3" xfId="48294" xr:uid="{00000000-0005-0000-0000-000064B70000}"/>
    <cellStyle name="Migliaia 34 3 5 4" xfId="54879" xr:uid="{00000000-0005-0000-0000-000065B70000}"/>
    <cellStyle name="Migliaia 34 3 6" xfId="19211" xr:uid="{00000000-0005-0000-0000-000066B70000}"/>
    <cellStyle name="Migliaia 34 3 6 2" xfId="55739" xr:uid="{00000000-0005-0000-0000-000067B70000}"/>
    <cellStyle name="Migliaia 34 3 7" xfId="34206" xr:uid="{00000000-0005-0000-0000-000068B70000}"/>
    <cellStyle name="Migliaia 34 3 8" xfId="49146" xr:uid="{00000000-0005-0000-0000-000069B70000}"/>
    <cellStyle name="Migliaia 34 3 9" xfId="49551" xr:uid="{00000000-0005-0000-0000-00006AB70000}"/>
    <cellStyle name="Migliaia 34 4" xfId="9278" xr:uid="{00000000-0005-0000-0000-00006BB70000}"/>
    <cellStyle name="Migliaia 34 4 2" xfId="17222" xr:uid="{00000000-0005-0000-0000-00006CB70000}"/>
    <cellStyle name="Migliaia 34 4 2 2" xfId="18339" xr:uid="{00000000-0005-0000-0000-00006DB70000}"/>
    <cellStyle name="Migliaia 34 4 2 2 2" xfId="33806" xr:uid="{00000000-0005-0000-0000-00006EB70000}"/>
    <cellStyle name="Migliaia 34 4 2 2 2 2" xfId="55290" xr:uid="{00000000-0005-0000-0000-00006FB70000}"/>
    <cellStyle name="Migliaia 34 4 2 2 3" xfId="48767" xr:uid="{00000000-0005-0000-0000-000070B70000}"/>
    <cellStyle name="Migliaia 34 4 2 2 3 2" xfId="56212" xr:uid="{00000000-0005-0000-0000-000071B70000}"/>
    <cellStyle name="Migliaia 34 4 2 2 4" xfId="52935" xr:uid="{00000000-0005-0000-0000-000072B70000}"/>
    <cellStyle name="Migliaia 34 4 2 3" xfId="33337" xr:uid="{00000000-0005-0000-0000-000073B70000}"/>
    <cellStyle name="Migliaia 34 4 2 3 2" xfId="54883" xr:uid="{00000000-0005-0000-0000-000074B70000}"/>
    <cellStyle name="Migliaia 34 4 2 4" xfId="48298" xr:uid="{00000000-0005-0000-0000-000075B70000}"/>
    <cellStyle name="Migliaia 34 4 2 4 2" xfId="55743" xr:uid="{00000000-0005-0000-0000-000076B70000}"/>
    <cellStyle name="Migliaia 34 4 2 5" xfId="52461" xr:uid="{00000000-0005-0000-0000-000077B70000}"/>
    <cellStyle name="Migliaia 34 4 3" xfId="18338" xr:uid="{00000000-0005-0000-0000-000078B70000}"/>
    <cellStyle name="Migliaia 34 4 3 2" xfId="33805" xr:uid="{00000000-0005-0000-0000-000079B70000}"/>
    <cellStyle name="Migliaia 34 4 3 2 2" xfId="55289" xr:uid="{00000000-0005-0000-0000-00007AB70000}"/>
    <cellStyle name="Migliaia 34 4 3 3" xfId="48766" xr:uid="{00000000-0005-0000-0000-00007BB70000}"/>
    <cellStyle name="Migliaia 34 4 3 3 2" xfId="56211" xr:uid="{00000000-0005-0000-0000-00007CB70000}"/>
    <cellStyle name="Migliaia 34 4 3 4" xfId="52934" xr:uid="{00000000-0005-0000-0000-00007DB70000}"/>
    <cellStyle name="Migliaia 34 4 4" xfId="17221" xr:uid="{00000000-0005-0000-0000-00007EB70000}"/>
    <cellStyle name="Migliaia 34 4 4 2" xfId="33336" xr:uid="{00000000-0005-0000-0000-00007FB70000}"/>
    <cellStyle name="Migliaia 34 4 4 3" xfId="48297" xr:uid="{00000000-0005-0000-0000-000080B70000}"/>
    <cellStyle name="Migliaia 34 4 4 4" xfId="54882" xr:uid="{00000000-0005-0000-0000-000081B70000}"/>
    <cellStyle name="Migliaia 34 4 5" xfId="51037" xr:uid="{00000000-0005-0000-0000-000082B70000}"/>
    <cellStyle name="Migliaia 34 4 5 2" xfId="55742" xr:uid="{00000000-0005-0000-0000-000083B70000}"/>
    <cellStyle name="Migliaia 34 4 6" xfId="52460" xr:uid="{00000000-0005-0000-0000-000084B70000}"/>
    <cellStyle name="Migliaia 34 5" xfId="9279" xr:uid="{00000000-0005-0000-0000-000085B70000}"/>
    <cellStyle name="Migliaia 34 5 2" xfId="17223" xr:uid="{00000000-0005-0000-0000-000086B70000}"/>
    <cellStyle name="Migliaia 34 5 2 2" xfId="33338" xr:uid="{00000000-0005-0000-0000-000087B70000}"/>
    <cellStyle name="Migliaia 34 5 2 3" xfId="48299" xr:uid="{00000000-0005-0000-0000-000088B70000}"/>
    <cellStyle name="Migliaia 34 5 2 4" xfId="54884" xr:uid="{00000000-0005-0000-0000-000089B70000}"/>
    <cellStyle name="Migliaia 34 5 3" xfId="51190" xr:uid="{00000000-0005-0000-0000-00008AB70000}"/>
    <cellStyle name="Migliaia 34 5 3 2" xfId="55744" xr:uid="{00000000-0005-0000-0000-00008BB70000}"/>
    <cellStyle name="Migliaia 34 5 4" xfId="52462" xr:uid="{00000000-0005-0000-0000-00008CB70000}"/>
    <cellStyle name="Migliaia 34 6" xfId="9274" xr:uid="{00000000-0005-0000-0000-00008DB70000}"/>
    <cellStyle name="Migliaia 34 6 2" xfId="51036" xr:uid="{00000000-0005-0000-0000-00008EB70000}"/>
    <cellStyle name="Migliaia 34 6 3" xfId="54612" xr:uid="{00000000-0005-0000-0000-00008FB70000}"/>
    <cellStyle name="Migliaia 34 7" xfId="9903" xr:uid="{00000000-0005-0000-0000-000090B70000}"/>
    <cellStyle name="Migliaia 34 7 2" xfId="26228" xr:uid="{00000000-0005-0000-0000-000091B70000}"/>
    <cellStyle name="Migliaia 34 7 3" xfId="41206" xr:uid="{00000000-0005-0000-0000-000092B70000}"/>
    <cellStyle name="Migliaia 34 7 4" xfId="55737" xr:uid="{00000000-0005-0000-0000-000093B70000}"/>
    <cellStyle name="Migliaia 34 8" xfId="17216" xr:uid="{00000000-0005-0000-0000-000094B70000}"/>
    <cellStyle name="Migliaia 34 8 2" xfId="33331" xr:uid="{00000000-0005-0000-0000-000095B70000}"/>
    <cellStyle name="Migliaia 34 8 3" xfId="48292" xr:uid="{00000000-0005-0000-0000-000096B70000}"/>
    <cellStyle name="Migliaia 34 9" xfId="19209" xr:uid="{00000000-0005-0000-0000-000097B70000}"/>
    <cellStyle name="Migliaia 35" xfId="397" xr:uid="{00000000-0005-0000-0000-000098B70000}"/>
    <cellStyle name="Migliaia 35 10" xfId="34208" xr:uid="{00000000-0005-0000-0000-000099B70000}"/>
    <cellStyle name="Migliaia 35 11" xfId="49148" xr:uid="{00000000-0005-0000-0000-00009AB70000}"/>
    <cellStyle name="Migliaia 35 12" xfId="49553" xr:uid="{00000000-0005-0000-0000-00009BB70000}"/>
    <cellStyle name="Migliaia 35 13" xfId="49959" xr:uid="{00000000-0005-0000-0000-00009CB70000}"/>
    <cellStyle name="Migliaia 35 14" xfId="50367" xr:uid="{00000000-0005-0000-0000-00009DB70000}"/>
    <cellStyle name="Migliaia 35 15" xfId="50809" xr:uid="{00000000-0005-0000-0000-00009EB70000}"/>
    <cellStyle name="Migliaia 35 16" xfId="51528" xr:uid="{00000000-0005-0000-0000-00009FB70000}"/>
    <cellStyle name="Migliaia 35 17" xfId="51940" xr:uid="{00000000-0005-0000-0000-0000A0B70000}"/>
    <cellStyle name="Migliaia 35 18" xfId="52463" xr:uid="{00000000-0005-0000-0000-0000A1B70000}"/>
    <cellStyle name="Migliaia 35 2" xfId="398" xr:uid="{00000000-0005-0000-0000-0000A2B70000}"/>
    <cellStyle name="Migliaia 35 2 10" xfId="49960" xr:uid="{00000000-0005-0000-0000-0000A3B70000}"/>
    <cellStyle name="Migliaia 35 2 11" xfId="50368" xr:uid="{00000000-0005-0000-0000-0000A4B70000}"/>
    <cellStyle name="Migliaia 35 2 12" xfId="50810" xr:uid="{00000000-0005-0000-0000-0000A5B70000}"/>
    <cellStyle name="Migliaia 35 2 13" xfId="51529" xr:uid="{00000000-0005-0000-0000-0000A6B70000}"/>
    <cellStyle name="Migliaia 35 2 14" xfId="51941" xr:uid="{00000000-0005-0000-0000-0000A7B70000}"/>
    <cellStyle name="Migliaia 35 2 15" xfId="52464" xr:uid="{00000000-0005-0000-0000-0000A8B70000}"/>
    <cellStyle name="Migliaia 35 2 2" xfId="1272" xr:uid="{00000000-0005-0000-0000-0000A9B70000}"/>
    <cellStyle name="Migliaia 35 2 2 10" xfId="51124" xr:uid="{00000000-0005-0000-0000-0000AAB70000}"/>
    <cellStyle name="Migliaia 35 2 2 11" xfId="51720" xr:uid="{00000000-0005-0000-0000-0000ABB70000}"/>
    <cellStyle name="Migliaia 35 2 2 12" xfId="52140" xr:uid="{00000000-0005-0000-0000-0000ACB70000}"/>
    <cellStyle name="Migliaia 35 2 2 13" xfId="52936" xr:uid="{00000000-0005-0000-0000-0000ADB70000}"/>
    <cellStyle name="Migliaia 35 2 2 2" xfId="10099" xr:uid="{00000000-0005-0000-0000-0000AEB70000}"/>
    <cellStyle name="Migliaia 35 2 2 2 2" xfId="26419" xr:uid="{00000000-0005-0000-0000-0000AFB70000}"/>
    <cellStyle name="Migliaia 35 2 2 2 3" xfId="41387" xr:uid="{00000000-0005-0000-0000-0000B0B70000}"/>
    <cellStyle name="Migliaia 35 2 2 2 4" xfId="55291" xr:uid="{00000000-0005-0000-0000-0000B1B70000}"/>
    <cellStyle name="Migliaia 35 2 2 3" xfId="18340" xr:uid="{00000000-0005-0000-0000-0000B2B70000}"/>
    <cellStyle name="Migliaia 35 2 2 3 2" xfId="33807" xr:uid="{00000000-0005-0000-0000-0000B3B70000}"/>
    <cellStyle name="Migliaia 35 2 2 3 3" xfId="48768" xr:uid="{00000000-0005-0000-0000-0000B4B70000}"/>
    <cellStyle name="Migliaia 35 2 2 3 4" xfId="56213" xr:uid="{00000000-0005-0000-0000-0000B5B70000}"/>
    <cellStyle name="Migliaia 35 2 2 4" xfId="19398" xr:uid="{00000000-0005-0000-0000-0000B6B70000}"/>
    <cellStyle name="Migliaia 35 2 2 5" xfId="34388" xr:uid="{00000000-0005-0000-0000-0000B7B70000}"/>
    <cellStyle name="Migliaia 35 2 2 6" xfId="49340" xr:uid="{00000000-0005-0000-0000-0000B8B70000}"/>
    <cellStyle name="Migliaia 35 2 2 7" xfId="49745" xr:uid="{00000000-0005-0000-0000-0000B9B70000}"/>
    <cellStyle name="Migliaia 35 2 2 8" xfId="50154" xr:uid="{00000000-0005-0000-0000-0000BAB70000}"/>
    <cellStyle name="Migliaia 35 2 2 9" xfId="50559" xr:uid="{00000000-0005-0000-0000-0000BBB70000}"/>
    <cellStyle name="Migliaia 35 2 3" xfId="9281" xr:uid="{00000000-0005-0000-0000-0000BCB70000}"/>
    <cellStyle name="Migliaia 35 2 3 2" xfId="54677" xr:uid="{00000000-0005-0000-0000-0000BDB70000}"/>
    <cellStyle name="Migliaia 35 2 4" xfId="9908" xr:uid="{00000000-0005-0000-0000-0000BEB70000}"/>
    <cellStyle name="Migliaia 35 2 4 2" xfId="26233" xr:uid="{00000000-0005-0000-0000-0000BFB70000}"/>
    <cellStyle name="Migliaia 35 2 4 3" xfId="41211" xr:uid="{00000000-0005-0000-0000-0000C0B70000}"/>
    <cellStyle name="Migliaia 35 2 4 4" xfId="55746" xr:uid="{00000000-0005-0000-0000-0000C1B70000}"/>
    <cellStyle name="Migliaia 35 2 5" xfId="17225" xr:uid="{00000000-0005-0000-0000-0000C2B70000}"/>
    <cellStyle name="Migliaia 35 2 5 2" xfId="33340" xr:uid="{00000000-0005-0000-0000-0000C3B70000}"/>
    <cellStyle name="Migliaia 35 2 5 3" xfId="48301" xr:uid="{00000000-0005-0000-0000-0000C4B70000}"/>
    <cellStyle name="Migliaia 35 2 6" xfId="19214" xr:uid="{00000000-0005-0000-0000-0000C5B70000}"/>
    <cellStyle name="Migliaia 35 2 7" xfId="34209" xr:uid="{00000000-0005-0000-0000-0000C6B70000}"/>
    <cellStyle name="Migliaia 35 2 8" xfId="49149" xr:uid="{00000000-0005-0000-0000-0000C7B70000}"/>
    <cellStyle name="Migliaia 35 2 9" xfId="49554" xr:uid="{00000000-0005-0000-0000-0000C8B70000}"/>
    <cellStyle name="Migliaia 35 3" xfId="399" xr:uid="{00000000-0005-0000-0000-0000C9B70000}"/>
    <cellStyle name="Migliaia 35 3 10" xfId="49961" xr:uid="{00000000-0005-0000-0000-0000CAB70000}"/>
    <cellStyle name="Migliaia 35 3 11" xfId="50369" xr:uid="{00000000-0005-0000-0000-0000CBB70000}"/>
    <cellStyle name="Migliaia 35 3 12" xfId="50811" xr:uid="{00000000-0005-0000-0000-0000CCB70000}"/>
    <cellStyle name="Migliaia 35 3 13" xfId="51530" xr:uid="{00000000-0005-0000-0000-0000CDB70000}"/>
    <cellStyle name="Migliaia 35 3 14" xfId="51942" xr:uid="{00000000-0005-0000-0000-0000CEB70000}"/>
    <cellStyle name="Migliaia 35 3 15" xfId="52465" xr:uid="{00000000-0005-0000-0000-0000CFB70000}"/>
    <cellStyle name="Migliaia 35 3 2" xfId="400" xr:uid="{00000000-0005-0000-0000-0000D0B70000}"/>
    <cellStyle name="Migliaia 35 3 2 10" xfId="50370" xr:uid="{00000000-0005-0000-0000-0000D1B70000}"/>
    <cellStyle name="Migliaia 35 3 2 11" xfId="50812" xr:uid="{00000000-0005-0000-0000-0000D2B70000}"/>
    <cellStyle name="Migliaia 35 3 2 12" xfId="51531" xr:uid="{00000000-0005-0000-0000-0000D3B70000}"/>
    <cellStyle name="Migliaia 35 3 2 13" xfId="51943" xr:uid="{00000000-0005-0000-0000-0000D4B70000}"/>
    <cellStyle name="Migliaia 35 3 2 14" xfId="52466" xr:uid="{00000000-0005-0000-0000-0000D5B70000}"/>
    <cellStyle name="Migliaia 35 3 2 2" xfId="9283" xr:uid="{00000000-0005-0000-0000-0000D6B70000}"/>
    <cellStyle name="Migliaia 35 3 2 2 2" xfId="54886" xr:uid="{00000000-0005-0000-0000-0000D7B70000}"/>
    <cellStyle name="Migliaia 35 3 2 3" xfId="9910" xr:uid="{00000000-0005-0000-0000-0000D8B70000}"/>
    <cellStyle name="Migliaia 35 3 2 3 2" xfId="26235" xr:uid="{00000000-0005-0000-0000-0000D9B70000}"/>
    <cellStyle name="Migliaia 35 3 2 3 3" xfId="41213" xr:uid="{00000000-0005-0000-0000-0000DAB70000}"/>
    <cellStyle name="Migliaia 35 3 2 3 4" xfId="55748" xr:uid="{00000000-0005-0000-0000-0000DBB70000}"/>
    <cellStyle name="Migliaia 35 3 2 4" xfId="17227" xr:uid="{00000000-0005-0000-0000-0000DCB70000}"/>
    <cellStyle name="Migliaia 35 3 2 4 2" xfId="33342" xr:uid="{00000000-0005-0000-0000-0000DDB70000}"/>
    <cellStyle name="Migliaia 35 3 2 4 3" xfId="48303" xr:uid="{00000000-0005-0000-0000-0000DEB70000}"/>
    <cellStyle name="Migliaia 35 3 2 5" xfId="19216" xr:uid="{00000000-0005-0000-0000-0000DFB70000}"/>
    <cellStyle name="Migliaia 35 3 2 6" xfId="34211" xr:uid="{00000000-0005-0000-0000-0000E0B70000}"/>
    <cellStyle name="Migliaia 35 3 2 7" xfId="49151" xr:uid="{00000000-0005-0000-0000-0000E1B70000}"/>
    <cellStyle name="Migliaia 35 3 2 8" xfId="49556" xr:uid="{00000000-0005-0000-0000-0000E2B70000}"/>
    <cellStyle name="Migliaia 35 3 2 9" xfId="49962" xr:uid="{00000000-0005-0000-0000-0000E3B70000}"/>
    <cellStyle name="Migliaia 35 3 3" xfId="9282" xr:uid="{00000000-0005-0000-0000-0000E4B70000}"/>
    <cellStyle name="Migliaia 35 3 3 2" xfId="18342" xr:uid="{00000000-0005-0000-0000-0000E5B70000}"/>
    <cellStyle name="Migliaia 35 3 3 2 2" xfId="33809" xr:uid="{00000000-0005-0000-0000-0000E6B70000}"/>
    <cellStyle name="Migliaia 35 3 3 2 2 2" xfId="55293" xr:uid="{00000000-0005-0000-0000-0000E7B70000}"/>
    <cellStyle name="Migliaia 35 3 3 2 3" xfId="48770" xr:uid="{00000000-0005-0000-0000-0000E8B70000}"/>
    <cellStyle name="Migliaia 35 3 3 2 3 2" xfId="56215" xr:uid="{00000000-0005-0000-0000-0000E9B70000}"/>
    <cellStyle name="Migliaia 35 3 3 2 4" xfId="52938" xr:uid="{00000000-0005-0000-0000-0000EAB70000}"/>
    <cellStyle name="Migliaia 35 3 3 3" xfId="17228" xr:uid="{00000000-0005-0000-0000-0000EBB70000}"/>
    <cellStyle name="Migliaia 35 3 3 3 2" xfId="33343" xr:uid="{00000000-0005-0000-0000-0000ECB70000}"/>
    <cellStyle name="Migliaia 35 3 3 3 3" xfId="48304" xr:uid="{00000000-0005-0000-0000-0000EDB70000}"/>
    <cellStyle name="Migliaia 35 3 3 3 4" xfId="54887" xr:uid="{00000000-0005-0000-0000-0000EEB70000}"/>
    <cellStyle name="Migliaia 35 3 3 4" xfId="55749" xr:uid="{00000000-0005-0000-0000-0000EFB70000}"/>
    <cellStyle name="Migliaia 35 3 3 5" xfId="52467" xr:uid="{00000000-0005-0000-0000-0000F0B70000}"/>
    <cellStyle name="Migliaia 35 3 4" xfId="9909" xr:uid="{00000000-0005-0000-0000-0000F1B70000}"/>
    <cellStyle name="Migliaia 35 3 4 2" xfId="18341" xr:uid="{00000000-0005-0000-0000-0000F2B70000}"/>
    <cellStyle name="Migliaia 35 3 4 2 2" xfId="33808" xr:uid="{00000000-0005-0000-0000-0000F3B70000}"/>
    <cellStyle name="Migliaia 35 3 4 2 3" xfId="48769" xr:uid="{00000000-0005-0000-0000-0000F4B70000}"/>
    <cellStyle name="Migliaia 35 3 4 2 4" xfId="55292" xr:uid="{00000000-0005-0000-0000-0000F5B70000}"/>
    <cellStyle name="Migliaia 35 3 4 3" xfId="26234" xr:uid="{00000000-0005-0000-0000-0000F6B70000}"/>
    <cellStyle name="Migliaia 35 3 4 3 2" xfId="56214" xr:uid="{00000000-0005-0000-0000-0000F7B70000}"/>
    <cellStyle name="Migliaia 35 3 4 4" xfId="41212" xr:uid="{00000000-0005-0000-0000-0000F8B70000}"/>
    <cellStyle name="Migliaia 35 3 4 5" xfId="52937" xr:uid="{00000000-0005-0000-0000-0000F9B70000}"/>
    <cellStyle name="Migliaia 35 3 5" xfId="17226" xr:uid="{00000000-0005-0000-0000-0000FAB70000}"/>
    <cellStyle name="Migliaia 35 3 5 2" xfId="33341" xr:uid="{00000000-0005-0000-0000-0000FBB70000}"/>
    <cellStyle name="Migliaia 35 3 5 3" xfId="48302" xr:uid="{00000000-0005-0000-0000-0000FCB70000}"/>
    <cellStyle name="Migliaia 35 3 5 4" xfId="54885" xr:uid="{00000000-0005-0000-0000-0000FDB70000}"/>
    <cellStyle name="Migliaia 35 3 6" xfId="19215" xr:uid="{00000000-0005-0000-0000-0000FEB70000}"/>
    <cellStyle name="Migliaia 35 3 6 2" xfId="55747" xr:uid="{00000000-0005-0000-0000-0000FFB70000}"/>
    <cellStyle name="Migliaia 35 3 7" xfId="34210" xr:uid="{00000000-0005-0000-0000-000000B80000}"/>
    <cellStyle name="Migliaia 35 3 8" xfId="49150" xr:uid="{00000000-0005-0000-0000-000001B80000}"/>
    <cellStyle name="Migliaia 35 3 9" xfId="49555" xr:uid="{00000000-0005-0000-0000-000002B80000}"/>
    <cellStyle name="Migliaia 35 4" xfId="9284" xr:uid="{00000000-0005-0000-0000-000003B80000}"/>
    <cellStyle name="Migliaia 35 4 2" xfId="17230" xr:uid="{00000000-0005-0000-0000-000004B80000}"/>
    <cellStyle name="Migliaia 35 4 2 2" xfId="18344" xr:uid="{00000000-0005-0000-0000-000005B80000}"/>
    <cellStyle name="Migliaia 35 4 2 2 2" xfId="33811" xr:uid="{00000000-0005-0000-0000-000006B80000}"/>
    <cellStyle name="Migliaia 35 4 2 2 2 2" xfId="55295" xr:uid="{00000000-0005-0000-0000-000007B80000}"/>
    <cellStyle name="Migliaia 35 4 2 2 3" xfId="48772" xr:uid="{00000000-0005-0000-0000-000008B80000}"/>
    <cellStyle name="Migliaia 35 4 2 2 3 2" xfId="56217" xr:uid="{00000000-0005-0000-0000-000009B80000}"/>
    <cellStyle name="Migliaia 35 4 2 2 4" xfId="52940" xr:uid="{00000000-0005-0000-0000-00000AB80000}"/>
    <cellStyle name="Migliaia 35 4 2 3" xfId="33345" xr:uid="{00000000-0005-0000-0000-00000BB80000}"/>
    <cellStyle name="Migliaia 35 4 2 3 2" xfId="54889" xr:uid="{00000000-0005-0000-0000-00000CB80000}"/>
    <cellStyle name="Migliaia 35 4 2 4" xfId="48306" xr:uid="{00000000-0005-0000-0000-00000DB80000}"/>
    <cellStyle name="Migliaia 35 4 2 4 2" xfId="55751" xr:uid="{00000000-0005-0000-0000-00000EB80000}"/>
    <cellStyle name="Migliaia 35 4 2 5" xfId="52469" xr:uid="{00000000-0005-0000-0000-00000FB80000}"/>
    <cellStyle name="Migliaia 35 4 3" xfId="18343" xr:uid="{00000000-0005-0000-0000-000010B80000}"/>
    <cellStyle name="Migliaia 35 4 3 2" xfId="33810" xr:uid="{00000000-0005-0000-0000-000011B80000}"/>
    <cellStyle name="Migliaia 35 4 3 2 2" xfId="55294" xr:uid="{00000000-0005-0000-0000-000012B80000}"/>
    <cellStyle name="Migliaia 35 4 3 3" xfId="48771" xr:uid="{00000000-0005-0000-0000-000013B80000}"/>
    <cellStyle name="Migliaia 35 4 3 3 2" xfId="56216" xr:uid="{00000000-0005-0000-0000-000014B80000}"/>
    <cellStyle name="Migliaia 35 4 3 4" xfId="52939" xr:uid="{00000000-0005-0000-0000-000015B80000}"/>
    <cellStyle name="Migliaia 35 4 4" xfId="17229" xr:uid="{00000000-0005-0000-0000-000016B80000}"/>
    <cellStyle name="Migliaia 35 4 4 2" xfId="33344" xr:uid="{00000000-0005-0000-0000-000017B80000}"/>
    <cellStyle name="Migliaia 35 4 4 3" xfId="48305" xr:uid="{00000000-0005-0000-0000-000018B80000}"/>
    <cellStyle name="Migliaia 35 4 4 4" xfId="54888" xr:uid="{00000000-0005-0000-0000-000019B80000}"/>
    <cellStyle name="Migliaia 35 4 5" xfId="51279" xr:uid="{00000000-0005-0000-0000-00001AB80000}"/>
    <cellStyle name="Migliaia 35 4 5 2" xfId="55750" xr:uid="{00000000-0005-0000-0000-00001BB80000}"/>
    <cellStyle name="Migliaia 35 4 6" xfId="52468" xr:uid="{00000000-0005-0000-0000-00001CB80000}"/>
    <cellStyle name="Migliaia 35 5" xfId="9285" xr:uid="{00000000-0005-0000-0000-00001DB80000}"/>
    <cellStyle name="Migliaia 35 5 2" xfId="17231" xr:uid="{00000000-0005-0000-0000-00001EB80000}"/>
    <cellStyle name="Migliaia 35 5 2 2" xfId="33346" xr:uid="{00000000-0005-0000-0000-00001FB80000}"/>
    <cellStyle name="Migliaia 35 5 2 3" xfId="48307" xr:uid="{00000000-0005-0000-0000-000020B80000}"/>
    <cellStyle name="Migliaia 35 5 2 4" xfId="54890" xr:uid="{00000000-0005-0000-0000-000021B80000}"/>
    <cellStyle name="Migliaia 35 5 3" xfId="51035" xr:uid="{00000000-0005-0000-0000-000022B80000}"/>
    <cellStyle name="Migliaia 35 5 3 2" xfId="55752" xr:uid="{00000000-0005-0000-0000-000023B80000}"/>
    <cellStyle name="Migliaia 35 5 4" xfId="52470" xr:uid="{00000000-0005-0000-0000-000024B80000}"/>
    <cellStyle name="Migliaia 35 6" xfId="9280" xr:uid="{00000000-0005-0000-0000-000025B80000}"/>
    <cellStyle name="Migliaia 35 6 2" xfId="51278" xr:uid="{00000000-0005-0000-0000-000026B80000}"/>
    <cellStyle name="Migliaia 35 6 3" xfId="54613" xr:uid="{00000000-0005-0000-0000-000027B80000}"/>
    <cellStyle name="Migliaia 35 7" xfId="9907" xr:uid="{00000000-0005-0000-0000-000028B80000}"/>
    <cellStyle name="Migliaia 35 7 2" xfId="26232" xr:uid="{00000000-0005-0000-0000-000029B80000}"/>
    <cellStyle name="Migliaia 35 7 3" xfId="41210" xr:uid="{00000000-0005-0000-0000-00002AB80000}"/>
    <cellStyle name="Migliaia 35 7 4" xfId="55745" xr:uid="{00000000-0005-0000-0000-00002BB80000}"/>
    <cellStyle name="Migliaia 35 8" xfId="17224" xr:uid="{00000000-0005-0000-0000-00002CB80000}"/>
    <cellStyle name="Migliaia 35 8 2" xfId="33339" xr:uid="{00000000-0005-0000-0000-00002DB80000}"/>
    <cellStyle name="Migliaia 35 8 3" xfId="48300" xr:uid="{00000000-0005-0000-0000-00002EB80000}"/>
    <cellStyle name="Migliaia 35 9" xfId="19213" xr:uid="{00000000-0005-0000-0000-00002FB80000}"/>
    <cellStyle name="Migliaia 36" xfId="401" xr:uid="{00000000-0005-0000-0000-000030B80000}"/>
    <cellStyle name="Migliaia 36 10" xfId="34212" xr:uid="{00000000-0005-0000-0000-000031B80000}"/>
    <cellStyle name="Migliaia 36 11" xfId="49152" xr:uid="{00000000-0005-0000-0000-000032B80000}"/>
    <cellStyle name="Migliaia 36 12" xfId="49557" xr:uid="{00000000-0005-0000-0000-000033B80000}"/>
    <cellStyle name="Migliaia 36 13" xfId="49963" xr:uid="{00000000-0005-0000-0000-000034B80000}"/>
    <cellStyle name="Migliaia 36 14" xfId="50371" xr:uid="{00000000-0005-0000-0000-000035B80000}"/>
    <cellStyle name="Migliaia 36 15" xfId="50813" xr:uid="{00000000-0005-0000-0000-000036B80000}"/>
    <cellStyle name="Migliaia 36 16" xfId="51532" xr:uid="{00000000-0005-0000-0000-000037B80000}"/>
    <cellStyle name="Migliaia 36 17" xfId="51944" xr:uid="{00000000-0005-0000-0000-000038B80000}"/>
    <cellStyle name="Migliaia 36 18" xfId="52471" xr:uid="{00000000-0005-0000-0000-000039B80000}"/>
    <cellStyle name="Migliaia 36 2" xfId="402" xr:uid="{00000000-0005-0000-0000-00003AB80000}"/>
    <cellStyle name="Migliaia 36 2 10" xfId="49964" xr:uid="{00000000-0005-0000-0000-00003BB80000}"/>
    <cellStyle name="Migliaia 36 2 11" xfId="50372" xr:uid="{00000000-0005-0000-0000-00003CB80000}"/>
    <cellStyle name="Migliaia 36 2 12" xfId="50814" xr:uid="{00000000-0005-0000-0000-00003DB80000}"/>
    <cellStyle name="Migliaia 36 2 13" xfId="51533" xr:uid="{00000000-0005-0000-0000-00003EB80000}"/>
    <cellStyle name="Migliaia 36 2 14" xfId="51945" xr:uid="{00000000-0005-0000-0000-00003FB80000}"/>
    <cellStyle name="Migliaia 36 2 15" xfId="52472" xr:uid="{00000000-0005-0000-0000-000040B80000}"/>
    <cellStyle name="Migliaia 36 2 2" xfId="1273" xr:uid="{00000000-0005-0000-0000-000041B80000}"/>
    <cellStyle name="Migliaia 36 2 2 10" xfId="51125" xr:uid="{00000000-0005-0000-0000-000042B80000}"/>
    <cellStyle name="Migliaia 36 2 2 11" xfId="51721" xr:uid="{00000000-0005-0000-0000-000043B80000}"/>
    <cellStyle name="Migliaia 36 2 2 12" xfId="52141" xr:uid="{00000000-0005-0000-0000-000044B80000}"/>
    <cellStyle name="Migliaia 36 2 2 13" xfId="52941" xr:uid="{00000000-0005-0000-0000-000045B80000}"/>
    <cellStyle name="Migliaia 36 2 2 2" xfId="10100" xr:uid="{00000000-0005-0000-0000-000046B80000}"/>
    <cellStyle name="Migliaia 36 2 2 2 2" xfId="26420" xr:uid="{00000000-0005-0000-0000-000047B80000}"/>
    <cellStyle name="Migliaia 36 2 2 2 3" xfId="41388" xr:uid="{00000000-0005-0000-0000-000048B80000}"/>
    <cellStyle name="Migliaia 36 2 2 2 4" xfId="55296" xr:uid="{00000000-0005-0000-0000-000049B80000}"/>
    <cellStyle name="Migliaia 36 2 2 3" xfId="18345" xr:uid="{00000000-0005-0000-0000-00004AB80000}"/>
    <cellStyle name="Migliaia 36 2 2 3 2" xfId="33812" xr:uid="{00000000-0005-0000-0000-00004BB80000}"/>
    <cellStyle name="Migliaia 36 2 2 3 3" xfId="48773" xr:uid="{00000000-0005-0000-0000-00004CB80000}"/>
    <cellStyle name="Migliaia 36 2 2 3 4" xfId="56218" xr:uid="{00000000-0005-0000-0000-00004DB80000}"/>
    <cellStyle name="Migliaia 36 2 2 4" xfId="19399" xr:uid="{00000000-0005-0000-0000-00004EB80000}"/>
    <cellStyle name="Migliaia 36 2 2 5" xfId="34389" xr:uid="{00000000-0005-0000-0000-00004FB80000}"/>
    <cellStyle name="Migliaia 36 2 2 6" xfId="49341" xr:uid="{00000000-0005-0000-0000-000050B80000}"/>
    <cellStyle name="Migliaia 36 2 2 7" xfId="49746" xr:uid="{00000000-0005-0000-0000-000051B80000}"/>
    <cellStyle name="Migliaia 36 2 2 8" xfId="50155" xr:uid="{00000000-0005-0000-0000-000052B80000}"/>
    <cellStyle name="Migliaia 36 2 2 9" xfId="50560" xr:uid="{00000000-0005-0000-0000-000053B80000}"/>
    <cellStyle name="Migliaia 36 2 3" xfId="9287" xr:uid="{00000000-0005-0000-0000-000054B80000}"/>
    <cellStyle name="Migliaia 36 2 3 2" xfId="54678" xr:uid="{00000000-0005-0000-0000-000055B80000}"/>
    <cellStyle name="Migliaia 36 2 4" xfId="9912" xr:uid="{00000000-0005-0000-0000-000056B80000}"/>
    <cellStyle name="Migliaia 36 2 4 2" xfId="26237" xr:uid="{00000000-0005-0000-0000-000057B80000}"/>
    <cellStyle name="Migliaia 36 2 4 3" xfId="41215" xr:uid="{00000000-0005-0000-0000-000058B80000}"/>
    <cellStyle name="Migliaia 36 2 4 4" xfId="55754" xr:uid="{00000000-0005-0000-0000-000059B80000}"/>
    <cellStyle name="Migliaia 36 2 5" xfId="17233" xr:uid="{00000000-0005-0000-0000-00005AB80000}"/>
    <cellStyle name="Migliaia 36 2 5 2" xfId="33348" xr:uid="{00000000-0005-0000-0000-00005BB80000}"/>
    <cellStyle name="Migliaia 36 2 5 3" xfId="48309" xr:uid="{00000000-0005-0000-0000-00005CB80000}"/>
    <cellStyle name="Migliaia 36 2 6" xfId="19218" xr:uid="{00000000-0005-0000-0000-00005DB80000}"/>
    <cellStyle name="Migliaia 36 2 7" xfId="34213" xr:uid="{00000000-0005-0000-0000-00005EB80000}"/>
    <cellStyle name="Migliaia 36 2 8" xfId="49153" xr:uid="{00000000-0005-0000-0000-00005FB80000}"/>
    <cellStyle name="Migliaia 36 2 9" xfId="49558" xr:uid="{00000000-0005-0000-0000-000060B80000}"/>
    <cellStyle name="Migliaia 36 3" xfId="403" xr:uid="{00000000-0005-0000-0000-000061B80000}"/>
    <cellStyle name="Migliaia 36 3 10" xfId="49965" xr:uid="{00000000-0005-0000-0000-000062B80000}"/>
    <cellStyle name="Migliaia 36 3 11" xfId="50373" xr:uid="{00000000-0005-0000-0000-000063B80000}"/>
    <cellStyle name="Migliaia 36 3 12" xfId="50815" xr:uid="{00000000-0005-0000-0000-000064B80000}"/>
    <cellStyle name="Migliaia 36 3 13" xfId="51534" xr:uid="{00000000-0005-0000-0000-000065B80000}"/>
    <cellStyle name="Migliaia 36 3 14" xfId="51946" xr:uid="{00000000-0005-0000-0000-000066B80000}"/>
    <cellStyle name="Migliaia 36 3 15" xfId="52473" xr:uid="{00000000-0005-0000-0000-000067B80000}"/>
    <cellStyle name="Migliaia 36 3 2" xfId="404" xr:uid="{00000000-0005-0000-0000-000068B80000}"/>
    <cellStyle name="Migliaia 36 3 2 10" xfId="50374" xr:uid="{00000000-0005-0000-0000-000069B80000}"/>
    <cellStyle name="Migliaia 36 3 2 11" xfId="50816" xr:uid="{00000000-0005-0000-0000-00006AB80000}"/>
    <cellStyle name="Migliaia 36 3 2 12" xfId="51535" xr:uid="{00000000-0005-0000-0000-00006BB80000}"/>
    <cellStyle name="Migliaia 36 3 2 13" xfId="51947" xr:uid="{00000000-0005-0000-0000-00006CB80000}"/>
    <cellStyle name="Migliaia 36 3 2 14" xfId="52474" xr:uid="{00000000-0005-0000-0000-00006DB80000}"/>
    <cellStyle name="Migliaia 36 3 2 2" xfId="9289" xr:uid="{00000000-0005-0000-0000-00006EB80000}"/>
    <cellStyle name="Migliaia 36 3 2 2 2" xfId="54892" xr:uid="{00000000-0005-0000-0000-00006FB80000}"/>
    <cellStyle name="Migliaia 36 3 2 3" xfId="9914" xr:uid="{00000000-0005-0000-0000-000070B80000}"/>
    <cellStyle name="Migliaia 36 3 2 3 2" xfId="26239" xr:uid="{00000000-0005-0000-0000-000071B80000}"/>
    <cellStyle name="Migliaia 36 3 2 3 3" xfId="41217" xr:uid="{00000000-0005-0000-0000-000072B80000}"/>
    <cellStyle name="Migliaia 36 3 2 3 4" xfId="55756" xr:uid="{00000000-0005-0000-0000-000073B80000}"/>
    <cellStyle name="Migliaia 36 3 2 4" xfId="17235" xr:uid="{00000000-0005-0000-0000-000074B80000}"/>
    <cellStyle name="Migliaia 36 3 2 4 2" xfId="33350" xr:uid="{00000000-0005-0000-0000-000075B80000}"/>
    <cellStyle name="Migliaia 36 3 2 4 3" xfId="48311" xr:uid="{00000000-0005-0000-0000-000076B80000}"/>
    <cellStyle name="Migliaia 36 3 2 5" xfId="19220" xr:uid="{00000000-0005-0000-0000-000077B80000}"/>
    <cellStyle name="Migliaia 36 3 2 6" xfId="34215" xr:uid="{00000000-0005-0000-0000-000078B80000}"/>
    <cellStyle name="Migliaia 36 3 2 7" xfId="49155" xr:uid="{00000000-0005-0000-0000-000079B80000}"/>
    <cellStyle name="Migliaia 36 3 2 8" xfId="49560" xr:uid="{00000000-0005-0000-0000-00007AB80000}"/>
    <cellStyle name="Migliaia 36 3 2 9" xfId="49966" xr:uid="{00000000-0005-0000-0000-00007BB80000}"/>
    <cellStyle name="Migliaia 36 3 3" xfId="9288" xr:uid="{00000000-0005-0000-0000-00007CB80000}"/>
    <cellStyle name="Migliaia 36 3 3 2" xfId="18347" xr:uid="{00000000-0005-0000-0000-00007DB80000}"/>
    <cellStyle name="Migliaia 36 3 3 2 2" xfId="33814" xr:uid="{00000000-0005-0000-0000-00007EB80000}"/>
    <cellStyle name="Migliaia 36 3 3 2 2 2" xfId="55298" xr:uid="{00000000-0005-0000-0000-00007FB80000}"/>
    <cellStyle name="Migliaia 36 3 3 2 3" xfId="48775" xr:uid="{00000000-0005-0000-0000-000080B80000}"/>
    <cellStyle name="Migliaia 36 3 3 2 3 2" xfId="56220" xr:uid="{00000000-0005-0000-0000-000081B80000}"/>
    <cellStyle name="Migliaia 36 3 3 2 4" xfId="52943" xr:uid="{00000000-0005-0000-0000-000082B80000}"/>
    <cellStyle name="Migliaia 36 3 3 3" xfId="17236" xr:uid="{00000000-0005-0000-0000-000083B80000}"/>
    <cellStyle name="Migliaia 36 3 3 3 2" xfId="33351" xr:uid="{00000000-0005-0000-0000-000084B80000}"/>
    <cellStyle name="Migliaia 36 3 3 3 3" xfId="48312" xr:uid="{00000000-0005-0000-0000-000085B80000}"/>
    <cellStyle name="Migliaia 36 3 3 3 4" xfId="54893" xr:uid="{00000000-0005-0000-0000-000086B80000}"/>
    <cellStyle name="Migliaia 36 3 3 4" xfId="55757" xr:uid="{00000000-0005-0000-0000-000087B80000}"/>
    <cellStyle name="Migliaia 36 3 3 5" xfId="52475" xr:uid="{00000000-0005-0000-0000-000088B80000}"/>
    <cellStyle name="Migliaia 36 3 4" xfId="9913" xr:uid="{00000000-0005-0000-0000-000089B80000}"/>
    <cellStyle name="Migliaia 36 3 4 2" xfId="18346" xr:uid="{00000000-0005-0000-0000-00008AB80000}"/>
    <cellStyle name="Migliaia 36 3 4 2 2" xfId="33813" xr:uid="{00000000-0005-0000-0000-00008BB80000}"/>
    <cellStyle name="Migliaia 36 3 4 2 3" xfId="48774" xr:uid="{00000000-0005-0000-0000-00008CB80000}"/>
    <cellStyle name="Migliaia 36 3 4 2 4" xfId="55297" xr:uid="{00000000-0005-0000-0000-00008DB80000}"/>
    <cellStyle name="Migliaia 36 3 4 3" xfId="26238" xr:uid="{00000000-0005-0000-0000-00008EB80000}"/>
    <cellStyle name="Migliaia 36 3 4 3 2" xfId="56219" xr:uid="{00000000-0005-0000-0000-00008FB80000}"/>
    <cellStyle name="Migliaia 36 3 4 4" xfId="41216" xr:uid="{00000000-0005-0000-0000-000090B80000}"/>
    <cellStyle name="Migliaia 36 3 4 5" xfId="52942" xr:uid="{00000000-0005-0000-0000-000091B80000}"/>
    <cellStyle name="Migliaia 36 3 5" xfId="17234" xr:uid="{00000000-0005-0000-0000-000092B80000}"/>
    <cellStyle name="Migliaia 36 3 5 2" xfId="33349" xr:uid="{00000000-0005-0000-0000-000093B80000}"/>
    <cellStyle name="Migliaia 36 3 5 3" xfId="48310" xr:uid="{00000000-0005-0000-0000-000094B80000}"/>
    <cellStyle name="Migliaia 36 3 5 4" xfId="54891" xr:uid="{00000000-0005-0000-0000-000095B80000}"/>
    <cellStyle name="Migliaia 36 3 6" xfId="19219" xr:uid="{00000000-0005-0000-0000-000096B80000}"/>
    <cellStyle name="Migliaia 36 3 6 2" xfId="55755" xr:uid="{00000000-0005-0000-0000-000097B80000}"/>
    <cellStyle name="Migliaia 36 3 7" xfId="34214" xr:uid="{00000000-0005-0000-0000-000098B80000}"/>
    <cellStyle name="Migliaia 36 3 8" xfId="49154" xr:uid="{00000000-0005-0000-0000-000099B80000}"/>
    <cellStyle name="Migliaia 36 3 9" xfId="49559" xr:uid="{00000000-0005-0000-0000-00009AB80000}"/>
    <cellStyle name="Migliaia 36 4" xfId="9290" xr:uid="{00000000-0005-0000-0000-00009BB80000}"/>
    <cellStyle name="Migliaia 36 4 2" xfId="17238" xr:uid="{00000000-0005-0000-0000-00009CB80000}"/>
    <cellStyle name="Migliaia 36 4 2 2" xfId="18349" xr:uid="{00000000-0005-0000-0000-00009DB80000}"/>
    <cellStyle name="Migliaia 36 4 2 2 2" xfId="33816" xr:uid="{00000000-0005-0000-0000-00009EB80000}"/>
    <cellStyle name="Migliaia 36 4 2 2 2 2" xfId="55300" xr:uid="{00000000-0005-0000-0000-00009FB80000}"/>
    <cellStyle name="Migliaia 36 4 2 2 3" xfId="48777" xr:uid="{00000000-0005-0000-0000-0000A0B80000}"/>
    <cellStyle name="Migliaia 36 4 2 2 3 2" xfId="56222" xr:uid="{00000000-0005-0000-0000-0000A1B80000}"/>
    <cellStyle name="Migliaia 36 4 2 2 4" xfId="52945" xr:uid="{00000000-0005-0000-0000-0000A2B80000}"/>
    <cellStyle name="Migliaia 36 4 2 3" xfId="33353" xr:uid="{00000000-0005-0000-0000-0000A3B80000}"/>
    <cellStyle name="Migliaia 36 4 2 3 2" xfId="54895" xr:uid="{00000000-0005-0000-0000-0000A4B80000}"/>
    <cellStyle name="Migliaia 36 4 2 4" xfId="48314" xr:uid="{00000000-0005-0000-0000-0000A5B80000}"/>
    <cellStyle name="Migliaia 36 4 2 4 2" xfId="55759" xr:uid="{00000000-0005-0000-0000-0000A6B80000}"/>
    <cellStyle name="Migliaia 36 4 2 5" xfId="52477" xr:uid="{00000000-0005-0000-0000-0000A7B80000}"/>
    <cellStyle name="Migliaia 36 4 3" xfId="18348" xr:uid="{00000000-0005-0000-0000-0000A8B80000}"/>
    <cellStyle name="Migliaia 36 4 3 2" xfId="33815" xr:uid="{00000000-0005-0000-0000-0000A9B80000}"/>
    <cellStyle name="Migliaia 36 4 3 2 2" xfId="55299" xr:uid="{00000000-0005-0000-0000-0000AAB80000}"/>
    <cellStyle name="Migliaia 36 4 3 3" xfId="48776" xr:uid="{00000000-0005-0000-0000-0000ABB80000}"/>
    <cellStyle name="Migliaia 36 4 3 3 2" xfId="56221" xr:uid="{00000000-0005-0000-0000-0000ACB80000}"/>
    <cellStyle name="Migliaia 36 4 3 4" xfId="52944" xr:uid="{00000000-0005-0000-0000-0000ADB80000}"/>
    <cellStyle name="Migliaia 36 4 4" xfId="17237" xr:uid="{00000000-0005-0000-0000-0000AEB80000}"/>
    <cellStyle name="Migliaia 36 4 4 2" xfId="33352" xr:uid="{00000000-0005-0000-0000-0000AFB80000}"/>
    <cellStyle name="Migliaia 36 4 4 3" xfId="48313" xr:uid="{00000000-0005-0000-0000-0000B0B80000}"/>
    <cellStyle name="Migliaia 36 4 4 4" xfId="54894" xr:uid="{00000000-0005-0000-0000-0000B1B80000}"/>
    <cellStyle name="Migliaia 36 4 5" xfId="51242" xr:uid="{00000000-0005-0000-0000-0000B2B80000}"/>
    <cellStyle name="Migliaia 36 4 5 2" xfId="55758" xr:uid="{00000000-0005-0000-0000-0000B3B80000}"/>
    <cellStyle name="Migliaia 36 4 6" xfId="52476" xr:uid="{00000000-0005-0000-0000-0000B4B80000}"/>
    <cellStyle name="Migliaia 36 5" xfId="9291" xr:uid="{00000000-0005-0000-0000-0000B5B80000}"/>
    <cellStyle name="Migliaia 36 5 2" xfId="17239" xr:uid="{00000000-0005-0000-0000-0000B6B80000}"/>
    <cellStyle name="Migliaia 36 5 2 2" xfId="33354" xr:uid="{00000000-0005-0000-0000-0000B7B80000}"/>
    <cellStyle name="Migliaia 36 5 2 3" xfId="48315" xr:uid="{00000000-0005-0000-0000-0000B8B80000}"/>
    <cellStyle name="Migliaia 36 5 2 4" xfId="54896" xr:uid="{00000000-0005-0000-0000-0000B9B80000}"/>
    <cellStyle name="Migliaia 36 5 3" xfId="51189" xr:uid="{00000000-0005-0000-0000-0000BAB80000}"/>
    <cellStyle name="Migliaia 36 5 3 2" xfId="55760" xr:uid="{00000000-0005-0000-0000-0000BBB80000}"/>
    <cellStyle name="Migliaia 36 5 4" xfId="52478" xr:uid="{00000000-0005-0000-0000-0000BCB80000}"/>
    <cellStyle name="Migliaia 36 6" xfId="9286" xr:uid="{00000000-0005-0000-0000-0000BDB80000}"/>
    <cellStyle name="Migliaia 36 6 2" xfId="51034" xr:uid="{00000000-0005-0000-0000-0000BEB80000}"/>
    <cellStyle name="Migliaia 36 6 3" xfId="54614" xr:uid="{00000000-0005-0000-0000-0000BFB80000}"/>
    <cellStyle name="Migliaia 36 7" xfId="9911" xr:uid="{00000000-0005-0000-0000-0000C0B80000}"/>
    <cellStyle name="Migliaia 36 7 2" xfId="26236" xr:uid="{00000000-0005-0000-0000-0000C1B80000}"/>
    <cellStyle name="Migliaia 36 7 3" xfId="41214" xr:uid="{00000000-0005-0000-0000-0000C2B80000}"/>
    <cellStyle name="Migliaia 36 7 4" xfId="55753" xr:uid="{00000000-0005-0000-0000-0000C3B80000}"/>
    <cellStyle name="Migliaia 36 8" xfId="17232" xr:uid="{00000000-0005-0000-0000-0000C4B80000}"/>
    <cellStyle name="Migliaia 36 8 2" xfId="33347" xr:uid="{00000000-0005-0000-0000-0000C5B80000}"/>
    <cellStyle name="Migliaia 36 8 3" xfId="48308" xr:uid="{00000000-0005-0000-0000-0000C6B80000}"/>
    <cellStyle name="Migliaia 36 9" xfId="19217" xr:uid="{00000000-0005-0000-0000-0000C7B80000}"/>
    <cellStyle name="Migliaia 37" xfId="405" xr:uid="{00000000-0005-0000-0000-0000C8B80000}"/>
    <cellStyle name="Migliaia 37 10" xfId="34216" xr:uid="{00000000-0005-0000-0000-0000C9B80000}"/>
    <cellStyle name="Migliaia 37 11" xfId="49156" xr:uid="{00000000-0005-0000-0000-0000CAB80000}"/>
    <cellStyle name="Migliaia 37 12" xfId="49561" xr:uid="{00000000-0005-0000-0000-0000CBB80000}"/>
    <cellStyle name="Migliaia 37 13" xfId="49967" xr:uid="{00000000-0005-0000-0000-0000CCB80000}"/>
    <cellStyle name="Migliaia 37 14" xfId="50375" xr:uid="{00000000-0005-0000-0000-0000CDB80000}"/>
    <cellStyle name="Migliaia 37 15" xfId="50817" xr:uid="{00000000-0005-0000-0000-0000CEB80000}"/>
    <cellStyle name="Migliaia 37 16" xfId="51536" xr:uid="{00000000-0005-0000-0000-0000CFB80000}"/>
    <cellStyle name="Migliaia 37 17" xfId="51948" xr:uid="{00000000-0005-0000-0000-0000D0B80000}"/>
    <cellStyle name="Migliaia 37 18" xfId="52479" xr:uid="{00000000-0005-0000-0000-0000D1B80000}"/>
    <cellStyle name="Migliaia 37 2" xfId="406" xr:uid="{00000000-0005-0000-0000-0000D2B80000}"/>
    <cellStyle name="Migliaia 37 2 10" xfId="49968" xr:uid="{00000000-0005-0000-0000-0000D3B80000}"/>
    <cellStyle name="Migliaia 37 2 11" xfId="50376" xr:uid="{00000000-0005-0000-0000-0000D4B80000}"/>
    <cellStyle name="Migliaia 37 2 12" xfId="50818" xr:uid="{00000000-0005-0000-0000-0000D5B80000}"/>
    <cellStyle name="Migliaia 37 2 13" xfId="51537" xr:uid="{00000000-0005-0000-0000-0000D6B80000}"/>
    <cellStyle name="Migliaia 37 2 14" xfId="51949" xr:uid="{00000000-0005-0000-0000-0000D7B80000}"/>
    <cellStyle name="Migliaia 37 2 15" xfId="52480" xr:uid="{00000000-0005-0000-0000-0000D8B80000}"/>
    <cellStyle name="Migliaia 37 2 2" xfId="1274" xr:uid="{00000000-0005-0000-0000-0000D9B80000}"/>
    <cellStyle name="Migliaia 37 2 2 10" xfId="51126" xr:uid="{00000000-0005-0000-0000-0000DAB80000}"/>
    <cellStyle name="Migliaia 37 2 2 11" xfId="51722" xr:uid="{00000000-0005-0000-0000-0000DBB80000}"/>
    <cellStyle name="Migliaia 37 2 2 12" xfId="52142" xr:uid="{00000000-0005-0000-0000-0000DCB80000}"/>
    <cellStyle name="Migliaia 37 2 2 13" xfId="52946" xr:uid="{00000000-0005-0000-0000-0000DDB80000}"/>
    <cellStyle name="Migliaia 37 2 2 2" xfId="10101" xr:uid="{00000000-0005-0000-0000-0000DEB80000}"/>
    <cellStyle name="Migliaia 37 2 2 2 2" xfId="26421" xr:uid="{00000000-0005-0000-0000-0000DFB80000}"/>
    <cellStyle name="Migliaia 37 2 2 2 3" xfId="41389" xr:uid="{00000000-0005-0000-0000-0000E0B80000}"/>
    <cellStyle name="Migliaia 37 2 2 2 4" xfId="55301" xr:uid="{00000000-0005-0000-0000-0000E1B80000}"/>
    <cellStyle name="Migliaia 37 2 2 3" xfId="18350" xr:uid="{00000000-0005-0000-0000-0000E2B80000}"/>
    <cellStyle name="Migliaia 37 2 2 3 2" xfId="33817" xr:uid="{00000000-0005-0000-0000-0000E3B80000}"/>
    <cellStyle name="Migliaia 37 2 2 3 3" xfId="48778" xr:uid="{00000000-0005-0000-0000-0000E4B80000}"/>
    <cellStyle name="Migliaia 37 2 2 3 4" xfId="56223" xr:uid="{00000000-0005-0000-0000-0000E5B80000}"/>
    <cellStyle name="Migliaia 37 2 2 4" xfId="19400" xr:uid="{00000000-0005-0000-0000-0000E6B80000}"/>
    <cellStyle name="Migliaia 37 2 2 5" xfId="34390" xr:uid="{00000000-0005-0000-0000-0000E7B80000}"/>
    <cellStyle name="Migliaia 37 2 2 6" xfId="49342" xr:uid="{00000000-0005-0000-0000-0000E8B80000}"/>
    <cellStyle name="Migliaia 37 2 2 7" xfId="49747" xr:uid="{00000000-0005-0000-0000-0000E9B80000}"/>
    <cellStyle name="Migliaia 37 2 2 8" xfId="50156" xr:uid="{00000000-0005-0000-0000-0000EAB80000}"/>
    <cellStyle name="Migliaia 37 2 2 9" xfId="50561" xr:uid="{00000000-0005-0000-0000-0000EBB80000}"/>
    <cellStyle name="Migliaia 37 2 3" xfId="9293" xr:uid="{00000000-0005-0000-0000-0000ECB80000}"/>
    <cellStyle name="Migliaia 37 2 3 2" xfId="54679" xr:uid="{00000000-0005-0000-0000-0000EDB80000}"/>
    <cellStyle name="Migliaia 37 2 4" xfId="9916" xr:uid="{00000000-0005-0000-0000-0000EEB80000}"/>
    <cellStyle name="Migliaia 37 2 4 2" xfId="26241" xr:uid="{00000000-0005-0000-0000-0000EFB80000}"/>
    <cellStyle name="Migliaia 37 2 4 3" xfId="41219" xr:uid="{00000000-0005-0000-0000-0000F0B80000}"/>
    <cellStyle name="Migliaia 37 2 4 4" xfId="55762" xr:uid="{00000000-0005-0000-0000-0000F1B80000}"/>
    <cellStyle name="Migliaia 37 2 5" xfId="17241" xr:uid="{00000000-0005-0000-0000-0000F2B80000}"/>
    <cellStyle name="Migliaia 37 2 5 2" xfId="33356" xr:uid="{00000000-0005-0000-0000-0000F3B80000}"/>
    <cellStyle name="Migliaia 37 2 5 3" xfId="48317" xr:uid="{00000000-0005-0000-0000-0000F4B80000}"/>
    <cellStyle name="Migliaia 37 2 6" xfId="19222" xr:uid="{00000000-0005-0000-0000-0000F5B80000}"/>
    <cellStyle name="Migliaia 37 2 7" xfId="34217" xr:uid="{00000000-0005-0000-0000-0000F6B80000}"/>
    <cellStyle name="Migliaia 37 2 8" xfId="49157" xr:uid="{00000000-0005-0000-0000-0000F7B80000}"/>
    <cellStyle name="Migliaia 37 2 9" xfId="49562" xr:uid="{00000000-0005-0000-0000-0000F8B80000}"/>
    <cellStyle name="Migliaia 37 3" xfId="407" xr:uid="{00000000-0005-0000-0000-0000F9B80000}"/>
    <cellStyle name="Migliaia 37 3 10" xfId="49969" xr:uid="{00000000-0005-0000-0000-0000FAB80000}"/>
    <cellStyle name="Migliaia 37 3 11" xfId="50377" xr:uid="{00000000-0005-0000-0000-0000FBB80000}"/>
    <cellStyle name="Migliaia 37 3 12" xfId="50819" xr:uid="{00000000-0005-0000-0000-0000FCB80000}"/>
    <cellStyle name="Migliaia 37 3 13" xfId="51538" xr:uid="{00000000-0005-0000-0000-0000FDB80000}"/>
    <cellStyle name="Migliaia 37 3 14" xfId="51950" xr:uid="{00000000-0005-0000-0000-0000FEB80000}"/>
    <cellStyle name="Migliaia 37 3 15" xfId="52481" xr:uid="{00000000-0005-0000-0000-0000FFB80000}"/>
    <cellStyle name="Migliaia 37 3 2" xfId="408" xr:uid="{00000000-0005-0000-0000-000000B90000}"/>
    <cellStyle name="Migliaia 37 3 2 10" xfId="50378" xr:uid="{00000000-0005-0000-0000-000001B90000}"/>
    <cellStyle name="Migliaia 37 3 2 11" xfId="50820" xr:uid="{00000000-0005-0000-0000-000002B90000}"/>
    <cellStyle name="Migliaia 37 3 2 12" xfId="51539" xr:uid="{00000000-0005-0000-0000-000003B90000}"/>
    <cellStyle name="Migliaia 37 3 2 13" xfId="51951" xr:uid="{00000000-0005-0000-0000-000004B90000}"/>
    <cellStyle name="Migliaia 37 3 2 14" xfId="52482" xr:uid="{00000000-0005-0000-0000-000005B90000}"/>
    <cellStyle name="Migliaia 37 3 2 2" xfId="9295" xr:uid="{00000000-0005-0000-0000-000006B90000}"/>
    <cellStyle name="Migliaia 37 3 2 2 2" xfId="54898" xr:uid="{00000000-0005-0000-0000-000007B90000}"/>
    <cellStyle name="Migliaia 37 3 2 3" xfId="9918" xr:uid="{00000000-0005-0000-0000-000008B90000}"/>
    <cellStyle name="Migliaia 37 3 2 3 2" xfId="26243" xr:uid="{00000000-0005-0000-0000-000009B90000}"/>
    <cellStyle name="Migliaia 37 3 2 3 3" xfId="41221" xr:uid="{00000000-0005-0000-0000-00000AB90000}"/>
    <cellStyle name="Migliaia 37 3 2 3 4" xfId="55764" xr:uid="{00000000-0005-0000-0000-00000BB90000}"/>
    <cellStyle name="Migliaia 37 3 2 4" xfId="17243" xr:uid="{00000000-0005-0000-0000-00000CB90000}"/>
    <cellStyle name="Migliaia 37 3 2 4 2" xfId="33358" xr:uid="{00000000-0005-0000-0000-00000DB90000}"/>
    <cellStyle name="Migliaia 37 3 2 4 3" xfId="48319" xr:uid="{00000000-0005-0000-0000-00000EB90000}"/>
    <cellStyle name="Migliaia 37 3 2 5" xfId="19224" xr:uid="{00000000-0005-0000-0000-00000FB90000}"/>
    <cellStyle name="Migliaia 37 3 2 6" xfId="34219" xr:uid="{00000000-0005-0000-0000-000010B90000}"/>
    <cellStyle name="Migliaia 37 3 2 7" xfId="49159" xr:uid="{00000000-0005-0000-0000-000011B90000}"/>
    <cellStyle name="Migliaia 37 3 2 8" xfId="49564" xr:uid="{00000000-0005-0000-0000-000012B90000}"/>
    <cellStyle name="Migliaia 37 3 2 9" xfId="49970" xr:uid="{00000000-0005-0000-0000-000013B90000}"/>
    <cellStyle name="Migliaia 37 3 3" xfId="9294" xr:uid="{00000000-0005-0000-0000-000014B90000}"/>
    <cellStyle name="Migliaia 37 3 3 2" xfId="18352" xr:uid="{00000000-0005-0000-0000-000015B90000}"/>
    <cellStyle name="Migliaia 37 3 3 2 2" xfId="33819" xr:uid="{00000000-0005-0000-0000-000016B90000}"/>
    <cellStyle name="Migliaia 37 3 3 2 2 2" xfId="55303" xr:uid="{00000000-0005-0000-0000-000017B90000}"/>
    <cellStyle name="Migliaia 37 3 3 2 3" xfId="48780" xr:uid="{00000000-0005-0000-0000-000018B90000}"/>
    <cellStyle name="Migliaia 37 3 3 2 3 2" xfId="56225" xr:uid="{00000000-0005-0000-0000-000019B90000}"/>
    <cellStyle name="Migliaia 37 3 3 2 4" xfId="52948" xr:uid="{00000000-0005-0000-0000-00001AB90000}"/>
    <cellStyle name="Migliaia 37 3 3 3" xfId="17244" xr:uid="{00000000-0005-0000-0000-00001BB90000}"/>
    <cellStyle name="Migliaia 37 3 3 3 2" xfId="33359" xr:uid="{00000000-0005-0000-0000-00001CB90000}"/>
    <cellStyle name="Migliaia 37 3 3 3 3" xfId="48320" xr:uid="{00000000-0005-0000-0000-00001DB90000}"/>
    <cellStyle name="Migliaia 37 3 3 3 4" xfId="54899" xr:uid="{00000000-0005-0000-0000-00001EB90000}"/>
    <cellStyle name="Migliaia 37 3 3 4" xfId="55765" xr:uid="{00000000-0005-0000-0000-00001FB90000}"/>
    <cellStyle name="Migliaia 37 3 3 5" xfId="52483" xr:uid="{00000000-0005-0000-0000-000020B90000}"/>
    <cellStyle name="Migliaia 37 3 4" xfId="9917" xr:uid="{00000000-0005-0000-0000-000021B90000}"/>
    <cellStyle name="Migliaia 37 3 4 2" xfId="18351" xr:uid="{00000000-0005-0000-0000-000022B90000}"/>
    <cellStyle name="Migliaia 37 3 4 2 2" xfId="33818" xr:uid="{00000000-0005-0000-0000-000023B90000}"/>
    <cellStyle name="Migliaia 37 3 4 2 3" xfId="48779" xr:uid="{00000000-0005-0000-0000-000024B90000}"/>
    <cellStyle name="Migliaia 37 3 4 2 4" xfId="55302" xr:uid="{00000000-0005-0000-0000-000025B90000}"/>
    <cellStyle name="Migliaia 37 3 4 3" xfId="26242" xr:uid="{00000000-0005-0000-0000-000026B90000}"/>
    <cellStyle name="Migliaia 37 3 4 3 2" xfId="56224" xr:uid="{00000000-0005-0000-0000-000027B90000}"/>
    <cellStyle name="Migliaia 37 3 4 4" xfId="41220" xr:uid="{00000000-0005-0000-0000-000028B90000}"/>
    <cellStyle name="Migliaia 37 3 4 5" xfId="52947" xr:uid="{00000000-0005-0000-0000-000029B90000}"/>
    <cellStyle name="Migliaia 37 3 5" xfId="17242" xr:uid="{00000000-0005-0000-0000-00002AB90000}"/>
    <cellStyle name="Migliaia 37 3 5 2" xfId="33357" xr:uid="{00000000-0005-0000-0000-00002BB90000}"/>
    <cellStyle name="Migliaia 37 3 5 3" xfId="48318" xr:uid="{00000000-0005-0000-0000-00002CB90000}"/>
    <cellStyle name="Migliaia 37 3 5 4" xfId="54897" xr:uid="{00000000-0005-0000-0000-00002DB90000}"/>
    <cellStyle name="Migliaia 37 3 6" xfId="19223" xr:uid="{00000000-0005-0000-0000-00002EB90000}"/>
    <cellStyle name="Migliaia 37 3 6 2" xfId="55763" xr:uid="{00000000-0005-0000-0000-00002FB90000}"/>
    <cellStyle name="Migliaia 37 3 7" xfId="34218" xr:uid="{00000000-0005-0000-0000-000030B90000}"/>
    <cellStyle name="Migliaia 37 3 8" xfId="49158" xr:uid="{00000000-0005-0000-0000-000031B90000}"/>
    <cellStyle name="Migliaia 37 3 9" xfId="49563" xr:uid="{00000000-0005-0000-0000-000032B90000}"/>
    <cellStyle name="Migliaia 37 4" xfId="9296" xr:uid="{00000000-0005-0000-0000-000033B90000}"/>
    <cellStyle name="Migliaia 37 4 2" xfId="17246" xr:uid="{00000000-0005-0000-0000-000034B90000}"/>
    <cellStyle name="Migliaia 37 4 2 2" xfId="18354" xr:uid="{00000000-0005-0000-0000-000035B90000}"/>
    <cellStyle name="Migliaia 37 4 2 2 2" xfId="33821" xr:uid="{00000000-0005-0000-0000-000036B90000}"/>
    <cellStyle name="Migliaia 37 4 2 2 2 2" xfId="55305" xr:uid="{00000000-0005-0000-0000-000037B90000}"/>
    <cellStyle name="Migliaia 37 4 2 2 3" xfId="48782" xr:uid="{00000000-0005-0000-0000-000038B90000}"/>
    <cellStyle name="Migliaia 37 4 2 2 3 2" xfId="56227" xr:uid="{00000000-0005-0000-0000-000039B90000}"/>
    <cellStyle name="Migliaia 37 4 2 2 4" xfId="52950" xr:uid="{00000000-0005-0000-0000-00003AB90000}"/>
    <cellStyle name="Migliaia 37 4 2 3" xfId="33361" xr:uid="{00000000-0005-0000-0000-00003BB90000}"/>
    <cellStyle name="Migliaia 37 4 2 3 2" xfId="54901" xr:uid="{00000000-0005-0000-0000-00003CB90000}"/>
    <cellStyle name="Migliaia 37 4 2 4" xfId="48322" xr:uid="{00000000-0005-0000-0000-00003DB90000}"/>
    <cellStyle name="Migliaia 37 4 2 4 2" xfId="55767" xr:uid="{00000000-0005-0000-0000-00003EB90000}"/>
    <cellStyle name="Migliaia 37 4 2 5" xfId="52485" xr:uid="{00000000-0005-0000-0000-00003FB90000}"/>
    <cellStyle name="Migliaia 37 4 3" xfId="18353" xr:uid="{00000000-0005-0000-0000-000040B90000}"/>
    <cellStyle name="Migliaia 37 4 3 2" xfId="33820" xr:uid="{00000000-0005-0000-0000-000041B90000}"/>
    <cellStyle name="Migliaia 37 4 3 2 2" xfId="55304" xr:uid="{00000000-0005-0000-0000-000042B90000}"/>
    <cellStyle name="Migliaia 37 4 3 3" xfId="48781" xr:uid="{00000000-0005-0000-0000-000043B90000}"/>
    <cellStyle name="Migliaia 37 4 3 3 2" xfId="56226" xr:uid="{00000000-0005-0000-0000-000044B90000}"/>
    <cellStyle name="Migliaia 37 4 3 4" xfId="52949" xr:uid="{00000000-0005-0000-0000-000045B90000}"/>
    <cellStyle name="Migliaia 37 4 4" xfId="17245" xr:uid="{00000000-0005-0000-0000-000046B90000}"/>
    <cellStyle name="Migliaia 37 4 4 2" xfId="33360" xr:uid="{00000000-0005-0000-0000-000047B90000}"/>
    <cellStyle name="Migliaia 37 4 4 3" xfId="48321" xr:uid="{00000000-0005-0000-0000-000048B90000}"/>
    <cellStyle name="Migliaia 37 4 4 4" xfId="54900" xr:uid="{00000000-0005-0000-0000-000049B90000}"/>
    <cellStyle name="Migliaia 37 4 5" xfId="51281" xr:uid="{00000000-0005-0000-0000-00004AB90000}"/>
    <cellStyle name="Migliaia 37 4 5 2" xfId="55766" xr:uid="{00000000-0005-0000-0000-00004BB90000}"/>
    <cellStyle name="Migliaia 37 4 6" xfId="52484" xr:uid="{00000000-0005-0000-0000-00004CB90000}"/>
    <cellStyle name="Migliaia 37 5" xfId="9297" xr:uid="{00000000-0005-0000-0000-00004DB90000}"/>
    <cellStyle name="Migliaia 37 5 2" xfId="17247" xr:uid="{00000000-0005-0000-0000-00004EB90000}"/>
    <cellStyle name="Migliaia 37 5 2 2" xfId="33362" xr:uid="{00000000-0005-0000-0000-00004FB90000}"/>
    <cellStyle name="Migliaia 37 5 2 3" xfId="48323" xr:uid="{00000000-0005-0000-0000-000050B90000}"/>
    <cellStyle name="Migliaia 37 5 2 4" xfId="54902" xr:uid="{00000000-0005-0000-0000-000051B90000}"/>
    <cellStyle name="Migliaia 37 5 3" xfId="51280" xr:uid="{00000000-0005-0000-0000-000052B90000}"/>
    <cellStyle name="Migliaia 37 5 3 2" xfId="55768" xr:uid="{00000000-0005-0000-0000-000053B90000}"/>
    <cellStyle name="Migliaia 37 5 4" xfId="52486" xr:uid="{00000000-0005-0000-0000-000054B90000}"/>
    <cellStyle name="Migliaia 37 6" xfId="9292" xr:uid="{00000000-0005-0000-0000-000055B90000}"/>
    <cellStyle name="Migliaia 37 6 2" xfId="51188" xr:uid="{00000000-0005-0000-0000-000056B90000}"/>
    <cellStyle name="Migliaia 37 6 3" xfId="54615" xr:uid="{00000000-0005-0000-0000-000057B90000}"/>
    <cellStyle name="Migliaia 37 7" xfId="9915" xr:uid="{00000000-0005-0000-0000-000058B90000}"/>
    <cellStyle name="Migliaia 37 7 2" xfId="26240" xr:uid="{00000000-0005-0000-0000-000059B90000}"/>
    <cellStyle name="Migliaia 37 7 3" xfId="41218" xr:uid="{00000000-0005-0000-0000-00005AB90000}"/>
    <cellStyle name="Migliaia 37 7 4" xfId="55761" xr:uid="{00000000-0005-0000-0000-00005BB90000}"/>
    <cellStyle name="Migliaia 37 8" xfId="17240" xr:uid="{00000000-0005-0000-0000-00005CB90000}"/>
    <cellStyle name="Migliaia 37 8 2" xfId="33355" xr:uid="{00000000-0005-0000-0000-00005DB90000}"/>
    <cellStyle name="Migliaia 37 8 3" xfId="48316" xr:uid="{00000000-0005-0000-0000-00005EB90000}"/>
    <cellStyle name="Migliaia 37 9" xfId="19221" xr:uid="{00000000-0005-0000-0000-00005FB90000}"/>
    <cellStyle name="Migliaia 38" xfId="409" xr:uid="{00000000-0005-0000-0000-000060B90000}"/>
    <cellStyle name="Migliaia 38 10" xfId="34220" xr:uid="{00000000-0005-0000-0000-000061B90000}"/>
    <cellStyle name="Migliaia 38 11" xfId="49160" xr:uid="{00000000-0005-0000-0000-000062B90000}"/>
    <cellStyle name="Migliaia 38 12" xfId="49565" xr:uid="{00000000-0005-0000-0000-000063B90000}"/>
    <cellStyle name="Migliaia 38 13" xfId="49971" xr:uid="{00000000-0005-0000-0000-000064B90000}"/>
    <cellStyle name="Migliaia 38 14" xfId="50379" xr:uid="{00000000-0005-0000-0000-000065B90000}"/>
    <cellStyle name="Migliaia 38 15" xfId="50821" xr:uid="{00000000-0005-0000-0000-000066B90000}"/>
    <cellStyle name="Migliaia 38 16" xfId="51540" xr:uid="{00000000-0005-0000-0000-000067B90000}"/>
    <cellStyle name="Migliaia 38 17" xfId="51952" xr:uid="{00000000-0005-0000-0000-000068B90000}"/>
    <cellStyle name="Migliaia 38 18" xfId="52487" xr:uid="{00000000-0005-0000-0000-000069B90000}"/>
    <cellStyle name="Migliaia 38 2" xfId="410" xr:uid="{00000000-0005-0000-0000-00006AB90000}"/>
    <cellStyle name="Migliaia 38 2 10" xfId="49972" xr:uid="{00000000-0005-0000-0000-00006BB90000}"/>
    <cellStyle name="Migliaia 38 2 11" xfId="50380" xr:uid="{00000000-0005-0000-0000-00006CB90000}"/>
    <cellStyle name="Migliaia 38 2 12" xfId="50822" xr:uid="{00000000-0005-0000-0000-00006DB90000}"/>
    <cellStyle name="Migliaia 38 2 13" xfId="51541" xr:uid="{00000000-0005-0000-0000-00006EB90000}"/>
    <cellStyle name="Migliaia 38 2 14" xfId="51953" xr:uid="{00000000-0005-0000-0000-00006FB90000}"/>
    <cellStyle name="Migliaia 38 2 15" xfId="52488" xr:uid="{00000000-0005-0000-0000-000070B90000}"/>
    <cellStyle name="Migliaia 38 2 2" xfId="1275" xr:uid="{00000000-0005-0000-0000-000071B90000}"/>
    <cellStyle name="Migliaia 38 2 2 10" xfId="51127" xr:uid="{00000000-0005-0000-0000-000072B90000}"/>
    <cellStyle name="Migliaia 38 2 2 11" xfId="51723" xr:uid="{00000000-0005-0000-0000-000073B90000}"/>
    <cellStyle name="Migliaia 38 2 2 12" xfId="52143" xr:uid="{00000000-0005-0000-0000-000074B90000}"/>
    <cellStyle name="Migliaia 38 2 2 13" xfId="52951" xr:uid="{00000000-0005-0000-0000-000075B90000}"/>
    <cellStyle name="Migliaia 38 2 2 2" xfId="10102" xr:uid="{00000000-0005-0000-0000-000076B90000}"/>
    <cellStyle name="Migliaia 38 2 2 2 2" xfId="26422" xr:uid="{00000000-0005-0000-0000-000077B90000}"/>
    <cellStyle name="Migliaia 38 2 2 2 3" xfId="41390" xr:uid="{00000000-0005-0000-0000-000078B90000}"/>
    <cellStyle name="Migliaia 38 2 2 2 4" xfId="55306" xr:uid="{00000000-0005-0000-0000-000079B90000}"/>
    <cellStyle name="Migliaia 38 2 2 3" xfId="18355" xr:uid="{00000000-0005-0000-0000-00007AB90000}"/>
    <cellStyle name="Migliaia 38 2 2 3 2" xfId="33822" xr:uid="{00000000-0005-0000-0000-00007BB90000}"/>
    <cellStyle name="Migliaia 38 2 2 3 3" xfId="48783" xr:uid="{00000000-0005-0000-0000-00007CB90000}"/>
    <cellStyle name="Migliaia 38 2 2 3 4" xfId="56228" xr:uid="{00000000-0005-0000-0000-00007DB90000}"/>
    <cellStyle name="Migliaia 38 2 2 4" xfId="19401" xr:uid="{00000000-0005-0000-0000-00007EB90000}"/>
    <cellStyle name="Migliaia 38 2 2 5" xfId="34391" xr:uid="{00000000-0005-0000-0000-00007FB90000}"/>
    <cellStyle name="Migliaia 38 2 2 6" xfId="49343" xr:uid="{00000000-0005-0000-0000-000080B90000}"/>
    <cellStyle name="Migliaia 38 2 2 7" xfId="49748" xr:uid="{00000000-0005-0000-0000-000081B90000}"/>
    <cellStyle name="Migliaia 38 2 2 8" xfId="50157" xr:uid="{00000000-0005-0000-0000-000082B90000}"/>
    <cellStyle name="Migliaia 38 2 2 9" xfId="50562" xr:uid="{00000000-0005-0000-0000-000083B90000}"/>
    <cellStyle name="Migliaia 38 2 3" xfId="9299" xr:uid="{00000000-0005-0000-0000-000084B90000}"/>
    <cellStyle name="Migliaia 38 2 3 2" xfId="54680" xr:uid="{00000000-0005-0000-0000-000085B90000}"/>
    <cellStyle name="Migliaia 38 2 4" xfId="9920" xr:uid="{00000000-0005-0000-0000-000086B90000}"/>
    <cellStyle name="Migliaia 38 2 4 2" xfId="26245" xr:uid="{00000000-0005-0000-0000-000087B90000}"/>
    <cellStyle name="Migliaia 38 2 4 3" xfId="41223" xr:uid="{00000000-0005-0000-0000-000088B90000}"/>
    <cellStyle name="Migliaia 38 2 4 4" xfId="55770" xr:uid="{00000000-0005-0000-0000-000089B90000}"/>
    <cellStyle name="Migliaia 38 2 5" xfId="17249" xr:uid="{00000000-0005-0000-0000-00008AB90000}"/>
    <cellStyle name="Migliaia 38 2 5 2" xfId="33364" xr:uid="{00000000-0005-0000-0000-00008BB90000}"/>
    <cellStyle name="Migliaia 38 2 5 3" xfId="48325" xr:uid="{00000000-0005-0000-0000-00008CB90000}"/>
    <cellStyle name="Migliaia 38 2 6" xfId="19226" xr:uid="{00000000-0005-0000-0000-00008DB90000}"/>
    <cellStyle name="Migliaia 38 2 7" xfId="34221" xr:uid="{00000000-0005-0000-0000-00008EB90000}"/>
    <cellStyle name="Migliaia 38 2 8" xfId="49161" xr:uid="{00000000-0005-0000-0000-00008FB90000}"/>
    <cellStyle name="Migliaia 38 2 9" xfId="49566" xr:uid="{00000000-0005-0000-0000-000090B90000}"/>
    <cellStyle name="Migliaia 38 3" xfId="411" xr:uid="{00000000-0005-0000-0000-000091B90000}"/>
    <cellStyle name="Migliaia 38 3 10" xfId="49973" xr:uid="{00000000-0005-0000-0000-000092B90000}"/>
    <cellStyle name="Migliaia 38 3 11" xfId="50381" xr:uid="{00000000-0005-0000-0000-000093B90000}"/>
    <cellStyle name="Migliaia 38 3 12" xfId="50823" xr:uid="{00000000-0005-0000-0000-000094B90000}"/>
    <cellStyle name="Migliaia 38 3 13" xfId="51542" xr:uid="{00000000-0005-0000-0000-000095B90000}"/>
    <cellStyle name="Migliaia 38 3 14" xfId="51954" xr:uid="{00000000-0005-0000-0000-000096B90000}"/>
    <cellStyle name="Migliaia 38 3 15" xfId="52489" xr:uid="{00000000-0005-0000-0000-000097B90000}"/>
    <cellStyle name="Migliaia 38 3 2" xfId="412" xr:uid="{00000000-0005-0000-0000-000098B90000}"/>
    <cellStyle name="Migliaia 38 3 2 10" xfId="50382" xr:uid="{00000000-0005-0000-0000-000099B90000}"/>
    <cellStyle name="Migliaia 38 3 2 11" xfId="50824" xr:uid="{00000000-0005-0000-0000-00009AB90000}"/>
    <cellStyle name="Migliaia 38 3 2 12" xfId="51543" xr:uid="{00000000-0005-0000-0000-00009BB90000}"/>
    <cellStyle name="Migliaia 38 3 2 13" xfId="51955" xr:uid="{00000000-0005-0000-0000-00009CB90000}"/>
    <cellStyle name="Migliaia 38 3 2 14" xfId="52490" xr:uid="{00000000-0005-0000-0000-00009DB90000}"/>
    <cellStyle name="Migliaia 38 3 2 2" xfId="9301" xr:uid="{00000000-0005-0000-0000-00009EB90000}"/>
    <cellStyle name="Migliaia 38 3 2 2 2" xfId="54904" xr:uid="{00000000-0005-0000-0000-00009FB90000}"/>
    <cellStyle name="Migliaia 38 3 2 3" xfId="9922" xr:uid="{00000000-0005-0000-0000-0000A0B90000}"/>
    <cellStyle name="Migliaia 38 3 2 3 2" xfId="26247" xr:uid="{00000000-0005-0000-0000-0000A1B90000}"/>
    <cellStyle name="Migliaia 38 3 2 3 3" xfId="41225" xr:uid="{00000000-0005-0000-0000-0000A2B90000}"/>
    <cellStyle name="Migliaia 38 3 2 3 4" xfId="55772" xr:uid="{00000000-0005-0000-0000-0000A3B90000}"/>
    <cellStyle name="Migliaia 38 3 2 4" xfId="17251" xr:uid="{00000000-0005-0000-0000-0000A4B90000}"/>
    <cellStyle name="Migliaia 38 3 2 4 2" xfId="33366" xr:uid="{00000000-0005-0000-0000-0000A5B90000}"/>
    <cellStyle name="Migliaia 38 3 2 4 3" xfId="48327" xr:uid="{00000000-0005-0000-0000-0000A6B90000}"/>
    <cellStyle name="Migliaia 38 3 2 5" xfId="19228" xr:uid="{00000000-0005-0000-0000-0000A7B90000}"/>
    <cellStyle name="Migliaia 38 3 2 6" xfId="34223" xr:uid="{00000000-0005-0000-0000-0000A8B90000}"/>
    <cellStyle name="Migliaia 38 3 2 7" xfId="49163" xr:uid="{00000000-0005-0000-0000-0000A9B90000}"/>
    <cellStyle name="Migliaia 38 3 2 8" xfId="49568" xr:uid="{00000000-0005-0000-0000-0000AAB90000}"/>
    <cellStyle name="Migliaia 38 3 2 9" xfId="49974" xr:uid="{00000000-0005-0000-0000-0000ABB90000}"/>
    <cellStyle name="Migliaia 38 3 3" xfId="9300" xr:uid="{00000000-0005-0000-0000-0000ACB90000}"/>
    <cellStyle name="Migliaia 38 3 3 2" xfId="18357" xr:uid="{00000000-0005-0000-0000-0000ADB90000}"/>
    <cellStyle name="Migliaia 38 3 3 2 2" xfId="33824" xr:uid="{00000000-0005-0000-0000-0000AEB90000}"/>
    <cellStyle name="Migliaia 38 3 3 2 2 2" xfId="55308" xr:uid="{00000000-0005-0000-0000-0000AFB90000}"/>
    <cellStyle name="Migliaia 38 3 3 2 3" xfId="48785" xr:uid="{00000000-0005-0000-0000-0000B0B90000}"/>
    <cellStyle name="Migliaia 38 3 3 2 3 2" xfId="56230" xr:uid="{00000000-0005-0000-0000-0000B1B90000}"/>
    <cellStyle name="Migliaia 38 3 3 2 4" xfId="52953" xr:uid="{00000000-0005-0000-0000-0000B2B90000}"/>
    <cellStyle name="Migliaia 38 3 3 3" xfId="17252" xr:uid="{00000000-0005-0000-0000-0000B3B90000}"/>
    <cellStyle name="Migliaia 38 3 3 3 2" xfId="33367" xr:uid="{00000000-0005-0000-0000-0000B4B90000}"/>
    <cellStyle name="Migliaia 38 3 3 3 3" xfId="48328" xr:uid="{00000000-0005-0000-0000-0000B5B90000}"/>
    <cellStyle name="Migliaia 38 3 3 3 4" xfId="54905" xr:uid="{00000000-0005-0000-0000-0000B6B90000}"/>
    <cellStyle name="Migliaia 38 3 3 4" xfId="55773" xr:uid="{00000000-0005-0000-0000-0000B7B90000}"/>
    <cellStyle name="Migliaia 38 3 3 5" xfId="52491" xr:uid="{00000000-0005-0000-0000-0000B8B90000}"/>
    <cellStyle name="Migliaia 38 3 4" xfId="9921" xr:uid="{00000000-0005-0000-0000-0000B9B90000}"/>
    <cellStyle name="Migliaia 38 3 4 2" xfId="18356" xr:uid="{00000000-0005-0000-0000-0000BAB90000}"/>
    <cellStyle name="Migliaia 38 3 4 2 2" xfId="33823" xr:uid="{00000000-0005-0000-0000-0000BBB90000}"/>
    <cellStyle name="Migliaia 38 3 4 2 3" xfId="48784" xr:uid="{00000000-0005-0000-0000-0000BCB90000}"/>
    <cellStyle name="Migliaia 38 3 4 2 4" xfId="55307" xr:uid="{00000000-0005-0000-0000-0000BDB90000}"/>
    <cellStyle name="Migliaia 38 3 4 3" xfId="26246" xr:uid="{00000000-0005-0000-0000-0000BEB90000}"/>
    <cellStyle name="Migliaia 38 3 4 3 2" xfId="56229" xr:uid="{00000000-0005-0000-0000-0000BFB90000}"/>
    <cellStyle name="Migliaia 38 3 4 4" xfId="41224" xr:uid="{00000000-0005-0000-0000-0000C0B90000}"/>
    <cellStyle name="Migliaia 38 3 4 5" xfId="52952" xr:uid="{00000000-0005-0000-0000-0000C1B90000}"/>
    <cellStyle name="Migliaia 38 3 5" xfId="17250" xr:uid="{00000000-0005-0000-0000-0000C2B90000}"/>
    <cellStyle name="Migliaia 38 3 5 2" xfId="33365" xr:uid="{00000000-0005-0000-0000-0000C3B90000}"/>
    <cellStyle name="Migliaia 38 3 5 3" xfId="48326" xr:uid="{00000000-0005-0000-0000-0000C4B90000}"/>
    <cellStyle name="Migliaia 38 3 5 4" xfId="54903" xr:uid="{00000000-0005-0000-0000-0000C5B90000}"/>
    <cellStyle name="Migliaia 38 3 6" xfId="19227" xr:uid="{00000000-0005-0000-0000-0000C6B90000}"/>
    <cellStyle name="Migliaia 38 3 6 2" xfId="55771" xr:uid="{00000000-0005-0000-0000-0000C7B90000}"/>
    <cellStyle name="Migliaia 38 3 7" xfId="34222" xr:uid="{00000000-0005-0000-0000-0000C8B90000}"/>
    <cellStyle name="Migliaia 38 3 8" xfId="49162" xr:uid="{00000000-0005-0000-0000-0000C9B90000}"/>
    <cellStyle name="Migliaia 38 3 9" xfId="49567" xr:uid="{00000000-0005-0000-0000-0000CAB90000}"/>
    <cellStyle name="Migliaia 38 4" xfId="9302" xr:uid="{00000000-0005-0000-0000-0000CBB90000}"/>
    <cellStyle name="Migliaia 38 4 2" xfId="17254" xr:uid="{00000000-0005-0000-0000-0000CCB90000}"/>
    <cellStyle name="Migliaia 38 4 2 2" xfId="18359" xr:uid="{00000000-0005-0000-0000-0000CDB90000}"/>
    <cellStyle name="Migliaia 38 4 2 2 2" xfId="33826" xr:uid="{00000000-0005-0000-0000-0000CEB90000}"/>
    <cellStyle name="Migliaia 38 4 2 2 2 2" xfId="55310" xr:uid="{00000000-0005-0000-0000-0000CFB90000}"/>
    <cellStyle name="Migliaia 38 4 2 2 3" xfId="48787" xr:uid="{00000000-0005-0000-0000-0000D0B90000}"/>
    <cellStyle name="Migliaia 38 4 2 2 3 2" xfId="56232" xr:uid="{00000000-0005-0000-0000-0000D1B90000}"/>
    <cellStyle name="Migliaia 38 4 2 2 4" xfId="52955" xr:uid="{00000000-0005-0000-0000-0000D2B90000}"/>
    <cellStyle name="Migliaia 38 4 2 3" xfId="33369" xr:uid="{00000000-0005-0000-0000-0000D3B90000}"/>
    <cellStyle name="Migliaia 38 4 2 3 2" xfId="54907" xr:uid="{00000000-0005-0000-0000-0000D4B90000}"/>
    <cellStyle name="Migliaia 38 4 2 4" xfId="48330" xr:uid="{00000000-0005-0000-0000-0000D5B90000}"/>
    <cellStyle name="Migliaia 38 4 2 4 2" xfId="55775" xr:uid="{00000000-0005-0000-0000-0000D6B90000}"/>
    <cellStyle name="Migliaia 38 4 2 5" xfId="52493" xr:uid="{00000000-0005-0000-0000-0000D7B90000}"/>
    <cellStyle name="Migliaia 38 4 3" xfId="18358" xr:uid="{00000000-0005-0000-0000-0000D8B90000}"/>
    <cellStyle name="Migliaia 38 4 3 2" xfId="33825" xr:uid="{00000000-0005-0000-0000-0000D9B90000}"/>
    <cellStyle name="Migliaia 38 4 3 2 2" xfId="55309" xr:uid="{00000000-0005-0000-0000-0000DAB90000}"/>
    <cellStyle name="Migliaia 38 4 3 3" xfId="48786" xr:uid="{00000000-0005-0000-0000-0000DBB90000}"/>
    <cellStyle name="Migliaia 38 4 3 3 2" xfId="56231" xr:uid="{00000000-0005-0000-0000-0000DCB90000}"/>
    <cellStyle name="Migliaia 38 4 3 4" xfId="52954" xr:uid="{00000000-0005-0000-0000-0000DDB90000}"/>
    <cellStyle name="Migliaia 38 4 4" xfId="17253" xr:uid="{00000000-0005-0000-0000-0000DEB90000}"/>
    <cellStyle name="Migliaia 38 4 4 2" xfId="33368" xr:uid="{00000000-0005-0000-0000-0000DFB90000}"/>
    <cellStyle name="Migliaia 38 4 4 3" xfId="48329" xr:uid="{00000000-0005-0000-0000-0000E0B90000}"/>
    <cellStyle name="Migliaia 38 4 4 4" xfId="54906" xr:uid="{00000000-0005-0000-0000-0000E1B90000}"/>
    <cellStyle name="Migliaia 38 4 5" xfId="51282" xr:uid="{00000000-0005-0000-0000-0000E2B90000}"/>
    <cellStyle name="Migliaia 38 4 5 2" xfId="55774" xr:uid="{00000000-0005-0000-0000-0000E3B90000}"/>
    <cellStyle name="Migliaia 38 4 6" xfId="52492" xr:uid="{00000000-0005-0000-0000-0000E4B90000}"/>
    <cellStyle name="Migliaia 38 5" xfId="9303" xr:uid="{00000000-0005-0000-0000-0000E5B90000}"/>
    <cellStyle name="Migliaia 38 5 2" xfId="17255" xr:uid="{00000000-0005-0000-0000-0000E6B90000}"/>
    <cellStyle name="Migliaia 38 5 2 2" xfId="33370" xr:uid="{00000000-0005-0000-0000-0000E7B90000}"/>
    <cellStyle name="Migliaia 38 5 2 3" xfId="48331" xr:uid="{00000000-0005-0000-0000-0000E8B90000}"/>
    <cellStyle name="Migliaia 38 5 2 4" xfId="54908" xr:uid="{00000000-0005-0000-0000-0000E9B90000}"/>
    <cellStyle name="Migliaia 38 5 3" xfId="50972" xr:uid="{00000000-0005-0000-0000-0000EAB90000}"/>
    <cellStyle name="Migliaia 38 5 3 2" xfId="55776" xr:uid="{00000000-0005-0000-0000-0000EBB90000}"/>
    <cellStyle name="Migliaia 38 5 4" xfId="52494" xr:uid="{00000000-0005-0000-0000-0000ECB90000}"/>
    <cellStyle name="Migliaia 38 6" xfId="9298" xr:uid="{00000000-0005-0000-0000-0000EDB90000}"/>
    <cellStyle name="Migliaia 38 6 2" xfId="51033" xr:uid="{00000000-0005-0000-0000-0000EEB90000}"/>
    <cellStyle name="Migliaia 38 6 3" xfId="54616" xr:uid="{00000000-0005-0000-0000-0000EFB90000}"/>
    <cellStyle name="Migliaia 38 7" xfId="9919" xr:uid="{00000000-0005-0000-0000-0000F0B90000}"/>
    <cellStyle name="Migliaia 38 7 2" xfId="26244" xr:uid="{00000000-0005-0000-0000-0000F1B90000}"/>
    <cellStyle name="Migliaia 38 7 3" xfId="41222" xr:uid="{00000000-0005-0000-0000-0000F2B90000}"/>
    <cellStyle name="Migliaia 38 7 4" xfId="55769" xr:uid="{00000000-0005-0000-0000-0000F3B90000}"/>
    <cellStyle name="Migliaia 38 8" xfId="17248" xr:uid="{00000000-0005-0000-0000-0000F4B90000}"/>
    <cellStyle name="Migliaia 38 8 2" xfId="33363" xr:uid="{00000000-0005-0000-0000-0000F5B90000}"/>
    <cellStyle name="Migliaia 38 8 3" xfId="48324" xr:uid="{00000000-0005-0000-0000-0000F6B90000}"/>
    <cellStyle name="Migliaia 38 9" xfId="19225" xr:uid="{00000000-0005-0000-0000-0000F7B90000}"/>
    <cellStyle name="Migliaia 39" xfId="413" xr:uid="{00000000-0005-0000-0000-0000F8B90000}"/>
    <cellStyle name="Migliaia 39 10" xfId="34224" xr:uid="{00000000-0005-0000-0000-0000F9B90000}"/>
    <cellStyle name="Migliaia 39 11" xfId="49164" xr:uid="{00000000-0005-0000-0000-0000FAB90000}"/>
    <cellStyle name="Migliaia 39 12" xfId="49569" xr:uid="{00000000-0005-0000-0000-0000FBB90000}"/>
    <cellStyle name="Migliaia 39 13" xfId="49975" xr:uid="{00000000-0005-0000-0000-0000FCB90000}"/>
    <cellStyle name="Migliaia 39 14" xfId="50383" xr:uid="{00000000-0005-0000-0000-0000FDB90000}"/>
    <cellStyle name="Migliaia 39 15" xfId="50825" xr:uid="{00000000-0005-0000-0000-0000FEB90000}"/>
    <cellStyle name="Migliaia 39 16" xfId="51544" xr:uid="{00000000-0005-0000-0000-0000FFB90000}"/>
    <cellStyle name="Migliaia 39 17" xfId="51956" xr:uid="{00000000-0005-0000-0000-000000BA0000}"/>
    <cellStyle name="Migliaia 39 18" xfId="52495" xr:uid="{00000000-0005-0000-0000-000001BA0000}"/>
    <cellStyle name="Migliaia 39 2" xfId="414" xr:uid="{00000000-0005-0000-0000-000002BA0000}"/>
    <cellStyle name="Migliaia 39 2 10" xfId="49976" xr:uid="{00000000-0005-0000-0000-000003BA0000}"/>
    <cellStyle name="Migliaia 39 2 11" xfId="50384" xr:uid="{00000000-0005-0000-0000-000004BA0000}"/>
    <cellStyle name="Migliaia 39 2 12" xfId="50826" xr:uid="{00000000-0005-0000-0000-000005BA0000}"/>
    <cellStyle name="Migliaia 39 2 13" xfId="51545" xr:uid="{00000000-0005-0000-0000-000006BA0000}"/>
    <cellStyle name="Migliaia 39 2 14" xfId="51957" xr:uid="{00000000-0005-0000-0000-000007BA0000}"/>
    <cellStyle name="Migliaia 39 2 15" xfId="52496" xr:uid="{00000000-0005-0000-0000-000008BA0000}"/>
    <cellStyle name="Migliaia 39 2 2" xfId="1276" xr:uid="{00000000-0005-0000-0000-000009BA0000}"/>
    <cellStyle name="Migliaia 39 2 2 10" xfId="51128" xr:uid="{00000000-0005-0000-0000-00000ABA0000}"/>
    <cellStyle name="Migliaia 39 2 2 11" xfId="51724" xr:uid="{00000000-0005-0000-0000-00000BBA0000}"/>
    <cellStyle name="Migliaia 39 2 2 12" xfId="52144" xr:uid="{00000000-0005-0000-0000-00000CBA0000}"/>
    <cellStyle name="Migliaia 39 2 2 13" xfId="52956" xr:uid="{00000000-0005-0000-0000-00000DBA0000}"/>
    <cellStyle name="Migliaia 39 2 2 2" xfId="10103" xr:uid="{00000000-0005-0000-0000-00000EBA0000}"/>
    <cellStyle name="Migliaia 39 2 2 2 2" xfId="26423" xr:uid="{00000000-0005-0000-0000-00000FBA0000}"/>
    <cellStyle name="Migliaia 39 2 2 2 3" xfId="41391" xr:uid="{00000000-0005-0000-0000-000010BA0000}"/>
    <cellStyle name="Migliaia 39 2 2 2 4" xfId="55311" xr:uid="{00000000-0005-0000-0000-000011BA0000}"/>
    <cellStyle name="Migliaia 39 2 2 3" xfId="18360" xr:uid="{00000000-0005-0000-0000-000012BA0000}"/>
    <cellStyle name="Migliaia 39 2 2 3 2" xfId="33827" xr:uid="{00000000-0005-0000-0000-000013BA0000}"/>
    <cellStyle name="Migliaia 39 2 2 3 3" xfId="48788" xr:uid="{00000000-0005-0000-0000-000014BA0000}"/>
    <cellStyle name="Migliaia 39 2 2 3 4" xfId="56233" xr:uid="{00000000-0005-0000-0000-000015BA0000}"/>
    <cellStyle name="Migliaia 39 2 2 4" xfId="19402" xr:uid="{00000000-0005-0000-0000-000016BA0000}"/>
    <cellStyle name="Migliaia 39 2 2 5" xfId="34392" xr:uid="{00000000-0005-0000-0000-000017BA0000}"/>
    <cellStyle name="Migliaia 39 2 2 6" xfId="49344" xr:uid="{00000000-0005-0000-0000-000018BA0000}"/>
    <cellStyle name="Migliaia 39 2 2 7" xfId="49749" xr:uid="{00000000-0005-0000-0000-000019BA0000}"/>
    <cellStyle name="Migliaia 39 2 2 8" xfId="50158" xr:uid="{00000000-0005-0000-0000-00001ABA0000}"/>
    <cellStyle name="Migliaia 39 2 2 9" xfId="50563" xr:uid="{00000000-0005-0000-0000-00001BBA0000}"/>
    <cellStyle name="Migliaia 39 2 3" xfId="9305" xr:uid="{00000000-0005-0000-0000-00001CBA0000}"/>
    <cellStyle name="Migliaia 39 2 3 2" xfId="54681" xr:uid="{00000000-0005-0000-0000-00001DBA0000}"/>
    <cellStyle name="Migliaia 39 2 4" xfId="9924" xr:uid="{00000000-0005-0000-0000-00001EBA0000}"/>
    <cellStyle name="Migliaia 39 2 4 2" xfId="26249" xr:uid="{00000000-0005-0000-0000-00001FBA0000}"/>
    <cellStyle name="Migliaia 39 2 4 3" xfId="41227" xr:uid="{00000000-0005-0000-0000-000020BA0000}"/>
    <cellStyle name="Migliaia 39 2 4 4" xfId="55778" xr:uid="{00000000-0005-0000-0000-000021BA0000}"/>
    <cellStyle name="Migliaia 39 2 5" xfId="17257" xr:uid="{00000000-0005-0000-0000-000022BA0000}"/>
    <cellStyle name="Migliaia 39 2 5 2" xfId="33372" xr:uid="{00000000-0005-0000-0000-000023BA0000}"/>
    <cellStyle name="Migliaia 39 2 5 3" xfId="48333" xr:uid="{00000000-0005-0000-0000-000024BA0000}"/>
    <cellStyle name="Migliaia 39 2 6" xfId="19230" xr:uid="{00000000-0005-0000-0000-000025BA0000}"/>
    <cellStyle name="Migliaia 39 2 7" xfId="34225" xr:uid="{00000000-0005-0000-0000-000026BA0000}"/>
    <cellStyle name="Migliaia 39 2 8" xfId="49165" xr:uid="{00000000-0005-0000-0000-000027BA0000}"/>
    <cellStyle name="Migliaia 39 2 9" xfId="49570" xr:uid="{00000000-0005-0000-0000-000028BA0000}"/>
    <cellStyle name="Migliaia 39 3" xfId="415" xr:uid="{00000000-0005-0000-0000-000029BA0000}"/>
    <cellStyle name="Migliaia 39 3 10" xfId="49977" xr:uid="{00000000-0005-0000-0000-00002ABA0000}"/>
    <cellStyle name="Migliaia 39 3 11" xfId="50385" xr:uid="{00000000-0005-0000-0000-00002BBA0000}"/>
    <cellStyle name="Migliaia 39 3 12" xfId="50827" xr:uid="{00000000-0005-0000-0000-00002CBA0000}"/>
    <cellStyle name="Migliaia 39 3 13" xfId="51546" xr:uid="{00000000-0005-0000-0000-00002DBA0000}"/>
    <cellStyle name="Migliaia 39 3 14" xfId="51958" xr:uid="{00000000-0005-0000-0000-00002EBA0000}"/>
    <cellStyle name="Migliaia 39 3 15" xfId="52497" xr:uid="{00000000-0005-0000-0000-00002FBA0000}"/>
    <cellStyle name="Migliaia 39 3 2" xfId="416" xr:uid="{00000000-0005-0000-0000-000030BA0000}"/>
    <cellStyle name="Migliaia 39 3 2 10" xfId="50386" xr:uid="{00000000-0005-0000-0000-000031BA0000}"/>
    <cellStyle name="Migliaia 39 3 2 11" xfId="50828" xr:uid="{00000000-0005-0000-0000-000032BA0000}"/>
    <cellStyle name="Migliaia 39 3 2 12" xfId="51547" xr:uid="{00000000-0005-0000-0000-000033BA0000}"/>
    <cellStyle name="Migliaia 39 3 2 13" xfId="51959" xr:uid="{00000000-0005-0000-0000-000034BA0000}"/>
    <cellStyle name="Migliaia 39 3 2 14" xfId="52498" xr:uid="{00000000-0005-0000-0000-000035BA0000}"/>
    <cellStyle name="Migliaia 39 3 2 2" xfId="9307" xr:uid="{00000000-0005-0000-0000-000036BA0000}"/>
    <cellStyle name="Migliaia 39 3 2 2 2" xfId="54910" xr:uid="{00000000-0005-0000-0000-000037BA0000}"/>
    <cellStyle name="Migliaia 39 3 2 3" xfId="9926" xr:uid="{00000000-0005-0000-0000-000038BA0000}"/>
    <cellStyle name="Migliaia 39 3 2 3 2" xfId="26251" xr:uid="{00000000-0005-0000-0000-000039BA0000}"/>
    <cellStyle name="Migliaia 39 3 2 3 3" xfId="41229" xr:uid="{00000000-0005-0000-0000-00003ABA0000}"/>
    <cellStyle name="Migliaia 39 3 2 3 4" xfId="55780" xr:uid="{00000000-0005-0000-0000-00003BBA0000}"/>
    <cellStyle name="Migliaia 39 3 2 4" xfId="17259" xr:uid="{00000000-0005-0000-0000-00003CBA0000}"/>
    <cellStyle name="Migliaia 39 3 2 4 2" xfId="33374" xr:uid="{00000000-0005-0000-0000-00003DBA0000}"/>
    <cellStyle name="Migliaia 39 3 2 4 3" xfId="48335" xr:uid="{00000000-0005-0000-0000-00003EBA0000}"/>
    <cellStyle name="Migliaia 39 3 2 5" xfId="19232" xr:uid="{00000000-0005-0000-0000-00003FBA0000}"/>
    <cellStyle name="Migliaia 39 3 2 6" xfId="34227" xr:uid="{00000000-0005-0000-0000-000040BA0000}"/>
    <cellStyle name="Migliaia 39 3 2 7" xfId="49167" xr:uid="{00000000-0005-0000-0000-000041BA0000}"/>
    <cellStyle name="Migliaia 39 3 2 8" xfId="49572" xr:uid="{00000000-0005-0000-0000-000042BA0000}"/>
    <cellStyle name="Migliaia 39 3 2 9" xfId="49978" xr:uid="{00000000-0005-0000-0000-000043BA0000}"/>
    <cellStyle name="Migliaia 39 3 3" xfId="9306" xr:uid="{00000000-0005-0000-0000-000044BA0000}"/>
    <cellStyle name="Migliaia 39 3 3 2" xfId="18362" xr:uid="{00000000-0005-0000-0000-000045BA0000}"/>
    <cellStyle name="Migliaia 39 3 3 2 2" xfId="33829" xr:uid="{00000000-0005-0000-0000-000046BA0000}"/>
    <cellStyle name="Migliaia 39 3 3 2 2 2" xfId="55313" xr:uid="{00000000-0005-0000-0000-000047BA0000}"/>
    <cellStyle name="Migliaia 39 3 3 2 3" xfId="48790" xr:uid="{00000000-0005-0000-0000-000048BA0000}"/>
    <cellStyle name="Migliaia 39 3 3 2 3 2" xfId="56235" xr:uid="{00000000-0005-0000-0000-000049BA0000}"/>
    <cellStyle name="Migliaia 39 3 3 2 4" xfId="52958" xr:uid="{00000000-0005-0000-0000-00004ABA0000}"/>
    <cellStyle name="Migliaia 39 3 3 3" xfId="17260" xr:uid="{00000000-0005-0000-0000-00004BBA0000}"/>
    <cellStyle name="Migliaia 39 3 3 3 2" xfId="33375" xr:uid="{00000000-0005-0000-0000-00004CBA0000}"/>
    <cellStyle name="Migliaia 39 3 3 3 3" xfId="48336" xr:uid="{00000000-0005-0000-0000-00004DBA0000}"/>
    <cellStyle name="Migliaia 39 3 3 3 4" xfId="54911" xr:uid="{00000000-0005-0000-0000-00004EBA0000}"/>
    <cellStyle name="Migliaia 39 3 3 4" xfId="55781" xr:uid="{00000000-0005-0000-0000-00004FBA0000}"/>
    <cellStyle name="Migliaia 39 3 3 5" xfId="52499" xr:uid="{00000000-0005-0000-0000-000050BA0000}"/>
    <cellStyle name="Migliaia 39 3 4" xfId="9925" xr:uid="{00000000-0005-0000-0000-000051BA0000}"/>
    <cellStyle name="Migliaia 39 3 4 2" xfId="18361" xr:uid="{00000000-0005-0000-0000-000052BA0000}"/>
    <cellStyle name="Migliaia 39 3 4 2 2" xfId="33828" xr:uid="{00000000-0005-0000-0000-000053BA0000}"/>
    <cellStyle name="Migliaia 39 3 4 2 3" xfId="48789" xr:uid="{00000000-0005-0000-0000-000054BA0000}"/>
    <cellStyle name="Migliaia 39 3 4 2 4" xfId="55312" xr:uid="{00000000-0005-0000-0000-000055BA0000}"/>
    <cellStyle name="Migliaia 39 3 4 3" xfId="26250" xr:uid="{00000000-0005-0000-0000-000056BA0000}"/>
    <cellStyle name="Migliaia 39 3 4 3 2" xfId="56234" xr:uid="{00000000-0005-0000-0000-000057BA0000}"/>
    <cellStyle name="Migliaia 39 3 4 4" xfId="41228" xr:uid="{00000000-0005-0000-0000-000058BA0000}"/>
    <cellStyle name="Migliaia 39 3 4 5" xfId="52957" xr:uid="{00000000-0005-0000-0000-000059BA0000}"/>
    <cellStyle name="Migliaia 39 3 5" xfId="17258" xr:uid="{00000000-0005-0000-0000-00005ABA0000}"/>
    <cellStyle name="Migliaia 39 3 5 2" xfId="33373" xr:uid="{00000000-0005-0000-0000-00005BBA0000}"/>
    <cellStyle name="Migliaia 39 3 5 3" xfId="48334" xr:uid="{00000000-0005-0000-0000-00005CBA0000}"/>
    <cellStyle name="Migliaia 39 3 5 4" xfId="54909" xr:uid="{00000000-0005-0000-0000-00005DBA0000}"/>
    <cellStyle name="Migliaia 39 3 6" xfId="19231" xr:uid="{00000000-0005-0000-0000-00005EBA0000}"/>
    <cellStyle name="Migliaia 39 3 6 2" xfId="55779" xr:uid="{00000000-0005-0000-0000-00005FBA0000}"/>
    <cellStyle name="Migliaia 39 3 7" xfId="34226" xr:uid="{00000000-0005-0000-0000-000060BA0000}"/>
    <cellStyle name="Migliaia 39 3 8" xfId="49166" xr:uid="{00000000-0005-0000-0000-000061BA0000}"/>
    <cellStyle name="Migliaia 39 3 9" xfId="49571" xr:uid="{00000000-0005-0000-0000-000062BA0000}"/>
    <cellStyle name="Migliaia 39 4" xfId="9308" xr:uid="{00000000-0005-0000-0000-000063BA0000}"/>
    <cellStyle name="Migliaia 39 4 2" xfId="17262" xr:uid="{00000000-0005-0000-0000-000064BA0000}"/>
    <cellStyle name="Migliaia 39 4 2 2" xfId="18364" xr:uid="{00000000-0005-0000-0000-000065BA0000}"/>
    <cellStyle name="Migliaia 39 4 2 2 2" xfId="33831" xr:uid="{00000000-0005-0000-0000-000066BA0000}"/>
    <cellStyle name="Migliaia 39 4 2 2 2 2" xfId="55315" xr:uid="{00000000-0005-0000-0000-000067BA0000}"/>
    <cellStyle name="Migliaia 39 4 2 2 3" xfId="48792" xr:uid="{00000000-0005-0000-0000-000068BA0000}"/>
    <cellStyle name="Migliaia 39 4 2 2 3 2" xfId="56237" xr:uid="{00000000-0005-0000-0000-000069BA0000}"/>
    <cellStyle name="Migliaia 39 4 2 2 4" xfId="52960" xr:uid="{00000000-0005-0000-0000-00006ABA0000}"/>
    <cellStyle name="Migliaia 39 4 2 3" xfId="33377" xr:uid="{00000000-0005-0000-0000-00006BBA0000}"/>
    <cellStyle name="Migliaia 39 4 2 3 2" xfId="54913" xr:uid="{00000000-0005-0000-0000-00006CBA0000}"/>
    <cellStyle name="Migliaia 39 4 2 4" xfId="48338" xr:uid="{00000000-0005-0000-0000-00006DBA0000}"/>
    <cellStyle name="Migliaia 39 4 2 4 2" xfId="55783" xr:uid="{00000000-0005-0000-0000-00006EBA0000}"/>
    <cellStyle name="Migliaia 39 4 2 5" xfId="52501" xr:uid="{00000000-0005-0000-0000-00006FBA0000}"/>
    <cellStyle name="Migliaia 39 4 3" xfId="18363" xr:uid="{00000000-0005-0000-0000-000070BA0000}"/>
    <cellStyle name="Migliaia 39 4 3 2" xfId="33830" xr:uid="{00000000-0005-0000-0000-000071BA0000}"/>
    <cellStyle name="Migliaia 39 4 3 2 2" xfId="55314" xr:uid="{00000000-0005-0000-0000-000072BA0000}"/>
    <cellStyle name="Migliaia 39 4 3 3" xfId="48791" xr:uid="{00000000-0005-0000-0000-000073BA0000}"/>
    <cellStyle name="Migliaia 39 4 3 3 2" xfId="56236" xr:uid="{00000000-0005-0000-0000-000074BA0000}"/>
    <cellStyle name="Migliaia 39 4 3 4" xfId="52959" xr:uid="{00000000-0005-0000-0000-000075BA0000}"/>
    <cellStyle name="Migliaia 39 4 4" xfId="17261" xr:uid="{00000000-0005-0000-0000-000076BA0000}"/>
    <cellStyle name="Migliaia 39 4 4 2" xfId="33376" xr:uid="{00000000-0005-0000-0000-000077BA0000}"/>
    <cellStyle name="Migliaia 39 4 4 3" xfId="48337" xr:uid="{00000000-0005-0000-0000-000078BA0000}"/>
    <cellStyle name="Migliaia 39 4 4 4" xfId="54912" xr:uid="{00000000-0005-0000-0000-000079BA0000}"/>
    <cellStyle name="Migliaia 39 4 5" xfId="51187" xr:uid="{00000000-0005-0000-0000-00007ABA0000}"/>
    <cellStyle name="Migliaia 39 4 5 2" xfId="55782" xr:uid="{00000000-0005-0000-0000-00007BBA0000}"/>
    <cellStyle name="Migliaia 39 4 6" xfId="52500" xr:uid="{00000000-0005-0000-0000-00007CBA0000}"/>
    <cellStyle name="Migliaia 39 5" xfId="9309" xr:uid="{00000000-0005-0000-0000-00007DBA0000}"/>
    <cellStyle name="Migliaia 39 5 2" xfId="17263" xr:uid="{00000000-0005-0000-0000-00007EBA0000}"/>
    <cellStyle name="Migliaia 39 5 2 2" xfId="33378" xr:uid="{00000000-0005-0000-0000-00007FBA0000}"/>
    <cellStyle name="Migliaia 39 5 2 3" xfId="48339" xr:uid="{00000000-0005-0000-0000-000080BA0000}"/>
    <cellStyle name="Migliaia 39 5 2 4" xfId="54914" xr:uid="{00000000-0005-0000-0000-000081BA0000}"/>
    <cellStyle name="Migliaia 39 5 3" xfId="50971" xr:uid="{00000000-0005-0000-0000-000082BA0000}"/>
    <cellStyle name="Migliaia 39 5 3 2" xfId="55784" xr:uid="{00000000-0005-0000-0000-000083BA0000}"/>
    <cellStyle name="Migliaia 39 5 4" xfId="52502" xr:uid="{00000000-0005-0000-0000-000084BA0000}"/>
    <cellStyle name="Migliaia 39 6" xfId="9304" xr:uid="{00000000-0005-0000-0000-000085BA0000}"/>
    <cellStyle name="Migliaia 39 6 2" xfId="51221" xr:uid="{00000000-0005-0000-0000-000086BA0000}"/>
    <cellStyle name="Migliaia 39 6 3" xfId="54617" xr:uid="{00000000-0005-0000-0000-000087BA0000}"/>
    <cellStyle name="Migliaia 39 7" xfId="9923" xr:uid="{00000000-0005-0000-0000-000088BA0000}"/>
    <cellStyle name="Migliaia 39 7 2" xfId="26248" xr:uid="{00000000-0005-0000-0000-000089BA0000}"/>
    <cellStyle name="Migliaia 39 7 3" xfId="41226" xr:uid="{00000000-0005-0000-0000-00008ABA0000}"/>
    <cellStyle name="Migliaia 39 7 4" xfId="55777" xr:uid="{00000000-0005-0000-0000-00008BBA0000}"/>
    <cellStyle name="Migliaia 39 8" xfId="17256" xr:uid="{00000000-0005-0000-0000-00008CBA0000}"/>
    <cellStyle name="Migliaia 39 8 2" xfId="33371" xr:uid="{00000000-0005-0000-0000-00008DBA0000}"/>
    <cellStyle name="Migliaia 39 8 3" xfId="48332" xr:uid="{00000000-0005-0000-0000-00008EBA0000}"/>
    <cellStyle name="Migliaia 39 9" xfId="19229" xr:uid="{00000000-0005-0000-0000-00008FBA0000}"/>
    <cellStyle name="Migliaia 4" xfId="417" xr:uid="{00000000-0005-0000-0000-000090BA0000}"/>
    <cellStyle name="Migliaia 4 10" xfId="34228" xr:uid="{00000000-0005-0000-0000-000091BA0000}"/>
    <cellStyle name="Migliaia 4 11" xfId="49168" xr:uid="{00000000-0005-0000-0000-000092BA0000}"/>
    <cellStyle name="Migliaia 4 12" xfId="49573" xr:uid="{00000000-0005-0000-0000-000093BA0000}"/>
    <cellStyle name="Migliaia 4 13" xfId="49979" xr:uid="{00000000-0005-0000-0000-000094BA0000}"/>
    <cellStyle name="Migliaia 4 14" xfId="50387" xr:uid="{00000000-0005-0000-0000-000095BA0000}"/>
    <cellStyle name="Migliaia 4 15" xfId="50829" xr:uid="{00000000-0005-0000-0000-000096BA0000}"/>
    <cellStyle name="Migliaia 4 16" xfId="51548" xr:uid="{00000000-0005-0000-0000-000097BA0000}"/>
    <cellStyle name="Migliaia 4 17" xfId="51960" xr:uid="{00000000-0005-0000-0000-000098BA0000}"/>
    <cellStyle name="Migliaia 4 18" xfId="52503" xr:uid="{00000000-0005-0000-0000-000099BA0000}"/>
    <cellStyle name="Migliaia 4 2" xfId="418" xr:uid="{00000000-0005-0000-0000-00009ABA0000}"/>
    <cellStyle name="Migliaia 4 2 10" xfId="49980" xr:uid="{00000000-0005-0000-0000-00009BBA0000}"/>
    <cellStyle name="Migliaia 4 2 11" xfId="50388" xr:uid="{00000000-0005-0000-0000-00009CBA0000}"/>
    <cellStyle name="Migliaia 4 2 12" xfId="50830" xr:uid="{00000000-0005-0000-0000-00009DBA0000}"/>
    <cellStyle name="Migliaia 4 2 13" xfId="51549" xr:uid="{00000000-0005-0000-0000-00009EBA0000}"/>
    <cellStyle name="Migliaia 4 2 14" xfId="51961" xr:uid="{00000000-0005-0000-0000-00009FBA0000}"/>
    <cellStyle name="Migliaia 4 2 15" xfId="52504" xr:uid="{00000000-0005-0000-0000-0000A0BA0000}"/>
    <cellStyle name="Migliaia 4 2 2" xfId="1277" xr:uid="{00000000-0005-0000-0000-0000A1BA0000}"/>
    <cellStyle name="Migliaia 4 2 2 10" xfId="51129" xr:uid="{00000000-0005-0000-0000-0000A2BA0000}"/>
    <cellStyle name="Migliaia 4 2 2 11" xfId="51725" xr:uid="{00000000-0005-0000-0000-0000A3BA0000}"/>
    <cellStyle name="Migliaia 4 2 2 12" xfId="52145" xr:uid="{00000000-0005-0000-0000-0000A4BA0000}"/>
    <cellStyle name="Migliaia 4 2 2 13" xfId="52961" xr:uid="{00000000-0005-0000-0000-0000A5BA0000}"/>
    <cellStyle name="Migliaia 4 2 2 2" xfId="10104" xr:uid="{00000000-0005-0000-0000-0000A6BA0000}"/>
    <cellStyle name="Migliaia 4 2 2 2 2" xfId="26424" xr:uid="{00000000-0005-0000-0000-0000A7BA0000}"/>
    <cellStyle name="Migliaia 4 2 2 2 3" xfId="41392" xr:uid="{00000000-0005-0000-0000-0000A8BA0000}"/>
    <cellStyle name="Migliaia 4 2 2 2 4" xfId="55316" xr:uid="{00000000-0005-0000-0000-0000A9BA0000}"/>
    <cellStyle name="Migliaia 4 2 2 3" xfId="18365" xr:uid="{00000000-0005-0000-0000-0000AABA0000}"/>
    <cellStyle name="Migliaia 4 2 2 3 2" xfId="33832" xr:uid="{00000000-0005-0000-0000-0000ABBA0000}"/>
    <cellStyle name="Migliaia 4 2 2 3 3" xfId="48793" xr:uid="{00000000-0005-0000-0000-0000ACBA0000}"/>
    <cellStyle name="Migliaia 4 2 2 3 4" xfId="56238" xr:uid="{00000000-0005-0000-0000-0000ADBA0000}"/>
    <cellStyle name="Migliaia 4 2 2 4" xfId="19403" xr:uid="{00000000-0005-0000-0000-0000AEBA0000}"/>
    <cellStyle name="Migliaia 4 2 2 5" xfId="34393" xr:uid="{00000000-0005-0000-0000-0000AFBA0000}"/>
    <cellStyle name="Migliaia 4 2 2 6" xfId="49345" xr:uid="{00000000-0005-0000-0000-0000B0BA0000}"/>
    <cellStyle name="Migliaia 4 2 2 7" xfId="49750" xr:uid="{00000000-0005-0000-0000-0000B1BA0000}"/>
    <cellStyle name="Migliaia 4 2 2 8" xfId="50159" xr:uid="{00000000-0005-0000-0000-0000B2BA0000}"/>
    <cellStyle name="Migliaia 4 2 2 9" xfId="50564" xr:uid="{00000000-0005-0000-0000-0000B3BA0000}"/>
    <cellStyle name="Migliaia 4 2 3" xfId="9311" xr:uid="{00000000-0005-0000-0000-0000B4BA0000}"/>
    <cellStyle name="Migliaia 4 2 3 2" xfId="54682" xr:uid="{00000000-0005-0000-0000-0000B5BA0000}"/>
    <cellStyle name="Migliaia 4 2 4" xfId="9928" xr:uid="{00000000-0005-0000-0000-0000B6BA0000}"/>
    <cellStyle name="Migliaia 4 2 4 2" xfId="26253" xr:uid="{00000000-0005-0000-0000-0000B7BA0000}"/>
    <cellStyle name="Migliaia 4 2 4 3" xfId="41231" xr:uid="{00000000-0005-0000-0000-0000B8BA0000}"/>
    <cellStyle name="Migliaia 4 2 4 4" xfId="55786" xr:uid="{00000000-0005-0000-0000-0000B9BA0000}"/>
    <cellStyle name="Migliaia 4 2 5" xfId="17265" xr:uid="{00000000-0005-0000-0000-0000BABA0000}"/>
    <cellStyle name="Migliaia 4 2 5 2" xfId="33380" xr:uid="{00000000-0005-0000-0000-0000BBBA0000}"/>
    <cellStyle name="Migliaia 4 2 5 3" xfId="48341" xr:uid="{00000000-0005-0000-0000-0000BCBA0000}"/>
    <cellStyle name="Migliaia 4 2 6" xfId="19234" xr:uid="{00000000-0005-0000-0000-0000BDBA0000}"/>
    <cellStyle name="Migliaia 4 2 7" xfId="34229" xr:uid="{00000000-0005-0000-0000-0000BEBA0000}"/>
    <cellStyle name="Migliaia 4 2 8" xfId="49169" xr:uid="{00000000-0005-0000-0000-0000BFBA0000}"/>
    <cellStyle name="Migliaia 4 2 9" xfId="49574" xr:uid="{00000000-0005-0000-0000-0000C0BA0000}"/>
    <cellStyle name="Migliaia 4 3" xfId="419" xr:uid="{00000000-0005-0000-0000-0000C1BA0000}"/>
    <cellStyle name="Migliaia 4 3 10" xfId="49981" xr:uid="{00000000-0005-0000-0000-0000C2BA0000}"/>
    <cellStyle name="Migliaia 4 3 11" xfId="50389" xr:uid="{00000000-0005-0000-0000-0000C3BA0000}"/>
    <cellStyle name="Migliaia 4 3 12" xfId="50831" xr:uid="{00000000-0005-0000-0000-0000C4BA0000}"/>
    <cellStyle name="Migliaia 4 3 13" xfId="51550" xr:uid="{00000000-0005-0000-0000-0000C5BA0000}"/>
    <cellStyle name="Migliaia 4 3 14" xfId="51962" xr:uid="{00000000-0005-0000-0000-0000C6BA0000}"/>
    <cellStyle name="Migliaia 4 3 15" xfId="52505" xr:uid="{00000000-0005-0000-0000-0000C7BA0000}"/>
    <cellStyle name="Migliaia 4 3 2" xfId="420" xr:uid="{00000000-0005-0000-0000-0000C8BA0000}"/>
    <cellStyle name="Migliaia 4 3 2 10" xfId="50390" xr:uid="{00000000-0005-0000-0000-0000C9BA0000}"/>
    <cellStyle name="Migliaia 4 3 2 11" xfId="50832" xr:uid="{00000000-0005-0000-0000-0000CABA0000}"/>
    <cellStyle name="Migliaia 4 3 2 12" xfId="51551" xr:uid="{00000000-0005-0000-0000-0000CBBA0000}"/>
    <cellStyle name="Migliaia 4 3 2 13" xfId="51963" xr:uid="{00000000-0005-0000-0000-0000CCBA0000}"/>
    <cellStyle name="Migliaia 4 3 2 14" xfId="52506" xr:uid="{00000000-0005-0000-0000-0000CDBA0000}"/>
    <cellStyle name="Migliaia 4 3 2 2" xfId="9313" xr:uid="{00000000-0005-0000-0000-0000CEBA0000}"/>
    <cellStyle name="Migliaia 4 3 2 2 2" xfId="54916" xr:uid="{00000000-0005-0000-0000-0000CFBA0000}"/>
    <cellStyle name="Migliaia 4 3 2 3" xfId="9930" xr:uid="{00000000-0005-0000-0000-0000D0BA0000}"/>
    <cellStyle name="Migliaia 4 3 2 3 2" xfId="26255" xr:uid="{00000000-0005-0000-0000-0000D1BA0000}"/>
    <cellStyle name="Migliaia 4 3 2 3 3" xfId="41233" xr:uid="{00000000-0005-0000-0000-0000D2BA0000}"/>
    <cellStyle name="Migliaia 4 3 2 3 4" xfId="55788" xr:uid="{00000000-0005-0000-0000-0000D3BA0000}"/>
    <cellStyle name="Migliaia 4 3 2 4" xfId="17267" xr:uid="{00000000-0005-0000-0000-0000D4BA0000}"/>
    <cellStyle name="Migliaia 4 3 2 4 2" xfId="33382" xr:uid="{00000000-0005-0000-0000-0000D5BA0000}"/>
    <cellStyle name="Migliaia 4 3 2 4 3" xfId="48343" xr:uid="{00000000-0005-0000-0000-0000D6BA0000}"/>
    <cellStyle name="Migliaia 4 3 2 5" xfId="19236" xr:uid="{00000000-0005-0000-0000-0000D7BA0000}"/>
    <cellStyle name="Migliaia 4 3 2 6" xfId="34231" xr:uid="{00000000-0005-0000-0000-0000D8BA0000}"/>
    <cellStyle name="Migliaia 4 3 2 7" xfId="49171" xr:uid="{00000000-0005-0000-0000-0000D9BA0000}"/>
    <cellStyle name="Migliaia 4 3 2 8" xfId="49576" xr:uid="{00000000-0005-0000-0000-0000DABA0000}"/>
    <cellStyle name="Migliaia 4 3 2 9" xfId="49982" xr:uid="{00000000-0005-0000-0000-0000DBBA0000}"/>
    <cellStyle name="Migliaia 4 3 3" xfId="9312" xr:uid="{00000000-0005-0000-0000-0000DCBA0000}"/>
    <cellStyle name="Migliaia 4 3 3 2" xfId="18367" xr:uid="{00000000-0005-0000-0000-0000DDBA0000}"/>
    <cellStyle name="Migliaia 4 3 3 2 2" xfId="33834" xr:uid="{00000000-0005-0000-0000-0000DEBA0000}"/>
    <cellStyle name="Migliaia 4 3 3 2 2 2" xfId="55318" xr:uid="{00000000-0005-0000-0000-0000DFBA0000}"/>
    <cellStyle name="Migliaia 4 3 3 2 3" xfId="48795" xr:uid="{00000000-0005-0000-0000-0000E0BA0000}"/>
    <cellStyle name="Migliaia 4 3 3 2 3 2" xfId="56240" xr:uid="{00000000-0005-0000-0000-0000E1BA0000}"/>
    <cellStyle name="Migliaia 4 3 3 2 4" xfId="52963" xr:uid="{00000000-0005-0000-0000-0000E2BA0000}"/>
    <cellStyle name="Migliaia 4 3 3 3" xfId="17268" xr:uid="{00000000-0005-0000-0000-0000E3BA0000}"/>
    <cellStyle name="Migliaia 4 3 3 3 2" xfId="33383" xr:uid="{00000000-0005-0000-0000-0000E4BA0000}"/>
    <cellStyle name="Migliaia 4 3 3 3 3" xfId="48344" xr:uid="{00000000-0005-0000-0000-0000E5BA0000}"/>
    <cellStyle name="Migliaia 4 3 3 3 4" xfId="54917" xr:uid="{00000000-0005-0000-0000-0000E6BA0000}"/>
    <cellStyle name="Migliaia 4 3 3 4" xfId="55789" xr:uid="{00000000-0005-0000-0000-0000E7BA0000}"/>
    <cellStyle name="Migliaia 4 3 3 5" xfId="52507" xr:uid="{00000000-0005-0000-0000-0000E8BA0000}"/>
    <cellStyle name="Migliaia 4 3 4" xfId="9929" xr:uid="{00000000-0005-0000-0000-0000E9BA0000}"/>
    <cellStyle name="Migliaia 4 3 4 2" xfId="18366" xr:uid="{00000000-0005-0000-0000-0000EABA0000}"/>
    <cellStyle name="Migliaia 4 3 4 2 2" xfId="33833" xr:uid="{00000000-0005-0000-0000-0000EBBA0000}"/>
    <cellStyle name="Migliaia 4 3 4 2 3" xfId="48794" xr:uid="{00000000-0005-0000-0000-0000ECBA0000}"/>
    <cellStyle name="Migliaia 4 3 4 2 4" xfId="55317" xr:uid="{00000000-0005-0000-0000-0000EDBA0000}"/>
    <cellStyle name="Migliaia 4 3 4 3" xfId="26254" xr:uid="{00000000-0005-0000-0000-0000EEBA0000}"/>
    <cellStyle name="Migliaia 4 3 4 3 2" xfId="56239" xr:uid="{00000000-0005-0000-0000-0000EFBA0000}"/>
    <cellStyle name="Migliaia 4 3 4 4" xfId="41232" xr:uid="{00000000-0005-0000-0000-0000F0BA0000}"/>
    <cellStyle name="Migliaia 4 3 4 5" xfId="52962" xr:uid="{00000000-0005-0000-0000-0000F1BA0000}"/>
    <cellStyle name="Migliaia 4 3 5" xfId="17266" xr:uid="{00000000-0005-0000-0000-0000F2BA0000}"/>
    <cellStyle name="Migliaia 4 3 5 2" xfId="33381" xr:uid="{00000000-0005-0000-0000-0000F3BA0000}"/>
    <cellStyle name="Migliaia 4 3 5 3" xfId="48342" xr:uid="{00000000-0005-0000-0000-0000F4BA0000}"/>
    <cellStyle name="Migliaia 4 3 5 4" xfId="54915" xr:uid="{00000000-0005-0000-0000-0000F5BA0000}"/>
    <cellStyle name="Migliaia 4 3 6" xfId="19235" xr:uid="{00000000-0005-0000-0000-0000F6BA0000}"/>
    <cellStyle name="Migliaia 4 3 6 2" xfId="55787" xr:uid="{00000000-0005-0000-0000-0000F7BA0000}"/>
    <cellStyle name="Migliaia 4 3 7" xfId="34230" xr:uid="{00000000-0005-0000-0000-0000F8BA0000}"/>
    <cellStyle name="Migliaia 4 3 8" xfId="49170" xr:uid="{00000000-0005-0000-0000-0000F9BA0000}"/>
    <cellStyle name="Migliaia 4 3 9" xfId="49575" xr:uid="{00000000-0005-0000-0000-0000FABA0000}"/>
    <cellStyle name="Migliaia 4 4" xfId="9314" xr:uid="{00000000-0005-0000-0000-0000FBBA0000}"/>
    <cellStyle name="Migliaia 4 4 2" xfId="17270" xr:uid="{00000000-0005-0000-0000-0000FCBA0000}"/>
    <cellStyle name="Migliaia 4 4 2 2" xfId="18369" xr:uid="{00000000-0005-0000-0000-0000FDBA0000}"/>
    <cellStyle name="Migliaia 4 4 2 2 2" xfId="33836" xr:uid="{00000000-0005-0000-0000-0000FEBA0000}"/>
    <cellStyle name="Migliaia 4 4 2 2 2 2" xfId="55320" xr:uid="{00000000-0005-0000-0000-0000FFBA0000}"/>
    <cellStyle name="Migliaia 4 4 2 2 3" xfId="48797" xr:uid="{00000000-0005-0000-0000-000000BB0000}"/>
    <cellStyle name="Migliaia 4 4 2 2 3 2" xfId="56242" xr:uid="{00000000-0005-0000-0000-000001BB0000}"/>
    <cellStyle name="Migliaia 4 4 2 2 4" xfId="52965" xr:uid="{00000000-0005-0000-0000-000002BB0000}"/>
    <cellStyle name="Migliaia 4 4 2 3" xfId="33385" xr:uid="{00000000-0005-0000-0000-000003BB0000}"/>
    <cellStyle name="Migliaia 4 4 2 3 2" xfId="54919" xr:uid="{00000000-0005-0000-0000-000004BB0000}"/>
    <cellStyle name="Migliaia 4 4 2 4" xfId="48346" xr:uid="{00000000-0005-0000-0000-000005BB0000}"/>
    <cellStyle name="Migliaia 4 4 2 4 2" xfId="55791" xr:uid="{00000000-0005-0000-0000-000006BB0000}"/>
    <cellStyle name="Migliaia 4 4 2 5" xfId="52509" xr:uid="{00000000-0005-0000-0000-000007BB0000}"/>
    <cellStyle name="Migliaia 4 4 3" xfId="18368" xr:uid="{00000000-0005-0000-0000-000008BB0000}"/>
    <cellStyle name="Migliaia 4 4 3 2" xfId="33835" xr:uid="{00000000-0005-0000-0000-000009BB0000}"/>
    <cellStyle name="Migliaia 4 4 3 2 2" xfId="55319" xr:uid="{00000000-0005-0000-0000-00000ABB0000}"/>
    <cellStyle name="Migliaia 4 4 3 3" xfId="48796" xr:uid="{00000000-0005-0000-0000-00000BBB0000}"/>
    <cellStyle name="Migliaia 4 4 3 3 2" xfId="56241" xr:uid="{00000000-0005-0000-0000-00000CBB0000}"/>
    <cellStyle name="Migliaia 4 4 3 4" xfId="52964" xr:uid="{00000000-0005-0000-0000-00000DBB0000}"/>
    <cellStyle name="Migliaia 4 4 4" xfId="17269" xr:uid="{00000000-0005-0000-0000-00000EBB0000}"/>
    <cellStyle name="Migliaia 4 4 4 2" xfId="33384" xr:uid="{00000000-0005-0000-0000-00000FBB0000}"/>
    <cellStyle name="Migliaia 4 4 4 3" xfId="48345" xr:uid="{00000000-0005-0000-0000-000010BB0000}"/>
    <cellStyle name="Migliaia 4 4 4 4" xfId="54918" xr:uid="{00000000-0005-0000-0000-000011BB0000}"/>
    <cellStyle name="Migliaia 4 4 5" xfId="51283" xr:uid="{00000000-0005-0000-0000-000012BB0000}"/>
    <cellStyle name="Migliaia 4 4 5 2" xfId="55790" xr:uid="{00000000-0005-0000-0000-000013BB0000}"/>
    <cellStyle name="Migliaia 4 4 6" xfId="52508" xr:uid="{00000000-0005-0000-0000-000014BB0000}"/>
    <cellStyle name="Migliaia 4 5" xfId="9315" xr:uid="{00000000-0005-0000-0000-000015BB0000}"/>
    <cellStyle name="Migliaia 4 5 2" xfId="17271" xr:uid="{00000000-0005-0000-0000-000016BB0000}"/>
    <cellStyle name="Migliaia 4 5 2 2" xfId="33386" xr:uid="{00000000-0005-0000-0000-000017BB0000}"/>
    <cellStyle name="Migliaia 4 5 2 3" xfId="48347" xr:uid="{00000000-0005-0000-0000-000018BB0000}"/>
    <cellStyle name="Migliaia 4 5 2 4" xfId="54920" xr:uid="{00000000-0005-0000-0000-000019BB0000}"/>
    <cellStyle name="Migliaia 4 5 3" xfId="51186" xr:uid="{00000000-0005-0000-0000-00001ABB0000}"/>
    <cellStyle name="Migliaia 4 5 3 2" xfId="55792" xr:uid="{00000000-0005-0000-0000-00001BBB0000}"/>
    <cellStyle name="Migliaia 4 5 4" xfId="52510" xr:uid="{00000000-0005-0000-0000-00001CBB0000}"/>
    <cellStyle name="Migliaia 4 6" xfId="9310" xr:uid="{00000000-0005-0000-0000-00001DBB0000}"/>
    <cellStyle name="Migliaia 4 6 2" xfId="51032" xr:uid="{00000000-0005-0000-0000-00001EBB0000}"/>
    <cellStyle name="Migliaia 4 6 3" xfId="54618" xr:uid="{00000000-0005-0000-0000-00001FBB0000}"/>
    <cellStyle name="Migliaia 4 7" xfId="9927" xr:uid="{00000000-0005-0000-0000-000020BB0000}"/>
    <cellStyle name="Migliaia 4 7 2" xfId="26252" xr:uid="{00000000-0005-0000-0000-000021BB0000}"/>
    <cellStyle name="Migliaia 4 7 3" xfId="41230" xr:uid="{00000000-0005-0000-0000-000022BB0000}"/>
    <cellStyle name="Migliaia 4 7 4" xfId="55785" xr:uid="{00000000-0005-0000-0000-000023BB0000}"/>
    <cellStyle name="Migliaia 4 8" xfId="17264" xr:uid="{00000000-0005-0000-0000-000024BB0000}"/>
    <cellStyle name="Migliaia 4 8 2" xfId="33379" xr:uid="{00000000-0005-0000-0000-000025BB0000}"/>
    <cellStyle name="Migliaia 4 8 3" xfId="48340" xr:uid="{00000000-0005-0000-0000-000026BB0000}"/>
    <cellStyle name="Migliaia 4 9" xfId="19233" xr:uid="{00000000-0005-0000-0000-000027BB0000}"/>
    <cellStyle name="Migliaia 40" xfId="421" xr:uid="{00000000-0005-0000-0000-000028BB0000}"/>
    <cellStyle name="Migliaia 40 10" xfId="34232" xr:uid="{00000000-0005-0000-0000-000029BB0000}"/>
    <cellStyle name="Migliaia 40 11" xfId="49172" xr:uid="{00000000-0005-0000-0000-00002ABB0000}"/>
    <cellStyle name="Migliaia 40 12" xfId="49577" xr:uid="{00000000-0005-0000-0000-00002BBB0000}"/>
    <cellStyle name="Migliaia 40 13" xfId="49983" xr:uid="{00000000-0005-0000-0000-00002CBB0000}"/>
    <cellStyle name="Migliaia 40 14" xfId="50391" xr:uid="{00000000-0005-0000-0000-00002DBB0000}"/>
    <cellStyle name="Migliaia 40 15" xfId="50833" xr:uid="{00000000-0005-0000-0000-00002EBB0000}"/>
    <cellStyle name="Migliaia 40 16" xfId="51552" xr:uid="{00000000-0005-0000-0000-00002FBB0000}"/>
    <cellStyle name="Migliaia 40 17" xfId="51964" xr:uid="{00000000-0005-0000-0000-000030BB0000}"/>
    <cellStyle name="Migliaia 40 18" xfId="52511" xr:uid="{00000000-0005-0000-0000-000031BB0000}"/>
    <cellStyle name="Migliaia 40 2" xfId="422" xr:uid="{00000000-0005-0000-0000-000032BB0000}"/>
    <cellStyle name="Migliaia 40 2 10" xfId="49984" xr:uid="{00000000-0005-0000-0000-000033BB0000}"/>
    <cellStyle name="Migliaia 40 2 11" xfId="50392" xr:uid="{00000000-0005-0000-0000-000034BB0000}"/>
    <cellStyle name="Migliaia 40 2 12" xfId="50834" xr:uid="{00000000-0005-0000-0000-000035BB0000}"/>
    <cellStyle name="Migliaia 40 2 13" xfId="51553" xr:uid="{00000000-0005-0000-0000-000036BB0000}"/>
    <cellStyle name="Migliaia 40 2 14" xfId="51965" xr:uid="{00000000-0005-0000-0000-000037BB0000}"/>
    <cellStyle name="Migliaia 40 2 15" xfId="52512" xr:uid="{00000000-0005-0000-0000-000038BB0000}"/>
    <cellStyle name="Migliaia 40 2 2" xfId="1278" xr:uid="{00000000-0005-0000-0000-000039BB0000}"/>
    <cellStyle name="Migliaia 40 2 2 10" xfId="51130" xr:uid="{00000000-0005-0000-0000-00003ABB0000}"/>
    <cellStyle name="Migliaia 40 2 2 11" xfId="51726" xr:uid="{00000000-0005-0000-0000-00003BBB0000}"/>
    <cellStyle name="Migliaia 40 2 2 12" xfId="52146" xr:uid="{00000000-0005-0000-0000-00003CBB0000}"/>
    <cellStyle name="Migliaia 40 2 2 13" xfId="52966" xr:uid="{00000000-0005-0000-0000-00003DBB0000}"/>
    <cellStyle name="Migliaia 40 2 2 2" xfId="10105" xr:uid="{00000000-0005-0000-0000-00003EBB0000}"/>
    <cellStyle name="Migliaia 40 2 2 2 2" xfId="26425" xr:uid="{00000000-0005-0000-0000-00003FBB0000}"/>
    <cellStyle name="Migliaia 40 2 2 2 3" xfId="41393" xr:uid="{00000000-0005-0000-0000-000040BB0000}"/>
    <cellStyle name="Migliaia 40 2 2 2 4" xfId="55321" xr:uid="{00000000-0005-0000-0000-000041BB0000}"/>
    <cellStyle name="Migliaia 40 2 2 3" xfId="18370" xr:uid="{00000000-0005-0000-0000-000042BB0000}"/>
    <cellStyle name="Migliaia 40 2 2 3 2" xfId="33837" xr:uid="{00000000-0005-0000-0000-000043BB0000}"/>
    <cellStyle name="Migliaia 40 2 2 3 3" xfId="48798" xr:uid="{00000000-0005-0000-0000-000044BB0000}"/>
    <cellStyle name="Migliaia 40 2 2 3 4" xfId="56243" xr:uid="{00000000-0005-0000-0000-000045BB0000}"/>
    <cellStyle name="Migliaia 40 2 2 4" xfId="19404" xr:uid="{00000000-0005-0000-0000-000046BB0000}"/>
    <cellStyle name="Migliaia 40 2 2 5" xfId="34394" xr:uid="{00000000-0005-0000-0000-000047BB0000}"/>
    <cellStyle name="Migliaia 40 2 2 6" xfId="49346" xr:uid="{00000000-0005-0000-0000-000048BB0000}"/>
    <cellStyle name="Migliaia 40 2 2 7" xfId="49751" xr:uid="{00000000-0005-0000-0000-000049BB0000}"/>
    <cellStyle name="Migliaia 40 2 2 8" xfId="50160" xr:uid="{00000000-0005-0000-0000-00004ABB0000}"/>
    <cellStyle name="Migliaia 40 2 2 9" xfId="50565" xr:uid="{00000000-0005-0000-0000-00004BBB0000}"/>
    <cellStyle name="Migliaia 40 2 3" xfId="9317" xr:uid="{00000000-0005-0000-0000-00004CBB0000}"/>
    <cellStyle name="Migliaia 40 2 3 2" xfId="54683" xr:uid="{00000000-0005-0000-0000-00004DBB0000}"/>
    <cellStyle name="Migliaia 40 2 4" xfId="9932" xr:uid="{00000000-0005-0000-0000-00004EBB0000}"/>
    <cellStyle name="Migliaia 40 2 4 2" xfId="26257" xr:uid="{00000000-0005-0000-0000-00004FBB0000}"/>
    <cellStyle name="Migliaia 40 2 4 3" xfId="41235" xr:uid="{00000000-0005-0000-0000-000050BB0000}"/>
    <cellStyle name="Migliaia 40 2 4 4" xfId="55794" xr:uid="{00000000-0005-0000-0000-000051BB0000}"/>
    <cellStyle name="Migliaia 40 2 5" xfId="17273" xr:uid="{00000000-0005-0000-0000-000052BB0000}"/>
    <cellStyle name="Migliaia 40 2 5 2" xfId="33388" xr:uid="{00000000-0005-0000-0000-000053BB0000}"/>
    <cellStyle name="Migliaia 40 2 5 3" xfId="48349" xr:uid="{00000000-0005-0000-0000-000054BB0000}"/>
    <cellStyle name="Migliaia 40 2 6" xfId="19238" xr:uid="{00000000-0005-0000-0000-000055BB0000}"/>
    <cellStyle name="Migliaia 40 2 7" xfId="34233" xr:uid="{00000000-0005-0000-0000-000056BB0000}"/>
    <cellStyle name="Migliaia 40 2 8" xfId="49173" xr:uid="{00000000-0005-0000-0000-000057BB0000}"/>
    <cellStyle name="Migliaia 40 2 9" xfId="49578" xr:uid="{00000000-0005-0000-0000-000058BB0000}"/>
    <cellStyle name="Migliaia 40 3" xfId="423" xr:uid="{00000000-0005-0000-0000-000059BB0000}"/>
    <cellStyle name="Migliaia 40 3 10" xfId="49985" xr:uid="{00000000-0005-0000-0000-00005ABB0000}"/>
    <cellStyle name="Migliaia 40 3 11" xfId="50393" xr:uid="{00000000-0005-0000-0000-00005BBB0000}"/>
    <cellStyle name="Migliaia 40 3 12" xfId="50835" xr:uid="{00000000-0005-0000-0000-00005CBB0000}"/>
    <cellStyle name="Migliaia 40 3 13" xfId="51554" xr:uid="{00000000-0005-0000-0000-00005DBB0000}"/>
    <cellStyle name="Migliaia 40 3 14" xfId="51966" xr:uid="{00000000-0005-0000-0000-00005EBB0000}"/>
    <cellStyle name="Migliaia 40 3 15" xfId="52513" xr:uid="{00000000-0005-0000-0000-00005FBB0000}"/>
    <cellStyle name="Migliaia 40 3 2" xfId="424" xr:uid="{00000000-0005-0000-0000-000060BB0000}"/>
    <cellStyle name="Migliaia 40 3 2 10" xfId="50394" xr:uid="{00000000-0005-0000-0000-000061BB0000}"/>
    <cellStyle name="Migliaia 40 3 2 11" xfId="50836" xr:uid="{00000000-0005-0000-0000-000062BB0000}"/>
    <cellStyle name="Migliaia 40 3 2 12" xfId="51555" xr:uid="{00000000-0005-0000-0000-000063BB0000}"/>
    <cellStyle name="Migliaia 40 3 2 13" xfId="51967" xr:uid="{00000000-0005-0000-0000-000064BB0000}"/>
    <cellStyle name="Migliaia 40 3 2 14" xfId="52514" xr:uid="{00000000-0005-0000-0000-000065BB0000}"/>
    <cellStyle name="Migliaia 40 3 2 2" xfId="9319" xr:uid="{00000000-0005-0000-0000-000066BB0000}"/>
    <cellStyle name="Migliaia 40 3 2 2 2" xfId="54922" xr:uid="{00000000-0005-0000-0000-000067BB0000}"/>
    <cellStyle name="Migliaia 40 3 2 3" xfId="9934" xr:uid="{00000000-0005-0000-0000-000068BB0000}"/>
    <cellStyle name="Migliaia 40 3 2 3 2" xfId="26259" xr:uid="{00000000-0005-0000-0000-000069BB0000}"/>
    <cellStyle name="Migliaia 40 3 2 3 3" xfId="41237" xr:uid="{00000000-0005-0000-0000-00006ABB0000}"/>
    <cellStyle name="Migliaia 40 3 2 3 4" xfId="55796" xr:uid="{00000000-0005-0000-0000-00006BBB0000}"/>
    <cellStyle name="Migliaia 40 3 2 4" xfId="17275" xr:uid="{00000000-0005-0000-0000-00006CBB0000}"/>
    <cellStyle name="Migliaia 40 3 2 4 2" xfId="33390" xr:uid="{00000000-0005-0000-0000-00006DBB0000}"/>
    <cellStyle name="Migliaia 40 3 2 4 3" xfId="48351" xr:uid="{00000000-0005-0000-0000-00006EBB0000}"/>
    <cellStyle name="Migliaia 40 3 2 5" xfId="19240" xr:uid="{00000000-0005-0000-0000-00006FBB0000}"/>
    <cellStyle name="Migliaia 40 3 2 6" xfId="34235" xr:uid="{00000000-0005-0000-0000-000070BB0000}"/>
    <cellStyle name="Migliaia 40 3 2 7" xfId="49175" xr:uid="{00000000-0005-0000-0000-000071BB0000}"/>
    <cellStyle name="Migliaia 40 3 2 8" xfId="49580" xr:uid="{00000000-0005-0000-0000-000072BB0000}"/>
    <cellStyle name="Migliaia 40 3 2 9" xfId="49986" xr:uid="{00000000-0005-0000-0000-000073BB0000}"/>
    <cellStyle name="Migliaia 40 3 3" xfId="9318" xr:uid="{00000000-0005-0000-0000-000074BB0000}"/>
    <cellStyle name="Migliaia 40 3 3 2" xfId="18372" xr:uid="{00000000-0005-0000-0000-000075BB0000}"/>
    <cellStyle name="Migliaia 40 3 3 2 2" xfId="33839" xr:uid="{00000000-0005-0000-0000-000076BB0000}"/>
    <cellStyle name="Migliaia 40 3 3 2 2 2" xfId="55323" xr:uid="{00000000-0005-0000-0000-000077BB0000}"/>
    <cellStyle name="Migliaia 40 3 3 2 3" xfId="48800" xr:uid="{00000000-0005-0000-0000-000078BB0000}"/>
    <cellStyle name="Migliaia 40 3 3 2 3 2" xfId="56245" xr:uid="{00000000-0005-0000-0000-000079BB0000}"/>
    <cellStyle name="Migliaia 40 3 3 2 4" xfId="52968" xr:uid="{00000000-0005-0000-0000-00007ABB0000}"/>
    <cellStyle name="Migliaia 40 3 3 3" xfId="17276" xr:uid="{00000000-0005-0000-0000-00007BBB0000}"/>
    <cellStyle name="Migliaia 40 3 3 3 2" xfId="33391" xr:uid="{00000000-0005-0000-0000-00007CBB0000}"/>
    <cellStyle name="Migliaia 40 3 3 3 3" xfId="48352" xr:uid="{00000000-0005-0000-0000-00007DBB0000}"/>
    <cellStyle name="Migliaia 40 3 3 3 4" xfId="54923" xr:uid="{00000000-0005-0000-0000-00007EBB0000}"/>
    <cellStyle name="Migliaia 40 3 3 4" xfId="55797" xr:uid="{00000000-0005-0000-0000-00007FBB0000}"/>
    <cellStyle name="Migliaia 40 3 3 5" xfId="52515" xr:uid="{00000000-0005-0000-0000-000080BB0000}"/>
    <cellStyle name="Migliaia 40 3 4" xfId="9933" xr:uid="{00000000-0005-0000-0000-000081BB0000}"/>
    <cellStyle name="Migliaia 40 3 4 2" xfId="18371" xr:uid="{00000000-0005-0000-0000-000082BB0000}"/>
    <cellStyle name="Migliaia 40 3 4 2 2" xfId="33838" xr:uid="{00000000-0005-0000-0000-000083BB0000}"/>
    <cellStyle name="Migliaia 40 3 4 2 3" xfId="48799" xr:uid="{00000000-0005-0000-0000-000084BB0000}"/>
    <cellStyle name="Migliaia 40 3 4 2 4" xfId="55322" xr:uid="{00000000-0005-0000-0000-000085BB0000}"/>
    <cellStyle name="Migliaia 40 3 4 3" xfId="26258" xr:uid="{00000000-0005-0000-0000-000086BB0000}"/>
    <cellStyle name="Migliaia 40 3 4 3 2" xfId="56244" xr:uid="{00000000-0005-0000-0000-000087BB0000}"/>
    <cellStyle name="Migliaia 40 3 4 4" xfId="41236" xr:uid="{00000000-0005-0000-0000-000088BB0000}"/>
    <cellStyle name="Migliaia 40 3 4 5" xfId="52967" xr:uid="{00000000-0005-0000-0000-000089BB0000}"/>
    <cellStyle name="Migliaia 40 3 5" xfId="17274" xr:uid="{00000000-0005-0000-0000-00008ABB0000}"/>
    <cellStyle name="Migliaia 40 3 5 2" xfId="33389" xr:uid="{00000000-0005-0000-0000-00008BBB0000}"/>
    <cellStyle name="Migliaia 40 3 5 3" xfId="48350" xr:uid="{00000000-0005-0000-0000-00008CBB0000}"/>
    <cellStyle name="Migliaia 40 3 5 4" xfId="54921" xr:uid="{00000000-0005-0000-0000-00008DBB0000}"/>
    <cellStyle name="Migliaia 40 3 6" xfId="19239" xr:uid="{00000000-0005-0000-0000-00008EBB0000}"/>
    <cellStyle name="Migliaia 40 3 6 2" xfId="55795" xr:uid="{00000000-0005-0000-0000-00008FBB0000}"/>
    <cellStyle name="Migliaia 40 3 7" xfId="34234" xr:uid="{00000000-0005-0000-0000-000090BB0000}"/>
    <cellStyle name="Migliaia 40 3 8" xfId="49174" xr:uid="{00000000-0005-0000-0000-000091BB0000}"/>
    <cellStyle name="Migliaia 40 3 9" xfId="49579" xr:uid="{00000000-0005-0000-0000-000092BB0000}"/>
    <cellStyle name="Migliaia 40 4" xfId="9320" xr:uid="{00000000-0005-0000-0000-000093BB0000}"/>
    <cellStyle name="Migliaia 40 4 2" xfId="17278" xr:uid="{00000000-0005-0000-0000-000094BB0000}"/>
    <cellStyle name="Migliaia 40 4 2 2" xfId="18374" xr:uid="{00000000-0005-0000-0000-000095BB0000}"/>
    <cellStyle name="Migliaia 40 4 2 2 2" xfId="33841" xr:uid="{00000000-0005-0000-0000-000096BB0000}"/>
    <cellStyle name="Migliaia 40 4 2 2 2 2" xfId="55325" xr:uid="{00000000-0005-0000-0000-000097BB0000}"/>
    <cellStyle name="Migliaia 40 4 2 2 3" xfId="48802" xr:uid="{00000000-0005-0000-0000-000098BB0000}"/>
    <cellStyle name="Migliaia 40 4 2 2 3 2" xfId="56247" xr:uid="{00000000-0005-0000-0000-000099BB0000}"/>
    <cellStyle name="Migliaia 40 4 2 2 4" xfId="52970" xr:uid="{00000000-0005-0000-0000-00009ABB0000}"/>
    <cellStyle name="Migliaia 40 4 2 3" xfId="33393" xr:uid="{00000000-0005-0000-0000-00009BBB0000}"/>
    <cellStyle name="Migliaia 40 4 2 3 2" xfId="54925" xr:uid="{00000000-0005-0000-0000-00009CBB0000}"/>
    <cellStyle name="Migliaia 40 4 2 4" xfId="48354" xr:uid="{00000000-0005-0000-0000-00009DBB0000}"/>
    <cellStyle name="Migliaia 40 4 2 4 2" xfId="55799" xr:uid="{00000000-0005-0000-0000-00009EBB0000}"/>
    <cellStyle name="Migliaia 40 4 2 5" xfId="52517" xr:uid="{00000000-0005-0000-0000-00009FBB0000}"/>
    <cellStyle name="Migliaia 40 4 3" xfId="18373" xr:uid="{00000000-0005-0000-0000-0000A0BB0000}"/>
    <cellStyle name="Migliaia 40 4 3 2" xfId="33840" xr:uid="{00000000-0005-0000-0000-0000A1BB0000}"/>
    <cellStyle name="Migliaia 40 4 3 2 2" xfId="55324" xr:uid="{00000000-0005-0000-0000-0000A2BB0000}"/>
    <cellStyle name="Migliaia 40 4 3 3" xfId="48801" xr:uid="{00000000-0005-0000-0000-0000A3BB0000}"/>
    <cellStyle name="Migliaia 40 4 3 3 2" xfId="56246" xr:uid="{00000000-0005-0000-0000-0000A4BB0000}"/>
    <cellStyle name="Migliaia 40 4 3 4" xfId="52969" xr:uid="{00000000-0005-0000-0000-0000A5BB0000}"/>
    <cellStyle name="Migliaia 40 4 4" xfId="17277" xr:uid="{00000000-0005-0000-0000-0000A6BB0000}"/>
    <cellStyle name="Migliaia 40 4 4 2" xfId="33392" xr:uid="{00000000-0005-0000-0000-0000A7BB0000}"/>
    <cellStyle name="Migliaia 40 4 4 3" xfId="48353" xr:uid="{00000000-0005-0000-0000-0000A8BB0000}"/>
    <cellStyle name="Migliaia 40 4 4 4" xfId="54924" xr:uid="{00000000-0005-0000-0000-0000A9BB0000}"/>
    <cellStyle name="Migliaia 40 4 5" xfId="51231" xr:uid="{00000000-0005-0000-0000-0000AABB0000}"/>
    <cellStyle name="Migliaia 40 4 5 2" xfId="55798" xr:uid="{00000000-0005-0000-0000-0000ABBB0000}"/>
    <cellStyle name="Migliaia 40 4 6" xfId="52516" xr:uid="{00000000-0005-0000-0000-0000ACBB0000}"/>
    <cellStyle name="Migliaia 40 5" xfId="9321" xr:uid="{00000000-0005-0000-0000-0000ADBB0000}"/>
    <cellStyle name="Migliaia 40 5 2" xfId="17279" xr:uid="{00000000-0005-0000-0000-0000AEBB0000}"/>
    <cellStyle name="Migliaia 40 5 2 2" xfId="33394" xr:uid="{00000000-0005-0000-0000-0000AFBB0000}"/>
    <cellStyle name="Migliaia 40 5 2 3" xfId="48355" xr:uid="{00000000-0005-0000-0000-0000B0BB0000}"/>
    <cellStyle name="Migliaia 40 5 2 4" xfId="54926" xr:uid="{00000000-0005-0000-0000-0000B1BB0000}"/>
    <cellStyle name="Migliaia 40 5 3" xfId="51185" xr:uid="{00000000-0005-0000-0000-0000B2BB0000}"/>
    <cellStyle name="Migliaia 40 5 3 2" xfId="55800" xr:uid="{00000000-0005-0000-0000-0000B3BB0000}"/>
    <cellStyle name="Migliaia 40 5 4" xfId="52518" xr:uid="{00000000-0005-0000-0000-0000B4BB0000}"/>
    <cellStyle name="Migliaia 40 6" xfId="9316" xr:uid="{00000000-0005-0000-0000-0000B5BB0000}"/>
    <cellStyle name="Migliaia 40 6 2" xfId="51220" xr:uid="{00000000-0005-0000-0000-0000B6BB0000}"/>
    <cellStyle name="Migliaia 40 6 3" xfId="54619" xr:uid="{00000000-0005-0000-0000-0000B7BB0000}"/>
    <cellStyle name="Migliaia 40 7" xfId="9931" xr:uid="{00000000-0005-0000-0000-0000B8BB0000}"/>
    <cellStyle name="Migliaia 40 7 2" xfId="26256" xr:uid="{00000000-0005-0000-0000-0000B9BB0000}"/>
    <cellStyle name="Migliaia 40 7 3" xfId="41234" xr:uid="{00000000-0005-0000-0000-0000BABB0000}"/>
    <cellStyle name="Migliaia 40 7 4" xfId="55793" xr:uid="{00000000-0005-0000-0000-0000BBBB0000}"/>
    <cellStyle name="Migliaia 40 8" xfId="17272" xr:uid="{00000000-0005-0000-0000-0000BCBB0000}"/>
    <cellStyle name="Migliaia 40 8 2" xfId="33387" xr:uid="{00000000-0005-0000-0000-0000BDBB0000}"/>
    <cellStyle name="Migliaia 40 8 3" xfId="48348" xr:uid="{00000000-0005-0000-0000-0000BEBB0000}"/>
    <cellStyle name="Migliaia 40 9" xfId="19237" xr:uid="{00000000-0005-0000-0000-0000BFBB0000}"/>
    <cellStyle name="Migliaia 41" xfId="425" xr:uid="{00000000-0005-0000-0000-0000C0BB0000}"/>
    <cellStyle name="Migliaia 41 10" xfId="34236" xr:uid="{00000000-0005-0000-0000-0000C1BB0000}"/>
    <cellStyle name="Migliaia 41 11" xfId="49176" xr:uid="{00000000-0005-0000-0000-0000C2BB0000}"/>
    <cellStyle name="Migliaia 41 12" xfId="49581" xr:uid="{00000000-0005-0000-0000-0000C3BB0000}"/>
    <cellStyle name="Migliaia 41 13" xfId="49987" xr:uid="{00000000-0005-0000-0000-0000C4BB0000}"/>
    <cellStyle name="Migliaia 41 14" xfId="50395" xr:uid="{00000000-0005-0000-0000-0000C5BB0000}"/>
    <cellStyle name="Migliaia 41 15" xfId="50837" xr:uid="{00000000-0005-0000-0000-0000C6BB0000}"/>
    <cellStyle name="Migliaia 41 16" xfId="51556" xr:uid="{00000000-0005-0000-0000-0000C7BB0000}"/>
    <cellStyle name="Migliaia 41 17" xfId="51968" xr:uid="{00000000-0005-0000-0000-0000C8BB0000}"/>
    <cellStyle name="Migliaia 41 18" xfId="52519" xr:uid="{00000000-0005-0000-0000-0000C9BB0000}"/>
    <cellStyle name="Migliaia 41 2" xfId="426" xr:uid="{00000000-0005-0000-0000-0000CABB0000}"/>
    <cellStyle name="Migliaia 41 2 10" xfId="49988" xr:uid="{00000000-0005-0000-0000-0000CBBB0000}"/>
    <cellStyle name="Migliaia 41 2 11" xfId="50396" xr:uid="{00000000-0005-0000-0000-0000CCBB0000}"/>
    <cellStyle name="Migliaia 41 2 12" xfId="50838" xr:uid="{00000000-0005-0000-0000-0000CDBB0000}"/>
    <cellStyle name="Migliaia 41 2 13" xfId="51557" xr:uid="{00000000-0005-0000-0000-0000CEBB0000}"/>
    <cellStyle name="Migliaia 41 2 14" xfId="51969" xr:uid="{00000000-0005-0000-0000-0000CFBB0000}"/>
    <cellStyle name="Migliaia 41 2 15" xfId="52520" xr:uid="{00000000-0005-0000-0000-0000D0BB0000}"/>
    <cellStyle name="Migliaia 41 2 2" xfId="1279" xr:uid="{00000000-0005-0000-0000-0000D1BB0000}"/>
    <cellStyle name="Migliaia 41 2 2 10" xfId="51131" xr:uid="{00000000-0005-0000-0000-0000D2BB0000}"/>
    <cellStyle name="Migliaia 41 2 2 11" xfId="51727" xr:uid="{00000000-0005-0000-0000-0000D3BB0000}"/>
    <cellStyle name="Migliaia 41 2 2 12" xfId="52147" xr:uid="{00000000-0005-0000-0000-0000D4BB0000}"/>
    <cellStyle name="Migliaia 41 2 2 13" xfId="52971" xr:uid="{00000000-0005-0000-0000-0000D5BB0000}"/>
    <cellStyle name="Migliaia 41 2 2 2" xfId="10106" xr:uid="{00000000-0005-0000-0000-0000D6BB0000}"/>
    <cellStyle name="Migliaia 41 2 2 2 2" xfId="26426" xr:uid="{00000000-0005-0000-0000-0000D7BB0000}"/>
    <cellStyle name="Migliaia 41 2 2 2 3" xfId="41394" xr:uid="{00000000-0005-0000-0000-0000D8BB0000}"/>
    <cellStyle name="Migliaia 41 2 2 2 4" xfId="55326" xr:uid="{00000000-0005-0000-0000-0000D9BB0000}"/>
    <cellStyle name="Migliaia 41 2 2 3" xfId="18375" xr:uid="{00000000-0005-0000-0000-0000DABB0000}"/>
    <cellStyle name="Migliaia 41 2 2 3 2" xfId="33842" xr:uid="{00000000-0005-0000-0000-0000DBBB0000}"/>
    <cellStyle name="Migliaia 41 2 2 3 3" xfId="48803" xr:uid="{00000000-0005-0000-0000-0000DCBB0000}"/>
    <cellStyle name="Migliaia 41 2 2 3 4" xfId="56248" xr:uid="{00000000-0005-0000-0000-0000DDBB0000}"/>
    <cellStyle name="Migliaia 41 2 2 4" xfId="19405" xr:uid="{00000000-0005-0000-0000-0000DEBB0000}"/>
    <cellStyle name="Migliaia 41 2 2 5" xfId="34395" xr:uid="{00000000-0005-0000-0000-0000DFBB0000}"/>
    <cellStyle name="Migliaia 41 2 2 6" xfId="49347" xr:uid="{00000000-0005-0000-0000-0000E0BB0000}"/>
    <cellStyle name="Migliaia 41 2 2 7" xfId="49752" xr:uid="{00000000-0005-0000-0000-0000E1BB0000}"/>
    <cellStyle name="Migliaia 41 2 2 8" xfId="50161" xr:uid="{00000000-0005-0000-0000-0000E2BB0000}"/>
    <cellStyle name="Migliaia 41 2 2 9" xfId="50566" xr:uid="{00000000-0005-0000-0000-0000E3BB0000}"/>
    <cellStyle name="Migliaia 41 2 3" xfId="9323" xr:uid="{00000000-0005-0000-0000-0000E4BB0000}"/>
    <cellStyle name="Migliaia 41 2 3 2" xfId="54684" xr:uid="{00000000-0005-0000-0000-0000E5BB0000}"/>
    <cellStyle name="Migliaia 41 2 4" xfId="9936" xr:uid="{00000000-0005-0000-0000-0000E6BB0000}"/>
    <cellStyle name="Migliaia 41 2 4 2" xfId="26261" xr:uid="{00000000-0005-0000-0000-0000E7BB0000}"/>
    <cellStyle name="Migliaia 41 2 4 3" xfId="41239" xr:uid="{00000000-0005-0000-0000-0000E8BB0000}"/>
    <cellStyle name="Migliaia 41 2 4 4" xfId="55802" xr:uid="{00000000-0005-0000-0000-0000E9BB0000}"/>
    <cellStyle name="Migliaia 41 2 5" xfId="17281" xr:uid="{00000000-0005-0000-0000-0000EABB0000}"/>
    <cellStyle name="Migliaia 41 2 5 2" xfId="33396" xr:uid="{00000000-0005-0000-0000-0000EBBB0000}"/>
    <cellStyle name="Migliaia 41 2 5 3" xfId="48357" xr:uid="{00000000-0005-0000-0000-0000ECBB0000}"/>
    <cellStyle name="Migliaia 41 2 6" xfId="19242" xr:uid="{00000000-0005-0000-0000-0000EDBB0000}"/>
    <cellStyle name="Migliaia 41 2 7" xfId="34237" xr:uid="{00000000-0005-0000-0000-0000EEBB0000}"/>
    <cellStyle name="Migliaia 41 2 8" xfId="49177" xr:uid="{00000000-0005-0000-0000-0000EFBB0000}"/>
    <cellStyle name="Migliaia 41 2 9" xfId="49582" xr:uid="{00000000-0005-0000-0000-0000F0BB0000}"/>
    <cellStyle name="Migliaia 41 3" xfId="427" xr:uid="{00000000-0005-0000-0000-0000F1BB0000}"/>
    <cellStyle name="Migliaia 41 3 10" xfId="49989" xr:uid="{00000000-0005-0000-0000-0000F2BB0000}"/>
    <cellStyle name="Migliaia 41 3 11" xfId="50397" xr:uid="{00000000-0005-0000-0000-0000F3BB0000}"/>
    <cellStyle name="Migliaia 41 3 12" xfId="50839" xr:uid="{00000000-0005-0000-0000-0000F4BB0000}"/>
    <cellStyle name="Migliaia 41 3 13" xfId="51558" xr:uid="{00000000-0005-0000-0000-0000F5BB0000}"/>
    <cellStyle name="Migliaia 41 3 14" xfId="51970" xr:uid="{00000000-0005-0000-0000-0000F6BB0000}"/>
    <cellStyle name="Migliaia 41 3 15" xfId="52521" xr:uid="{00000000-0005-0000-0000-0000F7BB0000}"/>
    <cellStyle name="Migliaia 41 3 2" xfId="428" xr:uid="{00000000-0005-0000-0000-0000F8BB0000}"/>
    <cellStyle name="Migliaia 41 3 2 10" xfId="50398" xr:uid="{00000000-0005-0000-0000-0000F9BB0000}"/>
    <cellStyle name="Migliaia 41 3 2 11" xfId="50840" xr:uid="{00000000-0005-0000-0000-0000FABB0000}"/>
    <cellStyle name="Migliaia 41 3 2 12" xfId="51559" xr:uid="{00000000-0005-0000-0000-0000FBBB0000}"/>
    <cellStyle name="Migliaia 41 3 2 13" xfId="51971" xr:uid="{00000000-0005-0000-0000-0000FCBB0000}"/>
    <cellStyle name="Migliaia 41 3 2 14" xfId="52522" xr:uid="{00000000-0005-0000-0000-0000FDBB0000}"/>
    <cellStyle name="Migliaia 41 3 2 2" xfId="9325" xr:uid="{00000000-0005-0000-0000-0000FEBB0000}"/>
    <cellStyle name="Migliaia 41 3 2 2 2" xfId="54928" xr:uid="{00000000-0005-0000-0000-0000FFBB0000}"/>
    <cellStyle name="Migliaia 41 3 2 3" xfId="9938" xr:uid="{00000000-0005-0000-0000-000000BC0000}"/>
    <cellStyle name="Migliaia 41 3 2 3 2" xfId="26263" xr:uid="{00000000-0005-0000-0000-000001BC0000}"/>
    <cellStyle name="Migliaia 41 3 2 3 3" xfId="41241" xr:uid="{00000000-0005-0000-0000-000002BC0000}"/>
    <cellStyle name="Migliaia 41 3 2 3 4" xfId="55804" xr:uid="{00000000-0005-0000-0000-000003BC0000}"/>
    <cellStyle name="Migliaia 41 3 2 4" xfId="17283" xr:uid="{00000000-0005-0000-0000-000004BC0000}"/>
    <cellStyle name="Migliaia 41 3 2 4 2" xfId="33398" xr:uid="{00000000-0005-0000-0000-000005BC0000}"/>
    <cellStyle name="Migliaia 41 3 2 4 3" xfId="48359" xr:uid="{00000000-0005-0000-0000-000006BC0000}"/>
    <cellStyle name="Migliaia 41 3 2 5" xfId="19244" xr:uid="{00000000-0005-0000-0000-000007BC0000}"/>
    <cellStyle name="Migliaia 41 3 2 6" xfId="34239" xr:uid="{00000000-0005-0000-0000-000008BC0000}"/>
    <cellStyle name="Migliaia 41 3 2 7" xfId="49179" xr:uid="{00000000-0005-0000-0000-000009BC0000}"/>
    <cellStyle name="Migliaia 41 3 2 8" xfId="49584" xr:uid="{00000000-0005-0000-0000-00000ABC0000}"/>
    <cellStyle name="Migliaia 41 3 2 9" xfId="49990" xr:uid="{00000000-0005-0000-0000-00000BBC0000}"/>
    <cellStyle name="Migliaia 41 3 3" xfId="9324" xr:uid="{00000000-0005-0000-0000-00000CBC0000}"/>
    <cellStyle name="Migliaia 41 3 3 2" xfId="18377" xr:uid="{00000000-0005-0000-0000-00000DBC0000}"/>
    <cellStyle name="Migliaia 41 3 3 2 2" xfId="33844" xr:uid="{00000000-0005-0000-0000-00000EBC0000}"/>
    <cellStyle name="Migliaia 41 3 3 2 2 2" xfId="55328" xr:uid="{00000000-0005-0000-0000-00000FBC0000}"/>
    <cellStyle name="Migliaia 41 3 3 2 3" xfId="48805" xr:uid="{00000000-0005-0000-0000-000010BC0000}"/>
    <cellStyle name="Migliaia 41 3 3 2 3 2" xfId="56250" xr:uid="{00000000-0005-0000-0000-000011BC0000}"/>
    <cellStyle name="Migliaia 41 3 3 2 4" xfId="52973" xr:uid="{00000000-0005-0000-0000-000012BC0000}"/>
    <cellStyle name="Migliaia 41 3 3 3" xfId="17284" xr:uid="{00000000-0005-0000-0000-000013BC0000}"/>
    <cellStyle name="Migliaia 41 3 3 3 2" xfId="33399" xr:uid="{00000000-0005-0000-0000-000014BC0000}"/>
    <cellStyle name="Migliaia 41 3 3 3 3" xfId="48360" xr:uid="{00000000-0005-0000-0000-000015BC0000}"/>
    <cellStyle name="Migliaia 41 3 3 3 4" xfId="54929" xr:uid="{00000000-0005-0000-0000-000016BC0000}"/>
    <cellStyle name="Migliaia 41 3 3 4" xfId="55805" xr:uid="{00000000-0005-0000-0000-000017BC0000}"/>
    <cellStyle name="Migliaia 41 3 3 5" xfId="52523" xr:uid="{00000000-0005-0000-0000-000018BC0000}"/>
    <cellStyle name="Migliaia 41 3 4" xfId="9937" xr:uid="{00000000-0005-0000-0000-000019BC0000}"/>
    <cellStyle name="Migliaia 41 3 4 2" xfId="18376" xr:uid="{00000000-0005-0000-0000-00001ABC0000}"/>
    <cellStyle name="Migliaia 41 3 4 2 2" xfId="33843" xr:uid="{00000000-0005-0000-0000-00001BBC0000}"/>
    <cellStyle name="Migliaia 41 3 4 2 3" xfId="48804" xr:uid="{00000000-0005-0000-0000-00001CBC0000}"/>
    <cellStyle name="Migliaia 41 3 4 2 4" xfId="55327" xr:uid="{00000000-0005-0000-0000-00001DBC0000}"/>
    <cellStyle name="Migliaia 41 3 4 3" xfId="26262" xr:uid="{00000000-0005-0000-0000-00001EBC0000}"/>
    <cellStyle name="Migliaia 41 3 4 3 2" xfId="56249" xr:uid="{00000000-0005-0000-0000-00001FBC0000}"/>
    <cellStyle name="Migliaia 41 3 4 4" xfId="41240" xr:uid="{00000000-0005-0000-0000-000020BC0000}"/>
    <cellStyle name="Migliaia 41 3 4 5" xfId="52972" xr:uid="{00000000-0005-0000-0000-000021BC0000}"/>
    <cellStyle name="Migliaia 41 3 5" xfId="17282" xr:uid="{00000000-0005-0000-0000-000022BC0000}"/>
    <cellStyle name="Migliaia 41 3 5 2" xfId="33397" xr:uid="{00000000-0005-0000-0000-000023BC0000}"/>
    <cellStyle name="Migliaia 41 3 5 3" xfId="48358" xr:uid="{00000000-0005-0000-0000-000024BC0000}"/>
    <cellStyle name="Migliaia 41 3 5 4" xfId="54927" xr:uid="{00000000-0005-0000-0000-000025BC0000}"/>
    <cellStyle name="Migliaia 41 3 6" xfId="19243" xr:uid="{00000000-0005-0000-0000-000026BC0000}"/>
    <cellStyle name="Migliaia 41 3 6 2" xfId="55803" xr:uid="{00000000-0005-0000-0000-000027BC0000}"/>
    <cellStyle name="Migliaia 41 3 7" xfId="34238" xr:uid="{00000000-0005-0000-0000-000028BC0000}"/>
    <cellStyle name="Migliaia 41 3 8" xfId="49178" xr:uid="{00000000-0005-0000-0000-000029BC0000}"/>
    <cellStyle name="Migliaia 41 3 9" xfId="49583" xr:uid="{00000000-0005-0000-0000-00002ABC0000}"/>
    <cellStyle name="Migliaia 41 4" xfId="9326" xr:uid="{00000000-0005-0000-0000-00002BBC0000}"/>
    <cellStyle name="Migliaia 41 4 2" xfId="17286" xr:uid="{00000000-0005-0000-0000-00002CBC0000}"/>
    <cellStyle name="Migliaia 41 4 2 2" xfId="18379" xr:uid="{00000000-0005-0000-0000-00002DBC0000}"/>
    <cellStyle name="Migliaia 41 4 2 2 2" xfId="33846" xr:uid="{00000000-0005-0000-0000-00002EBC0000}"/>
    <cellStyle name="Migliaia 41 4 2 2 2 2" xfId="55330" xr:uid="{00000000-0005-0000-0000-00002FBC0000}"/>
    <cellStyle name="Migliaia 41 4 2 2 3" xfId="48807" xr:uid="{00000000-0005-0000-0000-000030BC0000}"/>
    <cellStyle name="Migliaia 41 4 2 2 3 2" xfId="56252" xr:uid="{00000000-0005-0000-0000-000031BC0000}"/>
    <cellStyle name="Migliaia 41 4 2 2 4" xfId="52975" xr:uid="{00000000-0005-0000-0000-000032BC0000}"/>
    <cellStyle name="Migliaia 41 4 2 3" xfId="33401" xr:uid="{00000000-0005-0000-0000-000033BC0000}"/>
    <cellStyle name="Migliaia 41 4 2 3 2" xfId="54931" xr:uid="{00000000-0005-0000-0000-000034BC0000}"/>
    <cellStyle name="Migliaia 41 4 2 4" xfId="48362" xr:uid="{00000000-0005-0000-0000-000035BC0000}"/>
    <cellStyle name="Migliaia 41 4 2 4 2" xfId="55807" xr:uid="{00000000-0005-0000-0000-000036BC0000}"/>
    <cellStyle name="Migliaia 41 4 2 5" xfId="52525" xr:uid="{00000000-0005-0000-0000-000037BC0000}"/>
    <cellStyle name="Migliaia 41 4 3" xfId="18378" xr:uid="{00000000-0005-0000-0000-000038BC0000}"/>
    <cellStyle name="Migliaia 41 4 3 2" xfId="33845" xr:uid="{00000000-0005-0000-0000-000039BC0000}"/>
    <cellStyle name="Migliaia 41 4 3 2 2" xfId="55329" xr:uid="{00000000-0005-0000-0000-00003ABC0000}"/>
    <cellStyle name="Migliaia 41 4 3 3" xfId="48806" xr:uid="{00000000-0005-0000-0000-00003BBC0000}"/>
    <cellStyle name="Migliaia 41 4 3 3 2" xfId="56251" xr:uid="{00000000-0005-0000-0000-00003CBC0000}"/>
    <cellStyle name="Migliaia 41 4 3 4" xfId="52974" xr:uid="{00000000-0005-0000-0000-00003DBC0000}"/>
    <cellStyle name="Migliaia 41 4 4" xfId="17285" xr:uid="{00000000-0005-0000-0000-00003EBC0000}"/>
    <cellStyle name="Migliaia 41 4 4 2" xfId="33400" xr:uid="{00000000-0005-0000-0000-00003FBC0000}"/>
    <cellStyle name="Migliaia 41 4 4 3" xfId="48361" xr:uid="{00000000-0005-0000-0000-000040BC0000}"/>
    <cellStyle name="Migliaia 41 4 4 4" xfId="54930" xr:uid="{00000000-0005-0000-0000-000041BC0000}"/>
    <cellStyle name="Migliaia 41 4 5" xfId="51284" xr:uid="{00000000-0005-0000-0000-000042BC0000}"/>
    <cellStyle name="Migliaia 41 4 5 2" xfId="55806" xr:uid="{00000000-0005-0000-0000-000043BC0000}"/>
    <cellStyle name="Migliaia 41 4 6" xfId="52524" xr:uid="{00000000-0005-0000-0000-000044BC0000}"/>
    <cellStyle name="Migliaia 41 5" xfId="9327" xr:uid="{00000000-0005-0000-0000-000045BC0000}"/>
    <cellStyle name="Migliaia 41 5 2" xfId="17287" xr:uid="{00000000-0005-0000-0000-000046BC0000}"/>
    <cellStyle name="Migliaia 41 5 2 2" xfId="33402" xr:uid="{00000000-0005-0000-0000-000047BC0000}"/>
    <cellStyle name="Migliaia 41 5 2 3" xfId="48363" xr:uid="{00000000-0005-0000-0000-000048BC0000}"/>
    <cellStyle name="Migliaia 41 5 2 4" xfId="54932" xr:uid="{00000000-0005-0000-0000-000049BC0000}"/>
    <cellStyle name="Migliaia 41 5 3" xfId="50970" xr:uid="{00000000-0005-0000-0000-00004ABC0000}"/>
    <cellStyle name="Migliaia 41 5 3 2" xfId="55808" xr:uid="{00000000-0005-0000-0000-00004BBC0000}"/>
    <cellStyle name="Migliaia 41 5 4" xfId="52526" xr:uid="{00000000-0005-0000-0000-00004CBC0000}"/>
    <cellStyle name="Migliaia 41 6" xfId="9322" xr:uid="{00000000-0005-0000-0000-00004DBC0000}"/>
    <cellStyle name="Migliaia 41 6 2" xfId="51243" xr:uid="{00000000-0005-0000-0000-00004EBC0000}"/>
    <cellStyle name="Migliaia 41 6 3" xfId="54620" xr:uid="{00000000-0005-0000-0000-00004FBC0000}"/>
    <cellStyle name="Migliaia 41 7" xfId="9935" xr:uid="{00000000-0005-0000-0000-000050BC0000}"/>
    <cellStyle name="Migliaia 41 7 2" xfId="26260" xr:uid="{00000000-0005-0000-0000-000051BC0000}"/>
    <cellStyle name="Migliaia 41 7 3" xfId="41238" xr:uid="{00000000-0005-0000-0000-000052BC0000}"/>
    <cellStyle name="Migliaia 41 7 4" xfId="55801" xr:uid="{00000000-0005-0000-0000-000053BC0000}"/>
    <cellStyle name="Migliaia 41 8" xfId="17280" xr:uid="{00000000-0005-0000-0000-000054BC0000}"/>
    <cellStyle name="Migliaia 41 8 2" xfId="33395" xr:uid="{00000000-0005-0000-0000-000055BC0000}"/>
    <cellStyle name="Migliaia 41 8 3" xfId="48356" xr:uid="{00000000-0005-0000-0000-000056BC0000}"/>
    <cellStyle name="Migliaia 41 9" xfId="19241" xr:uid="{00000000-0005-0000-0000-000057BC0000}"/>
    <cellStyle name="Migliaia 42" xfId="429" xr:uid="{00000000-0005-0000-0000-000058BC0000}"/>
    <cellStyle name="Migliaia 42 10" xfId="34240" xr:uid="{00000000-0005-0000-0000-000059BC0000}"/>
    <cellStyle name="Migliaia 42 11" xfId="49180" xr:uid="{00000000-0005-0000-0000-00005ABC0000}"/>
    <cellStyle name="Migliaia 42 12" xfId="49585" xr:uid="{00000000-0005-0000-0000-00005BBC0000}"/>
    <cellStyle name="Migliaia 42 13" xfId="49991" xr:uid="{00000000-0005-0000-0000-00005CBC0000}"/>
    <cellStyle name="Migliaia 42 14" xfId="50399" xr:uid="{00000000-0005-0000-0000-00005DBC0000}"/>
    <cellStyle name="Migliaia 42 15" xfId="50841" xr:uid="{00000000-0005-0000-0000-00005EBC0000}"/>
    <cellStyle name="Migliaia 42 16" xfId="51560" xr:uid="{00000000-0005-0000-0000-00005FBC0000}"/>
    <cellStyle name="Migliaia 42 17" xfId="51972" xr:uid="{00000000-0005-0000-0000-000060BC0000}"/>
    <cellStyle name="Migliaia 42 18" xfId="52527" xr:uid="{00000000-0005-0000-0000-000061BC0000}"/>
    <cellStyle name="Migliaia 42 2" xfId="430" xr:uid="{00000000-0005-0000-0000-000062BC0000}"/>
    <cellStyle name="Migliaia 42 2 10" xfId="49992" xr:uid="{00000000-0005-0000-0000-000063BC0000}"/>
    <cellStyle name="Migliaia 42 2 11" xfId="50400" xr:uid="{00000000-0005-0000-0000-000064BC0000}"/>
    <cellStyle name="Migliaia 42 2 12" xfId="50842" xr:uid="{00000000-0005-0000-0000-000065BC0000}"/>
    <cellStyle name="Migliaia 42 2 13" xfId="51561" xr:uid="{00000000-0005-0000-0000-000066BC0000}"/>
    <cellStyle name="Migliaia 42 2 14" xfId="51973" xr:uid="{00000000-0005-0000-0000-000067BC0000}"/>
    <cellStyle name="Migliaia 42 2 15" xfId="52528" xr:uid="{00000000-0005-0000-0000-000068BC0000}"/>
    <cellStyle name="Migliaia 42 2 2" xfId="1280" xr:uid="{00000000-0005-0000-0000-000069BC0000}"/>
    <cellStyle name="Migliaia 42 2 2 10" xfId="51132" xr:uid="{00000000-0005-0000-0000-00006ABC0000}"/>
    <cellStyle name="Migliaia 42 2 2 11" xfId="51728" xr:uid="{00000000-0005-0000-0000-00006BBC0000}"/>
    <cellStyle name="Migliaia 42 2 2 12" xfId="52148" xr:uid="{00000000-0005-0000-0000-00006CBC0000}"/>
    <cellStyle name="Migliaia 42 2 2 13" xfId="52976" xr:uid="{00000000-0005-0000-0000-00006DBC0000}"/>
    <cellStyle name="Migliaia 42 2 2 2" xfId="10107" xr:uid="{00000000-0005-0000-0000-00006EBC0000}"/>
    <cellStyle name="Migliaia 42 2 2 2 2" xfId="26427" xr:uid="{00000000-0005-0000-0000-00006FBC0000}"/>
    <cellStyle name="Migliaia 42 2 2 2 3" xfId="41395" xr:uid="{00000000-0005-0000-0000-000070BC0000}"/>
    <cellStyle name="Migliaia 42 2 2 2 4" xfId="55331" xr:uid="{00000000-0005-0000-0000-000071BC0000}"/>
    <cellStyle name="Migliaia 42 2 2 3" xfId="18380" xr:uid="{00000000-0005-0000-0000-000072BC0000}"/>
    <cellStyle name="Migliaia 42 2 2 3 2" xfId="33847" xr:uid="{00000000-0005-0000-0000-000073BC0000}"/>
    <cellStyle name="Migliaia 42 2 2 3 3" xfId="48808" xr:uid="{00000000-0005-0000-0000-000074BC0000}"/>
    <cellStyle name="Migliaia 42 2 2 3 4" xfId="56253" xr:uid="{00000000-0005-0000-0000-000075BC0000}"/>
    <cellStyle name="Migliaia 42 2 2 4" xfId="19406" xr:uid="{00000000-0005-0000-0000-000076BC0000}"/>
    <cellStyle name="Migliaia 42 2 2 5" xfId="34396" xr:uid="{00000000-0005-0000-0000-000077BC0000}"/>
    <cellStyle name="Migliaia 42 2 2 6" xfId="49348" xr:uid="{00000000-0005-0000-0000-000078BC0000}"/>
    <cellStyle name="Migliaia 42 2 2 7" xfId="49753" xr:uid="{00000000-0005-0000-0000-000079BC0000}"/>
    <cellStyle name="Migliaia 42 2 2 8" xfId="50162" xr:uid="{00000000-0005-0000-0000-00007ABC0000}"/>
    <cellStyle name="Migliaia 42 2 2 9" xfId="50567" xr:uid="{00000000-0005-0000-0000-00007BBC0000}"/>
    <cellStyle name="Migliaia 42 2 3" xfId="9329" xr:uid="{00000000-0005-0000-0000-00007CBC0000}"/>
    <cellStyle name="Migliaia 42 2 3 2" xfId="54685" xr:uid="{00000000-0005-0000-0000-00007DBC0000}"/>
    <cellStyle name="Migliaia 42 2 4" xfId="9940" xr:uid="{00000000-0005-0000-0000-00007EBC0000}"/>
    <cellStyle name="Migliaia 42 2 4 2" xfId="26265" xr:uid="{00000000-0005-0000-0000-00007FBC0000}"/>
    <cellStyle name="Migliaia 42 2 4 3" xfId="41243" xr:uid="{00000000-0005-0000-0000-000080BC0000}"/>
    <cellStyle name="Migliaia 42 2 4 4" xfId="55810" xr:uid="{00000000-0005-0000-0000-000081BC0000}"/>
    <cellStyle name="Migliaia 42 2 5" xfId="17289" xr:uid="{00000000-0005-0000-0000-000082BC0000}"/>
    <cellStyle name="Migliaia 42 2 5 2" xfId="33404" xr:uid="{00000000-0005-0000-0000-000083BC0000}"/>
    <cellStyle name="Migliaia 42 2 5 3" xfId="48365" xr:uid="{00000000-0005-0000-0000-000084BC0000}"/>
    <cellStyle name="Migliaia 42 2 6" xfId="19246" xr:uid="{00000000-0005-0000-0000-000085BC0000}"/>
    <cellStyle name="Migliaia 42 2 7" xfId="34241" xr:uid="{00000000-0005-0000-0000-000086BC0000}"/>
    <cellStyle name="Migliaia 42 2 8" xfId="49181" xr:uid="{00000000-0005-0000-0000-000087BC0000}"/>
    <cellStyle name="Migliaia 42 2 9" xfId="49586" xr:uid="{00000000-0005-0000-0000-000088BC0000}"/>
    <cellStyle name="Migliaia 42 3" xfId="431" xr:uid="{00000000-0005-0000-0000-000089BC0000}"/>
    <cellStyle name="Migliaia 42 3 10" xfId="49993" xr:uid="{00000000-0005-0000-0000-00008ABC0000}"/>
    <cellStyle name="Migliaia 42 3 11" xfId="50401" xr:uid="{00000000-0005-0000-0000-00008BBC0000}"/>
    <cellStyle name="Migliaia 42 3 12" xfId="50843" xr:uid="{00000000-0005-0000-0000-00008CBC0000}"/>
    <cellStyle name="Migliaia 42 3 13" xfId="51562" xr:uid="{00000000-0005-0000-0000-00008DBC0000}"/>
    <cellStyle name="Migliaia 42 3 14" xfId="51974" xr:uid="{00000000-0005-0000-0000-00008EBC0000}"/>
    <cellStyle name="Migliaia 42 3 15" xfId="52529" xr:uid="{00000000-0005-0000-0000-00008FBC0000}"/>
    <cellStyle name="Migliaia 42 3 2" xfId="432" xr:uid="{00000000-0005-0000-0000-000090BC0000}"/>
    <cellStyle name="Migliaia 42 3 2 10" xfId="50402" xr:uid="{00000000-0005-0000-0000-000091BC0000}"/>
    <cellStyle name="Migliaia 42 3 2 11" xfId="50844" xr:uid="{00000000-0005-0000-0000-000092BC0000}"/>
    <cellStyle name="Migliaia 42 3 2 12" xfId="51563" xr:uid="{00000000-0005-0000-0000-000093BC0000}"/>
    <cellStyle name="Migliaia 42 3 2 13" xfId="51975" xr:uid="{00000000-0005-0000-0000-000094BC0000}"/>
    <cellStyle name="Migliaia 42 3 2 14" xfId="52530" xr:uid="{00000000-0005-0000-0000-000095BC0000}"/>
    <cellStyle name="Migliaia 42 3 2 2" xfId="9331" xr:uid="{00000000-0005-0000-0000-000096BC0000}"/>
    <cellStyle name="Migliaia 42 3 2 2 2" xfId="54934" xr:uid="{00000000-0005-0000-0000-000097BC0000}"/>
    <cellStyle name="Migliaia 42 3 2 3" xfId="9942" xr:uid="{00000000-0005-0000-0000-000098BC0000}"/>
    <cellStyle name="Migliaia 42 3 2 3 2" xfId="26267" xr:uid="{00000000-0005-0000-0000-000099BC0000}"/>
    <cellStyle name="Migliaia 42 3 2 3 3" xfId="41245" xr:uid="{00000000-0005-0000-0000-00009ABC0000}"/>
    <cellStyle name="Migliaia 42 3 2 3 4" xfId="55812" xr:uid="{00000000-0005-0000-0000-00009BBC0000}"/>
    <cellStyle name="Migliaia 42 3 2 4" xfId="17291" xr:uid="{00000000-0005-0000-0000-00009CBC0000}"/>
    <cellStyle name="Migliaia 42 3 2 4 2" xfId="33406" xr:uid="{00000000-0005-0000-0000-00009DBC0000}"/>
    <cellStyle name="Migliaia 42 3 2 4 3" xfId="48367" xr:uid="{00000000-0005-0000-0000-00009EBC0000}"/>
    <cellStyle name="Migliaia 42 3 2 5" xfId="19248" xr:uid="{00000000-0005-0000-0000-00009FBC0000}"/>
    <cellStyle name="Migliaia 42 3 2 6" xfId="34243" xr:uid="{00000000-0005-0000-0000-0000A0BC0000}"/>
    <cellStyle name="Migliaia 42 3 2 7" xfId="49183" xr:uid="{00000000-0005-0000-0000-0000A1BC0000}"/>
    <cellStyle name="Migliaia 42 3 2 8" xfId="49588" xr:uid="{00000000-0005-0000-0000-0000A2BC0000}"/>
    <cellStyle name="Migliaia 42 3 2 9" xfId="49994" xr:uid="{00000000-0005-0000-0000-0000A3BC0000}"/>
    <cellStyle name="Migliaia 42 3 3" xfId="9330" xr:uid="{00000000-0005-0000-0000-0000A4BC0000}"/>
    <cellStyle name="Migliaia 42 3 3 2" xfId="18382" xr:uid="{00000000-0005-0000-0000-0000A5BC0000}"/>
    <cellStyle name="Migliaia 42 3 3 2 2" xfId="33849" xr:uid="{00000000-0005-0000-0000-0000A6BC0000}"/>
    <cellStyle name="Migliaia 42 3 3 2 2 2" xfId="55333" xr:uid="{00000000-0005-0000-0000-0000A7BC0000}"/>
    <cellStyle name="Migliaia 42 3 3 2 3" xfId="48810" xr:uid="{00000000-0005-0000-0000-0000A8BC0000}"/>
    <cellStyle name="Migliaia 42 3 3 2 3 2" xfId="56255" xr:uid="{00000000-0005-0000-0000-0000A9BC0000}"/>
    <cellStyle name="Migliaia 42 3 3 2 4" xfId="52978" xr:uid="{00000000-0005-0000-0000-0000AABC0000}"/>
    <cellStyle name="Migliaia 42 3 3 3" xfId="17292" xr:uid="{00000000-0005-0000-0000-0000ABBC0000}"/>
    <cellStyle name="Migliaia 42 3 3 3 2" xfId="33407" xr:uid="{00000000-0005-0000-0000-0000ACBC0000}"/>
    <cellStyle name="Migliaia 42 3 3 3 3" xfId="48368" xr:uid="{00000000-0005-0000-0000-0000ADBC0000}"/>
    <cellStyle name="Migliaia 42 3 3 3 4" xfId="54935" xr:uid="{00000000-0005-0000-0000-0000AEBC0000}"/>
    <cellStyle name="Migliaia 42 3 3 4" xfId="55813" xr:uid="{00000000-0005-0000-0000-0000AFBC0000}"/>
    <cellStyle name="Migliaia 42 3 3 5" xfId="52531" xr:uid="{00000000-0005-0000-0000-0000B0BC0000}"/>
    <cellStyle name="Migliaia 42 3 4" xfId="9941" xr:uid="{00000000-0005-0000-0000-0000B1BC0000}"/>
    <cellStyle name="Migliaia 42 3 4 2" xfId="18381" xr:uid="{00000000-0005-0000-0000-0000B2BC0000}"/>
    <cellStyle name="Migliaia 42 3 4 2 2" xfId="33848" xr:uid="{00000000-0005-0000-0000-0000B3BC0000}"/>
    <cellStyle name="Migliaia 42 3 4 2 3" xfId="48809" xr:uid="{00000000-0005-0000-0000-0000B4BC0000}"/>
    <cellStyle name="Migliaia 42 3 4 2 4" xfId="55332" xr:uid="{00000000-0005-0000-0000-0000B5BC0000}"/>
    <cellStyle name="Migliaia 42 3 4 3" xfId="26266" xr:uid="{00000000-0005-0000-0000-0000B6BC0000}"/>
    <cellStyle name="Migliaia 42 3 4 3 2" xfId="56254" xr:uid="{00000000-0005-0000-0000-0000B7BC0000}"/>
    <cellStyle name="Migliaia 42 3 4 4" xfId="41244" xr:uid="{00000000-0005-0000-0000-0000B8BC0000}"/>
    <cellStyle name="Migliaia 42 3 4 5" xfId="52977" xr:uid="{00000000-0005-0000-0000-0000B9BC0000}"/>
    <cellStyle name="Migliaia 42 3 5" xfId="17290" xr:uid="{00000000-0005-0000-0000-0000BABC0000}"/>
    <cellStyle name="Migliaia 42 3 5 2" xfId="33405" xr:uid="{00000000-0005-0000-0000-0000BBBC0000}"/>
    <cellStyle name="Migliaia 42 3 5 3" xfId="48366" xr:uid="{00000000-0005-0000-0000-0000BCBC0000}"/>
    <cellStyle name="Migliaia 42 3 5 4" xfId="54933" xr:uid="{00000000-0005-0000-0000-0000BDBC0000}"/>
    <cellStyle name="Migliaia 42 3 6" xfId="19247" xr:uid="{00000000-0005-0000-0000-0000BEBC0000}"/>
    <cellStyle name="Migliaia 42 3 6 2" xfId="55811" xr:uid="{00000000-0005-0000-0000-0000BFBC0000}"/>
    <cellStyle name="Migliaia 42 3 7" xfId="34242" xr:uid="{00000000-0005-0000-0000-0000C0BC0000}"/>
    <cellStyle name="Migliaia 42 3 8" xfId="49182" xr:uid="{00000000-0005-0000-0000-0000C1BC0000}"/>
    <cellStyle name="Migliaia 42 3 9" xfId="49587" xr:uid="{00000000-0005-0000-0000-0000C2BC0000}"/>
    <cellStyle name="Migliaia 42 4" xfId="9332" xr:uid="{00000000-0005-0000-0000-0000C3BC0000}"/>
    <cellStyle name="Migliaia 42 4 2" xfId="17294" xr:uid="{00000000-0005-0000-0000-0000C4BC0000}"/>
    <cellStyle name="Migliaia 42 4 2 2" xfId="18384" xr:uid="{00000000-0005-0000-0000-0000C5BC0000}"/>
    <cellStyle name="Migliaia 42 4 2 2 2" xfId="33851" xr:uid="{00000000-0005-0000-0000-0000C6BC0000}"/>
    <cellStyle name="Migliaia 42 4 2 2 2 2" xfId="55335" xr:uid="{00000000-0005-0000-0000-0000C7BC0000}"/>
    <cellStyle name="Migliaia 42 4 2 2 3" xfId="48812" xr:uid="{00000000-0005-0000-0000-0000C8BC0000}"/>
    <cellStyle name="Migliaia 42 4 2 2 3 2" xfId="56257" xr:uid="{00000000-0005-0000-0000-0000C9BC0000}"/>
    <cellStyle name="Migliaia 42 4 2 2 4" xfId="52980" xr:uid="{00000000-0005-0000-0000-0000CABC0000}"/>
    <cellStyle name="Migliaia 42 4 2 3" xfId="33409" xr:uid="{00000000-0005-0000-0000-0000CBBC0000}"/>
    <cellStyle name="Migliaia 42 4 2 3 2" xfId="54937" xr:uid="{00000000-0005-0000-0000-0000CCBC0000}"/>
    <cellStyle name="Migliaia 42 4 2 4" xfId="48370" xr:uid="{00000000-0005-0000-0000-0000CDBC0000}"/>
    <cellStyle name="Migliaia 42 4 2 4 2" xfId="55815" xr:uid="{00000000-0005-0000-0000-0000CEBC0000}"/>
    <cellStyle name="Migliaia 42 4 2 5" xfId="52533" xr:uid="{00000000-0005-0000-0000-0000CFBC0000}"/>
    <cellStyle name="Migliaia 42 4 3" xfId="18383" xr:uid="{00000000-0005-0000-0000-0000D0BC0000}"/>
    <cellStyle name="Migliaia 42 4 3 2" xfId="33850" xr:uid="{00000000-0005-0000-0000-0000D1BC0000}"/>
    <cellStyle name="Migliaia 42 4 3 2 2" xfId="55334" xr:uid="{00000000-0005-0000-0000-0000D2BC0000}"/>
    <cellStyle name="Migliaia 42 4 3 3" xfId="48811" xr:uid="{00000000-0005-0000-0000-0000D3BC0000}"/>
    <cellStyle name="Migliaia 42 4 3 3 2" xfId="56256" xr:uid="{00000000-0005-0000-0000-0000D4BC0000}"/>
    <cellStyle name="Migliaia 42 4 3 4" xfId="52979" xr:uid="{00000000-0005-0000-0000-0000D5BC0000}"/>
    <cellStyle name="Migliaia 42 4 4" xfId="17293" xr:uid="{00000000-0005-0000-0000-0000D6BC0000}"/>
    <cellStyle name="Migliaia 42 4 4 2" xfId="33408" xr:uid="{00000000-0005-0000-0000-0000D7BC0000}"/>
    <cellStyle name="Migliaia 42 4 4 3" xfId="48369" xr:uid="{00000000-0005-0000-0000-0000D8BC0000}"/>
    <cellStyle name="Migliaia 42 4 4 4" xfId="54936" xr:uid="{00000000-0005-0000-0000-0000D9BC0000}"/>
    <cellStyle name="Migliaia 42 4 5" xfId="51184" xr:uid="{00000000-0005-0000-0000-0000DABC0000}"/>
    <cellStyle name="Migliaia 42 4 5 2" xfId="55814" xr:uid="{00000000-0005-0000-0000-0000DBBC0000}"/>
    <cellStyle name="Migliaia 42 4 6" xfId="52532" xr:uid="{00000000-0005-0000-0000-0000DCBC0000}"/>
    <cellStyle name="Migliaia 42 5" xfId="9333" xr:uid="{00000000-0005-0000-0000-0000DDBC0000}"/>
    <cellStyle name="Migliaia 42 5 2" xfId="17295" xr:uid="{00000000-0005-0000-0000-0000DEBC0000}"/>
    <cellStyle name="Migliaia 42 5 2 2" xfId="33410" xr:uid="{00000000-0005-0000-0000-0000DFBC0000}"/>
    <cellStyle name="Migliaia 42 5 2 3" xfId="48371" xr:uid="{00000000-0005-0000-0000-0000E0BC0000}"/>
    <cellStyle name="Migliaia 42 5 2 4" xfId="54938" xr:uid="{00000000-0005-0000-0000-0000E1BC0000}"/>
    <cellStyle name="Migliaia 42 5 3" xfId="51285" xr:uid="{00000000-0005-0000-0000-0000E2BC0000}"/>
    <cellStyle name="Migliaia 42 5 3 2" xfId="55816" xr:uid="{00000000-0005-0000-0000-0000E3BC0000}"/>
    <cellStyle name="Migliaia 42 5 4" xfId="52534" xr:uid="{00000000-0005-0000-0000-0000E4BC0000}"/>
    <cellStyle name="Migliaia 42 6" xfId="9328" xr:uid="{00000000-0005-0000-0000-0000E5BC0000}"/>
    <cellStyle name="Migliaia 42 6 2" xfId="51219" xr:uid="{00000000-0005-0000-0000-0000E6BC0000}"/>
    <cellStyle name="Migliaia 42 6 3" xfId="54621" xr:uid="{00000000-0005-0000-0000-0000E7BC0000}"/>
    <cellStyle name="Migliaia 42 7" xfId="9939" xr:uid="{00000000-0005-0000-0000-0000E8BC0000}"/>
    <cellStyle name="Migliaia 42 7 2" xfId="26264" xr:uid="{00000000-0005-0000-0000-0000E9BC0000}"/>
    <cellStyle name="Migliaia 42 7 3" xfId="41242" xr:uid="{00000000-0005-0000-0000-0000EABC0000}"/>
    <cellStyle name="Migliaia 42 7 4" xfId="55809" xr:uid="{00000000-0005-0000-0000-0000EBBC0000}"/>
    <cellStyle name="Migliaia 42 8" xfId="17288" xr:uid="{00000000-0005-0000-0000-0000ECBC0000}"/>
    <cellStyle name="Migliaia 42 8 2" xfId="33403" xr:uid="{00000000-0005-0000-0000-0000EDBC0000}"/>
    <cellStyle name="Migliaia 42 8 3" xfId="48364" xr:uid="{00000000-0005-0000-0000-0000EEBC0000}"/>
    <cellStyle name="Migliaia 42 9" xfId="19245" xr:uid="{00000000-0005-0000-0000-0000EFBC0000}"/>
    <cellStyle name="Migliaia 43" xfId="433" xr:uid="{00000000-0005-0000-0000-0000F0BC0000}"/>
    <cellStyle name="Migliaia 43 10" xfId="34244" xr:uid="{00000000-0005-0000-0000-0000F1BC0000}"/>
    <cellStyle name="Migliaia 43 11" xfId="49184" xr:uid="{00000000-0005-0000-0000-0000F2BC0000}"/>
    <cellStyle name="Migliaia 43 12" xfId="49589" xr:uid="{00000000-0005-0000-0000-0000F3BC0000}"/>
    <cellStyle name="Migliaia 43 13" xfId="49995" xr:uid="{00000000-0005-0000-0000-0000F4BC0000}"/>
    <cellStyle name="Migliaia 43 14" xfId="50403" xr:uid="{00000000-0005-0000-0000-0000F5BC0000}"/>
    <cellStyle name="Migliaia 43 15" xfId="50845" xr:uid="{00000000-0005-0000-0000-0000F6BC0000}"/>
    <cellStyle name="Migliaia 43 16" xfId="51564" xr:uid="{00000000-0005-0000-0000-0000F7BC0000}"/>
    <cellStyle name="Migliaia 43 17" xfId="51976" xr:uid="{00000000-0005-0000-0000-0000F8BC0000}"/>
    <cellStyle name="Migliaia 43 18" xfId="52535" xr:uid="{00000000-0005-0000-0000-0000F9BC0000}"/>
    <cellStyle name="Migliaia 43 2" xfId="434" xr:uid="{00000000-0005-0000-0000-0000FABC0000}"/>
    <cellStyle name="Migliaia 43 2 10" xfId="49996" xr:uid="{00000000-0005-0000-0000-0000FBBC0000}"/>
    <cellStyle name="Migliaia 43 2 11" xfId="50404" xr:uid="{00000000-0005-0000-0000-0000FCBC0000}"/>
    <cellStyle name="Migliaia 43 2 12" xfId="50846" xr:uid="{00000000-0005-0000-0000-0000FDBC0000}"/>
    <cellStyle name="Migliaia 43 2 13" xfId="51565" xr:uid="{00000000-0005-0000-0000-0000FEBC0000}"/>
    <cellStyle name="Migliaia 43 2 14" xfId="51977" xr:uid="{00000000-0005-0000-0000-0000FFBC0000}"/>
    <cellStyle name="Migliaia 43 2 15" xfId="52536" xr:uid="{00000000-0005-0000-0000-000000BD0000}"/>
    <cellStyle name="Migliaia 43 2 2" xfId="1281" xr:uid="{00000000-0005-0000-0000-000001BD0000}"/>
    <cellStyle name="Migliaia 43 2 2 10" xfId="51133" xr:uid="{00000000-0005-0000-0000-000002BD0000}"/>
    <cellStyle name="Migliaia 43 2 2 11" xfId="51729" xr:uid="{00000000-0005-0000-0000-000003BD0000}"/>
    <cellStyle name="Migliaia 43 2 2 12" xfId="52149" xr:uid="{00000000-0005-0000-0000-000004BD0000}"/>
    <cellStyle name="Migliaia 43 2 2 13" xfId="52981" xr:uid="{00000000-0005-0000-0000-000005BD0000}"/>
    <cellStyle name="Migliaia 43 2 2 2" xfId="10108" xr:uid="{00000000-0005-0000-0000-000006BD0000}"/>
    <cellStyle name="Migliaia 43 2 2 2 2" xfId="26428" xr:uid="{00000000-0005-0000-0000-000007BD0000}"/>
    <cellStyle name="Migliaia 43 2 2 2 3" xfId="41396" xr:uid="{00000000-0005-0000-0000-000008BD0000}"/>
    <cellStyle name="Migliaia 43 2 2 2 4" xfId="55336" xr:uid="{00000000-0005-0000-0000-000009BD0000}"/>
    <cellStyle name="Migliaia 43 2 2 3" xfId="18385" xr:uid="{00000000-0005-0000-0000-00000ABD0000}"/>
    <cellStyle name="Migliaia 43 2 2 3 2" xfId="33852" xr:uid="{00000000-0005-0000-0000-00000BBD0000}"/>
    <cellStyle name="Migliaia 43 2 2 3 3" xfId="48813" xr:uid="{00000000-0005-0000-0000-00000CBD0000}"/>
    <cellStyle name="Migliaia 43 2 2 3 4" xfId="56258" xr:uid="{00000000-0005-0000-0000-00000DBD0000}"/>
    <cellStyle name="Migliaia 43 2 2 4" xfId="19407" xr:uid="{00000000-0005-0000-0000-00000EBD0000}"/>
    <cellStyle name="Migliaia 43 2 2 5" xfId="34397" xr:uid="{00000000-0005-0000-0000-00000FBD0000}"/>
    <cellStyle name="Migliaia 43 2 2 6" xfId="49349" xr:uid="{00000000-0005-0000-0000-000010BD0000}"/>
    <cellStyle name="Migliaia 43 2 2 7" xfId="49754" xr:uid="{00000000-0005-0000-0000-000011BD0000}"/>
    <cellStyle name="Migliaia 43 2 2 8" xfId="50163" xr:uid="{00000000-0005-0000-0000-000012BD0000}"/>
    <cellStyle name="Migliaia 43 2 2 9" xfId="50568" xr:uid="{00000000-0005-0000-0000-000013BD0000}"/>
    <cellStyle name="Migliaia 43 2 3" xfId="9335" xr:uid="{00000000-0005-0000-0000-000014BD0000}"/>
    <cellStyle name="Migliaia 43 2 3 2" xfId="54686" xr:uid="{00000000-0005-0000-0000-000015BD0000}"/>
    <cellStyle name="Migliaia 43 2 4" xfId="9944" xr:uid="{00000000-0005-0000-0000-000016BD0000}"/>
    <cellStyle name="Migliaia 43 2 4 2" xfId="26269" xr:uid="{00000000-0005-0000-0000-000017BD0000}"/>
    <cellStyle name="Migliaia 43 2 4 3" xfId="41247" xr:uid="{00000000-0005-0000-0000-000018BD0000}"/>
    <cellStyle name="Migliaia 43 2 4 4" xfId="55818" xr:uid="{00000000-0005-0000-0000-000019BD0000}"/>
    <cellStyle name="Migliaia 43 2 5" xfId="17297" xr:uid="{00000000-0005-0000-0000-00001ABD0000}"/>
    <cellStyle name="Migliaia 43 2 5 2" xfId="33412" xr:uid="{00000000-0005-0000-0000-00001BBD0000}"/>
    <cellStyle name="Migliaia 43 2 5 3" xfId="48373" xr:uid="{00000000-0005-0000-0000-00001CBD0000}"/>
    <cellStyle name="Migliaia 43 2 6" xfId="19250" xr:uid="{00000000-0005-0000-0000-00001DBD0000}"/>
    <cellStyle name="Migliaia 43 2 7" xfId="34245" xr:uid="{00000000-0005-0000-0000-00001EBD0000}"/>
    <cellStyle name="Migliaia 43 2 8" xfId="49185" xr:uid="{00000000-0005-0000-0000-00001FBD0000}"/>
    <cellStyle name="Migliaia 43 2 9" xfId="49590" xr:uid="{00000000-0005-0000-0000-000020BD0000}"/>
    <cellStyle name="Migliaia 43 3" xfId="435" xr:uid="{00000000-0005-0000-0000-000021BD0000}"/>
    <cellStyle name="Migliaia 43 3 10" xfId="49997" xr:uid="{00000000-0005-0000-0000-000022BD0000}"/>
    <cellStyle name="Migliaia 43 3 11" xfId="50405" xr:uid="{00000000-0005-0000-0000-000023BD0000}"/>
    <cellStyle name="Migliaia 43 3 12" xfId="50847" xr:uid="{00000000-0005-0000-0000-000024BD0000}"/>
    <cellStyle name="Migliaia 43 3 13" xfId="51566" xr:uid="{00000000-0005-0000-0000-000025BD0000}"/>
    <cellStyle name="Migliaia 43 3 14" xfId="51978" xr:uid="{00000000-0005-0000-0000-000026BD0000}"/>
    <cellStyle name="Migliaia 43 3 15" xfId="52537" xr:uid="{00000000-0005-0000-0000-000027BD0000}"/>
    <cellStyle name="Migliaia 43 3 2" xfId="436" xr:uid="{00000000-0005-0000-0000-000028BD0000}"/>
    <cellStyle name="Migliaia 43 3 2 10" xfId="50406" xr:uid="{00000000-0005-0000-0000-000029BD0000}"/>
    <cellStyle name="Migliaia 43 3 2 11" xfId="50848" xr:uid="{00000000-0005-0000-0000-00002ABD0000}"/>
    <cellStyle name="Migliaia 43 3 2 12" xfId="51567" xr:uid="{00000000-0005-0000-0000-00002BBD0000}"/>
    <cellStyle name="Migliaia 43 3 2 13" xfId="51979" xr:uid="{00000000-0005-0000-0000-00002CBD0000}"/>
    <cellStyle name="Migliaia 43 3 2 14" xfId="52538" xr:uid="{00000000-0005-0000-0000-00002DBD0000}"/>
    <cellStyle name="Migliaia 43 3 2 2" xfId="9337" xr:uid="{00000000-0005-0000-0000-00002EBD0000}"/>
    <cellStyle name="Migliaia 43 3 2 2 2" xfId="54940" xr:uid="{00000000-0005-0000-0000-00002FBD0000}"/>
    <cellStyle name="Migliaia 43 3 2 3" xfId="9946" xr:uid="{00000000-0005-0000-0000-000030BD0000}"/>
    <cellStyle name="Migliaia 43 3 2 3 2" xfId="26271" xr:uid="{00000000-0005-0000-0000-000031BD0000}"/>
    <cellStyle name="Migliaia 43 3 2 3 3" xfId="41249" xr:uid="{00000000-0005-0000-0000-000032BD0000}"/>
    <cellStyle name="Migliaia 43 3 2 3 4" xfId="55820" xr:uid="{00000000-0005-0000-0000-000033BD0000}"/>
    <cellStyle name="Migliaia 43 3 2 4" xfId="17299" xr:uid="{00000000-0005-0000-0000-000034BD0000}"/>
    <cellStyle name="Migliaia 43 3 2 4 2" xfId="33414" xr:uid="{00000000-0005-0000-0000-000035BD0000}"/>
    <cellStyle name="Migliaia 43 3 2 4 3" xfId="48375" xr:uid="{00000000-0005-0000-0000-000036BD0000}"/>
    <cellStyle name="Migliaia 43 3 2 5" xfId="19252" xr:uid="{00000000-0005-0000-0000-000037BD0000}"/>
    <cellStyle name="Migliaia 43 3 2 6" xfId="34247" xr:uid="{00000000-0005-0000-0000-000038BD0000}"/>
    <cellStyle name="Migliaia 43 3 2 7" xfId="49187" xr:uid="{00000000-0005-0000-0000-000039BD0000}"/>
    <cellStyle name="Migliaia 43 3 2 8" xfId="49592" xr:uid="{00000000-0005-0000-0000-00003ABD0000}"/>
    <cellStyle name="Migliaia 43 3 2 9" xfId="49998" xr:uid="{00000000-0005-0000-0000-00003BBD0000}"/>
    <cellStyle name="Migliaia 43 3 3" xfId="9336" xr:uid="{00000000-0005-0000-0000-00003CBD0000}"/>
    <cellStyle name="Migliaia 43 3 3 2" xfId="18387" xr:uid="{00000000-0005-0000-0000-00003DBD0000}"/>
    <cellStyle name="Migliaia 43 3 3 2 2" xfId="33854" xr:uid="{00000000-0005-0000-0000-00003EBD0000}"/>
    <cellStyle name="Migliaia 43 3 3 2 2 2" xfId="55338" xr:uid="{00000000-0005-0000-0000-00003FBD0000}"/>
    <cellStyle name="Migliaia 43 3 3 2 3" xfId="48815" xr:uid="{00000000-0005-0000-0000-000040BD0000}"/>
    <cellStyle name="Migliaia 43 3 3 2 3 2" xfId="56260" xr:uid="{00000000-0005-0000-0000-000041BD0000}"/>
    <cellStyle name="Migliaia 43 3 3 2 4" xfId="52983" xr:uid="{00000000-0005-0000-0000-000042BD0000}"/>
    <cellStyle name="Migliaia 43 3 3 3" xfId="17300" xr:uid="{00000000-0005-0000-0000-000043BD0000}"/>
    <cellStyle name="Migliaia 43 3 3 3 2" xfId="33415" xr:uid="{00000000-0005-0000-0000-000044BD0000}"/>
    <cellStyle name="Migliaia 43 3 3 3 3" xfId="48376" xr:uid="{00000000-0005-0000-0000-000045BD0000}"/>
    <cellStyle name="Migliaia 43 3 3 3 4" xfId="54941" xr:uid="{00000000-0005-0000-0000-000046BD0000}"/>
    <cellStyle name="Migliaia 43 3 3 4" xfId="55821" xr:uid="{00000000-0005-0000-0000-000047BD0000}"/>
    <cellStyle name="Migliaia 43 3 3 5" xfId="52539" xr:uid="{00000000-0005-0000-0000-000048BD0000}"/>
    <cellStyle name="Migliaia 43 3 4" xfId="9945" xr:uid="{00000000-0005-0000-0000-000049BD0000}"/>
    <cellStyle name="Migliaia 43 3 4 2" xfId="18386" xr:uid="{00000000-0005-0000-0000-00004ABD0000}"/>
    <cellStyle name="Migliaia 43 3 4 2 2" xfId="33853" xr:uid="{00000000-0005-0000-0000-00004BBD0000}"/>
    <cellStyle name="Migliaia 43 3 4 2 3" xfId="48814" xr:uid="{00000000-0005-0000-0000-00004CBD0000}"/>
    <cellStyle name="Migliaia 43 3 4 2 4" xfId="55337" xr:uid="{00000000-0005-0000-0000-00004DBD0000}"/>
    <cellStyle name="Migliaia 43 3 4 3" xfId="26270" xr:uid="{00000000-0005-0000-0000-00004EBD0000}"/>
    <cellStyle name="Migliaia 43 3 4 3 2" xfId="56259" xr:uid="{00000000-0005-0000-0000-00004FBD0000}"/>
    <cellStyle name="Migliaia 43 3 4 4" xfId="41248" xr:uid="{00000000-0005-0000-0000-000050BD0000}"/>
    <cellStyle name="Migliaia 43 3 4 5" xfId="52982" xr:uid="{00000000-0005-0000-0000-000051BD0000}"/>
    <cellStyle name="Migliaia 43 3 5" xfId="17298" xr:uid="{00000000-0005-0000-0000-000052BD0000}"/>
    <cellStyle name="Migliaia 43 3 5 2" xfId="33413" xr:uid="{00000000-0005-0000-0000-000053BD0000}"/>
    <cellStyle name="Migliaia 43 3 5 3" xfId="48374" xr:uid="{00000000-0005-0000-0000-000054BD0000}"/>
    <cellStyle name="Migliaia 43 3 5 4" xfId="54939" xr:uid="{00000000-0005-0000-0000-000055BD0000}"/>
    <cellStyle name="Migliaia 43 3 6" xfId="19251" xr:uid="{00000000-0005-0000-0000-000056BD0000}"/>
    <cellStyle name="Migliaia 43 3 6 2" xfId="55819" xr:uid="{00000000-0005-0000-0000-000057BD0000}"/>
    <cellStyle name="Migliaia 43 3 7" xfId="34246" xr:uid="{00000000-0005-0000-0000-000058BD0000}"/>
    <cellStyle name="Migliaia 43 3 8" xfId="49186" xr:uid="{00000000-0005-0000-0000-000059BD0000}"/>
    <cellStyle name="Migliaia 43 3 9" xfId="49591" xr:uid="{00000000-0005-0000-0000-00005ABD0000}"/>
    <cellStyle name="Migliaia 43 4" xfId="9338" xr:uid="{00000000-0005-0000-0000-00005BBD0000}"/>
    <cellStyle name="Migliaia 43 4 2" xfId="17302" xr:uid="{00000000-0005-0000-0000-00005CBD0000}"/>
    <cellStyle name="Migliaia 43 4 2 2" xfId="18389" xr:uid="{00000000-0005-0000-0000-00005DBD0000}"/>
    <cellStyle name="Migliaia 43 4 2 2 2" xfId="33856" xr:uid="{00000000-0005-0000-0000-00005EBD0000}"/>
    <cellStyle name="Migliaia 43 4 2 2 2 2" xfId="55340" xr:uid="{00000000-0005-0000-0000-00005FBD0000}"/>
    <cellStyle name="Migliaia 43 4 2 2 3" xfId="48817" xr:uid="{00000000-0005-0000-0000-000060BD0000}"/>
    <cellStyle name="Migliaia 43 4 2 2 3 2" xfId="56262" xr:uid="{00000000-0005-0000-0000-000061BD0000}"/>
    <cellStyle name="Migliaia 43 4 2 2 4" xfId="52985" xr:uid="{00000000-0005-0000-0000-000062BD0000}"/>
    <cellStyle name="Migliaia 43 4 2 3" xfId="33417" xr:uid="{00000000-0005-0000-0000-000063BD0000}"/>
    <cellStyle name="Migliaia 43 4 2 3 2" xfId="54943" xr:uid="{00000000-0005-0000-0000-000064BD0000}"/>
    <cellStyle name="Migliaia 43 4 2 4" xfId="48378" xr:uid="{00000000-0005-0000-0000-000065BD0000}"/>
    <cellStyle name="Migliaia 43 4 2 4 2" xfId="55823" xr:uid="{00000000-0005-0000-0000-000066BD0000}"/>
    <cellStyle name="Migliaia 43 4 2 5" xfId="52541" xr:uid="{00000000-0005-0000-0000-000067BD0000}"/>
    <cellStyle name="Migliaia 43 4 3" xfId="18388" xr:uid="{00000000-0005-0000-0000-000068BD0000}"/>
    <cellStyle name="Migliaia 43 4 3 2" xfId="33855" xr:uid="{00000000-0005-0000-0000-000069BD0000}"/>
    <cellStyle name="Migliaia 43 4 3 2 2" xfId="55339" xr:uid="{00000000-0005-0000-0000-00006ABD0000}"/>
    <cellStyle name="Migliaia 43 4 3 3" xfId="48816" xr:uid="{00000000-0005-0000-0000-00006BBD0000}"/>
    <cellStyle name="Migliaia 43 4 3 3 2" xfId="56261" xr:uid="{00000000-0005-0000-0000-00006CBD0000}"/>
    <cellStyle name="Migliaia 43 4 3 4" xfId="52984" xr:uid="{00000000-0005-0000-0000-00006DBD0000}"/>
    <cellStyle name="Migliaia 43 4 4" xfId="17301" xr:uid="{00000000-0005-0000-0000-00006EBD0000}"/>
    <cellStyle name="Migliaia 43 4 4 2" xfId="33416" xr:uid="{00000000-0005-0000-0000-00006FBD0000}"/>
    <cellStyle name="Migliaia 43 4 4 3" xfId="48377" xr:uid="{00000000-0005-0000-0000-000070BD0000}"/>
    <cellStyle name="Migliaia 43 4 4 4" xfId="54942" xr:uid="{00000000-0005-0000-0000-000071BD0000}"/>
    <cellStyle name="Migliaia 43 4 5" xfId="50969" xr:uid="{00000000-0005-0000-0000-000072BD0000}"/>
    <cellStyle name="Migliaia 43 4 5 2" xfId="55822" xr:uid="{00000000-0005-0000-0000-000073BD0000}"/>
    <cellStyle name="Migliaia 43 4 6" xfId="52540" xr:uid="{00000000-0005-0000-0000-000074BD0000}"/>
    <cellStyle name="Migliaia 43 5" xfId="9339" xr:uid="{00000000-0005-0000-0000-000075BD0000}"/>
    <cellStyle name="Migliaia 43 5 2" xfId="17303" xr:uid="{00000000-0005-0000-0000-000076BD0000}"/>
    <cellStyle name="Migliaia 43 5 2 2" xfId="33418" xr:uid="{00000000-0005-0000-0000-000077BD0000}"/>
    <cellStyle name="Migliaia 43 5 2 3" xfId="48379" xr:uid="{00000000-0005-0000-0000-000078BD0000}"/>
    <cellStyle name="Migliaia 43 5 2 4" xfId="54944" xr:uid="{00000000-0005-0000-0000-000079BD0000}"/>
    <cellStyle name="Migliaia 43 5 3" xfId="50968" xr:uid="{00000000-0005-0000-0000-00007ABD0000}"/>
    <cellStyle name="Migliaia 43 5 3 2" xfId="55824" xr:uid="{00000000-0005-0000-0000-00007BBD0000}"/>
    <cellStyle name="Migliaia 43 5 4" xfId="52542" xr:uid="{00000000-0005-0000-0000-00007CBD0000}"/>
    <cellStyle name="Migliaia 43 6" xfId="9334" xr:uid="{00000000-0005-0000-0000-00007DBD0000}"/>
    <cellStyle name="Migliaia 43 6 2" xfId="51286" xr:uid="{00000000-0005-0000-0000-00007EBD0000}"/>
    <cellStyle name="Migliaia 43 6 3" xfId="54622" xr:uid="{00000000-0005-0000-0000-00007FBD0000}"/>
    <cellStyle name="Migliaia 43 7" xfId="9943" xr:uid="{00000000-0005-0000-0000-000080BD0000}"/>
    <cellStyle name="Migliaia 43 7 2" xfId="26268" xr:uid="{00000000-0005-0000-0000-000081BD0000}"/>
    <cellStyle name="Migliaia 43 7 3" xfId="41246" xr:uid="{00000000-0005-0000-0000-000082BD0000}"/>
    <cellStyle name="Migliaia 43 7 4" xfId="55817" xr:uid="{00000000-0005-0000-0000-000083BD0000}"/>
    <cellStyle name="Migliaia 43 8" xfId="17296" xr:uid="{00000000-0005-0000-0000-000084BD0000}"/>
    <cellStyle name="Migliaia 43 8 2" xfId="33411" xr:uid="{00000000-0005-0000-0000-000085BD0000}"/>
    <cellStyle name="Migliaia 43 8 3" xfId="48372" xr:uid="{00000000-0005-0000-0000-000086BD0000}"/>
    <cellStyle name="Migliaia 43 9" xfId="19249" xr:uid="{00000000-0005-0000-0000-000087BD0000}"/>
    <cellStyle name="Migliaia 44" xfId="437" xr:uid="{00000000-0005-0000-0000-000088BD0000}"/>
    <cellStyle name="Migliaia 44 10" xfId="34248" xr:uid="{00000000-0005-0000-0000-000089BD0000}"/>
    <cellStyle name="Migliaia 44 11" xfId="49188" xr:uid="{00000000-0005-0000-0000-00008ABD0000}"/>
    <cellStyle name="Migliaia 44 12" xfId="49593" xr:uid="{00000000-0005-0000-0000-00008BBD0000}"/>
    <cellStyle name="Migliaia 44 13" xfId="49999" xr:uid="{00000000-0005-0000-0000-00008CBD0000}"/>
    <cellStyle name="Migliaia 44 14" xfId="50407" xr:uid="{00000000-0005-0000-0000-00008DBD0000}"/>
    <cellStyle name="Migliaia 44 15" xfId="50849" xr:uid="{00000000-0005-0000-0000-00008EBD0000}"/>
    <cellStyle name="Migliaia 44 16" xfId="51568" xr:uid="{00000000-0005-0000-0000-00008FBD0000}"/>
    <cellStyle name="Migliaia 44 17" xfId="51980" xr:uid="{00000000-0005-0000-0000-000090BD0000}"/>
    <cellStyle name="Migliaia 44 18" xfId="52543" xr:uid="{00000000-0005-0000-0000-000091BD0000}"/>
    <cellStyle name="Migliaia 44 2" xfId="438" xr:uid="{00000000-0005-0000-0000-000092BD0000}"/>
    <cellStyle name="Migliaia 44 2 10" xfId="50000" xr:uid="{00000000-0005-0000-0000-000093BD0000}"/>
    <cellStyle name="Migliaia 44 2 11" xfId="50408" xr:uid="{00000000-0005-0000-0000-000094BD0000}"/>
    <cellStyle name="Migliaia 44 2 12" xfId="50850" xr:uid="{00000000-0005-0000-0000-000095BD0000}"/>
    <cellStyle name="Migliaia 44 2 13" xfId="51569" xr:uid="{00000000-0005-0000-0000-000096BD0000}"/>
    <cellStyle name="Migliaia 44 2 14" xfId="51981" xr:uid="{00000000-0005-0000-0000-000097BD0000}"/>
    <cellStyle name="Migliaia 44 2 15" xfId="52544" xr:uid="{00000000-0005-0000-0000-000098BD0000}"/>
    <cellStyle name="Migliaia 44 2 2" xfId="1282" xr:uid="{00000000-0005-0000-0000-000099BD0000}"/>
    <cellStyle name="Migliaia 44 2 2 10" xfId="51134" xr:uid="{00000000-0005-0000-0000-00009ABD0000}"/>
    <cellStyle name="Migliaia 44 2 2 11" xfId="51730" xr:uid="{00000000-0005-0000-0000-00009BBD0000}"/>
    <cellStyle name="Migliaia 44 2 2 12" xfId="52150" xr:uid="{00000000-0005-0000-0000-00009CBD0000}"/>
    <cellStyle name="Migliaia 44 2 2 13" xfId="52986" xr:uid="{00000000-0005-0000-0000-00009DBD0000}"/>
    <cellStyle name="Migliaia 44 2 2 2" xfId="10109" xr:uid="{00000000-0005-0000-0000-00009EBD0000}"/>
    <cellStyle name="Migliaia 44 2 2 2 2" xfId="26429" xr:uid="{00000000-0005-0000-0000-00009FBD0000}"/>
    <cellStyle name="Migliaia 44 2 2 2 3" xfId="41397" xr:uid="{00000000-0005-0000-0000-0000A0BD0000}"/>
    <cellStyle name="Migliaia 44 2 2 2 4" xfId="55341" xr:uid="{00000000-0005-0000-0000-0000A1BD0000}"/>
    <cellStyle name="Migliaia 44 2 2 3" xfId="18390" xr:uid="{00000000-0005-0000-0000-0000A2BD0000}"/>
    <cellStyle name="Migliaia 44 2 2 3 2" xfId="33857" xr:uid="{00000000-0005-0000-0000-0000A3BD0000}"/>
    <cellStyle name="Migliaia 44 2 2 3 3" xfId="48818" xr:uid="{00000000-0005-0000-0000-0000A4BD0000}"/>
    <cellStyle name="Migliaia 44 2 2 3 4" xfId="56263" xr:uid="{00000000-0005-0000-0000-0000A5BD0000}"/>
    <cellStyle name="Migliaia 44 2 2 4" xfId="19408" xr:uid="{00000000-0005-0000-0000-0000A6BD0000}"/>
    <cellStyle name="Migliaia 44 2 2 5" xfId="34398" xr:uid="{00000000-0005-0000-0000-0000A7BD0000}"/>
    <cellStyle name="Migliaia 44 2 2 6" xfId="49350" xr:uid="{00000000-0005-0000-0000-0000A8BD0000}"/>
    <cellStyle name="Migliaia 44 2 2 7" xfId="49755" xr:uid="{00000000-0005-0000-0000-0000A9BD0000}"/>
    <cellStyle name="Migliaia 44 2 2 8" xfId="50164" xr:uid="{00000000-0005-0000-0000-0000AABD0000}"/>
    <cellStyle name="Migliaia 44 2 2 9" xfId="50569" xr:uid="{00000000-0005-0000-0000-0000ABBD0000}"/>
    <cellStyle name="Migliaia 44 2 3" xfId="9341" xr:uid="{00000000-0005-0000-0000-0000ACBD0000}"/>
    <cellStyle name="Migliaia 44 2 3 2" xfId="54687" xr:uid="{00000000-0005-0000-0000-0000ADBD0000}"/>
    <cellStyle name="Migliaia 44 2 4" xfId="9948" xr:uid="{00000000-0005-0000-0000-0000AEBD0000}"/>
    <cellStyle name="Migliaia 44 2 4 2" xfId="26273" xr:uid="{00000000-0005-0000-0000-0000AFBD0000}"/>
    <cellStyle name="Migliaia 44 2 4 3" xfId="41251" xr:uid="{00000000-0005-0000-0000-0000B0BD0000}"/>
    <cellStyle name="Migliaia 44 2 4 4" xfId="55826" xr:uid="{00000000-0005-0000-0000-0000B1BD0000}"/>
    <cellStyle name="Migliaia 44 2 5" xfId="17305" xr:uid="{00000000-0005-0000-0000-0000B2BD0000}"/>
    <cellStyle name="Migliaia 44 2 5 2" xfId="33420" xr:uid="{00000000-0005-0000-0000-0000B3BD0000}"/>
    <cellStyle name="Migliaia 44 2 5 3" xfId="48381" xr:uid="{00000000-0005-0000-0000-0000B4BD0000}"/>
    <cellStyle name="Migliaia 44 2 6" xfId="19254" xr:uid="{00000000-0005-0000-0000-0000B5BD0000}"/>
    <cellStyle name="Migliaia 44 2 7" xfId="34249" xr:uid="{00000000-0005-0000-0000-0000B6BD0000}"/>
    <cellStyle name="Migliaia 44 2 8" xfId="49189" xr:uid="{00000000-0005-0000-0000-0000B7BD0000}"/>
    <cellStyle name="Migliaia 44 2 9" xfId="49594" xr:uid="{00000000-0005-0000-0000-0000B8BD0000}"/>
    <cellStyle name="Migliaia 44 3" xfId="439" xr:uid="{00000000-0005-0000-0000-0000B9BD0000}"/>
    <cellStyle name="Migliaia 44 3 10" xfId="50001" xr:uid="{00000000-0005-0000-0000-0000BABD0000}"/>
    <cellStyle name="Migliaia 44 3 11" xfId="50409" xr:uid="{00000000-0005-0000-0000-0000BBBD0000}"/>
    <cellStyle name="Migliaia 44 3 12" xfId="50851" xr:uid="{00000000-0005-0000-0000-0000BCBD0000}"/>
    <cellStyle name="Migliaia 44 3 13" xfId="51570" xr:uid="{00000000-0005-0000-0000-0000BDBD0000}"/>
    <cellStyle name="Migliaia 44 3 14" xfId="51982" xr:uid="{00000000-0005-0000-0000-0000BEBD0000}"/>
    <cellStyle name="Migliaia 44 3 15" xfId="52545" xr:uid="{00000000-0005-0000-0000-0000BFBD0000}"/>
    <cellStyle name="Migliaia 44 3 2" xfId="440" xr:uid="{00000000-0005-0000-0000-0000C0BD0000}"/>
    <cellStyle name="Migliaia 44 3 2 10" xfId="50410" xr:uid="{00000000-0005-0000-0000-0000C1BD0000}"/>
    <cellStyle name="Migliaia 44 3 2 11" xfId="50852" xr:uid="{00000000-0005-0000-0000-0000C2BD0000}"/>
    <cellStyle name="Migliaia 44 3 2 12" xfId="51571" xr:uid="{00000000-0005-0000-0000-0000C3BD0000}"/>
    <cellStyle name="Migliaia 44 3 2 13" xfId="51983" xr:uid="{00000000-0005-0000-0000-0000C4BD0000}"/>
    <cellStyle name="Migliaia 44 3 2 14" xfId="52546" xr:uid="{00000000-0005-0000-0000-0000C5BD0000}"/>
    <cellStyle name="Migliaia 44 3 2 2" xfId="9343" xr:uid="{00000000-0005-0000-0000-0000C6BD0000}"/>
    <cellStyle name="Migliaia 44 3 2 2 2" xfId="54946" xr:uid="{00000000-0005-0000-0000-0000C7BD0000}"/>
    <cellStyle name="Migliaia 44 3 2 3" xfId="9950" xr:uid="{00000000-0005-0000-0000-0000C8BD0000}"/>
    <cellStyle name="Migliaia 44 3 2 3 2" xfId="26275" xr:uid="{00000000-0005-0000-0000-0000C9BD0000}"/>
    <cellStyle name="Migliaia 44 3 2 3 3" xfId="41253" xr:uid="{00000000-0005-0000-0000-0000CABD0000}"/>
    <cellStyle name="Migliaia 44 3 2 3 4" xfId="55828" xr:uid="{00000000-0005-0000-0000-0000CBBD0000}"/>
    <cellStyle name="Migliaia 44 3 2 4" xfId="17307" xr:uid="{00000000-0005-0000-0000-0000CCBD0000}"/>
    <cellStyle name="Migliaia 44 3 2 4 2" xfId="33422" xr:uid="{00000000-0005-0000-0000-0000CDBD0000}"/>
    <cellStyle name="Migliaia 44 3 2 4 3" xfId="48383" xr:uid="{00000000-0005-0000-0000-0000CEBD0000}"/>
    <cellStyle name="Migliaia 44 3 2 5" xfId="19256" xr:uid="{00000000-0005-0000-0000-0000CFBD0000}"/>
    <cellStyle name="Migliaia 44 3 2 6" xfId="34251" xr:uid="{00000000-0005-0000-0000-0000D0BD0000}"/>
    <cellStyle name="Migliaia 44 3 2 7" xfId="49191" xr:uid="{00000000-0005-0000-0000-0000D1BD0000}"/>
    <cellStyle name="Migliaia 44 3 2 8" xfId="49596" xr:uid="{00000000-0005-0000-0000-0000D2BD0000}"/>
    <cellStyle name="Migliaia 44 3 2 9" xfId="50002" xr:uid="{00000000-0005-0000-0000-0000D3BD0000}"/>
    <cellStyle name="Migliaia 44 3 3" xfId="9342" xr:uid="{00000000-0005-0000-0000-0000D4BD0000}"/>
    <cellStyle name="Migliaia 44 3 3 2" xfId="18392" xr:uid="{00000000-0005-0000-0000-0000D5BD0000}"/>
    <cellStyle name="Migliaia 44 3 3 2 2" xfId="33859" xr:uid="{00000000-0005-0000-0000-0000D6BD0000}"/>
    <cellStyle name="Migliaia 44 3 3 2 2 2" xfId="55343" xr:uid="{00000000-0005-0000-0000-0000D7BD0000}"/>
    <cellStyle name="Migliaia 44 3 3 2 3" xfId="48820" xr:uid="{00000000-0005-0000-0000-0000D8BD0000}"/>
    <cellStyle name="Migliaia 44 3 3 2 3 2" xfId="56265" xr:uid="{00000000-0005-0000-0000-0000D9BD0000}"/>
    <cellStyle name="Migliaia 44 3 3 2 4" xfId="52988" xr:uid="{00000000-0005-0000-0000-0000DABD0000}"/>
    <cellStyle name="Migliaia 44 3 3 3" xfId="17308" xr:uid="{00000000-0005-0000-0000-0000DBBD0000}"/>
    <cellStyle name="Migliaia 44 3 3 3 2" xfId="33423" xr:uid="{00000000-0005-0000-0000-0000DCBD0000}"/>
    <cellStyle name="Migliaia 44 3 3 3 3" xfId="48384" xr:uid="{00000000-0005-0000-0000-0000DDBD0000}"/>
    <cellStyle name="Migliaia 44 3 3 3 4" xfId="54947" xr:uid="{00000000-0005-0000-0000-0000DEBD0000}"/>
    <cellStyle name="Migliaia 44 3 3 4" xfId="55829" xr:uid="{00000000-0005-0000-0000-0000DFBD0000}"/>
    <cellStyle name="Migliaia 44 3 3 5" xfId="52547" xr:uid="{00000000-0005-0000-0000-0000E0BD0000}"/>
    <cellStyle name="Migliaia 44 3 4" xfId="9949" xr:uid="{00000000-0005-0000-0000-0000E1BD0000}"/>
    <cellStyle name="Migliaia 44 3 4 2" xfId="18391" xr:uid="{00000000-0005-0000-0000-0000E2BD0000}"/>
    <cellStyle name="Migliaia 44 3 4 2 2" xfId="33858" xr:uid="{00000000-0005-0000-0000-0000E3BD0000}"/>
    <cellStyle name="Migliaia 44 3 4 2 3" xfId="48819" xr:uid="{00000000-0005-0000-0000-0000E4BD0000}"/>
    <cellStyle name="Migliaia 44 3 4 2 4" xfId="55342" xr:uid="{00000000-0005-0000-0000-0000E5BD0000}"/>
    <cellStyle name="Migliaia 44 3 4 3" xfId="26274" xr:uid="{00000000-0005-0000-0000-0000E6BD0000}"/>
    <cellStyle name="Migliaia 44 3 4 3 2" xfId="56264" xr:uid="{00000000-0005-0000-0000-0000E7BD0000}"/>
    <cellStyle name="Migliaia 44 3 4 4" xfId="41252" xr:uid="{00000000-0005-0000-0000-0000E8BD0000}"/>
    <cellStyle name="Migliaia 44 3 4 5" xfId="52987" xr:uid="{00000000-0005-0000-0000-0000E9BD0000}"/>
    <cellStyle name="Migliaia 44 3 5" xfId="17306" xr:uid="{00000000-0005-0000-0000-0000EABD0000}"/>
    <cellStyle name="Migliaia 44 3 5 2" xfId="33421" xr:uid="{00000000-0005-0000-0000-0000EBBD0000}"/>
    <cellStyle name="Migliaia 44 3 5 3" xfId="48382" xr:uid="{00000000-0005-0000-0000-0000ECBD0000}"/>
    <cellStyle name="Migliaia 44 3 5 4" xfId="54945" xr:uid="{00000000-0005-0000-0000-0000EDBD0000}"/>
    <cellStyle name="Migliaia 44 3 6" xfId="19255" xr:uid="{00000000-0005-0000-0000-0000EEBD0000}"/>
    <cellStyle name="Migliaia 44 3 6 2" xfId="55827" xr:uid="{00000000-0005-0000-0000-0000EFBD0000}"/>
    <cellStyle name="Migliaia 44 3 7" xfId="34250" xr:uid="{00000000-0005-0000-0000-0000F0BD0000}"/>
    <cellStyle name="Migliaia 44 3 8" xfId="49190" xr:uid="{00000000-0005-0000-0000-0000F1BD0000}"/>
    <cellStyle name="Migliaia 44 3 9" xfId="49595" xr:uid="{00000000-0005-0000-0000-0000F2BD0000}"/>
    <cellStyle name="Migliaia 44 4" xfId="9344" xr:uid="{00000000-0005-0000-0000-0000F3BD0000}"/>
    <cellStyle name="Migliaia 44 4 2" xfId="17310" xr:uid="{00000000-0005-0000-0000-0000F4BD0000}"/>
    <cellStyle name="Migliaia 44 4 2 2" xfId="18394" xr:uid="{00000000-0005-0000-0000-0000F5BD0000}"/>
    <cellStyle name="Migliaia 44 4 2 2 2" xfId="33861" xr:uid="{00000000-0005-0000-0000-0000F6BD0000}"/>
    <cellStyle name="Migliaia 44 4 2 2 2 2" xfId="55345" xr:uid="{00000000-0005-0000-0000-0000F7BD0000}"/>
    <cellStyle name="Migliaia 44 4 2 2 3" xfId="48822" xr:uid="{00000000-0005-0000-0000-0000F8BD0000}"/>
    <cellStyle name="Migliaia 44 4 2 2 3 2" xfId="56267" xr:uid="{00000000-0005-0000-0000-0000F9BD0000}"/>
    <cellStyle name="Migliaia 44 4 2 2 4" xfId="52990" xr:uid="{00000000-0005-0000-0000-0000FABD0000}"/>
    <cellStyle name="Migliaia 44 4 2 3" xfId="33425" xr:uid="{00000000-0005-0000-0000-0000FBBD0000}"/>
    <cellStyle name="Migliaia 44 4 2 3 2" xfId="54949" xr:uid="{00000000-0005-0000-0000-0000FCBD0000}"/>
    <cellStyle name="Migliaia 44 4 2 4" xfId="48386" xr:uid="{00000000-0005-0000-0000-0000FDBD0000}"/>
    <cellStyle name="Migliaia 44 4 2 4 2" xfId="55831" xr:uid="{00000000-0005-0000-0000-0000FEBD0000}"/>
    <cellStyle name="Migliaia 44 4 2 5" xfId="52549" xr:uid="{00000000-0005-0000-0000-0000FFBD0000}"/>
    <cellStyle name="Migliaia 44 4 3" xfId="18393" xr:uid="{00000000-0005-0000-0000-000000BE0000}"/>
    <cellStyle name="Migliaia 44 4 3 2" xfId="33860" xr:uid="{00000000-0005-0000-0000-000001BE0000}"/>
    <cellStyle name="Migliaia 44 4 3 2 2" xfId="55344" xr:uid="{00000000-0005-0000-0000-000002BE0000}"/>
    <cellStyle name="Migliaia 44 4 3 3" xfId="48821" xr:uid="{00000000-0005-0000-0000-000003BE0000}"/>
    <cellStyle name="Migliaia 44 4 3 3 2" xfId="56266" xr:uid="{00000000-0005-0000-0000-000004BE0000}"/>
    <cellStyle name="Migliaia 44 4 3 4" xfId="52989" xr:uid="{00000000-0005-0000-0000-000005BE0000}"/>
    <cellStyle name="Migliaia 44 4 4" xfId="17309" xr:uid="{00000000-0005-0000-0000-000006BE0000}"/>
    <cellStyle name="Migliaia 44 4 4 2" xfId="33424" xr:uid="{00000000-0005-0000-0000-000007BE0000}"/>
    <cellStyle name="Migliaia 44 4 4 3" xfId="48385" xr:uid="{00000000-0005-0000-0000-000008BE0000}"/>
    <cellStyle name="Migliaia 44 4 4 4" xfId="54948" xr:uid="{00000000-0005-0000-0000-000009BE0000}"/>
    <cellStyle name="Migliaia 44 4 5" xfId="51183" xr:uid="{00000000-0005-0000-0000-00000ABE0000}"/>
    <cellStyle name="Migliaia 44 4 5 2" xfId="55830" xr:uid="{00000000-0005-0000-0000-00000BBE0000}"/>
    <cellStyle name="Migliaia 44 4 6" xfId="52548" xr:uid="{00000000-0005-0000-0000-00000CBE0000}"/>
    <cellStyle name="Migliaia 44 5" xfId="9345" xr:uid="{00000000-0005-0000-0000-00000DBE0000}"/>
    <cellStyle name="Migliaia 44 5 2" xfId="17311" xr:uid="{00000000-0005-0000-0000-00000EBE0000}"/>
    <cellStyle name="Migliaia 44 5 2 2" xfId="33426" xr:uid="{00000000-0005-0000-0000-00000FBE0000}"/>
    <cellStyle name="Migliaia 44 5 2 3" xfId="48387" xr:uid="{00000000-0005-0000-0000-000010BE0000}"/>
    <cellStyle name="Migliaia 44 5 2 4" xfId="54950" xr:uid="{00000000-0005-0000-0000-000011BE0000}"/>
    <cellStyle name="Migliaia 44 5 3" xfId="50967" xr:uid="{00000000-0005-0000-0000-000012BE0000}"/>
    <cellStyle name="Migliaia 44 5 3 2" xfId="55832" xr:uid="{00000000-0005-0000-0000-000013BE0000}"/>
    <cellStyle name="Migliaia 44 5 4" xfId="52550" xr:uid="{00000000-0005-0000-0000-000014BE0000}"/>
    <cellStyle name="Migliaia 44 6" xfId="9340" xr:uid="{00000000-0005-0000-0000-000015BE0000}"/>
    <cellStyle name="Migliaia 44 6 2" xfId="51287" xr:uid="{00000000-0005-0000-0000-000016BE0000}"/>
    <cellStyle name="Migliaia 44 6 3" xfId="54623" xr:uid="{00000000-0005-0000-0000-000017BE0000}"/>
    <cellStyle name="Migliaia 44 7" xfId="9947" xr:uid="{00000000-0005-0000-0000-000018BE0000}"/>
    <cellStyle name="Migliaia 44 7 2" xfId="26272" xr:uid="{00000000-0005-0000-0000-000019BE0000}"/>
    <cellStyle name="Migliaia 44 7 3" xfId="41250" xr:uid="{00000000-0005-0000-0000-00001ABE0000}"/>
    <cellStyle name="Migliaia 44 7 4" xfId="55825" xr:uid="{00000000-0005-0000-0000-00001BBE0000}"/>
    <cellStyle name="Migliaia 44 8" xfId="17304" xr:uid="{00000000-0005-0000-0000-00001CBE0000}"/>
    <cellStyle name="Migliaia 44 8 2" xfId="33419" xr:uid="{00000000-0005-0000-0000-00001DBE0000}"/>
    <cellStyle name="Migliaia 44 8 3" xfId="48380" xr:uid="{00000000-0005-0000-0000-00001EBE0000}"/>
    <cellStyle name="Migliaia 44 9" xfId="19253" xr:uid="{00000000-0005-0000-0000-00001FBE0000}"/>
    <cellStyle name="Migliaia 45" xfId="441" xr:uid="{00000000-0005-0000-0000-000020BE0000}"/>
    <cellStyle name="Migliaia 45 10" xfId="34252" xr:uid="{00000000-0005-0000-0000-000021BE0000}"/>
    <cellStyle name="Migliaia 45 11" xfId="49192" xr:uid="{00000000-0005-0000-0000-000022BE0000}"/>
    <cellStyle name="Migliaia 45 12" xfId="49597" xr:uid="{00000000-0005-0000-0000-000023BE0000}"/>
    <cellStyle name="Migliaia 45 13" xfId="50003" xr:uid="{00000000-0005-0000-0000-000024BE0000}"/>
    <cellStyle name="Migliaia 45 14" xfId="50411" xr:uid="{00000000-0005-0000-0000-000025BE0000}"/>
    <cellStyle name="Migliaia 45 15" xfId="50853" xr:uid="{00000000-0005-0000-0000-000026BE0000}"/>
    <cellStyle name="Migliaia 45 16" xfId="51572" xr:uid="{00000000-0005-0000-0000-000027BE0000}"/>
    <cellStyle name="Migliaia 45 17" xfId="51984" xr:uid="{00000000-0005-0000-0000-000028BE0000}"/>
    <cellStyle name="Migliaia 45 18" xfId="52551" xr:uid="{00000000-0005-0000-0000-000029BE0000}"/>
    <cellStyle name="Migliaia 45 2" xfId="442" xr:uid="{00000000-0005-0000-0000-00002ABE0000}"/>
    <cellStyle name="Migliaia 45 2 10" xfId="50004" xr:uid="{00000000-0005-0000-0000-00002BBE0000}"/>
    <cellStyle name="Migliaia 45 2 11" xfId="50412" xr:uid="{00000000-0005-0000-0000-00002CBE0000}"/>
    <cellStyle name="Migliaia 45 2 12" xfId="50854" xr:uid="{00000000-0005-0000-0000-00002DBE0000}"/>
    <cellStyle name="Migliaia 45 2 13" xfId="51573" xr:uid="{00000000-0005-0000-0000-00002EBE0000}"/>
    <cellStyle name="Migliaia 45 2 14" xfId="51985" xr:uid="{00000000-0005-0000-0000-00002FBE0000}"/>
    <cellStyle name="Migliaia 45 2 15" xfId="52552" xr:uid="{00000000-0005-0000-0000-000030BE0000}"/>
    <cellStyle name="Migliaia 45 2 2" xfId="1283" xr:uid="{00000000-0005-0000-0000-000031BE0000}"/>
    <cellStyle name="Migliaia 45 2 2 10" xfId="51135" xr:uid="{00000000-0005-0000-0000-000032BE0000}"/>
    <cellStyle name="Migliaia 45 2 2 11" xfId="51731" xr:uid="{00000000-0005-0000-0000-000033BE0000}"/>
    <cellStyle name="Migliaia 45 2 2 12" xfId="52151" xr:uid="{00000000-0005-0000-0000-000034BE0000}"/>
    <cellStyle name="Migliaia 45 2 2 13" xfId="52991" xr:uid="{00000000-0005-0000-0000-000035BE0000}"/>
    <cellStyle name="Migliaia 45 2 2 2" xfId="10110" xr:uid="{00000000-0005-0000-0000-000036BE0000}"/>
    <cellStyle name="Migliaia 45 2 2 2 2" xfId="26430" xr:uid="{00000000-0005-0000-0000-000037BE0000}"/>
    <cellStyle name="Migliaia 45 2 2 2 3" xfId="41398" xr:uid="{00000000-0005-0000-0000-000038BE0000}"/>
    <cellStyle name="Migliaia 45 2 2 2 4" xfId="55346" xr:uid="{00000000-0005-0000-0000-000039BE0000}"/>
    <cellStyle name="Migliaia 45 2 2 3" xfId="18395" xr:uid="{00000000-0005-0000-0000-00003ABE0000}"/>
    <cellStyle name="Migliaia 45 2 2 3 2" xfId="33862" xr:uid="{00000000-0005-0000-0000-00003BBE0000}"/>
    <cellStyle name="Migliaia 45 2 2 3 3" xfId="48823" xr:uid="{00000000-0005-0000-0000-00003CBE0000}"/>
    <cellStyle name="Migliaia 45 2 2 3 4" xfId="56268" xr:uid="{00000000-0005-0000-0000-00003DBE0000}"/>
    <cellStyle name="Migliaia 45 2 2 4" xfId="19409" xr:uid="{00000000-0005-0000-0000-00003EBE0000}"/>
    <cellStyle name="Migliaia 45 2 2 5" xfId="34399" xr:uid="{00000000-0005-0000-0000-00003FBE0000}"/>
    <cellStyle name="Migliaia 45 2 2 6" xfId="49351" xr:uid="{00000000-0005-0000-0000-000040BE0000}"/>
    <cellStyle name="Migliaia 45 2 2 7" xfId="49756" xr:uid="{00000000-0005-0000-0000-000041BE0000}"/>
    <cellStyle name="Migliaia 45 2 2 8" xfId="50165" xr:uid="{00000000-0005-0000-0000-000042BE0000}"/>
    <cellStyle name="Migliaia 45 2 2 9" xfId="50570" xr:uid="{00000000-0005-0000-0000-000043BE0000}"/>
    <cellStyle name="Migliaia 45 2 3" xfId="9347" xr:uid="{00000000-0005-0000-0000-000044BE0000}"/>
    <cellStyle name="Migliaia 45 2 3 2" xfId="54688" xr:uid="{00000000-0005-0000-0000-000045BE0000}"/>
    <cellStyle name="Migliaia 45 2 4" xfId="9952" xr:uid="{00000000-0005-0000-0000-000046BE0000}"/>
    <cellStyle name="Migliaia 45 2 4 2" xfId="26277" xr:uid="{00000000-0005-0000-0000-000047BE0000}"/>
    <cellStyle name="Migliaia 45 2 4 3" xfId="41255" xr:uid="{00000000-0005-0000-0000-000048BE0000}"/>
    <cellStyle name="Migliaia 45 2 4 4" xfId="55834" xr:uid="{00000000-0005-0000-0000-000049BE0000}"/>
    <cellStyle name="Migliaia 45 2 5" xfId="17313" xr:uid="{00000000-0005-0000-0000-00004ABE0000}"/>
    <cellStyle name="Migliaia 45 2 5 2" xfId="33428" xr:uid="{00000000-0005-0000-0000-00004BBE0000}"/>
    <cellStyle name="Migliaia 45 2 5 3" xfId="48389" xr:uid="{00000000-0005-0000-0000-00004CBE0000}"/>
    <cellStyle name="Migliaia 45 2 6" xfId="19258" xr:uid="{00000000-0005-0000-0000-00004DBE0000}"/>
    <cellStyle name="Migliaia 45 2 7" xfId="34253" xr:uid="{00000000-0005-0000-0000-00004EBE0000}"/>
    <cellStyle name="Migliaia 45 2 8" xfId="49193" xr:uid="{00000000-0005-0000-0000-00004FBE0000}"/>
    <cellStyle name="Migliaia 45 2 9" xfId="49598" xr:uid="{00000000-0005-0000-0000-000050BE0000}"/>
    <cellStyle name="Migliaia 45 3" xfId="443" xr:uid="{00000000-0005-0000-0000-000051BE0000}"/>
    <cellStyle name="Migliaia 45 3 10" xfId="50005" xr:uid="{00000000-0005-0000-0000-000052BE0000}"/>
    <cellStyle name="Migliaia 45 3 11" xfId="50413" xr:uid="{00000000-0005-0000-0000-000053BE0000}"/>
    <cellStyle name="Migliaia 45 3 12" xfId="50855" xr:uid="{00000000-0005-0000-0000-000054BE0000}"/>
    <cellStyle name="Migliaia 45 3 13" xfId="51574" xr:uid="{00000000-0005-0000-0000-000055BE0000}"/>
    <cellStyle name="Migliaia 45 3 14" xfId="51986" xr:uid="{00000000-0005-0000-0000-000056BE0000}"/>
    <cellStyle name="Migliaia 45 3 15" xfId="52553" xr:uid="{00000000-0005-0000-0000-000057BE0000}"/>
    <cellStyle name="Migliaia 45 3 2" xfId="444" xr:uid="{00000000-0005-0000-0000-000058BE0000}"/>
    <cellStyle name="Migliaia 45 3 2 10" xfId="50414" xr:uid="{00000000-0005-0000-0000-000059BE0000}"/>
    <cellStyle name="Migliaia 45 3 2 11" xfId="50856" xr:uid="{00000000-0005-0000-0000-00005ABE0000}"/>
    <cellStyle name="Migliaia 45 3 2 12" xfId="51575" xr:uid="{00000000-0005-0000-0000-00005BBE0000}"/>
    <cellStyle name="Migliaia 45 3 2 13" xfId="51987" xr:uid="{00000000-0005-0000-0000-00005CBE0000}"/>
    <cellStyle name="Migliaia 45 3 2 14" xfId="52554" xr:uid="{00000000-0005-0000-0000-00005DBE0000}"/>
    <cellStyle name="Migliaia 45 3 2 2" xfId="9349" xr:uid="{00000000-0005-0000-0000-00005EBE0000}"/>
    <cellStyle name="Migliaia 45 3 2 2 2" xfId="54952" xr:uid="{00000000-0005-0000-0000-00005FBE0000}"/>
    <cellStyle name="Migliaia 45 3 2 3" xfId="9954" xr:uid="{00000000-0005-0000-0000-000060BE0000}"/>
    <cellStyle name="Migliaia 45 3 2 3 2" xfId="26279" xr:uid="{00000000-0005-0000-0000-000061BE0000}"/>
    <cellStyle name="Migliaia 45 3 2 3 3" xfId="41257" xr:uid="{00000000-0005-0000-0000-000062BE0000}"/>
    <cellStyle name="Migliaia 45 3 2 3 4" xfId="55836" xr:uid="{00000000-0005-0000-0000-000063BE0000}"/>
    <cellStyle name="Migliaia 45 3 2 4" xfId="17315" xr:uid="{00000000-0005-0000-0000-000064BE0000}"/>
    <cellStyle name="Migliaia 45 3 2 4 2" xfId="33430" xr:uid="{00000000-0005-0000-0000-000065BE0000}"/>
    <cellStyle name="Migliaia 45 3 2 4 3" xfId="48391" xr:uid="{00000000-0005-0000-0000-000066BE0000}"/>
    <cellStyle name="Migliaia 45 3 2 5" xfId="19260" xr:uid="{00000000-0005-0000-0000-000067BE0000}"/>
    <cellStyle name="Migliaia 45 3 2 6" xfId="34255" xr:uid="{00000000-0005-0000-0000-000068BE0000}"/>
    <cellStyle name="Migliaia 45 3 2 7" xfId="49195" xr:uid="{00000000-0005-0000-0000-000069BE0000}"/>
    <cellStyle name="Migliaia 45 3 2 8" xfId="49600" xr:uid="{00000000-0005-0000-0000-00006ABE0000}"/>
    <cellStyle name="Migliaia 45 3 2 9" xfId="50006" xr:uid="{00000000-0005-0000-0000-00006BBE0000}"/>
    <cellStyle name="Migliaia 45 3 3" xfId="9348" xr:uid="{00000000-0005-0000-0000-00006CBE0000}"/>
    <cellStyle name="Migliaia 45 3 3 2" xfId="18397" xr:uid="{00000000-0005-0000-0000-00006DBE0000}"/>
    <cellStyle name="Migliaia 45 3 3 2 2" xfId="33864" xr:uid="{00000000-0005-0000-0000-00006EBE0000}"/>
    <cellStyle name="Migliaia 45 3 3 2 2 2" xfId="55348" xr:uid="{00000000-0005-0000-0000-00006FBE0000}"/>
    <cellStyle name="Migliaia 45 3 3 2 3" xfId="48825" xr:uid="{00000000-0005-0000-0000-000070BE0000}"/>
    <cellStyle name="Migliaia 45 3 3 2 3 2" xfId="56270" xr:uid="{00000000-0005-0000-0000-000071BE0000}"/>
    <cellStyle name="Migliaia 45 3 3 2 4" xfId="52993" xr:uid="{00000000-0005-0000-0000-000072BE0000}"/>
    <cellStyle name="Migliaia 45 3 3 3" xfId="17316" xr:uid="{00000000-0005-0000-0000-000073BE0000}"/>
    <cellStyle name="Migliaia 45 3 3 3 2" xfId="33431" xr:uid="{00000000-0005-0000-0000-000074BE0000}"/>
    <cellStyle name="Migliaia 45 3 3 3 3" xfId="48392" xr:uid="{00000000-0005-0000-0000-000075BE0000}"/>
    <cellStyle name="Migliaia 45 3 3 3 4" xfId="54953" xr:uid="{00000000-0005-0000-0000-000076BE0000}"/>
    <cellStyle name="Migliaia 45 3 3 4" xfId="55837" xr:uid="{00000000-0005-0000-0000-000077BE0000}"/>
    <cellStyle name="Migliaia 45 3 3 5" xfId="52555" xr:uid="{00000000-0005-0000-0000-000078BE0000}"/>
    <cellStyle name="Migliaia 45 3 4" xfId="9953" xr:uid="{00000000-0005-0000-0000-000079BE0000}"/>
    <cellStyle name="Migliaia 45 3 4 2" xfId="18396" xr:uid="{00000000-0005-0000-0000-00007ABE0000}"/>
    <cellStyle name="Migliaia 45 3 4 2 2" xfId="33863" xr:uid="{00000000-0005-0000-0000-00007BBE0000}"/>
    <cellStyle name="Migliaia 45 3 4 2 3" xfId="48824" xr:uid="{00000000-0005-0000-0000-00007CBE0000}"/>
    <cellStyle name="Migliaia 45 3 4 2 4" xfId="55347" xr:uid="{00000000-0005-0000-0000-00007DBE0000}"/>
    <cellStyle name="Migliaia 45 3 4 3" xfId="26278" xr:uid="{00000000-0005-0000-0000-00007EBE0000}"/>
    <cellStyle name="Migliaia 45 3 4 3 2" xfId="56269" xr:uid="{00000000-0005-0000-0000-00007FBE0000}"/>
    <cellStyle name="Migliaia 45 3 4 4" xfId="41256" xr:uid="{00000000-0005-0000-0000-000080BE0000}"/>
    <cellStyle name="Migliaia 45 3 4 5" xfId="52992" xr:uid="{00000000-0005-0000-0000-000081BE0000}"/>
    <cellStyle name="Migliaia 45 3 5" xfId="17314" xr:uid="{00000000-0005-0000-0000-000082BE0000}"/>
    <cellStyle name="Migliaia 45 3 5 2" xfId="33429" xr:uid="{00000000-0005-0000-0000-000083BE0000}"/>
    <cellStyle name="Migliaia 45 3 5 3" xfId="48390" xr:uid="{00000000-0005-0000-0000-000084BE0000}"/>
    <cellStyle name="Migliaia 45 3 5 4" xfId="54951" xr:uid="{00000000-0005-0000-0000-000085BE0000}"/>
    <cellStyle name="Migliaia 45 3 6" xfId="19259" xr:uid="{00000000-0005-0000-0000-000086BE0000}"/>
    <cellStyle name="Migliaia 45 3 6 2" xfId="55835" xr:uid="{00000000-0005-0000-0000-000087BE0000}"/>
    <cellStyle name="Migliaia 45 3 7" xfId="34254" xr:uid="{00000000-0005-0000-0000-000088BE0000}"/>
    <cellStyle name="Migliaia 45 3 8" xfId="49194" xr:uid="{00000000-0005-0000-0000-000089BE0000}"/>
    <cellStyle name="Migliaia 45 3 9" xfId="49599" xr:uid="{00000000-0005-0000-0000-00008ABE0000}"/>
    <cellStyle name="Migliaia 45 4" xfId="9350" xr:uid="{00000000-0005-0000-0000-00008BBE0000}"/>
    <cellStyle name="Migliaia 45 4 2" xfId="17318" xr:uid="{00000000-0005-0000-0000-00008CBE0000}"/>
    <cellStyle name="Migliaia 45 4 2 2" xfId="18399" xr:uid="{00000000-0005-0000-0000-00008DBE0000}"/>
    <cellStyle name="Migliaia 45 4 2 2 2" xfId="33866" xr:uid="{00000000-0005-0000-0000-00008EBE0000}"/>
    <cellStyle name="Migliaia 45 4 2 2 2 2" xfId="55350" xr:uid="{00000000-0005-0000-0000-00008FBE0000}"/>
    <cellStyle name="Migliaia 45 4 2 2 3" xfId="48827" xr:uid="{00000000-0005-0000-0000-000090BE0000}"/>
    <cellStyle name="Migliaia 45 4 2 2 3 2" xfId="56272" xr:uid="{00000000-0005-0000-0000-000091BE0000}"/>
    <cellStyle name="Migliaia 45 4 2 2 4" xfId="52995" xr:uid="{00000000-0005-0000-0000-000092BE0000}"/>
    <cellStyle name="Migliaia 45 4 2 3" xfId="33433" xr:uid="{00000000-0005-0000-0000-000093BE0000}"/>
    <cellStyle name="Migliaia 45 4 2 3 2" xfId="54955" xr:uid="{00000000-0005-0000-0000-000094BE0000}"/>
    <cellStyle name="Migliaia 45 4 2 4" xfId="48394" xr:uid="{00000000-0005-0000-0000-000095BE0000}"/>
    <cellStyle name="Migliaia 45 4 2 4 2" xfId="55839" xr:uid="{00000000-0005-0000-0000-000096BE0000}"/>
    <cellStyle name="Migliaia 45 4 2 5" xfId="52557" xr:uid="{00000000-0005-0000-0000-000097BE0000}"/>
    <cellStyle name="Migliaia 45 4 3" xfId="18398" xr:uid="{00000000-0005-0000-0000-000098BE0000}"/>
    <cellStyle name="Migliaia 45 4 3 2" xfId="33865" xr:uid="{00000000-0005-0000-0000-000099BE0000}"/>
    <cellStyle name="Migliaia 45 4 3 2 2" xfId="55349" xr:uid="{00000000-0005-0000-0000-00009ABE0000}"/>
    <cellStyle name="Migliaia 45 4 3 3" xfId="48826" xr:uid="{00000000-0005-0000-0000-00009BBE0000}"/>
    <cellStyle name="Migliaia 45 4 3 3 2" xfId="56271" xr:uid="{00000000-0005-0000-0000-00009CBE0000}"/>
    <cellStyle name="Migliaia 45 4 3 4" xfId="52994" xr:uid="{00000000-0005-0000-0000-00009DBE0000}"/>
    <cellStyle name="Migliaia 45 4 4" xfId="17317" xr:uid="{00000000-0005-0000-0000-00009EBE0000}"/>
    <cellStyle name="Migliaia 45 4 4 2" xfId="33432" xr:uid="{00000000-0005-0000-0000-00009FBE0000}"/>
    <cellStyle name="Migliaia 45 4 4 3" xfId="48393" xr:uid="{00000000-0005-0000-0000-0000A0BE0000}"/>
    <cellStyle name="Migliaia 45 4 4 4" xfId="54954" xr:uid="{00000000-0005-0000-0000-0000A1BE0000}"/>
    <cellStyle name="Migliaia 45 4 5" xfId="50966" xr:uid="{00000000-0005-0000-0000-0000A2BE0000}"/>
    <cellStyle name="Migliaia 45 4 5 2" xfId="55838" xr:uid="{00000000-0005-0000-0000-0000A3BE0000}"/>
    <cellStyle name="Migliaia 45 4 6" xfId="52556" xr:uid="{00000000-0005-0000-0000-0000A4BE0000}"/>
    <cellStyle name="Migliaia 45 5" xfId="9351" xr:uid="{00000000-0005-0000-0000-0000A5BE0000}"/>
    <cellStyle name="Migliaia 45 5 2" xfId="17319" xr:uid="{00000000-0005-0000-0000-0000A6BE0000}"/>
    <cellStyle name="Migliaia 45 5 2 2" xfId="33434" xr:uid="{00000000-0005-0000-0000-0000A7BE0000}"/>
    <cellStyle name="Migliaia 45 5 2 3" xfId="48395" xr:uid="{00000000-0005-0000-0000-0000A8BE0000}"/>
    <cellStyle name="Migliaia 45 5 2 4" xfId="54956" xr:uid="{00000000-0005-0000-0000-0000A9BE0000}"/>
    <cellStyle name="Migliaia 45 5 3" xfId="51213" xr:uid="{00000000-0005-0000-0000-0000AABE0000}"/>
    <cellStyle name="Migliaia 45 5 3 2" xfId="55840" xr:uid="{00000000-0005-0000-0000-0000ABBE0000}"/>
    <cellStyle name="Migliaia 45 5 4" xfId="52558" xr:uid="{00000000-0005-0000-0000-0000ACBE0000}"/>
    <cellStyle name="Migliaia 45 6" xfId="9346" xr:uid="{00000000-0005-0000-0000-0000ADBE0000}"/>
    <cellStyle name="Migliaia 45 6 2" xfId="51182" xr:uid="{00000000-0005-0000-0000-0000AEBE0000}"/>
    <cellStyle name="Migliaia 45 6 3" xfId="54624" xr:uid="{00000000-0005-0000-0000-0000AFBE0000}"/>
    <cellStyle name="Migliaia 45 7" xfId="9951" xr:uid="{00000000-0005-0000-0000-0000B0BE0000}"/>
    <cellStyle name="Migliaia 45 7 2" xfId="26276" xr:uid="{00000000-0005-0000-0000-0000B1BE0000}"/>
    <cellStyle name="Migliaia 45 7 3" xfId="41254" xr:uid="{00000000-0005-0000-0000-0000B2BE0000}"/>
    <cellStyle name="Migliaia 45 7 4" xfId="55833" xr:uid="{00000000-0005-0000-0000-0000B3BE0000}"/>
    <cellStyle name="Migliaia 45 8" xfId="17312" xr:uid="{00000000-0005-0000-0000-0000B4BE0000}"/>
    <cellStyle name="Migliaia 45 8 2" xfId="33427" xr:uid="{00000000-0005-0000-0000-0000B5BE0000}"/>
    <cellStyle name="Migliaia 45 8 3" xfId="48388" xr:uid="{00000000-0005-0000-0000-0000B6BE0000}"/>
    <cellStyle name="Migliaia 45 9" xfId="19257" xr:uid="{00000000-0005-0000-0000-0000B7BE0000}"/>
    <cellStyle name="Migliaia 46" xfId="445" xr:uid="{00000000-0005-0000-0000-0000B8BE0000}"/>
    <cellStyle name="Migliaia 46 10" xfId="34256" xr:uid="{00000000-0005-0000-0000-0000B9BE0000}"/>
    <cellStyle name="Migliaia 46 11" xfId="49196" xr:uid="{00000000-0005-0000-0000-0000BABE0000}"/>
    <cellStyle name="Migliaia 46 12" xfId="49601" xr:uid="{00000000-0005-0000-0000-0000BBBE0000}"/>
    <cellStyle name="Migliaia 46 13" xfId="50007" xr:uid="{00000000-0005-0000-0000-0000BCBE0000}"/>
    <cellStyle name="Migliaia 46 14" xfId="50415" xr:uid="{00000000-0005-0000-0000-0000BDBE0000}"/>
    <cellStyle name="Migliaia 46 15" xfId="50857" xr:uid="{00000000-0005-0000-0000-0000BEBE0000}"/>
    <cellStyle name="Migliaia 46 16" xfId="51576" xr:uid="{00000000-0005-0000-0000-0000BFBE0000}"/>
    <cellStyle name="Migliaia 46 17" xfId="51988" xr:uid="{00000000-0005-0000-0000-0000C0BE0000}"/>
    <cellStyle name="Migliaia 46 18" xfId="52559" xr:uid="{00000000-0005-0000-0000-0000C1BE0000}"/>
    <cellStyle name="Migliaia 46 2" xfId="446" xr:uid="{00000000-0005-0000-0000-0000C2BE0000}"/>
    <cellStyle name="Migliaia 46 2 10" xfId="50008" xr:uid="{00000000-0005-0000-0000-0000C3BE0000}"/>
    <cellStyle name="Migliaia 46 2 11" xfId="50416" xr:uid="{00000000-0005-0000-0000-0000C4BE0000}"/>
    <cellStyle name="Migliaia 46 2 12" xfId="50858" xr:uid="{00000000-0005-0000-0000-0000C5BE0000}"/>
    <cellStyle name="Migliaia 46 2 13" xfId="51577" xr:uid="{00000000-0005-0000-0000-0000C6BE0000}"/>
    <cellStyle name="Migliaia 46 2 14" xfId="51989" xr:uid="{00000000-0005-0000-0000-0000C7BE0000}"/>
    <cellStyle name="Migliaia 46 2 15" xfId="52560" xr:uid="{00000000-0005-0000-0000-0000C8BE0000}"/>
    <cellStyle name="Migliaia 46 2 2" xfId="1284" xr:uid="{00000000-0005-0000-0000-0000C9BE0000}"/>
    <cellStyle name="Migliaia 46 2 2 10" xfId="51136" xr:uid="{00000000-0005-0000-0000-0000CABE0000}"/>
    <cellStyle name="Migliaia 46 2 2 11" xfId="51732" xr:uid="{00000000-0005-0000-0000-0000CBBE0000}"/>
    <cellStyle name="Migliaia 46 2 2 12" xfId="52152" xr:uid="{00000000-0005-0000-0000-0000CCBE0000}"/>
    <cellStyle name="Migliaia 46 2 2 13" xfId="52996" xr:uid="{00000000-0005-0000-0000-0000CDBE0000}"/>
    <cellStyle name="Migliaia 46 2 2 2" xfId="10111" xr:uid="{00000000-0005-0000-0000-0000CEBE0000}"/>
    <cellStyle name="Migliaia 46 2 2 2 2" xfId="26431" xr:uid="{00000000-0005-0000-0000-0000CFBE0000}"/>
    <cellStyle name="Migliaia 46 2 2 2 3" xfId="41399" xr:uid="{00000000-0005-0000-0000-0000D0BE0000}"/>
    <cellStyle name="Migliaia 46 2 2 2 4" xfId="55351" xr:uid="{00000000-0005-0000-0000-0000D1BE0000}"/>
    <cellStyle name="Migliaia 46 2 2 3" xfId="18400" xr:uid="{00000000-0005-0000-0000-0000D2BE0000}"/>
    <cellStyle name="Migliaia 46 2 2 3 2" xfId="33867" xr:uid="{00000000-0005-0000-0000-0000D3BE0000}"/>
    <cellStyle name="Migliaia 46 2 2 3 3" xfId="48828" xr:uid="{00000000-0005-0000-0000-0000D4BE0000}"/>
    <cellStyle name="Migliaia 46 2 2 3 4" xfId="56273" xr:uid="{00000000-0005-0000-0000-0000D5BE0000}"/>
    <cellStyle name="Migliaia 46 2 2 4" xfId="19410" xr:uid="{00000000-0005-0000-0000-0000D6BE0000}"/>
    <cellStyle name="Migliaia 46 2 2 5" xfId="34400" xr:uid="{00000000-0005-0000-0000-0000D7BE0000}"/>
    <cellStyle name="Migliaia 46 2 2 6" xfId="49352" xr:uid="{00000000-0005-0000-0000-0000D8BE0000}"/>
    <cellStyle name="Migliaia 46 2 2 7" xfId="49757" xr:uid="{00000000-0005-0000-0000-0000D9BE0000}"/>
    <cellStyle name="Migliaia 46 2 2 8" xfId="50166" xr:uid="{00000000-0005-0000-0000-0000DABE0000}"/>
    <cellStyle name="Migliaia 46 2 2 9" xfId="50571" xr:uid="{00000000-0005-0000-0000-0000DBBE0000}"/>
    <cellStyle name="Migliaia 46 2 3" xfId="9353" xr:uid="{00000000-0005-0000-0000-0000DCBE0000}"/>
    <cellStyle name="Migliaia 46 2 3 2" xfId="54689" xr:uid="{00000000-0005-0000-0000-0000DDBE0000}"/>
    <cellStyle name="Migliaia 46 2 4" xfId="9956" xr:uid="{00000000-0005-0000-0000-0000DEBE0000}"/>
    <cellStyle name="Migliaia 46 2 4 2" xfId="26281" xr:uid="{00000000-0005-0000-0000-0000DFBE0000}"/>
    <cellStyle name="Migliaia 46 2 4 3" xfId="41259" xr:uid="{00000000-0005-0000-0000-0000E0BE0000}"/>
    <cellStyle name="Migliaia 46 2 4 4" xfId="55842" xr:uid="{00000000-0005-0000-0000-0000E1BE0000}"/>
    <cellStyle name="Migliaia 46 2 5" xfId="17321" xr:uid="{00000000-0005-0000-0000-0000E2BE0000}"/>
    <cellStyle name="Migliaia 46 2 5 2" xfId="33436" xr:uid="{00000000-0005-0000-0000-0000E3BE0000}"/>
    <cellStyle name="Migliaia 46 2 5 3" xfId="48397" xr:uid="{00000000-0005-0000-0000-0000E4BE0000}"/>
    <cellStyle name="Migliaia 46 2 6" xfId="19262" xr:uid="{00000000-0005-0000-0000-0000E5BE0000}"/>
    <cellStyle name="Migliaia 46 2 7" xfId="34257" xr:uid="{00000000-0005-0000-0000-0000E6BE0000}"/>
    <cellStyle name="Migliaia 46 2 8" xfId="49197" xr:uid="{00000000-0005-0000-0000-0000E7BE0000}"/>
    <cellStyle name="Migliaia 46 2 9" xfId="49602" xr:uid="{00000000-0005-0000-0000-0000E8BE0000}"/>
    <cellStyle name="Migliaia 46 3" xfId="447" xr:uid="{00000000-0005-0000-0000-0000E9BE0000}"/>
    <cellStyle name="Migliaia 46 3 10" xfId="50009" xr:uid="{00000000-0005-0000-0000-0000EABE0000}"/>
    <cellStyle name="Migliaia 46 3 11" xfId="50417" xr:uid="{00000000-0005-0000-0000-0000EBBE0000}"/>
    <cellStyle name="Migliaia 46 3 12" xfId="50859" xr:uid="{00000000-0005-0000-0000-0000ECBE0000}"/>
    <cellStyle name="Migliaia 46 3 13" xfId="51578" xr:uid="{00000000-0005-0000-0000-0000EDBE0000}"/>
    <cellStyle name="Migliaia 46 3 14" xfId="51990" xr:uid="{00000000-0005-0000-0000-0000EEBE0000}"/>
    <cellStyle name="Migliaia 46 3 15" xfId="52561" xr:uid="{00000000-0005-0000-0000-0000EFBE0000}"/>
    <cellStyle name="Migliaia 46 3 2" xfId="448" xr:uid="{00000000-0005-0000-0000-0000F0BE0000}"/>
    <cellStyle name="Migliaia 46 3 2 10" xfId="50418" xr:uid="{00000000-0005-0000-0000-0000F1BE0000}"/>
    <cellStyle name="Migliaia 46 3 2 11" xfId="50860" xr:uid="{00000000-0005-0000-0000-0000F2BE0000}"/>
    <cellStyle name="Migliaia 46 3 2 12" xfId="51579" xr:uid="{00000000-0005-0000-0000-0000F3BE0000}"/>
    <cellStyle name="Migliaia 46 3 2 13" xfId="51991" xr:uid="{00000000-0005-0000-0000-0000F4BE0000}"/>
    <cellStyle name="Migliaia 46 3 2 14" xfId="52562" xr:uid="{00000000-0005-0000-0000-0000F5BE0000}"/>
    <cellStyle name="Migliaia 46 3 2 2" xfId="9355" xr:uid="{00000000-0005-0000-0000-0000F6BE0000}"/>
    <cellStyle name="Migliaia 46 3 2 2 2" xfId="54958" xr:uid="{00000000-0005-0000-0000-0000F7BE0000}"/>
    <cellStyle name="Migliaia 46 3 2 3" xfId="9958" xr:uid="{00000000-0005-0000-0000-0000F8BE0000}"/>
    <cellStyle name="Migliaia 46 3 2 3 2" xfId="26283" xr:uid="{00000000-0005-0000-0000-0000F9BE0000}"/>
    <cellStyle name="Migliaia 46 3 2 3 3" xfId="41261" xr:uid="{00000000-0005-0000-0000-0000FABE0000}"/>
    <cellStyle name="Migliaia 46 3 2 3 4" xfId="55844" xr:uid="{00000000-0005-0000-0000-0000FBBE0000}"/>
    <cellStyle name="Migliaia 46 3 2 4" xfId="17323" xr:uid="{00000000-0005-0000-0000-0000FCBE0000}"/>
    <cellStyle name="Migliaia 46 3 2 4 2" xfId="33438" xr:uid="{00000000-0005-0000-0000-0000FDBE0000}"/>
    <cellStyle name="Migliaia 46 3 2 4 3" xfId="48399" xr:uid="{00000000-0005-0000-0000-0000FEBE0000}"/>
    <cellStyle name="Migliaia 46 3 2 5" xfId="19264" xr:uid="{00000000-0005-0000-0000-0000FFBE0000}"/>
    <cellStyle name="Migliaia 46 3 2 6" xfId="34259" xr:uid="{00000000-0005-0000-0000-000000BF0000}"/>
    <cellStyle name="Migliaia 46 3 2 7" xfId="49199" xr:uid="{00000000-0005-0000-0000-000001BF0000}"/>
    <cellStyle name="Migliaia 46 3 2 8" xfId="49604" xr:uid="{00000000-0005-0000-0000-000002BF0000}"/>
    <cellStyle name="Migliaia 46 3 2 9" xfId="50010" xr:uid="{00000000-0005-0000-0000-000003BF0000}"/>
    <cellStyle name="Migliaia 46 3 3" xfId="9354" xr:uid="{00000000-0005-0000-0000-000004BF0000}"/>
    <cellStyle name="Migliaia 46 3 3 2" xfId="18402" xr:uid="{00000000-0005-0000-0000-000005BF0000}"/>
    <cellStyle name="Migliaia 46 3 3 2 2" xfId="33869" xr:uid="{00000000-0005-0000-0000-000006BF0000}"/>
    <cellStyle name="Migliaia 46 3 3 2 2 2" xfId="55353" xr:uid="{00000000-0005-0000-0000-000007BF0000}"/>
    <cellStyle name="Migliaia 46 3 3 2 3" xfId="48830" xr:uid="{00000000-0005-0000-0000-000008BF0000}"/>
    <cellStyle name="Migliaia 46 3 3 2 3 2" xfId="56275" xr:uid="{00000000-0005-0000-0000-000009BF0000}"/>
    <cellStyle name="Migliaia 46 3 3 2 4" xfId="52998" xr:uid="{00000000-0005-0000-0000-00000ABF0000}"/>
    <cellStyle name="Migliaia 46 3 3 3" xfId="17324" xr:uid="{00000000-0005-0000-0000-00000BBF0000}"/>
    <cellStyle name="Migliaia 46 3 3 3 2" xfId="33439" xr:uid="{00000000-0005-0000-0000-00000CBF0000}"/>
    <cellStyle name="Migliaia 46 3 3 3 3" xfId="48400" xr:uid="{00000000-0005-0000-0000-00000DBF0000}"/>
    <cellStyle name="Migliaia 46 3 3 3 4" xfId="54959" xr:uid="{00000000-0005-0000-0000-00000EBF0000}"/>
    <cellStyle name="Migliaia 46 3 3 4" xfId="55845" xr:uid="{00000000-0005-0000-0000-00000FBF0000}"/>
    <cellStyle name="Migliaia 46 3 3 5" xfId="52563" xr:uid="{00000000-0005-0000-0000-000010BF0000}"/>
    <cellStyle name="Migliaia 46 3 4" xfId="9957" xr:uid="{00000000-0005-0000-0000-000011BF0000}"/>
    <cellStyle name="Migliaia 46 3 4 2" xfId="18401" xr:uid="{00000000-0005-0000-0000-000012BF0000}"/>
    <cellStyle name="Migliaia 46 3 4 2 2" xfId="33868" xr:uid="{00000000-0005-0000-0000-000013BF0000}"/>
    <cellStyle name="Migliaia 46 3 4 2 3" xfId="48829" xr:uid="{00000000-0005-0000-0000-000014BF0000}"/>
    <cellStyle name="Migliaia 46 3 4 2 4" xfId="55352" xr:uid="{00000000-0005-0000-0000-000015BF0000}"/>
    <cellStyle name="Migliaia 46 3 4 3" xfId="26282" xr:uid="{00000000-0005-0000-0000-000016BF0000}"/>
    <cellStyle name="Migliaia 46 3 4 3 2" xfId="56274" xr:uid="{00000000-0005-0000-0000-000017BF0000}"/>
    <cellStyle name="Migliaia 46 3 4 4" xfId="41260" xr:uid="{00000000-0005-0000-0000-000018BF0000}"/>
    <cellStyle name="Migliaia 46 3 4 5" xfId="52997" xr:uid="{00000000-0005-0000-0000-000019BF0000}"/>
    <cellStyle name="Migliaia 46 3 5" xfId="17322" xr:uid="{00000000-0005-0000-0000-00001ABF0000}"/>
    <cellStyle name="Migliaia 46 3 5 2" xfId="33437" xr:uid="{00000000-0005-0000-0000-00001BBF0000}"/>
    <cellStyle name="Migliaia 46 3 5 3" xfId="48398" xr:uid="{00000000-0005-0000-0000-00001CBF0000}"/>
    <cellStyle name="Migliaia 46 3 5 4" xfId="54957" xr:uid="{00000000-0005-0000-0000-00001DBF0000}"/>
    <cellStyle name="Migliaia 46 3 6" xfId="19263" xr:uid="{00000000-0005-0000-0000-00001EBF0000}"/>
    <cellStyle name="Migliaia 46 3 6 2" xfId="55843" xr:uid="{00000000-0005-0000-0000-00001FBF0000}"/>
    <cellStyle name="Migliaia 46 3 7" xfId="34258" xr:uid="{00000000-0005-0000-0000-000020BF0000}"/>
    <cellStyle name="Migliaia 46 3 8" xfId="49198" xr:uid="{00000000-0005-0000-0000-000021BF0000}"/>
    <cellStyle name="Migliaia 46 3 9" xfId="49603" xr:uid="{00000000-0005-0000-0000-000022BF0000}"/>
    <cellStyle name="Migliaia 46 4" xfId="9356" xr:uid="{00000000-0005-0000-0000-000023BF0000}"/>
    <cellStyle name="Migliaia 46 4 2" xfId="17326" xr:uid="{00000000-0005-0000-0000-000024BF0000}"/>
    <cellStyle name="Migliaia 46 4 2 2" xfId="18404" xr:uid="{00000000-0005-0000-0000-000025BF0000}"/>
    <cellStyle name="Migliaia 46 4 2 2 2" xfId="33871" xr:uid="{00000000-0005-0000-0000-000026BF0000}"/>
    <cellStyle name="Migliaia 46 4 2 2 2 2" xfId="55355" xr:uid="{00000000-0005-0000-0000-000027BF0000}"/>
    <cellStyle name="Migliaia 46 4 2 2 3" xfId="48832" xr:uid="{00000000-0005-0000-0000-000028BF0000}"/>
    <cellStyle name="Migliaia 46 4 2 2 3 2" xfId="56277" xr:uid="{00000000-0005-0000-0000-000029BF0000}"/>
    <cellStyle name="Migliaia 46 4 2 2 4" xfId="53000" xr:uid="{00000000-0005-0000-0000-00002ABF0000}"/>
    <cellStyle name="Migliaia 46 4 2 3" xfId="33441" xr:uid="{00000000-0005-0000-0000-00002BBF0000}"/>
    <cellStyle name="Migliaia 46 4 2 3 2" xfId="54961" xr:uid="{00000000-0005-0000-0000-00002CBF0000}"/>
    <cellStyle name="Migliaia 46 4 2 4" xfId="48402" xr:uid="{00000000-0005-0000-0000-00002DBF0000}"/>
    <cellStyle name="Migliaia 46 4 2 4 2" xfId="55847" xr:uid="{00000000-0005-0000-0000-00002EBF0000}"/>
    <cellStyle name="Migliaia 46 4 2 5" xfId="52565" xr:uid="{00000000-0005-0000-0000-00002FBF0000}"/>
    <cellStyle name="Migliaia 46 4 3" xfId="18403" xr:uid="{00000000-0005-0000-0000-000030BF0000}"/>
    <cellStyle name="Migliaia 46 4 3 2" xfId="33870" xr:uid="{00000000-0005-0000-0000-000031BF0000}"/>
    <cellStyle name="Migliaia 46 4 3 2 2" xfId="55354" xr:uid="{00000000-0005-0000-0000-000032BF0000}"/>
    <cellStyle name="Migliaia 46 4 3 3" xfId="48831" xr:uid="{00000000-0005-0000-0000-000033BF0000}"/>
    <cellStyle name="Migliaia 46 4 3 3 2" xfId="56276" xr:uid="{00000000-0005-0000-0000-000034BF0000}"/>
    <cellStyle name="Migliaia 46 4 3 4" xfId="52999" xr:uid="{00000000-0005-0000-0000-000035BF0000}"/>
    <cellStyle name="Migliaia 46 4 4" xfId="17325" xr:uid="{00000000-0005-0000-0000-000036BF0000}"/>
    <cellStyle name="Migliaia 46 4 4 2" xfId="33440" xr:uid="{00000000-0005-0000-0000-000037BF0000}"/>
    <cellStyle name="Migliaia 46 4 4 3" xfId="48401" xr:uid="{00000000-0005-0000-0000-000038BF0000}"/>
    <cellStyle name="Migliaia 46 4 4 4" xfId="54960" xr:uid="{00000000-0005-0000-0000-000039BF0000}"/>
    <cellStyle name="Migliaia 46 4 5" xfId="51181" xr:uid="{00000000-0005-0000-0000-00003ABF0000}"/>
    <cellStyle name="Migliaia 46 4 5 2" xfId="55846" xr:uid="{00000000-0005-0000-0000-00003BBF0000}"/>
    <cellStyle name="Migliaia 46 4 6" xfId="52564" xr:uid="{00000000-0005-0000-0000-00003CBF0000}"/>
    <cellStyle name="Migliaia 46 5" xfId="9357" xr:uid="{00000000-0005-0000-0000-00003DBF0000}"/>
    <cellStyle name="Migliaia 46 5 2" xfId="17327" xr:uid="{00000000-0005-0000-0000-00003EBF0000}"/>
    <cellStyle name="Migliaia 46 5 2 2" xfId="33442" xr:uid="{00000000-0005-0000-0000-00003FBF0000}"/>
    <cellStyle name="Migliaia 46 5 2 3" xfId="48403" xr:uid="{00000000-0005-0000-0000-000040BF0000}"/>
    <cellStyle name="Migliaia 46 5 2 4" xfId="54962" xr:uid="{00000000-0005-0000-0000-000041BF0000}"/>
    <cellStyle name="Migliaia 46 5 3" xfId="51019" xr:uid="{00000000-0005-0000-0000-000042BF0000}"/>
    <cellStyle name="Migliaia 46 5 3 2" xfId="55848" xr:uid="{00000000-0005-0000-0000-000043BF0000}"/>
    <cellStyle name="Migliaia 46 5 4" xfId="52566" xr:uid="{00000000-0005-0000-0000-000044BF0000}"/>
    <cellStyle name="Migliaia 46 6" xfId="9352" xr:uid="{00000000-0005-0000-0000-000045BF0000}"/>
    <cellStyle name="Migliaia 46 6 2" xfId="51017" xr:uid="{00000000-0005-0000-0000-000046BF0000}"/>
    <cellStyle name="Migliaia 46 6 3" xfId="54625" xr:uid="{00000000-0005-0000-0000-000047BF0000}"/>
    <cellStyle name="Migliaia 46 7" xfId="9955" xr:uid="{00000000-0005-0000-0000-000048BF0000}"/>
    <cellStyle name="Migliaia 46 7 2" xfId="26280" xr:uid="{00000000-0005-0000-0000-000049BF0000}"/>
    <cellStyle name="Migliaia 46 7 3" xfId="41258" xr:uid="{00000000-0005-0000-0000-00004ABF0000}"/>
    <cellStyle name="Migliaia 46 7 4" xfId="55841" xr:uid="{00000000-0005-0000-0000-00004BBF0000}"/>
    <cellStyle name="Migliaia 46 8" xfId="17320" xr:uid="{00000000-0005-0000-0000-00004CBF0000}"/>
    <cellStyle name="Migliaia 46 8 2" xfId="33435" xr:uid="{00000000-0005-0000-0000-00004DBF0000}"/>
    <cellStyle name="Migliaia 46 8 3" xfId="48396" xr:uid="{00000000-0005-0000-0000-00004EBF0000}"/>
    <cellStyle name="Migliaia 46 9" xfId="19261" xr:uid="{00000000-0005-0000-0000-00004FBF0000}"/>
    <cellStyle name="Migliaia 47" xfId="449" xr:uid="{00000000-0005-0000-0000-000050BF0000}"/>
    <cellStyle name="Migliaia 47 10" xfId="34260" xr:uid="{00000000-0005-0000-0000-000051BF0000}"/>
    <cellStyle name="Migliaia 47 11" xfId="49200" xr:uid="{00000000-0005-0000-0000-000052BF0000}"/>
    <cellStyle name="Migliaia 47 12" xfId="49605" xr:uid="{00000000-0005-0000-0000-000053BF0000}"/>
    <cellStyle name="Migliaia 47 13" xfId="50011" xr:uid="{00000000-0005-0000-0000-000054BF0000}"/>
    <cellStyle name="Migliaia 47 14" xfId="50419" xr:uid="{00000000-0005-0000-0000-000055BF0000}"/>
    <cellStyle name="Migliaia 47 15" xfId="50861" xr:uid="{00000000-0005-0000-0000-000056BF0000}"/>
    <cellStyle name="Migliaia 47 16" xfId="51580" xr:uid="{00000000-0005-0000-0000-000057BF0000}"/>
    <cellStyle name="Migliaia 47 17" xfId="51992" xr:uid="{00000000-0005-0000-0000-000058BF0000}"/>
    <cellStyle name="Migliaia 47 18" xfId="52567" xr:uid="{00000000-0005-0000-0000-000059BF0000}"/>
    <cellStyle name="Migliaia 47 2" xfId="450" xr:uid="{00000000-0005-0000-0000-00005ABF0000}"/>
    <cellStyle name="Migliaia 47 2 10" xfId="50012" xr:uid="{00000000-0005-0000-0000-00005BBF0000}"/>
    <cellStyle name="Migliaia 47 2 11" xfId="50420" xr:uid="{00000000-0005-0000-0000-00005CBF0000}"/>
    <cellStyle name="Migliaia 47 2 12" xfId="50862" xr:uid="{00000000-0005-0000-0000-00005DBF0000}"/>
    <cellStyle name="Migliaia 47 2 13" xfId="51581" xr:uid="{00000000-0005-0000-0000-00005EBF0000}"/>
    <cellStyle name="Migliaia 47 2 14" xfId="51993" xr:uid="{00000000-0005-0000-0000-00005FBF0000}"/>
    <cellStyle name="Migliaia 47 2 15" xfId="52568" xr:uid="{00000000-0005-0000-0000-000060BF0000}"/>
    <cellStyle name="Migliaia 47 2 2" xfId="1285" xr:uid="{00000000-0005-0000-0000-000061BF0000}"/>
    <cellStyle name="Migliaia 47 2 2 10" xfId="51137" xr:uid="{00000000-0005-0000-0000-000062BF0000}"/>
    <cellStyle name="Migliaia 47 2 2 11" xfId="51733" xr:uid="{00000000-0005-0000-0000-000063BF0000}"/>
    <cellStyle name="Migliaia 47 2 2 12" xfId="52153" xr:uid="{00000000-0005-0000-0000-000064BF0000}"/>
    <cellStyle name="Migliaia 47 2 2 13" xfId="53001" xr:uid="{00000000-0005-0000-0000-000065BF0000}"/>
    <cellStyle name="Migliaia 47 2 2 2" xfId="10112" xr:uid="{00000000-0005-0000-0000-000066BF0000}"/>
    <cellStyle name="Migliaia 47 2 2 2 2" xfId="26432" xr:uid="{00000000-0005-0000-0000-000067BF0000}"/>
    <cellStyle name="Migliaia 47 2 2 2 3" xfId="41400" xr:uid="{00000000-0005-0000-0000-000068BF0000}"/>
    <cellStyle name="Migliaia 47 2 2 2 4" xfId="55356" xr:uid="{00000000-0005-0000-0000-000069BF0000}"/>
    <cellStyle name="Migliaia 47 2 2 3" xfId="18405" xr:uid="{00000000-0005-0000-0000-00006ABF0000}"/>
    <cellStyle name="Migliaia 47 2 2 3 2" xfId="33872" xr:uid="{00000000-0005-0000-0000-00006BBF0000}"/>
    <cellStyle name="Migliaia 47 2 2 3 3" xfId="48833" xr:uid="{00000000-0005-0000-0000-00006CBF0000}"/>
    <cellStyle name="Migliaia 47 2 2 3 4" xfId="56278" xr:uid="{00000000-0005-0000-0000-00006DBF0000}"/>
    <cellStyle name="Migliaia 47 2 2 4" xfId="19411" xr:uid="{00000000-0005-0000-0000-00006EBF0000}"/>
    <cellStyle name="Migliaia 47 2 2 5" xfId="34401" xr:uid="{00000000-0005-0000-0000-00006FBF0000}"/>
    <cellStyle name="Migliaia 47 2 2 6" xfId="49353" xr:uid="{00000000-0005-0000-0000-000070BF0000}"/>
    <cellStyle name="Migliaia 47 2 2 7" xfId="49758" xr:uid="{00000000-0005-0000-0000-000071BF0000}"/>
    <cellStyle name="Migliaia 47 2 2 8" xfId="50167" xr:uid="{00000000-0005-0000-0000-000072BF0000}"/>
    <cellStyle name="Migliaia 47 2 2 9" xfId="50572" xr:uid="{00000000-0005-0000-0000-000073BF0000}"/>
    <cellStyle name="Migliaia 47 2 3" xfId="9359" xr:uid="{00000000-0005-0000-0000-000074BF0000}"/>
    <cellStyle name="Migliaia 47 2 3 2" xfId="54690" xr:uid="{00000000-0005-0000-0000-000075BF0000}"/>
    <cellStyle name="Migliaia 47 2 4" xfId="9960" xr:uid="{00000000-0005-0000-0000-000076BF0000}"/>
    <cellStyle name="Migliaia 47 2 4 2" xfId="26285" xr:uid="{00000000-0005-0000-0000-000077BF0000}"/>
    <cellStyle name="Migliaia 47 2 4 3" xfId="41263" xr:uid="{00000000-0005-0000-0000-000078BF0000}"/>
    <cellStyle name="Migliaia 47 2 4 4" xfId="55850" xr:uid="{00000000-0005-0000-0000-000079BF0000}"/>
    <cellStyle name="Migliaia 47 2 5" xfId="17329" xr:uid="{00000000-0005-0000-0000-00007ABF0000}"/>
    <cellStyle name="Migliaia 47 2 5 2" xfId="33444" xr:uid="{00000000-0005-0000-0000-00007BBF0000}"/>
    <cellStyle name="Migliaia 47 2 5 3" xfId="48405" xr:uid="{00000000-0005-0000-0000-00007CBF0000}"/>
    <cellStyle name="Migliaia 47 2 6" xfId="19266" xr:uid="{00000000-0005-0000-0000-00007DBF0000}"/>
    <cellStyle name="Migliaia 47 2 7" xfId="34261" xr:uid="{00000000-0005-0000-0000-00007EBF0000}"/>
    <cellStyle name="Migliaia 47 2 8" xfId="49201" xr:uid="{00000000-0005-0000-0000-00007FBF0000}"/>
    <cellStyle name="Migliaia 47 2 9" xfId="49606" xr:uid="{00000000-0005-0000-0000-000080BF0000}"/>
    <cellStyle name="Migliaia 47 3" xfId="451" xr:uid="{00000000-0005-0000-0000-000081BF0000}"/>
    <cellStyle name="Migliaia 47 3 10" xfId="50013" xr:uid="{00000000-0005-0000-0000-000082BF0000}"/>
    <cellStyle name="Migliaia 47 3 11" xfId="50421" xr:uid="{00000000-0005-0000-0000-000083BF0000}"/>
    <cellStyle name="Migliaia 47 3 12" xfId="50863" xr:uid="{00000000-0005-0000-0000-000084BF0000}"/>
    <cellStyle name="Migliaia 47 3 13" xfId="51582" xr:uid="{00000000-0005-0000-0000-000085BF0000}"/>
    <cellStyle name="Migliaia 47 3 14" xfId="51994" xr:uid="{00000000-0005-0000-0000-000086BF0000}"/>
    <cellStyle name="Migliaia 47 3 15" xfId="52569" xr:uid="{00000000-0005-0000-0000-000087BF0000}"/>
    <cellStyle name="Migliaia 47 3 2" xfId="452" xr:uid="{00000000-0005-0000-0000-000088BF0000}"/>
    <cellStyle name="Migliaia 47 3 2 10" xfId="50422" xr:uid="{00000000-0005-0000-0000-000089BF0000}"/>
    <cellStyle name="Migliaia 47 3 2 11" xfId="50864" xr:uid="{00000000-0005-0000-0000-00008ABF0000}"/>
    <cellStyle name="Migliaia 47 3 2 12" xfId="51583" xr:uid="{00000000-0005-0000-0000-00008BBF0000}"/>
    <cellStyle name="Migliaia 47 3 2 13" xfId="51995" xr:uid="{00000000-0005-0000-0000-00008CBF0000}"/>
    <cellStyle name="Migliaia 47 3 2 14" xfId="52570" xr:uid="{00000000-0005-0000-0000-00008DBF0000}"/>
    <cellStyle name="Migliaia 47 3 2 2" xfId="9361" xr:uid="{00000000-0005-0000-0000-00008EBF0000}"/>
    <cellStyle name="Migliaia 47 3 2 2 2" xfId="54964" xr:uid="{00000000-0005-0000-0000-00008FBF0000}"/>
    <cellStyle name="Migliaia 47 3 2 3" xfId="9962" xr:uid="{00000000-0005-0000-0000-000090BF0000}"/>
    <cellStyle name="Migliaia 47 3 2 3 2" xfId="26287" xr:uid="{00000000-0005-0000-0000-000091BF0000}"/>
    <cellStyle name="Migliaia 47 3 2 3 3" xfId="41265" xr:uid="{00000000-0005-0000-0000-000092BF0000}"/>
    <cellStyle name="Migliaia 47 3 2 3 4" xfId="55852" xr:uid="{00000000-0005-0000-0000-000093BF0000}"/>
    <cellStyle name="Migliaia 47 3 2 4" xfId="17331" xr:uid="{00000000-0005-0000-0000-000094BF0000}"/>
    <cellStyle name="Migliaia 47 3 2 4 2" xfId="33446" xr:uid="{00000000-0005-0000-0000-000095BF0000}"/>
    <cellStyle name="Migliaia 47 3 2 4 3" xfId="48407" xr:uid="{00000000-0005-0000-0000-000096BF0000}"/>
    <cellStyle name="Migliaia 47 3 2 5" xfId="19268" xr:uid="{00000000-0005-0000-0000-000097BF0000}"/>
    <cellStyle name="Migliaia 47 3 2 6" xfId="34263" xr:uid="{00000000-0005-0000-0000-000098BF0000}"/>
    <cellStyle name="Migliaia 47 3 2 7" xfId="49203" xr:uid="{00000000-0005-0000-0000-000099BF0000}"/>
    <cellStyle name="Migliaia 47 3 2 8" xfId="49608" xr:uid="{00000000-0005-0000-0000-00009ABF0000}"/>
    <cellStyle name="Migliaia 47 3 2 9" xfId="50014" xr:uid="{00000000-0005-0000-0000-00009BBF0000}"/>
    <cellStyle name="Migliaia 47 3 3" xfId="9360" xr:uid="{00000000-0005-0000-0000-00009CBF0000}"/>
    <cellStyle name="Migliaia 47 3 3 2" xfId="18407" xr:uid="{00000000-0005-0000-0000-00009DBF0000}"/>
    <cellStyle name="Migliaia 47 3 3 2 2" xfId="33874" xr:uid="{00000000-0005-0000-0000-00009EBF0000}"/>
    <cellStyle name="Migliaia 47 3 3 2 2 2" xfId="55358" xr:uid="{00000000-0005-0000-0000-00009FBF0000}"/>
    <cellStyle name="Migliaia 47 3 3 2 3" xfId="48835" xr:uid="{00000000-0005-0000-0000-0000A0BF0000}"/>
    <cellStyle name="Migliaia 47 3 3 2 3 2" xfId="56280" xr:uid="{00000000-0005-0000-0000-0000A1BF0000}"/>
    <cellStyle name="Migliaia 47 3 3 2 4" xfId="53003" xr:uid="{00000000-0005-0000-0000-0000A2BF0000}"/>
    <cellStyle name="Migliaia 47 3 3 3" xfId="17332" xr:uid="{00000000-0005-0000-0000-0000A3BF0000}"/>
    <cellStyle name="Migliaia 47 3 3 3 2" xfId="33447" xr:uid="{00000000-0005-0000-0000-0000A4BF0000}"/>
    <cellStyle name="Migliaia 47 3 3 3 3" xfId="48408" xr:uid="{00000000-0005-0000-0000-0000A5BF0000}"/>
    <cellStyle name="Migliaia 47 3 3 3 4" xfId="54965" xr:uid="{00000000-0005-0000-0000-0000A6BF0000}"/>
    <cellStyle name="Migliaia 47 3 3 4" xfId="55853" xr:uid="{00000000-0005-0000-0000-0000A7BF0000}"/>
    <cellStyle name="Migliaia 47 3 3 5" xfId="52571" xr:uid="{00000000-0005-0000-0000-0000A8BF0000}"/>
    <cellStyle name="Migliaia 47 3 4" xfId="9961" xr:uid="{00000000-0005-0000-0000-0000A9BF0000}"/>
    <cellStyle name="Migliaia 47 3 4 2" xfId="18406" xr:uid="{00000000-0005-0000-0000-0000AABF0000}"/>
    <cellStyle name="Migliaia 47 3 4 2 2" xfId="33873" xr:uid="{00000000-0005-0000-0000-0000ABBF0000}"/>
    <cellStyle name="Migliaia 47 3 4 2 3" xfId="48834" xr:uid="{00000000-0005-0000-0000-0000ACBF0000}"/>
    <cellStyle name="Migliaia 47 3 4 2 4" xfId="55357" xr:uid="{00000000-0005-0000-0000-0000ADBF0000}"/>
    <cellStyle name="Migliaia 47 3 4 3" xfId="26286" xr:uid="{00000000-0005-0000-0000-0000AEBF0000}"/>
    <cellStyle name="Migliaia 47 3 4 3 2" xfId="56279" xr:uid="{00000000-0005-0000-0000-0000AFBF0000}"/>
    <cellStyle name="Migliaia 47 3 4 4" xfId="41264" xr:uid="{00000000-0005-0000-0000-0000B0BF0000}"/>
    <cellStyle name="Migliaia 47 3 4 5" xfId="53002" xr:uid="{00000000-0005-0000-0000-0000B1BF0000}"/>
    <cellStyle name="Migliaia 47 3 5" xfId="17330" xr:uid="{00000000-0005-0000-0000-0000B2BF0000}"/>
    <cellStyle name="Migliaia 47 3 5 2" xfId="33445" xr:uid="{00000000-0005-0000-0000-0000B3BF0000}"/>
    <cellStyle name="Migliaia 47 3 5 3" xfId="48406" xr:uid="{00000000-0005-0000-0000-0000B4BF0000}"/>
    <cellStyle name="Migliaia 47 3 5 4" xfId="54963" xr:uid="{00000000-0005-0000-0000-0000B5BF0000}"/>
    <cellStyle name="Migliaia 47 3 6" xfId="19267" xr:uid="{00000000-0005-0000-0000-0000B6BF0000}"/>
    <cellStyle name="Migliaia 47 3 6 2" xfId="55851" xr:uid="{00000000-0005-0000-0000-0000B7BF0000}"/>
    <cellStyle name="Migliaia 47 3 7" xfId="34262" xr:uid="{00000000-0005-0000-0000-0000B8BF0000}"/>
    <cellStyle name="Migliaia 47 3 8" xfId="49202" xr:uid="{00000000-0005-0000-0000-0000B9BF0000}"/>
    <cellStyle name="Migliaia 47 3 9" xfId="49607" xr:uid="{00000000-0005-0000-0000-0000BABF0000}"/>
    <cellStyle name="Migliaia 47 4" xfId="9362" xr:uid="{00000000-0005-0000-0000-0000BBBF0000}"/>
    <cellStyle name="Migliaia 47 4 2" xfId="17334" xr:uid="{00000000-0005-0000-0000-0000BCBF0000}"/>
    <cellStyle name="Migliaia 47 4 2 2" xfId="18409" xr:uid="{00000000-0005-0000-0000-0000BDBF0000}"/>
    <cellStyle name="Migliaia 47 4 2 2 2" xfId="33876" xr:uid="{00000000-0005-0000-0000-0000BEBF0000}"/>
    <cellStyle name="Migliaia 47 4 2 2 2 2" xfId="55360" xr:uid="{00000000-0005-0000-0000-0000BFBF0000}"/>
    <cellStyle name="Migliaia 47 4 2 2 3" xfId="48837" xr:uid="{00000000-0005-0000-0000-0000C0BF0000}"/>
    <cellStyle name="Migliaia 47 4 2 2 3 2" xfId="56282" xr:uid="{00000000-0005-0000-0000-0000C1BF0000}"/>
    <cellStyle name="Migliaia 47 4 2 2 4" xfId="53005" xr:uid="{00000000-0005-0000-0000-0000C2BF0000}"/>
    <cellStyle name="Migliaia 47 4 2 3" xfId="33449" xr:uid="{00000000-0005-0000-0000-0000C3BF0000}"/>
    <cellStyle name="Migliaia 47 4 2 3 2" xfId="54967" xr:uid="{00000000-0005-0000-0000-0000C4BF0000}"/>
    <cellStyle name="Migliaia 47 4 2 4" xfId="48410" xr:uid="{00000000-0005-0000-0000-0000C5BF0000}"/>
    <cellStyle name="Migliaia 47 4 2 4 2" xfId="55855" xr:uid="{00000000-0005-0000-0000-0000C6BF0000}"/>
    <cellStyle name="Migliaia 47 4 2 5" xfId="52573" xr:uid="{00000000-0005-0000-0000-0000C7BF0000}"/>
    <cellStyle name="Migliaia 47 4 3" xfId="18408" xr:uid="{00000000-0005-0000-0000-0000C8BF0000}"/>
    <cellStyle name="Migliaia 47 4 3 2" xfId="33875" xr:uid="{00000000-0005-0000-0000-0000C9BF0000}"/>
    <cellStyle name="Migliaia 47 4 3 2 2" xfId="55359" xr:uid="{00000000-0005-0000-0000-0000CABF0000}"/>
    <cellStyle name="Migliaia 47 4 3 3" xfId="48836" xr:uid="{00000000-0005-0000-0000-0000CBBF0000}"/>
    <cellStyle name="Migliaia 47 4 3 3 2" xfId="56281" xr:uid="{00000000-0005-0000-0000-0000CCBF0000}"/>
    <cellStyle name="Migliaia 47 4 3 4" xfId="53004" xr:uid="{00000000-0005-0000-0000-0000CDBF0000}"/>
    <cellStyle name="Migliaia 47 4 4" xfId="17333" xr:uid="{00000000-0005-0000-0000-0000CEBF0000}"/>
    <cellStyle name="Migliaia 47 4 4 2" xfId="33448" xr:uid="{00000000-0005-0000-0000-0000CFBF0000}"/>
    <cellStyle name="Migliaia 47 4 4 3" xfId="48409" xr:uid="{00000000-0005-0000-0000-0000D0BF0000}"/>
    <cellStyle name="Migliaia 47 4 4 4" xfId="54966" xr:uid="{00000000-0005-0000-0000-0000D1BF0000}"/>
    <cellStyle name="Migliaia 47 4 5" xfId="50965" xr:uid="{00000000-0005-0000-0000-0000D2BF0000}"/>
    <cellStyle name="Migliaia 47 4 5 2" xfId="55854" xr:uid="{00000000-0005-0000-0000-0000D3BF0000}"/>
    <cellStyle name="Migliaia 47 4 6" xfId="52572" xr:uid="{00000000-0005-0000-0000-0000D4BF0000}"/>
    <cellStyle name="Migliaia 47 5" xfId="9363" xr:uid="{00000000-0005-0000-0000-0000D5BF0000}"/>
    <cellStyle name="Migliaia 47 5 2" xfId="17335" xr:uid="{00000000-0005-0000-0000-0000D6BF0000}"/>
    <cellStyle name="Migliaia 47 5 2 2" xfId="33450" xr:uid="{00000000-0005-0000-0000-0000D7BF0000}"/>
    <cellStyle name="Migliaia 47 5 2 3" xfId="48411" xr:uid="{00000000-0005-0000-0000-0000D8BF0000}"/>
    <cellStyle name="Migliaia 47 5 2 4" xfId="54968" xr:uid="{00000000-0005-0000-0000-0000D9BF0000}"/>
    <cellStyle name="Migliaia 47 5 3" xfId="51288" xr:uid="{00000000-0005-0000-0000-0000DABF0000}"/>
    <cellStyle name="Migliaia 47 5 3 2" xfId="55856" xr:uid="{00000000-0005-0000-0000-0000DBBF0000}"/>
    <cellStyle name="Migliaia 47 5 4" xfId="52574" xr:uid="{00000000-0005-0000-0000-0000DCBF0000}"/>
    <cellStyle name="Migliaia 47 6" xfId="9358" xr:uid="{00000000-0005-0000-0000-0000DDBF0000}"/>
    <cellStyle name="Migliaia 47 6 2" xfId="51218" xr:uid="{00000000-0005-0000-0000-0000DEBF0000}"/>
    <cellStyle name="Migliaia 47 6 3" xfId="54626" xr:uid="{00000000-0005-0000-0000-0000DFBF0000}"/>
    <cellStyle name="Migliaia 47 7" xfId="9959" xr:uid="{00000000-0005-0000-0000-0000E0BF0000}"/>
    <cellStyle name="Migliaia 47 7 2" xfId="26284" xr:uid="{00000000-0005-0000-0000-0000E1BF0000}"/>
    <cellStyle name="Migliaia 47 7 3" xfId="41262" xr:uid="{00000000-0005-0000-0000-0000E2BF0000}"/>
    <cellStyle name="Migliaia 47 7 4" xfId="55849" xr:uid="{00000000-0005-0000-0000-0000E3BF0000}"/>
    <cellStyle name="Migliaia 47 8" xfId="17328" xr:uid="{00000000-0005-0000-0000-0000E4BF0000}"/>
    <cellStyle name="Migliaia 47 8 2" xfId="33443" xr:uid="{00000000-0005-0000-0000-0000E5BF0000}"/>
    <cellStyle name="Migliaia 47 8 3" xfId="48404" xr:uid="{00000000-0005-0000-0000-0000E6BF0000}"/>
    <cellStyle name="Migliaia 47 9" xfId="19265" xr:uid="{00000000-0005-0000-0000-0000E7BF0000}"/>
    <cellStyle name="Migliaia 48" xfId="453" xr:uid="{00000000-0005-0000-0000-0000E8BF0000}"/>
    <cellStyle name="Migliaia 48 10" xfId="34264" xr:uid="{00000000-0005-0000-0000-0000E9BF0000}"/>
    <cellStyle name="Migliaia 48 11" xfId="49204" xr:uid="{00000000-0005-0000-0000-0000EABF0000}"/>
    <cellStyle name="Migliaia 48 12" xfId="49609" xr:uid="{00000000-0005-0000-0000-0000EBBF0000}"/>
    <cellStyle name="Migliaia 48 13" xfId="50015" xr:uid="{00000000-0005-0000-0000-0000ECBF0000}"/>
    <cellStyle name="Migliaia 48 14" xfId="50423" xr:uid="{00000000-0005-0000-0000-0000EDBF0000}"/>
    <cellStyle name="Migliaia 48 15" xfId="50865" xr:uid="{00000000-0005-0000-0000-0000EEBF0000}"/>
    <cellStyle name="Migliaia 48 16" xfId="51584" xr:uid="{00000000-0005-0000-0000-0000EFBF0000}"/>
    <cellStyle name="Migliaia 48 17" xfId="51996" xr:uid="{00000000-0005-0000-0000-0000F0BF0000}"/>
    <cellStyle name="Migliaia 48 18" xfId="52575" xr:uid="{00000000-0005-0000-0000-0000F1BF0000}"/>
    <cellStyle name="Migliaia 48 2" xfId="454" xr:uid="{00000000-0005-0000-0000-0000F2BF0000}"/>
    <cellStyle name="Migliaia 48 2 10" xfId="50016" xr:uid="{00000000-0005-0000-0000-0000F3BF0000}"/>
    <cellStyle name="Migliaia 48 2 11" xfId="50424" xr:uid="{00000000-0005-0000-0000-0000F4BF0000}"/>
    <cellStyle name="Migliaia 48 2 12" xfId="50866" xr:uid="{00000000-0005-0000-0000-0000F5BF0000}"/>
    <cellStyle name="Migliaia 48 2 13" xfId="51585" xr:uid="{00000000-0005-0000-0000-0000F6BF0000}"/>
    <cellStyle name="Migliaia 48 2 14" xfId="51997" xr:uid="{00000000-0005-0000-0000-0000F7BF0000}"/>
    <cellStyle name="Migliaia 48 2 15" xfId="52576" xr:uid="{00000000-0005-0000-0000-0000F8BF0000}"/>
    <cellStyle name="Migliaia 48 2 2" xfId="1286" xr:uid="{00000000-0005-0000-0000-0000F9BF0000}"/>
    <cellStyle name="Migliaia 48 2 2 10" xfId="51138" xr:uid="{00000000-0005-0000-0000-0000FABF0000}"/>
    <cellStyle name="Migliaia 48 2 2 11" xfId="51734" xr:uid="{00000000-0005-0000-0000-0000FBBF0000}"/>
    <cellStyle name="Migliaia 48 2 2 12" xfId="52154" xr:uid="{00000000-0005-0000-0000-0000FCBF0000}"/>
    <cellStyle name="Migliaia 48 2 2 13" xfId="53006" xr:uid="{00000000-0005-0000-0000-0000FDBF0000}"/>
    <cellStyle name="Migliaia 48 2 2 2" xfId="10113" xr:uid="{00000000-0005-0000-0000-0000FEBF0000}"/>
    <cellStyle name="Migliaia 48 2 2 2 2" xfId="26433" xr:uid="{00000000-0005-0000-0000-0000FFBF0000}"/>
    <cellStyle name="Migliaia 48 2 2 2 3" xfId="41401" xr:uid="{00000000-0005-0000-0000-000000C00000}"/>
    <cellStyle name="Migliaia 48 2 2 2 4" xfId="55361" xr:uid="{00000000-0005-0000-0000-000001C00000}"/>
    <cellStyle name="Migliaia 48 2 2 3" xfId="18410" xr:uid="{00000000-0005-0000-0000-000002C00000}"/>
    <cellStyle name="Migliaia 48 2 2 3 2" xfId="33877" xr:uid="{00000000-0005-0000-0000-000003C00000}"/>
    <cellStyle name="Migliaia 48 2 2 3 3" xfId="48838" xr:uid="{00000000-0005-0000-0000-000004C00000}"/>
    <cellStyle name="Migliaia 48 2 2 3 4" xfId="56283" xr:uid="{00000000-0005-0000-0000-000005C00000}"/>
    <cellStyle name="Migliaia 48 2 2 4" xfId="19412" xr:uid="{00000000-0005-0000-0000-000006C00000}"/>
    <cellStyle name="Migliaia 48 2 2 5" xfId="34402" xr:uid="{00000000-0005-0000-0000-000007C00000}"/>
    <cellStyle name="Migliaia 48 2 2 6" xfId="49354" xr:uid="{00000000-0005-0000-0000-000008C00000}"/>
    <cellStyle name="Migliaia 48 2 2 7" xfId="49759" xr:uid="{00000000-0005-0000-0000-000009C00000}"/>
    <cellStyle name="Migliaia 48 2 2 8" xfId="50168" xr:uid="{00000000-0005-0000-0000-00000AC00000}"/>
    <cellStyle name="Migliaia 48 2 2 9" xfId="50573" xr:uid="{00000000-0005-0000-0000-00000BC00000}"/>
    <cellStyle name="Migliaia 48 2 3" xfId="9365" xr:uid="{00000000-0005-0000-0000-00000CC00000}"/>
    <cellStyle name="Migliaia 48 2 3 2" xfId="54691" xr:uid="{00000000-0005-0000-0000-00000DC00000}"/>
    <cellStyle name="Migliaia 48 2 4" xfId="9964" xr:uid="{00000000-0005-0000-0000-00000EC00000}"/>
    <cellStyle name="Migliaia 48 2 4 2" xfId="26289" xr:uid="{00000000-0005-0000-0000-00000FC00000}"/>
    <cellStyle name="Migliaia 48 2 4 3" xfId="41267" xr:uid="{00000000-0005-0000-0000-000010C00000}"/>
    <cellStyle name="Migliaia 48 2 4 4" xfId="55858" xr:uid="{00000000-0005-0000-0000-000011C00000}"/>
    <cellStyle name="Migliaia 48 2 5" xfId="17337" xr:uid="{00000000-0005-0000-0000-000012C00000}"/>
    <cellStyle name="Migliaia 48 2 5 2" xfId="33452" xr:uid="{00000000-0005-0000-0000-000013C00000}"/>
    <cellStyle name="Migliaia 48 2 5 3" xfId="48413" xr:uid="{00000000-0005-0000-0000-000014C00000}"/>
    <cellStyle name="Migliaia 48 2 6" xfId="19270" xr:uid="{00000000-0005-0000-0000-000015C00000}"/>
    <cellStyle name="Migliaia 48 2 7" xfId="34265" xr:uid="{00000000-0005-0000-0000-000016C00000}"/>
    <cellStyle name="Migliaia 48 2 8" xfId="49205" xr:uid="{00000000-0005-0000-0000-000017C00000}"/>
    <cellStyle name="Migliaia 48 2 9" xfId="49610" xr:uid="{00000000-0005-0000-0000-000018C00000}"/>
    <cellStyle name="Migliaia 48 3" xfId="455" xr:uid="{00000000-0005-0000-0000-000019C00000}"/>
    <cellStyle name="Migliaia 48 3 10" xfId="50017" xr:uid="{00000000-0005-0000-0000-00001AC00000}"/>
    <cellStyle name="Migliaia 48 3 11" xfId="50425" xr:uid="{00000000-0005-0000-0000-00001BC00000}"/>
    <cellStyle name="Migliaia 48 3 12" xfId="50867" xr:uid="{00000000-0005-0000-0000-00001CC00000}"/>
    <cellStyle name="Migliaia 48 3 13" xfId="51586" xr:uid="{00000000-0005-0000-0000-00001DC00000}"/>
    <cellStyle name="Migliaia 48 3 14" xfId="51998" xr:uid="{00000000-0005-0000-0000-00001EC00000}"/>
    <cellStyle name="Migliaia 48 3 15" xfId="52577" xr:uid="{00000000-0005-0000-0000-00001FC00000}"/>
    <cellStyle name="Migliaia 48 3 2" xfId="456" xr:uid="{00000000-0005-0000-0000-000020C00000}"/>
    <cellStyle name="Migliaia 48 3 2 10" xfId="50426" xr:uid="{00000000-0005-0000-0000-000021C00000}"/>
    <cellStyle name="Migliaia 48 3 2 11" xfId="50868" xr:uid="{00000000-0005-0000-0000-000022C00000}"/>
    <cellStyle name="Migliaia 48 3 2 12" xfId="51587" xr:uid="{00000000-0005-0000-0000-000023C00000}"/>
    <cellStyle name="Migliaia 48 3 2 13" xfId="51999" xr:uid="{00000000-0005-0000-0000-000024C00000}"/>
    <cellStyle name="Migliaia 48 3 2 14" xfId="52578" xr:uid="{00000000-0005-0000-0000-000025C00000}"/>
    <cellStyle name="Migliaia 48 3 2 2" xfId="9367" xr:uid="{00000000-0005-0000-0000-000026C00000}"/>
    <cellStyle name="Migliaia 48 3 2 2 2" xfId="54970" xr:uid="{00000000-0005-0000-0000-000027C00000}"/>
    <cellStyle name="Migliaia 48 3 2 3" xfId="9966" xr:uid="{00000000-0005-0000-0000-000028C00000}"/>
    <cellStyle name="Migliaia 48 3 2 3 2" xfId="26291" xr:uid="{00000000-0005-0000-0000-000029C00000}"/>
    <cellStyle name="Migliaia 48 3 2 3 3" xfId="41269" xr:uid="{00000000-0005-0000-0000-00002AC00000}"/>
    <cellStyle name="Migliaia 48 3 2 3 4" xfId="55860" xr:uid="{00000000-0005-0000-0000-00002BC00000}"/>
    <cellStyle name="Migliaia 48 3 2 4" xfId="17339" xr:uid="{00000000-0005-0000-0000-00002CC00000}"/>
    <cellStyle name="Migliaia 48 3 2 4 2" xfId="33454" xr:uid="{00000000-0005-0000-0000-00002DC00000}"/>
    <cellStyle name="Migliaia 48 3 2 4 3" xfId="48415" xr:uid="{00000000-0005-0000-0000-00002EC00000}"/>
    <cellStyle name="Migliaia 48 3 2 5" xfId="19272" xr:uid="{00000000-0005-0000-0000-00002FC00000}"/>
    <cellStyle name="Migliaia 48 3 2 6" xfId="34267" xr:uid="{00000000-0005-0000-0000-000030C00000}"/>
    <cellStyle name="Migliaia 48 3 2 7" xfId="49207" xr:uid="{00000000-0005-0000-0000-000031C00000}"/>
    <cellStyle name="Migliaia 48 3 2 8" xfId="49612" xr:uid="{00000000-0005-0000-0000-000032C00000}"/>
    <cellStyle name="Migliaia 48 3 2 9" xfId="50018" xr:uid="{00000000-0005-0000-0000-000033C00000}"/>
    <cellStyle name="Migliaia 48 3 3" xfId="9366" xr:uid="{00000000-0005-0000-0000-000034C00000}"/>
    <cellStyle name="Migliaia 48 3 3 2" xfId="18412" xr:uid="{00000000-0005-0000-0000-000035C00000}"/>
    <cellStyle name="Migliaia 48 3 3 2 2" xfId="33879" xr:uid="{00000000-0005-0000-0000-000036C00000}"/>
    <cellStyle name="Migliaia 48 3 3 2 2 2" xfId="55363" xr:uid="{00000000-0005-0000-0000-000037C00000}"/>
    <cellStyle name="Migliaia 48 3 3 2 3" xfId="48840" xr:uid="{00000000-0005-0000-0000-000038C00000}"/>
    <cellStyle name="Migliaia 48 3 3 2 3 2" xfId="56285" xr:uid="{00000000-0005-0000-0000-000039C00000}"/>
    <cellStyle name="Migliaia 48 3 3 2 4" xfId="53008" xr:uid="{00000000-0005-0000-0000-00003AC00000}"/>
    <cellStyle name="Migliaia 48 3 3 3" xfId="17340" xr:uid="{00000000-0005-0000-0000-00003BC00000}"/>
    <cellStyle name="Migliaia 48 3 3 3 2" xfId="33455" xr:uid="{00000000-0005-0000-0000-00003CC00000}"/>
    <cellStyle name="Migliaia 48 3 3 3 3" xfId="48416" xr:uid="{00000000-0005-0000-0000-00003DC00000}"/>
    <cellStyle name="Migliaia 48 3 3 3 4" xfId="54971" xr:uid="{00000000-0005-0000-0000-00003EC00000}"/>
    <cellStyle name="Migliaia 48 3 3 4" xfId="55861" xr:uid="{00000000-0005-0000-0000-00003FC00000}"/>
    <cellStyle name="Migliaia 48 3 3 5" xfId="52579" xr:uid="{00000000-0005-0000-0000-000040C00000}"/>
    <cellStyle name="Migliaia 48 3 4" xfId="9965" xr:uid="{00000000-0005-0000-0000-000041C00000}"/>
    <cellStyle name="Migliaia 48 3 4 2" xfId="18411" xr:uid="{00000000-0005-0000-0000-000042C00000}"/>
    <cellStyle name="Migliaia 48 3 4 2 2" xfId="33878" xr:uid="{00000000-0005-0000-0000-000043C00000}"/>
    <cellStyle name="Migliaia 48 3 4 2 3" xfId="48839" xr:uid="{00000000-0005-0000-0000-000044C00000}"/>
    <cellStyle name="Migliaia 48 3 4 2 4" xfId="55362" xr:uid="{00000000-0005-0000-0000-000045C00000}"/>
    <cellStyle name="Migliaia 48 3 4 3" xfId="26290" xr:uid="{00000000-0005-0000-0000-000046C00000}"/>
    <cellStyle name="Migliaia 48 3 4 3 2" xfId="56284" xr:uid="{00000000-0005-0000-0000-000047C00000}"/>
    <cellStyle name="Migliaia 48 3 4 4" xfId="41268" xr:uid="{00000000-0005-0000-0000-000048C00000}"/>
    <cellStyle name="Migliaia 48 3 4 5" xfId="53007" xr:uid="{00000000-0005-0000-0000-000049C00000}"/>
    <cellStyle name="Migliaia 48 3 5" xfId="17338" xr:uid="{00000000-0005-0000-0000-00004AC00000}"/>
    <cellStyle name="Migliaia 48 3 5 2" xfId="33453" xr:uid="{00000000-0005-0000-0000-00004BC00000}"/>
    <cellStyle name="Migliaia 48 3 5 3" xfId="48414" xr:uid="{00000000-0005-0000-0000-00004CC00000}"/>
    <cellStyle name="Migliaia 48 3 5 4" xfId="54969" xr:uid="{00000000-0005-0000-0000-00004DC00000}"/>
    <cellStyle name="Migliaia 48 3 6" xfId="19271" xr:uid="{00000000-0005-0000-0000-00004EC00000}"/>
    <cellStyle name="Migliaia 48 3 6 2" xfId="55859" xr:uid="{00000000-0005-0000-0000-00004FC00000}"/>
    <cellStyle name="Migliaia 48 3 7" xfId="34266" xr:uid="{00000000-0005-0000-0000-000050C00000}"/>
    <cellStyle name="Migliaia 48 3 8" xfId="49206" xr:uid="{00000000-0005-0000-0000-000051C00000}"/>
    <cellStyle name="Migliaia 48 3 9" xfId="49611" xr:uid="{00000000-0005-0000-0000-000052C00000}"/>
    <cellStyle name="Migliaia 48 4" xfId="9368" xr:uid="{00000000-0005-0000-0000-000053C00000}"/>
    <cellStyle name="Migliaia 48 4 2" xfId="17342" xr:uid="{00000000-0005-0000-0000-000054C00000}"/>
    <cellStyle name="Migliaia 48 4 2 2" xfId="18414" xr:uid="{00000000-0005-0000-0000-000055C00000}"/>
    <cellStyle name="Migliaia 48 4 2 2 2" xfId="33881" xr:uid="{00000000-0005-0000-0000-000056C00000}"/>
    <cellStyle name="Migliaia 48 4 2 2 2 2" xfId="55365" xr:uid="{00000000-0005-0000-0000-000057C00000}"/>
    <cellStyle name="Migliaia 48 4 2 2 3" xfId="48842" xr:uid="{00000000-0005-0000-0000-000058C00000}"/>
    <cellStyle name="Migliaia 48 4 2 2 3 2" xfId="56287" xr:uid="{00000000-0005-0000-0000-000059C00000}"/>
    <cellStyle name="Migliaia 48 4 2 2 4" xfId="53010" xr:uid="{00000000-0005-0000-0000-00005AC00000}"/>
    <cellStyle name="Migliaia 48 4 2 3" xfId="33457" xr:uid="{00000000-0005-0000-0000-00005BC00000}"/>
    <cellStyle name="Migliaia 48 4 2 3 2" xfId="54973" xr:uid="{00000000-0005-0000-0000-00005CC00000}"/>
    <cellStyle name="Migliaia 48 4 2 4" xfId="48418" xr:uid="{00000000-0005-0000-0000-00005DC00000}"/>
    <cellStyle name="Migliaia 48 4 2 4 2" xfId="55863" xr:uid="{00000000-0005-0000-0000-00005EC00000}"/>
    <cellStyle name="Migliaia 48 4 2 5" xfId="52581" xr:uid="{00000000-0005-0000-0000-00005FC00000}"/>
    <cellStyle name="Migliaia 48 4 3" xfId="18413" xr:uid="{00000000-0005-0000-0000-000060C00000}"/>
    <cellStyle name="Migliaia 48 4 3 2" xfId="33880" xr:uid="{00000000-0005-0000-0000-000061C00000}"/>
    <cellStyle name="Migliaia 48 4 3 2 2" xfId="55364" xr:uid="{00000000-0005-0000-0000-000062C00000}"/>
    <cellStyle name="Migliaia 48 4 3 3" xfId="48841" xr:uid="{00000000-0005-0000-0000-000063C00000}"/>
    <cellStyle name="Migliaia 48 4 3 3 2" xfId="56286" xr:uid="{00000000-0005-0000-0000-000064C00000}"/>
    <cellStyle name="Migliaia 48 4 3 4" xfId="53009" xr:uid="{00000000-0005-0000-0000-000065C00000}"/>
    <cellStyle name="Migliaia 48 4 4" xfId="17341" xr:uid="{00000000-0005-0000-0000-000066C00000}"/>
    <cellStyle name="Migliaia 48 4 4 2" xfId="33456" xr:uid="{00000000-0005-0000-0000-000067C00000}"/>
    <cellStyle name="Migliaia 48 4 4 3" xfId="48417" xr:uid="{00000000-0005-0000-0000-000068C00000}"/>
    <cellStyle name="Migliaia 48 4 4 4" xfId="54972" xr:uid="{00000000-0005-0000-0000-000069C00000}"/>
    <cellStyle name="Migliaia 48 4 5" xfId="51031" xr:uid="{00000000-0005-0000-0000-00006AC00000}"/>
    <cellStyle name="Migliaia 48 4 5 2" xfId="55862" xr:uid="{00000000-0005-0000-0000-00006BC00000}"/>
    <cellStyle name="Migliaia 48 4 6" xfId="52580" xr:uid="{00000000-0005-0000-0000-00006CC00000}"/>
    <cellStyle name="Migliaia 48 5" xfId="9369" xr:uid="{00000000-0005-0000-0000-00006DC00000}"/>
    <cellStyle name="Migliaia 48 5 2" xfId="17343" xr:uid="{00000000-0005-0000-0000-00006EC00000}"/>
    <cellStyle name="Migliaia 48 5 2 2" xfId="33458" xr:uid="{00000000-0005-0000-0000-00006FC00000}"/>
    <cellStyle name="Migliaia 48 5 2 3" xfId="48419" xr:uid="{00000000-0005-0000-0000-000070C00000}"/>
    <cellStyle name="Migliaia 48 5 2 4" xfId="54974" xr:uid="{00000000-0005-0000-0000-000071C00000}"/>
    <cellStyle name="Migliaia 48 5 3" xfId="50964" xr:uid="{00000000-0005-0000-0000-000072C00000}"/>
    <cellStyle name="Migliaia 48 5 3 2" xfId="55864" xr:uid="{00000000-0005-0000-0000-000073C00000}"/>
    <cellStyle name="Migliaia 48 5 4" xfId="52582" xr:uid="{00000000-0005-0000-0000-000074C00000}"/>
    <cellStyle name="Migliaia 48 6" xfId="9364" xr:uid="{00000000-0005-0000-0000-000075C00000}"/>
    <cellStyle name="Migliaia 48 6 2" xfId="51180" xr:uid="{00000000-0005-0000-0000-000076C00000}"/>
    <cellStyle name="Migliaia 48 6 3" xfId="54627" xr:uid="{00000000-0005-0000-0000-000077C00000}"/>
    <cellStyle name="Migliaia 48 7" xfId="9963" xr:uid="{00000000-0005-0000-0000-000078C00000}"/>
    <cellStyle name="Migliaia 48 7 2" xfId="26288" xr:uid="{00000000-0005-0000-0000-000079C00000}"/>
    <cellStyle name="Migliaia 48 7 3" xfId="41266" xr:uid="{00000000-0005-0000-0000-00007AC00000}"/>
    <cellStyle name="Migliaia 48 7 4" xfId="55857" xr:uid="{00000000-0005-0000-0000-00007BC00000}"/>
    <cellStyle name="Migliaia 48 8" xfId="17336" xr:uid="{00000000-0005-0000-0000-00007CC00000}"/>
    <cellStyle name="Migliaia 48 8 2" xfId="33451" xr:uid="{00000000-0005-0000-0000-00007DC00000}"/>
    <cellStyle name="Migliaia 48 8 3" xfId="48412" xr:uid="{00000000-0005-0000-0000-00007EC00000}"/>
    <cellStyle name="Migliaia 48 9" xfId="19269" xr:uid="{00000000-0005-0000-0000-00007FC00000}"/>
    <cellStyle name="Migliaia 49" xfId="457" xr:uid="{00000000-0005-0000-0000-000080C00000}"/>
    <cellStyle name="Migliaia 49 10" xfId="34268" xr:uid="{00000000-0005-0000-0000-000081C00000}"/>
    <cellStyle name="Migliaia 49 11" xfId="49208" xr:uid="{00000000-0005-0000-0000-000082C00000}"/>
    <cellStyle name="Migliaia 49 12" xfId="49613" xr:uid="{00000000-0005-0000-0000-000083C00000}"/>
    <cellStyle name="Migliaia 49 13" xfId="50019" xr:uid="{00000000-0005-0000-0000-000084C00000}"/>
    <cellStyle name="Migliaia 49 14" xfId="50427" xr:uid="{00000000-0005-0000-0000-000085C00000}"/>
    <cellStyle name="Migliaia 49 15" xfId="50869" xr:uid="{00000000-0005-0000-0000-000086C00000}"/>
    <cellStyle name="Migliaia 49 16" xfId="51588" xr:uid="{00000000-0005-0000-0000-000087C00000}"/>
    <cellStyle name="Migliaia 49 17" xfId="52000" xr:uid="{00000000-0005-0000-0000-000088C00000}"/>
    <cellStyle name="Migliaia 49 18" xfId="52583" xr:uid="{00000000-0005-0000-0000-000089C00000}"/>
    <cellStyle name="Migliaia 49 2" xfId="458" xr:uid="{00000000-0005-0000-0000-00008AC00000}"/>
    <cellStyle name="Migliaia 49 2 10" xfId="50020" xr:uid="{00000000-0005-0000-0000-00008BC00000}"/>
    <cellStyle name="Migliaia 49 2 11" xfId="50428" xr:uid="{00000000-0005-0000-0000-00008CC00000}"/>
    <cellStyle name="Migliaia 49 2 12" xfId="50870" xr:uid="{00000000-0005-0000-0000-00008DC00000}"/>
    <cellStyle name="Migliaia 49 2 13" xfId="51589" xr:uid="{00000000-0005-0000-0000-00008EC00000}"/>
    <cellStyle name="Migliaia 49 2 14" xfId="52001" xr:uid="{00000000-0005-0000-0000-00008FC00000}"/>
    <cellStyle name="Migliaia 49 2 15" xfId="52584" xr:uid="{00000000-0005-0000-0000-000090C00000}"/>
    <cellStyle name="Migliaia 49 2 2" xfId="1287" xr:uid="{00000000-0005-0000-0000-000091C00000}"/>
    <cellStyle name="Migliaia 49 2 2 10" xfId="51139" xr:uid="{00000000-0005-0000-0000-000092C00000}"/>
    <cellStyle name="Migliaia 49 2 2 11" xfId="51735" xr:uid="{00000000-0005-0000-0000-000093C00000}"/>
    <cellStyle name="Migliaia 49 2 2 12" xfId="52155" xr:uid="{00000000-0005-0000-0000-000094C00000}"/>
    <cellStyle name="Migliaia 49 2 2 13" xfId="53011" xr:uid="{00000000-0005-0000-0000-000095C00000}"/>
    <cellStyle name="Migliaia 49 2 2 2" xfId="10114" xr:uid="{00000000-0005-0000-0000-000096C00000}"/>
    <cellStyle name="Migliaia 49 2 2 2 2" xfId="26434" xr:uid="{00000000-0005-0000-0000-000097C00000}"/>
    <cellStyle name="Migliaia 49 2 2 2 3" xfId="41402" xr:uid="{00000000-0005-0000-0000-000098C00000}"/>
    <cellStyle name="Migliaia 49 2 2 2 4" xfId="55366" xr:uid="{00000000-0005-0000-0000-000099C00000}"/>
    <cellStyle name="Migliaia 49 2 2 3" xfId="18415" xr:uid="{00000000-0005-0000-0000-00009AC00000}"/>
    <cellStyle name="Migliaia 49 2 2 3 2" xfId="33882" xr:uid="{00000000-0005-0000-0000-00009BC00000}"/>
    <cellStyle name="Migliaia 49 2 2 3 3" xfId="48843" xr:uid="{00000000-0005-0000-0000-00009CC00000}"/>
    <cellStyle name="Migliaia 49 2 2 3 4" xfId="56288" xr:uid="{00000000-0005-0000-0000-00009DC00000}"/>
    <cellStyle name="Migliaia 49 2 2 4" xfId="19413" xr:uid="{00000000-0005-0000-0000-00009EC00000}"/>
    <cellStyle name="Migliaia 49 2 2 5" xfId="34403" xr:uid="{00000000-0005-0000-0000-00009FC00000}"/>
    <cellStyle name="Migliaia 49 2 2 6" xfId="49355" xr:uid="{00000000-0005-0000-0000-0000A0C00000}"/>
    <cellStyle name="Migliaia 49 2 2 7" xfId="49760" xr:uid="{00000000-0005-0000-0000-0000A1C00000}"/>
    <cellStyle name="Migliaia 49 2 2 8" xfId="50169" xr:uid="{00000000-0005-0000-0000-0000A2C00000}"/>
    <cellStyle name="Migliaia 49 2 2 9" xfId="50574" xr:uid="{00000000-0005-0000-0000-0000A3C00000}"/>
    <cellStyle name="Migliaia 49 2 3" xfId="9371" xr:uid="{00000000-0005-0000-0000-0000A4C00000}"/>
    <cellStyle name="Migliaia 49 2 3 2" xfId="54692" xr:uid="{00000000-0005-0000-0000-0000A5C00000}"/>
    <cellStyle name="Migliaia 49 2 4" xfId="9968" xr:uid="{00000000-0005-0000-0000-0000A6C00000}"/>
    <cellStyle name="Migliaia 49 2 4 2" xfId="26293" xr:uid="{00000000-0005-0000-0000-0000A7C00000}"/>
    <cellStyle name="Migliaia 49 2 4 3" xfId="41271" xr:uid="{00000000-0005-0000-0000-0000A8C00000}"/>
    <cellStyle name="Migliaia 49 2 4 4" xfId="55866" xr:uid="{00000000-0005-0000-0000-0000A9C00000}"/>
    <cellStyle name="Migliaia 49 2 5" xfId="17345" xr:uid="{00000000-0005-0000-0000-0000AAC00000}"/>
    <cellStyle name="Migliaia 49 2 5 2" xfId="33460" xr:uid="{00000000-0005-0000-0000-0000ABC00000}"/>
    <cellStyle name="Migliaia 49 2 5 3" xfId="48421" xr:uid="{00000000-0005-0000-0000-0000ACC00000}"/>
    <cellStyle name="Migliaia 49 2 6" xfId="19274" xr:uid="{00000000-0005-0000-0000-0000ADC00000}"/>
    <cellStyle name="Migliaia 49 2 7" xfId="34269" xr:uid="{00000000-0005-0000-0000-0000AEC00000}"/>
    <cellStyle name="Migliaia 49 2 8" xfId="49209" xr:uid="{00000000-0005-0000-0000-0000AFC00000}"/>
    <cellStyle name="Migliaia 49 2 9" xfId="49614" xr:uid="{00000000-0005-0000-0000-0000B0C00000}"/>
    <cellStyle name="Migliaia 49 3" xfId="459" xr:uid="{00000000-0005-0000-0000-0000B1C00000}"/>
    <cellStyle name="Migliaia 49 3 10" xfId="50021" xr:uid="{00000000-0005-0000-0000-0000B2C00000}"/>
    <cellStyle name="Migliaia 49 3 11" xfId="50429" xr:uid="{00000000-0005-0000-0000-0000B3C00000}"/>
    <cellStyle name="Migliaia 49 3 12" xfId="50871" xr:uid="{00000000-0005-0000-0000-0000B4C00000}"/>
    <cellStyle name="Migliaia 49 3 13" xfId="51590" xr:uid="{00000000-0005-0000-0000-0000B5C00000}"/>
    <cellStyle name="Migliaia 49 3 14" xfId="52002" xr:uid="{00000000-0005-0000-0000-0000B6C00000}"/>
    <cellStyle name="Migliaia 49 3 15" xfId="52585" xr:uid="{00000000-0005-0000-0000-0000B7C00000}"/>
    <cellStyle name="Migliaia 49 3 2" xfId="460" xr:uid="{00000000-0005-0000-0000-0000B8C00000}"/>
    <cellStyle name="Migliaia 49 3 2 10" xfId="50430" xr:uid="{00000000-0005-0000-0000-0000B9C00000}"/>
    <cellStyle name="Migliaia 49 3 2 11" xfId="50872" xr:uid="{00000000-0005-0000-0000-0000BAC00000}"/>
    <cellStyle name="Migliaia 49 3 2 12" xfId="51591" xr:uid="{00000000-0005-0000-0000-0000BBC00000}"/>
    <cellStyle name="Migliaia 49 3 2 13" xfId="52003" xr:uid="{00000000-0005-0000-0000-0000BCC00000}"/>
    <cellStyle name="Migliaia 49 3 2 14" xfId="52586" xr:uid="{00000000-0005-0000-0000-0000BDC00000}"/>
    <cellStyle name="Migliaia 49 3 2 2" xfId="9373" xr:uid="{00000000-0005-0000-0000-0000BEC00000}"/>
    <cellStyle name="Migliaia 49 3 2 2 2" xfId="54976" xr:uid="{00000000-0005-0000-0000-0000BFC00000}"/>
    <cellStyle name="Migliaia 49 3 2 3" xfId="9970" xr:uid="{00000000-0005-0000-0000-0000C0C00000}"/>
    <cellStyle name="Migliaia 49 3 2 3 2" xfId="26295" xr:uid="{00000000-0005-0000-0000-0000C1C00000}"/>
    <cellStyle name="Migliaia 49 3 2 3 3" xfId="41273" xr:uid="{00000000-0005-0000-0000-0000C2C00000}"/>
    <cellStyle name="Migliaia 49 3 2 3 4" xfId="55868" xr:uid="{00000000-0005-0000-0000-0000C3C00000}"/>
    <cellStyle name="Migliaia 49 3 2 4" xfId="17347" xr:uid="{00000000-0005-0000-0000-0000C4C00000}"/>
    <cellStyle name="Migliaia 49 3 2 4 2" xfId="33462" xr:uid="{00000000-0005-0000-0000-0000C5C00000}"/>
    <cellStyle name="Migliaia 49 3 2 4 3" xfId="48423" xr:uid="{00000000-0005-0000-0000-0000C6C00000}"/>
    <cellStyle name="Migliaia 49 3 2 5" xfId="19276" xr:uid="{00000000-0005-0000-0000-0000C7C00000}"/>
    <cellStyle name="Migliaia 49 3 2 6" xfId="34271" xr:uid="{00000000-0005-0000-0000-0000C8C00000}"/>
    <cellStyle name="Migliaia 49 3 2 7" xfId="49211" xr:uid="{00000000-0005-0000-0000-0000C9C00000}"/>
    <cellStyle name="Migliaia 49 3 2 8" xfId="49616" xr:uid="{00000000-0005-0000-0000-0000CAC00000}"/>
    <cellStyle name="Migliaia 49 3 2 9" xfId="50022" xr:uid="{00000000-0005-0000-0000-0000CBC00000}"/>
    <cellStyle name="Migliaia 49 3 3" xfId="9372" xr:uid="{00000000-0005-0000-0000-0000CCC00000}"/>
    <cellStyle name="Migliaia 49 3 3 2" xfId="18417" xr:uid="{00000000-0005-0000-0000-0000CDC00000}"/>
    <cellStyle name="Migliaia 49 3 3 2 2" xfId="33884" xr:uid="{00000000-0005-0000-0000-0000CEC00000}"/>
    <cellStyle name="Migliaia 49 3 3 2 2 2" xfId="55368" xr:uid="{00000000-0005-0000-0000-0000CFC00000}"/>
    <cellStyle name="Migliaia 49 3 3 2 3" xfId="48845" xr:uid="{00000000-0005-0000-0000-0000D0C00000}"/>
    <cellStyle name="Migliaia 49 3 3 2 3 2" xfId="56290" xr:uid="{00000000-0005-0000-0000-0000D1C00000}"/>
    <cellStyle name="Migliaia 49 3 3 2 4" xfId="53013" xr:uid="{00000000-0005-0000-0000-0000D2C00000}"/>
    <cellStyle name="Migliaia 49 3 3 3" xfId="17348" xr:uid="{00000000-0005-0000-0000-0000D3C00000}"/>
    <cellStyle name="Migliaia 49 3 3 3 2" xfId="33463" xr:uid="{00000000-0005-0000-0000-0000D4C00000}"/>
    <cellStyle name="Migliaia 49 3 3 3 3" xfId="48424" xr:uid="{00000000-0005-0000-0000-0000D5C00000}"/>
    <cellStyle name="Migliaia 49 3 3 3 4" xfId="54977" xr:uid="{00000000-0005-0000-0000-0000D6C00000}"/>
    <cellStyle name="Migliaia 49 3 3 4" xfId="55869" xr:uid="{00000000-0005-0000-0000-0000D7C00000}"/>
    <cellStyle name="Migliaia 49 3 3 5" xfId="52587" xr:uid="{00000000-0005-0000-0000-0000D8C00000}"/>
    <cellStyle name="Migliaia 49 3 4" xfId="9969" xr:uid="{00000000-0005-0000-0000-0000D9C00000}"/>
    <cellStyle name="Migliaia 49 3 4 2" xfId="18416" xr:uid="{00000000-0005-0000-0000-0000DAC00000}"/>
    <cellStyle name="Migliaia 49 3 4 2 2" xfId="33883" xr:uid="{00000000-0005-0000-0000-0000DBC00000}"/>
    <cellStyle name="Migliaia 49 3 4 2 3" xfId="48844" xr:uid="{00000000-0005-0000-0000-0000DCC00000}"/>
    <cellStyle name="Migliaia 49 3 4 2 4" xfId="55367" xr:uid="{00000000-0005-0000-0000-0000DDC00000}"/>
    <cellStyle name="Migliaia 49 3 4 3" xfId="26294" xr:uid="{00000000-0005-0000-0000-0000DEC00000}"/>
    <cellStyle name="Migliaia 49 3 4 3 2" xfId="56289" xr:uid="{00000000-0005-0000-0000-0000DFC00000}"/>
    <cellStyle name="Migliaia 49 3 4 4" xfId="41272" xr:uid="{00000000-0005-0000-0000-0000E0C00000}"/>
    <cellStyle name="Migliaia 49 3 4 5" xfId="53012" xr:uid="{00000000-0005-0000-0000-0000E1C00000}"/>
    <cellStyle name="Migliaia 49 3 5" xfId="17346" xr:uid="{00000000-0005-0000-0000-0000E2C00000}"/>
    <cellStyle name="Migliaia 49 3 5 2" xfId="33461" xr:uid="{00000000-0005-0000-0000-0000E3C00000}"/>
    <cellStyle name="Migliaia 49 3 5 3" xfId="48422" xr:uid="{00000000-0005-0000-0000-0000E4C00000}"/>
    <cellStyle name="Migliaia 49 3 5 4" xfId="54975" xr:uid="{00000000-0005-0000-0000-0000E5C00000}"/>
    <cellStyle name="Migliaia 49 3 6" xfId="19275" xr:uid="{00000000-0005-0000-0000-0000E6C00000}"/>
    <cellStyle name="Migliaia 49 3 6 2" xfId="55867" xr:uid="{00000000-0005-0000-0000-0000E7C00000}"/>
    <cellStyle name="Migliaia 49 3 7" xfId="34270" xr:uid="{00000000-0005-0000-0000-0000E8C00000}"/>
    <cellStyle name="Migliaia 49 3 8" xfId="49210" xr:uid="{00000000-0005-0000-0000-0000E9C00000}"/>
    <cellStyle name="Migliaia 49 3 9" xfId="49615" xr:uid="{00000000-0005-0000-0000-0000EAC00000}"/>
    <cellStyle name="Migliaia 49 4" xfId="9374" xr:uid="{00000000-0005-0000-0000-0000EBC00000}"/>
    <cellStyle name="Migliaia 49 4 2" xfId="17350" xr:uid="{00000000-0005-0000-0000-0000ECC00000}"/>
    <cellStyle name="Migliaia 49 4 2 2" xfId="18419" xr:uid="{00000000-0005-0000-0000-0000EDC00000}"/>
    <cellStyle name="Migliaia 49 4 2 2 2" xfId="33886" xr:uid="{00000000-0005-0000-0000-0000EEC00000}"/>
    <cellStyle name="Migliaia 49 4 2 2 2 2" xfId="55370" xr:uid="{00000000-0005-0000-0000-0000EFC00000}"/>
    <cellStyle name="Migliaia 49 4 2 2 3" xfId="48847" xr:uid="{00000000-0005-0000-0000-0000F0C00000}"/>
    <cellStyle name="Migliaia 49 4 2 2 3 2" xfId="56292" xr:uid="{00000000-0005-0000-0000-0000F1C00000}"/>
    <cellStyle name="Migliaia 49 4 2 2 4" xfId="53015" xr:uid="{00000000-0005-0000-0000-0000F2C00000}"/>
    <cellStyle name="Migliaia 49 4 2 3" xfId="33465" xr:uid="{00000000-0005-0000-0000-0000F3C00000}"/>
    <cellStyle name="Migliaia 49 4 2 3 2" xfId="54979" xr:uid="{00000000-0005-0000-0000-0000F4C00000}"/>
    <cellStyle name="Migliaia 49 4 2 4" xfId="48426" xr:uid="{00000000-0005-0000-0000-0000F5C00000}"/>
    <cellStyle name="Migliaia 49 4 2 4 2" xfId="55871" xr:uid="{00000000-0005-0000-0000-0000F6C00000}"/>
    <cellStyle name="Migliaia 49 4 2 5" xfId="52589" xr:uid="{00000000-0005-0000-0000-0000F7C00000}"/>
    <cellStyle name="Migliaia 49 4 3" xfId="18418" xr:uid="{00000000-0005-0000-0000-0000F8C00000}"/>
    <cellStyle name="Migliaia 49 4 3 2" xfId="33885" xr:uid="{00000000-0005-0000-0000-0000F9C00000}"/>
    <cellStyle name="Migliaia 49 4 3 2 2" xfId="55369" xr:uid="{00000000-0005-0000-0000-0000FAC00000}"/>
    <cellStyle name="Migliaia 49 4 3 3" xfId="48846" xr:uid="{00000000-0005-0000-0000-0000FBC00000}"/>
    <cellStyle name="Migliaia 49 4 3 3 2" xfId="56291" xr:uid="{00000000-0005-0000-0000-0000FCC00000}"/>
    <cellStyle name="Migliaia 49 4 3 4" xfId="53014" xr:uid="{00000000-0005-0000-0000-0000FDC00000}"/>
    <cellStyle name="Migliaia 49 4 4" xfId="17349" xr:uid="{00000000-0005-0000-0000-0000FEC00000}"/>
    <cellStyle name="Migliaia 49 4 4 2" xfId="33464" xr:uid="{00000000-0005-0000-0000-0000FFC00000}"/>
    <cellStyle name="Migliaia 49 4 4 3" xfId="48425" xr:uid="{00000000-0005-0000-0000-000000C10000}"/>
    <cellStyle name="Migliaia 49 4 4 4" xfId="54978" xr:uid="{00000000-0005-0000-0000-000001C10000}"/>
    <cellStyle name="Migliaia 49 4 5" xfId="51179" xr:uid="{00000000-0005-0000-0000-000002C10000}"/>
    <cellStyle name="Migliaia 49 4 5 2" xfId="55870" xr:uid="{00000000-0005-0000-0000-000003C10000}"/>
    <cellStyle name="Migliaia 49 4 6" xfId="52588" xr:uid="{00000000-0005-0000-0000-000004C10000}"/>
    <cellStyle name="Migliaia 49 5" xfId="9375" xr:uid="{00000000-0005-0000-0000-000005C10000}"/>
    <cellStyle name="Migliaia 49 5 2" xfId="17351" xr:uid="{00000000-0005-0000-0000-000006C10000}"/>
    <cellStyle name="Migliaia 49 5 2 2" xfId="33466" xr:uid="{00000000-0005-0000-0000-000007C10000}"/>
    <cellStyle name="Migliaia 49 5 2 3" xfId="48427" xr:uid="{00000000-0005-0000-0000-000008C10000}"/>
    <cellStyle name="Migliaia 49 5 2 4" xfId="54980" xr:uid="{00000000-0005-0000-0000-000009C10000}"/>
    <cellStyle name="Migliaia 49 5 3" xfId="51232" xr:uid="{00000000-0005-0000-0000-00000AC10000}"/>
    <cellStyle name="Migliaia 49 5 3 2" xfId="55872" xr:uid="{00000000-0005-0000-0000-00000BC10000}"/>
    <cellStyle name="Migliaia 49 5 4" xfId="52590" xr:uid="{00000000-0005-0000-0000-00000CC10000}"/>
    <cellStyle name="Migliaia 49 6" xfId="9370" xr:uid="{00000000-0005-0000-0000-00000DC10000}"/>
    <cellStyle name="Migliaia 49 6 2" xfId="51244" xr:uid="{00000000-0005-0000-0000-00000EC10000}"/>
    <cellStyle name="Migliaia 49 6 3" xfId="54628" xr:uid="{00000000-0005-0000-0000-00000FC10000}"/>
    <cellStyle name="Migliaia 49 7" xfId="9967" xr:uid="{00000000-0005-0000-0000-000010C10000}"/>
    <cellStyle name="Migliaia 49 7 2" xfId="26292" xr:uid="{00000000-0005-0000-0000-000011C10000}"/>
    <cellStyle name="Migliaia 49 7 3" xfId="41270" xr:uid="{00000000-0005-0000-0000-000012C10000}"/>
    <cellStyle name="Migliaia 49 7 4" xfId="55865" xr:uid="{00000000-0005-0000-0000-000013C10000}"/>
    <cellStyle name="Migliaia 49 8" xfId="17344" xr:uid="{00000000-0005-0000-0000-000014C10000}"/>
    <cellStyle name="Migliaia 49 8 2" xfId="33459" xr:uid="{00000000-0005-0000-0000-000015C10000}"/>
    <cellStyle name="Migliaia 49 8 3" xfId="48420" xr:uid="{00000000-0005-0000-0000-000016C10000}"/>
    <cellStyle name="Migliaia 49 9" xfId="19273" xr:uid="{00000000-0005-0000-0000-000017C10000}"/>
    <cellStyle name="Migliaia 5" xfId="461" xr:uid="{00000000-0005-0000-0000-000018C10000}"/>
    <cellStyle name="Migliaia 5 10" xfId="34272" xr:uid="{00000000-0005-0000-0000-000019C10000}"/>
    <cellStyle name="Migliaia 5 11" xfId="49212" xr:uid="{00000000-0005-0000-0000-00001AC10000}"/>
    <cellStyle name="Migliaia 5 12" xfId="49617" xr:uid="{00000000-0005-0000-0000-00001BC10000}"/>
    <cellStyle name="Migliaia 5 13" xfId="50023" xr:uid="{00000000-0005-0000-0000-00001CC10000}"/>
    <cellStyle name="Migliaia 5 14" xfId="50431" xr:uid="{00000000-0005-0000-0000-00001DC10000}"/>
    <cellStyle name="Migliaia 5 15" xfId="50873" xr:uid="{00000000-0005-0000-0000-00001EC10000}"/>
    <cellStyle name="Migliaia 5 16" xfId="51592" xr:uid="{00000000-0005-0000-0000-00001FC10000}"/>
    <cellStyle name="Migliaia 5 17" xfId="52004" xr:uid="{00000000-0005-0000-0000-000020C10000}"/>
    <cellStyle name="Migliaia 5 18" xfId="52591" xr:uid="{00000000-0005-0000-0000-000021C10000}"/>
    <cellStyle name="Migliaia 5 2" xfId="462" xr:uid="{00000000-0005-0000-0000-000022C10000}"/>
    <cellStyle name="Migliaia 5 2 10" xfId="50024" xr:uid="{00000000-0005-0000-0000-000023C10000}"/>
    <cellStyle name="Migliaia 5 2 11" xfId="50432" xr:uid="{00000000-0005-0000-0000-000024C10000}"/>
    <cellStyle name="Migliaia 5 2 12" xfId="50874" xr:uid="{00000000-0005-0000-0000-000025C10000}"/>
    <cellStyle name="Migliaia 5 2 13" xfId="51593" xr:uid="{00000000-0005-0000-0000-000026C10000}"/>
    <cellStyle name="Migliaia 5 2 14" xfId="52005" xr:uid="{00000000-0005-0000-0000-000027C10000}"/>
    <cellStyle name="Migliaia 5 2 15" xfId="52592" xr:uid="{00000000-0005-0000-0000-000028C10000}"/>
    <cellStyle name="Migliaia 5 2 2" xfId="1288" xr:uid="{00000000-0005-0000-0000-000029C10000}"/>
    <cellStyle name="Migliaia 5 2 2 10" xfId="51140" xr:uid="{00000000-0005-0000-0000-00002AC10000}"/>
    <cellStyle name="Migliaia 5 2 2 11" xfId="51736" xr:uid="{00000000-0005-0000-0000-00002BC10000}"/>
    <cellStyle name="Migliaia 5 2 2 12" xfId="52156" xr:uid="{00000000-0005-0000-0000-00002CC10000}"/>
    <cellStyle name="Migliaia 5 2 2 13" xfId="53016" xr:uid="{00000000-0005-0000-0000-00002DC10000}"/>
    <cellStyle name="Migliaia 5 2 2 2" xfId="10115" xr:uid="{00000000-0005-0000-0000-00002EC10000}"/>
    <cellStyle name="Migliaia 5 2 2 2 2" xfId="26435" xr:uid="{00000000-0005-0000-0000-00002FC10000}"/>
    <cellStyle name="Migliaia 5 2 2 2 3" xfId="41403" xr:uid="{00000000-0005-0000-0000-000030C10000}"/>
    <cellStyle name="Migliaia 5 2 2 2 4" xfId="55371" xr:uid="{00000000-0005-0000-0000-000031C10000}"/>
    <cellStyle name="Migliaia 5 2 2 3" xfId="18420" xr:uid="{00000000-0005-0000-0000-000032C10000}"/>
    <cellStyle name="Migliaia 5 2 2 3 2" xfId="33887" xr:uid="{00000000-0005-0000-0000-000033C10000}"/>
    <cellStyle name="Migliaia 5 2 2 3 3" xfId="48848" xr:uid="{00000000-0005-0000-0000-000034C10000}"/>
    <cellStyle name="Migliaia 5 2 2 3 4" xfId="56293" xr:uid="{00000000-0005-0000-0000-000035C10000}"/>
    <cellStyle name="Migliaia 5 2 2 4" xfId="19414" xr:uid="{00000000-0005-0000-0000-000036C10000}"/>
    <cellStyle name="Migliaia 5 2 2 5" xfId="34404" xr:uid="{00000000-0005-0000-0000-000037C10000}"/>
    <cellStyle name="Migliaia 5 2 2 6" xfId="49356" xr:uid="{00000000-0005-0000-0000-000038C10000}"/>
    <cellStyle name="Migliaia 5 2 2 7" xfId="49761" xr:uid="{00000000-0005-0000-0000-000039C10000}"/>
    <cellStyle name="Migliaia 5 2 2 8" xfId="50170" xr:uid="{00000000-0005-0000-0000-00003AC10000}"/>
    <cellStyle name="Migliaia 5 2 2 9" xfId="50575" xr:uid="{00000000-0005-0000-0000-00003BC10000}"/>
    <cellStyle name="Migliaia 5 2 3" xfId="9377" xr:uid="{00000000-0005-0000-0000-00003CC10000}"/>
    <cellStyle name="Migliaia 5 2 3 2" xfId="54693" xr:uid="{00000000-0005-0000-0000-00003DC10000}"/>
    <cellStyle name="Migliaia 5 2 4" xfId="9972" xr:uid="{00000000-0005-0000-0000-00003EC10000}"/>
    <cellStyle name="Migliaia 5 2 4 2" xfId="26297" xr:uid="{00000000-0005-0000-0000-00003FC10000}"/>
    <cellStyle name="Migliaia 5 2 4 3" xfId="41275" xr:uid="{00000000-0005-0000-0000-000040C10000}"/>
    <cellStyle name="Migliaia 5 2 4 4" xfId="55874" xr:uid="{00000000-0005-0000-0000-000041C10000}"/>
    <cellStyle name="Migliaia 5 2 5" xfId="17353" xr:uid="{00000000-0005-0000-0000-000042C10000}"/>
    <cellStyle name="Migliaia 5 2 5 2" xfId="33468" xr:uid="{00000000-0005-0000-0000-000043C10000}"/>
    <cellStyle name="Migliaia 5 2 5 3" xfId="48429" xr:uid="{00000000-0005-0000-0000-000044C10000}"/>
    <cellStyle name="Migliaia 5 2 6" xfId="19278" xr:uid="{00000000-0005-0000-0000-000045C10000}"/>
    <cellStyle name="Migliaia 5 2 7" xfId="34273" xr:uid="{00000000-0005-0000-0000-000046C10000}"/>
    <cellStyle name="Migliaia 5 2 8" xfId="49213" xr:uid="{00000000-0005-0000-0000-000047C10000}"/>
    <cellStyle name="Migliaia 5 2 9" xfId="49618" xr:uid="{00000000-0005-0000-0000-000048C10000}"/>
    <cellStyle name="Migliaia 5 3" xfId="463" xr:uid="{00000000-0005-0000-0000-000049C10000}"/>
    <cellStyle name="Migliaia 5 3 10" xfId="50025" xr:uid="{00000000-0005-0000-0000-00004AC10000}"/>
    <cellStyle name="Migliaia 5 3 11" xfId="50433" xr:uid="{00000000-0005-0000-0000-00004BC10000}"/>
    <cellStyle name="Migliaia 5 3 12" xfId="50875" xr:uid="{00000000-0005-0000-0000-00004CC10000}"/>
    <cellStyle name="Migliaia 5 3 13" xfId="51594" xr:uid="{00000000-0005-0000-0000-00004DC10000}"/>
    <cellStyle name="Migliaia 5 3 14" xfId="52006" xr:uid="{00000000-0005-0000-0000-00004EC10000}"/>
    <cellStyle name="Migliaia 5 3 15" xfId="52593" xr:uid="{00000000-0005-0000-0000-00004FC10000}"/>
    <cellStyle name="Migliaia 5 3 2" xfId="464" xr:uid="{00000000-0005-0000-0000-000050C10000}"/>
    <cellStyle name="Migliaia 5 3 2 10" xfId="50434" xr:uid="{00000000-0005-0000-0000-000051C10000}"/>
    <cellStyle name="Migliaia 5 3 2 11" xfId="50876" xr:uid="{00000000-0005-0000-0000-000052C10000}"/>
    <cellStyle name="Migliaia 5 3 2 12" xfId="51595" xr:uid="{00000000-0005-0000-0000-000053C10000}"/>
    <cellStyle name="Migliaia 5 3 2 13" xfId="52007" xr:uid="{00000000-0005-0000-0000-000054C10000}"/>
    <cellStyle name="Migliaia 5 3 2 14" xfId="52594" xr:uid="{00000000-0005-0000-0000-000055C10000}"/>
    <cellStyle name="Migliaia 5 3 2 2" xfId="9379" xr:uid="{00000000-0005-0000-0000-000056C10000}"/>
    <cellStyle name="Migliaia 5 3 2 2 2" xfId="54982" xr:uid="{00000000-0005-0000-0000-000057C10000}"/>
    <cellStyle name="Migliaia 5 3 2 3" xfId="9974" xr:uid="{00000000-0005-0000-0000-000058C10000}"/>
    <cellStyle name="Migliaia 5 3 2 3 2" xfId="26299" xr:uid="{00000000-0005-0000-0000-000059C10000}"/>
    <cellStyle name="Migliaia 5 3 2 3 3" xfId="41277" xr:uid="{00000000-0005-0000-0000-00005AC10000}"/>
    <cellStyle name="Migliaia 5 3 2 3 4" xfId="55876" xr:uid="{00000000-0005-0000-0000-00005BC10000}"/>
    <cellStyle name="Migliaia 5 3 2 4" xfId="17355" xr:uid="{00000000-0005-0000-0000-00005CC10000}"/>
    <cellStyle name="Migliaia 5 3 2 4 2" xfId="33470" xr:uid="{00000000-0005-0000-0000-00005DC10000}"/>
    <cellStyle name="Migliaia 5 3 2 4 3" xfId="48431" xr:uid="{00000000-0005-0000-0000-00005EC10000}"/>
    <cellStyle name="Migliaia 5 3 2 5" xfId="19280" xr:uid="{00000000-0005-0000-0000-00005FC10000}"/>
    <cellStyle name="Migliaia 5 3 2 6" xfId="34275" xr:uid="{00000000-0005-0000-0000-000060C10000}"/>
    <cellStyle name="Migliaia 5 3 2 7" xfId="49215" xr:uid="{00000000-0005-0000-0000-000061C10000}"/>
    <cellStyle name="Migliaia 5 3 2 8" xfId="49620" xr:uid="{00000000-0005-0000-0000-000062C10000}"/>
    <cellStyle name="Migliaia 5 3 2 9" xfId="50026" xr:uid="{00000000-0005-0000-0000-000063C10000}"/>
    <cellStyle name="Migliaia 5 3 3" xfId="9378" xr:uid="{00000000-0005-0000-0000-000064C10000}"/>
    <cellStyle name="Migliaia 5 3 3 2" xfId="18422" xr:uid="{00000000-0005-0000-0000-000065C10000}"/>
    <cellStyle name="Migliaia 5 3 3 2 2" xfId="33889" xr:uid="{00000000-0005-0000-0000-000066C10000}"/>
    <cellStyle name="Migliaia 5 3 3 2 2 2" xfId="55373" xr:uid="{00000000-0005-0000-0000-000067C10000}"/>
    <cellStyle name="Migliaia 5 3 3 2 3" xfId="48850" xr:uid="{00000000-0005-0000-0000-000068C10000}"/>
    <cellStyle name="Migliaia 5 3 3 2 3 2" xfId="56295" xr:uid="{00000000-0005-0000-0000-000069C10000}"/>
    <cellStyle name="Migliaia 5 3 3 2 4" xfId="53018" xr:uid="{00000000-0005-0000-0000-00006AC10000}"/>
    <cellStyle name="Migliaia 5 3 3 3" xfId="17356" xr:uid="{00000000-0005-0000-0000-00006BC10000}"/>
    <cellStyle name="Migliaia 5 3 3 3 2" xfId="33471" xr:uid="{00000000-0005-0000-0000-00006CC10000}"/>
    <cellStyle name="Migliaia 5 3 3 3 3" xfId="48432" xr:uid="{00000000-0005-0000-0000-00006DC10000}"/>
    <cellStyle name="Migliaia 5 3 3 3 4" xfId="54983" xr:uid="{00000000-0005-0000-0000-00006EC10000}"/>
    <cellStyle name="Migliaia 5 3 3 4" xfId="55877" xr:uid="{00000000-0005-0000-0000-00006FC10000}"/>
    <cellStyle name="Migliaia 5 3 3 5" xfId="52595" xr:uid="{00000000-0005-0000-0000-000070C10000}"/>
    <cellStyle name="Migliaia 5 3 4" xfId="9973" xr:uid="{00000000-0005-0000-0000-000071C10000}"/>
    <cellStyle name="Migliaia 5 3 4 2" xfId="18421" xr:uid="{00000000-0005-0000-0000-000072C10000}"/>
    <cellStyle name="Migliaia 5 3 4 2 2" xfId="33888" xr:uid="{00000000-0005-0000-0000-000073C10000}"/>
    <cellStyle name="Migliaia 5 3 4 2 3" xfId="48849" xr:uid="{00000000-0005-0000-0000-000074C10000}"/>
    <cellStyle name="Migliaia 5 3 4 2 4" xfId="55372" xr:uid="{00000000-0005-0000-0000-000075C10000}"/>
    <cellStyle name="Migliaia 5 3 4 3" xfId="26298" xr:uid="{00000000-0005-0000-0000-000076C10000}"/>
    <cellStyle name="Migliaia 5 3 4 3 2" xfId="56294" xr:uid="{00000000-0005-0000-0000-000077C10000}"/>
    <cellStyle name="Migliaia 5 3 4 4" xfId="41276" xr:uid="{00000000-0005-0000-0000-000078C10000}"/>
    <cellStyle name="Migliaia 5 3 4 5" xfId="53017" xr:uid="{00000000-0005-0000-0000-000079C10000}"/>
    <cellStyle name="Migliaia 5 3 5" xfId="17354" xr:uid="{00000000-0005-0000-0000-00007AC10000}"/>
    <cellStyle name="Migliaia 5 3 5 2" xfId="33469" xr:uid="{00000000-0005-0000-0000-00007BC10000}"/>
    <cellStyle name="Migliaia 5 3 5 3" xfId="48430" xr:uid="{00000000-0005-0000-0000-00007CC10000}"/>
    <cellStyle name="Migliaia 5 3 5 4" xfId="54981" xr:uid="{00000000-0005-0000-0000-00007DC10000}"/>
    <cellStyle name="Migliaia 5 3 6" xfId="19279" xr:uid="{00000000-0005-0000-0000-00007EC10000}"/>
    <cellStyle name="Migliaia 5 3 6 2" xfId="55875" xr:uid="{00000000-0005-0000-0000-00007FC10000}"/>
    <cellStyle name="Migliaia 5 3 7" xfId="34274" xr:uid="{00000000-0005-0000-0000-000080C10000}"/>
    <cellStyle name="Migliaia 5 3 8" xfId="49214" xr:uid="{00000000-0005-0000-0000-000081C10000}"/>
    <cellStyle name="Migliaia 5 3 9" xfId="49619" xr:uid="{00000000-0005-0000-0000-000082C10000}"/>
    <cellStyle name="Migliaia 5 4" xfId="9380" xr:uid="{00000000-0005-0000-0000-000083C10000}"/>
    <cellStyle name="Migliaia 5 4 2" xfId="17358" xr:uid="{00000000-0005-0000-0000-000084C10000}"/>
    <cellStyle name="Migliaia 5 4 2 2" xfId="18424" xr:uid="{00000000-0005-0000-0000-000085C10000}"/>
    <cellStyle name="Migliaia 5 4 2 2 2" xfId="33891" xr:uid="{00000000-0005-0000-0000-000086C10000}"/>
    <cellStyle name="Migliaia 5 4 2 2 2 2" xfId="55375" xr:uid="{00000000-0005-0000-0000-000087C10000}"/>
    <cellStyle name="Migliaia 5 4 2 2 3" xfId="48852" xr:uid="{00000000-0005-0000-0000-000088C10000}"/>
    <cellStyle name="Migliaia 5 4 2 2 3 2" xfId="56297" xr:uid="{00000000-0005-0000-0000-000089C10000}"/>
    <cellStyle name="Migliaia 5 4 2 2 4" xfId="53020" xr:uid="{00000000-0005-0000-0000-00008AC10000}"/>
    <cellStyle name="Migliaia 5 4 2 3" xfId="33473" xr:uid="{00000000-0005-0000-0000-00008BC10000}"/>
    <cellStyle name="Migliaia 5 4 2 3 2" xfId="54985" xr:uid="{00000000-0005-0000-0000-00008CC10000}"/>
    <cellStyle name="Migliaia 5 4 2 4" xfId="48434" xr:uid="{00000000-0005-0000-0000-00008DC10000}"/>
    <cellStyle name="Migliaia 5 4 2 4 2" xfId="55879" xr:uid="{00000000-0005-0000-0000-00008EC10000}"/>
    <cellStyle name="Migliaia 5 4 2 5" xfId="52597" xr:uid="{00000000-0005-0000-0000-00008FC10000}"/>
    <cellStyle name="Migliaia 5 4 3" xfId="18423" xr:uid="{00000000-0005-0000-0000-000090C10000}"/>
    <cellStyle name="Migliaia 5 4 3 2" xfId="33890" xr:uid="{00000000-0005-0000-0000-000091C10000}"/>
    <cellStyle name="Migliaia 5 4 3 2 2" xfId="55374" xr:uid="{00000000-0005-0000-0000-000092C10000}"/>
    <cellStyle name="Migliaia 5 4 3 3" xfId="48851" xr:uid="{00000000-0005-0000-0000-000093C10000}"/>
    <cellStyle name="Migliaia 5 4 3 3 2" xfId="56296" xr:uid="{00000000-0005-0000-0000-000094C10000}"/>
    <cellStyle name="Migliaia 5 4 3 4" xfId="53019" xr:uid="{00000000-0005-0000-0000-000095C10000}"/>
    <cellStyle name="Migliaia 5 4 4" xfId="17357" xr:uid="{00000000-0005-0000-0000-000096C10000}"/>
    <cellStyle name="Migliaia 5 4 4 2" xfId="33472" xr:uid="{00000000-0005-0000-0000-000097C10000}"/>
    <cellStyle name="Migliaia 5 4 4 3" xfId="48433" xr:uid="{00000000-0005-0000-0000-000098C10000}"/>
    <cellStyle name="Migliaia 5 4 4 4" xfId="54984" xr:uid="{00000000-0005-0000-0000-000099C10000}"/>
    <cellStyle name="Migliaia 5 4 5" xfId="51178" xr:uid="{00000000-0005-0000-0000-00009AC10000}"/>
    <cellStyle name="Migliaia 5 4 5 2" xfId="55878" xr:uid="{00000000-0005-0000-0000-00009BC10000}"/>
    <cellStyle name="Migliaia 5 4 6" xfId="52596" xr:uid="{00000000-0005-0000-0000-00009CC10000}"/>
    <cellStyle name="Migliaia 5 5" xfId="9381" xr:uid="{00000000-0005-0000-0000-00009DC10000}"/>
    <cellStyle name="Migliaia 5 5 2" xfId="17359" xr:uid="{00000000-0005-0000-0000-00009EC10000}"/>
    <cellStyle name="Migliaia 5 5 2 2" xfId="33474" xr:uid="{00000000-0005-0000-0000-00009FC10000}"/>
    <cellStyle name="Migliaia 5 5 2 3" xfId="48435" xr:uid="{00000000-0005-0000-0000-0000A0C10000}"/>
    <cellStyle name="Migliaia 5 5 2 4" xfId="54986" xr:uid="{00000000-0005-0000-0000-0000A1C10000}"/>
    <cellStyle name="Migliaia 5 5 3" xfId="51011" xr:uid="{00000000-0005-0000-0000-0000A2C10000}"/>
    <cellStyle name="Migliaia 5 5 3 2" xfId="55880" xr:uid="{00000000-0005-0000-0000-0000A3C10000}"/>
    <cellStyle name="Migliaia 5 5 4" xfId="52598" xr:uid="{00000000-0005-0000-0000-0000A4C10000}"/>
    <cellStyle name="Migliaia 5 6" xfId="9376" xr:uid="{00000000-0005-0000-0000-0000A5C10000}"/>
    <cellStyle name="Migliaia 5 6 2" xfId="50963" xr:uid="{00000000-0005-0000-0000-0000A6C10000}"/>
    <cellStyle name="Migliaia 5 6 3" xfId="54629" xr:uid="{00000000-0005-0000-0000-0000A7C10000}"/>
    <cellStyle name="Migliaia 5 7" xfId="9971" xr:uid="{00000000-0005-0000-0000-0000A8C10000}"/>
    <cellStyle name="Migliaia 5 7 2" xfId="26296" xr:uid="{00000000-0005-0000-0000-0000A9C10000}"/>
    <cellStyle name="Migliaia 5 7 3" xfId="41274" xr:uid="{00000000-0005-0000-0000-0000AAC10000}"/>
    <cellStyle name="Migliaia 5 7 4" xfId="55873" xr:uid="{00000000-0005-0000-0000-0000ABC10000}"/>
    <cellStyle name="Migliaia 5 8" xfId="17352" xr:uid="{00000000-0005-0000-0000-0000ACC10000}"/>
    <cellStyle name="Migliaia 5 8 2" xfId="33467" xr:uid="{00000000-0005-0000-0000-0000ADC10000}"/>
    <cellStyle name="Migliaia 5 8 3" xfId="48428" xr:uid="{00000000-0005-0000-0000-0000AEC10000}"/>
    <cellStyle name="Migliaia 5 9" xfId="19277" xr:uid="{00000000-0005-0000-0000-0000AFC10000}"/>
    <cellStyle name="Migliaia 50" xfId="465" xr:uid="{00000000-0005-0000-0000-0000B0C10000}"/>
    <cellStyle name="Migliaia 50 10" xfId="34276" xr:uid="{00000000-0005-0000-0000-0000B1C10000}"/>
    <cellStyle name="Migliaia 50 11" xfId="49216" xr:uid="{00000000-0005-0000-0000-0000B2C10000}"/>
    <cellStyle name="Migliaia 50 12" xfId="49621" xr:uid="{00000000-0005-0000-0000-0000B3C10000}"/>
    <cellStyle name="Migliaia 50 13" xfId="50027" xr:uid="{00000000-0005-0000-0000-0000B4C10000}"/>
    <cellStyle name="Migliaia 50 14" xfId="50435" xr:uid="{00000000-0005-0000-0000-0000B5C10000}"/>
    <cellStyle name="Migliaia 50 15" xfId="50877" xr:uid="{00000000-0005-0000-0000-0000B6C10000}"/>
    <cellStyle name="Migliaia 50 16" xfId="51596" xr:uid="{00000000-0005-0000-0000-0000B7C10000}"/>
    <cellStyle name="Migliaia 50 17" xfId="52008" xr:uid="{00000000-0005-0000-0000-0000B8C10000}"/>
    <cellStyle name="Migliaia 50 18" xfId="52599" xr:uid="{00000000-0005-0000-0000-0000B9C10000}"/>
    <cellStyle name="Migliaia 50 2" xfId="466" xr:uid="{00000000-0005-0000-0000-0000BAC10000}"/>
    <cellStyle name="Migliaia 50 2 10" xfId="50028" xr:uid="{00000000-0005-0000-0000-0000BBC10000}"/>
    <cellStyle name="Migliaia 50 2 11" xfId="50436" xr:uid="{00000000-0005-0000-0000-0000BCC10000}"/>
    <cellStyle name="Migliaia 50 2 12" xfId="50878" xr:uid="{00000000-0005-0000-0000-0000BDC10000}"/>
    <cellStyle name="Migliaia 50 2 13" xfId="51597" xr:uid="{00000000-0005-0000-0000-0000BEC10000}"/>
    <cellStyle name="Migliaia 50 2 14" xfId="52009" xr:uid="{00000000-0005-0000-0000-0000BFC10000}"/>
    <cellStyle name="Migliaia 50 2 15" xfId="52600" xr:uid="{00000000-0005-0000-0000-0000C0C10000}"/>
    <cellStyle name="Migliaia 50 2 2" xfId="1289" xr:uid="{00000000-0005-0000-0000-0000C1C10000}"/>
    <cellStyle name="Migliaia 50 2 2 10" xfId="51141" xr:uid="{00000000-0005-0000-0000-0000C2C10000}"/>
    <cellStyle name="Migliaia 50 2 2 11" xfId="51737" xr:uid="{00000000-0005-0000-0000-0000C3C10000}"/>
    <cellStyle name="Migliaia 50 2 2 12" xfId="52157" xr:uid="{00000000-0005-0000-0000-0000C4C10000}"/>
    <cellStyle name="Migliaia 50 2 2 13" xfId="53021" xr:uid="{00000000-0005-0000-0000-0000C5C10000}"/>
    <cellStyle name="Migliaia 50 2 2 2" xfId="10116" xr:uid="{00000000-0005-0000-0000-0000C6C10000}"/>
    <cellStyle name="Migliaia 50 2 2 2 2" xfId="26436" xr:uid="{00000000-0005-0000-0000-0000C7C10000}"/>
    <cellStyle name="Migliaia 50 2 2 2 3" xfId="41404" xr:uid="{00000000-0005-0000-0000-0000C8C10000}"/>
    <cellStyle name="Migliaia 50 2 2 2 4" xfId="55376" xr:uid="{00000000-0005-0000-0000-0000C9C10000}"/>
    <cellStyle name="Migliaia 50 2 2 3" xfId="18425" xr:uid="{00000000-0005-0000-0000-0000CAC10000}"/>
    <cellStyle name="Migliaia 50 2 2 3 2" xfId="33892" xr:uid="{00000000-0005-0000-0000-0000CBC10000}"/>
    <cellStyle name="Migliaia 50 2 2 3 3" xfId="48853" xr:uid="{00000000-0005-0000-0000-0000CCC10000}"/>
    <cellStyle name="Migliaia 50 2 2 3 4" xfId="56298" xr:uid="{00000000-0005-0000-0000-0000CDC10000}"/>
    <cellStyle name="Migliaia 50 2 2 4" xfId="19415" xr:uid="{00000000-0005-0000-0000-0000CEC10000}"/>
    <cellStyle name="Migliaia 50 2 2 5" xfId="34405" xr:uid="{00000000-0005-0000-0000-0000CFC10000}"/>
    <cellStyle name="Migliaia 50 2 2 6" xfId="49357" xr:uid="{00000000-0005-0000-0000-0000D0C10000}"/>
    <cellStyle name="Migliaia 50 2 2 7" xfId="49762" xr:uid="{00000000-0005-0000-0000-0000D1C10000}"/>
    <cellStyle name="Migliaia 50 2 2 8" xfId="50171" xr:uid="{00000000-0005-0000-0000-0000D2C10000}"/>
    <cellStyle name="Migliaia 50 2 2 9" xfId="50576" xr:uid="{00000000-0005-0000-0000-0000D3C10000}"/>
    <cellStyle name="Migliaia 50 2 3" xfId="9383" xr:uid="{00000000-0005-0000-0000-0000D4C10000}"/>
    <cellStyle name="Migliaia 50 2 3 2" xfId="54694" xr:uid="{00000000-0005-0000-0000-0000D5C10000}"/>
    <cellStyle name="Migliaia 50 2 4" xfId="9976" xr:uid="{00000000-0005-0000-0000-0000D6C10000}"/>
    <cellStyle name="Migliaia 50 2 4 2" xfId="26301" xr:uid="{00000000-0005-0000-0000-0000D7C10000}"/>
    <cellStyle name="Migliaia 50 2 4 3" xfId="41279" xr:uid="{00000000-0005-0000-0000-0000D8C10000}"/>
    <cellStyle name="Migliaia 50 2 4 4" xfId="55882" xr:uid="{00000000-0005-0000-0000-0000D9C10000}"/>
    <cellStyle name="Migliaia 50 2 5" xfId="17361" xr:uid="{00000000-0005-0000-0000-0000DAC10000}"/>
    <cellStyle name="Migliaia 50 2 5 2" xfId="33476" xr:uid="{00000000-0005-0000-0000-0000DBC10000}"/>
    <cellStyle name="Migliaia 50 2 5 3" xfId="48437" xr:uid="{00000000-0005-0000-0000-0000DCC10000}"/>
    <cellStyle name="Migliaia 50 2 6" xfId="19282" xr:uid="{00000000-0005-0000-0000-0000DDC10000}"/>
    <cellStyle name="Migliaia 50 2 7" xfId="34277" xr:uid="{00000000-0005-0000-0000-0000DEC10000}"/>
    <cellStyle name="Migliaia 50 2 8" xfId="49217" xr:uid="{00000000-0005-0000-0000-0000DFC10000}"/>
    <cellStyle name="Migliaia 50 2 9" xfId="49622" xr:uid="{00000000-0005-0000-0000-0000E0C10000}"/>
    <cellStyle name="Migliaia 50 3" xfId="467" xr:uid="{00000000-0005-0000-0000-0000E1C10000}"/>
    <cellStyle name="Migliaia 50 3 10" xfId="50029" xr:uid="{00000000-0005-0000-0000-0000E2C10000}"/>
    <cellStyle name="Migliaia 50 3 11" xfId="50437" xr:uid="{00000000-0005-0000-0000-0000E3C10000}"/>
    <cellStyle name="Migliaia 50 3 12" xfId="50879" xr:uid="{00000000-0005-0000-0000-0000E4C10000}"/>
    <cellStyle name="Migliaia 50 3 13" xfId="51598" xr:uid="{00000000-0005-0000-0000-0000E5C10000}"/>
    <cellStyle name="Migliaia 50 3 14" xfId="52010" xr:uid="{00000000-0005-0000-0000-0000E6C10000}"/>
    <cellStyle name="Migliaia 50 3 15" xfId="52601" xr:uid="{00000000-0005-0000-0000-0000E7C10000}"/>
    <cellStyle name="Migliaia 50 3 2" xfId="468" xr:uid="{00000000-0005-0000-0000-0000E8C10000}"/>
    <cellStyle name="Migliaia 50 3 2 10" xfId="50438" xr:uid="{00000000-0005-0000-0000-0000E9C10000}"/>
    <cellStyle name="Migliaia 50 3 2 11" xfId="50880" xr:uid="{00000000-0005-0000-0000-0000EAC10000}"/>
    <cellStyle name="Migliaia 50 3 2 12" xfId="51599" xr:uid="{00000000-0005-0000-0000-0000EBC10000}"/>
    <cellStyle name="Migliaia 50 3 2 13" xfId="52011" xr:uid="{00000000-0005-0000-0000-0000ECC10000}"/>
    <cellStyle name="Migliaia 50 3 2 14" xfId="52602" xr:uid="{00000000-0005-0000-0000-0000EDC10000}"/>
    <cellStyle name="Migliaia 50 3 2 2" xfId="9385" xr:uid="{00000000-0005-0000-0000-0000EEC10000}"/>
    <cellStyle name="Migliaia 50 3 2 2 2" xfId="54988" xr:uid="{00000000-0005-0000-0000-0000EFC10000}"/>
    <cellStyle name="Migliaia 50 3 2 3" xfId="9978" xr:uid="{00000000-0005-0000-0000-0000F0C10000}"/>
    <cellStyle name="Migliaia 50 3 2 3 2" xfId="26303" xr:uid="{00000000-0005-0000-0000-0000F1C10000}"/>
    <cellStyle name="Migliaia 50 3 2 3 3" xfId="41281" xr:uid="{00000000-0005-0000-0000-0000F2C10000}"/>
    <cellStyle name="Migliaia 50 3 2 3 4" xfId="55884" xr:uid="{00000000-0005-0000-0000-0000F3C10000}"/>
    <cellStyle name="Migliaia 50 3 2 4" xfId="17363" xr:uid="{00000000-0005-0000-0000-0000F4C10000}"/>
    <cellStyle name="Migliaia 50 3 2 4 2" xfId="33478" xr:uid="{00000000-0005-0000-0000-0000F5C10000}"/>
    <cellStyle name="Migliaia 50 3 2 4 3" xfId="48439" xr:uid="{00000000-0005-0000-0000-0000F6C10000}"/>
    <cellStyle name="Migliaia 50 3 2 5" xfId="19284" xr:uid="{00000000-0005-0000-0000-0000F7C10000}"/>
    <cellStyle name="Migliaia 50 3 2 6" xfId="34279" xr:uid="{00000000-0005-0000-0000-0000F8C10000}"/>
    <cellStyle name="Migliaia 50 3 2 7" xfId="49219" xr:uid="{00000000-0005-0000-0000-0000F9C10000}"/>
    <cellStyle name="Migliaia 50 3 2 8" xfId="49624" xr:uid="{00000000-0005-0000-0000-0000FAC10000}"/>
    <cellStyle name="Migliaia 50 3 2 9" xfId="50030" xr:uid="{00000000-0005-0000-0000-0000FBC10000}"/>
    <cellStyle name="Migliaia 50 3 3" xfId="9384" xr:uid="{00000000-0005-0000-0000-0000FCC10000}"/>
    <cellStyle name="Migliaia 50 3 3 2" xfId="18427" xr:uid="{00000000-0005-0000-0000-0000FDC10000}"/>
    <cellStyle name="Migliaia 50 3 3 2 2" xfId="33894" xr:uid="{00000000-0005-0000-0000-0000FEC10000}"/>
    <cellStyle name="Migliaia 50 3 3 2 2 2" xfId="55378" xr:uid="{00000000-0005-0000-0000-0000FFC10000}"/>
    <cellStyle name="Migliaia 50 3 3 2 3" xfId="48855" xr:uid="{00000000-0005-0000-0000-000000C20000}"/>
    <cellStyle name="Migliaia 50 3 3 2 3 2" xfId="56300" xr:uid="{00000000-0005-0000-0000-000001C20000}"/>
    <cellStyle name="Migliaia 50 3 3 2 4" xfId="53023" xr:uid="{00000000-0005-0000-0000-000002C20000}"/>
    <cellStyle name="Migliaia 50 3 3 3" xfId="17364" xr:uid="{00000000-0005-0000-0000-000003C20000}"/>
    <cellStyle name="Migliaia 50 3 3 3 2" xfId="33479" xr:uid="{00000000-0005-0000-0000-000004C20000}"/>
    <cellStyle name="Migliaia 50 3 3 3 3" xfId="48440" xr:uid="{00000000-0005-0000-0000-000005C20000}"/>
    <cellStyle name="Migliaia 50 3 3 3 4" xfId="54989" xr:uid="{00000000-0005-0000-0000-000006C20000}"/>
    <cellStyle name="Migliaia 50 3 3 4" xfId="55885" xr:uid="{00000000-0005-0000-0000-000007C20000}"/>
    <cellStyle name="Migliaia 50 3 3 5" xfId="52603" xr:uid="{00000000-0005-0000-0000-000008C20000}"/>
    <cellStyle name="Migliaia 50 3 4" xfId="9977" xr:uid="{00000000-0005-0000-0000-000009C20000}"/>
    <cellStyle name="Migliaia 50 3 4 2" xfId="18426" xr:uid="{00000000-0005-0000-0000-00000AC20000}"/>
    <cellStyle name="Migliaia 50 3 4 2 2" xfId="33893" xr:uid="{00000000-0005-0000-0000-00000BC20000}"/>
    <cellStyle name="Migliaia 50 3 4 2 3" xfId="48854" xr:uid="{00000000-0005-0000-0000-00000CC20000}"/>
    <cellStyle name="Migliaia 50 3 4 2 4" xfId="55377" xr:uid="{00000000-0005-0000-0000-00000DC20000}"/>
    <cellStyle name="Migliaia 50 3 4 3" xfId="26302" xr:uid="{00000000-0005-0000-0000-00000EC20000}"/>
    <cellStyle name="Migliaia 50 3 4 3 2" xfId="56299" xr:uid="{00000000-0005-0000-0000-00000FC20000}"/>
    <cellStyle name="Migliaia 50 3 4 4" xfId="41280" xr:uid="{00000000-0005-0000-0000-000010C20000}"/>
    <cellStyle name="Migliaia 50 3 4 5" xfId="53022" xr:uid="{00000000-0005-0000-0000-000011C20000}"/>
    <cellStyle name="Migliaia 50 3 5" xfId="17362" xr:uid="{00000000-0005-0000-0000-000012C20000}"/>
    <cellStyle name="Migliaia 50 3 5 2" xfId="33477" xr:uid="{00000000-0005-0000-0000-000013C20000}"/>
    <cellStyle name="Migliaia 50 3 5 3" xfId="48438" xr:uid="{00000000-0005-0000-0000-000014C20000}"/>
    <cellStyle name="Migliaia 50 3 5 4" xfId="54987" xr:uid="{00000000-0005-0000-0000-000015C20000}"/>
    <cellStyle name="Migliaia 50 3 6" xfId="19283" xr:uid="{00000000-0005-0000-0000-000016C20000}"/>
    <cellStyle name="Migliaia 50 3 6 2" xfId="55883" xr:uid="{00000000-0005-0000-0000-000017C20000}"/>
    <cellStyle name="Migliaia 50 3 7" xfId="34278" xr:uid="{00000000-0005-0000-0000-000018C20000}"/>
    <cellStyle name="Migliaia 50 3 8" xfId="49218" xr:uid="{00000000-0005-0000-0000-000019C20000}"/>
    <cellStyle name="Migliaia 50 3 9" xfId="49623" xr:uid="{00000000-0005-0000-0000-00001AC20000}"/>
    <cellStyle name="Migliaia 50 4" xfId="9386" xr:uid="{00000000-0005-0000-0000-00001BC20000}"/>
    <cellStyle name="Migliaia 50 4 2" xfId="17366" xr:uid="{00000000-0005-0000-0000-00001CC20000}"/>
    <cellStyle name="Migliaia 50 4 2 2" xfId="18429" xr:uid="{00000000-0005-0000-0000-00001DC20000}"/>
    <cellStyle name="Migliaia 50 4 2 2 2" xfId="33896" xr:uid="{00000000-0005-0000-0000-00001EC20000}"/>
    <cellStyle name="Migliaia 50 4 2 2 2 2" xfId="55380" xr:uid="{00000000-0005-0000-0000-00001FC20000}"/>
    <cellStyle name="Migliaia 50 4 2 2 3" xfId="48857" xr:uid="{00000000-0005-0000-0000-000020C20000}"/>
    <cellStyle name="Migliaia 50 4 2 2 3 2" xfId="56302" xr:uid="{00000000-0005-0000-0000-000021C20000}"/>
    <cellStyle name="Migliaia 50 4 2 2 4" xfId="53025" xr:uid="{00000000-0005-0000-0000-000022C20000}"/>
    <cellStyle name="Migliaia 50 4 2 3" xfId="33481" xr:uid="{00000000-0005-0000-0000-000023C20000}"/>
    <cellStyle name="Migliaia 50 4 2 3 2" xfId="54991" xr:uid="{00000000-0005-0000-0000-000024C20000}"/>
    <cellStyle name="Migliaia 50 4 2 4" xfId="48442" xr:uid="{00000000-0005-0000-0000-000025C20000}"/>
    <cellStyle name="Migliaia 50 4 2 4 2" xfId="55887" xr:uid="{00000000-0005-0000-0000-000026C20000}"/>
    <cellStyle name="Migliaia 50 4 2 5" xfId="52605" xr:uid="{00000000-0005-0000-0000-000027C20000}"/>
    <cellStyle name="Migliaia 50 4 3" xfId="18428" xr:uid="{00000000-0005-0000-0000-000028C20000}"/>
    <cellStyle name="Migliaia 50 4 3 2" xfId="33895" xr:uid="{00000000-0005-0000-0000-000029C20000}"/>
    <cellStyle name="Migliaia 50 4 3 2 2" xfId="55379" xr:uid="{00000000-0005-0000-0000-00002AC20000}"/>
    <cellStyle name="Migliaia 50 4 3 3" xfId="48856" xr:uid="{00000000-0005-0000-0000-00002BC20000}"/>
    <cellStyle name="Migliaia 50 4 3 3 2" xfId="56301" xr:uid="{00000000-0005-0000-0000-00002CC20000}"/>
    <cellStyle name="Migliaia 50 4 3 4" xfId="53024" xr:uid="{00000000-0005-0000-0000-00002DC20000}"/>
    <cellStyle name="Migliaia 50 4 4" xfId="17365" xr:uid="{00000000-0005-0000-0000-00002EC20000}"/>
    <cellStyle name="Migliaia 50 4 4 2" xfId="33480" xr:uid="{00000000-0005-0000-0000-00002FC20000}"/>
    <cellStyle name="Migliaia 50 4 4 3" xfId="48441" xr:uid="{00000000-0005-0000-0000-000030C20000}"/>
    <cellStyle name="Migliaia 50 4 4 4" xfId="54990" xr:uid="{00000000-0005-0000-0000-000031C20000}"/>
    <cellStyle name="Migliaia 50 4 5" xfId="51177" xr:uid="{00000000-0005-0000-0000-000032C20000}"/>
    <cellStyle name="Migliaia 50 4 5 2" xfId="55886" xr:uid="{00000000-0005-0000-0000-000033C20000}"/>
    <cellStyle name="Migliaia 50 4 6" xfId="52604" xr:uid="{00000000-0005-0000-0000-000034C20000}"/>
    <cellStyle name="Migliaia 50 5" xfId="9387" xr:uid="{00000000-0005-0000-0000-000035C20000}"/>
    <cellStyle name="Migliaia 50 5 2" xfId="17367" xr:uid="{00000000-0005-0000-0000-000036C20000}"/>
    <cellStyle name="Migliaia 50 5 2 2" xfId="33482" xr:uid="{00000000-0005-0000-0000-000037C20000}"/>
    <cellStyle name="Migliaia 50 5 2 3" xfId="48443" xr:uid="{00000000-0005-0000-0000-000038C20000}"/>
    <cellStyle name="Migliaia 50 5 2 4" xfId="54992" xr:uid="{00000000-0005-0000-0000-000039C20000}"/>
    <cellStyle name="Migliaia 50 5 3" xfId="50962" xr:uid="{00000000-0005-0000-0000-00003AC20000}"/>
    <cellStyle name="Migliaia 50 5 3 2" xfId="55888" xr:uid="{00000000-0005-0000-0000-00003BC20000}"/>
    <cellStyle name="Migliaia 50 5 4" xfId="52606" xr:uid="{00000000-0005-0000-0000-00003CC20000}"/>
    <cellStyle name="Migliaia 50 6" xfId="9382" xr:uid="{00000000-0005-0000-0000-00003DC20000}"/>
    <cellStyle name="Migliaia 50 6 2" xfId="51030" xr:uid="{00000000-0005-0000-0000-00003EC20000}"/>
    <cellStyle name="Migliaia 50 6 3" xfId="54630" xr:uid="{00000000-0005-0000-0000-00003FC20000}"/>
    <cellStyle name="Migliaia 50 7" xfId="9975" xr:uid="{00000000-0005-0000-0000-000040C20000}"/>
    <cellStyle name="Migliaia 50 7 2" xfId="26300" xr:uid="{00000000-0005-0000-0000-000041C20000}"/>
    <cellStyle name="Migliaia 50 7 3" xfId="41278" xr:uid="{00000000-0005-0000-0000-000042C20000}"/>
    <cellStyle name="Migliaia 50 7 4" xfId="55881" xr:uid="{00000000-0005-0000-0000-000043C20000}"/>
    <cellStyle name="Migliaia 50 8" xfId="17360" xr:uid="{00000000-0005-0000-0000-000044C20000}"/>
    <cellStyle name="Migliaia 50 8 2" xfId="33475" xr:uid="{00000000-0005-0000-0000-000045C20000}"/>
    <cellStyle name="Migliaia 50 8 3" xfId="48436" xr:uid="{00000000-0005-0000-0000-000046C20000}"/>
    <cellStyle name="Migliaia 50 9" xfId="19281" xr:uid="{00000000-0005-0000-0000-000047C20000}"/>
    <cellStyle name="Migliaia 51" xfId="469" xr:uid="{00000000-0005-0000-0000-000048C20000}"/>
    <cellStyle name="Migliaia 51 10" xfId="34280" xr:uid="{00000000-0005-0000-0000-000049C20000}"/>
    <cellStyle name="Migliaia 51 11" xfId="49220" xr:uid="{00000000-0005-0000-0000-00004AC20000}"/>
    <cellStyle name="Migliaia 51 12" xfId="49625" xr:uid="{00000000-0005-0000-0000-00004BC20000}"/>
    <cellStyle name="Migliaia 51 13" xfId="50031" xr:uid="{00000000-0005-0000-0000-00004CC20000}"/>
    <cellStyle name="Migliaia 51 14" xfId="50439" xr:uid="{00000000-0005-0000-0000-00004DC20000}"/>
    <cellStyle name="Migliaia 51 15" xfId="50881" xr:uid="{00000000-0005-0000-0000-00004EC20000}"/>
    <cellStyle name="Migliaia 51 16" xfId="51600" xr:uid="{00000000-0005-0000-0000-00004FC20000}"/>
    <cellStyle name="Migliaia 51 17" xfId="52012" xr:uid="{00000000-0005-0000-0000-000050C20000}"/>
    <cellStyle name="Migliaia 51 18" xfId="52607" xr:uid="{00000000-0005-0000-0000-000051C20000}"/>
    <cellStyle name="Migliaia 51 2" xfId="470" xr:uid="{00000000-0005-0000-0000-000052C20000}"/>
    <cellStyle name="Migliaia 51 2 10" xfId="50032" xr:uid="{00000000-0005-0000-0000-000053C20000}"/>
    <cellStyle name="Migliaia 51 2 11" xfId="50440" xr:uid="{00000000-0005-0000-0000-000054C20000}"/>
    <cellStyle name="Migliaia 51 2 12" xfId="50882" xr:uid="{00000000-0005-0000-0000-000055C20000}"/>
    <cellStyle name="Migliaia 51 2 13" xfId="51601" xr:uid="{00000000-0005-0000-0000-000056C20000}"/>
    <cellStyle name="Migliaia 51 2 14" xfId="52013" xr:uid="{00000000-0005-0000-0000-000057C20000}"/>
    <cellStyle name="Migliaia 51 2 15" xfId="52608" xr:uid="{00000000-0005-0000-0000-000058C20000}"/>
    <cellStyle name="Migliaia 51 2 2" xfId="1290" xr:uid="{00000000-0005-0000-0000-000059C20000}"/>
    <cellStyle name="Migliaia 51 2 2 10" xfId="51142" xr:uid="{00000000-0005-0000-0000-00005AC20000}"/>
    <cellStyle name="Migliaia 51 2 2 11" xfId="51738" xr:uid="{00000000-0005-0000-0000-00005BC20000}"/>
    <cellStyle name="Migliaia 51 2 2 12" xfId="52158" xr:uid="{00000000-0005-0000-0000-00005CC20000}"/>
    <cellStyle name="Migliaia 51 2 2 13" xfId="53026" xr:uid="{00000000-0005-0000-0000-00005DC20000}"/>
    <cellStyle name="Migliaia 51 2 2 2" xfId="10117" xr:uid="{00000000-0005-0000-0000-00005EC20000}"/>
    <cellStyle name="Migliaia 51 2 2 2 2" xfId="26437" xr:uid="{00000000-0005-0000-0000-00005FC20000}"/>
    <cellStyle name="Migliaia 51 2 2 2 3" xfId="41405" xr:uid="{00000000-0005-0000-0000-000060C20000}"/>
    <cellStyle name="Migliaia 51 2 2 2 4" xfId="55381" xr:uid="{00000000-0005-0000-0000-000061C20000}"/>
    <cellStyle name="Migliaia 51 2 2 3" xfId="18430" xr:uid="{00000000-0005-0000-0000-000062C20000}"/>
    <cellStyle name="Migliaia 51 2 2 3 2" xfId="33897" xr:uid="{00000000-0005-0000-0000-000063C20000}"/>
    <cellStyle name="Migliaia 51 2 2 3 3" xfId="48858" xr:uid="{00000000-0005-0000-0000-000064C20000}"/>
    <cellStyle name="Migliaia 51 2 2 3 4" xfId="56303" xr:uid="{00000000-0005-0000-0000-000065C20000}"/>
    <cellStyle name="Migliaia 51 2 2 4" xfId="19416" xr:uid="{00000000-0005-0000-0000-000066C20000}"/>
    <cellStyle name="Migliaia 51 2 2 5" xfId="34406" xr:uid="{00000000-0005-0000-0000-000067C20000}"/>
    <cellStyle name="Migliaia 51 2 2 6" xfId="49358" xr:uid="{00000000-0005-0000-0000-000068C20000}"/>
    <cellStyle name="Migliaia 51 2 2 7" xfId="49763" xr:uid="{00000000-0005-0000-0000-000069C20000}"/>
    <cellStyle name="Migliaia 51 2 2 8" xfId="50172" xr:uid="{00000000-0005-0000-0000-00006AC20000}"/>
    <cellStyle name="Migliaia 51 2 2 9" xfId="50577" xr:uid="{00000000-0005-0000-0000-00006BC20000}"/>
    <cellStyle name="Migliaia 51 2 3" xfId="9389" xr:uid="{00000000-0005-0000-0000-00006CC20000}"/>
    <cellStyle name="Migliaia 51 2 3 2" xfId="54695" xr:uid="{00000000-0005-0000-0000-00006DC20000}"/>
    <cellStyle name="Migliaia 51 2 4" xfId="9980" xr:uid="{00000000-0005-0000-0000-00006EC20000}"/>
    <cellStyle name="Migliaia 51 2 4 2" xfId="26305" xr:uid="{00000000-0005-0000-0000-00006FC20000}"/>
    <cellStyle name="Migliaia 51 2 4 3" xfId="41283" xr:uid="{00000000-0005-0000-0000-000070C20000}"/>
    <cellStyle name="Migliaia 51 2 4 4" xfId="55890" xr:uid="{00000000-0005-0000-0000-000071C20000}"/>
    <cellStyle name="Migliaia 51 2 5" xfId="17369" xr:uid="{00000000-0005-0000-0000-000072C20000}"/>
    <cellStyle name="Migliaia 51 2 5 2" xfId="33484" xr:uid="{00000000-0005-0000-0000-000073C20000}"/>
    <cellStyle name="Migliaia 51 2 5 3" xfId="48445" xr:uid="{00000000-0005-0000-0000-000074C20000}"/>
    <cellStyle name="Migliaia 51 2 6" xfId="19286" xr:uid="{00000000-0005-0000-0000-000075C20000}"/>
    <cellStyle name="Migliaia 51 2 7" xfId="34281" xr:uid="{00000000-0005-0000-0000-000076C20000}"/>
    <cellStyle name="Migliaia 51 2 8" xfId="49221" xr:uid="{00000000-0005-0000-0000-000077C20000}"/>
    <cellStyle name="Migliaia 51 2 9" xfId="49626" xr:uid="{00000000-0005-0000-0000-000078C20000}"/>
    <cellStyle name="Migliaia 51 3" xfId="471" xr:uid="{00000000-0005-0000-0000-000079C20000}"/>
    <cellStyle name="Migliaia 51 3 10" xfId="50033" xr:uid="{00000000-0005-0000-0000-00007AC20000}"/>
    <cellStyle name="Migliaia 51 3 11" xfId="50441" xr:uid="{00000000-0005-0000-0000-00007BC20000}"/>
    <cellStyle name="Migliaia 51 3 12" xfId="50883" xr:uid="{00000000-0005-0000-0000-00007CC20000}"/>
    <cellStyle name="Migliaia 51 3 13" xfId="51602" xr:uid="{00000000-0005-0000-0000-00007DC20000}"/>
    <cellStyle name="Migliaia 51 3 14" xfId="52014" xr:uid="{00000000-0005-0000-0000-00007EC20000}"/>
    <cellStyle name="Migliaia 51 3 15" xfId="52609" xr:uid="{00000000-0005-0000-0000-00007FC20000}"/>
    <cellStyle name="Migliaia 51 3 2" xfId="472" xr:uid="{00000000-0005-0000-0000-000080C20000}"/>
    <cellStyle name="Migliaia 51 3 2 10" xfId="50442" xr:uid="{00000000-0005-0000-0000-000081C20000}"/>
    <cellStyle name="Migliaia 51 3 2 11" xfId="50884" xr:uid="{00000000-0005-0000-0000-000082C20000}"/>
    <cellStyle name="Migliaia 51 3 2 12" xfId="51603" xr:uid="{00000000-0005-0000-0000-000083C20000}"/>
    <cellStyle name="Migliaia 51 3 2 13" xfId="52015" xr:uid="{00000000-0005-0000-0000-000084C20000}"/>
    <cellStyle name="Migliaia 51 3 2 14" xfId="52610" xr:uid="{00000000-0005-0000-0000-000085C20000}"/>
    <cellStyle name="Migliaia 51 3 2 2" xfId="9391" xr:uid="{00000000-0005-0000-0000-000086C20000}"/>
    <cellStyle name="Migliaia 51 3 2 2 2" xfId="54994" xr:uid="{00000000-0005-0000-0000-000087C20000}"/>
    <cellStyle name="Migliaia 51 3 2 3" xfId="9982" xr:uid="{00000000-0005-0000-0000-000088C20000}"/>
    <cellStyle name="Migliaia 51 3 2 3 2" xfId="26307" xr:uid="{00000000-0005-0000-0000-000089C20000}"/>
    <cellStyle name="Migliaia 51 3 2 3 3" xfId="41285" xr:uid="{00000000-0005-0000-0000-00008AC20000}"/>
    <cellStyle name="Migliaia 51 3 2 3 4" xfId="55892" xr:uid="{00000000-0005-0000-0000-00008BC20000}"/>
    <cellStyle name="Migliaia 51 3 2 4" xfId="17371" xr:uid="{00000000-0005-0000-0000-00008CC20000}"/>
    <cellStyle name="Migliaia 51 3 2 4 2" xfId="33486" xr:uid="{00000000-0005-0000-0000-00008DC20000}"/>
    <cellStyle name="Migliaia 51 3 2 4 3" xfId="48447" xr:uid="{00000000-0005-0000-0000-00008EC20000}"/>
    <cellStyle name="Migliaia 51 3 2 5" xfId="19288" xr:uid="{00000000-0005-0000-0000-00008FC20000}"/>
    <cellStyle name="Migliaia 51 3 2 6" xfId="34283" xr:uid="{00000000-0005-0000-0000-000090C20000}"/>
    <cellStyle name="Migliaia 51 3 2 7" xfId="49223" xr:uid="{00000000-0005-0000-0000-000091C20000}"/>
    <cellStyle name="Migliaia 51 3 2 8" xfId="49628" xr:uid="{00000000-0005-0000-0000-000092C20000}"/>
    <cellStyle name="Migliaia 51 3 2 9" xfId="50034" xr:uid="{00000000-0005-0000-0000-000093C20000}"/>
    <cellStyle name="Migliaia 51 3 3" xfId="9390" xr:uid="{00000000-0005-0000-0000-000094C20000}"/>
    <cellStyle name="Migliaia 51 3 3 2" xfId="18432" xr:uid="{00000000-0005-0000-0000-000095C20000}"/>
    <cellStyle name="Migliaia 51 3 3 2 2" xfId="33899" xr:uid="{00000000-0005-0000-0000-000096C20000}"/>
    <cellStyle name="Migliaia 51 3 3 2 2 2" xfId="55383" xr:uid="{00000000-0005-0000-0000-000097C20000}"/>
    <cellStyle name="Migliaia 51 3 3 2 3" xfId="48860" xr:uid="{00000000-0005-0000-0000-000098C20000}"/>
    <cellStyle name="Migliaia 51 3 3 2 3 2" xfId="56305" xr:uid="{00000000-0005-0000-0000-000099C20000}"/>
    <cellStyle name="Migliaia 51 3 3 2 4" xfId="53028" xr:uid="{00000000-0005-0000-0000-00009AC20000}"/>
    <cellStyle name="Migliaia 51 3 3 3" xfId="17372" xr:uid="{00000000-0005-0000-0000-00009BC20000}"/>
    <cellStyle name="Migliaia 51 3 3 3 2" xfId="33487" xr:uid="{00000000-0005-0000-0000-00009CC20000}"/>
    <cellStyle name="Migliaia 51 3 3 3 3" xfId="48448" xr:uid="{00000000-0005-0000-0000-00009DC20000}"/>
    <cellStyle name="Migliaia 51 3 3 3 4" xfId="54995" xr:uid="{00000000-0005-0000-0000-00009EC20000}"/>
    <cellStyle name="Migliaia 51 3 3 4" xfId="55893" xr:uid="{00000000-0005-0000-0000-00009FC20000}"/>
    <cellStyle name="Migliaia 51 3 3 5" xfId="52611" xr:uid="{00000000-0005-0000-0000-0000A0C20000}"/>
    <cellStyle name="Migliaia 51 3 4" xfId="9981" xr:uid="{00000000-0005-0000-0000-0000A1C20000}"/>
    <cellStyle name="Migliaia 51 3 4 2" xfId="18431" xr:uid="{00000000-0005-0000-0000-0000A2C20000}"/>
    <cellStyle name="Migliaia 51 3 4 2 2" xfId="33898" xr:uid="{00000000-0005-0000-0000-0000A3C20000}"/>
    <cellStyle name="Migliaia 51 3 4 2 3" xfId="48859" xr:uid="{00000000-0005-0000-0000-0000A4C20000}"/>
    <cellStyle name="Migliaia 51 3 4 2 4" xfId="55382" xr:uid="{00000000-0005-0000-0000-0000A5C20000}"/>
    <cellStyle name="Migliaia 51 3 4 3" xfId="26306" xr:uid="{00000000-0005-0000-0000-0000A6C20000}"/>
    <cellStyle name="Migliaia 51 3 4 3 2" xfId="56304" xr:uid="{00000000-0005-0000-0000-0000A7C20000}"/>
    <cellStyle name="Migliaia 51 3 4 4" xfId="41284" xr:uid="{00000000-0005-0000-0000-0000A8C20000}"/>
    <cellStyle name="Migliaia 51 3 4 5" xfId="53027" xr:uid="{00000000-0005-0000-0000-0000A9C20000}"/>
    <cellStyle name="Migliaia 51 3 5" xfId="17370" xr:uid="{00000000-0005-0000-0000-0000AAC20000}"/>
    <cellStyle name="Migliaia 51 3 5 2" xfId="33485" xr:uid="{00000000-0005-0000-0000-0000ABC20000}"/>
    <cellStyle name="Migliaia 51 3 5 3" xfId="48446" xr:uid="{00000000-0005-0000-0000-0000ACC20000}"/>
    <cellStyle name="Migliaia 51 3 5 4" xfId="54993" xr:uid="{00000000-0005-0000-0000-0000ADC20000}"/>
    <cellStyle name="Migliaia 51 3 6" xfId="19287" xr:uid="{00000000-0005-0000-0000-0000AEC20000}"/>
    <cellStyle name="Migliaia 51 3 6 2" xfId="55891" xr:uid="{00000000-0005-0000-0000-0000AFC20000}"/>
    <cellStyle name="Migliaia 51 3 7" xfId="34282" xr:uid="{00000000-0005-0000-0000-0000B0C20000}"/>
    <cellStyle name="Migliaia 51 3 8" xfId="49222" xr:uid="{00000000-0005-0000-0000-0000B1C20000}"/>
    <cellStyle name="Migliaia 51 3 9" xfId="49627" xr:uid="{00000000-0005-0000-0000-0000B2C20000}"/>
    <cellStyle name="Migliaia 51 4" xfId="9392" xr:uid="{00000000-0005-0000-0000-0000B3C20000}"/>
    <cellStyle name="Migliaia 51 4 2" xfId="17374" xr:uid="{00000000-0005-0000-0000-0000B4C20000}"/>
    <cellStyle name="Migliaia 51 4 2 2" xfId="18434" xr:uid="{00000000-0005-0000-0000-0000B5C20000}"/>
    <cellStyle name="Migliaia 51 4 2 2 2" xfId="33901" xr:uid="{00000000-0005-0000-0000-0000B6C20000}"/>
    <cellStyle name="Migliaia 51 4 2 2 2 2" xfId="55385" xr:uid="{00000000-0005-0000-0000-0000B7C20000}"/>
    <cellStyle name="Migliaia 51 4 2 2 3" xfId="48862" xr:uid="{00000000-0005-0000-0000-0000B8C20000}"/>
    <cellStyle name="Migliaia 51 4 2 2 3 2" xfId="56307" xr:uid="{00000000-0005-0000-0000-0000B9C20000}"/>
    <cellStyle name="Migliaia 51 4 2 2 4" xfId="53030" xr:uid="{00000000-0005-0000-0000-0000BAC20000}"/>
    <cellStyle name="Migliaia 51 4 2 3" xfId="33489" xr:uid="{00000000-0005-0000-0000-0000BBC20000}"/>
    <cellStyle name="Migliaia 51 4 2 3 2" xfId="54997" xr:uid="{00000000-0005-0000-0000-0000BCC20000}"/>
    <cellStyle name="Migliaia 51 4 2 4" xfId="48450" xr:uid="{00000000-0005-0000-0000-0000BDC20000}"/>
    <cellStyle name="Migliaia 51 4 2 4 2" xfId="55895" xr:uid="{00000000-0005-0000-0000-0000BEC20000}"/>
    <cellStyle name="Migliaia 51 4 2 5" xfId="52613" xr:uid="{00000000-0005-0000-0000-0000BFC20000}"/>
    <cellStyle name="Migliaia 51 4 3" xfId="18433" xr:uid="{00000000-0005-0000-0000-0000C0C20000}"/>
    <cellStyle name="Migliaia 51 4 3 2" xfId="33900" xr:uid="{00000000-0005-0000-0000-0000C1C20000}"/>
    <cellStyle name="Migliaia 51 4 3 2 2" xfId="55384" xr:uid="{00000000-0005-0000-0000-0000C2C20000}"/>
    <cellStyle name="Migliaia 51 4 3 3" xfId="48861" xr:uid="{00000000-0005-0000-0000-0000C3C20000}"/>
    <cellStyle name="Migliaia 51 4 3 3 2" xfId="56306" xr:uid="{00000000-0005-0000-0000-0000C4C20000}"/>
    <cellStyle name="Migliaia 51 4 3 4" xfId="53029" xr:uid="{00000000-0005-0000-0000-0000C5C20000}"/>
    <cellStyle name="Migliaia 51 4 4" xfId="17373" xr:uid="{00000000-0005-0000-0000-0000C6C20000}"/>
    <cellStyle name="Migliaia 51 4 4 2" xfId="33488" xr:uid="{00000000-0005-0000-0000-0000C7C20000}"/>
    <cellStyle name="Migliaia 51 4 4 3" xfId="48449" xr:uid="{00000000-0005-0000-0000-0000C8C20000}"/>
    <cellStyle name="Migliaia 51 4 4 4" xfId="54996" xr:uid="{00000000-0005-0000-0000-0000C9C20000}"/>
    <cellStyle name="Migliaia 51 4 5" xfId="51029" xr:uid="{00000000-0005-0000-0000-0000CAC20000}"/>
    <cellStyle name="Migliaia 51 4 5 2" xfId="55894" xr:uid="{00000000-0005-0000-0000-0000CBC20000}"/>
    <cellStyle name="Migliaia 51 4 6" xfId="52612" xr:uid="{00000000-0005-0000-0000-0000CCC20000}"/>
    <cellStyle name="Migliaia 51 5" xfId="9393" xr:uid="{00000000-0005-0000-0000-0000CDC20000}"/>
    <cellStyle name="Migliaia 51 5 2" xfId="17375" xr:uid="{00000000-0005-0000-0000-0000CEC20000}"/>
    <cellStyle name="Migliaia 51 5 2 2" xfId="33490" xr:uid="{00000000-0005-0000-0000-0000CFC20000}"/>
    <cellStyle name="Migliaia 51 5 2 3" xfId="48451" xr:uid="{00000000-0005-0000-0000-0000D0C20000}"/>
    <cellStyle name="Migliaia 51 5 2 4" xfId="54998" xr:uid="{00000000-0005-0000-0000-0000D1C20000}"/>
    <cellStyle name="Migliaia 51 5 3" xfId="51176" xr:uid="{00000000-0005-0000-0000-0000D2C20000}"/>
    <cellStyle name="Migliaia 51 5 3 2" xfId="55896" xr:uid="{00000000-0005-0000-0000-0000D3C20000}"/>
    <cellStyle name="Migliaia 51 5 4" xfId="52614" xr:uid="{00000000-0005-0000-0000-0000D4C20000}"/>
    <cellStyle name="Migliaia 51 6" xfId="9388" xr:uid="{00000000-0005-0000-0000-0000D5C20000}"/>
    <cellStyle name="Migliaia 51 6 2" xfId="51289" xr:uid="{00000000-0005-0000-0000-0000D6C20000}"/>
    <cellStyle name="Migliaia 51 6 3" xfId="54631" xr:uid="{00000000-0005-0000-0000-0000D7C20000}"/>
    <cellStyle name="Migliaia 51 7" xfId="9979" xr:uid="{00000000-0005-0000-0000-0000D8C20000}"/>
    <cellStyle name="Migliaia 51 7 2" xfId="26304" xr:uid="{00000000-0005-0000-0000-0000D9C20000}"/>
    <cellStyle name="Migliaia 51 7 3" xfId="41282" xr:uid="{00000000-0005-0000-0000-0000DAC20000}"/>
    <cellStyle name="Migliaia 51 7 4" xfId="55889" xr:uid="{00000000-0005-0000-0000-0000DBC20000}"/>
    <cellStyle name="Migliaia 51 8" xfId="17368" xr:uid="{00000000-0005-0000-0000-0000DCC20000}"/>
    <cellStyle name="Migliaia 51 8 2" xfId="33483" xr:uid="{00000000-0005-0000-0000-0000DDC20000}"/>
    <cellStyle name="Migliaia 51 8 3" xfId="48444" xr:uid="{00000000-0005-0000-0000-0000DEC20000}"/>
    <cellStyle name="Migliaia 51 9" xfId="19285" xr:uid="{00000000-0005-0000-0000-0000DFC20000}"/>
    <cellStyle name="Migliaia 52" xfId="473" xr:uid="{00000000-0005-0000-0000-0000E0C20000}"/>
    <cellStyle name="Migliaia 52 10" xfId="34284" xr:uid="{00000000-0005-0000-0000-0000E1C20000}"/>
    <cellStyle name="Migliaia 52 11" xfId="49224" xr:uid="{00000000-0005-0000-0000-0000E2C20000}"/>
    <cellStyle name="Migliaia 52 12" xfId="49629" xr:uid="{00000000-0005-0000-0000-0000E3C20000}"/>
    <cellStyle name="Migliaia 52 13" xfId="50035" xr:uid="{00000000-0005-0000-0000-0000E4C20000}"/>
    <cellStyle name="Migliaia 52 14" xfId="50443" xr:uid="{00000000-0005-0000-0000-0000E5C20000}"/>
    <cellStyle name="Migliaia 52 15" xfId="50885" xr:uid="{00000000-0005-0000-0000-0000E6C20000}"/>
    <cellStyle name="Migliaia 52 16" xfId="51604" xr:uid="{00000000-0005-0000-0000-0000E7C20000}"/>
    <cellStyle name="Migliaia 52 17" xfId="52016" xr:uid="{00000000-0005-0000-0000-0000E8C20000}"/>
    <cellStyle name="Migliaia 52 18" xfId="52615" xr:uid="{00000000-0005-0000-0000-0000E9C20000}"/>
    <cellStyle name="Migliaia 52 2" xfId="474" xr:uid="{00000000-0005-0000-0000-0000EAC20000}"/>
    <cellStyle name="Migliaia 52 2 10" xfId="50036" xr:uid="{00000000-0005-0000-0000-0000EBC20000}"/>
    <cellStyle name="Migliaia 52 2 11" xfId="50444" xr:uid="{00000000-0005-0000-0000-0000ECC20000}"/>
    <cellStyle name="Migliaia 52 2 12" xfId="50886" xr:uid="{00000000-0005-0000-0000-0000EDC20000}"/>
    <cellStyle name="Migliaia 52 2 13" xfId="51605" xr:uid="{00000000-0005-0000-0000-0000EEC20000}"/>
    <cellStyle name="Migliaia 52 2 14" xfId="52017" xr:uid="{00000000-0005-0000-0000-0000EFC20000}"/>
    <cellStyle name="Migliaia 52 2 15" xfId="52616" xr:uid="{00000000-0005-0000-0000-0000F0C20000}"/>
    <cellStyle name="Migliaia 52 2 2" xfId="1291" xr:uid="{00000000-0005-0000-0000-0000F1C20000}"/>
    <cellStyle name="Migliaia 52 2 2 10" xfId="51143" xr:uid="{00000000-0005-0000-0000-0000F2C20000}"/>
    <cellStyle name="Migliaia 52 2 2 11" xfId="51739" xr:uid="{00000000-0005-0000-0000-0000F3C20000}"/>
    <cellStyle name="Migliaia 52 2 2 12" xfId="52159" xr:uid="{00000000-0005-0000-0000-0000F4C20000}"/>
    <cellStyle name="Migliaia 52 2 2 13" xfId="53031" xr:uid="{00000000-0005-0000-0000-0000F5C20000}"/>
    <cellStyle name="Migliaia 52 2 2 2" xfId="10118" xr:uid="{00000000-0005-0000-0000-0000F6C20000}"/>
    <cellStyle name="Migliaia 52 2 2 2 2" xfId="26438" xr:uid="{00000000-0005-0000-0000-0000F7C20000}"/>
    <cellStyle name="Migliaia 52 2 2 2 3" xfId="41406" xr:uid="{00000000-0005-0000-0000-0000F8C20000}"/>
    <cellStyle name="Migliaia 52 2 2 2 4" xfId="55386" xr:uid="{00000000-0005-0000-0000-0000F9C20000}"/>
    <cellStyle name="Migliaia 52 2 2 3" xfId="18435" xr:uid="{00000000-0005-0000-0000-0000FAC20000}"/>
    <cellStyle name="Migliaia 52 2 2 3 2" xfId="33902" xr:uid="{00000000-0005-0000-0000-0000FBC20000}"/>
    <cellStyle name="Migliaia 52 2 2 3 3" xfId="48863" xr:uid="{00000000-0005-0000-0000-0000FCC20000}"/>
    <cellStyle name="Migliaia 52 2 2 3 4" xfId="56308" xr:uid="{00000000-0005-0000-0000-0000FDC20000}"/>
    <cellStyle name="Migliaia 52 2 2 4" xfId="19417" xr:uid="{00000000-0005-0000-0000-0000FEC20000}"/>
    <cellStyle name="Migliaia 52 2 2 5" xfId="34407" xr:uid="{00000000-0005-0000-0000-0000FFC20000}"/>
    <cellStyle name="Migliaia 52 2 2 6" xfId="49359" xr:uid="{00000000-0005-0000-0000-000000C30000}"/>
    <cellStyle name="Migliaia 52 2 2 7" xfId="49764" xr:uid="{00000000-0005-0000-0000-000001C30000}"/>
    <cellStyle name="Migliaia 52 2 2 8" xfId="50173" xr:uid="{00000000-0005-0000-0000-000002C30000}"/>
    <cellStyle name="Migliaia 52 2 2 9" xfId="50578" xr:uid="{00000000-0005-0000-0000-000003C30000}"/>
    <cellStyle name="Migliaia 52 2 3" xfId="9395" xr:uid="{00000000-0005-0000-0000-000004C30000}"/>
    <cellStyle name="Migliaia 52 2 3 2" xfId="54696" xr:uid="{00000000-0005-0000-0000-000005C30000}"/>
    <cellStyle name="Migliaia 52 2 4" xfId="9984" xr:uid="{00000000-0005-0000-0000-000006C30000}"/>
    <cellStyle name="Migliaia 52 2 4 2" xfId="26309" xr:uid="{00000000-0005-0000-0000-000007C30000}"/>
    <cellStyle name="Migliaia 52 2 4 3" xfId="41287" xr:uid="{00000000-0005-0000-0000-000008C30000}"/>
    <cellStyle name="Migliaia 52 2 4 4" xfId="55898" xr:uid="{00000000-0005-0000-0000-000009C30000}"/>
    <cellStyle name="Migliaia 52 2 5" xfId="17377" xr:uid="{00000000-0005-0000-0000-00000AC30000}"/>
    <cellStyle name="Migliaia 52 2 5 2" xfId="33492" xr:uid="{00000000-0005-0000-0000-00000BC30000}"/>
    <cellStyle name="Migliaia 52 2 5 3" xfId="48453" xr:uid="{00000000-0005-0000-0000-00000CC30000}"/>
    <cellStyle name="Migliaia 52 2 6" xfId="19290" xr:uid="{00000000-0005-0000-0000-00000DC30000}"/>
    <cellStyle name="Migliaia 52 2 7" xfId="34285" xr:uid="{00000000-0005-0000-0000-00000EC30000}"/>
    <cellStyle name="Migliaia 52 2 8" xfId="49225" xr:uid="{00000000-0005-0000-0000-00000FC30000}"/>
    <cellStyle name="Migliaia 52 2 9" xfId="49630" xr:uid="{00000000-0005-0000-0000-000010C30000}"/>
    <cellStyle name="Migliaia 52 3" xfId="475" xr:uid="{00000000-0005-0000-0000-000011C30000}"/>
    <cellStyle name="Migliaia 52 3 10" xfId="50037" xr:uid="{00000000-0005-0000-0000-000012C30000}"/>
    <cellStyle name="Migliaia 52 3 11" xfId="50445" xr:uid="{00000000-0005-0000-0000-000013C30000}"/>
    <cellStyle name="Migliaia 52 3 12" xfId="50887" xr:uid="{00000000-0005-0000-0000-000014C30000}"/>
    <cellStyle name="Migliaia 52 3 13" xfId="51606" xr:uid="{00000000-0005-0000-0000-000015C30000}"/>
    <cellStyle name="Migliaia 52 3 14" xfId="52018" xr:uid="{00000000-0005-0000-0000-000016C30000}"/>
    <cellStyle name="Migliaia 52 3 15" xfId="52617" xr:uid="{00000000-0005-0000-0000-000017C30000}"/>
    <cellStyle name="Migliaia 52 3 2" xfId="476" xr:uid="{00000000-0005-0000-0000-000018C30000}"/>
    <cellStyle name="Migliaia 52 3 2 10" xfId="50446" xr:uid="{00000000-0005-0000-0000-000019C30000}"/>
    <cellStyle name="Migliaia 52 3 2 11" xfId="50888" xr:uid="{00000000-0005-0000-0000-00001AC30000}"/>
    <cellStyle name="Migliaia 52 3 2 12" xfId="51607" xr:uid="{00000000-0005-0000-0000-00001BC30000}"/>
    <cellStyle name="Migliaia 52 3 2 13" xfId="52019" xr:uid="{00000000-0005-0000-0000-00001CC30000}"/>
    <cellStyle name="Migliaia 52 3 2 14" xfId="52618" xr:uid="{00000000-0005-0000-0000-00001DC30000}"/>
    <cellStyle name="Migliaia 52 3 2 2" xfId="9397" xr:uid="{00000000-0005-0000-0000-00001EC30000}"/>
    <cellStyle name="Migliaia 52 3 2 2 2" xfId="55000" xr:uid="{00000000-0005-0000-0000-00001FC30000}"/>
    <cellStyle name="Migliaia 52 3 2 3" xfId="9986" xr:uid="{00000000-0005-0000-0000-000020C30000}"/>
    <cellStyle name="Migliaia 52 3 2 3 2" xfId="26311" xr:uid="{00000000-0005-0000-0000-000021C30000}"/>
    <cellStyle name="Migliaia 52 3 2 3 3" xfId="41289" xr:uid="{00000000-0005-0000-0000-000022C30000}"/>
    <cellStyle name="Migliaia 52 3 2 3 4" xfId="55900" xr:uid="{00000000-0005-0000-0000-000023C30000}"/>
    <cellStyle name="Migliaia 52 3 2 4" xfId="17379" xr:uid="{00000000-0005-0000-0000-000024C30000}"/>
    <cellStyle name="Migliaia 52 3 2 4 2" xfId="33494" xr:uid="{00000000-0005-0000-0000-000025C30000}"/>
    <cellStyle name="Migliaia 52 3 2 4 3" xfId="48455" xr:uid="{00000000-0005-0000-0000-000026C30000}"/>
    <cellStyle name="Migliaia 52 3 2 5" xfId="19292" xr:uid="{00000000-0005-0000-0000-000027C30000}"/>
    <cellStyle name="Migliaia 52 3 2 6" xfId="34287" xr:uid="{00000000-0005-0000-0000-000028C30000}"/>
    <cellStyle name="Migliaia 52 3 2 7" xfId="49227" xr:uid="{00000000-0005-0000-0000-000029C30000}"/>
    <cellStyle name="Migliaia 52 3 2 8" xfId="49632" xr:uid="{00000000-0005-0000-0000-00002AC30000}"/>
    <cellStyle name="Migliaia 52 3 2 9" xfId="50038" xr:uid="{00000000-0005-0000-0000-00002BC30000}"/>
    <cellStyle name="Migliaia 52 3 3" xfId="9396" xr:uid="{00000000-0005-0000-0000-00002CC30000}"/>
    <cellStyle name="Migliaia 52 3 3 2" xfId="18437" xr:uid="{00000000-0005-0000-0000-00002DC30000}"/>
    <cellStyle name="Migliaia 52 3 3 2 2" xfId="33904" xr:uid="{00000000-0005-0000-0000-00002EC30000}"/>
    <cellStyle name="Migliaia 52 3 3 2 2 2" xfId="55388" xr:uid="{00000000-0005-0000-0000-00002FC30000}"/>
    <cellStyle name="Migliaia 52 3 3 2 3" xfId="48865" xr:uid="{00000000-0005-0000-0000-000030C30000}"/>
    <cellStyle name="Migliaia 52 3 3 2 3 2" xfId="56310" xr:uid="{00000000-0005-0000-0000-000031C30000}"/>
    <cellStyle name="Migliaia 52 3 3 2 4" xfId="53033" xr:uid="{00000000-0005-0000-0000-000032C30000}"/>
    <cellStyle name="Migliaia 52 3 3 3" xfId="17380" xr:uid="{00000000-0005-0000-0000-000033C30000}"/>
    <cellStyle name="Migliaia 52 3 3 3 2" xfId="33495" xr:uid="{00000000-0005-0000-0000-000034C30000}"/>
    <cellStyle name="Migliaia 52 3 3 3 3" xfId="48456" xr:uid="{00000000-0005-0000-0000-000035C30000}"/>
    <cellStyle name="Migliaia 52 3 3 3 4" xfId="55001" xr:uid="{00000000-0005-0000-0000-000036C30000}"/>
    <cellStyle name="Migliaia 52 3 3 4" xfId="55901" xr:uid="{00000000-0005-0000-0000-000037C30000}"/>
    <cellStyle name="Migliaia 52 3 3 5" xfId="52619" xr:uid="{00000000-0005-0000-0000-000038C30000}"/>
    <cellStyle name="Migliaia 52 3 4" xfId="9985" xr:uid="{00000000-0005-0000-0000-000039C30000}"/>
    <cellStyle name="Migliaia 52 3 4 2" xfId="18436" xr:uid="{00000000-0005-0000-0000-00003AC30000}"/>
    <cellStyle name="Migliaia 52 3 4 2 2" xfId="33903" xr:uid="{00000000-0005-0000-0000-00003BC30000}"/>
    <cellStyle name="Migliaia 52 3 4 2 3" xfId="48864" xr:uid="{00000000-0005-0000-0000-00003CC30000}"/>
    <cellStyle name="Migliaia 52 3 4 2 4" xfId="55387" xr:uid="{00000000-0005-0000-0000-00003DC30000}"/>
    <cellStyle name="Migliaia 52 3 4 3" xfId="26310" xr:uid="{00000000-0005-0000-0000-00003EC30000}"/>
    <cellStyle name="Migliaia 52 3 4 3 2" xfId="56309" xr:uid="{00000000-0005-0000-0000-00003FC30000}"/>
    <cellStyle name="Migliaia 52 3 4 4" xfId="41288" xr:uid="{00000000-0005-0000-0000-000040C30000}"/>
    <cellStyle name="Migliaia 52 3 4 5" xfId="53032" xr:uid="{00000000-0005-0000-0000-000041C30000}"/>
    <cellStyle name="Migliaia 52 3 5" xfId="17378" xr:uid="{00000000-0005-0000-0000-000042C30000}"/>
    <cellStyle name="Migliaia 52 3 5 2" xfId="33493" xr:uid="{00000000-0005-0000-0000-000043C30000}"/>
    <cellStyle name="Migliaia 52 3 5 3" xfId="48454" xr:uid="{00000000-0005-0000-0000-000044C30000}"/>
    <cellStyle name="Migliaia 52 3 5 4" xfId="54999" xr:uid="{00000000-0005-0000-0000-000045C30000}"/>
    <cellStyle name="Migliaia 52 3 6" xfId="19291" xr:uid="{00000000-0005-0000-0000-000046C30000}"/>
    <cellStyle name="Migliaia 52 3 6 2" xfId="55899" xr:uid="{00000000-0005-0000-0000-000047C30000}"/>
    <cellStyle name="Migliaia 52 3 7" xfId="34286" xr:uid="{00000000-0005-0000-0000-000048C30000}"/>
    <cellStyle name="Migliaia 52 3 8" xfId="49226" xr:uid="{00000000-0005-0000-0000-000049C30000}"/>
    <cellStyle name="Migliaia 52 3 9" xfId="49631" xr:uid="{00000000-0005-0000-0000-00004AC30000}"/>
    <cellStyle name="Migliaia 52 4" xfId="9398" xr:uid="{00000000-0005-0000-0000-00004BC30000}"/>
    <cellStyle name="Migliaia 52 4 2" xfId="17382" xr:uid="{00000000-0005-0000-0000-00004CC30000}"/>
    <cellStyle name="Migliaia 52 4 2 2" xfId="18439" xr:uid="{00000000-0005-0000-0000-00004DC30000}"/>
    <cellStyle name="Migliaia 52 4 2 2 2" xfId="33906" xr:uid="{00000000-0005-0000-0000-00004EC30000}"/>
    <cellStyle name="Migliaia 52 4 2 2 2 2" xfId="55390" xr:uid="{00000000-0005-0000-0000-00004FC30000}"/>
    <cellStyle name="Migliaia 52 4 2 2 3" xfId="48867" xr:uid="{00000000-0005-0000-0000-000050C30000}"/>
    <cellStyle name="Migliaia 52 4 2 2 3 2" xfId="56312" xr:uid="{00000000-0005-0000-0000-000051C30000}"/>
    <cellStyle name="Migliaia 52 4 2 2 4" xfId="53035" xr:uid="{00000000-0005-0000-0000-000052C30000}"/>
    <cellStyle name="Migliaia 52 4 2 3" xfId="33497" xr:uid="{00000000-0005-0000-0000-000053C30000}"/>
    <cellStyle name="Migliaia 52 4 2 3 2" xfId="55003" xr:uid="{00000000-0005-0000-0000-000054C30000}"/>
    <cellStyle name="Migliaia 52 4 2 4" xfId="48458" xr:uid="{00000000-0005-0000-0000-000055C30000}"/>
    <cellStyle name="Migliaia 52 4 2 4 2" xfId="55903" xr:uid="{00000000-0005-0000-0000-000056C30000}"/>
    <cellStyle name="Migliaia 52 4 2 5" xfId="52621" xr:uid="{00000000-0005-0000-0000-000057C30000}"/>
    <cellStyle name="Migliaia 52 4 3" xfId="18438" xr:uid="{00000000-0005-0000-0000-000058C30000}"/>
    <cellStyle name="Migliaia 52 4 3 2" xfId="33905" xr:uid="{00000000-0005-0000-0000-000059C30000}"/>
    <cellStyle name="Migliaia 52 4 3 2 2" xfId="55389" xr:uid="{00000000-0005-0000-0000-00005AC30000}"/>
    <cellStyle name="Migliaia 52 4 3 3" xfId="48866" xr:uid="{00000000-0005-0000-0000-00005BC30000}"/>
    <cellStyle name="Migliaia 52 4 3 3 2" xfId="56311" xr:uid="{00000000-0005-0000-0000-00005CC30000}"/>
    <cellStyle name="Migliaia 52 4 3 4" xfId="53034" xr:uid="{00000000-0005-0000-0000-00005DC30000}"/>
    <cellStyle name="Migliaia 52 4 4" xfId="17381" xr:uid="{00000000-0005-0000-0000-00005EC30000}"/>
    <cellStyle name="Migliaia 52 4 4 2" xfId="33496" xr:uid="{00000000-0005-0000-0000-00005FC30000}"/>
    <cellStyle name="Migliaia 52 4 4 3" xfId="48457" xr:uid="{00000000-0005-0000-0000-000060C30000}"/>
    <cellStyle name="Migliaia 52 4 4 4" xfId="55002" xr:uid="{00000000-0005-0000-0000-000061C30000}"/>
    <cellStyle name="Migliaia 52 4 5" xfId="51175" xr:uid="{00000000-0005-0000-0000-000062C30000}"/>
    <cellStyle name="Migliaia 52 4 5 2" xfId="55902" xr:uid="{00000000-0005-0000-0000-000063C30000}"/>
    <cellStyle name="Migliaia 52 4 6" xfId="52620" xr:uid="{00000000-0005-0000-0000-000064C30000}"/>
    <cellStyle name="Migliaia 52 5" xfId="9399" xr:uid="{00000000-0005-0000-0000-000065C30000}"/>
    <cellStyle name="Migliaia 52 5 2" xfId="17383" xr:uid="{00000000-0005-0000-0000-000066C30000}"/>
    <cellStyle name="Migliaia 52 5 2 2" xfId="33498" xr:uid="{00000000-0005-0000-0000-000067C30000}"/>
    <cellStyle name="Migliaia 52 5 2 3" xfId="48459" xr:uid="{00000000-0005-0000-0000-000068C30000}"/>
    <cellStyle name="Migliaia 52 5 2 4" xfId="55004" xr:uid="{00000000-0005-0000-0000-000069C30000}"/>
    <cellStyle name="Migliaia 52 5 3" xfId="51290" xr:uid="{00000000-0005-0000-0000-00006AC30000}"/>
    <cellStyle name="Migliaia 52 5 3 2" xfId="55904" xr:uid="{00000000-0005-0000-0000-00006BC30000}"/>
    <cellStyle name="Migliaia 52 5 4" xfId="52622" xr:uid="{00000000-0005-0000-0000-00006CC30000}"/>
    <cellStyle name="Migliaia 52 6" xfId="9394" xr:uid="{00000000-0005-0000-0000-00006DC30000}"/>
    <cellStyle name="Migliaia 52 6 2" xfId="50961" xr:uid="{00000000-0005-0000-0000-00006EC30000}"/>
    <cellStyle name="Migliaia 52 6 3" xfId="54632" xr:uid="{00000000-0005-0000-0000-00006FC30000}"/>
    <cellStyle name="Migliaia 52 7" xfId="9983" xr:uid="{00000000-0005-0000-0000-000070C30000}"/>
    <cellStyle name="Migliaia 52 7 2" xfId="26308" xr:uid="{00000000-0005-0000-0000-000071C30000}"/>
    <cellStyle name="Migliaia 52 7 3" xfId="41286" xr:uid="{00000000-0005-0000-0000-000072C30000}"/>
    <cellStyle name="Migliaia 52 7 4" xfId="55897" xr:uid="{00000000-0005-0000-0000-000073C30000}"/>
    <cellStyle name="Migliaia 52 8" xfId="17376" xr:uid="{00000000-0005-0000-0000-000074C30000}"/>
    <cellStyle name="Migliaia 52 8 2" xfId="33491" xr:uid="{00000000-0005-0000-0000-000075C30000}"/>
    <cellStyle name="Migliaia 52 8 3" xfId="48452" xr:uid="{00000000-0005-0000-0000-000076C30000}"/>
    <cellStyle name="Migliaia 52 9" xfId="19289" xr:uid="{00000000-0005-0000-0000-000077C30000}"/>
    <cellStyle name="Migliaia 53" xfId="477" xr:uid="{00000000-0005-0000-0000-000078C30000}"/>
    <cellStyle name="Migliaia 53 10" xfId="34288" xr:uid="{00000000-0005-0000-0000-000079C30000}"/>
    <cellStyle name="Migliaia 53 11" xfId="49228" xr:uid="{00000000-0005-0000-0000-00007AC30000}"/>
    <cellStyle name="Migliaia 53 12" xfId="49633" xr:uid="{00000000-0005-0000-0000-00007BC30000}"/>
    <cellStyle name="Migliaia 53 13" xfId="50039" xr:uid="{00000000-0005-0000-0000-00007CC30000}"/>
    <cellStyle name="Migliaia 53 14" xfId="50447" xr:uid="{00000000-0005-0000-0000-00007DC30000}"/>
    <cellStyle name="Migliaia 53 15" xfId="50889" xr:uid="{00000000-0005-0000-0000-00007EC30000}"/>
    <cellStyle name="Migliaia 53 16" xfId="51608" xr:uid="{00000000-0005-0000-0000-00007FC30000}"/>
    <cellStyle name="Migliaia 53 17" xfId="52020" xr:uid="{00000000-0005-0000-0000-000080C30000}"/>
    <cellStyle name="Migliaia 53 18" xfId="52623" xr:uid="{00000000-0005-0000-0000-000081C30000}"/>
    <cellStyle name="Migliaia 53 2" xfId="478" xr:uid="{00000000-0005-0000-0000-000082C30000}"/>
    <cellStyle name="Migliaia 53 2 10" xfId="50040" xr:uid="{00000000-0005-0000-0000-000083C30000}"/>
    <cellStyle name="Migliaia 53 2 11" xfId="50448" xr:uid="{00000000-0005-0000-0000-000084C30000}"/>
    <cellStyle name="Migliaia 53 2 12" xfId="50890" xr:uid="{00000000-0005-0000-0000-000085C30000}"/>
    <cellStyle name="Migliaia 53 2 13" xfId="51609" xr:uid="{00000000-0005-0000-0000-000086C30000}"/>
    <cellStyle name="Migliaia 53 2 14" xfId="52021" xr:uid="{00000000-0005-0000-0000-000087C30000}"/>
    <cellStyle name="Migliaia 53 2 15" xfId="52624" xr:uid="{00000000-0005-0000-0000-000088C30000}"/>
    <cellStyle name="Migliaia 53 2 2" xfId="1292" xr:uid="{00000000-0005-0000-0000-000089C30000}"/>
    <cellStyle name="Migliaia 53 2 2 10" xfId="51144" xr:uid="{00000000-0005-0000-0000-00008AC30000}"/>
    <cellStyle name="Migliaia 53 2 2 11" xfId="51740" xr:uid="{00000000-0005-0000-0000-00008BC30000}"/>
    <cellStyle name="Migliaia 53 2 2 12" xfId="52160" xr:uid="{00000000-0005-0000-0000-00008CC30000}"/>
    <cellStyle name="Migliaia 53 2 2 13" xfId="53036" xr:uid="{00000000-0005-0000-0000-00008DC30000}"/>
    <cellStyle name="Migliaia 53 2 2 2" xfId="10119" xr:uid="{00000000-0005-0000-0000-00008EC30000}"/>
    <cellStyle name="Migliaia 53 2 2 2 2" xfId="26439" xr:uid="{00000000-0005-0000-0000-00008FC30000}"/>
    <cellStyle name="Migliaia 53 2 2 2 3" xfId="41407" xr:uid="{00000000-0005-0000-0000-000090C30000}"/>
    <cellStyle name="Migliaia 53 2 2 2 4" xfId="55391" xr:uid="{00000000-0005-0000-0000-000091C30000}"/>
    <cellStyle name="Migliaia 53 2 2 3" xfId="18440" xr:uid="{00000000-0005-0000-0000-000092C30000}"/>
    <cellStyle name="Migliaia 53 2 2 3 2" xfId="33907" xr:uid="{00000000-0005-0000-0000-000093C30000}"/>
    <cellStyle name="Migliaia 53 2 2 3 3" xfId="48868" xr:uid="{00000000-0005-0000-0000-000094C30000}"/>
    <cellStyle name="Migliaia 53 2 2 3 4" xfId="56313" xr:uid="{00000000-0005-0000-0000-000095C30000}"/>
    <cellStyle name="Migliaia 53 2 2 4" xfId="19418" xr:uid="{00000000-0005-0000-0000-000096C30000}"/>
    <cellStyle name="Migliaia 53 2 2 5" xfId="34408" xr:uid="{00000000-0005-0000-0000-000097C30000}"/>
    <cellStyle name="Migliaia 53 2 2 6" xfId="49360" xr:uid="{00000000-0005-0000-0000-000098C30000}"/>
    <cellStyle name="Migliaia 53 2 2 7" xfId="49765" xr:uid="{00000000-0005-0000-0000-000099C30000}"/>
    <cellStyle name="Migliaia 53 2 2 8" xfId="50174" xr:uid="{00000000-0005-0000-0000-00009AC30000}"/>
    <cellStyle name="Migliaia 53 2 2 9" xfId="50579" xr:uid="{00000000-0005-0000-0000-00009BC30000}"/>
    <cellStyle name="Migliaia 53 2 3" xfId="9401" xr:uid="{00000000-0005-0000-0000-00009CC30000}"/>
    <cellStyle name="Migliaia 53 2 3 2" xfId="54697" xr:uid="{00000000-0005-0000-0000-00009DC30000}"/>
    <cellStyle name="Migliaia 53 2 4" xfId="9988" xr:uid="{00000000-0005-0000-0000-00009EC30000}"/>
    <cellStyle name="Migliaia 53 2 4 2" xfId="26313" xr:uid="{00000000-0005-0000-0000-00009FC30000}"/>
    <cellStyle name="Migliaia 53 2 4 3" xfId="41291" xr:uid="{00000000-0005-0000-0000-0000A0C30000}"/>
    <cellStyle name="Migliaia 53 2 4 4" xfId="55906" xr:uid="{00000000-0005-0000-0000-0000A1C30000}"/>
    <cellStyle name="Migliaia 53 2 5" xfId="17385" xr:uid="{00000000-0005-0000-0000-0000A2C30000}"/>
    <cellStyle name="Migliaia 53 2 5 2" xfId="33500" xr:uid="{00000000-0005-0000-0000-0000A3C30000}"/>
    <cellStyle name="Migliaia 53 2 5 3" xfId="48461" xr:uid="{00000000-0005-0000-0000-0000A4C30000}"/>
    <cellStyle name="Migliaia 53 2 6" xfId="19294" xr:uid="{00000000-0005-0000-0000-0000A5C30000}"/>
    <cellStyle name="Migliaia 53 2 7" xfId="34289" xr:uid="{00000000-0005-0000-0000-0000A6C30000}"/>
    <cellStyle name="Migliaia 53 2 8" xfId="49229" xr:uid="{00000000-0005-0000-0000-0000A7C30000}"/>
    <cellStyle name="Migliaia 53 2 9" xfId="49634" xr:uid="{00000000-0005-0000-0000-0000A8C30000}"/>
    <cellStyle name="Migliaia 53 3" xfId="479" xr:uid="{00000000-0005-0000-0000-0000A9C30000}"/>
    <cellStyle name="Migliaia 53 3 10" xfId="50041" xr:uid="{00000000-0005-0000-0000-0000AAC30000}"/>
    <cellStyle name="Migliaia 53 3 11" xfId="50449" xr:uid="{00000000-0005-0000-0000-0000ABC30000}"/>
    <cellStyle name="Migliaia 53 3 12" xfId="50891" xr:uid="{00000000-0005-0000-0000-0000ACC30000}"/>
    <cellStyle name="Migliaia 53 3 13" xfId="51610" xr:uid="{00000000-0005-0000-0000-0000ADC30000}"/>
    <cellStyle name="Migliaia 53 3 14" xfId="52022" xr:uid="{00000000-0005-0000-0000-0000AEC30000}"/>
    <cellStyle name="Migliaia 53 3 15" xfId="52625" xr:uid="{00000000-0005-0000-0000-0000AFC30000}"/>
    <cellStyle name="Migliaia 53 3 2" xfId="480" xr:uid="{00000000-0005-0000-0000-0000B0C30000}"/>
    <cellStyle name="Migliaia 53 3 2 10" xfId="50450" xr:uid="{00000000-0005-0000-0000-0000B1C30000}"/>
    <cellStyle name="Migliaia 53 3 2 11" xfId="50892" xr:uid="{00000000-0005-0000-0000-0000B2C30000}"/>
    <cellStyle name="Migliaia 53 3 2 12" xfId="51611" xr:uid="{00000000-0005-0000-0000-0000B3C30000}"/>
    <cellStyle name="Migliaia 53 3 2 13" xfId="52023" xr:uid="{00000000-0005-0000-0000-0000B4C30000}"/>
    <cellStyle name="Migliaia 53 3 2 14" xfId="52626" xr:uid="{00000000-0005-0000-0000-0000B5C30000}"/>
    <cellStyle name="Migliaia 53 3 2 2" xfId="9403" xr:uid="{00000000-0005-0000-0000-0000B6C30000}"/>
    <cellStyle name="Migliaia 53 3 2 2 2" xfId="55006" xr:uid="{00000000-0005-0000-0000-0000B7C30000}"/>
    <cellStyle name="Migliaia 53 3 2 3" xfId="9990" xr:uid="{00000000-0005-0000-0000-0000B8C30000}"/>
    <cellStyle name="Migliaia 53 3 2 3 2" xfId="26315" xr:uid="{00000000-0005-0000-0000-0000B9C30000}"/>
    <cellStyle name="Migliaia 53 3 2 3 3" xfId="41293" xr:uid="{00000000-0005-0000-0000-0000BAC30000}"/>
    <cellStyle name="Migliaia 53 3 2 3 4" xfId="55908" xr:uid="{00000000-0005-0000-0000-0000BBC30000}"/>
    <cellStyle name="Migliaia 53 3 2 4" xfId="17387" xr:uid="{00000000-0005-0000-0000-0000BCC30000}"/>
    <cellStyle name="Migliaia 53 3 2 4 2" xfId="33502" xr:uid="{00000000-0005-0000-0000-0000BDC30000}"/>
    <cellStyle name="Migliaia 53 3 2 4 3" xfId="48463" xr:uid="{00000000-0005-0000-0000-0000BEC30000}"/>
    <cellStyle name="Migliaia 53 3 2 5" xfId="19296" xr:uid="{00000000-0005-0000-0000-0000BFC30000}"/>
    <cellStyle name="Migliaia 53 3 2 6" xfId="34291" xr:uid="{00000000-0005-0000-0000-0000C0C30000}"/>
    <cellStyle name="Migliaia 53 3 2 7" xfId="49231" xr:uid="{00000000-0005-0000-0000-0000C1C30000}"/>
    <cellStyle name="Migliaia 53 3 2 8" xfId="49636" xr:uid="{00000000-0005-0000-0000-0000C2C30000}"/>
    <cellStyle name="Migliaia 53 3 2 9" xfId="50042" xr:uid="{00000000-0005-0000-0000-0000C3C30000}"/>
    <cellStyle name="Migliaia 53 3 3" xfId="9402" xr:uid="{00000000-0005-0000-0000-0000C4C30000}"/>
    <cellStyle name="Migliaia 53 3 3 2" xfId="18442" xr:uid="{00000000-0005-0000-0000-0000C5C30000}"/>
    <cellStyle name="Migliaia 53 3 3 2 2" xfId="33909" xr:uid="{00000000-0005-0000-0000-0000C6C30000}"/>
    <cellStyle name="Migliaia 53 3 3 2 2 2" xfId="55393" xr:uid="{00000000-0005-0000-0000-0000C7C30000}"/>
    <cellStyle name="Migliaia 53 3 3 2 3" xfId="48870" xr:uid="{00000000-0005-0000-0000-0000C8C30000}"/>
    <cellStyle name="Migliaia 53 3 3 2 3 2" xfId="56315" xr:uid="{00000000-0005-0000-0000-0000C9C30000}"/>
    <cellStyle name="Migliaia 53 3 3 2 4" xfId="53038" xr:uid="{00000000-0005-0000-0000-0000CAC30000}"/>
    <cellStyle name="Migliaia 53 3 3 3" xfId="17388" xr:uid="{00000000-0005-0000-0000-0000CBC30000}"/>
    <cellStyle name="Migliaia 53 3 3 3 2" xfId="33503" xr:uid="{00000000-0005-0000-0000-0000CCC30000}"/>
    <cellStyle name="Migliaia 53 3 3 3 3" xfId="48464" xr:uid="{00000000-0005-0000-0000-0000CDC30000}"/>
    <cellStyle name="Migliaia 53 3 3 3 4" xfId="55007" xr:uid="{00000000-0005-0000-0000-0000CEC30000}"/>
    <cellStyle name="Migliaia 53 3 3 4" xfId="55909" xr:uid="{00000000-0005-0000-0000-0000CFC30000}"/>
    <cellStyle name="Migliaia 53 3 3 5" xfId="52627" xr:uid="{00000000-0005-0000-0000-0000D0C30000}"/>
    <cellStyle name="Migliaia 53 3 4" xfId="9989" xr:uid="{00000000-0005-0000-0000-0000D1C30000}"/>
    <cellStyle name="Migliaia 53 3 4 2" xfId="18441" xr:uid="{00000000-0005-0000-0000-0000D2C30000}"/>
    <cellStyle name="Migliaia 53 3 4 2 2" xfId="33908" xr:uid="{00000000-0005-0000-0000-0000D3C30000}"/>
    <cellStyle name="Migliaia 53 3 4 2 3" xfId="48869" xr:uid="{00000000-0005-0000-0000-0000D4C30000}"/>
    <cellStyle name="Migliaia 53 3 4 2 4" xfId="55392" xr:uid="{00000000-0005-0000-0000-0000D5C30000}"/>
    <cellStyle name="Migliaia 53 3 4 3" xfId="26314" xr:uid="{00000000-0005-0000-0000-0000D6C30000}"/>
    <cellStyle name="Migliaia 53 3 4 3 2" xfId="56314" xr:uid="{00000000-0005-0000-0000-0000D7C30000}"/>
    <cellStyle name="Migliaia 53 3 4 4" xfId="41292" xr:uid="{00000000-0005-0000-0000-0000D8C30000}"/>
    <cellStyle name="Migliaia 53 3 4 5" xfId="53037" xr:uid="{00000000-0005-0000-0000-0000D9C30000}"/>
    <cellStyle name="Migliaia 53 3 5" xfId="17386" xr:uid="{00000000-0005-0000-0000-0000DAC30000}"/>
    <cellStyle name="Migliaia 53 3 5 2" xfId="33501" xr:uid="{00000000-0005-0000-0000-0000DBC30000}"/>
    <cellStyle name="Migliaia 53 3 5 3" xfId="48462" xr:uid="{00000000-0005-0000-0000-0000DCC30000}"/>
    <cellStyle name="Migliaia 53 3 5 4" xfId="55005" xr:uid="{00000000-0005-0000-0000-0000DDC30000}"/>
    <cellStyle name="Migliaia 53 3 6" xfId="19295" xr:uid="{00000000-0005-0000-0000-0000DEC30000}"/>
    <cellStyle name="Migliaia 53 3 6 2" xfId="55907" xr:uid="{00000000-0005-0000-0000-0000DFC30000}"/>
    <cellStyle name="Migliaia 53 3 7" xfId="34290" xr:uid="{00000000-0005-0000-0000-0000E0C30000}"/>
    <cellStyle name="Migliaia 53 3 8" xfId="49230" xr:uid="{00000000-0005-0000-0000-0000E1C30000}"/>
    <cellStyle name="Migliaia 53 3 9" xfId="49635" xr:uid="{00000000-0005-0000-0000-0000E2C30000}"/>
    <cellStyle name="Migliaia 53 4" xfId="9404" xr:uid="{00000000-0005-0000-0000-0000E3C30000}"/>
    <cellStyle name="Migliaia 53 4 2" xfId="17390" xr:uid="{00000000-0005-0000-0000-0000E4C30000}"/>
    <cellStyle name="Migliaia 53 4 2 2" xfId="18444" xr:uid="{00000000-0005-0000-0000-0000E5C30000}"/>
    <cellStyle name="Migliaia 53 4 2 2 2" xfId="33911" xr:uid="{00000000-0005-0000-0000-0000E6C30000}"/>
    <cellStyle name="Migliaia 53 4 2 2 2 2" xfId="55395" xr:uid="{00000000-0005-0000-0000-0000E7C30000}"/>
    <cellStyle name="Migliaia 53 4 2 2 3" xfId="48872" xr:uid="{00000000-0005-0000-0000-0000E8C30000}"/>
    <cellStyle name="Migliaia 53 4 2 2 3 2" xfId="56317" xr:uid="{00000000-0005-0000-0000-0000E9C30000}"/>
    <cellStyle name="Migliaia 53 4 2 2 4" xfId="53040" xr:uid="{00000000-0005-0000-0000-0000EAC30000}"/>
    <cellStyle name="Migliaia 53 4 2 3" xfId="33505" xr:uid="{00000000-0005-0000-0000-0000EBC30000}"/>
    <cellStyle name="Migliaia 53 4 2 3 2" xfId="55009" xr:uid="{00000000-0005-0000-0000-0000ECC30000}"/>
    <cellStyle name="Migliaia 53 4 2 4" xfId="48466" xr:uid="{00000000-0005-0000-0000-0000EDC30000}"/>
    <cellStyle name="Migliaia 53 4 2 4 2" xfId="55911" xr:uid="{00000000-0005-0000-0000-0000EEC30000}"/>
    <cellStyle name="Migliaia 53 4 2 5" xfId="52629" xr:uid="{00000000-0005-0000-0000-0000EFC30000}"/>
    <cellStyle name="Migliaia 53 4 3" xfId="18443" xr:uid="{00000000-0005-0000-0000-0000F0C30000}"/>
    <cellStyle name="Migliaia 53 4 3 2" xfId="33910" xr:uid="{00000000-0005-0000-0000-0000F1C30000}"/>
    <cellStyle name="Migliaia 53 4 3 2 2" xfId="55394" xr:uid="{00000000-0005-0000-0000-0000F2C30000}"/>
    <cellStyle name="Migliaia 53 4 3 3" xfId="48871" xr:uid="{00000000-0005-0000-0000-0000F3C30000}"/>
    <cellStyle name="Migliaia 53 4 3 3 2" xfId="56316" xr:uid="{00000000-0005-0000-0000-0000F4C30000}"/>
    <cellStyle name="Migliaia 53 4 3 4" xfId="53039" xr:uid="{00000000-0005-0000-0000-0000F5C30000}"/>
    <cellStyle name="Migliaia 53 4 4" xfId="17389" xr:uid="{00000000-0005-0000-0000-0000F6C30000}"/>
    <cellStyle name="Migliaia 53 4 4 2" xfId="33504" xr:uid="{00000000-0005-0000-0000-0000F7C30000}"/>
    <cellStyle name="Migliaia 53 4 4 3" xfId="48465" xr:uid="{00000000-0005-0000-0000-0000F8C30000}"/>
    <cellStyle name="Migliaia 53 4 4 4" xfId="55008" xr:uid="{00000000-0005-0000-0000-0000F9C30000}"/>
    <cellStyle name="Migliaia 53 4 5" xfId="51291" xr:uid="{00000000-0005-0000-0000-0000FAC30000}"/>
    <cellStyle name="Migliaia 53 4 5 2" xfId="55910" xr:uid="{00000000-0005-0000-0000-0000FBC30000}"/>
    <cellStyle name="Migliaia 53 4 6" xfId="52628" xr:uid="{00000000-0005-0000-0000-0000FCC30000}"/>
    <cellStyle name="Migliaia 53 5" xfId="9405" xr:uid="{00000000-0005-0000-0000-0000FDC30000}"/>
    <cellStyle name="Migliaia 53 5 2" xfId="17391" xr:uid="{00000000-0005-0000-0000-0000FEC30000}"/>
    <cellStyle name="Migliaia 53 5 2 2" xfId="33506" xr:uid="{00000000-0005-0000-0000-0000FFC30000}"/>
    <cellStyle name="Migliaia 53 5 2 3" xfId="48467" xr:uid="{00000000-0005-0000-0000-000000C40000}"/>
    <cellStyle name="Migliaia 53 5 2 4" xfId="55010" xr:uid="{00000000-0005-0000-0000-000001C40000}"/>
    <cellStyle name="Migliaia 53 5 3" xfId="51217" xr:uid="{00000000-0005-0000-0000-000002C40000}"/>
    <cellStyle name="Migliaia 53 5 3 2" xfId="55912" xr:uid="{00000000-0005-0000-0000-000003C40000}"/>
    <cellStyle name="Migliaia 53 5 4" xfId="52630" xr:uid="{00000000-0005-0000-0000-000004C40000}"/>
    <cellStyle name="Migliaia 53 6" xfId="9400" xr:uid="{00000000-0005-0000-0000-000005C40000}"/>
    <cellStyle name="Migliaia 53 6 2" xfId="50960" xr:uid="{00000000-0005-0000-0000-000006C40000}"/>
    <cellStyle name="Migliaia 53 6 3" xfId="54633" xr:uid="{00000000-0005-0000-0000-000007C40000}"/>
    <cellStyle name="Migliaia 53 7" xfId="9987" xr:uid="{00000000-0005-0000-0000-000008C40000}"/>
    <cellStyle name="Migliaia 53 7 2" xfId="26312" xr:uid="{00000000-0005-0000-0000-000009C40000}"/>
    <cellStyle name="Migliaia 53 7 3" xfId="41290" xr:uid="{00000000-0005-0000-0000-00000AC40000}"/>
    <cellStyle name="Migliaia 53 7 4" xfId="55905" xr:uid="{00000000-0005-0000-0000-00000BC40000}"/>
    <cellStyle name="Migliaia 53 8" xfId="17384" xr:uid="{00000000-0005-0000-0000-00000CC40000}"/>
    <cellStyle name="Migliaia 53 8 2" xfId="33499" xr:uid="{00000000-0005-0000-0000-00000DC40000}"/>
    <cellStyle name="Migliaia 53 8 3" xfId="48460" xr:uid="{00000000-0005-0000-0000-00000EC40000}"/>
    <cellStyle name="Migliaia 53 9" xfId="19293" xr:uid="{00000000-0005-0000-0000-00000FC40000}"/>
    <cellStyle name="Migliaia 54" xfId="481" xr:uid="{00000000-0005-0000-0000-000010C40000}"/>
    <cellStyle name="Migliaia 54 10" xfId="34292" xr:uid="{00000000-0005-0000-0000-000011C40000}"/>
    <cellStyle name="Migliaia 54 11" xfId="49232" xr:uid="{00000000-0005-0000-0000-000012C40000}"/>
    <cellStyle name="Migliaia 54 12" xfId="49637" xr:uid="{00000000-0005-0000-0000-000013C40000}"/>
    <cellStyle name="Migliaia 54 13" xfId="50043" xr:uid="{00000000-0005-0000-0000-000014C40000}"/>
    <cellStyle name="Migliaia 54 14" xfId="50451" xr:uid="{00000000-0005-0000-0000-000015C40000}"/>
    <cellStyle name="Migliaia 54 15" xfId="50893" xr:uid="{00000000-0005-0000-0000-000016C40000}"/>
    <cellStyle name="Migliaia 54 16" xfId="51612" xr:uid="{00000000-0005-0000-0000-000017C40000}"/>
    <cellStyle name="Migliaia 54 17" xfId="52024" xr:uid="{00000000-0005-0000-0000-000018C40000}"/>
    <cellStyle name="Migliaia 54 18" xfId="52631" xr:uid="{00000000-0005-0000-0000-000019C40000}"/>
    <cellStyle name="Migliaia 54 2" xfId="482" xr:uid="{00000000-0005-0000-0000-00001AC40000}"/>
    <cellStyle name="Migliaia 54 2 10" xfId="50044" xr:uid="{00000000-0005-0000-0000-00001BC40000}"/>
    <cellStyle name="Migliaia 54 2 11" xfId="50452" xr:uid="{00000000-0005-0000-0000-00001CC40000}"/>
    <cellStyle name="Migliaia 54 2 12" xfId="50894" xr:uid="{00000000-0005-0000-0000-00001DC40000}"/>
    <cellStyle name="Migliaia 54 2 13" xfId="51613" xr:uid="{00000000-0005-0000-0000-00001EC40000}"/>
    <cellStyle name="Migliaia 54 2 14" xfId="52025" xr:uid="{00000000-0005-0000-0000-00001FC40000}"/>
    <cellStyle name="Migliaia 54 2 15" xfId="52632" xr:uid="{00000000-0005-0000-0000-000020C40000}"/>
    <cellStyle name="Migliaia 54 2 2" xfId="1293" xr:uid="{00000000-0005-0000-0000-000021C40000}"/>
    <cellStyle name="Migliaia 54 2 2 10" xfId="51145" xr:uid="{00000000-0005-0000-0000-000022C40000}"/>
    <cellStyle name="Migliaia 54 2 2 11" xfId="51741" xr:uid="{00000000-0005-0000-0000-000023C40000}"/>
    <cellStyle name="Migliaia 54 2 2 12" xfId="52161" xr:uid="{00000000-0005-0000-0000-000024C40000}"/>
    <cellStyle name="Migliaia 54 2 2 13" xfId="53041" xr:uid="{00000000-0005-0000-0000-000025C40000}"/>
    <cellStyle name="Migliaia 54 2 2 2" xfId="10120" xr:uid="{00000000-0005-0000-0000-000026C40000}"/>
    <cellStyle name="Migliaia 54 2 2 2 2" xfId="26440" xr:uid="{00000000-0005-0000-0000-000027C40000}"/>
    <cellStyle name="Migliaia 54 2 2 2 3" xfId="41408" xr:uid="{00000000-0005-0000-0000-000028C40000}"/>
    <cellStyle name="Migliaia 54 2 2 2 4" xfId="55396" xr:uid="{00000000-0005-0000-0000-000029C40000}"/>
    <cellStyle name="Migliaia 54 2 2 3" xfId="18445" xr:uid="{00000000-0005-0000-0000-00002AC40000}"/>
    <cellStyle name="Migliaia 54 2 2 3 2" xfId="33912" xr:uid="{00000000-0005-0000-0000-00002BC40000}"/>
    <cellStyle name="Migliaia 54 2 2 3 3" xfId="48873" xr:uid="{00000000-0005-0000-0000-00002CC40000}"/>
    <cellStyle name="Migliaia 54 2 2 3 4" xfId="56318" xr:uid="{00000000-0005-0000-0000-00002DC40000}"/>
    <cellStyle name="Migliaia 54 2 2 4" xfId="19419" xr:uid="{00000000-0005-0000-0000-00002EC40000}"/>
    <cellStyle name="Migliaia 54 2 2 5" xfId="34409" xr:uid="{00000000-0005-0000-0000-00002FC40000}"/>
    <cellStyle name="Migliaia 54 2 2 6" xfId="49361" xr:uid="{00000000-0005-0000-0000-000030C40000}"/>
    <cellStyle name="Migliaia 54 2 2 7" xfId="49766" xr:uid="{00000000-0005-0000-0000-000031C40000}"/>
    <cellStyle name="Migliaia 54 2 2 8" xfId="50175" xr:uid="{00000000-0005-0000-0000-000032C40000}"/>
    <cellStyle name="Migliaia 54 2 2 9" xfId="50580" xr:uid="{00000000-0005-0000-0000-000033C40000}"/>
    <cellStyle name="Migliaia 54 2 3" xfId="9407" xr:uid="{00000000-0005-0000-0000-000034C40000}"/>
    <cellStyle name="Migliaia 54 2 3 2" xfId="54698" xr:uid="{00000000-0005-0000-0000-000035C40000}"/>
    <cellStyle name="Migliaia 54 2 4" xfId="9992" xr:uid="{00000000-0005-0000-0000-000036C40000}"/>
    <cellStyle name="Migliaia 54 2 4 2" xfId="26317" xr:uid="{00000000-0005-0000-0000-000037C40000}"/>
    <cellStyle name="Migliaia 54 2 4 3" xfId="41295" xr:uid="{00000000-0005-0000-0000-000038C40000}"/>
    <cellStyle name="Migliaia 54 2 4 4" xfId="55914" xr:uid="{00000000-0005-0000-0000-000039C40000}"/>
    <cellStyle name="Migliaia 54 2 5" xfId="17393" xr:uid="{00000000-0005-0000-0000-00003AC40000}"/>
    <cellStyle name="Migliaia 54 2 5 2" xfId="33508" xr:uid="{00000000-0005-0000-0000-00003BC40000}"/>
    <cellStyle name="Migliaia 54 2 5 3" xfId="48469" xr:uid="{00000000-0005-0000-0000-00003CC40000}"/>
    <cellStyle name="Migliaia 54 2 6" xfId="19298" xr:uid="{00000000-0005-0000-0000-00003DC40000}"/>
    <cellStyle name="Migliaia 54 2 7" xfId="34293" xr:uid="{00000000-0005-0000-0000-00003EC40000}"/>
    <cellStyle name="Migliaia 54 2 8" xfId="49233" xr:uid="{00000000-0005-0000-0000-00003FC40000}"/>
    <cellStyle name="Migliaia 54 2 9" xfId="49638" xr:uid="{00000000-0005-0000-0000-000040C40000}"/>
    <cellStyle name="Migliaia 54 3" xfId="483" xr:uid="{00000000-0005-0000-0000-000041C40000}"/>
    <cellStyle name="Migliaia 54 3 10" xfId="50045" xr:uid="{00000000-0005-0000-0000-000042C40000}"/>
    <cellStyle name="Migliaia 54 3 11" xfId="50453" xr:uid="{00000000-0005-0000-0000-000043C40000}"/>
    <cellStyle name="Migliaia 54 3 12" xfId="50895" xr:uid="{00000000-0005-0000-0000-000044C40000}"/>
    <cellStyle name="Migliaia 54 3 13" xfId="51614" xr:uid="{00000000-0005-0000-0000-000045C40000}"/>
    <cellStyle name="Migliaia 54 3 14" xfId="52026" xr:uid="{00000000-0005-0000-0000-000046C40000}"/>
    <cellStyle name="Migliaia 54 3 15" xfId="52633" xr:uid="{00000000-0005-0000-0000-000047C40000}"/>
    <cellStyle name="Migliaia 54 3 2" xfId="484" xr:uid="{00000000-0005-0000-0000-000048C40000}"/>
    <cellStyle name="Migliaia 54 3 2 10" xfId="50454" xr:uid="{00000000-0005-0000-0000-000049C40000}"/>
    <cellStyle name="Migliaia 54 3 2 11" xfId="50896" xr:uid="{00000000-0005-0000-0000-00004AC40000}"/>
    <cellStyle name="Migliaia 54 3 2 12" xfId="51615" xr:uid="{00000000-0005-0000-0000-00004BC40000}"/>
    <cellStyle name="Migliaia 54 3 2 13" xfId="52027" xr:uid="{00000000-0005-0000-0000-00004CC40000}"/>
    <cellStyle name="Migliaia 54 3 2 14" xfId="52634" xr:uid="{00000000-0005-0000-0000-00004DC40000}"/>
    <cellStyle name="Migliaia 54 3 2 2" xfId="9409" xr:uid="{00000000-0005-0000-0000-00004EC40000}"/>
    <cellStyle name="Migliaia 54 3 2 2 2" xfId="55012" xr:uid="{00000000-0005-0000-0000-00004FC40000}"/>
    <cellStyle name="Migliaia 54 3 2 3" xfId="9994" xr:uid="{00000000-0005-0000-0000-000050C40000}"/>
    <cellStyle name="Migliaia 54 3 2 3 2" xfId="26319" xr:uid="{00000000-0005-0000-0000-000051C40000}"/>
    <cellStyle name="Migliaia 54 3 2 3 3" xfId="41297" xr:uid="{00000000-0005-0000-0000-000052C40000}"/>
    <cellStyle name="Migliaia 54 3 2 3 4" xfId="55916" xr:uid="{00000000-0005-0000-0000-000053C40000}"/>
    <cellStyle name="Migliaia 54 3 2 4" xfId="17395" xr:uid="{00000000-0005-0000-0000-000054C40000}"/>
    <cellStyle name="Migliaia 54 3 2 4 2" xfId="33510" xr:uid="{00000000-0005-0000-0000-000055C40000}"/>
    <cellStyle name="Migliaia 54 3 2 4 3" xfId="48471" xr:uid="{00000000-0005-0000-0000-000056C40000}"/>
    <cellStyle name="Migliaia 54 3 2 5" xfId="19300" xr:uid="{00000000-0005-0000-0000-000057C40000}"/>
    <cellStyle name="Migliaia 54 3 2 6" xfId="34295" xr:uid="{00000000-0005-0000-0000-000058C40000}"/>
    <cellStyle name="Migliaia 54 3 2 7" xfId="49235" xr:uid="{00000000-0005-0000-0000-000059C40000}"/>
    <cellStyle name="Migliaia 54 3 2 8" xfId="49640" xr:uid="{00000000-0005-0000-0000-00005AC40000}"/>
    <cellStyle name="Migliaia 54 3 2 9" xfId="50046" xr:uid="{00000000-0005-0000-0000-00005BC40000}"/>
    <cellStyle name="Migliaia 54 3 3" xfId="9408" xr:uid="{00000000-0005-0000-0000-00005CC40000}"/>
    <cellStyle name="Migliaia 54 3 3 2" xfId="18447" xr:uid="{00000000-0005-0000-0000-00005DC40000}"/>
    <cellStyle name="Migliaia 54 3 3 2 2" xfId="33914" xr:uid="{00000000-0005-0000-0000-00005EC40000}"/>
    <cellStyle name="Migliaia 54 3 3 2 2 2" xfId="55398" xr:uid="{00000000-0005-0000-0000-00005FC40000}"/>
    <cellStyle name="Migliaia 54 3 3 2 3" xfId="48875" xr:uid="{00000000-0005-0000-0000-000060C40000}"/>
    <cellStyle name="Migliaia 54 3 3 2 3 2" xfId="56320" xr:uid="{00000000-0005-0000-0000-000061C40000}"/>
    <cellStyle name="Migliaia 54 3 3 2 4" xfId="53043" xr:uid="{00000000-0005-0000-0000-000062C40000}"/>
    <cellStyle name="Migliaia 54 3 3 3" xfId="17396" xr:uid="{00000000-0005-0000-0000-000063C40000}"/>
    <cellStyle name="Migliaia 54 3 3 3 2" xfId="33511" xr:uid="{00000000-0005-0000-0000-000064C40000}"/>
    <cellStyle name="Migliaia 54 3 3 3 3" xfId="48472" xr:uid="{00000000-0005-0000-0000-000065C40000}"/>
    <cellStyle name="Migliaia 54 3 3 3 4" xfId="55013" xr:uid="{00000000-0005-0000-0000-000066C40000}"/>
    <cellStyle name="Migliaia 54 3 3 4" xfId="55917" xr:uid="{00000000-0005-0000-0000-000067C40000}"/>
    <cellStyle name="Migliaia 54 3 3 5" xfId="52635" xr:uid="{00000000-0005-0000-0000-000068C40000}"/>
    <cellStyle name="Migliaia 54 3 4" xfId="9993" xr:uid="{00000000-0005-0000-0000-000069C40000}"/>
    <cellStyle name="Migliaia 54 3 4 2" xfId="18446" xr:uid="{00000000-0005-0000-0000-00006AC40000}"/>
    <cellStyle name="Migliaia 54 3 4 2 2" xfId="33913" xr:uid="{00000000-0005-0000-0000-00006BC40000}"/>
    <cellStyle name="Migliaia 54 3 4 2 3" xfId="48874" xr:uid="{00000000-0005-0000-0000-00006CC40000}"/>
    <cellStyle name="Migliaia 54 3 4 2 4" xfId="55397" xr:uid="{00000000-0005-0000-0000-00006DC40000}"/>
    <cellStyle name="Migliaia 54 3 4 3" xfId="26318" xr:uid="{00000000-0005-0000-0000-00006EC40000}"/>
    <cellStyle name="Migliaia 54 3 4 3 2" xfId="56319" xr:uid="{00000000-0005-0000-0000-00006FC40000}"/>
    <cellStyle name="Migliaia 54 3 4 4" xfId="41296" xr:uid="{00000000-0005-0000-0000-000070C40000}"/>
    <cellStyle name="Migliaia 54 3 4 5" xfId="53042" xr:uid="{00000000-0005-0000-0000-000071C40000}"/>
    <cellStyle name="Migliaia 54 3 5" xfId="17394" xr:uid="{00000000-0005-0000-0000-000072C40000}"/>
    <cellStyle name="Migliaia 54 3 5 2" xfId="33509" xr:uid="{00000000-0005-0000-0000-000073C40000}"/>
    <cellStyle name="Migliaia 54 3 5 3" xfId="48470" xr:uid="{00000000-0005-0000-0000-000074C40000}"/>
    <cellStyle name="Migliaia 54 3 5 4" xfId="55011" xr:uid="{00000000-0005-0000-0000-000075C40000}"/>
    <cellStyle name="Migliaia 54 3 6" xfId="19299" xr:uid="{00000000-0005-0000-0000-000076C40000}"/>
    <cellStyle name="Migliaia 54 3 6 2" xfId="55915" xr:uid="{00000000-0005-0000-0000-000077C40000}"/>
    <cellStyle name="Migliaia 54 3 7" xfId="34294" xr:uid="{00000000-0005-0000-0000-000078C40000}"/>
    <cellStyle name="Migliaia 54 3 8" xfId="49234" xr:uid="{00000000-0005-0000-0000-000079C40000}"/>
    <cellStyle name="Migliaia 54 3 9" xfId="49639" xr:uid="{00000000-0005-0000-0000-00007AC40000}"/>
    <cellStyle name="Migliaia 54 4" xfId="9410" xr:uid="{00000000-0005-0000-0000-00007BC40000}"/>
    <cellStyle name="Migliaia 54 4 2" xfId="17398" xr:uid="{00000000-0005-0000-0000-00007CC40000}"/>
    <cellStyle name="Migliaia 54 4 2 2" xfId="18449" xr:uid="{00000000-0005-0000-0000-00007DC40000}"/>
    <cellStyle name="Migliaia 54 4 2 2 2" xfId="33916" xr:uid="{00000000-0005-0000-0000-00007EC40000}"/>
    <cellStyle name="Migliaia 54 4 2 2 2 2" xfId="55400" xr:uid="{00000000-0005-0000-0000-00007FC40000}"/>
    <cellStyle name="Migliaia 54 4 2 2 3" xfId="48877" xr:uid="{00000000-0005-0000-0000-000080C40000}"/>
    <cellStyle name="Migliaia 54 4 2 2 3 2" xfId="56322" xr:uid="{00000000-0005-0000-0000-000081C40000}"/>
    <cellStyle name="Migliaia 54 4 2 2 4" xfId="53045" xr:uid="{00000000-0005-0000-0000-000082C40000}"/>
    <cellStyle name="Migliaia 54 4 2 3" xfId="33513" xr:uid="{00000000-0005-0000-0000-000083C40000}"/>
    <cellStyle name="Migliaia 54 4 2 3 2" xfId="55015" xr:uid="{00000000-0005-0000-0000-000084C40000}"/>
    <cellStyle name="Migliaia 54 4 2 4" xfId="48474" xr:uid="{00000000-0005-0000-0000-000085C40000}"/>
    <cellStyle name="Migliaia 54 4 2 4 2" xfId="55919" xr:uid="{00000000-0005-0000-0000-000086C40000}"/>
    <cellStyle name="Migliaia 54 4 2 5" xfId="52637" xr:uid="{00000000-0005-0000-0000-000087C40000}"/>
    <cellStyle name="Migliaia 54 4 3" xfId="18448" xr:uid="{00000000-0005-0000-0000-000088C40000}"/>
    <cellStyle name="Migliaia 54 4 3 2" xfId="33915" xr:uid="{00000000-0005-0000-0000-000089C40000}"/>
    <cellStyle name="Migliaia 54 4 3 2 2" xfId="55399" xr:uid="{00000000-0005-0000-0000-00008AC40000}"/>
    <cellStyle name="Migliaia 54 4 3 3" xfId="48876" xr:uid="{00000000-0005-0000-0000-00008BC40000}"/>
    <cellStyle name="Migliaia 54 4 3 3 2" xfId="56321" xr:uid="{00000000-0005-0000-0000-00008CC40000}"/>
    <cellStyle name="Migliaia 54 4 3 4" xfId="53044" xr:uid="{00000000-0005-0000-0000-00008DC40000}"/>
    <cellStyle name="Migliaia 54 4 4" xfId="17397" xr:uid="{00000000-0005-0000-0000-00008EC40000}"/>
    <cellStyle name="Migliaia 54 4 4 2" xfId="33512" xr:uid="{00000000-0005-0000-0000-00008FC40000}"/>
    <cellStyle name="Migliaia 54 4 4 3" xfId="48473" xr:uid="{00000000-0005-0000-0000-000090C40000}"/>
    <cellStyle name="Migliaia 54 4 4 4" xfId="55014" xr:uid="{00000000-0005-0000-0000-000091C40000}"/>
    <cellStyle name="Migliaia 54 4 5" xfId="51292" xr:uid="{00000000-0005-0000-0000-000092C40000}"/>
    <cellStyle name="Migliaia 54 4 5 2" xfId="55918" xr:uid="{00000000-0005-0000-0000-000093C40000}"/>
    <cellStyle name="Migliaia 54 4 6" xfId="52636" xr:uid="{00000000-0005-0000-0000-000094C40000}"/>
    <cellStyle name="Migliaia 54 5" xfId="9411" xr:uid="{00000000-0005-0000-0000-000095C40000}"/>
    <cellStyle name="Migliaia 54 5 2" xfId="17399" xr:uid="{00000000-0005-0000-0000-000096C40000}"/>
    <cellStyle name="Migliaia 54 5 2 2" xfId="33514" xr:uid="{00000000-0005-0000-0000-000097C40000}"/>
    <cellStyle name="Migliaia 54 5 2 3" xfId="48475" xr:uid="{00000000-0005-0000-0000-000098C40000}"/>
    <cellStyle name="Migliaia 54 5 2 4" xfId="55016" xr:uid="{00000000-0005-0000-0000-000099C40000}"/>
    <cellStyle name="Migliaia 54 5 3" xfId="50959" xr:uid="{00000000-0005-0000-0000-00009AC40000}"/>
    <cellStyle name="Migliaia 54 5 3 2" xfId="55920" xr:uid="{00000000-0005-0000-0000-00009BC40000}"/>
    <cellStyle name="Migliaia 54 5 4" xfId="52638" xr:uid="{00000000-0005-0000-0000-00009CC40000}"/>
    <cellStyle name="Migliaia 54 6" xfId="9406" xr:uid="{00000000-0005-0000-0000-00009DC40000}"/>
    <cellStyle name="Migliaia 54 6 2" xfId="51174" xr:uid="{00000000-0005-0000-0000-00009EC40000}"/>
    <cellStyle name="Migliaia 54 6 3" xfId="54634" xr:uid="{00000000-0005-0000-0000-00009FC40000}"/>
    <cellStyle name="Migliaia 54 7" xfId="9991" xr:uid="{00000000-0005-0000-0000-0000A0C40000}"/>
    <cellStyle name="Migliaia 54 7 2" xfId="26316" xr:uid="{00000000-0005-0000-0000-0000A1C40000}"/>
    <cellStyle name="Migliaia 54 7 3" xfId="41294" xr:uid="{00000000-0005-0000-0000-0000A2C40000}"/>
    <cellStyle name="Migliaia 54 7 4" xfId="55913" xr:uid="{00000000-0005-0000-0000-0000A3C40000}"/>
    <cellStyle name="Migliaia 54 8" xfId="17392" xr:uid="{00000000-0005-0000-0000-0000A4C40000}"/>
    <cellStyle name="Migliaia 54 8 2" xfId="33507" xr:uid="{00000000-0005-0000-0000-0000A5C40000}"/>
    <cellStyle name="Migliaia 54 8 3" xfId="48468" xr:uid="{00000000-0005-0000-0000-0000A6C40000}"/>
    <cellStyle name="Migliaia 54 9" xfId="19297" xr:uid="{00000000-0005-0000-0000-0000A7C40000}"/>
    <cellStyle name="Migliaia 55" xfId="485" xr:uid="{00000000-0005-0000-0000-0000A8C40000}"/>
    <cellStyle name="Migliaia 55 10" xfId="34296" xr:uid="{00000000-0005-0000-0000-0000A9C40000}"/>
    <cellStyle name="Migliaia 55 11" xfId="49236" xr:uid="{00000000-0005-0000-0000-0000AAC40000}"/>
    <cellStyle name="Migliaia 55 12" xfId="49641" xr:uid="{00000000-0005-0000-0000-0000ABC40000}"/>
    <cellStyle name="Migliaia 55 13" xfId="50047" xr:uid="{00000000-0005-0000-0000-0000ACC40000}"/>
    <cellStyle name="Migliaia 55 14" xfId="50455" xr:uid="{00000000-0005-0000-0000-0000ADC40000}"/>
    <cellStyle name="Migliaia 55 15" xfId="50897" xr:uid="{00000000-0005-0000-0000-0000AEC40000}"/>
    <cellStyle name="Migliaia 55 16" xfId="51616" xr:uid="{00000000-0005-0000-0000-0000AFC40000}"/>
    <cellStyle name="Migliaia 55 17" xfId="52028" xr:uid="{00000000-0005-0000-0000-0000B0C40000}"/>
    <cellStyle name="Migliaia 55 18" xfId="52639" xr:uid="{00000000-0005-0000-0000-0000B1C40000}"/>
    <cellStyle name="Migliaia 55 2" xfId="486" xr:uid="{00000000-0005-0000-0000-0000B2C40000}"/>
    <cellStyle name="Migliaia 55 2 10" xfId="50048" xr:uid="{00000000-0005-0000-0000-0000B3C40000}"/>
    <cellStyle name="Migliaia 55 2 11" xfId="50456" xr:uid="{00000000-0005-0000-0000-0000B4C40000}"/>
    <cellStyle name="Migliaia 55 2 12" xfId="50898" xr:uid="{00000000-0005-0000-0000-0000B5C40000}"/>
    <cellStyle name="Migliaia 55 2 13" xfId="51617" xr:uid="{00000000-0005-0000-0000-0000B6C40000}"/>
    <cellStyle name="Migliaia 55 2 14" xfId="52029" xr:uid="{00000000-0005-0000-0000-0000B7C40000}"/>
    <cellStyle name="Migliaia 55 2 15" xfId="52640" xr:uid="{00000000-0005-0000-0000-0000B8C40000}"/>
    <cellStyle name="Migliaia 55 2 2" xfId="1294" xr:uid="{00000000-0005-0000-0000-0000B9C40000}"/>
    <cellStyle name="Migliaia 55 2 2 10" xfId="51146" xr:uid="{00000000-0005-0000-0000-0000BAC40000}"/>
    <cellStyle name="Migliaia 55 2 2 11" xfId="51742" xr:uid="{00000000-0005-0000-0000-0000BBC40000}"/>
    <cellStyle name="Migliaia 55 2 2 12" xfId="52162" xr:uid="{00000000-0005-0000-0000-0000BCC40000}"/>
    <cellStyle name="Migliaia 55 2 2 13" xfId="53046" xr:uid="{00000000-0005-0000-0000-0000BDC40000}"/>
    <cellStyle name="Migliaia 55 2 2 2" xfId="10121" xr:uid="{00000000-0005-0000-0000-0000BEC40000}"/>
    <cellStyle name="Migliaia 55 2 2 2 2" xfId="26441" xr:uid="{00000000-0005-0000-0000-0000BFC40000}"/>
    <cellStyle name="Migliaia 55 2 2 2 3" xfId="41409" xr:uid="{00000000-0005-0000-0000-0000C0C40000}"/>
    <cellStyle name="Migliaia 55 2 2 2 4" xfId="55401" xr:uid="{00000000-0005-0000-0000-0000C1C40000}"/>
    <cellStyle name="Migliaia 55 2 2 3" xfId="18450" xr:uid="{00000000-0005-0000-0000-0000C2C40000}"/>
    <cellStyle name="Migliaia 55 2 2 3 2" xfId="33917" xr:uid="{00000000-0005-0000-0000-0000C3C40000}"/>
    <cellStyle name="Migliaia 55 2 2 3 3" xfId="48878" xr:uid="{00000000-0005-0000-0000-0000C4C40000}"/>
    <cellStyle name="Migliaia 55 2 2 3 4" xfId="56323" xr:uid="{00000000-0005-0000-0000-0000C5C40000}"/>
    <cellStyle name="Migliaia 55 2 2 4" xfId="19420" xr:uid="{00000000-0005-0000-0000-0000C6C40000}"/>
    <cellStyle name="Migliaia 55 2 2 5" xfId="34410" xr:uid="{00000000-0005-0000-0000-0000C7C40000}"/>
    <cellStyle name="Migliaia 55 2 2 6" xfId="49362" xr:uid="{00000000-0005-0000-0000-0000C8C40000}"/>
    <cellStyle name="Migliaia 55 2 2 7" xfId="49767" xr:uid="{00000000-0005-0000-0000-0000C9C40000}"/>
    <cellStyle name="Migliaia 55 2 2 8" xfId="50176" xr:uid="{00000000-0005-0000-0000-0000CAC40000}"/>
    <cellStyle name="Migliaia 55 2 2 9" xfId="50581" xr:uid="{00000000-0005-0000-0000-0000CBC40000}"/>
    <cellStyle name="Migliaia 55 2 3" xfId="9413" xr:uid="{00000000-0005-0000-0000-0000CCC40000}"/>
    <cellStyle name="Migliaia 55 2 3 2" xfId="54699" xr:uid="{00000000-0005-0000-0000-0000CDC40000}"/>
    <cellStyle name="Migliaia 55 2 4" xfId="9996" xr:uid="{00000000-0005-0000-0000-0000CEC40000}"/>
    <cellStyle name="Migliaia 55 2 4 2" xfId="26321" xr:uid="{00000000-0005-0000-0000-0000CFC40000}"/>
    <cellStyle name="Migliaia 55 2 4 3" xfId="41299" xr:uid="{00000000-0005-0000-0000-0000D0C40000}"/>
    <cellStyle name="Migliaia 55 2 4 4" xfId="55922" xr:uid="{00000000-0005-0000-0000-0000D1C40000}"/>
    <cellStyle name="Migliaia 55 2 5" xfId="17401" xr:uid="{00000000-0005-0000-0000-0000D2C40000}"/>
    <cellStyle name="Migliaia 55 2 5 2" xfId="33516" xr:uid="{00000000-0005-0000-0000-0000D3C40000}"/>
    <cellStyle name="Migliaia 55 2 5 3" xfId="48477" xr:uid="{00000000-0005-0000-0000-0000D4C40000}"/>
    <cellStyle name="Migliaia 55 2 6" xfId="19302" xr:uid="{00000000-0005-0000-0000-0000D5C40000}"/>
    <cellStyle name="Migliaia 55 2 7" xfId="34297" xr:uid="{00000000-0005-0000-0000-0000D6C40000}"/>
    <cellStyle name="Migliaia 55 2 8" xfId="49237" xr:uid="{00000000-0005-0000-0000-0000D7C40000}"/>
    <cellStyle name="Migliaia 55 2 9" xfId="49642" xr:uid="{00000000-0005-0000-0000-0000D8C40000}"/>
    <cellStyle name="Migliaia 55 3" xfId="487" xr:uid="{00000000-0005-0000-0000-0000D9C40000}"/>
    <cellStyle name="Migliaia 55 3 10" xfId="50049" xr:uid="{00000000-0005-0000-0000-0000DAC40000}"/>
    <cellStyle name="Migliaia 55 3 11" xfId="50457" xr:uid="{00000000-0005-0000-0000-0000DBC40000}"/>
    <cellStyle name="Migliaia 55 3 12" xfId="50899" xr:uid="{00000000-0005-0000-0000-0000DCC40000}"/>
    <cellStyle name="Migliaia 55 3 13" xfId="51618" xr:uid="{00000000-0005-0000-0000-0000DDC40000}"/>
    <cellStyle name="Migliaia 55 3 14" xfId="52030" xr:uid="{00000000-0005-0000-0000-0000DEC40000}"/>
    <cellStyle name="Migliaia 55 3 15" xfId="52641" xr:uid="{00000000-0005-0000-0000-0000DFC40000}"/>
    <cellStyle name="Migliaia 55 3 2" xfId="488" xr:uid="{00000000-0005-0000-0000-0000E0C40000}"/>
    <cellStyle name="Migliaia 55 3 2 10" xfId="50458" xr:uid="{00000000-0005-0000-0000-0000E1C40000}"/>
    <cellStyle name="Migliaia 55 3 2 11" xfId="50900" xr:uid="{00000000-0005-0000-0000-0000E2C40000}"/>
    <cellStyle name="Migliaia 55 3 2 12" xfId="51619" xr:uid="{00000000-0005-0000-0000-0000E3C40000}"/>
    <cellStyle name="Migliaia 55 3 2 13" xfId="52031" xr:uid="{00000000-0005-0000-0000-0000E4C40000}"/>
    <cellStyle name="Migliaia 55 3 2 14" xfId="52642" xr:uid="{00000000-0005-0000-0000-0000E5C40000}"/>
    <cellStyle name="Migliaia 55 3 2 2" xfId="9415" xr:uid="{00000000-0005-0000-0000-0000E6C40000}"/>
    <cellStyle name="Migliaia 55 3 2 2 2" xfId="55018" xr:uid="{00000000-0005-0000-0000-0000E7C40000}"/>
    <cellStyle name="Migliaia 55 3 2 3" xfId="9998" xr:uid="{00000000-0005-0000-0000-0000E8C40000}"/>
    <cellStyle name="Migliaia 55 3 2 3 2" xfId="26323" xr:uid="{00000000-0005-0000-0000-0000E9C40000}"/>
    <cellStyle name="Migliaia 55 3 2 3 3" xfId="41301" xr:uid="{00000000-0005-0000-0000-0000EAC40000}"/>
    <cellStyle name="Migliaia 55 3 2 3 4" xfId="55924" xr:uid="{00000000-0005-0000-0000-0000EBC40000}"/>
    <cellStyle name="Migliaia 55 3 2 4" xfId="17403" xr:uid="{00000000-0005-0000-0000-0000ECC40000}"/>
    <cellStyle name="Migliaia 55 3 2 4 2" xfId="33518" xr:uid="{00000000-0005-0000-0000-0000EDC40000}"/>
    <cellStyle name="Migliaia 55 3 2 4 3" xfId="48479" xr:uid="{00000000-0005-0000-0000-0000EEC40000}"/>
    <cellStyle name="Migliaia 55 3 2 5" xfId="19304" xr:uid="{00000000-0005-0000-0000-0000EFC40000}"/>
    <cellStyle name="Migliaia 55 3 2 6" xfId="34299" xr:uid="{00000000-0005-0000-0000-0000F0C40000}"/>
    <cellStyle name="Migliaia 55 3 2 7" xfId="49239" xr:uid="{00000000-0005-0000-0000-0000F1C40000}"/>
    <cellStyle name="Migliaia 55 3 2 8" xfId="49644" xr:uid="{00000000-0005-0000-0000-0000F2C40000}"/>
    <cellStyle name="Migliaia 55 3 2 9" xfId="50050" xr:uid="{00000000-0005-0000-0000-0000F3C40000}"/>
    <cellStyle name="Migliaia 55 3 3" xfId="9414" xr:uid="{00000000-0005-0000-0000-0000F4C40000}"/>
    <cellStyle name="Migliaia 55 3 3 2" xfId="18452" xr:uid="{00000000-0005-0000-0000-0000F5C40000}"/>
    <cellStyle name="Migliaia 55 3 3 2 2" xfId="33919" xr:uid="{00000000-0005-0000-0000-0000F6C40000}"/>
    <cellStyle name="Migliaia 55 3 3 2 2 2" xfId="55403" xr:uid="{00000000-0005-0000-0000-0000F7C40000}"/>
    <cellStyle name="Migliaia 55 3 3 2 3" xfId="48880" xr:uid="{00000000-0005-0000-0000-0000F8C40000}"/>
    <cellStyle name="Migliaia 55 3 3 2 3 2" xfId="56325" xr:uid="{00000000-0005-0000-0000-0000F9C40000}"/>
    <cellStyle name="Migliaia 55 3 3 2 4" xfId="53048" xr:uid="{00000000-0005-0000-0000-0000FAC40000}"/>
    <cellStyle name="Migliaia 55 3 3 3" xfId="17404" xr:uid="{00000000-0005-0000-0000-0000FBC40000}"/>
    <cellStyle name="Migliaia 55 3 3 3 2" xfId="33519" xr:uid="{00000000-0005-0000-0000-0000FCC40000}"/>
    <cellStyle name="Migliaia 55 3 3 3 3" xfId="48480" xr:uid="{00000000-0005-0000-0000-0000FDC40000}"/>
    <cellStyle name="Migliaia 55 3 3 3 4" xfId="55019" xr:uid="{00000000-0005-0000-0000-0000FEC40000}"/>
    <cellStyle name="Migliaia 55 3 3 4" xfId="55925" xr:uid="{00000000-0005-0000-0000-0000FFC40000}"/>
    <cellStyle name="Migliaia 55 3 3 5" xfId="52643" xr:uid="{00000000-0005-0000-0000-000000C50000}"/>
    <cellStyle name="Migliaia 55 3 4" xfId="9997" xr:uid="{00000000-0005-0000-0000-000001C50000}"/>
    <cellStyle name="Migliaia 55 3 4 2" xfId="18451" xr:uid="{00000000-0005-0000-0000-000002C50000}"/>
    <cellStyle name="Migliaia 55 3 4 2 2" xfId="33918" xr:uid="{00000000-0005-0000-0000-000003C50000}"/>
    <cellStyle name="Migliaia 55 3 4 2 3" xfId="48879" xr:uid="{00000000-0005-0000-0000-000004C50000}"/>
    <cellStyle name="Migliaia 55 3 4 2 4" xfId="55402" xr:uid="{00000000-0005-0000-0000-000005C50000}"/>
    <cellStyle name="Migliaia 55 3 4 3" xfId="26322" xr:uid="{00000000-0005-0000-0000-000006C50000}"/>
    <cellStyle name="Migliaia 55 3 4 3 2" xfId="56324" xr:uid="{00000000-0005-0000-0000-000007C50000}"/>
    <cellStyle name="Migliaia 55 3 4 4" xfId="41300" xr:uid="{00000000-0005-0000-0000-000008C50000}"/>
    <cellStyle name="Migliaia 55 3 4 5" xfId="53047" xr:uid="{00000000-0005-0000-0000-000009C50000}"/>
    <cellStyle name="Migliaia 55 3 5" xfId="17402" xr:uid="{00000000-0005-0000-0000-00000AC50000}"/>
    <cellStyle name="Migliaia 55 3 5 2" xfId="33517" xr:uid="{00000000-0005-0000-0000-00000BC50000}"/>
    <cellStyle name="Migliaia 55 3 5 3" xfId="48478" xr:uid="{00000000-0005-0000-0000-00000CC50000}"/>
    <cellStyle name="Migliaia 55 3 5 4" xfId="55017" xr:uid="{00000000-0005-0000-0000-00000DC50000}"/>
    <cellStyle name="Migliaia 55 3 6" xfId="19303" xr:uid="{00000000-0005-0000-0000-00000EC50000}"/>
    <cellStyle name="Migliaia 55 3 6 2" xfId="55923" xr:uid="{00000000-0005-0000-0000-00000FC50000}"/>
    <cellStyle name="Migliaia 55 3 7" xfId="34298" xr:uid="{00000000-0005-0000-0000-000010C50000}"/>
    <cellStyle name="Migliaia 55 3 8" xfId="49238" xr:uid="{00000000-0005-0000-0000-000011C50000}"/>
    <cellStyle name="Migliaia 55 3 9" xfId="49643" xr:uid="{00000000-0005-0000-0000-000012C50000}"/>
    <cellStyle name="Migliaia 55 4" xfId="9416" xr:uid="{00000000-0005-0000-0000-000013C50000}"/>
    <cellStyle name="Migliaia 55 4 2" xfId="17406" xr:uid="{00000000-0005-0000-0000-000014C50000}"/>
    <cellStyle name="Migliaia 55 4 2 2" xfId="18454" xr:uid="{00000000-0005-0000-0000-000015C50000}"/>
    <cellStyle name="Migliaia 55 4 2 2 2" xfId="33921" xr:uid="{00000000-0005-0000-0000-000016C50000}"/>
    <cellStyle name="Migliaia 55 4 2 2 2 2" xfId="55405" xr:uid="{00000000-0005-0000-0000-000017C50000}"/>
    <cellStyle name="Migliaia 55 4 2 2 3" xfId="48882" xr:uid="{00000000-0005-0000-0000-000018C50000}"/>
    <cellStyle name="Migliaia 55 4 2 2 3 2" xfId="56327" xr:uid="{00000000-0005-0000-0000-000019C50000}"/>
    <cellStyle name="Migliaia 55 4 2 2 4" xfId="53050" xr:uid="{00000000-0005-0000-0000-00001AC50000}"/>
    <cellStyle name="Migliaia 55 4 2 3" xfId="33521" xr:uid="{00000000-0005-0000-0000-00001BC50000}"/>
    <cellStyle name="Migliaia 55 4 2 3 2" xfId="55021" xr:uid="{00000000-0005-0000-0000-00001CC50000}"/>
    <cellStyle name="Migliaia 55 4 2 4" xfId="48482" xr:uid="{00000000-0005-0000-0000-00001DC50000}"/>
    <cellStyle name="Migliaia 55 4 2 4 2" xfId="55927" xr:uid="{00000000-0005-0000-0000-00001EC50000}"/>
    <cellStyle name="Migliaia 55 4 2 5" xfId="52645" xr:uid="{00000000-0005-0000-0000-00001FC50000}"/>
    <cellStyle name="Migliaia 55 4 3" xfId="18453" xr:uid="{00000000-0005-0000-0000-000020C50000}"/>
    <cellStyle name="Migliaia 55 4 3 2" xfId="33920" xr:uid="{00000000-0005-0000-0000-000021C50000}"/>
    <cellStyle name="Migliaia 55 4 3 2 2" xfId="55404" xr:uid="{00000000-0005-0000-0000-000022C50000}"/>
    <cellStyle name="Migliaia 55 4 3 3" xfId="48881" xr:uid="{00000000-0005-0000-0000-000023C50000}"/>
    <cellStyle name="Migliaia 55 4 3 3 2" xfId="56326" xr:uid="{00000000-0005-0000-0000-000024C50000}"/>
    <cellStyle name="Migliaia 55 4 3 4" xfId="53049" xr:uid="{00000000-0005-0000-0000-000025C50000}"/>
    <cellStyle name="Migliaia 55 4 4" xfId="17405" xr:uid="{00000000-0005-0000-0000-000026C50000}"/>
    <cellStyle name="Migliaia 55 4 4 2" xfId="33520" xr:uid="{00000000-0005-0000-0000-000027C50000}"/>
    <cellStyle name="Migliaia 55 4 4 3" xfId="48481" xr:uid="{00000000-0005-0000-0000-000028C50000}"/>
    <cellStyle name="Migliaia 55 4 4 4" xfId="55020" xr:uid="{00000000-0005-0000-0000-000029C50000}"/>
    <cellStyle name="Migliaia 55 4 5" xfId="50958" xr:uid="{00000000-0005-0000-0000-00002AC50000}"/>
    <cellStyle name="Migliaia 55 4 5 2" xfId="55926" xr:uid="{00000000-0005-0000-0000-00002BC50000}"/>
    <cellStyle name="Migliaia 55 4 6" xfId="52644" xr:uid="{00000000-0005-0000-0000-00002CC50000}"/>
    <cellStyle name="Migliaia 55 5" xfId="9417" xr:uid="{00000000-0005-0000-0000-00002DC50000}"/>
    <cellStyle name="Migliaia 55 5 2" xfId="17407" xr:uid="{00000000-0005-0000-0000-00002EC50000}"/>
    <cellStyle name="Migliaia 55 5 2 2" xfId="33522" xr:uid="{00000000-0005-0000-0000-00002FC50000}"/>
    <cellStyle name="Migliaia 55 5 2 3" xfId="48483" xr:uid="{00000000-0005-0000-0000-000030C50000}"/>
    <cellStyle name="Migliaia 55 5 2 4" xfId="55022" xr:uid="{00000000-0005-0000-0000-000031C50000}"/>
    <cellStyle name="Migliaia 55 5 3" xfId="51173" xr:uid="{00000000-0005-0000-0000-000032C50000}"/>
    <cellStyle name="Migliaia 55 5 3 2" xfId="55928" xr:uid="{00000000-0005-0000-0000-000033C50000}"/>
    <cellStyle name="Migliaia 55 5 4" xfId="52646" xr:uid="{00000000-0005-0000-0000-000034C50000}"/>
    <cellStyle name="Migliaia 55 6" xfId="9412" xr:uid="{00000000-0005-0000-0000-000035C50000}"/>
    <cellStyle name="Migliaia 55 6 2" xfId="51028" xr:uid="{00000000-0005-0000-0000-000036C50000}"/>
    <cellStyle name="Migliaia 55 6 3" xfId="54635" xr:uid="{00000000-0005-0000-0000-000037C50000}"/>
    <cellStyle name="Migliaia 55 7" xfId="9995" xr:uid="{00000000-0005-0000-0000-000038C50000}"/>
    <cellStyle name="Migliaia 55 7 2" xfId="26320" xr:uid="{00000000-0005-0000-0000-000039C50000}"/>
    <cellStyle name="Migliaia 55 7 3" xfId="41298" xr:uid="{00000000-0005-0000-0000-00003AC50000}"/>
    <cellStyle name="Migliaia 55 7 4" xfId="55921" xr:uid="{00000000-0005-0000-0000-00003BC50000}"/>
    <cellStyle name="Migliaia 55 8" xfId="17400" xr:uid="{00000000-0005-0000-0000-00003CC50000}"/>
    <cellStyle name="Migliaia 55 8 2" xfId="33515" xr:uid="{00000000-0005-0000-0000-00003DC50000}"/>
    <cellStyle name="Migliaia 55 8 3" xfId="48476" xr:uid="{00000000-0005-0000-0000-00003EC50000}"/>
    <cellStyle name="Migliaia 55 9" xfId="19301" xr:uid="{00000000-0005-0000-0000-00003FC50000}"/>
    <cellStyle name="Migliaia 56" xfId="489" xr:uid="{00000000-0005-0000-0000-000040C50000}"/>
    <cellStyle name="Migliaia 56 10" xfId="34300" xr:uid="{00000000-0005-0000-0000-000041C50000}"/>
    <cellStyle name="Migliaia 56 11" xfId="49240" xr:uid="{00000000-0005-0000-0000-000042C50000}"/>
    <cellStyle name="Migliaia 56 12" xfId="49645" xr:uid="{00000000-0005-0000-0000-000043C50000}"/>
    <cellStyle name="Migliaia 56 13" xfId="50051" xr:uid="{00000000-0005-0000-0000-000044C50000}"/>
    <cellStyle name="Migliaia 56 14" xfId="50459" xr:uid="{00000000-0005-0000-0000-000045C50000}"/>
    <cellStyle name="Migliaia 56 15" xfId="50901" xr:uid="{00000000-0005-0000-0000-000046C50000}"/>
    <cellStyle name="Migliaia 56 16" xfId="51620" xr:uid="{00000000-0005-0000-0000-000047C50000}"/>
    <cellStyle name="Migliaia 56 17" xfId="52032" xr:uid="{00000000-0005-0000-0000-000048C50000}"/>
    <cellStyle name="Migliaia 56 18" xfId="52647" xr:uid="{00000000-0005-0000-0000-000049C50000}"/>
    <cellStyle name="Migliaia 56 2" xfId="490" xr:uid="{00000000-0005-0000-0000-00004AC50000}"/>
    <cellStyle name="Migliaia 56 2 10" xfId="50052" xr:uid="{00000000-0005-0000-0000-00004BC50000}"/>
    <cellStyle name="Migliaia 56 2 11" xfId="50460" xr:uid="{00000000-0005-0000-0000-00004CC50000}"/>
    <cellStyle name="Migliaia 56 2 12" xfId="50902" xr:uid="{00000000-0005-0000-0000-00004DC50000}"/>
    <cellStyle name="Migliaia 56 2 13" xfId="51621" xr:uid="{00000000-0005-0000-0000-00004EC50000}"/>
    <cellStyle name="Migliaia 56 2 14" xfId="52033" xr:uid="{00000000-0005-0000-0000-00004FC50000}"/>
    <cellStyle name="Migliaia 56 2 15" xfId="52648" xr:uid="{00000000-0005-0000-0000-000050C50000}"/>
    <cellStyle name="Migliaia 56 2 2" xfId="1295" xr:uid="{00000000-0005-0000-0000-000051C50000}"/>
    <cellStyle name="Migliaia 56 2 2 10" xfId="51147" xr:uid="{00000000-0005-0000-0000-000052C50000}"/>
    <cellStyle name="Migliaia 56 2 2 11" xfId="51743" xr:uid="{00000000-0005-0000-0000-000053C50000}"/>
    <cellStyle name="Migliaia 56 2 2 12" xfId="52163" xr:uid="{00000000-0005-0000-0000-000054C50000}"/>
    <cellStyle name="Migliaia 56 2 2 13" xfId="53051" xr:uid="{00000000-0005-0000-0000-000055C50000}"/>
    <cellStyle name="Migliaia 56 2 2 2" xfId="10122" xr:uid="{00000000-0005-0000-0000-000056C50000}"/>
    <cellStyle name="Migliaia 56 2 2 2 2" xfId="26442" xr:uid="{00000000-0005-0000-0000-000057C50000}"/>
    <cellStyle name="Migliaia 56 2 2 2 3" xfId="41410" xr:uid="{00000000-0005-0000-0000-000058C50000}"/>
    <cellStyle name="Migliaia 56 2 2 2 4" xfId="55406" xr:uid="{00000000-0005-0000-0000-000059C50000}"/>
    <cellStyle name="Migliaia 56 2 2 3" xfId="18455" xr:uid="{00000000-0005-0000-0000-00005AC50000}"/>
    <cellStyle name="Migliaia 56 2 2 3 2" xfId="33922" xr:uid="{00000000-0005-0000-0000-00005BC50000}"/>
    <cellStyle name="Migliaia 56 2 2 3 3" xfId="48883" xr:uid="{00000000-0005-0000-0000-00005CC50000}"/>
    <cellStyle name="Migliaia 56 2 2 3 4" xfId="56328" xr:uid="{00000000-0005-0000-0000-00005DC50000}"/>
    <cellStyle name="Migliaia 56 2 2 4" xfId="19421" xr:uid="{00000000-0005-0000-0000-00005EC50000}"/>
    <cellStyle name="Migliaia 56 2 2 5" xfId="34411" xr:uid="{00000000-0005-0000-0000-00005FC50000}"/>
    <cellStyle name="Migliaia 56 2 2 6" xfId="49363" xr:uid="{00000000-0005-0000-0000-000060C50000}"/>
    <cellStyle name="Migliaia 56 2 2 7" xfId="49768" xr:uid="{00000000-0005-0000-0000-000061C50000}"/>
    <cellStyle name="Migliaia 56 2 2 8" xfId="50177" xr:uid="{00000000-0005-0000-0000-000062C50000}"/>
    <cellStyle name="Migliaia 56 2 2 9" xfId="50582" xr:uid="{00000000-0005-0000-0000-000063C50000}"/>
    <cellStyle name="Migliaia 56 2 3" xfId="9419" xr:uid="{00000000-0005-0000-0000-000064C50000}"/>
    <cellStyle name="Migliaia 56 2 3 2" xfId="54700" xr:uid="{00000000-0005-0000-0000-000065C50000}"/>
    <cellStyle name="Migliaia 56 2 4" xfId="10000" xr:uid="{00000000-0005-0000-0000-000066C50000}"/>
    <cellStyle name="Migliaia 56 2 4 2" xfId="26325" xr:uid="{00000000-0005-0000-0000-000067C50000}"/>
    <cellStyle name="Migliaia 56 2 4 3" xfId="41303" xr:uid="{00000000-0005-0000-0000-000068C50000}"/>
    <cellStyle name="Migliaia 56 2 4 4" xfId="55930" xr:uid="{00000000-0005-0000-0000-000069C50000}"/>
    <cellStyle name="Migliaia 56 2 5" xfId="17409" xr:uid="{00000000-0005-0000-0000-00006AC50000}"/>
    <cellStyle name="Migliaia 56 2 5 2" xfId="33524" xr:uid="{00000000-0005-0000-0000-00006BC50000}"/>
    <cellStyle name="Migliaia 56 2 5 3" xfId="48485" xr:uid="{00000000-0005-0000-0000-00006CC50000}"/>
    <cellStyle name="Migliaia 56 2 6" xfId="19306" xr:uid="{00000000-0005-0000-0000-00006DC50000}"/>
    <cellStyle name="Migliaia 56 2 7" xfId="34301" xr:uid="{00000000-0005-0000-0000-00006EC50000}"/>
    <cellStyle name="Migliaia 56 2 8" xfId="49241" xr:uid="{00000000-0005-0000-0000-00006FC50000}"/>
    <cellStyle name="Migliaia 56 2 9" xfId="49646" xr:uid="{00000000-0005-0000-0000-000070C50000}"/>
    <cellStyle name="Migliaia 56 3" xfId="491" xr:uid="{00000000-0005-0000-0000-000071C50000}"/>
    <cellStyle name="Migliaia 56 3 10" xfId="50053" xr:uid="{00000000-0005-0000-0000-000072C50000}"/>
    <cellStyle name="Migliaia 56 3 11" xfId="50461" xr:uid="{00000000-0005-0000-0000-000073C50000}"/>
    <cellStyle name="Migliaia 56 3 12" xfId="50903" xr:uid="{00000000-0005-0000-0000-000074C50000}"/>
    <cellStyle name="Migliaia 56 3 13" xfId="51622" xr:uid="{00000000-0005-0000-0000-000075C50000}"/>
    <cellStyle name="Migliaia 56 3 14" xfId="52034" xr:uid="{00000000-0005-0000-0000-000076C50000}"/>
    <cellStyle name="Migliaia 56 3 15" xfId="52649" xr:uid="{00000000-0005-0000-0000-000077C50000}"/>
    <cellStyle name="Migliaia 56 3 2" xfId="492" xr:uid="{00000000-0005-0000-0000-000078C50000}"/>
    <cellStyle name="Migliaia 56 3 2 10" xfId="50462" xr:uid="{00000000-0005-0000-0000-000079C50000}"/>
    <cellStyle name="Migliaia 56 3 2 11" xfId="50904" xr:uid="{00000000-0005-0000-0000-00007AC50000}"/>
    <cellStyle name="Migliaia 56 3 2 12" xfId="51623" xr:uid="{00000000-0005-0000-0000-00007BC50000}"/>
    <cellStyle name="Migliaia 56 3 2 13" xfId="52035" xr:uid="{00000000-0005-0000-0000-00007CC50000}"/>
    <cellStyle name="Migliaia 56 3 2 14" xfId="52650" xr:uid="{00000000-0005-0000-0000-00007DC50000}"/>
    <cellStyle name="Migliaia 56 3 2 2" xfId="9421" xr:uid="{00000000-0005-0000-0000-00007EC50000}"/>
    <cellStyle name="Migliaia 56 3 2 2 2" xfId="55024" xr:uid="{00000000-0005-0000-0000-00007FC50000}"/>
    <cellStyle name="Migliaia 56 3 2 3" xfId="10002" xr:uid="{00000000-0005-0000-0000-000080C50000}"/>
    <cellStyle name="Migliaia 56 3 2 3 2" xfId="26327" xr:uid="{00000000-0005-0000-0000-000081C50000}"/>
    <cellStyle name="Migliaia 56 3 2 3 3" xfId="41305" xr:uid="{00000000-0005-0000-0000-000082C50000}"/>
    <cellStyle name="Migliaia 56 3 2 3 4" xfId="55932" xr:uid="{00000000-0005-0000-0000-000083C50000}"/>
    <cellStyle name="Migliaia 56 3 2 4" xfId="17411" xr:uid="{00000000-0005-0000-0000-000084C50000}"/>
    <cellStyle name="Migliaia 56 3 2 4 2" xfId="33526" xr:uid="{00000000-0005-0000-0000-000085C50000}"/>
    <cellStyle name="Migliaia 56 3 2 4 3" xfId="48487" xr:uid="{00000000-0005-0000-0000-000086C50000}"/>
    <cellStyle name="Migliaia 56 3 2 5" xfId="19308" xr:uid="{00000000-0005-0000-0000-000087C50000}"/>
    <cellStyle name="Migliaia 56 3 2 6" xfId="34303" xr:uid="{00000000-0005-0000-0000-000088C50000}"/>
    <cellStyle name="Migliaia 56 3 2 7" xfId="49243" xr:uid="{00000000-0005-0000-0000-000089C50000}"/>
    <cellStyle name="Migliaia 56 3 2 8" xfId="49648" xr:uid="{00000000-0005-0000-0000-00008AC50000}"/>
    <cellStyle name="Migliaia 56 3 2 9" xfId="50054" xr:uid="{00000000-0005-0000-0000-00008BC50000}"/>
    <cellStyle name="Migliaia 56 3 3" xfId="9420" xr:uid="{00000000-0005-0000-0000-00008CC50000}"/>
    <cellStyle name="Migliaia 56 3 3 2" xfId="18457" xr:uid="{00000000-0005-0000-0000-00008DC50000}"/>
    <cellStyle name="Migliaia 56 3 3 2 2" xfId="33924" xr:uid="{00000000-0005-0000-0000-00008EC50000}"/>
    <cellStyle name="Migliaia 56 3 3 2 2 2" xfId="55408" xr:uid="{00000000-0005-0000-0000-00008FC50000}"/>
    <cellStyle name="Migliaia 56 3 3 2 3" xfId="48885" xr:uid="{00000000-0005-0000-0000-000090C50000}"/>
    <cellStyle name="Migliaia 56 3 3 2 3 2" xfId="56330" xr:uid="{00000000-0005-0000-0000-000091C50000}"/>
    <cellStyle name="Migliaia 56 3 3 2 4" xfId="53053" xr:uid="{00000000-0005-0000-0000-000092C50000}"/>
    <cellStyle name="Migliaia 56 3 3 3" xfId="17412" xr:uid="{00000000-0005-0000-0000-000093C50000}"/>
    <cellStyle name="Migliaia 56 3 3 3 2" xfId="33527" xr:uid="{00000000-0005-0000-0000-000094C50000}"/>
    <cellStyle name="Migliaia 56 3 3 3 3" xfId="48488" xr:uid="{00000000-0005-0000-0000-000095C50000}"/>
    <cellStyle name="Migliaia 56 3 3 3 4" xfId="55025" xr:uid="{00000000-0005-0000-0000-000096C50000}"/>
    <cellStyle name="Migliaia 56 3 3 4" xfId="55933" xr:uid="{00000000-0005-0000-0000-000097C50000}"/>
    <cellStyle name="Migliaia 56 3 3 5" xfId="52651" xr:uid="{00000000-0005-0000-0000-000098C50000}"/>
    <cellStyle name="Migliaia 56 3 4" xfId="10001" xr:uid="{00000000-0005-0000-0000-000099C50000}"/>
    <cellStyle name="Migliaia 56 3 4 2" xfId="18456" xr:uid="{00000000-0005-0000-0000-00009AC50000}"/>
    <cellStyle name="Migliaia 56 3 4 2 2" xfId="33923" xr:uid="{00000000-0005-0000-0000-00009BC50000}"/>
    <cellStyle name="Migliaia 56 3 4 2 3" xfId="48884" xr:uid="{00000000-0005-0000-0000-00009CC50000}"/>
    <cellStyle name="Migliaia 56 3 4 2 4" xfId="55407" xr:uid="{00000000-0005-0000-0000-00009DC50000}"/>
    <cellStyle name="Migliaia 56 3 4 3" xfId="26326" xr:uid="{00000000-0005-0000-0000-00009EC50000}"/>
    <cellStyle name="Migliaia 56 3 4 3 2" xfId="56329" xr:uid="{00000000-0005-0000-0000-00009FC50000}"/>
    <cellStyle name="Migliaia 56 3 4 4" xfId="41304" xr:uid="{00000000-0005-0000-0000-0000A0C50000}"/>
    <cellStyle name="Migliaia 56 3 4 5" xfId="53052" xr:uid="{00000000-0005-0000-0000-0000A1C50000}"/>
    <cellStyle name="Migliaia 56 3 5" xfId="17410" xr:uid="{00000000-0005-0000-0000-0000A2C50000}"/>
    <cellStyle name="Migliaia 56 3 5 2" xfId="33525" xr:uid="{00000000-0005-0000-0000-0000A3C50000}"/>
    <cellStyle name="Migliaia 56 3 5 3" xfId="48486" xr:uid="{00000000-0005-0000-0000-0000A4C50000}"/>
    <cellStyle name="Migliaia 56 3 5 4" xfId="55023" xr:uid="{00000000-0005-0000-0000-0000A5C50000}"/>
    <cellStyle name="Migliaia 56 3 6" xfId="19307" xr:uid="{00000000-0005-0000-0000-0000A6C50000}"/>
    <cellStyle name="Migliaia 56 3 6 2" xfId="55931" xr:uid="{00000000-0005-0000-0000-0000A7C50000}"/>
    <cellStyle name="Migliaia 56 3 7" xfId="34302" xr:uid="{00000000-0005-0000-0000-0000A8C50000}"/>
    <cellStyle name="Migliaia 56 3 8" xfId="49242" xr:uid="{00000000-0005-0000-0000-0000A9C50000}"/>
    <cellStyle name="Migliaia 56 3 9" xfId="49647" xr:uid="{00000000-0005-0000-0000-0000AAC50000}"/>
    <cellStyle name="Migliaia 56 4" xfId="9422" xr:uid="{00000000-0005-0000-0000-0000ABC50000}"/>
    <cellStyle name="Migliaia 56 4 2" xfId="17414" xr:uid="{00000000-0005-0000-0000-0000ACC50000}"/>
    <cellStyle name="Migliaia 56 4 2 2" xfId="18459" xr:uid="{00000000-0005-0000-0000-0000ADC50000}"/>
    <cellStyle name="Migliaia 56 4 2 2 2" xfId="33926" xr:uid="{00000000-0005-0000-0000-0000AEC50000}"/>
    <cellStyle name="Migliaia 56 4 2 2 2 2" xfId="55410" xr:uid="{00000000-0005-0000-0000-0000AFC50000}"/>
    <cellStyle name="Migliaia 56 4 2 2 3" xfId="48887" xr:uid="{00000000-0005-0000-0000-0000B0C50000}"/>
    <cellStyle name="Migliaia 56 4 2 2 3 2" xfId="56332" xr:uid="{00000000-0005-0000-0000-0000B1C50000}"/>
    <cellStyle name="Migliaia 56 4 2 2 4" xfId="53055" xr:uid="{00000000-0005-0000-0000-0000B2C50000}"/>
    <cellStyle name="Migliaia 56 4 2 3" xfId="33529" xr:uid="{00000000-0005-0000-0000-0000B3C50000}"/>
    <cellStyle name="Migliaia 56 4 2 3 2" xfId="55027" xr:uid="{00000000-0005-0000-0000-0000B4C50000}"/>
    <cellStyle name="Migliaia 56 4 2 4" xfId="48490" xr:uid="{00000000-0005-0000-0000-0000B5C50000}"/>
    <cellStyle name="Migliaia 56 4 2 4 2" xfId="55935" xr:uid="{00000000-0005-0000-0000-0000B6C50000}"/>
    <cellStyle name="Migliaia 56 4 2 5" xfId="52653" xr:uid="{00000000-0005-0000-0000-0000B7C50000}"/>
    <cellStyle name="Migliaia 56 4 3" xfId="18458" xr:uid="{00000000-0005-0000-0000-0000B8C50000}"/>
    <cellStyle name="Migliaia 56 4 3 2" xfId="33925" xr:uid="{00000000-0005-0000-0000-0000B9C50000}"/>
    <cellStyle name="Migliaia 56 4 3 2 2" xfId="55409" xr:uid="{00000000-0005-0000-0000-0000BAC50000}"/>
    <cellStyle name="Migliaia 56 4 3 3" xfId="48886" xr:uid="{00000000-0005-0000-0000-0000BBC50000}"/>
    <cellStyle name="Migliaia 56 4 3 3 2" xfId="56331" xr:uid="{00000000-0005-0000-0000-0000BCC50000}"/>
    <cellStyle name="Migliaia 56 4 3 4" xfId="53054" xr:uid="{00000000-0005-0000-0000-0000BDC50000}"/>
    <cellStyle name="Migliaia 56 4 4" xfId="17413" xr:uid="{00000000-0005-0000-0000-0000BEC50000}"/>
    <cellStyle name="Migliaia 56 4 4 2" xfId="33528" xr:uid="{00000000-0005-0000-0000-0000BFC50000}"/>
    <cellStyle name="Migliaia 56 4 4 3" xfId="48489" xr:uid="{00000000-0005-0000-0000-0000C0C50000}"/>
    <cellStyle name="Migliaia 56 4 4 4" xfId="55026" xr:uid="{00000000-0005-0000-0000-0000C1C50000}"/>
    <cellStyle name="Migliaia 56 4 5" xfId="51245" xr:uid="{00000000-0005-0000-0000-0000C2C50000}"/>
    <cellStyle name="Migliaia 56 4 5 2" xfId="55934" xr:uid="{00000000-0005-0000-0000-0000C3C50000}"/>
    <cellStyle name="Migliaia 56 4 6" xfId="52652" xr:uid="{00000000-0005-0000-0000-0000C4C50000}"/>
    <cellStyle name="Migliaia 56 5" xfId="9423" xr:uid="{00000000-0005-0000-0000-0000C5C50000}"/>
    <cellStyle name="Migliaia 56 5 2" xfId="17415" xr:uid="{00000000-0005-0000-0000-0000C6C50000}"/>
    <cellStyle name="Migliaia 56 5 2 2" xfId="33530" xr:uid="{00000000-0005-0000-0000-0000C7C50000}"/>
    <cellStyle name="Migliaia 56 5 2 3" xfId="48491" xr:uid="{00000000-0005-0000-0000-0000C8C50000}"/>
    <cellStyle name="Migliaia 56 5 2 4" xfId="55028" xr:uid="{00000000-0005-0000-0000-0000C9C50000}"/>
    <cellStyle name="Migliaia 56 5 3" xfId="51172" xr:uid="{00000000-0005-0000-0000-0000CAC50000}"/>
    <cellStyle name="Migliaia 56 5 3 2" xfId="55936" xr:uid="{00000000-0005-0000-0000-0000CBC50000}"/>
    <cellStyle name="Migliaia 56 5 4" xfId="52654" xr:uid="{00000000-0005-0000-0000-0000CCC50000}"/>
    <cellStyle name="Migliaia 56 6" xfId="9418" xr:uid="{00000000-0005-0000-0000-0000CDC50000}"/>
    <cellStyle name="Migliaia 56 6 2" xfId="50957" xr:uid="{00000000-0005-0000-0000-0000CEC50000}"/>
    <cellStyle name="Migliaia 56 6 3" xfId="54636" xr:uid="{00000000-0005-0000-0000-0000CFC50000}"/>
    <cellStyle name="Migliaia 56 7" xfId="9999" xr:uid="{00000000-0005-0000-0000-0000D0C50000}"/>
    <cellStyle name="Migliaia 56 7 2" xfId="26324" xr:uid="{00000000-0005-0000-0000-0000D1C50000}"/>
    <cellStyle name="Migliaia 56 7 3" xfId="41302" xr:uid="{00000000-0005-0000-0000-0000D2C50000}"/>
    <cellStyle name="Migliaia 56 7 4" xfId="55929" xr:uid="{00000000-0005-0000-0000-0000D3C50000}"/>
    <cellStyle name="Migliaia 56 8" xfId="17408" xr:uid="{00000000-0005-0000-0000-0000D4C50000}"/>
    <cellStyle name="Migliaia 56 8 2" xfId="33523" xr:uid="{00000000-0005-0000-0000-0000D5C50000}"/>
    <cellStyle name="Migliaia 56 8 3" xfId="48484" xr:uid="{00000000-0005-0000-0000-0000D6C50000}"/>
    <cellStyle name="Migliaia 56 9" xfId="19305" xr:uid="{00000000-0005-0000-0000-0000D7C50000}"/>
    <cellStyle name="Migliaia 57" xfId="493" xr:uid="{00000000-0005-0000-0000-0000D8C50000}"/>
    <cellStyle name="Migliaia 57 10" xfId="34304" xr:uid="{00000000-0005-0000-0000-0000D9C50000}"/>
    <cellStyle name="Migliaia 57 11" xfId="49244" xr:uid="{00000000-0005-0000-0000-0000DAC50000}"/>
    <cellStyle name="Migliaia 57 12" xfId="49649" xr:uid="{00000000-0005-0000-0000-0000DBC50000}"/>
    <cellStyle name="Migliaia 57 13" xfId="50055" xr:uid="{00000000-0005-0000-0000-0000DCC50000}"/>
    <cellStyle name="Migliaia 57 14" xfId="50463" xr:uid="{00000000-0005-0000-0000-0000DDC50000}"/>
    <cellStyle name="Migliaia 57 15" xfId="50905" xr:uid="{00000000-0005-0000-0000-0000DEC50000}"/>
    <cellStyle name="Migliaia 57 16" xfId="51624" xr:uid="{00000000-0005-0000-0000-0000DFC50000}"/>
    <cellStyle name="Migliaia 57 17" xfId="52036" xr:uid="{00000000-0005-0000-0000-0000E0C50000}"/>
    <cellStyle name="Migliaia 57 18" xfId="52655" xr:uid="{00000000-0005-0000-0000-0000E1C50000}"/>
    <cellStyle name="Migliaia 57 2" xfId="494" xr:uid="{00000000-0005-0000-0000-0000E2C50000}"/>
    <cellStyle name="Migliaia 57 2 10" xfId="50056" xr:uid="{00000000-0005-0000-0000-0000E3C50000}"/>
    <cellStyle name="Migliaia 57 2 11" xfId="50464" xr:uid="{00000000-0005-0000-0000-0000E4C50000}"/>
    <cellStyle name="Migliaia 57 2 12" xfId="50906" xr:uid="{00000000-0005-0000-0000-0000E5C50000}"/>
    <cellStyle name="Migliaia 57 2 13" xfId="51625" xr:uid="{00000000-0005-0000-0000-0000E6C50000}"/>
    <cellStyle name="Migliaia 57 2 14" xfId="52037" xr:uid="{00000000-0005-0000-0000-0000E7C50000}"/>
    <cellStyle name="Migliaia 57 2 15" xfId="52656" xr:uid="{00000000-0005-0000-0000-0000E8C50000}"/>
    <cellStyle name="Migliaia 57 2 2" xfId="1296" xr:uid="{00000000-0005-0000-0000-0000E9C50000}"/>
    <cellStyle name="Migliaia 57 2 2 10" xfId="51148" xr:uid="{00000000-0005-0000-0000-0000EAC50000}"/>
    <cellStyle name="Migliaia 57 2 2 11" xfId="51744" xr:uid="{00000000-0005-0000-0000-0000EBC50000}"/>
    <cellStyle name="Migliaia 57 2 2 12" xfId="52164" xr:uid="{00000000-0005-0000-0000-0000ECC50000}"/>
    <cellStyle name="Migliaia 57 2 2 13" xfId="53056" xr:uid="{00000000-0005-0000-0000-0000EDC50000}"/>
    <cellStyle name="Migliaia 57 2 2 2" xfId="10123" xr:uid="{00000000-0005-0000-0000-0000EEC50000}"/>
    <cellStyle name="Migliaia 57 2 2 2 2" xfId="26443" xr:uid="{00000000-0005-0000-0000-0000EFC50000}"/>
    <cellStyle name="Migliaia 57 2 2 2 3" xfId="41411" xr:uid="{00000000-0005-0000-0000-0000F0C50000}"/>
    <cellStyle name="Migliaia 57 2 2 2 4" xfId="55411" xr:uid="{00000000-0005-0000-0000-0000F1C50000}"/>
    <cellStyle name="Migliaia 57 2 2 3" xfId="18460" xr:uid="{00000000-0005-0000-0000-0000F2C50000}"/>
    <cellStyle name="Migliaia 57 2 2 3 2" xfId="33927" xr:uid="{00000000-0005-0000-0000-0000F3C50000}"/>
    <cellStyle name="Migliaia 57 2 2 3 3" xfId="48888" xr:uid="{00000000-0005-0000-0000-0000F4C50000}"/>
    <cellStyle name="Migliaia 57 2 2 3 4" xfId="56333" xr:uid="{00000000-0005-0000-0000-0000F5C50000}"/>
    <cellStyle name="Migliaia 57 2 2 4" xfId="19422" xr:uid="{00000000-0005-0000-0000-0000F6C50000}"/>
    <cellStyle name="Migliaia 57 2 2 5" xfId="34412" xr:uid="{00000000-0005-0000-0000-0000F7C50000}"/>
    <cellStyle name="Migliaia 57 2 2 6" xfId="49364" xr:uid="{00000000-0005-0000-0000-0000F8C50000}"/>
    <cellStyle name="Migliaia 57 2 2 7" xfId="49769" xr:uid="{00000000-0005-0000-0000-0000F9C50000}"/>
    <cellStyle name="Migliaia 57 2 2 8" xfId="50178" xr:uid="{00000000-0005-0000-0000-0000FAC50000}"/>
    <cellStyle name="Migliaia 57 2 2 9" xfId="50583" xr:uid="{00000000-0005-0000-0000-0000FBC50000}"/>
    <cellStyle name="Migliaia 57 2 3" xfId="9425" xr:uid="{00000000-0005-0000-0000-0000FCC50000}"/>
    <cellStyle name="Migliaia 57 2 3 2" xfId="54701" xr:uid="{00000000-0005-0000-0000-0000FDC50000}"/>
    <cellStyle name="Migliaia 57 2 4" xfId="10004" xr:uid="{00000000-0005-0000-0000-0000FEC50000}"/>
    <cellStyle name="Migliaia 57 2 4 2" xfId="26329" xr:uid="{00000000-0005-0000-0000-0000FFC50000}"/>
    <cellStyle name="Migliaia 57 2 4 3" xfId="41307" xr:uid="{00000000-0005-0000-0000-000000C60000}"/>
    <cellStyle name="Migliaia 57 2 4 4" xfId="55938" xr:uid="{00000000-0005-0000-0000-000001C60000}"/>
    <cellStyle name="Migliaia 57 2 5" xfId="17417" xr:uid="{00000000-0005-0000-0000-000002C60000}"/>
    <cellStyle name="Migliaia 57 2 5 2" xfId="33532" xr:uid="{00000000-0005-0000-0000-000003C60000}"/>
    <cellStyle name="Migliaia 57 2 5 3" xfId="48493" xr:uid="{00000000-0005-0000-0000-000004C60000}"/>
    <cellStyle name="Migliaia 57 2 6" xfId="19310" xr:uid="{00000000-0005-0000-0000-000005C60000}"/>
    <cellStyle name="Migliaia 57 2 7" xfId="34305" xr:uid="{00000000-0005-0000-0000-000006C60000}"/>
    <cellStyle name="Migliaia 57 2 8" xfId="49245" xr:uid="{00000000-0005-0000-0000-000007C60000}"/>
    <cellStyle name="Migliaia 57 2 9" xfId="49650" xr:uid="{00000000-0005-0000-0000-000008C60000}"/>
    <cellStyle name="Migliaia 57 3" xfId="495" xr:uid="{00000000-0005-0000-0000-000009C60000}"/>
    <cellStyle name="Migliaia 57 3 10" xfId="50057" xr:uid="{00000000-0005-0000-0000-00000AC60000}"/>
    <cellStyle name="Migliaia 57 3 11" xfId="50465" xr:uid="{00000000-0005-0000-0000-00000BC60000}"/>
    <cellStyle name="Migliaia 57 3 12" xfId="50907" xr:uid="{00000000-0005-0000-0000-00000CC60000}"/>
    <cellStyle name="Migliaia 57 3 13" xfId="51626" xr:uid="{00000000-0005-0000-0000-00000DC60000}"/>
    <cellStyle name="Migliaia 57 3 14" xfId="52038" xr:uid="{00000000-0005-0000-0000-00000EC60000}"/>
    <cellStyle name="Migliaia 57 3 15" xfId="52657" xr:uid="{00000000-0005-0000-0000-00000FC60000}"/>
    <cellStyle name="Migliaia 57 3 2" xfId="496" xr:uid="{00000000-0005-0000-0000-000010C60000}"/>
    <cellStyle name="Migliaia 57 3 2 10" xfId="50466" xr:uid="{00000000-0005-0000-0000-000011C60000}"/>
    <cellStyle name="Migliaia 57 3 2 11" xfId="50908" xr:uid="{00000000-0005-0000-0000-000012C60000}"/>
    <cellStyle name="Migliaia 57 3 2 12" xfId="51627" xr:uid="{00000000-0005-0000-0000-000013C60000}"/>
    <cellStyle name="Migliaia 57 3 2 13" xfId="52039" xr:uid="{00000000-0005-0000-0000-000014C60000}"/>
    <cellStyle name="Migliaia 57 3 2 14" xfId="52658" xr:uid="{00000000-0005-0000-0000-000015C60000}"/>
    <cellStyle name="Migliaia 57 3 2 2" xfId="9427" xr:uid="{00000000-0005-0000-0000-000016C60000}"/>
    <cellStyle name="Migliaia 57 3 2 2 2" xfId="55030" xr:uid="{00000000-0005-0000-0000-000017C60000}"/>
    <cellStyle name="Migliaia 57 3 2 3" xfId="10006" xr:uid="{00000000-0005-0000-0000-000018C60000}"/>
    <cellStyle name="Migliaia 57 3 2 3 2" xfId="26331" xr:uid="{00000000-0005-0000-0000-000019C60000}"/>
    <cellStyle name="Migliaia 57 3 2 3 3" xfId="41309" xr:uid="{00000000-0005-0000-0000-00001AC60000}"/>
    <cellStyle name="Migliaia 57 3 2 3 4" xfId="55940" xr:uid="{00000000-0005-0000-0000-00001BC60000}"/>
    <cellStyle name="Migliaia 57 3 2 4" xfId="17419" xr:uid="{00000000-0005-0000-0000-00001CC60000}"/>
    <cellStyle name="Migliaia 57 3 2 4 2" xfId="33534" xr:uid="{00000000-0005-0000-0000-00001DC60000}"/>
    <cellStyle name="Migliaia 57 3 2 4 3" xfId="48495" xr:uid="{00000000-0005-0000-0000-00001EC60000}"/>
    <cellStyle name="Migliaia 57 3 2 5" xfId="19312" xr:uid="{00000000-0005-0000-0000-00001FC60000}"/>
    <cellStyle name="Migliaia 57 3 2 6" xfId="34307" xr:uid="{00000000-0005-0000-0000-000020C60000}"/>
    <cellStyle name="Migliaia 57 3 2 7" xfId="49247" xr:uid="{00000000-0005-0000-0000-000021C60000}"/>
    <cellStyle name="Migliaia 57 3 2 8" xfId="49652" xr:uid="{00000000-0005-0000-0000-000022C60000}"/>
    <cellStyle name="Migliaia 57 3 2 9" xfId="50058" xr:uid="{00000000-0005-0000-0000-000023C60000}"/>
    <cellStyle name="Migliaia 57 3 3" xfId="9426" xr:uid="{00000000-0005-0000-0000-000024C60000}"/>
    <cellStyle name="Migliaia 57 3 3 2" xfId="18462" xr:uid="{00000000-0005-0000-0000-000025C60000}"/>
    <cellStyle name="Migliaia 57 3 3 2 2" xfId="33929" xr:uid="{00000000-0005-0000-0000-000026C60000}"/>
    <cellStyle name="Migliaia 57 3 3 2 2 2" xfId="55413" xr:uid="{00000000-0005-0000-0000-000027C60000}"/>
    <cellStyle name="Migliaia 57 3 3 2 3" xfId="48890" xr:uid="{00000000-0005-0000-0000-000028C60000}"/>
    <cellStyle name="Migliaia 57 3 3 2 3 2" xfId="56335" xr:uid="{00000000-0005-0000-0000-000029C60000}"/>
    <cellStyle name="Migliaia 57 3 3 2 4" xfId="53058" xr:uid="{00000000-0005-0000-0000-00002AC60000}"/>
    <cellStyle name="Migliaia 57 3 3 3" xfId="17420" xr:uid="{00000000-0005-0000-0000-00002BC60000}"/>
    <cellStyle name="Migliaia 57 3 3 3 2" xfId="33535" xr:uid="{00000000-0005-0000-0000-00002CC60000}"/>
    <cellStyle name="Migliaia 57 3 3 3 3" xfId="48496" xr:uid="{00000000-0005-0000-0000-00002DC60000}"/>
    <cellStyle name="Migliaia 57 3 3 3 4" xfId="55031" xr:uid="{00000000-0005-0000-0000-00002EC60000}"/>
    <cellStyle name="Migliaia 57 3 3 4" xfId="55941" xr:uid="{00000000-0005-0000-0000-00002FC60000}"/>
    <cellStyle name="Migliaia 57 3 3 5" xfId="52659" xr:uid="{00000000-0005-0000-0000-000030C60000}"/>
    <cellStyle name="Migliaia 57 3 4" xfId="10005" xr:uid="{00000000-0005-0000-0000-000031C60000}"/>
    <cellStyle name="Migliaia 57 3 4 2" xfId="18461" xr:uid="{00000000-0005-0000-0000-000032C60000}"/>
    <cellStyle name="Migliaia 57 3 4 2 2" xfId="33928" xr:uid="{00000000-0005-0000-0000-000033C60000}"/>
    <cellStyle name="Migliaia 57 3 4 2 3" xfId="48889" xr:uid="{00000000-0005-0000-0000-000034C60000}"/>
    <cellStyle name="Migliaia 57 3 4 2 4" xfId="55412" xr:uid="{00000000-0005-0000-0000-000035C60000}"/>
    <cellStyle name="Migliaia 57 3 4 3" xfId="26330" xr:uid="{00000000-0005-0000-0000-000036C60000}"/>
    <cellStyle name="Migliaia 57 3 4 3 2" xfId="56334" xr:uid="{00000000-0005-0000-0000-000037C60000}"/>
    <cellStyle name="Migliaia 57 3 4 4" xfId="41308" xr:uid="{00000000-0005-0000-0000-000038C60000}"/>
    <cellStyle name="Migliaia 57 3 4 5" xfId="53057" xr:uid="{00000000-0005-0000-0000-000039C60000}"/>
    <cellStyle name="Migliaia 57 3 5" xfId="17418" xr:uid="{00000000-0005-0000-0000-00003AC60000}"/>
    <cellStyle name="Migliaia 57 3 5 2" xfId="33533" xr:uid="{00000000-0005-0000-0000-00003BC60000}"/>
    <cellStyle name="Migliaia 57 3 5 3" xfId="48494" xr:uid="{00000000-0005-0000-0000-00003CC60000}"/>
    <cellStyle name="Migliaia 57 3 5 4" xfId="55029" xr:uid="{00000000-0005-0000-0000-00003DC60000}"/>
    <cellStyle name="Migliaia 57 3 6" xfId="19311" xr:uid="{00000000-0005-0000-0000-00003EC60000}"/>
    <cellStyle name="Migliaia 57 3 6 2" xfId="55939" xr:uid="{00000000-0005-0000-0000-00003FC60000}"/>
    <cellStyle name="Migliaia 57 3 7" xfId="34306" xr:uid="{00000000-0005-0000-0000-000040C60000}"/>
    <cellStyle name="Migliaia 57 3 8" xfId="49246" xr:uid="{00000000-0005-0000-0000-000041C60000}"/>
    <cellStyle name="Migliaia 57 3 9" xfId="49651" xr:uid="{00000000-0005-0000-0000-000042C60000}"/>
    <cellStyle name="Migliaia 57 4" xfId="9428" xr:uid="{00000000-0005-0000-0000-000043C60000}"/>
    <cellStyle name="Migliaia 57 4 2" xfId="17422" xr:uid="{00000000-0005-0000-0000-000044C60000}"/>
    <cellStyle name="Migliaia 57 4 2 2" xfId="18464" xr:uid="{00000000-0005-0000-0000-000045C60000}"/>
    <cellStyle name="Migliaia 57 4 2 2 2" xfId="33931" xr:uid="{00000000-0005-0000-0000-000046C60000}"/>
    <cellStyle name="Migliaia 57 4 2 2 2 2" xfId="55415" xr:uid="{00000000-0005-0000-0000-000047C60000}"/>
    <cellStyle name="Migliaia 57 4 2 2 3" xfId="48892" xr:uid="{00000000-0005-0000-0000-000048C60000}"/>
    <cellStyle name="Migliaia 57 4 2 2 3 2" xfId="56337" xr:uid="{00000000-0005-0000-0000-000049C60000}"/>
    <cellStyle name="Migliaia 57 4 2 2 4" xfId="53060" xr:uid="{00000000-0005-0000-0000-00004AC60000}"/>
    <cellStyle name="Migliaia 57 4 2 3" xfId="33537" xr:uid="{00000000-0005-0000-0000-00004BC60000}"/>
    <cellStyle name="Migliaia 57 4 2 3 2" xfId="55033" xr:uid="{00000000-0005-0000-0000-00004CC60000}"/>
    <cellStyle name="Migliaia 57 4 2 4" xfId="48498" xr:uid="{00000000-0005-0000-0000-00004DC60000}"/>
    <cellStyle name="Migliaia 57 4 2 4 2" xfId="55943" xr:uid="{00000000-0005-0000-0000-00004EC60000}"/>
    <cellStyle name="Migliaia 57 4 2 5" xfId="52661" xr:uid="{00000000-0005-0000-0000-00004FC60000}"/>
    <cellStyle name="Migliaia 57 4 3" xfId="18463" xr:uid="{00000000-0005-0000-0000-000050C60000}"/>
    <cellStyle name="Migliaia 57 4 3 2" xfId="33930" xr:uid="{00000000-0005-0000-0000-000051C60000}"/>
    <cellStyle name="Migliaia 57 4 3 2 2" xfId="55414" xr:uid="{00000000-0005-0000-0000-000052C60000}"/>
    <cellStyle name="Migliaia 57 4 3 3" xfId="48891" xr:uid="{00000000-0005-0000-0000-000053C60000}"/>
    <cellStyle name="Migliaia 57 4 3 3 2" xfId="56336" xr:uid="{00000000-0005-0000-0000-000054C60000}"/>
    <cellStyle name="Migliaia 57 4 3 4" xfId="53059" xr:uid="{00000000-0005-0000-0000-000055C60000}"/>
    <cellStyle name="Migliaia 57 4 4" xfId="17421" xr:uid="{00000000-0005-0000-0000-000056C60000}"/>
    <cellStyle name="Migliaia 57 4 4 2" xfId="33536" xr:uid="{00000000-0005-0000-0000-000057C60000}"/>
    <cellStyle name="Migliaia 57 4 4 3" xfId="48497" xr:uid="{00000000-0005-0000-0000-000058C60000}"/>
    <cellStyle name="Migliaia 57 4 4 4" xfId="55032" xr:uid="{00000000-0005-0000-0000-000059C60000}"/>
    <cellStyle name="Migliaia 57 4 5" xfId="50956" xr:uid="{00000000-0005-0000-0000-00005AC60000}"/>
    <cellStyle name="Migliaia 57 4 5 2" xfId="55942" xr:uid="{00000000-0005-0000-0000-00005BC60000}"/>
    <cellStyle name="Migliaia 57 4 6" xfId="52660" xr:uid="{00000000-0005-0000-0000-00005CC60000}"/>
    <cellStyle name="Migliaia 57 5" xfId="9429" xr:uid="{00000000-0005-0000-0000-00005DC60000}"/>
    <cellStyle name="Migliaia 57 5 2" xfId="17423" xr:uid="{00000000-0005-0000-0000-00005EC60000}"/>
    <cellStyle name="Migliaia 57 5 2 2" xfId="33538" xr:uid="{00000000-0005-0000-0000-00005FC60000}"/>
    <cellStyle name="Migliaia 57 5 2 3" xfId="48499" xr:uid="{00000000-0005-0000-0000-000060C60000}"/>
    <cellStyle name="Migliaia 57 5 2 4" xfId="55034" xr:uid="{00000000-0005-0000-0000-000061C60000}"/>
    <cellStyle name="Migliaia 57 5 3" xfId="51171" xr:uid="{00000000-0005-0000-0000-000062C60000}"/>
    <cellStyle name="Migliaia 57 5 3 2" xfId="55944" xr:uid="{00000000-0005-0000-0000-000063C60000}"/>
    <cellStyle name="Migliaia 57 5 4" xfId="52662" xr:uid="{00000000-0005-0000-0000-000064C60000}"/>
    <cellStyle name="Migliaia 57 6" xfId="9424" xr:uid="{00000000-0005-0000-0000-000065C60000}"/>
    <cellStyle name="Migliaia 57 6 2" xfId="50955" xr:uid="{00000000-0005-0000-0000-000066C60000}"/>
    <cellStyle name="Migliaia 57 6 3" xfId="54637" xr:uid="{00000000-0005-0000-0000-000067C60000}"/>
    <cellStyle name="Migliaia 57 7" xfId="10003" xr:uid="{00000000-0005-0000-0000-000068C60000}"/>
    <cellStyle name="Migliaia 57 7 2" xfId="26328" xr:uid="{00000000-0005-0000-0000-000069C60000}"/>
    <cellStyle name="Migliaia 57 7 3" xfId="41306" xr:uid="{00000000-0005-0000-0000-00006AC60000}"/>
    <cellStyle name="Migliaia 57 7 4" xfId="55937" xr:uid="{00000000-0005-0000-0000-00006BC60000}"/>
    <cellStyle name="Migliaia 57 8" xfId="17416" xr:uid="{00000000-0005-0000-0000-00006CC60000}"/>
    <cellStyle name="Migliaia 57 8 2" xfId="33531" xr:uid="{00000000-0005-0000-0000-00006DC60000}"/>
    <cellStyle name="Migliaia 57 8 3" xfId="48492" xr:uid="{00000000-0005-0000-0000-00006EC60000}"/>
    <cellStyle name="Migliaia 57 9" xfId="19309" xr:uid="{00000000-0005-0000-0000-00006FC60000}"/>
    <cellStyle name="Migliaia 58" xfId="497" xr:uid="{00000000-0005-0000-0000-000070C60000}"/>
    <cellStyle name="Migliaia 58 10" xfId="34308" xr:uid="{00000000-0005-0000-0000-000071C60000}"/>
    <cellStyle name="Migliaia 58 11" xfId="49248" xr:uid="{00000000-0005-0000-0000-000072C60000}"/>
    <cellStyle name="Migliaia 58 12" xfId="49653" xr:uid="{00000000-0005-0000-0000-000073C60000}"/>
    <cellStyle name="Migliaia 58 13" xfId="50059" xr:uid="{00000000-0005-0000-0000-000074C60000}"/>
    <cellStyle name="Migliaia 58 14" xfId="50467" xr:uid="{00000000-0005-0000-0000-000075C60000}"/>
    <cellStyle name="Migliaia 58 15" xfId="50909" xr:uid="{00000000-0005-0000-0000-000076C60000}"/>
    <cellStyle name="Migliaia 58 16" xfId="51628" xr:uid="{00000000-0005-0000-0000-000077C60000}"/>
    <cellStyle name="Migliaia 58 17" xfId="52040" xr:uid="{00000000-0005-0000-0000-000078C60000}"/>
    <cellStyle name="Migliaia 58 18" xfId="52663" xr:uid="{00000000-0005-0000-0000-000079C60000}"/>
    <cellStyle name="Migliaia 58 2" xfId="498" xr:uid="{00000000-0005-0000-0000-00007AC60000}"/>
    <cellStyle name="Migliaia 58 2 10" xfId="50060" xr:uid="{00000000-0005-0000-0000-00007BC60000}"/>
    <cellStyle name="Migliaia 58 2 11" xfId="50468" xr:uid="{00000000-0005-0000-0000-00007CC60000}"/>
    <cellStyle name="Migliaia 58 2 12" xfId="50910" xr:uid="{00000000-0005-0000-0000-00007DC60000}"/>
    <cellStyle name="Migliaia 58 2 13" xfId="51629" xr:uid="{00000000-0005-0000-0000-00007EC60000}"/>
    <cellStyle name="Migliaia 58 2 14" xfId="52041" xr:uid="{00000000-0005-0000-0000-00007FC60000}"/>
    <cellStyle name="Migliaia 58 2 15" xfId="52664" xr:uid="{00000000-0005-0000-0000-000080C60000}"/>
    <cellStyle name="Migliaia 58 2 2" xfId="1297" xr:uid="{00000000-0005-0000-0000-000081C60000}"/>
    <cellStyle name="Migliaia 58 2 2 10" xfId="51149" xr:uid="{00000000-0005-0000-0000-000082C60000}"/>
    <cellStyle name="Migliaia 58 2 2 11" xfId="51745" xr:uid="{00000000-0005-0000-0000-000083C60000}"/>
    <cellStyle name="Migliaia 58 2 2 12" xfId="52165" xr:uid="{00000000-0005-0000-0000-000084C60000}"/>
    <cellStyle name="Migliaia 58 2 2 13" xfId="53061" xr:uid="{00000000-0005-0000-0000-000085C60000}"/>
    <cellStyle name="Migliaia 58 2 2 2" xfId="10124" xr:uid="{00000000-0005-0000-0000-000086C60000}"/>
    <cellStyle name="Migliaia 58 2 2 2 2" xfId="26444" xr:uid="{00000000-0005-0000-0000-000087C60000}"/>
    <cellStyle name="Migliaia 58 2 2 2 3" xfId="41412" xr:uid="{00000000-0005-0000-0000-000088C60000}"/>
    <cellStyle name="Migliaia 58 2 2 2 4" xfId="55416" xr:uid="{00000000-0005-0000-0000-000089C60000}"/>
    <cellStyle name="Migliaia 58 2 2 3" xfId="18465" xr:uid="{00000000-0005-0000-0000-00008AC60000}"/>
    <cellStyle name="Migliaia 58 2 2 3 2" xfId="33932" xr:uid="{00000000-0005-0000-0000-00008BC60000}"/>
    <cellStyle name="Migliaia 58 2 2 3 3" xfId="48893" xr:uid="{00000000-0005-0000-0000-00008CC60000}"/>
    <cellStyle name="Migliaia 58 2 2 3 4" xfId="56338" xr:uid="{00000000-0005-0000-0000-00008DC60000}"/>
    <cellStyle name="Migliaia 58 2 2 4" xfId="19423" xr:uid="{00000000-0005-0000-0000-00008EC60000}"/>
    <cellStyle name="Migliaia 58 2 2 5" xfId="34413" xr:uid="{00000000-0005-0000-0000-00008FC60000}"/>
    <cellStyle name="Migliaia 58 2 2 6" xfId="49365" xr:uid="{00000000-0005-0000-0000-000090C60000}"/>
    <cellStyle name="Migliaia 58 2 2 7" xfId="49770" xr:uid="{00000000-0005-0000-0000-000091C60000}"/>
    <cellStyle name="Migliaia 58 2 2 8" xfId="50179" xr:uid="{00000000-0005-0000-0000-000092C60000}"/>
    <cellStyle name="Migliaia 58 2 2 9" xfId="50584" xr:uid="{00000000-0005-0000-0000-000093C60000}"/>
    <cellStyle name="Migliaia 58 2 3" xfId="9431" xr:uid="{00000000-0005-0000-0000-000094C60000}"/>
    <cellStyle name="Migliaia 58 2 3 2" xfId="54702" xr:uid="{00000000-0005-0000-0000-000095C60000}"/>
    <cellStyle name="Migliaia 58 2 4" xfId="10008" xr:uid="{00000000-0005-0000-0000-000096C60000}"/>
    <cellStyle name="Migliaia 58 2 4 2" xfId="26333" xr:uid="{00000000-0005-0000-0000-000097C60000}"/>
    <cellStyle name="Migliaia 58 2 4 3" xfId="41311" xr:uid="{00000000-0005-0000-0000-000098C60000}"/>
    <cellStyle name="Migliaia 58 2 4 4" xfId="55946" xr:uid="{00000000-0005-0000-0000-000099C60000}"/>
    <cellStyle name="Migliaia 58 2 5" xfId="17425" xr:uid="{00000000-0005-0000-0000-00009AC60000}"/>
    <cellStyle name="Migliaia 58 2 5 2" xfId="33540" xr:uid="{00000000-0005-0000-0000-00009BC60000}"/>
    <cellStyle name="Migliaia 58 2 5 3" xfId="48501" xr:uid="{00000000-0005-0000-0000-00009CC60000}"/>
    <cellStyle name="Migliaia 58 2 6" xfId="19314" xr:uid="{00000000-0005-0000-0000-00009DC60000}"/>
    <cellStyle name="Migliaia 58 2 7" xfId="34309" xr:uid="{00000000-0005-0000-0000-00009EC60000}"/>
    <cellStyle name="Migliaia 58 2 8" xfId="49249" xr:uid="{00000000-0005-0000-0000-00009FC60000}"/>
    <cellStyle name="Migliaia 58 2 9" xfId="49654" xr:uid="{00000000-0005-0000-0000-0000A0C60000}"/>
    <cellStyle name="Migliaia 58 3" xfId="499" xr:uid="{00000000-0005-0000-0000-0000A1C60000}"/>
    <cellStyle name="Migliaia 58 3 10" xfId="50061" xr:uid="{00000000-0005-0000-0000-0000A2C60000}"/>
    <cellStyle name="Migliaia 58 3 11" xfId="50469" xr:uid="{00000000-0005-0000-0000-0000A3C60000}"/>
    <cellStyle name="Migliaia 58 3 12" xfId="50911" xr:uid="{00000000-0005-0000-0000-0000A4C60000}"/>
    <cellStyle name="Migliaia 58 3 13" xfId="51630" xr:uid="{00000000-0005-0000-0000-0000A5C60000}"/>
    <cellStyle name="Migliaia 58 3 14" xfId="52042" xr:uid="{00000000-0005-0000-0000-0000A6C60000}"/>
    <cellStyle name="Migliaia 58 3 15" xfId="52665" xr:uid="{00000000-0005-0000-0000-0000A7C60000}"/>
    <cellStyle name="Migliaia 58 3 2" xfId="500" xr:uid="{00000000-0005-0000-0000-0000A8C60000}"/>
    <cellStyle name="Migliaia 58 3 2 10" xfId="50470" xr:uid="{00000000-0005-0000-0000-0000A9C60000}"/>
    <cellStyle name="Migliaia 58 3 2 11" xfId="50912" xr:uid="{00000000-0005-0000-0000-0000AAC60000}"/>
    <cellStyle name="Migliaia 58 3 2 12" xfId="51631" xr:uid="{00000000-0005-0000-0000-0000ABC60000}"/>
    <cellStyle name="Migliaia 58 3 2 13" xfId="52043" xr:uid="{00000000-0005-0000-0000-0000ACC60000}"/>
    <cellStyle name="Migliaia 58 3 2 14" xfId="52666" xr:uid="{00000000-0005-0000-0000-0000ADC60000}"/>
    <cellStyle name="Migliaia 58 3 2 2" xfId="9433" xr:uid="{00000000-0005-0000-0000-0000AEC60000}"/>
    <cellStyle name="Migliaia 58 3 2 2 2" xfId="55036" xr:uid="{00000000-0005-0000-0000-0000AFC60000}"/>
    <cellStyle name="Migliaia 58 3 2 3" xfId="10010" xr:uid="{00000000-0005-0000-0000-0000B0C60000}"/>
    <cellStyle name="Migliaia 58 3 2 3 2" xfId="26335" xr:uid="{00000000-0005-0000-0000-0000B1C60000}"/>
    <cellStyle name="Migliaia 58 3 2 3 3" xfId="41313" xr:uid="{00000000-0005-0000-0000-0000B2C60000}"/>
    <cellStyle name="Migliaia 58 3 2 3 4" xfId="55948" xr:uid="{00000000-0005-0000-0000-0000B3C60000}"/>
    <cellStyle name="Migliaia 58 3 2 4" xfId="17427" xr:uid="{00000000-0005-0000-0000-0000B4C60000}"/>
    <cellStyle name="Migliaia 58 3 2 4 2" xfId="33542" xr:uid="{00000000-0005-0000-0000-0000B5C60000}"/>
    <cellStyle name="Migliaia 58 3 2 4 3" xfId="48503" xr:uid="{00000000-0005-0000-0000-0000B6C60000}"/>
    <cellStyle name="Migliaia 58 3 2 5" xfId="19316" xr:uid="{00000000-0005-0000-0000-0000B7C60000}"/>
    <cellStyle name="Migliaia 58 3 2 6" xfId="34311" xr:uid="{00000000-0005-0000-0000-0000B8C60000}"/>
    <cellStyle name="Migliaia 58 3 2 7" xfId="49251" xr:uid="{00000000-0005-0000-0000-0000B9C60000}"/>
    <cellStyle name="Migliaia 58 3 2 8" xfId="49656" xr:uid="{00000000-0005-0000-0000-0000BAC60000}"/>
    <cellStyle name="Migliaia 58 3 2 9" xfId="50062" xr:uid="{00000000-0005-0000-0000-0000BBC60000}"/>
    <cellStyle name="Migliaia 58 3 3" xfId="9432" xr:uid="{00000000-0005-0000-0000-0000BCC60000}"/>
    <cellStyle name="Migliaia 58 3 3 2" xfId="18467" xr:uid="{00000000-0005-0000-0000-0000BDC60000}"/>
    <cellStyle name="Migliaia 58 3 3 2 2" xfId="33934" xr:uid="{00000000-0005-0000-0000-0000BEC60000}"/>
    <cellStyle name="Migliaia 58 3 3 2 2 2" xfId="55418" xr:uid="{00000000-0005-0000-0000-0000BFC60000}"/>
    <cellStyle name="Migliaia 58 3 3 2 3" xfId="48895" xr:uid="{00000000-0005-0000-0000-0000C0C60000}"/>
    <cellStyle name="Migliaia 58 3 3 2 3 2" xfId="56340" xr:uid="{00000000-0005-0000-0000-0000C1C60000}"/>
    <cellStyle name="Migliaia 58 3 3 2 4" xfId="53063" xr:uid="{00000000-0005-0000-0000-0000C2C60000}"/>
    <cellStyle name="Migliaia 58 3 3 3" xfId="17428" xr:uid="{00000000-0005-0000-0000-0000C3C60000}"/>
    <cellStyle name="Migliaia 58 3 3 3 2" xfId="33543" xr:uid="{00000000-0005-0000-0000-0000C4C60000}"/>
    <cellStyle name="Migliaia 58 3 3 3 3" xfId="48504" xr:uid="{00000000-0005-0000-0000-0000C5C60000}"/>
    <cellStyle name="Migliaia 58 3 3 3 4" xfId="55037" xr:uid="{00000000-0005-0000-0000-0000C6C60000}"/>
    <cellStyle name="Migliaia 58 3 3 4" xfId="55949" xr:uid="{00000000-0005-0000-0000-0000C7C60000}"/>
    <cellStyle name="Migliaia 58 3 3 5" xfId="52667" xr:uid="{00000000-0005-0000-0000-0000C8C60000}"/>
    <cellStyle name="Migliaia 58 3 4" xfId="10009" xr:uid="{00000000-0005-0000-0000-0000C9C60000}"/>
    <cellStyle name="Migliaia 58 3 4 2" xfId="18466" xr:uid="{00000000-0005-0000-0000-0000CAC60000}"/>
    <cellStyle name="Migliaia 58 3 4 2 2" xfId="33933" xr:uid="{00000000-0005-0000-0000-0000CBC60000}"/>
    <cellStyle name="Migliaia 58 3 4 2 3" xfId="48894" xr:uid="{00000000-0005-0000-0000-0000CCC60000}"/>
    <cellStyle name="Migliaia 58 3 4 2 4" xfId="55417" xr:uid="{00000000-0005-0000-0000-0000CDC60000}"/>
    <cellStyle name="Migliaia 58 3 4 3" xfId="26334" xr:uid="{00000000-0005-0000-0000-0000CEC60000}"/>
    <cellStyle name="Migliaia 58 3 4 3 2" xfId="56339" xr:uid="{00000000-0005-0000-0000-0000CFC60000}"/>
    <cellStyle name="Migliaia 58 3 4 4" xfId="41312" xr:uid="{00000000-0005-0000-0000-0000D0C60000}"/>
    <cellStyle name="Migliaia 58 3 4 5" xfId="53062" xr:uid="{00000000-0005-0000-0000-0000D1C60000}"/>
    <cellStyle name="Migliaia 58 3 5" xfId="17426" xr:uid="{00000000-0005-0000-0000-0000D2C60000}"/>
    <cellStyle name="Migliaia 58 3 5 2" xfId="33541" xr:uid="{00000000-0005-0000-0000-0000D3C60000}"/>
    <cellStyle name="Migliaia 58 3 5 3" xfId="48502" xr:uid="{00000000-0005-0000-0000-0000D4C60000}"/>
    <cellStyle name="Migliaia 58 3 5 4" xfId="55035" xr:uid="{00000000-0005-0000-0000-0000D5C60000}"/>
    <cellStyle name="Migliaia 58 3 6" xfId="19315" xr:uid="{00000000-0005-0000-0000-0000D6C60000}"/>
    <cellStyle name="Migliaia 58 3 6 2" xfId="55947" xr:uid="{00000000-0005-0000-0000-0000D7C60000}"/>
    <cellStyle name="Migliaia 58 3 7" xfId="34310" xr:uid="{00000000-0005-0000-0000-0000D8C60000}"/>
    <cellStyle name="Migliaia 58 3 8" xfId="49250" xr:uid="{00000000-0005-0000-0000-0000D9C60000}"/>
    <cellStyle name="Migliaia 58 3 9" xfId="49655" xr:uid="{00000000-0005-0000-0000-0000DAC60000}"/>
    <cellStyle name="Migliaia 58 4" xfId="9434" xr:uid="{00000000-0005-0000-0000-0000DBC60000}"/>
    <cellStyle name="Migliaia 58 4 2" xfId="17430" xr:uid="{00000000-0005-0000-0000-0000DCC60000}"/>
    <cellStyle name="Migliaia 58 4 2 2" xfId="18469" xr:uid="{00000000-0005-0000-0000-0000DDC60000}"/>
    <cellStyle name="Migliaia 58 4 2 2 2" xfId="33936" xr:uid="{00000000-0005-0000-0000-0000DEC60000}"/>
    <cellStyle name="Migliaia 58 4 2 2 2 2" xfId="55420" xr:uid="{00000000-0005-0000-0000-0000DFC60000}"/>
    <cellStyle name="Migliaia 58 4 2 2 3" xfId="48897" xr:uid="{00000000-0005-0000-0000-0000E0C60000}"/>
    <cellStyle name="Migliaia 58 4 2 2 3 2" xfId="56342" xr:uid="{00000000-0005-0000-0000-0000E1C60000}"/>
    <cellStyle name="Migliaia 58 4 2 2 4" xfId="53065" xr:uid="{00000000-0005-0000-0000-0000E2C60000}"/>
    <cellStyle name="Migliaia 58 4 2 3" xfId="33545" xr:uid="{00000000-0005-0000-0000-0000E3C60000}"/>
    <cellStyle name="Migliaia 58 4 2 3 2" xfId="55039" xr:uid="{00000000-0005-0000-0000-0000E4C60000}"/>
    <cellStyle name="Migliaia 58 4 2 4" xfId="48506" xr:uid="{00000000-0005-0000-0000-0000E5C60000}"/>
    <cellStyle name="Migliaia 58 4 2 4 2" xfId="55951" xr:uid="{00000000-0005-0000-0000-0000E6C60000}"/>
    <cellStyle name="Migliaia 58 4 2 5" xfId="52669" xr:uid="{00000000-0005-0000-0000-0000E7C60000}"/>
    <cellStyle name="Migliaia 58 4 3" xfId="18468" xr:uid="{00000000-0005-0000-0000-0000E8C60000}"/>
    <cellStyle name="Migliaia 58 4 3 2" xfId="33935" xr:uid="{00000000-0005-0000-0000-0000E9C60000}"/>
    <cellStyle name="Migliaia 58 4 3 2 2" xfId="55419" xr:uid="{00000000-0005-0000-0000-0000EAC60000}"/>
    <cellStyle name="Migliaia 58 4 3 3" xfId="48896" xr:uid="{00000000-0005-0000-0000-0000EBC60000}"/>
    <cellStyle name="Migliaia 58 4 3 3 2" xfId="56341" xr:uid="{00000000-0005-0000-0000-0000ECC60000}"/>
    <cellStyle name="Migliaia 58 4 3 4" xfId="53064" xr:uid="{00000000-0005-0000-0000-0000EDC60000}"/>
    <cellStyle name="Migliaia 58 4 4" xfId="17429" xr:uid="{00000000-0005-0000-0000-0000EEC60000}"/>
    <cellStyle name="Migliaia 58 4 4 2" xfId="33544" xr:uid="{00000000-0005-0000-0000-0000EFC60000}"/>
    <cellStyle name="Migliaia 58 4 4 3" xfId="48505" xr:uid="{00000000-0005-0000-0000-0000F0C60000}"/>
    <cellStyle name="Migliaia 58 4 4 4" xfId="55038" xr:uid="{00000000-0005-0000-0000-0000F1C60000}"/>
    <cellStyle name="Migliaia 58 4 5" xfId="50954" xr:uid="{00000000-0005-0000-0000-0000F2C60000}"/>
    <cellStyle name="Migliaia 58 4 5 2" xfId="55950" xr:uid="{00000000-0005-0000-0000-0000F3C60000}"/>
    <cellStyle name="Migliaia 58 4 6" xfId="52668" xr:uid="{00000000-0005-0000-0000-0000F4C60000}"/>
    <cellStyle name="Migliaia 58 5" xfId="9435" xr:uid="{00000000-0005-0000-0000-0000F5C60000}"/>
    <cellStyle name="Migliaia 58 5 2" xfId="17431" xr:uid="{00000000-0005-0000-0000-0000F6C60000}"/>
    <cellStyle name="Migliaia 58 5 2 2" xfId="33546" xr:uid="{00000000-0005-0000-0000-0000F7C60000}"/>
    <cellStyle name="Migliaia 58 5 2 3" xfId="48507" xr:uid="{00000000-0005-0000-0000-0000F8C60000}"/>
    <cellStyle name="Migliaia 58 5 2 4" xfId="55040" xr:uid="{00000000-0005-0000-0000-0000F9C60000}"/>
    <cellStyle name="Migliaia 58 5 3" xfId="51027" xr:uid="{00000000-0005-0000-0000-0000FAC60000}"/>
    <cellStyle name="Migliaia 58 5 3 2" xfId="55952" xr:uid="{00000000-0005-0000-0000-0000FBC60000}"/>
    <cellStyle name="Migliaia 58 5 4" xfId="52670" xr:uid="{00000000-0005-0000-0000-0000FCC60000}"/>
    <cellStyle name="Migliaia 58 6" xfId="9430" xr:uid="{00000000-0005-0000-0000-0000FDC60000}"/>
    <cellStyle name="Migliaia 58 6 2" xfId="51169" xr:uid="{00000000-0005-0000-0000-0000FEC60000}"/>
    <cellStyle name="Migliaia 58 6 3" xfId="54638" xr:uid="{00000000-0005-0000-0000-0000FFC60000}"/>
    <cellStyle name="Migliaia 58 7" xfId="10007" xr:uid="{00000000-0005-0000-0000-000000C70000}"/>
    <cellStyle name="Migliaia 58 7 2" xfId="26332" xr:uid="{00000000-0005-0000-0000-000001C70000}"/>
    <cellStyle name="Migliaia 58 7 3" xfId="41310" xr:uid="{00000000-0005-0000-0000-000002C70000}"/>
    <cellStyle name="Migliaia 58 7 4" xfId="55945" xr:uid="{00000000-0005-0000-0000-000003C70000}"/>
    <cellStyle name="Migliaia 58 8" xfId="17424" xr:uid="{00000000-0005-0000-0000-000004C70000}"/>
    <cellStyle name="Migliaia 58 8 2" xfId="33539" xr:uid="{00000000-0005-0000-0000-000005C70000}"/>
    <cellStyle name="Migliaia 58 8 3" xfId="48500" xr:uid="{00000000-0005-0000-0000-000006C70000}"/>
    <cellStyle name="Migliaia 58 9" xfId="19313" xr:uid="{00000000-0005-0000-0000-000007C70000}"/>
    <cellStyle name="Migliaia 59" xfId="501" xr:uid="{00000000-0005-0000-0000-000008C70000}"/>
    <cellStyle name="Migliaia 59 10" xfId="34312" xr:uid="{00000000-0005-0000-0000-000009C70000}"/>
    <cellStyle name="Migliaia 59 11" xfId="49252" xr:uid="{00000000-0005-0000-0000-00000AC70000}"/>
    <cellStyle name="Migliaia 59 12" xfId="49657" xr:uid="{00000000-0005-0000-0000-00000BC70000}"/>
    <cellStyle name="Migliaia 59 13" xfId="50063" xr:uid="{00000000-0005-0000-0000-00000CC70000}"/>
    <cellStyle name="Migliaia 59 14" xfId="50471" xr:uid="{00000000-0005-0000-0000-00000DC70000}"/>
    <cellStyle name="Migliaia 59 15" xfId="50913" xr:uid="{00000000-0005-0000-0000-00000EC70000}"/>
    <cellStyle name="Migliaia 59 16" xfId="51632" xr:uid="{00000000-0005-0000-0000-00000FC70000}"/>
    <cellStyle name="Migliaia 59 17" xfId="52044" xr:uid="{00000000-0005-0000-0000-000010C70000}"/>
    <cellStyle name="Migliaia 59 18" xfId="52671" xr:uid="{00000000-0005-0000-0000-000011C70000}"/>
    <cellStyle name="Migliaia 59 2" xfId="502" xr:uid="{00000000-0005-0000-0000-000012C70000}"/>
    <cellStyle name="Migliaia 59 2 10" xfId="50064" xr:uid="{00000000-0005-0000-0000-000013C70000}"/>
    <cellStyle name="Migliaia 59 2 11" xfId="50472" xr:uid="{00000000-0005-0000-0000-000014C70000}"/>
    <cellStyle name="Migliaia 59 2 12" xfId="50914" xr:uid="{00000000-0005-0000-0000-000015C70000}"/>
    <cellStyle name="Migliaia 59 2 13" xfId="51633" xr:uid="{00000000-0005-0000-0000-000016C70000}"/>
    <cellStyle name="Migliaia 59 2 14" xfId="52045" xr:uid="{00000000-0005-0000-0000-000017C70000}"/>
    <cellStyle name="Migliaia 59 2 15" xfId="52672" xr:uid="{00000000-0005-0000-0000-000018C70000}"/>
    <cellStyle name="Migliaia 59 2 2" xfId="1298" xr:uid="{00000000-0005-0000-0000-000019C70000}"/>
    <cellStyle name="Migliaia 59 2 2 10" xfId="51150" xr:uid="{00000000-0005-0000-0000-00001AC70000}"/>
    <cellStyle name="Migliaia 59 2 2 11" xfId="51746" xr:uid="{00000000-0005-0000-0000-00001BC70000}"/>
    <cellStyle name="Migliaia 59 2 2 12" xfId="52166" xr:uid="{00000000-0005-0000-0000-00001CC70000}"/>
    <cellStyle name="Migliaia 59 2 2 13" xfId="53066" xr:uid="{00000000-0005-0000-0000-00001DC70000}"/>
    <cellStyle name="Migliaia 59 2 2 2" xfId="10125" xr:uid="{00000000-0005-0000-0000-00001EC70000}"/>
    <cellStyle name="Migliaia 59 2 2 2 2" xfId="26445" xr:uid="{00000000-0005-0000-0000-00001FC70000}"/>
    <cellStyle name="Migliaia 59 2 2 2 3" xfId="41413" xr:uid="{00000000-0005-0000-0000-000020C70000}"/>
    <cellStyle name="Migliaia 59 2 2 2 4" xfId="55421" xr:uid="{00000000-0005-0000-0000-000021C70000}"/>
    <cellStyle name="Migliaia 59 2 2 3" xfId="18470" xr:uid="{00000000-0005-0000-0000-000022C70000}"/>
    <cellStyle name="Migliaia 59 2 2 3 2" xfId="33937" xr:uid="{00000000-0005-0000-0000-000023C70000}"/>
    <cellStyle name="Migliaia 59 2 2 3 3" xfId="48898" xr:uid="{00000000-0005-0000-0000-000024C70000}"/>
    <cellStyle name="Migliaia 59 2 2 3 4" xfId="56343" xr:uid="{00000000-0005-0000-0000-000025C70000}"/>
    <cellStyle name="Migliaia 59 2 2 4" xfId="19424" xr:uid="{00000000-0005-0000-0000-000026C70000}"/>
    <cellStyle name="Migliaia 59 2 2 5" xfId="34414" xr:uid="{00000000-0005-0000-0000-000027C70000}"/>
    <cellStyle name="Migliaia 59 2 2 6" xfId="49366" xr:uid="{00000000-0005-0000-0000-000028C70000}"/>
    <cellStyle name="Migliaia 59 2 2 7" xfId="49771" xr:uid="{00000000-0005-0000-0000-000029C70000}"/>
    <cellStyle name="Migliaia 59 2 2 8" xfId="50180" xr:uid="{00000000-0005-0000-0000-00002AC70000}"/>
    <cellStyle name="Migliaia 59 2 2 9" xfId="50585" xr:uid="{00000000-0005-0000-0000-00002BC70000}"/>
    <cellStyle name="Migliaia 59 2 3" xfId="9437" xr:uid="{00000000-0005-0000-0000-00002CC70000}"/>
    <cellStyle name="Migliaia 59 2 3 2" xfId="54703" xr:uid="{00000000-0005-0000-0000-00002DC70000}"/>
    <cellStyle name="Migliaia 59 2 4" xfId="10012" xr:uid="{00000000-0005-0000-0000-00002EC70000}"/>
    <cellStyle name="Migliaia 59 2 4 2" xfId="26337" xr:uid="{00000000-0005-0000-0000-00002FC70000}"/>
    <cellStyle name="Migliaia 59 2 4 3" xfId="41315" xr:uid="{00000000-0005-0000-0000-000030C70000}"/>
    <cellStyle name="Migliaia 59 2 4 4" xfId="55954" xr:uid="{00000000-0005-0000-0000-000031C70000}"/>
    <cellStyle name="Migliaia 59 2 5" xfId="17433" xr:uid="{00000000-0005-0000-0000-000032C70000}"/>
    <cellStyle name="Migliaia 59 2 5 2" xfId="33548" xr:uid="{00000000-0005-0000-0000-000033C70000}"/>
    <cellStyle name="Migliaia 59 2 5 3" xfId="48509" xr:uid="{00000000-0005-0000-0000-000034C70000}"/>
    <cellStyle name="Migliaia 59 2 6" xfId="19318" xr:uid="{00000000-0005-0000-0000-000035C70000}"/>
    <cellStyle name="Migliaia 59 2 7" xfId="34313" xr:uid="{00000000-0005-0000-0000-000036C70000}"/>
    <cellStyle name="Migliaia 59 2 8" xfId="49253" xr:uid="{00000000-0005-0000-0000-000037C70000}"/>
    <cellStyle name="Migliaia 59 2 9" xfId="49658" xr:uid="{00000000-0005-0000-0000-000038C70000}"/>
    <cellStyle name="Migliaia 59 3" xfId="503" xr:uid="{00000000-0005-0000-0000-000039C70000}"/>
    <cellStyle name="Migliaia 59 3 10" xfId="50065" xr:uid="{00000000-0005-0000-0000-00003AC70000}"/>
    <cellStyle name="Migliaia 59 3 11" xfId="50473" xr:uid="{00000000-0005-0000-0000-00003BC70000}"/>
    <cellStyle name="Migliaia 59 3 12" xfId="50915" xr:uid="{00000000-0005-0000-0000-00003CC70000}"/>
    <cellStyle name="Migliaia 59 3 13" xfId="51634" xr:uid="{00000000-0005-0000-0000-00003DC70000}"/>
    <cellStyle name="Migliaia 59 3 14" xfId="52046" xr:uid="{00000000-0005-0000-0000-00003EC70000}"/>
    <cellStyle name="Migliaia 59 3 15" xfId="52673" xr:uid="{00000000-0005-0000-0000-00003FC70000}"/>
    <cellStyle name="Migliaia 59 3 2" xfId="504" xr:uid="{00000000-0005-0000-0000-000040C70000}"/>
    <cellStyle name="Migliaia 59 3 2 10" xfId="50474" xr:uid="{00000000-0005-0000-0000-000041C70000}"/>
    <cellStyle name="Migliaia 59 3 2 11" xfId="50916" xr:uid="{00000000-0005-0000-0000-000042C70000}"/>
    <cellStyle name="Migliaia 59 3 2 12" xfId="51635" xr:uid="{00000000-0005-0000-0000-000043C70000}"/>
    <cellStyle name="Migliaia 59 3 2 13" xfId="52047" xr:uid="{00000000-0005-0000-0000-000044C70000}"/>
    <cellStyle name="Migliaia 59 3 2 14" xfId="52674" xr:uid="{00000000-0005-0000-0000-000045C70000}"/>
    <cellStyle name="Migliaia 59 3 2 2" xfId="9439" xr:uid="{00000000-0005-0000-0000-000046C70000}"/>
    <cellStyle name="Migliaia 59 3 2 2 2" xfId="55042" xr:uid="{00000000-0005-0000-0000-000047C70000}"/>
    <cellStyle name="Migliaia 59 3 2 3" xfId="10014" xr:uid="{00000000-0005-0000-0000-000048C70000}"/>
    <cellStyle name="Migliaia 59 3 2 3 2" xfId="26339" xr:uid="{00000000-0005-0000-0000-000049C70000}"/>
    <cellStyle name="Migliaia 59 3 2 3 3" xfId="41317" xr:uid="{00000000-0005-0000-0000-00004AC70000}"/>
    <cellStyle name="Migliaia 59 3 2 3 4" xfId="55956" xr:uid="{00000000-0005-0000-0000-00004BC70000}"/>
    <cellStyle name="Migliaia 59 3 2 4" xfId="17435" xr:uid="{00000000-0005-0000-0000-00004CC70000}"/>
    <cellStyle name="Migliaia 59 3 2 4 2" xfId="33550" xr:uid="{00000000-0005-0000-0000-00004DC70000}"/>
    <cellStyle name="Migliaia 59 3 2 4 3" xfId="48511" xr:uid="{00000000-0005-0000-0000-00004EC70000}"/>
    <cellStyle name="Migliaia 59 3 2 5" xfId="19320" xr:uid="{00000000-0005-0000-0000-00004FC70000}"/>
    <cellStyle name="Migliaia 59 3 2 6" xfId="34315" xr:uid="{00000000-0005-0000-0000-000050C70000}"/>
    <cellStyle name="Migliaia 59 3 2 7" xfId="49255" xr:uid="{00000000-0005-0000-0000-000051C70000}"/>
    <cellStyle name="Migliaia 59 3 2 8" xfId="49660" xr:uid="{00000000-0005-0000-0000-000052C70000}"/>
    <cellStyle name="Migliaia 59 3 2 9" xfId="50066" xr:uid="{00000000-0005-0000-0000-000053C70000}"/>
    <cellStyle name="Migliaia 59 3 3" xfId="9438" xr:uid="{00000000-0005-0000-0000-000054C70000}"/>
    <cellStyle name="Migliaia 59 3 3 2" xfId="18472" xr:uid="{00000000-0005-0000-0000-000055C70000}"/>
    <cellStyle name="Migliaia 59 3 3 2 2" xfId="33939" xr:uid="{00000000-0005-0000-0000-000056C70000}"/>
    <cellStyle name="Migliaia 59 3 3 2 2 2" xfId="55423" xr:uid="{00000000-0005-0000-0000-000057C70000}"/>
    <cellStyle name="Migliaia 59 3 3 2 3" xfId="48900" xr:uid="{00000000-0005-0000-0000-000058C70000}"/>
    <cellStyle name="Migliaia 59 3 3 2 3 2" xfId="56345" xr:uid="{00000000-0005-0000-0000-000059C70000}"/>
    <cellStyle name="Migliaia 59 3 3 2 4" xfId="53068" xr:uid="{00000000-0005-0000-0000-00005AC70000}"/>
    <cellStyle name="Migliaia 59 3 3 3" xfId="17436" xr:uid="{00000000-0005-0000-0000-00005BC70000}"/>
    <cellStyle name="Migliaia 59 3 3 3 2" xfId="33551" xr:uid="{00000000-0005-0000-0000-00005CC70000}"/>
    <cellStyle name="Migliaia 59 3 3 3 3" xfId="48512" xr:uid="{00000000-0005-0000-0000-00005DC70000}"/>
    <cellStyle name="Migliaia 59 3 3 3 4" xfId="55043" xr:uid="{00000000-0005-0000-0000-00005EC70000}"/>
    <cellStyle name="Migliaia 59 3 3 4" xfId="55957" xr:uid="{00000000-0005-0000-0000-00005FC70000}"/>
    <cellStyle name="Migliaia 59 3 3 5" xfId="52675" xr:uid="{00000000-0005-0000-0000-000060C70000}"/>
    <cellStyle name="Migliaia 59 3 4" xfId="10013" xr:uid="{00000000-0005-0000-0000-000061C70000}"/>
    <cellStyle name="Migliaia 59 3 4 2" xfId="18471" xr:uid="{00000000-0005-0000-0000-000062C70000}"/>
    <cellStyle name="Migliaia 59 3 4 2 2" xfId="33938" xr:uid="{00000000-0005-0000-0000-000063C70000}"/>
    <cellStyle name="Migliaia 59 3 4 2 3" xfId="48899" xr:uid="{00000000-0005-0000-0000-000064C70000}"/>
    <cellStyle name="Migliaia 59 3 4 2 4" xfId="55422" xr:uid="{00000000-0005-0000-0000-000065C70000}"/>
    <cellStyle name="Migliaia 59 3 4 3" xfId="26338" xr:uid="{00000000-0005-0000-0000-000066C70000}"/>
    <cellStyle name="Migliaia 59 3 4 3 2" xfId="56344" xr:uid="{00000000-0005-0000-0000-000067C70000}"/>
    <cellStyle name="Migliaia 59 3 4 4" xfId="41316" xr:uid="{00000000-0005-0000-0000-000068C70000}"/>
    <cellStyle name="Migliaia 59 3 4 5" xfId="53067" xr:uid="{00000000-0005-0000-0000-000069C70000}"/>
    <cellStyle name="Migliaia 59 3 5" xfId="17434" xr:uid="{00000000-0005-0000-0000-00006AC70000}"/>
    <cellStyle name="Migliaia 59 3 5 2" xfId="33549" xr:uid="{00000000-0005-0000-0000-00006BC70000}"/>
    <cellStyle name="Migliaia 59 3 5 3" xfId="48510" xr:uid="{00000000-0005-0000-0000-00006CC70000}"/>
    <cellStyle name="Migliaia 59 3 5 4" xfId="55041" xr:uid="{00000000-0005-0000-0000-00006DC70000}"/>
    <cellStyle name="Migliaia 59 3 6" xfId="19319" xr:uid="{00000000-0005-0000-0000-00006EC70000}"/>
    <cellStyle name="Migliaia 59 3 6 2" xfId="55955" xr:uid="{00000000-0005-0000-0000-00006FC70000}"/>
    <cellStyle name="Migliaia 59 3 7" xfId="34314" xr:uid="{00000000-0005-0000-0000-000070C70000}"/>
    <cellStyle name="Migliaia 59 3 8" xfId="49254" xr:uid="{00000000-0005-0000-0000-000071C70000}"/>
    <cellStyle name="Migliaia 59 3 9" xfId="49659" xr:uid="{00000000-0005-0000-0000-000072C70000}"/>
    <cellStyle name="Migliaia 59 4" xfId="9440" xr:uid="{00000000-0005-0000-0000-000073C70000}"/>
    <cellStyle name="Migliaia 59 4 2" xfId="17438" xr:uid="{00000000-0005-0000-0000-000074C70000}"/>
    <cellStyle name="Migliaia 59 4 2 2" xfId="18474" xr:uid="{00000000-0005-0000-0000-000075C70000}"/>
    <cellStyle name="Migliaia 59 4 2 2 2" xfId="33941" xr:uid="{00000000-0005-0000-0000-000076C70000}"/>
    <cellStyle name="Migliaia 59 4 2 2 2 2" xfId="55425" xr:uid="{00000000-0005-0000-0000-000077C70000}"/>
    <cellStyle name="Migliaia 59 4 2 2 3" xfId="48902" xr:uid="{00000000-0005-0000-0000-000078C70000}"/>
    <cellStyle name="Migliaia 59 4 2 2 3 2" xfId="56347" xr:uid="{00000000-0005-0000-0000-000079C70000}"/>
    <cellStyle name="Migliaia 59 4 2 2 4" xfId="53070" xr:uid="{00000000-0005-0000-0000-00007AC70000}"/>
    <cellStyle name="Migliaia 59 4 2 3" xfId="33553" xr:uid="{00000000-0005-0000-0000-00007BC70000}"/>
    <cellStyle name="Migliaia 59 4 2 3 2" xfId="55045" xr:uid="{00000000-0005-0000-0000-00007CC70000}"/>
    <cellStyle name="Migliaia 59 4 2 4" xfId="48514" xr:uid="{00000000-0005-0000-0000-00007DC70000}"/>
    <cellStyle name="Migliaia 59 4 2 4 2" xfId="55959" xr:uid="{00000000-0005-0000-0000-00007EC70000}"/>
    <cellStyle name="Migliaia 59 4 2 5" xfId="52677" xr:uid="{00000000-0005-0000-0000-00007FC70000}"/>
    <cellStyle name="Migliaia 59 4 3" xfId="18473" xr:uid="{00000000-0005-0000-0000-000080C70000}"/>
    <cellStyle name="Migliaia 59 4 3 2" xfId="33940" xr:uid="{00000000-0005-0000-0000-000081C70000}"/>
    <cellStyle name="Migliaia 59 4 3 2 2" xfId="55424" xr:uid="{00000000-0005-0000-0000-000082C70000}"/>
    <cellStyle name="Migliaia 59 4 3 3" xfId="48901" xr:uid="{00000000-0005-0000-0000-000083C70000}"/>
    <cellStyle name="Migliaia 59 4 3 3 2" xfId="56346" xr:uid="{00000000-0005-0000-0000-000084C70000}"/>
    <cellStyle name="Migliaia 59 4 3 4" xfId="53069" xr:uid="{00000000-0005-0000-0000-000085C70000}"/>
    <cellStyle name="Migliaia 59 4 4" xfId="17437" xr:uid="{00000000-0005-0000-0000-000086C70000}"/>
    <cellStyle name="Migliaia 59 4 4 2" xfId="33552" xr:uid="{00000000-0005-0000-0000-000087C70000}"/>
    <cellStyle name="Migliaia 59 4 4 3" xfId="48513" xr:uid="{00000000-0005-0000-0000-000088C70000}"/>
    <cellStyle name="Migliaia 59 4 4 4" xfId="55044" xr:uid="{00000000-0005-0000-0000-000089C70000}"/>
    <cellStyle name="Migliaia 59 4 5" xfId="51170" xr:uid="{00000000-0005-0000-0000-00008AC70000}"/>
    <cellStyle name="Migliaia 59 4 5 2" xfId="55958" xr:uid="{00000000-0005-0000-0000-00008BC70000}"/>
    <cellStyle name="Migliaia 59 4 6" xfId="52676" xr:uid="{00000000-0005-0000-0000-00008CC70000}"/>
    <cellStyle name="Migliaia 59 5" xfId="9441" xr:uid="{00000000-0005-0000-0000-00008DC70000}"/>
    <cellStyle name="Migliaia 59 5 2" xfId="17439" xr:uid="{00000000-0005-0000-0000-00008EC70000}"/>
    <cellStyle name="Migliaia 59 5 2 2" xfId="33554" xr:uid="{00000000-0005-0000-0000-00008FC70000}"/>
    <cellStyle name="Migliaia 59 5 2 3" xfId="48515" xr:uid="{00000000-0005-0000-0000-000090C70000}"/>
    <cellStyle name="Migliaia 59 5 2 4" xfId="55046" xr:uid="{00000000-0005-0000-0000-000091C70000}"/>
    <cellStyle name="Migliaia 59 5 3" xfId="50953" xr:uid="{00000000-0005-0000-0000-000092C70000}"/>
    <cellStyle name="Migliaia 59 5 3 2" xfId="55960" xr:uid="{00000000-0005-0000-0000-000093C70000}"/>
    <cellStyle name="Migliaia 59 5 4" xfId="52678" xr:uid="{00000000-0005-0000-0000-000094C70000}"/>
    <cellStyle name="Migliaia 59 6" xfId="9436" xr:uid="{00000000-0005-0000-0000-000095C70000}"/>
    <cellStyle name="Migliaia 59 6 2" xfId="51293" xr:uid="{00000000-0005-0000-0000-000096C70000}"/>
    <cellStyle name="Migliaia 59 6 3" xfId="54639" xr:uid="{00000000-0005-0000-0000-000097C70000}"/>
    <cellStyle name="Migliaia 59 7" xfId="10011" xr:uid="{00000000-0005-0000-0000-000098C70000}"/>
    <cellStyle name="Migliaia 59 7 2" xfId="26336" xr:uid="{00000000-0005-0000-0000-000099C70000}"/>
    <cellStyle name="Migliaia 59 7 3" xfId="41314" xr:uid="{00000000-0005-0000-0000-00009AC70000}"/>
    <cellStyle name="Migliaia 59 7 4" xfId="55953" xr:uid="{00000000-0005-0000-0000-00009BC70000}"/>
    <cellStyle name="Migliaia 59 8" xfId="17432" xr:uid="{00000000-0005-0000-0000-00009CC70000}"/>
    <cellStyle name="Migliaia 59 8 2" xfId="33547" xr:uid="{00000000-0005-0000-0000-00009DC70000}"/>
    <cellStyle name="Migliaia 59 8 3" xfId="48508" xr:uid="{00000000-0005-0000-0000-00009EC70000}"/>
    <cellStyle name="Migliaia 59 9" xfId="19317" xr:uid="{00000000-0005-0000-0000-00009FC70000}"/>
    <cellStyle name="Migliaia 6" xfId="505" xr:uid="{00000000-0005-0000-0000-0000A0C70000}"/>
    <cellStyle name="Migliaia 6 10" xfId="34316" xr:uid="{00000000-0005-0000-0000-0000A1C70000}"/>
    <cellStyle name="Migliaia 6 11" xfId="49256" xr:uid="{00000000-0005-0000-0000-0000A2C70000}"/>
    <cellStyle name="Migliaia 6 12" xfId="49661" xr:uid="{00000000-0005-0000-0000-0000A3C70000}"/>
    <cellStyle name="Migliaia 6 13" xfId="50067" xr:uid="{00000000-0005-0000-0000-0000A4C70000}"/>
    <cellStyle name="Migliaia 6 14" xfId="50475" xr:uid="{00000000-0005-0000-0000-0000A5C70000}"/>
    <cellStyle name="Migliaia 6 15" xfId="50917" xr:uid="{00000000-0005-0000-0000-0000A6C70000}"/>
    <cellStyle name="Migliaia 6 16" xfId="51636" xr:uid="{00000000-0005-0000-0000-0000A7C70000}"/>
    <cellStyle name="Migliaia 6 17" xfId="52048" xr:uid="{00000000-0005-0000-0000-0000A8C70000}"/>
    <cellStyle name="Migliaia 6 18" xfId="52679" xr:uid="{00000000-0005-0000-0000-0000A9C70000}"/>
    <cellStyle name="Migliaia 6 2" xfId="506" xr:uid="{00000000-0005-0000-0000-0000AAC70000}"/>
    <cellStyle name="Migliaia 6 2 10" xfId="50068" xr:uid="{00000000-0005-0000-0000-0000ABC70000}"/>
    <cellStyle name="Migliaia 6 2 11" xfId="50476" xr:uid="{00000000-0005-0000-0000-0000ACC70000}"/>
    <cellStyle name="Migliaia 6 2 12" xfId="50918" xr:uid="{00000000-0005-0000-0000-0000ADC70000}"/>
    <cellStyle name="Migliaia 6 2 13" xfId="51637" xr:uid="{00000000-0005-0000-0000-0000AEC70000}"/>
    <cellStyle name="Migliaia 6 2 14" xfId="52049" xr:uid="{00000000-0005-0000-0000-0000AFC70000}"/>
    <cellStyle name="Migliaia 6 2 15" xfId="52680" xr:uid="{00000000-0005-0000-0000-0000B0C70000}"/>
    <cellStyle name="Migliaia 6 2 2" xfId="1299" xr:uid="{00000000-0005-0000-0000-0000B1C70000}"/>
    <cellStyle name="Migliaia 6 2 2 10" xfId="51151" xr:uid="{00000000-0005-0000-0000-0000B2C70000}"/>
    <cellStyle name="Migliaia 6 2 2 11" xfId="51747" xr:uid="{00000000-0005-0000-0000-0000B3C70000}"/>
    <cellStyle name="Migliaia 6 2 2 12" xfId="52167" xr:uid="{00000000-0005-0000-0000-0000B4C70000}"/>
    <cellStyle name="Migliaia 6 2 2 13" xfId="53071" xr:uid="{00000000-0005-0000-0000-0000B5C70000}"/>
    <cellStyle name="Migliaia 6 2 2 2" xfId="10126" xr:uid="{00000000-0005-0000-0000-0000B6C70000}"/>
    <cellStyle name="Migliaia 6 2 2 2 2" xfId="26446" xr:uid="{00000000-0005-0000-0000-0000B7C70000}"/>
    <cellStyle name="Migliaia 6 2 2 2 3" xfId="41414" xr:uid="{00000000-0005-0000-0000-0000B8C70000}"/>
    <cellStyle name="Migliaia 6 2 2 2 4" xfId="55426" xr:uid="{00000000-0005-0000-0000-0000B9C70000}"/>
    <cellStyle name="Migliaia 6 2 2 3" xfId="18475" xr:uid="{00000000-0005-0000-0000-0000BAC70000}"/>
    <cellStyle name="Migliaia 6 2 2 3 2" xfId="33942" xr:uid="{00000000-0005-0000-0000-0000BBC70000}"/>
    <cellStyle name="Migliaia 6 2 2 3 3" xfId="48903" xr:uid="{00000000-0005-0000-0000-0000BCC70000}"/>
    <cellStyle name="Migliaia 6 2 2 3 4" xfId="56348" xr:uid="{00000000-0005-0000-0000-0000BDC70000}"/>
    <cellStyle name="Migliaia 6 2 2 4" xfId="19425" xr:uid="{00000000-0005-0000-0000-0000BEC70000}"/>
    <cellStyle name="Migliaia 6 2 2 5" xfId="34415" xr:uid="{00000000-0005-0000-0000-0000BFC70000}"/>
    <cellStyle name="Migliaia 6 2 2 6" xfId="49367" xr:uid="{00000000-0005-0000-0000-0000C0C70000}"/>
    <cellStyle name="Migliaia 6 2 2 7" xfId="49772" xr:uid="{00000000-0005-0000-0000-0000C1C70000}"/>
    <cellStyle name="Migliaia 6 2 2 8" xfId="50181" xr:uid="{00000000-0005-0000-0000-0000C2C70000}"/>
    <cellStyle name="Migliaia 6 2 2 9" xfId="50586" xr:uid="{00000000-0005-0000-0000-0000C3C70000}"/>
    <cellStyle name="Migliaia 6 2 3" xfId="9443" xr:uid="{00000000-0005-0000-0000-0000C4C70000}"/>
    <cellStyle name="Migliaia 6 2 3 2" xfId="54704" xr:uid="{00000000-0005-0000-0000-0000C5C70000}"/>
    <cellStyle name="Migliaia 6 2 4" xfId="10016" xr:uid="{00000000-0005-0000-0000-0000C6C70000}"/>
    <cellStyle name="Migliaia 6 2 4 2" xfId="26341" xr:uid="{00000000-0005-0000-0000-0000C7C70000}"/>
    <cellStyle name="Migliaia 6 2 4 3" xfId="41319" xr:uid="{00000000-0005-0000-0000-0000C8C70000}"/>
    <cellStyle name="Migliaia 6 2 4 4" xfId="55962" xr:uid="{00000000-0005-0000-0000-0000C9C70000}"/>
    <cellStyle name="Migliaia 6 2 5" xfId="17441" xr:uid="{00000000-0005-0000-0000-0000CAC70000}"/>
    <cellStyle name="Migliaia 6 2 5 2" xfId="33556" xr:uid="{00000000-0005-0000-0000-0000CBC70000}"/>
    <cellStyle name="Migliaia 6 2 5 3" xfId="48517" xr:uid="{00000000-0005-0000-0000-0000CCC70000}"/>
    <cellStyle name="Migliaia 6 2 6" xfId="19322" xr:uid="{00000000-0005-0000-0000-0000CDC70000}"/>
    <cellStyle name="Migliaia 6 2 7" xfId="34317" xr:uid="{00000000-0005-0000-0000-0000CEC70000}"/>
    <cellStyle name="Migliaia 6 2 8" xfId="49257" xr:uid="{00000000-0005-0000-0000-0000CFC70000}"/>
    <cellStyle name="Migliaia 6 2 9" xfId="49662" xr:uid="{00000000-0005-0000-0000-0000D0C70000}"/>
    <cellStyle name="Migliaia 6 3" xfId="507" xr:uid="{00000000-0005-0000-0000-0000D1C70000}"/>
    <cellStyle name="Migliaia 6 3 10" xfId="50069" xr:uid="{00000000-0005-0000-0000-0000D2C70000}"/>
    <cellStyle name="Migliaia 6 3 11" xfId="50477" xr:uid="{00000000-0005-0000-0000-0000D3C70000}"/>
    <cellStyle name="Migliaia 6 3 12" xfId="50919" xr:uid="{00000000-0005-0000-0000-0000D4C70000}"/>
    <cellStyle name="Migliaia 6 3 13" xfId="51638" xr:uid="{00000000-0005-0000-0000-0000D5C70000}"/>
    <cellStyle name="Migliaia 6 3 14" xfId="52050" xr:uid="{00000000-0005-0000-0000-0000D6C70000}"/>
    <cellStyle name="Migliaia 6 3 15" xfId="52681" xr:uid="{00000000-0005-0000-0000-0000D7C70000}"/>
    <cellStyle name="Migliaia 6 3 2" xfId="508" xr:uid="{00000000-0005-0000-0000-0000D8C70000}"/>
    <cellStyle name="Migliaia 6 3 2 10" xfId="50478" xr:uid="{00000000-0005-0000-0000-0000D9C70000}"/>
    <cellStyle name="Migliaia 6 3 2 11" xfId="50920" xr:uid="{00000000-0005-0000-0000-0000DAC70000}"/>
    <cellStyle name="Migliaia 6 3 2 12" xfId="51639" xr:uid="{00000000-0005-0000-0000-0000DBC70000}"/>
    <cellStyle name="Migliaia 6 3 2 13" xfId="52051" xr:uid="{00000000-0005-0000-0000-0000DCC70000}"/>
    <cellStyle name="Migliaia 6 3 2 14" xfId="52682" xr:uid="{00000000-0005-0000-0000-0000DDC70000}"/>
    <cellStyle name="Migliaia 6 3 2 2" xfId="9445" xr:uid="{00000000-0005-0000-0000-0000DEC70000}"/>
    <cellStyle name="Migliaia 6 3 2 2 2" xfId="55048" xr:uid="{00000000-0005-0000-0000-0000DFC70000}"/>
    <cellStyle name="Migliaia 6 3 2 3" xfId="10018" xr:uid="{00000000-0005-0000-0000-0000E0C70000}"/>
    <cellStyle name="Migliaia 6 3 2 3 2" xfId="26343" xr:uid="{00000000-0005-0000-0000-0000E1C70000}"/>
    <cellStyle name="Migliaia 6 3 2 3 3" xfId="41321" xr:uid="{00000000-0005-0000-0000-0000E2C70000}"/>
    <cellStyle name="Migliaia 6 3 2 3 4" xfId="55964" xr:uid="{00000000-0005-0000-0000-0000E3C70000}"/>
    <cellStyle name="Migliaia 6 3 2 4" xfId="17443" xr:uid="{00000000-0005-0000-0000-0000E4C70000}"/>
    <cellStyle name="Migliaia 6 3 2 4 2" xfId="33558" xr:uid="{00000000-0005-0000-0000-0000E5C70000}"/>
    <cellStyle name="Migliaia 6 3 2 4 3" xfId="48519" xr:uid="{00000000-0005-0000-0000-0000E6C70000}"/>
    <cellStyle name="Migliaia 6 3 2 5" xfId="19324" xr:uid="{00000000-0005-0000-0000-0000E7C70000}"/>
    <cellStyle name="Migliaia 6 3 2 6" xfId="34319" xr:uid="{00000000-0005-0000-0000-0000E8C70000}"/>
    <cellStyle name="Migliaia 6 3 2 7" xfId="49259" xr:uid="{00000000-0005-0000-0000-0000E9C70000}"/>
    <cellStyle name="Migliaia 6 3 2 8" xfId="49664" xr:uid="{00000000-0005-0000-0000-0000EAC70000}"/>
    <cellStyle name="Migliaia 6 3 2 9" xfId="50070" xr:uid="{00000000-0005-0000-0000-0000EBC70000}"/>
    <cellStyle name="Migliaia 6 3 3" xfId="9444" xr:uid="{00000000-0005-0000-0000-0000ECC70000}"/>
    <cellStyle name="Migliaia 6 3 3 2" xfId="18477" xr:uid="{00000000-0005-0000-0000-0000EDC70000}"/>
    <cellStyle name="Migliaia 6 3 3 2 2" xfId="33944" xr:uid="{00000000-0005-0000-0000-0000EEC70000}"/>
    <cellStyle name="Migliaia 6 3 3 2 2 2" xfId="55428" xr:uid="{00000000-0005-0000-0000-0000EFC70000}"/>
    <cellStyle name="Migliaia 6 3 3 2 3" xfId="48905" xr:uid="{00000000-0005-0000-0000-0000F0C70000}"/>
    <cellStyle name="Migliaia 6 3 3 2 3 2" xfId="56350" xr:uid="{00000000-0005-0000-0000-0000F1C70000}"/>
    <cellStyle name="Migliaia 6 3 3 2 4" xfId="53073" xr:uid="{00000000-0005-0000-0000-0000F2C70000}"/>
    <cellStyle name="Migliaia 6 3 3 3" xfId="17444" xr:uid="{00000000-0005-0000-0000-0000F3C70000}"/>
    <cellStyle name="Migliaia 6 3 3 3 2" xfId="33559" xr:uid="{00000000-0005-0000-0000-0000F4C70000}"/>
    <cellStyle name="Migliaia 6 3 3 3 3" xfId="48520" xr:uid="{00000000-0005-0000-0000-0000F5C70000}"/>
    <cellStyle name="Migliaia 6 3 3 3 4" xfId="55049" xr:uid="{00000000-0005-0000-0000-0000F6C70000}"/>
    <cellStyle name="Migliaia 6 3 3 4" xfId="55965" xr:uid="{00000000-0005-0000-0000-0000F7C70000}"/>
    <cellStyle name="Migliaia 6 3 3 5" xfId="52683" xr:uid="{00000000-0005-0000-0000-0000F8C70000}"/>
    <cellStyle name="Migliaia 6 3 4" xfId="10017" xr:uid="{00000000-0005-0000-0000-0000F9C70000}"/>
    <cellStyle name="Migliaia 6 3 4 2" xfId="18476" xr:uid="{00000000-0005-0000-0000-0000FAC70000}"/>
    <cellStyle name="Migliaia 6 3 4 2 2" xfId="33943" xr:uid="{00000000-0005-0000-0000-0000FBC70000}"/>
    <cellStyle name="Migliaia 6 3 4 2 3" xfId="48904" xr:uid="{00000000-0005-0000-0000-0000FCC70000}"/>
    <cellStyle name="Migliaia 6 3 4 2 4" xfId="55427" xr:uid="{00000000-0005-0000-0000-0000FDC70000}"/>
    <cellStyle name="Migliaia 6 3 4 3" xfId="26342" xr:uid="{00000000-0005-0000-0000-0000FEC70000}"/>
    <cellStyle name="Migliaia 6 3 4 3 2" xfId="56349" xr:uid="{00000000-0005-0000-0000-0000FFC70000}"/>
    <cellStyle name="Migliaia 6 3 4 4" xfId="41320" xr:uid="{00000000-0005-0000-0000-000000C80000}"/>
    <cellStyle name="Migliaia 6 3 4 5" xfId="53072" xr:uid="{00000000-0005-0000-0000-000001C80000}"/>
    <cellStyle name="Migliaia 6 3 5" xfId="17442" xr:uid="{00000000-0005-0000-0000-000002C80000}"/>
    <cellStyle name="Migliaia 6 3 5 2" xfId="33557" xr:uid="{00000000-0005-0000-0000-000003C80000}"/>
    <cellStyle name="Migliaia 6 3 5 3" xfId="48518" xr:uid="{00000000-0005-0000-0000-000004C80000}"/>
    <cellStyle name="Migliaia 6 3 5 4" xfId="55047" xr:uid="{00000000-0005-0000-0000-000005C80000}"/>
    <cellStyle name="Migliaia 6 3 6" xfId="19323" xr:uid="{00000000-0005-0000-0000-000006C80000}"/>
    <cellStyle name="Migliaia 6 3 6 2" xfId="55963" xr:uid="{00000000-0005-0000-0000-000007C80000}"/>
    <cellStyle name="Migliaia 6 3 7" xfId="34318" xr:uid="{00000000-0005-0000-0000-000008C80000}"/>
    <cellStyle name="Migliaia 6 3 8" xfId="49258" xr:uid="{00000000-0005-0000-0000-000009C80000}"/>
    <cellStyle name="Migliaia 6 3 9" xfId="49663" xr:uid="{00000000-0005-0000-0000-00000AC80000}"/>
    <cellStyle name="Migliaia 6 4" xfId="9446" xr:uid="{00000000-0005-0000-0000-00000BC80000}"/>
    <cellStyle name="Migliaia 6 4 2" xfId="17446" xr:uid="{00000000-0005-0000-0000-00000CC80000}"/>
    <cellStyle name="Migliaia 6 4 2 2" xfId="18479" xr:uid="{00000000-0005-0000-0000-00000DC80000}"/>
    <cellStyle name="Migliaia 6 4 2 2 2" xfId="33946" xr:uid="{00000000-0005-0000-0000-00000EC80000}"/>
    <cellStyle name="Migliaia 6 4 2 2 2 2" xfId="55430" xr:uid="{00000000-0005-0000-0000-00000FC80000}"/>
    <cellStyle name="Migliaia 6 4 2 2 3" xfId="48907" xr:uid="{00000000-0005-0000-0000-000010C80000}"/>
    <cellStyle name="Migliaia 6 4 2 2 3 2" xfId="56352" xr:uid="{00000000-0005-0000-0000-000011C80000}"/>
    <cellStyle name="Migliaia 6 4 2 2 4" xfId="53075" xr:uid="{00000000-0005-0000-0000-000012C80000}"/>
    <cellStyle name="Migliaia 6 4 2 3" xfId="33561" xr:uid="{00000000-0005-0000-0000-000013C80000}"/>
    <cellStyle name="Migliaia 6 4 2 3 2" xfId="55051" xr:uid="{00000000-0005-0000-0000-000014C80000}"/>
    <cellStyle name="Migliaia 6 4 2 4" xfId="48522" xr:uid="{00000000-0005-0000-0000-000015C80000}"/>
    <cellStyle name="Migliaia 6 4 2 4 2" xfId="55967" xr:uid="{00000000-0005-0000-0000-000016C80000}"/>
    <cellStyle name="Migliaia 6 4 2 5" xfId="52685" xr:uid="{00000000-0005-0000-0000-000017C80000}"/>
    <cellStyle name="Migliaia 6 4 3" xfId="18478" xr:uid="{00000000-0005-0000-0000-000018C80000}"/>
    <cellStyle name="Migliaia 6 4 3 2" xfId="33945" xr:uid="{00000000-0005-0000-0000-000019C80000}"/>
    <cellStyle name="Migliaia 6 4 3 2 2" xfId="55429" xr:uid="{00000000-0005-0000-0000-00001AC80000}"/>
    <cellStyle name="Migliaia 6 4 3 3" xfId="48906" xr:uid="{00000000-0005-0000-0000-00001BC80000}"/>
    <cellStyle name="Migliaia 6 4 3 3 2" xfId="56351" xr:uid="{00000000-0005-0000-0000-00001CC80000}"/>
    <cellStyle name="Migliaia 6 4 3 4" xfId="53074" xr:uid="{00000000-0005-0000-0000-00001DC80000}"/>
    <cellStyle name="Migliaia 6 4 4" xfId="17445" xr:uid="{00000000-0005-0000-0000-00001EC80000}"/>
    <cellStyle name="Migliaia 6 4 4 2" xfId="33560" xr:uid="{00000000-0005-0000-0000-00001FC80000}"/>
    <cellStyle name="Migliaia 6 4 4 3" xfId="48521" xr:uid="{00000000-0005-0000-0000-000020C80000}"/>
    <cellStyle name="Migliaia 6 4 4 4" xfId="55050" xr:uid="{00000000-0005-0000-0000-000021C80000}"/>
    <cellStyle name="Migliaia 6 4 5" xfId="51168" xr:uid="{00000000-0005-0000-0000-000022C80000}"/>
    <cellStyle name="Migliaia 6 4 5 2" xfId="55966" xr:uid="{00000000-0005-0000-0000-000023C80000}"/>
    <cellStyle name="Migliaia 6 4 6" xfId="52684" xr:uid="{00000000-0005-0000-0000-000024C80000}"/>
    <cellStyle name="Migliaia 6 5" xfId="9447" xr:uid="{00000000-0005-0000-0000-000025C80000}"/>
    <cellStyle name="Migliaia 6 5 2" xfId="17447" xr:uid="{00000000-0005-0000-0000-000026C80000}"/>
    <cellStyle name="Migliaia 6 5 2 2" xfId="33562" xr:uid="{00000000-0005-0000-0000-000027C80000}"/>
    <cellStyle name="Migliaia 6 5 2 3" xfId="48523" xr:uid="{00000000-0005-0000-0000-000028C80000}"/>
    <cellStyle name="Migliaia 6 5 2 4" xfId="55052" xr:uid="{00000000-0005-0000-0000-000029C80000}"/>
    <cellStyle name="Migliaia 6 5 3" xfId="51294" xr:uid="{00000000-0005-0000-0000-00002AC80000}"/>
    <cellStyle name="Migliaia 6 5 3 2" xfId="55968" xr:uid="{00000000-0005-0000-0000-00002BC80000}"/>
    <cellStyle name="Migliaia 6 5 4" xfId="52686" xr:uid="{00000000-0005-0000-0000-00002CC80000}"/>
    <cellStyle name="Migliaia 6 6" xfId="9442" xr:uid="{00000000-0005-0000-0000-00002DC80000}"/>
    <cellStyle name="Migliaia 6 6 2" xfId="51026" xr:uid="{00000000-0005-0000-0000-00002EC80000}"/>
    <cellStyle name="Migliaia 6 6 3" xfId="54640" xr:uid="{00000000-0005-0000-0000-00002FC80000}"/>
    <cellStyle name="Migliaia 6 7" xfId="10015" xr:uid="{00000000-0005-0000-0000-000030C80000}"/>
    <cellStyle name="Migliaia 6 7 2" xfId="26340" xr:uid="{00000000-0005-0000-0000-000031C80000}"/>
    <cellStyle name="Migliaia 6 7 3" xfId="41318" xr:uid="{00000000-0005-0000-0000-000032C80000}"/>
    <cellStyle name="Migliaia 6 7 4" xfId="55961" xr:uid="{00000000-0005-0000-0000-000033C80000}"/>
    <cellStyle name="Migliaia 6 8" xfId="17440" xr:uid="{00000000-0005-0000-0000-000034C80000}"/>
    <cellStyle name="Migliaia 6 8 2" xfId="33555" xr:uid="{00000000-0005-0000-0000-000035C80000}"/>
    <cellStyle name="Migliaia 6 8 3" xfId="48516" xr:uid="{00000000-0005-0000-0000-000036C80000}"/>
    <cellStyle name="Migliaia 6 9" xfId="19321" xr:uid="{00000000-0005-0000-0000-000037C80000}"/>
    <cellStyle name="Migliaia 60" xfId="509" xr:uid="{00000000-0005-0000-0000-000038C80000}"/>
    <cellStyle name="Migliaia 60 10" xfId="34320" xr:uid="{00000000-0005-0000-0000-000039C80000}"/>
    <cellStyle name="Migliaia 60 11" xfId="49260" xr:uid="{00000000-0005-0000-0000-00003AC80000}"/>
    <cellStyle name="Migliaia 60 12" xfId="49665" xr:uid="{00000000-0005-0000-0000-00003BC80000}"/>
    <cellStyle name="Migliaia 60 13" xfId="50071" xr:uid="{00000000-0005-0000-0000-00003CC80000}"/>
    <cellStyle name="Migliaia 60 14" xfId="50479" xr:uid="{00000000-0005-0000-0000-00003DC80000}"/>
    <cellStyle name="Migliaia 60 15" xfId="50921" xr:uid="{00000000-0005-0000-0000-00003EC80000}"/>
    <cellStyle name="Migliaia 60 16" xfId="51640" xr:uid="{00000000-0005-0000-0000-00003FC80000}"/>
    <cellStyle name="Migliaia 60 17" xfId="52052" xr:uid="{00000000-0005-0000-0000-000040C80000}"/>
    <cellStyle name="Migliaia 60 18" xfId="52687" xr:uid="{00000000-0005-0000-0000-000041C80000}"/>
    <cellStyle name="Migliaia 60 2" xfId="510" xr:uid="{00000000-0005-0000-0000-000042C80000}"/>
    <cellStyle name="Migliaia 60 2 10" xfId="50072" xr:uid="{00000000-0005-0000-0000-000043C80000}"/>
    <cellStyle name="Migliaia 60 2 11" xfId="50480" xr:uid="{00000000-0005-0000-0000-000044C80000}"/>
    <cellStyle name="Migliaia 60 2 12" xfId="50922" xr:uid="{00000000-0005-0000-0000-000045C80000}"/>
    <cellStyle name="Migliaia 60 2 13" xfId="51641" xr:uid="{00000000-0005-0000-0000-000046C80000}"/>
    <cellStyle name="Migliaia 60 2 14" xfId="52053" xr:uid="{00000000-0005-0000-0000-000047C80000}"/>
    <cellStyle name="Migliaia 60 2 15" xfId="52688" xr:uid="{00000000-0005-0000-0000-000048C80000}"/>
    <cellStyle name="Migliaia 60 2 2" xfId="1300" xr:uid="{00000000-0005-0000-0000-000049C80000}"/>
    <cellStyle name="Migliaia 60 2 2 10" xfId="51152" xr:uid="{00000000-0005-0000-0000-00004AC80000}"/>
    <cellStyle name="Migliaia 60 2 2 11" xfId="51748" xr:uid="{00000000-0005-0000-0000-00004BC80000}"/>
    <cellStyle name="Migliaia 60 2 2 12" xfId="52168" xr:uid="{00000000-0005-0000-0000-00004CC80000}"/>
    <cellStyle name="Migliaia 60 2 2 13" xfId="53076" xr:uid="{00000000-0005-0000-0000-00004DC80000}"/>
    <cellStyle name="Migliaia 60 2 2 2" xfId="10127" xr:uid="{00000000-0005-0000-0000-00004EC80000}"/>
    <cellStyle name="Migliaia 60 2 2 2 2" xfId="26447" xr:uid="{00000000-0005-0000-0000-00004FC80000}"/>
    <cellStyle name="Migliaia 60 2 2 2 3" xfId="41415" xr:uid="{00000000-0005-0000-0000-000050C80000}"/>
    <cellStyle name="Migliaia 60 2 2 2 4" xfId="55431" xr:uid="{00000000-0005-0000-0000-000051C80000}"/>
    <cellStyle name="Migliaia 60 2 2 3" xfId="18480" xr:uid="{00000000-0005-0000-0000-000052C80000}"/>
    <cellStyle name="Migliaia 60 2 2 3 2" xfId="33947" xr:uid="{00000000-0005-0000-0000-000053C80000}"/>
    <cellStyle name="Migliaia 60 2 2 3 3" xfId="48908" xr:uid="{00000000-0005-0000-0000-000054C80000}"/>
    <cellStyle name="Migliaia 60 2 2 3 4" xfId="56353" xr:uid="{00000000-0005-0000-0000-000055C80000}"/>
    <cellStyle name="Migliaia 60 2 2 4" xfId="19426" xr:uid="{00000000-0005-0000-0000-000056C80000}"/>
    <cellStyle name="Migliaia 60 2 2 5" xfId="34416" xr:uid="{00000000-0005-0000-0000-000057C80000}"/>
    <cellStyle name="Migliaia 60 2 2 6" xfId="49368" xr:uid="{00000000-0005-0000-0000-000058C80000}"/>
    <cellStyle name="Migliaia 60 2 2 7" xfId="49773" xr:uid="{00000000-0005-0000-0000-000059C80000}"/>
    <cellStyle name="Migliaia 60 2 2 8" xfId="50182" xr:uid="{00000000-0005-0000-0000-00005AC80000}"/>
    <cellStyle name="Migliaia 60 2 2 9" xfId="50587" xr:uid="{00000000-0005-0000-0000-00005BC80000}"/>
    <cellStyle name="Migliaia 60 2 3" xfId="9449" xr:uid="{00000000-0005-0000-0000-00005CC80000}"/>
    <cellStyle name="Migliaia 60 2 3 2" xfId="54705" xr:uid="{00000000-0005-0000-0000-00005DC80000}"/>
    <cellStyle name="Migliaia 60 2 4" xfId="10020" xr:uid="{00000000-0005-0000-0000-00005EC80000}"/>
    <cellStyle name="Migliaia 60 2 4 2" xfId="26345" xr:uid="{00000000-0005-0000-0000-00005FC80000}"/>
    <cellStyle name="Migliaia 60 2 4 3" xfId="41323" xr:uid="{00000000-0005-0000-0000-000060C80000}"/>
    <cellStyle name="Migliaia 60 2 4 4" xfId="55970" xr:uid="{00000000-0005-0000-0000-000061C80000}"/>
    <cellStyle name="Migliaia 60 2 5" xfId="17449" xr:uid="{00000000-0005-0000-0000-000062C80000}"/>
    <cellStyle name="Migliaia 60 2 5 2" xfId="33564" xr:uid="{00000000-0005-0000-0000-000063C80000}"/>
    <cellStyle name="Migliaia 60 2 5 3" xfId="48525" xr:uid="{00000000-0005-0000-0000-000064C80000}"/>
    <cellStyle name="Migliaia 60 2 6" xfId="19326" xr:uid="{00000000-0005-0000-0000-000065C80000}"/>
    <cellStyle name="Migliaia 60 2 7" xfId="34321" xr:uid="{00000000-0005-0000-0000-000066C80000}"/>
    <cellStyle name="Migliaia 60 2 8" xfId="49261" xr:uid="{00000000-0005-0000-0000-000067C80000}"/>
    <cellStyle name="Migliaia 60 2 9" xfId="49666" xr:uid="{00000000-0005-0000-0000-000068C80000}"/>
    <cellStyle name="Migliaia 60 3" xfId="511" xr:uid="{00000000-0005-0000-0000-000069C80000}"/>
    <cellStyle name="Migliaia 60 3 10" xfId="50073" xr:uid="{00000000-0005-0000-0000-00006AC80000}"/>
    <cellStyle name="Migliaia 60 3 11" xfId="50481" xr:uid="{00000000-0005-0000-0000-00006BC80000}"/>
    <cellStyle name="Migliaia 60 3 12" xfId="50923" xr:uid="{00000000-0005-0000-0000-00006CC80000}"/>
    <cellStyle name="Migliaia 60 3 13" xfId="51642" xr:uid="{00000000-0005-0000-0000-00006DC80000}"/>
    <cellStyle name="Migliaia 60 3 14" xfId="52054" xr:uid="{00000000-0005-0000-0000-00006EC80000}"/>
    <cellStyle name="Migliaia 60 3 15" xfId="52689" xr:uid="{00000000-0005-0000-0000-00006FC80000}"/>
    <cellStyle name="Migliaia 60 3 2" xfId="512" xr:uid="{00000000-0005-0000-0000-000070C80000}"/>
    <cellStyle name="Migliaia 60 3 2 10" xfId="50482" xr:uid="{00000000-0005-0000-0000-000071C80000}"/>
    <cellStyle name="Migliaia 60 3 2 11" xfId="50924" xr:uid="{00000000-0005-0000-0000-000072C80000}"/>
    <cellStyle name="Migliaia 60 3 2 12" xfId="51643" xr:uid="{00000000-0005-0000-0000-000073C80000}"/>
    <cellStyle name="Migliaia 60 3 2 13" xfId="52055" xr:uid="{00000000-0005-0000-0000-000074C80000}"/>
    <cellStyle name="Migliaia 60 3 2 14" xfId="52690" xr:uid="{00000000-0005-0000-0000-000075C80000}"/>
    <cellStyle name="Migliaia 60 3 2 2" xfId="9451" xr:uid="{00000000-0005-0000-0000-000076C80000}"/>
    <cellStyle name="Migliaia 60 3 2 2 2" xfId="55054" xr:uid="{00000000-0005-0000-0000-000077C80000}"/>
    <cellStyle name="Migliaia 60 3 2 3" xfId="10022" xr:uid="{00000000-0005-0000-0000-000078C80000}"/>
    <cellStyle name="Migliaia 60 3 2 3 2" xfId="26347" xr:uid="{00000000-0005-0000-0000-000079C80000}"/>
    <cellStyle name="Migliaia 60 3 2 3 3" xfId="41325" xr:uid="{00000000-0005-0000-0000-00007AC80000}"/>
    <cellStyle name="Migliaia 60 3 2 3 4" xfId="55972" xr:uid="{00000000-0005-0000-0000-00007BC80000}"/>
    <cellStyle name="Migliaia 60 3 2 4" xfId="17451" xr:uid="{00000000-0005-0000-0000-00007CC80000}"/>
    <cellStyle name="Migliaia 60 3 2 4 2" xfId="33566" xr:uid="{00000000-0005-0000-0000-00007DC80000}"/>
    <cellStyle name="Migliaia 60 3 2 4 3" xfId="48527" xr:uid="{00000000-0005-0000-0000-00007EC80000}"/>
    <cellStyle name="Migliaia 60 3 2 5" xfId="19328" xr:uid="{00000000-0005-0000-0000-00007FC80000}"/>
    <cellStyle name="Migliaia 60 3 2 6" xfId="34323" xr:uid="{00000000-0005-0000-0000-000080C80000}"/>
    <cellStyle name="Migliaia 60 3 2 7" xfId="49263" xr:uid="{00000000-0005-0000-0000-000081C80000}"/>
    <cellStyle name="Migliaia 60 3 2 8" xfId="49668" xr:uid="{00000000-0005-0000-0000-000082C80000}"/>
    <cellStyle name="Migliaia 60 3 2 9" xfId="50074" xr:uid="{00000000-0005-0000-0000-000083C80000}"/>
    <cellStyle name="Migliaia 60 3 3" xfId="9450" xr:uid="{00000000-0005-0000-0000-000084C80000}"/>
    <cellStyle name="Migliaia 60 3 3 2" xfId="18482" xr:uid="{00000000-0005-0000-0000-000085C80000}"/>
    <cellStyle name="Migliaia 60 3 3 2 2" xfId="33949" xr:uid="{00000000-0005-0000-0000-000086C80000}"/>
    <cellStyle name="Migliaia 60 3 3 2 2 2" xfId="55433" xr:uid="{00000000-0005-0000-0000-000087C80000}"/>
    <cellStyle name="Migliaia 60 3 3 2 3" xfId="48910" xr:uid="{00000000-0005-0000-0000-000088C80000}"/>
    <cellStyle name="Migliaia 60 3 3 2 3 2" xfId="56355" xr:uid="{00000000-0005-0000-0000-000089C80000}"/>
    <cellStyle name="Migliaia 60 3 3 2 4" xfId="53078" xr:uid="{00000000-0005-0000-0000-00008AC80000}"/>
    <cellStyle name="Migliaia 60 3 3 3" xfId="17452" xr:uid="{00000000-0005-0000-0000-00008BC80000}"/>
    <cellStyle name="Migliaia 60 3 3 3 2" xfId="33567" xr:uid="{00000000-0005-0000-0000-00008CC80000}"/>
    <cellStyle name="Migliaia 60 3 3 3 3" xfId="48528" xr:uid="{00000000-0005-0000-0000-00008DC80000}"/>
    <cellStyle name="Migliaia 60 3 3 3 4" xfId="55055" xr:uid="{00000000-0005-0000-0000-00008EC80000}"/>
    <cellStyle name="Migliaia 60 3 3 4" xfId="55973" xr:uid="{00000000-0005-0000-0000-00008FC80000}"/>
    <cellStyle name="Migliaia 60 3 3 5" xfId="52691" xr:uid="{00000000-0005-0000-0000-000090C80000}"/>
    <cellStyle name="Migliaia 60 3 4" xfId="10021" xr:uid="{00000000-0005-0000-0000-000091C80000}"/>
    <cellStyle name="Migliaia 60 3 4 2" xfId="18481" xr:uid="{00000000-0005-0000-0000-000092C80000}"/>
    <cellStyle name="Migliaia 60 3 4 2 2" xfId="33948" xr:uid="{00000000-0005-0000-0000-000093C80000}"/>
    <cellStyle name="Migliaia 60 3 4 2 3" xfId="48909" xr:uid="{00000000-0005-0000-0000-000094C80000}"/>
    <cellStyle name="Migliaia 60 3 4 2 4" xfId="55432" xr:uid="{00000000-0005-0000-0000-000095C80000}"/>
    <cellStyle name="Migliaia 60 3 4 3" xfId="26346" xr:uid="{00000000-0005-0000-0000-000096C80000}"/>
    <cellStyle name="Migliaia 60 3 4 3 2" xfId="56354" xr:uid="{00000000-0005-0000-0000-000097C80000}"/>
    <cellStyle name="Migliaia 60 3 4 4" xfId="41324" xr:uid="{00000000-0005-0000-0000-000098C80000}"/>
    <cellStyle name="Migliaia 60 3 4 5" xfId="53077" xr:uid="{00000000-0005-0000-0000-000099C80000}"/>
    <cellStyle name="Migliaia 60 3 5" xfId="17450" xr:uid="{00000000-0005-0000-0000-00009AC80000}"/>
    <cellStyle name="Migliaia 60 3 5 2" xfId="33565" xr:uid="{00000000-0005-0000-0000-00009BC80000}"/>
    <cellStyle name="Migliaia 60 3 5 3" xfId="48526" xr:uid="{00000000-0005-0000-0000-00009CC80000}"/>
    <cellStyle name="Migliaia 60 3 5 4" xfId="55053" xr:uid="{00000000-0005-0000-0000-00009DC80000}"/>
    <cellStyle name="Migliaia 60 3 6" xfId="19327" xr:uid="{00000000-0005-0000-0000-00009EC80000}"/>
    <cellStyle name="Migliaia 60 3 6 2" xfId="55971" xr:uid="{00000000-0005-0000-0000-00009FC80000}"/>
    <cellStyle name="Migliaia 60 3 7" xfId="34322" xr:uid="{00000000-0005-0000-0000-0000A0C80000}"/>
    <cellStyle name="Migliaia 60 3 8" xfId="49262" xr:uid="{00000000-0005-0000-0000-0000A1C80000}"/>
    <cellStyle name="Migliaia 60 3 9" xfId="49667" xr:uid="{00000000-0005-0000-0000-0000A2C80000}"/>
    <cellStyle name="Migliaia 60 4" xfId="9452" xr:uid="{00000000-0005-0000-0000-0000A3C80000}"/>
    <cellStyle name="Migliaia 60 4 2" xfId="17454" xr:uid="{00000000-0005-0000-0000-0000A4C80000}"/>
    <cellStyle name="Migliaia 60 4 2 2" xfId="18484" xr:uid="{00000000-0005-0000-0000-0000A5C80000}"/>
    <cellStyle name="Migliaia 60 4 2 2 2" xfId="33951" xr:uid="{00000000-0005-0000-0000-0000A6C80000}"/>
    <cellStyle name="Migliaia 60 4 2 2 2 2" xfId="55435" xr:uid="{00000000-0005-0000-0000-0000A7C80000}"/>
    <cellStyle name="Migliaia 60 4 2 2 3" xfId="48912" xr:uid="{00000000-0005-0000-0000-0000A8C80000}"/>
    <cellStyle name="Migliaia 60 4 2 2 3 2" xfId="56357" xr:uid="{00000000-0005-0000-0000-0000A9C80000}"/>
    <cellStyle name="Migliaia 60 4 2 2 4" xfId="53080" xr:uid="{00000000-0005-0000-0000-0000AAC80000}"/>
    <cellStyle name="Migliaia 60 4 2 3" xfId="33569" xr:uid="{00000000-0005-0000-0000-0000ABC80000}"/>
    <cellStyle name="Migliaia 60 4 2 3 2" xfId="55057" xr:uid="{00000000-0005-0000-0000-0000ACC80000}"/>
    <cellStyle name="Migliaia 60 4 2 4" xfId="48530" xr:uid="{00000000-0005-0000-0000-0000ADC80000}"/>
    <cellStyle name="Migliaia 60 4 2 4 2" xfId="55975" xr:uid="{00000000-0005-0000-0000-0000AEC80000}"/>
    <cellStyle name="Migliaia 60 4 2 5" xfId="52693" xr:uid="{00000000-0005-0000-0000-0000AFC80000}"/>
    <cellStyle name="Migliaia 60 4 3" xfId="18483" xr:uid="{00000000-0005-0000-0000-0000B0C80000}"/>
    <cellStyle name="Migliaia 60 4 3 2" xfId="33950" xr:uid="{00000000-0005-0000-0000-0000B1C80000}"/>
    <cellStyle name="Migliaia 60 4 3 2 2" xfId="55434" xr:uid="{00000000-0005-0000-0000-0000B2C80000}"/>
    <cellStyle name="Migliaia 60 4 3 3" xfId="48911" xr:uid="{00000000-0005-0000-0000-0000B3C80000}"/>
    <cellStyle name="Migliaia 60 4 3 3 2" xfId="56356" xr:uid="{00000000-0005-0000-0000-0000B4C80000}"/>
    <cellStyle name="Migliaia 60 4 3 4" xfId="53079" xr:uid="{00000000-0005-0000-0000-0000B5C80000}"/>
    <cellStyle name="Migliaia 60 4 4" xfId="17453" xr:uid="{00000000-0005-0000-0000-0000B6C80000}"/>
    <cellStyle name="Migliaia 60 4 4 2" xfId="33568" xr:uid="{00000000-0005-0000-0000-0000B7C80000}"/>
    <cellStyle name="Migliaia 60 4 4 3" xfId="48529" xr:uid="{00000000-0005-0000-0000-0000B8C80000}"/>
    <cellStyle name="Migliaia 60 4 4 4" xfId="55056" xr:uid="{00000000-0005-0000-0000-0000B9C80000}"/>
    <cellStyle name="Migliaia 60 4 5" xfId="51025" xr:uid="{00000000-0005-0000-0000-0000BAC80000}"/>
    <cellStyle name="Migliaia 60 4 5 2" xfId="55974" xr:uid="{00000000-0005-0000-0000-0000BBC80000}"/>
    <cellStyle name="Migliaia 60 4 6" xfId="52692" xr:uid="{00000000-0005-0000-0000-0000BCC80000}"/>
    <cellStyle name="Migliaia 60 5" xfId="9453" xr:uid="{00000000-0005-0000-0000-0000BDC80000}"/>
    <cellStyle name="Migliaia 60 5 2" xfId="17455" xr:uid="{00000000-0005-0000-0000-0000BEC80000}"/>
    <cellStyle name="Migliaia 60 5 2 2" xfId="33570" xr:uid="{00000000-0005-0000-0000-0000BFC80000}"/>
    <cellStyle name="Migliaia 60 5 2 3" xfId="48531" xr:uid="{00000000-0005-0000-0000-0000C0C80000}"/>
    <cellStyle name="Migliaia 60 5 2 4" xfId="55058" xr:uid="{00000000-0005-0000-0000-0000C1C80000}"/>
    <cellStyle name="Migliaia 60 5 3" xfId="51295" xr:uid="{00000000-0005-0000-0000-0000C2C80000}"/>
    <cellStyle name="Migliaia 60 5 3 2" xfId="55976" xr:uid="{00000000-0005-0000-0000-0000C3C80000}"/>
    <cellStyle name="Migliaia 60 5 4" xfId="52694" xr:uid="{00000000-0005-0000-0000-0000C4C80000}"/>
    <cellStyle name="Migliaia 60 6" xfId="9448" xr:uid="{00000000-0005-0000-0000-0000C5C80000}"/>
    <cellStyle name="Migliaia 60 6 2" xfId="50952" xr:uid="{00000000-0005-0000-0000-0000C6C80000}"/>
    <cellStyle name="Migliaia 60 6 3" xfId="54641" xr:uid="{00000000-0005-0000-0000-0000C7C80000}"/>
    <cellStyle name="Migliaia 60 7" xfId="10019" xr:uid="{00000000-0005-0000-0000-0000C8C80000}"/>
    <cellStyle name="Migliaia 60 7 2" xfId="26344" xr:uid="{00000000-0005-0000-0000-0000C9C80000}"/>
    <cellStyle name="Migliaia 60 7 3" xfId="41322" xr:uid="{00000000-0005-0000-0000-0000CAC80000}"/>
    <cellStyle name="Migliaia 60 7 4" xfId="55969" xr:uid="{00000000-0005-0000-0000-0000CBC80000}"/>
    <cellStyle name="Migliaia 60 8" xfId="17448" xr:uid="{00000000-0005-0000-0000-0000CCC80000}"/>
    <cellStyle name="Migliaia 60 8 2" xfId="33563" xr:uid="{00000000-0005-0000-0000-0000CDC80000}"/>
    <cellStyle name="Migliaia 60 8 3" xfId="48524" xr:uid="{00000000-0005-0000-0000-0000CEC80000}"/>
    <cellStyle name="Migliaia 60 9" xfId="19325" xr:uid="{00000000-0005-0000-0000-0000CFC80000}"/>
    <cellStyle name="Migliaia 61" xfId="513" xr:uid="{00000000-0005-0000-0000-0000D0C80000}"/>
    <cellStyle name="Migliaia 61 10" xfId="34324" xr:uid="{00000000-0005-0000-0000-0000D1C80000}"/>
    <cellStyle name="Migliaia 61 11" xfId="49264" xr:uid="{00000000-0005-0000-0000-0000D2C80000}"/>
    <cellStyle name="Migliaia 61 12" xfId="49669" xr:uid="{00000000-0005-0000-0000-0000D3C80000}"/>
    <cellStyle name="Migliaia 61 13" xfId="50075" xr:uid="{00000000-0005-0000-0000-0000D4C80000}"/>
    <cellStyle name="Migliaia 61 14" xfId="50483" xr:uid="{00000000-0005-0000-0000-0000D5C80000}"/>
    <cellStyle name="Migliaia 61 15" xfId="50925" xr:uid="{00000000-0005-0000-0000-0000D6C80000}"/>
    <cellStyle name="Migliaia 61 16" xfId="51644" xr:uid="{00000000-0005-0000-0000-0000D7C80000}"/>
    <cellStyle name="Migliaia 61 17" xfId="52056" xr:uid="{00000000-0005-0000-0000-0000D8C80000}"/>
    <cellStyle name="Migliaia 61 18" xfId="52695" xr:uid="{00000000-0005-0000-0000-0000D9C80000}"/>
    <cellStyle name="Migliaia 61 2" xfId="514" xr:uid="{00000000-0005-0000-0000-0000DAC80000}"/>
    <cellStyle name="Migliaia 61 2 10" xfId="50076" xr:uid="{00000000-0005-0000-0000-0000DBC80000}"/>
    <cellStyle name="Migliaia 61 2 11" xfId="50484" xr:uid="{00000000-0005-0000-0000-0000DCC80000}"/>
    <cellStyle name="Migliaia 61 2 12" xfId="50926" xr:uid="{00000000-0005-0000-0000-0000DDC80000}"/>
    <cellStyle name="Migliaia 61 2 13" xfId="51645" xr:uid="{00000000-0005-0000-0000-0000DEC80000}"/>
    <cellStyle name="Migliaia 61 2 14" xfId="52057" xr:uid="{00000000-0005-0000-0000-0000DFC80000}"/>
    <cellStyle name="Migliaia 61 2 15" xfId="52696" xr:uid="{00000000-0005-0000-0000-0000E0C80000}"/>
    <cellStyle name="Migliaia 61 2 2" xfId="1301" xr:uid="{00000000-0005-0000-0000-0000E1C80000}"/>
    <cellStyle name="Migliaia 61 2 2 10" xfId="51153" xr:uid="{00000000-0005-0000-0000-0000E2C80000}"/>
    <cellStyle name="Migliaia 61 2 2 11" xfId="51749" xr:uid="{00000000-0005-0000-0000-0000E3C80000}"/>
    <cellStyle name="Migliaia 61 2 2 12" xfId="52169" xr:uid="{00000000-0005-0000-0000-0000E4C80000}"/>
    <cellStyle name="Migliaia 61 2 2 13" xfId="53081" xr:uid="{00000000-0005-0000-0000-0000E5C80000}"/>
    <cellStyle name="Migliaia 61 2 2 2" xfId="10128" xr:uid="{00000000-0005-0000-0000-0000E6C80000}"/>
    <cellStyle name="Migliaia 61 2 2 2 2" xfId="26448" xr:uid="{00000000-0005-0000-0000-0000E7C80000}"/>
    <cellStyle name="Migliaia 61 2 2 2 3" xfId="41416" xr:uid="{00000000-0005-0000-0000-0000E8C80000}"/>
    <cellStyle name="Migliaia 61 2 2 2 4" xfId="55436" xr:uid="{00000000-0005-0000-0000-0000E9C80000}"/>
    <cellStyle name="Migliaia 61 2 2 3" xfId="18485" xr:uid="{00000000-0005-0000-0000-0000EAC80000}"/>
    <cellStyle name="Migliaia 61 2 2 3 2" xfId="33952" xr:uid="{00000000-0005-0000-0000-0000EBC80000}"/>
    <cellStyle name="Migliaia 61 2 2 3 3" xfId="48913" xr:uid="{00000000-0005-0000-0000-0000ECC80000}"/>
    <cellStyle name="Migliaia 61 2 2 3 4" xfId="56358" xr:uid="{00000000-0005-0000-0000-0000EDC80000}"/>
    <cellStyle name="Migliaia 61 2 2 4" xfId="19427" xr:uid="{00000000-0005-0000-0000-0000EEC80000}"/>
    <cellStyle name="Migliaia 61 2 2 5" xfId="34417" xr:uid="{00000000-0005-0000-0000-0000EFC80000}"/>
    <cellStyle name="Migliaia 61 2 2 6" xfId="49369" xr:uid="{00000000-0005-0000-0000-0000F0C80000}"/>
    <cellStyle name="Migliaia 61 2 2 7" xfId="49774" xr:uid="{00000000-0005-0000-0000-0000F1C80000}"/>
    <cellStyle name="Migliaia 61 2 2 8" xfId="50183" xr:uid="{00000000-0005-0000-0000-0000F2C80000}"/>
    <cellStyle name="Migliaia 61 2 2 9" xfId="50588" xr:uid="{00000000-0005-0000-0000-0000F3C80000}"/>
    <cellStyle name="Migliaia 61 2 3" xfId="9455" xr:uid="{00000000-0005-0000-0000-0000F4C80000}"/>
    <cellStyle name="Migliaia 61 2 3 2" xfId="54706" xr:uid="{00000000-0005-0000-0000-0000F5C80000}"/>
    <cellStyle name="Migliaia 61 2 4" xfId="10024" xr:uid="{00000000-0005-0000-0000-0000F6C80000}"/>
    <cellStyle name="Migliaia 61 2 4 2" xfId="26349" xr:uid="{00000000-0005-0000-0000-0000F7C80000}"/>
    <cellStyle name="Migliaia 61 2 4 3" xfId="41327" xr:uid="{00000000-0005-0000-0000-0000F8C80000}"/>
    <cellStyle name="Migliaia 61 2 4 4" xfId="55978" xr:uid="{00000000-0005-0000-0000-0000F9C80000}"/>
    <cellStyle name="Migliaia 61 2 5" xfId="17457" xr:uid="{00000000-0005-0000-0000-0000FAC80000}"/>
    <cellStyle name="Migliaia 61 2 5 2" xfId="33572" xr:uid="{00000000-0005-0000-0000-0000FBC80000}"/>
    <cellStyle name="Migliaia 61 2 5 3" xfId="48533" xr:uid="{00000000-0005-0000-0000-0000FCC80000}"/>
    <cellStyle name="Migliaia 61 2 6" xfId="19330" xr:uid="{00000000-0005-0000-0000-0000FDC80000}"/>
    <cellStyle name="Migliaia 61 2 7" xfId="34325" xr:uid="{00000000-0005-0000-0000-0000FEC80000}"/>
    <cellStyle name="Migliaia 61 2 8" xfId="49265" xr:uid="{00000000-0005-0000-0000-0000FFC80000}"/>
    <cellStyle name="Migliaia 61 2 9" xfId="49670" xr:uid="{00000000-0005-0000-0000-000000C90000}"/>
    <cellStyle name="Migliaia 61 3" xfId="515" xr:uid="{00000000-0005-0000-0000-000001C90000}"/>
    <cellStyle name="Migliaia 61 3 10" xfId="50077" xr:uid="{00000000-0005-0000-0000-000002C90000}"/>
    <cellStyle name="Migliaia 61 3 11" xfId="50485" xr:uid="{00000000-0005-0000-0000-000003C90000}"/>
    <cellStyle name="Migliaia 61 3 12" xfId="50927" xr:uid="{00000000-0005-0000-0000-000004C90000}"/>
    <cellStyle name="Migliaia 61 3 13" xfId="51646" xr:uid="{00000000-0005-0000-0000-000005C90000}"/>
    <cellStyle name="Migliaia 61 3 14" xfId="52058" xr:uid="{00000000-0005-0000-0000-000006C90000}"/>
    <cellStyle name="Migliaia 61 3 15" xfId="52697" xr:uid="{00000000-0005-0000-0000-000007C90000}"/>
    <cellStyle name="Migliaia 61 3 2" xfId="516" xr:uid="{00000000-0005-0000-0000-000008C90000}"/>
    <cellStyle name="Migliaia 61 3 2 10" xfId="50486" xr:uid="{00000000-0005-0000-0000-000009C90000}"/>
    <cellStyle name="Migliaia 61 3 2 11" xfId="50928" xr:uid="{00000000-0005-0000-0000-00000AC90000}"/>
    <cellStyle name="Migliaia 61 3 2 12" xfId="51647" xr:uid="{00000000-0005-0000-0000-00000BC90000}"/>
    <cellStyle name="Migliaia 61 3 2 13" xfId="52059" xr:uid="{00000000-0005-0000-0000-00000CC90000}"/>
    <cellStyle name="Migliaia 61 3 2 14" xfId="52698" xr:uid="{00000000-0005-0000-0000-00000DC90000}"/>
    <cellStyle name="Migliaia 61 3 2 2" xfId="9457" xr:uid="{00000000-0005-0000-0000-00000EC90000}"/>
    <cellStyle name="Migliaia 61 3 2 2 2" xfId="55060" xr:uid="{00000000-0005-0000-0000-00000FC90000}"/>
    <cellStyle name="Migliaia 61 3 2 3" xfId="10026" xr:uid="{00000000-0005-0000-0000-000010C90000}"/>
    <cellStyle name="Migliaia 61 3 2 3 2" xfId="26351" xr:uid="{00000000-0005-0000-0000-000011C90000}"/>
    <cellStyle name="Migliaia 61 3 2 3 3" xfId="41329" xr:uid="{00000000-0005-0000-0000-000012C90000}"/>
    <cellStyle name="Migliaia 61 3 2 3 4" xfId="55980" xr:uid="{00000000-0005-0000-0000-000013C90000}"/>
    <cellStyle name="Migliaia 61 3 2 4" xfId="17459" xr:uid="{00000000-0005-0000-0000-000014C90000}"/>
    <cellStyle name="Migliaia 61 3 2 4 2" xfId="33574" xr:uid="{00000000-0005-0000-0000-000015C90000}"/>
    <cellStyle name="Migliaia 61 3 2 4 3" xfId="48535" xr:uid="{00000000-0005-0000-0000-000016C90000}"/>
    <cellStyle name="Migliaia 61 3 2 5" xfId="19332" xr:uid="{00000000-0005-0000-0000-000017C90000}"/>
    <cellStyle name="Migliaia 61 3 2 6" xfId="34327" xr:uid="{00000000-0005-0000-0000-000018C90000}"/>
    <cellStyle name="Migliaia 61 3 2 7" xfId="49267" xr:uid="{00000000-0005-0000-0000-000019C90000}"/>
    <cellStyle name="Migliaia 61 3 2 8" xfId="49672" xr:uid="{00000000-0005-0000-0000-00001AC90000}"/>
    <cellStyle name="Migliaia 61 3 2 9" xfId="50078" xr:uid="{00000000-0005-0000-0000-00001BC90000}"/>
    <cellStyle name="Migliaia 61 3 3" xfId="9456" xr:uid="{00000000-0005-0000-0000-00001CC90000}"/>
    <cellStyle name="Migliaia 61 3 3 2" xfId="18487" xr:uid="{00000000-0005-0000-0000-00001DC90000}"/>
    <cellStyle name="Migliaia 61 3 3 2 2" xfId="33954" xr:uid="{00000000-0005-0000-0000-00001EC90000}"/>
    <cellStyle name="Migliaia 61 3 3 2 2 2" xfId="55438" xr:uid="{00000000-0005-0000-0000-00001FC90000}"/>
    <cellStyle name="Migliaia 61 3 3 2 3" xfId="48915" xr:uid="{00000000-0005-0000-0000-000020C90000}"/>
    <cellStyle name="Migliaia 61 3 3 2 3 2" xfId="56360" xr:uid="{00000000-0005-0000-0000-000021C90000}"/>
    <cellStyle name="Migliaia 61 3 3 2 4" xfId="53083" xr:uid="{00000000-0005-0000-0000-000022C90000}"/>
    <cellStyle name="Migliaia 61 3 3 3" xfId="17460" xr:uid="{00000000-0005-0000-0000-000023C90000}"/>
    <cellStyle name="Migliaia 61 3 3 3 2" xfId="33575" xr:uid="{00000000-0005-0000-0000-000024C90000}"/>
    <cellStyle name="Migliaia 61 3 3 3 3" xfId="48536" xr:uid="{00000000-0005-0000-0000-000025C90000}"/>
    <cellStyle name="Migliaia 61 3 3 3 4" xfId="55061" xr:uid="{00000000-0005-0000-0000-000026C90000}"/>
    <cellStyle name="Migliaia 61 3 3 4" xfId="55981" xr:uid="{00000000-0005-0000-0000-000027C90000}"/>
    <cellStyle name="Migliaia 61 3 3 5" xfId="52699" xr:uid="{00000000-0005-0000-0000-000028C90000}"/>
    <cellStyle name="Migliaia 61 3 4" xfId="10025" xr:uid="{00000000-0005-0000-0000-000029C90000}"/>
    <cellStyle name="Migliaia 61 3 4 2" xfId="18486" xr:uid="{00000000-0005-0000-0000-00002AC90000}"/>
    <cellStyle name="Migliaia 61 3 4 2 2" xfId="33953" xr:uid="{00000000-0005-0000-0000-00002BC90000}"/>
    <cellStyle name="Migliaia 61 3 4 2 3" xfId="48914" xr:uid="{00000000-0005-0000-0000-00002CC90000}"/>
    <cellStyle name="Migliaia 61 3 4 2 4" xfId="55437" xr:uid="{00000000-0005-0000-0000-00002DC90000}"/>
    <cellStyle name="Migliaia 61 3 4 3" xfId="26350" xr:uid="{00000000-0005-0000-0000-00002EC90000}"/>
    <cellStyle name="Migliaia 61 3 4 3 2" xfId="56359" xr:uid="{00000000-0005-0000-0000-00002FC90000}"/>
    <cellStyle name="Migliaia 61 3 4 4" xfId="41328" xr:uid="{00000000-0005-0000-0000-000030C90000}"/>
    <cellStyle name="Migliaia 61 3 4 5" xfId="53082" xr:uid="{00000000-0005-0000-0000-000031C90000}"/>
    <cellStyle name="Migliaia 61 3 5" xfId="17458" xr:uid="{00000000-0005-0000-0000-000032C90000}"/>
    <cellStyle name="Migliaia 61 3 5 2" xfId="33573" xr:uid="{00000000-0005-0000-0000-000033C90000}"/>
    <cellStyle name="Migliaia 61 3 5 3" xfId="48534" xr:uid="{00000000-0005-0000-0000-000034C90000}"/>
    <cellStyle name="Migliaia 61 3 5 4" xfId="55059" xr:uid="{00000000-0005-0000-0000-000035C90000}"/>
    <cellStyle name="Migliaia 61 3 6" xfId="19331" xr:uid="{00000000-0005-0000-0000-000036C90000}"/>
    <cellStyle name="Migliaia 61 3 6 2" xfId="55979" xr:uid="{00000000-0005-0000-0000-000037C90000}"/>
    <cellStyle name="Migliaia 61 3 7" xfId="34326" xr:uid="{00000000-0005-0000-0000-000038C90000}"/>
    <cellStyle name="Migliaia 61 3 8" xfId="49266" xr:uid="{00000000-0005-0000-0000-000039C90000}"/>
    <cellStyle name="Migliaia 61 3 9" xfId="49671" xr:uid="{00000000-0005-0000-0000-00003AC90000}"/>
    <cellStyle name="Migliaia 61 4" xfId="9458" xr:uid="{00000000-0005-0000-0000-00003BC90000}"/>
    <cellStyle name="Migliaia 61 4 2" xfId="17462" xr:uid="{00000000-0005-0000-0000-00003CC90000}"/>
    <cellStyle name="Migliaia 61 4 2 2" xfId="18489" xr:uid="{00000000-0005-0000-0000-00003DC90000}"/>
    <cellStyle name="Migliaia 61 4 2 2 2" xfId="33956" xr:uid="{00000000-0005-0000-0000-00003EC90000}"/>
    <cellStyle name="Migliaia 61 4 2 2 2 2" xfId="55440" xr:uid="{00000000-0005-0000-0000-00003FC90000}"/>
    <cellStyle name="Migliaia 61 4 2 2 3" xfId="48917" xr:uid="{00000000-0005-0000-0000-000040C90000}"/>
    <cellStyle name="Migliaia 61 4 2 2 3 2" xfId="56362" xr:uid="{00000000-0005-0000-0000-000041C90000}"/>
    <cellStyle name="Migliaia 61 4 2 2 4" xfId="53085" xr:uid="{00000000-0005-0000-0000-000042C90000}"/>
    <cellStyle name="Migliaia 61 4 2 3" xfId="33577" xr:uid="{00000000-0005-0000-0000-000043C90000}"/>
    <cellStyle name="Migliaia 61 4 2 3 2" xfId="55063" xr:uid="{00000000-0005-0000-0000-000044C90000}"/>
    <cellStyle name="Migliaia 61 4 2 4" xfId="48538" xr:uid="{00000000-0005-0000-0000-000045C90000}"/>
    <cellStyle name="Migliaia 61 4 2 4 2" xfId="55983" xr:uid="{00000000-0005-0000-0000-000046C90000}"/>
    <cellStyle name="Migliaia 61 4 2 5" xfId="52701" xr:uid="{00000000-0005-0000-0000-000047C90000}"/>
    <cellStyle name="Migliaia 61 4 3" xfId="18488" xr:uid="{00000000-0005-0000-0000-000048C90000}"/>
    <cellStyle name="Migliaia 61 4 3 2" xfId="33955" xr:uid="{00000000-0005-0000-0000-000049C90000}"/>
    <cellStyle name="Migliaia 61 4 3 2 2" xfId="55439" xr:uid="{00000000-0005-0000-0000-00004AC90000}"/>
    <cellStyle name="Migliaia 61 4 3 3" xfId="48916" xr:uid="{00000000-0005-0000-0000-00004BC90000}"/>
    <cellStyle name="Migliaia 61 4 3 3 2" xfId="56361" xr:uid="{00000000-0005-0000-0000-00004CC90000}"/>
    <cellStyle name="Migliaia 61 4 3 4" xfId="53084" xr:uid="{00000000-0005-0000-0000-00004DC90000}"/>
    <cellStyle name="Migliaia 61 4 4" xfId="17461" xr:uid="{00000000-0005-0000-0000-00004EC90000}"/>
    <cellStyle name="Migliaia 61 4 4 2" xfId="33576" xr:uid="{00000000-0005-0000-0000-00004FC90000}"/>
    <cellStyle name="Migliaia 61 4 4 3" xfId="48537" xr:uid="{00000000-0005-0000-0000-000050C90000}"/>
    <cellStyle name="Migliaia 61 4 4 4" xfId="55062" xr:uid="{00000000-0005-0000-0000-000051C90000}"/>
    <cellStyle name="Migliaia 61 4 5" xfId="51296" xr:uid="{00000000-0005-0000-0000-000052C90000}"/>
    <cellStyle name="Migliaia 61 4 5 2" xfId="55982" xr:uid="{00000000-0005-0000-0000-000053C90000}"/>
    <cellStyle name="Migliaia 61 4 6" xfId="52700" xr:uid="{00000000-0005-0000-0000-000054C90000}"/>
    <cellStyle name="Migliaia 61 5" xfId="9459" xr:uid="{00000000-0005-0000-0000-000055C90000}"/>
    <cellStyle name="Migliaia 61 5 2" xfId="17463" xr:uid="{00000000-0005-0000-0000-000056C90000}"/>
    <cellStyle name="Migliaia 61 5 2 2" xfId="33578" xr:uid="{00000000-0005-0000-0000-000057C90000}"/>
    <cellStyle name="Migliaia 61 5 2 3" xfId="48539" xr:uid="{00000000-0005-0000-0000-000058C90000}"/>
    <cellStyle name="Migliaia 61 5 2 4" xfId="55064" xr:uid="{00000000-0005-0000-0000-000059C90000}"/>
    <cellStyle name="Migliaia 61 5 3" xfId="51167" xr:uid="{00000000-0005-0000-0000-00005AC90000}"/>
    <cellStyle name="Migliaia 61 5 3 2" xfId="55984" xr:uid="{00000000-0005-0000-0000-00005BC90000}"/>
    <cellStyle name="Migliaia 61 5 4" xfId="52702" xr:uid="{00000000-0005-0000-0000-00005CC90000}"/>
    <cellStyle name="Migliaia 61 6" xfId="9454" xr:uid="{00000000-0005-0000-0000-00005DC90000}"/>
    <cellStyle name="Migliaia 61 6 2" xfId="50951" xr:uid="{00000000-0005-0000-0000-00005EC90000}"/>
    <cellStyle name="Migliaia 61 6 3" xfId="54642" xr:uid="{00000000-0005-0000-0000-00005FC90000}"/>
    <cellStyle name="Migliaia 61 7" xfId="10023" xr:uid="{00000000-0005-0000-0000-000060C90000}"/>
    <cellStyle name="Migliaia 61 7 2" xfId="26348" xr:uid="{00000000-0005-0000-0000-000061C90000}"/>
    <cellStyle name="Migliaia 61 7 3" xfId="41326" xr:uid="{00000000-0005-0000-0000-000062C90000}"/>
    <cellStyle name="Migliaia 61 7 4" xfId="55977" xr:uid="{00000000-0005-0000-0000-000063C90000}"/>
    <cellStyle name="Migliaia 61 8" xfId="17456" xr:uid="{00000000-0005-0000-0000-000064C90000}"/>
    <cellStyle name="Migliaia 61 8 2" xfId="33571" xr:uid="{00000000-0005-0000-0000-000065C90000}"/>
    <cellStyle name="Migliaia 61 8 3" xfId="48532" xr:uid="{00000000-0005-0000-0000-000066C90000}"/>
    <cellStyle name="Migliaia 61 9" xfId="19329" xr:uid="{00000000-0005-0000-0000-000067C90000}"/>
    <cellStyle name="Migliaia 7" xfId="517" xr:uid="{00000000-0005-0000-0000-000068C90000}"/>
    <cellStyle name="Migliaia 7 10" xfId="34328" xr:uid="{00000000-0005-0000-0000-000069C90000}"/>
    <cellStyle name="Migliaia 7 11" xfId="49268" xr:uid="{00000000-0005-0000-0000-00006AC90000}"/>
    <cellStyle name="Migliaia 7 12" xfId="49673" xr:uid="{00000000-0005-0000-0000-00006BC90000}"/>
    <cellStyle name="Migliaia 7 13" xfId="50079" xr:uid="{00000000-0005-0000-0000-00006CC90000}"/>
    <cellStyle name="Migliaia 7 14" xfId="50487" xr:uid="{00000000-0005-0000-0000-00006DC90000}"/>
    <cellStyle name="Migliaia 7 15" xfId="50929" xr:uid="{00000000-0005-0000-0000-00006EC90000}"/>
    <cellStyle name="Migliaia 7 16" xfId="51648" xr:uid="{00000000-0005-0000-0000-00006FC90000}"/>
    <cellStyle name="Migliaia 7 17" xfId="52060" xr:uid="{00000000-0005-0000-0000-000070C90000}"/>
    <cellStyle name="Migliaia 7 18" xfId="52703" xr:uid="{00000000-0005-0000-0000-000071C90000}"/>
    <cellStyle name="Migliaia 7 2" xfId="518" xr:uid="{00000000-0005-0000-0000-000072C90000}"/>
    <cellStyle name="Migliaia 7 2 10" xfId="50080" xr:uid="{00000000-0005-0000-0000-000073C90000}"/>
    <cellStyle name="Migliaia 7 2 11" xfId="50488" xr:uid="{00000000-0005-0000-0000-000074C90000}"/>
    <cellStyle name="Migliaia 7 2 12" xfId="50930" xr:uid="{00000000-0005-0000-0000-000075C90000}"/>
    <cellStyle name="Migliaia 7 2 13" xfId="51649" xr:uid="{00000000-0005-0000-0000-000076C90000}"/>
    <cellStyle name="Migliaia 7 2 14" xfId="52061" xr:uid="{00000000-0005-0000-0000-000077C90000}"/>
    <cellStyle name="Migliaia 7 2 15" xfId="52704" xr:uid="{00000000-0005-0000-0000-000078C90000}"/>
    <cellStyle name="Migliaia 7 2 2" xfId="1302" xr:uid="{00000000-0005-0000-0000-000079C90000}"/>
    <cellStyle name="Migliaia 7 2 2 10" xfId="51154" xr:uid="{00000000-0005-0000-0000-00007AC90000}"/>
    <cellStyle name="Migliaia 7 2 2 11" xfId="51750" xr:uid="{00000000-0005-0000-0000-00007BC90000}"/>
    <cellStyle name="Migliaia 7 2 2 12" xfId="52170" xr:uid="{00000000-0005-0000-0000-00007CC90000}"/>
    <cellStyle name="Migliaia 7 2 2 13" xfId="53086" xr:uid="{00000000-0005-0000-0000-00007DC90000}"/>
    <cellStyle name="Migliaia 7 2 2 2" xfId="10129" xr:uid="{00000000-0005-0000-0000-00007EC90000}"/>
    <cellStyle name="Migliaia 7 2 2 2 2" xfId="26449" xr:uid="{00000000-0005-0000-0000-00007FC90000}"/>
    <cellStyle name="Migliaia 7 2 2 2 3" xfId="41417" xr:uid="{00000000-0005-0000-0000-000080C90000}"/>
    <cellStyle name="Migliaia 7 2 2 2 4" xfId="55441" xr:uid="{00000000-0005-0000-0000-000081C90000}"/>
    <cellStyle name="Migliaia 7 2 2 3" xfId="18490" xr:uid="{00000000-0005-0000-0000-000082C90000}"/>
    <cellStyle name="Migliaia 7 2 2 3 2" xfId="33957" xr:uid="{00000000-0005-0000-0000-000083C90000}"/>
    <cellStyle name="Migliaia 7 2 2 3 3" xfId="48918" xr:uid="{00000000-0005-0000-0000-000084C90000}"/>
    <cellStyle name="Migliaia 7 2 2 3 4" xfId="56363" xr:uid="{00000000-0005-0000-0000-000085C90000}"/>
    <cellStyle name="Migliaia 7 2 2 4" xfId="19428" xr:uid="{00000000-0005-0000-0000-000086C90000}"/>
    <cellStyle name="Migliaia 7 2 2 5" xfId="34418" xr:uid="{00000000-0005-0000-0000-000087C90000}"/>
    <cellStyle name="Migliaia 7 2 2 6" xfId="49370" xr:uid="{00000000-0005-0000-0000-000088C90000}"/>
    <cellStyle name="Migliaia 7 2 2 7" xfId="49775" xr:uid="{00000000-0005-0000-0000-000089C90000}"/>
    <cellStyle name="Migliaia 7 2 2 8" xfId="50184" xr:uid="{00000000-0005-0000-0000-00008AC90000}"/>
    <cellStyle name="Migliaia 7 2 2 9" xfId="50589" xr:uid="{00000000-0005-0000-0000-00008BC90000}"/>
    <cellStyle name="Migliaia 7 2 3" xfId="9461" xr:uid="{00000000-0005-0000-0000-00008CC90000}"/>
    <cellStyle name="Migliaia 7 2 3 2" xfId="54707" xr:uid="{00000000-0005-0000-0000-00008DC90000}"/>
    <cellStyle name="Migliaia 7 2 4" xfId="10028" xr:uid="{00000000-0005-0000-0000-00008EC90000}"/>
    <cellStyle name="Migliaia 7 2 4 2" xfId="26353" xr:uid="{00000000-0005-0000-0000-00008FC90000}"/>
    <cellStyle name="Migliaia 7 2 4 3" xfId="41331" xr:uid="{00000000-0005-0000-0000-000090C90000}"/>
    <cellStyle name="Migliaia 7 2 4 4" xfId="55986" xr:uid="{00000000-0005-0000-0000-000091C90000}"/>
    <cellStyle name="Migliaia 7 2 5" xfId="17465" xr:uid="{00000000-0005-0000-0000-000092C90000}"/>
    <cellStyle name="Migliaia 7 2 5 2" xfId="33580" xr:uid="{00000000-0005-0000-0000-000093C90000}"/>
    <cellStyle name="Migliaia 7 2 5 3" xfId="48541" xr:uid="{00000000-0005-0000-0000-000094C90000}"/>
    <cellStyle name="Migliaia 7 2 6" xfId="19334" xr:uid="{00000000-0005-0000-0000-000095C90000}"/>
    <cellStyle name="Migliaia 7 2 7" xfId="34329" xr:uid="{00000000-0005-0000-0000-000096C90000}"/>
    <cellStyle name="Migliaia 7 2 8" xfId="49269" xr:uid="{00000000-0005-0000-0000-000097C90000}"/>
    <cellStyle name="Migliaia 7 2 9" xfId="49674" xr:uid="{00000000-0005-0000-0000-000098C90000}"/>
    <cellStyle name="Migliaia 7 3" xfId="519" xr:uid="{00000000-0005-0000-0000-000099C90000}"/>
    <cellStyle name="Migliaia 7 3 10" xfId="50081" xr:uid="{00000000-0005-0000-0000-00009AC90000}"/>
    <cellStyle name="Migliaia 7 3 11" xfId="50489" xr:uid="{00000000-0005-0000-0000-00009BC90000}"/>
    <cellStyle name="Migliaia 7 3 12" xfId="50931" xr:uid="{00000000-0005-0000-0000-00009CC90000}"/>
    <cellStyle name="Migliaia 7 3 13" xfId="51650" xr:uid="{00000000-0005-0000-0000-00009DC90000}"/>
    <cellStyle name="Migliaia 7 3 14" xfId="52062" xr:uid="{00000000-0005-0000-0000-00009EC90000}"/>
    <cellStyle name="Migliaia 7 3 15" xfId="52705" xr:uid="{00000000-0005-0000-0000-00009FC90000}"/>
    <cellStyle name="Migliaia 7 3 2" xfId="520" xr:uid="{00000000-0005-0000-0000-0000A0C90000}"/>
    <cellStyle name="Migliaia 7 3 2 10" xfId="50490" xr:uid="{00000000-0005-0000-0000-0000A1C90000}"/>
    <cellStyle name="Migliaia 7 3 2 11" xfId="50932" xr:uid="{00000000-0005-0000-0000-0000A2C90000}"/>
    <cellStyle name="Migliaia 7 3 2 12" xfId="51651" xr:uid="{00000000-0005-0000-0000-0000A3C90000}"/>
    <cellStyle name="Migliaia 7 3 2 13" xfId="52063" xr:uid="{00000000-0005-0000-0000-0000A4C90000}"/>
    <cellStyle name="Migliaia 7 3 2 14" xfId="52706" xr:uid="{00000000-0005-0000-0000-0000A5C90000}"/>
    <cellStyle name="Migliaia 7 3 2 2" xfId="9463" xr:uid="{00000000-0005-0000-0000-0000A6C90000}"/>
    <cellStyle name="Migliaia 7 3 2 2 2" xfId="55066" xr:uid="{00000000-0005-0000-0000-0000A7C90000}"/>
    <cellStyle name="Migliaia 7 3 2 3" xfId="10030" xr:uid="{00000000-0005-0000-0000-0000A8C90000}"/>
    <cellStyle name="Migliaia 7 3 2 3 2" xfId="26355" xr:uid="{00000000-0005-0000-0000-0000A9C90000}"/>
    <cellStyle name="Migliaia 7 3 2 3 3" xfId="41333" xr:uid="{00000000-0005-0000-0000-0000AAC90000}"/>
    <cellStyle name="Migliaia 7 3 2 3 4" xfId="55988" xr:uid="{00000000-0005-0000-0000-0000ABC90000}"/>
    <cellStyle name="Migliaia 7 3 2 4" xfId="17467" xr:uid="{00000000-0005-0000-0000-0000ACC90000}"/>
    <cellStyle name="Migliaia 7 3 2 4 2" xfId="33582" xr:uid="{00000000-0005-0000-0000-0000ADC90000}"/>
    <cellStyle name="Migliaia 7 3 2 4 3" xfId="48543" xr:uid="{00000000-0005-0000-0000-0000AEC90000}"/>
    <cellStyle name="Migliaia 7 3 2 5" xfId="19336" xr:uid="{00000000-0005-0000-0000-0000AFC90000}"/>
    <cellStyle name="Migliaia 7 3 2 6" xfId="34331" xr:uid="{00000000-0005-0000-0000-0000B0C90000}"/>
    <cellStyle name="Migliaia 7 3 2 7" xfId="49271" xr:uid="{00000000-0005-0000-0000-0000B1C90000}"/>
    <cellStyle name="Migliaia 7 3 2 8" xfId="49676" xr:uid="{00000000-0005-0000-0000-0000B2C90000}"/>
    <cellStyle name="Migliaia 7 3 2 9" xfId="50082" xr:uid="{00000000-0005-0000-0000-0000B3C90000}"/>
    <cellStyle name="Migliaia 7 3 3" xfId="9462" xr:uid="{00000000-0005-0000-0000-0000B4C90000}"/>
    <cellStyle name="Migliaia 7 3 3 2" xfId="18492" xr:uid="{00000000-0005-0000-0000-0000B5C90000}"/>
    <cellStyle name="Migliaia 7 3 3 2 2" xfId="33959" xr:uid="{00000000-0005-0000-0000-0000B6C90000}"/>
    <cellStyle name="Migliaia 7 3 3 2 2 2" xfId="55443" xr:uid="{00000000-0005-0000-0000-0000B7C90000}"/>
    <cellStyle name="Migliaia 7 3 3 2 3" xfId="48920" xr:uid="{00000000-0005-0000-0000-0000B8C90000}"/>
    <cellStyle name="Migliaia 7 3 3 2 3 2" xfId="56365" xr:uid="{00000000-0005-0000-0000-0000B9C90000}"/>
    <cellStyle name="Migliaia 7 3 3 2 4" xfId="53088" xr:uid="{00000000-0005-0000-0000-0000BAC90000}"/>
    <cellStyle name="Migliaia 7 3 3 3" xfId="17468" xr:uid="{00000000-0005-0000-0000-0000BBC90000}"/>
    <cellStyle name="Migliaia 7 3 3 3 2" xfId="33583" xr:uid="{00000000-0005-0000-0000-0000BCC90000}"/>
    <cellStyle name="Migliaia 7 3 3 3 3" xfId="48544" xr:uid="{00000000-0005-0000-0000-0000BDC90000}"/>
    <cellStyle name="Migliaia 7 3 3 3 4" xfId="55067" xr:uid="{00000000-0005-0000-0000-0000BEC90000}"/>
    <cellStyle name="Migliaia 7 3 3 4" xfId="55989" xr:uid="{00000000-0005-0000-0000-0000BFC90000}"/>
    <cellStyle name="Migliaia 7 3 3 5" xfId="52707" xr:uid="{00000000-0005-0000-0000-0000C0C90000}"/>
    <cellStyle name="Migliaia 7 3 4" xfId="10029" xr:uid="{00000000-0005-0000-0000-0000C1C90000}"/>
    <cellStyle name="Migliaia 7 3 4 2" xfId="18491" xr:uid="{00000000-0005-0000-0000-0000C2C90000}"/>
    <cellStyle name="Migliaia 7 3 4 2 2" xfId="33958" xr:uid="{00000000-0005-0000-0000-0000C3C90000}"/>
    <cellStyle name="Migliaia 7 3 4 2 3" xfId="48919" xr:uid="{00000000-0005-0000-0000-0000C4C90000}"/>
    <cellStyle name="Migliaia 7 3 4 2 4" xfId="55442" xr:uid="{00000000-0005-0000-0000-0000C5C90000}"/>
    <cellStyle name="Migliaia 7 3 4 3" xfId="26354" xr:uid="{00000000-0005-0000-0000-0000C6C90000}"/>
    <cellStyle name="Migliaia 7 3 4 3 2" xfId="56364" xr:uid="{00000000-0005-0000-0000-0000C7C90000}"/>
    <cellStyle name="Migliaia 7 3 4 4" xfId="41332" xr:uid="{00000000-0005-0000-0000-0000C8C90000}"/>
    <cellStyle name="Migliaia 7 3 4 5" xfId="53087" xr:uid="{00000000-0005-0000-0000-0000C9C90000}"/>
    <cellStyle name="Migliaia 7 3 5" xfId="17466" xr:uid="{00000000-0005-0000-0000-0000CAC90000}"/>
    <cellStyle name="Migliaia 7 3 5 2" xfId="33581" xr:uid="{00000000-0005-0000-0000-0000CBC90000}"/>
    <cellStyle name="Migliaia 7 3 5 3" xfId="48542" xr:uid="{00000000-0005-0000-0000-0000CCC90000}"/>
    <cellStyle name="Migliaia 7 3 5 4" xfId="55065" xr:uid="{00000000-0005-0000-0000-0000CDC90000}"/>
    <cellStyle name="Migliaia 7 3 6" xfId="19335" xr:uid="{00000000-0005-0000-0000-0000CEC90000}"/>
    <cellStyle name="Migliaia 7 3 6 2" xfId="55987" xr:uid="{00000000-0005-0000-0000-0000CFC90000}"/>
    <cellStyle name="Migliaia 7 3 7" xfId="34330" xr:uid="{00000000-0005-0000-0000-0000D0C90000}"/>
    <cellStyle name="Migliaia 7 3 8" xfId="49270" xr:uid="{00000000-0005-0000-0000-0000D1C90000}"/>
    <cellStyle name="Migliaia 7 3 9" xfId="49675" xr:uid="{00000000-0005-0000-0000-0000D2C90000}"/>
    <cellStyle name="Migliaia 7 4" xfId="9464" xr:uid="{00000000-0005-0000-0000-0000D3C90000}"/>
    <cellStyle name="Migliaia 7 4 2" xfId="17470" xr:uid="{00000000-0005-0000-0000-0000D4C90000}"/>
    <cellStyle name="Migliaia 7 4 2 2" xfId="18494" xr:uid="{00000000-0005-0000-0000-0000D5C90000}"/>
    <cellStyle name="Migliaia 7 4 2 2 2" xfId="33961" xr:uid="{00000000-0005-0000-0000-0000D6C90000}"/>
    <cellStyle name="Migliaia 7 4 2 2 2 2" xfId="55445" xr:uid="{00000000-0005-0000-0000-0000D7C90000}"/>
    <cellStyle name="Migliaia 7 4 2 2 3" xfId="48922" xr:uid="{00000000-0005-0000-0000-0000D8C90000}"/>
    <cellStyle name="Migliaia 7 4 2 2 3 2" xfId="56367" xr:uid="{00000000-0005-0000-0000-0000D9C90000}"/>
    <cellStyle name="Migliaia 7 4 2 2 4" xfId="53090" xr:uid="{00000000-0005-0000-0000-0000DAC90000}"/>
    <cellStyle name="Migliaia 7 4 2 3" xfId="33585" xr:uid="{00000000-0005-0000-0000-0000DBC90000}"/>
    <cellStyle name="Migliaia 7 4 2 3 2" xfId="55069" xr:uid="{00000000-0005-0000-0000-0000DCC90000}"/>
    <cellStyle name="Migliaia 7 4 2 4" xfId="48546" xr:uid="{00000000-0005-0000-0000-0000DDC90000}"/>
    <cellStyle name="Migliaia 7 4 2 4 2" xfId="55991" xr:uid="{00000000-0005-0000-0000-0000DEC90000}"/>
    <cellStyle name="Migliaia 7 4 2 5" xfId="52709" xr:uid="{00000000-0005-0000-0000-0000DFC90000}"/>
    <cellStyle name="Migliaia 7 4 3" xfId="18493" xr:uid="{00000000-0005-0000-0000-0000E0C90000}"/>
    <cellStyle name="Migliaia 7 4 3 2" xfId="33960" xr:uid="{00000000-0005-0000-0000-0000E1C90000}"/>
    <cellStyle name="Migliaia 7 4 3 2 2" xfId="55444" xr:uid="{00000000-0005-0000-0000-0000E2C90000}"/>
    <cellStyle name="Migliaia 7 4 3 3" xfId="48921" xr:uid="{00000000-0005-0000-0000-0000E3C90000}"/>
    <cellStyle name="Migliaia 7 4 3 3 2" xfId="56366" xr:uid="{00000000-0005-0000-0000-0000E4C90000}"/>
    <cellStyle name="Migliaia 7 4 3 4" xfId="53089" xr:uid="{00000000-0005-0000-0000-0000E5C90000}"/>
    <cellStyle name="Migliaia 7 4 4" xfId="17469" xr:uid="{00000000-0005-0000-0000-0000E6C90000}"/>
    <cellStyle name="Migliaia 7 4 4 2" xfId="33584" xr:uid="{00000000-0005-0000-0000-0000E7C90000}"/>
    <cellStyle name="Migliaia 7 4 4 3" xfId="48545" xr:uid="{00000000-0005-0000-0000-0000E8C90000}"/>
    <cellStyle name="Migliaia 7 4 4 4" xfId="55068" xr:uid="{00000000-0005-0000-0000-0000E9C90000}"/>
    <cellStyle name="Migliaia 7 4 5" xfId="51165" xr:uid="{00000000-0005-0000-0000-0000EAC90000}"/>
    <cellStyle name="Migliaia 7 4 5 2" xfId="55990" xr:uid="{00000000-0005-0000-0000-0000EBC90000}"/>
    <cellStyle name="Migliaia 7 4 6" xfId="52708" xr:uid="{00000000-0005-0000-0000-0000ECC90000}"/>
    <cellStyle name="Migliaia 7 5" xfId="9465" xr:uid="{00000000-0005-0000-0000-0000EDC90000}"/>
    <cellStyle name="Migliaia 7 5 2" xfId="17471" xr:uid="{00000000-0005-0000-0000-0000EEC90000}"/>
    <cellStyle name="Migliaia 7 5 2 2" xfId="33586" xr:uid="{00000000-0005-0000-0000-0000EFC90000}"/>
    <cellStyle name="Migliaia 7 5 2 3" xfId="48547" xr:uid="{00000000-0005-0000-0000-0000F0C90000}"/>
    <cellStyle name="Migliaia 7 5 2 4" xfId="55070" xr:uid="{00000000-0005-0000-0000-0000F1C90000}"/>
    <cellStyle name="Migliaia 7 5 3" xfId="51246" xr:uid="{00000000-0005-0000-0000-0000F2C90000}"/>
    <cellStyle name="Migliaia 7 5 3 2" xfId="55992" xr:uid="{00000000-0005-0000-0000-0000F3C90000}"/>
    <cellStyle name="Migliaia 7 5 4" xfId="52710" xr:uid="{00000000-0005-0000-0000-0000F4C90000}"/>
    <cellStyle name="Migliaia 7 6" xfId="9460" xr:uid="{00000000-0005-0000-0000-0000F5C90000}"/>
    <cellStyle name="Migliaia 7 6 2" xfId="51166" xr:uid="{00000000-0005-0000-0000-0000F6C90000}"/>
    <cellStyle name="Migliaia 7 6 3" xfId="54643" xr:uid="{00000000-0005-0000-0000-0000F7C90000}"/>
    <cellStyle name="Migliaia 7 7" xfId="10027" xr:uid="{00000000-0005-0000-0000-0000F8C90000}"/>
    <cellStyle name="Migliaia 7 7 2" xfId="26352" xr:uid="{00000000-0005-0000-0000-0000F9C90000}"/>
    <cellStyle name="Migliaia 7 7 3" xfId="41330" xr:uid="{00000000-0005-0000-0000-0000FAC90000}"/>
    <cellStyle name="Migliaia 7 7 4" xfId="55985" xr:uid="{00000000-0005-0000-0000-0000FBC90000}"/>
    <cellStyle name="Migliaia 7 8" xfId="17464" xr:uid="{00000000-0005-0000-0000-0000FCC90000}"/>
    <cellStyle name="Migliaia 7 8 2" xfId="33579" xr:uid="{00000000-0005-0000-0000-0000FDC90000}"/>
    <cellStyle name="Migliaia 7 8 3" xfId="48540" xr:uid="{00000000-0005-0000-0000-0000FEC90000}"/>
    <cellStyle name="Migliaia 7 9" xfId="19333" xr:uid="{00000000-0005-0000-0000-0000FFC90000}"/>
    <cellStyle name="Migliaia 8" xfId="521" xr:uid="{00000000-0005-0000-0000-000000CA0000}"/>
    <cellStyle name="Migliaia 8 10" xfId="34332" xr:uid="{00000000-0005-0000-0000-000001CA0000}"/>
    <cellStyle name="Migliaia 8 11" xfId="49272" xr:uid="{00000000-0005-0000-0000-000002CA0000}"/>
    <cellStyle name="Migliaia 8 12" xfId="49677" xr:uid="{00000000-0005-0000-0000-000003CA0000}"/>
    <cellStyle name="Migliaia 8 13" xfId="50083" xr:uid="{00000000-0005-0000-0000-000004CA0000}"/>
    <cellStyle name="Migliaia 8 14" xfId="50491" xr:uid="{00000000-0005-0000-0000-000005CA0000}"/>
    <cellStyle name="Migliaia 8 15" xfId="50933" xr:uid="{00000000-0005-0000-0000-000006CA0000}"/>
    <cellStyle name="Migliaia 8 16" xfId="51652" xr:uid="{00000000-0005-0000-0000-000007CA0000}"/>
    <cellStyle name="Migliaia 8 17" xfId="52064" xr:uid="{00000000-0005-0000-0000-000008CA0000}"/>
    <cellStyle name="Migliaia 8 18" xfId="52711" xr:uid="{00000000-0005-0000-0000-000009CA0000}"/>
    <cellStyle name="Migliaia 8 2" xfId="522" xr:uid="{00000000-0005-0000-0000-00000ACA0000}"/>
    <cellStyle name="Migliaia 8 2 10" xfId="50084" xr:uid="{00000000-0005-0000-0000-00000BCA0000}"/>
    <cellStyle name="Migliaia 8 2 11" xfId="50492" xr:uid="{00000000-0005-0000-0000-00000CCA0000}"/>
    <cellStyle name="Migliaia 8 2 12" xfId="50934" xr:uid="{00000000-0005-0000-0000-00000DCA0000}"/>
    <cellStyle name="Migliaia 8 2 13" xfId="51653" xr:uid="{00000000-0005-0000-0000-00000ECA0000}"/>
    <cellStyle name="Migliaia 8 2 14" xfId="52065" xr:uid="{00000000-0005-0000-0000-00000FCA0000}"/>
    <cellStyle name="Migliaia 8 2 15" xfId="52712" xr:uid="{00000000-0005-0000-0000-000010CA0000}"/>
    <cellStyle name="Migliaia 8 2 2" xfId="1303" xr:uid="{00000000-0005-0000-0000-000011CA0000}"/>
    <cellStyle name="Migliaia 8 2 2 10" xfId="51155" xr:uid="{00000000-0005-0000-0000-000012CA0000}"/>
    <cellStyle name="Migliaia 8 2 2 11" xfId="51751" xr:uid="{00000000-0005-0000-0000-000013CA0000}"/>
    <cellStyle name="Migliaia 8 2 2 12" xfId="52171" xr:uid="{00000000-0005-0000-0000-000014CA0000}"/>
    <cellStyle name="Migliaia 8 2 2 13" xfId="53091" xr:uid="{00000000-0005-0000-0000-000015CA0000}"/>
    <cellStyle name="Migliaia 8 2 2 2" xfId="10130" xr:uid="{00000000-0005-0000-0000-000016CA0000}"/>
    <cellStyle name="Migliaia 8 2 2 2 2" xfId="26450" xr:uid="{00000000-0005-0000-0000-000017CA0000}"/>
    <cellStyle name="Migliaia 8 2 2 2 3" xfId="41418" xr:uid="{00000000-0005-0000-0000-000018CA0000}"/>
    <cellStyle name="Migliaia 8 2 2 2 4" xfId="55446" xr:uid="{00000000-0005-0000-0000-000019CA0000}"/>
    <cellStyle name="Migliaia 8 2 2 3" xfId="18495" xr:uid="{00000000-0005-0000-0000-00001ACA0000}"/>
    <cellStyle name="Migliaia 8 2 2 3 2" xfId="33962" xr:uid="{00000000-0005-0000-0000-00001BCA0000}"/>
    <cellStyle name="Migliaia 8 2 2 3 3" xfId="48923" xr:uid="{00000000-0005-0000-0000-00001CCA0000}"/>
    <cellStyle name="Migliaia 8 2 2 3 4" xfId="56368" xr:uid="{00000000-0005-0000-0000-00001DCA0000}"/>
    <cellStyle name="Migliaia 8 2 2 4" xfId="19429" xr:uid="{00000000-0005-0000-0000-00001ECA0000}"/>
    <cellStyle name="Migliaia 8 2 2 5" xfId="34419" xr:uid="{00000000-0005-0000-0000-00001FCA0000}"/>
    <cellStyle name="Migliaia 8 2 2 6" xfId="49371" xr:uid="{00000000-0005-0000-0000-000020CA0000}"/>
    <cellStyle name="Migliaia 8 2 2 7" xfId="49776" xr:uid="{00000000-0005-0000-0000-000021CA0000}"/>
    <cellStyle name="Migliaia 8 2 2 8" xfId="50185" xr:uid="{00000000-0005-0000-0000-000022CA0000}"/>
    <cellStyle name="Migliaia 8 2 2 9" xfId="50590" xr:uid="{00000000-0005-0000-0000-000023CA0000}"/>
    <cellStyle name="Migliaia 8 2 3" xfId="9467" xr:uid="{00000000-0005-0000-0000-000024CA0000}"/>
    <cellStyle name="Migliaia 8 2 3 2" xfId="54708" xr:uid="{00000000-0005-0000-0000-000025CA0000}"/>
    <cellStyle name="Migliaia 8 2 4" xfId="10032" xr:uid="{00000000-0005-0000-0000-000026CA0000}"/>
    <cellStyle name="Migliaia 8 2 4 2" xfId="26357" xr:uid="{00000000-0005-0000-0000-000027CA0000}"/>
    <cellStyle name="Migliaia 8 2 4 3" xfId="41335" xr:uid="{00000000-0005-0000-0000-000028CA0000}"/>
    <cellStyle name="Migliaia 8 2 4 4" xfId="55994" xr:uid="{00000000-0005-0000-0000-000029CA0000}"/>
    <cellStyle name="Migliaia 8 2 5" xfId="17473" xr:uid="{00000000-0005-0000-0000-00002ACA0000}"/>
    <cellStyle name="Migliaia 8 2 5 2" xfId="33588" xr:uid="{00000000-0005-0000-0000-00002BCA0000}"/>
    <cellStyle name="Migliaia 8 2 5 3" xfId="48549" xr:uid="{00000000-0005-0000-0000-00002CCA0000}"/>
    <cellStyle name="Migliaia 8 2 6" xfId="19338" xr:uid="{00000000-0005-0000-0000-00002DCA0000}"/>
    <cellStyle name="Migliaia 8 2 7" xfId="34333" xr:uid="{00000000-0005-0000-0000-00002ECA0000}"/>
    <cellStyle name="Migliaia 8 2 8" xfId="49273" xr:uid="{00000000-0005-0000-0000-00002FCA0000}"/>
    <cellStyle name="Migliaia 8 2 9" xfId="49678" xr:uid="{00000000-0005-0000-0000-000030CA0000}"/>
    <cellStyle name="Migliaia 8 3" xfId="523" xr:uid="{00000000-0005-0000-0000-000031CA0000}"/>
    <cellStyle name="Migliaia 8 3 10" xfId="50085" xr:uid="{00000000-0005-0000-0000-000032CA0000}"/>
    <cellStyle name="Migliaia 8 3 11" xfId="50493" xr:uid="{00000000-0005-0000-0000-000033CA0000}"/>
    <cellStyle name="Migliaia 8 3 12" xfId="50935" xr:uid="{00000000-0005-0000-0000-000034CA0000}"/>
    <cellStyle name="Migliaia 8 3 13" xfId="51654" xr:uid="{00000000-0005-0000-0000-000035CA0000}"/>
    <cellStyle name="Migliaia 8 3 14" xfId="52066" xr:uid="{00000000-0005-0000-0000-000036CA0000}"/>
    <cellStyle name="Migliaia 8 3 15" xfId="52713" xr:uid="{00000000-0005-0000-0000-000037CA0000}"/>
    <cellStyle name="Migliaia 8 3 2" xfId="524" xr:uid="{00000000-0005-0000-0000-000038CA0000}"/>
    <cellStyle name="Migliaia 8 3 2 10" xfId="50494" xr:uid="{00000000-0005-0000-0000-000039CA0000}"/>
    <cellStyle name="Migliaia 8 3 2 11" xfId="50936" xr:uid="{00000000-0005-0000-0000-00003ACA0000}"/>
    <cellStyle name="Migliaia 8 3 2 12" xfId="51655" xr:uid="{00000000-0005-0000-0000-00003BCA0000}"/>
    <cellStyle name="Migliaia 8 3 2 13" xfId="52067" xr:uid="{00000000-0005-0000-0000-00003CCA0000}"/>
    <cellStyle name="Migliaia 8 3 2 14" xfId="52714" xr:uid="{00000000-0005-0000-0000-00003DCA0000}"/>
    <cellStyle name="Migliaia 8 3 2 2" xfId="9469" xr:uid="{00000000-0005-0000-0000-00003ECA0000}"/>
    <cellStyle name="Migliaia 8 3 2 2 2" xfId="55072" xr:uid="{00000000-0005-0000-0000-00003FCA0000}"/>
    <cellStyle name="Migliaia 8 3 2 3" xfId="10034" xr:uid="{00000000-0005-0000-0000-000040CA0000}"/>
    <cellStyle name="Migliaia 8 3 2 3 2" xfId="26359" xr:uid="{00000000-0005-0000-0000-000041CA0000}"/>
    <cellStyle name="Migliaia 8 3 2 3 3" xfId="41337" xr:uid="{00000000-0005-0000-0000-000042CA0000}"/>
    <cellStyle name="Migliaia 8 3 2 3 4" xfId="55996" xr:uid="{00000000-0005-0000-0000-000043CA0000}"/>
    <cellStyle name="Migliaia 8 3 2 4" xfId="17475" xr:uid="{00000000-0005-0000-0000-000044CA0000}"/>
    <cellStyle name="Migliaia 8 3 2 4 2" xfId="33590" xr:uid="{00000000-0005-0000-0000-000045CA0000}"/>
    <cellStyle name="Migliaia 8 3 2 4 3" xfId="48551" xr:uid="{00000000-0005-0000-0000-000046CA0000}"/>
    <cellStyle name="Migliaia 8 3 2 5" xfId="19340" xr:uid="{00000000-0005-0000-0000-000047CA0000}"/>
    <cellStyle name="Migliaia 8 3 2 6" xfId="34335" xr:uid="{00000000-0005-0000-0000-000048CA0000}"/>
    <cellStyle name="Migliaia 8 3 2 7" xfId="49275" xr:uid="{00000000-0005-0000-0000-000049CA0000}"/>
    <cellStyle name="Migliaia 8 3 2 8" xfId="49680" xr:uid="{00000000-0005-0000-0000-00004ACA0000}"/>
    <cellStyle name="Migliaia 8 3 2 9" xfId="50086" xr:uid="{00000000-0005-0000-0000-00004BCA0000}"/>
    <cellStyle name="Migliaia 8 3 3" xfId="9468" xr:uid="{00000000-0005-0000-0000-00004CCA0000}"/>
    <cellStyle name="Migliaia 8 3 3 2" xfId="18497" xr:uid="{00000000-0005-0000-0000-00004DCA0000}"/>
    <cellStyle name="Migliaia 8 3 3 2 2" xfId="33964" xr:uid="{00000000-0005-0000-0000-00004ECA0000}"/>
    <cellStyle name="Migliaia 8 3 3 2 2 2" xfId="55448" xr:uid="{00000000-0005-0000-0000-00004FCA0000}"/>
    <cellStyle name="Migliaia 8 3 3 2 3" xfId="48925" xr:uid="{00000000-0005-0000-0000-000050CA0000}"/>
    <cellStyle name="Migliaia 8 3 3 2 3 2" xfId="56370" xr:uid="{00000000-0005-0000-0000-000051CA0000}"/>
    <cellStyle name="Migliaia 8 3 3 2 4" xfId="53093" xr:uid="{00000000-0005-0000-0000-000052CA0000}"/>
    <cellStyle name="Migliaia 8 3 3 3" xfId="17476" xr:uid="{00000000-0005-0000-0000-000053CA0000}"/>
    <cellStyle name="Migliaia 8 3 3 3 2" xfId="33591" xr:uid="{00000000-0005-0000-0000-000054CA0000}"/>
    <cellStyle name="Migliaia 8 3 3 3 3" xfId="48552" xr:uid="{00000000-0005-0000-0000-000055CA0000}"/>
    <cellStyle name="Migliaia 8 3 3 3 4" xfId="55073" xr:uid="{00000000-0005-0000-0000-000056CA0000}"/>
    <cellStyle name="Migliaia 8 3 3 4" xfId="55997" xr:uid="{00000000-0005-0000-0000-000057CA0000}"/>
    <cellStyle name="Migliaia 8 3 3 5" xfId="52715" xr:uid="{00000000-0005-0000-0000-000058CA0000}"/>
    <cellStyle name="Migliaia 8 3 4" xfId="10033" xr:uid="{00000000-0005-0000-0000-000059CA0000}"/>
    <cellStyle name="Migliaia 8 3 4 2" xfId="18496" xr:uid="{00000000-0005-0000-0000-00005ACA0000}"/>
    <cellStyle name="Migliaia 8 3 4 2 2" xfId="33963" xr:uid="{00000000-0005-0000-0000-00005BCA0000}"/>
    <cellStyle name="Migliaia 8 3 4 2 3" xfId="48924" xr:uid="{00000000-0005-0000-0000-00005CCA0000}"/>
    <cellStyle name="Migliaia 8 3 4 2 4" xfId="55447" xr:uid="{00000000-0005-0000-0000-00005DCA0000}"/>
    <cellStyle name="Migliaia 8 3 4 3" xfId="26358" xr:uid="{00000000-0005-0000-0000-00005ECA0000}"/>
    <cellStyle name="Migliaia 8 3 4 3 2" xfId="56369" xr:uid="{00000000-0005-0000-0000-00005FCA0000}"/>
    <cellStyle name="Migliaia 8 3 4 4" xfId="41336" xr:uid="{00000000-0005-0000-0000-000060CA0000}"/>
    <cellStyle name="Migliaia 8 3 4 5" xfId="53092" xr:uid="{00000000-0005-0000-0000-000061CA0000}"/>
    <cellStyle name="Migliaia 8 3 5" xfId="17474" xr:uid="{00000000-0005-0000-0000-000062CA0000}"/>
    <cellStyle name="Migliaia 8 3 5 2" xfId="33589" xr:uid="{00000000-0005-0000-0000-000063CA0000}"/>
    <cellStyle name="Migliaia 8 3 5 3" xfId="48550" xr:uid="{00000000-0005-0000-0000-000064CA0000}"/>
    <cellStyle name="Migliaia 8 3 5 4" xfId="55071" xr:uid="{00000000-0005-0000-0000-000065CA0000}"/>
    <cellStyle name="Migliaia 8 3 6" xfId="19339" xr:uid="{00000000-0005-0000-0000-000066CA0000}"/>
    <cellStyle name="Migliaia 8 3 6 2" xfId="55995" xr:uid="{00000000-0005-0000-0000-000067CA0000}"/>
    <cellStyle name="Migliaia 8 3 7" xfId="34334" xr:uid="{00000000-0005-0000-0000-000068CA0000}"/>
    <cellStyle name="Migliaia 8 3 8" xfId="49274" xr:uid="{00000000-0005-0000-0000-000069CA0000}"/>
    <cellStyle name="Migliaia 8 3 9" xfId="49679" xr:uid="{00000000-0005-0000-0000-00006ACA0000}"/>
    <cellStyle name="Migliaia 8 4" xfId="9470" xr:uid="{00000000-0005-0000-0000-00006BCA0000}"/>
    <cellStyle name="Migliaia 8 4 2" xfId="17478" xr:uid="{00000000-0005-0000-0000-00006CCA0000}"/>
    <cellStyle name="Migliaia 8 4 2 2" xfId="18499" xr:uid="{00000000-0005-0000-0000-00006DCA0000}"/>
    <cellStyle name="Migliaia 8 4 2 2 2" xfId="33966" xr:uid="{00000000-0005-0000-0000-00006ECA0000}"/>
    <cellStyle name="Migliaia 8 4 2 2 2 2" xfId="55450" xr:uid="{00000000-0005-0000-0000-00006FCA0000}"/>
    <cellStyle name="Migliaia 8 4 2 2 3" xfId="48927" xr:uid="{00000000-0005-0000-0000-000070CA0000}"/>
    <cellStyle name="Migliaia 8 4 2 2 3 2" xfId="56372" xr:uid="{00000000-0005-0000-0000-000071CA0000}"/>
    <cellStyle name="Migliaia 8 4 2 2 4" xfId="53095" xr:uid="{00000000-0005-0000-0000-000072CA0000}"/>
    <cellStyle name="Migliaia 8 4 2 3" xfId="33593" xr:uid="{00000000-0005-0000-0000-000073CA0000}"/>
    <cellStyle name="Migliaia 8 4 2 3 2" xfId="55075" xr:uid="{00000000-0005-0000-0000-000074CA0000}"/>
    <cellStyle name="Migliaia 8 4 2 4" xfId="48554" xr:uid="{00000000-0005-0000-0000-000075CA0000}"/>
    <cellStyle name="Migliaia 8 4 2 4 2" xfId="55999" xr:uid="{00000000-0005-0000-0000-000076CA0000}"/>
    <cellStyle name="Migliaia 8 4 2 5" xfId="52717" xr:uid="{00000000-0005-0000-0000-000077CA0000}"/>
    <cellStyle name="Migliaia 8 4 3" xfId="18498" xr:uid="{00000000-0005-0000-0000-000078CA0000}"/>
    <cellStyle name="Migliaia 8 4 3 2" xfId="33965" xr:uid="{00000000-0005-0000-0000-000079CA0000}"/>
    <cellStyle name="Migliaia 8 4 3 2 2" xfId="55449" xr:uid="{00000000-0005-0000-0000-00007ACA0000}"/>
    <cellStyle name="Migliaia 8 4 3 3" xfId="48926" xr:uid="{00000000-0005-0000-0000-00007BCA0000}"/>
    <cellStyle name="Migliaia 8 4 3 3 2" xfId="56371" xr:uid="{00000000-0005-0000-0000-00007CCA0000}"/>
    <cellStyle name="Migliaia 8 4 3 4" xfId="53094" xr:uid="{00000000-0005-0000-0000-00007DCA0000}"/>
    <cellStyle name="Migliaia 8 4 4" xfId="17477" xr:uid="{00000000-0005-0000-0000-00007ECA0000}"/>
    <cellStyle name="Migliaia 8 4 4 2" xfId="33592" xr:uid="{00000000-0005-0000-0000-00007FCA0000}"/>
    <cellStyle name="Migliaia 8 4 4 3" xfId="48553" xr:uid="{00000000-0005-0000-0000-000080CA0000}"/>
    <cellStyle name="Migliaia 8 4 4 4" xfId="55074" xr:uid="{00000000-0005-0000-0000-000081CA0000}"/>
    <cellStyle name="Migliaia 8 4 5" xfId="50950" xr:uid="{00000000-0005-0000-0000-000082CA0000}"/>
    <cellStyle name="Migliaia 8 4 5 2" xfId="55998" xr:uid="{00000000-0005-0000-0000-000083CA0000}"/>
    <cellStyle name="Migliaia 8 4 6" xfId="52716" xr:uid="{00000000-0005-0000-0000-000084CA0000}"/>
    <cellStyle name="Migliaia 8 5" xfId="9471" xr:uid="{00000000-0005-0000-0000-000085CA0000}"/>
    <cellStyle name="Migliaia 8 5 2" xfId="17479" xr:uid="{00000000-0005-0000-0000-000086CA0000}"/>
    <cellStyle name="Migliaia 8 5 2 2" xfId="33594" xr:uid="{00000000-0005-0000-0000-000087CA0000}"/>
    <cellStyle name="Migliaia 8 5 2 3" xfId="48555" xr:uid="{00000000-0005-0000-0000-000088CA0000}"/>
    <cellStyle name="Migliaia 8 5 2 4" xfId="55076" xr:uid="{00000000-0005-0000-0000-000089CA0000}"/>
    <cellStyle name="Migliaia 8 5 3" xfId="50949" xr:uid="{00000000-0005-0000-0000-00008ACA0000}"/>
    <cellStyle name="Migliaia 8 5 3 2" xfId="56000" xr:uid="{00000000-0005-0000-0000-00008BCA0000}"/>
    <cellStyle name="Migliaia 8 5 4" xfId="52718" xr:uid="{00000000-0005-0000-0000-00008CCA0000}"/>
    <cellStyle name="Migliaia 8 6" xfId="9466" xr:uid="{00000000-0005-0000-0000-00008DCA0000}"/>
    <cellStyle name="Migliaia 8 6 2" xfId="50948" xr:uid="{00000000-0005-0000-0000-00008ECA0000}"/>
    <cellStyle name="Migliaia 8 6 3" xfId="54644" xr:uid="{00000000-0005-0000-0000-00008FCA0000}"/>
    <cellStyle name="Migliaia 8 7" xfId="10031" xr:uid="{00000000-0005-0000-0000-000090CA0000}"/>
    <cellStyle name="Migliaia 8 7 2" xfId="26356" xr:uid="{00000000-0005-0000-0000-000091CA0000}"/>
    <cellStyle name="Migliaia 8 7 3" xfId="41334" xr:uid="{00000000-0005-0000-0000-000092CA0000}"/>
    <cellStyle name="Migliaia 8 7 4" xfId="55993" xr:uid="{00000000-0005-0000-0000-000093CA0000}"/>
    <cellStyle name="Migliaia 8 8" xfId="17472" xr:uid="{00000000-0005-0000-0000-000094CA0000}"/>
    <cellStyle name="Migliaia 8 8 2" xfId="33587" xr:uid="{00000000-0005-0000-0000-000095CA0000}"/>
    <cellStyle name="Migliaia 8 8 3" xfId="48548" xr:uid="{00000000-0005-0000-0000-000096CA0000}"/>
    <cellStyle name="Migliaia 8 9" xfId="19337" xr:uid="{00000000-0005-0000-0000-000097CA0000}"/>
    <cellStyle name="Migliaia 9" xfId="525" xr:uid="{00000000-0005-0000-0000-000098CA0000}"/>
    <cellStyle name="Migliaia 9 10" xfId="34336" xr:uid="{00000000-0005-0000-0000-000099CA0000}"/>
    <cellStyle name="Migliaia 9 11" xfId="49276" xr:uid="{00000000-0005-0000-0000-00009ACA0000}"/>
    <cellStyle name="Migliaia 9 12" xfId="49681" xr:uid="{00000000-0005-0000-0000-00009BCA0000}"/>
    <cellStyle name="Migliaia 9 13" xfId="50087" xr:uid="{00000000-0005-0000-0000-00009CCA0000}"/>
    <cellStyle name="Migliaia 9 14" xfId="50495" xr:uid="{00000000-0005-0000-0000-00009DCA0000}"/>
    <cellStyle name="Migliaia 9 15" xfId="50937" xr:uid="{00000000-0005-0000-0000-00009ECA0000}"/>
    <cellStyle name="Migliaia 9 16" xfId="51656" xr:uid="{00000000-0005-0000-0000-00009FCA0000}"/>
    <cellStyle name="Migliaia 9 17" xfId="52068" xr:uid="{00000000-0005-0000-0000-0000A0CA0000}"/>
    <cellStyle name="Migliaia 9 18" xfId="52719" xr:uid="{00000000-0005-0000-0000-0000A1CA0000}"/>
    <cellStyle name="Migliaia 9 2" xfId="526" xr:uid="{00000000-0005-0000-0000-0000A2CA0000}"/>
    <cellStyle name="Migliaia 9 2 10" xfId="50088" xr:uid="{00000000-0005-0000-0000-0000A3CA0000}"/>
    <cellStyle name="Migliaia 9 2 11" xfId="50496" xr:uid="{00000000-0005-0000-0000-0000A4CA0000}"/>
    <cellStyle name="Migliaia 9 2 12" xfId="50938" xr:uid="{00000000-0005-0000-0000-0000A5CA0000}"/>
    <cellStyle name="Migliaia 9 2 13" xfId="51657" xr:uid="{00000000-0005-0000-0000-0000A6CA0000}"/>
    <cellStyle name="Migliaia 9 2 14" xfId="52069" xr:uid="{00000000-0005-0000-0000-0000A7CA0000}"/>
    <cellStyle name="Migliaia 9 2 15" xfId="52720" xr:uid="{00000000-0005-0000-0000-0000A8CA0000}"/>
    <cellStyle name="Migliaia 9 2 2" xfId="1304" xr:uid="{00000000-0005-0000-0000-0000A9CA0000}"/>
    <cellStyle name="Migliaia 9 2 2 10" xfId="51156" xr:uid="{00000000-0005-0000-0000-0000AACA0000}"/>
    <cellStyle name="Migliaia 9 2 2 11" xfId="51752" xr:uid="{00000000-0005-0000-0000-0000ABCA0000}"/>
    <cellStyle name="Migliaia 9 2 2 12" xfId="52172" xr:uid="{00000000-0005-0000-0000-0000ACCA0000}"/>
    <cellStyle name="Migliaia 9 2 2 13" xfId="53096" xr:uid="{00000000-0005-0000-0000-0000ADCA0000}"/>
    <cellStyle name="Migliaia 9 2 2 2" xfId="10131" xr:uid="{00000000-0005-0000-0000-0000AECA0000}"/>
    <cellStyle name="Migliaia 9 2 2 2 2" xfId="26451" xr:uid="{00000000-0005-0000-0000-0000AFCA0000}"/>
    <cellStyle name="Migliaia 9 2 2 2 3" xfId="41419" xr:uid="{00000000-0005-0000-0000-0000B0CA0000}"/>
    <cellStyle name="Migliaia 9 2 2 2 4" xfId="55451" xr:uid="{00000000-0005-0000-0000-0000B1CA0000}"/>
    <cellStyle name="Migliaia 9 2 2 3" xfId="18500" xr:uid="{00000000-0005-0000-0000-0000B2CA0000}"/>
    <cellStyle name="Migliaia 9 2 2 3 2" xfId="33967" xr:uid="{00000000-0005-0000-0000-0000B3CA0000}"/>
    <cellStyle name="Migliaia 9 2 2 3 3" xfId="48928" xr:uid="{00000000-0005-0000-0000-0000B4CA0000}"/>
    <cellStyle name="Migliaia 9 2 2 3 4" xfId="56373" xr:uid="{00000000-0005-0000-0000-0000B5CA0000}"/>
    <cellStyle name="Migliaia 9 2 2 4" xfId="19430" xr:uid="{00000000-0005-0000-0000-0000B6CA0000}"/>
    <cellStyle name="Migliaia 9 2 2 5" xfId="34420" xr:uid="{00000000-0005-0000-0000-0000B7CA0000}"/>
    <cellStyle name="Migliaia 9 2 2 6" xfId="49372" xr:uid="{00000000-0005-0000-0000-0000B8CA0000}"/>
    <cellStyle name="Migliaia 9 2 2 7" xfId="49777" xr:uid="{00000000-0005-0000-0000-0000B9CA0000}"/>
    <cellStyle name="Migliaia 9 2 2 8" xfId="50186" xr:uid="{00000000-0005-0000-0000-0000BACA0000}"/>
    <cellStyle name="Migliaia 9 2 2 9" xfId="50591" xr:uid="{00000000-0005-0000-0000-0000BBCA0000}"/>
    <cellStyle name="Migliaia 9 2 3" xfId="9473" xr:uid="{00000000-0005-0000-0000-0000BCCA0000}"/>
    <cellStyle name="Migliaia 9 2 3 2" xfId="54709" xr:uid="{00000000-0005-0000-0000-0000BDCA0000}"/>
    <cellStyle name="Migliaia 9 2 4" xfId="10036" xr:uid="{00000000-0005-0000-0000-0000BECA0000}"/>
    <cellStyle name="Migliaia 9 2 4 2" xfId="26361" xr:uid="{00000000-0005-0000-0000-0000BFCA0000}"/>
    <cellStyle name="Migliaia 9 2 4 3" xfId="41339" xr:uid="{00000000-0005-0000-0000-0000C0CA0000}"/>
    <cellStyle name="Migliaia 9 2 4 4" xfId="56002" xr:uid="{00000000-0005-0000-0000-0000C1CA0000}"/>
    <cellStyle name="Migliaia 9 2 5" xfId="17481" xr:uid="{00000000-0005-0000-0000-0000C2CA0000}"/>
    <cellStyle name="Migliaia 9 2 5 2" xfId="33596" xr:uid="{00000000-0005-0000-0000-0000C3CA0000}"/>
    <cellStyle name="Migliaia 9 2 5 3" xfId="48557" xr:uid="{00000000-0005-0000-0000-0000C4CA0000}"/>
    <cellStyle name="Migliaia 9 2 6" xfId="19342" xr:uid="{00000000-0005-0000-0000-0000C5CA0000}"/>
    <cellStyle name="Migliaia 9 2 7" xfId="34337" xr:uid="{00000000-0005-0000-0000-0000C6CA0000}"/>
    <cellStyle name="Migliaia 9 2 8" xfId="49277" xr:uid="{00000000-0005-0000-0000-0000C7CA0000}"/>
    <cellStyle name="Migliaia 9 2 9" xfId="49682" xr:uid="{00000000-0005-0000-0000-0000C8CA0000}"/>
    <cellStyle name="Migliaia 9 3" xfId="527" xr:uid="{00000000-0005-0000-0000-0000C9CA0000}"/>
    <cellStyle name="Migliaia 9 3 10" xfId="50089" xr:uid="{00000000-0005-0000-0000-0000CACA0000}"/>
    <cellStyle name="Migliaia 9 3 11" xfId="50497" xr:uid="{00000000-0005-0000-0000-0000CBCA0000}"/>
    <cellStyle name="Migliaia 9 3 12" xfId="50939" xr:uid="{00000000-0005-0000-0000-0000CCCA0000}"/>
    <cellStyle name="Migliaia 9 3 13" xfId="51658" xr:uid="{00000000-0005-0000-0000-0000CDCA0000}"/>
    <cellStyle name="Migliaia 9 3 14" xfId="52070" xr:uid="{00000000-0005-0000-0000-0000CECA0000}"/>
    <cellStyle name="Migliaia 9 3 15" xfId="52721" xr:uid="{00000000-0005-0000-0000-0000CFCA0000}"/>
    <cellStyle name="Migliaia 9 3 2" xfId="528" xr:uid="{00000000-0005-0000-0000-0000D0CA0000}"/>
    <cellStyle name="Migliaia 9 3 2 10" xfId="50498" xr:uid="{00000000-0005-0000-0000-0000D1CA0000}"/>
    <cellStyle name="Migliaia 9 3 2 11" xfId="50940" xr:uid="{00000000-0005-0000-0000-0000D2CA0000}"/>
    <cellStyle name="Migliaia 9 3 2 12" xfId="51659" xr:uid="{00000000-0005-0000-0000-0000D3CA0000}"/>
    <cellStyle name="Migliaia 9 3 2 13" xfId="52071" xr:uid="{00000000-0005-0000-0000-0000D4CA0000}"/>
    <cellStyle name="Migliaia 9 3 2 14" xfId="52722" xr:uid="{00000000-0005-0000-0000-0000D5CA0000}"/>
    <cellStyle name="Migliaia 9 3 2 2" xfId="9475" xr:uid="{00000000-0005-0000-0000-0000D6CA0000}"/>
    <cellStyle name="Migliaia 9 3 2 2 2" xfId="55078" xr:uid="{00000000-0005-0000-0000-0000D7CA0000}"/>
    <cellStyle name="Migliaia 9 3 2 3" xfId="10038" xr:uid="{00000000-0005-0000-0000-0000D8CA0000}"/>
    <cellStyle name="Migliaia 9 3 2 3 2" xfId="26363" xr:uid="{00000000-0005-0000-0000-0000D9CA0000}"/>
    <cellStyle name="Migliaia 9 3 2 3 3" xfId="41341" xr:uid="{00000000-0005-0000-0000-0000DACA0000}"/>
    <cellStyle name="Migliaia 9 3 2 3 4" xfId="56004" xr:uid="{00000000-0005-0000-0000-0000DBCA0000}"/>
    <cellStyle name="Migliaia 9 3 2 4" xfId="17483" xr:uid="{00000000-0005-0000-0000-0000DCCA0000}"/>
    <cellStyle name="Migliaia 9 3 2 4 2" xfId="33598" xr:uid="{00000000-0005-0000-0000-0000DDCA0000}"/>
    <cellStyle name="Migliaia 9 3 2 4 3" xfId="48559" xr:uid="{00000000-0005-0000-0000-0000DECA0000}"/>
    <cellStyle name="Migliaia 9 3 2 5" xfId="19344" xr:uid="{00000000-0005-0000-0000-0000DFCA0000}"/>
    <cellStyle name="Migliaia 9 3 2 6" xfId="34339" xr:uid="{00000000-0005-0000-0000-0000E0CA0000}"/>
    <cellStyle name="Migliaia 9 3 2 7" xfId="49279" xr:uid="{00000000-0005-0000-0000-0000E1CA0000}"/>
    <cellStyle name="Migliaia 9 3 2 8" xfId="49684" xr:uid="{00000000-0005-0000-0000-0000E2CA0000}"/>
    <cellStyle name="Migliaia 9 3 2 9" xfId="50090" xr:uid="{00000000-0005-0000-0000-0000E3CA0000}"/>
    <cellStyle name="Migliaia 9 3 3" xfId="9474" xr:uid="{00000000-0005-0000-0000-0000E4CA0000}"/>
    <cellStyle name="Migliaia 9 3 3 2" xfId="18502" xr:uid="{00000000-0005-0000-0000-0000E5CA0000}"/>
    <cellStyle name="Migliaia 9 3 3 2 2" xfId="33969" xr:uid="{00000000-0005-0000-0000-0000E6CA0000}"/>
    <cellStyle name="Migliaia 9 3 3 2 2 2" xfId="55453" xr:uid="{00000000-0005-0000-0000-0000E7CA0000}"/>
    <cellStyle name="Migliaia 9 3 3 2 3" xfId="48930" xr:uid="{00000000-0005-0000-0000-0000E8CA0000}"/>
    <cellStyle name="Migliaia 9 3 3 2 3 2" xfId="56375" xr:uid="{00000000-0005-0000-0000-0000E9CA0000}"/>
    <cellStyle name="Migliaia 9 3 3 2 4" xfId="53098" xr:uid="{00000000-0005-0000-0000-0000EACA0000}"/>
    <cellStyle name="Migliaia 9 3 3 3" xfId="17484" xr:uid="{00000000-0005-0000-0000-0000EBCA0000}"/>
    <cellStyle name="Migliaia 9 3 3 3 2" xfId="33599" xr:uid="{00000000-0005-0000-0000-0000ECCA0000}"/>
    <cellStyle name="Migliaia 9 3 3 3 3" xfId="48560" xr:uid="{00000000-0005-0000-0000-0000EDCA0000}"/>
    <cellStyle name="Migliaia 9 3 3 3 4" xfId="55079" xr:uid="{00000000-0005-0000-0000-0000EECA0000}"/>
    <cellStyle name="Migliaia 9 3 3 4" xfId="56005" xr:uid="{00000000-0005-0000-0000-0000EFCA0000}"/>
    <cellStyle name="Migliaia 9 3 3 5" xfId="52723" xr:uid="{00000000-0005-0000-0000-0000F0CA0000}"/>
    <cellStyle name="Migliaia 9 3 4" xfId="10037" xr:uid="{00000000-0005-0000-0000-0000F1CA0000}"/>
    <cellStyle name="Migliaia 9 3 4 2" xfId="18501" xr:uid="{00000000-0005-0000-0000-0000F2CA0000}"/>
    <cellStyle name="Migliaia 9 3 4 2 2" xfId="33968" xr:uid="{00000000-0005-0000-0000-0000F3CA0000}"/>
    <cellStyle name="Migliaia 9 3 4 2 3" xfId="48929" xr:uid="{00000000-0005-0000-0000-0000F4CA0000}"/>
    <cellStyle name="Migliaia 9 3 4 2 4" xfId="55452" xr:uid="{00000000-0005-0000-0000-0000F5CA0000}"/>
    <cellStyle name="Migliaia 9 3 4 3" xfId="26362" xr:uid="{00000000-0005-0000-0000-0000F6CA0000}"/>
    <cellStyle name="Migliaia 9 3 4 3 2" xfId="56374" xr:uid="{00000000-0005-0000-0000-0000F7CA0000}"/>
    <cellStyle name="Migliaia 9 3 4 4" xfId="41340" xr:uid="{00000000-0005-0000-0000-0000F8CA0000}"/>
    <cellStyle name="Migliaia 9 3 4 5" xfId="53097" xr:uid="{00000000-0005-0000-0000-0000F9CA0000}"/>
    <cellStyle name="Migliaia 9 3 5" xfId="17482" xr:uid="{00000000-0005-0000-0000-0000FACA0000}"/>
    <cellStyle name="Migliaia 9 3 5 2" xfId="33597" xr:uid="{00000000-0005-0000-0000-0000FBCA0000}"/>
    <cellStyle name="Migliaia 9 3 5 3" xfId="48558" xr:uid="{00000000-0005-0000-0000-0000FCCA0000}"/>
    <cellStyle name="Migliaia 9 3 5 4" xfId="55077" xr:uid="{00000000-0005-0000-0000-0000FDCA0000}"/>
    <cellStyle name="Migliaia 9 3 6" xfId="19343" xr:uid="{00000000-0005-0000-0000-0000FECA0000}"/>
    <cellStyle name="Migliaia 9 3 6 2" xfId="56003" xr:uid="{00000000-0005-0000-0000-0000FFCA0000}"/>
    <cellStyle name="Migliaia 9 3 7" xfId="34338" xr:uid="{00000000-0005-0000-0000-000000CB0000}"/>
    <cellStyle name="Migliaia 9 3 8" xfId="49278" xr:uid="{00000000-0005-0000-0000-000001CB0000}"/>
    <cellStyle name="Migliaia 9 3 9" xfId="49683" xr:uid="{00000000-0005-0000-0000-000002CB0000}"/>
    <cellStyle name="Migliaia 9 4" xfId="9476" xr:uid="{00000000-0005-0000-0000-000003CB0000}"/>
    <cellStyle name="Migliaia 9 4 2" xfId="17486" xr:uid="{00000000-0005-0000-0000-000004CB0000}"/>
    <cellStyle name="Migliaia 9 4 2 2" xfId="18504" xr:uid="{00000000-0005-0000-0000-000005CB0000}"/>
    <cellStyle name="Migliaia 9 4 2 2 2" xfId="33971" xr:uid="{00000000-0005-0000-0000-000006CB0000}"/>
    <cellStyle name="Migliaia 9 4 2 2 2 2" xfId="55455" xr:uid="{00000000-0005-0000-0000-000007CB0000}"/>
    <cellStyle name="Migliaia 9 4 2 2 3" xfId="48932" xr:uid="{00000000-0005-0000-0000-000008CB0000}"/>
    <cellStyle name="Migliaia 9 4 2 2 3 2" xfId="56377" xr:uid="{00000000-0005-0000-0000-000009CB0000}"/>
    <cellStyle name="Migliaia 9 4 2 2 4" xfId="53100" xr:uid="{00000000-0005-0000-0000-00000ACB0000}"/>
    <cellStyle name="Migliaia 9 4 2 3" xfId="33601" xr:uid="{00000000-0005-0000-0000-00000BCB0000}"/>
    <cellStyle name="Migliaia 9 4 2 3 2" xfId="55081" xr:uid="{00000000-0005-0000-0000-00000CCB0000}"/>
    <cellStyle name="Migliaia 9 4 2 4" xfId="48562" xr:uid="{00000000-0005-0000-0000-00000DCB0000}"/>
    <cellStyle name="Migliaia 9 4 2 4 2" xfId="56007" xr:uid="{00000000-0005-0000-0000-00000ECB0000}"/>
    <cellStyle name="Migliaia 9 4 2 5" xfId="52725" xr:uid="{00000000-0005-0000-0000-00000FCB0000}"/>
    <cellStyle name="Migliaia 9 4 3" xfId="18503" xr:uid="{00000000-0005-0000-0000-000010CB0000}"/>
    <cellStyle name="Migliaia 9 4 3 2" xfId="33970" xr:uid="{00000000-0005-0000-0000-000011CB0000}"/>
    <cellStyle name="Migliaia 9 4 3 2 2" xfId="55454" xr:uid="{00000000-0005-0000-0000-000012CB0000}"/>
    <cellStyle name="Migliaia 9 4 3 3" xfId="48931" xr:uid="{00000000-0005-0000-0000-000013CB0000}"/>
    <cellStyle name="Migliaia 9 4 3 3 2" xfId="56376" xr:uid="{00000000-0005-0000-0000-000014CB0000}"/>
    <cellStyle name="Migliaia 9 4 3 4" xfId="53099" xr:uid="{00000000-0005-0000-0000-000015CB0000}"/>
    <cellStyle name="Migliaia 9 4 4" xfId="17485" xr:uid="{00000000-0005-0000-0000-000016CB0000}"/>
    <cellStyle name="Migliaia 9 4 4 2" xfId="33600" xr:uid="{00000000-0005-0000-0000-000017CB0000}"/>
    <cellStyle name="Migliaia 9 4 4 3" xfId="48561" xr:uid="{00000000-0005-0000-0000-000018CB0000}"/>
    <cellStyle name="Migliaia 9 4 4 4" xfId="55080" xr:uid="{00000000-0005-0000-0000-000019CB0000}"/>
    <cellStyle name="Migliaia 9 4 5" xfId="50947" xr:uid="{00000000-0005-0000-0000-00001ACB0000}"/>
    <cellStyle name="Migliaia 9 4 5 2" xfId="56006" xr:uid="{00000000-0005-0000-0000-00001BCB0000}"/>
    <cellStyle name="Migliaia 9 4 6" xfId="52724" xr:uid="{00000000-0005-0000-0000-00001CCB0000}"/>
    <cellStyle name="Migliaia 9 5" xfId="9477" xr:uid="{00000000-0005-0000-0000-00001DCB0000}"/>
    <cellStyle name="Migliaia 9 5 2" xfId="17487" xr:uid="{00000000-0005-0000-0000-00001ECB0000}"/>
    <cellStyle name="Migliaia 9 5 2 2" xfId="33602" xr:uid="{00000000-0005-0000-0000-00001FCB0000}"/>
    <cellStyle name="Migliaia 9 5 2 3" xfId="48563" xr:uid="{00000000-0005-0000-0000-000020CB0000}"/>
    <cellStyle name="Migliaia 9 5 2 4" xfId="55082" xr:uid="{00000000-0005-0000-0000-000021CB0000}"/>
    <cellStyle name="Migliaia 9 5 3" xfId="51164" xr:uid="{00000000-0005-0000-0000-000022CB0000}"/>
    <cellStyle name="Migliaia 9 5 3 2" xfId="56008" xr:uid="{00000000-0005-0000-0000-000023CB0000}"/>
    <cellStyle name="Migliaia 9 5 4" xfId="52726" xr:uid="{00000000-0005-0000-0000-000024CB0000}"/>
    <cellStyle name="Migliaia 9 6" xfId="9472" xr:uid="{00000000-0005-0000-0000-000025CB0000}"/>
    <cellStyle name="Migliaia 9 6 2" xfId="51024" xr:uid="{00000000-0005-0000-0000-000026CB0000}"/>
    <cellStyle name="Migliaia 9 6 3" xfId="54645" xr:uid="{00000000-0005-0000-0000-000027CB0000}"/>
    <cellStyle name="Migliaia 9 7" xfId="10035" xr:uid="{00000000-0005-0000-0000-000028CB0000}"/>
    <cellStyle name="Migliaia 9 7 2" xfId="26360" xr:uid="{00000000-0005-0000-0000-000029CB0000}"/>
    <cellStyle name="Migliaia 9 7 3" xfId="41338" xr:uid="{00000000-0005-0000-0000-00002ACB0000}"/>
    <cellStyle name="Migliaia 9 7 4" xfId="56001" xr:uid="{00000000-0005-0000-0000-00002BCB0000}"/>
    <cellStyle name="Migliaia 9 8" xfId="17480" xr:uid="{00000000-0005-0000-0000-00002CCB0000}"/>
    <cellStyle name="Migliaia 9 8 2" xfId="33595" xr:uid="{00000000-0005-0000-0000-00002DCB0000}"/>
    <cellStyle name="Migliaia 9 8 3" xfId="48556" xr:uid="{00000000-0005-0000-0000-00002ECB0000}"/>
    <cellStyle name="Migliaia 9 9" xfId="19341" xr:uid="{00000000-0005-0000-0000-00002FCB0000}"/>
    <cellStyle name="Neutral" xfId="1125" builtinId="28" customBuiltin="1"/>
    <cellStyle name="Neutral 2" xfId="5145" xr:uid="{00000000-0005-0000-0000-000031CB0000}"/>
    <cellStyle name="Neutral 2 2" xfId="53239" xr:uid="{00000000-0005-0000-0000-000032CB0000}"/>
    <cellStyle name="Neutral 3" xfId="5146" xr:uid="{00000000-0005-0000-0000-000033CB0000}"/>
    <cellStyle name="Neutral 4" xfId="5147" xr:uid="{00000000-0005-0000-0000-000034CB0000}"/>
    <cellStyle name="Neutral 5" xfId="5148" xr:uid="{00000000-0005-0000-0000-000035CB0000}"/>
    <cellStyle name="Neutral 5 2" xfId="7088" xr:uid="{00000000-0005-0000-0000-000036CB0000}"/>
    <cellStyle name="Neutral 6" xfId="5377" xr:uid="{00000000-0005-0000-0000-000037CB0000}"/>
    <cellStyle name="Neutral 7" xfId="5144" xr:uid="{00000000-0005-0000-0000-000038CB0000}"/>
    <cellStyle name="Neutrale" xfId="529" xr:uid="{00000000-0005-0000-0000-000039CB0000}"/>
    <cellStyle name="New prices" xfId="1158" xr:uid="{00000000-0005-0000-0000-00003ACB0000}"/>
    <cellStyle name="Normal" xfId="0" builtinId="0"/>
    <cellStyle name="Normal 10" xfId="530" xr:uid="{00000000-0005-0000-0000-00003CCB0000}"/>
    <cellStyle name="Normal 10 2" xfId="1176" xr:uid="{00000000-0005-0000-0000-00003DCB0000}"/>
    <cellStyle name="Normal 10 2 10" xfId="50121" xr:uid="{00000000-0005-0000-0000-00003ECB0000}"/>
    <cellStyle name="Normal 10 2 11" xfId="50526" xr:uid="{00000000-0005-0000-0000-00003FCB0000}"/>
    <cellStyle name="Normal 10 2 12" xfId="51086" xr:uid="{00000000-0005-0000-0000-000040CB0000}"/>
    <cellStyle name="Normal 10 2 13" xfId="51687" xr:uid="{00000000-0005-0000-0000-000041CB0000}"/>
    <cellStyle name="Normal 10 2 14" xfId="52106" xr:uid="{00000000-0005-0000-0000-000042CB0000}"/>
    <cellStyle name="Normal 10 2 15" xfId="1567" xr:uid="{00000000-0005-0000-0000-000043CB0000}"/>
    <cellStyle name="Normal 10 2 2" xfId="1531" xr:uid="{00000000-0005-0000-0000-000044CB0000}"/>
    <cellStyle name="Normal 10 2 2 2" xfId="54097" xr:uid="{00000000-0005-0000-0000-000045CB0000}"/>
    <cellStyle name="Normal 10 2 2 2 2" xfId="57264" xr:uid="{00000000-0005-0000-0000-000046CB0000}"/>
    <cellStyle name="Normal 10 2 2 3" xfId="56640" xr:uid="{00000000-0005-0000-0000-000047CB0000}"/>
    <cellStyle name="Normal 10 2 2 4" xfId="53467" xr:uid="{00000000-0005-0000-0000-000048CB0000}"/>
    <cellStyle name="Normal 10 2 3" xfId="5150" xr:uid="{00000000-0005-0000-0000-000049CB0000}"/>
    <cellStyle name="Normal 10 2 3 2" xfId="54098" xr:uid="{00000000-0005-0000-0000-00004ACB0000}"/>
    <cellStyle name="Normal 10 2 3 2 2" xfId="57265" xr:uid="{00000000-0005-0000-0000-00004BCB0000}"/>
    <cellStyle name="Normal 10 2 3 3" xfId="56641" xr:uid="{00000000-0005-0000-0000-00004CCB0000}"/>
    <cellStyle name="Normal 10 2 3 4" xfId="53468" xr:uid="{00000000-0005-0000-0000-00004DCB0000}"/>
    <cellStyle name="Normal 10 2 4" xfId="8952" xr:uid="{00000000-0005-0000-0000-00004ECB0000}"/>
    <cellStyle name="Normal 10 2 4 2" xfId="16726" xr:uid="{00000000-0005-0000-0000-00004FCB0000}"/>
    <cellStyle name="Normal 10 2 4 2 2" xfId="33039" xr:uid="{00000000-0005-0000-0000-000050CB0000}"/>
    <cellStyle name="Normal 10 2 4 2 3" xfId="48003" xr:uid="{00000000-0005-0000-0000-000051CB0000}"/>
    <cellStyle name="Normal 10 2 4 2 4" xfId="57263" xr:uid="{00000000-0005-0000-0000-000052CB0000}"/>
    <cellStyle name="Normal 10 2 4 3" xfId="26017" xr:uid="{00000000-0005-0000-0000-000053CB0000}"/>
    <cellStyle name="Normal 10 2 4 4" xfId="41004" xr:uid="{00000000-0005-0000-0000-000054CB0000}"/>
    <cellStyle name="Normal 10 2 4 5" xfId="54096" xr:uid="{00000000-0005-0000-0000-000055CB0000}"/>
    <cellStyle name="Normal 10 2 5" xfId="10065" xr:uid="{00000000-0005-0000-0000-000056CB0000}"/>
    <cellStyle name="Normal 10 2 5 2" xfId="26386" xr:uid="{00000000-0005-0000-0000-000057CB0000}"/>
    <cellStyle name="Normal 10 2 5 2 2" xfId="56639" xr:uid="{00000000-0005-0000-0000-000058CB0000}"/>
    <cellStyle name="Normal 10 2 5 3" xfId="41354" xr:uid="{00000000-0005-0000-0000-000059CB0000}"/>
    <cellStyle name="Normal 10 2 5 4" xfId="53466" xr:uid="{00000000-0005-0000-0000-00005ACB0000}"/>
    <cellStyle name="Normal 10 2 6" xfId="19365" xr:uid="{00000000-0005-0000-0000-00005BCB0000}"/>
    <cellStyle name="Normal 10 2 7" xfId="34355" xr:uid="{00000000-0005-0000-0000-00005CCB0000}"/>
    <cellStyle name="Normal 10 2 8" xfId="49307" xr:uid="{00000000-0005-0000-0000-00005DCB0000}"/>
    <cellStyle name="Normal 10 2 9" xfId="49712" xr:uid="{00000000-0005-0000-0000-00005ECB0000}"/>
    <cellStyle name="Normal 10 3" xfId="1305" xr:uid="{00000000-0005-0000-0000-00005FCB0000}"/>
    <cellStyle name="Normal 10 3 2" xfId="8737" xr:uid="{00000000-0005-0000-0000-000060CB0000}"/>
    <cellStyle name="Normal 10 3 2 2" xfId="16616" xr:uid="{00000000-0005-0000-0000-000061CB0000}"/>
    <cellStyle name="Normal 10 3 2 2 2" xfId="32930" xr:uid="{00000000-0005-0000-0000-000062CB0000}"/>
    <cellStyle name="Normal 10 3 2 2 3" xfId="47894" xr:uid="{00000000-0005-0000-0000-000063CB0000}"/>
    <cellStyle name="Normal 10 3 2 2 4" xfId="57266" xr:uid="{00000000-0005-0000-0000-000064CB0000}"/>
    <cellStyle name="Normal 10 3 2 3" xfId="25908" xr:uid="{00000000-0005-0000-0000-000065CB0000}"/>
    <cellStyle name="Normal 10 3 2 4" xfId="40895" xr:uid="{00000000-0005-0000-0000-000066CB0000}"/>
    <cellStyle name="Normal 10 3 2 5" xfId="54099" xr:uid="{00000000-0005-0000-0000-000067CB0000}"/>
    <cellStyle name="Normal 10 3 3" xfId="5151" xr:uid="{00000000-0005-0000-0000-000068CB0000}"/>
    <cellStyle name="Normal 10 3 3 2" xfId="13262" xr:uid="{00000000-0005-0000-0000-000069CB0000}"/>
    <cellStyle name="Normal 10 3 3 2 2" xfId="29581" xr:uid="{00000000-0005-0000-0000-00006ACB0000}"/>
    <cellStyle name="Normal 10 3 3 2 3" xfId="44546" xr:uid="{00000000-0005-0000-0000-00006BCB0000}"/>
    <cellStyle name="Normal 10 3 3 2 4" xfId="56642" xr:uid="{00000000-0005-0000-0000-00006CCB0000}"/>
    <cellStyle name="Normal 10 3 3 3" xfId="22559" xr:uid="{00000000-0005-0000-0000-00006DCB0000}"/>
    <cellStyle name="Normal 10 3 3 4" xfId="37547" xr:uid="{00000000-0005-0000-0000-00006ECB0000}"/>
    <cellStyle name="Normal 10 3 3 5" xfId="53469" xr:uid="{00000000-0005-0000-0000-00006FCB0000}"/>
    <cellStyle name="Normal 10 3 4" xfId="19003" xr:uid="{00000000-0005-0000-0000-000070CB0000}"/>
    <cellStyle name="Normal 10 4" xfId="6085" xr:uid="{00000000-0005-0000-0000-000071CB0000}"/>
    <cellStyle name="Normal 10 4 2" xfId="14002" xr:uid="{00000000-0005-0000-0000-000072CB0000}"/>
    <cellStyle name="Normal 10 4 2 2" xfId="30316" xr:uid="{00000000-0005-0000-0000-000073CB0000}"/>
    <cellStyle name="Normal 10 4 2 2 2" xfId="57267" xr:uid="{00000000-0005-0000-0000-000074CB0000}"/>
    <cellStyle name="Normal 10 4 2 3" xfId="45280" xr:uid="{00000000-0005-0000-0000-000075CB0000}"/>
    <cellStyle name="Normal 10 4 2 4" xfId="54100" xr:uid="{00000000-0005-0000-0000-000076CB0000}"/>
    <cellStyle name="Normal 10 4 3" xfId="23294" xr:uid="{00000000-0005-0000-0000-000077CB0000}"/>
    <cellStyle name="Normal 10 4 3 2" xfId="56643" xr:uid="{00000000-0005-0000-0000-000078CB0000}"/>
    <cellStyle name="Normal 10 4 4" xfId="38281" xr:uid="{00000000-0005-0000-0000-000079CB0000}"/>
    <cellStyle name="Normal 10 4 5" xfId="53470" xr:uid="{00000000-0005-0000-0000-00007ACB0000}"/>
    <cellStyle name="Normal 10 5" xfId="5149" xr:uid="{00000000-0005-0000-0000-00007BCB0000}"/>
    <cellStyle name="Normal 10 5 2" xfId="13261" xr:uid="{00000000-0005-0000-0000-00007CCB0000}"/>
    <cellStyle name="Normal 10 5 2 2" xfId="29580" xr:uid="{00000000-0005-0000-0000-00007DCB0000}"/>
    <cellStyle name="Normal 10 5 2 2 2" xfId="57268" xr:uid="{00000000-0005-0000-0000-00007ECB0000}"/>
    <cellStyle name="Normal 10 5 2 3" xfId="44545" xr:uid="{00000000-0005-0000-0000-00007FCB0000}"/>
    <cellStyle name="Normal 10 5 2 4" xfId="54101" xr:uid="{00000000-0005-0000-0000-000080CB0000}"/>
    <cellStyle name="Normal 10 5 3" xfId="22558" xr:uid="{00000000-0005-0000-0000-000081CB0000}"/>
    <cellStyle name="Normal 10 5 3 2" xfId="56644" xr:uid="{00000000-0005-0000-0000-000082CB0000}"/>
    <cellStyle name="Normal 10 5 4" xfId="37546" xr:uid="{00000000-0005-0000-0000-000083CB0000}"/>
    <cellStyle name="Normal 10 5 5" xfId="53471" xr:uid="{00000000-0005-0000-0000-000084CB0000}"/>
    <cellStyle name="Normal 10 6" xfId="54095" xr:uid="{00000000-0005-0000-0000-000085CB0000}"/>
    <cellStyle name="Normal 10 6 2" xfId="57262" xr:uid="{00000000-0005-0000-0000-000086CB0000}"/>
    <cellStyle name="Normal 10 7" xfId="53465" xr:uid="{00000000-0005-0000-0000-000087CB0000}"/>
    <cellStyle name="Normal 10 7 2" xfId="56638" xr:uid="{00000000-0005-0000-0000-000088CB0000}"/>
    <cellStyle name="Normal 11" xfId="1180" xr:uid="{00000000-0005-0000-0000-000089CB0000}"/>
    <cellStyle name="Normal 11 10" xfId="56014" xr:uid="{00000000-0005-0000-0000-00008ACB0000}"/>
    <cellStyle name="Normal 11 11" xfId="52737" xr:uid="{00000000-0005-0000-0000-00008BCB0000}"/>
    <cellStyle name="Normal 11 2" xfId="5152" xr:uid="{00000000-0005-0000-0000-00008CCB0000}"/>
    <cellStyle name="Normal 11 2 2" xfId="8862" xr:uid="{00000000-0005-0000-0000-00008DCB0000}"/>
    <cellStyle name="Normal 11 2 2 2" xfId="18996" xr:uid="{00000000-0005-0000-0000-00008ECB0000}"/>
    <cellStyle name="Normal 11 2 2 2 2" xfId="33997" xr:uid="{00000000-0005-0000-0000-00008FCB0000}"/>
    <cellStyle name="Normal 11 2 2 2 2 2" xfId="57271" xr:uid="{00000000-0005-0000-0000-000090CB0000}"/>
    <cellStyle name="Normal 11 2 2 2 3" xfId="48958" xr:uid="{00000000-0005-0000-0000-000091CB0000}"/>
    <cellStyle name="Normal 11 2 2 2 4" xfId="54104" xr:uid="{00000000-0005-0000-0000-000092CB0000}"/>
    <cellStyle name="Normal 11 2 2 3" xfId="53474" xr:uid="{00000000-0005-0000-0000-000093CB0000}"/>
    <cellStyle name="Normal 11 2 2 3 2" xfId="56647" xr:uid="{00000000-0005-0000-0000-000094CB0000}"/>
    <cellStyle name="Normal 11 2 2 4" xfId="56404" xr:uid="{00000000-0005-0000-0000-000095CB0000}"/>
    <cellStyle name="Normal 11 2 2 5" xfId="53130" xr:uid="{00000000-0005-0000-0000-000096CB0000}"/>
    <cellStyle name="Normal 11 2 3" xfId="18949" xr:uid="{00000000-0005-0000-0000-000097CB0000}"/>
    <cellStyle name="Normal 11 2 3 2" xfId="33977" xr:uid="{00000000-0005-0000-0000-000098CB0000}"/>
    <cellStyle name="Normal 11 2 3 2 2" xfId="57272" xr:uid="{00000000-0005-0000-0000-000099CB0000}"/>
    <cellStyle name="Normal 11 2 3 2 3" xfId="54105" xr:uid="{00000000-0005-0000-0000-00009ACB0000}"/>
    <cellStyle name="Normal 11 2 3 3" xfId="48938" xr:uid="{00000000-0005-0000-0000-00009BCB0000}"/>
    <cellStyle name="Normal 11 2 3 3 2" xfId="56648" xr:uid="{00000000-0005-0000-0000-00009CCB0000}"/>
    <cellStyle name="Normal 11 2 3 4" xfId="53475" xr:uid="{00000000-0005-0000-0000-00009DCB0000}"/>
    <cellStyle name="Normal 11 2 4" xfId="53476" xr:uid="{00000000-0005-0000-0000-00009ECB0000}"/>
    <cellStyle name="Normal 11 2 4 2" xfId="54106" xr:uid="{00000000-0005-0000-0000-00009FCB0000}"/>
    <cellStyle name="Normal 11 2 4 2 2" xfId="57273" xr:uid="{00000000-0005-0000-0000-0000A0CB0000}"/>
    <cellStyle name="Normal 11 2 4 3" xfId="56649" xr:uid="{00000000-0005-0000-0000-0000A1CB0000}"/>
    <cellStyle name="Normal 11 2 5" xfId="54103" xr:uid="{00000000-0005-0000-0000-0000A2CB0000}"/>
    <cellStyle name="Normal 11 2 5 2" xfId="57270" xr:uid="{00000000-0005-0000-0000-0000A3CB0000}"/>
    <cellStyle name="Normal 11 2 6" xfId="53473" xr:uid="{00000000-0005-0000-0000-0000A4CB0000}"/>
    <cellStyle name="Normal 11 2 6 2" xfId="56646" xr:uid="{00000000-0005-0000-0000-0000A5CB0000}"/>
    <cellStyle name="Normal 11 2 7" xfId="55461" xr:uid="{00000000-0005-0000-0000-0000A6CB0000}"/>
    <cellStyle name="Normal 11 2 8" xfId="56383" xr:uid="{00000000-0005-0000-0000-0000A7CB0000}"/>
    <cellStyle name="Normal 11 2 9" xfId="53110" xr:uid="{00000000-0005-0000-0000-0000A8CB0000}"/>
    <cellStyle name="Normal 11 3" xfId="5153" xr:uid="{00000000-0005-0000-0000-0000A9CB0000}"/>
    <cellStyle name="Normal 11 3 2" xfId="5154" xr:uid="{00000000-0005-0000-0000-0000AACB0000}"/>
    <cellStyle name="Normal 11 3 2 2" xfId="8621" xr:uid="{00000000-0005-0000-0000-0000ABCB0000}"/>
    <cellStyle name="Normal 11 3 2 2 2" xfId="16504" xr:uid="{00000000-0005-0000-0000-0000ACCB0000}"/>
    <cellStyle name="Normal 11 3 2 2 2 2" xfId="32818" xr:uid="{00000000-0005-0000-0000-0000ADCB0000}"/>
    <cellStyle name="Normal 11 3 2 2 2 3" xfId="47782" xr:uid="{00000000-0005-0000-0000-0000AECB0000}"/>
    <cellStyle name="Normal 11 3 2 2 2 4" xfId="57275" xr:uid="{00000000-0005-0000-0000-0000AFCB0000}"/>
    <cellStyle name="Normal 11 3 2 2 3" xfId="25796" xr:uid="{00000000-0005-0000-0000-0000B0CB0000}"/>
    <cellStyle name="Normal 11 3 2 2 4" xfId="40783" xr:uid="{00000000-0005-0000-0000-0000B1CB0000}"/>
    <cellStyle name="Normal 11 3 2 2 5" xfId="54108" xr:uid="{00000000-0005-0000-0000-0000B2CB0000}"/>
    <cellStyle name="Normal 11 3 2 3" xfId="13264" xr:uid="{00000000-0005-0000-0000-0000B3CB0000}"/>
    <cellStyle name="Normal 11 3 2 3 2" xfId="29583" xr:uid="{00000000-0005-0000-0000-0000B4CB0000}"/>
    <cellStyle name="Normal 11 3 2 3 3" xfId="44548" xr:uid="{00000000-0005-0000-0000-0000B5CB0000}"/>
    <cellStyle name="Normal 11 3 2 3 4" xfId="56651" xr:uid="{00000000-0005-0000-0000-0000B6CB0000}"/>
    <cellStyle name="Normal 11 3 2 4" xfId="22561" xr:uid="{00000000-0005-0000-0000-0000B7CB0000}"/>
    <cellStyle name="Normal 11 3 2 5" xfId="37549" xr:uid="{00000000-0005-0000-0000-0000B8CB0000}"/>
    <cellStyle name="Normal 11 3 2 6" xfId="53478" xr:uid="{00000000-0005-0000-0000-0000B9CB0000}"/>
    <cellStyle name="Normal 11 3 3" xfId="6086" xr:uid="{00000000-0005-0000-0000-0000BACB0000}"/>
    <cellStyle name="Normal 11 3 3 2" xfId="14003" xr:uid="{00000000-0005-0000-0000-0000BBCB0000}"/>
    <cellStyle name="Normal 11 3 3 2 2" xfId="30317" xr:uid="{00000000-0005-0000-0000-0000BCCB0000}"/>
    <cellStyle name="Normal 11 3 3 2 2 2" xfId="57276" xr:uid="{00000000-0005-0000-0000-0000BDCB0000}"/>
    <cellStyle name="Normal 11 3 3 2 3" xfId="45281" xr:uid="{00000000-0005-0000-0000-0000BECB0000}"/>
    <cellStyle name="Normal 11 3 3 2 4" xfId="54109" xr:uid="{00000000-0005-0000-0000-0000BFCB0000}"/>
    <cellStyle name="Normal 11 3 3 3" xfId="23295" xr:uid="{00000000-0005-0000-0000-0000C0CB0000}"/>
    <cellStyle name="Normal 11 3 3 3 2" xfId="56652" xr:uid="{00000000-0005-0000-0000-0000C1CB0000}"/>
    <cellStyle name="Normal 11 3 3 4" xfId="38282" xr:uid="{00000000-0005-0000-0000-0000C2CB0000}"/>
    <cellStyle name="Normal 11 3 3 5" xfId="53479" xr:uid="{00000000-0005-0000-0000-0000C3CB0000}"/>
    <cellStyle name="Normal 11 3 4" xfId="13263" xr:uid="{00000000-0005-0000-0000-0000C4CB0000}"/>
    <cellStyle name="Normal 11 3 4 2" xfId="29582" xr:uid="{00000000-0005-0000-0000-0000C5CB0000}"/>
    <cellStyle name="Normal 11 3 4 2 2" xfId="57274" xr:uid="{00000000-0005-0000-0000-0000C6CB0000}"/>
    <cellStyle name="Normal 11 3 4 3" xfId="44547" xr:uid="{00000000-0005-0000-0000-0000C7CB0000}"/>
    <cellStyle name="Normal 11 3 4 4" xfId="54107" xr:uid="{00000000-0005-0000-0000-0000C8CB0000}"/>
    <cellStyle name="Normal 11 3 5" xfId="18977" xr:uid="{00000000-0005-0000-0000-0000C9CB0000}"/>
    <cellStyle name="Normal 11 3 5 2" xfId="33987" xr:uid="{00000000-0005-0000-0000-0000CACB0000}"/>
    <cellStyle name="Normal 11 3 5 2 2" xfId="56650" xr:uid="{00000000-0005-0000-0000-0000CBCB0000}"/>
    <cellStyle name="Normal 11 3 5 3" xfId="48948" xr:uid="{00000000-0005-0000-0000-0000CCCB0000}"/>
    <cellStyle name="Normal 11 3 5 4" xfId="53477" xr:uid="{00000000-0005-0000-0000-0000CDCB0000}"/>
    <cellStyle name="Normal 11 3 6" xfId="22560" xr:uid="{00000000-0005-0000-0000-0000CECB0000}"/>
    <cellStyle name="Normal 11 3 6 2" xfId="56394" xr:uid="{00000000-0005-0000-0000-0000CFCB0000}"/>
    <cellStyle name="Normal 11 3 7" xfId="37548" xr:uid="{00000000-0005-0000-0000-0000D0CB0000}"/>
    <cellStyle name="Normal 11 3 8" xfId="53120" xr:uid="{00000000-0005-0000-0000-0000D1CB0000}"/>
    <cellStyle name="Normal 11 4" xfId="1530" xr:uid="{00000000-0005-0000-0000-0000D2CB0000}"/>
    <cellStyle name="Normal 11 4 2" xfId="54110" xr:uid="{00000000-0005-0000-0000-0000D3CB0000}"/>
    <cellStyle name="Normal 11 4 2 2" xfId="57277" xr:uid="{00000000-0005-0000-0000-0000D4CB0000}"/>
    <cellStyle name="Normal 11 4 3" xfId="56653" xr:uid="{00000000-0005-0000-0000-0000D5CB0000}"/>
    <cellStyle name="Normal 11 4 4" xfId="53480" xr:uid="{00000000-0005-0000-0000-0000D6CB0000}"/>
    <cellStyle name="Normal 11 5" xfId="17946" xr:uid="{00000000-0005-0000-0000-0000D7CB0000}"/>
    <cellStyle name="Normal 11 5 2" xfId="33608" xr:uid="{00000000-0005-0000-0000-0000D8CB0000}"/>
    <cellStyle name="Normal 11 5 2 2" xfId="57278" xr:uid="{00000000-0005-0000-0000-0000D9CB0000}"/>
    <cellStyle name="Normal 11 5 2 3" xfId="54111" xr:uid="{00000000-0005-0000-0000-0000DACB0000}"/>
    <cellStyle name="Normal 11 5 3" xfId="48569" xr:uid="{00000000-0005-0000-0000-0000DBCB0000}"/>
    <cellStyle name="Normal 11 5 3 2" xfId="56654" xr:uid="{00000000-0005-0000-0000-0000DCCB0000}"/>
    <cellStyle name="Normal 11 5 4" xfId="53481" xr:uid="{00000000-0005-0000-0000-0000DDCB0000}"/>
    <cellStyle name="Normal 11 6" xfId="53482" xr:uid="{00000000-0005-0000-0000-0000DECB0000}"/>
    <cellStyle name="Normal 11 6 2" xfId="54112" xr:uid="{00000000-0005-0000-0000-0000DFCB0000}"/>
    <cellStyle name="Normal 11 6 2 2" xfId="57279" xr:uid="{00000000-0005-0000-0000-0000E0CB0000}"/>
    <cellStyle name="Normal 11 6 3" xfId="56655" xr:uid="{00000000-0005-0000-0000-0000E1CB0000}"/>
    <cellStyle name="Normal 11 7" xfId="54102" xr:uid="{00000000-0005-0000-0000-0000E2CB0000}"/>
    <cellStyle name="Normal 11 7 2" xfId="57269" xr:uid="{00000000-0005-0000-0000-0000E3CB0000}"/>
    <cellStyle name="Normal 11 8" xfId="53472" xr:uid="{00000000-0005-0000-0000-0000E4CB0000}"/>
    <cellStyle name="Normal 11 8 2" xfId="56645" xr:uid="{00000000-0005-0000-0000-0000E5CB0000}"/>
    <cellStyle name="Normal 11 9" xfId="55092" xr:uid="{00000000-0005-0000-0000-0000E6CB0000}"/>
    <cellStyle name="Normal 12" xfId="5155" xr:uid="{00000000-0005-0000-0000-0000E7CB0000}"/>
    <cellStyle name="Normal 12 2" xfId="5156" xr:uid="{00000000-0005-0000-0000-0000E8CB0000}"/>
    <cellStyle name="Normal 12 2 2" xfId="8863" xr:uid="{00000000-0005-0000-0000-0000E9CB0000}"/>
    <cellStyle name="Normal 12 2 2 2" xfId="54115" xr:uid="{00000000-0005-0000-0000-0000EACB0000}"/>
    <cellStyle name="Normal 12 2 2 2 2" xfId="57282" xr:uid="{00000000-0005-0000-0000-0000EBCB0000}"/>
    <cellStyle name="Normal 12 2 2 3" xfId="56658" xr:uid="{00000000-0005-0000-0000-0000ECCB0000}"/>
    <cellStyle name="Normal 12 2 2 4" xfId="53485" xr:uid="{00000000-0005-0000-0000-0000EDCB0000}"/>
    <cellStyle name="Normal 12 2 3" xfId="53486" xr:uid="{00000000-0005-0000-0000-0000EECB0000}"/>
    <cellStyle name="Normal 12 2 3 2" xfId="54116" xr:uid="{00000000-0005-0000-0000-0000EFCB0000}"/>
    <cellStyle name="Normal 12 2 3 2 2" xfId="57283" xr:uid="{00000000-0005-0000-0000-0000F0CB0000}"/>
    <cellStyle name="Normal 12 2 3 3" xfId="56659" xr:uid="{00000000-0005-0000-0000-0000F1CB0000}"/>
    <cellStyle name="Normal 12 2 4" xfId="54114" xr:uid="{00000000-0005-0000-0000-0000F2CB0000}"/>
    <cellStyle name="Normal 12 2 4 2" xfId="57281" xr:uid="{00000000-0005-0000-0000-0000F3CB0000}"/>
    <cellStyle name="Normal 12 2 5" xfId="56657" xr:uid="{00000000-0005-0000-0000-0000F4CB0000}"/>
    <cellStyle name="Normal 12 2 6" xfId="53484" xr:uid="{00000000-0005-0000-0000-0000F5CB0000}"/>
    <cellStyle name="Normal 12 3" xfId="5157" xr:uid="{00000000-0005-0000-0000-0000F6CB0000}"/>
    <cellStyle name="Normal 12 3 2" xfId="8271" xr:uid="{00000000-0005-0000-0000-0000F7CB0000}"/>
    <cellStyle name="Normal 12 3 2 2" xfId="16165" xr:uid="{00000000-0005-0000-0000-0000F8CB0000}"/>
    <cellStyle name="Normal 12 3 2 2 2" xfId="32479" xr:uid="{00000000-0005-0000-0000-0000F9CB0000}"/>
    <cellStyle name="Normal 12 3 2 2 3" xfId="47443" xr:uid="{00000000-0005-0000-0000-0000FACB0000}"/>
    <cellStyle name="Normal 12 3 2 2 4" xfId="57284" xr:uid="{00000000-0005-0000-0000-0000FBCB0000}"/>
    <cellStyle name="Normal 12 3 2 3" xfId="25457" xr:uid="{00000000-0005-0000-0000-0000FCCB0000}"/>
    <cellStyle name="Normal 12 3 2 4" xfId="40444" xr:uid="{00000000-0005-0000-0000-0000FDCB0000}"/>
    <cellStyle name="Normal 12 3 2 5" xfId="54117" xr:uid="{00000000-0005-0000-0000-0000FECB0000}"/>
    <cellStyle name="Normal 12 3 3" xfId="13266" xr:uid="{00000000-0005-0000-0000-0000FFCB0000}"/>
    <cellStyle name="Normal 12 3 3 2" xfId="29585" xr:uid="{00000000-0005-0000-0000-000000CC0000}"/>
    <cellStyle name="Normal 12 3 3 3" xfId="44550" xr:uid="{00000000-0005-0000-0000-000001CC0000}"/>
    <cellStyle name="Normal 12 3 3 4" xfId="56660" xr:uid="{00000000-0005-0000-0000-000002CC0000}"/>
    <cellStyle name="Normal 12 3 4" xfId="22563" xr:uid="{00000000-0005-0000-0000-000003CC0000}"/>
    <cellStyle name="Normal 12 3 5" xfId="37551" xr:uid="{00000000-0005-0000-0000-000004CC0000}"/>
    <cellStyle name="Normal 12 3 6" xfId="53487" xr:uid="{00000000-0005-0000-0000-000005CC0000}"/>
    <cellStyle name="Normal 12 4" xfId="6087" xr:uid="{00000000-0005-0000-0000-000006CC0000}"/>
    <cellStyle name="Normal 12 4 2" xfId="14004" xr:uid="{00000000-0005-0000-0000-000007CC0000}"/>
    <cellStyle name="Normal 12 4 2 2" xfId="30318" xr:uid="{00000000-0005-0000-0000-000008CC0000}"/>
    <cellStyle name="Normal 12 4 2 2 2" xfId="57285" xr:uid="{00000000-0005-0000-0000-000009CC0000}"/>
    <cellStyle name="Normal 12 4 2 3" xfId="45282" xr:uid="{00000000-0005-0000-0000-00000ACC0000}"/>
    <cellStyle name="Normal 12 4 2 4" xfId="54118" xr:uid="{00000000-0005-0000-0000-00000BCC0000}"/>
    <cellStyle name="Normal 12 4 3" xfId="23296" xr:uid="{00000000-0005-0000-0000-00000CCC0000}"/>
    <cellStyle name="Normal 12 4 3 2" xfId="56661" xr:uid="{00000000-0005-0000-0000-00000DCC0000}"/>
    <cellStyle name="Normal 12 4 4" xfId="38283" xr:uid="{00000000-0005-0000-0000-00000ECC0000}"/>
    <cellStyle name="Normal 12 4 5" xfId="53488" xr:uid="{00000000-0005-0000-0000-00000FCC0000}"/>
    <cellStyle name="Normal 12 5" xfId="13265" xr:uid="{00000000-0005-0000-0000-000010CC0000}"/>
    <cellStyle name="Normal 12 5 2" xfId="29584" xr:uid="{00000000-0005-0000-0000-000011CC0000}"/>
    <cellStyle name="Normal 12 5 2 2" xfId="57286" xr:uid="{00000000-0005-0000-0000-000012CC0000}"/>
    <cellStyle name="Normal 12 5 2 3" xfId="54119" xr:uid="{00000000-0005-0000-0000-000013CC0000}"/>
    <cellStyle name="Normal 12 5 3" xfId="44549" xr:uid="{00000000-0005-0000-0000-000014CC0000}"/>
    <cellStyle name="Normal 12 5 3 2" xfId="56662" xr:uid="{00000000-0005-0000-0000-000015CC0000}"/>
    <cellStyle name="Normal 12 5 4" xfId="53489" xr:uid="{00000000-0005-0000-0000-000016CC0000}"/>
    <cellStyle name="Normal 12 6" xfId="22562" xr:uid="{00000000-0005-0000-0000-000017CC0000}"/>
    <cellStyle name="Normal 12 6 2" xfId="57280" xr:uid="{00000000-0005-0000-0000-000018CC0000}"/>
    <cellStyle name="Normal 12 6 3" xfId="54113" xr:uid="{00000000-0005-0000-0000-000019CC0000}"/>
    <cellStyle name="Normal 12 7" xfId="37550" xr:uid="{00000000-0005-0000-0000-00001ACC0000}"/>
    <cellStyle name="Normal 12 7 2" xfId="56656" xr:uid="{00000000-0005-0000-0000-00001BCC0000}"/>
    <cellStyle name="Normal 12 7 3" xfId="53483" xr:uid="{00000000-0005-0000-0000-00001CCC0000}"/>
    <cellStyle name="Normal 13" xfId="5158" xr:uid="{00000000-0005-0000-0000-00001DCC0000}"/>
    <cellStyle name="Normal 13 10" xfId="53132" xr:uid="{00000000-0005-0000-0000-00001ECC0000}"/>
    <cellStyle name="Normal 13 2" xfId="5159" xr:uid="{00000000-0005-0000-0000-00001FCC0000}"/>
    <cellStyle name="Normal 13 2 2" xfId="8199" xr:uid="{00000000-0005-0000-0000-000020CC0000}"/>
    <cellStyle name="Normal 13 2 2 2" xfId="16100" xr:uid="{00000000-0005-0000-0000-000021CC0000}"/>
    <cellStyle name="Normal 13 2 2 2 2" xfId="32414" xr:uid="{00000000-0005-0000-0000-000022CC0000}"/>
    <cellStyle name="Normal 13 2 2 2 2 2" xfId="57289" xr:uid="{00000000-0005-0000-0000-000023CC0000}"/>
    <cellStyle name="Normal 13 2 2 2 3" xfId="47378" xr:uid="{00000000-0005-0000-0000-000024CC0000}"/>
    <cellStyle name="Normal 13 2 2 2 4" xfId="54122" xr:uid="{00000000-0005-0000-0000-000025CC0000}"/>
    <cellStyle name="Normal 13 2 2 3" xfId="25392" xr:uid="{00000000-0005-0000-0000-000026CC0000}"/>
    <cellStyle name="Normal 13 2 2 3 2" xfId="56665" xr:uid="{00000000-0005-0000-0000-000027CC0000}"/>
    <cellStyle name="Normal 13 2 2 4" xfId="40379" xr:uid="{00000000-0005-0000-0000-000028CC0000}"/>
    <cellStyle name="Normal 13 2 2 5" xfId="53492" xr:uid="{00000000-0005-0000-0000-000029CC0000}"/>
    <cellStyle name="Normal 13 2 3" xfId="13268" xr:uid="{00000000-0005-0000-0000-00002ACC0000}"/>
    <cellStyle name="Normal 13 2 3 2" xfId="29587" xr:uid="{00000000-0005-0000-0000-00002BCC0000}"/>
    <cellStyle name="Normal 13 2 3 2 2" xfId="57290" xr:uid="{00000000-0005-0000-0000-00002CCC0000}"/>
    <cellStyle name="Normal 13 2 3 2 3" xfId="54123" xr:uid="{00000000-0005-0000-0000-00002DCC0000}"/>
    <cellStyle name="Normal 13 2 3 3" xfId="44552" xr:uid="{00000000-0005-0000-0000-00002ECC0000}"/>
    <cellStyle name="Normal 13 2 3 3 2" xfId="56666" xr:uid="{00000000-0005-0000-0000-00002FCC0000}"/>
    <cellStyle name="Normal 13 2 3 4" xfId="53493" xr:uid="{00000000-0005-0000-0000-000030CC0000}"/>
    <cellStyle name="Normal 13 2 4" xfId="22565" xr:uid="{00000000-0005-0000-0000-000031CC0000}"/>
    <cellStyle name="Normal 13 2 4 2" xfId="57288" xr:uid="{00000000-0005-0000-0000-000032CC0000}"/>
    <cellStyle name="Normal 13 2 4 3" xfId="54121" xr:uid="{00000000-0005-0000-0000-000033CC0000}"/>
    <cellStyle name="Normal 13 2 5" xfId="37553" xr:uid="{00000000-0005-0000-0000-000034CC0000}"/>
    <cellStyle name="Normal 13 2 5 2" xfId="56664" xr:uid="{00000000-0005-0000-0000-000035CC0000}"/>
    <cellStyle name="Normal 13 2 6" xfId="53491" xr:uid="{00000000-0005-0000-0000-000036CC0000}"/>
    <cellStyle name="Normal 13 3" xfId="5160" xr:uid="{00000000-0005-0000-0000-000037CC0000}"/>
    <cellStyle name="Normal 13 3 2" xfId="7476" xr:uid="{00000000-0005-0000-0000-000038CC0000}"/>
    <cellStyle name="Normal 13 3 2 2" xfId="15386" xr:uid="{00000000-0005-0000-0000-000039CC0000}"/>
    <cellStyle name="Normal 13 3 2 2 2" xfId="31700" xr:uid="{00000000-0005-0000-0000-00003ACC0000}"/>
    <cellStyle name="Normal 13 3 2 2 3" xfId="46664" xr:uid="{00000000-0005-0000-0000-00003BCC0000}"/>
    <cellStyle name="Normal 13 3 2 2 4" xfId="57291" xr:uid="{00000000-0005-0000-0000-00003CCC0000}"/>
    <cellStyle name="Normal 13 3 2 3" xfId="24678" xr:uid="{00000000-0005-0000-0000-00003DCC0000}"/>
    <cellStyle name="Normal 13 3 2 4" xfId="39665" xr:uid="{00000000-0005-0000-0000-00003ECC0000}"/>
    <cellStyle name="Normal 13 3 2 5" xfId="54124" xr:uid="{00000000-0005-0000-0000-00003FCC0000}"/>
    <cellStyle name="Normal 13 3 3" xfId="13269" xr:uid="{00000000-0005-0000-0000-000040CC0000}"/>
    <cellStyle name="Normal 13 3 3 2" xfId="29588" xr:uid="{00000000-0005-0000-0000-000041CC0000}"/>
    <cellStyle name="Normal 13 3 3 3" xfId="44553" xr:uid="{00000000-0005-0000-0000-000042CC0000}"/>
    <cellStyle name="Normal 13 3 3 4" xfId="56667" xr:uid="{00000000-0005-0000-0000-000043CC0000}"/>
    <cellStyle name="Normal 13 3 4" xfId="22566" xr:uid="{00000000-0005-0000-0000-000044CC0000}"/>
    <cellStyle name="Normal 13 3 5" xfId="37554" xr:uid="{00000000-0005-0000-0000-000045CC0000}"/>
    <cellStyle name="Normal 13 3 6" xfId="53494" xr:uid="{00000000-0005-0000-0000-000046CC0000}"/>
    <cellStyle name="Normal 13 4" xfId="6088" xr:uid="{00000000-0005-0000-0000-000047CC0000}"/>
    <cellStyle name="Normal 13 4 2" xfId="14005" xr:uid="{00000000-0005-0000-0000-000048CC0000}"/>
    <cellStyle name="Normal 13 4 2 2" xfId="30319" xr:uid="{00000000-0005-0000-0000-000049CC0000}"/>
    <cellStyle name="Normal 13 4 2 2 2" xfId="57292" xr:uid="{00000000-0005-0000-0000-00004ACC0000}"/>
    <cellStyle name="Normal 13 4 2 3" xfId="45283" xr:uid="{00000000-0005-0000-0000-00004BCC0000}"/>
    <cellStyle name="Normal 13 4 2 4" xfId="54125" xr:uid="{00000000-0005-0000-0000-00004CCC0000}"/>
    <cellStyle name="Normal 13 4 3" xfId="23297" xr:uid="{00000000-0005-0000-0000-00004DCC0000}"/>
    <cellStyle name="Normal 13 4 3 2" xfId="56668" xr:uid="{00000000-0005-0000-0000-00004ECC0000}"/>
    <cellStyle name="Normal 13 4 4" xfId="38284" xr:uid="{00000000-0005-0000-0000-00004FCC0000}"/>
    <cellStyle name="Normal 13 4 5" xfId="53495" xr:uid="{00000000-0005-0000-0000-000050CC0000}"/>
    <cellStyle name="Normal 13 5" xfId="13267" xr:uid="{00000000-0005-0000-0000-000051CC0000}"/>
    <cellStyle name="Normal 13 5 2" xfId="29586" xr:uid="{00000000-0005-0000-0000-000052CC0000}"/>
    <cellStyle name="Normal 13 5 2 2" xfId="57293" xr:uid="{00000000-0005-0000-0000-000053CC0000}"/>
    <cellStyle name="Normal 13 5 2 3" xfId="54126" xr:uid="{00000000-0005-0000-0000-000054CC0000}"/>
    <cellStyle name="Normal 13 5 3" xfId="44551" xr:uid="{00000000-0005-0000-0000-000055CC0000}"/>
    <cellStyle name="Normal 13 5 3 2" xfId="56669" xr:uid="{00000000-0005-0000-0000-000056CC0000}"/>
    <cellStyle name="Normal 13 5 4" xfId="53496" xr:uid="{00000000-0005-0000-0000-000057CC0000}"/>
    <cellStyle name="Normal 13 6" xfId="18998" xr:uid="{00000000-0005-0000-0000-000058CC0000}"/>
    <cellStyle name="Normal 13 6 2" xfId="33999" xr:uid="{00000000-0005-0000-0000-000059CC0000}"/>
    <cellStyle name="Normal 13 6 2 2" xfId="57287" xr:uid="{00000000-0005-0000-0000-00005ACC0000}"/>
    <cellStyle name="Normal 13 6 3" xfId="48960" xr:uid="{00000000-0005-0000-0000-00005BCC0000}"/>
    <cellStyle name="Normal 13 6 4" xfId="54120" xr:uid="{00000000-0005-0000-0000-00005CCC0000}"/>
    <cellStyle name="Normal 13 7" xfId="22564" xr:uid="{00000000-0005-0000-0000-00005DCC0000}"/>
    <cellStyle name="Normal 13 7 2" xfId="56663" xr:uid="{00000000-0005-0000-0000-00005ECC0000}"/>
    <cellStyle name="Normal 13 7 3" xfId="53490" xr:uid="{00000000-0005-0000-0000-00005FCC0000}"/>
    <cellStyle name="Normal 13 8" xfId="37552" xr:uid="{00000000-0005-0000-0000-000060CC0000}"/>
    <cellStyle name="Normal 13 8 2" xfId="54711" xr:uid="{00000000-0005-0000-0000-000061CC0000}"/>
    <cellStyle name="Normal 13 9" xfId="56406" xr:uid="{00000000-0005-0000-0000-000062CC0000}"/>
    <cellStyle name="Normal 14" xfId="5161" xr:uid="{00000000-0005-0000-0000-000063CC0000}"/>
    <cellStyle name="Normal 14 2" xfId="5162" xr:uid="{00000000-0005-0000-0000-000064CC0000}"/>
    <cellStyle name="Normal 14 2 2" xfId="5163" xr:uid="{00000000-0005-0000-0000-000065CC0000}"/>
    <cellStyle name="Normal 14 2 2 2" xfId="8200" xr:uid="{00000000-0005-0000-0000-000066CC0000}"/>
    <cellStyle name="Normal 14 2 2 2 2" xfId="16101" xr:uid="{00000000-0005-0000-0000-000067CC0000}"/>
    <cellStyle name="Normal 14 2 2 2 2 2" xfId="32415" xr:uid="{00000000-0005-0000-0000-000068CC0000}"/>
    <cellStyle name="Normal 14 2 2 2 2 3" xfId="47379" xr:uid="{00000000-0005-0000-0000-000069CC0000}"/>
    <cellStyle name="Normal 14 2 2 2 3" xfId="25393" xr:uid="{00000000-0005-0000-0000-00006ACC0000}"/>
    <cellStyle name="Normal 14 2 2 2 4" xfId="40380" xr:uid="{00000000-0005-0000-0000-00006BCC0000}"/>
    <cellStyle name="Normal 14 2 2 3" xfId="13271" xr:uid="{00000000-0005-0000-0000-00006CCC0000}"/>
    <cellStyle name="Normal 14 2 2 3 2" xfId="29590" xr:uid="{00000000-0005-0000-0000-00006DCC0000}"/>
    <cellStyle name="Normal 14 2 2 3 3" xfId="44555" xr:uid="{00000000-0005-0000-0000-00006ECC0000}"/>
    <cellStyle name="Normal 14 2 2 4" xfId="22568" xr:uid="{00000000-0005-0000-0000-00006FCC0000}"/>
    <cellStyle name="Normal 14 2 2 5" xfId="37556" xr:uid="{00000000-0005-0000-0000-000070CC0000}"/>
    <cellStyle name="Normal 14 2 3" xfId="6691" xr:uid="{00000000-0005-0000-0000-000071CC0000}"/>
    <cellStyle name="Normal 14 2 3 2" xfId="14605" xr:uid="{00000000-0005-0000-0000-000072CC0000}"/>
    <cellStyle name="Normal 14 2 3 2 2" xfId="30919" xr:uid="{00000000-0005-0000-0000-000073CC0000}"/>
    <cellStyle name="Normal 14 2 3 2 3" xfId="45883" xr:uid="{00000000-0005-0000-0000-000074CC0000}"/>
    <cellStyle name="Normal 14 2 3 3" xfId="23897" xr:uid="{00000000-0005-0000-0000-000075CC0000}"/>
    <cellStyle name="Normal 14 2 3 4" xfId="38884" xr:uid="{00000000-0005-0000-0000-000076CC0000}"/>
    <cellStyle name="Normal 14 2 4" xfId="13270" xr:uid="{00000000-0005-0000-0000-000077CC0000}"/>
    <cellStyle name="Normal 14 2 4 2" xfId="29589" xr:uid="{00000000-0005-0000-0000-000078CC0000}"/>
    <cellStyle name="Normal 14 2 4 3" xfId="44554" xr:uid="{00000000-0005-0000-0000-000079CC0000}"/>
    <cellStyle name="Normal 14 2 5" xfId="22567" xr:uid="{00000000-0005-0000-0000-00007ACC0000}"/>
    <cellStyle name="Normal 14 2 6" xfId="37555" xr:uid="{00000000-0005-0000-0000-00007BCC0000}"/>
    <cellStyle name="Normal 14 2 7" xfId="53497" xr:uid="{00000000-0005-0000-0000-00007CCC0000}"/>
    <cellStyle name="Normal 14 3" xfId="5164" xr:uid="{00000000-0005-0000-0000-00007DCC0000}"/>
    <cellStyle name="Normal 14 3 2" xfId="7477" xr:uid="{00000000-0005-0000-0000-00007ECC0000}"/>
    <cellStyle name="Normal 14 3 2 2" xfId="15387" xr:uid="{00000000-0005-0000-0000-00007FCC0000}"/>
    <cellStyle name="Normal 14 3 2 2 2" xfId="31701" xr:uid="{00000000-0005-0000-0000-000080CC0000}"/>
    <cellStyle name="Normal 14 3 2 2 3" xfId="46665" xr:uid="{00000000-0005-0000-0000-000081CC0000}"/>
    <cellStyle name="Normal 14 3 2 3" xfId="24679" xr:uid="{00000000-0005-0000-0000-000082CC0000}"/>
    <cellStyle name="Normal 14 3 2 4" xfId="39666" xr:uid="{00000000-0005-0000-0000-000083CC0000}"/>
    <cellStyle name="Normal 14 3 3" xfId="13272" xr:uid="{00000000-0005-0000-0000-000084CC0000}"/>
    <cellStyle name="Normal 14 3 3 2" xfId="29591" xr:uid="{00000000-0005-0000-0000-000085CC0000}"/>
    <cellStyle name="Normal 14 3 3 3" xfId="44556" xr:uid="{00000000-0005-0000-0000-000086CC0000}"/>
    <cellStyle name="Normal 14 3 4" xfId="22569" xr:uid="{00000000-0005-0000-0000-000087CC0000}"/>
    <cellStyle name="Normal 14 3 5" xfId="37557" xr:uid="{00000000-0005-0000-0000-000088CC0000}"/>
    <cellStyle name="Normal 14 3 6" xfId="56431" xr:uid="{00000000-0005-0000-0000-000089CC0000}"/>
    <cellStyle name="Normal 14 4" xfId="53157" xr:uid="{00000000-0005-0000-0000-00008ACC0000}"/>
    <cellStyle name="Normal 15" xfId="5165" xr:uid="{00000000-0005-0000-0000-00008BCC0000}"/>
    <cellStyle name="Normal 15 2" xfId="5166" xr:uid="{00000000-0005-0000-0000-00008CCC0000}"/>
    <cellStyle name="Normal 15 2 2" xfId="5167" xr:uid="{00000000-0005-0000-0000-00008DCC0000}"/>
    <cellStyle name="Normal 15 2 2 2" xfId="8201" xr:uid="{00000000-0005-0000-0000-00008ECC0000}"/>
    <cellStyle name="Normal 15 2 2 2 2" xfId="54129" xr:uid="{00000000-0005-0000-0000-00008FCC0000}"/>
    <cellStyle name="Normal 15 2 2 2 2 2" xfId="57296" xr:uid="{00000000-0005-0000-0000-000090CC0000}"/>
    <cellStyle name="Normal 15 2 2 2 3" xfId="56672" xr:uid="{00000000-0005-0000-0000-000091CC0000}"/>
    <cellStyle name="Normal 15 2 2 2 4" xfId="53500" xr:uid="{00000000-0005-0000-0000-000092CC0000}"/>
    <cellStyle name="Normal 15 2 2 3" xfId="53501" xr:uid="{00000000-0005-0000-0000-000093CC0000}"/>
    <cellStyle name="Normal 15 2 2 3 2" xfId="54130" xr:uid="{00000000-0005-0000-0000-000094CC0000}"/>
    <cellStyle name="Normal 15 2 2 3 2 2" xfId="57297" xr:uid="{00000000-0005-0000-0000-000095CC0000}"/>
    <cellStyle name="Normal 15 2 2 3 3" xfId="56673" xr:uid="{00000000-0005-0000-0000-000096CC0000}"/>
    <cellStyle name="Normal 15 2 2 4" xfId="53502" xr:uid="{00000000-0005-0000-0000-000097CC0000}"/>
    <cellStyle name="Normal 15 2 2 4 2" xfId="54131" xr:uid="{00000000-0005-0000-0000-000098CC0000}"/>
    <cellStyle name="Normal 15 2 2 4 2 2" xfId="57298" xr:uid="{00000000-0005-0000-0000-000099CC0000}"/>
    <cellStyle name="Normal 15 2 2 4 3" xfId="56674" xr:uid="{00000000-0005-0000-0000-00009ACC0000}"/>
    <cellStyle name="Normal 15 2 2 5" xfId="54128" xr:uid="{00000000-0005-0000-0000-00009BCC0000}"/>
    <cellStyle name="Normal 15 2 2 5 2" xfId="57295" xr:uid="{00000000-0005-0000-0000-00009CCC0000}"/>
    <cellStyle name="Normal 15 2 2 6" xfId="56671" xr:uid="{00000000-0005-0000-0000-00009DCC0000}"/>
    <cellStyle name="Normal 15 2 2 7" xfId="53499" xr:uid="{00000000-0005-0000-0000-00009ECC0000}"/>
    <cellStyle name="Normal 15 2 3" xfId="8865" xr:uid="{00000000-0005-0000-0000-00009FCC0000}"/>
    <cellStyle name="Normal 15 2 3 2" xfId="53504" xr:uid="{00000000-0005-0000-0000-0000A0CC0000}"/>
    <cellStyle name="Normal 15 2 3 2 2" xfId="54133" xr:uid="{00000000-0005-0000-0000-0000A1CC0000}"/>
    <cellStyle name="Normal 15 2 3 2 2 2" xfId="57300" xr:uid="{00000000-0005-0000-0000-0000A2CC0000}"/>
    <cellStyle name="Normal 15 2 3 2 3" xfId="56676" xr:uid="{00000000-0005-0000-0000-0000A3CC0000}"/>
    <cellStyle name="Normal 15 2 3 3" xfId="53505" xr:uid="{00000000-0005-0000-0000-0000A4CC0000}"/>
    <cellStyle name="Normal 15 2 3 3 2" xfId="54134" xr:uid="{00000000-0005-0000-0000-0000A5CC0000}"/>
    <cellStyle name="Normal 15 2 3 3 2 2" xfId="57301" xr:uid="{00000000-0005-0000-0000-0000A6CC0000}"/>
    <cellStyle name="Normal 15 2 3 3 3" xfId="56677" xr:uid="{00000000-0005-0000-0000-0000A7CC0000}"/>
    <cellStyle name="Normal 15 2 3 4" xfId="53506" xr:uid="{00000000-0005-0000-0000-0000A8CC0000}"/>
    <cellStyle name="Normal 15 2 3 4 2" xfId="54135" xr:uid="{00000000-0005-0000-0000-0000A9CC0000}"/>
    <cellStyle name="Normal 15 2 3 4 2 2" xfId="57302" xr:uid="{00000000-0005-0000-0000-0000AACC0000}"/>
    <cellStyle name="Normal 15 2 3 4 3" xfId="56678" xr:uid="{00000000-0005-0000-0000-0000ABCC0000}"/>
    <cellStyle name="Normal 15 2 3 5" xfId="54132" xr:uid="{00000000-0005-0000-0000-0000ACCC0000}"/>
    <cellStyle name="Normal 15 2 3 5 2" xfId="57299" xr:uid="{00000000-0005-0000-0000-0000ADCC0000}"/>
    <cellStyle name="Normal 15 2 3 6" xfId="56675" xr:uid="{00000000-0005-0000-0000-0000AECC0000}"/>
    <cellStyle name="Normal 15 2 3 7" xfId="53503" xr:uid="{00000000-0005-0000-0000-0000AFCC0000}"/>
    <cellStyle name="Normal 15 3" xfId="5168" xr:uid="{00000000-0005-0000-0000-0000B0CC0000}"/>
    <cellStyle name="Normal 15 3 2" xfId="5169" xr:uid="{00000000-0005-0000-0000-0000B1CC0000}"/>
    <cellStyle name="Normal 15 3 3" xfId="7478" xr:uid="{00000000-0005-0000-0000-0000B2CC0000}"/>
    <cellStyle name="Normal 15 3 4" xfId="53507" xr:uid="{00000000-0005-0000-0000-0000B3CC0000}"/>
    <cellStyle name="Normal 15 4" xfId="8864" xr:uid="{00000000-0005-0000-0000-0000B4CC0000}"/>
    <cellStyle name="Normal 15 4 2" xfId="54136" xr:uid="{00000000-0005-0000-0000-0000B5CC0000}"/>
    <cellStyle name="Normal 15 4 2 2" xfId="57303" xr:uid="{00000000-0005-0000-0000-0000B6CC0000}"/>
    <cellStyle name="Normal 15 4 3" xfId="56679" xr:uid="{00000000-0005-0000-0000-0000B7CC0000}"/>
    <cellStyle name="Normal 15 4 4" xfId="53508" xr:uid="{00000000-0005-0000-0000-0000B8CC0000}"/>
    <cellStyle name="Normal 15 5" xfId="53509" xr:uid="{00000000-0005-0000-0000-0000B9CC0000}"/>
    <cellStyle name="Normal 15 5 2" xfId="54137" xr:uid="{00000000-0005-0000-0000-0000BACC0000}"/>
    <cellStyle name="Normal 15 5 2 2" xfId="57304" xr:uid="{00000000-0005-0000-0000-0000BBCC0000}"/>
    <cellStyle name="Normal 15 5 3" xfId="56680" xr:uid="{00000000-0005-0000-0000-0000BCCC0000}"/>
    <cellStyle name="Normal 15 6" xfId="54127" xr:uid="{00000000-0005-0000-0000-0000BDCC0000}"/>
    <cellStyle name="Normal 15 6 2" xfId="57294" xr:uid="{00000000-0005-0000-0000-0000BECC0000}"/>
    <cellStyle name="Normal 15 7" xfId="56670" xr:uid="{00000000-0005-0000-0000-0000BFCC0000}"/>
    <cellStyle name="Normal 15 8" xfId="53498" xr:uid="{00000000-0005-0000-0000-0000C0CC0000}"/>
    <cellStyle name="Normal 15_Trends fuels" xfId="53510" xr:uid="{00000000-0005-0000-0000-0000C1CC0000}"/>
    <cellStyle name="Normal 16" xfId="5170" xr:uid="{00000000-0005-0000-0000-0000C2CC0000}"/>
    <cellStyle name="Normal 16 2" xfId="5171" xr:uid="{00000000-0005-0000-0000-0000C3CC0000}"/>
    <cellStyle name="Normal 16 2 2" xfId="54139" xr:uid="{00000000-0005-0000-0000-0000C4CC0000}"/>
    <cellStyle name="Normal 16 2 2 2" xfId="57306" xr:uid="{00000000-0005-0000-0000-0000C5CC0000}"/>
    <cellStyle name="Normal 16 2 3" xfId="56682" xr:uid="{00000000-0005-0000-0000-0000C6CC0000}"/>
    <cellStyle name="Normal 16 2 4" xfId="53512" xr:uid="{00000000-0005-0000-0000-0000C7CC0000}"/>
    <cellStyle name="Normal 16 3" xfId="8866" xr:uid="{00000000-0005-0000-0000-0000C8CC0000}"/>
    <cellStyle name="Normal 16 3 2" xfId="54140" xr:uid="{00000000-0005-0000-0000-0000C9CC0000}"/>
    <cellStyle name="Normal 16 3 2 2" xfId="57307" xr:uid="{00000000-0005-0000-0000-0000CACC0000}"/>
    <cellStyle name="Normal 16 3 3" xfId="56683" xr:uid="{00000000-0005-0000-0000-0000CBCC0000}"/>
    <cellStyle name="Normal 16 3 4" xfId="53513" xr:uid="{00000000-0005-0000-0000-0000CCCC0000}"/>
    <cellStyle name="Normal 16 4" xfId="53514" xr:uid="{00000000-0005-0000-0000-0000CDCC0000}"/>
    <cellStyle name="Normal 16 4 2" xfId="54141" xr:uid="{00000000-0005-0000-0000-0000CECC0000}"/>
    <cellStyle name="Normal 16 4 2 2" xfId="57308" xr:uid="{00000000-0005-0000-0000-0000CFCC0000}"/>
    <cellStyle name="Normal 16 4 3" xfId="56684" xr:uid="{00000000-0005-0000-0000-0000D0CC0000}"/>
    <cellStyle name="Normal 16 5" xfId="54138" xr:uid="{00000000-0005-0000-0000-0000D1CC0000}"/>
    <cellStyle name="Normal 16 5 2" xfId="57305" xr:uid="{00000000-0005-0000-0000-0000D2CC0000}"/>
    <cellStyle name="Normal 16 6" xfId="56681" xr:uid="{00000000-0005-0000-0000-0000D3CC0000}"/>
    <cellStyle name="Normal 16 7" xfId="53511" xr:uid="{00000000-0005-0000-0000-0000D4CC0000}"/>
    <cellStyle name="Normal 17" xfId="5172" xr:uid="{00000000-0005-0000-0000-0000D5CC0000}"/>
    <cellStyle name="Normal 17 2" xfId="5173" xr:uid="{00000000-0005-0000-0000-0000D6CC0000}"/>
    <cellStyle name="Normal 17 2 2" xfId="7487" xr:uid="{00000000-0005-0000-0000-0000D7CC0000}"/>
    <cellStyle name="Normal 17 2 2 2" xfId="15388" xr:uid="{00000000-0005-0000-0000-0000D8CC0000}"/>
    <cellStyle name="Normal 17 2 2 2 2" xfId="31702" xr:uid="{00000000-0005-0000-0000-0000D9CC0000}"/>
    <cellStyle name="Normal 17 2 2 2 3" xfId="46666" xr:uid="{00000000-0005-0000-0000-0000DACC0000}"/>
    <cellStyle name="Normal 17 2 2 2 4" xfId="57310" xr:uid="{00000000-0005-0000-0000-0000DBCC0000}"/>
    <cellStyle name="Normal 17 2 2 3" xfId="24680" xr:uid="{00000000-0005-0000-0000-0000DCCC0000}"/>
    <cellStyle name="Normal 17 2 2 4" xfId="39667" xr:uid="{00000000-0005-0000-0000-0000DDCC0000}"/>
    <cellStyle name="Normal 17 2 2 5" xfId="54143" xr:uid="{00000000-0005-0000-0000-0000DECC0000}"/>
    <cellStyle name="Normal 17 2 3" xfId="13273" xr:uid="{00000000-0005-0000-0000-0000DFCC0000}"/>
    <cellStyle name="Normal 17 2 3 2" xfId="29592" xr:uid="{00000000-0005-0000-0000-0000E0CC0000}"/>
    <cellStyle name="Normal 17 2 3 3" xfId="44557" xr:uid="{00000000-0005-0000-0000-0000E1CC0000}"/>
    <cellStyle name="Normal 17 2 3 4" xfId="56686" xr:uid="{00000000-0005-0000-0000-0000E2CC0000}"/>
    <cellStyle name="Normal 17 2 4" xfId="22570" xr:uid="{00000000-0005-0000-0000-0000E3CC0000}"/>
    <cellStyle name="Normal 17 2 5" xfId="37558" xr:uid="{00000000-0005-0000-0000-0000E4CC0000}"/>
    <cellStyle name="Normal 17 2 6" xfId="53516" xr:uid="{00000000-0005-0000-0000-0000E5CC0000}"/>
    <cellStyle name="Normal 17 3" xfId="8867" xr:uid="{00000000-0005-0000-0000-0000E6CC0000}"/>
    <cellStyle name="Normal 17 3 2" xfId="54144" xr:uid="{00000000-0005-0000-0000-0000E7CC0000}"/>
    <cellStyle name="Normal 17 3 2 2" xfId="57311" xr:uid="{00000000-0005-0000-0000-0000E8CC0000}"/>
    <cellStyle name="Normal 17 3 3" xfId="56687" xr:uid="{00000000-0005-0000-0000-0000E9CC0000}"/>
    <cellStyle name="Normal 17 3 4" xfId="53517" xr:uid="{00000000-0005-0000-0000-0000EACC0000}"/>
    <cellStyle name="Normal 17 4" xfId="53518" xr:uid="{00000000-0005-0000-0000-0000EBCC0000}"/>
    <cellStyle name="Normal 17 4 2" xfId="54145" xr:uid="{00000000-0005-0000-0000-0000ECCC0000}"/>
    <cellStyle name="Normal 17 4 2 2" xfId="57312" xr:uid="{00000000-0005-0000-0000-0000EDCC0000}"/>
    <cellStyle name="Normal 17 4 3" xfId="56688" xr:uid="{00000000-0005-0000-0000-0000EECC0000}"/>
    <cellStyle name="Normal 17 5" xfId="54142" xr:uid="{00000000-0005-0000-0000-0000EFCC0000}"/>
    <cellStyle name="Normal 17 5 2" xfId="57309" xr:uid="{00000000-0005-0000-0000-0000F0CC0000}"/>
    <cellStyle name="Normal 17 6" xfId="56685" xr:uid="{00000000-0005-0000-0000-0000F1CC0000}"/>
    <cellStyle name="Normal 17 7" xfId="53515" xr:uid="{00000000-0005-0000-0000-0000F2CC0000}"/>
    <cellStyle name="Normal 18" xfId="5174" xr:uid="{00000000-0005-0000-0000-0000F3CC0000}"/>
    <cellStyle name="Normal 18 2" xfId="8868" xr:uid="{00000000-0005-0000-0000-0000F4CC0000}"/>
    <cellStyle name="Normal 18 2 2" xfId="54147" xr:uid="{00000000-0005-0000-0000-0000F5CC0000}"/>
    <cellStyle name="Normal 18 2 2 2" xfId="57314" xr:uid="{00000000-0005-0000-0000-0000F6CC0000}"/>
    <cellStyle name="Normal 18 2 3" xfId="56690" xr:uid="{00000000-0005-0000-0000-0000F7CC0000}"/>
    <cellStyle name="Normal 18 2 4" xfId="53520" xr:uid="{00000000-0005-0000-0000-0000F8CC0000}"/>
    <cellStyle name="Normal 18 3" xfId="53521" xr:uid="{00000000-0005-0000-0000-0000F9CC0000}"/>
    <cellStyle name="Normal 18 3 2" xfId="54148" xr:uid="{00000000-0005-0000-0000-0000FACC0000}"/>
    <cellStyle name="Normal 18 3 2 2" xfId="57315" xr:uid="{00000000-0005-0000-0000-0000FBCC0000}"/>
    <cellStyle name="Normal 18 3 3" xfId="56691" xr:uid="{00000000-0005-0000-0000-0000FCCC0000}"/>
    <cellStyle name="Normal 18 4" xfId="53522" xr:uid="{00000000-0005-0000-0000-0000FDCC0000}"/>
    <cellStyle name="Normal 18 4 2" xfId="54149" xr:uid="{00000000-0005-0000-0000-0000FECC0000}"/>
    <cellStyle name="Normal 18 4 2 2" xfId="57316" xr:uid="{00000000-0005-0000-0000-0000FFCC0000}"/>
    <cellStyle name="Normal 18 4 3" xfId="56692" xr:uid="{00000000-0005-0000-0000-000000CD0000}"/>
    <cellStyle name="Normal 18 5" xfId="54146" xr:uid="{00000000-0005-0000-0000-000001CD0000}"/>
    <cellStyle name="Normal 18 5 2" xfId="57313" xr:uid="{00000000-0005-0000-0000-000002CD0000}"/>
    <cellStyle name="Normal 18 6" xfId="56689" xr:uid="{00000000-0005-0000-0000-000003CD0000}"/>
    <cellStyle name="Normal 18 7" xfId="53519" xr:uid="{00000000-0005-0000-0000-000004CD0000}"/>
    <cellStyle name="Normal 19" xfId="5175" xr:uid="{00000000-0005-0000-0000-000005CD0000}"/>
    <cellStyle name="Normal 19 2" xfId="5176" xr:uid="{00000000-0005-0000-0000-000006CD0000}"/>
    <cellStyle name="Normal 19 2 2" xfId="54150" xr:uid="{00000000-0005-0000-0000-000007CD0000}"/>
    <cellStyle name="Normal 19 2 2 2" xfId="57317" xr:uid="{00000000-0005-0000-0000-000008CD0000}"/>
    <cellStyle name="Normal 19 2 3" xfId="56693" xr:uid="{00000000-0005-0000-0000-000009CD0000}"/>
    <cellStyle name="Normal 19 2 4" xfId="53524" xr:uid="{00000000-0005-0000-0000-00000ACD0000}"/>
    <cellStyle name="Normal 19 3" xfId="6692" xr:uid="{00000000-0005-0000-0000-00000BCD0000}"/>
    <cellStyle name="Normal 19 4" xfId="53523" xr:uid="{00000000-0005-0000-0000-00000CCD0000}"/>
    <cellStyle name="Normal 2" xfId="531" xr:uid="{00000000-0005-0000-0000-00000DCD0000}"/>
    <cellStyle name="Normal 2 10" xfId="53525" xr:uid="{00000000-0005-0000-0000-00000ECD0000}"/>
    <cellStyle name="Normal 2 10 2" xfId="57683" xr:uid="{00000000-0005-0000-0000-00000FCD0000}"/>
    <cellStyle name="Normal 2 11" xfId="53526" xr:uid="{00000000-0005-0000-0000-000010CD0000}"/>
    <cellStyle name="Normal 2 11 2" xfId="53527" xr:uid="{00000000-0005-0000-0000-000011CD0000}"/>
    <cellStyle name="Normal 2 11 2 2" xfId="54152" xr:uid="{00000000-0005-0000-0000-000012CD0000}"/>
    <cellStyle name="Normal 2 11 2 2 2" xfId="57319" xr:uid="{00000000-0005-0000-0000-000013CD0000}"/>
    <cellStyle name="Normal 2 11 2 3" xfId="56695" xr:uid="{00000000-0005-0000-0000-000014CD0000}"/>
    <cellStyle name="Normal 2 11 3" xfId="54151" xr:uid="{00000000-0005-0000-0000-000015CD0000}"/>
    <cellStyle name="Normal 2 11 3 2" xfId="57318" xr:uid="{00000000-0005-0000-0000-000016CD0000}"/>
    <cellStyle name="Normal 2 11 4" xfId="56694" xr:uid="{00000000-0005-0000-0000-000017CD0000}"/>
    <cellStyle name="Normal 2 12" xfId="53528" xr:uid="{00000000-0005-0000-0000-000018CD0000}"/>
    <cellStyle name="Normal 2 12 2" xfId="54153" xr:uid="{00000000-0005-0000-0000-000019CD0000}"/>
    <cellStyle name="Normal 2 12 2 2" xfId="57320" xr:uid="{00000000-0005-0000-0000-00001ACD0000}"/>
    <cellStyle name="Normal 2 12 3" xfId="56696" xr:uid="{00000000-0005-0000-0000-00001BCD0000}"/>
    <cellStyle name="Normal 2 13" xfId="53529" xr:uid="{00000000-0005-0000-0000-00001CCD0000}"/>
    <cellStyle name="Normal 2 13 2" xfId="54154" xr:uid="{00000000-0005-0000-0000-00001DCD0000}"/>
    <cellStyle name="Normal 2 13 2 2" xfId="57321" xr:uid="{00000000-0005-0000-0000-00001ECD0000}"/>
    <cellStyle name="Normal 2 13 3" xfId="56697" xr:uid="{00000000-0005-0000-0000-00001FCD0000}"/>
    <cellStyle name="Normal 2 14" xfId="53303" xr:uid="{00000000-0005-0000-0000-000020CD0000}"/>
    <cellStyle name="Normal 2 14 2" xfId="53939" xr:uid="{00000000-0005-0000-0000-000021CD0000}"/>
    <cellStyle name="Normal 2 14 2 2" xfId="57106" xr:uid="{00000000-0005-0000-0000-000022CD0000}"/>
    <cellStyle name="Normal 2 14 3" xfId="56495" xr:uid="{00000000-0005-0000-0000-000023CD0000}"/>
    <cellStyle name="Normal 2 15" xfId="53166" xr:uid="{00000000-0005-0000-0000-000024CD0000}"/>
    <cellStyle name="Normal 2 2" xfId="532" xr:uid="{00000000-0005-0000-0000-000025CD0000}"/>
    <cellStyle name="Normal 2 2 2" xfId="1534" xr:uid="{00000000-0005-0000-0000-000026CD0000}"/>
    <cellStyle name="Normal 2 2 2 2" xfId="5179" xr:uid="{00000000-0005-0000-0000-000027CD0000}"/>
    <cellStyle name="Normal 2 2 2 2 2" xfId="8871" xr:uid="{00000000-0005-0000-0000-000028CD0000}"/>
    <cellStyle name="Normal 2 2 2 2 2 2" xfId="54155" xr:uid="{00000000-0005-0000-0000-000029CD0000}"/>
    <cellStyle name="Normal 2 2 2 2 2 2 2" xfId="57322" xr:uid="{00000000-0005-0000-0000-00002ACD0000}"/>
    <cellStyle name="Normal 2 2 2 2 2 3" xfId="56698" xr:uid="{00000000-0005-0000-0000-00002BCD0000}"/>
    <cellStyle name="Normal 2 2 2 2 2 4" xfId="53530" xr:uid="{00000000-0005-0000-0000-00002CCD0000}"/>
    <cellStyle name="Normal 2 2 2 2 3" xfId="17488" xr:uid="{00000000-0005-0000-0000-00002DCD0000}"/>
    <cellStyle name="Normal 2 2 2 2 3 2" xfId="57085" xr:uid="{00000000-0005-0000-0000-00002ECD0000}"/>
    <cellStyle name="Normal 2 2 2 2 3 3" xfId="53918" xr:uid="{00000000-0005-0000-0000-00002FCD0000}"/>
    <cellStyle name="Normal 2 2 2 2 4" xfId="53272" xr:uid="{00000000-0005-0000-0000-000030CD0000}"/>
    <cellStyle name="Normal 2 2 2 2 4 2" xfId="56474" xr:uid="{00000000-0005-0000-0000-000031CD0000}"/>
    <cellStyle name="Normal 2 2 2 3" xfId="5180" xr:uid="{00000000-0005-0000-0000-000032CD0000}"/>
    <cellStyle name="Normal 2 2 2 3 2" xfId="5181" xr:uid="{00000000-0005-0000-0000-000033CD0000}"/>
    <cellStyle name="Normal 2 2 2 3 2 2" xfId="8873" xr:uid="{00000000-0005-0000-0000-000034CD0000}"/>
    <cellStyle name="Normal 2 2 2 3 2 2 2" xfId="57323" xr:uid="{00000000-0005-0000-0000-000035CD0000}"/>
    <cellStyle name="Normal 2 2 2 3 2 2 3" xfId="54156" xr:uid="{00000000-0005-0000-0000-000036CD0000}"/>
    <cellStyle name="Normal 2 2 2 3 2 3" xfId="56699" xr:uid="{00000000-0005-0000-0000-000037CD0000}"/>
    <cellStyle name="Normal 2 2 2 3 2 4" xfId="53531" xr:uid="{00000000-0005-0000-0000-000038CD0000}"/>
    <cellStyle name="Normal 2 2 2 3 3" xfId="8872" xr:uid="{00000000-0005-0000-0000-000039CD0000}"/>
    <cellStyle name="Normal 2 2 2 3 3 2" xfId="57101" xr:uid="{00000000-0005-0000-0000-00003ACD0000}"/>
    <cellStyle name="Normal 2 2 2 3 3 3" xfId="53934" xr:uid="{00000000-0005-0000-0000-00003BCD0000}"/>
    <cellStyle name="Normal 2 2 2 3 4" xfId="53288" xr:uid="{00000000-0005-0000-0000-00003CCD0000}"/>
    <cellStyle name="Normal 2 2 2 3 4 2" xfId="56490" xr:uid="{00000000-0005-0000-0000-00003DCD0000}"/>
    <cellStyle name="Normal 2 2 2 4" xfId="8840" xr:uid="{00000000-0005-0000-0000-00003ECD0000}"/>
    <cellStyle name="Normal 2 2 2 4 2" xfId="16689" xr:uid="{00000000-0005-0000-0000-00003FCD0000}"/>
    <cellStyle name="Normal 2 2 2 4 2 2" xfId="33003" xr:uid="{00000000-0005-0000-0000-000040CD0000}"/>
    <cellStyle name="Normal 2 2 2 4 2 2 2" xfId="57324" xr:uid="{00000000-0005-0000-0000-000041CD0000}"/>
    <cellStyle name="Normal 2 2 2 4 2 3" xfId="47967" xr:uid="{00000000-0005-0000-0000-000042CD0000}"/>
    <cellStyle name="Normal 2 2 2 4 2 4" xfId="54157" xr:uid="{00000000-0005-0000-0000-000043CD0000}"/>
    <cellStyle name="Normal 2 2 2 4 3" xfId="19011" xr:uid="{00000000-0005-0000-0000-000044CD0000}"/>
    <cellStyle name="Normal 2 2 2 4 3 2" xfId="34008" xr:uid="{00000000-0005-0000-0000-000045CD0000}"/>
    <cellStyle name="Normal 2 2 2 4 3 2 2" xfId="56700" xr:uid="{00000000-0005-0000-0000-000046CD0000}"/>
    <cellStyle name="Normal 2 2 2 4 3 3" xfId="48969" xr:uid="{00000000-0005-0000-0000-000047CD0000}"/>
    <cellStyle name="Normal 2 2 2 4 3 4" xfId="53532" xr:uid="{00000000-0005-0000-0000-000048CD0000}"/>
    <cellStyle name="Normal 2 2 2 4 4" xfId="25981" xr:uid="{00000000-0005-0000-0000-000049CD0000}"/>
    <cellStyle name="Normal 2 2 2 4 4 2" xfId="56415" xr:uid="{00000000-0005-0000-0000-00004ACD0000}"/>
    <cellStyle name="Normal 2 2 2 4 5" xfId="40968" xr:uid="{00000000-0005-0000-0000-00004BCD0000}"/>
    <cellStyle name="Normal 2 2 2 4 6" xfId="53141" xr:uid="{00000000-0005-0000-0000-00004CCD0000}"/>
    <cellStyle name="Normal 2 2 2 5" xfId="8870" xr:uid="{00000000-0005-0000-0000-00004DCD0000}"/>
    <cellStyle name="Normal 2 2 2 5 2" xfId="53944" xr:uid="{00000000-0005-0000-0000-00004ECD0000}"/>
    <cellStyle name="Normal 2 2 2 5 2 2" xfId="57111" xr:uid="{00000000-0005-0000-0000-00004FCD0000}"/>
    <cellStyle name="Normal 2 2 2 5 3" xfId="56500" xr:uid="{00000000-0005-0000-0000-000050CD0000}"/>
    <cellStyle name="Normal 2 2 2 5 4" xfId="53308" xr:uid="{00000000-0005-0000-0000-000051CD0000}"/>
    <cellStyle name="Normal 2 2 2 6" xfId="53902" xr:uid="{00000000-0005-0000-0000-000052CD0000}"/>
    <cellStyle name="Normal 2 2 2 6 2" xfId="57069" xr:uid="{00000000-0005-0000-0000-000053CD0000}"/>
    <cellStyle name="Normal 2 2 2 7" xfId="53256" xr:uid="{00000000-0005-0000-0000-000054CD0000}"/>
    <cellStyle name="Normal 2 2 2 7 2" xfId="56458" xr:uid="{00000000-0005-0000-0000-000055CD0000}"/>
    <cellStyle name="Normal 2 2 3" xfId="5182" xr:uid="{00000000-0005-0000-0000-000056CD0000}"/>
    <cellStyle name="Normal 2 2 3 2" xfId="5183" xr:uid="{00000000-0005-0000-0000-000057CD0000}"/>
    <cellStyle name="Normal 2 2 3 2 2" xfId="8241" xr:uid="{00000000-0005-0000-0000-000058CD0000}"/>
    <cellStyle name="Normal 2 2 3 2 2 2" xfId="16138" xr:uid="{00000000-0005-0000-0000-000059CD0000}"/>
    <cellStyle name="Normal 2 2 3 2 2 2 2" xfId="32452" xr:uid="{00000000-0005-0000-0000-00005ACD0000}"/>
    <cellStyle name="Normal 2 2 3 2 2 2 3" xfId="47416" xr:uid="{00000000-0005-0000-0000-00005BCD0000}"/>
    <cellStyle name="Normal 2 2 3 2 2 2 4" xfId="57325" xr:uid="{00000000-0005-0000-0000-00005CCD0000}"/>
    <cellStyle name="Normal 2 2 3 2 2 3" xfId="25430" xr:uid="{00000000-0005-0000-0000-00005DCD0000}"/>
    <cellStyle name="Normal 2 2 3 2 2 4" xfId="40417" xr:uid="{00000000-0005-0000-0000-00005ECD0000}"/>
    <cellStyle name="Normal 2 2 3 2 2 5" xfId="54158" xr:uid="{00000000-0005-0000-0000-00005FCD0000}"/>
    <cellStyle name="Normal 2 2 3 2 3" xfId="13276" xr:uid="{00000000-0005-0000-0000-000060CD0000}"/>
    <cellStyle name="Normal 2 2 3 2 3 2" xfId="29595" xr:uid="{00000000-0005-0000-0000-000061CD0000}"/>
    <cellStyle name="Normal 2 2 3 2 3 3" xfId="44560" xr:uid="{00000000-0005-0000-0000-000062CD0000}"/>
    <cellStyle name="Normal 2 2 3 2 3 4" xfId="56701" xr:uid="{00000000-0005-0000-0000-000063CD0000}"/>
    <cellStyle name="Normal 2 2 3 2 4" xfId="22573" xr:uid="{00000000-0005-0000-0000-000064CD0000}"/>
    <cellStyle name="Normal 2 2 3 2 5" xfId="37561" xr:uid="{00000000-0005-0000-0000-000065CD0000}"/>
    <cellStyle name="Normal 2 2 3 2 6" xfId="53533" xr:uid="{00000000-0005-0000-0000-000066CD0000}"/>
    <cellStyle name="Normal 2 2 3 3" xfId="6090" xr:uid="{00000000-0005-0000-0000-000067CD0000}"/>
    <cellStyle name="Normal 2 2 3 3 2" xfId="14007" xr:uid="{00000000-0005-0000-0000-000068CD0000}"/>
    <cellStyle name="Normal 2 2 3 3 2 2" xfId="30321" xr:uid="{00000000-0005-0000-0000-000069CD0000}"/>
    <cellStyle name="Normal 2 2 3 3 2 3" xfId="45285" xr:uid="{00000000-0005-0000-0000-00006ACD0000}"/>
    <cellStyle name="Normal 2 2 3 3 2 4" xfId="57077" xr:uid="{00000000-0005-0000-0000-00006BCD0000}"/>
    <cellStyle name="Normal 2 2 3 3 3" xfId="23299" xr:uid="{00000000-0005-0000-0000-00006CCD0000}"/>
    <cellStyle name="Normal 2 2 3 3 4" xfId="38286" xr:uid="{00000000-0005-0000-0000-00006DCD0000}"/>
    <cellStyle name="Normal 2 2 3 3 5" xfId="53910" xr:uid="{00000000-0005-0000-0000-00006ECD0000}"/>
    <cellStyle name="Normal 2 2 3 4" xfId="13275" xr:uid="{00000000-0005-0000-0000-00006FCD0000}"/>
    <cellStyle name="Normal 2 2 3 4 2" xfId="29594" xr:uid="{00000000-0005-0000-0000-000070CD0000}"/>
    <cellStyle name="Normal 2 2 3 4 2 2" xfId="56466" xr:uid="{00000000-0005-0000-0000-000071CD0000}"/>
    <cellStyle name="Normal 2 2 3 4 3" xfId="44559" xr:uid="{00000000-0005-0000-0000-000072CD0000}"/>
    <cellStyle name="Normal 2 2 3 4 4" xfId="53264" xr:uid="{00000000-0005-0000-0000-000073CD0000}"/>
    <cellStyle name="Normal 2 2 3 5" xfId="19005" xr:uid="{00000000-0005-0000-0000-000074CD0000}"/>
    <cellStyle name="Normal 2 2 3 5 2" xfId="34004" xr:uid="{00000000-0005-0000-0000-000075CD0000}"/>
    <cellStyle name="Normal 2 2 3 5 3" xfId="48965" xr:uid="{00000000-0005-0000-0000-000076CD0000}"/>
    <cellStyle name="Normal 2 2 3 5 4" xfId="56411" xr:uid="{00000000-0005-0000-0000-000077CD0000}"/>
    <cellStyle name="Normal 2 2 3 6" xfId="22572" xr:uid="{00000000-0005-0000-0000-000078CD0000}"/>
    <cellStyle name="Normal 2 2 3 7" xfId="37560" xr:uid="{00000000-0005-0000-0000-000079CD0000}"/>
    <cellStyle name="Normal 2 2 3 8" xfId="53137" xr:uid="{00000000-0005-0000-0000-00007ACD0000}"/>
    <cellStyle name="Normal 2 2 4" xfId="5178" xr:uid="{00000000-0005-0000-0000-00007BCD0000}"/>
    <cellStyle name="Normal 2 2 4 2" xfId="8869" xr:uid="{00000000-0005-0000-0000-00007CCD0000}"/>
    <cellStyle name="Normal 2 2 4 2 2" xfId="54159" xr:uid="{00000000-0005-0000-0000-00007DCD0000}"/>
    <cellStyle name="Normal 2 2 4 2 2 2" xfId="57326" xr:uid="{00000000-0005-0000-0000-00007ECD0000}"/>
    <cellStyle name="Normal 2 2 4 2 3" xfId="56702" xr:uid="{00000000-0005-0000-0000-00007FCD0000}"/>
    <cellStyle name="Normal 2 2 4 2 4" xfId="53534" xr:uid="{00000000-0005-0000-0000-000080CD0000}"/>
    <cellStyle name="Normal 2 2 4 3" xfId="53926" xr:uid="{00000000-0005-0000-0000-000081CD0000}"/>
    <cellStyle name="Normal 2 2 4 3 2" xfId="57093" xr:uid="{00000000-0005-0000-0000-000082CD0000}"/>
    <cellStyle name="Normal 2 2 4 4" xfId="56482" xr:uid="{00000000-0005-0000-0000-000083CD0000}"/>
    <cellStyle name="Normal 2 2 4 5" xfId="53280" xr:uid="{00000000-0005-0000-0000-000084CD0000}"/>
    <cellStyle name="Normal 2 2 5" xfId="1594" xr:uid="{00000000-0005-0000-0000-000085CD0000}"/>
    <cellStyle name="Normal 2 2 5 2" xfId="10152" xr:uid="{00000000-0005-0000-0000-000086CD0000}"/>
    <cellStyle name="Normal 2 2 5 2 2" xfId="26471" xr:uid="{00000000-0005-0000-0000-000087CD0000}"/>
    <cellStyle name="Normal 2 2 5 2 2 2" xfId="57327" xr:uid="{00000000-0005-0000-0000-000088CD0000}"/>
    <cellStyle name="Normal 2 2 5 2 3" xfId="41437" xr:uid="{00000000-0005-0000-0000-000089CD0000}"/>
    <cellStyle name="Normal 2 2 5 2 4" xfId="54160" xr:uid="{00000000-0005-0000-0000-00008ACD0000}"/>
    <cellStyle name="Normal 2 2 5 3" xfId="19449" xr:uid="{00000000-0005-0000-0000-00008BCD0000}"/>
    <cellStyle name="Normal 2 2 5 3 2" xfId="56703" xr:uid="{00000000-0005-0000-0000-00008CCD0000}"/>
    <cellStyle name="Normal 2 2 5 4" xfId="34438" xr:uid="{00000000-0005-0000-0000-00008DCD0000}"/>
    <cellStyle name="Normal 2 2 5 5" xfId="53535" xr:uid="{00000000-0005-0000-0000-00008ECD0000}"/>
    <cellStyle name="Normal 2 2 6" xfId="53536" xr:uid="{00000000-0005-0000-0000-00008FCD0000}"/>
    <cellStyle name="Normal 2 2 6 2" xfId="54161" xr:uid="{00000000-0005-0000-0000-000090CD0000}"/>
    <cellStyle name="Normal 2 2 6 2 2" xfId="57328" xr:uid="{00000000-0005-0000-0000-000091CD0000}"/>
    <cellStyle name="Normal 2 2 6 3" xfId="56704" xr:uid="{00000000-0005-0000-0000-000092CD0000}"/>
    <cellStyle name="Normal 2 2 7" xfId="53297" xr:uid="{00000000-0005-0000-0000-000093CD0000}"/>
    <cellStyle name="Normal 2 2 8" xfId="53894" xr:uid="{00000000-0005-0000-0000-000094CD0000}"/>
    <cellStyle name="Normal 2 2 8 2" xfId="57061" xr:uid="{00000000-0005-0000-0000-000095CD0000}"/>
    <cellStyle name="Normal 2 2 9" xfId="53240" xr:uid="{00000000-0005-0000-0000-000096CD0000}"/>
    <cellStyle name="Normal 2 2 9 2" xfId="56449" xr:uid="{00000000-0005-0000-0000-000097CD0000}"/>
    <cellStyle name="Normal 2 3" xfId="1167" xr:uid="{00000000-0005-0000-0000-000098CD0000}"/>
    <cellStyle name="Normal 2 3 10" xfId="17489" xr:uid="{00000000-0005-0000-0000-000099CD0000}"/>
    <cellStyle name="Normal 2 3 11" xfId="19356" xr:uid="{00000000-0005-0000-0000-00009ACD0000}"/>
    <cellStyle name="Normal 2 3 12" xfId="34346" xr:uid="{00000000-0005-0000-0000-00009BCD0000}"/>
    <cellStyle name="Normal 2 3 13" xfId="49298" xr:uid="{00000000-0005-0000-0000-00009CCD0000}"/>
    <cellStyle name="Normal 2 3 14" xfId="49703" xr:uid="{00000000-0005-0000-0000-00009DCD0000}"/>
    <cellStyle name="Normal 2 3 15" xfId="50112" xr:uid="{00000000-0005-0000-0000-00009ECD0000}"/>
    <cellStyle name="Normal 2 3 16" xfId="50517" xr:uid="{00000000-0005-0000-0000-00009FCD0000}"/>
    <cellStyle name="Normal 2 3 17" xfId="51077" xr:uid="{00000000-0005-0000-0000-0000A0CD0000}"/>
    <cellStyle name="Normal 2 3 18" xfId="51216" xr:uid="{00000000-0005-0000-0000-0000A1CD0000}"/>
    <cellStyle name="Normal 2 3 19" xfId="51678" xr:uid="{00000000-0005-0000-0000-0000A2CD0000}"/>
    <cellStyle name="Normal 2 3 2" xfId="5185" xr:uid="{00000000-0005-0000-0000-0000A3CD0000}"/>
    <cellStyle name="Normal 2 3 2 2" xfId="5186" xr:uid="{00000000-0005-0000-0000-0000A4CD0000}"/>
    <cellStyle name="Normal 2 3 2 2 2" xfId="7843" xr:uid="{00000000-0005-0000-0000-0000A5CD0000}"/>
    <cellStyle name="Normal 2 3 2 2 2 2" xfId="15744" xr:uid="{00000000-0005-0000-0000-0000A6CD0000}"/>
    <cellStyle name="Normal 2 3 2 2 2 2 2" xfId="32058" xr:uid="{00000000-0005-0000-0000-0000A7CD0000}"/>
    <cellStyle name="Normal 2 3 2 2 2 2 3" xfId="47022" xr:uid="{00000000-0005-0000-0000-0000A8CD0000}"/>
    <cellStyle name="Normal 2 3 2 2 2 2 4" xfId="57331" xr:uid="{00000000-0005-0000-0000-0000A9CD0000}"/>
    <cellStyle name="Normal 2 3 2 2 2 3" xfId="25036" xr:uid="{00000000-0005-0000-0000-0000AACD0000}"/>
    <cellStyle name="Normal 2 3 2 2 2 4" xfId="40023" xr:uid="{00000000-0005-0000-0000-0000ABCD0000}"/>
    <cellStyle name="Normal 2 3 2 2 2 5" xfId="54164" xr:uid="{00000000-0005-0000-0000-0000ACCD0000}"/>
    <cellStyle name="Normal 2 3 2 2 3" xfId="13279" xr:uid="{00000000-0005-0000-0000-0000ADCD0000}"/>
    <cellStyle name="Normal 2 3 2 2 3 2" xfId="29598" xr:uid="{00000000-0005-0000-0000-0000AECD0000}"/>
    <cellStyle name="Normal 2 3 2 2 3 3" xfId="44563" xr:uid="{00000000-0005-0000-0000-0000AFCD0000}"/>
    <cellStyle name="Normal 2 3 2 2 3 4" xfId="56707" xr:uid="{00000000-0005-0000-0000-0000B0CD0000}"/>
    <cellStyle name="Normal 2 3 2 2 4" xfId="22576" xr:uid="{00000000-0005-0000-0000-0000B1CD0000}"/>
    <cellStyle name="Normal 2 3 2 2 5" xfId="37564" xr:uid="{00000000-0005-0000-0000-0000B2CD0000}"/>
    <cellStyle name="Normal 2 3 2 2 6" xfId="53539" xr:uid="{00000000-0005-0000-0000-0000B3CD0000}"/>
    <cellStyle name="Normal 2 3 2 3" xfId="5187" xr:uid="{00000000-0005-0000-0000-0000B4CD0000}"/>
    <cellStyle name="Normal 2 3 2 3 2" xfId="7080" xr:uid="{00000000-0005-0000-0000-0000B5CD0000}"/>
    <cellStyle name="Normal 2 3 2 3 2 2" xfId="14991" xr:uid="{00000000-0005-0000-0000-0000B6CD0000}"/>
    <cellStyle name="Normal 2 3 2 3 2 2 2" xfId="31305" xr:uid="{00000000-0005-0000-0000-0000B7CD0000}"/>
    <cellStyle name="Normal 2 3 2 3 2 2 3" xfId="46269" xr:uid="{00000000-0005-0000-0000-0000B8CD0000}"/>
    <cellStyle name="Normal 2 3 2 3 2 2 4" xfId="57332" xr:uid="{00000000-0005-0000-0000-0000B9CD0000}"/>
    <cellStyle name="Normal 2 3 2 3 2 3" xfId="24283" xr:uid="{00000000-0005-0000-0000-0000BACD0000}"/>
    <cellStyle name="Normal 2 3 2 3 2 4" xfId="39270" xr:uid="{00000000-0005-0000-0000-0000BBCD0000}"/>
    <cellStyle name="Normal 2 3 2 3 2 5" xfId="54165" xr:uid="{00000000-0005-0000-0000-0000BCCD0000}"/>
    <cellStyle name="Normal 2 3 2 3 3" xfId="13280" xr:uid="{00000000-0005-0000-0000-0000BDCD0000}"/>
    <cellStyle name="Normal 2 3 2 3 3 2" xfId="29599" xr:uid="{00000000-0005-0000-0000-0000BECD0000}"/>
    <cellStyle name="Normal 2 3 2 3 3 3" xfId="44564" xr:uid="{00000000-0005-0000-0000-0000BFCD0000}"/>
    <cellStyle name="Normal 2 3 2 3 3 4" xfId="56708" xr:uid="{00000000-0005-0000-0000-0000C0CD0000}"/>
    <cellStyle name="Normal 2 3 2 3 4" xfId="22577" xr:uid="{00000000-0005-0000-0000-0000C1CD0000}"/>
    <cellStyle name="Normal 2 3 2 3 5" xfId="37565" xr:uid="{00000000-0005-0000-0000-0000C2CD0000}"/>
    <cellStyle name="Normal 2 3 2 3 6" xfId="53540" xr:uid="{00000000-0005-0000-0000-0000C3CD0000}"/>
    <cellStyle name="Normal 2 3 2 4" xfId="6092" xr:uid="{00000000-0005-0000-0000-0000C4CD0000}"/>
    <cellStyle name="Normal 2 3 2 4 2" xfId="14009" xr:uid="{00000000-0005-0000-0000-0000C5CD0000}"/>
    <cellStyle name="Normal 2 3 2 4 2 2" xfId="30323" xr:uid="{00000000-0005-0000-0000-0000C6CD0000}"/>
    <cellStyle name="Normal 2 3 2 4 2 3" xfId="45287" xr:uid="{00000000-0005-0000-0000-0000C7CD0000}"/>
    <cellStyle name="Normal 2 3 2 4 2 4" xfId="57330" xr:uid="{00000000-0005-0000-0000-0000C8CD0000}"/>
    <cellStyle name="Normal 2 3 2 4 3" xfId="23301" xr:uid="{00000000-0005-0000-0000-0000C9CD0000}"/>
    <cellStyle name="Normal 2 3 2 4 4" xfId="38288" xr:uid="{00000000-0005-0000-0000-0000CACD0000}"/>
    <cellStyle name="Normal 2 3 2 4 5" xfId="54163" xr:uid="{00000000-0005-0000-0000-0000CBCD0000}"/>
    <cellStyle name="Normal 2 3 2 5" xfId="13278" xr:uid="{00000000-0005-0000-0000-0000CCCD0000}"/>
    <cellStyle name="Normal 2 3 2 5 2" xfId="29597" xr:uid="{00000000-0005-0000-0000-0000CDCD0000}"/>
    <cellStyle name="Normal 2 3 2 5 3" xfId="44562" xr:uid="{00000000-0005-0000-0000-0000CECD0000}"/>
    <cellStyle name="Normal 2 3 2 5 4" xfId="56706" xr:uid="{00000000-0005-0000-0000-0000CFCD0000}"/>
    <cellStyle name="Normal 2 3 2 6" xfId="22575" xr:uid="{00000000-0005-0000-0000-0000D0CD0000}"/>
    <cellStyle name="Normal 2 3 2 7" xfId="37563" xr:uid="{00000000-0005-0000-0000-0000D1CD0000}"/>
    <cellStyle name="Normal 2 3 2 8" xfId="53538" xr:uid="{00000000-0005-0000-0000-0000D2CD0000}"/>
    <cellStyle name="Normal 2 3 20" xfId="52097" xr:uid="{00000000-0005-0000-0000-0000D3CD0000}"/>
    <cellStyle name="Normal 2 3 21" xfId="1558" xr:uid="{00000000-0005-0000-0000-0000D4CD0000}"/>
    <cellStyle name="Normal 2 3 3" xfId="5188" xr:uid="{00000000-0005-0000-0000-0000D5CD0000}"/>
    <cellStyle name="Normal 2 3 3 2" xfId="7607" xr:uid="{00000000-0005-0000-0000-0000D6CD0000}"/>
    <cellStyle name="Normal 2 3 3 2 2" xfId="15508" xr:uid="{00000000-0005-0000-0000-0000D7CD0000}"/>
    <cellStyle name="Normal 2 3 3 2 2 2" xfId="31822" xr:uid="{00000000-0005-0000-0000-0000D8CD0000}"/>
    <cellStyle name="Normal 2 3 3 2 2 3" xfId="46786" xr:uid="{00000000-0005-0000-0000-0000D9CD0000}"/>
    <cellStyle name="Normal 2 3 3 2 2 4" xfId="57333" xr:uid="{00000000-0005-0000-0000-0000DACD0000}"/>
    <cellStyle name="Normal 2 3 3 2 3" xfId="24800" xr:uid="{00000000-0005-0000-0000-0000DBCD0000}"/>
    <cellStyle name="Normal 2 3 3 2 4" xfId="39787" xr:uid="{00000000-0005-0000-0000-0000DCCD0000}"/>
    <cellStyle name="Normal 2 3 3 2 5" xfId="54166" xr:uid="{00000000-0005-0000-0000-0000DDCD0000}"/>
    <cellStyle name="Normal 2 3 3 3" xfId="13281" xr:uid="{00000000-0005-0000-0000-0000DECD0000}"/>
    <cellStyle name="Normal 2 3 3 3 2" xfId="29600" xr:uid="{00000000-0005-0000-0000-0000DFCD0000}"/>
    <cellStyle name="Normal 2 3 3 3 3" xfId="44565" xr:uid="{00000000-0005-0000-0000-0000E0CD0000}"/>
    <cellStyle name="Normal 2 3 3 3 4" xfId="56709" xr:uid="{00000000-0005-0000-0000-0000E1CD0000}"/>
    <cellStyle name="Normal 2 3 3 4" xfId="22578" xr:uid="{00000000-0005-0000-0000-0000E2CD0000}"/>
    <cellStyle name="Normal 2 3 3 5" xfId="37566" xr:uid="{00000000-0005-0000-0000-0000E3CD0000}"/>
    <cellStyle name="Normal 2 3 3 6" xfId="53541" xr:uid="{00000000-0005-0000-0000-0000E4CD0000}"/>
    <cellStyle name="Normal 2 3 4" xfId="5189" xr:uid="{00000000-0005-0000-0000-0000E5CD0000}"/>
    <cellStyle name="Normal 2 3 4 2" xfId="6837" xr:uid="{00000000-0005-0000-0000-0000E6CD0000}"/>
    <cellStyle name="Normal 2 3 4 2 2" xfId="14748" xr:uid="{00000000-0005-0000-0000-0000E7CD0000}"/>
    <cellStyle name="Normal 2 3 4 2 2 2" xfId="31062" xr:uid="{00000000-0005-0000-0000-0000E8CD0000}"/>
    <cellStyle name="Normal 2 3 4 2 2 3" xfId="46026" xr:uid="{00000000-0005-0000-0000-0000E9CD0000}"/>
    <cellStyle name="Normal 2 3 4 2 2 4" xfId="57334" xr:uid="{00000000-0005-0000-0000-0000EACD0000}"/>
    <cellStyle name="Normal 2 3 4 2 3" xfId="24040" xr:uid="{00000000-0005-0000-0000-0000EBCD0000}"/>
    <cellStyle name="Normal 2 3 4 2 4" xfId="39027" xr:uid="{00000000-0005-0000-0000-0000ECCD0000}"/>
    <cellStyle name="Normal 2 3 4 2 5" xfId="54167" xr:uid="{00000000-0005-0000-0000-0000EDCD0000}"/>
    <cellStyle name="Normal 2 3 4 3" xfId="13282" xr:uid="{00000000-0005-0000-0000-0000EECD0000}"/>
    <cellStyle name="Normal 2 3 4 3 2" xfId="29601" xr:uid="{00000000-0005-0000-0000-0000EFCD0000}"/>
    <cellStyle name="Normal 2 3 4 3 3" xfId="44566" xr:uid="{00000000-0005-0000-0000-0000F0CD0000}"/>
    <cellStyle name="Normal 2 3 4 3 4" xfId="56710" xr:uid="{00000000-0005-0000-0000-0000F1CD0000}"/>
    <cellStyle name="Normal 2 3 4 4" xfId="22579" xr:uid="{00000000-0005-0000-0000-0000F2CD0000}"/>
    <cellStyle name="Normal 2 3 4 5" xfId="37567" xr:uid="{00000000-0005-0000-0000-0000F3CD0000}"/>
    <cellStyle name="Normal 2 3 4 6" xfId="53542" xr:uid="{00000000-0005-0000-0000-0000F4CD0000}"/>
    <cellStyle name="Normal 2 3 5" xfId="6091" xr:uid="{00000000-0005-0000-0000-0000F5CD0000}"/>
    <cellStyle name="Normal 2 3 5 2" xfId="14008" xr:uid="{00000000-0005-0000-0000-0000F6CD0000}"/>
    <cellStyle name="Normal 2 3 5 2 2" xfId="30322" xr:uid="{00000000-0005-0000-0000-0000F7CD0000}"/>
    <cellStyle name="Normal 2 3 5 2 2 2" xfId="57335" xr:uid="{00000000-0005-0000-0000-0000F8CD0000}"/>
    <cellStyle name="Normal 2 3 5 2 3" xfId="45286" xr:uid="{00000000-0005-0000-0000-0000F9CD0000}"/>
    <cellStyle name="Normal 2 3 5 2 4" xfId="54168" xr:uid="{00000000-0005-0000-0000-0000FACD0000}"/>
    <cellStyle name="Normal 2 3 5 3" xfId="23300" xr:uid="{00000000-0005-0000-0000-0000FBCD0000}"/>
    <cellStyle name="Normal 2 3 5 3 2" xfId="56711" xr:uid="{00000000-0005-0000-0000-0000FCCD0000}"/>
    <cellStyle name="Normal 2 3 5 4" xfId="38287" xr:uid="{00000000-0005-0000-0000-0000FDCD0000}"/>
    <cellStyle name="Normal 2 3 5 5" xfId="53543" xr:uid="{00000000-0005-0000-0000-0000FECD0000}"/>
    <cellStyle name="Normal 2 3 6" xfId="5184" xr:uid="{00000000-0005-0000-0000-0000FFCD0000}"/>
    <cellStyle name="Normal 2 3 6 2" xfId="13277" xr:uid="{00000000-0005-0000-0000-000000CE0000}"/>
    <cellStyle name="Normal 2 3 6 2 2" xfId="29596" xr:uid="{00000000-0005-0000-0000-000001CE0000}"/>
    <cellStyle name="Normal 2 3 6 2 2 2" xfId="57336" xr:uid="{00000000-0005-0000-0000-000002CE0000}"/>
    <cellStyle name="Normal 2 3 6 2 3" xfId="44561" xr:uid="{00000000-0005-0000-0000-000003CE0000}"/>
    <cellStyle name="Normal 2 3 6 2 4" xfId="54169" xr:uid="{00000000-0005-0000-0000-000004CE0000}"/>
    <cellStyle name="Normal 2 3 6 3" xfId="22574" xr:uid="{00000000-0005-0000-0000-000005CE0000}"/>
    <cellStyle name="Normal 2 3 6 3 2" xfId="56712" xr:uid="{00000000-0005-0000-0000-000006CE0000}"/>
    <cellStyle name="Normal 2 3 6 4" xfId="37562" xr:uid="{00000000-0005-0000-0000-000007CE0000}"/>
    <cellStyle name="Normal 2 3 6 5" xfId="53544" xr:uid="{00000000-0005-0000-0000-000008CE0000}"/>
    <cellStyle name="Normal 2 3 7" xfId="8943" xr:uid="{00000000-0005-0000-0000-000009CE0000}"/>
    <cellStyle name="Normal 2 3 7 2" xfId="16717" xr:uid="{00000000-0005-0000-0000-00000ACE0000}"/>
    <cellStyle name="Normal 2 3 7 2 2" xfId="33030" xr:uid="{00000000-0005-0000-0000-00000BCE0000}"/>
    <cellStyle name="Normal 2 3 7 2 2 2" xfId="57329" xr:uid="{00000000-0005-0000-0000-00000CCE0000}"/>
    <cellStyle name="Normal 2 3 7 2 3" xfId="47994" xr:uid="{00000000-0005-0000-0000-00000DCE0000}"/>
    <cellStyle name="Normal 2 3 7 2 4" xfId="54162" xr:uid="{00000000-0005-0000-0000-00000ECE0000}"/>
    <cellStyle name="Normal 2 3 7 3" xfId="26008" xr:uid="{00000000-0005-0000-0000-00000FCE0000}"/>
    <cellStyle name="Normal 2 3 7 3 2" xfId="56705" xr:uid="{00000000-0005-0000-0000-000010CE0000}"/>
    <cellStyle name="Normal 2 3 7 4" xfId="40995" xr:uid="{00000000-0005-0000-0000-000011CE0000}"/>
    <cellStyle name="Normal 2 3 7 5" xfId="53537" xr:uid="{00000000-0005-0000-0000-000012CE0000}"/>
    <cellStyle name="Normal 2 3 8" xfId="9478" xr:uid="{00000000-0005-0000-0000-000013CE0000}"/>
    <cellStyle name="Normal 2 3 8 2" xfId="53172" xr:uid="{00000000-0005-0000-0000-000014CE0000}"/>
    <cellStyle name="Normal 2 3 9" xfId="10056" xr:uid="{00000000-0005-0000-0000-000015CE0000}"/>
    <cellStyle name="Normal 2 3 9 2" xfId="26377" xr:uid="{00000000-0005-0000-0000-000016CE0000}"/>
    <cellStyle name="Normal 2 3 9 3" xfId="41345" xr:uid="{00000000-0005-0000-0000-000017CE0000}"/>
    <cellStyle name="Normal 2 4" xfId="1159" xr:uid="{00000000-0005-0000-0000-000018CE0000}"/>
    <cellStyle name="Normal 2 4 2" xfId="5191" xr:uid="{00000000-0005-0000-0000-000019CE0000}"/>
    <cellStyle name="Normal 2 4 2 2" xfId="8197" xr:uid="{00000000-0005-0000-0000-00001ACE0000}"/>
    <cellStyle name="Normal 2 4 2 2 2" xfId="16098" xr:uid="{00000000-0005-0000-0000-00001BCE0000}"/>
    <cellStyle name="Normal 2 4 2 2 2 2" xfId="32412" xr:uid="{00000000-0005-0000-0000-00001CCE0000}"/>
    <cellStyle name="Normal 2 4 2 2 2 2 2" xfId="57339" xr:uid="{00000000-0005-0000-0000-00001DCE0000}"/>
    <cellStyle name="Normal 2 4 2 2 2 3" xfId="47376" xr:uid="{00000000-0005-0000-0000-00001ECE0000}"/>
    <cellStyle name="Normal 2 4 2 2 2 4" xfId="54172" xr:uid="{00000000-0005-0000-0000-00001FCE0000}"/>
    <cellStyle name="Normal 2 4 2 2 3" xfId="25390" xr:uid="{00000000-0005-0000-0000-000020CE0000}"/>
    <cellStyle name="Normal 2 4 2 2 3 2" xfId="56715" xr:uid="{00000000-0005-0000-0000-000021CE0000}"/>
    <cellStyle name="Normal 2 4 2 2 4" xfId="40377" xr:uid="{00000000-0005-0000-0000-000022CE0000}"/>
    <cellStyle name="Normal 2 4 2 2 5" xfId="53547" xr:uid="{00000000-0005-0000-0000-000023CE0000}"/>
    <cellStyle name="Normal 2 4 2 3" xfId="13284" xr:uid="{00000000-0005-0000-0000-000024CE0000}"/>
    <cellStyle name="Normal 2 4 2 3 2" xfId="29603" xr:uid="{00000000-0005-0000-0000-000025CE0000}"/>
    <cellStyle name="Normal 2 4 2 3 2 2" xfId="57340" xr:uid="{00000000-0005-0000-0000-000026CE0000}"/>
    <cellStyle name="Normal 2 4 2 3 2 3" xfId="54173" xr:uid="{00000000-0005-0000-0000-000027CE0000}"/>
    <cellStyle name="Normal 2 4 2 3 3" xfId="44568" xr:uid="{00000000-0005-0000-0000-000028CE0000}"/>
    <cellStyle name="Normal 2 4 2 3 3 2" xfId="56716" xr:uid="{00000000-0005-0000-0000-000029CE0000}"/>
    <cellStyle name="Normal 2 4 2 3 4" xfId="53548" xr:uid="{00000000-0005-0000-0000-00002ACE0000}"/>
    <cellStyle name="Normal 2 4 2 4" xfId="18505" xr:uid="{00000000-0005-0000-0000-00002BCE0000}"/>
    <cellStyle name="Normal 2 4 2 4 2" xfId="57338" xr:uid="{00000000-0005-0000-0000-00002CCE0000}"/>
    <cellStyle name="Normal 2 4 2 4 3" xfId="54171" xr:uid="{00000000-0005-0000-0000-00002DCE0000}"/>
    <cellStyle name="Normal 2 4 2 5" xfId="22581" xr:uid="{00000000-0005-0000-0000-00002ECE0000}"/>
    <cellStyle name="Normal 2 4 2 5 2" xfId="56714" xr:uid="{00000000-0005-0000-0000-00002FCE0000}"/>
    <cellStyle name="Normal 2 4 2 5 3" xfId="53546" xr:uid="{00000000-0005-0000-0000-000030CE0000}"/>
    <cellStyle name="Normal 2 4 2 6" xfId="37569" xr:uid="{00000000-0005-0000-0000-000031CE0000}"/>
    <cellStyle name="Normal 2 4 3" xfId="5192" xr:uid="{00000000-0005-0000-0000-000032CE0000}"/>
    <cellStyle name="Normal 2 4 3 2" xfId="7474" xr:uid="{00000000-0005-0000-0000-000033CE0000}"/>
    <cellStyle name="Normal 2 4 3 2 2" xfId="15384" xr:uid="{00000000-0005-0000-0000-000034CE0000}"/>
    <cellStyle name="Normal 2 4 3 2 2 2" xfId="31698" xr:uid="{00000000-0005-0000-0000-000035CE0000}"/>
    <cellStyle name="Normal 2 4 3 2 2 3" xfId="46662" xr:uid="{00000000-0005-0000-0000-000036CE0000}"/>
    <cellStyle name="Normal 2 4 3 2 2 4" xfId="57341" xr:uid="{00000000-0005-0000-0000-000037CE0000}"/>
    <cellStyle name="Normal 2 4 3 2 3" xfId="24676" xr:uid="{00000000-0005-0000-0000-000038CE0000}"/>
    <cellStyle name="Normal 2 4 3 2 4" xfId="39663" xr:uid="{00000000-0005-0000-0000-000039CE0000}"/>
    <cellStyle name="Normal 2 4 3 2 5" xfId="54174" xr:uid="{00000000-0005-0000-0000-00003ACE0000}"/>
    <cellStyle name="Normal 2 4 3 3" xfId="13285" xr:uid="{00000000-0005-0000-0000-00003BCE0000}"/>
    <cellStyle name="Normal 2 4 3 3 2" xfId="29604" xr:uid="{00000000-0005-0000-0000-00003CCE0000}"/>
    <cellStyle name="Normal 2 4 3 3 3" xfId="44569" xr:uid="{00000000-0005-0000-0000-00003DCE0000}"/>
    <cellStyle name="Normal 2 4 3 3 4" xfId="56717" xr:uid="{00000000-0005-0000-0000-00003ECE0000}"/>
    <cellStyle name="Normal 2 4 3 4" xfId="22582" xr:uid="{00000000-0005-0000-0000-00003FCE0000}"/>
    <cellStyle name="Normal 2 4 3 5" xfId="37570" xr:uid="{00000000-0005-0000-0000-000040CE0000}"/>
    <cellStyle name="Normal 2 4 3 6" xfId="53549" xr:uid="{00000000-0005-0000-0000-000041CE0000}"/>
    <cellStyle name="Normal 2 4 4" xfId="6093" xr:uid="{00000000-0005-0000-0000-000042CE0000}"/>
    <cellStyle name="Normal 2 4 4 2" xfId="14010" xr:uid="{00000000-0005-0000-0000-000043CE0000}"/>
    <cellStyle name="Normal 2 4 4 2 2" xfId="30324" xr:uid="{00000000-0005-0000-0000-000044CE0000}"/>
    <cellStyle name="Normal 2 4 4 2 2 2" xfId="57342" xr:uid="{00000000-0005-0000-0000-000045CE0000}"/>
    <cellStyle name="Normal 2 4 4 2 3" xfId="45288" xr:uid="{00000000-0005-0000-0000-000046CE0000}"/>
    <cellStyle name="Normal 2 4 4 2 4" xfId="54175" xr:uid="{00000000-0005-0000-0000-000047CE0000}"/>
    <cellStyle name="Normal 2 4 4 3" xfId="23302" xr:uid="{00000000-0005-0000-0000-000048CE0000}"/>
    <cellStyle name="Normal 2 4 4 3 2" xfId="56718" xr:uid="{00000000-0005-0000-0000-000049CE0000}"/>
    <cellStyle name="Normal 2 4 4 4" xfId="38289" xr:uid="{00000000-0005-0000-0000-00004ACE0000}"/>
    <cellStyle name="Normal 2 4 4 5" xfId="53550" xr:uid="{00000000-0005-0000-0000-00004BCE0000}"/>
    <cellStyle name="Normal 2 4 5" xfId="5190" xr:uid="{00000000-0005-0000-0000-00004CCE0000}"/>
    <cellStyle name="Normal 2 4 5 2" xfId="13283" xr:uid="{00000000-0005-0000-0000-00004DCE0000}"/>
    <cellStyle name="Normal 2 4 5 2 2" xfId="29602" xr:uid="{00000000-0005-0000-0000-00004ECE0000}"/>
    <cellStyle name="Normal 2 4 5 2 2 2" xfId="57343" xr:uid="{00000000-0005-0000-0000-00004FCE0000}"/>
    <cellStyle name="Normal 2 4 5 2 3" xfId="44567" xr:uid="{00000000-0005-0000-0000-000050CE0000}"/>
    <cellStyle name="Normal 2 4 5 2 4" xfId="54176" xr:uid="{00000000-0005-0000-0000-000051CE0000}"/>
    <cellStyle name="Normal 2 4 5 3" xfId="22580" xr:uid="{00000000-0005-0000-0000-000052CE0000}"/>
    <cellStyle name="Normal 2 4 5 3 2" xfId="56719" xr:uid="{00000000-0005-0000-0000-000053CE0000}"/>
    <cellStyle name="Normal 2 4 5 4" xfId="37568" xr:uid="{00000000-0005-0000-0000-000054CE0000}"/>
    <cellStyle name="Normal 2 4 5 5" xfId="53551" xr:uid="{00000000-0005-0000-0000-000055CE0000}"/>
    <cellStyle name="Normal 2 4 6" xfId="51162" xr:uid="{00000000-0005-0000-0000-000056CE0000}"/>
    <cellStyle name="Normal 2 4 6 2" xfId="54177" xr:uid="{00000000-0005-0000-0000-000057CE0000}"/>
    <cellStyle name="Normal 2 4 6 2 2" xfId="57344" xr:uid="{00000000-0005-0000-0000-000058CE0000}"/>
    <cellStyle name="Normal 2 4 6 3" xfId="56720" xr:uid="{00000000-0005-0000-0000-000059CE0000}"/>
    <cellStyle name="Normal 2 4 6 4" xfId="53552" xr:uid="{00000000-0005-0000-0000-00005ACE0000}"/>
    <cellStyle name="Normal 2 4 7" xfId="53545" xr:uid="{00000000-0005-0000-0000-00005BCE0000}"/>
    <cellStyle name="Normal 2 4 7 2" xfId="54170" xr:uid="{00000000-0005-0000-0000-00005CCE0000}"/>
    <cellStyle name="Normal 2 4 7 2 2" xfId="57337" xr:uid="{00000000-0005-0000-0000-00005DCE0000}"/>
    <cellStyle name="Normal 2 4 7 3" xfId="56713" xr:uid="{00000000-0005-0000-0000-00005ECE0000}"/>
    <cellStyle name="Normal 2 4 8" xfId="53173" xr:uid="{00000000-0005-0000-0000-00005FCE0000}"/>
    <cellStyle name="Normal 2 5" xfId="5193" xr:uid="{00000000-0005-0000-0000-000060CE0000}"/>
    <cellStyle name="Normal 2 5 2" xfId="8874" xr:uid="{00000000-0005-0000-0000-000061CE0000}"/>
    <cellStyle name="Normal 2 5 2 2" xfId="53555" xr:uid="{00000000-0005-0000-0000-000062CE0000}"/>
    <cellStyle name="Normal 2 5 2 2 2" xfId="54180" xr:uid="{00000000-0005-0000-0000-000063CE0000}"/>
    <cellStyle name="Normal 2 5 2 2 2 2" xfId="57347" xr:uid="{00000000-0005-0000-0000-000064CE0000}"/>
    <cellStyle name="Normal 2 5 2 2 3" xfId="56723" xr:uid="{00000000-0005-0000-0000-000065CE0000}"/>
    <cellStyle name="Normal 2 5 2 3" xfId="53556" xr:uid="{00000000-0005-0000-0000-000066CE0000}"/>
    <cellStyle name="Normal 2 5 2 3 2" xfId="54181" xr:uid="{00000000-0005-0000-0000-000067CE0000}"/>
    <cellStyle name="Normal 2 5 2 3 2 2" xfId="57348" xr:uid="{00000000-0005-0000-0000-000068CE0000}"/>
    <cellStyle name="Normal 2 5 2 3 3" xfId="56724" xr:uid="{00000000-0005-0000-0000-000069CE0000}"/>
    <cellStyle name="Normal 2 5 2 4" xfId="54179" xr:uid="{00000000-0005-0000-0000-00006ACE0000}"/>
    <cellStyle name="Normal 2 5 2 4 2" xfId="57346" xr:uid="{00000000-0005-0000-0000-00006BCE0000}"/>
    <cellStyle name="Normal 2 5 2 5" xfId="56722" xr:uid="{00000000-0005-0000-0000-00006CCE0000}"/>
    <cellStyle name="Normal 2 5 2 6" xfId="53554" xr:uid="{00000000-0005-0000-0000-00006DCE0000}"/>
    <cellStyle name="Normal 2 5 3" xfId="51163" xr:uid="{00000000-0005-0000-0000-00006ECE0000}"/>
    <cellStyle name="Normal 2 5 3 2" xfId="54182" xr:uid="{00000000-0005-0000-0000-00006FCE0000}"/>
    <cellStyle name="Normal 2 5 3 2 2" xfId="57349" xr:uid="{00000000-0005-0000-0000-000070CE0000}"/>
    <cellStyle name="Normal 2 5 3 3" xfId="56725" xr:uid="{00000000-0005-0000-0000-000071CE0000}"/>
    <cellStyle name="Normal 2 5 3 4" xfId="53557" xr:uid="{00000000-0005-0000-0000-000072CE0000}"/>
    <cellStyle name="Normal 2 5 4" xfId="53558" xr:uid="{00000000-0005-0000-0000-000073CE0000}"/>
    <cellStyle name="Normal 2 5 4 2" xfId="54183" xr:uid="{00000000-0005-0000-0000-000074CE0000}"/>
    <cellStyle name="Normal 2 5 4 2 2" xfId="57350" xr:uid="{00000000-0005-0000-0000-000075CE0000}"/>
    <cellStyle name="Normal 2 5 4 3" xfId="56726" xr:uid="{00000000-0005-0000-0000-000076CE0000}"/>
    <cellStyle name="Normal 2 5 5" xfId="53559" xr:uid="{00000000-0005-0000-0000-000077CE0000}"/>
    <cellStyle name="Normal 2 5 5 2" xfId="54184" xr:uid="{00000000-0005-0000-0000-000078CE0000}"/>
    <cellStyle name="Normal 2 5 5 2 2" xfId="57351" xr:uid="{00000000-0005-0000-0000-000079CE0000}"/>
    <cellStyle name="Normal 2 5 5 3" xfId="56727" xr:uid="{00000000-0005-0000-0000-00007ACE0000}"/>
    <cellStyle name="Normal 2 5 6" xfId="53553" xr:uid="{00000000-0005-0000-0000-00007BCE0000}"/>
    <cellStyle name="Normal 2 5 6 2" xfId="54178" xr:uid="{00000000-0005-0000-0000-00007CCE0000}"/>
    <cellStyle name="Normal 2 5 6 2 2" xfId="57345" xr:uid="{00000000-0005-0000-0000-00007DCE0000}"/>
    <cellStyle name="Normal 2 5 6 3" xfId="56721" xr:uid="{00000000-0005-0000-0000-00007ECE0000}"/>
    <cellStyle name="Normal 2 5 7" xfId="53174" xr:uid="{00000000-0005-0000-0000-00007FCE0000}"/>
    <cellStyle name="Normal 2 6" xfId="5194" xr:uid="{00000000-0005-0000-0000-000080CE0000}"/>
    <cellStyle name="Normal 2 6 2" xfId="5195" xr:uid="{00000000-0005-0000-0000-000081CE0000}"/>
    <cellStyle name="Normal 2 6 2 2" xfId="8608" xr:uid="{00000000-0005-0000-0000-000082CE0000}"/>
    <cellStyle name="Normal 2 6 2 2 2" xfId="16494" xr:uid="{00000000-0005-0000-0000-000083CE0000}"/>
    <cellStyle name="Normal 2 6 2 2 2 2" xfId="32808" xr:uid="{00000000-0005-0000-0000-000084CE0000}"/>
    <cellStyle name="Normal 2 6 2 2 2 2 2" xfId="57354" xr:uid="{00000000-0005-0000-0000-000085CE0000}"/>
    <cellStyle name="Normal 2 6 2 2 2 3" xfId="47772" xr:uid="{00000000-0005-0000-0000-000086CE0000}"/>
    <cellStyle name="Normal 2 6 2 2 2 4" xfId="54187" xr:uid="{00000000-0005-0000-0000-000087CE0000}"/>
    <cellStyle name="Normal 2 6 2 2 3" xfId="25786" xr:uid="{00000000-0005-0000-0000-000088CE0000}"/>
    <cellStyle name="Normal 2 6 2 2 3 2" xfId="56730" xr:uid="{00000000-0005-0000-0000-000089CE0000}"/>
    <cellStyle name="Normal 2 6 2 2 4" xfId="40773" xr:uid="{00000000-0005-0000-0000-00008ACE0000}"/>
    <cellStyle name="Normal 2 6 2 2 5" xfId="53562" xr:uid="{00000000-0005-0000-0000-00008BCE0000}"/>
    <cellStyle name="Normal 2 6 2 3" xfId="13287" xr:uid="{00000000-0005-0000-0000-00008CCE0000}"/>
    <cellStyle name="Normal 2 6 2 3 2" xfId="29606" xr:uid="{00000000-0005-0000-0000-00008DCE0000}"/>
    <cellStyle name="Normal 2 6 2 3 2 2" xfId="57355" xr:uid="{00000000-0005-0000-0000-00008ECE0000}"/>
    <cellStyle name="Normal 2 6 2 3 2 3" xfId="54188" xr:uid="{00000000-0005-0000-0000-00008FCE0000}"/>
    <cellStyle name="Normal 2 6 2 3 3" xfId="44571" xr:uid="{00000000-0005-0000-0000-000090CE0000}"/>
    <cellStyle name="Normal 2 6 2 3 3 2" xfId="56731" xr:uid="{00000000-0005-0000-0000-000091CE0000}"/>
    <cellStyle name="Normal 2 6 2 3 4" xfId="53563" xr:uid="{00000000-0005-0000-0000-000092CE0000}"/>
    <cellStyle name="Normal 2 6 2 4" xfId="22584" xr:uid="{00000000-0005-0000-0000-000093CE0000}"/>
    <cellStyle name="Normal 2 6 2 4 2" xfId="57353" xr:uid="{00000000-0005-0000-0000-000094CE0000}"/>
    <cellStyle name="Normal 2 6 2 4 3" xfId="54186" xr:uid="{00000000-0005-0000-0000-000095CE0000}"/>
    <cellStyle name="Normal 2 6 2 5" xfId="37572" xr:uid="{00000000-0005-0000-0000-000096CE0000}"/>
    <cellStyle name="Normal 2 6 2 5 2" xfId="56729" xr:uid="{00000000-0005-0000-0000-000097CE0000}"/>
    <cellStyle name="Normal 2 6 2 6" xfId="53561" xr:uid="{00000000-0005-0000-0000-000098CE0000}"/>
    <cellStyle name="Normal 2 6 3" xfId="6089" xr:uid="{00000000-0005-0000-0000-000099CE0000}"/>
    <cellStyle name="Normal 2 6 3 2" xfId="14006" xr:uid="{00000000-0005-0000-0000-00009ACE0000}"/>
    <cellStyle name="Normal 2 6 3 2 2" xfId="30320" xr:uid="{00000000-0005-0000-0000-00009BCE0000}"/>
    <cellStyle name="Normal 2 6 3 2 2 2" xfId="57356" xr:uid="{00000000-0005-0000-0000-00009CCE0000}"/>
    <cellStyle name="Normal 2 6 3 2 3" xfId="45284" xr:uid="{00000000-0005-0000-0000-00009DCE0000}"/>
    <cellStyle name="Normal 2 6 3 2 4" xfId="54189" xr:uid="{00000000-0005-0000-0000-00009ECE0000}"/>
    <cellStyle name="Normal 2 6 3 3" xfId="23298" xr:uid="{00000000-0005-0000-0000-00009FCE0000}"/>
    <cellStyle name="Normal 2 6 3 3 2" xfId="56732" xr:uid="{00000000-0005-0000-0000-0000A0CE0000}"/>
    <cellStyle name="Normal 2 6 3 4" xfId="38285" xr:uid="{00000000-0005-0000-0000-0000A1CE0000}"/>
    <cellStyle name="Normal 2 6 3 5" xfId="53564" xr:uid="{00000000-0005-0000-0000-0000A2CE0000}"/>
    <cellStyle name="Normal 2 6 4" xfId="13286" xr:uid="{00000000-0005-0000-0000-0000A3CE0000}"/>
    <cellStyle name="Normal 2 6 4 2" xfId="29605" xr:uid="{00000000-0005-0000-0000-0000A4CE0000}"/>
    <cellStyle name="Normal 2 6 4 2 2" xfId="57357" xr:uid="{00000000-0005-0000-0000-0000A5CE0000}"/>
    <cellStyle name="Normal 2 6 4 2 3" xfId="54190" xr:uid="{00000000-0005-0000-0000-0000A6CE0000}"/>
    <cellStyle name="Normal 2 6 4 3" xfId="44570" xr:uid="{00000000-0005-0000-0000-0000A7CE0000}"/>
    <cellStyle name="Normal 2 6 4 3 2" xfId="56733" xr:uid="{00000000-0005-0000-0000-0000A8CE0000}"/>
    <cellStyle name="Normal 2 6 4 4" xfId="53565" xr:uid="{00000000-0005-0000-0000-0000A9CE0000}"/>
    <cellStyle name="Normal 2 6 5" xfId="22583" xr:uid="{00000000-0005-0000-0000-0000AACE0000}"/>
    <cellStyle name="Normal 2 6 5 2" xfId="54191" xr:uid="{00000000-0005-0000-0000-0000ABCE0000}"/>
    <cellStyle name="Normal 2 6 5 2 2" xfId="57358" xr:uid="{00000000-0005-0000-0000-0000ACCE0000}"/>
    <cellStyle name="Normal 2 6 5 3" xfId="56734" xr:uid="{00000000-0005-0000-0000-0000ADCE0000}"/>
    <cellStyle name="Normal 2 6 5 4" xfId="53566" xr:uid="{00000000-0005-0000-0000-0000AECE0000}"/>
    <cellStyle name="Normal 2 6 6" xfId="37571" xr:uid="{00000000-0005-0000-0000-0000AFCE0000}"/>
    <cellStyle name="Normal 2 6 6 2" xfId="54185" xr:uid="{00000000-0005-0000-0000-0000B0CE0000}"/>
    <cellStyle name="Normal 2 6 6 2 2" xfId="57352" xr:uid="{00000000-0005-0000-0000-0000B1CE0000}"/>
    <cellStyle name="Normal 2 6 6 3" xfId="56728" xr:uid="{00000000-0005-0000-0000-0000B2CE0000}"/>
    <cellStyle name="Normal 2 6 6 4" xfId="53560" xr:uid="{00000000-0005-0000-0000-0000B3CE0000}"/>
    <cellStyle name="Normal 2 6 7" xfId="51297" xr:uid="{00000000-0005-0000-0000-0000B4CE0000}"/>
    <cellStyle name="Normal 2 6 8" xfId="53182" xr:uid="{00000000-0005-0000-0000-0000B5CE0000}"/>
    <cellStyle name="Normal 2 7" xfId="5196" xr:uid="{00000000-0005-0000-0000-0000B6CE0000}"/>
    <cellStyle name="Normal 2 7 2" xfId="53568" xr:uid="{00000000-0005-0000-0000-0000B7CE0000}"/>
    <cellStyle name="Normal 2 7 2 2" xfId="53569" xr:uid="{00000000-0005-0000-0000-0000B8CE0000}"/>
    <cellStyle name="Normal 2 7 2 2 2" xfId="54194" xr:uid="{00000000-0005-0000-0000-0000B9CE0000}"/>
    <cellStyle name="Normal 2 7 2 2 2 2" xfId="57361" xr:uid="{00000000-0005-0000-0000-0000BACE0000}"/>
    <cellStyle name="Normal 2 7 2 2 3" xfId="56737" xr:uid="{00000000-0005-0000-0000-0000BBCE0000}"/>
    <cellStyle name="Normal 2 7 2 3" xfId="53570" xr:uid="{00000000-0005-0000-0000-0000BCCE0000}"/>
    <cellStyle name="Normal 2 7 2 3 2" xfId="54195" xr:uid="{00000000-0005-0000-0000-0000BDCE0000}"/>
    <cellStyle name="Normal 2 7 2 3 2 2" xfId="57362" xr:uid="{00000000-0005-0000-0000-0000BECE0000}"/>
    <cellStyle name="Normal 2 7 2 3 3" xfId="56738" xr:uid="{00000000-0005-0000-0000-0000BFCE0000}"/>
    <cellStyle name="Normal 2 7 2 4" xfId="54193" xr:uid="{00000000-0005-0000-0000-0000C0CE0000}"/>
    <cellStyle name="Normal 2 7 2 4 2" xfId="57360" xr:uid="{00000000-0005-0000-0000-0000C1CE0000}"/>
    <cellStyle name="Normal 2 7 2 5" xfId="56736" xr:uid="{00000000-0005-0000-0000-0000C2CE0000}"/>
    <cellStyle name="Normal 2 7 3" xfId="53571" xr:uid="{00000000-0005-0000-0000-0000C3CE0000}"/>
    <cellStyle name="Normal 2 7 3 2" xfId="54196" xr:uid="{00000000-0005-0000-0000-0000C4CE0000}"/>
    <cellStyle name="Normal 2 7 3 2 2" xfId="57363" xr:uid="{00000000-0005-0000-0000-0000C5CE0000}"/>
    <cellStyle name="Normal 2 7 3 3" xfId="56739" xr:uid="{00000000-0005-0000-0000-0000C6CE0000}"/>
    <cellStyle name="Normal 2 7 4" xfId="53572" xr:uid="{00000000-0005-0000-0000-0000C7CE0000}"/>
    <cellStyle name="Normal 2 7 4 2" xfId="54197" xr:uid="{00000000-0005-0000-0000-0000C8CE0000}"/>
    <cellStyle name="Normal 2 7 4 2 2" xfId="57364" xr:uid="{00000000-0005-0000-0000-0000C9CE0000}"/>
    <cellStyle name="Normal 2 7 4 3" xfId="56740" xr:uid="{00000000-0005-0000-0000-0000CACE0000}"/>
    <cellStyle name="Normal 2 7 5" xfId="53573" xr:uid="{00000000-0005-0000-0000-0000CBCE0000}"/>
    <cellStyle name="Normal 2 7 5 2" xfId="54198" xr:uid="{00000000-0005-0000-0000-0000CCCE0000}"/>
    <cellStyle name="Normal 2 7 5 2 2" xfId="57365" xr:uid="{00000000-0005-0000-0000-0000CDCE0000}"/>
    <cellStyle name="Normal 2 7 5 3" xfId="56741" xr:uid="{00000000-0005-0000-0000-0000CECE0000}"/>
    <cellStyle name="Normal 2 7 6" xfId="54192" xr:uid="{00000000-0005-0000-0000-0000CFCE0000}"/>
    <cellStyle name="Normal 2 7 6 2" xfId="57359" xr:uid="{00000000-0005-0000-0000-0000D0CE0000}"/>
    <cellStyle name="Normal 2 7 7" xfId="56735" xr:uid="{00000000-0005-0000-0000-0000D1CE0000}"/>
    <cellStyle name="Normal 2 7 8" xfId="53567" xr:uid="{00000000-0005-0000-0000-0000D2CE0000}"/>
    <cellStyle name="Normal 2 8" xfId="5177" xr:uid="{00000000-0005-0000-0000-0000D3CE0000}"/>
    <cellStyle name="Normal 2 8 2" xfId="13274" xr:uid="{00000000-0005-0000-0000-0000D4CE0000}"/>
    <cellStyle name="Normal 2 8 2 2" xfId="29593" xr:uid="{00000000-0005-0000-0000-0000D5CE0000}"/>
    <cellStyle name="Normal 2 8 2 2 2" xfId="54201" xr:uid="{00000000-0005-0000-0000-0000D6CE0000}"/>
    <cellStyle name="Normal 2 8 2 2 2 2" xfId="57368" xr:uid="{00000000-0005-0000-0000-0000D7CE0000}"/>
    <cellStyle name="Normal 2 8 2 2 3" xfId="56744" xr:uid="{00000000-0005-0000-0000-0000D8CE0000}"/>
    <cellStyle name="Normal 2 8 2 2 4" xfId="53576" xr:uid="{00000000-0005-0000-0000-0000D9CE0000}"/>
    <cellStyle name="Normal 2 8 2 3" xfId="44558" xr:uid="{00000000-0005-0000-0000-0000DACE0000}"/>
    <cellStyle name="Normal 2 8 2 3 2" xfId="54202" xr:uid="{00000000-0005-0000-0000-0000DBCE0000}"/>
    <cellStyle name="Normal 2 8 2 3 2 2" xfId="57369" xr:uid="{00000000-0005-0000-0000-0000DCCE0000}"/>
    <cellStyle name="Normal 2 8 2 3 3" xfId="56745" xr:uid="{00000000-0005-0000-0000-0000DDCE0000}"/>
    <cellStyle name="Normal 2 8 2 3 4" xfId="53577" xr:uid="{00000000-0005-0000-0000-0000DECE0000}"/>
    <cellStyle name="Normal 2 8 2 4" xfId="54200" xr:uid="{00000000-0005-0000-0000-0000DFCE0000}"/>
    <cellStyle name="Normal 2 8 2 4 2" xfId="57367" xr:uid="{00000000-0005-0000-0000-0000E0CE0000}"/>
    <cellStyle name="Normal 2 8 2 5" xfId="56743" xr:uid="{00000000-0005-0000-0000-0000E1CE0000}"/>
    <cellStyle name="Normal 2 8 2 6" xfId="53575" xr:uid="{00000000-0005-0000-0000-0000E2CE0000}"/>
    <cellStyle name="Normal 2 8 3" xfId="22571" xr:uid="{00000000-0005-0000-0000-0000E3CE0000}"/>
    <cellStyle name="Normal 2 8 3 2" xfId="54203" xr:uid="{00000000-0005-0000-0000-0000E4CE0000}"/>
    <cellStyle name="Normal 2 8 3 2 2" xfId="57370" xr:uid="{00000000-0005-0000-0000-0000E5CE0000}"/>
    <cellStyle name="Normal 2 8 3 3" xfId="56746" xr:uid="{00000000-0005-0000-0000-0000E6CE0000}"/>
    <cellStyle name="Normal 2 8 3 4" xfId="53578" xr:uid="{00000000-0005-0000-0000-0000E7CE0000}"/>
    <cellStyle name="Normal 2 8 4" xfId="37559" xr:uid="{00000000-0005-0000-0000-0000E8CE0000}"/>
    <cellStyle name="Normal 2 8 4 2" xfId="54204" xr:uid="{00000000-0005-0000-0000-0000E9CE0000}"/>
    <cellStyle name="Normal 2 8 4 2 2" xfId="57371" xr:uid="{00000000-0005-0000-0000-0000EACE0000}"/>
    <cellStyle name="Normal 2 8 4 3" xfId="56747" xr:uid="{00000000-0005-0000-0000-0000EBCE0000}"/>
    <cellStyle name="Normal 2 8 4 4" xfId="53579" xr:uid="{00000000-0005-0000-0000-0000ECCE0000}"/>
    <cellStyle name="Normal 2 8 5" xfId="53580" xr:uid="{00000000-0005-0000-0000-0000EDCE0000}"/>
    <cellStyle name="Normal 2 8 5 2" xfId="54205" xr:uid="{00000000-0005-0000-0000-0000EECE0000}"/>
    <cellStyle name="Normal 2 8 5 2 2" xfId="57372" xr:uid="{00000000-0005-0000-0000-0000EFCE0000}"/>
    <cellStyle name="Normal 2 8 5 3" xfId="56748" xr:uid="{00000000-0005-0000-0000-0000F0CE0000}"/>
    <cellStyle name="Normal 2 8 6" xfId="54199" xr:uid="{00000000-0005-0000-0000-0000F1CE0000}"/>
    <cellStyle name="Normal 2 8 6 2" xfId="57366" xr:uid="{00000000-0005-0000-0000-0000F2CE0000}"/>
    <cellStyle name="Normal 2 8 7" xfId="56742" xr:uid="{00000000-0005-0000-0000-0000F3CE0000}"/>
    <cellStyle name="Normal 2 8 8" xfId="53574" xr:uid="{00000000-0005-0000-0000-0000F4CE0000}"/>
    <cellStyle name="Normal 2 9" xfId="1586" xr:uid="{00000000-0005-0000-0000-0000F5CE0000}"/>
    <cellStyle name="Normal 2 9 2" xfId="10145" xr:uid="{00000000-0005-0000-0000-0000F6CE0000}"/>
    <cellStyle name="Normal 2 9 2 2" xfId="26464" xr:uid="{00000000-0005-0000-0000-0000F7CE0000}"/>
    <cellStyle name="Normal 2 9 2 2 2" xfId="54208" xr:uid="{00000000-0005-0000-0000-0000F8CE0000}"/>
    <cellStyle name="Normal 2 9 2 2 2 2" xfId="57375" xr:uid="{00000000-0005-0000-0000-0000F9CE0000}"/>
    <cellStyle name="Normal 2 9 2 2 3" xfId="56751" xr:uid="{00000000-0005-0000-0000-0000FACE0000}"/>
    <cellStyle name="Normal 2 9 2 2 4" xfId="53583" xr:uid="{00000000-0005-0000-0000-0000FBCE0000}"/>
    <cellStyle name="Normal 2 9 2 3" xfId="41430" xr:uid="{00000000-0005-0000-0000-0000FCCE0000}"/>
    <cellStyle name="Normal 2 9 2 3 2" xfId="54209" xr:uid="{00000000-0005-0000-0000-0000FDCE0000}"/>
    <cellStyle name="Normal 2 9 2 3 2 2" xfId="57376" xr:uid="{00000000-0005-0000-0000-0000FECE0000}"/>
    <cellStyle name="Normal 2 9 2 3 3" xfId="56752" xr:uid="{00000000-0005-0000-0000-0000FFCE0000}"/>
    <cellStyle name="Normal 2 9 2 3 4" xfId="53584" xr:uid="{00000000-0005-0000-0000-000000CF0000}"/>
    <cellStyle name="Normal 2 9 2 4" xfId="54207" xr:uid="{00000000-0005-0000-0000-000001CF0000}"/>
    <cellStyle name="Normal 2 9 2 4 2" xfId="57374" xr:uid="{00000000-0005-0000-0000-000002CF0000}"/>
    <cellStyle name="Normal 2 9 2 5" xfId="56750" xr:uid="{00000000-0005-0000-0000-000003CF0000}"/>
    <cellStyle name="Normal 2 9 2 6" xfId="53582" xr:uid="{00000000-0005-0000-0000-000004CF0000}"/>
    <cellStyle name="Normal 2 9 3" xfId="19442" xr:uid="{00000000-0005-0000-0000-000005CF0000}"/>
    <cellStyle name="Normal 2 9 3 2" xfId="54210" xr:uid="{00000000-0005-0000-0000-000006CF0000}"/>
    <cellStyle name="Normal 2 9 3 2 2" xfId="57377" xr:uid="{00000000-0005-0000-0000-000007CF0000}"/>
    <cellStyle name="Normal 2 9 3 3" xfId="56753" xr:uid="{00000000-0005-0000-0000-000008CF0000}"/>
    <cellStyle name="Normal 2 9 3 4" xfId="53585" xr:uid="{00000000-0005-0000-0000-000009CF0000}"/>
    <cellStyle name="Normal 2 9 4" xfId="34431" xr:uid="{00000000-0005-0000-0000-00000ACF0000}"/>
    <cellStyle name="Normal 2 9 4 2" xfId="54211" xr:uid="{00000000-0005-0000-0000-00000BCF0000}"/>
    <cellStyle name="Normal 2 9 4 2 2" xfId="57378" xr:uid="{00000000-0005-0000-0000-00000CCF0000}"/>
    <cellStyle name="Normal 2 9 4 3" xfId="56754" xr:uid="{00000000-0005-0000-0000-00000DCF0000}"/>
    <cellStyle name="Normal 2 9 4 4" xfId="53586" xr:uid="{00000000-0005-0000-0000-00000ECF0000}"/>
    <cellStyle name="Normal 2 9 5" xfId="54206" xr:uid="{00000000-0005-0000-0000-00000FCF0000}"/>
    <cellStyle name="Normal 2 9 5 2" xfId="57373" xr:uid="{00000000-0005-0000-0000-000010CF0000}"/>
    <cellStyle name="Normal 2 9 6" xfId="56749" xr:uid="{00000000-0005-0000-0000-000011CF0000}"/>
    <cellStyle name="Normal 2 9 7" xfId="53581" xr:uid="{00000000-0005-0000-0000-000012CF0000}"/>
    <cellStyle name="Normal 20" xfId="5197" xr:uid="{00000000-0005-0000-0000-000013CF0000}"/>
    <cellStyle name="Normal 20 2" xfId="8619" xr:uid="{00000000-0005-0000-0000-000014CF0000}"/>
    <cellStyle name="Normal 20 2 2" xfId="8916" xr:uid="{00000000-0005-0000-0000-000015CF0000}"/>
    <cellStyle name="Normal 20 2 2 2" xfId="57379" xr:uid="{00000000-0005-0000-0000-000016CF0000}"/>
    <cellStyle name="Normal 20 2 3" xfId="54212" xr:uid="{00000000-0005-0000-0000-000017CF0000}"/>
    <cellStyle name="Normal 20 3" xfId="8875" xr:uid="{00000000-0005-0000-0000-000018CF0000}"/>
    <cellStyle name="Normal 20 3 2" xfId="56755" xr:uid="{00000000-0005-0000-0000-000019CF0000}"/>
    <cellStyle name="Normal 20 4" xfId="53587" xr:uid="{00000000-0005-0000-0000-00001ACF0000}"/>
    <cellStyle name="Normal 21" xfId="1595" xr:uid="{00000000-0005-0000-0000-00001BCF0000}"/>
    <cellStyle name="Normal 21 2" xfId="8846" xr:uid="{00000000-0005-0000-0000-00001CCF0000}"/>
    <cellStyle name="Normal 21 2 2" xfId="57380" xr:uid="{00000000-0005-0000-0000-00001DCF0000}"/>
    <cellStyle name="Normal 21 2 3" xfId="54213" xr:uid="{00000000-0005-0000-0000-00001ECF0000}"/>
    <cellStyle name="Normal 21 3" xfId="56756" xr:uid="{00000000-0005-0000-0000-00001FCF0000}"/>
    <cellStyle name="Normal 21 4" xfId="53588" xr:uid="{00000000-0005-0000-0000-000020CF0000}"/>
    <cellStyle name="Normal 22" xfId="8837" xr:uid="{00000000-0005-0000-0000-000021CF0000}"/>
    <cellStyle name="Normal 22 2" xfId="16686" xr:uid="{00000000-0005-0000-0000-000022CF0000}"/>
    <cellStyle name="Normal 22 2 2" xfId="33000" xr:uid="{00000000-0005-0000-0000-000023CF0000}"/>
    <cellStyle name="Normal 22 2 2 2" xfId="57381" xr:uid="{00000000-0005-0000-0000-000024CF0000}"/>
    <cellStyle name="Normal 22 2 3" xfId="47964" xr:uid="{00000000-0005-0000-0000-000025CF0000}"/>
    <cellStyle name="Normal 22 2 4" xfId="54214" xr:uid="{00000000-0005-0000-0000-000026CF0000}"/>
    <cellStyle name="Normal 22 3" xfId="25978" xr:uid="{00000000-0005-0000-0000-000027CF0000}"/>
    <cellStyle name="Normal 22 3 2" xfId="56757" xr:uid="{00000000-0005-0000-0000-000028CF0000}"/>
    <cellStyle name="Normal 22 4" xfId="40965" xr:uid="{00000000-0005-0000-0000-000029CF0000}"/>
    <cellStyle name="Normal 22 5" xfId="53589" xr:uid="{00000000-0005-0000-0000-00002ACF0000}"/>
    <cellStyle name="Normal 23" xfId="1581" xr:uid="{00000000-0005-0000-0000-00002BCF0000}"/>
    <cellStyle name="Normal 23 2" xfId="8917" xr:uid="{00000000-0005-0000-0000-00002CCF0000}"/>
    <cellStyle name="Normal 23 2 2" xfId="57109" xr:uid="{00000000-0005-0000-0000-00002DCF0000}"/>
    <cellStyle name="Normal 23 2 3" xfId="53942" xr:uid="{00000000-0005-0000-0000-00002ECF0000}"/>
    <cellStyle name="Normal 23 3" xfId="56498" xr:uid="{00000000-0005-0000-0000-00002FCF0000}"/>
    <cellStyle name="Normal 23 4" xfId="53306" xr:uid="{00000000-0005-0000-0000-000030CF0000}"/>
    <cellStyle name="Normal 24" xfId="8843" xr:uid="{00000000-0005-0000-0000-000031CF0000}"/>
    <cellStyle name="Normal 24 2" xfId="8921" xr:uid="{00000000-0005-0000-0000-000032CF0000}"/>
    <cellStyle name="Normal 24 3" xfId="54514" xr:uid="{00000000-0005-0000-0000-000033CF0000}"/>
    <cellStyle name="Normal 25" xfId="8918" xr:uid="{00000000-0005-0000-0000-000034CF0000}"/>
    <cellStyle name="Normal 25 2" xfId="54517" xr:uid="{00000000-0005-0000-0000-000035CF0000}"/>
    <cellStyle name="Normal 26" xfId="1578" xr:uid="{00000000-0005-0000-0000-000036CF0000}"/>
    <cellStyle name="Normal 26 2" xfId="10141" xr:uid="{00000000-0005-0000-0000-000037CF0000}"/>
    <cellStyle name="Normal 26 2 2" xfId="26460" xr:uid="{00000000-0005-0000-0000-000038CF0000}"/>
    <cellStyle name="Normal 26 2 3" xfId="41426" xr:uid="{00000000-0005-0000-0000-000039CF0000}"/>
    <cellStyle name="Normal 26 3" xfId="19438" xr:uid="{00000000-0005-0000-0000-00003ACF0000}"/>
    <cellStyle name="Normal 26 4" xfId="34427" xr:uid="{00000000-0005-0000-0000-00003BCF0000}"/>
    <cellStyle name="Normal 26 5" xfId="54518" xr:uid="{00000000-0005-0000-0000-00003CCF0000}"/>
    <cellStyle name="Normal 27" xfId="1533" xr:uid="{00000000-0005-0000-0000-00003DCF0000}"/>
    <cellStyle name="Normal 27 2" xfId="16736" xr:uid="{00000000-0005-0000-0000-00003ECF0000}"/>
    <cellStyle name="Normal 27 2 2" xfId="33049" xr:uid="{00000000-0005-0000-0000-00003FCF0000}"/>
    <cellStyle name="Normal 27 2 3" xfId="48013" xr:uid="{00000000-0005-0000-0000-000040CF0000}"/>
    <cellStyle name="Normal 27 3" xfId="26027" xr:uid="{00000000-0005-0000-0000-000041CF0000}"/>
    <cellStyle name="Normal 27 4" xfId="41014" xr:uid="{00000000-0005-0000-0000-000042CF0000}"/>
    <cellStyle name="Normal 27 5" xfId="54519" xr:uid="{00000000-0005-0000-0000-000043CF0000}"/>
    <cellStyle name="Normal 27 6" xfId="8963" xr:uid="{00000000-0005-0000-0000-000044CF0000}"/>
    <cellStyle name="Normal 28" xfId="9726" xr:uid="{00000000-0005-0000-0000-000045CF0000}"/>
    <cellStyle name="Normal 28 2" xfId="50603" xr:uid="{00000000-0005-0000-0000-000046CF0000}"/>
    <cellStyle name="Normal 28 3" xfId="54520" xr:uid="{00000000-0005-0000-0000-000047CF0000}"/>
    <cellStyle name="Normal 29" xfId="9702" xr:uid="{00000000-0005-0000-0000-000048CF0000}"/>
    <cellStyle name="Normal 29 2" xfId="26033" xr:uid="{00000000-0005-0000-0000-000049CF0000}"/>
    <cellStyle name="Normal 29 3" xfId="41019" xr:uid="{00000000-0005-0000-0000-00004ACF0000}"/>
    <cellStyle name="Normal 29 4" xfId="54521" xr:uid="{00000000-0005-0000-0000-00004BCF0000}"/>
    <cellStyle name="Normal 3" xfId="533" xr:uid="{00000000-0005-0000-0000-00004CCF0000}"/>
    <cellStyle name="Normal 3 10" xfId="9704" xr:uid="{00000000-0005-0000-0000-00004DCF0000}"/>
    <cellStyle name="Normal 3 10 2" xfId="26034" xr:uid="{00000000-0005-0000-0000-00004ECF0000}"/>
    <cellStyle name="Normal 3 10 2 2" xfId="54217" xr:uid="{00000000-0005-0000-0000-00004FCF0000}"/>
    <cellStyle name="Normal 3 10 2 2 2" xfId="57384" xr:uid="{00000000-0005-0000-0000-000050CF0000}"/>
    <cellStyle name="Normal 3 10 2 3" xfId="56760" xr:uid="{00000000-0005-0000-0000-000051CF0000}"/>
    <cellStyle name="Normal 3 10 2 4" xfId="53592" xr:uid="{00000000-0005-0000-0000-000052CF0000}"/>
    <cellStyle name="Normal 3 10 3" xfId="41020" xr:uid="{00000000-0005-0000-0000-000053CF0000}"/>
    <cellStyle name="Normal 3 10 3 2" xfId="57383" xr:uid="{00000000-0005-0000-0000-000054CF0000}"/>
    <cellStyle name="Normal 3 10 3 3" xfId="54216" xr:uid="{00000000-0005-0000-0000-000055CF0000}"/>
    <cellStyle name="Normal 3 10 4" xfId="56759" xr:uid="{00000000-0005-0000-0000-000056CF0000}"/>
    <cellStyle name="Normal 3 10 5" xfId="53591" xr:uid="{00000000-0005-0000-0000-000057CF0000}"/>
    <cellStyle name="Normal 3 11" xfId="17490" xr:uid="{00000000-0005-0000-0000-000058CF0000}"/>
    <cellStyle name="Normal 3 11 2" xfId="54218" xr:uid="{00000000-0005-0000-0000-000059CF0000}"/>
    <cellStyle name="Normal 3 11 2 2" xfId="57385" xr:uid="{00000000-0005-0000-0000-00005ACF0000}"/>
    <cellStyle name="Normal 3 11 3" xfId="56761" xr:uid="{00000000-0005-0000-0000-00005BCF0000}"/>
    <cellStyle name="Normal 3 11 4" xfId="53593" xr:uid="{00000000-0005-0000-0000-00005CCF0000}"/>
    <cellStyle name="Normal 3 12" xfId="19345" xr:uid="{00000000-0005-0000-0000-00005DCF0000}"/>
    <cellStyle name="Normal 3 12 2" xfId="54219" xr:uid="{00000000-0005-0000-0000-00005ECF0000}"/>
    <cellStyle name="Normal 3 12 2 2" xfId="57386" xr:uid="{00000000-0005-0000-0000-00005FCF0000}"/>
    <cellStyle name="Normal 3 12 3" xfId="56762" xr:uid="{00000000-0005-0000-0000-000060CF0000}"/>
    <cellStyle name="Normal 3 12 4" xfId="53594" xr:uid="{00000000-0005-0000-0000-000061CF0000}"/>
    <cellStyle name="Normal 3 13" xfId="34340" xr:uid="{00000000-0005-0000-0000-000062CF0000}"/>
    <cellStyle name="Normal 3 13 2" xfId="54220" xr:uid="{00000000-0005-0000-0000-000063CF0000}"/>
    <cellStyle name="Normal 3 13 2 2" xfId="57387" xr:uid="{00000000-0005-0000-0000-000064CF0000}"/>
    <cellStyle name="Normal 3 13 3" xfId="56763" xr:uid="{00000000-0005-0000-0000-000065CF0000}"/>
    <cellStyle name="Normal 3 13 4" xfId="53595" xr:uid="{00000000-0005-0000-0000-000066CF0000}"/>
    <cellStyle name="Normal 3 14" xfId="49280" xr:uid="{00000000-0005-0000-0000-000067CF0000}"/>
    <cellStyle name="Normal 3 14 2" xfId="54215" xr:uid="{00000000-0005-0000-0000-000068CF0000}"/>
    <cellStyle name="Normal 3 14 2 2" xfId="57382" xr:uid="{00000000-0005-0000-0000-000069CF0000}"/>
    <cellStyle name="Normal 3 14 3" xfId="56758" xr:uid="{00000000-0005-0000-0000-00006ACF0000}"/>
    <cellStyle name="Normal 3 14 4" xfId="53590" xr:uid="{00000000-0005-0000-0000-00006BCF0000}"/>
    <cellStyle name="Normal 3 15" xfId="49685" xr:uid="{00000000-0005-0000-0000-00006CCF0000}"/>
    <cellStyle name="Normal 3 15 2" xfId="53175" xr:uid="{00000000-0005-0000-0000-00006DCF0000}"/>
    <cellStyle name="Normal 3 16" xfId="50091" xr:uid="{00000000-0005-0000-0000-00006ECF0000}"/>
    <cellStyle name="Normal 3 17" xfId="50499" xr:uid="{00000000-0005-0000-0000-00006FCF0000}"/>
    <cellStyle name="Normal 3 18" xfId="50599" xr:uid="{00000000-0005-0000-0000-000070CF0000}"/>
    <cellStyle name="Normal 3 19" xfId="50941" xr:uid="{00000000-0005-0000-0000-000071CF0000}"/>
    <cellStyle name="Normal 3 2" xfId="534" xr:uid="{00000000-0005-0000-0000-000072CF0000}"/>
    <cellStyle name="Normal 3 2 10" xfId="19346" xr:uid="{00000000-0005-0000-0000-000073CF0000}"/>
    <cellStyle name="Normal 3 2 10 2" xfId="56009" xr:uid="{00000000-0005-0000-0000-000074CF0000}"/>
    <cellStyle name="Normal 3 2 11" xfId="34341" xr:uid="{00000000-0005-0000-0000-000075CF0000}"/>
    <cellStyle name="Normal 3 2 12" xfId="49281" xr:uid="{00000000-0005-0000-0000-000076CF0000}"/>
    <cellStyle name="Normal 3 2 13" xfId="49686" xr:uid="{00000000-0005-0000-0000-000077CF0000}"/>
    <cellStyle name="Normal 3 2 14" xfId="50092" xr:uid="{00000000-0005-0000-0000-000078CF0000}"/>
    <cellStyle name="Normal 3 2 15" xfId="50500" xr:uid="{00000000-0005-0000-0000-000079CF0000}"/>
    <cellStyle name="Normal 3 2 16" xfId="50600" xr:uid="{00000000-0005-0000-0000-00007ACF0000}"/>
    <cellStyle name="Normal 3 2 17" xfId="50942" xr:uid="{00000000-0005-0000-0000-00007BCF0000}"/>
    <cellStyle name="Normal 3 2 18" xfId="51661" xr:uid="{00000000-0005-0000-0000-00007CCF0000}"/>
    <cellStyle name="Normal 3 2 19" xfId="52073" xr:uid="{00000000-0005-0000-0000-00007DCF0000}"/>
    <cellStyle name="Normal 3 2 2" xfId="535" xr:uid="{00000000-0005-0000-0000-00007ECF0000}"/>
    <cellStyle name="Normal 3 2 2 10" xfId="50093" xr:uid="{00000000-0005-0000-0000-00007FCF0000}"/>
    <cellStyle name="Normal 3 2 2 11" xfId="50501" xr:uid="{00000000-0005-0000-0000-000080CF0000}"/>
    <cellStyle name="Normal 3 2 2 12" xfId="50943" xr:uid="{00000000-0005-0000-0000-000081CF0000}"/>
    <cellStyle name="Normal 3 2 2 13" xfId="51662" xr:uid="{00000000-0005-0000-0000-000082CF0000}"/>
    <cellStyle name="Normal 3 2 2 14" xfId="52074" xr:uid="{00000000-0005-0000-0000-000083CF0000}"/>
    <cellStyle name="Normal 3 2 2 15" xfId="1540" xr:uid="{00000000-0005-0000-0000-000084CF0000}"/>
    <cellStyle name="Normal 3 2 2 2" xfId="1308" xr:uid="{00000000-0005-0000-0000-000085CF0000}"/>
    <cellStyle name="Normal 3 2 2 2 10" xfId="50594" xr:uid="{00000000-0005-0000-0000-000086CF0000}"/>
    <cellStyle name="Normal 3 2 2 2 11" xfId="51159" xr:uid="{00000000-0005-0000-0000-000087CF0000}"/>
    <cellStyle name="Normal 3 2 2 2 12" xfId="51755" xr:uid="{00000000-0005-0000-0000-000088CF0000}"/>
    <cellStyle name="Normal 3 2 2 2 13" xfId="52175" xr:uid="{00000000-0005-0000-0000-000089CF0000}"/>
    <cellStyle name="Normal 3 2 2 2 14" xfId="1574" xr:uid="{00000000-0005-0000-0000-00008ACF0000}"/>
    <cellStyle name="Normal 3 2 2 2 2" xfId="8877" xr:uid="{00000000-0005-0000-0000-00008BCF0000}"/>
    <cellStyle name="Normal 3 2 2 2 2 2" xfId="57390" xr:uid="{00000000-0005-0000-0000-00008CCF0000}"/>
    <cellStyle name="Normal 3 2 2 2 2 3" xfId="54223" xr:uid="{00000000-0005-0000-0000-00008DCF0000}"/>
    <cellStyle name="Normal 3 2 2 2 3" xfId="8958" xr:uid="{00000000-0005-0000-0000-00008ECF0000}"/>
    <cellStyle name="Normal 3 2 2 2 3 2" xfId="16732" xr:uid="{00000000-0005-0000-0000-00008FCF0000}"/>
    <cellStyle name="Normal 3 2 2 2 3 2 2" xfId="33045" xr:uid="{00000000-0005-0000-0000-000090CF0000}"/>
    <cellStyle name="Normal 3 2 2 2 3 2 3" xfId="48009" xr:uid="{00000000-0005-0000-0000-000091CF0000}"/>
    <cellStyle name="Normal 3 2 2 2 3 2 4" xfId="56766" xr:uid="{00000000-0005-0000-0000-000092CF0000}"/>
    <cellStyle name="Normal 3 2 2 2 3 3" xfId="26023" xr:uid="{00000000-0005-0000-0000-000093CF0000}"/>
    <cellStyle name="Normal 3 2 2 2 3 4" xfId="41010" xr:uid="{00000000-0005-0000-0000-000094CF0000}"/>
    <cellStyle name="Normal 3 2 2 2 3 5" xfId="53598" xr:uid="{00000000-0005-0000-0000-000095CF0000}"/>
    <cellStyle name="Normal 3 2 2 2 4" xfId="10134" xr:uid="{00000000-0005-0000-0000-000096CF0000}"/>
    <cellStyle name="Normal 3 2 2 2 4 2" xfId="26454" xr:uid="{00000000-0005-0000-0000-000097CF0000}"/>
    <cellStyle name="Normal 3 2 2 2 4 3" xfId="41422" xr:uid="{00000000-0005-0000-0000-000098CF0000}"/>
    <cellStyle name="Normal 3 2 2 2 5" xfId="19433" xr:uid="{00000000-0005-0000-0000-000099CF0000}"/>
    <cellStyle name="Normal 3 2 2 2 6" xfId="34423" xr:uid="{00000000-0005-0000-0000-00009ACF0000}"/>
    <cellStyle name="Normal 3 2 2 2 7" xfId="49375" xr:uid="{00000000-0005-0000-0000-00009BCF0000}"/>
    <cellStyle name="Normal 3 2 2 2 8" xfId="49780" xr:uid="{00000000-0005-0000-0000-00009CCF0000}"/>
    <cellStyle name="Normal 3 2 2 2 9" xfId="50189" xr:uid="{00000000-0005-0000-0000-00009DCF0000}"/>
    <cellStyle name="Normal 3 2 2 3" xfId="5200" xr:uid="{00000000-0005-0000-0000-00009ECF0000}"/>
    <cellStyle name="Normal 3 2 2 3 2" xfId="19013" xr:uid="{00000000-0005-0000-0000-00009FCF0000}"/>
    <cellStyle name="Normal 3 2 2 3 2 2" xfId="34010" xr:uid="{00000000-0005-0000-0000-0000A0CF0000}"/>
    <cellStyle name="Normal 3 2 2 3 2 2 2" xfId="57391" xr:uid="{00000000-0005-0000-0000-0000A1CF0000}"/>
    <cellStyle name="Normal 3 2 2 3 2 3" xfId="48971" xr:uid="{00000000-0005-0000-0000-0000A2CF0000}"/>
    <cellStyle name="Normal 3 2 2 3 2 4" xfId="54224" xr:uid="{00000000-0005-0000-0000-0000A3CF0000}"/>
    <cellStyle name="Normal 3 2 2 3 3" xfId="53599" xr:uid="{00000000-0005-0000-0000-0000A4CF0000}"/>
    <cellStyle name="Normal 3 2 2 3 3 2" xfId="56767" xr:uid="{00000000-0005-0000-0000-0000A5CF0000}"/>
    <cellStyle name="Normal 3 2 2 3 4" xfId="56417" xr:uid="{00000000-0005-0000-0000-0000A6CF0000}"/>
    <cellStyle name="Normal 3 2 2 3 5" xfId="53143" xr:uid="{00000000-0005-0000-0000-0000A7CF0000}"/>
    <cellStyle name="Normal 3 2 2 4" xfId="8925" xr:uid="{00000000-0005-0000-0000-0000A8CF0000}"/>
    <cellStyle name="Normal 3 2 2 4 2" xfId="16701" xr:uid="{00000000-0005-0000-0000-0000A9CF0000}"/>
    <cellStyle name="Normal 3 2 2 4 2 2" xfId="33014" xr:uid="{00000000-0005-0000-0000-0000AACF0000}"/>
    <cellStyle name="Normal 3 2 2 4 2 2 2" xfId="57392" xr:uid="{00000000-0005-0000-0000-0000ABCF0000}"/>
    <cellStyle name="Normal 3 2 2 4 2 3" xfId="47978" xr:uid="{00000000-0005-0000-0000-0000ACCF0000}"/>
    <cellStyle name="Normal 3 2 2 4 2 4" xfId="54225" xr:uid="{00000000-0005-0000-0000-0000ADCF0000}"/>
    <cellStyle name="Normal 3 2 2 4 3" xfId="25992" xr:uid="{00000000-0005-0000-0000-0000AECF0000}"/>
    <cellStyle name="Normal 3 2 2 4 3 2" xfId="56768" xr:uid="{00000000-0005-0000-0000-0000AFCF0000}"/>
    <cellStyle name="Normal 3 2 2 4 4" xfId="40979" xr:uid="{00000000-0005-0000-0000-0000B0CF0000}"/>
    <cellStyle name="Normal 3 2 2 4 5" xfId="53600" xr:uid="{00000000-0005-0000-0000-0000B1CF0000}"/>
    <cellStyle name="Normal 3 2 2 5" xfId="10039" xr:uid="{00000000-0005-0000-0000-0000B2CF0000}"/>
    <cellStyle name="Normal 3 2 2 5 2" xfId="26364" xr:uid="{00000000-0005-0000-0000-0000B3CF0000}"/>
    <cellStyle name="Normal 3 2 2 5 2 2" xfId="57389" xr:uid="{00000000-0005-0000-0000-0000B4CF0000}"/>
    <cellStyle name="Normal 3 2 2 5 3" xfId="41342" xr:uid="{00000000-0005-0000-0000-0000B5CF0000}"/>
    <cellStyle name="Normal 3 2 2 5 4" xfId="54222" xr:uid="{00000000-0005-0000-0000-0000B6CF0000}"/>
    <cellStyle name="Normal 3 2 2 6" xfId="19347" xr:uid="{00000000-0005-0000-0000-0000B7CF0000}"/>
    <cellStyle name="Normal 3 2 2 6 2" xfId="56765" xr:uid="{00000000-0005-0000-0000-0000B8CF0000}"/>
    <cellStyle name="Normal 3 2 2 6 3" xfId="53597" xr:uid="{00000000-0005-0000-0000-0000B9CF0000}"/>
    <cellStyle name="Normal 3 2 2 7" xfId="34342" xr:uid="{00000000-0005-0000-0000-0000BACF0000}"/>
    <cellStyle name="Normal 3 2 2 8" xfId="49282" xr:uid="{00000000-0005-0000-0000-0000BBCF0000}"/>
    <cellStyle name="Normal 3 2 2 9" xfId="49687" xr:uid="{00000000-0005-0000-0000-0000BCCF0000}"/>
    <cellStyle name="Normal 3 2 20" xfId="52727" xr:uid="{00000000-0005-0000-0000-0000BDCF0000}"/>
    <cellStyle name="Normal 3 2 21" xfId="1539" xr:uid="{00000000-0005-0000-0000-0000BECF0000}"/>
    <cellStyle name="Normal 3 2 3" xfId="1307" xr:uid="{00000000-0005-0000-0000-0000BFCF0000}"/>
    <cellStyle name="Normal 3 2 3 10" xfId="49779" xr:uid="{00000000-0005-0000-0000-0000C0CF0000}"/>
    <cellStyle name="Normal 3 2 3 11" xfId="50188" xr:uid="{00000000-0005-0000-0000-0000C1CF0000}"/>
    <cellStyle name="Normal 3 2 3 12" xfId="50593" xr:uid="{00000000-0005-0000-0000-0000C2CF0000}"/>
    <cellStyle name="Normal 3 2 3 13" xfId="51158" xr:uid="{00000000-0005-0000-0000-0000C3CF0000}"/>
    <cellStyle name="Normal 3 2 3 14" xfId="51754" xr:uid="{00000000-0005-0000-0000-0000C4CF0000}"/>
    <cellStyle name="Normal 3 2 3 15" xfId="52174" xr:uid="{00000000-0005-0000-0000-0000C5CF0000}"/>
    <cellStyle name="Normal 3 2 3 16" xfId="53101" xr:uid="{00000000-0005-0000-0000-0000C6CF0000}"/>
    <cellStyle name="Normal 3 2 3 17" xfId="1573" xr:uid="{00000000-0005-0000-0000-0000C7CF0000}"/>
    <cellStyle name="Normal 3 2 3 2" xfId="8714" xr:uid="{00000000-0005-0000-0000-0000C8CF0000}"/>
    <cellStyle name="Normal 3 2 3 2 2" xfId="16594" xr:uid="{00000000-0005-0000-0000-0000C9CF0000}"/>
    <cellStyle name="Normal 3 2 3 2 2 2" xfId="32908" xr:uid="{00000000-0005-0000-0000-0000CACF0000}"/>
    <cellStyle name="Normal 3 2 3 2 2 2 2" xfId="57393" xr:uid="{00000000-0005-0000-0000-0000CBCF0000}"/>
    <cellStyle name="Normal 3 2 3 2 2 3" xfId="47872" xr:uid="{00000000-0005-0000-0000-0000CCCF0000}"/>
    <cellStyle name="Normal 3 2 3 2 2 4" xfId="54226" xr:uid="{00000000-0005-0000-0000-0000CDCF0000}"/>
    <cellStyle name="Normal 3 2 3 2 3" xfId="18991" xr:uid="{00000000-0005-0000-0000-0000CECF0000}"/>
    <cellStyle name="Normal 3 2 3 2 3 2" xfId="33992" xr:uid="{00000000-0005-0000-0000-0000CFCF0000}"/>
    <cellStyle name="Normal 3 2 3 2 3 3" xfId="48953" xr:uid="{00000000-0005-0000-0000-0000D0CF0000}"/>
    <cellStyle name="Normal 3 2 3 2 3 4" xfId="56399" xr:uid="{00000000-0005-0000-0000-0000D1CF0000}"/>
    <cellStyle name="Normal 3 2 3 2 4" xfId="25886" xr:uid="{00000000-0005-0000-0000-0000D2CF0000}"/>
    <cellStyle name="Normal 3 2 3 2 5" xfId="40873" xr:uid="{00000000-0005-0000-0000-0000D3CF0000}"/>
    <cellStyle name="Normal 3 2 3 2 6" xfId="53125" xr:uid="{00000000-0005-0000-0000-0000D4CF0000}"/>
    <cellStyle name="Normal 3 2 3 3" xfId="5201" xr:uid="{00000000-0005-0000-0000-0000D5CF0000}"/>
    <cellStyle name="Normal 3 2 3 3 2" xfId="13289" xr:uid="{00000000-0005-0000-0000-0000D6CF0000}"/>
    <cellStyle name="Normal 3 2 3 3 2 2" xfId="29608" xr:uid="{00000000-0005-0000-0000-0000D7CF0000}"/>
    <cellStyle name="Normal 3 2 3 3 2 3" xfId="44573" xr:uid="{00000000-0005-0000-0000-0000D8CF0000}"/>
    <cellStyle name="Normal 3 2 3 3 2 4" xfId="56769" xr:uid="{00000000-0005-0000-0000-0000D9CF0000}"/>
    <cellStyle name="Normal 3 2 3 3 3" xfId="22586" xr:uid="{00000000-0005-0000-0000-0000DACF0000}"/>
    <cellStyle name="Normal 3 2 3 3 4" xfId="37574" xr:uid="{00000000-0005-0000-0000-0000DBCF0000}"/>
    <cellStyle name="Normal 3 2 3 3 5" xfId="53601" xr:uid="{00000000-0005-0000-0000-0000DCCF0000}"/>
    <cellStyle name="Normal 3 2 3 4" xfId="8957" xr:uid="{00000000-0005-0000-0000-0000DDCF0000}"/>
    <cellStyle name="Normal 3 2 3 4 2" xfId="16731" xr:uid="{00000000-0005-0000-0000-0000DECF0000}"/>
    <cellStyle name="Normal 3 2 3 4 2 2" xfId="33044" xr:uid="{00000000-0005-0000-0000-0000DFCF0000}"/>
    <cellStyle name="Normal 3 2 3 4 2 3" xfId="48008" xr:uid="{00000000-0005-0000-0000-0000E0CF0000}"/>
    <cellStyle name="Normal 3 2 3 4 3" xfId="26022" xr:uid="{00000000-0005-0000-0000-0000E1CF0000}"/>
    <cellStyle name="Normal 3 2 3 4 4" xfId="41009" xr:uid="{00000000-0005-0000-0000-0000E2CF0000}"/>
    <cellStyle name="Normal 3 2 3 4 5" xfId="55456" xr:uid="{00000000-0005-0000-0000-0000E3CF0000}"/>
    <cellStyle name="Normal 3 2 3 5" xfId="10133" xr:uid="{00000000-0005-0000-0000-0000E4CF0000}"/>
    <cellStyle name="Normal 3 2 3 5 2" xfId="26453" xr:uid="{00000000-0005-0000-0000-0000E5CF0000}"/>
    <cellStyle name="Normal 3 2 3 5 3" xfId="41421" xr:uid="{00000000-0005-0000-0000-0000E6CF0000}"/>
    <cellStyle name="Normal 3 2 3 5 4" xfId="56378" xr:uid="{00000000-0005-0000-0000-0000E7CF0000}"/>
    <cellStyle name="Normal 3 2 3 6" xfId="18506" xr:uid="{00000000-0005-0000-0000-0000E8CF0000}"/>
    <cellStyle name="Normal 3 2 3 6 2" xfId="33972" xr:uid="{00000000-0005-0000-0000-0000E9CF0000}"/>
    <cellStyle name="Normal 3 2 3 6 3" xfId="48933" xr:uid="{00000000-0005-0000-0000-0000EACF0000}"/>
    <cellStyle name="Normal 3 2 3 7" xfId="19432" xr:uid="{00000000-0005-0000-0000-0000EBCF0000}"/>
    <cellStyle name="Normal 3 2 3 8" xfId="34422" xr:uid="{00000000-0005-0000-0000-0000ECCF0000}"/>
    <cellStyle name="Normal 3 2 3 9" xfId="49374" xr:uid="{00000000-0005-0000-0000-0000EDCF0000}"/>
    <cellStyle name="Normal 3 2 4" xfId="6094" xr:uid="{00000000-0005-0000-0000-0000EECF0000}"/>
    <cellStyle name="Normal 3 2 4 2" xfId="14011" xr:uid="{00000000-0005-0000-0000-0000EFCF0000}"/>
    <cellStyle name="Normal 3 2 4 2 2" xfId="30325" xr:uid="{00000000-0005-0000-0000-0000F0CF0000}"/>
    <cellStyle name="Normal 3 2 4 2 2 2" xfId="57394" xr:uid="{00000000-0005-0000-0000-0000F1CF0000}"/>
    <cellStyle name="Normal 3 2 4 2 3" xfId="45289" xr:uid="{00000000-0005-0000-0000-0000F2CF0000}"/>
    <cellStyle name="Normal 3 2 4 2 4" xfId="54227" xr:uid="{00000000-0005-0000-0000-0000F3CF0000}"/>
    <cellStyle name="Normal 3 2 4 3" xfId="19007" xr:uid="{00000000-0005-0000-0000-0000F4CF0000}"/>
    <cellStyle name="Normal 3 2 4 3 2" xfId="34006" xr:uid="{00000000-0005-0000-0000-0000F5CF0000}"/>
    <cellStyle name="Normal 3 2 4 3 2 2" xfId="56770" xr:uid="{00000000-0005-0000-0000-0000F6CF0000}"/>
    <cellStyle name="Normal 3 2 4 3 3" xfId="48967" xr:uid="{00000000-0005-0000-0000-0000F7CF0000}"/>
    <cellStyle name="Normal 3 2 4 3 4" xfId="53602" xr:uid="{00000000-0005-0000-0000-0000F8CF0000}"/>
    <cellStyle name="Normal 3 2 4 4" xfId="23303" xr:uid="{00000000-0005-0000-0000-0000F9CF0000}"/>
    <cellStyle name="Normal 3 2 4 4 2" xfId="56413" xr:uid="{00000000-0005-0000-0000-0000FACF0000}"/>
    <cellStyle name="Normal 3 2 4 5" xfId="38290" xr:uid="{00000000-0005-0000-0000-0000FBCF0000}"/>
    <cellStyle name="Normal 3 2 4 6" xfId="53139" xr:uid="{00000000-0005-0000-0000-0000FCCF0000}"/>
    <cellStyle name="Normal 3 2 5" xfId="5199" xr:uid="{00000000-0005-0000-0000-0000FDCF0000}"/>
    <cellStyle name="Normal 3 2 5 2" xfId="13288" xr:uid="{00000000-0005-0000-0000-0000FECF0000}"/>
    <cellStyle name="Normal 3 2 5 2 2" xfId="29607" xr:uid="{00000000-0005-0000-0000-0000FFCF0000}"/>
    <cellStyle name="Normal 3 2 5 2 2 2" xfId="57395" xr:uid="{00000000-0005-0000-0000-000000D00000}"/>
    <cellStyle name="Normal 3 2 5 2 3" xfId="44572" xr:uid="{00000000-0005-0000-0000-000001D00000}"/>
    <cellStyle name="Normal 3 2 5 2 4" xfId="54228" xr:uid="{00000000-0005-0000-0000-000002D00000}"/>
    <cellStyle name="Normal 3 2 5 3" xfId="18972" xr:uid="{00000000-0005-0000-0000-000003D00000}"/>
    <cellStyle name="Normal 3 2 5 3 2" xfId="33982" xr:uid="{00000000-0005-0000-0000-000004D00000}"/>
    <cellStyle name="Normal 3 2 5 3 2 2" xfId="56771" xr:uid="{00000000-0005-0000-0000-000005D00000}"/>
    <cellStyle name="Normal 3 2 5 3 3" xfId="48943" xr:uid="{00000000-0005-0000-0000-000006D00000}"/>
    <cellStyle name="Normal 3 2 5 3 4" xfId="53603" xr:uid="{00000000-0005-0000-0000-000007D00000}"/>
    <cellStyle name="Normal 3 2 5 4" xfId="22585" xr:uid="{00000000-0005-0000-0000-000008D00000}"/>
    <cellStyle name="Normal 3 2 5 4 2" xfId="56389" xr:uid="{00000000-0005-0000-0000-000009D00000}"/>
    <cellStyle name="Normal 3 2 5 5" xfId="37573" xr:uid="{00000000-0005-0000-0000-00000AD00000}"/>
    <cellStyle name="Normal 3 2 5 6" xfId="53115" xr:uid="{00000000-0005-0000-0000-00000BD00000}"/>
    <cellStyle name="Normal 3 2 6" xfId="8924" xr:uid="{00000000-0005-0000-0000-00000CD00000}"/>
    <cellStyle name="Normal 3 2 6 2" xfId="16700" xr:uid="{00000000-0005-0000-0000-00000DD00000}"/>
    <cellStyle name="Normal 3 2 6 2 2" xfId="33013" xr:uid="{00000000-0005-0000-0000-00000ED00000}"/>
    <cellStyle name="Normal 3 2 6 2 2 2" xfId="57396" xr:uid="{00000000-0005-0000-0000-00000FD00000}"/>
    <cellStyle name="Normal 3 2 6 2 3" xfId="47977" xr:uid="{00000000-0005-0000-0000-000010D00000}"/>
    <cellStyle name="Normal 3 2 6 2 4" xfId="54229" xr:uid="{00000000-0005-0000-0000-000011D00000}"/>
    <cellStyle name="Normal 3 2 6 3" xfId="25991" xr:uid="{00000000-0005-0000-0000-000012D00000}"/>
    <cellStyle name="Normal 3 2 6 3 2" xfId="56772" xr:uid="{00000000-0005-0000-0000-000013D00000}"/>
    <cellStyle name="Normal 3 2 6 4" xfId="40978" xr:uid="{00000000-0005-0000-0000-000014D00000}"/>
    <cellStyle name="Normal 3 2 6 5" xfId="53604" xr:uid="{00000000-0005-0000-0000-000015D00000}"/>
    <cellStyle name="Normal 3 2 7" xfId="9480" xr:uid="{00000000-0005-0000-0000-000016D00000}"/>
    <cellStyle name="Normal 3 2 7 2" xfId="16739" xr:uid="{00000000-0005-0000-0000-000017D00000}"/>
    <cellStyle name="Normal 3 2 7 2 2" xfId="33052" xr:uid="{00000000-0005-0000-0000-000018D00000}"/>
    <cellStyle name="Normal 3 2 7 2 2 2" xfId="57388" xr:uid="{00000000-0005-0000-0000-000019D00000}"/>
    <cellStyle name="Normal 3 2 7 2 3" xfId="48015" xr:uid="{00000000-0005-0000-0000-00001AD00000}"/>
    <cellStyle name="Normal 3 2 7 2 4" xfId="54221" xr:uid="{00000000-0005-0000-0000-00001BD00000}"/>
    <cellStyle name="Normal 3 2 7 3" xfId="26029" xr:uid="{00000000-0005-0000-0000-00001CD00000}"/>
    <cellStyle name="Normal 3 2 7 3 2" xfId="56764" xr:uid="{00000000-0005-0000-0000-00001DD00000}"/>
    <cellStyle name="Normal 3 2 7 4" xfId="41016" xr:uid="{00000000-0005-0000-0000-00001ED00000}"/>
    <cellStyle name="Normal 3 2 7 5" xfId="53596" xr:uid="{00000000-0005-0000-0000-00001FD00000}"/>
    <cellStyle name="Normal 3 2 8" xfId="9705" xr:uid="{00000000-0005-0000-0000-000020D00000}"/>
    <cellStyle name="Normal 3 2 8 2" xfId="26035" xr:uid="{00000000-0005-0000-0000-000021D00000}"/>
    <cellStyle name="Normal 3 2 8 3" xfId="41021" xr:uid="{00000000-0005-0000-0000-000022D00000}"/>
    <cellStyle name="Normal 3 2 8 4" xfId="53296" xr:uid="{00000000-0005-0000-0000-000023D00000}"/>
    <cellStyle name="Normal 3 2 9" xfId="17491" xr:uid="{00000000-0005-0000-0000-000024D00000}"/>
    <cellStyle name="Normal 3 2 9 2" xfId="33603" xr:uid="{00000000-0005-0000-0000-000025D00000}"/>
    <cellStyle name="Normal 3 2 9 3" xfId="48564" xr:uid="{00000000-0005-0000-0000-000026D00000}"/>
    <cellStyle name="Normal 3 2 9 4" xfId="55084" xr:uid="{00000000-0005-0000-0000-000027D00000}"/>
    <cellStyle name="Normal 3 20" xfId="51660" xr:uid="{00000000-0005-0000-0000-000028D00000}"/>
    <cellStyle name="Normal 3 21" xfId="1535" xr:uid="{00000000-0005-0000-0000-000029D00000}"/>
    <cellStyle name="Normal 3 21 2" xfId="51762" xr:uid="{00000000-0005-0000-0000-00002AD00000}"/>
    <cellStyle name="Normal 3 22" xfId="52072" xr:uid="{00000000-0005-0000-0000-00002BD00000}"/>
    <cellStyle name="Normal 3 23" xfId="1538" xr:uid="{00000000-0005-0000-0000-00002CD00000}"/>
    <cellStyle name="Normal 3 3" xfId="536" xr:uid="{00000000-0005-0000-0000-00002DD00000}"/>
    <cellStyle name="Normal 3 3 10" xfId="56010" xr:uid="{00000000-0005-0000-0000-00002ED00000}"/>
    <cellStyle name="Normal 3 3 11" xfId="52728" xr:uid="{00000000-0005-0000-0000-00002FD00000}"/>
    <cellStyle name="Normal 3 3 2" xfId="8878" xr:uid="{00000000-0005-0000-0000-000030D00000}"/>
    <cellStyle name="Normal 3 3 2 2" xfId="18992" xr:uid="{00000000-0005-0000-0000-000031D00000}"/>
    <cellStyle name="Normal 3 3 2 2 2" xfId="33993" xr:uid="{00000000-0005-0000-0000-000032D00000}"/>
    <cellStyle name="Normal 3 3 2 2 2 2" xfId="57399" xr:uid="{00000000-0005-0000-0000-000033D00000}"/>
    <cellStyle name="Normal 3 3 2 2 2 3" xfId="54232" xr:uid="{00000000-0005-0000-0000-000034D00000}"/>
    <cellStyle name="Normal 3 3 2 2 3" xfId="48954" xr:uid="{00000000-0005-0000-0000-000035D00000}"/>
    <cellStyle name="Normal 3 3 2 2 3 2" xfId="56775" xr:uid="{00000000-0005-0000-0000-000036D00000}"/>
    <cellStyle name="Normal 3 3 2 2 3 3" xfId="53607" xr:uid="{00000000-0005-0000-0000-000037D00000}"/>
    <cellStyle name="Normal 3 3 2 2 4" xfId="56400" xr:uid="{00000000-0005-0000-0000-000038D00000}"/>
    <cellStyle name="Normal 3 3 2 2 5" xfId="53126" xr:uid="{00000000-0005-0000-0000-000039D00000}"/>
    <cellStyle name="Normal 3 3 2 3" xfId="18507" xr:uid="{00000000-0005-0000-0000-00003AD00000}"/>
    <cellStyle name="Normal 3 3 2 3 2" xfId="33973" xr:uid="{00000000-0005-0000-0000-00003BD00000}"/>
    <cellStyle name="Normal 3 3 2 3 2 2" xfId="57400" xr:uid="{00000000-0005-0000-0000-00003CD00000}"/>
    <cellStyle name="Normal 3 3 2 3 2 3" xfId="54233" xr:uid="{00000000-0005-0000-0000-00003DD00000}"/>
    <cellStyle name="Normal 3 3 2 3 3" xfId="48934" xr:uid="{00000000-0005-0000-0000-00003ED00000}"/>
    <cellStyle name="Normal 3 3 2 3 3 2" xfId="56776" xr:uid="{00000000-0005-0000-0000-00003FD00000}"/>
    <cellStyle name="Normal 3 3 2 3 4" xfId="53608" xr:uid="{00000000-0005-0000-0000-000040D00000}"/>
    <cellStyle name="Normal 3 3 2 4" xfId="54231" xr:uid="{00000000-0005-0000-0000-000041D00000}"/>
    <cellStyle name="Normal 3 3 2 4 2" xfId="57398" xr:uid="{00000000-0005-0000-0000-000042D00000}"/>
    <cellStyle name="Normal 3 3 2 5" xfId="53606" xr:uid="{00000000-0005-0000-0000-000043D00000}"/>
    <cellStyle name="Normal 3 3 2 5 2" xfId="56774" xr:uid="{00000000-0005-0000-0000-000044D00000}"/>
    <cellStyle name="Normal 3 3 2 6" xfId="55457" xr:uid="{00000000-0005-0000-0000-000045D00000}"/>
    <cellStyle name="Normal 3 3 2 7" xfId="56379" xr:uid="{00000000-0005-0000-0000-000046D00000}"/>
    <cellStyle name="Normal 3 3 2 8" xfId="53102" xr:uid="{00000000-0005-0000-0000-000047D00000}"/>
    <cellStyle name="Normal 3 3 3" xfId="5202" xr:uid="{00000000-0005-0000-0000-000048D00000}"/>
    <cellStyle name="Normal 3 3 3 2" xfId="19012" xr:uid="{00000000-0005-0000-0000-000049D00000}"/>
    <cellStyle name="Normal 3 3 3 2 2" xfId="34009" xr:uid="{00000000-0005-0000-0000-00004AD00000}"/>
    <cellStyle name="Normal 3 3 3 2 2 2" xfId="57401" xr:uid="{00000000-0005-0000-0000-00004BD00000}"/>
    <cellStyle name="Normal 3 3 3 2 3" xfId="48970" xr:uid="{00000000-0005-0000-0000-00004CD00000}"/>
    <cellStyle name="Normal 3 3 3 2 4" xfId="54234" xr:uid="{00000000-0005-0000-0000-00004DD00000}"/>
    <cellStyle name="Normal 3 3 3 3" xfId="53609" xr:uid="{00000000-0005-0000-0000-00004ED00000}"/>
    <cellStyle name="Normal 3 3 3 3 2" xfId="56777" xr:uid="{00000000-0005-0000-0000-00004FD00000}"/>
    <cellStyle name="Normal 3 3 3 4" xfId="56416" xr:uid="{00000000-0005-0000-0000-000050D00000}"/>
    <cellStyle name="Normal 3 3 3 5" xfId="53142" xr:uid="{00000000-0005-0000-0000-000051D00000}"/>
    <cellStyle name="Normal 3 3 4" xfId="18973" xr:uid="{00000000-0005-0000-0000-000052D00000}"/>
    <cellStyle name="Normal 3 3 4 2" xfId="33983" xr:uid="{00000000-0005-0000-0000-000053D00000}"/>
    <cellStyle name="Normal 3 3 4 2 2" xfId="57402" xr:uid="{00000000-0005-0000-0000-000054D00000}"/>
    <cellStyle name="Normal 3 3 4 2 3" xfId="54235" xr:uid="{00000000-0005-0000-0000-000055D00000}"/>
    <cellStyle name="Normal 3 3 4 3" xfId="48944" xr:uid="{00000000-0005-0000-0000-000056D00000}"/>
    <cellStyle name="Normal 3 3 4 3 2" xfId="56778" xr:uid="{00000000-0005-0000-0000-000057D00000}"/>
    <cellStyle name="Normal 3 3 4 3 3" xfId="53610" xr:uid="{00000000-0005-0000-0000-000058D00000}"/>
    <cellStyle name="Normal 3 3 4 4" xfId="56390" xr:uid="{00000000-0005-0000-0000-000059D00000}"/>
    <cellStyle name="Normal 3 3 4 5" xfId="53116" xr:uid="{00000000-0005-0000-0000-00005AD00000}"/>
    <cellStyle name="Normal 3 3 5" xfId="17492" xr:uid="{00000000-0005-0000-0000-00005BD00000}"/>
    <cellStyle name="Normal 3 3 5 2" xfId="33604" xr:uid="{00000000-0005-0000-0000-00005CD00000}"/>
    <cellStyle name="Normal 3 3 5 2 2" xfId="57403" xr:uid="{00000000-0005-0000-0000-00005DD00000}"/>
    <cellStyle name="Normal 3 3 5 2 3" xfId="54236" xr:uid="{00000000-0005-0000-0000-00005ED00000}"/>
    <cellStyle name="Normal 3 3 5 3" xfId="48565" xr:uid="{00000000-0005-0000-0000-00005FD00000}"/>
    <cellStyle name="Normal 3 3 5 3 2" xfId="56779" xr:uid="{00000000-0005-0000-0000-000060D00000}"/>
    <cellStyle name="Normal 3 3 5 4" xfId="53611" xr:uid="{00000000-0005-0000-0000-000061D00000}"/>
    <cellStyle name="Normal 3 3 6" xfId="53612" xr:uid="{00000000-0005-0000-0000-000062D00000}"/>
    <cellStyle name="Normal 3 3 6 2" xfId="54237" xr:uid="{00000000-0005-0000-0000-000063D00000}"/>
    <cellStyle name="Normal 3 3 6 2 2" xfId="57404" xr:uid="{00000000-0005-0000-0000-000064D00000}"/>
    <cellStyle name="Normal 3 3 6 3" xfId="56780" xr:uid="{00000000-0005-0000-0000-000065D00000}"/>
    <cellStyle name="Normal 3 3 7" xfId="54230" xr:uid="{00000000-0005-0000-0000-000066D00000}"/>
    <cellStyle name="Normal 3 3 7 2" xfId="57397" xr:uid="{00000000-0005-0000-0000-000067D00000}"/>
    <cellStyle name="Normal 3 3 8" xfId="53605" xr:uid="{00000000-0005-0000-0000-000068D00000}"/>
    <cellStyle name="Normal 3 3 8 2" xfId="56773" xr:uid="{00000000-0005-0000-0000-000069D00000}"/>
    <cellStyle name="Normal 3 3 9" xfId="55085" xr:uid="{00000000-0005-0000-0000-00006AD00000}"/>
    <cellStyle name="Normal 3 4" xfId="1169" xr:uid="{00000000-0005-0000-0000-00006BD00000}"/>
    <cellStyle name="Normal 3 4 10" xfId="49705" xr:uid="{00000000-0005-0000-0000-00006CD00000}"/>
    <cellStyle name="Normal 3 4 10 2" xfId="56412" xr:uid="{00000000-0005-0000-0000-00006DD00000}"/>
    <cellStyle name="Normal 3 4 11" xfId="50114" xr:uid="{00000000-0005-0000-0000-00006ED00000}"/>
    <cellStyle name="Normal 3 4 12" xfId="50519" xr:uid="{00000000-0005-0000-0000-00006FD00000}"/>
    <cellStyle name="Normal 3 4 13" xfId="51079" xr:uid="{00000000-0005-0000-0000-000070D00000}"/>
    <cellStyle name="Normal 3 4 14" xfId="51680" xr:uid="{00000000-0005-0000-0000-000071D00000}"/>
    <cellStyle name="Normal 3 4 15" xfId="52099" xr:uid="{00000000-0005-0000-0000-000072D00000}"/>
    <cellStyle name="Normal 3 4 16" xfId="53138" xr:uid="{00000000-0005-0000-0000-000073D00000}"/>
    <cellStyle name="Normal 3 4 17" xfId="1560" xr:uid="{00000000-0005-0000-0000-000074D00000}"/>
    <cellStyle name="Normal 3 4 2" xfId="8876" xr:uid="{00000000-0005-0000-0000-000075D00000}"/>
    <cellStyle name="Normal 3 4 2 2" xfId="53615" xr:uid="{00000000-0005-0000-0000-000076D00000}"/>
    <cellStyle name="Normal 3 4 2 2 2" xfId="54240" xr:uid="{00000000-0005-0000-0000-000077D00000}"/>
    <cellStyle name="Normal 3 4 2 2 2 2" xfId="57407" xr:uid="{00000000-0005-0000-0000-000078D00000}"/>
    <cellStyle name="Normal 3 4 2 2 3" xfId="56783" xr:uid="{00000000-0005-0000-0000-000079D00000}"/>
    <cellStyle name="Normal 3 4 2 3" xfId="53616" xr:uid="{00000000-0005-0000-0000-00007AD00000}"/>
    <cellStyle name="Normal 3 4 2 3 2" xfId="54241" xr:uid="{00000000-0005-0000-0000-00007BD00000}"/>
    <cellStyle name="Normal 3 4 2 3 2 2" xfId="57408" xr:uid="{00000000-0005-0000-0000-00007CD00000}"/>
    <cellStyle name="Normal 3 4 2 3 3" xfId="56784" xr:uid="{00000000-0005-0000-0000-00007DD00000}"/>
    <cellStyle name="Normal 3 4 2 4" xfId="54239" xr:uid="{00000000-0005-0000-0000-00007ED00000}"/>
    <cellStyle name="Normal 3 4 2 4 2" xfId="57406" xr:uid="{00000000-0005-0000-0000-00007FD00000}"/>
    <cellStyle name="Normal 3 4 2 5" xfId="56782" xr:uid="{00000000-0005-0000-0000-000080D00000}"/>
    <cellStyle name="Normal 3 4 2 6" xfId="53614" xr:uid="{00000000-0005-0000-0000-000081D00000}"/>
    <cellStyle name="Normal 3 4 3" xfId="5198" xr:uid="{00000000-0005-0000-0000-000082D00000}"/>
    <cellStyle name="Normal 3 4 3 2" xfId="54242" xr:uid="{00000000-0005-0000-0000-000083D00000}"/>
    <cellStyle name="Normal 3 4 3 2 2" xfId="57409" xr:uid="{00000000-0005-0000-0000-000084D00000}"/>
    <cellStyle name="Normal 3 4 3 3" xfId="56785" xr:uid="{00000000-0005-0000-0000-000085D00000}"/>
    <cellStyle name="Normal 3 4 3 4" xfId="53617" xr:uid="{00000000-0005-0000-0000-000086D00000}"/>
    <cellStyle name="Normal 3 4 4" xfId="8945" xr:uid="{00000000-0005-0000-0000-000087D00000}"/>
    <cellStyle name="Normal 3 4 4 2" xfId="16719" xr:uid="{00000000-0005-0000-0000-000088D00000}"/>
    <cellStyle name="Normal 3 4 4 2 2" xfId="33032" xr:uid="{00000000-0005-0000-0000-000089D00000}"/>
    <cellStyle name="Normal 3 4 4 2 2 2" xfId="57410" xr:uid="{00000000-0005-0000-0000-00008AD00000}"/>
    <cellStyle name="Normal 3 4 4 2 3" xfId="47996" xr:uid="{00000000-0005-0000-0000-00008BD00000}"/>
    <cellStyle name="Normal 3 4 4 2 4" xfId="54243" xr:uid="{00000000-0005-0000-0000-00008CD00000}"/>
    <cellStyle name="Normal 3 4 4 3" xfId="26010" xr:uid="{00000000-0005-0000-0000-00008DD00000}"/>
    <cellStyle name="Normal 3 4 4 3 2" xfId="56786" xr:uid="{00000000-0005-0000-0000-00008ED00000}"/>
    <cellStyle name="Normal 3 4 4 4" xfId="40997" xr:uid="{00000000-0005-0000-0000-00008FD00000}"/>
    <cellStyle name="Normal 3 4 4 5" xfId="53618" xr:uid="{00000000-0005-0000-0000-000090D00000}"/>
    <cellStyle name="Normal 3 4 5" xfId="10058" xr:uid="{00000000-0005-0000-0000-000091D00000}"/>
    <cellStyle name="Normal 3 4 5 2" xfId="26379" xr:uid="{00000000-0005-0000-0000-000092D00000}"/>
    <cellStyle name="Normal 3 4 5 2 2" xfId="57411" xr:uid="{00000000-0005-0000-0000-000093D00000}"/>
    <cellStyle name="Normal 3 4 5 2 3" xfId="54244" xr:uid="{00000000-0005-0000-0000-000094D00000}"/>
    <cellStyle name="Normal 3 4 5 3" xfId="41347" xr:uid="{00000000-0005-0000-0000-000095D00000}"/>
    <cellStyle name="Normal 3 4 5 3 2" xfId="56787" xr:uid="{00000000-0005-0000-0000-000096D00000}"/>
    <cellStyle name="Normal 3 4 5 4" xfId="53619" xr:uid="{00000000-0005-0000-0000-000097D00000}"/>
    <cellStyle name="Normal 3 4 6" xfId="19006" xr:uid="{00000000-0005-0000-0000-000098D00000}"/>
    <cellStyle name="Normal 3 4 6 2" xfId="34005" xr:uid="{00000000-0005-0000-0000-000099D00000}"/>
    <cellStyle name="Normal 3 4 6 2 2" xfId="57412" xr:uid="{00000000-0005-0000-0000-00009AD00000}"/>
    <cellStyle name="Normal 3 4 6 2 3" xfId="54245" xr:uid="{00000000-0005-0000-0000-00009BD00000}"/>
    <cellStyle name="Normal 3 4 6 3" xfId="48966" xr:uid="{00000000-0005-0000-0000-00009CD00000}"/>
    <cellStyle name="Normal 3 4 6 3 2" xfId="56788" xr:uid="{00000000-0005-0000-0000-00009DD00000}"/>
    <cellStyle name="Normal 3 4 6 4" xfId="53620" xr:uid="{00000000-0005-0000-0000-00009ED00000}"/>
    <cellStyle name="Normal 3 4 7" xfId="19358" xr:uid="{00000000-0005-0000-0000-00009FD00000}"/>
    <cellStyle name="Normal 3 4 7 2" xfId="57405" xr:uid="{00000000-0005-0000-0000-0000A0D00000}"/>
    <cellStyle name="Normal 3 4 7 3" xfId="54238" xr:uid="{00000000-0005-0000-0000-0000A1D00000}"/>
    <cellStyle name="Normal 3 4 8" xfId="34348" xr:uid="{00000000-0005-0000-0000-0000A2D00000}"/>
    <cellStyle name="Normal 3 4 8 2" xfId="56781" xr:uid="{00000000-0005-0000-0000-0000A3D00000}"/>
    <cellStyle name="Normal 3 4 8 3" xfId="53613" xr:uid="{00000000-0005-0000-0000-0000A4D00000}"/>
    <cellStyle name="Normal 3 4 9" xfId="49300" xr:uid="{00000000-0005-0000-0000-0000A5D00000}"/>
    <cellStyle name="Normal 3 4 9 2" xfId="55083" xr:uid="{00000000-0005-0000-0000-0000A6D00000}"/>
    <cellStyle name="Normal 3 5" xfId="1189" xr:uid="{00000000-0005-0000-0000-0000A7D00000}"/>
    <cellStyle name="Normal 3 5 2" xfId="53622" xr:uid="{00000000-0005-0000-0000-0000A8D00000}"/>
    <cellStyle name="Normal 3 5 2 2" xfId="53623" xr:uid="{00000000-0005-0000-0000-0000A9D00000}"/>
    <cellStyle name="Normal 3 5 2 2 2" xfId="54248" xr:uid="{00000000-0005-0000-0000-0000AAD00000}"/>
    <cellStyle name="Normal 3 5 2 2 2 2" xfId="57415" xr:uid="{00000000-0005-0000-0000-0000ABD00000}"/>
    <cellStyle name="Normal 3 5 2 2 3" xfId="56791" xr:uid="{00000000-0005-0000-0000-0000ACD00000}"/>
    <cellStyle name="Normal 3 5 2 3" xfId="53624" xr:uid="{00000000-0005-0000-0000-0000ADD00000}"/>
    <cellStyle name="Normal 3 5 2 3 2" xfId="54249" xr:uid="{00000000-0005-0000-0000-0000AED00000}"/>
    <cellStyle name="Normal 3 5 2 3 2 2" xfId="57416" xr:uid="{00000000-0005-0000-0000-0000AFD00000}"/>
    <cellStyle name="Normal 3 5 2 3 3" xfId="56792" xr:uid="{00000000-0005-0000-0000-0000B0D00000}"/>
    <cellStyle name="Normal 3 5 2 4" xfId="54247" xr:uid="{00000000-0005-0000-0000-0000B1D00000}"/>
    <cellStyle name="Normal 3 5 2 4 2" xfId="57414" xr:uid="{00000000-0005-0000-0000-0000B2D00000}"/>
    <cellStyle name="Normal 3 5 2 5" xfId="56790" xr:uid="{00000000-0005-0000-0000-0000B3D00000}"/>
    <cellStyle name="Normal 3 5 3" xfId="53625" xr:uid="{00000000-0005-0000-0000-0000B4D00000}"/>
    <cellStyle name="Normal 3 5 3 2" xfId="54250" xr:uid="{00000000-0005-0000-0000-0000B5D00000}"/>
    <cellStyle name="Normal 3 5 3 2 2" xfId="57417" xr:uid="{00000000-0005-0000-0000-0000B6D00000}"/>
    <cellStyle name="Normal 3 5 3 3" xfId="56793" xr:uid="{00000000-0005-0000-0000-0000B7D00000}"/>
    <cellStyle name="Normal 3 5 4" xfId="53626" xr:uid="{00000000-0005-0000-0000-0000B8D00000}"/>
    <cellStyle name="Normal 3 5 4 2" xfId="54251" xr:uid="{00000000-0005-0000-0000-0000B9D00000}"/>
    <cellStyle name="Normal 3 5 4 2 2" xfId="57418" xr:uid="{00000000-0005-0000-0000-0000BAD00000}"/>
    <cellStyle name="Normal 3 5 4 3" xfId="56794" xr:uid="{00000000-0005-0000-0000-0000BBD00000}"/>
    <cellStyle name="Normal 3 5 5" xfId="53627" xr:uid="{00000000-0005-0000-0000-0000BCD00000}"/>
    <cellStyle name="Normal 3 5 5 2" xfId="54252" xr:uid="{00000000-0005-0000-0000-0000BDD00000}"/>
    <cellStyle name="Normal 3 5 5 2 2" xfId="57419" xr:uid="{00000000-0005-0000-0000-0000BED00000}"/>
    <cellStyle name="Normal 3 5 5 3" xfId="56795" xr:uid="{00000000-0005-0000-0000-0000BFD00000}"/>
    <cellStyle name="Normal 3 5 6" xfId="54246" xr:uid="{00000000-0005-0000-0000-0000C0D00000}"/>
    <cellStyle name="Normal 3 5 6 2" xfId="57413" xr:uid="{00000000-0005-0000-0000-0000C1D00000}"/>
    <cellStyle name="Normal 3 5 7" xfId="56789" xr:uid="{00000000-0005-0000-0000-0000C2D00000}"/>
    <cellStyle name="Normal 3 5 8" xfId="53621" xr:uid="{00000000-0005-0000-0000-0000C3D00000}"/>
    <cellStyle name="Normal 3 6" xfId="1306" xr:uid="{00000000-0005-0000-0000-0000C4D00000}"/>
    <cellStyle name="Normal 3 6 10" xfId="51157" xr:uid="{00000000-0005-0000-0000-0000C5D00000}"/>
    <cellStyle name="Normal 3 6 11" xfId="51753" xr:uid="{00000000-0005-0000-0000-0000C6D00000}"/>
    <cellStyle name="Normal 3 6 12" xfId="52173" xr:uid="{00000000-0005-0000-0000-0000C7D00000}"/>
    <cellStyle name="Normal 3 6 13" xfId="53628" xr:uid="{00000000-0005-0000-0000-0000C8D00000}"/>
    <cellStyle name="Normal 3 6 14" xfId="1572" xr:uid="{00000000-0005-0000-0000-0000C9D00000}"/>
    <cellStyle name="Normal 3 6 2" xfId="8956" xr:uid="{00000000-0005-0000-0000-0000CAD00000}"/>
    <cellStyle name="Normal 3 6 2 2" xfId="16730" xr:uid="{00000000-0005-0000-0000-0000CBD00000}"/>
    <cellStyle name="Normal 3 6 2 2 2" xfId="33043" xr:uid="{00000000-0005-0000-0000-0000CCD00000}"/>
    <cellStyle name="Normal 3 6 2 2 2 2" xfId="57422" xr:uid="{00000000-0005-0000-0000-0000CDD00000}"/>
    <cellStyle name="Normal 3 6 2 2 2 3" xfId="54255" xr:uid="{00000000-0005-0000-0000-0000CED00000}"/>
    <cellStyle name="Normal 3 6 2 2 3" xfId="48007" xr:uid="{00000000-0005-0000-0000-0000CFD00000}"/>
    <cellStyle name="Normal 3 6 2 2 3 2" xfId="56798" xr:uid="{00000000-0005-0000-0000-0000D0D00000}"/>
    <cellStyle name="Normal 3 6 2 2 4" xfId="53630" xr:uid="{00000000-0005-0000-0000-0000D1D00000}"/>
    <cellStyle name="Normal 3 6 2 3" xfId="26021" xr:uid="{00000000-0005-0000-0000-0000D2D00000}"/>
    <cellStyle name="Normal 3 6 2 3 2" xfId="54256" xr:uid="{00000000-0005-0000-0000-0000D3D00000}"/>
    <cellStyle name="Normal 3 6 2 3 2 2" xfId="57423" xr:uid="{00000000-0005-0000-0000-0000D4D00000}"/>
    <cellStyle name="Normal 3 6 2 3 3" xfId="56799" xr:uid="{00000000-0005-0000-0000-0000D5D00000}"/>
    <cellStyle name="Normal 3 6 2 3 4" xfId="53631" xr:uid="{00000000-0005-0000-0000-0000D6D00000}"/>
    <cellStyle name="Normal 3 6 2 4" xfId="41008" xr:uid="{00000000-0005-0000-0000-0000D7D00000}"/>
    <cellStyle name="Normal 3 6 2 4 2" xfId="57421" xr:uid="{00000000-0005-0000-0000-0000D8D00000}"/>
    <cellStyle name="Normal 3 6 2 4 3" xfId="54254" xr:uid="{00000000-0005-0000-0000-0000D9D00000}"/>
    <cellStyle name="Normal 3 6 2 5" xfId="56797" xr:uid="{00000000-0005-0000-0000-0000DAD00000}"/>
    <cellStyle name="Normal 3 6 2 6" xfId="53629" xr:uid="{00000000-0005-0000-0000-0000DBD00000}"/>
    <cellStyle name="Normal 3 6 3" xfId="10132" xr:uid="{00000000-0005-0000-0000-0000DCD00000}"/>
    <cellStyle name="Normal 3 6 3 2" xfId="26452" xr:uid="{00000000-0005-0000-0000-0000DDD00000}"/>
    <cellStyle name="Normal 3 6 3 2 2" xfId="57424" xr:uid="{00000000-0005-0000-0000-0000DED00000}"/>
    <cellStyle name="Normal 3 6 3 2 3" xfId="54257" xr:uid="{00000000-0005-0000-0000-0000DFD00000}"/>
    <cellStyle name="Normal 3 6 3 3" xfId="41420" xr:uid="{00000000-0005-0000-0000-0000E0D00000}"/>
    <cellStyle name="Normal 3 6 3 3 2" xfId="56800" xr:uid="{00000000-0005-0000-0000-0000E1D00000}"/>
    <cellStyle name="Normal 3 6 3 4" xfId="53632" xr:uid="{00000000-0005-0000-0000-0000E2D00000}"/>
    <cellStyle name="Normal 3 6 4" xfId="19431" xr:uid="{00000000-0005-0000-0000-0000E3D00000}"/>
    <cellStyle name="Normal 3 6 4 2" xfId="54258" xr:uid="{00000000-0005-0000-0000-0000E4D00000}"/>
    <cellStyle name="Normal 3 6 4 2 2" xfId="57425" xr:uid="{00000000-0005-0000-0000-0000E5D00000}"/>
    <cellStyle name="Normal 3 6 4 3" xfId="56801" xr:uid="{00000000-0005-0000-0000-0000E6D00000}"/>
    <cellStyle name="Normal 3 6 4 4" xfId="53633" xr:uid="{00000000-0005-0000-0000-0000E7D00000}"/>
    <cellStyle name="Normal 3 6 5" xfId="34421" xr:uid="{00000000-0005-0000-0000-0000E8D00000}"/>
    <cellStyle name="Normal 3 6 5 2" xfId="54259" xr:uid="{00000000-0005-0000-0000-0000E9D00000}"/>
    <cellStyle name="Normal 3 6 5 2 2" xfId="57426" xr:uid="{00000000-0005-0000-0000-0000EAD00000}"/>
    <cellStyle name="Normal 3 6 5 3" xfId="56802" xr:uid="{00000000-0005-0000-0000-0000EBD00000}"/>
    <cellStyle name="Normal 3 6 5 4" xfId="53634" xr:uid="{00000000-0005-0000-0000-0000ECD00000}"/>
    <cellStyle name="Normal 3 6 6" xfId="49373" xr:uid="{00000000-0005-0000-0000-0000EDD00000}"/>
    <cellStyle name="Normal 3 6 6 2" xfId="57420" xr:uid="{00000000-0005-0000-0000-0000EED00000}"/>
    <cellStyle name="Normal 3 6 6 3" xfId="54253" xr:uid="{00000000-0005-0000-0000-0000EFD00000}"/>
    <cellStyle name="Normal 3 6 7" xfId="49778" xr:uid="{00000000-0005-0000-0000-0000F0D00000}"/>
    <cellStyle name="Normal 3 6 7 2" xfId="56796" xr:uid="{00000000-0005-0000-0000-0000F1D00000}"/>
    <cellStyle name="Normal 3 6 8" xfId="50187" xr:uid="{00000000-0005-0000-0000-0000F2D00000}"/>
    <cellStyle name="Normal 3 6 9" xfId="50592" xr:uid="{00000000-0005-0000-0000-0000F3D00000}"/>
    <cellStyle name="Normal 3 7" xfId="1520" xr:uid="{00000000-0005-0000-0000-0000F4D00000}"/>
    <cellStyle name="Normal 3 7 2" xfId="10147" xr:uid="{00000000-0005-0000-0000-0000F5D00000}"/>
    <cellStyle name="Normal 3 7 2 2" xfId="26466" xr:uid="{00000000-0005-0000-0000-0000F6D00000}"/>
    <cellStyle name="Normal 3 7 2 2 2" xfId="54262" xr:uid="{00000000-0005-0000-0000-0000F7D00000}"/>
    <cellStyle name="Normal 3 7 2 2 2 2" xfId="57429" xr:uid="{00000000-0005-0000-0000-0000F8D00000}"/>
    <cellStyle name="Normal 3 7 2 2 3" xfId="56805" xr:uid="{00000000-0005-0000-0000-0000F9D00000}"/>
    <cellStyle name="Normal 3 7 2 2 4" xfId="53637" xr:uid="{00000000-0005-0000-0000-0000FAD00000}"/>
    <cellStyle name="Normal 3 7 2 3" xfId="41432" xr:uid="{00000000-0005-0000-0000-0000FBD00000}"/>
    <cellStyle name="Normal 3 7 2 3 2" xfId="54263" xr:uid="{00000000-0005-0000-0000-0000FCD00000}"/>
    <cellStyle name="Normal 3 7 2 3 2 2" xfId="57430" xr:uid="{00000000-0005-0000-0000-0000FDD00000}"/>
    <cellStyle name="Normal 3 7 2 3 3" xfId="56806" xr:uid="{00000000-0005-0000-0000-0000FED00000}"/>
    <cellStyle name="Normal 3 7 2 3 4" xfId="53638" xr:uid="{00000000-0005-0000-0000-0000FFD00000}"/>
    <cellStyle name="Normal 3 7 2 4" xfId="54261" xr:uid="{00000000-0005-0000-0000-000000D10000}"/>
    <cellStyle name="Normal 3 7 2 4 2" xfId="57428" xr:uid="{00000000-0005-0000-0000-000001D10000}"/>
    <cellStyle name="Normal 3 7 2 5" xfId="56804" xr:uid="{00000000-0005-0000-0000-000002D10000}"/>
    <cellStyle name="Normal 3 7 2 6" xfId="53636" xr:uid="{00000000-0005-0000-0000-000003D10000}"/>
    <cellStyle name="Normal 3 7 3" xfId="19444" xr:uid="{00000000-0005-0000-0000-000004D10000}"/>
    <cellStyle name="Normal 3 7 3 2" xfId="54264" xr:uid="{00000000-0005-0000-0000-000005D10000}"/>
    <cellStyle name="Normal 3 7 3 2 2" xfId="57431" xr:uid="{00000000-0005-0000-0000-000006D10000}"/>
    <cellStyle name="Normal 3 7 3 3" xfId="56807" xr:uid="{00000000-0005-0000-0000-000007D10000}"/>
    <cellStyle name="Normal 3 7 3 4" xfId="53639" xr:uid="{00000000-0005-0000-0000-000008D10000}"/>
    <cellStyle name="Normal 3 7 4" xfId="34433" xr:uid="{00000000-0005-0000-0000-000009D10000}"/>
    <cellStyle name="Normal 3 7 4 2" xfId="54265" xr:uid="{00000000-0005-0000-0000-00000AD10000}"/>
    <cellStyle name="Normal 3 7 4 2 2" xfId="57432" xr:uid="{00000000-0005-0000-0000-00000BD10000}"/>
    <cellStyle name="Normal 3 7 4 3" xfId="56808" xr:uid="{00000000-0005-0000-0000-00000CD10000}"/>
    <cellStyle name="Normal 3 7 4 4" xfId="53640" xr:uid="{00000000-0005-0000-0000-00000DD10000}"/>
    <cellStyle name="Normal 3 7 5" xfId="53641" xr:uid="{00000000-0005-0000-0000-00000ED10000}"/>
    <cellStyle name="Normal 3 7 5 2" xfId="54266" xr:uid="{00000000-0005-0000-0000-00000FD10000}"/>
    <cellStyle name="Normal 3 7 5 2 2" xfId="57433" xr:uid="{00000000-0005-0000-0000-000010D10000}"/>
    <cellStyle name="Normal 3 7 5 3" xfId="56809" xr:uid="{00000000-0005-0000-0000-000011D10000}"/>
    <cellStyle name="Normal 3 7 6" xfId="54260" xr:uid="{00000000-0005-0000-0000-000012D10000}"/>
    <cellStyle name="Normal 3 7 6 2" xfId="57427" xr:uid="{00000000-0005-0000-0000-000013D10000}"/>
    <cellStyle name="Normal 3 7 7" xfId="56803" xr:uid="{00000000-0005-0000-0000-000014D10000}"/>
    <cellStyle name="Normal 3 7 8" xfId="53635" xr:uid="{00000000-0005-0000-0000-000015D10000}"/>
    <cellStyle name="Normal 3 7 9" xfId="1588" xr:uid="{00000000-0005-0000-0000-000016D10000}"/>
    <cellStyle name="Normal 3 8" xfId="8923" xr:uid="{00000000-0005-0000-0000-000017D10000}"/>
    <cellStyle name="Normal 3 8 2" xfId="16699" xr:uid="{00000000-0005-0000-0000-000018D10000}"/>
    <cellStyle name="Normal 3 8 2 2" xfId="33012" xr:uid="{00000000-0005-0000-0000-000019D10000}"/>
    <cellStyle name="Normal 3 8 2 2 2" xfId="54269" xr:uid="{00000000-0005-0000-0000-00001AD10000}"/>
    <cellStyle name="Normal 3 8 2 2 2 2" xfId="57436" xr:uid="{00000000-0005-0000-0000-00001BD10000}"/>
    <cellStyle name="Normal 3 8 2 2 3" xfId="56812" xr:uid="{00000000-0005-0000-0000-00001CD10000}"/>
    <cellStyle name="Normal 3 8 2 2 4" xfId="53644" xr:uid="{00000000-0005-0000-0000-00001DD10000}"/>
    <cellStyle name="Normal 3 8 2 3" xfId="47976" xr:uid="{00000000-0005-0000-0000-00001ED10000}"/>
    <cellStyle name="Normal 3 8 2 3 2" xfId="54270" xr:uid="{00000000-0005-0000-0000-00001FD10000}"/>
    <cellStyle name="Normal 3 8 2 3 2 2" xfId="57437" xr:uid="{00000000-0005-0000-0000-000020D10000}"/>
    <cellStyle name="Normal 3 8 2 3 3" xfId="56813" xr:uid="{00000000-0005-0000-0000-000021D10000}"/>
    <cellStyle name="Normal 3 8 2 3 4" xfId="53645" xr:uid="{00000000-0005-0000-0000-000022D10000}"/>
    <cellStyle name="Normal 3 8 2 4" xfId="54268" xr:uid="{00000000-0005-0000-0000-000023D10000}"/>
    <cellStyle name="Normal 3 8 2 4 2" xfId="57435" xr:uid="{00000000-0005-0000-0000-000024D10000}"/>
    <cellStyle name="Normal 3 8 2 5" xfId="56811" xr:uid="{00000000-0005-0000-0000-000025D10000}"/>
    <cellStyle name="Normal 3 8 2 6" xfId="53643" xr:uid="{00000000-0005-0000-0000-000026D10000}"/>
    <cellStyle name="Normal 3 8 3" xfId="25990" xr:uid="{00000000-0005-0000-0000-000027D10000}"/>
    <cellStyle name="Normal 3 8 3 2" xfId="54271" xr:uid="{00000000-0005-0000-0000-000028D10000}"/>
    <cellStyle name="Normal 3 8 3 2 2" xfId="57438" xr:uid="{00000000-0005-0000-0000-000029D10000}"/>
    <cellStyle name="Normal 3 8 3 3" xfId="56814" xr:uid="{00000000-0005-0000-0000-00002AD10000}"/>
    <cellStyle name="Normal 3 8 3 4" xfId="53646" xr:uid="{00000000-0005-0000-0000-00002BD10000}"/>
    <cellStyle name="Normal 3 8 4" xfId="40977" xr:uid="{00000000-0005-0000-0000-00002CD10000}"/>
    <cellStyle name="Normal 3 8 4 2" xfId="54272" xr:uid="{00000000-0005-0000-0000-00002DD10000}"/>
    <cellStyle name="Normal 3 8 4 2 2" xfId="57439" xr:uid="{00000000-0005-0000-0000-00002ED10000}"/>
    <cellStyle name="Normal 3 8 4 3" xfId="56815" xr:uid="{00000000-0005-0000-0000-00002FD10000}"/>
    <cellStyle name="Normal 3 8 4 4" xfId="53647" xr:uid="{00000000-0005-0000-0000-000030D10000}"/>
    <cellStyle name="Normal 3 8 5" xfId="53648" xr:uid="{00000000-0005-0000-0000-000031D10000}"/>
    <cellStyle name="Normal 3 8 5 2" xfId="54273" xr:uid="{00000000-0005-0000-0000-000032D10000}"/>
    <cellStyle name="Normal 3 8 5 2 2" xfId="57440" xr:uid="{00000000-0005-0000-0000-000033D10000}"/>
    <cellStyle name="Normal 3 8 5 3" xfId="56816" xr:uid="{00000000-0005-0000-0000-000034D10000}"/>
    <cellStyle name="Normal 3 8 6" xfId="54267" xr:uid="{00000000-0005-0000-0000-000035D10000}"/>
    <cellStyle name="Normal 3 8 6 2" xfId="57434" xr:uid="{00000000-0005-0000-0000-000036D10000}"/>
    <cellStyle name="Normal 3 8 7" xfId="56810" xr:uid="{00000000-0005-0000-0000-000037D10000}"/>
    <cellStyle name="Normal 3 8 8" xfId="53642" xr:uid="{00000000-0005-0000-0000-000038D10000}"/>
    <cellStyle name="Normal 3 9" xfId="9479" xr:uid="{00000000-0005-0000-0000-000039D10000}"/>
    <cellStyle name="Normal 3 9 2" xfId="16738" xr:uid="{00000000-0005-0000-0000-00003AD10000}"/>
    <cellStyle name="Normal 3 9 2 2" xfId="33051" xr:uid="{00000000-0005-0000-0000-00003BD10000}"/>
    <cellStyle name="Normal 3 9 2 2 2" xfId="57442" xr:uid="{00000000-0005-0000-0000-00003CD10000}"/>
    <cellStyle name="Normal 3 9 2 2 3" xfId="54275" xr:uid="{00000000-0005-0000-0000-00003DD10000}"/>
    <cellStyle name="Normal 3 9 2 3" xfId="48014" xr:uid="{00000000-0005-0000-0000-00003ED10000}"/>
    <cellStyle name="Normal 3 9 2 3 2" xfId="56818" xr:uid="{00000000-0005-0000-0000-00003FD10000}"/>
    <cellStyle name="Normal 3 9 2 4" xfId="53650" xr:uid="{00000000-0005-0000-0000-000040D10000}"/>
    <cellStyle name="Normal 3 9 3" xfId="26028" xr:uid="{00000000-0005-0000-0000-000041D10000}"/>
    <cellStyle name="Normal 3 9 3 2" xfId="54276" xr:uid="{00000000-0005-0000-0000-000042D10000}"/>
    <cellStyle name="Normal 3 9 3 2 2" xfId="57443" xr:uid="{00000000-0005-0000-0000-000043D10000}"/>
    <cellStyle name="Normal 3 9 3 3" xfId="56819" xr:uid="{00000000-0005-0000-0000-000044D10000}"/>
    <cellStyle name="Normal 3 9 3 4" xfId="53651" xr:uid="{00000000-0005-0000-0000-000045D10000}"/>
    <cellStyle name="Normal 3 9 4" xfId="41015" xr:uid="{00000000-0005-0000-0000-000046D10000}"/>
    <cellStyle name="Normal 3 9 4 2" xfId="57441" xr:uid="{00000000-0005-0000-0000-000047D10000}"/>
    <cellStyle name="Normal 3 9 4 3" xfId="54274" xr:uid="{00000000-0005-0000-0000-000048D10000}"/>
    <cellStyle name="Normal 3 9 5" xfId="56817" xr:uid="{00000000-0005-0000-0000-000049D10000}"/>
    <cellStyle name="Normal 3 9 6" xfId="53649" xr:uid="{00000000-0005-0000-0000-00004AD10000}"/>
    <cellStyle name="Normal 30" xfId="19037" xr:uid="{00000000-0005-0000-0000-00004BD10000}"/>
    <cellStyle name="Normal 30 2" xfId="54522" xr:uid="{00000000-0005-0000-0000-00004CD10000}"/>
    <cellStyle name="Normal 31" xfId="1529" xr:uid="{00000000-0005-0000-0000-00004DD10000}"/>
    <cellStyle name="Normal 31 2" xfId="54523" xr:uid="{00000000-0005-0000-0000-00004ED10000}"/>
    <cellStyle name="Normal 31 3" xfId="19024" xr:uid="{00000000-0005-0000-0000-00004FD10000}"/>
    <cellStyle name="Normal 32" xfId="1528" xr:uid="{00000000-0005-0000-0000-000050D10000}"/>
    <cellStyle name="Normal 32 2" xfId="54524" xr:uid="{00000000-0005-0000-0000-000051D10000}"/>
    <cellStyle name="Normal 32 3" xfId="34021" xr:uid="{00000000-0005-0000-0000-000052D10000}"/>
    <cellStyle name="Normal 33" xfId="49784" xr:uid="{00000000-0005-0000-0000-000053D10000}"/>
    <cellStyle name="Normal 33 2" xfId="53165" xr:uid="{00000000-0005-0000-0000-000054D10000}"/>
    <cellStyle name="Normal 34" xfId="50598" xr:uid="{00000000-0005-0000-0000-000055D10000}"/>
    <cellStyle name="Normal 34 2" xfId="54525" xr:uid="{00000000-0005-0000-0000-000056D10000}"/>
    <cellStyle name="Normal 4" xfId="537" xr:uid="{00000000-0005-0000-0000-000057D10000}"/>
    <cellStyle name="Normal 4 2" xfId="538" xr:uid="{00000000-0005-0000-0000-000058D10000}"/>
    <cellStyle name="Normal 4 2 10" xfId="34343" xr:uid="{00000000-0005-0000-0000-000059D10000}"/>
    <cellStyle name="Normal 4 2 11" xfId="49283" xr:uid="{00000000-0005-0000-0000-00005AD10000}"/>
    <cellStyle name="Normal 4 2 12" xfId="49688" xr:uid="{00000000-0005-0000-0000-00005BD10000}"/>
    <cellStyle name="Normal 4 2 13" xfId="50094" xr:uid="{00000000-0005-0000-0000-00005CD10000}"/>
    <cellStyle name="Normal 4 2 14" xfId="50502" xr:uid="{00000000-0005-0000-0000-00005DD10000}"/>
    <cellStyle name="Normal 4 2 15" xfId="50944" xr:uid="{00000000-0005-0000-0000-00005ED10000}"/>
    <cellStyle name="Normal 4 2 16" xfId="51663" xr:uid="{00000000-0005-0000-0000-00005FD10000}"/>
    <cellStyle name="Normal 4 2 17" xfId="52075" xr:uid="{00000000-0005-0000-0000-000060D10000}"/>
    <cellStyle name="Normal 4 2 18" xfId="1541" xr:uid="{00000000-0005-0000-0000-000061D10000}"/>
    <cellStyle name="Normal 4 2 2" xfId="1309" xr:uid="{00000000-0005-0000-0000-000062D10000}"/>
    <cellStyle name="Normal 4 2 2 10" xfId="50190" xr:uid="{00000000-0005-0000-0000-000063D10000}"/>
    <cellStyle name="Normal 4 2 2 11" xfId="50595" xr:uid="{00000000-0005-0000-0000-000064D10000}"/>
    <cellStyle name="Normal 4 2 2 12" xfId="51160" xr:uid="{00000000-0005-0000-0000-000065D10000}"/>
    <cellStyle name="Normal 4 2 2 13" xfId="51756" xr:uid="{00000000-0005-0000-0000-000066D10000}"/>
    <cellStyle name="Normal 4 2 2 14" xfId="52176" xr:uid="{00000000-0005-0000-0000-000067D10000}"/>
    <cellStyle name="Normal 4 2 2 15" xfId="1575" xr:uid="{00000000-0005-0000-0000-000068D10000}"/>
    <cellStyle name="Normal 4 2 2 2" xfId="5205" xr:uid="{00000000-0005-0000-0000-000069D10000}"/>
    <cellStyle name="Normal 4 2 2 3" xfId="8959" xr:uid="{00000000-0005-0000-0000-00006AD10000}"/>
    <cellStyle name="Normal 4 2 2 3 2" xfId="16733" xr:uid="{00000000-0005-0000-0000-00006BD10000}"/>
    <cellStyle name="Normal 4 2 2 3 2 2" xfId="33046" xr:uid="{00000000-0005-0000-0000-00006CD10000}"/>
    <cellStyle name="Normal 4 2 2 3 2 3" xfId="48010" xr:uid="{00000000-0005-0000-0000-00006DD10000}"/>
    <cellStyle name="Normal 4 2 2 3 3" xfId="26024" xr:uid="{00000000-0005-0000-0000-00006ED10000}"/>
    <cellStyle name="Normal 4 2 2 3 4" xfId="41011" xr:uid="{00000000-0005-0000-0000-00006FD10000}"/>
    <cellStyle name="Normal 4 2 2 4" xfId="10135" xr:uid="{00000000-0005-0000-0000-000070D10000}"/>
    <cellStyle name="Normal 4 2 2 4 2" xfId="26455" xr:uid="{00000000-0005-0000-0000-000071D10000}"/>
    <cellStyle name="Normal 4 2 2 4 3" xfId="41423" xr:uid="{00000000-0005-0000-0000-000072D10000}"/>
    <cellStyle name="Normal 4 2 2 5" xfId="18508" xr:uid="{00000000-0005-0000-0000-000073D10000}"/>
    <cellStyle name="Normal 4 2 2 6" xfId="19434" xr:uid="{00000000-0005-0000-0000-000074D10000}"/>
    <cellStyle name="Normal 4 2 2 7" xfId="34424" xr:uid="{00000000-0005-0000-0000-000075D10000}"/>
    <cellStyle name="Normal 4 2 2 8" xfId="49376" xr:uid="{00000000-0005-0000-0000-000076D10000}"/>
    <cellStyle name="Normal 4 2 2 9" xfId="49781" xr:uid="{00000000-0005-0000-0000-000077D10000}"/>
    <cellStyle name="Normal 4 2 3" xfId="5206" xr:uid="{00000000-0005-0000-0000-000078D10000}"/>
    <cellStyle name="Normal 4 2 3 2" xfId="8396" xr:uid="{00000000-0005-0000-0000-000079D10000}"/>
    <cellStyle name="Normal 4 2 3 2 2" xfId="16289" xr:uid="{00000000-0005-0000-0000-00007AD10000}"/>
    <cellStyle name="Normal 4 2 3 2 2 2" xfId="32603" xr:uid="{00000000-0005-0000-0000-00007BD10000}"/>
    <cellStyle name="Normal 4 2 3 2 2 3" xfId="47567" xr:uid="{00000000-0005-0000-0000-00007CD10000}"/>
    <cellStyle name="Normal 4 2 3 2 3" xfId="25581" xr:uid="{00000000-0005-0000-0000-00007DD10000}"/>
    <cellStyle name="Normal 4 2 3 2 4" xfId="40568" xr:uid="{00000000-0005-0000-0000-00007ED10000}"/>
    <cellStyle name="Normal 4 2 3 3" xfId="13291" xr:uid="{00000000-0005-0000-0000-00007FD10000}"/>
    <cellStyle name="Normal 4 2 3 3 2" xfId="29610" xr:uid="{00000000-0005-0000-0000-000080D10000}"/>
    <cellStyle name="Normal 4 2 3 3 3" xfId="44575" xr:uid="{00000000-0005-0000-0000-000081D10000}"/>
    <cellStyle name="Normal 4 2 3 4" xfId="22588" xr:uid="{00000000-0005-0000-0000-000082D10000}"/>
    <cellStyle name="Normal 4 2 3 5" xfId="37576" xr:uid="{00000000-0005-0000-0000-000083D10000}"/>
    <cellStyle name="Normal 4 2 3 6" xfId="53241" xr:uid="{00000000-0005-0000-0000-000084D10000}"/>
    <cellStyle name="Normal 4 2 4" xfId="6095" xr:uid="{00000000-0005-0000-0000-000085D10000}"/>
    <cellStyle name="Normal 4 2 4 2" xfId="14012" xr:uid="{00000000-0005-0000-0000-000086D10000}"/>
    <cellStyle name="Normal 4 2 4 2 2" xfId="30326" xr:uid="{00000000-0005-0000-0000-000087D10000}"/>
    <cellStyle name="Normal 4 2 4 2 3" xfId="45290" xr:uid="{00000000-0005-0000-0000-000088D10000}"/>
    <cellStyle name="Normal 4 2 4 3" xfId="23304" xr:uid="{00000000-0005-0000-0000-000089D10000}"/>
    <cellStyle name="Normal 4 2 4 4" xfId="38291" xr:uid="{00000000-0005-0000-0000-00008AD10000}"/>
    <cellStyle name="Normal 4 2 5" xfId="5204" xr:uid="{00000000-0005-0000-0000-00008BD10000}"/>
    <cellStyle name="Normal 4 2 5 2" xfId="13290" xr:uid="{00000000-0005-0000-0000-00008CD10000}"/>
    <cellStyle name="Normal 4 2 5 2 2" xfId="29609" xr:uid="{00000000-0005-0000-0000-00008DD10000}"/>
    <cellStyle name="Normal 4 2 5 2 3" xfId="44574" xr:uid="{00000000-0005-0000-0000-00008ED10000}"/>
    <cellStyle name="Normal 4 2 5 3" xfId="22587" xr:uid="{00000000-0005-0000-0000-00008FD10000}"/>
    <cellStyle name="Normal 4 2 5 4" xfId="37575" xr:uid="{00000000-0005-0000-0000-000090D10000}"/>
    <cellStyle name="Normal 4 2 6" xfId="8926" xr:uid="{00000000-0005-0000-0000-000091D10000}"/>
    <cellStyle name="Normal 4 2 6 2" xfId="16702" xr:uid="{00000000-0005-0000-0000-000092D10000}"/>
    <cellStyle name="Normal 4 2 6 2 2" xfId="33015" xr:uid="{00000000-0005-0000-0000-000093D10000}"/>
    <cellStyle name="Normal 4 2 6 2 3" xfId="47979" xr:uid="{00000000-0005-0000-0000-000094D10000}"/>
    <cellStyle name="Normal 4 2 6 3" xfId="25993" xr:uid="{00000000-0005-0000-0000-000095D10000}"/>
    <cellStyle name="Normal 4 2 6 4" xfId="40980" xr:uid="{00000000-0005-0000-0000-000096D10000}"/>
    <cellStyle name="Normal 4 2 7" xfId="10040" xr:uid="{00000000-0005-0000-0000-000097D10000}"/>
    <cellStyle name="Normal 4 2 7 2" xfId="26365" xr:uid="{00000000-0005-0000-0000-000098D10000}"/>
    <cellStyle name="Normal 4 2 7 3" xfId="41343" xr:uid="{00000000-0005-0000-0000-000099D10000}"/>
    <cellStyle name="Normal 4 2 8" xfId="17493" xr:uid="{00000000-0005-0000-0000-00009AD10000}"/>
    <cellStyle name="Normal 4 2 9" xfId="19348" xr:uid="{00000000-0005-0000-0000-00009BD10000}"/>
    <cellStyle name="Normal 4 3" xfId="1170" xr:uid="{00000000-0005-0000-0000-00009CD10000}"/>
    <cellStyle name="Normal 4 3 10" xfId="50520" xr:uid="{00000000-0005-0000-0000-00009DD10000}"/>
    <cellStyle name="Normal 4 3 11" xfId="51080" xr:uid="{00000000-0005-0000-0000-00009ED10000}"/>
    <cellStyle name="Normal 4 3 12" xfId="51681" xr:uid="{00000000-0005-0000-0000-00009FD10000}"/>
    <cellStyle name="Normal 4 3 13" xfId="52100" xr:uid="{00000000-0005-0000-0000-0000A0D10000}"/>
    <cellStyle name="Normal 4 3 14" xfId="53251" xr:uid="{00000000-0005-0000-0000-0000A1D10000}"/>
    <cellStyle name="Normal 4 3 15" xfId="1561" xr:uid="{00000000-0005-0000-0000-0000A2D10000}"/>
    <cellStyle name="Normal 4 3 2" xfId="5207" xr:uid="{00000000-0005-0000-0000-0000A3D10000}"/>
    <cellStyle name="Normal 4 3 2 2" xfId="53913" xr:uid="{00000000-0005-0000-0000-0000A4D10000}"/>
    <cellStyle name="Normal 4 3 2 2 2" xfId="57080" xr:uid="{00000000-0005-0000-0000-0000A5D10000}"/>
    <cellStyle name="Normal 4 3 2 3" xfId="56469" xr:uid="{00000000-0005-0000-0000-0000A6D10000}"/>
    <cellStyle name="Normal 4 3 2 4" xfId="53267" xr:uid="{00000000-0005-0000-0000-0000A7D10000}"/>
    <cellStyle name="Normal 4 3 3" xfId="8946" xr:uid="{00000000-0005-0000-0000-0000A8D10000}"/>
    <cellStyle name="Normal 4 3 3 2" xfId="16720" xr:uid="{00000000-0005-0000-0000-0000A9D10000}"/>
    <cellStyle name="Normal 4 3 3 2 2" xfId="33033" xr:uid="{00000000-0005-0000-0000-0000AAD10000}"/>
    <cellStyle name="Normal 4 3 3 2 2 2" xfId="57096" xr:uid="{00000000-0005-0000-0000-0000ABD10000}"/>
    <cellStyle name="Normal 4 3 3 2 3" xfId="47997" xr:uid="{00000000-0005-0000-0000-0000ACD10000}"/>
    <cellStyle name="Normal 4 3 3 2 4" xfId="53929" xr:uid="{00000000-0005-0000-0000-0000ADD10000}"/>
    <cellStyle name="Normal 4 3 3 3" xfId="26011" xr:uid="{00000000-0005-0000-0000-0000AED10000}"/>
    <cellStyle name="Normal 4 3 3 3 2" xfId="56485" xr:uid="{00000000-0005-0000-0000-0000AFD10000}"/>
    <cellStyle name="Normal 4 3 3 4" xfId="40998" xr:uid="{00000000-0005-0000-0000-0000B0D10000}"/>
    <cellStyle name="Normal 4 3 3 5" xfId="53283" xr:uid="{00000000-0005-0000-0000-0000B1D10000}"/>
    <cellStyle name="Normal 4 3 4" xfId="10059" xr:uid="{00000000-0005-0000-0000-0000B2D10000}"/>
    <cellStyle name="Normal 4 3 4 2" xfId="26380" xr:uid="{00000000-0005-0000-0000-0000B3D10000}"/>
    <cellStyle name="Normal 4 3 4 3" xfId="41348" xr:uid="{00000000-0005-0000-0000-0000B4D10000}"/>
    <cellStyle name="Normal 4 3 4 4" xfId="53309" xr:uid="{00000000-0005-0000-0000-0000B5D10000}"/>
    <cellStyle name="Normal 4 3 5" xfId="19359" xr:uid="{00000000-0005-0000-0000-0000B6D10000}"/>
    <cellStyle name="Normal 4 3 5 2" xfId="57064" xr:uid="{00000000-0005-0000-0000-0000B7D10000}"/>
    <cellStyle name="Normal 4 3 5 3" xfId="53897" xr:uid="{00000000-0005-0000-0000-0000B8D10000}"/>
    <cellStyle name="Normal 4 3 6" xfId="34349" xr:uid="{00000000-0005-0000-0000-0000B9D10000}"/>
    <cellStyle name="Normal 4 3 6 2" xfId="55086" xr:uid="{00000000-0005-0000-0000-0000BAD10000}"/>
    <cellStyle name="Normal 4 3 7" xfId="49301" xr:uid="{00000000-0005-0000-0000-0000BBD10000}"/>
    <cellStyle name="Normal 4 3 7 2" xfId="56453" xr:uid="{00000000-0005-0000-0000-0000BCD10000}"/>
    <cellStyle name="Normal 4 3 8" xfId="49706" xr:uid="{00000000-0005-0000-0000-0000BDD10000}"/>
    <cellStyle name="Normal 4 3 9" xfId="50115" xr:uid="{00000000-0005-0000-0000-0000BED10000}"/>
    <cellStyle name="Normal 4 4" xfId="5203" xr:uid="{00000000-0005-0000-0000-0000BFD10000}"/>
    <cellStyle name="Normal 4 4 2" xfId="8879" xr:uid="{00000000-0005-0000-0000-0000C0D10000}"/>
    <cellStyle name="Normal 4 4 2 2" xfId="57072" xr:uid="{00000000-0005-0000-0000-0000C1D10000}"/>
    <cellStyle name="Normal 4 4 2 3" xfId="53905" xr:uid="{00000000-0005-0000-0000-0000C2D10000}"/>
    <cellStyle name="Normal 4 4 3" xfId="56461" xr:uid="{00000000-0005-0000-0000-0000C3D10000}"/>
    <cellStyle name="Normal 4 4 4" xfId="53259" xr:uid="{00000000-0005-0000-0000-0000C4D10000}"/>
    <cellStyle name="Normal 4 5" xfId="1589" xr:uid="{00000000-0005-0000-0000-0000C5D10000}"/>
    <cellStyle name="Normal 4 5 2" xfId="10148" xr:uid="{00000000-0005-0000-0000-0000C6D10000}"/>
    <cellStyle name="Normal 4 5 2 2" xfId="26467" xr:uid="{00000000-0005-0000-0000-0000C7D10000}"/>
    <cellStyle name="Normal 4 5 2 2 2" xfId="57088" xr:uid="{00000000-0005-0000-0000-0000C8D10000}"/>
    <cellStyle name="Normal 4 5 2 3" xfId="41433" xr:uid="{00000000-0005-0000-0000-0000C9D10000}"/>
    <cellStyle name="Normal 4 5 2 4" xfId="53921" xr:uid="{00000000-0005-0000-0000-0000CAD10000}"/>
    <cellStyle name="Normal 4 5 3" xfId="19445" xr:uid="{00000000-0005-0000-0000-0000CBD10000}"/>
    <cellStyle name="Normal 4 5 3 2" xfId="56477" xr:uid="{00000000-0005-0000-0000-0000CCD10000}"/>
    <cellStyle name="Normal 4 5 4" xfId="34434" xr:uid="{00000000-0005-0000-0000-0000CDD10000}"/>
    <cellStyle name="Normal 4 5 5" xfId="53275" xr:uid="{00000000-0005-0000-0000-0000CED10000}"/>
    <cellStyle name="Normal 4 6" xfId="53301" xr:uid="{00000000-0005-0000-0000-0000CFD10000}"/>
    <cellStyle name="Normal 4 7" xfId="53889" xr:uid="{00000000-0005-0000-0000-0000D0D10000}"/>
    <cellStyle name="Normal 4 7 2" xfId="57056" xr:uid="{00000000-0005-0000-0000-0000D1D10000}"/>
    <cellStyle name="Normal 4 8" xfId="53177" xr:uid="{00000000-0005-0000-0000-0000D2D10000}"/>
    <cellStyle name="Normal 4 8 2" xfId="56437" xr:uid="{00000000-0005-0000-0000-0000D3D10000}"/>
    <cellStyle name="Normal 40" xfId="48973" xr:uid="{00000000-0005-0000-0000-0000D4D10000}"/>
    <cellStyle name="Normal 5" xfId="539" xr:uid="{00000000-0005-0000-0000-0000D5D10000}"/>
    <cellStyle name="Normal 5 10" xfId="53653" xr:uid="{00000000-0005-0000-0000-0000D6D10000}"/>
    <cellStyle name="Normal 5 10 2" xfId="54278" xr:uid="{00000000-0005-0000-0000-0000D7D10000}"/>
    <cellStyle name="Normal 5 10 2 2" xfId="57445" xr:uid="{00000000-0005-0000-0000-0000D8D10000}"/>
    <cellStyle name="Normal 5 10 3" xfId="56821" xr:uid="{00000000-0005-0000-0000-0000D9D10000}"/>
    <cellStyle name="Normal 5 11" xfId="53654" xr:uid="{00000000-0005-0000-0000-0000DAD10000}"/>
    <cellStyle name="Normal 5 11 2" xfId="54279" xr:uid="{00000000-0005-0000-0000-0000DBD10000}"/>
    <cellStyle name="Normal 5 11 2 2" xfId="57446" xr:uid="{00000000-0005-0000-0000-0000DCD10000}"/>
    <cellStyle name="Normal 5 11 3" xfId="56822" xr:uid="{00000000-0005-0000-0000-0000DDD10000}"/>
    <cellStyle name="Normal 5 12" xfId="53655" xr:uid="{00000000-0005-0000-0000-0000DED10000}"/>
    <cellStyle name="Normal 5 12 2" xfId="54280" xr:uid="{00000000-0005-0000-0000-0000DFD10000}"/>
    <cellStyle name="Normal 5 12 2 2" xfId="57447" xr:uid="{00000000-0005-0000-0000-0000E0D10000}"/>
    <cellStyle name="Normal 5 12 3" xfId="56823" xr:uid="{00000000-0005-0000-0000-0000E1D10000}"/>
    <cellStyle name="Normal 5 13" xfId="53652" xr:uid="{00000000-0005-0000-0000-0000E2D10000}"/>
    <cellStyle name="Normal 5 13 2" xfId="54277" xr:uid="{00000000-0005-0000-0000-0000E3D10000}"/>
    <cellStyle name="Normal 5 13 2 2" xfId="57444" xr:uid="{00000000-0005-0000-0000-0000E4D10000}"/>
    <cellStyle name="Normal 5 13 3" xfId="56820" xr:uid="{00000000-0005-0000-0000-0000E5D10000}"/>
    <cellStyle name="Normal 5 14" xfId="53293" xr:uid="{00000000-0005-0000-0000-0000E6D10000}"/>
    <cellStyle name="Normal 5 15" xfId="53242" xr:uid="{00000000-0005-0000-0000-0000E7D10000}"/>
    <cellStyle name="Normal 5 2" xfId="540" xr:uid="{00000000-0005-0000-0000-0000E8D10000}"/>
    <cellStyle name="Normal 5 2 2" xfId="5210" xr:uid="{00000000-0005-0000-0000-0000E9D10000}"/>
    <cellStyle name="Normal 5 2 2 2" xfId="8881" xr:uid="{00000000-0005-0000-0000-0000EAD10000}"/>
    <cellStyle name="Normal 5 2 2 2 2" xfId="18012" xr:uid="{00000000-0005-0000-0000-0000EBD10000}"/>
    <cellStyle name="Normal 5 2 2 2 2 2" xfId="57450" xr:uid="{00000000-0005-0000-0000-0000ECD10000}"/>
    <cellStyle name="Normal 5 2 2 2 2 3" xfId="54283" xr:uid="{00000000-0005-0000-0000-0000EDD10000}"/>
    <cellStyle name="Normal 5 2 2 2 3" xfId="53658" xr:uid="{00000000-0005-0000-0000-0000EED10000}"/>
    <cellStyle name="Normal 5 2 2 2 3 2" xfId="56826" xr:uid="{00000000-0005-0000-0000-0000EFD10000}"/>
    <cellStyle name="Normal 5 2 2 3" xfId="18011" xr:uid="{00000000-0005-0000-0000-0000F0D10000}"/>
    <cellStyle name="Normal 5 2 2 3 2" xfId="54284" xr:uid="{00000000-0005-0000-0000-0000F1D10000}"/>
    <cellStyle name="Normal 5 2 2 3 2 2" xfId="57451" xr:uid="{00000000-0005-0000-0000-0000F2D10000}"/>
    <cellStyle name="Normal 5 2 2 3 3" xfId="56827" xr:uid="{00000000-0005-0000-0000-0000F3D10000}"/>
    <cellStyle name="Normal 5 2 2 3 4" xfId="53659" xr:uid="{00000000-0005-0000-0000-0000F4D10000}"/>
    <cellStyle name="Normal 5 2 2 4" xfId="54282" xr:uid="{00000000-0005-0000-0000-0000F5D10000}"/>
    <cellStyle name="Normal 5 2 2 4 2" xfId="57449" xr:uid="{00000000-0005-0000-0000-0000F6D10000}"/>
    <cellStyle name="Normal 5 2 2 5" xfId="53657" xr:uid="{00000000-0005-0000-0000-0000F7D10000}"/>
    <cellStyle name="Normal 5 2 2 5 2" xfId="56825" xr:uid="{00000000-0005-0000-0000-0000F8D10000}"/>
    <cellStyle name="Normal 5 2 3" xfId="5211" xr:uid="{00000000-0005-0000-0000-0000F9D10000}"/>
    <cellStyle name="Normal 5 2 3 2" xfId="8230" xr:uid="{00000000-0005-0000-0000-0000FAD10000}"/>
    <cellStyle name="Normal 5 2 3 2 2" xfId="16127" xr:uid="{00000000-0005-0000-0000-0000FBD10000}"/>
    <cellStyle name="Normal 5 2 3 2 2 2" xfId="32441" xr:uid="{00000000-0005-0000-0000-0000FCD10000}"/>
    <cellStyle name="Normal 5 2 3 2 2 3" xfId="47405" xr:uid="{00000000-0005-0000-0000-0000FDD10000}"/>
    <cellStyle name="Normal 5 2 3 2 2 4" xfId="57452" xr:uid="{00000000-0005-0000-0000-0000FED10000}"/>
    <cellStyle name="Normal 5 2 3 2 3" xfId="25419" xr:uid="{00000000-0005-0000-0000-0000FFD10000}"/>
    <cellStyle name="Normal 5 2 3 2 4" xfId="40406" xr:uid="{00000000-0005-0000-0000-000000D20000}"/>
    <cellStyle name="Normal 5 2 3 2 5" xfId="54285" xr:uid="{00000000-0005-0000-0000-000001D20000}"/>
    <cellStyle name="Normal 5 2 3 3" xfId="13293" xr:uid="{00000000-0005-0000-0000-000002D20000}"/>
    <cellStyle name="Normal 5 2 3 3 2" xfId="29612" xr:uid="{00000000-0005-0000-0000-000003D20000}"/>
    <cellStyle name="Normal 5 2 3 3 3" xfId="44577" xr:uid="{00000000-0005-0000-0000-000004D20000}"/>
    <cellStyle name="Normal 5 2 3 3 4" xfId="56828" xr:uid="{00000000-0005-0000-0000-000005D20000}"/>
    <cellStyle name="Normal 5 2 3 4" xfId="22590" xr:uid="{00000000-0005-0000-0000-000006D20000}"/>
    <cellStyle name="Normal 5 2 3 5" xfId="37578" xr:uid="{00000000-0005-0000-0000-000007D20000}"/>
    <cellStyle name="Normal 5 2 3 6" xfId="53660" xr:uid="{00000000-0005-0000-0000-000008D20000}"/>
    <cellStyle name="Normal 5 2 4" xfId="6096" xr:uid="{00000000-0005-0000-0000-000009D20000}"/>
    <cellStyle name="Normal 5 2 4 2" xfId="14013" xr:uid="{00000000-0005-0000-0000-00000AD20000}"/>
    <cellStyle name="Normal 5 2 4 2 2" xfId="30327" xr:uid="{00000000-0005-0000-0000-00000BD20000}"/>
    <cellStyle name="Normal 5 2 4 2 2 2" xfId="57453" xr:uid="{00000000-0005-0000-0000-00000CD20000}"/>
    <cellStyle name="Normal 5 2 4 2 3" xfId="45291" xr:uid="{00000000-0005-0000-0000-00000DD20000}"/>
    <cellStyle name="Normal 5 2 4 2 4" xfId="54286" xr:uid="{00000000-0005-0000-0000-00000ED20000}"/>
    <cellStyle name="Normal 5 2 4 3" xfId="23305" xr:uid="{00000000-0005-0000-0000-00000FD20000}"/>
    <cellStyle name="Normal 5 2 4 3 2" xfId="56829" xr:uid="{00000000-0005-0000-0000-000010D20000}"/>
    <cellStyle name="Normal 5 2 4 4" xfId="38292" xr:uid="{00000000-0005-0000-0000-000011D20000}"/>
    <cellStyle name="Normal 5 2 4 5" xfId="53661" xr:uid="{00000000-0005-0000-0000-000012D20000}"/>
    <cellStyle name="Normal 5 2 5" xfId="5209" xr:uid="{00000000-0005-0000-0000-000013D20000}"/>
    <cellStyle name="Normal 5 2 5 2" xfId="13292" xr:uid="{00000000-0005-0000-0000-000014D20000}"/>
    <cellStyle name="Normal 5 2 5 2 2" xfId="29611" xr:uid="{00000000-0005-0000-0000-000015D20000}"/>
    <cellStyle name="Normal 5 2 5 2 2 2" xfId="57454" xr:uid="{00000000-0005-0000-0000-000016D20000}"/>
    <cellStyle name="Normal 5 2 5 2 3" xfId="44576" xr:uid="{00000000-0005-0000-0000-000017D20000}"/>
    <cellStyle name="Normal 5 2 5 2 4" xfId="54287" xr:uid="{00000000-0005-0000-0000-000018D20000}"/>
    <cellStyle name="Normal 5 2 5 3" xfId="22589" xr:uid="{00000000-0005-0000-0000-000019D20000}"/>
    <cellStyle name="Normal 5 2 5 3 2" xfId="56830" xr:uid="{00000000-0005-0000-0000-00001AD20000}"/>
    <cellStyle name="Normal 5 2 5 4" xfId="37577" xr:uid="{00000000-0005-0000-0000-00001BD20000}"/>
    <cellStyle name="Normal 5 2 5 5" xfId="53662" xr:uid="{00000000-0005-0000-0000-00001CD20000}"/>
    <cellStyle name="Normal 5 2 6" xfId="18010" xr:uid="{00000000-0005-0000-0000-00001DD20000}"/>
    <cellStyle name="Normal 5 2 6 2" xfId="54288" xr:uid="{00000000-0005-0000-0000-00001ED20000}"/>
    <cellStyle name="Normal 5 2 6 2 2" xfId="57455" xr:uid="{00000000-0005-0000-0000-00001FD20000}"/>
    <cellStyle name="Normal 5 2 6 3" xfId="56831" xr:uid="{00000000-0005-0000-0000-000020D20000}"/>
    <cellStyle name="Normal 5 2 6 4" xfId="53663" xr:uid="{00000000-0005-0000-0000-000021D20000}"/>
    <cellStyle name="Normal 5 2 7" xfId="53656" xr:uid="{00000000-0005-0000-0000-000022D20000}"/>
    <cellStyle name="Normal 5 2 7 2" xfId="54281" xr:uid="{00000000-0005-0000-0000-000023D20000}"/>
    <cellStyle name="Normal 5 2 7 2 2" xfId="57448" xr:uid="{00000000-0005-0000-0000-000024D20000}"/>
    <cellStyle name="Normal 5 2 7 3" xfId="56824" xr:uid="{00000000-0005-0000-0000-000025D20000}"/>
    <cellStyle name="Normal 5 2 8" xfId="53310" xr:uid="{00000000-0005-0000-0000-000026D20000}"/>
    <cellStyle name="Normal 5 3" xfId="1171" xr:uid="{00000000-0005-0000-0000-000027D20000}"/>
    <cellStyle name="Normal 5 3 10" xfId="50116" xr:uid="{00000000-0005-0000-0000-000028D20000}"/>
    <cellStyle name="Normal 5 3 11" xfId="50521" xr:uid="{00000000-0005-0000-0000-000029D20000}"/>
    <cellStyle name="Normal 5 3 12" xfId="51081" xr:uid="{00000000-0005-0000-0000-00002AD20000}"/>
    <cellStyle name="Normal 5 3 13" xfId="51682" xr:uid="{00000000-0005-0000-0000-00002BD20000}"/>
    <cellStyle name="Normal 5 3 14" xfId="52101" xr:uid="{00000000-0005-0000-0000-00002CD20000}"/>
    <cellStyle name="Normal 5 3 15" xfId="53664" xr:uid="{00000000-0005-0000-0000-00002DD20000}"/>
    <cellStyle name="Normal 5 3 16" xfId="1562" xr:uid="{00000000-0005-0000-0000-00002ED20000}"/>
    <cellStyle name="Normal 5 3 2" xfId="8882" xr:uid="{00000000-0005-0000-0000-00002FD20000}"/>
    <cellStyle name="Normal 5 3 2 2" xfId="53666" xr:uid="{00000000-0005-0000-0000-000030D20000}"/>
    <cellStyle name="Normal 5 3 2 2 2" xfId="54291" xr:uid="{00000000-0005-0000-0000-000031D20000}"/>
    <cellStyle name="Normal 5 3 2 2 2 2" xfId="57458" xr:uid="{00000000-0005-0000-0000-000032D20000}"/>
    <cellStyle name="Normal 5 3 2 2 3" xfId="56834" xr:uid="{00000000-0005-0000-0000-000033D20000}"/>
    <cellStyle name="Normal 5 3 2 3" xfId="53667" xr:uid="{00000000-0005-0000-0000-000034D20000}"/>
    <cellStyle name="Normal 5 3 2 3 2" xfId="54292" xr:uid="{00000000-0005-0000-0000-000035D20000}"/>
    <cellStyle name="Normal 5 3 2 3 2 2" xfId="57459" xr:uid="{00000000-0005-0000-0000-000036D20000}"/>
    <cellStyle name="Normal 5 3 2 3 3" xfId="56835" xr:uid="{00000000-0005-0000-0000-000037D20000}"/>
    <cellStyle name="Normal 5 3 2 4" xfId="54290" xr:uid="{00000000-0005-0000-0000-000038D20000}"/>
    <cellStyle name="Normal 5 3 2 4 2" xfId="57457" xr:uid="{00000000-0005-0000-0000-000039D20000}"/>
    <cellStyle name="Normal 5 3 2 5" xfId="56833" xr:uid="{00000000-0005-0000-0000-00003AD20000}"/>
    <cellStyle name="Normal 5 3 2 6" xfId="53665" xr:uid="{00000000-0005-0000-0000-00003BD20000}"/>
    <cellStyle name="Normal 5 3 3" xfId="5212" xr:uid="{00000000-0005-0000-0000-00003CD20000}"/>
    <cellStyle name="Normal 5 3 3 2" xfId="54293" xr:uid="{00000000-0005-0000-0000-00003DD20000}"/>
    <cellStyle name="Normal 5 3 3 2 2" xfId="57460" xr:uid="{00000000-0005-0000-0000-00003ED20000}"/>
    <cellStyle name="Normal 5 3 3 3" xfId="56836" xr:uid="{00000000-0005-0000-0000-00003FD20000}"/>
    <cellStyle name="Normal 5 3 3 4" xfId="53668" xr:uid="{00000000-0005-0000-0000-000040D20000}"/>
    <cellStyle name="Normal 5 3 4" xfId="8947" xr:uid="{00000000-0005-0000-0000-000041D20000}"/>
    <cellStyle name="Normal 5 3 4 2" xfId="16721" xr:uid="{00000000-0005-0000-0000-000042D20000}"/>
    <cellStyle name="Normal 5 3 4 2 2" xfId="33034" xr:uid="{00000000-0005-0000-0000-000043D20000}"/>
    <cellStyle name="Normal 5 3 4 2 2 2" xfId="57461" xr:uid="{00000000-0005-0000-0000-000044D20000}"/>
    <cellStyle name="Normal 5 3 4 2 3" xfId="47998" xr:uid="{00000000-0005-0000-0000-000045D20000}"/>
    <cellStyle name="Normal 5 3 4 2 4" xfId="54294" xr:uid="{00000000-0005-0000-0000-000046D20000}"/>
    <cellStyle name="Normal 5 3 4 3" xfId="26012" xr:uid="{00000000-0005-0000-0000-000047D20000}"/>
    <cellStyle name="Normal 5 3 4 3 2" xfId="56837" xr:uid="{00000000-0005-0000-0000-000048D20000}"/>
    <cellStyle name="Normal 5 3 4 4" xfId="40999" xr:uid="{00000000-0005-0000-0000-000049D20000}"/>
    <cellStyle name="Normal 5 3 4 5" xfId="53669" xr:uid="{00000000-0005-0000-0000-00004AD20000}"/>
    <cellStyle name="Normal 5 3 5" xfId="10060" xr:uid="{00000000-0005-0000-0000-00004BD20000}"/>
    <cellStyle name="Normal 5 3 5 2" xfId="26381" xr:uid="{00000000-0005-0000-0000-00004CD20000}"/>
    <cellStyle name="Normal 5 3 5 2 2" xfId="57462" xr:uid="{00000000-0005-0000-0000-00004DD20000}"/>
    <cellStyle name="Normal 5 3 5 2 3" xfId="54295" xr:uid="{00000000-0005-0000-0000-00004ED20000}"/>
    <cellStyle name="Normal 5 3 5 3" xfId="41349" xr:uid="{00000000-0005-0000-0000-00004FD20000}"/>
    <cellStyle name="Normal 5 3 5 3 2" xfId="56838" xr:uid="{00000000-0005-0000-0000-000050D20000}"/>
    <cellStyle name="Normal 5 3 5 4" xfId="53670" xr:uid="{00000000-0005-0000-0000-000051D20000}"/>
    <cellStyle name="Normal 5 3 6" xfId="19360" xr:uid="{00000000-0005-0000-0000-000052D20000}"/>
    <cellStyle name="Normal 5 3 6 2" xfId="54296" xr:uid="{00000000-0005-0000-0000-000053D20000}"/>
    <cellStyle name="Normal 5 3 6 2 2" xfId="57463" xr:uid="{00000000-0005-0000-0000-000054D20000}"/>
    <cellStyle name="Normal 5 3 6 3" xfId="56839" xr:uid="{00000000-0005-0000-0000-000055D20000}"/>
    <cellStyle name="Normal 5 3 6 4" xfId="53671" xr:uid="{00000000-0005-0000-0000-000056D20000}"/>
    <cellStyle name="Normal 5 3 7" xfId="34350" xr:uid="{00000000-0005-0000-0000-000057D20000}"/>
    <cellStyle name="Normal 5 3 7 2" xfId="57456" xr:uid="{00000000-0005-0000-0000-000058D20000}"/>
    <cellStyle name="Normal 5 3 7 3" xfId="54289" xr:uid="{00000000-0005-0000-0000-000059D20000}"/>
    <cellStyle name="Normal 5 3 8" xfId="49302" xr:uid="{00000000-0005-0000-0000-00005AD20000}"/>
    <cellStyle name="Normal 5 3 8 2" xfId="56832" xr:uid="{00000000-0005-0000-0000-00005BD20000}"/>
    <cellStyle name="Normal 5 3 9" xfId="49707" xr:uid="{00000000-0005-0000-0000-00005CD20000}"/>
    <cellStyle name="Normal 5 4" xfId="1193" xr:uid="{00000000-0005-0000-0000-00005DD20000}"/>
    <cellStyle name="Normal 5 4 2" xfId="8880" xr:uid="{00000000-0005-0000-0000-00005ED20000}"/>
    <cellStyle name="Normal 5 4 2 2" xfId="53674" xr:uid="{00000000-0005-0000-0000-00005FD20000}"/>
    <cellStyle name="Normal 5 4 2 2 2" xfId="54299" xr:uid="{00000000-0005-0000-0000-000060D20000}"/>
    <cellStyle name="Normal 5 4 2 2 2 2" xfId="57466" xr:uid="{00000000-0005-0000-0000-000061D20000}"/>
    <cellStyle name="Normal 5 4 2 2 3" xfId="56842" xr:uid="{00000000-0005-0000-0000-000062D20000}"/>
    <cellStyle name="Normal 5 4 2 3" xfId="53675" xr:uid="{00000000-0005-0000-0000-000063D20000}"/>
    <cellStyle name="Normal 5 4 2 3 2" xfId="54300" xr:uid="{00000000-0005-0000-0000-000064D20000}"/>
    <cellStyle name="Normal 5 4 2 3 2 2" xfId="57467" xr:uid="{00000000-0005-0000-0000-000065D20000}"/>
    <cellStyle name="Normal 5 4 2 3 3" xfId="56843" xr:uid="{00000000-0005-0000-0000-000066D20000}"/>
    <cellStyle name="Normal 5 4 2 4" xfId="54298" xr:uid="{00000000-0005-0000-0000-000067D20000}"/>
    <cellStyle name="Normal 5 4 2 4 2" xfId="57465" xr:uid="{00000000-0005-0000-0000-000068D20000}"/>
    <cellStyle name="Normal 5 4 2 5" xfId="56841" xr:uid="{00000000-0005-0000-0000-000069D20000}"/>
    <cellStyle name="Normal 5 4 2 6" xfId="53673" xr:uid="{00000000-0005-0000-0000-00006AD20000}"/>
    <cellStyle name="Normal 5 4 3" xfId="5208" xr:uid="{00000000-0005-0000-0000-00006BD20000}"/>
    <cellStyle name="Normal 5 4 3 2" xfId="54301" xr:uid="{00000000-0005-0000-0000-00006CD20000}"/>
    <cellStyle name="Normal 5 4 3 2 2" xfId="57468" xr:uid="{00000000-0005-0000-0000-00006DD20000}"/>
    <cellStyle name="Normal 5 4 3 3" xfId="56844" xr:uid="{00000000-0005-0000-0000-00006ED20000}"/>
    <cellStyle name="Normal 5 4 3 4" xfId="53676" xr:uid="{00000000-0005-0000-0000-00006FD20000}"/>
    <cellStyle name="Normal 5 4 4" xfId="53677" xr:uid="{00000000-0005-0000-0000-000070D20000}"/>
    <cellStyle name="Normal 5 4 4 2" xfId="54302" xr:uid="{00000000-0005-0000-0000-000071D20000}"/>
    <cellStyle name="Normal 5 4 4 2 2" xfId="57469" xr:uid="{00000000-0005-0000-0000-000072D20000}"/>
    <cellStyle name="Normal 5 4 4 3" xfId="56845" xr:uid="{00000000-0005-0000-0000-000073D20000}"/>
    <cellStyle name="Normal 5 4 5" xfId="53678" xr:uid="{00000000-0005-0000-0000-000074D20000}"/>
    <cellStyle name="Normal 5 4 5 2" xfId="54303" xr:uid="{00000000-0005-0000-0000-000075D20000}"/>
    <cellStyle name="Normal 5 4 5 2 2" xfId="57470" xr:uid="{00000000-0005-0000-0000-000076D20000}"/>
    <cellStyle name="Normal 5 4 5 3" xfId="56846" xr:uid="{00000000-0005-0000-0000-000077D20000}"/>
    <cellStyle name="Normal 5 4 6" xfId="54297" xr:uid="{00000000-0005-0000-0000-000078D20000}"/>
    <cellStyle name="Normal 5 4 6 2" xfId="57464" xr:uid="{00000000-0005-0000-0000-000079D20000}"/>
    <cellStyle name="Normal 5 4 7" xfId="56840" xr:uid="{00000000-0005-0000-0000-00007AD20000}"/>
    <cellStyle name="Normal 5 4 8" xfId="53672" xr:uid="{00000000-0005-0000-0000-00007BD20000}"/>
    <cellStyle name="Normal 5 5" xfId="1590" xr:uid="{00000000-0005-0000-0000-00007CD20000}"/>
    <cellStyle name="Normal 5 5 2" xfId="10149" xr:uid="{00000000-0005-0000-0000-00007DD20000}"/>
    <cellStyle name="Normal 5 5 2 2" xfId="26468" xr:uid="{00000000-0005-0000-0000-00007ED20000}"/>
    <cellStyle name="Normal 5 5 2 2 2" xfId="54306" xr:uid="{00000000-0005-0000-0000-00007FD20000}"/>
    <cellStyle name="Normal 5 5 2 2 2 2" xfId="57473" xr:uid="{00000000-0005-0000-0000-000080D20000}"/>
    <cellStyle name="Normal 5 5 2 2 3" xfId="56849" xr:uid="{00000000-0005-0000-0000-000081D20000}"/>
    <cellStyle name="Normal 5 5 2 2 4" xfId="53681" xr:uid="{00000000-0005-0000-0000-000082D20000}"/>
    <cellStyle name="Normal 5 5 2 3" xfId="41434" xr:uid="{00000000-0005-0000-0000-000083D20000}"/>
    <cellStyle name="Normal 5 5 2 3 2" xfId="54307" xr:uid="{00000000-0005-0000-0000-000084D20000}"/>
    <cellStyle name="Normal 5 5 2 3 2 2" xfId="57474" xr:uid="{00000000-0005-0000-0000-000085D20000}"/>
    <cellStyle name="Normal 5 5 2 3 3" xfId="56850" xr:uid="{00000000-0005-0000-0000-000086D20000}"/>
    <cellStyle name="Normal 5 5 2 3 4" xfId="53682" xr:uid="{00000000-0005-0000-0000-000087D20000}"/>
    <cellStyle name="Normal 5 5 2 4" xfId="54305" xr:uid="{00000000-0005-0000-0000-000088D20000}"/>
    <cellStyle name="Normal 5 5 2 4 2" xfId="57472" xr:uid="{00000000-0005-0000-0000-000089D20000}"/>
    <cellStyle name="Normal 5 5 2 5" xfId="56848" xr:uid="{00000000-0005-0000-0000-00008AD20000}"/>
    <cellStyle name="Normal 5 5 2 6" xfId="53680" xr:uid="{00000000-0005-0000-0000-00008BD20000}"/>
    <cellStyle name="Normal 5 5 3" xfId="19446" xr:uid="{00000000-0005-0000-0000-00008CD20000}"/>
    <cellStyle name="Normal 5 5 3 2" xfId="54308" xr:uid="{00000000-0005-0000-0000-00008DD20000}"/>
    <cellStyle name="Normal 5 5 3 2 2" xfId="57475" xr:uid="{00000000-0005-0000-0000-00008ED20000}"/>
    <cellStyle name="Normal 5 5 3 3" xfId="56851" xr:uid="{00000000-0005-0000-0000-00008FD20000}"/>
    <cellStyle name="Normal 5 5 3 4" xfId="53683" xr:uid="{00000000-0005-0000-0000-000090D20000}"/>
    <cellStyle name="Normal 5 5 4" xfId="34435" xr:uid="{00000000-0005-0000-0000-000091D20000}"/>
    <cellStyle name="Normal 5 5 4 2" xfId="54309" xr:uid="{00000000-0005-0000-0000-000092D20000}"/>
    <cellStyle name="Normal 5 5 4 2 2" xfId="57476" xr:uid="{00000000-0005-0000-0000-000093D20000}"/>
    <cellStyle name="Normal 5 5 4 3" xfId="56852" xr:uid="{00000000-0005-0000-0000-000094D20000}"/>
    <cellStyle name="Normal 5 5 4 4" xfId="53684" xr:uid="{00000000-0005-0000-0000-000095D20000}"/>
    <cellStyle name="Normal 5 5 5" xfId="53685" xr:uid="{00000000-0005-0000-0000-000096D20000}"/>
    <cellStyle name="Normal 5 5 5 2" xfId="54310" xr:uid="{00000000-0005-0000-0000-000097D20000}"/>
    <cellStyle name="Normal 5 5 5 2 2" xfId="57477" xr:uid="{00000000-0005-0000-0000-000098D20000}"/>
    <cellStyle name="Normal 5 5 5 3" xfId="56853" xr:uid="{00000000-0005-0000-0000-000099D20000}"/>
    <cellStyle name="Normal 5 5 6" xfId="54304" xr:uid="{00000000-0005-0000-0000-00009AD20000}"/>
    <cellStyle name="Normal 5 5 6 2" xfId="57471" xr:uid="{00000000-0005-0000-0000-00009BD20000}"/>
    <cellStyle name="Normal 5 5 7" xfId="56847" xr:uid="{00000000-0005-0000-0000-00009CD20000}"/>
    <cellStyle name="Normal 5 5 8" xfId="53679" xr:uid="{00000000-0005-0000-0000-00009DD20000}"/>
    <cellStyle name="Normal 5 6" xfId="53686" xr:uid="{00000000-0005-0000-0000-00009ED20000}"/>
    <cellStyle name="Normal 5 6 2" xfId="53687" xr:uid="{00000000-0005-0000-0000-00009FD20000}"/>
    <cellStyle name="Normal 5 6 2 2" xfId="53688" xr:uid="{00000000-0005-0000-0000-0000A0D20000}"/>
    <cellStyle name="Normal 5 6 2 2 2" xfId="54313" xr:uid="{00000000-0005-0000-0000-0000A1D20000}"/>
    <cellStyle name="Normal 5 6 2 2 2 2" xfId="57480" xr:uid="{00000000-0005-0000-0000-0000A2D20000}"/>
    <cellStyle name="Normal 5 6 2 2 3" xfId="56856" xr:uid="{00000000-0005-0000-0000-0000A3D20000}"/>
    <cellStyle name="Normal 5 6 2 3" xfId="53689" xr:uid="{00000000-0005-0000-0000-0000A4D20000}"/>
    <cellStyle name="Normal 5 6 2 3 2" xfId="54314" xr:uid="{00000000-0005-0000-0000-0000A5D20000}"/>
    <cellStyle name="Normal 5 6 2 3 2 2" xfId="57481" xr:uid="{00000000-0005-0000-0000-0000A6D20000}"/>
    <cellStyle name="Normal 5 6 2 3 3" xfId="56857" xr:uid="{00000000-0005-0000-0000-0000A7D20000}"/>
    <cellStyle name="Normal 5 6 2 4" xfId="54312" xr:uid="{00000000-0005-0000-0000-0000A8D20000}"/>
    <cellStyle name="Normal 5 6 2 4 2" xfId="57479" xr:uid="{00000000-0005-0000-0000-0000A9D20000}"/>
    <cellStyle name="Normal 5 6 2 5" xfId="56855" xr:uid="{00000000-0005-0000-0000-0000AAD20000}"/>
    <cellStyle name="Normal 5 6 3" xfId="53690" xr:uid="{00000000-0005-0000-0000-0000ABD20000}"/>
    <cellStyle name="Normal 5 6 3 2" xfId="54315" xr:uid="{00000000-0005-0000-0000-0000ACD20000}"/>
    <cellStyle name="Normal 5 6 3 2 2" xfId="57482" xr:uid="{00000000-0005-0000-0000-0000ADD20000}"/>
    <cellStyle name="Normal 5 6 3 3" xfId="56858" xr:uid="{00000000-0005-0000-0000-0000AED20000}"/>
    <cellStyle name="Normal 5 6 4" xfId="53691" xr:uid="{00000000-0005-0000-0000-0000AFD20000}"/>
    <cellStyle name="Normal 5 6 4 2" xfId="54316" xr:uid="{00000000-0005-0000-0000-0000B0D20000}"/>
    <cellStyle name="Normal 5 6 4 2 2" xfId="57483" xr:uid="{00000000-0005-0000-0000-0000B1D20000}"/>
    <cellStyle name="Normal 5 6 4 3" xfId="56859" xr:uid="{00000000-0005-0000-0000-0000B2D20000}"/>
    <cellStyle name="Normal 5 6 5" xfId="53692" xr:uid="{00000000-0005-0000-0000-0000B3D20000}"/>
    <cellStyle name="Normal 5 6 5 2" xfId="54317" xr:uid="{00000000-0005-0000-0000-0000B4D20000}"/>
    <cellStyle name="Normal 5 6 5 2 2" xfId="57484" xr:uid="{00000000-0005-0000-0000-0000B5D20000}"/>
    <cellStyle name="Normal 5 6 5 3" xfId="56860" xr:uid="{00000000-0005-0000-0000-0000B6D20000}"/>
    <cellStyle name="Normal 5 6 6" xfId="54311" xr:uid="{00000000-0005-0000-0000-0000B7D20000}"/>
    <cellStyle name="Normal 5 6 6 2" xfId="57478" xr:uid="{00000000-0005-0000-0000-0000B8D20000}"/>
    <cellStyle name="Normal 5 6 7" xfId="56854" xr:uid="{00000000-0005-0000-0000-0000B9D20000}"/>
    <cellStyle name="Normal 5 7" xfId="53693" xr:uid="{00000000-0005-0000-0000-0000BAD20000}"/>
    <cellStyle name="Normal 5 7 2" xfId="53694" xr:uid="{00000000-0005-0000-0000-0000BBD20000}"/>
    <cellStyle name="Normal 5 7 2 2" xfId="53695" xr:uid="{00000000-0005-0000-0000-0000BCD20000}"/>
    <cellStyle name="Normal 5 7 2 2 2" xfId="54320" xr:uid="{00000000-0005-0000-0000-0000BDD20000}"/>
    <cellStyle name="Normal 5 7 2 2 2 2" xfId="57487" xr:uid="{00000000-0005-0000-0000-0000BED20000}"/>
    <cellStyle name="Normal 5 7 2 2 3" xfId="56863" xr:uid="{00000000-0005-0000-0000-0000BFD20000}"/>
    <cellStyle name="Normal 5 7 2 3" xfId="53696" xr:uid="{00000000-0005-0000-0000-0000C0D20000}"/>
    <cellStyle name="Normal 5 7 2 3 2" xfId="54321" xr:uid="{00000000-0005-0000-0000-0000C1D20000}"/>
    <cellStyle name="Normal 5 7 2 3 2 2" xfId="57488" xr:uid="{00000000-0005-0000-0000-0000C2D20000}"/>
    <cellStyle name="Normal 5 7 2 3 3" xfId="56864" xr:uid="{00000000-0005-0000-0000-0000C3D20000}"/>
    <cellStyle name="Normal 5 7 2 4" xfId="54319" xr:uid="{00000000-0005-0000-0000-0000C4D20000}"/>
    <cellStyle name="Normal 5 7 2 4 2" xfId="57486" xr:uid="{00000000-0005-0000-0000-0000C5D20000}"/>
    <cellStyle name="Normal 5 7 2 5" xfId="56862" xr:uid="{00000000-0005-0000-0000-0000C6D20000}"/>
    <cellStyle name="Normal 5 7 3" xfId="53697" xr:uid="{00000000-0005-0000-0000-0000C7D20000}"/>
    <cellStyle name="Normal 5 7 3 2" xfId="54322" xr:uid="{00000000-0005-0000-0000-0000C8D20000}"/>
    <cellStyle name="Normal 5 7 3 2 2" xfId="57489" xr:uid="{00000000-0005-0000-0000-0000C9D20000}"/>
    <cellStyle name="Normal 5 7 3 3" xfId="56865" xr:uid="{00000000-0005-0000-0000-0000CAD20000}"/>
    <cellStyle name="Normal 5 7 4" xfId="53698" xr:uid="{00000000-0005-0000-0000-0000CBD20000}"/>
    <cellStyle name="Normal 5 7 4 2" xfId="54323" xr:uid="{00000000-0005-0000-0000-0000CCD20000}"/>
    <cellStyle name="Normal 5 7 4 2 2" xfId="57490" xr:uid="{00000000-0005-0000-0000-0000CDD20000}"/>
    <cellStyle name="Normal 5 7 4 3" xfId="56866" xr:uid="{00000000-0005-0000-0000-0000CED20000}"/>
    <cellStyle name="Normal 5 7 5" xfId="53699" xr:uid="{00000000-0005-0000-0000-0000CFD20000}"/>
    <cellStyle name="Normal 5 7 5 2" xfId="54324" xr:uid="{00000000-0005-0000-0000-0000D0D20000}"/>
    <cellStyle name="Normal 5 7 5 2 2" xfId="57491" xr:uid="{00000000-0005-0000-0000-0000D1D20000}"/>
    <cellStyle name="Normal 5 7 5 3" xfId="56867" xr:uid="{00000000-0005-0000-0000-0000D2D20000}"/>
    <cellStyle name="Normal 5 7 6" xfId="54318" xr:uid="{00000000-0005-0000-0000-0000D3D20000}"/>
    <cellStyle name="Normal 5 7 6 2" xfId="57485" xr:uid="{00000000-0005-0000-0000-0000D4D20000}"/>
    <cellStyle name="Normal 5 7 7" xfId="56861" xr:uid="{00000000-0005-0000-0000-0000D5D20000}"/>
    <cellStyle name="Normal 5 8" xfId="53700" xr:uid="{00000000-0005-0000-0000-0000D6D20000}"/>
    <cellStyle name="Normal 5 8 2" xfId="53701" xr:uid="{00000000-0005-0000-0000-0000D7D20000}"/>
    <cellStyle name="Normal 5 8 2 2" xfId="54326" xr:uid="{00000000-0005-0000-0000-0000D8D20000}"/>
    <cellStyle name="Normal 5 8 2 2 2" xfId="57493" xr:uid="{00000000-0005-0000-0000-0000D9D20000}"/>
    <cellStyle name="Normal 5 8 2 3" xfId="56869" xr:uid="{00000000-0005-0000-0000-0000DAD20000}"/>
    <cellStyle name="Normal 5 8 3" xfId="53702" xr:uid="{00000000-0005-0000-0000-0000DBD20000}"/>
    <cellStyle name="Normal 5 8 3 2" xfId="54327" xr:uid="{00000000-0005-0000-0000-0000DCD20000}"/>
    <cellStyle name="Normal 5 8 3 2 2" xfId="57494" xr:uid="{00000000-0005-0000-0000-0000DDD20000}"/>
    <cellStyle name="Normal 5 8 3 3" xfId="56870" xr:uid="{00000000-0005-0000-0000-0000DED20000}"/>
    <cellStyle name="Normal 5 8 4" xfId="54325" xr:uid="{00000000-0005-0000-0000-0000DFD20000}"/>
    <cellStyle name="Normal 5 8 4 2" xfId="57492" xr:uid="{00000000-0005-0000-0000-0000E0D20000}"/>
    <cellStyle name="Normal 5 8 5" xfId="56868" xr:uid="{00000000-0005-0000-0000-0000E1D20000}"/>
    <cellStyle name="Normal 5 9" xfId="53703" xr:uid="{00000000-0005-0000-0000-0000E2D20000}"/>
    <cellStyle name="Normal 5 9 2" xfId="53704" xr:uid="{00000000-0005-0000-0000-0000E3D20000}"/>
    <cellStyle name="Normal 5 9 2 2" xfId="54329" xr:uid="{00000000-0005-0000-0000-0000E4D20000}"/>
    <cellStyle name="Normal 5 9 2 2 2" xfId="57496" xr:uid="{00000000-0005-0000-0000-0000E5D20000}"/>
    <cellStyle name="Normal 5 9 2 3" xfId="56872" xr:uid="{00000000-0005-0000-0000-0000E6D20000}"/>
    <cellStyle name="Normal 5 9 3" xfId="54328" xr:uid="{00000000-0005-0000-0000-0000E7D20000}"/>
    <cellStyle name="Normal 5 9 3 2" xfId="57495" xr:uid="{00000000-0005-0000-0000-0000E8D20000}"/>
    <cellStyle name="Normal 5 9 4" xfId="56871" xr:uid="{00000000-0005-0000-0000-0000E9D20000}"/>
    <cellStyle name="Normal 6" xfId="541" xr:uid="{00000000-0005-0000-0000-0000EAD20000}"/>
    <cellStyle name="Normal 6 10" xfId="9706" xr:uid="{00000000-0005-0000-0000-0000EBD20000}"/>
    <cellStyle name="Normal 6 10 2" xfId="26036" xr:uid="{00000000-0005-0000-0000-0000ECD20000}"/>
    <cellStyle name="Normal 6 10 2 2" xfId="57498" xr:uid="{00000000-0005-0000-0000-0000EDD20000}"/>
    <cellStyle name="Normal 6 10 2 3" xfId="54331" xr:uid="{00000000-0005-0000-0000-0000EED20000}"/>
    <cellStyle name="Normal 6 10 3" xfId="41022" xr:uid="{00000000-0005-0000-0000-0000EFD20000}"/>
    <cellStyle name="Normal 6 10 3 2" xfId="56874" xr:uid="{00000000-0005-0000-0000-0000F0D20000}"/>
    <cellStyle name="Normal 6 10 4" xfId="53706" xr:uid="{00000000-0005-0000-0000-0000F1D20000}"/>
    <cellStyle name="Normal 6 11" xfId="17494" xr:uid="{00000000-0005-0000-0000-0000F2D20000}"/>
    <cellStyle name="Normal 6 11 2" xfId="33605" xr:uid="{00000000-0005-0000-0000-0000F3D20000}"/>
    <cellStyle name="Normal 6 11 2 2" xfId="57499" xr:uid="{00000000-0005-0000-0000-0000F4D20000}"/>
    <cellStyle name="Normal 6 11 2 3" xfId="54332" xr:uid="{00000000-0005-0000-0000-0000F5D20000}"/>
    <cellStyle name="Normal 6 11 3" xfId="48566" xr:uid="{00000000-0005-0000-0000-0000F6D20000}"/>
    <cellStyle name="Normal 6 11 3 2" xfId="56875" xr:uid="{00000000-0005-0000-0000-0000F7D20000}"/>
    <cellStyle name="Normal 6 11 4" xfId="53707" xr:uid="{00000000-0005-0000-0000-0000F8D20000}"/>
    <cellStyle name="Normal 6 12" xfId="19349" xr:uid="{00000000-0005-0000-0000-0000F9D20000}"/>
    <cellStyle name="Normal 6 12 2" xfId="54333" xr:uid="{00000000-0005-0000-0000-0000FAD20000}"/>
    <cellStyle name="Normal 6 12 2 2" xfId="57500" xr:uid="{00000000-0005-0000-0000-0000FBD20000}"/>
    <cellStyle name="Normal 6 12 3" xfId="56876" xr:uid="{00000000-0005-0000-0000-0000FCD20000}"/>
    <cellStyle name="Normal 6 12 4" xfId="53708" xr:uid="{00000000-0005-0000-0000-0000FDD20000}"/>
    <cellStyle name="Normal 6 13" xfId="34344" xr:uid="{00000000-0005-0000-0000-0000FED20000}"/>
    <cellStyle name="Normal 6 13 2" xfId="54330" xr:uid="{00000000-0005-0000-0000-0000FFD20000}"/>
    <cellStyle name="Normal 6 13 2 2" xfId="57497" xr:uid="{00000000-0005-0000-0000-000000D30000}"/>
    <cellStyle name="Normal 6 13 3" xfId="56873" xr:uid="{00000000-0005-0000-0000-000001D30000}"/>
    <cellStyle name="Normal 6 13 4" xfId="53705" xr:uid="{00000000-0005-0000-0000-000002D30000}"/>
    <cellStyle name="Normal 6 14" xfId="49284" xr:uid="{00000000-0005-0000-0000-000003D30000}"/>
    <cellStyle name="Normal 6 14 2" xfId="57057" xr:uid="{00000000-0005-0000-0000-000004D30000}"/>
    <cellStyle name="Normal 6 14 3" xfId="53890" xr:uid="{00000000-0005-0000-0000-000005D30000}"/>
    <cellStyle name="Normal 6 15" xfId="49689" xr:uid="{00000000-0005-0000-0000-000006D30000}"/>
    <cellStyle name="Normal 6 15 2" xfId="56438" xr:uid="{00000000-0005-0000-0000-000007D30000}"/>
    <cellStyle name="Normal 6 15 3" xfId="53178" xr:uid="{00000000-0005-0000-0000-000008D30000}"/>
    <cellStyle name="Normal 6 16" xfId="50095" xr:uid="{00000000-0005-0000-0000-000009D30000}"/>
    <cellStyle name="Normal 6 16 2" xfId="56011" xr:uid="{00000000-0005-0000-0000-00000AD30000}"/>
    <cellStyle name="Normal 6 17" xfId="50503" xr:uid="{00000000-0005-0000-0000-00000BD30000}"/>
    <cellStyle name="Normal 6 18" xfId="50601" xr:uid="{00000000-0005-0000-0000-00000CD30000}"/>
    <cellStyle name="Normal 6 19" xfId="50945" xr:uid="{00000000-0005-0000-0000-00000DD30000}"/>
    <cellStyle name="Normal 6 2" xfId="542" xr:uid="{00000000-0005-0000-0000-00000ED30000}"/>
    <cellStyle name="Normal 6 2 2" xfId="5215" xr:uid="{00000000-0005-0000-0000-00000FD30000}"/>
    <cellStyle name="Normal 6 2 2 2" xfId="7844" xr:uid="{00000000-0005-0000-0000-000010D30000}"/>
    <cellStyle name="Normal 6 2 2 2 2" xfId="15745" xr:uid="{00000000-0005-0000-0000-000011D30000}"/>
    <cellStyle name="Normal 6 2 2 2 2 2" xfId="32059" xr:uid="{00000000-0005-0000-0000-000012D30000}"/>
    <cellStyle name="Normal 6 2 2 2 2 2 2" xfId="57503" xr:uid="{00000000-0005-0000-0000-000013D30000}"/>
    <cellStyle name="Normal 6 2 2 2 2 3" xfId="47023" xr:uid="{00000000-0005-0000-0000-000014D30000}"/>
    <cellStyle name="Normal 6 2 2 2 2 4" xfId="54336" xr:uid="{00000000-0005-0000-0000-000015D30000}"/>
    <cellStyle name="Normal 6 2 2 2 3" xfId="25037" xr:uid="{00000000-0005-0000-0000-000016D30000}"/>
    <cellStyle name="Normal 6 2 2 2 3 2" xfId="56879" xr:uid="{00000000-0005-0000-0000-000017D30000}"/>
    <cellStyle name="Normal 6 2 2 2 4" xfId="40024" xr:uid="{00000000-0005-0000-0000-000018D30000}"/>
    <cellStyle name="Normal 6 2 2 2 5" xfId="53711" xr:uid="{00000000-0005-0000-0000-000019D30000}"/>
    <cellStyle name="Normal 6 2 2 3" xfId="13295" xr:uid="{00000000-0005-0000-0000-00001AD30000}"/>
    <cellStyle name="Normal 6 2 2 3 2" xfId="29614" xr:uid="{00000000-0005-0000-0000-00001BD30000}"/>
    <cellStyle name="Normal 6 2 2 3 2 2" xfId="57504" xr:uid="{00000000-0005-0000-0000-00001CD30000}"/>
    <cellStyle name="Normal 6 2 2 3 2 3" xfId="54337" xr:uid="{00000000-0005-0000-0000-00001DD30000}"/>
    <cellStyle name="Normal 6 2 2 3 3" xfId="44579" xr:uid="{00000000-0005-0000-0000-00001ED30000}"/>
    <cellStyle name="Normal 6 2 2 3 3 2" xfId="56880" xr:uid="{00000000-0005-0000-0000-00001FD30000}"/>
    <cellStyle name="Normal 6 2 2 3 4" xfId="53712" xr:uid="{00000000-0005-0000-0000-000020D30000}"/>
    <cellStyle name="Normal 6 2 2 4" xfId="18510" xr:uid="{00000000-0005-0000-0000-000021D30000}"/>
    <cellStyle name="Normal 6 2 2 4 2" xfId="54335" xr:uid="{00000000-0005-0000-0000-000022D30000}"/>
    <cellStyle name="Normal 6 2 2 4 2 2" xfId="57502" xr:uid="{00000000-0005-0000-0000-000023D30000}"/>
    <cellStyle name="Normal 6 2 2 4 3" xfId="56878" xr:uid="{00000000-0005-0000-0000-000024D30000}"/>
    <cellStyle name="Normal 6 2 2 4 4" xfId="53710" xr:uid="{00000000-0005-0000-0000-000025D30000}"/>
    <cellStyle name="Normal 6 2 2 5" xfId="22592" xr:uid="{00000000-0005-0000-0000-000026D30000}"/>
    <cellStyle name="Normal 6 2 2 5 2" xfId="57081" xr:uid="{00000000-0005-0000-0000-000027D30000}"/>
    <cellStyle name="Normal 6 2 2 5 3" xfId="53914" xr:uid="{00000000-0005-0000-0000-000028D30000}"/>
    <cellStyle name="Normal 6 2 2 6" xfId="37580" xr:uid="{00000000-0005-0000-0000-000029D30000}"/>
    <cellStyle name="Normal 6 2 2 6 2" xfId="56470" xr:uid="{00000000-0005-0000-0000-00002AD30000}"/>
    <cellStyle name="Normal 6 2 2 6 3" xfId="53268" xr:uid="{00000000-0005-0000-0000-00002BD30000}"/>
    <cellStyle name="Normal 6 2 3" xfId="5216" xr:uid="{00000000-0005-0000-0000-00002CD30000}"/>
    <cellStyle name="Normal 6 2 3 2" xfId="7081" xr:uid="{00000000-0005-0000-0000-00002DD30000}"/>
    <cellStyle name="Normal 6 2 3 2 2" xfId="14992" xr:uid="{00000000-0005-0000-0000-00002ED30000}"/>
    <cellStyle name="Normal 6 2 3 2 2 2" xfId="31306" xr:uid="{00000000-0005-0000-0000-00002FD30000}"/>
    <cellStyle name="Normal 6 2 3 2 2 2 2" xfId="57505" xr:uid="{00000000-0005-0000-0000-000030D30000}"/>
    <cellStyle name="Normal 6 2 3 2 2 3" xfId="46270" xr:uid="{00000000-0005-0000-0000-000031D30000}"/>
    <cellStyle name="Normal 6 2 3 2 2 4" xfId="54338" xr:uid="{00000000-0005-0000-0000-000032D30000}"/>
    <cellStyle name="Normal 6 2 3 2 3" xfId="24284" xr:uid="{00000000-0005-0000-0000-000033D30000}"/>
    <cellStyle name="Normal 6 2 3 2 3 2" xfId="56881" xr:uid="{00000000-0005-0000-0000-000034D30000}"/>
    <cellStyle name="Normal 6 2 3 2 4" xfId="39271" xr:uid="{00000000-0005-0000-0000-000035D30000}"/>
    <cellStyle name="Normal 6 2 3 2 5" xfId="53713" xr:uid="{00000000-0005-0000-0000-000036D30000}"/>
    <cellStyle name="Normal 6 2 3 3" xfId="13296" xr:uid="{00000000-0005-0000-0000-000037D30000}"/>
    <cellStyle name="Normal 6 2 3 3 2" xfId="29615" xr:uid="{00000000-0005-0000-0000-000038D30000}"/>
    <cellStyle name="Normal 6 2 3 3 2 2" xfId="57097" xr:uid="{00000000-0005-0000-0000-000039D30000}"/>
    <cellStyle name="Normal 6 2 3 3 3" xfId="44580" xr:uid="{00000000-0005-0000-0000-00003AD30000}"/>
    <cellStyle name="Normal 6 2 3 3 4" xfId="53930" xr:uid="{00000000-0005-0000-0000-00003BD30000}"/>
    <cellStyle name="Normal 6 2 3 4" xfId="19014" xr:uid="{00000000-0005-0000-0000-00003CD30000}"/>
    <cellStyle name="Normal 6 2 3 4 2" xfId="34011" xr:uid="{00000000-0005-0000-0000-00003DD30000}"/>
    <cellStyle name="Normal 6 2 3 4 2 2" xfId="56486" xr:uid="{00000000-0005-0000-0000-00003ED30000}"/>
    <cellStyle name="Normal 6 2 3 4 3" xfId="48972" xr:uid="{00000000-0005-0000-0000-00003FD30000}"/>
    <cellStyle name="Normal 6 2 3 4 4" xfId="53284" xr:uid="{00000000-0005-0000-0000-000040D30000}"/>
    <cellStyle name="Normal 6 2 3 5" xfId="22593" xr:uid="{00000000-0005-0000-0000-000041D30000}"/>
    <cellStyle name="Normal 6 2 3 5 2" xfId="56418" xr:uid="{00000000-0005-0000-0000-000042D30000}"/>
    <cellStyle name="Normal 6 2 3 6" xfId="37581" xr:uid="{00000000-0005-0000-0000-000043D30000}"/>
    <cellStyle name="Normal 6 2 3 7" xfId="53144" xr:uid="{00000000-0005-0000-0000-000044D30000}"/>
    <cellStyle name="Normal 6 2 4" xfId="6097" xr:uid="{00000000-0005-0000-0000-000045D30000}"/>
    <cellStyle name="Normal 6 2 4 2" xfId="14014" xr:uid="{00000000-0005-0000-0000-000046D30000}"/>
    <cellStyle name="Normal 6 2 4 2 2" xfId="30328" xr:uid="{00000000-0005-0000-0000-000047D30000}"/>
    <cellStyle name="Normal 6 2 4 2 2 2" xfId="57506" xr:uid="{00000000-0005-0000-0000-000048D30000}"/>
    <cellStyle name="Normal 6 2 4 2 3" xfId="45292" xr:uid="{00000000-0005-0000-0000-000049D30000}"/>
    <cellStyle name="Normal 6 2 4 2 4" xfId="54339" xr:uid="{00000000-0005-0000-0000-00004AD30000}"/>
    <cellStyle name="Normal 6 2 4 3" xfId="23306" xr:uid="{00000000-0005-0000-0000-00004BD30000}"/>
    <cellStyle name="Normal 6 2 4 3 2" xfId="56882" xr:uid="{00000000-0005-0000-0000-00004CD30000}"/>
    <cellStyle name="Normal 6 2 4 4" xfId="38293" xr:uid="{00000000-0005-0000-0000-00004DD30000}"/>
    <cellStyle name="Normal 6 2 4 5" xfId="53714" xr:uid="{00000000-0005-0000-0000-00004ED30000}"/>
    <cellStyle name="Normal 6 2 5" xfId="5214" xr:uid="{00000000-0005-0000-0000-00004FD30000}"/>
    <cellStyle name="Normal 6 2 5 2" xfId="13294" xr:uid="{00000000-0005-0000-0000-000050D30000}"/>
    <cellStyle name="Normal 6 2 5 2 2" xfId="29613" xr:uid="{00000000-0005-0000-0000-000051D30000}"/>
    <cellStyle name="Normal 6 2 5 2 2 2" xfId="57507" xr:uid="{00000000-0005-0000-0000-000052D30000}"/>
    <cellStyle name="Normal 6 2 5 2 3" xfId="44578" xr:uid="{00000000-0005-0000-0000-000053D30000}"/>
    <cellStyle name="Normal 6 2 5 2 4" xfId="54340" xr:uid="{00000000-0005-0000-0000-000054D30000}"/>
    <cellStyle name="Normal 6 2 5 3" xfId="22591" xr:uid="{00000000-0005-0000-0000-000055D30000}"/>
    <cellStyle name="Normal 6 2 5 3 2" xfId="56883" xr:uid="{00000000-0005-0000-0000-000056D30000}"/>
    <cellStyle name="Normal 6 2 5 4" xfId="37579" xr:uid="{00000000-0005-0000-0000-000057D30000}"/>
    <cellStyle name="Normal 6 2 5 5" xfId="53715" xr:uid="{00000000-0005-0000-0000-000058D30000}"/>
    <cellStyle name="Normal 6 2 6" xfId="17495" xr:uid="{00000000-0005-0000-0000-000059D30000}"/>
    <cellStyle name="Normal 6 2 6 2" xfId="54341" xr:uid="{00000000-0005-0000-0000-00005AD30000}"/>
    <cellStyle name="Normal 6 2 6 2 2" xfId="57508" xr:uid="{00000000-0005-0000-0000-00005BD30000}"/>
    <cellStyle name="Normal 6 2 6 3" xfId="56884" xr:uid="{00000000-0005-0000-0000-00005CD30000}"/>
    <cellStyle name="Normal 6 2 6 4" xfId="53716" xr:uid="{00000000-0005-0000-0000-00005DD30000}"/>
    <cellStyle name="Normal 6 2 7" xfId="53709" xr:uid="{00000000-0005-0000-0000-00005ED30000}"/>
    <cellStyle name="Normal 6 2 7 2" xfId="54334" xr:uid="{00000000-0005-0000-0000-00005FD30000}"/>
    <cellStyle name="Normal 6 2 7 2 2" xfId="57501" xr:uid="{00000000-0005-0000-0000-000060D30000}"/>
    <cellStyle name="Normal 6 2 7 3" xfId="56877" xr:uid="{00000000-0005-0000-0000-000061D30000}"/>
    <cellStyle name="Normal 6 2 8" xfId="53898" xr:uid="{00000000-0005-0000-0000-000062D30000}"/>
    <cellStyle name="Normal 6 2 8 2" xfId="57065" xr:uid="{00000000-0005-0000-0000-000063D30000}"/>
    <cellStyle name="Normal 6 2 9" xfId="53252" xr:uid="{00000000-0005-0000-0000-000064D30000}"/>
    <cellStyle name="Normal 6 2 9 2" xfId="56454" xr:uid="{00000000-0005-0000-0000-000065D30000}"/>
    <cellStyle name="Normal 6 20" xfId="51664" xr:uid="{00000000-0005-0000-0000-000066D30000}"/>
    <cellStyle name="Normal 6 21" xfId="52076" xr:uid="{00000000-0005-0000-0000-000067D30000}"/>
    <cellStyle name="Normal 6 22" xfId="52729" xr:uid="{00000000-0005-0000-0000-000068D30000}"/>
    <cellStyle name="Normal 6 23" xfId="1542" xr:uid="{00000000-0005-0000-0000-000069D30000}"/>
    <cellStyle name="Normal 6 3" xfId="1172" xr:uid="{00000000-0005-0000-0000-00006AD30000}"/>
    <cellStyle name="Normal 6 3 10" xfId="49303" xr:uid="{00000000-0005-0000-0000-00006BD30000}"/>
    <cellStyle name="Normal 6 3 10 2" xfId="55458" xr:uid="{00000000-0005-0000-0000-00006CD30000}"/>
    <cellStyle name="Normal 6 3 11" xfId="49708" xr:uid="{00000000-0005-0000-0000-00006DD30000}"/>
    <cellStyle name="Normal 6 3 11 2" xfId="56380" xr:uid="{00000000-0005-0000-0000-00006ED30000}"/>
    <cellStyle name="Normal 6 3 12" xfId="50117" xr:uid="{00000000-0005-0000-0000-00006FD30000}"/>
    <cellStyle name="Normal 6 3 13" xfId="50522" xr:uid="{00000000-0005-0000-0000-000070D30000}"/>
    <cellStyle name="Normal 6 3 14" xfId="51082" xr:uid="{00000000-0005-0000-0000-000071D30000}"/>
    <cellStyle name="Normal 6 3 15" xfId="51683" xr:uid="{00000000-0005-0000-0000-000072D30000}"/>
    <cellStyle name="Normal 6 3 16" xfId="52102" xr:uid="{00000000-0005-0000-0000-000073D30000}"/>
    <cellStyle name="Normal 6 3 17" xfId="53103" xr:uid="{00000000-0005-0000-0000-000074D30000}"/>
    <cellStyle name="Normal 6 3 18" xfId="1563" xr:uid="{00000000-0005-0000-0000-000075D30000}"/>
    <cellStyle name="Normal 6 3 2" xfId="5218" xr:uid="{00000000-0005-0000-0000-000076D30000}"/>
    <cellStyle name="Normal 6 3 2 2" xfId="18993" xr:uid="{00000000-0005-0000-0000-000077D30000}"/>
    <cellStyle name="Normal 6 3 2 2 2" xfId="33994" xr:uid="{00000000-0005-0000-0000-000078D30000}"/>
    <cellStyle name="Normal 6 3 2 2 2 2" xfId="57511" xr:uid="{00000000-0005-0000-0000-000079D30000}"/>
    <cellStyle name="Normal 6 3 2 2 2 3" xfId="54344" xr:uid="{00000000-0005-0000-0000-00007AD30000}"/>
    <cellStyle name="Normal 6 3 2 2 3" xfId="48955" xr:uid="{00000000-0005-0000-0000-00007BD30000}"/>
    <cellStyle name="Normal 6 3 2 2 3 2" xfId="56887" xr:uid="{00000000-0005-0000-0000-00007CD30000}"/>
    <cellStyle name="Normal 6 3 2 2 4" xfId="53719" xr:uid="{00000000-0005-0000-0000-00007DD30000}"/>
    <cellStyle name="Normal 6 3 2 3" xfId="53720" xr:uid="{00000000-0005-0000-0000-00007ED30000}"/>
    <cellStyle name="Normal 6 3 2 3 2" xfId="54345" xr:uid="{00000000-0005-0000-0000-00007FD30000}"/>
    <cellStyle name="Normal 6 3 2 3 2 2" xfId="57512" xr:uid="{00000000-0005-0000-0000-000080D30000}"/>
    <cellStyle name="Normal 6 3 2 3 3" xfId="56888" xr:uid="{00000000-0005-0000-0000-000081D30000}"/>
    <cellStyle name="Normal 6 3 2 4" xfId="54343" xr:uid="{00000000-0005-0000-0000-000082D30000}"/>
    <cellStyle name="Normal 6 3 2 4 2" xfId="57510" xr:uid="{00000000-0005-0000-0000-000083D30000}"/>
    <cellStyle name="Normal 6 3 2 5" xfId="53718" xr:uid="{00000000-0005-0000-0000-000084D30000}"/>
    <cellStyle name="Normal 6 3 2 5 2" xfId="56886" xr:uid="{00000000-0005-0000-0000-000085D30000}"/>
    <cellStyle name="Normal 6 3 2 6" xfId="56401" xr:uid="{00000000-0005-0000-0000-000086D30000}"/>
    <cellStyle name="Normal 6 3 2 7" xfId="53127" xr:uid="{00000000-0005-0000-0000-000087D30000}"/>
    <cellStyle name="Normal 6 3 3" xfId="8884" xr:uid="{00000000-0005-0000-0000-000088D30000}"/>
    <cellStyle name="Normal 6 3 3 2" xfId="54346" xr:uid="{00000000-0005-0000-0000-000089D30000}"/>
    <cellStyle name="Normal 6 3 3 2 2" xfId="57513" xr:uid="{00000000-0005-0000-0000-00008AD30000}"/>
    <cellStyle name="Normal 6 3 3 3" xfId="56889" xr:uid="{00000000-0005-0000-0000-00008BD30000}"/>
    <cellStyle name="Normal 6 3 3 4" xfId="53721" xr:uid="{00000000-0005-0000-0000-00008CD30000}"/>
    <cellStyle name="Normal 6 3 4" xfId="5217" xr:uid="{00000000-0005-0000-0000-00008DD30000}"/>
    <cellStyle name="Normal 6 3 4 2" xfId="54347" xr:uid="{00000000-0005-0000-0000-00008ED30000}"/>
    <cellStyle name="Normal 6 3 4 2 2" xfId="57514" xr:uid="{00000000-0005-0000-0000-00008FD30000}"/>
    <cellStyle name="Normal 6 3 4 3" xfId="56890" xr:uid="{00000000-0005-0000-0000-000090D30000}"/>
    <cellStyle name="Normal 6 3 4 4" xfId="53722" xr:uid="{00000000-0005-0000-0000-000091D30000}"/>
    <cellStyle name="Normal 6 3 5" xfId="8948" xr:uid="{00000000-0005-0000-0000-000092D30000}"/>
    <cellStyle name="Normal 6 3 5 2" xfId="16722" xr:uid="{00000000-0005-0000-0000-000093D30000}"/>
    <cellStyle name="Normal 6 3 5 2 2" xfId="33035" xr:uid="{00000000-0005-0000-0000-000094D30000}"/>
    <cellStyle name="Normal 6 3 5 2 2 2" xfId="57515" xr:uid="{00000000-0005-0000-0000-000095D30000}"/>
    <cellStyle name="Normal 6 3 5 2 3" xfId="47999" xr:uid="{00000000-0005-0000-0000-000096D30000}"/>
    <cellStyle name="Normal 6 3 5 2 4" xfId="54348" xr:uid="{00000000-0005-0000-0000-000097D30000}"/>
    <cellStyle name="Normal 6 3 5 3" xfId="26013" xr:uid="{00000000-0005-0000-0000-000098D30000}"/>
    <cellStyle name="Normal 6 3 5 3 2" xfId="56891" xr:uid="{00000000-0005-0000-0000-000099D30000}"/>
    <cellStyle name="Normal 6 3 5 4" xfId="41000" xr:uid="{00000000-0005-0000-0000-00009AD30000}"/>
    <cellStyle name="Normal 6 3 5 5" xfId="53723" xr:uid="{00000000-0005-0000-0000-00009BD30000}"/>
    <cellStyle name="Normal 6 3 6" xfId="10061" xr:uid="{00000000-0005-0000-0000-00009CD30000}"/>
    <cellStyle name="Normal 6 3 6 2" xfId="26382" xr:uid="{00000000-0005-0000-0000-00009DD30000}"/>
    <cellStyle name="Normal 6 3 6 2 2" xfId="57516" xr:uid="{00000000-0005-0000-0000-00009ED30000}"/>
    <cellStyle name="Normal 6 3 6 2 3" xfId="54349" xr:uid="{00000000-0005-0000-0000-00009FD30000}"/>
    <cellStyle name="Normal 6 3 6 3" xfId="41350" xr:uid="{00000000-0005-0000-0000-0000A0D30000}"/>
    <cellStyle name="Normal 6 3 6 3 2" xfId="56892" xr:uid="{00000000-0005-0000-0000-0000A1D30000}"/>
    <cellStyle name="Normal 6 3 6 4" xfId="53724" xr:uid="{00000000-0005-0000-0000-0000A2D30000}"/>
    <cellStyle name="Normal 6 3 7" xfId="18509" xr:uid="{00000000-0005-0000-0000-0000A3D30000}"/>
    <cellStyle name="Normal 6 3 7 2" xfId="33974" xr:uid="{00000000-0005-0000-0000-0000A4D30000}"/>
    <cellStyle name="Normal 6 3 7 2 2" xfId="57509" xr:uid="{00000000-0005-0000-0000-0000A5D30000}"/>
    <cellStyle name="Normal 6 3 7 2 3" xfId="54342" xr:uid="{00000000-0005-0000-0000-0000A6D30000}"/>
    <cellStyle name="Normal 6 3 7 3" xfId="48935" xr:uid="{00000000-0005-0000-0000-0000A7D30000}"/>
    <cellStyle name="Normal 6 3 7 3 2" xfId="56885" xr:uid="{00000000-0005-0000-0000-0000A8D30000}"/>
    <cellStyle name="Normal 6 3 7 4" xfId="53717" xr:uid="{00000000-0005-0000-0000-0000A9D30000}"/>
    <cellStyle name="Normal 6 3 8" xfId="19361" xr:uid="{00000000-0005-0000-0000-0000AAD30000}"/>
    <cellStyle name="Normal 6 3 8 2" xfId="57073" xr:uid="{00000000-0005-0000-0000-0000ABD30000}"/>
    <cellStyle name="Normal 6 3 8 3" xfId="53906" xr:uid="{00000000-0005-0000-0000-0000ACD30000}"/>
    <cellStyle name="Normal 6 3 9" xfId="34351" xr:uid="{00000000-0005-0000-0000-0000ADD30000}"/>
    <cellStyle name="Normal 6 3 9 2" xfId="56462" xr:uid="{00000000-0005-0000-0000-0000AED30000}"/>
    <cellStyle name="Normal 6 3 9 3" xfId="53260" xr:uid="{00000000-0005-0000-0000-0000AFD30000}"/>
    <cellStyle name="Normal 6 4" xfId="1310" xr:uid="{00000000-0005-0000-0000-0000B0D30000}"/>
    <cellStyle name="Normal 6 4 10" xfId="49377" xr:uid="{00000000-0005-0000-0000-0000B1D30000}"/>
    <cellStyle name="Normal 6 4 10 2" xfId="56414" xr:uid="{00000000-0005-0000-0000-0000B2D30000}"/>
    <cellStyle name="Normal 6 4 11" xfId="49782" xr:uid="{00000000-0005-0000-0000-0000B3D30000}"/>
    <cellStyle name="Normal 6 4 12" xfId="50191" xr:uid="{00000000-0005-0000-0000-0000B4D30000}"/>
    <cellStyle name="Normal 6 4 13" xfId="50596" xr:uid="{00000000-0005-0000-0000-0000B5D30000}"/>
    <cellStyle name="Normal 6 4 14" xfId="51161" xr:uid="{00000000-0005-0000-0000-0000B6D30000}"/>
    <cellStyle name="Normal 6 4 15" xfId="51757" xr:uid="{00000000-0005-0000-0000-0000B7D30000}"/>
    <cellStyle name="Normal 6 4 16" xfId="52177" xr:uid="{00000000-0005-0000-0000-0000B8D30000}"/>
    <cellStyle name="Normal 6 4 17" xfId="53140" xr:uid="{00000000-0005-0000-0000-0000B9D30000}"/>
    <cellStyle name="Normal 6 4 18" xfId="1576" xr:uid="{00000000-0005-0000-0000-0000BAD30000}"/>
    <cellStyle name="Normal 6 4 2" xfId="5220" xr:uid="{00000000-0005-0000-0000-0000BBD30000}"/>
    <cellStyle name="Normal 6 4 2 2" xfId="7606" xr:uid="{00000000-0005-0000-0000-0000BCD30000}"/>
    <cellStyle name="Normal 6 4 2 2 2" xfId="15507" xr:uid="{00000000-0005-0000-0000-0000BDD30000}"/>
    <cellStyle name="Normal 6 4 2 2 2 2" xfId="31821" xr:uid="{00000000-0005-0000-0000-0000BED30000}"/>
    <cellStyle name="Normal 6 4 2 2 2 2 2" xfId="57519" xr:uid="{00000000-0005-0000-0000-0000BFD30000}"/>
    <cellStyle name="Normal 6 4 2 2 2 3" xfId="46785" xr:uid="{00000000-0005-0000-0000-0000C0D30000}"/>
    <cellStyle name="Normal 6 4 2 2 2 4" xfId="54352" xr:uid="{00000000-0005-0000-0000-0000C1D30000}"/>
    <cellStyle name="Normal 6 4 2 2 3" xfId="24799" xr:uid="{00000000-0005-0000-0000-0000C2D30000}"/>
    <cellStyle name="Normal 6 4 2 2 3 2" xfId="56895" xr:uid="{00000000-0005-0000-0000-0000C3D30000}"/>
    <cellStyle name="Normal 6 4 2 2 4" xfId="39786" xr:uid="{00000000-0005-0000-0000-0000C4D30000}"/>
    <cellStyle name="Normal 6 4 2 2 5" xfId="53727" xr:uid="{00000000-0005-0000-0000-0000C5D30000}"/>
    <cellStyle name="Normal 6 4 2 3" xfId="13298" xr:uid="{00000000-0005-0000-0000-0000C6D30000}"/>
    <cellStyle name="Normal 6 4 2 3 2" xfId="29617" xr:uid="{00000000-0005-0000-0000-0000C7D30000}"/>
    <cellStyle name="Normal 6 4 2 3 2 2" xfId="57520" xr:uid="{00000000-0005-0000-0000-0000C8D30000}"/>
    <cellStyle name="Normal 6 4 2 3 2 3" xfId="54353" xr:uid="{00000000-0005-0000-0000-0000C9D30000}"/>
    <cellStyle name="Normal 6 4 2 3 3" xfId="44582" xr:uid="{00000000-0005-0000-0000-0000CAD30000}"/>
    <cellStyle name="Normal 6 4 2 3 3 2" xfId="56896" xr:uid="{00000000-0005-0000-0000-0000CBD30000}"/>
    <cellStyle name="Normal 6 4 2 3 4" xfId="53728" xr:uid="{00000000-0005-0000-0000-0000CCD30000}"/>
    <cellStyle name="Normal 6 4 2 4" xfId="22595" xr:uid="{00000000-0005-0000-0000-0000CDD30000}"/>
    <cellStyle name="Normal 6 4 2 4 2" xfId="57518" xr:uid="{00000000-0005-0000-0000-0000CED30000}"/>
    <cellStyle name="Normal 6 4 2 4 3" xfId="54351" xr:uid="{00000000-0005-0000-0000-0000CFD30000}"/>
    <cellStyle name="Normal 6 4 2 5" xfId="37583" xr:uid="{00000000-0005-0000-0000-0000D0D30000}"/>
    <cellStyle name="Normal 6 4 2 5 2" xfId="56894" xr:uid="{00000000-0005-0000-0000-0000D1D30000}"/>
    <cellStyle name="Normal 6 4 2 6" xfId="53726" xr:uid="{00000000-0005-0000-0000-0000D2D30000}"/>
    <cellStyle name="Normal 6 4 3" xfId="6098" xr:uid="{00000000-0005-0000-0000-0000D3D30000}"/>
    <cellStyle name="Normal 6 4 3 2" xfId="14015" xr:uid="{00000000-0005-0000-0000-0000D4D30000}"/>
    <cellStyle name="Normal 6 4 3 2 2" xfId="30329" xr:uid="{00000000-0005-0000-0000-0000D5D30000}"/>
    <cellStyle name="Normal 6 4 3 2 2 2" xfId="57521" xr:uid="{00000000-0005-0000-0000-0000D6D30000}"/>
    <cellStyle name="Normal 6 4 3 2 3" xfId="45293" xr:uid="{00000000-0005-0000-0000-0000D7D30000}"/>
    <cellStyle name="Normal 6 4 3 2 4" xfId="54354" xr:uid="{00000000-0005-0000-0000-0000D8D30000}"/>
    <cellStyle name="Normal 6 4 3 3" xfId="23307" xr:uid="{00000000-0005-0000-0000-0000D9D30000}"/>
    <cellStyle name="Normal 6 4 3 3 2" xfId="56897" xr:uid="{00000000-0005-0000-0000-0000DAD30000}"/>
    <cellStyle name="Normal 6 4 3 4" xfId="38294" xr:uid="{00000000-0005-0000-0000-0000DBD30000}"/>
    <cellStyle name="Normal 6 4 3 5" xfId="53729" xr:uid="{00000000-0005-0000-0000-0000DCD30000}"/>
    <cellStyle name="Normal 6 4 4" xfId="5219" xr:uid="{00000000-0005-0000-0000-0000DDD30000}"/>
    <cellStyle name="Normal 6 4 4 2" xfId="13297" xr:uid="{00000000-0005-0000-0000-0000DED30000}"/>
    <cellStyle name="Normal 6 4 4 2 2" xfId="29616" xr:uid="{00000000-0005-0000-0000-0000DFD30000}"/>
    <cellStyle name="Normal 6 4 4 2 2 2" xfId="57522" xr:uid="{00000000-0005-0000-0000-0000E0D30000}"/>
    <cellStyle name="Normal 6 4 4 2 3" xfId="44581" xr:uid="{00000000-0005-0000-0000-0000E1D30000}"/>
    <cellStyle name="Normal 6 4 4 2 4" xfId="54355" xr:uid="{00000000-0005-0000-0000-0000E2D30000}"/>
    <cellStyle name="Normal 6 4 4 3" xfId="22594" xr:uid="{00000000-0005-0000-0000-0000E3D30000}"/>
    <cellStyle name="Normal 6 4 4 3 2" xfId="56898" xr:uid="{00000000-0005-0000-0000-0000E4D30000}"/>
    <cellStyle name="Normal 6 4 4 4" xfId="37582" xr:uid="{00000000-0005-0000-0000-0000E5D30000}"/>
    <cellStyle name="Normal 6 4 4 5" xfId="53730" xr:uid="{00000000-0005-0000-0000-0000E6D30000}"/>
    <cellStyle name="Normal 6 4 5" xfId="8960" xr:uid="{00000000-0005-0000-0000-0000E7D30000}"/>
    <cellStyle name="Normal 6 4 5 2" xfId="16734" xr:uid="{00000000-0005-0000-0000-0000E8D30000}"/>
    <cellStyle name="Normal 6 4 5 2 2" xfId="33047" xr:uid="{00000000-0005-0000-0000-0000E9D30000}"/>
    <cellStyle name="Normal 6 4 5 2 2 2" xfId="57523" xr:uid="{00000000-0005-0000-0000-0000EAD30000}"/>
    <cellStyle name="Normal 6 4 5 2 3" xfId="48011" xr:uid="{00000000-0005-0000-0000-0000EBD30000}"/>
    <cellStyle name="Normal 6 4 5 2 4" xfId="54356" xr:uid="{00000000-0005-0000-0000-0000ECD30000}"/>
    <cellStyle name="Normal 6 4 5 3" xfId="26025" xr:uid="{00000000-0005-0000-0000-0000EDD30000}"/>
    <cellStyle name="Normal 6 4 5 3 2" xfId="56899" xr:uid="{00000000-0005-0000-0000-0000EED30000}"/>
    <cellStyle name="Normal 6 4 5 4" xfId="41012" xr:uid="{00000000-0005-0000-0000-0000EFD30000}"/>
    <cellStyle name="Normal 6 4 5 5" xfId="53731" xr:uid="{00000000-0005-0000-0000-0000F0D30000}"/>
    <cellStyle name="Normal 6 4 6" xfId="10136" xr:uid="{00000000-0005-0000-0000-0000F1D30000}"/>
    <cellStyle name="Normal 6 4 6 2" xfId="26456" xr:uid="{00000000-0005-0000-0000-0000F2D30000}"/>
    <cellStyle name="Normal 6 4 6 2 2" xfId="57517" xr:uid="{00000000-0005-0000-0000-0000F3D30000}"/>
    <cellStyle name="Normal 6 4 6 2 3" xfId="54350" xr:uid="{00000000-0005-0000-0000-0000F4D30000}"/>
    <cellStyle name="Normal 6 4 6 3" xfId="41424" xr:uid="{00000000-0005-0000-0000-0000F5D30000}"/>
    <cellStyle name="Normal 6 4 6 3 2" xfId="56893" xr:uid="{00000000-0005-0000-0000-0000F6D30000}"/>
    <cellStyle name="Normal 6 4 6 4" xfId="53725" xr:uid="{00000000-0005-0000-0000-0000F7D30000}"/>
    <cellStyle name="Normal 6 4 7" xfId="19008" xr:uid="{00000000-0005-0000-0000-0000F8D30000}"/>
    <cellStyle name="Normal 6 4 7 2" xfId="34007" xr:uid="{00000000-0005-0000-0000-0000F9D30000}"/>
    <cellStyle name="Normal 6 4 7 2 2" xfId="57089" xr:uid="{00000000-0005-0000-0000-0000FAD30000}"/>
    <cellStyle name="Normal 6 4 7 3" xfId="48968" xr:uid="{00000000-0005-0000-0000-0000FBD30000}"/>
    <cellStyle name="Normal 6 4 7 4" xfId="53922" xr:uid="{00000000-0005-0000-0000-0000FCD30000}"/>
    <cellStyle name="Normal 6 4 8" xfId="19435" xr:uid="{00000000-0005-0000-0000-0000FDD30000}"/>
    <cellStyle name="Normal 6 4 8 2" xfId="56478" xr:uid="{00000000-0005-0000-0000-0000FED30000}"/>
    <cellStyle name="Normal 6 4 8 3" xfId="53276" xr:uid="{00000000-0005-0000-0000-0000FFD30000}"/>
    <cellStyle name="Normal 6 4 9" xfId="34425" xr:uid="{00000000-0005-0000-0000-000000D40000}"/>
    <cellStyle name="Normal 6 4 9 2" xfId="55087" xr:uid="{00000000-0005-0000-0000-000001D40000}"/>
    <cellStyle name="Normal 6 5" xfId="5221" xr:uid="{00000000-0005-0000-0000-000002D40000}"/>
    <cellStyle name="Normal 6 5 2" xfId="6834" xr:uid="{00000000-0005-0000-0000-000003D40000}"/>
    <cellStyle name="Normal 6 5 2 2" xfId="14745" xr:uid="{00000000-0005-0000-0000-000004D40000}"/>
    <cellStyle name="Normal 6 5 2 2 2" xfId="31059" xr:uid="{00000000-0005-0000-0000-000005D40000}"/>
    <cellStyle name="Normal 6 5 2 2 2 2" xfId="57526" xr:uid="{00000000-0005-0000-0000-000006D40000}"/>
    <cellStyle name="Normal 6 5 2 2 2 3" xfId="54359" xr:uid="{00000000-0005-0000-0000-000007D40000}"/>
    <cellStyle name="Normal 6 5 2 2 3" xfId="46023" xr:uid="{00000000-0005-0000-0000-000008D40000}"/>
    <cellStyle name="Normal 6 5 2 2 3 2" xfId="56902" xr:uid="{00000000-0005-0000-0000-000009D40000}"/>
    <cellStyle name="Normal 6 5 2 2 4" xfId="53734" xr:uid="{00000000-0005-0000-0000-00000AD40000}"/>
    <cellStyle name="Normal 6 5 2 3" xfId="24037" xr:uid="{00000000-0005-0000-0000-00000BD40000}"/>
    <cellStyle name="Normal 6 5 2 3 2" xfId="54360" xr:uid="{00000000-0005-0000-0000-00000CD40000}"/>
    <cellStyle name="Normal 6 5 2 3 2 2" xfId="57527" xr:uid="{00000000-0005-0000-0000-00000DD40000}"/>
    <cellStyle name="Normal 6 5 2 3 3" xfId="56903" xr:uid="{00000000-0005-0000-0000-00000ED40000}"/>
    <cellStyle name="Normal 6 5 2 3 4" xfId="53735" xr:uid="{00000000-0005-0000-0000-00000FD40000}"/>
    <cellStyle name="Normal 6 5 2 4" xfId="39024" xr:uid="{00000000-0005-0000-0000-000010D40000}"/>
    <cellStyle name="Normal 6 5 2 4 2" xfId="57525" xr:uid="{00000000-0005-0000-0000-000011D40000}"/>
    <cellStyle name="Normal 6 5 2 4 3" xfId="54358" xr:uid="{00000000-0005-0000-0000-000012D40000}"/>
    <cellStyle name="Normal 6 5 2 5" xfId="56901" xr:uid="{00000000-0005-0000-0000-000013D40000}"/>
    <cellStyle name="Normal 6 5 2 6" xfId="53733" xr:uid="{00000000-0005-0000-0000-000014D40000}"/>
    <cellStyle name="Normal 6 5 3" xfId="13299" xr:uid="{00000000-0005-0000-0000-000015D40000}"/>
    <cellStyle name="Normal 6 5 3 2" xfId="29618" xr:uid="{00000000-0005-0000-0000-000016D40000}"/>
    <cellStyle name="Normal 6 5 3 2 2" xfId="57528" xr:uid="{00000000-0005-0000-0000-000017D40000}"/>
    <cellStyle name="Normal 6 5 3 2 3" xfId="54361" xr:uid="{00000000-0005-0000-0000-000018D40000}"/>
    <cellStyle name="Normal 6 5 3 3" xfId="44583" xr:uid="{00000000-0005-0000-0000-000019D40000}"/>
    <cellStyle name="Normal 6 5 3 3 2" xfId="56904" xr:uid="{00000000-0005-0000-0000-00001AD40000}"/>
    <cellStyle name="Normal 6 5 3 4" xfId="53736" xr:uid="{00000000-0005-0000-0000-00001BD40000}"/>
    <cellStyle name="Normal 6 5 4" xfId="18974" xr:uid="{00000000-0005-0000-0000-00001CD40000}"/>
    <cellStyle name="Normal 6 5 4 2" xfId="33984" xr:uid="{00000000-0005-0000-0000-00001DD40000}"/>
    <cellStyle name="Normal 6 5 4 2 2" xfId="57529" xr:uid="{00000000-0005-0000-0000-00001ED40000}"/>
    <cellStyle name="Normal 6 5 4 2 3" xfId="54362" xr:uid="{00000000-0005-0000-0000-00001FD40000}"/>
    <cellStyle name="Normal 6 5 4 3" xfId="48945" xr:uid="{00000000-0005-0000-0000-000020D40000}"/>
    <cellStyle name="Normal 6 5 4 3 2" xfId="56905" xr:uid="{00000000-0005-0000-0000-000021D40000}"/>
    <cellStyle name="Normal 6 5 4 4" xfId="53737" xr:uid="{00000000-0005-0000-0000-000022D40000}"/>
    <cellStyle name="Normal 6 5 5" xfId="22596" xr:uid="{00000000-0005-0000-0000-000023D40000}"/>
    <cellStyle name="Normal 6 5 5 2" xfId="54363" xr:uid="{00000000-0005-0000-0000-000024D40000}"/>
    <cellStyle name="Normal 6 5 5 2 2" xfId="57530" xr:uid="{00000000-0005-0000-0000-000025D40000}"/>
    <cellStyle name="Normal 6 5 5 3" xfId="56906" xr:uid="{00000000-0005-0000-0000-000026D40000}"/>
    <cellStyle name="Normal 6 5 5 4" xfId="53738" xr:uid="{00000000-0005-0000-0000-000027D40000}"/>
    <cellStyle name="Normal 6 5 6" xfId="37584" xr:uid="{00000000-0005-0000-0000-000028D40000}"/>
    <cellStyle name="Normal 6 5 6 2" xfId="57524" xr:uid="{00000000-0005-0000-0000-000029D40000}"/>
    <cellStyle name="Normal 6 5 6 3" xfId="54357" xr:uid="{00000000-0005-0000-0000-00002AD40000}"/>
    <cellStyle name="Normal 6 5 7" xfId="53732" xr:uid="{00000000-0005-0000-0000-00002BD40000}"/>
    <cellStyle name="Normal 6 5 7 2" xfId="56900" xr:uid="{00000000-0005-0000-0000-00002CD40000}"/>
    <cellStyle name="Normal 6 5 8" xfId="56391" xr:uid="{00000000-0005-0000-0000-00002DD40000}"/>
    <cellStyle name="Normal 6 5 9" xfId="53117" xr:uid="{00000000-0005-0000-0000-00002ED40000}"/>
    <cellStyle name="Normal 6 6" xfId="5213" xr:uid="{00000000-0005-0000-0000-00002FD40000}"/>
    <cellStyle name="Normal 6 6 2" xfId="8883" xr:uid="{00000000-0005-0000-0000-000030D40000}"/>
    <cellStyle name="Normal 6 6 2 2" xfId="53741" xr:uid="{00000000-0005-0000-0000-000031D40000}"/>
    <cellStyle name="Normal 6 6 2 2 2" xfId="54366" xr:uid="{00000000-0005-0000-0000-000032D40000}"/>
    <cellStyle name="Normal 6 6 2 2 2 2" xfId="57533" xr:uid="{00000000-0005-0000-0000-000033D40000}"/>
    <cellStyle name="Normal 6 6 2 2 3" xfId="56909" xr:uid="{00000000-0005-0000-0000-000034D40000}"/>
    <cellStyle name="Normal 6 6 2 3" xfId="53742" xr:uid="{00000000-0005-0000-0000-000035D40000}"/>
    <cellStyle name="Normal 6 6 2 3 2" xfId="54367" xr:uid="{00000000-0005-0000-0000-000036D40000}"/>
    <cellStyle name="Normal 6 6 2 3 2 2" xfId="57534" xr:uid="{00000000-0005-0000-0000-000037D40000}"/>
    <cellStyle name="Normal 6 6 2 3 3" xfId="56910" xr:uid="{00000000-0005-0000-0000-000038D40000}"/>
    <cellStyle name="Normal 6 6 2 4" xfId="54365" xr:uid="{00000000-0005-0000-0000-000039D40000}"/>
    <cellStyle name="Normal 6 6 2 4 2" xfId="57532" xr:uid="{00000000-0005-0000-0000-00003AD40000}"/>
    <cellStyle name="Normal 6 6 2 5" xfId="56908" xr:uid="{00000000-0005-0000-0000-00003BD40000}"/>
    <cellStyle name="Normal 6 6 2 6" xfId="53740" xr:uid="{00000000-0005-0000-0000-00003CD40000}"/>
    <cellStyle name="Normal 6 6 3" xfId="53743" xr:uid="{00000000-0005-0000-0000-00003DD40000}"/>
    <cellStyle name="Normal 6 6 3 2" xfId="54368" xr:uid="{00000000-0005-0000-0000-00003ED40000}"/>
    <cellStyle name="Normal 6 6 3 2 2" xfId="57535" xr:uid="{00000000-0005-0000-0000-00003FD40000}"/>
    <cellStyle name="Normal 6 6 3 3" xfId="56911" xr:uid="{00000000-0005-0000-0000-000040D40000}"/>
    <cellStyle name="Normal 6 6 4" xfId="53744" xr:uid="{00000000-0005-0000-0000-000041D40000}"/>
    <cellStyle name="Normal 6 6 4 2" xfId="54369" xr:uid="{00000000-0005-0000-0000-000042D40000}"/>
    <cellStyle name="Normal 6 6 4 2 2" xfId="57536" xr:uid="{00000000-0005-0000-0000-000043D40000}"/>
    <cellStyle name="Normal 6 6 4 3" xfId="56912" xr:uid="{00000000-0005-0000-0000-000044D40000}"/>
    <cellStyle name="Normal 6 6 5" xfId="53745" xr:uid="{00000000-0005-0000-0000-000045D40000}"/>
    <cellStyle name="Normal 6 6 5 2" xfId="54370" xr:uid="{00000000-0005-0000-0000-000046D40000}"/>
    <cellStyle name="Normal 6 6 5 2 2" xfId="57537" xr:uid="{00000000-0005-0000-0000-000047D40000}"/>
    <cellStyle name="Normal 6 6 5 3" xfId="56913" xr:uid="{00000000-0005-0000-0000-000048D40000}"/>
    <cellStyle name="Normal 6 6 6" xfId="54364" xr:uid="{00000000-0005-0000-0000-000049D40000}"/>
    <cellStyle name="Normal 6 6 6 2" xfId="57531" xr:uid="{00000000-0005-0000-0000-00004AD40000}"/>
    <cellStyle name="Normal 6 6 7" xfId="56907" xr:uid="{00000000-0005-0000-0000-00004BD40000}"/>
    <cellStyle name="Normal 6 6 8" xfId="53739" xr:uid="{00000000-0005-0000-0000-00004CD40000}"/>
    <cellStyle name="Normal 6 7" xfId="1591" xr:uid="{00000000-0005-0000-0000-00004DD40000}"/>
    <cellStyle name="Normal 6 7 2" xfId="10150" xr:uid="{00000000-0005-0000-0000-00004ED40000}"/>
    <cellStyle name="Normal 6 7 2 2" xfId="26469" xr:uid="{00000000-0005-0000-0000-00004FD40000}"/>
    <cellStyle name="Normal 6 7 2 2 2" xfId="54373" xr:uid="{00000000-0005-0000-0000-000050D40000}"/>
    <cellStyle name="Normal 6 7 2 2 2 2" xfId="57540" xr:uid="{00000000-0005-0000-0000-000051D40000}"/>
    <cellStyle name="Normal 6 7 2 2 3" xfId="56916" xr:uid="{00000000-0005-0000-0000-000052D40000}"/>
    <cellStyle name="Normal 6 7 2 2 4" xfId="53748" xr:uid="{00000000-0005-0000-0000-000053D40000}"/>
    <cellStyle name="Normal 6 7 2 3" xfId="41435" xr:uid="{00000000-0005-0000-0000-000054D40000}"/>
    <cellStyle name="Normal 6 7 2 3 2" xfId="54374" xr:uid="{00000000-0005-0000-0000-000055D40000}"/>
    <cellStyle name="Normal 6 7 2 3 2 2" xfId="57541" xr:uid="{00000000-0005-0000-0000-000056D40000}"/>
    <cellStyle name="Normal 6 7 2 3 3" xfId="56917" xr:uid="{00000000-0005-0000-0000-000057D40000}"/>
    <cellStyle name="Normal 6 7 2 3 4" xfId="53749" xr:uid="{00000000-0005-0000-0000-000058D40000}"/>
    <cellStyle name="Normal 6 7 2 4" xfId="54372" xr:uid="{00000000-0005-0000-0000-000059D40000}"/>
    <cellStyle name="Normal 6 7 2 4 2" xfId="57539" xr:uid="{00000000-0005-0000-0000-00005AD40000}"/>
    <cellStyle name="Normal 6 7 2 5" xfId="56915" xr:uid="{00000000-0005-0000-0000-00005BD40000}"/>
    <cellStyle name="Normal 6 7 2 6" xfId="53747" xr:uid="{00000000-0005-0000-0000-00005CD40000}"/>
    <cellStyle name="Normal 6 7 3" xfId="19447" xr:uid="{00000000-0005-0000-0000-00005DD40000}"/>
    <cellStyle name="Normal 6 7 3 2" xfId="54375" xr:uid="{00000000-0005-0000-0000-00005ED40000}"/>
    <cellStyle name="Normal 6 7 3 2 2" xfId="57542" xr:uid="{00000000-0005-0000-0000-00005FD40000}"/>
    <cellStyle name="Normal 6 7 3 3" xfId="56918" xr:uid="{00000000-0005-0000-0000-000060D40000}"/>
    <cellStyle name="Normal 6 7 3 4" xfId="53750" xr:uid="{00000000-0005-0000-0000-000061D40000}"/>
    <cellStyle name="Normal 6 7 4" xfId="34436" xr:uid="{00000000-0005-0000-0000-000062D40000}"/>
    <cellStyle name="Normal 6 7 4 2" xfId="54376" xr:uid="{00000000-0005-0000-0000-000063D40000}"/>
    <cellStyle name="Normal 6 7 4 2 2" xfId="57543" xr:uid="{00000000-0005-0000-0000-000064D40000}"/>
    <cellStyle name="Normal 6 7 4 3" xfId="56919" xr:uid="{00000000-0005-0000-0000-000065D40000}"/>
    <cellStyle name="Normal 6 7 4 4" xfId="53751" xr:uid="{00000000-0005-0000-0000-000066D40000}"/>
    <cellStyle name="Normal 6 7 5" xfId="53752" xr:uid="{00000000-0005-0000-0000-000067D40000}"/>
    <cellStyle name="Normal 6 7 5 2" xfId="54377" xr:uid="{00000000-0005-0000-0000-000068D40000}"/>
    <cellStyle name="Normal 6 7 5 2 2" xfId="57544" xr:uid="{00000000-0005-0000-0000-000069D40000}"/>
    <cellStyle name="Normal 6 7 5 3" xfId="56920" xr:uid="{00000000-0005-0000-0000-00006AD40000}"/>
    <cellStyle name="Normal 6 7 6" xfId="54371" xr:uid="{00000000-0005-0000-0000-00006BD40000}"/>
    <cellStyle name="Normal 6 7 6 2" xfId="57538" xr:uid="{00000000-0005-0000-0000-00006CD40000}"/>
    <cellStyle name="Normal 6 7 7" xfId="56914" xr:uid="{00000000-0005-0000-0000-00006DD40000}"/>
    <cellStyle name="Normal 6 7 8" xfId="53746" xr:uid="{00000000-0005-0000-0000-00006ED40000}"/>
    <cellStyle name="Normal 6 8" xfId="8927" xr:uid="{00000000-0005-0000-0000-00006FD40000}"/>
    <cellStyle name="Normal 6 8 2" xfId="16703" xr:uid="{00000000-0005-0000-0000-000070D40000}"/>
    <cellStyle name="Normal 6 8 2 2" xfId="33016" xr:uid="{00000000-0005-0000-0000-000071D40000}"/>
    <cellStyle name="Normal 6 8 2 2 2" xfId="57546" xr:uid="{00000000-0005-0000-0000-000072D40000}"/>
    <cellStyle name="Normal 6 8 2 2 3" xfId="54379" xr:uid="{00000000-0005-0000-0000-000073D40000}"/>
    <cellStyle name="Normal 6 8 2 3" xfId="47980" xr:uid="{00000000-0005-0000-0000-000074D40000}"/>
    <cellStyle name="Normal 6 8 2 3 2" xfId="56922" xr:uid="{00000000-0005-0000-0000-000075D40000}"/>
    <cellStyle name="Normal 6 8 2 4" xfId="53754" xr:uid="{00000000-0005-0000-0000-000076D40000}"/>
    <cellStyle name="Normal 6 8 3" xfId="25994" xr:uid="{00000000-0005-0000-0000-000077D40000}"/>
    <cellStyle name="Normal 6 8 3 2" xfId="54380" xr:uid="{00000000-0005-0000-0000-000078D40000}"/>
    <cellStyle name="Normal 6 8 3 2 2" xfId="57547" xr:uid="{00000000-0005-0000-0000-000079D40000}"/>
    <cellStyle name="Normal 6 8 3 3" xfId="56923" xr:uid="{00000000-0005-0000-0000-00007AD40000}"/>
    <cellStyle name="Normal 6 8 3 4" xfId="53755" xr:uid="{00000000-0005-0000-0000-00007BD40000}"/>
    <cellStyle name="Normal 6 8 4" xfId="40981" xr:uid="{00000000-0005-0000-0000-00007CD40000}"/>
    <cellStyle name="Normal 6 8 4 2" xfId="57545" xr:uid="{00000000-0005-0000-0000-00007DD40000}"/>
    <cellStyle name="Normal 6 8 4 3" xfId="54378" xr:uid="{00000000-0005-0000-0000-00007ED40000}"/>
    <cellStyle name="Normal 6 8 5" xfId="56921" xr:uid="{00000000-0005-0000-0000-00007FD40000}"/>
    <cellStyle name="Normal 6 8 6" xfId="53753" xr:uid="{00000000-0005-0000-0000-000080D40000}"/>
    <cellStyle name="Normal 6 9" xfId="9481" xr:uid="{00000000-0005-0000-0000-000081D40000}"/>
    <cellStyle name="Normal 6 9 2" xfId="16740" xr:uid="{00000000-0005-0000-0000-000082D40000}"/>
    <cellStyle name="Normal 6 9 2 2" xfId="33053" xr:uid="{00000000-0005-0000-0000-000083D40000}"/>
    <cellStyle name="Normal 6 9 2 2 2" xfId="57549" xr:uid="{00000000-0005-0000-0000-000084D40000}"/>
    <cellStyle name="Normal 6 9 2 2 3" xfId="54382" xr:uid="{00000000-0005-0000-0000-000085D40000}"/>
    <cellStyle name="Normal 6 9 2 3" xfId="48016" xr:uid="{00000000-0005-0000-0000-000086D40000}"/>
    <cellStyle name="Normal 6 9 2 3 2" xfId="56925" xr:uid="{00000000-0005-0000-0000-000087D40000}"/>
    <cellStyle name="Normal 6 9 2 4" xfId="53757" xr:uid="{00000000-0005-0000-0000-000088D40000}"/>
    <cellStyle name="Normal 6 9 3" xfId="26030" xr:uid="{00000000-0005-0000-0000-000089D40000}"/>
    <cellStyle name="Normal 6 9 3 2" xfId="57548" xr:uid="{00000000-0005-0000-0000-00008AD40000}"/>
    <cellStyle name="Normal 6 9 3 3" xfId="54381" xr:uid="{00000000-0005-0000-0000-00008BD40000}"/>
    <cellStyle name="Normal 6 9 4" xfId="41017" xr:uid="{00000000-0005-0000-0000-00008CD40000}"/>
    <cellStyle name="Normal 6 9 4 2" xfId="56924" xr:uid="{00000000-0005-0000-0000-00008DD40000}"/>
    <cellStyle name="Normal 6 9 5" xfId="53756" xr:uid="{00000000-0005-0000-0000-00008ED40000}"/>
    <cellStyle name="Normal 7" xfId="543" xr:uid="{00000000-0005-0000-0000-00008FD40000}"/>
    <cellStyle name="Normal 7 10" xfId="53250" xr:uid="{00000000-0005-0000-0000-000090D40000}"/>
    <cellStyle name="Normal 7 10 2" xfId="56452" xr:uid="{00000000-0005-0000-0000-000091D40000}"/>
    <cellStyle name="Normal 7 2" xfId="544" xr:uid="{00000000-0005-0000-0000-000092D40000}"/>
    <cellStyle name="Normal 7 2 2" xfId="8839" xr:uid="{00000000-0005-0000-0000-000093D40000}"/>
    <cellStyle name="Normal 7 2 2 2" xfId="16688" xr:uid="{00000000-0005-0000-0000-000094D40000}"/>
    <cellStyle name="Normal 7 2 2 2 2" xfId="33002" xr:uid="{00000000-0005-0000-0000-000095D40000}"/>
    <cellStyle name="Normal 7 2 2 2 3" xfId="47966" xr:uid="{00000000-0005-0000-0000-000096D40000}"/>
    <cellStyle name="Normal 7 2 2 2 4" xfId="53759" xr:uid="{00000000-0005-0000-0000-000097D40000}"/>
    <cellStyle name="Normal 7 2 2 3" xfId="19009" xr:uid="{00000000-0005-0000-0000-000098D40000}"/>
    <cellStyle name="Normal 7 2 2 3 2" xfId="57087" xr:uid="{00000000-0005-0000-0000-000099D40000}"/>
    <cellStyle name="Normal 7 2 2 3 3" xfId="53920" xr:uid="{00000000-0005-0000-0000-00009AD40000}"/>
    <cellStyle name="Normal 7 2 2 4" xfId="25980" xr:uid="{00000000-0005-0000-0000-00009BD40000}"/>
    <cellStyle name="Normal 7 2 2 4 2" xfId="56476" xr:uid="{00000000-0005-0000-0000-00009CD40000}"/>
    <cellStyle name="Normal 7 2 2 4 3" xfId="53274" xr:uid="{00000000-0005-0000-0000-00009DD40000}"/>
    <cellStyle name="Normal 7 2 2 5" xfId="40967" xr:uid="{00000000-0005-0000-0000-00009ED40000}"/>
    <cellStyle name="Normal 7 2 3" xfId="8885" xr:uid="{00000000-0005-0000-0000-00009FD40000}"/>
    <cellStyle name="Normal 7 2 3 2" xfId="53760" xr:uid="{00000000-0005-0000-0000-0000A0D40000}"/>
    <cellStyle name="Normal 7 2 3 2 2" xfId="54384" xr:uid="{00000000-0005-0000-0000-0000A1D40000}"/>
    <cellStyle name="Normal 7 2 3 2 2 2" xfId="57551" xr:uid="{00000000-0005-0000-0000-0000A2D40000}"/>
    <cellStyle name="Normal 7 2 3 2 3" xfId="56927" xr:uid="{00000000-0005-0000-0000-0000A3D40000}"/>
    <cellStyle name="Normal 7 2 3 3" xfId="53936" xr:uid="{00000000-0005-0000-0000-0000A4D40000}"/>
    <cellStyle name="Normal 7 2 3 3 2" xfId="57103" xr:uid="{00000000-0005-0000-0000-0000A5D40000}"/>
    <cellStyle name="Normal 7 2 3 4" xfId="56492" xr:uid="{00000000-0005-0000-0000-0000A6D40000}"/>
    <cellStyle name="Normal 7 2 3 5" xfId="53290" xr:uid="{00000000-0005-0000-0000-0000A7D40000}"/>
    <cellStyle name="Normal 7 2 4" xfId="5223" xr:uid="{00000000-0005-0000-0000-0000A8D40000}"/>
    <cellStyle name="Normal 7 2 5" xfId="17496" xr:uid="{00000000-0005-0000-0000-0000A9D40000}"/>
    <cellStyle name="Normal 7 2 5 2" xfId="57071" xr:uid="{00000000-0005-0000-0000-0000AAD40000}"/>
    <cellStyle name="Normal 7 2 5 3" xfId="53904" xr:uid="{00000000-0005-0000-0000-0000ABD40000}"/>
    <cellStyle name="Normal 7 2 6" xfId="53258" xr:uid="{00000000-0005-0000-0000-0000ACD40000}"/>
    <cellStyle name="Normal 7 2 6 2" xfId="56460" xr:uid="{00000000-0005-0000-0000-0000ADD40000}"/>
    <cellStyle name="Normal 7 3" xfId="1173" xr:uid="{00000000-0005-0000-0000-0000AED40000}"/>
    <cellStyle name="Normal 7 3 10" xfId="50118" xr:uid="{00000000-0005-0000-0000-0000AFD40000}"/>
    <cellStyle name="Normal 7 3 11" xfId="50523" xr:uid="{00000000-0005-0000-0000-0000B0D40000}"/>
    <cellStyle name="Normal 7 3 12" xfId="51083" xr:uid="{00000000-0005-0000-0000-0000B1D40000}"/>
    <cellStyle name="Normal 7 3 13" xfId="51684" xr:uid="{00000000-0005-0000-0000-0000B2D40000}"/>
    <cellStyle name="Normal 7 3 14" xfId="52103" xr:uid="{00000000-0005-0000-0000-0000B3D40000}"/>
    <cellStyle name="Normal 7 3 15" xfId="53266" xr:uid="{00000000-0005-0000-0000-0000B4D40000}"/>
    <cellStyle name="Normal 7 3 16" xfId="1564" xr:uid="{00000000-0005-0000-0000-0000B5D40000}"/>
    <cellStyle name="Normal 7 3 2" xfId="8886" xr:uid="{00000000-0005-0000-0000-0000B6D40000}"/>
    <cellStyle name="Normal 7 3 2 2" xfId="54386" xr:uid="{00000000-0005-0000-0000-0000B7D40000}"/>
    <cellStyle name="Normal 7 3 2 2 2" xfId="57553" xr:uid="{00000000-0005-0000-0000-0000B8D40000}"/>
    <cellStyle name="Normal 7 3 2 3" xfId="56929" xr:uid="{00000000-0005-0000-0000-0000B9D40000}"/>
    <cellStyle name="Normal 7 3 2 4" xfId="53762" xr:uid="{00000000-0005-0000-0000-0000BAD40000}"/>
    <cellStyle name="Normal 7 3 3" xfId="5224" xr:uid="{00000000-0005-0000-0000-0000BBD40000}"/>
    <cellStyle name="Normal 7 3 3 2" xfId="54387" xr:uid="{00000000-0005-0000-0000-0000BCD40000}"/>
    <cellStyle name="Normal 7 3 3 2 2" xfId="57554" xr:uid="{00000000-0005-0000-0000-0000BDD40000}"/>
    <cellStyle name="Normal 7 3 3 3" xfId="56930" xr:uid="{00000000-0005-0000-0000-0000BED40000}"/>
    <cellStyle name="Normal 7 3 3 4" xfId="53763" xr:uid="{00000000-0005-0000-0000-0000BFD40000}"/>
    <cellStyle name="Normal 7 3 4" xfId="8949" xr:uid="{00000000-0005-0000-0000-0000C0D40000}"/>
    <cellStyle name="Normal 7 3 4 2" xfId="16723" xr:uid="{00000000-0005-0000-0000-0000C1D40000}"/>
    <cellStyle name="Normal 7 3 4 2 2" xfId="33036" xr:uid="{00000000-0005-0000-0000-0000C2D40000}"/>
    <cellStyle name="Normal 7 3 4 2 2 2" xfId="57552" xr:uid="{00000000-0005-0000-0000-0000C3D40000}"/>
    <cellStyle name="Normal 7 3 4 2 3" xfId="48000" xr:uid="{00000000-0005-0000-0000-0000C4D40000}"/>
    <cellStyle name="Normal 7 3 4 2 4" xfId="54385" xr:uid="{00000000-0005-0000-0000-0000C5D40000}"/>
    <cellStyle name="Normal 7 3 4 3" xfId="26014" xr:uid="{00000000-0005-0000-0000-0000C6D40000}"/>
    <cellStyle name="Normal 7 3 4 3 2" xfId="56928" xr:uid="{00000000-0005-0000-0000-0000C7D40000}"/>
    <cellStyle name="Normal 7 3 4 4" xfId="41001" xr:uid="{00000000-0005-0000-0000-0000C8D40000}"/>
    <cellStyle name="Normal 7 3 4 5" xfId="53761" xr:uid="{00000000-0005-0000-0000-0000C9D40000}"/>
    <cellStyle name="Normal 7 3 5" xfId="10062" xr:uid="{00000000-0005-0000-0000-0000CAD40000}"/>
    <cellStyle name="Normal 7 3 5 2" xfId="26383" xr:uid="{00000000-0005-0000-0000-0000CBD40000}"/>
    <cellStyle name="Normal 7 3 5 2 2" xfId="57079" xr:uid="{00000000-0005-0000-0000-0000CCD40000}"/>
    <cellStyle name="Normal 7 3 5 3" xfId="41351" xr:uid="{00000000-0005-0000-0000-0000CDD40000}"/>
    <cellStyle name="Normal 7 3 5 4" xfId="53912" xr:uid="{00000000-0005-0000-0000-0000CED40000}"/>
    <cellStyle name="Normal 7 3 6" xfId="19362" xr:uid="{00000000-0005-0000-0000-0000CFD40000}"/>
    <cellStyle name="Normal 7 3 6 2" xfId="56468" xr:uid="{00000000-0005-0000-0000-0000D0D40000}"/>
    <cellStyle name="Normal 7 3 7" xfId="34352" xr:uid="{00000000-0005-0000-0000-0000D1D40000}"/>
    <cellStyle name="Normal 7 3 8" xfId="49304" xr:uid="{00000000-0005-0000-0000-0000D2D40000}"/>
    <cellStyle name="Normal 7 3 9" xfId="49709" xr:uid="{00000000-0005-0000-0000-0000D3D40000}"/>
    <cellStyle name="Normal 7 4" xfId="5225" xr:uid="{00000000-0005-0000-0000-0000D4D40000}"/>
    <cellStyle name="Normal 7 4 2" xfId="8620" xr:uid="{00000000-0005-0000-0000-0000D5D40000}"/>
    <cellStyle name="Normal 7 4 2 2" xfId="16503" xr:uid="{00000000-0005-0000-0000-0000D6D40000}"/>
    <cellStyle name="Normal 7 4 2 2 2" xfId="32817" xr:uid="{00000000-0005-0000-0000-0000D7D40000}"/>
    <cellStyle name="Normal 7 4 2 2 2 2" xfId="57556" xr:uid="{00000000-0005-0000-0000-0000D8D40000}"/>
    <cellStyle name="Normal 7 4 2 2 3" xfId="47781" xr:uid="{00000000-0005-0000-0000-0000D9D40000}"/>
    <cellStyle name="Normal 7 4 2 2 4" xfId="54389" xr:uid="{00000000-0005-0000-0000-0000DAD40000}"/>
    <cellStyle name="Normal 7 4 2 3" xfId="25795" xr:uid="{00000000-0005-0000-0000-0000DBD40000}"/>
    <cellStyle name="Normal 7 4 2 3 2" xfId="56932" xr:uid="{00000000-0005-0000-0000-0000DCD40000}"/>
    <cellStyle name="Normal 7 4 2 4" xfId="40782" xr:uid="{00000000-0005-0000-0000-0000DDD40000}"/>
    <cellStyle name="Normal 7 4 2 5" xfId="53765" xr:uid="{00000000-0005-0000-0000-0000DED40000}"/>
    <cellStyle name="Normal 7 4 3" xfId="13301" xr:uid="{00000000-0005-0000-0000-0000DFD40000}"/>
    <cellStyle name="Normal 7 4 3 2" xfId="29620" xr:uid="{00000000-0005-0000-0000-0000E0D40000}"/>
    <cellStyle name="Normal 7 4 3 2 2" xfId="57555" xr:uid="{00000000-0005-0000-0000-0000E1D40000}"/>
    <cellStyle name="Normal 7 4 3 2 3" xfId="54388" xr:uid="{00000000-0005-0000-0000-0000E2D40000}"/>
    <cellStyle name="Normal 7 4 3 3" xfId="44585" xr:uid="{00000000-0005-0000-0000-0000E3D40000}"/>
    <cellStyle name="Normal 7 4 3 3 2" xfId="56931" xr:uid="{00000000-0005-0000-0000-0000E4D40000}"/>
    <cellStyle name="Normal 7 4 3 4" xfId="53764" xr:uid="{00000000-0005-0000-0000-0000E5D40000}"/>
    <cellStyle name="Normal 7 4 4" xfId="22598" xr:uid="{00000000-0005-0000-0000-0000E6D40000}"/>
    <cellStyle name="Normal 7 4 4 2" xfId="57095" xr:uid="{00000000-0005-0000-0000-0000E7D40000}"/>
    <cellStyle name="Normal 7 4 4 3" xfId="53928" xr:uid="{00000000-0005-0000-0000-0000E8D40000}"/>
    <cellStyle name="Normal 7 4 5" xfId="37586" xr:uid="{00000000-0005-0000-0000-0000E9D40000}"/>
    <cellStyle name="Normal 7 4 5 2" xfId="56484" xr:uid="{00000000-0005-0000-0000-0000EAD40000}"/>
    <cellStyle name="Normal 7 4 6" xfId="53282" xr:uid="{00000000-0005-0000-0000-0000EBD40000}"/>
    <cellStyle name="Normal 7 5" xfId="6099" xr:uid="{00000000-0005-0000-0000-0000ECD40000}"/>
    <cellStyle name="Normal 7 5 2" xfId="14016" xr:uid="{00000000-0005-0000-0000-0000EDD40000}"/>
    <cellStyle name="Normal 7 5 2 2" xfId="30330" xr:uid="{00000000-0005-0000-0000-0000EED40000}"/>
    <cellStyle name="Normal 7 5 2 2 2" xfId="57557" xr:uid="{00000000-0005-0000-0000-0000EFD40000}"/>
    <cellStyle name="Normal 7 5 2 3" xfId="45294" xr:uid="{00000000-0005-0000-0000-0000F0D40000}"/>
    <cellStyle name="Normal 7 5 2 4" xfId="54390" xr:uid="{00000000-0005-0000-0000-0000F1D40000}"/>
    <cellStyle name="Normal 7 5 3" xfId="23308" xr:uid="{00000000-0005-0000-0000-0000F2D40000}"/>
    <cellStyle name="Normal 7 5 3 2" xfId="56933" xr:uid="{00000000-0005-0000-0000-0000F3D40000}"/>
    <cellStyle name="Normal 7 5 4" xfId="38295" xr:uid="{00000000-0005-0000-0000-0000F4D40000}"/>
    <cellStyle name="Normal 7 5 5" xfId="53766" xr:uid="{00000000-0005-0000-0000-0000F5D40000}"/>
    <cellStyle name="Normal 7 6" xfId="5222" xr:uid="{00000000-0005-0000-0000-0000F6D40000}"/>
    <cellStyle name="Normal 7 6 2" xfId="13300" xr:uid="{00000000-0005-0000-0000-0000F7D40000}"/>
    <cellStyle name="Normal 7 6 2 2" xfId="29619" xr:uid="{00000000-0005-0000-0000-0000F8D40000}"/>
    <cellStyle name="Normal 7 6 2 2 2" xfId="57558" xr:uid="{00000000-0005-0000-0000-0000F9D40000}"/>
    <cellStyle name="Normal 7 6 2 3" xfId="44584" xr:uid="{00000000-0005-0000-0000-0000FAD40000}"/>
    <cellStyle name="Normal 7 6 2 4" xfId="54391" xr:uid="{00000000-0005-0000-0000-0000FBD40000}"/>
    <cellStyle name="Normal 7 6 3" xfId="22597" xr:uid="{00000000-0005-0000-0000-0000FCD40000}"/>
    <cellStyle name="Normal 7 6 3 2" xfId="56934" xr:uid="{00000000-0005-0000-0000-0000FDD40000}"/>
    <cellStyle name="Normal 7 6 4" xfId="37585" xr:uid="{00000000-0005-0000-0000-0000FED40000}"/>
    <cellStyle name="Normal 7 6 5" xfId="53767" xr:uid="{00000000-0005-0000-0000-0000FFD40000}"/>
    <cellStyle name="Normal 7 7" xfId="1592" xr:uid="{00000000-0005-0000-0000-000000D50000}"/>
    <cellStyle name="Normal 7 7 2" xfId="10151" xr:uid="{00000000-0005-0000-0000-000001D50000}"/>
    <cellStyle name="Normal 7 7 2 2" xfId="26470" xr:uid="{00000000-0005-0000-0000-000002D50000}"/>
    <cellStyle name="Normal 7 7 2 2 2" xfId="57559" xr:uid="{00000000-0005-0000-0000-000003D50000}"/>
    <cellStyle name="Normal 7 7 2 3" xfId="41436" xr:uid="{00000000-0005-0000-0000-000004D50000}"/>
    <cellStyle name="Normal 7 7 2 4" xfId="54392" xr:uid="{00000000-0005-0000-0000-000005D50000}"/>
    <cellStyle name="Normal 7 7 3" xfId="19448" xr:uid="{00000000-0005-0000-0000-000006D50000}"/>
    <cellStyle name="Normal 7 7 3 2" xfId="56935" xr:uid="{00000000-0005-0000-0000-000007D50000}"/>
    <cellStyle name="Normal 7 7 4" xfId="34437" xr:uid="{00000000-0005-0000-0000-000008D50000}"/>
    <cellStyle name="Normal 7 7 5" xfId="53768" xr:uid="{00000000-0005-0000-0000-000009D50000}"/>
    <cellStyle name="Normal 7 8" xfId="53758" xr:uid="{00000000-0005-0000-0000-00000AD50000}"/>
    <cellStyle name="Normal 7 8 2" xfId="54383" xr:uid="{00000000-0005-0000-0000-00000BD50000}"/>
    <cellStyle name="Normal 7 8 2 2" xfId="57550" xr:uid="{00000000-0005-0000-0000-00000CD50000}"/>
    <cellStyle name="Normal 7 8 3" xfId="56926" xr:uid="{00000000-0005-0000-0000-00000DD50000}"/>
    <cellStyle name="Normal 7 9" xfId="53896" xr:uid="{00000000-0005-0000-0000-00000ED50000}"/>
    <cellStyle name="Normal 7 9 2" xfId="57063" xr:uid="{00000000-0005-0000-0000-00000FD50000}"/>
    <cellStyle name="Normal 8" xfId="545" xr:uid="{00000000-0005-0000-0000-000010D50000}"/>
    <cellStyle name="Normal 8 10" xfId="9482" xr:uid="{00000000-0005-0000-0000-000011D50000}"/>
    <cellStyle name="Normal 8 11" xfId="10041" xr:uid="{00000000-0005-0000-0000-000012D50000}"/>
    <cellStyle name="Normal 8 2" xfId="1174" xr:uid="{00000000-0005-0000-0000-000013D50000}"/>
    <cellStyle name="Normal 8 2 10" xfId="49710" xr:uid="{00000000-0005-0000-0000-000014D50000}"/>
    <cellStyle name="Normal 8 2 11" xfId="50119" xr:uid="{00000000-0005-0000-0000-000015D50000}"/>
    <cellStyle name="Normal 8 2 12" xfId="50524" xr:uid="{00000000-0005-0000-0000-000016D50000}"/>
    <cellStyle name="Normal 8 2 13" xfId="51084" xr:uid="{00000000-0005-0000-0000-000017D50000}"/>
    <cellStyle name="Normal 8 2 14" xfId="50946" xr:uid="{00000000-0005-0000-0000-000018D50000}"/>
    <cellStyle name="Normal 8 2 15" xfId="51685" xr:uid="{00000000-0005-0000-0000-000019D50000}"/>
    <cellStyle name="Normal 8 2 16" xfId="52104" xr:uid="{00000000-0005-0000-0000-00001AD50000}"/>
    <cellStyle name="Normal 8 2 17" xfId="52730" xr:uid="{00000000-0005-0000-0000-00001BD50000}"/>
    <cellStyle name="Normal 8 2 18" xfId="1565" xr:uid="{00000000-0005-0000-0000-00001CD50000}"/>
    <cellStyle name="Normal 8 2 2" xfId="8887" xr:uid="{00000000-0005-0000-0000-00001DD50000}"/>
    <cellStyle name="Normal 8 2 2 2" xfId="18994" xr:uid="{00000000-0005-0000-0000-00001ED50000}"/>
    <cellStyle name="Normal 8 2 2 2 2" xfId="33995" xr:uid="{00000000-0005-0000-0000-00001FD50000}"/>
    <cellStyle name="Normal 8 2 2 2 2 2" xfId="57562" xr:uid="{00000000-0005-0000-0000-000020D50000}"/>
    <cellStyle name="Normal 8 2 2 2 2 3" xfId="54395" xr:uid="{00000000-0005-0000-0000-000021D50000}"/>
    <cellStyle name="Normal 8 2 2 2 3" xfId="48956" xr:uid="{00000000-0005-0000-0000-000022D50000}"/>
    <cellStyle name="Normal 8 2 2 2 3 2" xfId="56402" xr:uid="{00000000-0005-0000-0000-000023D50000}"/>
    <cellStyle name="Normal 8 2 2 2 4" xfId="53128" xr:uid="{00000000-0005-0000-0000-000024D50000}"/>
    <cellStyle name="Normal 8 2 2 3" xfId="18511" xr:uid="{00000000-0005-0000-0000-000025D50000}"/>
    <cellStyle name="Normal 8 2 2 3 2" xfId="33975" xr:uid="{00000000-0005-0000-0000-000026D50000}"/>
    <cellStyle name="Normal 8 2 2 3 2 2" xfId="56938" xr:uid="{00000000-0005-0000-0000-000027D50000}"/>
    <cellStyle name="Normal 8 2 2 3 3" xfId="48936" xr:uid="{00000000-0005-0000-0000-000028D50000}"/>
    <cellStyle name="Normal 8 2 2 3 4" xfId="53771" xr:uid="{00000000-0005-0000-0000-000029D50000}"/>
    <cellStyle name="Normal 8 2 2 4" xfId="55459" xr:uid="{00000000-0005-0000-0000-00002AD50000}"/>
    <cellStyle name="Normal 8 2 2 5" xfId="56381" xr:uid="{00000000-0005-0000-0000-00002BD50000}"/>
    <cellStyle name="Normal 8 2 2 6" xfId="53104" xr:uid="{00000000-0005-0000-0000-00002CD50000}"/>
    <cellStyle name="Normal 8 2 3" xfId="5227" xr:uid="{00000000-0005-0000-0000-00002DD50000}"/>
    <cellStyle name="Normal 8 2 3 2" xfId="18975" xr:uid="{00000000-0005-0000-0000-00002ED50000}"/>
    <cellStyle name="Normal 8 2 3 2 2" xfId="33985" xr:uid="{00000000-0005-0000-0000-00002FD50000}"/>
    <cellStyle name="Normal 8 2 3 2 2 2" xfId="57563" xr:uid="{00000000-0005-0000-0000-000030D50000}"/>
    <cellStyle name="Normal 8 2 3 2 3" xfId="48946" xr:uid="{00000000-0005-0000-0000-000031D50000}"/>
    <cellStyle name="Normal 8 2 3 2 4" xfId="54396" xr:uid="{00000000-0005-0000-0000-000032D50000}"/>
    <cellStyle name="Normal 8 2 3 3" xfId="53772" xr:uid="{00000000-0005-0000-0000-000033D50000}"/>
    <cellStyle name="Normal 8 2 3 3 2" xfId="56939" xr:uid="{00000000-0005-0000-0000-000034D50000}"/>
    <cellStyle name="Normal 8 2 3 4" xfId="56392" xr:uid="{00000000-0005-0000-0000-000035D50000}"/>
    <cellStyle name="Normal 8 2 3 5" xfId="53118" xr:uid="{00000000-0005-0000-0000-000036D50000}"/>
    <cellStyle name="Normal 8 2 4" xfId="8950" xr:uid="{00000000-0005-0000-0000-000037D50000}"/>
    <cellStyle name="Normal 8 2 4 2" xfId="16724" xr:uid="{00000000-0005-0000-0000-000038D50000}"/>
    <cellStyle name="Normal 8 2 4 2 2" xfId="33037" xr:uid="{00000000-0005-0000-0000-000039D50000}"/>
    <cellStyle name="Normal 8 2 4 2 2 2" xfId="57564" xr:uid="{00000000-0005-0000-0000-00003AD50000}"/>
    <cellStyle name="Normal 8 2 4 2 3" xfId="48001" xr:uid="{00000000-0005-0000-0000-00003BD50000}"/>
    <cellStyle name="Normal 8 2 4 2 4" xfId="54397" xr:uid="{00000000-0005-0000-0000-00003CD50000}"/>
    <cellStyle name="Normal 8 2 4 3" xfId="26015" xr:uid="{00000000-0005-0000-0000-00003DD50000}"/>
    <cellStyle name="Normal 8 2 4 3 2" xfId="56940" xr:uid="{00000000-0005-0000-0000-00003ED50000}"/>
    <cellStyle name="Normal 8 2 4 4" xfId="41002" xr:uid="{00000000-0005-0000-0000-00003FD50000}"/>
    <cellStyle name="Normal 8 2 4 5" xfId="53773" xr:uid="{00000000-0005-0000-0000-000040D50000}"/>
    <cellStyle name="Normal 8 2 5" xfId="10063" xr:uid="{00000000-0005-0000-0000-000041D50000}"/>
    <cellStyle name="Normal 8 2 5 2" xfId="26384" xr:uid="{00000000-0005-0000-0000-000042D50000}"/>
    <cellStyle name="Normal 8 2 5 2 2" xfId="57561" xr:uid="{00000000-0005-0000-0000-000043D50000}"/>
    <cellStyle name="Normal 8 2 5 3" xfId="41352" xr:uid="{00000000-0005-0000-0000-000044D50000}"/>
    <cellStyle name="Normal 8 2 5 4" xfId="54394" xr:uid="{00000000-0005-0000-0000-000045D50000}"/>
    <cellStyle name="Normal 8 2 6" xfId="17497" xr:uid="{00000000-0005-0000-0000-000046D50000}"/>
    <cellStyle name="Normal 8 2 6 2" xfId="33606" xr:uid="{00000000-0005-0000-0000-000047D50000}"/>
    <cellStyle name="Normal 8 2 6 2 2" xfId="56937" xr:uid="{00000000-0005-0000-0000-000048D50000}"/>
    <cellStyle name="Normal 8 2 6 3" xfId="48567" xr:uid="{00000000-0005-0000-0000-000049D50000}"/>
    <cellStyle name="Normal 8 2 6 4" xfId="53770" xr:uid="{00000000-0005-0000-0000-00004AD50000}"/>
    <cellStyle name="Normal 8 2 7" xfId="19363" xr:uid="{00000000-0005-0000-0000-00004BD50000}"/>
    <cellStyle name="Normal 8 2 7 2" xfId="55088" xr:uid="{00000000-0005-0000-0000-00004CD50000}"/>
    <cellStyle name="Normal 8 2 8" xfId="34353" xr:uid="{00000000-0005-0000-0000-00004DD50000}"/>
    <cellStyle name="Normal 8 2 8 2" xfId="56012" xr:uid="{00000000-0005-0000-0000-00004ED50000}"/>
    <cellStyle name="Normal 8 2 9" xfId="49305" xr:uid="{00000000-0005-0000-0000-00004FD50000}"/>
    <cellStyle name="Normal 8 3" xfId="5228" xr:uid="{00000000-0005-0000-0000-000050D50000}"/>
    <cellStyle name="Normal 8 3 2" xfId="8888" xr:uid="{00000000-0005-0000-0000-000051D50000}"/>
    <cellStyle name="Normal 8 3 2 2" xfId="54399" xr:uid="{00000000-0005-0000-0000-000052D50000}"/>
    <cellStyle name="Normal 8 3 2 2 2" xfId="57566" xr:uid="{00000000-0005-0000-0000-000053D50000}"/>
    <cellStyle name="Normal 8 3 2 3" xfId="56942" xr:uid="{00000000-0005-0000-0000-000054D50000}"/>
    <cellStyle name="Normal 8 3 2 4" xfId="53775" xr:uid="{00000000-0005-0000-0000-000055D50000}"/>
    <cellStyle name="Normal 8 3 3" xfId="53776" xr:uid="{00000000-0005-0000-0000-000056D50000}"/>
    <cellStyle name="Normal 8 3 3 2" xfId="54400" xr:uid="{00000000-0005-0000-0000-000057D50000}"/>
    <cellStyle name="Normal 8 3 3 2 2" xfId="57567" xr:uid="{00000000-0005-0000-0000-000058D50000}"/>
    <cellStyle name="Normal 8 3 3 3" xfId="56943" xr:uid="{00000000-0005-0000-0000-000059D50000}"/>
    <cellStyle name="Normal 8 3 4" xfId="54398" xr:uid="{00000000-0005-0000-0000-00005AD50000}"/>
    <cellStyle name="Normal 8 3 4 2" xfId="57565" xr:uid="{00000000-0005-0000-0000-00005BD50000}"/>
    <cellStyle name="Normal 8 3 5" xfId="53774" xr:uid="{00000000-0005-0000-0000-00005CD50000}"/>
    <cellStyle name="Normal 8 3 5 2" xfId="56941" xr:uid="{00000000-0005-0000-0000-00005DD50000}"/>
    <cellStyle name="Normal 8 4" xfId="5229" xr:uid="{00000000-0005-0000-0000-00005ED50000}"/>
    <cellStyle name="Normal 8 4 2" xfId="8889" xr:uid="{00000000-0005-0000-0000-00005FD50000}"/>
    <cellStyle name="Normal 8 4 2 2" xfId="57568" xr:uid="{00000000-0005-0000-0000-000060D50000}"/>
    <cellStyle name="Normal 8 4 2 3" xfId="54401" xr:uid="{00000000-0005-0000-0000-000061D50000}"/>
    <cellStyle name="Normal 8 4 3" xfId="56944" xr:uid="{00000000-0005-0000-0000-000062D50000}"/>
    <cellStyle name="Normal 8 4 4" xfId="53777" xr:uid="{00000000-0005-0000-0000-000063D50000}"/>
    <cellStyle name="Normal 8 5" xfId="5230" xr:uid="{00000000-0005-0000-0000-000064D50000}"/>
    <cellStyle name="Normal 8 5 2" xfId="54402" xr:uid="{00000000-0005-0000-0000-000065D50000}"/>
    <cellStyle name="Normal 8 5 2 2" xfId="57569" xr:uid="{00000000-0005-0000-0000-000066D50000}"/>
    <cellStyle name="Normal 8 5 3" xfId="56945" xr:uid="{00000000-0005-0000-0000-000067D50000}"/>
    <cellStyle name="Normal 8 5 4" xfId="53778" xr:uid="{00000000-0005-0000-0000-000068D50000}"/>
    <cellStyle name="Normal 8 6" xfId="5231" xr:uid="{00000000-0005-0000-0000-000069D50000}"/>
    <cellStyle name="Normal 8 6 2" xfId="8260" xr:uid="{00000000-0005-0000-0000-00006AD50000}"/>
    <cellStyle name="Normal 8 6 2 2" xfId="16156" xr:uid="{00000000-0005-0000-0000-00006BD50000}"/>
    <cellStyle name="Normal 8 6 2 2 2" xfId="32470" xr:uid="{00000000-0005-0000-0000-00006CD50000}"/>
    <cellStyle name="Normal 8 6 2 2 3" xfId="47434" xr:uid="{00000000-0005-0000-0000-00006DD50000}"/>
    <cellStyle name="Normal 8 6 2 2 4" xfId="57570" xr:uid="{00000000-0005-0000-0000-00006ED50000}"/>
    <cellStyle name="Normal 8 6 2 3" xfId="25448" xr:uid="{00000000-0005-0000-0000-00006FD50000}"/>
    <cellStyle name="Normal 8 6 2 4" xfId="40435" xr:uid="{00000000-0005-0000-0000-000070D50000}"/>
    <cellStyle name="Normal 8 6 2 5" xfId="54403" xr:uid="{00000000-0005-0000-0000-000071D50000}"/>
    <cellStyle name="Normal 8 6 3" xfId="13303" xr:uid="{00000000-0005-0000-0000-000072D50000}"/>
    <cellStyle name="Normal 8 6 3 2" xfId="29622" xr:uid="{00000000-0005-0000-0000-000073D50000}"/>
    <cellStyle name="Normal 8 6 3 3" xfId="44587" xr:uid="{00000000-0005-0000-0000-000074D50000}"/>
    <cellStyle name="Normal 8 6 3 4" xfId="56946" xr:uid="{00000000-0005-0000-0000-000075D50000}"/>
    <cellStyle name="Normal 8 6 4" xfId="22600" xr:uid="{00000000-0005-0000-0000-000076D50000}"/>
    <cellStyle name="Normal 8 6 5" xfId="37588" xr:uid="{00000000-0005-0000-0000-000077D50000}"/>
    <cellStyle name="Normal 8 6 6" xfId="53779" xr:uid="{00000000-0005-0000-0000-000078D50000}"/>
    <cellStyle name="Normal 8 7" xfId="6100" xr:uid="{00000000-0005-0000-0000-000079D50000}"/>
    <cellStyle name="Normal 8 7 2" xfId="14017" xr:uid="{00000000-0005-0000-0000-00007AD50000}"/>
    <cellStyle name="Normal 8 7 2 2" xfId="30331" xr:uid="{00000000-0005-0000-0000-00007BD50000}"/>
    <cellStyle name="Normal 8 7 2 2 2" xfId="57560" xr:uid="{00000000-0005-0000-0000-00007CD50000}"/>
    <cellStyle name="Normal 8 7 2 3" xfId="45295" xr:uid="{00000000-0005-0000-0000-00007DD50000}"/>
    <cellStyle name="Normal 8 7 2 4" xfId="54393" xr:uid="{00000000-0005-0000-0000-00007ED50000}"/>
    <cellStyle name="Normal 8 7 3" xfId="23309" xr:uid="{00000000-0005-0000-0000-00007FD50000}"/>
    <cellStyle name="Normal 8 7 3 2" xfId="56936" xr:uid="{00000000-0005-0000-0000-000080D50000}"/>
    <cellStyle name="Normal 8 7 4" xfId="38296" xr:uid="{00000000-0005-0000-0000-000081D50000}"/>
    <cellStyle name="Normal 8 7 5" xfId="53769" xr:uid="{00000000-0005-0000-0000-000082D50000}"/>
    <cellStyle name="Normal 8 8" xfId="5226" xr:uid="{00000000-0005-0000-0000-000083D50000}"/>
    <cellStyle name="Normal 8 8 2" xfId="13302" xr:uid="{00000000-0005-0000-0000-000084D50000}"/>
    <cellStyle name="Normal 8 8 2 2" xfId="29621" xr:uid="{00000000-0005-0000-0000-000085D50000}"/>
    <cellStyle name="Normal 8 8 2 3" xfId="44586" xr:uid="{00000000-0005-0000-0000-000086D50000}"/>
    <cellStyle name="Normal 8 8 3" xfId="22599" xr:uid="{00000000-0005-0000-0000-000087D50000}"/>
    <cellStyle name="Normal 8 8 4" xfId="37587" xr:uid="{00000000-0005-0000-0000-000088D50000}"/>
    <cellStyle name="Normal 8 8 5" xfId="53291" xr:uid="{00000000-0005-0000-0000-000089D50000}"/>
    <cellStyle name="Normal 8 9" xfId="1593" xr:uid="{00000000-0005-0000-0000-00008AD50000}"/>
    <cellStyle name="Normal 9" xfId="1118" xr:uid="{00000000-0005-0000-0000-00008BD50000}"/>
    <cellStyle name="Normal 9 2" xfId="1175" xr:uid="{00000000-0005-0000-0000-00008CD50000}"/>
    <cellStyle name="Normal 9 2 10" xfId="50120" xr:uid="{00000000-0005-0000-0000-00008DD50000}"/>
    <cellStyle name="Normal 9 2 11" xfId="50525" xr:uid="{00000000-0005-0000-0000-00008ED50000}"/>
    <cellStyle name="Normal 9 2 12" xfId="51085" xr:uid="{00000000-0005-0000-0000-00008FD50000}"/>
    <cellStyle name="Normal 9 2 13" xfId="51686" xr:uid="{00000000-0005-0000-0000-000090D50000}"/>
    <cellStyle name="Normal 9 2 14" xfId="52105" xr:uid="{00000000-0005-0000-0000-000091D50000}"/>
    <cellStyle name="Normal 9 2 15" xfId="1566" xr:uid="{00000000-0005-0000-0000-000092D50000}"/>
    <cellStyle name="Normal 9 2 2" xfId="5233" xr:uid="{00000000-0005-0000-0000-000093D50000}"/>
    <cellStyle name="Normal 9 2 2 2" xfId="54406" xr:uid="{00000000-0005-0000-0000-000094D50000}"/>
    <cellStyle name="Normal 9 2 2 2 2" xfId="57573" xr:uid="{00000000-0005-0000-0000-000095D50000}"/>
    <cellStyle name="Normal 9 2 2 3" xfId="56949" xr:uid="{00000000-0005-0000-0000-000096D50000}"/>
    <cellStyle name="Normal 9 2 2 4" xfId="53782" xr:uid="{00000000-0005-0000-0000-000097D50000}"/>
    <cellStyle name="Normal 9 2 3" xfId="8951" xr:uid="{00000000-0005-0000-0000-000098D50000}"/>
    <cellStyle name="Normal 9 2 3 2" xfId="16725" xr:uid="{00000000-0005-0000-0000-000099D50000}"/>
    <cellStyle name="Normal 9 2 3 2 2" xfId="33038" xr:uid="{00000000-0005-0000-0000-00009AD50000}"/>
    <cellStyle name="Normal 9 2 3 2 2 2" xfId="57574" xr:uid="{00000000-0005-0000-0000-00009BD50000}"/>
    <cellStyle name="Normal 9 2 3 2 3" xfId="48002" xr:uid="{00000000-0005-0000-0000-00009CD50000}"/>
    <cellStyle name="Normal 9 2 3 2 4" xfId="54407" xr:uid="{00000000-0005-0000-0000-00009DD50000}"/>
    <cellStyle name="Normal 9 2 3 3" xfId="26016" xr:uid="{00000000-0005-0000-0000-00009ED50000}"/>
    <cellStyle name="Normal 9 2 3 3 2" xfId="56950" xr:uid="{00000000-0005-0000-0000-00009FD50000}"/>
    <cellStyle name="Normal 9 2 3 4" xfId="41003" xr:uid="{00000000-0005-0000-0000-0000A0D50000}"/>
    <cellStyle name="Normal 9 2 3 5" xfId="53783" xr:uid="{00000000-0005-0000-0000-0000A1D50000}"/>
    <cellStyle name="Normal 9 2 4" xfId="10064" xr:uid="{00000000-0005-0000-0000-0000A2D50000}"/>
    <cellStyle name="Normal 9 2 4 2" xfId="26385" xr:uid="{00000000-0005-0000-0000-0000A3D50000}"/>
    <cellStyle name="Normal 9 2 4 2 2" xfId="57572" xr:uid="{00000000-0005-0000-0000-0000A4D50000}"/>
    <cellStyle name="Normal 9 2 4 3" xfId="41353" xr:uid="{00000000-0005-0000-0000-0000A5D50000}"/>
    <cellStyle name="Normal 9 2 4 4" xfId="54405" xr:uid="{00000000-0005-0000-0000-0000A6D50000}"/>
    <cellStyle name="Normal 9 2 5" xfId="19010" xr:uid="{00000000-0005-0000-0000-0000A7D50000}"/>
    <cellStyle name="Normal 9 2 5 2" xfId="56948" xr:uid="{00000000-0005-0000-0000-0000A8D50000}"/>
    <cellStyle name="Normal 9 2 5 3" xfId="53781" xr:uid="{00000000-0005-0000-0000-0000A9D50000}"/>
    <cellStyle name="Normal 9 2 6" xfId="19364" xr:uid="{00000000-0005-0000-0000-0000AAD50000}"/>
    <cellStyle name="Normal 9 2 7" xfId="34354" xr:uid="{00000000-0005-0000-0000-0000ABD50000}"/>
    <cellStyle name="Normal 9 2 8" xfId="49306" xr:uid="{00000000-0005-0000-0000-0000ACD50000}"/>
    <cellStyle name="Normal 9 2 9" xfId="49711" xr:uid="{00000000-0005-0000-0000-0000ADD50000}"/>
    <cellStyle name="Normal 9 3" xfId="5234" xr:uid="{00000000-0005-0000-0000-0000AED50000}"/>
    <cellStyle name="Normal 9 3 2" xfId="8727" xr:uid="{00000000-0005-0000-0000-0000AFD50000}"/>
    <cellStyle name="Normal 9 3 2 2" xfId="16607" xr:uid="{00000000-0005-0000-0000-0000B0D50000}"/>
    <cellStyle name="Normal 9 3 2 2 2" xfId="32921" xr:uid="{00000000-0005-0000-0000-0000B1D50000}"/>
    <cellStyle name="Normal 9 3 2 2 3" xfId="47885" xr:uid="{00000000-0005-0000-0000-0000B2D50000}"/>
    <cellStyle name="Normal 9 3 2 2 4" xfId="57575" xr:uid="{00000000-0005-0000-0000-0000B3D50000}"/>
    <cellStyle name="Normal 9 3 2 3" xfId="25899" xr:uid="{00000000-0005-0000-0000-0000B4D50000}"/>
    <cellStyle name="Normal 9 3 2 4" xfId="40886" xr:uid="{00000000-0005-0000-0000-0000B5D50000}"/>
    <cellStyle name="Normal 9 3 2 5" xfId="54408" xr:uid="{00000000-0005-0000-0000-0000B6D50000}"/>
    <cellStyle name="Normal 9 3 3" xfId="13305" xr:uid="{00000000-0005-0000-0000-0000B7D50000}"/>
    <cellStyle name="Normal 9 3 3 2" xfId="29624" xr:uid="{00000000-0005-0000-0000-0000B8D50000}"/>
    <cellStyle name="Normal 9 3 3 3" xfId="44589" xr:uid="{00000000-0005-0000-0000-0000B9D50000}"/>
    <cellStyle name="Normal 9 3 3 4" xfId="56951" xr:uid="{00000000-0005-0000-0000-0000BAD50000}"/>
    <cellStyle name="Normal 9 3 4" xfId="22602" xr:uid="{00000000-0005-0000-0000-0000BBD50000}"/>
    <cellStyle name="Normal 9 3 5" xfId="37590" xr:uid="{00000000-0005-0000-0000-0000BCD50000}"/>
    <cellStyle name="Normal 9 3 6" xfId="53784" xr:uid="{00000000-0005-0000-0000-0000BDD50000}"/>
    <cellStyle name="Normal 9 4" xfId="6101" xr:uid="{00000000-0005-0000-0000-0000BED50000}"/>
    <cellStyle name="Normal 9 4 2" xfId="14018" xr:uid="{00000000-0005-0000-0000-0000BFD50000}"/>
    <cellStyle name="Normal 9 4 2 2" xfId="30332" xr:uid="{00000000-0005-0000-0000-0000C0D50000}"/>
    <cellStyle name="Normal 9 4 2 2 2" xfId="57576" xr:uid="{00000000-0005-0000-0000-0000C1D50000}"/>
    <cellStyle name="Normal 9 4 2 3" xfId="45296" xr:uid="{00000000-0005-0000-0000-0000C2D50000}"/>
    <cellStyle name="Normal 9 4 2 4" xfId="54409" xr:uid="{00000000-0005-0000-0000-0000C3D50000}"/>
    <cellStyle name="Normal 9 4 3" xfId="23310" xr:uid="{00000000-0005-0000-0000-0000C4D50000}"/>
    <cellStyle name="Normal 9 4 3 2" xfId="56952" xr:uid="{00000000-0005-0000-0000-0000C5D50000}"/>
    <cellStyle name="Normal 9 4 4" xfId="38297" xr:uid="{00000000-0005-0000-0000-0000C6D50000}"/>
    <cellStyle name="Normal 9 4 5" xfId="53785" xr:uid="{00000000-0005-0000-0000-0000C7D50000}"/>
    <cellStyle name="Normal 9 5" xfId="5232" xr:uid="{00000000-0005-0000-0000-0000C8D50000}"/>
    <cellStyle name="Normal 9 5 2" xfId="13304" xr:uid="{00000000-0005-0000-0000-0000C9D50000}"/>
    <cellStyle name="Normal 9 5 2 2" xfId="29623" xr:uid="{00000000-0005-0000-0000-0000CAD50000}"/>
    <cellStyle name="Normal 9 5 2 2 2" xfId="57577" xr:uid="{00000000-0005-0000-0000-0000CBD50000}"/>
    <cellStyle name="Normal 9 5 2 3" xfId="44588" xr:uid="{00000000-0005-0000-0000-0000CCD50000}"/>
    <cellStyle name="Normal 9 5 2 4" xfId="54410" xr:uid="{00000000-0005-0000-0000-0000CDD50000}"/>
    <cellStyle name="Normal 9 5 3" xfId="22601" xr:uid="{00000000-0005-0000-0000-0000CED50000}"/>
    <cellStyle name="Normal 9 5 3 2" xfId="56953" xr:uid="{00000000-0005-0000-0000-0000CFD50000}"/>
    <cellStyle name="Normal 9 5 4" xfId="37589" xr:uid="{00000000-0005-0000-0000-0000D0D50000}"/>
    <cellStyle name="Normal 9 5 5" xfId="53786" xr:uid="{00000000-0005-0000-0000-0000D1D50000}"/>
    <cellStyle name="Normal 9 6" xfId="1532" xr:uid="{00000000-0005-0000-0000-0000D2D50000}"/>
    <cellStyle name="Normal 9 6 2" xfId="57571" xr:uid="{00000000-0005-0000-0000-0000D3D50000}"/>
    <cellStyle name="Normal 9 6 3" xfId="54404" xr:uid="{00000000-0005-0000-0000-0000D4D50000}"/>
    <cellStyle name="Normal 9 7" xfId="53780" xr:uid="{00000000-0005-0000-0000-0000D5D50000}"/>
    <cellStyle name="Normal 9 7 2" xfId="56947" xr:uid="{00000000-0005-0000-0000-0000D6D50000}"/>
    <cellStyle name="Normal GHG Numbers (0.00)" xfId="546" xr:uid="{00000000-0005-0000-0000-0000D7D50000}"/>
    <cellStyle name="Normal GHG Numbers (0.00) 2" xfId="10042" xr:uid="{00000000-0005-0000-0000-0000D8D50000}"/>
    <cellStyle name="Normal GHG Numbers (0.00) 2 2" xfId="26366" xr:uid="{00000000-0005-0000-0000-0000D9D50000}"/>
    <cellStyle name="Normal GHG Numbers (0.00) 3" xfId="16779" xr:uid="{00000000-0005-0000-0000-0000DAD50000}"/>
    <cellStyle name="Normal GHG Numbers (0.00) 4" xfId="50096" xr:uid="{00000000-0005-0000-0000-0000DBD50000}"/>
    <cellStyle name="Normal GHG Textfiels Bold" xfId="547" xr:uid="{00000000-0005-0000-0000-0000DCD50000}"/>
    <cellStyle name="Normal GHG Textfiels Bold 2" xfId="5235" xr:uid="{00000000-0005-0000-0000-0000DDD50000}"/>
    <cellStyle name="Normal GHG Textfiels Bold 2 2" xfId="13306" xr:uid="{00000000-0005-0000-0000-0000DED50000}"/>
    <cellStyle name="Normal GHG Textfiels Bold 2 2 2" xfId="29625" xr:uid="{00000000-0005-0000-0000-0000DFD50000}"/>
    <cellStyle name="Normal GHG Textfiels Bold 2 3" xfId="22603" xr:uid="{00000000-0005-0000-0000-0000E0D50000}"/>
    <cellStyle name="Normal GHG whole table" xfId="548" xr:uid="{00000000-0005-0000-0000-0000E1D50000}"/>
    <cellStyle name="Normal GHG whole table 2" xfId="10043" xr:uid="{00000000-0005-0000-0000-0000E2D50000}"/>
    <cellStyle name="Normal GHG whole table 2 2" xfId="26367" xr:uid="{00000000-0005-0000-0000-0000E3D50000}"/>
    <cellStyle name="Normal GHG whole table 3" xfId="19350" xr:uid="{00000000-0005-0000-0000-0000E4D50000}"/>
    <cellStyle name="Normal GHG whole table 4" xfId="50097" xr:uid="{00000000-0005-0000-0000-0000E5D50000}"/>
    <cellStyle name="Normal GHG-Shade" xfId="549" xr:uid="{00000000-0005-0000-0000-0000E6D50000}"/>
    <cellStyle name="Normal GHG-Shade 2" xfId="550" xr:uid="{00000000-0005-0000-0000-0000E7D50000}"/>
    <cellStyle name="Normal GHG-Shade 2 2" xfId="18512" xr:uid="{00000000-0005-0000-0000-0000E8D50000}"/>
    <cellStyle name="Normal GHG-Shade 3" xfId="1311" xr:uid="{00000000-0005-0000-0000-0000E9D50000}"/>
    <cellStyle name="Normal_2009" xfId="57682" xr:uid="{00000000-0005-0000-0000-0000EAD50000}"/>
    <cellStyle name="Normal_ADP_0.0" xfId="1525" xr:uid="{00000000-0005-0000-0000-0000EBD50000}"/>
    <cellStyle name="Normal_AppendixAU" xfId="551" xr:uid="{00000000-0005-0000-0000-0000ECD50000}"/>
    <cellStyle name="Normal_Blad1" xfId="1523" xr:uid="{00000000-0005-0000-0000-0000EDD50000}"/>
    <cellStyle name="Normal_CBA Femer Bælt" xfId="1166" xr:uid="{00000000-0005-0000-0000-0000EED50000}"/>
    <cellStyle name="Normal_Omkostninger ved elsvigt" xfId="552" xr:uid="{00000000-0005-0000-0000-0000EFD50000}"/>
    <cellStyle name="Normal_Report_02.2_Tabellförteckning" xfId="1526" xr:uid="{00000000-0005-0000-0000-0000F0D50000}"/>
    <cellStyle name="Normal_Sheet1" xfId="553" xr:uid="{00000000-0005-0000-0000-0000F1D50000}"/>
    <cellStyle name="Normal_Tabell 3" xfId="1524" xr:uid="{00000000-0005-0000-0000-0000F2D50000}"/>
    <cellStyle name="Normal_Tabell till fig 16 -Transportsektorn till ETC" xfId="1527" xr:uid="{00000000-0005-0000-0000-0000F3D50000}"/>
    <cellStyle name="Normale 10" xfId="554" xr:uid="{00000000-0005-0000-0000-0000F4D50000}"/>
    <cellStyle name="Normale 10 2" xfId="555" xr:uid="{00000000-0005-0000-0000-0000F5D50000}"/>
    <cellStyle name="Normale 10 2 2" xfId="1313" xr:uid="{00000000-0005-0000-0000-0000F6D50000}"/>
    <cellStyle name="Normale 10 3" xfId="556" xr:uid="{00000000-0005-0000-0000-0000F7D50000}"/>
    <cellStyle name="Normale 10 3 2" xfId="1314" xr:uid="{00000000-0005-0000-0000-0000F8D50000}"/>
    <cellStyle name="Normale 10 4" xfId="1312" xr:uid="{00000000-0005-0000-0000-0000F9D50000}"/>
    <cellStyle name="Normale 10_EDEN industria 2008 rev" xfId="557" xr:uid="{00000000-0005-0000-0000-0000FAD50000}"/>
    <cellStyle name="Normale 11" xfId="558" xr:uid="{00000000-0005-0000-0000-0000FBD50000}"/>
    <cellStyle name="Normale 11 2" xfId="559" xr:uid="{00000000-0005-0000-0000-0000FCD50000}"/>
    <cellStyle name="Normale 11 2 2" xfId="1316" xr:uid="{00000000-0005-0000-0000-0000FDD50000}"/>
    <cellStyle name="Normale 11 3" xfId="560" xr:uid="{00000000-0005-0000-0000-0000FED50000}"/>
    <cellStyle name="Normale 11 3 2" xfId="1317" xr:uid="{00000000-0005-0000-0000-0000FFD50000}"/>
    <cellStyle name="Normale 11 4" xfId="1315" xr:uid="{00000000-0005-0000-0000-000000D60000}"/>
    <cellStyle name="Normale 11_EDEN industria 2008 rev" xfId="561" xr:uid="{00000000-0005-0000-0000-000001D60000}"/>
    <cellStyle name="Normale 12" xfId="562" xr:uid="{00000000-0005-0000-0000-000002D60000}"/>
    <cellStyle name="Normale 12 2" xfId="563" xr:uid="{00000000-0005-0000-0000-000003D60000}"/>
    <cellStyle name="Normale 12 2 2" xfId="1319" xr:uid="{00000000-0005-0000-0000-000004D60000}"/>
    <cellStyle name="Normale 12 3" xfId="564" xr:uid="{00000000-0005-0000-0000-000005D60000}"/>
    <cellStyle name="Normale 12 3 2" xfId="1320" xr:uid="{00000000-0005-0000-0000-000006D60000}"/>
    <cellStyle name="Normale 12 4" xfId="1318" xr:uid="{00000000-0005-0000-0000-000007D60000}"/>
    <cellStyle name="Normale 12_EDEN industria 2008 rev" xfId="565" xr:uid="{00000000-0005-0000-0000-000008D60000}"/>
    <cellStyle name="Normale 13" xfId="566" xr:uid="{00000000-0005-0000-0000-000009D60000}"/>
    <cellStyle name="Normale 13 2" xfId="567" xr:uid="{00000000-0005-0000-0000-00000AD60000}"/>
    <cellStyle name="Normale 13 2 2" xfId="1322" xr:uid="{00000000-0005-0000-0000-00000BD60000}"/>
    <cellStyle name="Normale 13 3" xfId="568" xr:uid="{00000000-0005-0000-0000-00000CD60000}"/>
    <cellStyle name="Normale 13 3 2" xfId="1323" xr:uid="{00000000-0005-0000-0000-00000DD60000}"/>
    <cellStyle name="Normale 13 4" xfId="1321" xr:uid="{00000000-0005-0000-0000-00000ED60000}"/>
    <cellStyle name="Normale 13_EDEN industria 2008 rev" xfId="569" xr:uid="{00000000-0005-0000-0000-00000FD60000}"/>
    <cellStyle name="Normale 14" xfId="570" xr:uid="{00000000-0005-0000-0000-000010D60000}"/>
    <cellStyle name="Normale 14 2" xfId="571" xr:uid="{00000000-0005-0000-0000-000011D60000}"/>
    <cellStyle name="Normale 14 2 2" xfId="1325" xr:uid="{00000000-0005-0000-0000-000012D60000}"/>
    <cellStyle name="Normale 14 3" xfId="572" xr:uid="{00000000-0005-0000-0000-000013D60000}"/>
    <cellStyle name="Normale 14 3 2" xfId="1326" xr:uid="{00000000-0005-0000-0000-000014D60000}"/>
    <cellStyle name="Normale 14 4" xfId="1324" xr:uid="{00000000-0005-0000-0000-000015D60000}"/>
    <cellStyle name="Normale 14_EDEN industria 2008 rev" xfId="573" xr:uid="{00000000-0005-0000-0000-000016D60000}"/>
    <cellStyle name="Normale 15" xfId="574" xr:uid="{00000000-0005-0000-0000-000017D60000}"/>
    <cellStyle name="Normale 15 2" xfId="575" xr:uid="{00000000-0005-0000-0000-000018D60000}"/>
    <cellStyle name="Normale 15 2 2" xfId="1328" xr:uid="{00000000-0005-0000-0000-000019D60000}"/>
    <cellStyle name="Normale 15 3" xfId="576" xr:uid="{00000000-0005-0000-0000-00001AD60000}"/>
    <cellStyle name="Normale 15 3 2" xfId="1329" xr:uid="{00000000-0005-0000-0000-00001BD60000}"/>
    <cellStyle name="Normale 15 4" xfId="1327" xr:uid="{00000000-0005-0000-0000-00001CD60000}"/>
    <cellStyle name="Normale 15_EDEN industria 2008 rev" xfId="577" xr:uid="{00000000-0005-0000-0000-00001DD60000}"/>
    <cellStyle name="Normale 16" xfId="578" xr:uid="{00000000-0005-0000-0000-00001ED60000}"/>
    <cellStyle name="Normale 16 2" xfId="1330" xr:uid="{00000000-0005-0000-0000-00001FD60000}"/>
    <cellStyle name="Normale 17" xfId="579" xr:uid="{00000000-0005-0000-0000-000020D60000}"/>
    <cellStyle name="Normale 17 2" xfId="1331" xr:uid="{00000000-0005-0000-0000-000021D60000}"/>
    <cellStyle name="Normale 18" xfId="580" xr:uid="{00000000-0005-0000-0000-000022D60000}"/>
    <cellStyle name="Normale 19" xfId="581" xr:uid="{00000000-0005-0000-0000-000023D60000}"/>
    <cellStyle name="Normale 2" xfId="582" xr:uid="{00000000-0005-0000-0000-000024D60000}"/>
    <cellStyle name="Normale 2 2" xfId="583" xr:uid="{00000000-0005-0000-0000-000025D60000}"/>
    <cellStyle name="Normale 2 2 2" xfId="1333" xr:uid="{00000000-0005-0000-0000-000026D60000}"/>
    <cellStyle name="Normale 2 3" xfId="1332" xr:uid="{00000000-0005-0000-0000-000027D60000}"/>
    <cellStyle name="Normale 2_EDEN industria 2008 rev" xfId="584" xr:uid="{00000000-0005-0000-0000-000028D60000}"/>
    <cellStyle name="Normale 20" xfId="585" xr:uid="{00000000-0005-0000-0000-000029D60000}"/>
    <cellStyle name="Normale 20 2" xfId="1334" xr:uid="{00000000-0005-0000-0000-00002AD60000}"/>
    <cellStyle name="Normale 21" xfId="586" xr:uid="{00000000-0005-0000-0000-00002BD60000}"/>
    <cellStyle name="Normale 21 2" xfId="1335" xr:uid="{00000000-0005-0000-0000-00002CD60000}"/>
    <cellStyle name="Normale 22" xfId="587" xr:uid="{00000000-0005-0000-0000-00002DD60000}"/>
    <cellStyle name="Normale 22 2" xfId="1336" xr:uid="{00000000-0005-0000-0000-00002ED60000}"/>
    <cellStyle name="Normale 23" xfId="588" xr:uid="{00000000-0005-0000-0000-00002FD60000}"/>
    <cellStyle name="Normale 23 2" xfId="1337" xr:uid="{00000000-0005-0000-0000-000030D60000}"/>
    <cellStyle name="Normale 24" xfId="589" xr:uid="{00000000-0005-0000-0000-000031D60000}"/>
    <cellStyle name="Normale 24 2" xfId="1338" xr:uid="{00000000-0005-0000-0000-000032D60000}"/>
    <cellStyle name="Normale 25" xfId="590" xr:uid="{00000000-0005-0000-0000-000033D60000}"/>
    <cellStyle name="Normale 25 2" xfId="1339" xr:uid="{00000000-0005-0000-0000-000034D60000}"/>
    <cellStyle name="Normale 26" xfId="591" xr:uid="{00000000-0005-0000-0000-000035D60000}"/>
    <cellStyle name="Normale 26 2" xfId="1340" xr:uid="{00000000-0005-0000-0000-000036D60000}"/>
    <cellStyle name="Normale 27" xfId="592" xr:uid="{00000000-0005-0000-0000-000037D60000}"/>
    <cellStyle name="Normale 27 2" xfId="1341" xr:uid="{00000000-0005-0000-0000-000038D60000}"/>
    <cellStyle name="Normale 28" xfId="593" xr:uid="{00000000-0005-0000-0000-000039D60000}"/>
    <cellStyle name="Normale 28 2" xfId="1342" xr:uid="{00000000-0005-0000-0000-00003AD60000}"/>
    <cellStyle name="Normale 29" xfId="594" xr:uid="{00000000-0005-0000-0000-00003BD60000}"/>
    <cellStyle name="Normale 29 2" xfId="1343" xr:uid="{00000000-0005-0000-0000-00003CD60000}"/>
    <cellStyle name="Normale 3" xfId="595" xr:uid="{00000000-0005-0000-0000-00003DD60000}"/>
    <cellStyle name="Normale 3 2" xfId="596" xr:uid="{00000000-0005-0000-0000-00003ED60000}"/>
    <cellStyle name="Normale 3 2 2" xfId="1345" xr:uid="{00000000-0005-0000-0000-00003FD60000}"/>
    <cellStyle name="Normale 3 3" xfId="597" xr:uid="{00000000-0005-0000-0000-000040D60000}"/>
    <cellStyle name="Normale 3 3 2" xfId="1346" xr:uid="{00000000-0005-0000-0000-000041D60000}"/>
    <cellStyle name="Normale 3 4" xfId="1344" xr:uid="{00000000-0005-0000-0000-000042D60000}"/>
    <cellStyle name="Normale 3_EDEN industria 2008 rev" xfId="598" xr:uid="{00000000-0005-0000-0000-000043D60000}"/>
    <cellStyle name="Normale 30" xfId="599" xr:uid="{00000000-0005-0000-0000-000044D60000}"/>
    <cellStyle name="Normale 30 2" xfId="1347" xr:uid="{00000000-0005-0000-0000-000045D60000}"/>
    <cellStyle name="Normale 31" xfId="600" xr:uid="{00000000-0005-0000-0000-000046D60000}"/>
    <cellStyle name="Normale 31 2" xfId="1348" xr:uid="{00000000-0005-0000-0000-000047D60000}"/>
    <cellStyle name="Normale 32" xfId="601" xr:uid="{00000000-0005-0000-0000-000048D60000}"/>
    <cellStyle name="Normale 32 2" xfId="1349" xr:uid="{00000000-0005-0000-0000-000049D60000}"/>
    <cellStyle name="Normale 33" xfId="602" xr:uid="{00000000-0005-0000-0000-00004AD60000}"/>
    <cellStyle name="Normale 33 2" xfId="1350" xr:uid="{00000000-0005-0000-0000-00004BD60000}"/>
    <cellStyle name="Normale 34" xfId="603" xr:uid="{00000000-0005-0000-0000-00004CD60000}"/>
    <cellStyle name="Normale 34 2" xfId="1351" xr:uid="{00000000-0005-0000-0000-00004DD60000}"/>
    <cellStyle name="Normale 35" xfId="604" xr:uid="{00000000-0005-0000-0000-00004ED60000}"/>
    <cellStyle name="Normale 35 2" xfId="1352" xr:uid="{00000000-0005-0000-0000-00004FD60000}"/>
    <cellStyle name="Normale 36" xfId="605" xr:uid="{00000000-0005-0000-0000-000050D60000}"/>
    <cellStyle name="Normale 36 2" xfId="1353" xr:uid="{00000000-0005-0000-0000-000051D60000}"/>
    <cellStyle name="Normale 37" xfId="606" xr:uid="{00000000-0005-0000-0000-000052D60000}"/>
    <cellStyle name="Normale 37 2" xfId="1354" xr:uid="{00000000-0005-0000-0000-000053D60000}"/>
    <cellStyle name="Normale 38" xfId="607" xr:uid="{00000000-0005-0000-0000-000054D60000}"/>
    <cellStyle name="Normale 38 2" xfId="1355" xr:uid="{00000000-0005-0000-0000-000055D60000}"/>
    <cellStyle name="Normale 39" xfId="608" xr:uid="{00000000-0005-0000-0000-000056D60000}"/>
    <cellStyle name="Normale 39 2" xfId="1356" xr:uid="{00000000-0005-0000-0000-000057D60000}"/>
    <cellStyle name="Normale 4" xfId="609" xr:uid="{00000000-0005-0000-0000-000058D60000}"/>
    <cellStyle name="Normale 4 2" xfId="610" xr:uid="{00000000-0005-0000-0000-000059D60000}"/>
    <cellStyle name="Normale 4 2 2" xfId="1358" xr:uid="{00000000-0005-0000-0000-00005AD60000}"/>
    <cellStyle name="Normale 4 3" xfId="611" xr:uid="{00000000-0005-0000-0000-00005BD60000}"/>
    <cellStyle name="Normale 4 3 2" xfId="1359" xr:uid="{00000000-0005-0000-0000-00005CD60000}"/>
    <cellStyle name="Normale 4 4" xfId="1357" xr:uid="{00000000-0005-0000-0000-00005DD60000}"/>
    <cellStyle name="Normale 4_EDEN industria 2008 rev" xfId="612" xr:uid="{00000000-0005-0000-0000-00005ED60000}"/>
    <cellStyle name="Normale 40" xfId="613" xr:uid="{00000000-0005-0000-0000-00005FD60000}"/>
    <cellStyle name="Normale 40 2" xfId="1360" xr:uid="{00000000-0005-0000-0000-000060D60000}"/>
    <cellStyle name="Normale 41" xfId="614" xr:uid="{00000000-0005-0000-0000-000061D60000}"/>
    <cellStyle name="Normale 41 2" xfId="1361" xr:uid="{00000000-0005-0000-0000-000062D60000}"/>
    <cellStyle name="Normale 42" xfId="615" xr:uid="{00000000-0005-0000-0000-000063D60000}"/>
    <cellStyle name="Normale 42 2" xfId="1362" xr:uid="{00000000-0005-0000-0000-000064D60000}"/>
    <cellStyle name="Normale 43" xfId="616" xr:uid="{00000000-0005-0000-0000-000065D60000}"/>
    <cellStyle name="Normale 43 2" xfId="1363" xr:uid="{00000000-0005-0000-0000-000066D60000}"/>
    <cellStyle name="Normale 44" xfId="617" xr:uid="{00000000-0005-0000-0000-000067D60000}"/>
    <cellStyle name="Normale 44 2" xfId="1364" xr:uid="{00000000-0005-0000-0000-000068D60000}"/>
    <cellStyle name="Normale 45" xfId="618" xr:uid="{00000000-0005-0000-0000-000069D60000}"/>
    <cellStyle name="Normale 45 2" xfId="1365" xr:uid="{00000000-0005-0000-0000-00006AD60000}"/>
    <cellStyle name="Normale 46" xfId="619" xr:uid="{00000000-0005-0000-0000-00006BD60000}"/>
    <cellStyle name="Normale 46 2" xfId="1366" xr:uid="{00000000-0005-0000-0000-00006CD60000}"/>
    <cellStyle name="Normale 47" xfId="620" xr:uid="{00000000-0005-0000-0000-00006DD60000}"/>
    <cellStyle name="Normale 47 2" xfId="1367" xr:uid="{00000000-0005-0000-0000-00006ED60000}"/>
    <cellStyle name="Normale 48" xfId="621" xr:uid="{00000000-0005-0000-0000-00006FD60000}"/>
    <cellStyle name="Normale 48 2" xfId="1368" xr:uid="{00000000-0005-0000-0000-000070D60000}"/>
    <cellStyle name="Normale 49" xfId="622" xr:uid="{00000000-0005-0000-0000-000071D60000}"/>
    <cellStyle name="Normale 49 2" xfId="1369" xr:uid="{00000000-0005-0000-0000-000072D60000}"/>
    <cellStyle name="Normale 5" xfId="623" xr:uid="{00000000-0005-0000-0000-000073D60000}"/>
    <cellStyle name="Normale 5 2" xfId="624" xr:uid="{00000000-0005-0000-0000-000074D60000}"/>
    <cellStyle name="Normale 5 2 2" xfId="1371" xr:uid="{00000000-0005-0000-0000-000075D60000}"/>
    <cellStyle name="Normale 5 3" xfId="625" xr:uid="{00000000-0005-0000-0000-000076D60000}"/>
    <cellStyle name="Normale 5 3 2" xfId="1372" xr:uid="{00000000-0005-0000-0000-000077D60000}"/>
    <cellStyle name="Normale 5 4" xfId="1370" xr:uid="{00000000-0005-0000-0000-000078D60000}"/>
    <cellStyle name="Normale 5_EDEN industria 2008 rev" xfId="626" xr:uid="{00000000-0005-0000-0000-000079D60000}"/>
    <cellStyle name="Normale 50" xfId="627" xr:uid="{00000000-0005-0000-0000-00007AD60000}"/>
    <cellStyle name="Normale 50 2" xfId="1373" xr:uid="{00000000-0005-0000-0000-00007BD60000}"/>
    <cellStyle name="Normale 51" xfId="628" xr:uid="{00000000-0005-0000-0000-00007CD60000}"/>
    <cellStyle name="Normale 51 2" xfId="1374" xr:uid="{00000000-0005-0000-0000-00007DD60000}"/>
    <cellStyle name="Normale 52" xfId="629" xr:uid="{00000000-0005-0000-0000-00007ED60000}"/>
    <cellStyle name="Normale 52 2" xfId="1375" xr:uid="{00000000-0005-0000-0000-00007FD60000}"/>
    <cellStyle name="Normale 53" xfId="630" xr:uid="{00000000-0005-0000-0000-000080D60000}"/>
    <cellStyle name="Normale 53 2" xfId="1376" xr:uid="{00000000-0005-0000-0000-000081D60000}"/>
    <cellStyle name="Normale 54" xfId="631" xr:uid="{00000000-0005-0000-0000-000082D60000}"/>
    <cellStyle name="Normale 54 2" xfId="1377" xr:uid="{00000000-0005-0000-0000-000083D60000}"/>
    <cellStyle name="Normale 55" xfId="632" xr:uid="{00000000-0005-0000-0000-000084D60000}"/>
    <cellStyle name="Normale 55 2" xfId="1378" xr:uid="{00000000-0005-0000-0000-000085D60000}"/>
    <cellStyle name="Normale 56" xfId="633" xr:uid="{00000000-0005-0000-0000-000086D60000}"/>
    <cellStyle name="Normale 56 2" xfId="1379" xr:uid="{00000000-0005-0000-0000-000087D60000}"/>
    <cellStyle name="Normale 57" xfId="634" xr:uid="{00000000-0005-0000-0000-000088D60000}"/>
    <cellStyle name="Normale 57 2" xfId="1380" xr:uid="{00000000-0005-0000-0000-000089D60000}"/>
    <cellStyle name="Normale 58" xfId="635" xr:uid="{00000000-0005-0000-0000-00008AD60000}"/>
    <cellStyle name="Normale 58 2" xfId="1381" xr:uid="{00000000-0005-0000-0000-00008BD60000}"/>
    <cellStyle name="Normale 59" xfId="636" xr:uid="{00000000-0005-0000-0000-00008CD60000}"/>
    <cellStyle name="Normale 59 2" xfId="1382" xr:uid="{00000000-0005-0000-0000-00008DD60000}"/>
    <cellStyle name="Normale 6" xfId="637" xr:uid="{00000000-0005-0000-0000-00008ED60000}"/>
    <cellStyle name="Normale 6 2" xfId="638" xr:uid="{00000000-0005-0000-0000-00008FD60000}"/>
    <cellStyle name="Normale 6 2 2" xfId="1384" xr:uid="{00000000-0005-0000-0000-000090D60000}"/>
    <cellStyle name="Normale 6 3" xfId="639" xr:uid="{00000000-0005-0000-0000-000091D60000}"/>
    <cellStyle name="Normale 6 3 2" xfId="1385" xr:uid="{00000000-0005-0000-0000-000092D60000}"/>
    <cellStyle name="Normale 6 4" xfId="1383" xr:uid="{00000000-0005-0000-0000-000093D60000}"/>
    <cellStyle name="Normale 6_EDEN industria 2008 rev" xfId="640" xr:uid="{00000000-0005-0000-0000-000094D60000}"/>
    <cellStyle name="Normale 60" xfId="641" xr:uid="{00000000-0005-0000-0000-000095D60000}"/>
    <cellStyle name="Normale 60 2" xfId="1386" xr:uid="{00000000-0005-0000-0000-000096D60000}"/>
    <cellStyle name="Normale 61" xfId="642" xr:uid="{00000000-0005-0000-0000-000097D60000}"/>
    <cellStyle name="Normale 61 2" xfId="1387" xr:uid="{00000000-0005-0000-0000-000098D60000}"/>
    <cellStyle name="Normale 62" xfId="643" xr:uid="{00000000-0005-0000-0000-000099D60000}"/>
    <cellStyle name="Normale 62 2" xfId="1388" xr:uid="{00000000-0005-0000-0000-00009AD60000}"/>
    <cellStyle name="Normale 63" xfId="644" xr:uid="{00000000-0005-0000-0000-00009BD60000}"/>
    <cellStyle name="Normale 63 2" xfId="1389" xr:uid="{00000000-0005-0000-0000-00009CD60000}"/>
    <cellStyle name="Normale 64" xfId="645" xr:uid="{00000000-0005-0000-0000-00009DD60000}"/>
    <cellStyle name="Normale 64 2" xfId="1390" xr:uid="{00000000-0005-0000-0000-00009ED60000}"/>
    <cellStyle name="Normale 65" xfId="646" xr:uid="{00000000-0005-0000-0000-00009FD60000}"/>
    <cellStyle name="Normale 65 2" xfId="1391" xr:uid="{00000000-0005-0000-0000-0000A0D60000}"/>
    <cellStyle name="Normale 7" xfId="647" xr:uid="{00000000-0005-0000-0000-0000A1D60000}"/>
    <cellStyle name="Normale 7 2" xfId="648" xr:uid="{00000000-0005-0000-0000-0000A2D60000}"/>
    <cellStyle name="Normale 7 2 2" xfId="1393" xr:uid="{00000000-0005-0000-0000-0000A3D60000}"/>
    <cellStyle name="Normale 7 3" xfId="649" xr:uid="{00000000-0005-0000-0000-0000A4D60000}"/>
    <cellStyle name="Normale 7 3 2" xfId="1394" xr:uid="{00000000-0005-0000-0000-0000A5D60000}"/>
    <cellStyle name="Normale 7 4" xfId="1392" xr:uid="{00000000-0005-0000-0000-0000A6D60000}"/>
    <cellStyle name="Normale 7_EDEN industria 2008 rev" xfId="650" xr:uid="{00000000-0005-0000-0000-0000A7D60000}"/>
    <cellStyle name="Normale 8" xfId="651" xr:uid="{00000000-0005-0000-0000-0000A8D60000}"/>
    <cellStyle name="Normale 8 2" xfId="652" xr:uid="{00000000-0005-0000-0000-0000A9D60000}"/>
    <cellStyle name="Normale 8 2 2" xfId="1396" xr:uid="{00000000-0005-0000-0000-0000AAD60000}"/>
    <cellStyle name="Normale 8 3" xfId="653" xr:uid="{00000000-0005-0000-0000-0000ABD60000}"/>
    <cellStyle name="Normale 8 3 2" xfId="1397" xr:uid="{00000000-0005-0000-0000-0000ACD60000}"/>
    <cellStyle name="Normale 8 4" xfId="1395" xr:uid="{00000000-0005-0000-0000-0000ADD60000}"/>
    <cellStyle name="Normale 8_EDEN industria 2008 rev" xfId="654" xr:uid="{00000000-0005-0000-0000-0000AED60000}"/>
    <cellStyle name="Normale 9" xfId="655" xr:uid="{00000000-0005-0000-0000-0000AFD60000}"/>
    <cellStyle name="Normale 9 2" xfId="656" xr:uid="{00000000-0005-0000-0000-0000B0D60000}"/>
    <cellStyle name="Normale 9 2 2" xfId="1399" xr:uid="{00000000-0005-0000-0000-0000B1D60000}"/>
    <cellStyle name="Normale 9 3" xfId="657" xr:uid="{00000000-0005-0000-0000-0000B2D60000}"/>
    <cellStyle name="Normale 9 3 2" xfId="1400" xr:uid="{00000000-0005-0000-0000-0000B3D60000}"/>
    <cellStyle name="Normale 9 4" xfId="1398" xr:uid="{00000000-0005-0000-0000-0000B4D60000}"/>
    <cellStyle name="Normale 9_EDEN industria 2008 rev" xfId="658" xr:uid="{00000000-0005-0000-0000-0000B5D60000}"/>
    <cellStyle name="Normale_B2020" xfId="659" xr:uid="{00000000-0005-0000-0000-0000B6D60000}"/>
    <cellStyle name="Nota" xfId="660" xr:uid="{00000000-0005-0000-0000-0000B7D60000}"/>
    <cellStyle name="Nota 2" xfId="661" xr:uid="{00000000-0005-0000-0000-0000B8D60000}"/>
    <cellStyle name="Nota 2 2" xfId="1401" xr:uid="{00000000-0005-0000-0000-0000B9D60000}"/>
    <cellStyle name="Nota 2 2 2" xfId="10137" xr:uid="{00000000-0005-0000-0000-0000BAD60000}"/>
    <cellStyle name="Nota 2 2 2 2" xfId="26457" xr:uid="{00000000-0005-0000-0000-0000BBD60000}"/>
    <cellStyle name="Nota 2 2 3" xfId="18513" xr:uid="{00000000-0005-0000-0000-0000BCD60000}"/>
    <cellStyle name="Nota 2 2 4" xfId="19019" xr:uid="{00000000-0005-0000-0000-0000BDD60000}"/>
    <cellStyle name="Nota 2 2 4 2" xfId="34016" xr:uid="{00000000-0005-0000-0000-0000BED60000}"/>
    <cellStyle name="Nota 2 2 5" xfId="52178" xr:uid="{00000000-0005-0000-0000-0000BFD60000}"/>
    <cellStyle name="Nota 2 3" xfId="10045" xr:uid="{00000000-0005-0000-0000-0000C0D60000}"/>
    <cellStyle name="Nota 2 3 2" xfId="26369" xr:uid="{00000000-0005-0000-0000-0000C1D60000}"/>
    <cellStyle name="Nota 2 4" xfId="9712" xr:uid="{00000000-0005-0000-0000-0000C2D60000}"/>
    <cellStyle name="Nota 2 4 2" xfId="26042" xr:uid="{00000000-0005-0000-0000-0000C3D60000}"/>
    <cellStyle name="Nota 2 5" xfId="17499" xr:uid="{00000000-0005-0000-0000-0000C4D60000}"/>
    <cellStyle name="Nota 2 6" xfId="52078" xr:uid="{00000000-0005-0000-0000-0000C5D60000}"/>
    <cellStyle name="Nota 3" xfId="662" xr:uid="{00000000-0005-0000-0000-0000C6D60000}"/>
    <cellStyle name="Nota 3 2" xfId="663" xr:uid="{00000000-0005-0000-0000-0000C7D60000}"/>
    <cellStyle name="Nota 3 2 2" xfId="10047" xr:uid="{00000000-0005-0000-0000-0000C8D60000}"/>
    <cellStyle name="Nota 3 2 2 2" xfId="26371" xr:uid="{00000000-0005-0000-0000-0000C9D60000}"/>
    <cellStyle name="Nota 3 2 3" xfId="9710" xr:uid="{00000000-0005-0000-0000-0000CAD60000}"/>
    <cellStyle name="Nota 3 2 3 2" xfId="26040" xr:uid="{00000000-0005-0000-0000-0000CBD60000}"/>
    <cellStyle name="Nota 3 2 4" xfId="17501" xr:uid="{00000000-0005-0000-0000-0000CCD60000}"/>
    <cellStyle name="Nota 3 2 5" xfId="52080" xr:uid="{00000000-0005-0000-0000-0000CDD60000}"/>
    <cellStyle name="Nota 3 3" xfId="10046" xr:uid="{00000000-0005-0000-0000-0000CED60000}"/>
    <cellStyle name="Nota 3 3 2" xfId="18515" xr:uid="{00000000-0005-0000-0000-0000CFD60000}"/>
    <cellStyle name="Nota 3 3 2 2" xfId="19021" xr:uid="{00000000-0005-0000-0000-0000D0D60000}"/>
    <cellStyle name="Nota 3 3 2 2 2" xfId="34018" xr:uid="{00000000-0005-0000-0000-0000D1D60000}"/>
    <cellStyle name="Nota 3 3 2 3" xfId="53106" xr:uid="{00000000-0005-0000-0000-0000D2D60000}"/>
    <cellStyle name="Nota 3 3 3" xfId="17502" xr:uid="{00000000-0005-0000-0000-0000D3D60000}"/>
    <cellStyle name="Nota 3 3 4" xfId="19016" xr:uid="{00000000-0005-0000-0000-0000D4D60000}"/>
    <cellStyle name="Nota 3 3 4 2" xfId="34013" xr:uid="{00000000-0005-0000-0000-0000D5D60000}"/>
    <cellStyle name="Nota 3 3 5" xfId="26370" xr:uid="{00000000-0005-0000-0000-0000D6D60000}"/>
    <cellStyle name="Nota 3 3 6" xfId="52732" xr:uid="{00000000-0005-0000-0000-0000D7D60000}"/>
    <cellStyle name="Nota 3 4" xfId="9711" xr:uid="{00000000-0005-0000-0000-0000D8D60000}"/>
    <cellStyle name="Nota 3 4 2" xfId="18514" xr:uid="{00000000-0005-0000-0000-0000D9D60000}"/>
    <cellStyle name="Nota 3 4 3" xfId="19020" xr:uid="{00000000-0005-0000-0000-0000DAD60000}"/>
    <cellStyle name="Nota 3 4 3 2" xfId="34017" xr:uid="{00000000-0005-0000-0000-0000DBD60000}"/>
    <cellStyle name="Nota 3 4 4" xfId="26041" xr:uid="{00000000-0005-0000-0000-0000DCD60000}"/>
    <cellStyle name="Nota 3 4 5" xfId="53105" xr:uid="{00000000-0005-0000-0000-0000DDD60000}"/>
    <cellStyle name="Nota 3 5" xfId="17500" xr:uid="{00000000-0005-0000-0000-0000DED60000}"/>
    <cellStyle name="Nota 3 6" xfId="19015" xr:uid="{00000000-0005-0000-0000-0000DFD60000}"/>
    <cellStyle name="Nota 3 6 2" xfId="34012" xr:uid="{00000000-0005-0000-0000-0000E0D60000}"/>
    <cellStyle name="Nota 3 7" xfId="52079" xr:uid="{00000000-0005-0000-0000-0000E1D60000}"/>
    <cellStyle name="Nota 3 8" xfId="52731" xr:uid="{00000000-0005-0000-0000-0000E2D60000}"/>
    <cellStyle name="Nota 4" xfId="9483" xr:uid="{00000000-0005-0000-0000-0000E3D60000}"/>
    <cellStyle name="Nota 4 2" xfId="16741" xr:uid="{00000000-0005-0000-0000-0000E4D60000}"/>
    <cellStyle name="Nota 4 2 2" xfId="18517" xr:uid="{00000000-0005-0000-0000-0000E5D60000}"/>
    <cellStyle name="Nota 4 2 2 2" xfId="19023" xr:uid="{00000000-0005-0000-0000-0000E6D60000}"/>
    <cellStyle name="Nota 4 2 2 2 2" xfId="34020" xr:uid="{00000000-0005-0000-0000-0000E7D60000}"/>
    <cellStyle name="Nota 4 2 2 3" xfId="53108" xr:uid="{00000000-0005-0000-0000-0000E8D60000}"/>
    <cellStyle name="Nota 4 2 3" xfId="17504" xr:uid="{00000000-0005-0000-0000-0000E9D60000}"/>
    <cellStyle name="Nota 4 2 4" xfId="19018" xr:uid="{00000000-0005-0000-0000-0000EAD60000}"/>
    <cellStyle name="Nota 4 2 4 2" xfId="34015" xr:uid="{00000000-0005-0000-0000-0000EBD60000}"/>
    <cellStyle name="Nota 4 2 5" xfId="33054" xr:uid="{00000000-0005-0000-0000-0000ECD60000}"/>
    <cellStyle name="Nota 4 2 6" xfId="52734" xr:uid="{00000000-0005-0000-0000-0000EDD60000}"/>
    <cellStyle name="Nota 4 3" xfId="9709" xr:uid="{00000000-0005-0000-0000-0000EED60000}"/>
    <cellStyle name="Nota 4 3 2" xfId="18516" xr:uid="{00000000-0005-0000-0000-0000EFD60000}"/>
    <cellStyle name="Nota 4 3 3" xfId="19022" xr:uid="{00000000-0005-0000-0000-0000F0D60000}"/>
    <cellStyle name="Nota 4 3 3 2" xfId="34019" xr:uid="{00000000-0005-0000-0000-0000F1D60000}"/>
    <cellStyle name="Nota 4 3 4" xfId="26039" xr:uid="{00000000-0005-0000-0000-0000F2D60000}"/>
    <cellStyle name="Nota 4 3 5" xfId="53107" xr:uid="{00000000-0005-0000-0000-0000F3D60000}"/>
    <cellStyle name="Nota 4 4" xfId="17503" xr:uid="{00000000-0005-0000-0000-0000F4D60000}"/>
    <cellStyle name="Nota 4 5" xfId="19017" xr:uid="{00000000-0005-0000-0000-0000F5D60000}"/>
    <cellStyle name="Nota 4 5 2" xfId="34014" xr:uid="{00000000-0005-0000-0000-0000F6D60000}"/>
    <cellStyle name="Nota 4 6" xfId="26031" xr:uid="{00000000-0005-0000-0000-0000F7D60000}"/>
    <cellStyle name="Nota 4 7" xfId="52733" xr:uid="{00000000-0005-0000-0000-0000F8D60000}"/>
    <cellStyle name="Nota 5" xfId="9484" xr:uid="{00000000-0005-0000-0000-0000F9D60000}"/>
    <cellStyle name="Nota 5 2" xfId="16742" xr:uid="{00000000-0005-0000-0000-0000FAD60000}"/>
    <cellStyle name="Nota 5 2 2" xfId="33055" xr:uid="{00000000-0005-0000-0000-0000FBD60000}"/>
    <cellStyle name="Nota 5 3" xfId="9708" xr:uid="{00000000-0005-0000-0000-0000FCD60000}"/>
    <cellStyle name="Nota 5 3 2" xfId="26038" xr:uid="{00000000-0005-0000-0000-0000FDD60000}"/>
    <cellStyle name="Nota 5 4" xfId="17505" xr:uid="{00000000-0005-0000-0000-0000FED60000}"/>
    <cellStyle name="Nota 5 5" xfId="52735" xr:uid="{00000000-0005-0000-0000-0000FFD60000}"/>
    <cellStyle name="Nota 6" xfId="10044" xr:uid="{00000000-0005-0000-0000-000000D70000}"/>
    <cellStyle name="Nota 6 2" xfId="26368" xr:uid="{00000000-0005-0000-0000-000001D70000}"/>
    <cellStyle name="Nota 7" xfId="10138" xr:uid="{00000000-0005-0000-0000-000002D70000}"/>
    <cellStyle name="Nota 7 2" xfId="26458" xr:uid="{00000000-0005-0000-0000-000003D70000}"/>
    <cellStyle name="Nota 8" xfId="17498" xr:uid="{00000000-0005-0000-0000-000004D70000}"/>
    <cellStyle name="Nota 9" xfId="52077" xr:uid="{00000000-0005-0000-0000-000005D70000}"/>
    <cellStyle name="Note" xfId="1516" builtinId="10"/>
    <cellStyle name="Note 2" xfId="1168" xr:uid="{00000000-0005-0000-0000-000007D70000}"/>
    <cellStyle name="Note 2 10" xfId="50113" xr:uid="{00000000-0005-0000-0000-000008D70000}"/>
    <cellStyle name="Note 2 11" xfId="50518" xr:uid="{00000000-0005-0000-0000-000009D70000}"/>
    <cellStyle name="Note 2 12" xfId="51078" xr:uid="{00000000-0005-0000-0000-00000AD70000}"/>
    <cellStyle name="Note 2 13" xfId="51679" xr:uid="{00000000-0005-0000-0000-00000BD70000}"/>
    <cellStyle name="Note 2 14" xfId="52098" xr:uid="{00000000-0005-0000-0000-00000CD70000}"/>
    <cellStyle name="Note 2 15" xfId="53243" xr:uid="{00000000-0005-0000-0000-00000DD70000}"/>
    <cellStyle name="Note 2 16" xfId="1559" xr:uid="{00000000-0005-0000-0000-00000ED70000}"/>
    <cellStyle name="Note 2 2" xfId="5237" xr:uid="{00000000-0005-0000-0000-00000FD70000}"/>
    <cellStyle name="Note 2 2 2" xfId="53313" xr:uid="{00000000-0005-0000-0000-000010D70000}"/>
    <cellStyle name="Note 2 3" xfId="5236" xr:uid="{00000000-0005-0000-0000-000011D70000}"/>
    <cellStyle name="Note 2 4" xfId="8944" xr:uid="{00000000-0005-0000-0000-000012D70000}"/>
    <cellStyle name="Note 2 4 2" xfId="16718" xr:uid="{00000000-0005-0000-0000-000013D70000}"/>
    <cellStyle name="Note 2 4 2 2" xfId="33031" xr:uid="{00000000-0005-0000-0000-000014D70000}"/>
    <cellStyle name="Note 2 4 2 3" xfId="47995" xr:uid="{00000000-0005-0000-0000-000015D70000}"/>
    <cellStyle name="Note 2 4 3" xfId="26009" xr:uid="{00000000-0005-0000-0000-000016D70000}"/>
    <cellStyle name="Note 2 4 4" xfId="40996" xr:uid="{00000000-0005-0000-0000-000017D70000}"/>
    <cellStyle name="Note 2 5" xfId="10057" xr:uid="{00000000-0005-0000-0000-000018D70000}"/>
    <cellStyle name="Note 2 5 2" xfId="26378" xr:uid="{00000000-0005-0000-0000-000019D70000}"/>
    <cellStyle name="Note 2 5 3" xfId="41346" xr:uid="{00000000-0005-0000-0000-00001AD70000}"/>
    <cellStyle name="Note 2 6" xfId="19357" xr:uid="{00000000-0005-0000-0000-00001BD70000}"/>
    <cellStyle name="Note 2 7" xfId="34347" xr:uid="{00000000-0005-0000-0000-00001CD70000}"/>
    <cellStyle name="Note 2 8" xfId="49299" xr:uid="{00000000-0005-0000-0000-00001DD70000}"/>
    <cellStyle name="Note 2 9" xfId="49704" xr:uid="{00000000-0005-0000-0000-00001ED70000}"/>
    <cellStyle name="Note 3" xfId="8962" xr:uid="{00000000-0005-0000-0000-00001FD70000}"/>
    <cellStyle name="Note 4" xfId="10140" xr:uid="{00000000-0005-0000-0000-000020D70000}"/>
    <cellStyle name="Note 5" xfId="19437" xr:uid="{00000000-0005-0000-0000-000021D70000}"/>
    <cellStyle name="Nuovo" xfId="664" xr:uid="{00000000-0005-0000-0000-000022D70000}"/>
    <cellStyle name="Nuovo 10" xfId="665" xr:uid="{00000000-0005-0000-0000-000023D70000}"/>
    <cellStyle name="Nuovo 10 2" xfId="666" xr:uid="{00000000-0005-0000-0000-000024D70000}"/>
    <cellStyle name="Nuovo 10 2 2" xfId="1402" xr:uid="{00000000-0005-0000-0000-000025D70000}"/>
    <cellStyle name="Nuovo 10 3" xfId="667" xr:uid="{00000000-0005-0000-0000-000026D70000}"/>
    <cellStyle name="Nuovo 10 3 2" xfId="668" xr:uid="{00000000-0005-0000-0000-000027D70000}"/>
    <cellStyle name="Nuovo 10 3 3" xfId="17507" xr:uid="{00000000-0005-0000-0000-000028D70000}"/>
    <cellStyle name="Nuovo 10 3 3 2" xfId="18519" xr:uid="{00000000-0005-0000-0000-000029D70000}"/>
    <cellStyle name="Nuovo 10 3 4" xfId="18518" xr:uid="{00000000-0005-0000-0000-00002AD70000}"/>
    <cellStyle name="Nuovo 10 3 5" xfId="17506" xr:uid="{00000000-0005-0000-0000-00002BD70000}"/>
    <cellStyle name="Nuovo 10 4" xfId="9485" xr:uid="{00000000-0005-0000-0000-00002CD70000}"/>
    <cellStyle name="Nuovo 10 4 2" xfId="17509" xr:uid="{00000000-0005-0000-0000-00002DD70000}"/>
    <cellStyle name="Nuovo 10 4 2 2" xfId="18521" xr:uid="{00000000-0005-0000-0000-00002ED70000}"/>
    <cellStyle name="Nuovo 10 4 3" xfId="18520" xr:uid="{00000000-0005-0000-0000-00002FD70000}"/>
    <cellStyle name="Nuovo 10 4 4" xfId="17508" xr:uid="{00000000-0005-0000-0000-000030D70000}"/>
    <cellStyle name="Nuovo 10 5" xfId="9486" xr:uid="{00000000-0005-0000-0000-000031D70000}"/>
    <cellStyle name="Nuovo 10 6" xfId="50641" xr:uid="{00000000-0005-0000-0000-000032D70000}"/>
    <cellStyle name="Nuovo 11" xfId="669" xr:uid="{00000000-0005-0000-0000-000033D70000}"/>
    <cellStyle name="Nuovo 11 2" xfId="670" xr:uid="{00000000-0005-0000-0000-000034D70000}"/>
    <cellStyle name="Nuovo 11 2 2" xfId="1403" xr:uid="{00000000-0005-0000-0000-000035D70000}"/>
    <cellStyle name="Nuovo 11 3" xfId="671" xr:uid="{00000000-0005-0000-0000-000036D70000}"/>
    <cellStyle name="Nuovo 11 3 2" xfId="672" xr:uid="{00000000-0005-0000-0000-000037D70000}"/>
    <cellStyle name="Nuovo 11 3 3" xfId="17511" xr:uid="{00000000-0005-0000-0000-000038D70000}"/>
    <cellStyle name="Nuovo 11 3 3 2" xfId="18523" xr:uid="{00000000-0005-0000-0000-000039D70000}"/>
    <cellStyle name="Nuovo 11 3 4" xfId="18522" xr:uid="{00000000-0005-0000-0000-00003AD70000}"/>
    <cellStyle name="Nuovo 11 3 5" xfId="17510" xr:uid="{00000000-0005-0000-0000-00003BD70000}"/>
    <cellStyle name="Nuovo 11 4" xfId="9487" xr:uid="{00000000-0005-0000-0000-00003CD70000}"/>
    <cellStyle name="Nuovo 11 4 2" xfId="17513" xr:uid="{00000000-0005-0000-0000-00003DD70000}"/>
    <cellStyle name="Nuovo 11 4 2 2" xfId="18525" xr:uid="{00000000-0005-0000-0000-00003ED70000}"/>
    <cellStyle name="Nuovo 11 4 3" xfId="18524" xr:uid="{00000000-0005-0000-0000-00003FD70000}"/>
    <cellStyle name="Nuovo 11 4 4" xfId="17512" xr:uid="{00000000-0005-0000-0000-000040D70000}"/>
    <cellStyle name="Nuovo 11 5" xfId="9488" xr:uid="{00000000-0005-0000-0000-000041D70000}"/>
    <cellStyle name="Nuovo 11 6" xfId="51095" xr:uid="{00000000-0005-0000-0000-000042D70000}"/>
    <cellStyle name="Nuovo 12" xfId="673" xr:uid="{00000000-0005-0000-0000-000043D70000}"/>
    <cellStyle name="Nuovo 12 2" xfId="674" xr:uid="{00000000-0005-0000-0000-000044D70000}"/>
    <cellStyle name="Nuovo 12 2 2" xfId="1404" xr:uid="{00000000-0005-0000-0000-000045D70000}"/>
    <cellStyle name="Nuovo 12 3" xfId="675" xr:uid="{00000000-0005-0000-0000-000046D70000}"/>
    <cellStyle name="Nuovo 12 3 2" xfId="676" xr:uid="{00000000-0005-0000-0000-000047D70000}"/>
    <cellStyle name="Nuovo 12 3 3" xfId="17515" xr:uid="{00000000-0005-0000-0000-000048D70000}"/>
    <cellStyle name="Nuovo 12 3 3 2" xfId="18527" xr:uid="{00000000-0005-0000-0000-000049D70000}"/>
    <cellStyle name="Nuovo 12 3 4" xfId="18526" xr:uid="{00000000-0005-0000-0000-00004AD70000}"/>
    <cellStyle name="Nuovo 12 3 5" xfId="17514" xr:uid="{00000000-0005-0000-0000-00004BD70000}"/>
    <cellStyle name="Nuovo 12 4" xfId="9489" xr:uid="{00000000-0005-0000-0000-00004CD70000}"/>
    <cellStyle name="Nuovo 12 4 2" xfId="17517" xr:uid="{00000000-0005-0000-0000-00004DD70000}"/>
    <cellStyle name="Nuovo 12 4 2 2" xfId="18529" xr:uid="{00000000-0005-0000-0000-00004ED70000}"/>
    <cellStyle name="Nuovo 12 4 3" xfId="18528" xr:uid="{00000000-0005-0000-0000-00004FD70000}"/>
    <cellStyle name="Nuovo 12 4 4" xfId="17516" xr:uid="{00000000-0005-0000-0000-000050D70000}"/>
    <cellStyle name="Nuovo 12 5" xfId="9490" xr:uid="{00000000-0005-0000-0000-000051D70000}"/>
    <cellStyle name="Nuovo 12 6" xfId="51215" xr:uid="{00000000-0005-0000-0000-000052D70000}"/>
    <cellStyle name="Nuovo 13" xfId="677" xr:uid="{00000000-0005-0000-0000-000053D70000}"/>
    <cellStyle name="Nuovo 13 2" xfId="678" xr:uid="{00000000-0005-0000-0000-000054D70000}"/>
    <cellStyle name="Nuovo 13 2 2" xfId="1405" xr:uid="{00000000-0005-0000-0000-000055D70000}"/>
    <cellStyle name="Nuovo 13 3" xfId="679" xr:uid="{00000000-0005-0000-0000-000056D70000}"/>
    <cellStyle name="Nuovo 13 3 2" xfId="680" xr:uid="{00000000-0005-0000-0000-000057D70000}"/>
    <cellStyle name="Nuovo 13 3 3" xfId="17519" xr:uid="{00000000-0005-0000-0000-000058D70000}"/>
    <cellStyle name="Nuovo 13 3 3 2" xfId="18531" xr:uid="{00000000-0005-0000-0000-000059D70000}"/>
    <cellStyle name="Nuovo 13 3 4" xfId="18530" xr:uid="{00000000-0005-0000-0000-00005AD70000}"/>
    <cellStyle name="Nuovo 13 3 5" xfId="17518" xr:uid="{00000000-0005-0000-0000-00005BD70000}"/>
    <cellStyle name="Nuovo 13 4" xfId="9491" xr:uid="{00000000-0005-0000-0000-00005CD70000}"/>
    <cellStyle name="Nuovo 13 4 2" xfId="17521" xr:uid="{00000000-0005-0000-0000-00005DD70000}"/>
    <cellStyle name="Nuovo 13 4 2 2" xfId="18533" xr:uid="{00000000-0005-0000-0000-00005ED70000}"/>
    <cellStyle name="Nuovo 13 4 3" xfId="18532" xr:uid="{00000000-0005-0000-0000-00005FD70000}"/>
    <cellStyle name="Nuovo 13 4 4" xfId="17520" xr:uid="{00000000-0005-0000-0000-000060D70000}"/>
    <cellStyle name="Nuovo 13 5" xfId="9492" xr:uid="{00000000-0005-0000-0000-000061D70000}"/>
    <cellStyle name="Nuovo 13 6" xfId="51298" xr:uid="{00000000-0005-0000-0000-000062D70000}"/>
    <cellStyle name="Nuovo 14" xfId="681" xr:uid="{00000000-0005-0000-0000-000063D70000}"/>
    <cellStyle name="Nuovo 14 2" xfId="682" xr:uid="{00000000-0005-0000-0000-000064D70000}"/>
    <cellStyle name="Nuovo 14 2 2" xfId="1406" xr:uid="{00000000-0005-0000-0000-000065D70000}"/>
    <cellStyle name="Nuovo 14 3" xfId="683" xr:uid="{00000000-0005-0000-0000-000066D70000}"/>
    <cellStyle name="Nuovo 14 3 2" xfId="684" xr:uid="{00000000-0005-0000-0000-000067D70000}"/>
    <cellStyle name="Nuovo 14 3 3" xfId="17523" xr:uid="{00000000-0005-0000-0000-000068D70000}"/>
    <cellStyle name="Nuovo 14 3 3 2" xfId="18535" xr:uid="{00000000-0005-0000-0000-000069D70000}"/>
    <cellStyle name="Nuovo 14 3 4" xfId="18534" xr:uid="{00000000-0005-0000-0000-00006AD70000}"/>
    <cellStyle name="Nuovo 14 3 5" xfId="17522" xr:uid="{00000000-0005-0000-0000-00006BD70000}"/>
    <cellStyle name="Nuovo 14 4" xfId="9493" xr:uid="{00000000-0005-0000-0000-00006CD70000}"/>
    <cellStyle name="Nuovo 14 4 2" xfId="17525" xr:uid="{00000000-0005-0000-0000-00006DD70000}"/>
    <cellStyle name="Nuovo 14 4 2 2" xfId="18537" xr:uid="{00000000-0005-0000-0000-00006ED70000}"/>
    <cellStyle name="Nuovo 14 4 3" xfId="18536" xr:uid="{00000000-0005-0000-0000-00006FD70000}"/>
    <cellStyle name="Nuovo 14 4 4" xfId="17524" xr:uid="{00000000-0005-0000-0000-000070D70000}"/>
    <cellStyle name="Nuovo 14 5" xfId="9494" xr:uid="{00000000-0005-0000-0000-000071D70000}"/>
    <cellStyle name="Nuovo 14 6" xfId="50640" xr:uid="{00000000-0005-0000-0000-000072D70000}"/>
    <cellStyle name="Nuovo 15" xfId="685" xr:uid="{00000000-0005-0000-0000-000073D70000}"/>
    <cellStyle name="Nuovo 15 2" xfId="686" xr:uid="{00000000-0005-0000-0000-000074D70000}"/>
    <cellStyle name="Nuovo 15 2 2" xfId="1407" xr:uid="{00000000-0005-0000-0000-000075D70000}"/>
    <cellStyle name="Nuovo 15 3" xfId="687" xr:uid="{00000000-0005-0000-0000-000076D70000}"/>
    <cellStyle name="Nuovo 15 3 2" xfId="688" xr:uid="{00000000-0005-0000-0000-000077D70000}"/>
    <cellStyle name="Nuovo 15 3 3" xfId="17527" xr:uid="{00000000-0005-0000-0000-000078D70000}"/>
    <cellStyle name="Nuovo 15 3 3 2" xfId="18539" xr:uid="{00000000-0005-0000-0000-000079D70000}"/>
    <cellStyle name="Nuovo 15 3 4" xfId="18538" xr:uid="{00000000-0005-0000-0000-00007AD70000}"/>
    <cellStyle name="Nuovo 15 3 5" xfId="17526" xr:uid="{00000000-0005-0000-0000-00007BD70000}"/>
    <cellStyle name="Nuovo 15 4" xfId="9495" xr:uid="{00000000-0005-0000-0000-00007CD70000}"/>
    <cellStyle name="Nuovo 15 4 2" xfId="17529" xr:uid="{00000000-0005-0000-0000-00007DD70000}"/>
    <cellStyle name="Nuovo 15 4 2 2" xfId="18541" xr:uid="{00000000-0005-0000-0000-00007ED70000}"/>
    <cellStyle name="Nuovo 15 4 3" xfId="18540" xr:uid="{00000000-0005-0000-0000-00007FD70000}"/>
    <cellStyle name="Nuovo 15 4 4" xfId="17528" xr:uid="{00000000-0005-0000-0000-000080D70000}"/>
    <cellStyle name="Nuovo 15 5" xfId="9496" xr:uid="{00000000-0005-0000-0000-000081D70000}"/>
    <cellStyle name="Nuovo 15 6" xfId="50639" xr:uid="{00000000-0005-0000-0000-000082D70000}"/>
    <cellStyle name="Nuovo 16" xfId="689" xr:uid="{00000000-0005-0000-0000-000083D70000}"/>
    <cellStyle name="Nuovo 16 2" xfId="690" xr:uid="{00000000-0005-0000-0000-000084D70000}"/>
    <cellStyle name="Nuovo 16 2 2" xfId="1408" xr:uid="{00000000-0005-0000-0000-000085D70000}"/>
    <cellStyle name="Nuovo 16 3" xfId="691" xr:uid="{00000000-0005-0000-0000-000086D70000}"/>
    <cellStyle name="Nuovo 16 3 2" xfId="692" xr:uid="{00000000-0005-0000-0000-000087D70000}"/>
    <cellStyle name="Nuovo 16 3 3" xfId="17531" xr:uid="{00000000-0005-0000-0000-000088D70000}"/>
    <cellStyle name="Nuovo 16 3 3 2" xfId="18543" xr:uid="{00000000-0005-0000-0000-000089D70000}"/>
    <cellStyle name="Nuovo 16 3 4" xfId="18542" xr:uid="{00000000-0005-0000-0000-00008AD70000}"/>
    <cellStyle name="Nuovo 16 3 5" xfId="17530" xr:uid="{00000000-0005-0000-0000-00008BD70000}"/>
    <cellStyle name="Nuovo 16 4" xfId="9497" xr:uid="{00000000-0005-0000-0000-00008CD70000}"/>
    <cellStyle name="Nuovo 16 4 2" xfId="17533" xr:uid="{00000000-0005-0000-0000-00008DD70000}"/>
    <cellStyle name="Nuovo 16 4 2 2" xfId="18545" xr:uid="{00000000-0005-0000-0000-00008ED70000}"/>
    <cellStyle name="Nuovo 16 4 3" xfId="18544" xr:uid="{00000000-0005-0000-0000-00008FD70000}"/>
    <cellStyle name="Nuovo 16 4 4" xfId="17532" xr:uid="{00000000-0005-0000-0000-000090D70000}"/>
    <cellStyle name="Nuovo 16 5" xfId="9498" xr:uid="{00000000-0005-0000-0000-000091D70000}"/>
    <cellStyle name="Nuovo 16 6" xfId="50638" xr:uid="{00000000-0005-0000-0000-000092D70000}"/>
    <cellStyle name="Nuovo 17" xfId="693" xr:uid="{00000000-0005-0000-0000-000093D70000}"/>
    <cellStyle name="Nuovo 17 2" xfId="694" xr:uid="{00000000-0005-0000-0000-000094D70000}"/>
    <cellStyle name="Nuovo 17 2 2" xfId="1409" xr:uid="{00000000-0005-0000-0000-000095D70000}"/>
    <cellStyle name="Nuovo 17 3" xfId="695" xr:uid="{00000000-0005-0000-0000-000096D70000}"/>
    <cellStyle name="Nuovo 17 3 2" xfId="696" xr:uid="{00000000-0005-0000-0000-000097D70000}"/>
    <cellStyle name="Nuovo 17 3 3" xfId="17535" xr:uid="{00000000-0005-0000-0000-000098D70000}"/>
    <cellStyle name="Nuovo 17 3 3 2" xfId="18547" xr:uid="{00000000-0005-0000-0000-000099D70000}"/>
    <cellStyle name="Nuovo 17 3 4" xfId="18546" xr:uid="{00000000-0005-0000-0000-00009AD70000}"/>
    <cellStyle name="Nuovo 17 3 5" xfId="17534" xr:uid="{00000000-0005-0000-0000-00009BD70000}"/>
    <cellStyle name="Nuovo 17 4" xfId="9499" xr:uid="{00000000-0005-0000-0000-00009CD70000}"/>
    <cellStyle name="Nuovo 17 4 2" xfId="17537" xr:uid="{00000000-0005-0000-0000-00009DD70000}"/>
    <cellStyle name="Nuovo 17 4 2 2" xfId="18549" xr:uid="{00000000-0005-0000-0000-00009ED70000}"/>
    <cellStyle name="Nuovo 17 4 3" xfId="18548" xr:uid="{00000000-0005-0000-0000-00009FD70000}"/>
    <cellStyle name="Nuovo 17 4 4" xfId="17536" xr:uid="{00000000-0005-0000-0000-0000A0D70000}"/>
    <cellStyle name="Nuovo 17 5" xfId="9500" xr:uid="{00000000-0005-0000-0000-0000A1D70000}"/>
    <cellStyle name="Nuovo 17 6" xfId="50637" xr:uid="{00000000-0005-0000-0000-0000A2D70000}"/>
    <cellStyle name="Nuovo 18" xfId="697" xr:uid="{00000000-0005-0000-0000-0000A3D70000}"/>
    <cellStyle name="Nuovo 18 2" xfId="698" xr:uid="{00000000-0005-0000-0000-0000A4D70000}"/>
    <cellStyle name="Nuovo 18 2 2" xfId="1410" xr:uid="{00000000-0005-0000-0000-0000A5D70000}"/>
    <cellStyle name="Nuovo 18 3" xfId="699" xr:uid="{00000000-0005-0000-0000-0000A6D70000}"/>
    <cellStyle name="Nuovo 18 3 2" xfId="700" xr:uid="{00000000-0005-0000-0000-0000A7D70000}"/>
    <cellStyle name="Nuovo 18 3 3" xfId="17539" xr:uid="{00000000-0005-0000-0000-0000A8D70000}"/>
    <cellStyle name="Nuovo 18 3 3 2" xfId="18551" xr:uid="{00000000-0005-0000-0000-0000A9D70000}"/>
    <cellStyle name="Nuovo 18 3 4" xfId="18550" xr:uid="{00000000-0005-0000-0000-0000AAD70000}"/>
    <cellStyle name="Nuovo 18 3 5" xfId="17538" xr:uid="{00000000-0005-0000-0000-0000ABD70000}"/>
    <cellStyle name="Nuovo 18 4" xfId="9501" xr:uid="{00000000-0005-0000-0000-0000ACD70000}"/>
    <cellStyle name="Nuovo 18 4 2" xfId="17541" xr:uid="{00000000-0005-0000-0000-0000ADD70000}"/>
    <cellStyle name="Nuovo 18 4 2 2" xfId="18553" xr:uid="{00000000-0005-0000-0000-0000AED70000}"/>
    <cellStyle name="Nuovo 18 4 3" xfId="18552" xr:uid="{00000000-0005-0000-0000-0000AFD70000}"/>
    <cellStyle name="Nuovo 18 4 4" xfId="17540" xr:uid="{00000000-0005-0000-0000-0000B0D70000}"/>
    <cellStyle name="Nuovo 18 5" xfId="9502" xr:uid="{00000000-0005-0000-0000-0000B1D70000}"/>
    <cellStyle name="Nuovo 18 6" xfId="50636" xr:uid="{00000000-0005-0000-0000-0000B2D70000}"/>
    <cellStyle name="Nuovo 19" xfId="701" xr:uid="{00000000-0005-0000-0000-0000B3D70000}"/>
    <cellStyle name="Nuovo 19 2" xfId="702" xr:uid="{00000000-0005-0000-0000-0000B4D70000}"/>
    <cellStyle name="Nuovo 19 2 2" xfId="1411" xr:uid="{00000000-0005-0000-0000-0000B5D70000}"/>
    <cellStyle name="Nuovo 19 3" xfId="703" xr:uid="{00000000-0005-0000-0000-0000B6D70000}"/>
    <cellStyle name="Nuovo 19 3 2" xfId="704" xr:uid="{00000000-0005-0000-0000-0000B7D70000}"/>
    <cellStyle name="Nuovo 19 3 3" xfId="17543" xr:uid="{00000000-0005-0000-0000-0000B8D70000}"/>
    <cellStyle name="Nuovo 19 3 3 2" xfId="18555" xr:uid="{00000000-0005-0000-0000-0000B9D70000}"/>
    <cellStyle name="Nuovo 19 3 4" xfId="18554" xr:uid="{00000000-0005-0000-0000-0000BAD70000}"/>
    <cellStyle name="Nuovo 19 3 5" xfId="17542" xr:uid="{00000000-0005-0000-0000-0000BBD70000}"/>
    <cellStyle name="Nuovo 19 4" xfId="9503" xr:uid="{00000000-0005-0000-0000-0000BCD70000}"/>
    <cellStyle name="Nuovo 19 4 2" xfId="17545" xr:uid="{00000000-0005-0000-0000-0000BDD70000}"/>
    <cellStyle name="Nuovo 19 4 2 2" xfId="18557" xr:uid="{00000000-0005-0000-0000-0000BED70000}"/>
    <cellStyle name="Nuovo 19 4 3" xfId="18556" xr:uid="{00000000-0005-0000-0000-0000BFD70000}"/>
    <cellStyle name="Nuovo 19 4 4" xfId="17544" xr:uid="{00000000-0005-0000-0000-0000C0D70000}"/>
    <cellStyle name="Nuovo 19 5" xfId="9504" xr:uid="{00000000-0005-0000-0000-0000C1D70000}"/>
    <cellStyle name="Nuovo 19 6" xfId="50635" xr:uid="{00000000-0005-0000-0000-0000C2D70000}"/>
    <cellStyle name="Nuovo 2" xfId="705" xr:uid="{00000000-0005-0000-0000-0000C3D70000}"/>
    <cellStyle name="Nuovo 2 2" xfId="706" xr:uid="{00000000-0005-0000-0000-0000C4D70000}"/>
    <cellStyle name="Nuovo 2 2 2" xfId="1412" xr:uid="{00000000-0005-0000-0000-0000C5D70000}"/>
    <cellStyle name="Nuovo 2 3" xfId="707" xr:uid="{00000000-0005-0000-0000-0000C6D70000}"/>
    <cellStyle name="Nuovo 2 3 2" xfId="708" xr:uid="{00000000-0005-0000-0000-0000C7D70000}"/>
    <cellStyle name="Nuovo 2 3 3" xfId="17547" xr:uid="{00000000-0005-0000-0000-0000C8D70000}"/>
    <cellStyle name="Nuovo 2 3 3 2" xfId="18559" xr:uid="{00000000-0005-0000-0000-0000C9D70000}"/>
    <cellStyle name="Nuovo 2 3 4" xfId="18558" xr:uid="{00000000-0005-0000-0000-0000CAD70000}"/>
    <cellStyle name="Nuovo 2 3 5" xfId="17546" xr:uid="{00000000-0005-0000-0000-0000CBD70000}"/>
    <cellStyle name="Nuovo 2 4" xfId="9505" xr:uid="{00000000-0005-0000-0000-0000CCD70000}"/>
    <cellStyle name="Nuovo 2 4 2" xfId="17549" xr:uid="{00000000-0005-0000-0000-0000CDD70000}"/>
    <cellStyle name="Nuovo 2 4 2 2" xfId="18561" xr:uid="{00000000-0005-0000-0000-0000CED70000}"/>
    <cellStyle name="Nuovo 2 4 3" xfId="18560" xr:uid="{00000000-0005-0000-0000-0000CFD70000}"/>
    <cellStyle name="Nuovo 2 4 4" xfId="17548" xr:uid="{00000000-0005-0000-0000-0000D0D70000}"/>
    <cellStyle name="Nuovo 2 5" xfId="9506" xr:uid="{00000000-0005-0000-0000-0000D1D70000}"/>
    <cellStyle name="Nuovo 2 6" xfId="51299" xr:uid="{00000000-0005-0000-0000-0000D2D70000}"/>
    <cellStyle name="Nuovo 20" xfId="709" xr:uid="{00000000-0005-0000-0000-0000D3D70000}"/>
    <cellStyle name="Nuovo 20 2" xfId="710" xr:uid="{00000000-0005-0000-0000-0000D4D70000}"/>
    <cellStyle name="Nuovo 20 2 2" xfId="1413" xr:uid="{00000000-0005-0000-0000-0000D5D70000}"/>
    <cellStyle name="Nuovo 20 3" xfId="711" xr:uid="{00000000-0005-0000-0000-0000D6D70000}"/>
    <cellStyle name="Nuovo 20 3 2" xfId="712" xr:uid="{00000000-0005-0000-0000-0000D7D70000}"/>
    <cellStyle name="Nuovo 20 3 3" xfId="17551" xr:uid="{00000000-0005-0000-0000-0000D8D70000}"/>
    <cellStyle name="Nuovo 20 3 3 2" xfId="18563" xr:uid="{00000000-0005-0000-0000-0000D9D70000}"/>
    <cellStyle name="Nuovo 20 3 4" xfId="18562" xr:uid="{00000000-0005-0000-0000-0000DAD70000}"/>
    <cellStyle name="Nuovo 20 3 5" xfId="17550" xr:uid="{00000000-0005-0000-0000-0000DBD70000}"/>
    <cellStyle name="Nuovo 20 4" xfId="9507" xr:uid="{00000000-0005-0000-0000-0000DCD70000}"/>
    <cellStyle name="Nuovo 20 4 2" xfId="17553" xr:uid="{00000000-0005-0000-0000-0000DDD70000}"/>
    <cellStyle name="Nuovo 20 4 2 2" xfId="18565" xr:uid="{00000000-0005-0000-0000-0000DED70000}"/>
    <cellStyle name="Nuovo 20 4 3" xfId="18564" xr:uid="{00000000-0005-0000-0000-0000DFD70000}"/>
    <cellStyle name="Nuovo 20 4 4" xfId="17552" xr:uid="{00000000-0005-0000-0000-0000E0D70000}"/>
    <cellStyle name="Nuovo 20 5" xfId="9508" xr:uid="{00000000-0005-0000-0000-0000E1D70000}"/>
    <cellStyle name="Nuovo 20 6" xfId="51094" xr:uid="{00000000-0005-0000-0000-0000E2D70000}"/>
    <cellStyle name="Nuovo 21" xfId="713" xr:uid="{00000000-0005-0000-0000-0000E3D70000}"/>
    <cellStyle name="Nuovo 21 2" xfId="714" xr:uid="{00000000-0005-0000-0000-0000E4D70000}"/>
    <cellStyle name="Nuovo 21 2 2" xfId="1414" xr:uid="{00000000-0005-0000-0000-0000E5D70000}"/>
    <cellStyle name="Nuovo 21 3" xfId="715" xr:uid="{00000000-0005-0000-0000-0000E6D70000}"/>
    <cellStyle name="Nuovo 21 3 2" xfId="716" xr:uid="{00000000-0005-0000-0000-0000E7D70000}"/>
    <cellStyle name="Nuovo 21 3 3" xfId="17555" xr:uid="{00000000-0005-0000-0000-0000E8D70000}"/>
    <cellStyle name="Nuovo 21 3 3 2" xfId="18567" xr:uid="{00000000-0005-0000-0000-0000E9D70000}"/>
    <cellStyle name="Nuovo 21 3 4" xfId="18566" xr:uid="{00000000-0005-0000-0000-0000EAD70000}"/>
    <cellStyle name="Nuovo 21 3 5" xfId="17554" xr:uid="{00000000-0005-0000-0000-0000EBD70000}"/>
    <cellStyle name="Nuovo 21 4" xfId="9509" xr:uid="{00000000-0005-0000-0000-0000ECD70000}"/>
    <cellStyle name="Nuovo 21 4 2" xfId="17557" xr:uid="{00000000-0005-0000-0000-0000EDD70000}"/>
    <cellStyle name="Nuovo 21 4 2 2" xfId="18569" xr:uid="{00000000-0005-0000-0000-0000EED70000}"/>
    <cellStyle name="Nuovo 21 4 3" xfId="18568" xr:uid="{00000000-0005-0000-0000-0000EFD70000}"/>
    <cellStyle name="Nuovo 21 4 4" xfId="17556" xr:uid="{00000000-0005-0000-0000-0000F0D70000}"/>
    <cellStyle name="Nuovo 21 5" xfId="9510" xr:uid="{00000000-0005-0000-0000-0000F1D70000}"/>
    <cellStyle name="Nuovo 21 6" xfId="50634" xr:uid="{00000000-0005-0000-0000-0000F2D70000}"/>
    <cellStyle name="Nuovo 22" xfId="717" xr:uid="{00000000-0005-0000-0000-0000F3D70000}"/>
    <cellStyle name="Nuovo 22 2" xfId="718" xr:uid="{00000000-0005-0000-0000-0000F4D70000}"/>
    <cellStyle name="Nuovo 22 2 2" xfId="1415" xr:uid="{00000000-0005-0000-0000-0000F5D70000}"/>
    <cellStyle name="Nuovo 22 3" xfId="719" xr:uid="{00000000-0005-0000-0000-0000F6D70000}"/>
    <cellStyle name="Nuovo 22 3 2" xfId="720" xr:uid="{00000000-0005-0000-0000-0000F7D70000}"/>
    <cellStyle name="Nuovo 22 3 3" xfId="17559" xr:uid="{00000000-0005-0000-0000-0000F8D70000}"/>
    <cellStyle name="Nuovo 22 3 3 2" xfId="18571" xr:uid="{00000000-0005-0000-0000-0000F9D70000}"/>
    <cellStyle name="Nuovo 22 3 4" xfId="18570" xr:uid="{00000000-0005-0000-0000-0000FAD70000}"/>
    <cellStyle name="Nuovo 22 3 5" xfId="17558" xr:uid="{00000000-0005-0000-0000-0000FBD70000}"/>
    <cellStyle name="Nuovo 22 4" xfId="9511" xr:uid="{00000000-0005-0000-0000-0000FCD70000}"/>
    <cellStyle name="Nuovo 22 4 2" xfId="17561" xr:uid="{00000000-0005-0000-0000-0000FDD70000}"/>
    <cellStyle name="Nuovo 22 4 2 2" xfId="18573" xr:uid="{00000000-0005-0000-0000-0000FED70000}"/>
    <cellStyle name="Nuovo 22 4 3" xfId="18572" xr:uid="{00000000-0005-0000-0000-0000FFD70000}"/>
    <cellStyle name="Nuovo 22 4 4" xfId="17560" xr:uid="{00000000-0005-0000-0000-000000D80000}"/>
    <cellStyle name="Nuovo 22 5" xfId="9512" xr:uid="{00000000-0005-0000-0000-000001D80000}"/>
    <cellStyle name="Nuovo 22 6" xfId="50633" xr:uid="{00000000-0005-0000-0000-000002D80000}"/>
    <cellStyle name="Nuovo 23" xfId="721" xr:uid="{00000000-0005-0000-0000-000003D80000}"/>
    <cellStyle name="Nuovo 23 2" xfId="722" xr:uid="{00000000-0005-0000-0000-000004D80000}"/>
    <cellStyle name="Nuovo 23 2 2" xfId="1416" xr:uid="{00000000-0005-0000-0000-000005D80000}"/>
    <cellStyle name="Nuovo 23 3" xfId="723" xr:uid="{00000000-0005-0000-0000-000006D80000}"/>
    <cellStyle name="Nuovo 23 3 2" xfId="724" xr:uid="{00000000-0005-0000-0000-000007D80000}"/>
    <cellStyle name="Nuovo 23 3 3" xfId="17563" xr:uid="{00000000-0005-0000-0000-000008D80000}"/>
    <cellStyle name="Nuovo 23 3 3 2" xfId="18575" xr:uid="{00000000-0005-0000-0000-000009D80000}"/>
    <cellStyle name="Nuovo 23 3 4" xfId="18574" xr:uid="{00000000-0005-0000-0000-00000AD80000}"/>
    <cellStyle name="Nuovo 23 3 5" xfId="17562" xr:uid="{00000000-0005-0000-0000-00000BD80000}"/>
    <cellStyle name="Nuovo 23 4" xfId="9513" xr:uid="{00000000-0005-0000-0000-00000CD80000}"/>
    <cellStyle name="Nuovo 23 4 2" xfId="17565" xr:uid="{00000000-0005-0000-0000-00000DD80000}"/>
    <cellStyle name="Nuovo 23 4 2 2" xfId="18577" xr:uid="{00000000-0005-0000-0000-00000ED80000}"/>
    <cellStyle name="Nuovo 23 4 3" xfId="18576" xr:uid="{00000000-0005-0000-0000-00000FD80000}"/>
    <cellStyle name="Nuovo 23 4 4" xfId="17564" xr:uid="{00000000-0005-0000-0000-000010D80000}"/>
    <cellStyle name="Nuovo 23 5" xfId="9514" xr:uid="{00000000-0005-0000-0000-000011D80000}"/>
    <cellStyle name="Nuovo 23 6" xfId="50632" xr:uid="{00000000-0005-0000-0000-000012D80000}"/>
    <cellStyle name="Nuovo 24" xfId="725" xr:uid="{00000000-0005-0000-0000-000013D80000}"/>
    <cellStyle name="Nuovo 24 2" xfId="726" xr:uid="{00000000-0005-0000-0000-000014D80000}"/>
    <cellStyle name="Nuovo 24 2 2" xfId="1417" xr:uid="{00000000-0005-0000-0000-000015D80000}"/>
    <cellStyle name="Nuovo 24 3" xfId="727" xr:uid="{00000000-0005-0000-0000-000016D80000}"/>
    <cellStyle name="Nuovo 24 3 2" xfId="728" xr:uid="{00000000-0005-0000-0000-000017D80000}"/>
    <cellStyle name="Nuovo 24 3 3" xfId="17567" xr:uid="{00000000-0005-0000-0000-000018D80000}"/>
    <cellStyle name="Nuovo 24 3 3 2" xfId="18579" xr:uid="{00000000-0005-0000-0000-000019D80000}"/>
    <cellStyle name="Nuovo 24 3 4" xfId="18578" xr:uid="{00000000-0005-0000-0000-00001AD80000}"/>
    <cellStyle name="Nuovo 24 3 5" xfId="17566" xr:uid="{00000000-0005-0000-0000-00001BD80000}"/>
    <cellStyle name="Nuovo 24 4" xfId="9515" xr:uid="{00000000-0005-0000-0000-00001CD80000}"/>
    <cellStyle name="Nuovo 24 4 2" xfId="17569" xr:uid="{00000000-0005-0000-0000-00001DD80000}"/>
    <cellStyle name="Nuovo 24 4 2 2" xfId="18581" xr:uid="{00000000-0005-0000-0000-00001ED80000}"/>
    <cellStyle name="Nuovo 24 4 3" xfId="18580" xr:uid="{00000000-0005-0000-0000-00001FD80000}"/>
    <cellStyle name="Nuovo 24 4 4" xfId="17568" xr:uid="{00000000-0005-0000-0000-000020D80000}"/>
    <cellStyle name="Nuovo 24 5" xfId="9516" xr:uid="{00000000-0005-0000-0000-000021D80000}"/>
    <cellStyle name="Nuovo 24 6" xfId="51018" xr:uid="{00000000-0005-0000-0000-000022D80000}"/>
    <cellStyle name="Nuovo 25" xfId="729" xr:uid="{00000000-0005-0000-0000-000023D80000}"/>
    <cellStyle name="Nuovo 25 2" xfId="730" xr:uid="{00000000-0005-0000-0000-000024D80000}"/>
    <cellStyle name="Nuovo 25 2 2" xfId="1418" xr:uid="{00000000-0005-0000-0000-000025D80000}"/>
    <cellStyle name="Nuovo 25 3" xfId="731" xr:uid="{00000000-0005-0000-0000-000026D80000}"/>
    <cellStyle name="Nuovo 25 3 2" xfId="732" xr:uid="{00000000-0005-0000-0000-000027D80000}"/>
    <cellStyle name="Nuovo 25 3 3" xfId="17571" xr:uid="{00000000-0005-0000-0000-000028D80000}"/>
    <cellStyle name="Nuovo 25 3 3 2" xfId="18583" xr:uid="{00000000-0005-0000-0000-000029D80000}"/>
    <cellStyle name="Nuovo 25 3 4" xfId="18582" xr:uid="{00000000-0005-0000-0000-00002AD80000}"/>
    <cellStyle name="Nuovo 25 3 5" xfId="17570" xr:uid="{00000000-0005-0000-0000-00002BD80000}"/>
    <cellStyle name="Nuovo 25 4" xfId="9517" xr:uid="{00000000-0005-0000-0000-00002CD80000}"/>
    <cellStyle name="Nuovo 25 4 2" xfId="17573" xr:uid="{00000000-0005-0000-0000-00002DD80000}"/>
    <cellStyle name="Nuovo 25 4 2 2" xfId="18585" xr:uid="{00000000-0005-0000-0000-00002ED80000}"/>
    <cellStyle name="Nuovo 25 4 3" xfId="18584" xr:uid="{00000000-0005-0000-0000-00002FD80000}"/>
    <cellStyle name="Nuovo 25 4 4" xfId="17572" xr:uid="{00000000-0005-0000-0000-000030D80000}"/>
    <cellStyle name="Nuovo 25 5" xfId="9518" xr:uid="{00000000-0005-0000-0000-000031D80000}"/>
    <cellStyle name="Nuovo 25 6" xfId="50631" xr:uid="{00000000-0005-0000-0000-000032D80000}"/>
    <cellStyle name="Nuovo 26" xfId="733" xr:uid="{00000000-0005-0000-0000-000033D80000}"/>
    <cellStyle name="Nuovo 26 2" xfId="734" xr:uid="{00000000-0005-0000-0000-000034D80000}"/>
    <cellStyle name="Nuovo 26 2 2" xfId="1419" xr:uid="{00000000-0005-0000-0000-000035D80000}"/>
    <cellStyle name="Nuovo 26 3" xfId="735" xr:uid="{00000000-0005-0000-0000-000036D80000}"/>
    <cellStyle name="Nuovo 26 3 2" xfId="736" xr:uid="{00000000-0005-0000-0000-000037D80000}"/>
    <cellStyle name="Nuovo 26 3 3" xfId="17575" xr:uid="{00000000-0005-0000-0000-000038D80000}"/>
    <cellStyle name="Nuovo 26 3 3 2" xfId="18587" xr:uid="{00000000-0005-0000-0000-000039D80000}"/>
    <cellStyle name="Nuovo 26 3 4" xfId="18586" xr:uid="{00000000-0005-0000-0000-00003AD80000}"/>
    <cellStyle name="Nuovo 26 3 5" xfId="17574" xr:uid="{00000000-0005-0000-0000-00003BD80000}"/>
    <cellStyle name="Nuovo 26 4" xfId="9519" xr:uid="{00000000-0005-0000-0000-00003CD80000}"/>
    <cellStyle name="Nuovo 26 4 2" xfId="17577" xr:uid="{00000000-0005-0000-0000-00003DD80000}"/>
    <cellStyle name="Nuovo 26 4 2 2" xfId="18589" xr:uid="{00000000-0005-0000-0000-00003ED80000}"/>
    <cellStyle name="Nuovo 26 4 3" xfId="18588" xr:uid="{00000000-0005-0000-0000-00003FD80000}"/>
    <cellStyle name="Nuovo 26 4 4" xfId="17576" xr:uid="{00000000-0005-0000-0000-000040D80000}"/>
    <cellStyle name="Nuovo 26 5" xfId="9520" xr:uid="{00000000-0005-0000-0000-000041D80000}"/>
    <cellStyle name="Nuovo 26 6" xfId="51010" xr:uid="{00000000-0005-0000-0000-000042D80000}"/>
    <cellStyle name="Nuovo 27" xfId="737" xr:uid="{00000000-0005-0000-0000-000043D80000}"/>
    <cellStyle name="Nuovo 27 2" xfId="738" xr:uid="{00000000-0005-0000-0000-000044D80000}"/>
    <cellStyle name="Nuovo 27 2 2" xfId="1420" xr:uid="{00000000-0005-0000-0000-000045D80000}"/>
    <cellStyle name="Nuovo 27 3" xfId="739" xr:uid="{00000000-0005-0000-0000-000046D80000}"/>
    <cellStyle name="Nuovo 27 3 2" xfId="740" xr:uid="{00000000-0005-0000-0000-000047D80000}"/>
    <cellStyle name="Nuovo 27 3 3" xfId="17579" xr:uid="{00000000-0005-0000-0000-000048D80000}"/>
    <cellStyle name="Nuovo 27 3 3 2" xfId="18591" xr:uid="{00000000-0005-0000-0000-000049D80000}"/>
    <cellStyle name="Nuovo 27 3 4" xfId="18590" xr:uid="{00000000-0005-0000-0000-00004AD80000}"/>
    <cellStyle name="Nuovo 27 3 5" xfId="17578" xr:uid="{00000000-0005-0000-0000-00004BD80000}"/>
    <cellStyle name="Nuovo 27 4" xfId="9521" xr:uid="{00000000-0005-0000-0000-00004CD80000}"/>
    <cellStyle name="Nuovo 27 4 2" xfId="17581" xr:uid="{00000000-0005-0000-0000-00004DD80000}"/>
    <cellStyle name="Nuovo 27 4 2 2" xfId="18593" xr:uid="{00000000-0005-0000-0000-00004ED80000}"/>
    <cellStyle name="Nuovo 27 4 3" xfId="18592" xr:uid="{00000000-0005-0000-0000-00004FD80000}"/>
    <cellStyle name="Nuovo 27 4 4" xfId="17580" xr:uid="{00000000-0005-0000-0000-000050D80000}"/>
    <cellStyle name="Nuovo 27 5" xfId="9522" xr:uid="{00000000-0005-0000-0000-000051D80000}"/>
    <cellStyle name="Nuovo 27 6" xfId="50630" xr:uid="{00000000-0005-0000-0000-000052D80000}"/>
    <cellStyle name="Nuovo 28" xfId="741" xr:uid="{00000000-0005-0000-0000-000053D80000}"/>
    <cellStyle name="Nuovo 28 2" xfId="742" xr:uid="{00000000-0005-0000-0000-000054D80000}"/>
    <cellStyle name="Nuovo 28 2 2" xfId="1421" xr:uid="{00000000-0005-0000-0000-000055D80000}"/>
    <cellStyle name="Nuovo 28 3" xfId="743" xr:uid="{00000000-0005-0000-0000-000056D80000}"/>
    <cellStyle name="Nuovo 28 3 2" xfId="744" xr:uid="{00000000-0005-0000-0000-000057D80000}"/>
    <cellStyle name="Nuovo 28 3 3" xfId="17583" xr:uid="{00000000-0005-0000-0000-000058D80000}"/>
    <cellStyle name="Nuovo 28 3 3 2" xfId="18595" xr:uid="{00000000-0005-0000-0000-000059D80000}"/>
    <cellStyle name="Nuovo 28 3 4" xfId="18594" xr:uid="{00000000-0005-0000-0000-00005AD80000}"/>
    <cellStyle name="Nuovo 28 3 5" xfId="17582" xr:uid="{00000000-0005-0000-0000-00005BD80000}"/>
    <cellStyle name="Nuovo 28 4" xfId="9523" xr:uid="{00000000-0005-0000-0000-00005CD80000}"/>
    <cellStyle name="Nuovo 28 4 2" xfId="17585" xr:uid="{00000000-0005-0000-0000-00005DD80000}"/>
    <cellStyle name="Nuovo 28 4 2 2" xfId="18597" xr:uid="{00000000-0005-0000-0000-00005ED80000}"/>
    <cellStyle name="Nuovo 28 4 3" xfId="18596" xr:uid="{00000000-0005-0000-0000-00005FD80000}"/>
    <cellStyle name="Nuovo 28 4 4" xfId="17584" xr:uid="{00000000-0005-0000-0000-000060D80000}"/>
    <cellStyle name="Nuovo 28 5" xfId="9524" xr:uid="{00000000-0005-0000-0000-000061D80000}"/>
    <cellStyle name="Nuovo 28 6" xfId="50629" xr:uid="{00000000-0005-0000-0000-000062D80000}"/>
    <cellStyle name="Nuovo 29" xfId="745" xr:uid="{00000000-0005-0000-0000-000063D80000}"/>
    <cellStyle name="Nuovo 29 2" xfId="746" xr:uid="{00000000-0005-0000-0000-000064D80000}"/>
    <cellStyle name="Nuovo 29 2 2" xfId="1422" xr:uid="{00000000-0005-0000-0000-000065D80000}"/>
    <cellStyle name="Nuovo 29 3" xfId="747" xr:uid="{00000000-0005-0000-0000-000066D80000}"/>
    <cellStyle name="Nuovo 29 3 2" xfId="748" xr:uid="{00000000-0005-0000-0000-000067D80000}"/>
    <cellStyle name="Nuovo 29 3 3" xfId="17587" xr:uid="{00000000-0005-0000-0000-000068D80000}"/>
    <cellStyle name="Nuovo 29 3 3 2" xfId="18599" xr:uid="{00000000-0005-0000-0000-000069D80000}"/>
    <cellStyle name="Nuovo 29 3 4" xfId="18598" xr:uid="{00000000-0005-0000-0000-00006AD80000}"/>
    <cellStyle name="Nuovo 29 3 5" xfId="17586" xr:uid="{00000000-0005-0000-0000-00006BD80000}"/>
    <cellStyle name="Nuovo 29 4" xfId="9525" xr:uid="{00000000-0005-0000-0000-00006CD80000}"/>
    <cellStyle name="Nuovo 29 4 2" xfId="17589" xr:uid="{00000000-0005-0000-0000-00006DD80000}"/>
    <cellStyle name="Nuovo 29 4 2 2" xfId="18601" xr:uid="{00000000-0005-0000-0000-00006ED80000}"/>
    <cellStyle name="Nuovo 29 4 3" xfId="18600" xr:uid="{00000000-0005-0000-0000-00006FD80000}"/>
    <cellStyle name="Nuovo 29 4 4" xfId="17588" xr:uid="{00000000-0005-0000-0000-000070D80000}"/>
    <cellStyle name="Nuovo 29 5" xfId="9526" xr:uid="{00000000-0005-0000-0000-000071D80000}"/>
    <cellStyle name="Nuovo 29 6" xfId="50628" xr:uid="{00000000-0005-0000-0000-000072D80000}"/>
    <cellStyle name="Nuovo 3" xfId="749" xr:uid="{00000000-0005-0000-0000-000073D80000}"/>
    <cellStyle name="Nuovo 3 2" xfId="750" xr:uid="{00000000-0005-0000-0000-000074D80000}"/>
    <cellStyle name="Nuovo 3 2 2" xfId="1423" xr:uid="{00000000-0005-0000-0000-000075D80000}"/>
    <cellStyle name="Nuovo 3 3" xfId="751" xr:uid="{00000000-0005-0000-0000-000076D80000}"/>
    <cellStyle name="Nuovo 3 3 2" xfId="752" xr:uid="{00000000-0005-0000-0000-000077D80000}"/>
    <cellStyle name="Nuovo 3 3 3" xfId="17591" xr:uid="{00000000-0005-0000-0000-000078D80000}"/>
    <cellStyle name="Nuovo 3 3 3 2" xfId="18603" xr:uid="{00000000-0005-0000-0000-000079D80000}"/>
    <cellStyle name="Nuovo 3 3 4" xfId="18602" xr:uid="{00000000-0005-0000-0000-00007AD80000}"/>
    <cellStyle name="Nuovo 3 3 5" xfId="17590" xr:uid="{00000000-0005-0000-0000-00007BD80000}"/>
    <cellStyle name="Nuovo 3 4" xfId="9527" xr:uid="{00000000-0005-0000-0000-00007CD80000}"/>
    <cellStyle name="Nuovo 3 4 2" xfId="17593" xr:uid="{00000000-0005-0000-0000-00007DD80000}"/>
    <cellStyle name="Nuovo 3 4 2 2" xfId="18605" xr:uid="{00000000-0005-0000-0000-00007ED80000}"/>
    <cellStyle name="Nuovo 3 4 3" xfId="18604" xr:uid="{00000000-0005-0000-0000-00007FD80000}"/>
    <cellStyle name="Nuovo 3 4 4" xfId="17592" xr:uid="{00000000-0005-0000-0000-000080D80000}"/>
    <cellStyle name="Nuovo 3 5" xfId="9528" xr:uid="{00000000-0005-0000-0000-000081D80000}"/>
    <cellStyle name="Nuovo 3 6" xfId="50627" xr:uid="{00000000-0005-0000-0000-000082D80000}"/>
    <cellStyle name="Nuovo 30" xfId="753" xr:uid="{00000000-0005-0000-0000-000083D80000}"/>
    <cellStyle name="Nuovo 30 2" xfId="754" xr:uid="{00000000-0005-0000-0000-000084D80000}"/>
    <cellStyle name="Nuovo 30 2 2" xfId="1424" xr:uid="{00000000-0005-0000-0000-000085D80000}"/>
    <cellStyle name="Nuovo 30 3" xfId="755" xr:uid="{00000000-0005-0000-0000-000086D80000}"/>
    <cellStyle name="Nuovo 30 3 2" xfId="756" xr:uid="{00000000-0005-0000-0000-000087D80000}"/>
    <cellStyle name="Nuovo 30 3 3" xfId="17595" xr:uid="{00000000-0005-0000-0000-000088D80000}"/>
    <cellStyle name="Nuovo 30 3 3 2" xfId="18607" xr:uid="{00000000-0005-0000-0000-000089D80000}"/>
    <cellStyle name="Nuovo 30 3 4" xfId="18606" xr:uid="{00000000-0005-0000-0000-00008AD80000}"/>
    <cellStyle name="Nuovo 30 3 5" xfId="17594" xr:uid="{00000000-0005-0000-0000-00008BD80000}"/>
    <cellStyle name="Nuovo 30 4" xfId="9529" xr:uid="{00000000-0005-0000-0000-00008CD80000}"/>
    <cellStyle name="Nuovo 30 4 2" xfId="17597" xr:uid="{00000000-0005-0000-0000-00008DD80000}"/>
    <cellStyle name="Nuovo 30 4 2 2" xfId="18609" xr:uid="{00000000-0005-0000-0000-00008ED80000}"/>
    <cellStyle name="Nuovo 30 4 3" xfId="18608" xr:uid="{00000000-0005-0000-0000-00008FD80000}"/>
    <cellStyle name="Nuovo 30 4 4" xfId="17596" xr:uid="{00000000-0005-0000-0000-000090D80000}"/>
    <cellStyle name="Nuovo 30 5" xfId="9530" xr:uid="{00000000-0005-0000-0000-000091D80000}"/>
    <cellStyle name="Nuovo 30 6" xfId="51093" xr:uid="{00000000-0005-0000-0000-000092D80000}"/>
    <cellStyle name="Nuovo 31" xfId="757" xr:uid="{00000000-0005-0000-0000-000093D80000}"/>
    <cellStyle name="Nuovo 31 2" xfId="758" xr:uid="{00000000-0005-0000-0000-000094D80000}"/>
    <cellStyle name="Nuovo 31 2 2" xfId="1425" xr:uid="{00000000-0005-0000-0000-000095D80000}"/>
    <cellStyle name="Nuovo 31 3" xfId="759" xr:uid="{00000000-0005-0000-0000-000096D80000}"/>
    <cellStyle name="Nuovo 31 3 2" xfId="760" xr:uid="{00000000-0005-0000-0000-000097D80000}"/>
    <cellStyle name="Nuovo 31 3 3" xfId="17599" xr:uid="{00000000-0005-0000-0000-000098D80000}"/>
    <cellStyle name="Nuovo 31 3 3 2" xfId="18611" xr:uid="{00000000-0005-0000-0000-000099D80000}"/>
    <cellStyle name="Nuovo 31 3 4" xfId="18610" xr:uid="{00000000-0005-0000-0000-00009AD80000}"/>
    <cellStyle name="Nuovo 31 3 5" xfId="17598" xr:uid="{00000000-0005-0000-0000-00009BD80000}"/>
    <cellStyle name="Nuovo 31 4" xfId="9531" xr:uid="{00000000-0005-0000-0000-00009CD80000}"/>
    <cellStyle name="Nuovo 31 4 2" xfId="17601" xr:uid="{00000000-0005-0000-0000-00009DD80000}"/>
    <cellStyle name="Nuovo 31 4 2 2" xfId="18613" xr:uid="{00000000-0005-0000-0000-00009ED80000}"/>
    <cellStyle name="Nuovo 31 4 3" xfId="18612" xr:uid="{00000000-0005-0000-0000-00009FD80000}"/>
    <cellStyle name="Nuovo 31 4 4" xfId="17600" xr:uid="{00000000-0005-0000-0000-0000A0D80000}"/>
    <cellStyle name="Nuovo 31 5" xfId="9532" xr:uid="{00000000-0005-0000-0000-0000A1D80000}"/>
    <cellStyle name="Nuovo 31 6" xfId="50626" xr:uid="{00000000-0005-0000-0000-0000A2D80000}"/>
    <cellStyle name="Nuovo 32" xfId="761" xr:uid="{00000000-0005-0000-0000-0000A3D80000}"/>
    <cellStyle name="Nuovo 32 2" xfId="762" xr:uid="{00000000-0005-0000-0000-0000A4D80000}"/>
    <cellStyle name="Nuovo 32 2 2" xfId="1426" xr:uid="{00000000-0005-0000-0000-0000A5D80000}"/>
    <cellStyle name="Nuovo 32 3" xfId="763" xr:uid="{00000000-0005-0000-0000-0000A6D80000}"/>
    <cellStyle name="Nuovo 32 3 2" xfId="764" xr:uid="{00000000-0005-0000-0000-0000A7D80000}"/>
    <cellStyle name="Nuovo 32 3 3" xfId="17603" xr:uid="{00000000-0005-0000-0000-0000A8D80000}"/>
    <cellStyle name="Nuovo 32 3 3 2" xfId="18615" xr:uid="{00000000-0005-0000-0000-0000A9D80000}"/>
    <cellStyle name="Nuovo 32 3 4" xfId="18614" xr:uid="{00000000-0005-0000-0000-0000AAD80000}"/>
    <cellStyle name="Nuovo 32 3 5" xfId="17602" xr:uid="{00000000-0005-0000-0000-0000ABD80000}"/>
    <cellStyle name="Nuovo 32 4" xfId="9533" xr:uid="{00000000-0005-0000-0000-0000ACD80000}"/>
    <cellStyle name="Nuovo 32 4 2" xfId="17605" xr:uid="{00000000-0005-0000-0000-0000ADD80000}"/>
    <cellStyle name="Nuovo 32 4 2 2" xfId="18617" xr:uid="{00000000-0005-0000-0000-0000AED80000}"/>
    <cellStyle name="Nuovo 32 4 3" xfId="18616" xr:uid="{00000000-0005-0000-0000-0000AFD80000}"/>
    <cellStyle name="Nuovo 32 4 4" xfId="17604" xr:uid="{00000000-0005-0000-0000-0000B0D80000}"/>
    <cellStyle name="Nuovo 32 5" xfId="9534" xr:uid="{00000000-0005-0000-0000-0000B1D80000}"/>
    <cellStyle name="Nuovo 32 6" xfId="50625" xr:uid="{00000000-0005-0000-0000-0000B2D80000}"/>
    <cellStyle name="Nuovo 33" xfId="765" xr:uid="{00000000-0005-0000-0000-0000B3D80000}"/>
    <cellStyle name="Nuovo 33 2" xfId="766" xr:uid="{00000000-0005-0000-0000-0000B4D80000}"/>
    <cellStyle name="Nuovo 33 2 2" xfId="1427" xr:uid="{00000000-0005-0000-0000-0000B5D80000}"/>
    <cellStyle name="Nuovo 33 3" xfId="767" xr:uid="{00000000-0005-0000-0000-0000B6D80000}"/>
    <cellStyle name="Nuovo 33 3 2" xfId="768" xr:uid="{00000000-0005-0000-0000-0000B7D80000}"/>
    <cellStyle name="Nuovo 33 3 3" xfId="17607" xr:uid="{00000000-0005-0000-0000-0000B8D80000}"/>
    <cellStyle name="Nuovo 33 3 3 2" xfId="18619" xr:uid="{00000000-0005-0000-0000-0000B9D80000}"/>
    <cellStyle name="Nuovo 33 3 4" xfId="18618" xr:uid="{00000000-0005-0000-0000-0000BAD80000}"/>
    <cellStyle name="Nuovo 33 3 5" xfId="17606" xr:uid="{00000000-0005-0000-0000-0000BBD80000}"/>
    <cellStyle name="Nuovo 33 4" xfId="9535" xr:uid="{00000000-0005-0000-0000-0000BCD80000}"/>
    <cellStyle name="Nuovo 33 4 2" xfId="17609" xr:uid="{00000000-0005-0000-0000-0000BDD80000}"/>
    <cellStyle name="Nuovo 33 4 2 2" xfId="18621" xr:uid="{00000000-0005-0000-0000-0000BED80000}"/>
    <cellStyle name="Nuovo 33 4 3" xfId="18620" xr:uid="{00000000-0005-0000-0000-0000BFD80000}"/>
    <cellStyle name="Nuovo 33 4 4" xfId="17608" xr:uid="{00000000-0005-0000-0000-0000C0D80000}"/>
    <cellStyle name="Nuovo 33 5" xfId="9536" xr:uid="{00000000-0005-0000-0000-0000C1D80000}"/>
    <cellStyle name="Nuovo 33 6" xfId="50624" xr:uid="{00000000-0005-0000-0000-0000C2D80000}"/>
    <cellStyle name="Nuovo 34" xfId="769" xr:uid="{00000000-0005-0000-0000-0000C3D80000}"/>
    <cellStyle name="Nuovo 34 2" xfId="770" xr:uid="{00000000-0005-0000-0000-0000C4D80000}"/>
    <cellStyle name="Nuovo 34 2 2" xfId="1428" xr:uid="{00000000-0005-0000-0000-0000C5D80000}"/>
    <cellStyle name="Nuovo 34 3" xfId="771" xr:uid="{00000000-0005-0000-0000-0000C6D80000}"/>
    <cellStyle name="Nuovo 34 3 2" xfId="772" xr:uid="{00000000-0005-0000-0000-0000C7D80000}"/>
    <cellStyle name="Nuovo 34 3 3" xfId="17611" xr:uid="{00000000-0005-0000-0000-0000C8D80000}"/>
    <cellStyle name="Nuovo 34 3 3 2" xfId="18623" xr:uid="{00000000-0005-0000-0000-0000C9D80000}"/>
    <cellStyle name="Nuovo 34 3 4" xfId="18622" xr:uid="{00000000-0005-0000-0000-0000CAD80000}"/>
    <cellStyle name="Nuovo 34 3 5" xfId="17610" xr:uid="{00000000-0005-0000-0000-0000CBD80000}"/>
    <cellStyle name="Nuovo 34 4" xfId="9537" xr:uid="{00000000-0005-0000-0000-0000CCD80000}"/>
    <cellStyle name="Nuovo 34 4 2" xfId="17613" xr:uid="{00000000-0005-0000-0000-0000CDD80000}"/>
    <cellStyle name="Nuovo 34 4 2 2" xfId="18625" xr:uid="{00000000-0005-0000-0000-0000CED80000}"/>
    <cellStyle name="Nuovo 34 4 3" xfId="18624" xr:uid="{00000000-0005-0000-0000-0000CFD80000}"/>
    <cellStyle name="Nuovo 34 4 4" xfId="17612" xr:uid="{00000000-0005-0000-0000-0000D0D80000}"/>
    <cellStyle name="Nuovo 34 5" xfId="9538" xr:uid="{00000000-0005-0000-0000-0000D1D80000}"/>
    <cellStyle name="Nuovo 34 6" xfId="51023" xr:uid="{00000000-0005-0000-0000-0000D2D80000}"/>
    <cellStyle name="Nuovo 35" xfId="773" xr:uid="{00000000-0005-0000-0000-0000D3D80000}"/>
    <cellStyle name="Nuovo 35 2" xfId="774" xr:uid="{00000000-0005-0000-0000-0000D4D80000}"/>
    <cellStyle name="Nuovo 35 2 2" xfId="1429" xr:uid="{00000000-0005-0000-0000-0000D5D80000}"/>
    <cellStyle name="Nuovo 35 3" xfId="775" xr:uid="{00000000-0005-0000-0000-0000D6D80000}"/>
    <cellStyle name="Nuovo 35 3 2" xfId="776" xr:uid="{00000000-0005-0000-0000-0000D7D80000}"/>
    <cellStyle name="Nuovo 35 3 3" xfId="17615" xr:uid="{00000000-0005-0000-0000-0000D8D80000}"/>
    <cellStyle name="Nuovo 35 3 3 2" xfId="18627" xr:uid="{00000000-0005-0000-0000-0000D9D80000}"/>
    <cellStyle name="Nuovo 35 3 4" xfId="18626" xr:uid="{00000000-0005-0000-0000-0000DAD80000}"/>
    <cellStyle name="Nuovo 35 3 5" xfId="17614" xr:uid="{00000000-0005-0000-0000-0000DBD80000}"/>
    <cellStyle name="Nuovo 35 4" xfId="9539" xr:uid="{00000000-0005-0000-0000-0000DCD80000}"/>
    <cellStyle name="Nuovo 35 4 2" xfId="17617" xr:uid="{00000000-0005-0000-0000-0000DDD80000}"/>
    <cellStyle name="Nuovo 35 4 2 2" xfId="18629" xr:uid="{00000000-0005-0000-0000-0000DED80000}"/>
    <cellStyle name="Nuovo 35 4 3" xfId="18628" xr:uid="{00000000-0005-0000-0000-0000DFD80000}"/>
    <cellStyle name="Nuovo 35 4 4" xfId="17616" xr:uid="{00000000-0005-0000-0000-0000E0D80000}"/>
    <cellStyle name="Nuovo 35 5" xfId="9540" xr:uid="{00000000-0005-0000-0000-0000E1D80000}"/>
    <cellStyle name="Nuovo 35 6" xfId="50623" xr:uid="{00000000-0005-0000-0000-0000E2D80000}"/>
    <cellStyle name="Nuovo 36" xfId="777" xr:uid="{00000000-0005-0000-0000-0000E3D80000}"/>
    <cellStyle name="Nuovo 36 2" xfId="778" xr:uid="{00000000-0005-0000-0000-0000E4D80000}"/>
    <cellStyle name="Nuovo 36 2 2" xfId="1430" xr:uid="{00000000-0005-0000-0000-0000E5D80000}"/>
    <cellStyle name="Nuovo 36 3" xfId="779" xr:uid="{00000000-0005-0000-0000-0000E6D80000}"/>
    <cellStyle name="Nuovo 36 3 2" xfId="780" xr:uid="{00000000-0005-0000-0000-0000E7D80000}"/>
    <cellStyle name="Nuovo 36 3 3" xfId="17619" xr:uid="{00000000-0005-0000-0000-0000E8D80000}"/>
    <cellStyle name="Nuovo 36 3 3 2" xfId="18631" xr:uid="{00000000-0005-0000-0000-0000E9D80000}"/>
    <cellStyle name="Nuovo 36 3 4" xfId="18630" xr:uid="{00000000-0005-0000-0000-0000EAD80000}"/>
    <cellStyle name="Nuovo 36 3 5" xfId="17618" xr:uid="{00000000-0005-0000-0000-0000EBD80000}"/>
    <cellStyle name="Nuovo 36 4" xfId="9541" xr:uid="{00000000-0005-0000-0000-0000ECD80000}"/>
    <cellStyle name="Nuovo 36 4 2" xfId="17621" xr:uid="{00000000-0005-0000-0000-0000EDD80000}"/>
    <cellStyle name="Nuovo 36 4 2 2" xfId="18633" xr:uid="{00000000-0005-0000-0000-0000EED80000}"/>
    <cellStyle name="Nuovo 36 4 3" xfId="18632" xr:uid="{00000000-0005-0000-0000-0000EFD80000}"/>
    <cellStyle name="Nuovo 36 4 4" xfId="17620" xr:uid="{00000000-0005-0000-0000-0000F0D80000}"/>
    <cellStyle name="Nuovo 36 5" xfId="9542" xr:uid="{00000000-0005-0000-0000-0000F1D80000}"/>
    <cellStyle name="Nuovo 36 6" xfId="51300" xr:uid="{00000000-0005-0000-0000-0000F2D80000}"/>
    <cellStyle name="Nuovo 37" xfId="781" xr:uid="{00000000-0005-0000-0000-0000F3D80000}"/>
    <cellStyle name="Nuovo 37 2" xfId="782" xr:uid="{00000000-0005-0000-0000-0000F4D80000}"/>
    <cellStyle name="Nuovo 37 2 2" xfId="1431" xr:uid="{00000000-0005-0000-0000-0000F5D80000}"/>
    <cellStyle name="Nuovo 37 3" xfId="783" xr:uid="{00000000-0005-0000-0000-0000F6D80000}"/>
    <cellStyle name="Nuovo 37 3 2" xfId="784" xr:uid="{00000000-0005-0000-0000-0000F7D80000}"/>
    <cellStyle name="Nuovo 37 3 3" xfId="17623" xr:uid="{00000000-0005-0000-0000-0000F8D80000}"/>
    <cellStyle name="Nuovo 37 3 3 2" xfId="18635" xr:uid="{00000000-0005-0000-0000-0000F9D80000}"/>
    <cellStyle name="Nuovo 37 3 4" xfId="18634" xr:uid="{00000000-0005-0000-0000-0000FAD80000}"/>
    <cellStyle name="Nuovo 37 3 5" xfId="17622" xr:uid="{00000000-0005-0000-0000-0000FBD80000}"/>
    <cellStyle name="Nuovo 37 4" xfId="9543" xr:uid="{00000000-0005-0000-0000-0000FCD80000}"/>
    <cellStyle name="Nuovo 37 4 2" xfId="17625" xr:uid="{00000000-0005-0000-0000-0000FDD80000}"/>
    <cellStyle name="Nuovo 37 4 2 2" xfId="18637" xr:uid="{00000000-0005-0000-0000-0000FED80000}"/>
    <cellStyle name="Nuovo 37 4 3" xfId="18636" xr:uid="{00000000-0005-0000-0000-0000FFD80000}"/>
    <cellStyle name="Nuovo 37 4 4" xfId="17624" xr:uid="{00000000-0005-0000-0000-000000D90000}"/>
    <cellStyle name="Nuovo 37 5" xfId="9544" xr:uid="{00000000-0005-0000-0000-000001D90000}"/>
    <cellStyle name="Nuovo 37 6" xfId="51301" xr:uid="{00000000-0005-0000-0000-000002D90000}"/>
    <cellStyle name="Nuovo 38" xfId="785" xr:uid="{00000000-0005-0000-0000-000003D90000}"/>
    <cellStyle name="Nuovo 38 2" xfId="786" xr:uid="{00000000-0005-0000-0000-000004D90000}"/>
    <cellStyle name="Nuovo 38 2 2" xfId="1432" xr:uid="{00000000-0005-0000-0000-000005D90000}"/>
    <cellStyle name="Nuovo 38 3" xfId="787" xr:uid="{00000000-0005-0000-0000-000006D90000}"/>
    <cellStyle name="Nuovo 38 3 2" xfId="788" xr:uid="{00000000-0005-0000-0000-000007D90000}"/>
    <cellStyle name="Nuovo 38 3 3" xfId="17627" xr:uid="{00000000-0005-0000-0000-000008D90000}"/>
    <cellStyle name="Nuovo 38 3 3 2" xfId="18639" xr:uid="{00000000-0005-0000-0000-000009D90000}"/>
    <cellStyle name="Nuovo 38 3 4" xfId="18638" xr:uid="{00000000-0005-0000-0000-00000AD90000}"/>
    <cellStyle name="Nuovo 38 3 5" xfId="17626" xr:uid="{00000000-0005-0000-0000-00000BD90000}"/>
    <cellStyle name="Nuovo 38 4" xfId="9545" xr:uid="{00000000-0005-0000-0000-00000CD90000}"/>
    <cellStyle name="Nuovo 38 4 2" xfId="17629" xr:uid="{00000000-0005-0000-0000-00000DD90000}"/>
    <cellStyle name="Nuovo 38 4 2 2" xfId="18641" xr:uid="{00000000-0005-0000-0000-00000ED90000}"/>
    <cellStyle name="Nuovo 38 4 3" xfId="18640" xr:uid="{00000000-0005-0000-0000-00000FD90000}"/>
    <cellStyle name="Nuovo 38 4 4" xfId="17628" xr:uid="{00000000-0005-0000-0000-000010D90000}"/>
    <cellStyle name="Nuovo 38 5" xfId="9546" xr:uid="{00000000-0005-0000-0000-000011D90000}"/>
    <cellStyle name="Nuovo 38 6" xfId="51092" xr:uid="{00000000-0005-0000-0000-000012D90000}"/>
    <cellStyle name="Nuovo 39" xfId="789" xr:uid="{00000000-0005-0000-0000-000013D90000}"/>
    <cellStyle name="Nuovo 39 2" xfId="790" xr:uid="{00000000-0005-0000-0000-000014D90000}"/>
    <cellStyle name="Nuovo 39 2 2" xfId="1433" xr:uid="{00000000-0005-0000-0000-000015D90000}"/>
    <cellStyle name="Nuovo 39 3" xfId="791" xr:uid="{00000000-0005-0000-0000-000016D90000}"/>
    <cellStyle name="Nuovo 39 3 2" xfId="792" xr:uid="{00000000-0005-0000-0000-000017D90000}"/>
    <cellStyle name="Nuovo 39 3 3" xfId="17631" xr:uid="{00000000-0005-0000-0000-000018D90000}"/>
    <cellStyle name="Nuovo 39 3 3 2" xfId="18643" xr:uid="{00000000-0005-0000-0000-000019D90000}"/>
    <cellStyle name="Nuovo 39 3 4" xfId="18642" xr:uid="{00000000-0005-0000-0000-00001AD90000}"/>
    <cellStyle name="Nuovo 39 3 5" xfId="17630" xr:uid="{00000000-0005-0000-0000-00001BD90000}"/>
    <cellStyle name="Nuovo 39 4" xfId="9547" xr:uid="{00000000-0005-0000-0000-00001CD90000}"/>
    <cellStyle name="Nuovo 39 4 2" xfId="17633" xr:uid="{00000000-0005-0000-0000-00001DD90000}"/>
    <cellStyle name="Nuovo 39 4 2 2" xfId="18645" xr:uid="{00000000-0005-0000-0000-00001ED90000}"/>
    <cellStyle name="Nuovo 39 4 3" xfId="18644" xr:uid="{00000000-0005-0000-0000-00001FD90000}"/>
    <cellStyle name="Nuovo 39 4 4" xfId="17632" xr:uid="{00000000-0005-0000-0000-000020D90000}"/>
    <cellStyle name="Nuovo 39 5" xfId="9548" xr:uid="{00000000-0005-0000-0000-000021D90000}"/>
    <cellStyle name="Nuovo 39 6" xfId="51022" xr:uid="{00000000-0005-0000-0000-000022D90000}"/>
    <cellStyle name="Nuovo 4" xfId="793" xr:uid="{00000000-0005-0000-0000-000023D90000}"/>
    <cellStyle name="Nuovo 4 2" xfId="794" xr:uid="{00000000-0005-0000-0000-000024D90000}"/>
    <cellStyle name="Nuovo 4 2 2" xfId="1434" xr:uid="{00000000-0005-0000-0000-000025D90000}"/>
    <cellStyle name="Nuovo 4 3" xfId="795" xr:uid="{00000000-0005-0000-0000-000026D90000}"/>
    <cellStyle name="Nuovo 4 3 2" xfId="796" xr:uid="{00000000-0005-0000-0000-000027D90000}"/>
    <cellStyle name="Nuovo 4 3 3" xfId="17635" xr:uid="{00000000-0005-0000-0000-000028D90000}"/>
    <cellStyle name="Nuovo 4 3 3 2" xfId="18647" xr:uid="{00000000-0005-0000-0000-000029D90000}"/>
    <cellStyle name="Nuovo 4 3 4" xfId="18646" xr:uid="{00000000-0005-0000-0000-00002AD90000}"/>
    <cellStyle name="Nuovo 4 3 5" xfId="17634" xr:uid="{00000000-0005-0000-0000-00002BD90000}"/>
    <cellStyle name="Nuovo 4 4" xfId="9549" xr:uid="{00000000-0005-0000-0000-00002CD90000}"/>
    <cellStyle name="Nuovo 4 4 2" xfId="17637" xr:uid="{00000000-0005-0000-0000-00002DD90000}"/>
    <cellStyle name="Nuovo 4 4 2 2" xfId="18649" xr:uid="{00000000-0005-0000-0000-00002ED90000}"/>
    <cellStyle name="Nuovo 4 4 3" xfId="18648" xr:uid="{00000000-0005-0000-0000-00002FD90000}"/>
    <cellStyle name="Nuovo 4 4 4" xfId="17636" xr:uid="{00000000-0005-0000-0000-000030D90000}"/>
    <cellStyle name="Nuovo 4 5" xfId="9550" xr:uid="{00000000-0005-0000-0000-000031D90000}"/>
    <cellStyle name="Nuovo 4 6" xfId="50622" xr:uid="{00000000-0005-0000-0000-000032D90000}"/>
    <cellStyle name="Nuovo 40" xfId="797" xr:uid="{00000000-0005-0000-0000-000033D90000}"/>
    <cellStyle name="Nuovo 40 2" xfId="798" xr:uid="{00000000-0005-0000-0000-000034D90000}"/>
    <cellStyle name="Nuovo 40 2 2" xfId="1435" xr:uid="{00000000-0005-0000-0000-000035D90000}"/>
    <cellStyle name="Nuovo 40 3" xfId="799" xr:uid="{00000000-0005-0000-0000-000036D90000}"/>
    <cellStyle name="Nuovo 40 3 2" xfId="800" xr:uid="{00000000-0005-0000-0000-000037D90000}"/>
    <cellStyle name="Nuovo 40 3 3" xfId="17639" xr:uid="{00000000-0005-0000-0000-000038D90000}"/>
    <cellStyle name="Nuovo 40 3 3 2" xfId="18651" xr:uid="{00000000-0005-0000-0000-000039D90000}"/>
    <cellStyle name="Nuovo 40 3 4" xfId="18650" xr:uid="{00000000-0005-0000-0000-00003AD90000}"/>
    <cellStyle name="Nuovo 40 3 5" xfId="17638" xr:uid="{00000000-0005-0000-0000-00003BD90000}"/>
    <cellStyle name="Nuovo 40 4" xfId="9551" xr:uid="{00000000-0005-0000-0000-00003CD90000}"/>
    <cellStyle name="Nuovo 40 4 2" xfId="17641" xr:uid="{00000000-0005-0000-0000-00003DD90000}"/>
    <cellStyle name="Nuovo 40 4 2 2" xfId="18653" xr:uid="{00000000-0005-0000-0000-00003ED90000}"/>
    <cellStyle name="Nuovo 40 4 3" xfId="18652" xr:uid="{00000000-0005-0000-0000-00003FD90000}"/>
    <cellStyle name="Nuovo 40 4 4" xfId="17640" xr:uid="{00000000-0005-0000-0000-000040D90000}"/>
    <cellStyle name="Nuovo 40 5" xfId="9552" xr:uid="{00000000-0005-0000-0000-000041D90000}"/>
    <cellStyle name="Nuovo 40 6" xfId="50621" xr:uid="{00000000-0005-0000-0000-000042D90000}"/>
    <cellStyle name="Nuovo 41" xfId="801" xr:uid="{00000000-0005-0000-0000-000043D90000}"/>
    <cellStyle name="Nuovo 41 2" xfId="802" xr:uid="{00000000-0005-0000-0000-000044D90000}"/>
    <cellStyle name="Nuovo 41 2 2" xfId="1436" xr:uid="{00000000-0005-0000-0000-000045D90000}"/>
    <cellStyle name="Nuovo 41 3" xfId="803" xr:uid="{00000000-0005-0000-0000-000046D90000}"/>
    <cellStyle name="Nuovo 41 3 2" xfId="804" xr:uid="{00000000-0005-0000-0000-000047D90000}"/>
    <cellStyle name="Nuovo 41 3 3" xfId="17643" xr:uid="{00000000-0005-0000-0000-000048D90000}"/>
    <cellStyle name="Nuovo 41 3 3 2" xfId="18655" xr:uid="{00000000-0005-0000-0000-000049D90000}"/>
    <cellStyle name="Nuovo 41 3 4" xfId="18654" xr:uid="{00000000-0005-0000-0000-00004AD90000}"/>
    <cellStyle name="Nuovo 41 3 5" xfId="17642" xr:uid="{00000000-0005-0000-0000-00004BD90000}"/>
    <cellStyle name="Nuovo 41 4" xfId="9553" xr:uid="{00000000-0005-0000-0000-00004CD90000}"/>
    <cellStyle name="Nuovo 41 4 2" xfId="17645" xr:uid="{00000000-0005-0000-0000-00004DD90000}"/>
    <cellStyle name="Nuovo 41 4 2 2" xfId="18657" xr:uid="{00000000-0005-0000-0000-00004ED90000}"/>
    <cellStyle name="Nuovo 41 4 3" xfId="18656" xr:uid="{00000000-0005-0000-0000-00004FD90000}"/>
    <cellStyle name="Nuovo 41 4 4" xfId="17644" xr:uid="{00000000-0005-0000-0000-000050D90000}"/>
    <cellStyle name="Nuovo 41 5" xfId="9554" xr:uid="{00000000-0005-0000-0000-000051D90000}"/>
    <cellStyle name="Nuovo 41 6" xfId="50620" xr:uid="{00000000-0005-0000-0000-000052D90000}"/>
    <cellStyle name="Nuovo 42" xfId="805" xr:uid="{00000000-0005-0000-0000-000053D90000}"/>
    <cellStyle name="Nuovo 42 2" xfId="806" xr:uid="{00000000-0005-0000-0000-000054D90000}"/>
    <cellStyle name="Nuovo 42 2 2" xfId="1437" xr:uid="{00000000-0005-0000-0000-000055D90000}"/>
    <cellStyle name="Nuovo 42 3" xfId="807" xr:uid="{00000000-0005-0000-0000-000056D90000}"/>
    <cellStyle name="Nuovo 42 3 2" xfId="808" xr:uid="{00000000-0005-0000-0000-000057D90000}"/>
    <cellStyle name="Nuovo 42 3 3" xfId="17647" xr:uid="{00000000-0005-0000-0000-000058D90000}"/>
    <cellStyle name="Nuovo 42 3 3 2" xfId="18659" xr:uid="{00000000-0005-0000-0000-000059D90000}"/>
    <cellStyle name="Nuovo 42 3 4" xfId="18658" xr:uid="{00000000-0005-0000-0000-00005AD90000}"/>
    <cellStyle name="Nuovo 42 3 5" xfId="17646" xr:uid="{00000000-0005-0000-0000-00005BD90000}"/>
    <cellStyle name="Nuovo 42 4" xfId="9555" xr:uid="{00000000-0005-0000-0000-00005CD90000}"/>
    <cellStyle name="Nuovo 42 4 2" xfId="17649" xr:uid="{00000000-0005-0000-0000-00005DD90000}"/>
    <cellStyle name="Nuovo 42 4 2 2" xfId="18661" xr:uid="{00000000-0005-0000-0000-00005ED90000}"/>
    <cellStyle name="Nuovo 42 4 3" xfId="18660" xr:uid="{00000000-0005-0000-0000-00005FD90000}"/>
    <cellStyle name="Nuovo 42 4 4" xfId="17648" xr:uid="{00000000-0005-0000-0000-000060D90000}"/>
    <cellStyle name="Nuovo 42 5" xfId="9556" xr:uid="{00000000-0005-0000-0000-000061D90000}"/>
    <cellStyle name="Nuovo 42 6" xfId="50619" xr:uid="{00000000-0005-0000-0000-000062D90000}"/>
    <cellStyle name="Nuovo 43" xfId="809" xr:uid="{00000000-0005-0000-0000-000063D90000}"/>
    <cellStyle name="Nuovo 43 2" xfId="810" xr:uid="{00000000-0005-0000-0000-000064D90000}"/>
    <cellStyle name="Nuovo 43 2 2" xfId="1438" xr:uid="{00000000-0005-0000-0000-000065D90000}"/>
    <cellStyle name="Nuovo 43 3" xfId="811" xr:uid="{00000000-0005-0000-0000-000066D90000}"/>
    <cellStyle name="Nuovo 43 3 2" xfId="812" xr:uid="{00000000-0005-0000-0000-000067D90000}"/>
    <cellStyle name="Nuovo 43 3 3" xfId="17651" xr:uid="{00000000-0005-0000-0000-000068D90000}"/>
    <cellStyle name="Nuovo 43 3 3 2" xfId="18663" xr:uid="{00000000-0005-0000-0000-000069D90000}"/>
    <cellStyle name="Nuovo 43 3 4" xfId="18662" xr:uid="{00000000-0005-0000-0000-00006AD90000}"/>
    <cellStyle name="Nuovo 43 3 5" xfId="17650" xr:uid="{00000000-0005-0000-0000-00006BD90000}"/>
    <cellStyle name="Nuovo 43 4" xfId="9557" xr:uid="{00000000-0005-0000-0000-00006CD90000}"/>
    <cellStyle name="Nuovo 43 4 2" xfId="17653" xr:uid="{00000000-0005-0000-0000-00006DD90000}"/>
    <cellStyle name="Nuovo 43 4 2 2" xfId="18665" xr:uid="{00000000-0005-0000-0000-00006ED90000}"/>
    <cellStyle name="Nuovo 43 4 3" xfId="18664" xr:uid="{00000000-0005-0000-0000-00006FD90000}"/>
    <cellStyle name="Nuovo 43 4 4" xfId="17652" xr:uid="{00000000-0005-0000-0000-000070D90000}"/>
    <cellStyle name="Nuovo 43 5" xfId="9558" xr:uid="{00000000-0005-0000-0000-000071D90000}"/>
    <cellStyle name="Nuovo 43 6" xfId="51021" xr:uid="{00000000-0005-0000-0000-000072D90000}"/>
    <cellStyle name="Nuovo 44" xfId="813" xr:uid="{00000000-0005-0000-0000-000073D90000}"/>
    <cellStyle name="Nuovo 44 2" xfId="814" xr:uid="{00000000-0005-0000-0000-000074D90000}"/>
    <cellStyle name="Nuovo 44 2 2" xfId="1439" xr:uid="{00000000-0005-0000-0000-000075D90000}"/>
    <cellStyle name="Nuovo 44 3" xfId="815" xr:uid="{00000000-0005-0000-0000-000076D90000}"/>
    <cellStyle name="Nuovo 44 3 2" xfId="816" xr:uid="{00000000-0005-0000-0000-000077D90000}"/>
    <cellStyle name="Nuovo 44 3 3" xfId="17655" xr:uid="{00000000-0005-0000-0000-000078D90000}"/>
    <cellStyle name="Nuovo 44 3 3 2" xfId="18667" xr:uid="{00000000-0005-0000-0000-000079D90000}"/>
    <cellStyle name="Nuovo 44 3 4" xfId="18666" xr:uid="{00000000-0005-0000-0000-00007AD90000}"/>
    <cellStyle name="Nuovo 44 3 5" xfId="17654" xr:uid="{00000000-0005-0000-0000-00007BD90000}"/>
    <cellStyle name="Nuovo 44 4" xfId="9559" xr:uid="{00000000-0005-0000-0000-00007CD90000}"/>
    <cellStyle name="Nuovo 44 4 2" xfId="17657" xr:uid="{00000000-0005-0000-0000-00007DD90000}"/>
    <cellStyle name="Nuovo 44 4 2 2" xfId="18669" xr:uid="{00000000-0005-0000-0000-00007ED90000}"/>
    <cellStyle name="Nuovo 44 4 3" xfId="18668" xr:uid="{00000000-0005-0000-0000-00007FD90000}"/>
    <cellStyle name="Nuovo 44 4 4" xfId="17656" xr:uid="{00000000-0005-0000-0000-000080D90000}"/>
    <cellStyle name="Nuovo 44 5" xfId="9560" xr:uid="{00000000-0005-0000-0000-000081D90000}"/>
    <cellStyle name="Nuovo 44 6" xfId="51302" xr:uid="{00000000-0005-0000-0000-000082D90000}"/>
    <cellStyle name="Nuovo 45" xfId="817" xr:uid="{00000000-0005-0000-0000-000083D90000}"/>
    <cellStyle name="Nuovo 45 2" xfId="1440" xr:uid="{00000000-0005-0000-0000-000084D90000}"/>
    <cellStyle name="Nuovo 46" xfId="818" xr:uid="{00000000-0005-0000-0000-000085D90000}"/>
    <cellStyle name="Nuovo 46 2" xfId="819" xr:uid="{00000000-0005-0000-0000-000086D90000}"/>
    <cellStyle name="Nuovo 46 3" xfId="17659" xr:uid="{00000000-0005-0000-0000-000087D90000}"/>
    <cellStyle name="Nuovo 46 3 2" xfId="18671" xr:uid="{00000000-0005-0000-0000-000088D90000}"/>
    <cellStyle name="Nuovo 46 4" xfId="18670" xr:uid="{00000000-0005-0000-0000-000089D90000}"/>
    <cellStyle name="Nuovo 46 5" xfId="17658" xr:uid="{00000000-0005-0000-0000-00008AD90000}"/>
    <cellStyle name="Nuovo 47" xfId="9561" xr:uid="{00000000-0005-0000-0000-00008BD90000}"/>
    <cellStyle name="Nuovo 47 2" xfId="17661" xr:uid="{00000000-0005-0000-0000-00008CD90000}"/>
    <cellStyle name="Nuovo 47 2 2" xfId="18673" xr:uid="{00000000-0005-0000-0000-00008DD90000}"/>
    <cellStyle name="Nuovo 47 3" xfId="18672" xr:uid="{00000000-0005-0000-0000-00008ED90000}"/>
    <cellStyle name="Nuovo 47 4" xfId="17660" xr:uid="{00000000-0005-0000-0000-00008FD90000}"/>
    <cellStyle name="Nuovo 48" xfId="9562" xr:uid="{00000000-0005-0000-0000-000090D90000}"/>
    <cellStyle name="Nuovo 49" xfId="51303" xr:uid="{00000000-0005-0000-0000-000091D90000}"/>
    <cellStyle name="Nuovo 5" xfId="820" xr:uid="{00000000-0005-0000-0000-000092D90000}"/>
    <cellStyle name="Nuovo 5 2" xfId="821" xr:uid="{00000000-0005-0000-0000-000093D90000}"/>
    <cellStyle name="Nuovo 5 2 2" xfId="1441" xr:uid="{00000000-0005-0000-0000-000094D90000}"/>
    <cellStyle name="Nuovo 5 3" xfId="822" xr:uid="{00000000-0005-0000-0000-000095D90000}"/>
    <cellStyle name="Nuovo 5 3 2" xfId="823" xr:uid="{00000000-0005-0000-0000-000096D90000}"/>
    <cellStyle name="Nuovo 5 3 3" xfId="17663" xr:uid="{00000000-0005-0000-0000-000097D90000}"/>
    <cellStyle name="Nuovo 5 3 3 2" xfId="18675" xr:uid="{00000000-0005-0000-0000-000098D90000}"/>
    <cellStyle name="Nuovo 5 3 4" xfId="18674" xr:uid="{00000000-0005-0000-0000-000099D90000}"/>
    <cellStyle name="Nuovo 5 3 5" xfId="17662" xr:uid="{00000000-0005-0000-0000-00009AD90000}"/>
    <cellStyle name="Nuovo 5 4" xfId="9563" xr:uid="{00000000-0005-0000-0000-00009BD90000}"/>
    <cellStyle name="Nuovo 5 4 2" xfId="17665" xr:uid="{00000000-0005-0000-0000-00009CD90000}"/>
    <cellStyle name="Nuovo 5 4 2 2" xfId="18677" xr:uid="{00000000-0005-0000-0000-00009DD90000}"/>
    <cellStyle name="Nuovo 5 4 3" xfId="18676" xr:uid="{00000000-0005-0000-0000-00009ED90000}"/>
    <cellStyle name="Nuovo 5 4 4" xfId="17664" xr:uid="{00000000-0005-0000-0000-00009FD90000}"/>
    <cellStyle name="Nuovo 5 5" xfId="9564" xr:uid="{00000000-0005-0000-0000-0000A0D90000}"/>
    <cellStyle name="Nuovo 5 6" xfId="51020" xr:uid="{00000000-0005-0000-0000-0000A1D90000}"/>
    <cellStyle name="Nuovo 6" xfId="824" xr:uid="{00000000-0005-0000-0000-0000A2D90000}"/>
    <cellStyle name="Nuovo 6 2" xfId="825" xr:uid="{00000000-0005-0000-0000-0000A3D90000}"/>
    <cellStyle name="Nuovo 6 2 2" xfId="1442" xr:uid="{00000000-0005-0000-0000-0000A4D90000}"/>
    <cellStyle name="Nuovo 6 3" xfId="826" xr:uid="{00000000-0005-0000-0000-0000A5D90000}"/>
    <cellStyle name="Nuovo 6 3 2" xfId="827" xr:uid="{00000000-0005-0000-0000-0000A6D90000}"/>
    <cellStyle name="Nuovo 6 3 3" xfId="17667" xr:uid="{00000000-0005-0000-0000-0000A7D90000}"/>
    <cellStyle name="Nuovo 6 3 3 2" xfId="18679" xr:uid="{00000000-0005-0000-0000-0000A8D90000}"/>
    <cellStyle name="Nuovo 6 3 4" xfId="18678" xr:uid="{00000000-0005-0000-0000-0000A9D90000}"/>
    <cellStyle name="Nuovo 6 3 5" xfId="17666" xr:uid="{00000000-0005-0000-0000-0000AAD90000}"/>
    <cellStyle name="Nuovo 6 4" xfId="9565" xr:uid="{00000000-0005-0000-0000-0000ABD90000}"/>
    <cellStyle name="Nuovo 6 4 2" xfId="17669" xr:uid="{00000000-0005-0000-0000-0000ACD90000}"/>
    <cellStyle name="Nuovo 6 4 2 2" xfId="18681" xr:uid="{00000000-0005-0000-0000-0000ADD90000}"/>
    <cellStyle name="Nuovo 6 4 3" xfId="18680" xr:uid="{00000000-0005-0000-0000-0000AED90000}"/>
    <cellStyle name="Nuovo 6 4 4" xfId="17668" xr:uid="{00000000-0005-0000-0000-0000AFD90000}"/>
    <cellStyle name="Nuovo 6 5" xfId="9566" xr:uid="{00000000-0005-0000-0000-0000B0D90000}"/>
    <cellStyle name="Nuovo 6 6" xfId="50618" xr:uid="{00000000-0005-0000-0000-0000B1D90000}"/>
    <cellStyle name="Nuovo 7" xfId="828" xr:uid="{00000000-0005-0000-0000-0000B2D90000}"/>
    <cellStyle name="Nuovo 7 2" xfId="829" xr:uid="{00000000-0005-0000-0000-0000B3D90000}"/>
    <cellStyle name="Nuovo 7 2 2" xfId="1443" xr:uid="{00000000-0005-0000-0000-0000B4D90000}"/>
    <cellStyle name="Nuovo 7 3" xfId="830" xr:uid="{00000000-0005-0000-0000-0000B5D90000}"/>
    <cellStyle name="Nuovo 7 3 2" xfId="831" xr:uid="{00000000-0005-0000-0000-0000B6D90000}"/>
    <cellStyle name="Nuovo 7 3 3" xfId="17671" xr:uid="{00000000-0005-0000-0000-0000B7D90000}"/>
    <cellStyle name="Nuovo 7 3 3 2" xfId="18683" xr:uid="{00000000-0005-0000-0000-0000B8D90000}"/>
    <cellStyle name="Nuovo 7 3 4" xfId="18682" xr:uid="{00000000-0005-0000-0000-0000B9D90000}"/>
    <cellStyle name="Nuovo 7 3 5" xfId="17670" xr:uid="{00000000-0005-0000-0000-0000BAD90000}"/>
    <cellStyle name="Nuovo 7 4" xfId="9567" xr:uid="{00000000-0005-0000-0000-0000BBD90000}"/>
    <cellStyle name="Nuovo 7 4 2" xfId="17673" xr:uid="{00000000-0005-0000-0000-0000BCD90000}"/>
    <cellStyle name="Nuovo 7 4 2 2" xfId="18685" xr:uid="{00000000-0005-0000-0000-0000BDD90000}"/>
    <cellStyle name="Nuovo 7 4 3" xfId="18684" xr:uid="{00000000-0005-0000-0000-0000BED90000}"/>
    <cellStyle name="Nuovo 7 4 4" xfId="17672" xr:uid="{00000000-0005-0000-0000-0000BFD90000}"/>
    <cellStyle name="Nuovo 7 5" xfId="9568" xr:uid="{00000000-0005-0000-0000-0000C0D90000}"/>
    <cellStyle name="Nuovo 7 6" xfId="50617" xr:uid="{00000000-0005-0000-0000-0000C1D90000}"/>
    <cellStyle name="Nuovo 8" xfId="832" xr:uid="{00000000-0005-0000-0000-0000C2D90000}"/>
    <cellStyle name="Nuovo 8 2" xfId="833" xr:uid="{00000000-0005-0000-0000-0000C3D90000}"/>
    <cellStyle name="Nuovo 8 2 2" xfId="1444" xr:uid="{00000000-0005-0000-0000-0000C4D90000}"/>
    <cellStyle name="Nuovo 8 3" xfId="834" xr:uid="{00000000-0005-0000-0000-0000C5D90000}"/>
    <cellStyle name="Nuovo 8 3 2" xfId="835" xr:uid="{00000000-0005-0000-0000-0000C6D90000}"/>
    <cellStyle name="Nuovo 8 3 3" xfId="17675" xr:uid="{00000000-0005-0000-0000-0000C7D90000}"/>
    <cellStyle name="Nuovo 8 3 3 2" xfId="18687" xr:uid="{00000000-0005-0000-0000-0000C8D90000}"/>
    <cellStyle name="Nuovo 8 3 4" xfId="18686" xr:uid="{00000000-0005-0000-0000-0000C9D90000}"/>
    <cellStyle name="Nuovo 8 3 5" xfId="17674" xr:uid="{00000000-0005-0000-0000-0000CAD90000}"/>
    <cellStyle name="Nuovo 8 4" xfId="9569" xr:uid="{00000000-0005-0000-0000-0000CBD90000}"/>
    <cellStyle name="Nuovo 8 4 2" xfId="17677" xr:uid="{00000000-0005-0000-0000-0000CCD90000}"/>
    <cellStyle name="Nuovo 8 4 2 2" xfId="18689" xr:uid="{00000000-0005-0000-0000-0000CDD90000}"/>
    <cellStyle name="Nuovo 8 4 3" xfId="18688" xr:uid="{00000000-0005-0000-0000-0000CED90000}"/>
    <cellStyle name="Nuovo 8 4 4" xfId="17676" xr:uid="{00000000-0005-0000-0000-0000CFD90000}"/>
    <cellStyle name="Nuovo 8 5" xfId="9570" xr:uid="{00000000-0005-0000-0000-0000D0D90000}"/>
    <cellStyle name="Nuovo 8 6" xfId="50616" xr:uid="{00000000-0005-0000-0000-0000D1D90000}"/>
    <cellStyle name="Nuovo 9" xfId="836" xr:uid="{00000000-0005-0000-0000-0000D2D90000}"/>
    <cellStyle name="Nuovo 9 2" xfId="837" xr:uid="{00000000-0005-0000-0000-0000D3D90000}"/>
    <cellStyle name="Nuovo 9 2 2" xfId="1445" xr:uid="{00000000-0005-0000-0000-0000D4D90000}"/>
    <cellStyle name="Nuovo 9 3" xfId="838" xr:uid="{00000000-0005-0000-0000-0000D5D90000}"/>
    <cellStyle name="Nuovo 9 3 2" xfId="839" xr:uid="{00000000-0005-0000-0000-0000D6D90000}"/>
    <cellStyle name="Nuovo 9 3 3" xfId="17679" xr:uid="{00000000-0005-0000-0000-0000D7D90000}"/>
    <cellStyle name="Nuovo 9 3 3 2" xfId="18691" xr:uid="{00000000-0005-0000-0000-0000D8D90000}"/>
    <cellStyle name="Nuovo 9 3 4" xfId="18690" xr:uid="{00000000-0005-0000-0000-0000D9D90000}"/>
    <cellStyle name="Nuovo 9 3 5" xfId="17678" xr:uid="{00000000-0005-0000-0000-0000DAD90000}"/>
    <cellStyle name="Nuovo 9 4" xfId="9571" xr:uid="{00000000-0005-0000-0000-0000DBD90000}"/>
    <cellStyle name="Nuovo 9 4 2" xfId="17681" xr:uid="{00000000-0005-0000-0000-0000DCD90000}"/>
    <cellStyle name="Nuovo 9 4 2 2" xfId="18693" xr:uid="{00000000-0005-0000-0000-0000DDD90000}"/>
    <cellStyle name="Nuovo 9 4 3" xfId="18692" xr:uid="{00000000-0005-0000-0000-0000DED90000}"/>
    <cellStyle name="Nuovo 9 4 4" xfId="17680" xr:uid="{00000000-0005-0000-0000-0000DFD90000}"/>
    <cellStyle name="Nuovo 9 5" xfId="9572" xr:uid="{00000000-0005-0000-0000-0000E0D90000}"/>
    <cellStyle name="Nuovo 9 6" xfId="50615" xr:uid="{00000000-0005-0000-0000-0000E1D90000}"/>
    <cellStyle name="Output" xfId="840" builtinId="21" customBuiltin="1"/>
    <cellStyle name="Output 10" xfId="19351" xr:uid="{00000000-0005-0000-0000-0000E3D90000}"/>
    <cellStyle name="Output 11" xfId="52081" xr:uid="{00000000-0005-0000-0000-0000E4D90000}"/>
    <cellStyle name="Output 2" xfId="841" xr:uid="{00000000-0005-0000-0000-0000E5D90000}"/>
    <cellStyle name="Output 2 2" xfId="5239" xr:uid="{00000000-0005-0000-0000-0000E6D90000}"/>
    <cellStyle name="Output 2 2 2" xfId="53314" xr:uid="{00000000-0005-0000-0000-0000E7D90000}"/>
    <cellStyle name="Output 2 3" xfId="10049" xr:uid="{00000000-0005-0000-0000-0000E8D90000}"/>
    <cellStyle name="Output 2 3 2" xfId="26373" xr:uid="{00000000-0005-0000-0000-0000E9D90000}"/>
    <cellStyle name="Output 2 4" xfId="9707" xr:uid="{00000000-0005-0000-0000-0000EAD90000}"/>
    <cellStyle name="Output 2 4 2" xfId="26037" xr:uid="{00000000-0005-0000-0000-0000EBD90000}"/>
    <cellStyle name="Output 2 5" xfId="17683" xr:uid="{00000000-0005-0000-0000-0000ECD90000}"/>
    <cellStyle name="Output 2 6" xfId="52082" xr:uid="{00000000-0005-0000-0000-0000EDD90000}"/>
    <cellStyle name="Output 3" xfId="1163" xr:uid="{00000000-0005-0000-0000-0000EED90000}"/>
    <cellStyle name="Output 3 2" xfId="5240" xr:uid="{00000000-0005-0000-0000-0000EFD90000}"/>
    <cellStyle name="Output 4" xfId="5241" xr:uid="{00000000-0005-0000-0000-0000F0D90000}"/>
    <cellStyle name="Output 5" xfId="5242" xr:uid="{00000000-0005-0000-0000-0000F1D90000}"/>
    <cellStyle name="Output 5 2" xfId="8429" xr:uid="{00000000-0005-0000-0000-0000F2D90000}"/>
    <cellStyle name="Output 6" xfId="5379" xr:uid="{00000000-0005-0000-0000-0000F3D90000}"/>
    <cellStyle name="Output 7" xfId="5238" xr:uid="{00000000-0005-0000-0000-0000F4D90000}"/>
    <cellStyle name="Output 8" xfId="10048" xr:uid="{00000000-0005-0000-0000-0000F5D90000}"/>
    <cellStyle name="Output 8 2" xfId="26372" xr:uid="{00000000-0005-0000-0000-0000F6D90000}"/>
    <cellStyle name="Output 9" xfId="17682" xr:uid="{00000000-0005-0000-0000-0000F7D90000}"/>
    <cellStyle name="Overskrift 1 2" xfId="5244" xr:uid="{00000000-0005-0000-0000-0000F8D90000}"/>
    <cellStyle name="Overskrift 1 2 2" xfId="17684" xr:uid="{00000000-0005-0000-0000-0000F9D90000}"/>
    <cellStyle name="Overskrift 1 2 2 2" xfId="53316" xr:uid="{00000000-0005-0000-0000-0000FAD90000}"/>
    <cellStyle name="Overskrift 1 3" xfId="5245" xr:uid="{00000000-0005-0000-0000-0000FBD90000}"/>
    <cellStyle name="Overskrift 1 4" xfId="5246" xr:uid="{00000000-0005-0000-0000-0000FCD90000}"/>
    <cellStyle name="Overskrift 1 5" xfId="5247" xr:uid="{00000000-0005-0000-0000-0000FDD90000}"/>
    <cellStyle name="Overskrift 1 5 2" xfId="8249" xr:uid="{00000000-0005-0000-0000-0000FED90000}"/>
    <cellStyle name="Overskrift 1 6" xfId="5371" xr:uid="{00000000-0005-0000-0000-0000FFD90000}"/>
    <cellStyle name="Overskrift 1 7" xfId="5243" xr:uid="{00000000-0005-0000-0000-000000DA0000}"/>
    <cellStyle name="Overskrift 2 2" xfId="5249" xr:uid="{00000000-0005-0000-0000-000001DA0000}"/>
    <cellStyle name="Overskrift 2 2 2" xfId="17685" xr:uid="{00000000-0005-0000-0000-000002DA0000}"/>
    <cellStyle name="Overskrift 2 2 2 2" xfId="53317" xr:uid="{00000000-0005-0000-0000-000003DA0000}"/>
    <cellStyle name="Overskrift 2 3" xfId="5250" xr:uid="{00000000-0005-0000-0000-000004DA0000}"/>
    <cellStyle name="Overskrift 2 4" xfId="5251" xr:uid="{00000000-0005-0000-0000-000005DA0000}"/>
    <cellStyle name="Overskrift 2 5" xfId="5252" xr:uid="{00000000-0005-0000-0000-000006DA0000}"/>
    <cellStyle name="Overskrift 2 5 2" xfId="6725" xr:uid="{00000000-0005-0000-0000-000007DA0000}"/>
    <cellStyle name="Overskrift 2 6" xfId="5372" xr:uid="{00000000-0005-0000-0000-000008DA0000}"/>
    <cellStyle name="Overskrift 2 7" xfId="5248" xr:uid="{00000000-0005-0000-0000-000009DA0000}"/>
    <cellStyle name="Overskrift 3 2" xfId="5254" xr:uid="{00000000-0005-0000-0000-00000ADA0000}"/>
    <cellStyle name="Overskrift 3 2 2" xfId="17686" xr:uid="{00000000-0005-0000-0000-00000BDA0000}"/>
    <cellStyle name="Overskrift 3 2 2 2" xfId="53318" xr:uid="{00000000-0005-0000-0000-00000CDA0000}"/>
    <cellStyle name="Overskrift 3 3" xfId="5255" xr:uid="{00000000-0005-0000-0000-00000DDA0000}"/>
    <cellStyle name="Overskrift 3 4" xfId="5256" xr:uid="{00000000-0005-0000-0000-00000EDA0000}"/>
    <cellStyle name="Overskrift 3 5" xfId="5257" xr:uid="{00000000-0005-0000-0000-00000FDA0000}"/>
    <cellStyle name="Overskrift 3 5 2" xfId="6740" xr:uid="{00000000-0005-0000-0000-000010DA0000}"/>
    <cellStyle name="Overskrift 3 6" xfId="5373" xr:uid="{00000000-0005-0000-0000-000011DA0000}"/>
    <cellStyle name="Overskrift 3 7" xfId="5253" xr:uid="{00000000-0005-0000-0000-000012DA0000}"/>
    <cellStyle name="Overskrift 4 2" xfId="5259" xr:uid="{00000000-0005-0000-0000-000013DA0000}"/>
    <cellStyle name="Overskrift 4 2 2" xfId="17687" xr:uid="{00000000-0005-0000-0000-000014DA0000}"/>
    <cellStyle name="Overskrift 4 2 2 2" xfId="53319" xr:uid="{00000000-0005-0000-0000-000015DA0000}"/>
    <cellStyle name="Overskrift 4 3" xfId="5260" xr:uid="{00000000-0005-0000-0000-000016DA0000}"/>
    <cellStyle name="Overskrift 4 4" xfId="5261" xr:uid="{00000000-0005-0000-0000-000017DA0000}"/>
    <cellStyle name="Overskrift 4 5" xfId="5262" xr:uid="{00000000-0005-0000-0000-000018DA0000}"/>
    <cellStyle name="Overskrift 4 5 2" xfId="8529" xr:uid="{00000000-0005-0000-0000-000019DA0000}"/>
    <cellStyle name="Overskrift 4 6" xfId="5374" xr:uid="{00000000-0005-0000-0000-00001ADA0000}"/>
    <cellStyle name="Overskrift 4 7" xfId="5258" xr:uid="{00000000-0005-0000-0000-00001BDA0000}"/>
    <cellStyle name="Pattern" xfId="842" xr:uid="{00000000-0005-0000-0000-00001CDA0000}"/>
    <cellStyle name="Pattern 2" xfId="10050" xr:uid="{00000000-0005-0000-0000-00001DDA0000}"/>
    <cellStyle name="Pattern 2 2" xfId="26374" xr:uid="{00000000-0005-0000-0000-00001EDA0000}"/>
    <cellStyle name="Pattern 3" xfId="19352" xr:uid="{00000000-0005-0000-0000-00001FDA0000}"/>
    <cellStyle name="Pattern 4" xfId="50098" xr:uid="{00000000-0005-0000-0000-000020DA0000}"/>
    <cellStyle name="Percen - Type1" xfId="843" xr:uid="{00000000-0005-0000-0000-000021DA0000}"/>
    <cellStyle name="Percen - Typografi2" xfId="5263" xr:uid="{00000000-0005-0000-0000-000022DA0000}"/>
    <cellStyle name="Percent" xfId="844" builtinId="5"/>
    <cellStyle name="Percent 10" xfId="50602" xr:uid="{00000000-0005-0000-0000-000024DA0000}"/>
    <cellStyle name="Percent 2" xfId="845" xr:uid="{00000000-0005-0000-0000-000025DA0000}"/>
    <cellStyle name="Percent 2 2" xfId="1446" xr:uid="{00000000-0005-0000-0000-000026DA0000}"/>
    <cellStyle name="Percent 2 2 2" xfId="53244" xr:uid="{00000000-0005-0000-0000-000027DA0000}"/>
    <cellStyle name="Percent 2 2 2 2" xfId="56450" xr:uid="{00000000-0005-0000-0000-000028DA0000}"/>
    <cellStyle name="Percent 3" xfId="846" xr:uid="{00000000-0005-0000-0000-000029DA0000}"/>
    <cellStyle name="Percent 3 2" xfId="847" xr:uid="{00000000-0005-0000-0000-00002ADA0000}"/>
    <cellStyle name="Percent 3 2 2" xfId="55090" xr:uid="{00000000-0005-0000-0000-00002BDA0000}"/>
    <cellStyle name="Percent 3 2 3" xfId="54710" xr:uid="{00000000-0005-0000-0000-00002CDA0000}"/>
    <cellStyle name="Percent 3 3" xfId="848" xr:uid="{00000000-0005-0000-0000-00002DDA0000}"/>
    <cellStyle name="Percent 3 3 2" xfId="849" xr:uid="{00000000-0005-0000-0000-00002EDA0000}"/>
    <cellStyle name="Percent 3 3 3" xfId="17689" xr:uid="{00000000-0005-0000-0000-00002FDA0000}"/>
    <cellStyle name="Percent 3 3 3 2" xfId="18695" xr:uid="{00000000-0005-0000-0000-000030DA0000}"/>
    <cellStyle name="Percent 3 3 4" xfId="18694" xr:uid="{00000000-0005-0000-0000-000031DA0000}"/>
    <cellStyle name="Percent 3 3 5" xfId="17688" xr:uid="{00000000-0005-0000-0000-000032DA0000}"/>
    <cellStyle name="Percent 3 4" xfId="9575" xr:uid="{00000000-0005-0000-0000-000033DA0000}"/>
    <cellStyle name="Percent 3 5" xfId="9574" xr:uid="{00000000-0005-0000-0000-000034DA0000}"/>
    <cellStyle name="Percent 3 5 2" xfId="18696" xr:uid="{00000000-0005-0000-0000-000035DA0000}"/>
    <cellStyle name="Percent 3 6" xfId="55089" xr:uid="{00000000-0005-0000-0000-000036DA0000}"/>
    <cellStyle name="Percent 4" xfId="850" xr:uid="{00000000-0005-0000-0000-000037DA0000}"/>
    <cellStyle name="Percent 4 10" xfId="50099" xr:uid="{00000000-0005-0000-0000-000038DA0000}"/>
    <cellStyle name="Percent 4 11" xfId="50504" xr:uid="{00000000-0005-0000-0000-000039DA0000}"/>
    <cellStyle name="Percent 4 12" xfId="51009" xr:uid="{00000000-0005-0000-0000-00003ADA0000}"/>
    <cellStyle name="Percent 4 13" xfId="51665" xr:uid="{00000000-0005-0000-0000-00003BDA0000}"/>
    <cellStyle name="Percent 4 14" xfId="1536" xr:uid="{00000000-0005-0000-0000-00003CDA0000}"/>
    <cellStyle name="Percent 4 14 2" xfId="51763" xr:uid="{00000000-0005-0000-0000-00003DDA0000}"/>
    <cellStyle name="Percent 4 15" xfId="52083" xr:uid="{00000000-0005-0000-0000-00003EDA0000}"/>
    <cellStyle name="Percent 4 16" xfId="1543" xr:uid="{00000000-0005-0000-0000-00003FDA0000}"/>
    <cellStyle name="Percent 4 2" xfId="1447" xr:uid="{00000000-0005-0000-0000-000040DA0000}"/>
    <cellStyle name="Percent 4 2 10" xfId="50597" xr:uid="{00000000-0005-0000-0000-000041DA0000}"/>
    <cellStyle name="Percent 4 2 11" xfId="51211" xr:uid="{00000000-0005-0000-0000-000042DA0000}"/>
    <cellStyle name="Percent 4 2 12" xfId="51758" xr:uid="{00000000-0005-0000-0000-000043DA0000}"/>
    <cellStyle name="Percent 4 2 13" xfId="52179" xr:uid="{00000000-0005-0000-0000-000044DA0000}"/>
    <cellStyle name="Percent 4 2 14" xfId="1577" xr:uid="{00000000-0005-0000-0000-000045DA0000}"/>
    <cellStyle name="Percent 4 2 2" xfId="8961" xr:uid="{00000000-0005-0000-0000-000046DA0000}"/>
    <cellStyle name="Percent 4 2 2 2" xfId="16735" xr:uid="{00000000-0005-0000-0000-000047DA0000}"/>
    <cellStyle name="Percent 4 2 2 2 2" xfId="33048" xr:uid="{00000000-0005-0000-0000-000048DA0000}"/>
    <cellStyle name="Percent 4 2 2 2 3" xfId="48012" xr:uid="{00000000-0005-0000-0000-000049DA0000}"/>
    <cellStyle name="Percent 4 2 2 3" xfId="18698" xr:uid="{00000000-0005-0000-0000-00004ADA0000}"/>
    <cellStyle name="Percent 4 2 2 4" xfId="26026" xr:uid="{00000000-0005-0000-0000-00004BDA0000}"/>
    <cellStyle name="Percent 4 2 2 5" xfId="41013" xr:uid="{00000000-0005-0000-0000-00004CDA0000}"/>
    <cellStyle name="Percent 4 2 3" xfId="10139" xr:uid="{00000000-0005-0000-0000-00004DDA0000}"/>
    <cellStyle name="Percent 4 2 3 2" xfId="26459" xr:uid="{00000000-0005-0000-0000-00004EDA0000}"/>
    <cellStyle name="Percent 4 2 3 3" xfId="41425" xr:uid="{00000000-0005-0000-0000-00004FDA0000}"/>
    <cellStyle name="Percent 4 2 4" xfId="17690" xr:uid="{00000000-0005-0000-0000-000050DA0000}"/>
    <cellStyle name="Percent 4 2 5" xfId="19436" xr:uid="{00000000-0005-0000-0000-000051DA0000}"/>
    <cellStyle name="Percent 4 2 6" xfId="34426" xr:uid="{00000000-0005-0000-0000-000052DA0000}"/>
    <cellStyle name="Percent 4 2 7" xfId="49378" xr:uid="{00000000-0005-0000-0000-000053DA0000}"/>
    <cellStyle name="Percent 4 2 8" xfId="49783" xr:uid="{00000000-0005-0000-0000-000054DA0000}"/>
    <cellStyle name="Percent 4 2 9" xfId="50192" xr:uid="{00000000-0005-0000-0000-000055DA0000}"/>
    <cellStyle name="Percent 4 3" xfId="8928" xr:uid="{00000000-0005-0000-0000-000056DA0000}"/>
    <cellStyle name="Percent 4 3 2" xfId="16704" xr:uid="{00000000-0005-0000-0000-000057DA0000}"/>
    <cellStyle name="Percent 4 3 2 2" xfId="33017" xr:uid="{00000000-0005-0000-0000-000058DA0000}"/>
    <cellStyle name="Percent 4 3 2 3" xfId="47981" xr:uid="{00000000-0005-0000-0000-000059DA0000}"/>
    <cellStyle name="Percent 4 3 3" xfId="18697" xr:uid="{00000000-0005-0000-0000-00005ADA0000}"/>
    <cellStyle name="Percent 4 3 4" xfId="25995" xr:uid="{00000000-0005-0000-0000-00005BDA0000}"/>
    <cellStyle name="Percent 4 3 5" xfId="40982" xr:uid="{00000000-0005-0000-0000-00005CDA0000}"/>
    <cellStyle name="Percent 4 4" xfId="9576" xr:uid="{00000000-0005-0000-0000-00005DDA0000}"/>
    <cellStyle name="Percent 4 5" xfId="10051" xr:uid="{00000000-0005-0000-0000-00005EDA0000}"/>
    <cellStyle name="Percent 4 5 2" xfId="26375" xr:uid="{00000000-0005-0000-0000-00005FDA0000}"/>
    <cellStyle name="Percent 4 5 3" xfId="41344" xr:uid="{00000000-0005-0000-0000-000060DA0000}"/>
    <cellStyle name="Percent 4 6" xfId="19354" xr:uid="{00000000-0005-0000-0000-000061DA0000}"/>
    <cellStyle name="Percent 4 7" xfId="34345" xr:uid="{00000000-0005-0000-0000-000062DA0000}"/>
    <cellStyle name="Percent 4 8" xfId="49285" xr:uid="{00000000-0005-0000-0000-000063DA0000}"/>
    <cellStyle name="Percent 4 9" xfId="49690" xr:uid="{00000000-0005-0000-0000-000064DA0000}"/>
    <cellStyle name="Percent 5" xfId="851" xr:uid="{00000000-0005-0000-0000-000065DA0000}"/>
    <cellStyle name="Percent 5 2" xfId="9577" xr:uid="{00000000-0005-0000-0000-000066DA0000}"/>
    <cellStyle name="Percent 5 2 2" xfId="51091" xr:uid="{00000000-0005-0000-0000-000067DA0000}"/>
    <cellStyle name="Percent 5 2 3" xfId="53176" xr:uid="{00000000-0005-0000-0000-000068DA0000}"/>
    <cellStyle name="Percent 5 3" xfId="10052" xr:uid="{00000000-0005-0000-0000-000069DA0000}"/>
    <cellStyle name="Percent 6" xfId="8841" xr:uid="{00000000-0005-0000-0000-00006ADA0000}"/>
    <cellStyle name="Percent 6 2" xfId="16690" xr:uid="{00000000-0005-0000-0000-00006BDA0000}"/>
    <cellStyle name="Percent 6 2 2" xfId="33004" xr:uid="{00000000-0005-0000-0000-00006CDA0000}"/>
    <cellStyle name="Percent 6 2 3" xfId="47968" xr:uid="{00000000-0005-0000-0000-00006DDA0000}"/>
    <cellStyle name="Percent 6 3" xfId="25982" xr:uid="{00000000-0005-0000-0000-00006EDA0000}"/>
    <cellStyle name="Percent 6 4" xfId="40969" xr:uid="{00000000-0005-0000-0000-00006FDA0000}"/>
    <cellStyle name="Percent 6 5" xfId="50614" xr:uid="{00000000-0005-0000-0000-000070DA0000}"/>
    <cellStyle name="Percent 6 6" xfId="54646" xr:uid="{00000000-0005-0000-0000-000071DA0000}"/>
    <cellStyle name="Percent 7" xfId="9573" xr:uid="{00000000-0005-0000-0000-000072DA0000}"/>
    <cellStyle name="Percent 7 2" xfId="16743" xr:uid="{00000000-0005-0000-0000-000073DA0000}"/>
    <cellStyle name="Percent 7 2 2" xfId="33056" xr:uid="{00000000-0005-0000-0000-000074DA0000}"/>
    <cellStyle name="Percent 7 2 3" xfId="48017" xr:uid="{00000000-0005-0000-0000-000075DA0000}"/>
    <cellStyle name="Percent 7 3" xfId="26032" xr:uid="{00000000-0005-0000-0000-000076DA0000}"/>
    <cellStyle name="Percent 7 4" xfId="41018" xr:uid="{00000000-0005-0000-0000-000077DA0000}"/>
    <cellStyle name="Percent 8" xfId="9713" xr:uid="{00000000-0005-0000-0000-000078DA0000}"/>
    <cellStyle name="Percent 8 2" xfId="26043" xr:uid="{00000000-0005-0000-0000-000079DA0000}"/>
    <cellStyle name="Percent 8 3" xfId="41023" xr:uid="{00000000-0005-0000-0000-00007ADA0000}"/>
    <cellStyle name="Percent 9" xfId="19353" xr:uid="{00000000-0005-0000-0000-00007BDA0000}"/>
    <cellStyle name="Percentuale 10" xfId="852" xr:uid="{00000000-0005-0000-0000-00007CDA0000}"/>
    <cellStyle name="Percentuale 10 2" xfId="853" xr:uid="{00000000-0005-0000-0000-00007DDA0000}"/>
    <cellStyle name="Percentuale 10 2 2" xfId="1448" xr:uid="{00000000-0005-0000-0000-00007EDA0000}"/>
    <cellStyle name="Percentuale 10 3" xfId="854" xr:uid="{00000000-0005-0000-0000-00007FDA0000}"/>
    <cellStyle name="Percentuale 10 3 2" xfId="855" xr:uid="{00000000-0005-0000-0000-000080DA0000}"/>
    <cellStyle name="Percentuale 10 3 3" xfId="17692" xr:uid="{00000000-0005-0000-0000-000081DA0000}"/>
    <cellStyle name="Percentuale 10 3 3 2" xfId="18700" xr:uid="{00000000-0005-0000-0000-000082DA0000}"/>
    <cellStyle name="Percentuale 10 3 4" xfId="18699" xr:uid="{00000000-0005-0000-0000-000083DA0000}"/>
    <cellStyle name="Percentuale 10 3 5" xfId="17691" xr:uid="{00000000-0005-0000-0000-000084DA0000}"/>
    <cellStyle name="Percentuale 10 4" xfId="9578" xr:uid="{00000000-0005-0000-0000-000085DA0000}"/>
    <cellStyle name="Percentuale 10 4 2" xfId="17694" xr:uid="{00000000-0005-0000-0000-000086DA0000}"/>
    <cellStyle name="Percentuale 10 4 2 2" xfId="18702" xr:uid="{00000000-0005-0000-0000-000087DA0000}"/>
    <cellStyle name="Percentuale 10 4 3" xfId="18701" xr:uid="{00000000-0005-0000-0000-000088DA0000}"/>
    <cellStyle name="Percentuale 10 4 4" xfId="17693" xr:uid="{00000000-0005-0000-0000-000089DA0000}"/>
    <cellStyle name="Percentuale 10 5" xfId="9579" xr:uid="{00000000-0005-0000-0000-00008ADA0000}"/>
    <cellStyle name="Percentuale 10 6" xfId="51304" xr:uid="{00000000-0005-0000-0000-00008BDA0000}"/>
    <cellStyle name="Percentuale 11" xfId="856" xr:uid="{00000000-0005-0000-0000-00008CDA0000}"/>
    <cellStyle name="Percentuale 11 2" xfId="857" xr:uid="{00000000-0005-0000-0000-00008DDA0000}"/>
    <cellStyle name="Percentuale 11 2 2" xfId="1449" xr:uid="{00000000-0005-0000-0000-00008EDA0000}"/>
    <cellStyle name="Percentuale 11 3" xfId="858" xr:uid="{00000000-0005-0000-0000-00008FDA0000}"/>
    <cellStyle name="Percentuale 11 3 2" xfId="859" xr:uid="{00000000-0005-0000-0000-000090DA0000}"/>
    <cellStyle name="Percentuale 11 3 3" xfId="17696" xr:uid="{00000000-0005-0000-0000-000091DA0000}"/>
    <cellStyle name="Percentuale 11 3 3 2" xfId="18704" xr:uid="{00000000-0005-0000-0000-000092DA0000}"/>
    <cellStyle name="Percentuale 11 3 4" xfId="18703" xr:uid="{00000000-0005-0000-0000-000093DA0000}"/>
    <cellStyle name="Percentuale 11 3 5" xfId="17695" xr:uid="{00000000-0005-0000-0000-000094DA0000}"/>
    <cellStyle name="Percentuale 11 4" xfId="9580" xr:uid="{00000000-0005-0000-0000-000095DA0000}"/>
    <cellStyle name="Percentuale 11 4 2" xfId="17698" xr:uid="{00000000-0005-0000-0000-000096DA0000}"/>
    <cellStyle name="Percentuale 11 4 2 2" xfId="18706" xr:uid="{00000000-0005-0000-0000-000097DA0000}"/>
    <cellStyle name="Percentuale 11 4 3" xfId="18705" xr:uid="{00000000-0005-0000-0000-000098DA0000}"/>
    <cellStyle name="Percentuale 11 4 4" xfId="17697" xr:uid="{00000000-0005-0000-0000-000099DA0000}"/>
    <cellStyle name="Percentuale 11 5" xfId="9581" xr:uid="{00000000-0005-0000-0000-00009ADA0000}"/>
    <cellStyle name="Percentuale 11 6" xfId="51305" xr:uid="{00000000-0005-0000-0000-00009BDA0000}"/>
    <cellStyle name="Percentuale 12" xfId="860" xr:uid="{00000000-0005-0000-0000-00009CDA0000}"/>
    <cellStyle name="Percentuale 12 2" xfId="861" xr:uid="{00000000-0005-0000-0000-00009DDA0000}"/>
    <cellStyle name="Percentuale 12 2 2" xfId="1450" xr:uid="{00000000-0005-0000-0000-00009EDA0000}"/>
    <cellStyle name="Percentuale 12 3" xfId="862" xr:uid="{00000000-0005-0000-0000-00009FDA0000}"/>
    <cellStyle name="Percentuale 12 3 2" xfId="863" xr:uid="{00000000-0005-0000-0000-0000A0DA0000}"/>
    <cellStyle name="Percentuale 12 3 3" xfId="17700" xr:uid="{00000000-0005-0000-0000-0000A1DA0000}"/>
    <cellStyle name="Percentuale 12 3 3 2" xfId="18708" xr:uid="{00000000-0005-0000-0000-0000A2DA0000}"/>
    <cellStyle name="Percentuale 12 3 4" xfId="18707" xr:uid="{00000000-0005-0000-0000-0000A3DA0000}"/>
    <cellStyle name="Percentuale 12 3 5" xfId="17699" xr:uid="{00000000-0005-0000-0000-0000A4DA0000}"/>
    <cellStyle name="Percentuale 12 4" xfId="9582" xr:uid="{00000000-0005-0000-0000-0000A5DA0000}"/>
    <cellStyle name="Percentuale 12 4 2" xfId="17702" xr:uid="{00000000-0005-0000-0000-0000A6DA0000}"/>
    <cellStyle name="Percentuale 12 4 2 2" xfId="18710" xr:uid="{00000000-0005-0000-0000-0000A7DA0000}"/>
    <cellStyle name="Percentuale 12 4 3" xfId="18709" xr:uid="{00000000-0005-0000-0000-0000A8DA0000}"/>
    <cellStyle name="Percentuale 12 4 4" xfId="17701" xr:uid="{00000000-0005-0000-0000-0000A9DA0000}"/>
    <cellStyle name="Percentuale 12 5" xfId="9583" xr:uid="{00000000-0005-0000-0000-0000AADA0000}"/>
    <cellStyle name="Percentuale 12 6" xfId="50606" xr:uid="{00000000-0005-0000-0000-0000ABDA0000}"/>
    <cellStyle name="Percentuale 13" xfId="864" xr:uid="{00000000-0005-0000-0000-0000ACDA0000}"/>
    <cellStyle name="Percentuale 13 2" xfId="865" xr:uid="{00000000-0005-0000-0000-0000ADDA0000}"/>
    <cellStyle name="Percentuale 13 2 2" xfId="1451" xr:uid="{00000000-0005-0000-0000-0000AEDA0000}"/>
    <cellStyle name="Percentuale 13 3" xfId="866" xr:uid="{00000000-0005-0000-0000-0000AFDA0000}"/>
    <cellStyle name="Percentuale 13 3 2" xfId="867" xr:uid="{00000000-0005-0000-0000-0000B0DA0000}"/>
    <cellStyle name="Percentuale 13 3 3" xfId="17704" xr:uid="{00000000-0005-0000-0000-0000B1DA0000}"/>
    <cellStyle name="Percentuale 13 3 3 2" xfId="18712" xr:uid="{00000000-0005-0000-0000-0000B2DA0000}"/>
    <cellStyle name="Percentuale 13 3 4" xfId="18711" xr:uid="{00000000-0005-0000-0000-0000B3DA0000}"/>
    <cellStyle name="Percentuale 13 3 5" xfId="17703" xr:uid="{00000000-0005-0000-0000-0000B4DA0000}"/>
    <cellStyle name="Percentuale 13 4" xfId="9584" xr:uid="{00000000-0005-0000-0000-0000B5DA0000}"/>
    <cellStyle name="Percentuale 13 4 2" xfId="17706" xr:uid="{00000000-0005-0000-0000-0000B6DA0000}"/>
    <cellStyle name="Percentuale 13 4 2 2" xfId="18714" xr:uid="{00000000-0005-0000-0000-0000B7DA0000}"/>
    <cellStyle name="Percentuale 13 4 3" xfId="18713" xr:uid="{00000000-0005-0000-0000-0000B8DA0000}"/>
    <cellStyle name="Percentuale 13 4 4" xfId="17705" xr:uid="{00000000-0005-0000-0000-0000B9DA0000}"/>
    <cellStyle name="Percentuale 13 5" xfId="9585" xr:uid="{00000000-0005-0000-0000-0000BADA0000}"/>
    <cellStyle name="Percentuale 13 6" xfId="51233" xr:uid="{00000000-0005-0000-0000-0000BBDA0000}"/>
    <cellStyle name="Percentuale 14" xfId="868" xr:uid="{00000000-0005-0000-0000-0000BCDA0000}"/>
    <cellStyle name="Percentuale 14 2" xfId="869" xr:uid="{00000000-0005-0000-0000-0000BDDA0000}"/>
    <cellStyle name="Percentuale 14 2 2" xfId="1452" xr:uid="{00000000-0005-0000-0000-0000BEDA0000}"/>
    <cellStyle name="Percentuale 14 3" xfId="870" xr:uid="{00000000-0005-0000-0000-0000BFDA0000}"/>
    <cellStyle name="Percentuale 14 3 2" xfId="871" xr:uid="{00000000-0005-0000-0000-0000C0DA0000}"/>
    <cellStyle name="Percentuale 14 3 3" xfId="17708" xr:uid="{00000000-0005-0000-0000-0000C1DA0000}"/>
    <cellStyle name="Percentuale 14 3 3 2" xfId="18716" xr:uid="{00000000-0005-0000-0000-0000C2DA0000}"/>
    <cellStyle name="Percentuale 14 3 4" xfId="18715" xr:uid="{00000000-0005-0000-0000-0000C3DA0000}"/>
    <cellStyle name="Percentuale 14 3 5" xfId="17707" xr:uid="{00000000-0005-0000-0000-0000C4DA0000}"/>
    <cellStyle name="Percentuale 14 4" xfId="9586" xr:uid="{00000000-0005-0000-0000-0000C5DA0000}"/>
    <cellStyle name="Percentuale 14 4 2" xfId="17710" xr:uid="{00000000-0005-0000-0000-0000C6DA0000}"/>
    <cellStyle name="Percentuale 14 4 2 2" xfId="18718" xr:uid="{00000000-0005-0000-0000-0000C7DA0000}"/>
    <cellStyle name="Percentuale 14 4 3" xfId="18717" xr:uid="{00000000-0005-0000-0000-0000C8DA0000}"/>
    <cellStyle name="Percentuale 14 4 4" xfId="17709" xr:uid="{00000000-0005-0000-0000-0000C9DA0000}"/>
    <cellStyle name="Percentuale 14 5" xfId="9587" xr:uid="{00000000-0005-0000-0000-0000CADA0000}"/>
    <cellStyle name="Percentuale 14 6" xfId="51065" xr:uid="{00000000-0005-0000-0000-0000CBDA0000}"/>
    <cellStyle name="Percentuale 15" xfId="872" xr:uid="{00000000-0005-0000-0000-0000CCDA0000}"/>
    <cellStyle name="Percentuale 15 2" xfId="873" xr:uid="{00000000-0005-0000-0000-0000CDDA0000}"/>
    <cellStyle name="Percentuale 15 2 2" xfId="1453" xr:uid="{00000000-0005-0000-0000-0000CEDA0000}"/>
    <cellStyle name="Percentuale 15 3" xfId="874" xr:uid="{00000000-0005-0000-0000-0000CFDA0000}"/>
    <cellStyle name="Percentuale 15 3 2" xfId="875" xr:uid="{00000000-0005-0000-0000-0000D0DA0000}"/>
    <cellStyle name="Percentuale 15 3 3" xfId="17712" xr:uid="{00000000-0005-0000-0000-0000D1DA0000}"/>
    <cellStyle name="Percentuale 15 3 3 2" xfId="18720" xr:uid="{00000000-0005-0000-0000-0000D2DA0000}"/>
    <cellStyle name="Percentuale 15 3 4" xfId="18719" xr:uid="{00000000-0005-0000-0000-0000D3DA0000}"/>
    <cellStyle name="Percentuale 15 3 5" xfId="17711" xr:uid="{00000000-0005-0000-0000-0000D4DA0000}"/>
    <cellStyle name="Percentuale 15 4" xfId="9588" xr:uid="{00000000-0005-0000-0000-0000D5DA0000}"/>
    <cellStyle name="Percentuale 15 4 2" xfId="17714" xr:uid="{00000000-0005-0000-0000-0000D6DA0000}"/>
    <cellStyle name="Percentuale 15 4 2 2" xfId="18722" xr:uid="{00000000-0005-0000-0000-0000D7DA0000}"/>
    <cellStyle name="Percentuale 15 4 3" xfId="18721" xr:uid="{00000000-0005-0000-0000-0000D8DA0000}"/>
    <cellStyle name="Percentuale 15 4 4" xfId="17713" xr:uid="{00000000-0005-0000-0000-0000D9DA0000}"/>
    <cellStyle name="Percentuale 15 5" xfId="9589" xr:uid="{00000000-0005-0000-0000-0000DADA0000}"/>
    <cellStyle name="Percentuale 15 6" xfId="51016" xr:uid="{00000000-0005-0000-0000-0000DBDA0000}"/>
    <cellStyle name="Percentuale 16" xfId="876" xr:uid="{00000000-0005-0000-0000-0000DCDA0000}"/>
    <cellStyle name="Percentuale 16 2" xfId="877" xr:uid="{00000000-0005-0000-0000-0000DDDA0000}"/>
    <cellStyle name="Percentuale 16 2 2" xfId="1454" xr:uid="{00000000-0005-0000-0000-0000DEDA0000}"/>
    <cellStyle name="Percentuale 16 3" xfId="878" xr:uid="{00000000-0005-0000-0000-0000DFDA0000}"/>
    <cellStyle name="Percentuale 16 3 2" xfId="879" xr:uid="{00000000-0005-0000-0000-0000E0DA0000}"/>
    <cellStyle name="Percentuale 16 3 3" xfId="17716" xr:uid="{00000000-0005-0000-0000-0000E1DA0000}"/>
    <cellStyle name="Percentuale 16 3 3 2" xfId="18724" xr:uid="{00000000-0005-0000-0000-0000E2DA0000}"/>
    <cellStyle name="Percentuale 16 3 4" xfId="18723" xr:uid="{00000000-0005-0000-0000-0000E3DA0000}"/>
    <cellStyle name="Percentuale 16 3 5" xfId="17715" xr:uid="{00000000-0005-0000-0000-0000E4DA0000}"/>
    <cellStyle name="Percentuale 16 4" xfId="9590" xr:uid="{00000000-0005-0000-0000-0000E5DA0000}"/>
    <cellStyle name="Percentuale 16 4 2" xfId="17718" xr:uid="{00000000-0005-0000-0000-0000E6DA0000}"/>
    <cellStyle name="Percentuale 16 4 2 2" xfId="18726" xr:uid="{00000000-0005-0000-0000-0000E7DA0000}"/>
    <cellStyle name="Percentuale 16 4 3" xfId="18725" xr:uid="{00000000-0005-0000-0000-0000E8DA0000}"/>
    <cellStyle name="Percentuale 16 4 4" xfId="17717" xr:uid="{00000000-0005-0000-0000-0000E9DA0000}"/>
    <cellStyle name="Percentuale 16 5" xfId="9591" xr:uid="{00000000-0005-0000-0000-0000EADA0000}"/>
    <cellStyle name="Percentuale 16 6" xfId="51306" xr:uid="{00000000-0005-0000-0000-0000EBDA0000}"/>
    <cellStyle name="Percentuale 17" xfId="880" xr:uid="{00000000-0005-0000-0000-0000ECDA0000}"/>
    <cellStyle name="Percentuale 17 2" xfId="881" xr:uid="{00000000-0005-0000-0000-0000EDDA0000}"/>
    <cellStyle name="Percentuale 17 2 2" xfId="1455" xr:uid="{00000000-0005-0000-0000-0000EEDA0000}"/>
    <cellStyle name="Percentuale 17 3" xfId="882" xr:uid="{00000000-0005-0000-0000-0000EFDA0000}"/>
    <cellStyle name="Percentuale 17 3 2" xfId="883" xr:uid="{00000000-0005-0000-0000-0000F0DA0000}"/>
    <cellStyle name="Percentuale 17 3 3" xfId="17720" xr:uid="{00000000-0005-0000-0000-0000F1DA0000}"/>
    <cellStyle name="Percentuale 17 3 3 2" xfId="18728" xr:uid="{00000000-0005-0000-0000-0000F2DA0000}"/>
    <cellStyle name="Percentuale 17 3 4" xfId="18727" xr:uid="{00000000-0005-0000-0000-0000F3DA0000}"/>
    <cellStyle name="Percentuale 17 3 5" xfId="17719" xr:uid="{00000000-0005-0000-0000-0000F4DA0000}"/>
    <cellStyle name="Percentuale 17 4" xfId="9592" xr:uid="{00000000-0005-0000-0000-0000F5DA0000}"/>
    <cellStyle name="Percentuale 17 4 2" xfId="17722" xr:uid="{00000000-0005-0000-0000-0000F6DA0000}"/>
    <cellStyle name="Percentuale 17 4 2 2" xfId="18730" xr:uid="{00000000-0005-0000-0000-0000F7DA0000}"/>
    <cellStyle name="Percentuale 17 4 3" xfId="18729" xr:uid="{00000000-0005-0000-0000-0000F8DA0000}"/>
    <cellStyle name="Percentuale 17 4 4" xfId="17721" xr:uid="{00000000-0005-0000-0000-0000F9DA0000}"/>
    <cellStyle name="Percentuale 17 5" xfId="9593" xr:uid="{00000000-0005-0000-0000-0000FADA0000}"/>
    <cellStyle name="Percentuale 17 6" xfId="51072" xr:uid="{00000000-0005-0000-0000-0000FBDA0000}"/>
    <cellStyle name="Percentuale 18" xfId="884" xr:uid="{00000000-0005-0000-0000-0000FCDA0000}"/>
    <cellStyle name="Percentuale 18 2" xfId="885" xr:uid="{00000000-0005-0000-0000-0000FDDA0000}"/>
    <cellStyle name="Percentuale 18 2 2" xfId="1456" xr:uid="{00000000-0005-0000-0000-0000FEDA0000}"/>
    <cellStyle name="Percentuale 18 3" xfId="886" xr:uid="{00000000-0005-0000-0000-0000FFDA0000}"/>
    <cellStyle name="Percentuale 18 3 2" xfId="887" xr:uid="{00000000-0005-0000-0000-000000DB0000}"/>
    <cellStyle name="Percentuale 18 3 3" xfId="17724" xr:uid="{00000000-0005-0000-0000-000001DB0000}"/>
    <cellStyle name="Percentuale 18 3 3 2" xfId="18732" xr:uid="{00000000-0005-0000-0000-000002DB0000}"/>
    <cellStyle name="Percentuale 18 3 4" xfId="18731" xr:uid="{00000000-0005-0000-0000-000003DB0000}"/>
    <cellStyle name="Percentuale 18 3 5" xfId="17723" xr:uid="{00000000-0005-0000-0000-000004DB0000}"/>
    <cellStyle name="Percentuale 18 4" xfId="9594" xr:uid="{00000000-0005-0000-0000-000005DB0000}"/>
    <cellStyle name="Percentuale 18 4 2" xfId="17726" xr:uid="{00000000-0005-0000-0000-000006DB0000}"/>
    <cellStyle name="Percentuale 18 4 2 2" xfId="18734" xr:uid="{00000000-0005-0000-0000-000007DB0000}"/>
    <cellStyle name="Percentuale 18 4 3" xfId="18733" xr:uid="{00000000-0005-0000-0000-000008DB0000}"/>
    <cellStyle name="Percentuale 18 4 4" xfId="17725" xr:uid="{00000000-0005-0000-0000-000009DB0000}"/>
    <cellStyle name="Percentuale 18 5" xfId="9595" xr:uid="{00000000-0005-0000-0000-00000ADB0000}"/>
    <cellStyle name="Percentuale 18 6" xfId="51214" xr:uid="{00000000-0005-0000-0000-00000BDB0000}"/>
    <cellStyle name="Percentuale 19" xfId="888" xr:uid="{00000000-0005-0000-0000-00000CDB0000}"/>
    <cellStyle name="Percentuale 19 2" xfId="889" xr:uid="{00000000-0005-0000-0000-00000DDB0000}"/>
    <cellStyle name="Percentuale 19 2 2" xfId="1457" xr:uid="{00000000-0005-0000-0000-00000EDB0000}"/>
    <cellStyle name="Percentuale 19 3" xfId="890" xr:uid="{00000000-0005-0000-0000-00000FDB0000}"/>
    <cellStyle name="Percentuale 19 3 2" xfId="891" xr:uid="{00000000-0005-0000-0000-000010DB0000}"/>
    <cellStyle name="Percentuale 19 3 3" xfId="17728" xr:uid="{00000000-0005-0000-0000-000011DB0000}"/>
    <cellStyle name="Percentuale 19 3 3 2" xfId="18736" xr:uid="{00000000-0005-0000-0000-000012DB0000}"/>
    <cellStyle name="Percentuale 19 3 4" xfId="18735" xr:uid="{00000000-0005-0000-0000-000013DB0000}"/>
    <cellStyle name="Percentuale 19 3 5" xfId="17727" xr:uid="{00000000-0005-0000-0000-000014DB0000}"/>
    <cellStyle name="Percentuale 19 4" xfId="9596" xr:uid="{00000000-0005-0000-0000-000015DB0000}"/>
    <cellStyle name="Percentuale 19 4 2" xfId="17730" xr:uid="{00000000-0005-0000-0000-000016DB0000}"/>
    <cellStyle name="Percentuale 19 4 2 2" xfId="18738" xr:uid="{00000000-0005-0000-0000-000017DB0000}"/>
    <cellStyle name="Percentuale 19 4 3" xfId="18737" xr:uid="{00000000-0005-0000-0000-000018DB0000}"/>
    <cellStyle name="Percentuale 19 4 4" xfId="17729" xr:uid="{00000000-0005-0000-0000-000019DB0000}"/>
    <cellStyle name="Percentuale 19 5" xfId="9597" xr:uid="{00000000-0005-0000-0000-00001ADB0000}"/>
    <cellStyle name="Percentuale 19 6" xfId="51015" xr:uid="{00000000-0005-0000-0000-00001BDB0000}"/>
    <cellStyle name="Percentuale 2" xfId="892" xr:uid="{00000000-0005-0000-0000-00001CDB0000}"/>
    <cellStyle name="Percentuale 2 2" xfId="893" xr:uid="{00000000-0005-0000-0000-00001DDB0000}"/>
    <cellStyle name="Percentuale 2 2 2" xfId="1458" xr:uid="{00000000-0005-0000-0000-00001EDB0000}"/>
    <cellStyle name="Percentuale 2 3" xfId="894" xr:uid="{00000000-0005-0000-0000-00001FDB0000}"/>
    <cellStyle name="Percentuale 2 3 2" xfId="895" xr:uid="{00000000-0005-0000-0000-000020DB0000}"/>
    <cellStyle name="Percentuale 2 3 3" xfId="17732" xr:uid="{00000000-0005-0000-0000-000021DB0000}"/>
    <cellStyle name="Percentuale 2 3 3 2" xfId="18740" xr:uid="{00000000-0005-0000-0000-000022DB0000}"/>
    <cellStyle name="Percentuale 2 3 4" xfId="18739" xr:uid="{00000000-0005-0000-0000-000023DB0000}"/>
    <cellStyle name="Percentuale 2 3 5" xfId="17731" xr:uid="{00000000-0005-0000-0000-000024DB0000}"/>
    <cellStyle name="Percentuale 2 4" xfId="9598" xr:uid="{00000000-0005-0000-0000-000025DB0000}"/>
    <cellStyle name="Percentuale 2 4 2" xfId="17734" xr:uid="{00000000-0005-0000-0000-000026DB0000}"/>
    <cellStyle name="Percentuale 2 4 2 2" xfId="18742" xr:uid="{00000000-0005-0000-0000-000027DB0000}"/>
    <cellStyle name="Percentuale 2 4 3" xfId="18741" xr:uid="{00000000-0005-0000-0000-000028DB0000}"/>
    <cellStyle name="Percentuale 2 4 4" xfId="17733" xr:uid="{00000000-0005-0000-0000-000029DB0000}"/>
    <cellStyle name="Percentuale 2 5" xfId="9599" xr:uid="{00000000-0005-0000-0000-00002ADB0000}"/>
    <cellStyle name="Percentuale 2 6" xfId="50605" xr:uid="{00000000-0005-0000-0000-00002BDB0000}"/>
    <cellStyle name="Percentuale 20" xfId="896" xr:uid="{00000000-0005-0000-0000-00002CDB0000}"/>
    <cellStyle name="Percentuale 20 2" xfId="897" xr:uid="{00000000-0005-0000-0000-00002DDB0000}"/>
    <cellStyle name="Percentuale 20 2 2" xfId="1459" xr:uid="{00000000-0005-0000-0000-00002EDB0000}"/>
    <cellStyle name="Percentuale 20 3" xfId="898" xr:uid="{00000000-0005-0000-0000-00002FDB0000}"/>
    <cellStyle name="Percentuale 20 3 2" xfId="899" xr:uid="{00000000-0005-0000-0000-000030DB0000}"/>
    <cellStyle name="Percentuale 20 3 3" xfId="17736" xr:uid="{00000000-0005-0000-0000-000031DB0000}"/>
    <cellStyle name="Percentuale 20 3 3 2" xfId="18744" xr:uid="{00000000-0005-0000-0000-000032DB0000}"/>
    <cellStyle name="Percentuale 20 3 4" xfId="18743" xr:uid="{00000000-0005-0000-0000-000033DB0000}"/>
    <cellStyle name="Percentuale 20 3 5" xfId="17735" xr:uid="{00000000-0005-0000-0000-000034DB0000}"/>
    <cellStyle name="Percentuale 20 4" xfId="9600" xr:uid="{00000000-0005-0000-0000-000035DB0000}"/>
    <cellStyle name="Percentuale 20 4 2" xfId="17738" xr:uid="{00000000-0005-0000-0000-000036DB0000}"/>
    <cellStyle name="Percentuale 20 4 2 2" xfId="18746" xr:uid="{00000000-0005-0000-0000-000037DB0000}"/>
    <cellStyle name="Percentuale 20 4 3" xfId="18745" xr:uid="{00000000-0005-0000-0000-000038DB0000}"/>
    <cellStyle name="Percentuale 20 4 4" xfId="17737" xr:uid="{00000000-0005-0000-0000-000039DB0000}"/>
    <cellStyle name="Percentuale 20 5" xfId="9601" xr:uid="{00000000-0005-0000-0000-00003ADB0000}"/>
    <cellStyle name="Percentuale 20 6" xfId="51013" xr:uid="{00000000-0005-0000-0000-00003BDB0000}"/>
    <cellStyle name="Percentuale 21" xfId="900" xr:uid="{00000000-0005-0000-0000-00003CDB0000}"/>
    <cellStyle name="Percentuale 21 2" xfId="901" xr:uid="{00000000-0005-0000-0000-00003DDB0000}"/>
    <cellStyle name="Percentuale 21 2 2" xfId="1460" xr:uid="{00000000-0005-0000-0000-00003EDB0000}"/>
    <cellStyle name="Percentuale 21 3" xfId="902" xr:uid="{00000000-0005-0000-0000-00003FDB0000}"/>
    <cellStyle name="Percentuale 21 3 2" xfId="903" xr:uid="{00000000-0005-0000-0000-000040DB0000}"/>
    <cellStyle name="Percentuale 21 3 3" xfId="17740" xr:uid="{00000000-0005-0000-0000-000041DB0000}"/>
    <cellStyle name="Percentuale 21 3 3 2" xfId="18748" xr:uid="{00000000-0005-0000-0000-000042DB0000}"/>
    <cellStyle name="Percentuale 21 3 4" xfId="18747" xr:uid="{00000000-0005-0000-0000-000043DB0000}"/>
    <cellStyle name="Percentuale 21 3 5" xfId="17739" xr:uid="{00000000-0005-0000-0000-000044DB0000}"/>
    <cellStyle name="Percentuale 21 4" xfId="9602" xr:uid="{00000000-0005-0000-0000-000045DB0000}"/>
    <cellStyle name="Percentuale 21 4 2" xfId="17742" xr:uid="{00000000-0005-0000-0000-000046DB0000}"/>
    <cellStyle name="Percentuale 21 4 2 2" xfId="18750" xr:uid="{00000000-0005-0000-0000-000047DB0000}"/>
    <cellStyle name="Percentuale 21 4 3" xfId="18749" xr:uid="{00000000-0005-0000-0000-000048DB0000}"/>
    <cellStyle name="Percentuale 21 4 4" xfId="17741" xr:uid="{00000000-0005-0000-0000-000049DB0000}"/>
    <cellStyle name="Percentuale 21 5" xfId="9603" xr:uid="{00000000-0005-0000-0000-00004ADB0000}"/>
    <cellStyle name="Percentuale 21 6" xfId="51307" xr:uid="{00000000-0005-0000-0000-00004BDB0000}"/>
    <cellStyle name="Percentuale 22" xfId="904" xr:uid="{00000000-0005-0000-0000-00004CDB0000}"/>
    <cellStyle name="Percentuale 22 2" xfId="905" xr:uid="{00000000-0005-0000-0000-00004DDB0000}"/>
    <cellStyle name="Percentuale 22 2 2" xfId="1461" xr:uid="{00000000-0005-0000-0000-00004EDB0000}"/>
    <cellStyle name="Percentuale 22 3" xfId="906" xr:uid="{00000000-0005-0000-0000-00004FDB0000}"/>
    <cellStyle name="Percentuale 22 3 2" xfId="907" xr:uid="{00000000-0005-0000-0000-000050DB0000}"/>
    <cellStyle name="Percentuale 22 3 3" xfId="17744" xr:uid="{00000000-0005-0000-0000-000051DB0000}"/>
    <cellStyle name="Percentuale 22 3 3 2" xfId="18752" xr:uid="{00000000-0005-0000-0000-000052DB0000}"/>
    <cellStyle name="Percentuale 22 3 4" xfId="18751" xr:uid="{00000000-0005-0000-0000-000053DB0000}"/>
    <cellStyle name="Percentuale 22 3 5" xfId="17743" xr:uid="{00000000-0005-0000-0000-000054DB0000}"/>
    <cellStyle name="Percentuale 22 4" xfId="9604" xr:uid="{00000000-0005-0000-0000-000055DB0000}"/>
    <cellStyle name="Percentuale 22 4 2" xfId="17746" xr:uid="{00000000-0005-0000-0000-000056DB0000}"/>
    <cellStyle name="Percentuale 22 4 2 2" xfId="18754" xr:uid="{00000000-0005-0000-0000-000057DB0000}"/>
    <cellStyle name="Percentuale 22 4 3" xfId="18753" xr:uid="{00000000-0005-0000-0000-000058DB0000}"/>
    <cellStyle name="Percentuale 22 4 4" xfId="17745" xr:uid="{00000000-0005-0000-0000-000059DB0000}"/>
    <cellStyle name="Percentuale 22 5" xfId="9605" xr:uid="{00000000-0005-0000-0000-00005ADB0000}"/>
    <cellStyle name="Percentuale 22 6" xfId="51014" xr:uid="{00000000-0005-0000-0000-00005BDB0000}"/>
    <cellStyle name="Percentuale 23" xfId="908" xr:uid="{00000000-0005-0000-0000-00005CDB0000}"/>
    <cellStyle name="Percentuale 23 2" xfId="909" xr:uid="{00000000-0005-0000-0000-00005DDB0000}"/>
    <cellStyle name="Percentuale 23 2 2" xfId="1462" xr:uid="{00000000-0005-0000-0000-00005EDB0000}"/>
    <cellStyle name="Percentuale 23 3" xfId="910" xr:uid="{00000000-0005-0000-0000-00005FDB0000}"/>
    <cellStyle name="Percentuale 23 3 2" xfId="911" xr:uid="{00000000-0005-0000-0000-000060DB0000}"/>
    <cellStyle name="Percentuale 23 3 3" xfId="17748" xr:uid="{00000000-0005-0000-0000-000061DB0000}"/>
    <cellStyle name="Percentuale 23 3 3 2" xfId="18756" xr:uid="{00000000-0005-0000-0000-000062DB0000}"/>
    <cellStyle name="Percentuale 23 3 4" xfId="18755" xr:uid="{00000000-0005-0000-0000-000063DB0000}"/>
    <cellStyle name="Percentuale 23 3 5" xfId="17747" xr:uid="{00000000-0005-0000-0000-000064DB0000}"/>
    <cellStyle name="Percentuale 23 4" xfId="9606" xr:uid="{00000000-0005-0000-0000-000065DB0000}"/>
    <cellStyle name="Percentuale 23 4 2" xfId="17750" xr:uid="{00000000-0005-0000-0000-000066DB0000}"/>
    <cellStyle name="Percentuale 23 4 2 2" xfId="18758" xr:uid="{00000000-0005-0000-0000-000067DB0000}"/>
    <cellStyle name="Percentuale 23 4 3" xfId="18757" xr:uid="{00000000-0005-0000-0000-000068DB0000}"/>
    <cellStyle name="Percentuale 23 4 4" xfId="17749" xr:uid="{00000000-0005-0000-0000-000069DB0000}"/>
    <cellStyle name="Percentuale 23 5" xfId="9607" xr:uid="{00000000-0005-0000-0000-00006ADB0000}"/>
    <cellStyle name="Percentuale 23 6" xfId="50604" xr:uid="{00000000-0005-0000-0000-00006BDB0000}"/>
    <cellStyle name="Percentuale 24" xfId="912" xr:uid="{00000000-0005-0000-0000-00006CDB0000}"/>
    <cellStyle name="Percentuale 24 2" xfId="913" xr:uid="{00000000-0005-0000-0000-00006DDB0000}"/>
    <cellStyle name="Percentuale 24 2 2" xfId="1463" xr:uid="{00000000-0005-0000-0000-00006EDB0000}"/>
    <cellStyle name="Percentuale 24 3" xfId="914" xr:uid="{00000000-0005-0000-0000-00006FDB0000}"/>
    <cellStyle name="Percentuale 24 3 2" xfId="915" xr:uid="{00000000-0005-0000-0000-000070DB0000}"/>
    <cellStyle name="Percentuale 24 3 3" xfId="17752" xr:uid="{00000000-0005-0000-0000-000071DB0000}"/>
    <cellStyle name="Percentuale 24 3 3 2" xfId="18760" xr:uid="{00000000-0005-0000-0000-000072DB0000}"/>
    <cellStyle name="Percentuale 24 3 4" xfId="18759" xr:uid="{00000000-0005-0000-0000-000073DB0000}"/>
    <cellStyle name="Percentuale 24 3 5" xfId="17751" xr:uid="{00000000-0005-0000-0000-000074DB0000}"/>
    <cellStyle name="Percentuale 24 4" xfId="9608" xr:uid="{00000000-0005-0000-0000-000075DB0000}"/>
    <cellStyle name="Percentuale 24 4 2" xfId="17754" xr:uid="{00000000-0005-0000-0000-000076DB0000}"/>
    <cellStyle name="Percentuale 24 4 2 2" xfId="18762" xr:uid="{00000000-0005-0000-0000-000077DB0000}"/>
    <cellStyle name="Percentuale 24 4 3" xfId="18761" xr:uid="{00000000-0005-0000-0000-000078DB0000}"/>
    <cellStyle name="Percentuale 24 4 4" xfId="17753" xr:uid="{00000000-0005-0000-0000-000079DB0000}"/>
    <cellStyle name="Percentuale 24 5" xfId="9609" xr:uid="{00000000-0005-0000-0000-00007ADB0000}"/>
    <cellStyle name="Percentuale 24 6" xfId="51012" xr:uid="{00000000-0005-0000-0000-00007BDB0000}"/>
    <cellStyle name="Percentuale 25" xfId="916" xr:uid="{00000000-0005-0000-0000-00007CDB0000}"/>
    <cellStyle name="Percentuale 25 2" xfId="917" xr:uid="{00000000-0005-0000-0000-00007DDB0000}"/>
    <cellStyle name="Percentuale 25 2 2" xfId="1464" xr:uid="{00000000-0005-0000-0000-00007EDB0000}"/>
    <cellStyle name="Percentuale 25 3" xfId="918" xr:uid="{00000000-0005-0000-0000-00007FDB0000}"/>
    <cellStyle name="Percentuale 25 3 2" xfId="919" xr:uid="{00000000-0005-0000-0000-000080DB0000}"/>
    <cellStyle name="Percentuale 25 3 3" xfId="17756" xr:uid="{00000000-0005-0000-0000-000081DB0000}"/>
    <cellStyle name="Percentuale 25 3 3 2" xfId="18764" xr:uid="{00000000-0005-0000-0000-000082DB0000}"/>
    <cellStyle name="Percentuale 25 3 4" xfId="18763" xr:uid="{00000000-0005-0000-0000-000083DB0000}"/>
    <cellStyle name="Percentuale 25 3 5" xfId="17755" xr:uid="{00000000-0005-0000-0000-000084DB0000}"/>
    <cellStyle name="Percentuale 25 4" xfId="9610" xr:uid="{00000000-0005-0000-0000-000085DB0000}"/>
    <cellStyle name="Percentuale 25 4 2" xfId="17758" xr:uid="{00000000-0005-0000-0000-000086DB0000}"/>
    <cellStyle name="Percentuale 25 4 2 2" xfId="18766" xr:uid="{00000000-0005-0000-0000-000087DB0000}"/>
    <cellStyle name="Percentuale 25 4 3" xfId="18765" xr:uid="{00000000-0005-0000-0000-000088DB0000}"/>
    <cellStyle name="Percentuale 25 4 4" xfId="17757" xr:uid="{00000000-0005-0000-0000-000089DB0000}"/>
    <cellStyle name="Percentuale 25 5" xfId="9611" xr:uid="{00000000-0005-0000-0000-00008ADB0000}"/>
    <cellStyle name="Percentuale 25 6" xfId="51308" xr:uid="{00000000-0005-0000-0000-00008BDB0000}"/>
    <cellStyle name="Percentuale 26" xfId="920" xr:uid="{00000000-0005-0000-0000-00008CDB0000}"/>
    <cellStyle name="Percentuale 26 2" xfId="921" xr:uid="{00000000-0005-0000-0000-00008DDB0000}"/>
    <cellStyle name="Percentuale 26 2 2" xfId="1465" xr:uid="{00000000-0005-0000-0000-00008EDB0000}"/>
    <cellStyle name="Percentuale 26 3" xfId="922" xr:uid="{00000000-0005-0000-0000-00008FDB0000}"/>
    <cellStyle name="Percentuale 26 3 2" xfId="923" xr:uid="{00000000-0005-0000-0000-000090DB0000}"/>
    <cellStyle name="Percentuale 26 3 3" xfId="17760" xr:uid="{00000000-0005-0000-0000-000091DB0000}"/>
    <cellStyle name="Percentuale 26 3 3 2" xfId="18768" xr:uid="{00000000-0005-0000-0000-000092DB0000}"/>
    <cellStyle name="Percentuale 26 3 4" xfId="18767" xr:uid="{00000000-0005-0000-0000-000093DB0000}"/>
    <cellStyle name="Percentuale 26 3 5" xfId="17759" xr:uid="{00000000-0005-0000-0000-000094DB0000}"/>
    <cellStyle name="Percentuale 26 4" xfId="9612" xr:uid="{00000000-0005-0000-0000-000095DB0000}"/>
    <cellStyle name="Percentuale 26 4 2" xfId="17762" xr:uid="{00000000-0005-0000-0000-000096DB0000}"/>
    <cellStyle name="Percentuale 26 4 2 2" xfId="18770" xr:uid="{00000000-0005-0000-0000-000097DB0000}"/>
    <cellStyle name="Percentuale 26 4 3" xfId="18769" xr:uid="{00000000-0005-0000-0000-000098DB0000}"/>
    <cellStyle name="Percentuale 26 4 4" xfId="17761" xr:uid="{00000000-0005-0000-0000-000099DB0000}"/>
    <cellStyle name="Percentuale 26 5" xfId="9613" xr:uid="{00000000-0005-0000-0000-00009ADB0000}"/>
    <cellStyle name="Percentuale 26 6" xfId="51309" xr:uid="{00000000-0005-0000-0000-00009BDB0000}"/>
    <cellStyle name="Percentuale 27" xfId="924" xr:uid="{00000000-0005-0000-0000-00009CDB0000}"/>
    <cellStyle name="Percentuale 27 2" xfId="925" xr:uid="{00000000-0005-0000-0000-00009DDB0000}"/>
    <cellStyle name="Percentuale 27 2 2" xfId="1466" xr:uid="{00000000-0005-0000-0000-00009EDB0000}"/>
    <cellStyle name="Percentuale 27 3" xfId="926" xr:uid="{00000000-0005-0000-0000-00009FDB0000}"/>
    <cellStyle name="Percentuale 27 3 2" xfId="927" xr:uid="{00000000-0005-0000-0000-0000A0DB0000}"/>
    <cellStyle name="Percentuale 27 3 3" xfId="17764" xr:uid="{00000000-0005-0000-0000-0000A1DB0000}"/>
    <cellStyle name="Percentuale 27 3 3 2" xfId="18772" xr:uid="{00000000-0005-0000-0000-0000A2DB0000}"/>
    <cellStyle name="Percentuale 27 3 4" xfId="18771" xr:uid="{00000000-0005-0000-0000-0000A3DB0000}"/>
    <cellStyle name="Percentuale 27 3 5" xfId="17763" xr:uid="{00000000-0005-0000-0000-0000A4DB0000}"/>
    <cellStyle name="Percentuale 27 4" xfId="9614" xr:uid="{00000000-0005-0000-0000-0000A5DB0000}"/>
    <cellStyle name="Percentuale 27 4 2" xfId="17766" xr:uid="{00000000-0005-0000-0000-0000A6DB0000}"/>
    <cellStyle name="Percentuale 27 4 2 2" xfId="18774" xr:uid="{00000000-0005-0000-0000-0000A7DB0000}"/>
    <cellStyle name="Percentuale 27 4 3" xfId="18773" xr:uid="{00000000-0005-0000-0000-0000A8DB0000}"/>
    <cellStyle name="Percentuale 27 4 4" xfId="17765" xr:uid="{00000000-0005-0000-0000-0000A9DB0000}"/>
    <cellStyle name="Percentuale 27 5" xfId="9615" xr:uid="{00000000-0005-0000-0000-0000AADB0000}"/>
    <cellStyle name="Percentuale 27 6" xfId="51310" xr:uid="{00000000-0005-0000-0000-0000ABDB0000}"/>
    <cellStyle name="Percentuale 28" xfId="928" xr:uid="{00000000-0005-0000-0000-0000ACDB0000}"/>
    <cellStyle name="Percentuale 28 2" xfId="929" xr:uid="{00000000-0005-0000-0000-0000ADDB0000}"/>
    <cellStyle name="Percentuale 28 2 2" xfId="1467" xr:uid="{00000000-0005-0000-0000-0000AEDB0000}"/>
    <cellStyle name="Percentuale 28 3" xfId="930" xr:uid="{00000000-0005-0000-0000-0000AFDB0000}"/>
    <cellStyle name="Percentuale 28 3 2" xfId="931" xr:uid="{00000000-0005-0000-0000-0000B0DB0000}"/>
    <cellStyle name="Percentuale 28 3 3" xfId="17768" xr:uid="{00000000-0005-0000-0000-0000B1DB0000}"/>
    <cellStyle name="Percentuale 28 3 3 2" xfId="18776" xr:uid="{00000000-0005-0000-0000-0000B2DB0000}"/>
    <cellStyle name="Percentuale 28 3 4" xfId="18775" xr:uid="{00000000-0005-0000-0000-0000B3DB0000}"/>
    <cellStyle name="Percentuale 28 3 5" xfId="17767" xr:uid="{00000000-0005-0000-0000-0000B4DB0000}"/>
    <cellStyle name="Percentuale 28 4" xfId="9616" xr:uid="{00000000-0005-0000-0000-0000B5DB0000}"/>
    <cellStyle name="Percentuale 28 4 2" xfId="17770" xr:uid="{00000000-0005-0000-0000-0000B6DB0000}"/>
    <cellStyle name="Percentuale 28 4 2 2" xfId="18778" xr:uid="{00000000-0005-0000-0000-0000B7DB0000}"/>
    <cellStyle name="Percentuale 28 4 3" xfId="18777" xr:uid="{00000000-0005-0000-0000-0000B8DB0000}"/>
    <cellStyle name="Percentuale 28 4 4" xfId="17769" xr:uid="{00000000-0005-0000-0000-0000B9DB0000}"/>
    <cellStyle name="Percentuale 28 5" xfId="9617" xr:uid="{00000000-0005-0000-0000-0000BADB0000}"/>
    <cellStyle name="Percentuale 28 6" xfId="51311" xr:uid="{00000000-0005-0000-0000-0000BBDB0000}"/>
    <cellStyle name="Percentuale 29" xfId="932" xr:uid="{00000000-0005-0000-0000-0000BCDB0000}"/>
    <cellStyle name="Percentuale 29 2" xfId="933" xr:uid="{00000000-0005-0000-0000-0000BDDB0000}"/>
    <cellStyle name="Percentuale 29 2 2" xfId="1468" xr:uid="{00000000-0005-0000-0000-0000BEDB0000}"/>
    <cellStyle name="Percentuale 29 3" xfId="934" xr:uid="{00000000-0005-0000-0000-0000BFDB0000}"/>
    <cellStyle name="Percentuale 29 3 2" xfId="935" xr:uid="{00000000-0005-0000-0000-0000C0DB0000}"/>
    <cellStyle name="Percentuale 29 3 3" xfId="17772" xr:uid="{00000000-0005-0000-0000-0000C1DB0000}"/>
    <cellStyle name="Percentuale 29 3 3 2" xfId="18780" xr:uid="{00000000-0005-0000-0000-0000C2DB0000}"/>
    <cellStyle name="Percentuale 29 3 4" xfId="18779" xr:uid="{00000000-0005-0000-0000-0000C3DB0000}"/>
    <cellStyle name="Percentuale 29 3 5" xfId="17771" xr:uid="{00000000-0005-0000-0000-0000C4DB0000}"/>
    <cellStyle name="Percentuale 29 4" xfId="9618" xr:uid="{00000000-0005-0000-0000-0000C5DB0000}"/>
    <cellStyle name="Percentuale 29 4 2" xfId="17774" xr:uid="{00000000-0005-0000-0000-0000C6DB0000}"/>
    <cellStyle name="Percentuale 29 4 2 2" xfId="18782" xr:uid="{00000000-0005-0000-0000-0000C7DB0000}"/>
    <cellStyle name="Percentuale 29 4 3" xfId="18781" xr:uid="{00000000-0005-0000-0000-0000C8DB0000}"/>
    <cellStyle name="Percentuale 29 4 4" xfId="17773" xr:uid="{00000000-0005-0000-0000-0000C9DB0000}"/>
    <cellStyle name="Percentuale 29 5" xfId="9619" xr:uid="{00000000-0005-0000-0000-0000CADB0000}"/>
    <cellStyle name="Percentuale 29 6" xfId="51312" xr:uid="{00000000-0005-0000-0000-0000CBDB0000}"/>
    <cellStyle name="Percentuale 3" xfId="936" xr:uid="{00000000-0005-0000-0000-0000CCDB0000}"/>
    <cellStyle name="Percentuale 3 2" xfId="937" xr:uid="{00000000-0005-0000-0000-0000CDDB0000}"/>
    <cellStyle name="Percentuale 3 2 2" xfId="1469" xr:uid="{00000000-0005-0000-0000-0000CEDB0000}"/>
    <cellStyle name="Percentuale 3 3" xfId="938" xr:uid="{00000000-0005-0000-0000-0000CFDB0000}"/>
    <cellStyle name="Percentuale 3 3 2" xfId="939" xr:uid="{00000000-0005-0000-0000-0000D0DB0000}"/>
    <cellStyle name="Percentuale 3 3 3" xfId="17776" xr:uid="{00000000-0005-0000-0000-0000D1DB0000}"/>
    <cellStyle name="Percentuale 3 3 3 2" xfId="18784" xr:uid="{00000000-0005-0000-0000-0000D2DB0000}"/>
    <cellStyle name="Percentuale 3 3 4" xfId="18783" xr:uid="{00000000-0005-0000-0000-0000D3DB0000}"/>
    <cellStyle name="Percentuale 3 3 5" xfId="17775" xr:uid="{00000000-0005-0000-0000-0000D4DB0000}"/>
    <cellStyle name="Percentuale 3 4" xfId="9620" xr:uid="{00000000-0005-0000-0000-0000D5DB0000}"/>
    <cellStyle name="Percentuale 3 4 2" xfId="17778" xr:uid="{00000000-0005-0000-0000-0000D6DB0000}"/>
    <cellStyle name="Percentuale 3 4 2 2" xfId="18786" xr:uid="{00000000-0005-0000-0000-0000D7DB0000}"/>
    <cellStyle name="Percentuale 3 4 3" xfId="18785" xr:uid="{00000000-0005-0000-0000-0000D8DB0000}"/>
    <cellStyle name="Percentuale 3 4 4" xfId="17777" xr:uid="{00000000-0005-0000-0000-0000D9DB0000}"/>
    <cellStyle name="Percentuale 3 5" xfId="9621" xr:uid="{00000000-0005-0000-0000-0000DADB0000}"/>
    <cellStyle name="Percentuale 3 6" xfId="51313" xr:uid="{00000000-0005-0000-0000-0000DBDB0000}"/>
    <cellStyle name="Percentuale 30" xfId="940" xr:uid="{00000000-0005-0000-0000-0000DCDB0000}"/>
    <cellStyle name="Percentuale 30 2" xfId="941" xr:uid="{00000000-0005-0000-0000-0000DDDB0000}"/>
    <cellStyle name="Percentuale 30 2 2" xfId="1470" xr:uid="{00000000-0005-0000-0000-0000DEDB0000}"/>
    <cellStyle name="Percentuale 30 3" xfId="942" xr:uid="{00000000-0005-0000-0000-0000DFDB0000}"/>
    <cellStyle name="Percentuale 30 3 2" xfId="943" xr:uid="{00000000-0005-0000-0000-0000E0DB0000}"/>
    <cellStyle name="Percentuale 30 3 3" xfId="17780" xr:uid="{00000000-0005-0000-0000-0000E1DB0000}"/>
    <cellStyle name="Percentuale 30 3 3 2" xfId="18788" xr:uid="{00000000-0005-0000-0000-0000E2DB0000}"/>
    <cellStyle name="Percentuale 30 3 4" xfId="18787" xr:uid="{00000000-0005-0000-0000-0000E3DB0000}"/>
    <cellStyle name="Percentuale 30 3 5" xfId="17779" xr:uid="{00000000-0005-0000-0000-0000E4DB0000}"/>
    <cellStyle name="Percentuale 30 4" xfId="9622" xr:uid="{00000000-0005-0000-0000-0000E5DB0000}"/>
    <cellStyle name="Percentuale 30 4 2" xfId="17782" xr:uid="{00000000-0005-0000-0000-0000E6DB0000}"/>
    <cellStyle name="Percentuale 30 4 2 2" xfId="18790" xr:uid="{00000000-0005-0000-0000-0000E7DB0000}"/>
    <cellStyle name="Percentuale 30 4 3" xfId="18789" xr:uid="{00000000-0005-0000-0000-0000E8DB0000}"/>
    <cellStyle name="Percentuale 30 4 4" xfId="17781" xr:uid="{00000000-0005-0000-0000-0000E9DB0000}"/>
    <cellStyle name="Percentuale 30 5" xfId="9623" xr:uid="{00000000-0005-0000-0000-0000EADB0000}"/>
    <cellStyle name="Percentuale 30 6" xfId="51314" xr:uid="{00000000-0005-0000-0000-0000EBDB0000}"/>
    <cellStyle name="Percentuale 31" xfId="944" xr:uid="{00000000-0005-0000-0000-0000ECDB0000}"/>
    <cellStyle name="Percentuale 31 2" xfId="945" xr:uid="{00000000-0005-0000-0000-0000EDDB0000}"/>
    <cellStyle name="Percentuale 31 2 2" xfId="1471" xr:uid="{00000000-0005-0000-0000-0000EEDB0000}"/>
    <cellStyle name="Percentuale 31 3" xfId="946" xr:uid="{00000000-0005-0000-0000-0000EFDB0000}"/>
    <cellStyle name="Percentuale 31 3 2" xfId="947" xr:uid="{00000000-0005-0000-0000-0000F0DB0000}"/>
    <cellStyle name="Percentuale 31 3 3" xfId="17784" xr:uid="{00000000-0005-0000-0000-0000F1DB0000}"/>
    <cellStyle name="Percentuale 31 3 3 2" xfId="18792" xr:uid="{00000000-0005-0000-0000-0000F2DB0000}"/>
    <cellStyle name="Percentuale 31 3 4" xfId="18791" xr:uid="{00000000-0005-0000-0000-0000F3DB0000}"/>
    <cellStyle name="Percentuale 31 3 5" xfId="17783" xr:uid="{00000000-0005-0000-0000-0000F4DB0000}"/>
    <cellStyle name="Percentuale 31 4" xfId="9624" xr:uid="{00000000-0005-0000-0000-0000F5DB0000}"/>
    <cellStyle name="Percentuale 31 4 2" xfId="17786" xr:uid="{00000000-0005-0000-0000-0000F6DB0000}"/>
    <cellStyle name="Percentuale 31 4 2 2" xfId="18794" xr:uid="{00000000-0005-0000-0000-0000F7DB0000}"/>
    <cellStyle name="Percentuale 31 4 3" xfId="18793" xr:uid="{00000000-0005-0000-0000-0000F8DB0000}"/>
    <cellStyle name="Percentuale 31 4 4" xfId="17785" xr:uid="{00000000-0005-0000-0000-0000F9DB0000}"/>
    <cellStyle name="Percentuale 31 5" xfId="9625" xr:uid="{00000000-0005-0000-0000-0000FADB0000}"/>
    <cellStyle name="Percentuale 31 6" xfId="51315" xr:uid="{00000000-0005-0000-0000-0000FBDB0000}"/>
    <cellStyle name="Percentuale 32" xfId="948" xr:uid="{00000000-0005-0000-0000-0000FCDB0000}"/>
    <cellStyle name="Percentuale 32 2" xfId="949" xr:uid="{00000000-0005-0000-0000-0000FDDB0000}"/>
    <cellStyle name="Percentuale 32 2 2" xfId="1472" xr:uid="{00000000-0005-0000-0000-0000FEDB0000}"/>
    <cellStyle name="Percentuale 32 3" xfId="950" xr:uid="{00000000-0005-0000-0000-0000FFDB0000}"/>
    <cellStyle name="Percentuale 32 3 2" xfId="951" xr:uid="{00000000-0005-0000-0000-000000DC0000}"/>
    <cellStyle name="Percentuale 32 3 3" xfId="17788" xr:uid="{00000000-0005-0000-0000-000001DC0000}"/>
    <cellStyle name="Percentuale 32 3 3 2" xfId="18796" xr:uid="{00000000-0005-0000-0000-000002DC0000}"/>
    <cellStyle name="Percentuale 32 3 4" xfId="18795" xr:uid="{00000000-0005-0000-0000-000003DC0000}"/>
    <cellStyle name="Percentuale 32 3 5" xfId="17787" xr:uid="{00000000-0005-0000-0000-000004DC0000}"/>
    <cellStyle name="Percentuale 32 4" xfId="9626" xr:uid="{00000000-0005-0000-0000-000005DC0000}"/>
    <cellStyle name="Percentuale 32 4 2" xfId="17790" xr:uid="{00000000-0005-0000-0000-000006DC0000}"/>
    <cellStyle name="Percentuale 32 4 2 2" xfId="18798" xr:uid="{00000000-0005-0000-0000-000007DC0000}"/>
    <cellStyle name="Percentuale 32 4 3" xfId="18797" xr:uid="{00000000-0005-0000-0000-000008DC0000}"/>
    <cellStyle name="Percentuale 32 4 4" xfId="17789" xr:uid="{00000000-0005-0000-0000-000009DC0000}"/>
    <cellStyle name="Percentuale 32 5" xfId="9627" xr:uid="{00000000-0005-0000-0000-00000ADC0000}"/>
    <cellStyle name="Percentuale 32 6" xfId="51316" xr:uid="{00000000-0005-0000-0000-00000BDC0000}"/>
    <cellStyle name="Percentuale 33" xfId="952" xr:uid="{00000000-0005-0000-0000-00000CDC0000}"/>
    <cellStyle name="Percentuale 33 2" xfId="953" xr:uid="{00000000-0005-0000-0000-00000DDC0000}"/>
    <cellStyle name="Percentuale 33 2 2" xfId="1473" xr:uid="{00000000-0005-0000-0000-00000EDC0000}"/>
    <cellStyle name="Percentuale 33 3" xfId="954" xr:uid="{00000000-0005-0000-0000-00000FDC0000}"/>
    <cellStyle name="Percentuale 33 3 2" xfId="955" xr:uid="{00000000-0005-0000-0000-000010DC0000}"/>
    <cellStyle name="Percentuale 33 3 3" xfId="17792" xr:uid="{00000000-0005-0000-0000-000011DC0000}"/>
    <cellStyle name="Percentuale 33 3 3 2" xfId="18800" xr:uid="{00000000-0005-0000-0000-000012DC0000}"/>
    <cellStyle name="Percentuale 33 3 4" xfId="18799" xr:uid="{00000000-0005-0000-0000-000013DC0000}"/>
    <cellStyle name="Percentuale 33 3 5" xfId="17791" xr:uid="{00000000-0005-0000-0000-000014DC0000}"/>
    <cellStyle name="Percentuale 33 4" xfId="9628" xr:uid="{00000000-0005-0000-0000-000015DC0000}"/>
    <cellStyle name="Percentuale 33 4 2" xfId="17794" xr:uid="{00000000-0005-0000-0000-000016DC0000}"/>
    <cellStyle name="Percentuale 33 4 2 2" xfId="18802" xr:uid="{00000000-0005-0000-0000-000017DC0000}"/>
    <cellStyle name="Percentuale 33 4 3" xfId="18801" xr:uid="{00000000-0005-0000-0000-000018DC0000}"/>
    <cellStyle name="Percentuale 33 4 4" xfId="17793" xr:uid="{00000000-0005-0000-0000-000019DC0000}"/>
    <cellStyle name="Percentuale 33 5" xfId="9629" xr:uid="{00000000-0005-0000-0000-00001ADC0000}"/>
    <cellStyle name="Percentuale 33 6" xfId="51317" xr:uid="{00000000-0005-0000-0000-00001BDC0000}"/>
    <cellStyle name="Percentuale 34" xfId="956" xr:uid="{00000000-0005-0000-0000-00001CDC0000}"/>
    <cellStyle name="Percentuale 34 2" xfId="957" xr:uid="{00000000-0005-0000-0000-00001DDC0000}"/>
    <cellStyle name="Percentuale 34 2 2" xfId="1474" xr:uid="{00000000-0005-0000-0000-00001EDC0000}"/>
    <cellStyle name="Percentuale 34 3" xfId="958" xr:uid="{00000000-0005-0000-0000-00001FDC0000}"/>
    <cellStyle name="Percentuale 34 3 2" xfId="959" xr:uid="{00000000-0005-0000-0000-000020DC0000}"/>
    <cellStyle name="Percentuale 34 3 3" xfId="17796" xr:uid="{00000000-0005-0000-0000-000021DC0000}"/>
    <cellStyle name="Percentuale 34 3 3 2" xfId="18804" xr:uid="{00000000-0005-0000-0000-000022DC0000}"/>
    <cellStyle name="Percentuale 34 3 4" xfId="18803" xr:uid="{00000000-0005-0000-0000-000023DC0000}"/>
    <cellStyle name="Percentuale 34 3 5" xfId="17795" xr:uid="{00000000-0005-0000-0000-000024DC0000}"/>
    <cellStyle name="Percentuale 34 4" xfId="9630" xr:uid="{00000000-0005-0000-0000-000025DC0000}"/>
    <cellStyle name="Percentuale 34 4 2" xfId="17798" xr:uid="{00000000-0005-0000-0000-000026DC0000}"/>
    <cellStyle name="Percentuale 34 4 2 2" xfId="18806" xr:uid="{00000000-0005-0000-0000-000027DC0000}"/>
    <cellStyle name="Percentuale 34 4 3" xfId="18805" xr:uid="{00000000-0005-0000-0000-000028DC0000}"/>
    <cellStyle name="Percentuale 34 4 4" xfId="17797" xr:uid="{00000000-0005-0000-0000-000029DC0000}"/>
    <cellStyle name="Percentuale 34 5" xfId="9631" xr:uid="{00000000-0005-0000-0000-00002ADC0000}"/>
    <cellStyle name="Percentuale 34 6" xfId="51318" xr:uid="{00000000-0005-0000-0000-00002BDC0000}"/>
    <cellStyle name="Percentuale 35" xfId="960" xr:uid="{00000000-0005-0000-0000-00002CDC0000}"/>
    <cellStyle name="Percentuale 35 2" xfId="961" xr:uid="{00000000-0005-0000-0000-00002DDC0000}"/>
    <cellStyle name="Percentuale 35 2 2" xfId="1475" xr:uid="{00000000-0005-0000-0000-00002EDC0000}"/>
    <cellStyle name="Percentuale 35 3" xfId="962" xr:uid="{00000000-0005-0000-0000-00002FDC0000}"/>
    <cellStyle name="Percentuale 35 3 2" xfId="963" xr:uid="{00000000-0005-0000-0000-000030DC0000}"/>
    <cellStyle name="Percentuale 35 3 3" xfId="17800" xr:uid="{00000000-0005-0000-0000-000031DC0000}"/>
    <cellStyle name="Percentuale 35 3 3 2" xfId="18808" xr:uid="{00000000-0005-0000-0000-000032DC0000}"/>
    <cellStyle name="Percentuale 35 3 4" xfId="18807" xr:uid="{00000000-0005-0000-0000-000033DC0000}"/>
    <cellStyle name="Percentuale 35 3 5" xfId="17799" xr:uid="{00000000-0005-0000-0000-000034DC0000}"/>
    <cellStyle name="Percentuale 35 4" xfId="9632" xr:uid="{00000000-0005-0000-0000-000035DC0000}"/>
    <cellStyle name="Percentuale 35 4 2" xfId="17802" xr:uid="{00000000-0005-0000-0000-000036DC0000}"/>
    <cellStyle name="Percentuale 35 4 2 2" xfId="18810" xr:uid="{00000000-0005-0000-0000-000037DC0000}"/>
    <cellStyle name="Percentuale 35 4 3" xfId="18809" xr:uid="{00000000-0005-0000-0000-000038DC0000}"/>
    <cellStyle name="Percentuale 35 4 4" xfId="17801" xr:uid="{00000000-0005-0000-0000-000039DC0000}"/>
    <cellStyle name="Percentuale 35 5" xfId="9633" xr:uid="{00000000-0005-0000-0000-00003ADC0000}"/>
    <cellStyle name="Percentuale 35 6" xfId="51319" xr:uid="{00000000-0005-0000-0000-00003BDC0000}"/>
    <cellStyle name="Percentuale 36" xfId="964" xr:uid="{00000000-0005-0000-0000-00003CDC0000}"/>
    <cellStyle name="Percentuale 36 2" xfId="965" xr:uid="{00000000-0005-0000-0000-00003DDC0000}"/>
    <cellStyle name="Percentuale 36 2 2" xfId="1476" xr:uid="{00000000-0005-0000-0000-00003EDC0000}"/>
    <cellStyle name="Percentuale 36 3" xfId="966" xr:uid="{00000000-0005-0000-0000-00003FDC0000}"/>
    <cellStyle name="Percentuale 36 3 2" xfId="967" xr:uid="{00000000-0005-0000-0000-000040DC0000}"/>
    <cellStyle name="Percentuale 36 3 3" xfId="17804" xr:uid="{00000000-0005-0000-0000-000041DC0000}"/>
    <cellStyle name="Percentuale 36 3 3 2" xfId="18812" xr:uid="{00000000-0005-0000-0000-000042DC0000}"/>
    <cellStyle name="Percentuale 36 3 4" xfId="18811" xr:uid="{00000000-0005-0000-0000-000043DC0000}"/>
    <cellStyle name="Percentuale 36 3 5" xfId="17803" xr:uid="{00000000-0005-0000-0000-000044DC0000}"/>
    <cellStyle name="Percentuale 36 4" xfId="9634" xr:uid="{00000000-0005-0000-0000-000045DC0000}"/>
    <cellStyle name="Percentuale 36 4 2" xfId="17806" xr:uid="{00000000-0005-0000-0000-000046DC0000}"/>
    <cellStyle name="Percentuale 36 4 2 2" xfId="18814" xr:uid="{00000000-0005-0000-0000-000047DC0000}"/>
    <cellStyle name="Percentuale 36 4 3" xfId="18813" xr:uid="{00000000-0005-0000-0000-000048DC0000}"/>
    <cellStyle name="Percentuale 36 4 4" xfId="17805" xr:uid="{00000000-0005-0000-0000-000049DC0000}"/>
    <cellStyle name="Percentuale 36 5" xfId="9635" xr:uid="{00000000-0005-0000-0000-00004ADC0000}"/>
    <cellStyle name="Percentuale 36 6" xfId="51320" xr:uid="{00000000-0005-0000-0000-00004BDC0000}"/>
    <cellStyle name="Percentuale 37" xfId="968" xr:uid="{00000000-0005-0000-0000-00004CDC0000}"/>
    <cellStyle name="Percentuale 37 2" xfId="969" xr:uid="{00000000-0005-0000-0000-00004DDC0000}"/>
    <cellStyle name="Percentuale 37 2 2" xfId="1477" xr:uid="{00000000-0005-0000-0000-00004EDC0000}"/>
    <cellStyle name="Percentuale 37 3" xfId="970" xr:uid="{00000000-0005-0000-0000-00004FDC0000}"/>
    <cellStyle name="Percentuale 37 3 2" xfId="971" xr:uid="{00000000-0005-0000-0000-000050DC0000}"/>
    <cellStyle name="Percentuale 37 3 3" xfId="17808" xr:uid="{00000000-0005-0000-0000-000051DC0000}"/>
    <cellStyle name="Percentuale 37 3 3 2" xfId="18816" xr:uid="{00000000-0005-0000-0000-000052DC0000}"/>
    <cellStyle name="Percentuale 37 3 4" xfId="18815" xr:uid="{00000000-0005-0000-0000-000053DC0000}"/>
    <cellStyle name="Percentuale 37 3 5" xfId="17807" xr:uid="{00000000-0005-0000-0000-000054DC0000}"/>
    <cellStyle name="Percentuale 37 4" xfId="9636" xr:uid="{00000000-0005-0000-0000-000055DC0000}"/>
    <cellStyle name="Percentuale 37 4 2" xfId="17810" xr:uid="{00000000-0005-0000-0000-000056DC0000}"/>
    <cellStyle name="Percentuale 37 4 2 2" xfId="18818" xr:uid="{00000000-0005-0000-0000-000057DC0000}"/>
    <cellStyle name="Percentuale 37 4 3" xfId="18817" xr:uid="{00000000-0005-0000-0000-000058DC0000}"/>
    <cellStyle name="Percentuale 37 4 4" xfId="17809" xr:uid="{00000000-0005-0000-0000-000059DC0000}"/>
    <cellStyle name="Percentuale 37 5" xfId="9637" xr:uid="{00000000-0005-0000-0000-00005ADC0000}"/>
    <cellStyle name="Percentuale 37 6" xfId="51321" xr:uid="{00000000-0005-0000-0000-00005BDC0000}"/>
    <cellStyle name="Percentuale 38" xfId="972" xr:uid="{00000000-0005-0000-0000-00005CDC0000}"/>
    <cellStyle name="Percentuale 38 2" xfId="973" xr:uid="{00000000-0005-0000-0000-00005DDC0000}"/>
    <cellStyle name="Percentuale 38 2 2" xfId="1478" xr:uid="{00000000-0005-0000-0000-00005EDC0000}"/>
    <cellStyle name="Percentuale 38 3" xfId="974" xr:uid="{00000000-0005-0000-0000-00005FDC0000}"/>
    <cellStyle name="Percentuale 38 3 2" xfId="975" xr:uid="{00000000-0005-0000-0000-000060DC0000}"/>
    <cellStyle name="Percentuale 38 3 3" xfId="17812" xr:uid="{00000000-0005-0000-0000-000061DC0000}"/>
    <cellStyle name="Percentuale 38 3 3 2" xfId="18820" xr:uid="{00000000-0005-0000-0000-000062DC0000}"/>
    <cellStyle name="Percentuale 38 3 4" xfId="18819" xr:uid="{00000000-0005-0000-0000-000063DC0000}"/>
    <cellStyle name="Percentuale 38 3 5" xfId="17811" xr:uid="{00000000-0005-0000-0000-000064DC0000}"/>
    <cellStyle name="Percentuale 38 4" xfId="9638" xr:uid="{00000000-0005-0000-0000-000065DC0000}"/>
    <cellStyle name="Percentuale 38 4 2" xfId="17814" xr:uid="{00000000-0005-0000-0000-000066DC0000}"/>
    <cellStyle name="Percentuale 38 4 2 2" xfId="18822" xr:uid="{00000000-0005-0000-0000-000067DC0000}"/>
    <cellStyle name="Percentuale 38 4 3" xfId="18821" xr:uid="{00000000-0005-0000-0000-000068DC0000}"/>
    <cellStyle name="Percentuale 38 4 4" xfId="17813" xr:uid="{00000000-0005-0000-0000-000069DC0000}"/>
    <cellStyle name="Percentuale 38 5" xfId="9639" xr:uid="{00000000-0005-0000-0000-00006ADC0000}"/>
    <cellStyle name="Percentuale 38 6" xfId="51322" xr:uid="{00000000-0005-0000-0000-00006BDC0000}"/>
    <cellStyle name="Percentuale 39" xfId="976" xr:uid="{00000000-0005-0000-0000-00006CDC0000}"/>
    <cellStyle name="Percentuale 39 2" xfId="977" xr:uid="{00000000-0005-0000-0000-00006DDC0000}"/>
    <cellStyle name="Percentuale 39 2 2" xfId="1479" xr:uid="{00000000-0005-0000-0000-00006EDC0000}"/>
    <cellStyle name="Percentuale 39 3" xfId="978" xr:uid="{00000000-0005-0000-0000-00006FDC0000}"/>
    <cellStyle name="Percentuale 39 3 2" xfId="979" xr:uid="{00000000-0005-0000-0000-000070DC0000}"/>
    <cellStyle name="Percentuale 39 3 3" xfId="17816" xr:uid="{00000000-0005-0000-0000-000071DC0000}"/>
    <cellStyle name="Percentuale 39 3 3 2" xfId="18824" xr:uid="{00000000-0005-0000-0000-000072DC0000}"/>
    <cellStyle name="Percentuale 39 3 4" xfId="18823" xr:uid="{00000000-0005-0000-0000-000073DC0000}"/>
    <cellStyle name="Percentuale 39 3 5" xfId="17815" xr:uid="{00000000-0005-0000-0000-000074DC0000}"/>
    <cellStyle name="Percentuale 39 4" xfId="9640" xr:uid="{00000000-0005-0000-0000-000075DC0000}"/>
    <cellStyle name="Percentuale 39 4 2" xfId="17818" xr:uid="{00000000-0005-0000-0000-000076DC0000}"/>
    <cellStyle name="Percentuale 39 4 2 2" xfId="18826" xr:uid="{00000000-0005-0000-0000-000077DC0000}"/>
    <cellStyle name="Percentuale 39 4 3" xfId="18825" xr:uid="{00000000-0005-0000-0000-000078DC0000}"/>
    <cellStyle name="Percentuale 39 4 4" xfId="17817" xr:uid="{00000000-0005-0000-0000-000079DC0000}"/>
    <cellStyle name="Percentuale 39 5" xfId="9641" xr:uid="{00000000-0005-0000-0000-00007ADC0000}"/>
    <cellStyle name="Percentuale 39 6" xfId="51323" xr:uid="{00000000-0005-0000-0000-00007BDC0000}"/>
    <cellStyle name="Percentuale 4" xfId="980" xr:uid="{00000000-0005-0000-0000-00007CDC0000}"/>
    <cellStyle name="Percentuale 4 2" xfId="981" xr:uid="{00000000-0005-0000-0000-00007DDC0000}"/>
    <cellStyle name="Percentuale 4 2 2" xfId="1480" xr:uid="{00000000-0005-0000-0000-00007EDC0000}"/>
    <cellStyle name="Percentuale 4 3" xfId="982" xr:uid="{00000000-0005-0000-0000-00007FDC0000}"/>
    <cellStyle name="Percentuale 4 3 2" xfId="983" xr:uid="{00000000-0005-0000-0000-000080DC0000}"/>
    <cellStyle name="Percentuale 4 3 3" xfId="17820" xr:uid="{00000000-0005-0000-0000-000081DC0000}"/>
    <cellStyle name="Percentuale 4 3 3 2" xfId="18828" xr:uid="{00000000-0005-0000-0000-000082DC0000}"/>
    <cellStyle name="Percentuale 4 3 4" xfId="18827" xr:uid="{00000000-0005-0000-0000-000083DC0000}"/>
    <cellStyle name="Percentuale 4 3 5" xfId="17819" xr:uid="{00000000-0005-0000-0000-000084DC0000}"/>
    <cellStyle name="Percentuale 4 4" xfId="9642" xr:uid="{00000000-0005-0000-0000-000085DC0000}"/>
    <cellStyle name="Percentuale 4 4 2" xfId="17822" xr:uid="{00000000-0005-0000-0000-000086DC0000}"/>
    <cellStyle name="Percentuale 4 4 2 2" xfId="18830" xr:uid="{00000000-0005-0000-0000-000087DC0000}"/>
    <cellStyle name="Percentuale 4 4 3" xfId="18829" xr:uid="{00000000-0005-0000-0000-000088DC0000}"/>
    <cellStyle name="Percentuale 4 4 4" xfId="17821" xr:uid="{00000000-0005-0000-0000-000089DC0000}"/>
    <cellStyle name="Percentuale 4 5" xfId="9643" xr:uid="{00000000-0005-0000-0000-00008ADC0000}"/>
    <cellStyle name="Percentuale 4 6" xfId="51324" xr:uid="{00000000-0005-0000-0000-00008BDC0000}"/>
    <cellStyle name="Percentuale 40" xfId="984" xr:uid="{00000000-0005-0000-0000-00008CDC0000}"/>
    <cellStyle name="Percentuale 40 2" xfId="985" xr:uid="{00000000-0005-0000-0000-00008DDC0000}"/>
    <cellStyle name="Percentuale 40 2 2" xfId="1481" xr:uid="{00000000-0005-0000-0000-00008EDC0000}"/>
    <cellStyle name="Percentuale 40 3" xfId="986" xr:uid="{00000000-0005-0000-0000-00008FDC0000}"/>
    <cellStyle name="Percentuale 40 3 2" xfId="987" xr:uid="{00000000-0005-0000-0000-000090DC0000}"/>
    <cellStyle name="Percentuale 40 3 3" xfId="17824" xr:uid="{00000000-0005-0000-0000-000091DC0000}"/>
    <cellStyle name="Percentuale 40 3 3 2" xfId="18832" xr:uid="{00000000-0005-0000-0000-000092DC0000}"/>
    <cellStyle name="Percentuale 40 3 4" xfId="18831" xr:uid="{00000000-0005-0000-0000-000093DC0000}"/>
    <cellStyle name="Percentuale 40 3 5" xfId="17823" xr:uid="{00000000-0005-0000-0000-000094DC0000}"/>
    <cellStyle name="Percentuale 40 4" xfId="9644" xr:uid="{00000000-0005-0000-0000-000095DC0000}"/>
    <cellStyle name="Percentuale 40 4 2" xfId="17826" xr:uid="{00000000-0005-0000-0000-000096DC0000}"/>
    <cellStyle name="Percentuale 40 4 2 2" xfId="18834" xr:uid="{00000000-0005-0000-0000-000097DC0000}"/>
    <cellStyle name="Percentuale 40 4 3" xfId="18833" xr:uid="{00000000-0005-0000-0000-000098DC0000}"/>
    <cellStyle name="Percentuale 40 4 4" xfId="17825" xr:uid="{00000000-0005-0000-0000-000099DC0000}"/>
    <cellStyle name="Percentuale 40 5" xfId="9645" xr:uid="{00000000-0005-0000-0000-00009ADC0000}"/>
    <cellStyle name="Percentuale 40 6" xfId="51325" xr:uid="{00000000-0005-0000-0000-00009BDC0000}"/>
    <cellStyle name="Percentuale 41" xfId="988" xr:uid="{00000000-0005-0000-0000-00009CDC0000}"/>
    <cellStyle name="Percentuale 41 2" xfId="989" xr:uid="{00000000-0005-0000-0000-00009DDC0000}"/>
    <cellStyle name="Percentuale 41 2 2" xfId="1482" xr:uid="{00000000-0005-0000-0000-00009EDC0000}"/>
    <cellStyle name="Percentuale 41 3" xfId="990" xr:uid="{00000000-0005-0000-0000-00009FDC0000}"/>
    <cellStyle name="Percentuale 41 3 2" xfId="991" xr:uid="{00000000-0005-0000-0000-0000A0DC0000}"/>
    <cellStyle name="Percentuale 41 3 3" xfId="17828" xr:uid="{00000000-0005-0000-0000-0000A1DC0000}"/>
    <cellStyle name="Percentuale 41 3 3 2" xfId="18836" xr:uid="{00000000-0005-0000-0000-0000A2DC0000}"/>
    <cellStyle name="Percentuale 41 3 4" xfId="18835" xr:uid="{00000000-0005-0000-0000-0000A3DC0000}"/>
    <cellStyle name="Percentuale 41 3 5" xfId="17827" xr:uid="{00000000-0005-0000-0000-0000A4DC0000}"/>
    <cellStyle name="Percentuale 41 4" xfId="9646" xr:uid="{00000000-0005-0000-0000-0000A5DC0000}"/>
    <cellStyle name="Percentuale 41 4 2" xfId="17830" xr:uid="{00000000-0005-0000-0000-0000A6DC0000}"/>
    <cellStyle name="Percentuale 41 4 2 2" xfId="18838" xr:uid="{00000000-0005-0000-0000-0000A7DC0000}"/>
    <cellStyle name="Percentuale 41 4 3" xfId="18837" xr:uid="{00000000-0005-0000-0000-0000A8DC0000}"/>
    <cellStyle name="Percentuale 41 4 4" xfId="17829" xr:uid="{00000000-0005-0000-0000-0000A9DC0000}"/>
    <cellStyle name="Percentuale 41 5" xfId="9647" xr:uid="{00000000-0005-0000-0000-0000AADC0000}"/>
    <cellStyle name="Percentuale 41 6" xfId="51326" xr:uid="{00000000-0005-0000-0000-0000ABDC0000}"/>
    <cellStyle name="Percentuale 42" xfId="992" xr:uid="{00000000-0005-0000-0000-0000ACDC0000}"/>
    <cellStyle name="Percentuale 42 2" xfId="993" xr:uid="{00000000-0005-0000-0000-0000ADDC0000}"/>
    <cellStyle name="Percentuale 42 2 2" xfId="1483" xr:uid="{00000000-0005-0000-0000-0000AEDC0000}"/>
    <cellStyle name="Percentuale 42 3" xfId="994" xr:uid="{00000000-0005-0000-0000-0000AFDC0000}"/>
    <cellStyle name="Percentuale 42 3 2" xfId="995" xr:uid="{00000000-0005-0000-0000-0000B0DC0000}"/>
    <cellStyle name="Percentuale 42 3 3" xfId="17832" xr:uid="{00000000-0005-0000-0000-0000B1DC0000}"/>
    <cellStyle name="Percentuale 42 3 3 2" xfId="18840" xr:uid="{00000000-0005-0000-0000-0000B2DC0000}"/>
    <cellStyle name="Percentuale 42 3 4" xfId="18839" xr:uid="{00000000-0005-0000-0000-0000B3DC0000}"/>
    <cellStyle name="Percentuale 42 3 5" xfId="17831" xr:uid="{00000000-0005-0000-0000-0000B4DC0000}"/>
    <cellStyle name="Percentuale 42 4" xfId="9648" xr:uid="{00000000-0005-0000-0000-0000B5DC0000}"/>
    <cellStyle name="Percentuale 42 4 2" xfId="17834" xr:uid="{00000000-0005-0000-0000-0000B6DC0000}"/>
    <cellStyle name="Percentuale 42 4 2 2" xfId="18842" xr:uid="{00000000-0005-0000-0000-0000B7DC0000}"/>
    <cellStyle name="Percentuale 42 4 3" xfId="18841" xr:uid="{00000000-0005-0000-0000-0000B8DC0000}"/>
    <cellStyle name="Percentuale 42 4 4" xfId="17833" xr:uid="{00000000-0005-0000-0000-0000B9DC0000}"/>
    <cellStyle name="Percentuale 42 5" xfId="9649" xr:uid="{00000000-0005-0000-0000-0000BADC0000}"/>
    <cellStyle name="Percentuale 42 6" xfId="51327" xr:uid="{00000000-0005-0000-0000-0000BBDC0000}"/>
    <cellStyle name="Percentuale 43" xfId="996" xr:uid="{00000000-0005-0000-0000-0000BCDC0000}"/>
    <cellStyle name="Percentuale 43 2" xfId="997" xr:uid="{00000000-0005-0000-0000-0000BDDC0000}"/>
    <cellStyle name="Percentuale 43 2 2" xfId="1484" xr:uid="{00000000-0005-0000-0000-0000BEDC0000}"/>
    <cellStyle name="Percentuale 43 3" xfId="998" xr:uid="{00000000-0005-0000-0000-0000BFDC0000}"/>
    <cellStyle name="Percentuale 43 3 2" xfId="999" xr:uid="{00000000-0005-0000-0000-0000C0DC0000}"/>
    <cellStyle name="Percentuale 43 3 3" xfId="17836" xr:uid="{00000000-0005-0000-0000-0000C1DC0000}"/>
    <cellStyle name="Percentuale 43 3 3 2" xfId="18844" xr:uid="{00000000-0005-0000-0000-0000C2DC0000}"/>
    <cellStyle name="Percentuale 43 3 4" xfId="18843" xr:uid="{00000000-0005-0000-0000-0000C3DC0000}"/>
    <cellStyle name="Percentuale 43 3 5" xfId="17835" xr:uid="{00000000-0005-0000-0000-0000C4DC0000}"/>
    <cellStyle name="Percentuale 43 4" xfId="9650" xr:uid="{00000000-0005-0000-0000-0000C5DC0000}"/>
    <cellStyle name="Percentuale 43 4 2" xfId="17838" xr:uid="{00000000-0005-0000-0000-0000C6DC0000}"/>
    <cellStyle name="Percentuale 43 4 2 2" xfId="18846" xr:uid="{00000000-0005-0000-0000-0000C7DC0000}"/>
    <cellStyle name="Percentuale 43 4 3" xfId="18845" xr:uid="{00000000-0005-0000-0000-0000C8DC0000}"/>
    <cellStyle name="Percentuale 43 4 4" xfId="17837" xr:uid="{00000000-0005-0000-0000-0000C9DC0000}"/>
    <cellStyle name="Percentuale 43 5" xfId="9651" xr:uid="{00000000-0005-0000-0000-0000CADC0000}"/>
    <cellStyle name="Percentuale 43 6" xfId="51328" xr:uid="{00000000-0005-0000-0000-0000CBDC0000}"/>
    <cellStyle name="Percentuale 44" xfId="1000" xr:uid="{00000000-0005-0000-0000-0000CCDC0000}"/>
    <cellStyle name="Percentuale 44 2" xfId="1001" xr:uid="{00000000-0005-0000-0000-0000CDDC0000}"/>
    <cellStyle name="Percentuale 44 2 2" xfId="1485" xr:uid="{00000000-0005-0000-0000-0000CEDC0000}"/>
    <cellStyle name="Percentuale 44 3" xfId="1002" xr:uid="{00000000-0005-0000-0000-0000CFDC0000}"/>
    <cellStyle name="Percentuale 44 3 2" xfId="1003" xr:uid="{00000000-0005-0000-0000-0000D0DC0000}"/>
    <cellStyle name="Percentuale 44 3 3" xfId="17840" xr:uid="{00000000-0005-0000-0000-0000D1DC0000}"/>
    <cellStyle name="Percentuale 44 3 3 2" xfId="18848" xr:uid="{00000000-0005-0000-0000-0000D2DC0000}"/>
    <cellStyle name="Percentuale 44 3 4" xfId="18847" xr:uid="{00000000-0005-0000-0000-0000D3DC0000}"/>
    <cellStyle name="Percentuale 44 3 5" xfId="17839" xr:uid="{00000000-0005-0000-0000-0000D4DC0000}"/>
    <cellStyle name="Percentuale 44 4" xfId="9652" xr:uid="{00000000-0005-0000-0000-0000D5DC0000}"/>
    <cellStyle name="Percentuale 44 4 2" xfId="17842" xr:uid="{00000000-0005-0000-0000-0000D6DC0000}"/>
    <cellStyle name="Percentuale 44 4 2 2" xfId="18850" xr:uid="{00000000-0005-0000-0000-0000D7DC0000}"/>
    <cellStyle name="Percentuale 44 4 3" xfId="18849" xr:uid="{00000000-0005-0000-0000-0000D8DC0000}"/>
    <cellStyle name="Percentuale 44 4 4" xfId="17841" xr:uid="{00000000-0005-0000-0000-0000D9DC0000}"/>
    <cellStyle name="Percentuale 44 5" xfId="9653" xr:uid="{00000000-0005-0000-0000-0000DADC0000}"/>
    <cellStyle name="Percentuale 44 6" xfId="51329" xr:uid="{00000000-0005-0000-0000-0000DBDC0000}"/>
    <cellStyle name="Percentuale 45" xfId="1004" xr:uid="{00000000-0005-0000-0000-0000DCDC0000}"/>
    <cellStyle name="Percentuale 45 2" xfId="1005" xr:uid="{00000000-0005-0000-0000-0000DDDC0000}"/>
    <cellStyle name="Percentuale 45 2 2" xfId="1486" xr:uid="{00000000-0005-0000-0000-0000DEDC0000}"/>
    <cellStyle name="Percentuale 45 3" xfId="1006" xr:uid="{00000000-0005-0000-0000-0000DFDC0000}"/>
    <cellStyle name="Percentuale 45 3 2" xfId="1007" xr:uid="{00000000-0005-0000-0000-0000E0DC0000}"/>
    <cellStyle name="Percentuale 45 3 3" xfId="17844" xr:uid="{00000000-0005-0000-0000-0000E1DC0000}"/>
    <cellStyle name="Percentuale 45 3 3 2" xfId="18852" xr:uid="{00000000-0005-0000-0000-0000E2DC0000}"/>
    <cellStyle name="Percentuale 45 3 4" xfId="18851" xr:uid="{00000000-0005-0000-0000-0000E3DC0000}"/>
    <cellStyle name="Percentuale 45 3 5" xfId="17843" xr:uid="{00000000-0005-0000-0000-0000E4DC0000}"/>
    <cellStyle name="Percentuale 45 4" xfId="9654" xr:uid="{00000000-0005-0000-0000-0000E5DC0000}"/>
    <cellStyle name="Percentuale 45 4 2" xfId="17846" xr:uid="{00000000-0005-0000-0000-0000E6DC0000}"/>
    <cellStyle name="Percentuale 45 4 2 2" xfId="18854" xr:uid="{00000000-0005-0000-0000-0000E7DC0000}"/>
    <cellStyle name="Percentuale 45 4 3" xfId="18853" xr:uid="{00000000-0005-0000-0000-0000E8DC0000}"/>
    <cellStyle name="Percentuale 45 4 4" xfId="17845" xr:uid="{00000000-0005-0000-0000-0000E9DC0000}"/>
    <cellStyle name="Percentuale 45 5" xfId="9655" xr:uid="{00000000-0005-0000-0000-0000EADC0000}"/>
    <cellStyle name="Percentuale 45 6" xfId="51330" xr:uid="{00000000-0005-0000-0000-0000EBDC0000}"/>
    <cellStyle name="Percentuale 46" xfId="1008" xr:uid="{00000000-0005-0000-0000-0000ECDC0000}"/>
    <cellStyle name="Percentuale 46 2" xfId="1009" xr:uid="{00000000-0005-0000-0000-0000EDDC0000}"/>
    <cellStyle name="Percentuale 46 2 2" xfId="1487" xr:uid="{00000000-0005-0000-0000-0000EEDC0000}"/>
    <cellStyle name="Percentuale 46 3" xfId="1010" xr:uid="{00000000-0005-0000-0000-0000EFDC0000}"/>
    <cellStyle name="Percentuale 46 3 2" xfId="1011" xr:uid="{00000000-0005-0000-0000-0000F0DC0000}"/>
    <cellStyle name="Percentuale 46 3 3" xfId="17848" xr:uid="{00000000-0005-0000-0000-0000F1DC0000}"/>
    <cellStyle name="Percentuale 46 3 3 2" xfId="18856" xr:uid="{00000000-0005-0000-0000-0000F2DC0000}"/>
    <cellStyle name="Percentuale 46 3 4" xfId="18855" xr:uid="{00000000-0005-0000-0000-0000F3DC0000}"/>
    <cellStyle name="Percentuale 46 3 5" xfId="17847" xr:uid="{00000000-0005-0000-0000-0000F4DC0000}"/>
    <cellStyle name="Percentuale 46 4" xfId="9656" xr:uid="{00000000-0005-0000-0000-0000F5DC0000}"/>
    <cellStyle name="Percentuale 46 4 2" xfId="17850" xr:uid="{00000000-0005-0000-0000-0000F6DC0000}"/>
    <cellStyle name="Percentuale 46 4 2 2" xfId="18858" xr:uid="{00000000-0005-0000-0000-0000F7DC0000}"/>
    <cellStyle name="Percentuale 46 4 3" xfId="18857" xr:uid="{00000000-0005-0000-0000-0000F8DC0000}"/>
    <cellStyle name="Percentuale 46 4 4" xfId="17849" xr:uid="{00000000-0005-0000-0000-0000F9DC0000}"/>
    <cellStyle name="Percentuale 46 5" xfId="9657" xr:uid="{00000000-0005-0000-0000-0000FADC0000}"/>
    <cellStyle name="Percentuale 46 6" xfId="51331" xr:uid="{00000000-0005-0000-0000-0000FBDC0000}"/>
    <cellStyle name="Percentuale 47" xfId="1012" xr:uid="{00000000-0005-0000-0000-0000FCDC0000}"/>
    <cellStyle name="Percentuale 47 2" xfId="1013" xr:uid="{00000000-0005-0000-0000-0000FDDC0000}"/>
    <cellStyle name="Percentuale 47 2 2" xfId="1488" xr:uid="{00000000-0005-0000-0000-0000FEDC0000}"/>
    <cellStyle name="Percentuale 47 3" xfId="1014" xr:uid="{00000000-0005-0000-0000-0000FFDC0000}"/>
    <cellStyle name="Percentuale 47 3 2" xfId="1015" xr:uid="{00000000-0005-0000-0000-000000DD0000}"/>
    <cellStyle name="Percentuale 47 3 3" xfId="17852" xr:uid="{00000000-0005-0000-0000-000001DD0000}"/>
    <cellStyle name="Percentuale 47 3 3 2" xfId="18860" xr:uid="{00000000-0005-0000-0000-000002DD0000}"/>
    <cellStyle name="Percentuale 47 3 4" xfId="18859" xr:uid="{00000000-0005-0000-0000-000003DD0000}"/>
    <cellStyle name="Percentuale 47 3 5" xfId="17851" xr:uid="{00000000-0005-0000-0000-000004DD0000}"/>
    <cellStyle name="Percentuale 47 4" xfId="9658" xr:uid="{00000000-0005-0000-0000-000005DD0000}"/>
    <cellStyle name="Percentuale 47 4 2" xfId="17854" xr:uid="{00000000-0005-0000-0000-000006DD0000}"/>
    <cellStyle name="Percentuale 47 4 2 2" xfId="18862" xr:uid="{00000000-0005-0000-0000-000007DD0000}"/>
    <cellStyle name="Percentuale 47 4 3" xfId="18861" xr:uid="{00000000-0005-0000-0000-000008DD0000}"/>
    <cellStyle name="Percentuale 47 4 4" xfId="17853" xr:uid="{00000000-0005-0000-0000-000009DD0000}"/>
    <cellStyle name="Percentuale 47 5" xfId="9659" xr:uid="{00000000-0005-0000-0000-00000ADD0000}"/>
    <cellStyle name="Percentuale 47 6" xfId="51332" xr:uid="{00000000-0005-0000-0000-00000BDD0000}"/>
    <cellStyle name="Percentuale 48" xfId="1016" xr:uid="{00000000-0005-0000-0000-00000CDD0000}"/>
    <cellStyle name="Percentuale 48 2" xfId="1017" xr:uid="{00000000-0005-0000-0000-00000DDD0000}"/>
    <cellStyle name="Percentuale 48 2 2" xfId="1489" xr:uid="{00000000-0005-0000-0000-00000EDD0000}"/>
    <cellStyle name="Percentuale 48 3" xfId="1018" xr:uid="{00000000-0005-0000-0000-00000FDD0000}"/>
    <cellStyle name="Percentuale 48 3 2" xfId="1019" xr:uid="{00000000-0005-0000-0000-000010DD0000}"/>
    <cellStyle name="Percentuale 48 3 3" xfId="17856" xr:uid="{00000000-0005-0000-0000-000011DD0000}"/>
    <cellStyle name="Percentuale 48 3 3 2" xfId="18864" xr:uid="{00000000-0005-0000-0000-000012DD0000}"/>
    <cellStyle name="Percentuale 48 3 4" xfId="18863" xr:uid="{00000000-0005-0000-0000-000013DD0000}"/>
    <cellStyle name="Percentuale 48 3 5" xfId="17855" xr:uid="{00000000-0005-0000-0000-000014DD0000}"/>
    <cellStyle name="Percentuale 48 4" xfId="9660" xr:uid="{00000000-0005-0000-0000-000015DD0000}"/>
    <cellStyle name="Percentuale 48 4 2" xfId="17858" xr:uid="{00000000-0005-0000-0000-000016DD0000}"/>
    <cellStyle name="Percentuale 48 4 2 2" xfId="18866" xr:uid="{00000000-0005-0000-0000-000017DD0000}"/>
    <cellStyle name="Percentuale 48 4 3" xfId="18865" xr:uid="{00000000-0005-0000-0000-000018DD0000}"/>
    <cellStyle name="Percentuale 48 4 4" xfId="17857" xr:uid="{00000000-0005-0000-0000-000019DD0000}"/>
    <cellStyle name="Percentuale 48 5" xfId="9661" xr:uid="{00000000-0005-0000-0000-00001ADD0000}"/>
    <cellStyle name="Percentuale 48 6" xfId="51333" xr:uid="{00000000-0005-0000-0000-00001BDD0000}"/>
    <cellStyle name="Percentuale 49" xfId="1020" xr:uid="{00000000-0005-0000-0000-00001CDD0000}"/>
    <cellStyle name="Percentuale 49 2" xfId="1021" xr:uid="{00000000-0005-0000-0000-00001DDD0000}"/>
    <cellStyle name="Percentuale 49 2 2" xfId="1490" xr:uid="{00000000-0005-0000-0000-00001EDD0000}"/>
    <cellStyle name="Percentuale 49 3" xfId="1022" xr:uid="{00000000-0005-0000-0000-00001FDD0000}"/>
    <cellStyle name="Percentuale 49 3 2" xfId="1023" xr:uid="{00000000-0005-0000-0000-000020DD0000}"/>
    <cellStyle name="Percentuale 49 3 3" xfId="17860" xr:uid="{00000000-0005-0000-0000-000021DD0000}"/>
    <cellStyle name="Percentuale 49 3 3 2" xfId="18868" xr:uid="{00000000-0005-0000-0000-000022DD0000}"/>
    <cellStyle name="Percentuale 49 3 4" xfId="18867" xr:uid="{00000000-0005-0000-0000-000023DD0000}"/>
    <cellStyle name="Percentuale 49 3 5" xfId="17859" xr:uid="{00000000-0005-0000-0000-000024DD0000}"/>
    <cellStyle name="Percentuale 49 4" xfId="9662" xr:uid="{00000000-0005-0000-0000-000025DD0000}"/>
    <cellStyle name="Percentuale 49 4 2" xfId="17862" xr:uid="{00000000-0005-0000-0000-000026DD0000}"/>
    <cellStyle name="Percentuale 49 4 2 2" xfId="18870" xr:uid="{00000000-0005-0000-0000-000027DD0000}"/>
    <cellStyle name="Percentuale 49 4 3" xfId="18869" xr:uid="{00000000-0005-0000-0000-000028DD0000}"/>
    <cellStyle name="Percentuale 49 4 4" xfId="17861" xr:uid="{00000000-0005-0000-0000-000029DD0000}"/>
    <cellStyle name="Percentuale 49 5" xfId="9663" xr:uid="{00000000-0005-0000-0000-00002ADD0000}"/>
    <cellStyle name="Percentuale 49 6" xfId="51334" xr:uid="{00000000-0005-0000-0000-00002BDD0000}"/>
    <cellStyle name="Percentuale 5" xfId="1024" xr:uid="{00000000-0005-0000-0000-00002CDD0000}"/>
    <cellStyle name="Percentuale 5 2" xfId="1025" xr:uid="{00000000-0005-0000-0000-00002DDD0000}"/>
    <cellStyle name="Percentuale 5 2 2" xfId="1491" xr:uid="{00000000-0005-0000-0000-00002EDD0000}"/>
    <cellStyle name="Percentuale 5 3" xfId="1026" xr:uid="{00000000-0005-0000-0000-00002FDD0000}"/>
    <cellStyle name="Percentuale 5 3 2" xfId="1027" xr:uid="{00000000-0005-0000-0000-000030DD0000}"/>
    <cellStyle name="Percentuale 5 3 3" xfId="17864" xr:uid="{00000000-0005-0000-0000-000031DD0000}"/>
    <cellStyle name="Percentuale 5 3 3 2" xfId="18872" xr:uid="{00000000-0005-0000-0000-000032DD0000}"/>
    <cellStyle name="Percentuale 5 3 4" xfId="18871" xr:uid="{00000000-0005-0000-0000-000033DD0000}"/>
    <cellStyle name="Percentuale 5 3 5" xfId="17863" xr:uid="{00000000-0005-0000-0000-000034DD0000}"/>
    <cellStyle name="Percentuale 5 4" xfId="9664" xr:uid="{00000000-0005-0000-0000-000035DD0000}"/>
    <cellStyle name="Percentuale 5 4 2" xfId="17866" xr:uid="{00000000-0005-0000-0000-000036DD0000}"/>
    <cellStyle name="Percentuale 5 4 2 2" xfId="18874" xr:uid="{00000000-0005-0000-0000-000037DD0000}"/>
    <cellStyle name="Percentuale 5 4 3" xfId="18873" xr:uid="{00000000-0005-0000-0000-000038DD0000}"/>
    <cellStyle name="Percentuale 5 4 4" xfId="17865" xr:uid="{00000000-0005-0000-0000-000039DD0000}"/>
    <cellStyle name="Percentuale 5 5" xfId="9665" xr:uid="{00000000-0005-0000-0000-00003ADD0000}"/>
    <cellStyle name="Percentuale 5 6" xfId="51335" xr:uid="{00000000-0005-0000-0000-00003BDD0000}"/>
    <cellStyle name="Percentuale 50" xfId="1028" xr:uid="{00000000-0005-0000-0000-00003CDD0000}"/>
    <cellStyle name="Percentuale 50 2" xfId="1029" xr:uid="{00000000-0005-0000-0000-00003DDD0000}"/>
    <cellStyle name="Percentuale 50 2 2" xfId="1492" xr:uid="{00000000-0005-0000-0000-00003EDD0000}"/>
    <cellStyle name="Percentuale 50 3" xfId="1030" xr:uid="{00000000-0005-0000-0000-00003FDD0000}"/>
    <cellStyle name="Percentuale 50 3 2" xfId="1031" xr:uid="{00000000-0005-0000-0000-000040DD0000}"/>
    <cellStyle name="Percentuale 50 3 3" xfId="17868" xr:uid="{00000000-0005-0000-0000-000041DD0000}"/>
    <cellStyle name="Percentuale 50 3 3 2" xfId="18876" xr:uid="{00000000-0005-0000-0000-000042DD0000}"/>
    <cellStyle name="Percentuale 50 3 4" xfId="18875" xr:uid="{00000000-0005-0000-0000-000043DD0000}"/>
    <cellStyle name="Percentuale 50 3 5" xfId="17867" xr:uid="{00000000-0005-0000-0000-000044DD0000}"/>
    <cellStyle name="Percentuale 50 4" xfId="9666" xr:uid="{00000000-0005-0000-0000-000045DD0000}"/>
    <cellStyle name="Percentuale 50 4 2" xfId="17870" xr:uid="{00000000-0005-0000-0000-000046DD0000}"/>
    <cellStyle name="Percentuale 50 4 2 2" xfId="18878" xr:uid="{00000000-0005-0000-0000-000047DD0000}"/>
    <cellStyle name="Percentuale 50 4 3" xfId="18877" xr:uid="{00000000-0005-0000-0000-000048DD0000}"/>
    <cellStyle name="Percentuale 50 4 4" xfId="17869" xr:uid="{00000000-0005-0000-0000-000049DD0000}"/>
    <cellStyle name="Percentuale 50 5" xfId="9667" xr:uid="{00000000-0005-0000-0000-00004ADD0000}"/>
    <cellStyle name="Percentuale 50 6" xfId="51336" xr:uid="{00000000-0005-0000-0000-00004BDD0000}"/>
    <cellStyle name="Percentuale 51" xfId="1032" xr:uid="{00000000-0005-0000-0000-00004CDD0000}"/>
    <cellStyle name="Percentuale 51 2" xfId="1033" xr:uid="{00000000-0005-0000-0000-00004DDD0000}"/>
    <cellStyle name="Percentuale 51 2 2" xfId="1493" xr:uid="{00000000-0005-0000-0000-00004EDD0000}"/>
    <cellStyle name="Percentuale 51 3" xfId="1034" xr:uid="{00000000-0005-0000-0000-00004FDD0000}"/>
    <cellStyle name="Percentuale 51 3 2" xfId="1035" xr:uid="{00000000-0005-0000-0000-000050DD0000}"/>
    <cellStyle name="Percentuale 51 3 3" xfId="17872" xr:uid="{00000000-0005-0000-0000-000051DD0000}"/>
    <cellStyle name="Percentuale 51 3 3 2" xfId="18880" xr:uid="{00000000-0005-0000-0000-000052DD0000}"/>
    <cellStyle name="Percentuale 51 3 4" xfId="18879" xr:uid="{00000000-0005-0000-0000-000053DD0000}"/>
    <cellStyle name="Percentuale 51 3 5" xfId="17871" xr:uid="{00000000-0005-0000-0000-000054DD0000}"/>
    <cellStyle name="Percentuale 51 4" xfId="9668" xr:uid="{00000000-0005-0000-0000-000055DD0000}"/>
    <cellStyle name="Percentuale 51 4 2" xfId="17874" xr:uid="{00000000-0005-0000-0000-000056DD0000}"/>
    <cellStyle name="Percentuale 51 4 2 2" xfId="18882" xr:uid="{00000000-0005-0000-0000-000057DD0000}"/>
    <cellStyle name="Percentuale 51 4 3" xfId="18881" xr:uid="{00000000-0005-0000-0000-000058DD0000}"/>
    <cellStyle name="Percentuale 51 4 4" xfId="17873" xr:uid="{00000000-0005-0000-0000-000059DD0000}"/>
    <cellStyle name="Percentuale 51 5" xfId="9669" xr:uid="{00000000-0005-0000-0000-00005ADD0000}"/>
    <cellStyle name="Percentuale 51 6" xfId="51337" xr:uid="{00000000-0005-0000-0000-00005BDD0000}"/>
    <cellStyle name="Percentuale 52" xfId="1036" xr:uid="{00000000-0005-0000-0000-00005CDD0000}"/>
    <cellStyle name="Percentuale 52 2" xfId="1037" xr:uid="{00000000-0005-0000-0000-00005DDD0000}"/>
    <cellStyle name="Percentuale 52 2 2" xfId="1494" xr:uid="{00000000-0005-0000-0000-00005EDD0000}"/>
    <cellStyle name="Percentuale 52 3" xfId="1038" xr:uid="{00000000-0005-0000-0000-00005FDD0000}"/>
    <cellStyle name="Percentuale 52 3 2" xfId="1039" xr:uid="{00000000-0005-0000-0000-000060DD0000}"/>
    <cellStyle name="Percentuale 52 3 3" xfId="17876" xr:uid="{00000000-0005-0000-0000-000061DD0000}"/>
    <cellStyle name="Percentuale 52 3 3 2" xfId="18884" xr:uid="{00000000-0005-0000-0000-000062DD0000}"/>
    <cellStyle name="Percentuale 52 3 4" xfId="18883" xr:uid="{00000000-0005-0000-0000-000063DD0000}"/>
    <cellStyle name="Percentuale 52 3 5" xfId="17875" xr:uid="{00000000-0005-0000-0000-000064DD0000}"/>
    <cellStyle name="Percentuale 52 4" xfId="9670" xr:uid="{00000000-0005-0000-0000-000065DD0000}"/>
    <cellStyle name="Percentuale 52 4 2" xfId="17878" xr:uid="{00000000-0005-0000-0000-000066DD0000}"/>
    <cellStyle name="Percentuale 52 4 2 2" xfId="18886" xr:uid="{00000000-0005-0000-0000-000067DD0000}"/>
    <cellStyle name="Percentuale 52 4 3" xfId="18885" xr:uid="{00000000-0005-0000-0000-000068DD0000}"/>
    <cellStyle name="Percentuale 52 4 4" xfId="17877" xr:uid="{00000000-0005-0000-0000-000069DD0000}"/>
    <cellStyle name="Percentuale 52 5" xfId="9671" xr:uid="{00000000-0005-0000-0000-00006ADD0000}"/>
    <cellStyle name="Percentuale 52 6" xfId="51338" xr:uid="{00000000-0005-0000-0000-00006BDD0000}"/>
    <cellStyle name="Percentuale 53" xfId="1040" xr:uid="{00000000-0005-0000-0000-00006CDD0000}"/>
    <cellStyle name="Percentuale 53 2" xfId="1041" xr:uid="{00000000-0005-0000-0000-00006DDD0000}"/>
    <cellStyle name="Percentuale 53 2 2" xfId="1495" xr:uid="{00000000-0005-0000-0000-00006EDD0000}"/>
    <cellStyle name="Percentuale 53 3" xfId="1042" xr:uid="{00000000-0005-0000-0000-00006FDD0000}"/>
    <cellStyle name="Percentuale 53 3 2" xfId="1043" xr:uid="{00000000-0005-0000-0000-000070DD0000}"/>
    <cellStyle name="Percentuale 53 3 3" xfId="17880" xr:uid="{00000000-0005-0000-0000-000071DD0000}"/>
    <cellStyle name="Percentuale 53 3 3 2" xfId="18888" xr:uid="{00000000-0005-0000-0000-000072DD0000}"/>
    <cellStyle name="Percentuale 53 3 4" xfId="18887" xr:uid="{00000000-0005-0000-0000-000073DD0000}"/>
    <cellStyle name="Percentuale 53 3 5" xfId="17879" xr:uid="{00000000-0005-0000-0000-000074DD0000}"/>
    <cellStyle name="Percentuale 53 4" xfId="9672" xr:uid="{00000000-0005-0000-0000-000075DD0000}"/>
    <cellStyle name="Percentuale 53 4 2" xfId="17882" xr:uid="{00000000-0005-0000-0000-000076DD0000}"/>
    <cellStyle name="Percentuale 53 4 2 2" xfId="18890" xr:uid="{00000000-0005-0000-0000-000077DD0000}"/>
    <cellStyle name="Percentuale 53 4 3" xfId="18889" xr:uid="{00000000-0005-0000-0000-000078DD0000}"/>
    <cellStyle name="Percentuale 53 4 4" xfId="17881" xr:uid="{00000000-0005-0000-0000-000079DD0000}"/>
    <cellStyle name="Percentuale 53 5" xfId="9673" xr:uid="{00000000-0005-0000-0000-00007ADD0000}"/>
    <cellStyle name="Percentuale 53 6" xfId="51339" xr:uid="{00000000-0005-0000-0000-00007BDD0000}"/>
    <cellStyle name="Percentuale 54" xfId="1044" xr:uid="{00000000-0005-0000-0000-00007CDD0000}"/>
    <cellStyle name="Percentuale 54 2" xfId="1045" xr:uid="{00000000-0005-0000-0000-00007DDD0000}"/>
    <cellStyle name="Percentuale 54 2 2" xfId="1496" xr:uid="{00000000-0005-0000-0000-00007EDD0000}"/>
    <cellStyle name="Percentuale 54 3" xfId="1046" xr:uid="{00000000-0005-0000-0000-00007FDD0000}"/>
    <cellStyle name="Percentuale 54 3 2" xfId="1047" xr:uid="{00000000-0005-0000-0000-000080DD0000}"/>
    <cellStyle name="Percentuale 54 3 3" xfId="17884" xr:uid="{00000000-0005-0000-0000-000081DD0000}"/>
    <cellStyle name="Percentuale 54 3 3 2" xfId="18892" xr:uid="{00000000-0005-0000-0000-000082DD0000}"/>
    <cellStyle name="Percentuale 54 3 4" xfId="18891" xr:uid="{00000000-0005-0000-0000-000083DD0000}"/>
    <cellStyle name="Percentuale 54 3 5" xfId="17883" xr:uid="{00000000-0005-0000-0000-000084DD0000}"/>
    <cellStyle name="Percentuale 54 4" xfId="9674" xr:uid="{00000000-0005-0000-0000-000085DD0000}"/>
    <cellStyle name="Percentuale 54 4 2" xfId="17886" xr:uid="{00000000-0005-0000-0000-000086DD0000}"/>
    <cellStyle name="Percentuale 54 4 2 2" xfId="18894" xr:uid="{00000000-0005-0000-0000-000087DD0000}"/>
    <cellStyle name="Percentuale 54 4 3" xfId="18893" xr:uid="{00000000-0005-0000-0000-000088DD0000}"/>
    <cellStyle name="Percentuale 54 4 4" xfId="17885" xr:uid="{00000000-0005-0000-0000-000089DD0000}"/>
    <cellStyle name="Percentuale 54 5" xfId="9675" xr:uid="{00000000-0005-0000-0000-00008ADD0000}"/>
    <cellStyle name="Percentuale 54 6" xfId="51340" xr:uid="{00000000-0005-0000-0000-00008BDD0000}"/>
    <cellStyle name="Percentuale 55" xfId="1048" xr:uid="{00000000-0005-0000-0000-00008CDD0000}"/>
    <cellStyle name="Percentuale 55 2" xfId="1049" xr:uid="{00000000-0005-0000-0000-00008DDD0000}"/>
    <cellStyle name="Percentuale 55 2 2" xfId="1497" xr:uid="{00000000-0005-0000-0000-00008EDD0000}"/>
    <cellStyle name="Percentuale 55 3" xfId="1050" xr:uid="{00000000-0005-0000-0000-00008FDD0000}"/>
    <cellStyle name="Percentuale 55 3 2" xfId="1051" xr:uid="{00000000-0005-0000-0000-000090DD0000}"/>
    <cellStyle name="Percentuale 55 3 3" xfId="17888" xr:uid="{00000000-0005-0000-0000-000091DD0000}"/>
    <cellStyle name="Percentuale 55 3 3 2" xfId="18896" xr:uid="{00000000-0005-0000-0000-000092DD0000}"/>
    <cellStyle name="Percentuale 55 3 4" xfId="18895" xr:uid="{00000000-0005-0000-0000-000093DD0000}"/>
    <cellStyle name="Percentuale 55 3 5" xfId="17887" xr:uid="{00000000-0005-0000-0000-000094DD0000}"/>
    <cellStyle name="Percentuale 55 4" xfId="9676" xr:uid="{00000000-0005-0000-0000-000095DD0000}"/>
    <cellStyle name="Percentuale 55 4 2" xfId="17890" xr:uid="{00000000-0005-0000-0000-000096DD0000}"/>
    <cellStyle name="Percentuale 55 4 2 2" xfId="18898" xr:uid="{00000000-0005-0000-0000-000097DD0000}"/>
    <cellStyle name="Percentuale 55 4 3" xfId="18897" xr:uid="{00000000-0005-0000-0000-000098DD0000}"/>
    <cellStyle name="Percentuale 55 4 4" xfId="17889" xr:uid="{00000000-0005-0000-0000-000099DD0000}"/>
    <cellStyle name="Percentuale 55 5" xfId="9677" xr:uid="{00000000-0005-0000-0000-00009ADD0000}"/>
    <cellStyle name="Percentuale 55 6" xfId="51341" xr:uid="{00000000-0005-0000-0000-00009BDD0000}"/>
    <cellStyle name="Percentuale 56" xfId="1052" xr:uid="{00000000-0005-0000-0000-00009CDD0000}"/>
    <cellStyle name="Percentuale 56 2" xfId="1053" xr:uid="{00000000-0005-0000-0000-00009DDD0000}"/>
    <cellStyle name="Percentuale 56 2 2" xfId="1498" xr:uid="{00000000-0005-0000-0000-00009EDD0000}"/>
    <cellStyle name="Percentuale 56 3" xfId="1054" xr:uid="{00000000-0005-0000-0000-00009FDD0000}"/>
    <cellStyle name="Percentuale 56 3 2" xfId="1055" xr:uid="{00000000-0005-0000-0000-0000A0DD0000}"/>
    <cellStyle name="Percentuale 56 3 3" xfId="17892" xr:uid="{00000000-0005-0000-0000-0000A1DD0000}"/>
    <cellStyle name="Percentuale 56 3 3 2" xfId="18900" xr:uid="{00000000-0005-0000-0000-0000A2DD0000}"/>
    <cellStyle name="Percentuale 56 3 4" xfId="18899" xr:uid="{00000000-0005-0000-0000-0000A3DD0000}"/>
    <cellStyle name="Percentuale 56 3 5" xfId="17891" xr:uid="{00000000-0005-0000-0000-0000A4DD0000}"/>
    <cellStyle name="Percentuale 56 4" xfId="9678" xr:uid="{00000000-0005-0000-0000-0000A5DD0000}"/>
    <cellStyle name="Percentuale 56 4 2" xfId="17894" xr:uid="{00000000-0005-0000-0000-0000A6DD0000}"/>
    <cellStyle name="Percentuale 56 4 2 2" xfId="18902" xr:uid="{00000000-0005-0000-0000-0000A7DD0000}"/>
    <cellStyle name="Percentuale 56 4 3" xfId="18901" xr:uid="{00000000-0005-0000-0000-0000A8DD0000}"/>
    <cellStyle name="Percentuale 56 4 4" xfId="17893" xr:uid="{00000000-0005-0000-0000-0000A9DD0000}"/>
    <cellStyle name="Percentuale 56 5" xfId="9679" xr:uid="{00000000-0005-0000-0000-0000AADD0000}"/>
    <cellStyle name="Percentuale 56 6" xfId="51342" xr:uid="{00000000-0005-0000-0000-0000ABDD0000}"/>
    <cellStyle name="Percentuale 57" xfId="1056" xr:uid="{00000000-0005-0000-0000-0000ACDD0000}"/>
    <cellStyle name="Percentuale 57 2" xfId="1057" xr:uid="{00000000-0005-0000-0000-0000ADDD0000}"/>
    <cellStyle name="Percentuale 57 2 2" xfId="1499" xr:uid="{00000000-0005-0000-0000-0000AEDD0000}"/>
    <cellStyle name="Percentuale 57 3" xfId="1058" xr:uid="{00000000-0005-0000-0000-0000AFDD0000}"/>
    <cellStyle name="Percentuale 57 3 2" xfId="1059" xr:uid="{00000000-0005-0000-0000-0000B0DD0000}"/>
    <cellStyle name="Percentuale 57 3 3" xfId="17896" xr:uid="{00000000-0005-0000-0000-0000B1DD0000}"/>
    <cellStyle name="Percentuale 57 3 3 2" xfId="18904" xr:uid="{00000000-0005-0000-0000-0000B2DD0000}"/>
    <cellStyle name="Percentuale 57 3 4" xfId="18903" xr:uid="{00000000-0005-0000-0000-0000B3DD0000}"/>
    <cellStyle name="Percentuale 57 3 5" xfId="17895" xr:uid="{00000000-0005-0000-0000-0000B4DD0000}"/>
    <cellStyle name="Percentuale 57 4" xfId="9680" xr:uid="{00000000-0005-0000-0000-0000B5DD0000}"/>
    <cellStyle name="Percentuale 57 4 2" xfId="17898" xr:uid="{00000000-0005-0000-0000-0000B6DD0000}"/>
    <cellStyle name="Percentuale 57 4 2 2" xfId="18906" xr:uid="{00000000-0005-0000-0000-0000B7DD0000}"/>
    <cellStyle name="Percentuale 57 4 3" xfId="18905" xr:uid="{00000000-0005-0000-0000-0000B8DD0000}"/>
    <cellStyle name="Percentuale 57 4 4" xfId="17897" xr:uid="{00000000-0005-0000-0000-0000B9DD0000}"/>
    <cellStyle name="Percentuale 57 5" xfId="9681" xr:uid="{00000000-0005-0000-0000-0000BADD0000}"/>
    <cellStyle name="Percentuale 57 6" xfId="51343" xr:uid="{00000000-0005-0000-0000-0000BBDD0000}"/>
    <cellStyle name="Percentuale 58" xfId="1060" xr:uid="{00000000-0005-0000-0000-0000BCDD0000}"/>
    <cellStyle name="Percentuale 58 2" xfId="1061" xr:uid="{00000000-0005-0000-0000-0000BDDD0000}"/>
    <cellStyle name="Percentuale 58 2 2" xfId="1500" xr:uid="{00000000-0005-0000-0000-0000BEDD0000}"/>
    <cellStyle name="Percentuale 58 3" xfId="1062" xr:uid="{00000000-0005-0000-0000-0000BFDD0000}"/>
    <cellStyle name="Percentuale 58 3 2" xfId="1063" xr:uid="{00000000-0005-0000-0000-0000C0DD0000}"/>
    <cellStyle name="Percentuale 58 3 3" xfId="17900" xr:uid="{00000000-0005-0000-0000-0000C1DD0000}"/>
    <cellStyle name="Percentuale 58 3 3 2" xfId="18908" xr:uid="{00000000-0005-0000-0000-0000C2DD0000}"/>
    <cellStyle name="Percentuale 58 3 4" xfId="18907" xr:uid="{00000000-0005-0000-0000-0000C3DD0000}"/>
    <cellStyle name="Percentuale 58 3 5" xfId="17899" xr:uid="{00000000-0005-0000-0000-0000C4DD0000}"/>
    <cellStyle name="Percentuale 58 4" xfId="9682" xr:uid="{00000000-0005-0000-0000-0000C5DD0000}"/>
    <cellStyle name="Percentuale 58 4 2" xfId="17902" xr:uid="{00000000-0005-0000-0000-0000C6DD0000}"/>
    <cellStyle name="Percentuale 58 4 2 2" xfId="18910" xr:uid="{00000000-0005-0000-0000-0000C7DD0000}"/>
    <cellStyle name="Percentuale 58 4 3" xfId="18909" xr:uid="{00000000-0005-0000-0000-0000C8DD0000}"/>
    <cellStyle name="Percentuale 58 4 4" xfId="17901" xr:uid="{00000000-0005-0000-0000-0000C9DD0000}"/>
    <cellStyle name="Percentuale 58 5" xfId="9683" xr:uid="{00000000-0005-0000-0000-0000CADD0000}"/>
    <cellStyle name="Percentuale 58 6" xfId="51344" xr:uid="{00000000-0005-0000-0000-0000CBDD0000}"/>
    <cellStyle name="Percentuale 59" xfId="1064" xr:uid="{00000000-0005-0000-0000-0000CCDD0000}"/>
    <cellStyle name="Percentuale 59 2" xfId="1065" xr:uid="{00000000-0005-0000-0000-0000CDDD0000}"/>
    <cellStyle name="Percentuale 59 2 2" xfId="1501" xr:uid="{00000000-0005-0000-0000-0000CEDD0000}"/>
    <cellStyle name="Percentuale 59 3" xfId="1066" xr:uid="{00000000-0005-0000-0000-0000CFDD0000}"/>
    <cellStyle name="Percentuale 59 3 2" xfId="1067" xr:uid="{00000000-0005-0000-0000-0000D0DD0000}"/>
    <cellStyle name="Percentuale 59 3 3" xfId="17904" xr:uid="{00000000-0005-0000-0000-0000D1DD0000}"/>
    <cellStyle name="Percentuale 59 3 3 2" xfId="18912" xr:uid="{00000000-0005-0000-0000-0000D2DD0000}"/>
    <cellStyle name="Percentuale 59 3 4" xfId="18911" xr:uid="{00000000-0005-0000-0000-0000D3DD0000}"/>
    <cellStyle name="Percentuale 59 3 5" xfId="17903" xr:uid="{00000000-0005-0000-0000-0000D4DD0000}"/>
    <cellStyle name="Percentuale 59 4" xfId="9684" xr:uid="{00000000-0005-0000-0000-0000D5DD0000}"/>
    <cellStyle name="Percentuale 59 4 2" xfId="17906" xr:uid="{00000000-0005-0000-0000-0000D6DD0000}"/>
    <cellStyle name="Percentuale 59 4 2 2" xfId="18914" xr:uid="{00000000-0005-0000-0000-0000D7DD0000}"/>
    <cellStyle name="Percentuale 59 4 3" xfId="18913" xr:uid="{00000000-0005-0000-0000-0000D8DD0000}"/>
    <cellStyle name="Percentuale 59 4 4" xfId="17905" xr:uid="{00000000-0005-0000-0000-0000D9DD0000}"/>
    <cellStyle name="Percentuale 59 5" xfId="9685" xr:uid="{00000000-0005-0000-0000-0000DADD0000}"/>
    <cellStyle name="Percentuale 59 6" xfId="51345" xr:uid="{00000000-0005-0000-0000-0000DBDD0000}"/>
    <cellStyle name="Percentuale 6" xfId="1068" xr:uid="{00000000-0005-0000-0000-0000DCDD0000}"/>
    <cellStyle name="Percentuale 6 2" xfId="1069" xr:uid="{00000000-0005-0000-0000-0000DDDD0000}"/>
    <cellStyle name="Percentuale 6 2 2" xfId="1502" xr:uid="{00000000-0005-0000-0000-0000DEDD0000}"/>
    <cellStyle name="Percentuale 6 3" xfId="1070" xr:uid="{00000000-0005-0000-0000-0000DFDD0000}"/>
    <cellStyle name="Percentuale 6 3 2" xfId="1071" xr:uid="{00000000-0005-0000-0000-0000E0DD0000}"/>
    <cellStyle name="Percentuale 6 3 3" xfId="17909" xr:uid="{00000000-0005-0000-0000-0000E1DD0000}"/>
    <cellStyle name="Percentuale 6 3 3 2" xfId="18916" xr:uid="{00000000-0005-0000-0000-0000E2DD0000}"/>
    <cellStyle name="Percentuale 6 3 4" xfId="18915" xr:uid="{00000000-0005-0000-0000-0000E3DD0000}"/>
    <cellStyle name="Percentuale 6 3 5" xfId="17907" xr:uid="{00000000-0005-0000-0000-0000E4DD0000}"/>
    <cellStyle name="Percentuale 6 4" xfId="9686" xr:uid="{00000000-0005-0000-0000-0000E5DD0000}"/>
    <cellStyle name="Percentuale 6 4 2" xfId="17911" xr:uid="{00000000-0005-0000-0000-0000E6DD0000}"/>
    <cellStyle name="Percentuale 6 4 2 2" xfId="18918" xr:uid="{00000000-0005-0000-0000-0000E7DD0000}"/>
    <cellStyle name="Percentuale 6 4 3" xfId="18917" xr:uid="{00000000-0005-0000-0000-0000E8DD0000}"/>
    <cellStyle name="Percentuale 6 4 4" xfId="17910" xr:uid="{00000000-0005-0000-0000-0000E9DD0000}"/>
    <cellStyle name="Percentuale 6 5" xfId="9687" xr:uid="{00000000-0005-0000-0000-0000EADD0000}"/>
    <cellStyle name="Percentuale 6 6" xfId="51346" xr:uid="{00000000-0005-0000-0000-0000EBDD0000}"/>
    <cellStyle name="Percentuale 60" xfId="1072" xr:uid="{00000000-0005-0000-0000-0000ECDD0000}"/>
    <cellStyle name="Percentuale 60 2" xfId="1073" xr:uid="{00000000-0005-0000-0000-0000EDDD0000}"/>
    <cellStyle name="Percentuale 60 2 2" xfId="1503" xr:uid="{00000000-0005-0000-0000-0000EEDD0000}"/>
    <cellStyle name="Percentuale 60 3" xfId="1074" xr:uid="{00000000-0005-0000-0000-0000EFDD0000}"/>
    <cellStyle name="Percentuale 60 3 2" xfId="1075" xr:uid="{00000000-0005-0000-0000-0000F0DD0000}"/>
    <cellStyle name="Percentuale 60 3 3" xfId="17913" xr:uid="{00000000-0005-0000-0000-0000F1DD0000}"/>
    <cellStyle name="Percentuale 60 3 3 2" xfId="18920" xr:uid="{00000000-0005-0000-0000-0000F2DD0000}"/>
    <cellStyle name="Percentuale 60 3 4" xfId="18919" xr:uid="{00000000-0005-0000-0000-0000F3DD0000}"/>
    <cellStyle name="Percentuale 60 3 5" xfId="17912" xr:uid="{00000000-0005-0000-0000-0000F4DD0000}"/>
    <cellStyle name="Percentuale 60 4" xfId="9688" xr:uid="{00000000-0005-0000-0000-0000F5DD0000}"/>
    <cellStyle name="Percentuale 60 4 2" xfId="17915" xr:uid="{00000000-0005-0000-0000-0000F6DD0000}"/>
    <cellStyle name="Percentuale 60 4 2 2" xfId="18922" xr:uid="{00000000-0005-0000-0000-0000F7DD0000}"/>
    <cellStyle name="Percentuale 60 4 3" xfId="18921" xr:uid="{00000000-0005-0000-0000-0000F8DD0000}"/>
    <cellStyle name="Percentuale 60 4 4" xfId="17914" xr:uid="{00000000-0005-0000-0000-0000F9DD0000}"/>
    <cellStyle name="Percentuale 60 5" xfId="9689" xr:uid="{00000000-0005-0000-0000-0000FADD0000}"/>
    <cellStyle name="Percentuale 60 6" xfId="51347" xr:uid="{00000000-0005-0000-0000-0000FBDD0000}"/>
    <cellStyle name="Percentuale 61" xfId="1076" xr:uid="{00000000-0005-0000-0000-0000FCDD0000}"/>
    <cellStyle name="Percentuale 61 2" xfId="1077" xr:uid="{00000000-0005-0000-0000-0000FDDD0000}"/>
    <cellStyle name="Percentuale 61 2 2" xfId="1504" xr:uid="{00000000-0005-0000-0000-0000FEDD0000}"/>
    <cellStyle name="Percentuale 61 3" xfId="1078" xr:uid="{00000000-0005-0000-0000-0000FFDD0000}"/>
    <cellStyle name="Percentuale 61 3 2" xfId="1079" xr:uid="{00000000-0005-0000-0000-000000DE0000}"/>
    <cellStyle name="Percentuale 61 3 3" xfId="17917" xr:uid="{00000000-0005-0000-0000-000001DE0000}"/>
    <cellStyle name="Percentuale 61 3 3 2" xfId="18924" xr:uid="{00000000-0005-0000-0000-000002DE0000}"/>
    <cellStyle name="Percentuale 61 3 4" xfId="18923" xr:uid="{00000000-0005-0000-0000-000003DE0000}"/>
    <cellStyle name="Percentuale 61 3 5" xfId="17916" xr:uid="{00000000-0005-0000-0000-000004DE0000}"/>
    <cellStyle name="Percentuale 61 4" xfId="9690" xr:uid="{00000000-0005-0000-0000-000005DE0000}"/>
    <cellStyle name="Percentuale 61 4 2" xfId="17919" xr:uid="{00000000-0005-0000-0000-000006DE0000}"/>
    <cellStyle name="Percentuale 61 4 2 2" xfId="18926" xr:uid="{00000000-0005-0000-0000-000007DE0000}"/>
    <cellStyle name="Percentuale 61 4 3" xfId="18925" xr:uid="{00000000-0005-0000-0000-000008DE0000}"/>
    <cellStyle name="Percentuale 61 4 4" xfId="17918" xr:uid="{00000000-0005-0000-0000-000009DE0000}"/>
    <cellStyle name="Percentuale 61 5" xfId="9691" xr:uid="{00000000-0005-0000-0000-00000ADE0000}"/>
    <cellStyle name="Percentuale 61 6" xfId="51348" xr:uid="{00000000-0005-0000-0000-00000BDE0000}"/>
    <cellStyle name="Percentuale 62" xfId="1080" xr:uid="{00000000-0005-0000-0000-00000CDE0000}"/>
    <cellStyle name="Percentuale 62 2" xfId="1505" xr:uid="{00000000-0005-0000-0000-00000DDE0000}"/>
    <cellStyle name="Percentuale 63" xfId="1081" xr:uid="{00000000-0005-0000-0000-00000EDE0000}"/>
    <cellStyle name="Percentuale 63 2" xfId="1506" xr:uid="{00000000-0005-0000-0000-00000FDE0000}"/>
    <cellStyle name="Percentuale 64" xfId="1082" xr:uid="{00000000-0005-0000-0000-000010DE0000}"/>
    <cellStyle name="Percentuale 64 2" xfId="1507" xr:uid="{00000000-0005-0000-0000-000011DE0000}"/>
    <cellStyle name="Percentuale 65" xfId="1083" xr:uid="{00000000-0005-0000-0000-000012DE0000}"/>
    <cellStyle name="Percentuale 65 2" xfId="1508" xr:uid="{00000000-0005-0000-0000-000013DE0000}"/>
    <cellStyle name="Percentuale 66" xfId="1084" xr:uid="{00000000-0005-0000-0000-000014DE0000}"/>
    <cellStyle name="Percentuale 66 2" xfId="1509" xr:uid="{00000000-0005-0000-0000-000015DE0000}"/>
    <cellStyle name="Percentuale 67" xfId="1085" xr:uid="{00000000-0005-0000-0000-000016DE0000}"/>
    <cellStyle name="Percentuale 67 2" xfId="1510" xr:uid="{00000000-0005-0000-0000-000017DE0000}"/>
    <cellStyle name="Percentuale 68" xfId="1086" xr:uid="{00000000-0005-0000-0000-000018DE0000}"/>
    <cellStyle name="Percentuale 68 2" xfId="1087" xr:uid="{00000000-0005-0000-0000-000019DE0000}"/>
    <cellStyle name="Percentuale 68 2 2" xfId="1511" xr:uid="{00000000-0005-0000-0000-00001ADE0000}"/>
    <cellStyle name="Percentuale 68 3" xfId="1088" xr:uid="{00000000-0005-0000-0000-00001BDE0000}"/>
    <cellStyle name="Percentuale 68 3 2" xfId="1089" xr:uid="{00000000-0005-0000-0000-00001CDE0000}"/>
    <cellStyle name="Percentuale 68 3 3" xfId="17921" xr:uid="{00000000-0005-0000-0000-00001DDE0000}"/>
    <cellStyle name="Percentuale 68 3 3 2" xfId="18928" xr:uid="{00000000-0005-0000-0000-00001EDE0000}"/>
    <cellStyle name="Percentuale 68 3 4" xfId="18927" xr:uid="{00000000-0005-0000-0000-00001FDE0000}"/>
    <cellStyle name="Percentuale 68 3 5" xfId="17920" xr:uid="{00000000-0005-0000-0000-000020DE0000}"/>
    <cellStyle name="Percentuale 68 4" xfId="9692" xr:uid="{00000000-0005-0000-0000-000021DE0000}"/>
    <cellStyle name="Percentuale 68 4 2" xfId="17923" xr:uid="{00000000-0005-0000-0000-000022DE0000}"/>
    <cellStyle name="Percentuale 68 4 2 2" xfId="18930" xr:uid="{00000000-0005-0000-0000-000023DE0000}"/>
    <cellStyle name="Percentuale 68 4 3" xfId="18929" xr:uid="{00000000-0005-0000-0000-000024DE0000}"/>
    <cellStyle name="Percentuale 68 4 4" xfId="17922" xr:uid="{00000000-0005-0000-0000-000025DE0000}"/>
    <cellStyle name="Percentuale 68 5" xfId="9693" xr:uid="{00000000-0005-0000-0000-000026DE0000}"/>
    <cellStyle name="Percentuale 68 6" xfId="51349" xr:uid="{00000000-0005-0000-0000-000027DE0000}"/>
    <cellStyle name="Percentuale 69" xfId="1090" xr:uid="{00000000-0005-0000-0000-000028DE0000}"/>
    <cellStyle name="Percentuale 69 2" xfId="1091" xr:uid="{00000000-0005-0000-0000-000029DE0000}"/>
    <cellStyle name="Percentuale 69 2 2" xfId="1512" xr:uid="{00000000-0005-0000-0000-00002ADE0000}"/>
    <cellStyle name="Percentuale 69 3" xfId="1092" xr:uid="{00000000-0005-0000-0000-00002BDE0000}"/>
    <cellStyle name="Percentuale 69 3 2" xfId="1093" xr:uid="{00000000-0005-0000-0000-00002CDE0000}"/>
    <cellStyle name="Percentuale 69 3 3" xfId="17925" xr:uid="{00000000-0005-0000-0000-00002DDE0000}"/>
    <cellStyle name="Percentuale 69 3 3 2" xfId="18932" xr:uid="{00000000-0005-0000-0000-00002EDE0000}"/>
    <cellStyle name="Percentuale 69 3 4" xfId="18931" xr:uid="{00000000-0005-0000-0000-00002FDE0000}"/>
    <cellStyle name="Percentuale 69 3 5" xfId="17924" xr:uid="{00000000-0005-0000-0000-000030DE0000}"/>
    <cellStyle name="Percentuale 69 4" xfId="9694" xr:uid="{00000000-0005-0000-0000-000031DE0000}"/>
    <cellStyle name="Percentuale 69 4 2" xfId="17927" xr:uid="{00000000-0005-0000-0000-000032DE0000}"/>
    <cellStyle name="Percentuale 69 4 2 2" xfId="18934" xr:uid="{00000000-0005-0000-0000-000033DE0000}"/>
    <cellStyle name="Percentuale 69 4 3" xfId="18933" xr:uid="{00000000-0005-0000-0000-000034DE0000}"/>
    <cellStyle name="Percentuale 69 4 4" xfId="17926" xr:uid="{00000000-0005-0000-0000-000035DE0000}"/>
    <cellStyle name="Percentuale 69 5" xfId="9695" xr:uid="{00000000-0005-0000-0000-000036DE0000}"/>
    <cellStyle name="Percentuale 69 6" xfId="51350" xr:uid="{00000000-0005-0000-0000-000037DE0000}"/>
    <cellStyle name="Percentuale 7" xfId="1094" xr:uid="{00000000-0005-0000-0000-000038DE0000}"/>
    <cellStyle name="Percentuale 7 2" xfId="1095" xr:uid="{00000000-0005-0000-0000-000039DE0000}"/>
    <cellStyle name="Percentuale 7 2 2" xfId="1513" xr:uid="{00000000-0005-0000-0000-00003ADE0000}"/>
    <cellStyle name="Percentuale 7 3" xfId="1096" xr:uid="{00000000-0005-0000-0000-00003BDE0000}"/>
    <cellStyle name="Percentuale 7 3 2" xfId="1097" xr:uid="{00000000-0005-0000-0000-00003CDE0000}"/>
    <cellStyle name="Percentuale 7 3 3" xfId="17929" xr:uid="{00000000-0005-0000-0000-00003DDE0000}"/>
    <cellStyle name="Percentuale 7 3 3 2" xfId="18936" xr:uid="{00000000-0005-0000-0000-00003EDE0000}"/>
    <cellStyle name="Percentuale 7 3 4" xfId="18935" xr:uid="{00000000-0005-0000-0000-00003FDE0000}"/>
    <cellStyle name="Percentuale 7 3 5" xfId="17928" xr:uid="{00000000-0005-0000-0000-000040DE0000}"/>
    <cellStyle name="Percentuale 7 4" xfId="9696" xr:uid="{00000000-0005-0000-0000-000041DE0000}"/>
    <cellStyle name="Percentuale 7 4 2" xfId="17931" xr:uid="{00000000-0005-0000-0000-000042DE0000}"/>
    <cellStyle name="Percentuale 7 4 2 2" xfId="18938" xr:uid="{00000000-0005-0000-0000-000043DE0000}"/>
    <cellStyle name="Percentuale 7 4 3" xfId="18937" xr:uid="{00000000-0005-0000-0000-000044DE0000}"/>
    <cellStyle name="Percentuale 7 4 4" xfId="17930" xr:uid="{00000000-0005-0000-0000-000045DE0000}"/>
    <cellStyle name="Percentuale 7 5" xfId="9697" xr:uid="{00000000-0005-0000-0000-000046DE0000}"/>
    <cellStyle name="Percentuale 7 6" xfId="51351" xr:uid="{00000000-0005-0000-0000-000047DE0000}"/>
    <cellStyle name="Percentuale 8" xfId="1098" xr:uid="{00000000-0005-0000-0000-000048DE0000}"/>
    <cellStyle name="Percentuale 8 2" xfId="1099" xr:uid="{00000000-0005-0000-0000-000049DE0000}"/>
    <cellStyle name="Percentuale 8 2 2" xfId="1514" xr:uid="{00000000-0005-0000-0000-00004ADE0000}"/>
    <cellStyle name="Percentuale 8 3" xfId="1100" xr:uid="{00000000-0005-0000-0000-00004BDE0000}"/>
    <cellStyle name="Percentuale 8 3 2" xfId="1101" xr:uid="{00000000-0005-0000-0000-00004CDE0000}"/>
    <cellStyle name="Percentuale 8 3 3" xfId="17933" xr:uid="{00000000-0005-0000-0000-00004DDE0000}"/>
    <cellStyle name="Percentuale 8 3 3 2" xfId="18940" xr:uid="{00000000-0005-0000-0000-00004EDE0000}"/>
    <cellStyle name="Percentuale 8 3 4" xfId="18939" xr:uid="{00000000-0005-0000-0000-00004FDE0000}"/>
    <cellStyle name="Percentuale 8 3 5" xfId="17932" xr:uid="{00000000-0005-0000-0000-000050DE0000}"/>
    <cellStyle name="Percentuale 8 4" xfId="9698" xr:uid="{00000000-0005-0000-0000-000051DE0000}"/>
    <cellStyle name="Percentuale 8 4 2" xfId="17935" xr:uid="{00000000-0005-0000-0000-000052DE0000}"/>
    <cellStyle name="Percentuale 8 4 2 2" xfId="18942" xr:uid="{00000000-0005-0000-0000-000053DE0000}"/>
    <cellStyle name="Percentuale 8 4 3" xfId="18941" xr:uid="{00000000-0005-0000-0000-000054DE0000}"/>
    <cellStyle name="Percentuale 8 4 4" xfId="17934" xr:uid="{00000000-0005-0000-0000-000055DE0000}"/>
    <cellStyle name="Percentuale 8 5" xfId="9699" xr:uid="{00000000-0005-0000-0000-000056DE0000}"/>
    <cellStyle name="Percentuale 8 6" xfId="51352" xr:uid="{00000000-0005-0000-0000-000057DE0000}"/>
    <cellStyle name="Percentuale 9" xfId="1102" xr:uid="{00000000-0005-0000-0000-000058DE0000}"/>
    <cellStyle name="Percentuale 9 2" xfId="1103" xr:uid="{00000000-0005-0000-0000-000059DE0000}"/>
    <cellStyle name="Percentuale 9 2 2" xfId="1515" xr:uid="{00000000-0005-0000-0000-00005ADE0000}"/>
    <cellStyle name="Percentuale 9 3" xfId="1104" xr:uid="{00000000-0005-0000-0000-00005BDE0000}"/>
    <cellStyle name="Percentuale 9 3 2" xfId="1105" xr:uid="{00000000-0005-0000-0000-00005CDE0000}"/>
    <cellStyle name="Percentuale 9 3 3" xfId="17937" xr:uid="{00000000-0005-0000-0000-00005DDE0000}"/>
    <cellStyle name="Percentuale 9 3 3 2" xfId="18944" xr:uid="{00000000-0005-0000-0000-00005EDE0000}"/>
    <cellStyle name="Percentuale 9 3 4" xfId="18943" xr:uid="{00000000-0005-0000-0000-00005FDE0000}"/>
    <cellStyle name="Percentuale 9 3 5" xfId="17936" xr:uid="{00000000-0005-0000-0000-000060DE0000}"/>
    <cellStyle name="Percentuale 9 4" xfId="9700" xr:uid="{00000000-0005-0000-0000-000061DE0000}"/>
    <cellStyle name="Percentuale 9 4 2" xfId="17939" xr:uid="{00000000-0005-0000-0000-000062DE0000}"/>
    <cellStyle name="Percentuale 9 4 2 2" xfId="18946" xr:uid="{00000000-0005-0000-0000-000063DE0000}"/>
    <cellStyle name="Percentuale 9 4 3" xfId="18945" xr:uid="{00000000-0005-0000-0000-000064DE0000}"/>
    <cellStyle name="Percentuale 9 4 4" xfId="17938" xr:uid="{00000000-0005-0000-0000-000065DE0000}"/>
    <cellStyle name="Percentuale 9 5" xfId="9701" xr:uid="{00000000-0005-0000-0000-000066DE0000}"/>
    <cellStyle name="Percentuale 9 6" xfId="51353" xr:uid="{00000000-0005-0000-0000-000067DE0000}"/>
    <cellStyle name="Preliminary data" xfId="1179" xr:uid="{00000000-0005-0000-0000-000068DE0000}"/>
    <cellStyle name="Preliminary data 2" xfId="10066" xr:uid="{00000000-0005-0000-0000-000069DE0000}"/>
    <cellStyle name="Preliminary data 3" xfId="52107" xr:uid="{00000000-0005-0000-0000-00006ADE0000}"/>
    <cellStyle name="Procent 10" xfId="5265" xr:uid="{00000000-0005-0000-0000-00006BDE0000}"/>
    <cellStyle name="Procent 10 2" xfId="53788" xr:uid="{00000000-0005-0000-0000-00006CDE0000}"/>
    <cellStyle name="Procent 10 2 2" xfId="54412" xr:uid="{00000000-0005-0000-0000-00006DDE0000}"/>
    <cellStyle name="Procent 10 2 2 2" xfId="57579" xr:uid="{00000000-0005-0000-0000-00006EDE0000}"/>
    <cellStyle name="Procent 10 2 3" xfId="56955" xr:uid="{00000000-0005-0000-0000-00006FDE0000}"/>
    <cellStyle name="Procent 10 3" xfId="53789" xr:uid="{00000000-0005-0000-0000-000070DE0000}"/>
    <cellStyle name="Procent 10 3 2" xfId="54413" xr:uid="{00000000-0005-0000-0000-000071DE0000}"/>
    <cellStyle name="Procent 10 3 2 2" xfId="57580" xr:uid="{00000000-0005-0000-0000-000072DE0000}"/>
    <cellStyle name="Procent 10 3 3" xfId="56956" xr:uid="{00000000-0005-0000-0000-000073DE0000}"/>
    <cellStyle name="Procent 10 4" xfId="53790" xr:uid="{00000000-0005-0000-0000-000074DE0000}"/>
    <cellStyle name="Procent 10 4 2" xfId="54414" xr:uid="{00000000-0005-0000-0000-000075DE0000}"/>
    <cellStyle name="Procent 10 4 2 2" xfId="57581" xr:uid="{00000000-0005-0000-0000-000076DE0000}"/>
    <cellStyle name="Procent 10 4 3" xfId="56957" xr:uid="{00000000-0005-0000-0000-000077DE0000}"/>
    <cellStyle name="Procent 10 5" xfId="54411" xr:uid="{00000000-0005-0000-0000-000078DE0000}"/>
    <cellStyle name="Procent 10 5 2" xfId="57578" xr:uid="{00000000-0005-0000-0000-000079DE0000}"/>
    <cellStyle name="Procent 10 6" xfId="56954" xr:uid="{00000000-0005-0000-0000-00007ADE0000}"/>
    <cellStyle name="Procent 10 7" xfId="53787" xr:uid="{00000000-0005-0000-0000-00007BDE0000}"/>
    <cellStyle name="Procent 11" xfId="5266" xr:uid="{00000000-0005-0000-0000-00007CDE0000}"/>
    <cellStyle name="Procent 11 2" xfId="54415" xr:uid="{00000000-0005-0000-0000-00007DDE0000}"/>
    <cellStyle name="Procent 11 2 2" xfId="57582" xr:uid="{00000000-0005-0000-0000-00007EDE0000}"/>
    <cellStyle name="Procent 11 3" xfId="56958" xr:uid="{00000000-0005-0000-0000-00007FDE0000}"/>
    <cellStyle name="Procent 11 4" xfId="53791" xr:uid="{00000000-0005-0000-0000-000080DE0000}"/>
    <cellStyle name="Procent 12" xfId="5267" xr:uid="{00000000-0005-0000-0000-000081DE0000}"/>
    <cellStyle name="Procent 12 2" xfId="5268" xr:uid="{00000000-0005-0000-0000-000082DE0000}"/>
    <cellStyle name="Procent 12 2 2" xfId="57108" xr:uid="{00000000-0005-0000-0000-000083DE0000}"/>
    <cellStyle name="Procent 12 2 3" xfId="53941" xr:uid="{00000000-0005-0000-0000-000084DE0000}"/>
    <cellStyle name="Procent 12 3" xfId="56497" xr:uid="{00000000-0005-0000-0000-000085DE0000}"/>
    <cellStyle name="Procent 12 4" xfId="53305" xr:uid="{00000000-0005-0000-0000-000086DE0000}"/>
    <cellStyle name="Procent 13" xfId="5269" xr:uid="{00000000-0005-0000-0000-000087DE0000}"/>
    <cellStyle name="Procent 13 2" xfId="54516" xr:uid="{00000000-0005-0000-0000-000088DE0000}"/>
    <cellStyle name="Procent 14" xfId="5270" xr:uid="{00000000-0005-0000-0000-000089DE0000}"/>
    <cellStyle name="Procent 15" xfId="5264" xr:uid="{00000000-0005-0000-0000-00008ADE0000}"/>
    <cellStyle name="Procent 16" xfId="1583" xr:uid="{00000000-0005-0000-0000-00008BDE0000}"/>
    <cellStyle name="Procent 16 2" xfId="8920" xr:uid="{00000000-0005-0000-0000-00008CDE0000}"/>
    <cellStyle name="Procent 17" xfId="8845" xr:uid="{00000000-0005-0000-0000-00008DDE0000}"/>
    <cellStyle name="Procent 2" xfId="1178" xr:uid="{00000000-0005-0000-0000-00008EDE0000}"/>
    <cellStyle name="Procent 2 10" xfId="53792" xr:uid="{00000000-0005-0000-0000-00008FDE0000}"/>
    <cellStyle name="Procent 2 10 2" xfId="53793" xr:uid="{00000000-0005-0000-0000-000090DE0000}"/>
    <cellStyle name="Procent 2 10 2 2" xfId="54417" xr:uid="{00000000-0005-0000-0000-000091DE0000}"/>
    <cellStyle name="Procent 2 10 2 2 2" xfId="57584" xr:uid="{00000000-0005-0000-0000-000092DE0000}"/>
    <cellStyle name="Procent 2 10 2 3" xfId="56960" xr:uid="{00000000-0005-0000-0000-000093DE0000}"/>
    <cellStyle name="Procent 2 10 3" xfId="54416" xr:uid="{00000000-0005-0000-0000-000094DE0000}"/>
    <cellStyle name="Procent 2 10 3 2" xfId="57583" xr:uid="{00000000-0005-0000-0000-000095DE0000}"/>
    <cellStyle name="Procent 2 10 4" xfId="56959" xr:uid="{00000000-0005-0000-0000-000096DE0000}"/>
    <cellStyle name="Procent 2 11" xfId="53794" xr:uid="{00000000-0005-0000-0000-000097DE0000}"/>
    <cellStyle name="Procent 2 11 2" xfId="54418" xr:uid="{00000000-0005-0000-0000-000098DE0000}"/>
    <cellStyle name="Procent 2 11 2 2" xfId="57585" xr:uid="{00000000-0005-0000-0000-000099DE0000}"/>
    <cellStyle name="Procent 2 11 3" xfId="56961" xr:uid="{00000000-0005-0000-0000-00009ADE0000}"/>
    <cellStyle name="Procent 2 12" xfId="53795" xr:uid="{00000000-0005-0000-0000-00009BDE0000}"/>
    <cellStyle name="Procent 2 12 2" xfId="54419" xr:uid="{00000000-0005-0000-0000-00009CDE0000}"/>
    <cellStyle name="Procent 2 12 2 2" xfId="57586" xr:uid="{00000000-0005-0000-0000-00009DDE0000}"/>
    <cellStyle name="Procent 2 12 3" xfId="56962" xr:uid="{00000000-0005-0000-0000-00009EDE0000}"/>
    <cellStyle name="Procent 2 13" xfId="53796" xr:uid="{00000000-0005-0000-0000-00009FDE0000}"/>
    <cellStyle name="Procent 2 13 2" xfId="54420" xr:uid="{00000000-0005-0000-0000-0000A0DE0000}"/>
    <cellStyle name="Procent 2 13 2 2" xfId="57587" xr:uid="{00000000-0005-0000-0000-0000A1DE0000}"/>
    <cellStyle name="Procent 2 13 3" xfId="56963" xr:uid="{00000000-0005-0000-0000-0000A2DE0000}"/>
    <cellStyle name="Procent 2 14" xfId="53302" xr:uid="{00000000-0005-0000-0000-0000A3DE0000}"/>
    <cellStyle name="Procent 2 14 2" xfId="53938" xr:uid="{00000000-0005-0000-0000-0000A4DE0000}"/>
    <cellStyle name="Procent 2 14 2 2" xfId="57105" xr:uid="{00000000-0005-0000-0000-0000A5DE0000}"/>
    <cellStyle name="Procent 2 14 3" xfId="56494" xr:uid="{00000000-0005-0000-0000-0000A6DE0000}"/>
    <cellStyle name="Procent 2 15" xfId="53895" xr:uid="{00000000-0005-0000-0000-0000A7DE0000}"/>
    <cellStyle name="Procent 2 15 2" xfId="57062" xr:uid="{00000000-0005-0000-0000-0000A8DE0000}"/>
    <cellStyle name="Procent 2 16" xfId="53245" xr:uid="{00000000-0005-0000-0000-0000A9DE0000}"/>
    <cellStyle name="Procent 2 16 2" xfId="56451" xr:uid="{00000000-0005-0000-0000-0000AADE0000}"/>
    <cellStyle name="Procent 2 17" xfId="1568" xr:uid="{00000000-0005-0000-0000-0000ABDE0000}"/>
    <cellStyle name="Procent 2 2" xfId="1192" xr:uid="{00000000-0005-0000-0000-0000ACDE0000}"/>
    <cellStyle name="Procent 2 2 10" xfId="49714" xr:uid="{00000000-0005-0000-0000-0000ADDE0000}"/>
    <cellStyle name="Procent 2 2 11" xfId="50123" xr:uid="{00000000-0005-0000-0000-0000AEDE0000}"/>
    <cellStyle name="Procent 2 2 12" xfId="50528" xr:uid="{00000000-0005-0000-0000-0000AFDE0000}"/>
    <cellStyle name="Procent 2 2 13" xfId="51088" xr:uid="{00000000-0005-0000-0000-0000B0DE0000}"/>
    <cellStyle name="Procent 2 2 14" xfId="51689" xr:uid="{00000000-0005-0000-0000-0000B1DE0000}"/>
    <cellStyle name="Procent 2 2 15" xfId="52109" xr:uid="{00000000-0005-0000-0000-0000B2DE0000}"/>
    <cellStyle name="Procent 2 2 16" xfId="1570" xr:uid="{00000000-0005-0000-0000-0000B3DE0000}"/>
    <cellStyle name="Procent 2 2 2" xfId="8838" xr:uid="{00000000-0005-0000-0000-0000B4DE0000}"/>
    <cellStyle name="Procent 2 2 2 2" xfId="16687" xr:uid="{00000000-0005-0000-0000-0000B5DE0000}"/>
    <cellStyle name="Procent 2 2 2 2 2" xfId="33001" xr:uid="{00000000-0005-0000-0000-0000B6DE0000}"/>
    <cellStyle name="Procent 2 2 2 2 2 2" xfId="57590" xr:uid="{00000000-0005-0000-0000-0000B7DE0000}"/>
    <cellStyle name="Procent 2 2 2 2 2 3" xfId="54423" xr:uid="{00000000-0005-0000-0000-0000B8DE0000}"/>
    <cellStyle name="Procent 2 2 2 2 3" xfId="47965" xr:uid="{00000000-0005-0000-0000-0000B9DE0000}"/>
    <cellStyle name="Procent 2 2 2 2 3 2" xfId="56966" xr:uid="{00000000-0005-0000-0000-0000BADE0000}"/>
    <cellStyle name="Procent 2 2 2 2 4" xfId="53799" xr:uid="{00000000-0005-0000-0000-0000BBDE0000}"/>
    <cellStyle name="Procent 2 2 2 3" xfId="25979" xr:uid="{00000000-0005-0000-0000-0000BCDE0000}"/>
    <cellStyle name="Procent 2 2 2 3 2" xfId="54424" xr:uid="{00000000-0005-0000-0000-0000BDDE0000}"/>
    <cellStyle name="Procent 2 2 2 3 2 2" xfId="57591" xr:uid="{00000000-0005-0000-0000-0000BEDE0000}"/>
    <cellStyle name="Procent 2 2 2 3 3" xfId="56967" xr:uid="{00000000-0005-0000-0000-0000BFDE0000}"/>
    <cellStyle name="Procent 2 2 2 3 4" xfId="53800" xr:uid="{00000000-0005-0000-0000-0000C0DE0000}"/>
    <cellStyle name="Procent 2 2 2 4" xfId="40966" xr:uid="{00000000-0005-0000-0000-0000C1DE0000}"/>
    <cellStyle name="Procent 2 2 2 4 2" xfId="54425" xr:uid="{00000000-0005-0000-0000-0000C2DE0000}"/>
    <cellStyle name="Procent 2 2 2 4 2 2" xfId="57592" xr:uid="{00000000-0005-0000-0000-0000C3DE0000}"/>
    <cellStyle name="Procent 2 2 2 4 3" xfId="56968" xr:uid="{00000000-0005-0000-0000-0000C4DE0000}"/>
    <cellStyle name="Procent 2 2 2 4 4" xfId="53801" xr:uid="{00000000-0005-0000-0000-0000C5DE0000}"/>
    <cellStyle name="Procent 2 2 2 5" xfId="53798" xr:uid="{00000000-0005-0000-0000-0000C6DE0000}"/>
    <cellStyle name="Procent 2 2 2 5 2" xfId="54422" xr:uid="{00000000-0005-0000-0000-0000C7DE0000}"/>
    <cellStyle name="Procent 2 2 2 5 2 2" xfId="57589" xr:uid="{00000000-0005-0000-0000-0000C8DE0000}"/>
    <cellStyle name="Procent 2 2 2 5 3" xfId="56965" xr:uid="{00000000-0005-0000-0000-0000C9DE0000}"/>
    <cellStyle name="Procent 2 2 2 6" xfId="53919" xr:uid="{00000000-0005-0000-0000-0000CADE0000}"/>
    <cellStyle name="Procent 2 2 2 6 2" xfId="57086" xr:uid="{00000000-0005-0000-0000-0000CBDE0000}"/>
    <cellStyle name="Procent 2 2 2 7" xfId="56475" xr:uid="{00000000-0005-0000-0000-0000CCDE0000}"/>
    <cellStyle name="Procent 2 2 2 8" xfId="53273" xr:uid="{00000000-0005-0000-0000-0000CDDE0000}"/>
    <cellStyle name="Procent 2 2 3" xfId="5272" xr:uid="{00000000-0005-0000-0000-0000CEDE0000}"/>
    <cellStyle name="Procent 2 2 3 2" xfId="53802" xr:uid="{00000000-0005-0000-0000-0000CFDE0000}"/>
    <cellStyle name="Procent 2 2 3 2 2" xfId="54426" xr:uid="{00000000-0005-0000-0000-0000D0DE0000}"/>
    <cellStyle name="Procent 2 2 3 2 2 2" xfId="57593" xr:uid="{00000000-0005-0000-0000-0000D1DE0000}"/>
    <cellStyle name="Procent 2 2 3 2 3" xfId="56969" xr:uid="{00000000-0005-0000-0000-0000D2DE0000}"/>
    <cellStyle name="Procent 2 2 3 3" xfId="53935" xr:uid="{00000000-0005-0000-0000-0000D3DE0000}"/>
    <cellStyle name="Procent 2 2 3 3 2" xfId="57102" xr:uid="{00000000-0005-0000-0000-0000D4DE0000}"/>
    <cellStyle name="Procent 2 2 3 4" xfId="56491" xr:uid="{00000000-0005-0000-0000-0000D5DE0000}"/>
    <cellStyle name="Procent 2 2 3 5" xfId="53289" xr:uid="{00000000-0005-0000-0000-0000D6DE0000}"/>
    <cellStyle name="Procent 2 2 4" xfId="8954" xr:uid="{00000000-0005-0000-0000-0000D7DE0000}"/>
    <cellStyle name="Procent 2 2 4 2" xfId="16728" xr:uid="{00000000-0005-0000-0000-0000D8DE0000}"/>
    <cellStyle name="Procent 2 2 4 2 2" xfId="33041" xr:uid="{00000000-0005-0000-0000-0000D9DE0000}"/>
    <cellStyle name="Procent 2 2 4 2 2 2" xfId="57594" xr:uid="{00000000-0005-0000-0000-0000DADE0000}"/>
    <cellStyle name="Procent 2 2 4 2 3" xfId="48005" xr:uid="{00000000-0005-0000-0000-0000DBDE0000}"/>
    <cellStyle name="Procent 2 2 4 2 4" xfId="54427" xr:uid="{00000000-0005-0000-0000-0000DCDE0000}"/>
    <cellStyle name="Procent 2 2 4 3" xfId="26019" xr:uid="{00000000-0005-0000-0000-0000DDDE0000}"/>
    <cellStyle name="Procent 2 2 4 3 2" xfId="56970" xr:uid="{00000000-0005-0000-0000-0000DEDE0000}"/>
    <cellStyle name="Procent 2 2 4 4" xfId="41006" xr:uid="{00000000-0005-0000-0000-0000DFDE0000}"/>
    <cellStyle name="Procent 2 2 4 5" xfId="53803" xr:uid="{00000000-0005-0000-0000-0000E0DE0000}"/>
    <cellStyle name="Procent 2 2 5" xfId="10068" xr:uid="{00000000-0005-0000-0000-0000E1DE0000}"/>
    <cellStyle name="Procent 2 2 5 2" xfId="26388" xr:uid="{00000000-0005-0000-0000-0000E2DE0000}"/>
    <cellStyle name="Procent 2 2 5 2 2" xfId="57595" xr:uid="{00000000-0005-0000-0000-0000E3DE0000}"/>
    <cellStyle name="Procent 2 2 5 2 3" xfId="54428" xr:uid="{00000000-0005-0000-0000-0000E4DE0000}"/>
    <cellStyle name="Procent 2 2 5 3" xfId="41356" xr:uid="{00000000-0005-0000-0000-0000E5DE0000}"/>
    <cellStyle name="Procent 2 2 5 3 2" xfId="56971" xr:uid="{00000000-0005-0000-0000-0000E6DE0000}"/>
    <cellStyle name="Procent 2 2 5 4" xfId="53804" xr:uid="{00000000-0005-0000-0000-0000E7DE0000}"/>
    <cellStyle name="Procent 2 2 6" xfId="18947" xr:uid="{00000000-0005-0000-0000-0000E8DE0000}"/>
    <cellStyle name="Procent 2 2 6 2" xfId="54429" xr:uid="{00000000-0005-0000-0000-0000E9DE0000}"/>
    <cellStyle name="Procent 2 2 6 2 2" xfId="57596" xr:uid="{00000000-0005-0000-0000-0000EADE0000}"/>
    <cellStyle name="Procent 2 2 6 3" xfId="56972" xr:uid="{00000000-0005-0000-0000-0000EBDE0000}"/>
    <cellStyle name="Procent 2 2 6 4" xfId="53805" xr:uid="{00000000-0005-0000-0000-0000ECDE0000}"/>
    <cellStyle name="Procent 2 2 7" xfId="19367" xr:uid="{00000000-0005-0000-0000-0000EDDE0000}"/>
    <cellStyle name="Procent 2 2 7 2" xfId="54421" xr:uid="{00000000-0005-0000-0000-0000EEDE0000}"/>
    <cellStyle name="Procent 2 2 7 2 2" xfId="57588" xr:uid="{00000000-0005-0000-0000-0000EFDE0000}"/>
    <cellStyle name="Procent 2 2 7 3" xfId="56964" xr:uid="{00000000-0005-0000-0000-0000F0DE0000}"/>
    <cellStyle name="Procent 2 2 7 4" xfId="53797" xr:uid="{00000000-0005-0000-0000-0000F1DE0000}"/>
    <cellStyle name="Procent 2 2 8" xfId="34357" xr:uid="{00000000-0005-0000-0000-0000F2DE0000}"/>
    <cellStyle name="Procent 2 2 8 2" xfId="57070" xr:uid="{00000000-0005-0000-0000-0000F3DE0000}"/>
    <cellStyle name="Procent 2 2 8 3" xfId="53903" xr:uid="{00000000-0005-0000-0000-0000F4DE0000}"/>
    <cellStyle name="Procent 2 2 9" xfId="49309" xr:uid="{00000000-0005-0000-0000-0000F5DE0000}"/>
    <cellStyle name="Procent 2 2 9 2" xfId="56459" xr:uid="{00000000-0005-0000-0000-0000F6DE0000}"/>
    <cellStyle name="Procent 2 2 9 3" xfId="53257" xr:uid="{00000000-0005-0000-0000-0000F7DE0000}"/>
    <cellStyle name="Procent 2 3" xfId="5273" xr:uid="{00000000-0005-0000-0000-0000F8DE0000}"/>
    <cellStyle name="Procent 2 3 10" xfId="53265" xr:uid="{00000000-0005-0000-0000-0000F9DE0000}"/>
    <cellStyle name="Procent 2 3 2" xfId="53807" xr:uid="{00000000-0005-0000-0000-0000FADE0000}"/>
    <cellStyle name="Procent 2 3 2 2" xfId="53808" xr:uid="{00000000-0005-0000-0000-0000FBDE0000}"/>
    <cellStyle name="Procent 2 3 2 2 2" xfId="54432" xr:uid="{00000000-0005-0000-0000-0000FCDE0000}"/>
    <cellStyle name="Procent 2 3 2 2 2 2" xfId="57599" xr:uid="{00000000-0005-0000-0000-0000FDDE0000}"/>
    <cellStyle name="Procent 2 3 2 2 3" xfId="56975" xr:uid="{00000000-0005-0000-0000-0000FEDE0000}"/>
    <cellStyle name="Procent 2 3 2 3" xfId="53809" xr:uid="{00000000-0005-0000-0000-0000FFDE0000}"/>
    <cellStyle name="Procent 2 3 2 3 2" xfId="54433" xr:uid="{00000000-0005-0000-0000-000000DF0000}"/>
    <cellStyle name="Procent 2 3 2 3 2 2" xfId="57600" xr:uid="{00000000-0005-0000-0000-000001DF0000}"/>
    <cellStyle name="Procent 2 3 2 3 3" xfId="56976" xr:uid="{00000000-0005-0000-0000-000002DF0000}"/>
    <cellStyle name="Procent 2 3 2 4" xfId="54431" xr:uid="{00000000-0005-0000-0000-000003DF0000}"/>
    <cellStyle name="Procent 2 3 2 4 2" xfId="57598" xr:uid="{00000000-0005-0000-0000-000004DF0000}"/>
    <cellStyle name="Procent 2 3 2 5" xfId="56974" xr:uid="{00000000-0005-0000-0000-000005DF0000}"/>
    <cellStyle name="Procent 2 3 3" xfId="53810" xr:uid="{00000000-0005-0000-0000-000006DF0000}"/>
    <cellStyle name="Procent 2 3 3 2" xfId="54434" xr:uid="{00000000-0005-0000-0000-000007DF0000}"/>
    <cellStyle name="Procent 2 3 3 2 2" xfId="57601" xr:uid="{00000000-0005-0000-0000-000008DF0000}"/>
    <cellStyle name="Procent 2 3 3 3" xfId="56977" xr:uid="{00000000-0005-0000-0000-000009DF0000}"/>
    <cellStyle name="Procent 2 3 4" xfId="53811" xr:uid="{00000000-0005-0000-0000-00000ADF0000}"/>
    <cellStyle name="Procent 2 3 4 2" xfId="54435" xr:uid="{00000000-0005-0000-0000-00000BDF0000}"/>
    <cellStyle name="Procent 2 3 4 2 2" xfId="57602" xr:uid="{00000000-0005-0000-0000-00000CDF0000}"/>
    <cellStyle name="Procent 2 3 4 3" xfId="56978" xr:uid="{00000000-0005-0000-0000-00000DDF0000}"/>
    <cellStyle name="Procent 2 3 5" xfId="53812" xr:uid="{00000000-0005-0000-0000-00000EDF0000}"/>
    <cellStyle name="Procent 2 3 5 2" xfId="54436" xr:uid="{00000000-0005-0000-0000-00000FDF0000}"/>
    <cellStyle name="Procent 2 3 5 2 2" xfId="57603" xr:uid="{00000000-0005-0000-0000-000010DF0000}"/>
    <cellStyle name="Procent 2 3 5 3" xfId="56979" xr:uid="{00000000-0005-0000-0000-000011DF0000}"/>
    <cellStyle name="Procent 2 3 6" xfId="53813" xr:uid="{00000000-0005-0000-0000-000012DF0000}"/>
    <cellStyle name="Procent 2 3 6 2" xfId="54437" xr:uid="{00000000-0005-0000-0000-000013DF0000}"/>
    <cellStyle name="Procent 2 3 6 2 2" xfId="57604" xr:uid="{00000000-0005-0000-0000-000014DF0000}"/>
    <cellStyle name="Procent 2 3 6 3" xfId="56980" xr:uid="{00000000-0005-0000-0000-000015DF0000}"/>
    <cellStyle name="Procent 2 3 7" xfId="53806" xr:uid="{00000000-0005-0000-0000-000016DF0000}"/>
    <cellStyle name="Procent 2 3 7 2" xfId="54430" xr:uid="{00000000-0005-0000-0000-000017DF0000}"/>
    <cellStyle name="Procent 2 3 7 2 2" xfId="57597" xr:uid="{00000000-0005-0000-0000-000018DF0000}"/>
    <cellStyle name="Procent 2 3 7 3" xfId="56973" xr:uid="{00000000-0005-0000-0000-000019DF0000}"/>
    <cellStyle name="Procent 2 3 8" xfId="53911" xr:uid="{00000000-0005-0000-0000-00001ADF0000}"/>
    <cellStyle name="Procent 2 3 8 2" xfId="57078" xr:uid="{00000000-0005-0000-0000-00001BDF0000}"/>
    <cellStyle name="Procent 2 3 9" xfId="56467" xr:uid="{00000000-0005-0000-0000-00001CDF0000}"/>
    <cellStyle name="Procent 2 4" xfId="5274" xr:uid="{00000000-0005-0000-0000-00001DDF0000}"/>
    <cellStyle name="Procent 2 4 10" xfId="53281" xr:uid="{00000000-0005-0000-0000-00001EDF0000}"/>
    <cellStyle name="Procent 2 4 2" xfId="5275" xr:uid="{00000000-0005-0000-0000-00001FDF0000}"/>
    <cellStyle name="Procent 2 4 2 2" xfId="53816" xr:uid="{00000000-0005-0000-0000-000020DF0000}"/>
    <cellStyle name="Procent 2 4 2 2 2" xfId="54440" xr:uid="{00000000-0005-0000-0000-000021DF0000}"/>
    <cellStyle name="Procent 2 4 2 2 2 2" xfId="57607" xr:uid="{00000000-0005-0000-0000-000022DF0000}"/>
    <cellStyle name="Procent 2 4 2 2 3" xfId="56983" xr:uid="{00000000-0005-0000-0000-000023DF0000}"/>
    <cellStyle name="Procent 2 4 2 3" xfId="53817" xr:uid="{00000000-0005-0000-0000-000024DF0000}"/>
    <cellStyle name="Procent 2 4 2 3 2" xfId="54441" xr:uid="{00000000-0005-0000-0000-000025DF0000}"/>
    <cellStyle name="Procent 2 4 2 3 2 2" xfId="57608" xr:uid="{00000000-0005-0000-0000-000026DF0000}"/>
    <cellStyle name="Procent 2 4 2 3 3" xfId="56984" xr:uid="{00000000-0005-0000-0000-000027DF0000}"/>
    <cellStyle name="Procent 2 4 2 4" xfId="54439" xr:uid="{00000000-0005-0000-0000-000028DF0000}"/>
    <cellStyle name="Procent 2 4 2 4 2" xfId="57606" xr:uid="{00000000-0005-0000-0000-000029DF0000}"/>
    <cellStyle name="Procent 2 4 2 5" xfId="56982" xr:uid="{00000000-0005-0000-0000-00002ADF0000}"/>
    <cellStyle name="Procent 2 4 2 6" xfId="53815" xr:uid="{00000000-0005-0000-0000-00002BDF0000}"/>
    <cellStyle name="Procent 2 4 3" xfId="53818" xr:uid="{00000000-0005-0000-0000-00002CDF0000}"/>
    <cellStyle name="Procent 2 4 3 2" xfId="54442" xr:uid="{00000000-0005-0000-0000-00002DDF0000}"/>
    <cellStyle name="Procent 2 4 3 2 2" xfId="57609" xr:uid="{00000000-0005-0000-0000-00002EDF0000}"/>
    <cellStyle name="Procent 2 4 3 3" xfId="56985" xr:uid="{00000000-0005-0000-0000-00002FDF0000}"/>
    <cellStyle name="Procent 2 4 4" xfId="53819" xr:uid="{00000000-0005-0000-0000-000030DF0000}"/>
    <cellStyle name="Procent 2 4 4 2" xfId="54443" xr:uid="{00000000-0005-0000-0000-000031DF0000}"/>
    <cellStyle name="Procent 2 4 4 2 2" xfId="57610" xr:uid="{00000000-0005-0000-0000-000032DF0000}"/>
    <cellStyle name="Procent 2 4 4 3" xfId="56986" xr:uid="{00000000-0005-0000-0000-000033DF0000}"/>
    <cellStyle name="Procent 2 4 5" xfId="53820" xr:uid="{00000000-0005-0000-0000-000034DF0000}"/>
    <cellStyle name="Procent 2 4 5 2" xfId="54444" xr:uid="{00000000-0005-0000-0000-000035DF0000}"/>
    <cellStyle name="Procent 2 4 5 2 2" xfId="57611" xr:uid="{00000000-0005-0000-0000-000036DF0000}"/>
    <cellStyle name="Procent 2 4 5 3" xfId="56987" xr:uid="{00000000-0005-0000-0000-000037DF0000}"/>
    <cellStyle name="Procent 2 4 6" xfId="53821" xr:uid="{00000000-0005-0000-0000-000038DF0000}"/>
    <cellStyle name="Procent 2 4 6 2" xfId="54445" xr:uid="{00000000-0005-0000-0000-000039DF0000}"/>
    <cellStyle name="Procent 2 4 6 2 2" xfId="57612" xr:uid="{00000000-0005-0000-0000-00003ADF0000}"/>
    <cellStyle name="Procent 2 4 6 3" xfId="56988" xr:uid="{00000000-0005-0000-0000-00003BDF0000}"/>
    <cellStyle name="Procent 2 4 7" xfId="53814" xr:uid="{00000000-0005-0000-0000-00003CDF0000}"/>
    <cellStyle name="Procent 2 4 7 2" xfId="54438" xr:uid="{00000000-0005-0000-0000-00003DDF0000}"/>
    <cellStyle name="Procent 2 4 7 2 2" xfId="57605" xr:uid="{00000000-0005-0000-0000-00003EDF0000}"/>
    <cellStyle name="Procent 2 4 7 3" xfId="56981" xr:uid="{00000000-0005-0000-0000-00003FDF0000}"/>
    <cellStyle name="Procent 2 4 8" xfId="53927" xr:uid="{00000000-0005-0000-0000-000040DF0000}"/>
    <cellStyle name="Procent 2 4 8 2" xfId="57094" xr:uid="{00000000-0005-0000-0000-000041DF0000}"/>
    <cellStyle name="Procent 2 4 9" xfId="56483" xr:uid="{00000000-0005-0000-0000-000042DF0000}"/>
    <cellStyle name="Procent 2 5" xfId="5271" xr:uid="{00000000-0005-0000-0000-000043DF0000}"/>
    <cellStyle name="Procent 2 5 2" xfId="8890" xr:uid="{00000000-0005-0000-0000-000044DF0000}"/>
    <cellStyle name="Procent 2 5 2 2" xfId="53824" xr:uid="{00000000-0005-0000-0000-000045DF0000}"/>
    <cellStyle name="Procent 2 5 2 2 2" xfId="54448" xr:uid="{00000000-0005-0000-0000-000046DF0000}"/>
    <cellStyle name="Procent 2 5 2 2 2 2" xfId="57615" xr:uid="{00000000-0005-0000-0000-000047DF0000}"/>
    <cellStyle name="Procent 2 5 2 2 3" xfId="56991" xr:uid="{00000000-0005-0000-0000-000048DF0000}"/>
    <cellStyle name="Procent 2 5 2 3" xfId="53825" xr:uid="{00000000-0005-0000-0000-000049DF0000}"/>
    <cellStyle name="Procent 2 5 2 3 2" xfId="54449" xr:uid="{00000000-0005-0000-0000-00004ADF0000}"/>
    <cellStyle name="Procent 2 5 2 3 2 2" xfId="57616" xr:uid="{00000000-0005-0000-0000-00004BDF0000}"/>
    <cellStyle name="Procent 2 5 2 3 3" xfId="56992" xr:uid="{00000000-0005-0000-0000-00004CDF0000}"/>
    <cellStyle name="Procent 2 5 2 4" xfId="54447" xr:uid="{00000000-0005-0000-0000-00004DDF0000}"/>
    <cellStyle name="Procent 2 5 2 4 2" xfId="57614" xr:uid="{00000000-0005-0000-0000-00004EDF0000}"/>
    <cellStyle name="Procent 2 5 2 5" xfId="56990" xr:uid="{00000000-0005-0000-0000-00004FDF0000}"/>
    <cellStyle name="Procent 2 5 2 6" xfId="53823" xr:uid="{00000000-0005-0000-0000-000050DF0000}"/>
    <cellStyle name="Procent 2 5 3" xfId="53826" xr:uid="{00000000-0005-0000-0000-000051DF0000}"/>
    <cellStyle name="Procent 2 5 3 2" xfId="54450" xr:uid="{00000000-0005-0000-0000-000052DF0000}"/>
    <cellStyle name="Procent 2 5 3 2 2" xfId="57617" xr:uid="{00000000-0005-0000-0000-000053DF0000}"/>
    <cellStyle name="Procent 2 5 3 3" xfId="56993" xr:uid="{00000000-0005-0000-0000-000054DF0000}"/>
    <cellStyle name="Procent 2 5 4" xfId="53827" xr:uid="{00000000-0005-0000-0000-000055DF0000}"/>
    <cellStyle name="Procent 2 5 4 2" xfId="54451" xr:uid="{00000000-0005-0000-0000-000056DF0000}"/>
    <cellStyle name="Procent 2 5 4 2 2" xfId="57618" xr:uid="{00000000-0005-0000-0000-000057DF0000}"/>
    <cellStyle name="Procent 2 5 4 3" xfId="56994" xr:uid="{00000000-0005-0000-0000-000058DF0000}"/>
    <cellStyle name="Procent 2 5 5" xfId="53828" xr:uid="{00000000-0005-0000-0000-000059DF0000}"/>
    <cellStyle name="Procent 2 5 5 2" xfId="54452" xr:uid="{00000000-0005-0000-0000-00005ADF0000}"/>
    <cellStyle name="Procent 2 5 5 2 2" xfId="57619" xr:uid="{00000000-0005-0000-0000-00005BDF0000}"/>
    <cellStyle name="Procent 2 5 5 3" xfId="56995" xr:uid="{00000000-0005-0000-0000-00005CDF0000}"/>
    <cellStyle name="Procent 2 5 6" xfId="53822" xr:uid="{00000000-0005-0000-0000-00005DDF0000}"/>
    <cellStyle name="Procent 2 5 6 2" xfId="54446" xr:uid="{00000000-0005-0000-0000-00005EDF0000}"/>
    <cellStyle name="Procent 2 5 6 2 2" xfId="57613" xr:uid="{00000000-0005-0000-0000-00005FDF0000}"/>
    <cellStyle name="Procent 2 5 6 3" xfId="56989" xr:uid="{00000000-0005-0000-0000-000060DF0000}"/>
    <cellStyle name="Procent 2 6" xfId="1587" xr:uid="{00000000-0005-0000-0000-000061DF0000}"/>
    <cellStyle name="Procent 2 6 2" xfId="10146" xr:uid="{00000000-0005-0000-0000-000062DF0000}"/>
    <cellStyle name="Procent 2 6 2 2" xfId="26465" xr:uid="{00000000-0005-0000-0000-000063DF0000}"/>
    <cellStyle name="Procent 2 6 2 2 2" xfId="54455" xr:uid="{00000000-0005-0000-0000-000064DF0000}"/>
    <cellStyle name="Procent 2 6 2 2 2 2" xfId="57622" xr:uid="{00000000-0005-0000-0000-000065DF0000}"/>
    <cellStyle name="Procent 2 6 2 2 3" xfId="56998" xr:uid="{00000000-0005-0000-0000-000066DF0000}"/>
    <cellStyle name="Procent 2 6 2 2 4" xfId="53831" xr:uid="{00000000-0005-0000-0000-000067DF0000}"/>
    <cellStyle name="Procent 2 6 2 3" xfId="41431" xr:uid="{00000000-0005-0000-0000-000068DF0000}"/>
    <cellStyle name="Procent 2 6 2 3 2" xfId="54456" xr:uid="{00000000-0005-0000-0000-000069DF0000}"/>
    <cellStyle name="Procent 2 6 2 3 2 2" xfId="57623" xr:uid="{00000000-0005-0000-0000-00006ADF0000}"/>
    <cellStyle name="Procent 2 6 2 3 3" xfId="56999" xr:uid="{00000000-0005-0000-0000-00006BDF0000}"/>
    <cellStyle name="Procent 2 6 2 3 4" xfId="53832" xr:uid="{00000000-0005-0000-0000-00006CDF0000}"/>
    <cellStyle name="Procent 2 6 2 4" xfId="54454" xr:uid="{00000000-0005-0000-0000-00006DDF0000}"/>
    <cellStyle name="Procent 2 6 2 4 2" xfId="57621" xr:uid="{00000000-0005-0000-0000-00006EDF0000}"/>
    <cellStyle name="Procent 2 6 2 5" xfId="56997" xr:uid="{00000000-0005-0000-0000-00006FDF0000}"/>
    <cellStyle name="Procent 2 6 2 6" xfId="53830" xr:uid="{00000000-0005-0000-0000-000070DF0000}"/>
    <cellStyle name="Procent 2 6 3" xfId="19443" xr:uid="{00000000-0005-0000-0000-000071DF0000}"/>
    <cellStyle name="Procent 2 6 3 2" xfId="54457" xr:uid="{00000000-0005-0000-0000-000072DF0000}"/>
    <cellStyle name="Procent 2 6 3 2 2" xfId="57624" xr:uid="{00000000-0005-0000-0000-000073DF0000}"/>
    <cellStyle name="Procent 2 6 3 3" xfId="57000" xr:uid="{00000000-0005-0000-0000-000074DF0000}"/>
    <cellStyle name="Procent 2 6 3 4" xfId="53833" xr:uid="{00000000-0005-0000-0000-000075DF0000}"/>
    <cellStyle name="Procent 2 6 4" xfId="34432" xr:uid="{00000000-0005-0000-0000-000076DF0000}"/>
    <cellStyle name="Procent 2 6 4 2" xfId="54458" xr:uid="{00000000-0005-0000-0000-000077DF0000}"/>
    <cellStyle name="Procent 2 6 4 2 2" xfId="57625" xr:uid="{00000000-0005-0000-0000-000078DF0000}"/>
    <cellStyle name="Procent 2 6 4 3" xfId="57001" xr:uid="{00000000-0005-0000-0000-000079DF0000}"/>
    <cellStyle name="Procent 2 6 4 4" xfId="53834" xr:uid="{00000000-0005-0000-0000-00007ADF0000}"/>
    <cellStyle name="Procent 2 6 5" xfId="53835" xr:uid="{00000000-0005-0000-0000-00007BDF0000}"/>
    <cellStyle name="Procent 2 6 5 2" xfId="54459" xr:uid="{00000000-0005-0000-0000-00007CDF0000}"/>
    <cellStyle name="Procent 2 6 5 2 2" xfId="57626" xr:uid="{00000000-0005-0000-0000-00007DDF0000}"/>
    <cellStyle name="Procent 2 6 5 3" xfId="57002" xr:uid="{00000000-0005-0000-0000-00007EDF0000}"/>
    <cellStyle name="Procent 2 6 6" xfId="54453" xr:uid="{00000000-0005-0000-0000-00007FDF0000}"/>
    <cellStyle name="Procent 2 6 6 2" xfId="57620" xr:uid="{00000000-0005-0000-0000-000080DF0000}"/>
    <cellStyle name="Procent 2 6 7" xfId="56996" xr:uid="{00000000-0005-0000-0000-000081DF0000}"/>
    <cellStyle name="Procent 2 6 8" xfId="53829" xr:uid="{00000000-0005-0000-0000-000082DF0000}"/>
    <cellStyle name="Procent 2 7" xfId="53836" xr:uid="{00000000-0005-0000-0000-000083DF0000}"/>
    <cellStyle name="Procent 2 7 2" xfId="53837" xr:uid="{00000000-0005-0000-0000-000084DF0000}"/>
    <cellStyle name="Procent 2 7 2 2" xfId="53838" xr:uid="{00000000-0005-0000-0000-000085DF0000}"/>
    <cellStyle name="Procent 2 7 2 2 2" xfId="54462" xr:uid="{00000000-0005-0000-0000-000086DF0000}"/>
    <cellStyle name="Procent 2 7 2 2 2 2" xfId="57629" xr:uid="{00000000-0005-0000-0000-000087DF0000}"/>
    <cellStyle name="Procent 2 7 2 2 3" xfId="57005" xr:uid="{00000000-0005-0000-0000-000088DF0000}"/>
    <cellStyle name="Procent 2 7 2 3" xfId="53839" xr:uid="{00000000-0005-0000-0000-000089DF0000}"/>
    <cellStyle name="Procent 2 7 2 3 2" xfId="54463" xr:uid="{00000000-0005-0000-0000-00008ADF0000}"/>
    <cellStyle name="Procent 2 7 2 3 2 2" xfId="57630" xr:uid="{00000000-0005-0000-0000-00008BDF0000}"/>
    <cellStyle name="Procent 2 7 2 3 3" xfId="57006" xr:uid="{00000000-0005-0000-0000-00008CDF0000}"/>
    <cellStyle name="Procent 2 7 2 4" xfId="54461" xr:uid="{00000000-0005-0000-0000-00008DDF0000}"/>
    <cellStyle name="Procent 2 7 2 4 2" xfId="57628" xr:uid="{00000000-0005-0000-0000-00008EDF0000}"/>
    <cellStyle name="Procent 2 7 2 5" xfId="57004" xr:uid="{00000000-0005-0000-0000-00008FDF0000}"/>
    <cellStyle name="Procent 2 7 3" xfId="53840" xr:uid="{00000000-0005-0000-0000-000090DF0000}"/>
    <cellStyle name="Procent 2 7 3 2" xfId="54464" xr:uid="{00000000-0005-0000-0000-000091DF0000}"/>
    <cellStyle name="Procent 2 7 3 2 2" xfId="57631" xr:uid="{00000000-0005-0000-0000-000092DF0000}"/>
    <cellStyle name="Procent 2 7 3 3" xfId="57007" xr:uid="{00000000-0005-0000-0000-000093DF0000}"/>
    <cellStyle name="Procent 2 7 4" xfId="53841" xr:uid="{00000000-0005-0000-0000-000094DF0000}"/>
    <cellStyle name="Procent 2 7 4 2" xfId="54465" xr:uid="{00000000-0005-0000-0000-000095DF0000}"/>
    <cellStyle name="Procent 2 7 4 2 2" xfId="57632" xr:uid="{00000000-0005-0000-0000-000096DF0000}"/>
    <cellStyle name="Procent 2 7 4 3" xfId="57008" xr:uid="{00000000-0005-0000-0000-000097DF0000}"/>
    <cellStyle name="Procent 2 7 5" xfId="53842" xr:uid="{00000000-0005-0000-0000-000098DF0000}"/>
    <cellStyle name="Procent 2 7 5 2" xfId="54466" xr:uid="{00000000-0005-0000-0000-000099DF0000}"/>
    <cellStyle name="Procent 2 7 5 2 2" xfId="57633" xr:uid="{00000000-0005-0000-0000-00009ADF0000}"/>
    <cellStyle name="Procent 2 7 5 3" xfId="57009" xr:uid="{00000000-0005-0000-0000-00009BDF0000}"/>
    <cellStyle name="Procent 2 7 6" xfId="54460" xr:uid="{00000000-0005-0000-0000-00009CDF0000}"/>
    <cellStyle name="Procent 2 7 6 2" xfId="57627" xr:uid="{00000000-0005-0000-0000-00009DDF0000}"/>
    <cellStyle name="Procent 2 7 7" xfId="57003" xr:uid="{00000000-0005-0000-0000-00009EDF0000}"/>
    <cellStyle name="Procent 2 8" xfId="53843" xr:uid="{00000000-0005-0000-0000-00009FDF0000}"/>
    <cellStyle name="Procent 2 8 2" xfId="53844" xr:uid="{00000000-0005-0000-0000-0000A0DF0000}"/>
    <cellStyle name="Procent 2 8 2 2" xfId="53845" xr:uid="{00000000-0005-0000-0000-0000A1DF0000}"/>
    <cellStyle name="Procent 2 8 2 2 2" xfId="54469" xr:uid="{00000000-0005-0000-0000-0000A2DF0000}"/>
    <cellStyle name="Procent 2 8 2 2 2 2" xfId="57636" xr:uid="{00000000-0005-0000-0000-0000A3DF0000}"/>
    <cellStyle name="Procent 2 8 2 2 3" xfId="57012" xr:uid="{00000000-0005-0000-0000-0000A4DF0000}"/>
    <cellStyle name="Procent 2 8 2 3" xfId="53846" xr:uid="{00000000-0005-0000-0000-0000A5DF0000}"/>
    <cellStyle name="Procent 2 8 2 3 2" xfId="54470" xr:uid="{00000000-0005-0000-0000-0000A6DF0000}"/>
    <cellStyle name="Procent 2 8 2 3 2 2" xfId="57637" xr:uid="{00000000-0005-0000-0000-0000A7DF0000}"/>
    <cellStyle name="Procent 2 8 2 3 3" xfId="57013" xr:uid="{00000000-0005-0000-0000-0000A8DF0000}"/>
    <cellStyle name="Procent 2 8 2 4" xfId="54468" xr:uid="{00000000-0005-0000-0000-0000A9DF0000}"/>
    <cellStyle name="Procent 2 8 2 4 2" xfId="57635" xr:uid="{00000000-0005-0000-0000-0000AADF0000}"/>
    <cellStyle name="Procent 2 8 2 5" xfId="57011" xr:uid="{00000000-0005-0000-0000-0000ABDF0000}"/>
    <cellStyle name="Procent 2 8 3" xfId="53847" xr:uid="{00000000-0005-0000-0000-0000ACDF0000}"/>
    <cellStyle name="Procent 2 8 3 2" xfId="54471" xr:uid="{00000000-0005-0000-0000-0000ADDF0000}"/>
    <cellStyle name="Procent 2 8 3 2 2" xfId="57638" xr:uid="{00000000-0005-0000-0000-0000AEDF0000}"/>
    <cellStyle name="Procent 2 8 3 3" xfId="57014" xr:uid="{00000000-0005-0000-0000-0000AFDF0000}"/>
    <cellStyle name="Procent 2 8 4" xfId="53848" xr:uid="{00000000-0005-0000-0000-0000B0DF0000}"/>
    <cellStyle name="Procent 2 8 4 2" xfId="54472" xr:uid="{00000000-0005-0000-0000-0000B1DF0000}"/>
    <cellStyle name="Procent 2 8 4 2 2" xfId="57639" xr:uid="{00000000-0005-0000-0000-0000B2DF0000}"/>
    <cellStyle name="Procent 2 8 4 3" xfId="57015" xr:uid="{00000000-0005-0000-0000-0000B3DF0000}"/>
    <cellStyle name="Procent 2 8 5" xfId="53849" xr:uid="{00000000-0005-0000-0000-0000B4DF0000}"/>
    <cellStyle name="Procent 2 8 5 2" xfId="54473" xr:uid="{00000000-0005-0000-0000-0000B5DF0000}"/>
    <cellStyle name="Procent 2 8 5 2 2" xfId="57640" xr:uid="{00000000-0005-0000-0000-0000B6DF0000}"/>
    <cellStyle name="Procent 2 8 5 3" xfId="57016" xr:uid="{00000000-0005-0000-0000-0000B7DF0000}"/>
    <cellStyle name="Procent 2 8 6" xfId="54467" xr:uid="{00000000-0005-0000-0000-0000B8DF0000}"/>
    <cellStyle name="Procent 2 8 6 2" xfId="57634" xr:uid="{00000000-0005-0000-0000-0000B9DF0000}"/>
    <cellStyle name="Procent 2 8 7" xfId="57010" xr:uid="{00000000-0005-0000-0000-0000BADF0000}"/>
    <cellStyle name="Procent 2 9" xfId="53850" xr:uid="{00000000-0005-0000-0000-0000BBDF0000}"/>
    <cellStyle name="Procent 2 9 2" xfId="53851" xr:uid="{00000000-0005-0000-0000-0000BCDF0000}"/>
    <cellStyle name="Procent 2 9 2 2" xfId="54475" xr:uid="{00000000-0005-0000-0000-0000BDDF0000}"/>
    <cellStyle name="Procent 2 9 2 2 2" xfId="57642" xr:uid="{00000000-0005-0000-0000-0000BEDF0000}"/>
    <cellStyle name="Procent 2 9 2 3" xfId="57018" xr:uid="{00000000-0005-0000-0000-0000BFDF0000}"/>
    <cellStyle name="Procent 2 9 3" xfId="53852" xr:uid="{00000000-0005-0000-0000-0000C0DF0000}"/>
    <cellStyle name="Procent 2 9 3 2" xfId="54476" xr:uid="{00000000-0005-0000-0000-0000C1DF0000}"/>
    <cellStyle name="Procent 2 9 3 2 2" xfId="57643" xr:uid="{00000000-0005-0000-0000-0000C2DF0000}"/>
    <cellStyle name="Procent 2 9 3 3" xfId="57019" xr:uid="{00000000-0005-0000-0000-0000C3DF0000}"/>
    <cellStyle name="Procent 2 9 4" xfId="54474" xr:uid="{00000000-0005-0000-0000-0000C4DF0000}"/>
    <cellStyle name="Procent 2 9 4 2" xfId="57641" xr:uid="{00000000-0005-0000-0000-0000C5DF0000}"/>
    <cellStyle name="Procent 2 9 5" xfId="57017" xr:uid="{00000000-0005-0000-0000-0000C6DF0000}"/>
    <cellStyle name="Procent 3" xfId="1182" xr:uid="{00000000-0005-0000-0000-0000C7DF0000}"/>
    <cellStyle name="Procent 3 2" xfId="5277" xr:uid="{00000000-0005-0000-0000-0000C8DF0000}"/>
    <cellStyle name="Procent 3 2 2" xfId="17941" xr:uid="{00000000-0005-0000-0000-0000C9DF0000}"/>
    <cellStyle name="Procent 3 2 2 2" xfId="53916" xr:uid="{00000000-0005-0000-0000-0000CADF0000}"/>
    <cellStyle name="Procent 3 2 2 2 2" xfId="57083" xr:uid="{00000000-0005-0000-0000-0000CBDF0000}"/>
    <cellStyle name="Procent 3 2 2 3" xfId="56472" xr:uid="{00000000-0005-0000-0000-0000CCDF0000}"/>
    <cellStyle name="Procent 3 2 2 4" xfId="53270" xr:uid="{00000000-0005-0000-0000-0000CDDF0000}"/>
    <cellStyle name="Procent 3 2 3" xfId="53286" xr:uid="{00000000-0005-0000-0000-0000CEDF0000}"/>
    <cellStyle name="Procent 3 2 3 2" xfId="53932" xr:uid="{00000000-0005-0000-0000-0000CFDF0000}"/>
    <cellStyle name="Procent 3 2 3 2 2" xfId="57099" xr:uid="{00000000-0005-0000-0000-0000D0DF0000}"/>
    <cellStyle name="Procent 3 2 3 3" xfId="56488" xr:uid="{00000000-0005-0000-0000-0000D1DF0000}"/>
    <cellStyle name="Procent 3 2 4" xfId="53900" xr:uid="{00000000-0005-0000-0000-0000D2DF0000}"/>
    <cellStyle name="Procent 3 2 4 2" xfId="57067" xr:uid="{00000000-0005-0000-0000-0000D3DF0000}"/>
    <cellStyle name="Procent 3 2 5" xfId="53254" xr:uid="{00000000-0005-0000-0000-0000D4DF0000}"/>
    <cellStyle name="Procent 3 2 5 2" xfId="56456" xr:uid="{00000000-0005-0000-0000-0000D5DF0000}"/>
    <cellStyle name="Procent 3 3" xfId="5276" xr:uid="{00000000-0005-0000-0000-0000D6DF0000}"/>
    <cellStyle name="Procent 3 3 2" xfId="53908" xr:uid="{00000000-0005-0000-0000-0000D7DF0000}"/>
    <cellStyle name="Procent 3 3 2 2" xfId="57075" xr:uid="{00000000-0005-0000-0000-0000D8DF0000}"/>
    <cellStyle name="Procent 3 3 3" xfId="56464" xr:uid="{00000000-0005-0000-0000-0000D9DF0000}"/>
    <cellStyle name="Procent 3 3 4" xfId="53262" xr:uid="{00000000-0005-0000-0000-0000DADF0000}"/>
    <cellStyle name="Procent 3 4" xfId="17940" xr:uid="{00000000-0005-0000-0000-0000DBDF0000}"/>
    <cellStyle name="Procent 3 4 2" xfId="53924" xr:uid="{00000000-0005-0000-0000-0000DCDF0000}"/>
    <cellStyle name="Procent 3 4 2 2" xfId="57091" xr:uid="{00000000-0005-0000-0000-0000DDDF0000}"/>
    <cellStyle name="Procent 3 4 3" xfId="56480" xr:uid="{00000000-0005-0000-0000-0000DEDF0000}"/>
    <cellStyle name="Procent 3 4 4" xfId="53278" xr:uid="{00000000-0005-0000-0000-0000DFDF0000}"/>
    <cellStyle name="Procent 3 5" xfId="53299" xr:uid="{00000000-0005-0000-0000-0000E0DF0000}"/>
    <cellStyle name="Procent 3 6" xfId="53892" xr:uid="{00000000-0005-0000-0000-0000E1DF0000}"/>
    <cellStyle name="Procent 3 6 2" xfId="57059" xr:uid="{00000000-0005-0000-0000-0000E2DF0000}"/>
    <cellStyle name="Procent 3 7" xfId="53180" xr:uid="{00000000-0005-0000-0000-0000E3DF0000}"/>
    <cellStyle name="Procent 3 7 2" xfId="56440" xr:uid="{00000000-0005-0000-0000-0000E4DF0000}"/>
    <cellStyle name="Procent 4" xfId="5278" xr:uid="{00000000-0005-0000-0000-0000E5DF0000}"/>
    <cellStyle name="Procent 4 10" xfId="52736" xr:uid="{00000000-0005-0000-0000-0000E6DF0000}"/>
    <cellStyle name="Procent 4 2" xfId="5279" xr:uid="{00000000-0005-0000-0000-0000E7DF0000}"/>
    <cellStyle name="Procent 4 2 2" xfId="5280" xr:uid="{00000000-0005-0000-0000-0000E8DF0000}"/>
    <cellStyle name="Procent 4 2 2 2" xfId="7845" xr:uid="{00000000-0005-0000-0000-0000E9DF0000}"/>
    <cellStyle name="Procent 4 2 2 2 2" xfId="15746" xr:uid="{00000000-0005-0000-0000-0000EADF0000}"/>
    <cellStyle name="Procent 4 2 2 2 2 2" xfId="32060" xr:uid="{00000000-0005-0000-0000-0000EBDF0000}"/>
    <cellStyle name="Procent 4 2 2 2 2 3" xfId="47024" xr:uid="{00000000-0005-0000-0000-0000ECDF0000}"/>
    <cellStyle name="Procent 4 2 2 2 2 4" xfId="57646" xr:uid="{00000000-0005-0000-0000-0000EDDF0000}"/>
    <cellStyle name="Procent 4 2 2 2 3" xfId="25038" xr:uid="{00000000-0005-0000-0000-0000EEDF0000}"/>
    <cellStyle name="Procent 4 2 2 2 4" xfId="40025" xr:uid="{00000000-0005-0000-0000-0000EFDF0000}"/>
    <cellStyle name="Procent 4 2 2 2 5" xfId="54479" xr:uid="{00000000-0005-0000-0000-0000F0DF0000}"/>
    <cellStyle name="Procent 4 2 2 3" xfId="18995" xr:uid="{00000000-0005-0000-0000-0000F1DF0000}"/>
    <cellStyle name="Procent 4 2 2 3 2" xfId="33996" xr:uid="{00000000-0005-0000-0000-0000F2DF0000}"/>
    <cellStyle name="Procent 4 2 2 3 2 2" xfId="57022" xr:uid="{00000000-0005-0000-0000-0000F3DF0000}"/>
    <cellStyle name="Procent 4 2 2 3 3" xfId="48957" xr:uid="{00000000-0005-0000-0000-0000F4DF0000}"/>
    <cellStyle name="Procent 4 2 2 3 4" xfId="53855" xr:uid="{00000000-0005-0000-0000-0000F5DF0000}"/>
    <cellStyle name="Procent 4 2 2 4" xfId="56403" xr:uid="{00000000-0005-0000-0000-0000F6DF0000}"/>
    <cellStyle name="Procent 4 2 2 5" xfId="53129" xr:uid="{00000000-0005-0000-0000-0000F7DF0000}"/>
    <cellStyle name="Procent 4 2 3" xfId="18948" xr:uid="{00000000-0005-0000-0000-0000F8DF0000}"/>
    <cellStyle name="Procent 4 2 3 2" xfId="33976" xr:uid="{00000000-0005-0000-0000-0000F9DF0000}"/>
    <cellStyle name="Procent 4 2 3 2 2" xfId="57647" xr:uid="{00000000-0005-0000-0000-0000FADF0000}"/>
    <cellStyle name="Procent 4 2 3 2 3" xfId="54480" xr:uid="{00000000-0005-0000-0000-0000FBDF0000}"/>
    <cellStyle name="Procent 4 2 3 3" xfId="48937" xr:uid="{00000000-0005-0000-0000-0000FCDF0000}"/>
    <cellStyle name="Procent 4 2 3 3 2" xfId="57023" xr:uid="{00000000-0005-0000-0000-0000FDDF0000}"/>
    <cellStyle name="Procent 4 2 3 4" xfId="53856" xr:uid="{00000000-0005-0000-0000-0000FEDF0000}"/>
    <cellStyle name="Procent 4 2 4" xfId="54478" xr:uid="{00000000-0005-0000-0000-0000FFDF0000}"/>
    <cellStyle name="Procent 4 2 4 2" xfId="57645" xr:uid="{00000000-0005-0000-0000-000000E00000}"/>
    <cellStyle name="Procent 4 2 5" xfId="53854" xr:uid="{00000000-0005-0000-0000-000001E00000}"/>
    <cellStyle name="Procent 4 2 5 2" xfId="57021" xr:uid="{00000000-0005-0000-0000-000002E00000}"/>
    <cellStyle name="Procent 4 2 6" xfId="55460" xr:uid="{00000000-0005-0000-0000-000003E00000}"/>
    <cellStyle name="Procent 4 2 7" xfId="56382" xr:uid="{00000000-0005-0000-0000-000004E00000}"/>
    <cellStyle name="Procent 4 2 8" xfId="53109" xr:uid="{00000000-0005-0000-0000-000005E00000}"/>
    <cellStyle name="Procent 4 3" xfId="5281" xr:uid="{00000000-0005-0000-0000-000006E00000}"/>
    <cellStyle name="Procent 4 3 2" xfId="5282" xr:uid="{00000000-0005-0000-0000-000007E00000}"/>
    <cellStyle name="Procent 4 3 2 2" xfId="8746" xr:uid="{00000000-0005-0000-0000-000008E00000}"/>
    <cellStyle name="Procent 4 3 2 2 2" xfId="16625" xr:uid="{00000000-0005-0000-0000-000009E00000}"/>
    <cellStyle name="Procent 4 3 2 2 2 2" xfId="32939" xr:uid="{00000000-0005-0000-0000-00000AE00000}"/>
    <cellStyle name="Procent 4 3 2 2 2 3" xfId="47903" xr:uid="{00000000-0005-0000-0000-00000BE00000}"/>
    <cellStyle name="Procent 4 3 2 2 3" xfId="25917" xr:uid="{00000000-0005-0000-0000-00000CE00000}"/>
    <cellStyle name="Procent 4 3 2 2 4" xfId="40904" xr:uid="{00000000-0005-0000-0000-00000DE00000}"/>
    <cellStyle name="Procent 4 3 2 2 5" xfId="57648" xr:uid="{00000000-0005-0000-0000-00000EE00000}"/>
    <cellStyle name="Procent 4 3 2 3" xfId="54481" xr:uid="{00000000-0005-0000-0000-00000FE00000}"/>
    <cellStyle name="Procent 4 3 3" xfId="6392" xr:uid="{00000000-0005-0000-0000-000010E00000}"/>
    <cellStyle name="Procent 4 3 3 2" xfId="14306" xr:uid="{00000000-0005-0000-0000-000011E00000}"/>
    <cellStyle name="Procent 4 3 3 2 2" xfId="30620" xr:uid="{00000000-0005-0000-0000-000012E00000}"/>
    <cellStyle name="Procent 4 3 3 2 3" xfId="45584" xr:uid="{00000000-0005-0000-0000-000013E00000}"/>
    <cellStyle name="Procent 4 3 3 2 4" xfId="57024" xr:uid="{00000000-0005-0000-0000-000014E00000}"/>
    <cellStyle name="Procent 4 3 3 3" xfId="23598" xr:uid="{00000000-0005-0000-0000-000015E00000}"/>
    <cellStyle name="Procent 4 3 3 4" xfId="38585" xr:uid="{00000000-0005-0000-0000-000016E00000}"/>
    <cellStyle name="Procent 4 3 3 5" xfId="53857" xr:uid="{00000000-0005-0000-0000-000017E00000}"/>
    <cellStyle name="Procent 4 3 4" xfId="18976" xr:uid="{00000000-0005-0000-0000-000018E00000}"/>
    <cellStyle name="Procent 4 3 4 2" xfId="33986" xr:uid="{00000000-0005-0000-0000-000019E00000}"/>
    <cellStyle name="Procent 4 3 4 3" xfId="48947" xr:uid="{00000000-0005-0000-0000-00001AE00000}"/>
    <cellStyle name="Procent 4 3 4 4" xfId="56393" xr:uid="{00000000-0005-0000-0000-00001BE00000}"/>
    <cellStyle name="Procent 4 3 5" xfId="53119" xr:uid="{00000000-0005-0000-0000-00001CE00000}"/>
    <cellStyle name="Procent 4 4" xfId="5283" xr:uid="{00000000-0005-0000-0000-00001DE00000}"/>
    <cellStyle name="Procent 4 4 2" xfId="7087" xr:uid="{00000000-0005-0000-0000-00001EE00000}"/>
    <cellStyle name="Procent 4 4 2 2" xfId="14998" xr:uid="{00000000-0005-0000-0000-00001FE00000}"/>
    <cellStyle name="Procent 4 4 2 2 2" xfId="31312" xr:uid="{00000000-0005-0000-0000-000020E00000}"/>
    <cellStyle name="Procent 4 4 2 2 3" xfId="46276" xr:uid="{00000000-0005-0000-0000-000021E00000}"/>
    <cellStyle name="Procent 4 4 2 2 4" xfId="57649" xr:uid="{00000000-0005-0000-0000-000022E00000}"/>
    <cellStyle name="Procent 4 4 2 3" xfId="24290" xr:uid="{00000000-0005-0000-0000-000023E00000}"/>
    <cellStyle name="Procent 4 4 2 4" xfId="39277" xr:uid="{00000000-0005-0000-0000-000024E00000}"/>
    <cellStyle name="Procent 4 4 2 5" xfId="54482" xr:uid="{00000000-0005-0000-0000-000025E00000}"/>
    <cellStyle name="Procent 4 4 3" xfId="57025" xr:uid="{00000000-0005-0000-0000-000026E00000}"/>
    <cellStyle name="Procent 4 4 4" xfId="53858" xr:uid="{00000000-0005-0000-0000-000027E00000}"/>
    <cellStyle name="Procent 4 5" xfId="17942" xr:uid="{00000000-0005-0000-0000-000028E00000}"/>
    <cellStyle name="Procent 4 5 2" xfId="33607" xr:uid="{00000000-0005-0000-0000-000029E00000}"/>
    <cellStyle name="Procent 4 5 2 2" xfId="57650" xr:uid="{00000000-0005-0000-0000-00002AE00000}"/>
    <cellStyle name="Procent 4 5 2 3" xfId="54483" xr:uid="{00000000-0005-0000-0000-00002BE00000}"/>
    <cellStyle name="Procent 4 5 3" xfId="48568" xr:uid="{00000000-0005-0000-0000-00002CE00000}"/>
    <cellStyle name="Procent 4 5 3 2" xfId="57026" xr:uid="{00000000-0005-0000-0000-00002DE00000}"/>
    <cellStyle name="Procent 4 5 4" xfId="53859" xr:uid="{00000000-0005-0000-0000-00002EE00000}"/>
    <cellStyle name="Procent 4 6" xfId="54477" xr:uid="{00000000-0005-0000-0000-00002FE00000}"/>
    <cellStyle name="Procent 4 6 2" xfId="57644" xr:uid="{00000000-0005-0000-0000-000030E00000}"/>
    <cellStyle name="Procent 4 7" xfId="53853" xr:uid="{00000000-0005-0000-0000-000031E00000}"/>
    <cellStyle name="Procent 4 7 2" xfId="57020" xr:uid="{00000000-0005-0000-0000-000032E00000}"/>
    <cellStyle name="Procent 4 8" xfId="55091" xr:uid="{00000000-0005-0000-0000-000033E00000}"/>
    <cellStyle name="Procent 4 9" xfId="56013" xr:uid="{00000000-0005-0000-0000-000034E00000}"/>
    <cellStyle name="Procent 5" xfId="5284" xr:uid="{00000000-0005-0000-0000-000035E00000}"/>
    <cellStyle name="Procent 5 2" xfId="8891" xr:uid="{00000000-0005-0000-0000-000036E00000}"/>
    <cellStyle name="Procent 5 2 2" xfId="53862" xr:uid="{00000000-0005-0000-0000-000037E00000}"/>
    <cellStyle name="Procent 5 2 2 2" xfId="54486" xr:uid="{00000000-0005-0000-0000-000038E00000}"/>
    <cellStyle name="Procent 5 2 2 2 2" xfId="57653" xr:uid="{00000000-0005-0000-0000-000039E00000}"/>
    <cellStyle name="Procent 5 2 2 3" xfId="57029" xr:uid="{00000000-0005-0000-0000-00003AE00000}"/>
    <cellStyle name="Procent 5 2 3" xfId="53863" xr:uid="{00000000-0005-0000-0000-00003BE00000}"/>
    <cellStyle name="Procent 5 2 3 2" xfId="54487" xr:uid="{00000000-0005-0000-0000-00003CE00000}"/>
    <cellStyle name="Procent 5 2 3 2 2" xfId="57654" xr:uid="{00000000-0005-0000-0000-00003DE00000}"/>
    <cellStyle name="Procent 5 2 3 3" xfId="57030" xr:uid="{00000000-0005-0000-0000-00003EE00000}"/>
    <cellStyle name="Procent 5 2 4" xfId="54485" xr:uid="{00000000-0005-0000-0000-00003FE00000}"/>
    <cellStyle name="Procent 5 2 4 2" xfId="57652" xr:uid="{00000000-0005-0000-0000-000040E00000}"/>
    <cellStyle name="Procent 5 2 5" xfId="57028" xr:uid="{00000000-0005-0000-0000-000041E00000}"/>
    <cellStyle name="Procent 5 2 6" xfId="53861" xr:uid="{00000000-0005-0000-0000-000042E00000}"/>
    <cellStyle name="Procent 5 3" xfId="18999" xr:uid="{00000000-0005-0000-0000-000043E00000}"/>
    <cellStyle name="Procent 5 3 2" xfId="34000" xr:uid="{00000000-0005-0000-0000-000044E00000}"/>
    <cellStyle name="Procent 5 3 2 2" xfId="57655" xr:uid="{00000000-0005-0000-0000-000045E00000}"/>
    <cellStyle name="Procent 5 3 2 3" xfId="54488" xr:uid="{00000000-0005-0000-0000-000046E00000}"/>
    <cellStyle name="Procent 5 3 3" xfId="48961" xr:uid="{00000000-0005-0000-0000-000047E00000}"/>
    <cellStyle name="Procent 5 3 3 2" xfId="57031" xr:uid="{00000000-0005-0000-0000-000048E00000}"/>
    <cellStyle name="Procent 5 3 4" xfId="53864" xr:uid="{00000000-0005-0000-0000-000049E00000}"/>
    <cellStyle name="Procent 5 4" xfId="53865" xr:uid="{00000000-0005-0000-0000-00004AE00000}"/>
    <cellStyle name="Procent 5 4 2" xfId="54489" xr:uid="{00000000-0005-0000-0000-00004BE00000}"/>
    <cellStyle name="Procent 5 4 2 2" xfId="57656" xr:uid="{00000000-0005-0000-0000-00004CE00000}"/>
    <cellStyle name="Procent 5 4 3" xfId="57032" xr:uid="{00000000-0005-0000-0000-00004DE00000}"/>
    <cellStyle name="Procent 5 5" xfId="53866" xr:uid="{00000000-0005-0000-0000-00004EE00000}"/>
    <cellStyle name="Procent 5 5 2" xfId="54490" xr:uid="{00000000-0005-0000-0000-00004FE00000}"/>
    <cellStyle name="Procent 5 5 2 2" xfId="57657" xr:uid="{00000000-0005-0000-0000-000050E00000}"/>
    <cellStyle name="Procent 5 5 3" xfId="57033" xr:uid="{00000000-0005-0000-0000-000051E00000}"/>
    <cellStyle name="Procent 5 6" xfId="54484" xr:uid="{00000000-0005-0000-0000-000052E00000}"/>
    <cellStyle name="Procent 5 6 2" xfId="57651" xr:uid="{00000000-0005-0000-0000-000053E00000}"/>
    <cellStyle name="Procent 5 7" xfId="53860" xr:uid="{00000000-0005-0000-0000-000054E00000}"/>
    <cellStyle name="Procent 5 7 2" xfId="57027" xr:uid="{00000000-0005-0000-0000-000055E00000}"/>
    <cellStyle name="Procent 5 8" xfId="56407" xr:uid="{00000000-0005-0000-0000-000056E00000}"/>
    <cellStyle name="Procent 5 9" xfId="53133" xr:uid="{00000000-0005-0000-0000-000057E00000}"/>
    <cellStyle name="Procent 6" xfId="5285" xr:uid="{00000000-0005-0000-0000-000058E00000}"/>
    <cellStyle name="Procent 6 2" xfId="8892" xr:uid="{00000000-0005-0000-0000-000059E00000}"/>
    <cellStyle name="Procent 6 2 2" xfId="53868" xr:uid="{00000000-0005-0000-0000-00005AE00000}"/>
    <cellStyle name="Procent 6 2 2 2" xfId="54493" xr:uid="{00000000-0005-0000-0000-00005BE00000}"/>
    <cellStyle name="Procent 6 2 2 2 2" xfId="57660" xr:uid="{00000000-0005-0000-0000-00005CE00000}"/>
    <cellStyle name="Procent 6 2 2 3" xfId="57035" xr:uid="{00000000-0005-0000-0000-00005DE00000}"/>
    <cellStyle name="Procent 6 2 3" xfId="53869" xr:uid="{00000000-0005-0000-0000-00005EE00000}"/>
    <cellStyle name="Procent 6 2 3 2" xfId="54494" xr:uid="{00000000-0005-0000-0000-00005FE00000}"/>
    <cellStyle name="Procent 6 2 3 2 2" xfId="57661" xr:uid="{00000000-0005-0000-0000-000060E00000}"/>
    <cellStyle name="Procent 6 2 3 3" xfId="57036" xr:uid="{00000000-0005-0000-0000-000061E00000}"/>
    <cellStyle name="Procent 6 2 4" xfId="54492" xr:uid="{00000000-0005-0000-0000-000062E00000}"/>
    <cellStyle name="Procent 6 2 4 2" xfId="57659" xr:uid="{00000000-0005-0000-0000-000063E00000}"/>
    <cellStyle name="Procent 6 2 5" xfId="57034" xr:uid="{00000000-0005-0000-0000-000064E00000}"/>
    <cellStyle name="Procent 6 2 6" xfId="53867" xr:uid="{00000000-0005-0000-0000-000065E00000}"/>
    <cellStyle name="Procent 6 3" xfId="53870" xr:uid="{00000000-0005-0000-0000-000066E00000}"/>
    <cellStyle name="Procent 6 3 2" xfId="54495" xr:uid="{00000000-0005-0000-0000-000067E00000}"/>
    <cellStyle name="Procent 6 3 2 2" xfId="57662" xr:uid="{00000000-0005-0000-0000-000068E00000}"/>
    <cellStyle name="Procent 6 3 3" xfId="57037" xr:uid="{00000000-0005-0000-0000-000069E00000}"/>
    <cellStyle name="Procent 6 4" xfId="53871" xr:uid="{00000000-0005-0000-0000-00006AE00000}"/>
    <cellStyle name="Procent 6 4 2" xfId="54496" xr:uid="{00000000-0005-0000-0000-00006BE00000}"/>
    <cellStyle name="Procent 6 4 2 2" xfId="57663" xr:uid="{00000000-0005-0000-0000-00006CE00000}"/>
    <cellStyle name="Procent 6 4 3" xfId="57038" xr:uid="{00000000-0005-0000-0000-00006DE00000}"/>
    <cellStyle name="Procent 6 5" xfId="53872" xr:uid="{00000000-0005-0000-0000-00006EE00000}"/>
    <cellStyle name="Procent 6 5 2" xfId="54497" xr:uid="{00000000-0005-0000-0000-00006FE00000}"/>
    <cellStyle name="Procent 6 5 2 2" xfId="57664" xr:uid="{00000000-0005-0000-0000-000070E00000}"/>
    <cellStyle name="Procent 6 5 3" xfId="57039" xr:uid="{00000000-0005-0000-0000-000071E00000}"/>
    <cellStyle name="Procent 6 6" xfId="54491" xr:uid="{00000000-0005-0000-0000-000072E00000}"/>
    <cellStyle name="Procent 6 6 2" xfId="57658" xr:uid="{00000000-0005-0000-0000-000073E00000}"/>
    <cellStyle name="Procent 6 7" xfId="56433" xr:uid="{00000000-0005-0000-0000-000074E00000}"/>
    <cellStyle name="Procent 6 8" xfId="53159" xr:uid="{00000000-0005-0000-0000-000075E00000}"/>
    <cellStyle name="Procent 7" xfId="5286" xr:uid="{00000000-0005-0000-0000-000076E00000}"/>
    <cellStyle name="Procent 7 2" xfId="5287" xr:uid="{00000000-0005-0000-0000-000077E00000}"/>
    <cellStyle name="Procent 7 2 2" xfId="8894" xr:uid="{00000000-0005-0000-0000-000078E00000}"/>
    <cellStyle name="Procent 7 2 2 2" xfId="54500" xr:uid="{00000000-0005-0000-0000-000079E00000}"/>
    <cellStyle name="Procent 7 2 2 2 2" xfId="57667" xr:uid="{00000000-0005-0000-0000-00007AE00000}"/>
    <cellStyle name="Procent 7 2 2 3" xfId="57042" xr:uid="{00000000-0005-0000-0000-00007BE00000}"/>
    <cellStyle name="Procent 7 2 2 4" xfId="53875" xr:uid="{00000000-0005-0000-0000-00007CE00000}"/>
    <cellStyle name="Procent 7 2 3" xfId="53876" xr:uid="{00000000-0005-0000-0000-00007DE00000}"/>
    <cellStyle name="Procent 7 2 3 2" xfId="54501" xr:uid="{00000000-0005-0000-0000-00007EE00000}"/>
    <cellStyle name="Procent 7 2 3 2 2" xfId="57668" xr:uid="{00000000-0005-0000-0000-00007FE00000}"/>
    <cellStyle name="Procent 7 2 3 3" xfId="57043" xr:uid="{00000000-0005-0000-0000-000080E00000}"/>
    <cellStyle name="Procent 7 2 4" xfId="54499" xr:uid="{00000000-0005-0000-0000-000081E00000}"/>
    <cellStyle name="Procent 7 2 4 2" xfId="57666" xr:uid="{00000000-0005-0000-0000-000082E00000}"/>
    <cellStyle name="Procent 7 2 5" xfId="57041" xr:uid="{00000000-0005-0000-0000-000083E00000}"/>
    <cellStyle name="Procent 7 2 6" xfId="53874" xr:uid="{00000000-0005-0000-0000-000084E00000}"/>
    <cellStyle name="Procent 7 3" xfId="8893" xr:uid="{00000000-0005-0000-0000-000085E00000}"/>
    <cellStyle name="Procent 7 3 2" xfId="54502" xr:uid="{00000000-0005-0000-0000-000086E00000}"/>
    <cellStyle name="Procent 7 3 2 2" xfId="57669" xr:uid="{00000000-0005-0000-0000-000087E00000}"/>
    <cellStyle name="Procent 7 3 3" xfId="57044" xr:uid="{00000000-0005-0000-0000-000088E00000}"/>
    <cellStyle name="Procent 7 3 4" xfId="53877" xr:uid="{00000000-0005-0000-0000-000089E00000}"/>
    <cellStyle name="Procent 7 4" xfId="53878" xr:uid="{00000000-0005-0000-0000-00008AE00000}"/>
    <cellStyle name="Procent 7 4 2" xfId="54503" xr:uid="{00000000-0005-0000-0000-00008BE00000}"/>
    <cellStyle name="Procent 7 4 2 2" xfId="57670" xr:uid="{00000000-0005-0000-0000-00008CE00000}"/>
    <cellStyle name="Procent 7 4 3" xfId="57045" xr:uid="{00000000-0005-0000-0000-00008DE00000}"/>
    <cellStyle name="Procent 7 5" xfId="53879" xr:uid="{00000000-0005-0000-0000-00008EE00000}"/>
    <cellStyle name="Procent 7 5 2" xfId="54504" xr:uid="{00000000-0005-0000-0000-00008FE00000}"/>
    <cellStyle name="Procent 7 5 2 2" xfId="57671" xr:uid="{00000000-0005-0000-0000-000090E00000}"/>
    <cellStyle name="Procent 7 5 3" xfId="57046" xr:uid="{00000000-0005-0000-0000-000091E00000}"/>
    <cellStyle name="Procent 7 6" xfId="54498" xr:uid="{00000000-0005-0000-0000-000092E00000}"/>
    <cellStyle name="Procent 7 6 2" xfId="57665" xr:uid="{00000000-0005-0000-0000-000093E00000}"/>
    <cellStyle name="Procent 7 7" xfId="57040" xr:uid="{00000000-0005-0000-0000-000094E00000}"/>
    <cellStyle name="Procent 7 8" xfId="53873" xr:uid="{00000000-0005-0000-0000-000095E00000}"/>
    <cellStyle name="Procent 8" xfId="5288" xr:uid="{00000000-0005-0000-0000-000096E00000}"/>
    <cellStyle name="Procent 8 2" xfId="5289" xr:uid="{00000000-0005-0000-0000-000097E00000}"/>
    <cellStyle name="Procent 8 2 2" xfId="7485" xr:uid="{00000000-0005-0000-0000-000098E00000}"/>
    <cellStyle name="Procent 8 2 2 2" xfId="54507" xr:uid="{00000000-0005-0000-0000-000099E00000}"/>
    <cellStyle name="Procent 8 2 2 2 2" xfId="57674" xr:uid="{00000000-0005-0000-0000-00009AE00000}"/>
    <cellStyle name="Procent 8 2 2 3" xfId="57049" xr:uid="{00000000-0005-0000-0000-00009BE00000}"/>
    <cellStyle name="Procent 8 2 2 4" xfId="53882" xr:uid="{00000000-0005-0000-0000-00009CE00000}"/>
    <cellStyle name="Procent 8 2 3" xfId="53883" xr:uid="{00000000-0005-0000-0000-00009DE00000}"/>
    <cellStyle name="Procent 8 2 3 2" xfId="54508" xr:uid="{00000000-0005-0000-0000-00009EE00000}"/>
    <cellStyle name="Procent 8 2 3 2 2" xfId="57675" xr:uid="{00000000-0005-0000-0000-00009FE00000}"/>
    <cellStyle name="Procent 8 2 3 3" xfId="57050" xr:uid="{00000000-0005-0000-0000-0000A0E00000}"/>
    <cellStyle name="Procent 8 2 4" xfId="54506" xr:uid="{00000000-0005-0000-0000-0000A1E00000}"/>
    <cellStyle name="Procent 8 2 4 2" xfId="57673" xr:uid="{00000000-0005-0000-0000-0000A2E00000}"/>
    <cellStyle name="Procent 8 2 5" xfId="57048" xr:uid="{00000000-0005-0000-0000-0000A3E00000}"/>
    <cellStyle name="Procent 8 2 6" xfId="53881" xr:uid="{00000000-0005-0000-0000-0000A4E00000}"/>
    <cellStyle name="Procent 8 3" xfId="53884" xr:uid="{00000000-0005-0000-0000-0000A5E00000}"/>
    <cellStyle name="Procent 8 3 2" xfId="54509" xr:uid="{00000000-0005-0000-0000-0000A6E00000}"/>
    <cellStyle name="Procent 8 3 2 2" xfId="57676" xr:uid="{00000000-0005-0000-0000-0000A7E00000}"/>
    <cellStyle name="Procent 8 3 3" xfId="57051" xr:uid="{00000000-0005-0000-0000-0000A8E00000}"/>
    <cellStyle name="Procent 8 4" xfId="53885" xr:uid="{00000000-0005-0000-0000-0000A9E00000}"/>
    <cellStyle name="Procent 8 4 2" xfId="54510" xr:uid="{00000000-0005-0000-0000-0000AAE00000}"/>
    <cellStyle name="Procent 8 4 2 2" xfId="57677" xr:uid="{00000000-0005-0000-0000-0000ABE00000}"/>
    <cellStyle name="Procent 8 4 3" xfId="57052" xr:uid="{00000000-0005-0000-0000-0000ACE00000}"/>
    <cellStyle name="Procent 8 5" xfId="54505" xr:uid="{00000000-0005-0000-0000-0000ADE00000}"/>
    <cellStyle name="Procent 8 5 2" xfId="57672" xr:uid="{00000000-0005-0000-0000-0000AEE00000}"/>
    <cellStyle name="Procent 8 6" xfId="57047" xr:uid="{00000000-0005-0000-0000-0000AFE00000}"/>
    <cellStyle name="Procent 8 7" xfId="53880" xr:uid="{00000000-0005-0000-0000-0000B0E00000}"/>
    <cellStyle name="Procent 9" xfId="5290" xr:uid="{00000000-0005-0000-0000-0000B1E00000}"/>
    <cellStyle name="Procent 9 2" xfId="5291" xr:uid="{00000000-0005-0000-0000-0000B2E00000}"/>
    <cellStyle name="Procent 9 2 2" xfId="54512" xr:uid="{00000000-0005-0000-0000-0000B3E00000}"/>
    <cellStyle name="Procent 9 2 2 2" xfId="57679" xr:uid="{00000000-0005-0000-0000-0000B4E00000}"/>
    <cellStyle name="Procent 9 2 3" xfId="57054" xr:uid="{00000000-0005-0000-0000-0000B5E00000}"/>
    <cellStyle name="Procent 9 2 4" xfId="53887" xr:uid="{00000000-0005-0000-0000-0000B6E00000}"/>
    <cellStyle name="Procent 9 3" xfId="5292" xr:uid="{00000000-0005-0000-0000-0000B7E00000}"/>
    <cellStyle name="Procent 9 3 2" xfId="54513" xr:uid="{00000000-0005-0000-0000-0000B8E00000}"/>
    <cellStyle name="Procent 9 3 2 2" xfId="57680" xr:uid="{00000000-0005-0000-0000-0000B9E00000}"/>
    <cellStyle name="Procent 9 3 3" xfId="57055" xr:uid="{00000000-0005-0000-0000-0000BAE00000}"/>
    <cellStyle name="Procent 9 3 4" xfId="53888" xr:uid="{00000000-0005-0000-0000-0000BBE00000}"/>
    <cellStyle name="Procent 9 4" xfId="54511" xr:uid="{00000000-0005-0000-0000-0000BCE00000}"/>
    <cellStyle name="Procent 9 4 2" xfId="57678" xr:uid="{00000000-0005-0000-0000-0000BDE00000}"/>
    <cellStyle name="Procent 9 5" xfId="57053" xr:uid="{00000000-0005-0000-0000-0000BEE00000}"/>
    <cellStyle name="Procent 9 6" xfId="53886" xr:uid="{00000000-0005-0000-0000-0000BFE00000}"/>
    <cellStyle name="Resultat" xfId="57681" xr:uid="{00000000-0005-0000-0000-0000C0E00000}"/>
    <cellStyle name="Sammenkædet celle 2" xfId="5294" xr:uid="{00000000-0005-0000-0000-0000C1E00000}"/>
    <cellStyle name="Sammenkædet celle 2 2" xfId="5295" xr:uid="{00000000-0005-0000-0000-0000C2E00000}"/>
    <cellStyle name="Sammenkædet celle 3" xfId="5296" xr:uid="{00000000-0005-0000-0000-0000C3E00000}"/>
    <cellStyle name="Sammenkædet celle 3 2" xfId="5297" xr:uid="{00000000-0005-0000-0000-0000C4E00000}"/>
    <cellStyle name="Sammenkædet celle 4" xfId="5298" xr:uid="{00000000-0005-0000-0000-0000C5E00000}"/>
    <cellStyle name="Sammenkædet celle 5" xfId="5299" xr:uid="{00000000-0005-0000-0000-0000C6E00000}"/>
    <cellStyle name="Sammenkædet celle 5 2" xfId="8387" xr:uid="{00000000-0005-0000-0000-0000C7E00000}"/>
    <cellStyle name="Sammenkædet celle 6" xfId="5381" xr:uid="{00000000-0005-0000-0000-0000C8E00000}"/>
    <cellStyle name="Sammenkædet celle 7" xfId="5293" xr:uid="{00000000-0005-0000-0000-0000C9E00000}"/>
    <cellStyle name="SAPBEXaggData" xfId="5300" xr:uid="{00000000-0005-0000-0000-0000CAE00000}"/>
    <cellStyle name="SAPBEXaggDataEmph" xfId="5301" xr:uid="{00000000-0005-0000-0000-0000CBE00000}"/>
    <cellStyle name="SAPBEXaggItem" xfId="5302" xr:uid="{00000000-0005-0000-0000-0000CCE00000}"/>
    <cellStyle name="SAPBEXaggItemX" xfId="5303" xr:uid="{00000000-0005-0000-0000-0000CDE00000}"/>
    <cellStyle name="SAPBEXaggItemX 2" xfId="8895" xr:uid="{00000000-0005-0000-0000-0000CEE00000}"/>
    <cellStyle name="SAPBEXchaText" xfId="5304" xr:uid="{00000000-0005-0000-0000-0000CFE00000}"/>
    <cellStyle name="SAPBEXexcBad" xfId="5305" xr:uid="{00000000-0005-0000-0000-0000D0E00000}"/>
    <cellStyle name="SAPBEXexcBad7" xfId="5306" xr:uid="{00000000-0005-0000-0000-0000D1E00000}"/>
    <cellStyle name="SAPBEXexcBad7 2" xfId="8896" xr:uid="{00000000-0005-0000-0000-0000D2E00000}"/>
    <cellStyle name="SAPBEXexcBad8" xfId="5307" xr:uid="{00000000-0005-0000-0000-0000D3E00000}"/>
    <cellStyle name="SAPBEXexcBad8 2" xfId="8897" xr:uid="{00000000-0005-0000-0000-0000D4E00000}"/>
    <cellStyle name="SAPBEXexcBad9" xfId="5308" xr:uid="{00000000-0005-0000-0000-0000D5E00000}"/>
    <cellStyle name="SAPBEXexcBad9 2" xfId="8898" xr:uid="{00000000-0005-0000-0000-0000D6E00000}"/>
    <cellStyle name="SAPBEXexcCritical" xfId="5309" xr:uid="{00000000-0005-0000-0000-0000D7E00000}"/>
    <cellStyle name="SAPBEXexcCritical4" xfId="5310" xr:uid="{00000000-0005-0000-0000-0000D8E00000}"/>
    <cellStyle name="SAPBEXexcCritical4 2" xfId="8899" xr:uid="{00000000-0005-0000-0000-0000D9E00000}"/>
    <cellStyle name="SAPBEXexcCritical5" xfId="5311" xr:uid="{00000000-0005-0000-0000-0000DAE00000}"/>
    <cellStyle name="SAPBEXexcCritical5 2" xfId="8900" xr:uid="{00000000-0005-0000-0000-0000DBE00000}"/>
    <cellStyle name="SAPBEXexcCritical6" xfId="5312" xr:uid="{00000000-0005-0000-0000-0000DCE00000}"/>
    <cellStyle name="SAPBEXexcCritical6 2" xfId="8901" xr:uid="{00000000-0005-0000-0000-0000DDE00000}"/>
    <cellStyle name="SAPBEXexcGood" xfId="5313" xr:uid="{00000000-0005-0000-0000-0000DEE00000}"/>
    <cellStyle name="SAPBEXexcGood1" xfId="5314" xr:uid="{00000000-0005-0000-0000-0000DFE00000}"/>
    <cellStyle name="SAPBEXexcGood1 2" xfId="8902" xr:uid="{00000000-0005-0000-0000-0000E0E00000}"/>
    <cellStyle name="SAPBEXexcGood2" xfId="5315" xr:uid="{00000000-0005-0000-0000-0000E1E00000}"/>
    <cellStyle name="SAPBEXexcGood2 2" xfId="8903" xr:uid="{00000000-0005-0000-0000-0000E2E00000}"/>
    <cellStyle name="SAPBEXexcGood3" xfId="5316" xr:uid="{00000000-0005-0000-0000-0000E3E00000}"/>
    <cellStyle name="SAPBEXexcGood3 2" xfId="8904" xr:uid="{00000000-0005-0000-0000-0000E4E00000}"/>
    <cellStyle name="SAPBEXexcVeryBad" xfId="5317" xr:uid="{00000000-0005-0000-0000-0000E5E00000}"/>
    <cellStyle name="SAPBEXfilterDrill" xfId="5318" xr:uid="{00000000-0005-0000-0000-0000E6E00000}"/>
    <cellStyle name="SAPBEXfilterItem" xfId="5319" xr:uid="{00000000-0005-0000-0000-0000E7E00000}"/>
    <cellStyle name="SAPBEXfilterText" xfId="5320" xr:uid="{00000000-0005-0000-0000-0000E8E00000}"/>
    <cellStyle name="SAPBEXformats" xfId="5321" xr:uid="{00000000-0005-0000-0000-0000E9E00000}"/>
    <cellStyle name="SAPBEXheaderData" xfId="5322" xr:uid="{00000000-0005-0000-0000-0000EAE00000}"/>
    <cellStyle name="SAPBEXheaderItem" xfId="5323" xr:uid="{00000000-0005-0000-0000-0000EBE00000}"/>
    <cellStyle name="SAPBEXheaderText" xfId="5324" xr:uid="{00000000-0005-0000-0000-0000ECE00000}"/>
    <cellStyle name="SAPBEXHLevel0" xfId="5325" xr:uid="{00000000-0005-0000-0000-0000EDE00000}"/>
    <cellStyle name="SAPBEXHLevel0 2" xfId="8905" xr:uid="{00000000-0005-0000-0000-0000EEE00000}"/>
    <cellStyle name="SAPBEXHLevel0X" xfId="5326" xr:uid="{00000000-0005-0000-0000-0000EFE00000}"/>
    <cellStyle name="SAPBEXHLevel0X 2" xfId="8906" xr:uid="{00000000-0005-0000-0000-0000F0E00000}"/>
    <cellStyle name="SAPBEXHLevel1" xfId="5327" xr:uid="{00000000-0005-0000-0000-0000F1E00000}"/>
    <cellStyle name="SAPBEXHLevel1 2" xfId="8907" xr:uid="{00000000-0005-0000-0000-0000F2E00000}"/>
    <cellStyle name="SAPBEXHLevel1X" xfId="5328" xr:uid="{00000000-0005-0000-0000-0000F3E00000}"/>
    <cellStyle name="SAPBEXHLevel1X 2" xfId="8908" xr:uid="{00000000-0005-0000-0000-0000F4E00000}"/>
    <cellStyle name="SAPBEXHLevel2" xfId="5329" xr:uid="{00000000-0005-0000-0000-0000F5E00000}"/>
    <cellStyle name="SAPBEXHLevel2 2" xfId="8909" xr:uid="{00000000-0005-0000-0000-0000F6E00000}"/>
    <cellStyle name="SAPBEXHLevel2X" xfId="5330" xr:uid="{00000000-0005-0000-0000-0000F7E00000}"/>
    <cellStyle name="SAPBEXHLevel2X 2" xfId="8910" xr:uid="{00000000-0005-0000-0000-0000F8E00000}"/>
    <cellStyle name="SAPBEXHLevel3" xfId="5331" xr:uid="{00000000-0005-0000-0000-0000F9E00000}"/>
    <cellStyle name="SAPBEXHLevel3 2" xfId="8911" xr:uid="{00000000-0005-0000-0000-0000FAE00000}"/>
    <cellStyle name="SAPBEXHLevel3X" xfId="5332" xr:uid="{00000000-0005-0000-0000-0000FBE00000}"/>
    <cellStyle name="SAPBEXHLevel3X 2" xfId="8912" xr:uid="{00000000-0005-0000-0000-0000FCE00000}"/>
    <cellStyle name="SAPBEXinputData" xfId="5333" xr:uid="{00000000-0005-0000-0000-0000FDE00000}"/>
    <cellStyle name="SAPBEXinputData 2" xfId="8913" xr:uid="{00000000-0005-0000-0000-0000FEE00000}"/>
    <cellStyle name="SAPBEXresData" xfId="5334" xr:uid="{00000000-0005-0000-0000-0000FFE00000}"/>
    <cellStyle name="SAPBEXresDataEmph" xfId="5335" xr:uid="{00000000-0005-0000-0000-000000E10000}"/>
    <cellStyle name="SAPBEXresItem" xfId="5336" xr:uid="{00000000-0005-0000-0000-000001E10000}"/>
    <cellStyle name="SAPBEXresItemX" xfId="5337" xr:uid="{00000000-0005-0000-0000-000002E10000}"/>
    <cellStyle name="SAPBEXresItemX 2" xfId="8914" xr:uid="{00000000-0005-0000-0000-000003E10000}"/>
    <cellStyle name="SAPBEXstdData" xfId="5338" xr:uid="{00000000-0005-0000-0000-000004E10000}"/>
    <cellStyle name="SAPBEXstdDataEmph" xfId="5339" xr:uid="{00000000-0005-0000-0000-000005E10000}"/>
    <cellStyle name="SAPBEXstdItem" xfId="5340" xr:uid="{00000000-0005-0000-0000-000006E10000}"/>
    <cellStyle name="SAPBEXstdItemX" xfId="5341" xr:uid="{00000000-0005-0000-0000-000007E10000}"/>
    <cellStyle name="SAPBEXstdItemX 2" xfId="8915" xr:uid="{00000000-0005-0000-0000-000008E10000}"/>
    <cellStyle name="SAPBEXsubData" xfId="5342" xr:uid="{00000000-0005-0000-0000-000009E10000}"/>
    <cellStyle name="SAPBEXsubDataEmph" xfId="5343" xr:uid="{00000000-0005-0000-0000-00000AE10000}"/>
    <cellStyle name="SAPBEXsubItem" xfId="5344" xr:uid="{00000000-0005-0000-0000-00000BE10000}"/>
    <cellStyle name="SAPBEXtitle" xfId="5345" xr:uid="{00000000-0005-0000-0000-00000CE10000}"/>
    <cellStyle name="SAPBEXundefined" xfId="5346" xr:uid="{00000000-0005-0000-0000-00000DE10000}"/>
    <cellStyle name="Standard_ENR_REF" xfId="5347" xr:uid="{00000000-0005-0000-0000-00000EE10000}"/>
    <cellStyle name="Testo avviso" xfId="1106" xr:uid="{00000000-0005-0000-0000-00000FE10000}"/>
    <cellStyle name="Testo descrittivo" xfId="1107" xr:uid="{00000000-0005-0000-0000-000010E10000}"/>
    <cellStyle name="Titel 2" xfId="5349" xr:uid="{00000000-0005-0000-0000-000011E10000}"/>
    <cellStyle name="Titel 2 2" xfId="53246" xr:uid="{00000000-0005-0000-0000-000012E10000}"/>
    <cellStyle name="Titel 3" xfId="5350" xr:uid="{00000000-0005-0000-0000-000013E10000}"/>
    <cellStyle name="Titel 4" xfId="5351" xr:uid="{00000000-0005-0000-0000-000014E10000}"/>
    <cellStyle name="Titel 5" xfId="5352" xr:uid="{00000000-0005-0000-0000-000015E10000}"/>
    <cellStyle name="Titel 5 2" xfId="8597" xr:uid="{00000000-0005-0000-0000-000016E10000}"/>
    <cellStyle name="Titel 6" xfId="5370" xr:uid="{00000000-0005-0000-0000-000017E10000}"/>
    <cellStyle name="Titel 7" xfId="5348" xr:uid="{00000000-0005-0000-0000-000018E10000}"/>
    <cellStyle name="Title" xfId="1119" builtinId="15" customBuiltin="1"/>
    <cellStyle name="Title 2" xfId="19355" xr:uid="{00000000-0005-0000-0000-00001AE10000}"/>
    <cellStyle name="Title 2 2" xfId="53247" xr:uid="{00000000-0005-0000-0000-00001BE10000}"/>
    <cellStyle name="Titolo" xfId="1108" xr:uid="{00000000-0005-0000-0000-00001CE10000}"/>
    <cellStyle name="Titolo 1" xfId="1109" xr:uid="{00000000-0005-0000-0000-00001DE10000}"/>
    <cellStyle name="Titolo 2" xfId="1110" xr:uid="{00000000-0005-0000-0000-00001EE10000}"/>
    <cellStyle name="Titolo 3" xfId="1111" xr:uid="{00000000-0005-0000-0000-00001FE10000}"/>
    <cellStyle name="Titolo 4" xfId="1112" xr:uid="{00000000-0005-0000-0000-000020E10000}"/>
    <cellStyle name="Total" xfId="1130" builtinId="25" customBuiltin="1"/>
    <cellStyle name="Total 2" xfId="5354" xr:uid="{00000000-0005-0000-0000-000022E10000}"/>
    <cellStyle name="Total 2 2" xfId="5355" xr:uid="{00000000-0005-0000-0000-000023E10000}"/>
    <cellStyle name="Total 2 2 2" xfId="7486" xr:uid="{00000000-0005-0000-0000-000024E10000}"/>
    <cellStyle name="Total 2 2 3" xfId="53315" xr:uid="{00000000-0005-0000-0000-000025E10000}"/>
    <cellStyle name="Total 2 3" xfId="13308" xr:uid="{00000000-0005-0000-0000-000026E10000}"/>
    <cellStyle name="Total 2 4" xfId="53248" xr:uid="{00000000-0005-0000-0000-000027E10000}"/>
    <cellStyle name="Total 3" xfId="5356" xr:uid="{00000000-0005-0000-0000-000028E10000}"/>
    <cellStyle name="Total 3 2" xfId="13309" xr:uid="{00000000-0005-0000-0000-000029E10000}"/>
    <cellStyle name="Total 4" xfId="5357" xr:uid="{00000000-0005-0000-0000-00002AE10000}"/>
    <cellStyle name="Total 4 2" xfId="13310" xr:uid="{00000000-0005-0000-0000-00002BE10000}"/>
    <cellStyle name="Total 5" xfId="5358" xr:uid="{00000000-0005-0000-0000-00002CE10000}"/>
    <cellStyle name="Total 5 2" xfId="8616" xr:uid="{00000000-0005-0000-0000-00002DE10000}"/>
    <cellStyle name="Total 5 3" xfId="13311" xr:uid="{00000000-0005-0000-0000-00002EE10000}"/>
    <cellStyle name="Total 6" xfId="5382" xr:uid="{00000000-0005-0000-0000-00002FE10000}"/>
    <cellStyle name="Total 7" xfId="5353" xr:uid="{00000000-0005-0000-0000-000030E10000}"/>
    <cellStyle name="Total 7 2" xfId="13307" xr:uid="{00000000-0005-0000-0000-000031E10000}"/>
    <cellStyle name="Total intermediaire" xfId="1521" xr:uid="{00000000-0005-0000-0000-000032E10000}"/>
    <cellStyle name="Totale" xfId="1113" xr:uid="{00000000-0005-0000-0000-000033E10000}"/>
    <cellStyle name="Totale 2" xfId="10053" xr:uid="{00000000-0005-0000-0000-000034E10000}"/>
    <cellStyle name="Totale 2 2" xfId="26376" xr:uid="{00000000-0005-0000-0000-000035E10000}"/>
    <cellStyle name="Totale 3" xfId="16737" xr:uid="{00000000-0005-0000-0000-000036E10000}"/>
    <cellStyle name="Totale 3 2" xfId="33050" xr:uid="{00000000-0005-0000-0000-000037E10000}"/>
    <cellStyle name="Totale 4" xfId="17943" xr:uid="{00000000-0005-0000-0000-000038E10000}"/>
    <cellStyle name="Totale 5" xfId="52084" xr:uid="{00000000-0005-0000-0000-000039E10000}"/>
    <cellStyle name="Tusental 2" xfId="1522" xr:uid="{00000000-0005-0000-0000-00003AE10000}"/>
    <cellStyle name="Udgår måske?" xfId="1177" xr:uid="{00000000-0005-0000-0000-00003BE10000}"/>
    <cellStyle name="Ugyldig 2" xfId="5360" xr:uid="{00000000-0005-0000-0000-00003CE10000}"/>
    <cellStyle name="Ugyldig 2 2" xfId="19004" xr:uid="{00000000-0005-0000-0000-00003DE10000}"/>
    <cellStyle name="Ugyldig 3" xfId="5361" xr:uid="{00000000-0005-0000-0000-00003EE10000}"/>
    <cellStyle name="Ugyldig 4" xfId="5362" xr:uid="{00000000-0005-0000-0000-00003FE10000}"/>
    <cellStyle name="Ugyldig 5" xfId="5363" xr:uid="{00000000-0005-0000-0000-000040E10000}"/>
    <cellStyle name="Ugyldig 5 2" xfId="8475" xr:uid="{00000000-0005-0000-0000-000041E10000}"/>
    <cellStyle name="Ugyldig 6" xfId="5376" xr:uid="{00000000-0005-0000-0000-000042E10000}"/>
    <cellStyle name="Ugyldig 7" xfId="5359" xr:uid="{00000000-0005-0000-0000-000043E10000}"/>
    <cellStyle name="Uncertain" xfId="17944" xr:uid="{00000000-0005-0000-0000-000044E10000}"/>
    <cellStyle name="Valore non valido" xfId="1114" xr:uid="{00000000-0005-0000-0000-000045E10000}"/>
    <cellStyle name="Valore valido" xfId="1115" xr:uid="{00000000-0005-0000-0000-000046E10000}"/>
    <cellStyle name="Valuta 2" xfId="5365" xr:uid="{00000000-0005-0000-0000-000047E10000}"/>
    <cellStyle name="Valuta 3" xfId="5366" xr:uid="{00000000-0005-0000-0000-000048E10000}"/>
    <cellStyle name="Valuta 4" xfId="5367" xr:uid="{00000000-0005-0000-0000-000049E10000}"/>
    <cellStyle name="Valuta 5" xfId="5368" xr:uid="{00000000-0005-0000-0000-00004AE10000}"/>
    <cellStyle name="Valuta 6" xfId="5364" xr:uid="{00000000-0005-0000-0000-00004BE10000}"/>
    <cellStyle name="Warning Text" xfId="1129" builtinId="11" customBuiltin="1"/>
    <cellStyle name="Warning Text 2" xfId="53249" xr:uid="{00000000-0005-0000-0000-00004DE10000}"/>
    <cellStyle name="X08_Total Oil" xfId="1584" xr:uid="{00000000-0005-0000-0000-00004EE10000}"/>
    <cellStyle name="X12_Total Figs 1 dec" xfId="1585" xr:uid="{00000000-0005-0000-0000-00004FE10000}"/>
    <cellStyle name="Year" xfId="1116" xr:uid="{00000000-0005-0000-0000-000050E10000}"/>
    <cellStyle name="Years" xfId="17945" xr:uid="{00000000-0005-0000-0000-000051E10000}"/>
    <cellStyle name="Βασικό_Φύλλο1" xfId="5369" xr:uid="{00000000-0005-0000-0000-000052E10000}"/>
    <cellStyle name="Обычный_CRF2002 (1)" xfId="1117" xr:uid="{00000000-0005-0000-0000-000053E1000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9" Type="http://schemas.openxmlformats.org/officeDocument/2006/relationships/externalLink" Target="externalLinks/externalLink2.xml"/><Relationship Id="rId3" Type="http://schemas.openxmlformats.org/officeDocument/2006/relationships/worksheet" Target="worksheets/sheet3.xml"/><Relationship Id="rId21" Type="http://schemas.openxmlformats.org/officeDocument/2006/relationships/worksheet" Target="worksheets/sheet21.xml"/><Relationship Id="rId34" Type="http://schemas.openxmlformats.org/officeDocument/2006/relationships/worksheet" Target="worksheets/sheet34.xml"/><Relationship Id="rId42" Type="http://schemas.openxmlformats.org/officeDocument/2006/relationships/externalLink" Target="externalLinks/externalLink5.xml"/><Relationship Id="rId47" Type="http://schemas.openxmlformats.org/officeDocument/2006/relationships/sharedStrings" Target="sharedStrings.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externalLink" Target="externalLinks/externalLink1.xml"/><Relationship Id="rId46" Type="http://schemas.openxmlformats.org/officeDocument/2006/relationships/styles" Target="styles.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worksheet" Target="worksheets/sheet29.xml"/><Relationship Id="rId41" Type="http://schemas.openxmlformats.org/officeDocument/2006/relationships/externalLink" Target="externalLinks/externalLink4.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worksheet" Target="worksheets/sheet37.xml"/><Relationship Id="rId40" Type="http://schemas.openxmlformats.org/officeDocument/2006/relationships/externalLink" Target="externalLinks/externalLink3.xml"/><Relationship Id="rId45" Type="http://schemas.openxmlformats.org/officeDocument/2006/relationships/theme" Target="theme/theme1.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worksheet" Target="worksheets/sheet31.xml"/><Relationship Id="rId44" Type="http://schemas.openxmlformats.org/officeDocument/2006/relationships/externalLink" Target="externalLinks/externalLink7.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43" Type="http://schemas.openxmlformats.org/officeDocument/2006/relationships/externalLink" Target="externalLinks/externalLink6.xml"/><Relationship Id="rId48" Type="http://schemas.openxmlformats.org/officeDocument/2006/relationships/calcChain" Target="calcChain.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200"/>
            </a:pPr>
            <a:r>
              <a:rPr lang="sv-SE" sz="1200"/>
              <a:t>fuel use (PJ), national</a:t>
            </a:r>
          </a:p>
        </c:rich>
      </c:tx>
      <c:overlay val="0"/>
    </c:title>
    <c:autoTitleDeleted val="0"/>
    <c:plotArea>
      <c:layout/>
      <c:barChart>
        <c:barDir val="col"/>
        <c:grouping val="clustered"/>
        <c:varyColors val="0"/>
        <c:ser>
          <c:idx val="0"/>
          <c:order val="0"/>
          <c:tx>
            <c:strRef>
              <c:f>TRA_BAL!$D$80</c:f>
              <c:strCache>
                <c:ptCount val="1"/>
                <c:pt idx="0">
                  <c:v>calculated </c:v>
                </c:pt>
              </c:strCache>
            </c:strRef>
          </c:tx>
          <c:invertIfNegative val="0"/>
          <c:cat>
            <c:strRef>
              <c:f>TRA_BAL!$C$81:$C$89</c:f>
              <c:strCache>
                <c:ptCount val="9"/>
                <c:pt idx="0">
                  <c:v>Diesel blend</c:v>
                </c:pt>
                <c:pt idx="1">
                  <c:v>Biodiesel, (excl. low blend in diesel)</c:v>
                </c:pt>
                <c:pt idx="2">
                  <c:v>Gasoline blend</c:v>
                </c:pt>
                <c:pt idx="3">
                  <c:v>LPG</c:v>
                </c:pt>
                <c:pt idx="4">
                  <c:v>Gas tot</c:v>
                </c:pt>
                <c:pt idx="5">
                  <c:v>Electricity</c:v>
                </c:pt>
                <c:pt idx="6">
                  <c:v>Ethanol (excl. low blend in gasoline)</c:v>
                </c:pt>
                <c:pt idx="7">
                  <c:v>Heavy fuel oil</c:v>
                </c:pt>
                <c:pt idx="8">
                  <c:v>Aviation fuel</c:v>
                </c:pt>
              </c:strCache>
            </c:strRef>
          </c:cat>
          <c:val>
            <c:numRef>
              <c:f>TRA_BAL!$D$81:$D$89</c:f>
              <c:numCache>
                <c:formatCode>0.00</c:formatCode>
                <c:ptCount val="9"/>
                <c:pt idx="0">
                  <c:v>167.84535340153519</c:v>
                </c:pt>
                <c:pt idx="2">
                  <c:v>152.46297070141622</c:v>
                </c:pt>
                <c:pt idx="4">
                  <c:v>3.3998735293880777</c:v>
                </c:pt>
                <c:pt idx="5">
                  <c:v>8.9360578949662219</c:v>
                </c:pt>
                <c:pt idx="6">
                  <c:v>0</c:v>
                </c:pt>
                <c:pt idx="7">
                  <c:v>6.3012328540711389</c:v>
                </c:pt>
                <c:pt idx="8">
                  <c:v>7.0068522754219433</c:v>
                </c:pt>
              </c:numCache>
            </c:numRef>
          </c:val>
          <c:extLst>
            <c:ext xmlns:c16="http://schemas.microsoft.com/office/drawing/2014/chart" uri="{C3380CC4-5D6E-409C-BE32-E72D297353CC}">
              <c16:uniqueId val="{00000000-59F6-48D5-A1FD-8E94E6E64E46}"/>
            </c:ext>
          </c:extLst>
        </c:ser>
        <c:ser>
          <c:idx val="1"/>
          <c:order val="1"/>
          <c:tx>
            <c:strRef>
              <c:f>TRA_BAL!$E$80</c:f>
              <c:strCache>
                <c:ptCount val="1"/>
                <c:pt idx="0">
                  <c:v>statistics 1</c:v>
                </c:pt>
              </c:strCache>
            </c:strRef>
          </c:tx>
          <c:invertIfNegative val="0"/>
          <c:cat>
            <c:strRef>
              <c:f>TRA_BAL!$C$81:$C$89</c:f>
              <c:strCache>
                <c:ptCount val="9"/>
                <c:pt idx="0">
                  <c:v>Diesel blend</c:v>
                </c:pt>
                <c:pt idx="1">
                  <c:v>Biodiesel, (excl. low blend in diesel)</c:v>
                </c:pt>
                <c:pt idx="2">
                  <c:v>Gasoline blend</c:v>
                </c:pt>
                <c:pt idx="3">
                  <c:v>LPG</c:v>
                </c:pt>
                <c:pt idx="4">
                  <c:v>Gas tot</c:v>
                </c:pt>
                <c:pt idx="5">
                  <c:v>Electricity</c:v>
                </c:pt>
                <c:pt idx="6">
                  <c:v>Ethanol (excl. low blend in gasoline)</c:v>
                </c:pt>
                <c:pt idx="7">
                  <c:v>Heavy fuel oil</c:v>
                </c:pt>
                <c:pt idx="8">
                  <c:v>Aviation fuel</c:v>
                </c:pt>
              </c:strCache>
            </c:strRef>
          </c:cat>
          <c:val>
            <c:numRef>
              <c:f>TRA_BAL!$E$81:$E$89</c:f>
              <c:numCache>
                <c:formatCode>0.000</c:formatCode>
                <c:ptCount val="9"/>
                <c:pt idx="0">
                  <c:v>163.72107</c:v>
                </c:pt>
                <c:pt idx="1">
                  <c:v>3.9081599999999996</c:v>
                </c:pt>
                <c:pt idx="2">
                  <c:v>147.50784000000002</c:v>
                </c:pt>
                <c:pt idx="4">
                  <c:v>3.3839999999999999</c:v>
                </c:pt>
                <c:pt idx="5">
                  <c:v>10.944000000000001</c:v>
                </c:pt>
                <c:pt idx="6">
                  <c:v>3.9081599999999996</c:v>
                </c:pt>
                <c:pt idx="7">
                  <c:v>6.1920000000000002</c:v>
                </c:pt>
                <c:pt idx="8">
                  <c:v>6.84</c:v>
                </c:pt>
              </c:numCache>
            </c:numRef>
          </c:val>
          <c:extLst>
            <c:ext xmlns:c16="http://schemas.microsoft.com/office/drawing/2014/chart" uri="{C3380CC4-5D6E-409C-BE32-E72D297353CC}">
              <c16:uniqueId val="{00000001-59F6-48D5-A1FD-8E94E6E64E46}"/>
            </c:ext>
          </c:extLst>
        </c:ser>
        <c:dLbls>
          <c:showLegendKey val="0"/>
          <c:showVal val="0"/>
          <c:showCatName val="0"/>
          <c:showSerName val="0"/>
          <c:showPercent val="0"/>
          <c:showBubbleSize val="0"/>
        </c:dLbls>
        <c:gapWidth val="150"/>
        <c:axId val="391573376"/>
        <c:axId val="391573768"/>
      </c:barChart>
      <c:catAx>
        <c:axId val="391573376"/>
        <c:scaling>
          <c:orientation val="minMax"/>
        </c:scaling>
        <c:delete val="0"/>
        <c:axPos val="b"/>
        <c:numFmt formatCode="General" sourceLinked="0"/>
        <c:majorTickMark val="out"/>
        <c:minorTickMark val="none"/>
        <c:tickLblPos val="nextTo"/>
        <c:crossAx val="391573768"/>
        <c:crosses val="autoZero"/>
        <c:auto val="1"/>
        <c:lblAlgn val="ctr"/>
        <c:lblOffset val="100"/>
        <c:noMultiLvlLbl val="0"/>
      </c:catAx>
      <c:valAx>
        <c:axId val="391573768"/>
        <c:scaling>
          <c:orientation val="minMax"/>
        </c:scaling>
        <c:delete val="0"/>
        <c:axPos val="l"/>
        <c:majorGridlines/>
        <c:numFmt formatCode="0" sourceLinked="0"/>
        <c:majorTickMark val="out"/>
        <c:minorTickMark val="none"/>
        <c:tickLblPos val="nextTo"/>
        <c:crossAx val="391573376"/>
        <c:crosses val="autoZero"/>
        <c:crossBetween val="between"/>
      </c:valAx>
    </c:plotArea>
    <c:legend>
      <c:legendPos val="r"/>
      <c:overlay val="0"/>
    </c:legend>
    <c:plotVisOnly val="1"/>
    <c:dispBlanksAs val="gap"/>
    <c:showDLblsOverMax val="0"/>
  </c:chart>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200"/>
            </a:pPr>
            <a:r>
              <a:rPr lang="sv-SE" sz="1200"/>
              <a:t>fuel use (PJ), international</a:t>
            </a:r>
          </a:p>
        </c:rich>
      </c:tx>
      <c:overlay val="0"/>
    </c:title>
    <c:autoTitleDeleted val="0"/>
    <c:plotArea>
      <c:layout>
        <c:manualLayout>
          <c:layoutTarget val="inner"/>
          <c:xMode val="edge"/>
          <c:yMode val="edge"/>
          <c:x val="0.1029280925321147"/>
          <c:y val="9.1828066298250577E-2"/>
          <c:w val="0.58843773874738525"/>
          <c:h val="0.74959820482277606"/>
        </c:manualLayout>
      </c:layout>
      <c:barChart>
        <c:barDir val="col"/>
        <c:grouping val="clustered"/>
        <c:varyColors val="0"/>
        <c:ser>
          <c:idx val="0"/>
          <c:order val="0"/>
          <c:tx>
            <c:strRef>
              <c:f>TRA_BAL!$D$80</c:f>
              <c:strCache>
                <c:ptCount val="1"/>
                <c:pt idx="0">
                  <c:v>calculated </c:v>
                </c:pt>
              </c:strCache>
            </c:strRef>
          </c:tx>
          <c:invertIfNegative val="0"/>
          <c:cat>
            <c:strRef>
              <c:f>TRA_BAL!$C$94:$C$96</c:f>
              <c:strCache>
                <c:ptCount val="3"/>
                <c:pt idx="0">
                  <c:v>Heavy fuel oil</c:v>
                </c:pt>
                <c:pt idx="1">
                  <c:v>Diesel/EO1</c:v>
                </c:pt>
                <c:pt idx="2">
                  <c:v>Aviation fuel (kerosine + av gasoline)</c:v>
                </c:pt>
              </c:strCache>
            </c:strRef>
          </c:cat>
          <c:val>
            <c:numRef>
              <c:f>TRA_BAL!$D$94:$D$96</c:f>
              <c:numCache>
                <c:formatCode>0.00</c:formatCode>
                <c:ptCount val="3"/>
                <c:pt idx="0">
                  <c:v>75.399451444338524</c:v>
                </c:pt>
                <c:pt idx="1">
                  <c:v>7.2468938982786106</c:v>
                </c:pt>
                <c:pt idx="2">
                  <c:v>8.9102219989119913</c:v>
                </c:pt>
              </c:numCache>
            </c:numRef>
          </c:val>
          <c:extLst>
            <c:ext xmlns:c16="http://schemas.microsoft.com/office/drawing/2014/chart" uri="{C3380CC4-5D6E-409C-BE32-E72D297353CC}">
              <c16:uniqueId val="{00000000-5930-4B66-B06B-8382AA3A5BBD}"/>
            </c:ext>
          </c:extLst>
        </c:ser>
        <c:ser>
          <c:idx val="1"/>
          <c:order val="1"/>
          <c:tx>
            <c:strRef>
              <c:f>TRA_BAL!$E$80</c:f>
              <c:strCache>
                <c:ptCount val="1"/>
                <c:pt idx="0">
                  <c:v>statistics 1</c:v>
                </c:pt>
              </c:strCache>
            </c:strRef>
          </c:tx>
          <c:invertIfNegative val="0"/>
          <c:cat>
            <c:strRef>
              <c:f>TRA_BAL!$C$94:$C$96</c:f>
              <c:strCache>
                <c:ptCount val="3"/>
                <c:pt idx="0">
                  <c:v>Heavy fuel oil</c:v>
                </c:pt>
                <c:pt idx="1">
                  <c:v>Diesel/EO1</c:v>
                </c:pt>
                <c:pt idx="2">
                  <c:v>Aviation fuel (kerosine + av gasoline)</c:v>
                </c:pt>
              </c:strCache>
            </c:strRef>
          </c:cat>
          <c:val>
            <c:numRef>
              <c:f>TRA_BAL!$E$94:$E$96</c:f>
              <c:numCache>
                <c:formatCode>0.00</c:formatCode>
                <c:ptCount val="3"/>
                <c:pt idx="0" formatCode="0.00000">
                  <c:v>76.065730000000016</c:v>
                </c:pt>
                <c:pt idx="1">
                  <c:v>7.5499200000000002</c:v>
                </c:pt>
                <c:pt idx="2" formatCode="0">
                  <c:v>30.274560000000001</c:v>
                </c:pt>
              </c:numCache>
            </c:numRef>
          </c:val>
          <c:extLst>
            <c:ext xmlns:c16="http://schemas.microsoft.com/office/drawing/2014/chart" uri="{C3380CC4-5D6E-409C-BE32-E72D297353CC}">
              <c16:uniqueId val="{00000001-5930-4B66-B06B-8382AA3A5BBD}"/>
            </c:ext>
          </c:extLst>
        </c:ser>
        <c:dLbls>
          <c:showLegendKey val="0"/>
          <c:showVal val="0"/>
          <c:showCatName val="0"/>
          <c:showSerName val="0"/>
          <c:showPercent val="0"/>
          <c:showBubbleSize val="0"/>
        </c:dLbls>
        <c:gapWidth val="150"/>
        <c:axId val="391574552"/>
        <c:axId val="391574944"/>
      </c:barChart>
      <c:catAx>
        <c:axId val="391574552"/>
        <c:scaling>
          <c:orientation val="minMax"/>
        </c:scaling>
        <c:delete val="0"/>
        <c:axPos val="b"/>
        <c:numFmt formatCode="General" sourceLinked="0"/>
        <c:majorTickMark val="out"/>
        <c:minorTickMark val="none"/>
        <c:tickLblPos val="nextTo"/>
        <c:crossAx val="391574944"/>
        <c:crosses val="autoZero"/>
        <c:auto val="1"/>
        <c:lblAlgn val="ctr"/>
        <c:lblOffset val="100"/>
        <c:noMultiLvlLbl val="0"/>
      </c:catAx>
      <c:valAx>
        <c:axId val="391574944"/>
        <c:scaling>
          <c:orientation val="minMax"/>
        </c:scaling>
        <c:delete val="0"/>
        <c:axPos val="l"/>
        <c:majorGridlines/>
        <c:numFmt formatCode="0" sourceLinked="0"/>
        <c:majorTickMark val="out"/>
        <c:minorTickMark val="none"/>
        <c:tickLblPos val="nextTo"/>
        <c:crossAx val="391574552"/>
        <c:crosses val="autoZero"/>
        <c:crossBetween val="between"/>
      </c:valAx>
    </c:plotArea>
    <c:legend>
      <c:legendPos val="r"/>
      <c:overlay val="0"/>
    </c:legend>
    <c:plotVisOnly val="1"/>
    <c:dispBlanksAs val="gap"/>
    <c:showDLblsOverMax val="0"/>
  </c:chart>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scatterChart>
        <c:scatterStyle val="smoothMarker"/>
        <c:varyColors val="0"/>
        <c:ser>
          <c:idx val="0"/>
          <c:order val="0"/>
          <c:marker>
            <c:symbol val="none"/>
          </c:marker>
          <c:xVal>
            <c:numRef>
              <c:f>Cars!$BU$15:$DI$15</c:f>
              <c:numCache>
                <c:formatCode>General</c:formatCode>
                <c:ptCount val="41"/>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pt idx="16">
                  <c:v>16</c:v>
                </c:pt>
                <c:pt idx="17">
                  <c:v>17</c:v>
                </c:pt>
                <c:pt idx="18">
                  <c:v>18</c:v>
                </c:pt>
                <c:pt idx="19">
                  <c:v>19</c:v>
                </c:pt>
                <c:pt idx="20">
                  <c:v>20</c:v>
                </c:pt>
                <c:pt idx="21">
                  <c:v>21</c:v>
                </c:pt>
                <c:pt idx="22">
                  <c:v>22</c:v>
                </c:pt>
                <c:pt idx="23">
                  <c:v>23</c:v>
                </c:pt>
                <c:pt idx="24">
                  <c:v>24</c:v>
                </c:pt>
                <c:pt idx="25">
                  <c:v>25</c:v>
                </c:pt>
                <c:pt idx="26">
                  <c:v>26</c:v>
                </c:pt>
                <c:pt idx="27">
                  <c:v>27</c:v>
                </c:pt>
                <c:pt idx="28">
                  <c:v>28</c:v>
                </c:pt>
                <c:pt idx="29">
                  <c:v>29</c:v>
                </c:pt>
                <c:pt idx="30">
                  <c:v>30</c:v>
                </c:pt>
                <c:pt idx="31">
                  <c:v>31</c:v>
                </c:pt>
                <c:pt idx="32">
                  <c:v>32</c:v>
                </c:pt>
                <c:pt idx="33">
                  <c:v>33</c:v>
                </c:pt>
                <c:pt idx="34">
                  <c:v>34</c:v>
                </c:pt>
                <c:pt idx="35">
                  <c:v>35</c:v>
                </c:pt>
                <c:pt idx="36">
                  <c:v>36</c:v>
                </c:pt>
                <c:pt idx="37">
                  <c:v>37</c:v>
                </c:pt>
                <c:pt idx="38">
                  <c:v>38</c:v>
                </c:pt>
                <c:pt idx="39">
                  <c:v>39</c:v>
                </c:pt>
                <c:pt idx="40">
                  <c:v>40</c:v>
                </c:pt>
              </c:numCache>
            </c:numRef>
          </c:xVal>
          <c:yVal>
            <c:numRef>
              <c:f>Cars!$BU$16:$DI$16</c:f>
              <c:numCache>
                <c:formatCode>0.0000_ ;[Red]\-0.0000\ </c:formatCode>
                <c:ptCount val="41"/>
                <c:pt idx="0">
                  <c:v>1</c:v>
                </c:pt>
                <c:pt idx="1">
                  <c:v>0.99991410860612417</c:v>
                </c:pt>
                <c:pt idx="2">
                  <c:v>0.9992195361566989</c:v>
                </c:pt>
                <c:pt idx="3">
                  <c:v>0.99716453669151872</c:v>
                </c:pt>
                <c:pt idx="4">
                  <c:v>0.99292809940492943</c:v>
                </c:pt>
                <c:pt idx="5">
                  <c:v>0.98566065581078033</c:v>
                </c:pt>
                <c:pt idx="6">
                  <c:v>0.9745198552529365</c:v>
                </c:pt>
                <c:pt idx="7">
                  <c:v>0.95870994801252296</c:v>
                </c:pt>
                <c:pt idx="8">
                  <c:v>0.93752627799089538</c:v>
                </c:pt>
                <c:pt idx="9">
                  <c:v>0.91040389563683743</c:v>
                </c:pt>
                <c:pt idx="10">
                  <c:v>0.87696761424636627</c:v>
                </c:pt>
                <c:pt idx="11">
                  <c:v>0.83707945545245599</c:v>
                </c:pt>
                <c:pt idx="12">
                  <c:v>0.79087838346939432</c:v>
                </c:pt>
                <c:pt idx="13">
                  <c:v>0.73880668372977898</c:v>
                </c:pt>
                <c:pt idx="14">
                  <c:v>0.68161750830146905</c:v>
                </c:pt>
                <c:pt idx="15">
                  <c:v>0.6203591582718655</c:v>
                </c:pt>
                <c:pt idx="16">
                  <c:v>0.55633366542933571</c:v>
                </c:pt>
                <c:pt idx="17">
                  <c:v>0.4910300689339831</c:v>
                </c:pt>
                <c:pt idx="18">
                  <c:v>0.42603615357492164</c:v>
                </c:pt>
                <c:pt idx="19">
                  <c:v>0.36293582918014178</c:v>
                </c:pt>
                <c:pt idx="20">
                  <c:v>0.30320216224398971</c:v>
                </c:pt>
                <c:pt idx="21">
                  <c:v>0.24809768696079504</c:v>
                </c:pt>
                <c:pt idx="22">
                  <c:v>0.19859353171072761</c:v>
                </c:pt>
                <c:pt idx="23">
                  <c:v>0.15531689885966579</c:v>
                </c:pt>
                <c:pt idx="24">
                  <c:v>0.11853272373571756</c:v>
                </c:pt>
                <c:pt idx="25">
                  <c:v>8.8160508412827715E-2</c:v>
                </c:pt>
                <c:pt idx="26">
                  <c:v>6.3822272629914814E-2</c:v>
                </c:pt>
                <c:pt idx="27">
                  <c:v>4.4913281734575435E-2</c:v>
                </c:pt>
                <c:pt idx="28">
                  <c:v>3.0684544353199485E-2</c:v>
                </c:pt>
                <c:pt idx="29">
                  <c:v>2.032549364454133E-2</c:v>
                </c:pt>
                <c:pt idx="30">
                  <c:v>1.3036754644380326E-2</c:v>
                </c:pt>
                <c:pt idx="31">
                  <c:v>8.085961133918634E-3</c:v>
                </c:pt>
                <c:pt idx="32">
                  <c:v>4.8434056398182074E-3</c:v>
                </c:pt>
                <c:pt idx="33">
                  <c:v>2.7979947970093503E-3</c:v>
                </c:pt>
                <c:pt idx="34">
                  <c:v>1.5568124870497775E-3</c:v>
                </c:pt>
                <c:pt idx="35">
                  <c:v>8.3316739348158423E-4</c:v>
                </c:pt>
                <c:pt idx="36">
                  <c:v>4.2829677132559313E-4</c:v>
                </c:pt>
                <c:pt idx="37">
                  <c:v>2.111936319669825E-4</c:v>
                </c:pt>
                <c:pt idx="38">
                  <c:v>9.9757184505159361E-5</c:v>
                </c:pt>
                <c:pt idx="39">
                  <c:v>4.507500461671761E-5</c:v>
                </c:pt>
                <c:pt idx="40">
                  <c:v>1.9456001105115882E-5</c:v>
                </c:pt>
              </c:numCache>
            </c:numRef>
          </c:yVal>
          <c:smooth val="1"/>
          <c:extLst>
            <c:ext xmlns:c16="http://schemas.microsoft.com/office/drawing/2014/chart" uri="{C3380CC4-5D6E-409C-BE32-E72D297353CC}">
              <c16:uniqueId val="{00000000-E9A7-46D0-BE20-B60AA4B38045}"/>
            </c:ext>
          </c:extLst>
        </c:ser>
        <c:dLbls>
          <c:showLegendKey val="0"/>
          <c:showVal val="0"/>
          <c:showCatName val="0"/>
          <c:showSerName val="0"/>
          <c:showPercent val="0"/>
          <c:showBubbleSize val="0"/>
        </c:dLbls>
        <c:axId val="391575336"/>
        <c:axId val="397734424"/>
      </c:scatterChart>
      <c:valAx>
        <c:axId val="391575336"/>
        <c:scaling>
          <c:orientation val="minMax"/>
        </c:scaling>
        <c:delete val="0"/>
        <c:axPos val="b"/>
        <c:numFmt formatCode="General" sourceLinked="1"/>
        <c:majorTickMark val="out"/>
        <c:minorTickMark val="none"/>
        <c:tickLblPos val="nextTo"/>
        <c:txPr>
          <a:bodyPr rot="0" vert="horz"/>
          <a:lstStyle/>
          <a:p>
            <a:pPr>
              <a:defRPr sz="1000" b="0" i="0" u="none" strike="noStrike" baseline="0">
                <a:solidFill>
                  <a:srgbClr val="000000"/>
                </a:solidFill>
                <a:latin typeface="Calibri"/>
                <a:ea typeface="Calibri"/>
                <a:cs typeface="Calibri"/>
              </a:defRPr>
            </a:pPr>
            <a:endParaRPr lang="da-DK"/>
          </a:p>
        </c:txPr>
        <c:crossAx val="397734424"/>
        <c:crosses val="autoZero"/>
        <c:crossBetween val="midCat"/>
      </c:valAx>
      <c:valAx>
        <c:axId val="397734424"/>
        <c:scaling>
          <c:orientation val="minMax"/>
        </c:scaling>
        <c:delete val="0"/>
        <c:axPos val="l"/>
        <c:majorGridlines/>
        <c:numFmt formatCode="0.0000_ ;[Red]\-0.0000\ " sourceLinked="1"/>
        <c:majorTickMark val="out"/>
        <c:minorTickMark val="none"/>
        <c:tickLblPos val="nextTo"/>
        <c:txPr>
          <a:bodyPr rot="0" vert="horz"/>
          <a:lstStyle/>
          <a:p>
            <a:pPr>
              <a:defRPr sz="1000" b="0" i="0" u="none" strike="noStrike" baseline="0">
                <a:solidFill>
                  <a:srgbClr val="000000"/>
                </a:solidFill>
                <a:latin typeface="Calibri"/>
                <a:ea typeface="Calibri"/>
                <a:cs typeface="Calibri"/>
              </a:defRPr>
            </a:pPr>
            <a:endParaRPr lang="da-DK"/>
          </a:p>
        </c:txPr>
        <c:crossAx val="391575336"/>
        <c:crosses val="autoZero"/>
        <c:crossBetween val="midCat"/>
      </c:valAx>
    </c:plotArea>
    <c:legend>
      <c:legendPos val="r"/>
      <c:overlay val="0"/>
      <c:txPr>
        <a:bodyPr/>
        <a:lstStyle/>
        <a:p>
          <a:pPr>
            <a:defRPr sz="920" b="0" i="0" u="none" strike="noStrike" baseline="0">
              <a:solidFill>
                <a:srgbClr val="000000"/>
              </a:solidFill>
              <a:latin typeface="Calibri"/>
              <a:ea typeface="Calibri"/>
              <a:cs typeface="Calibri"/>
            </a:defRPr>
          </a:pPr>
          <a:endParaRPr lang="da-DK"/>
        </a:p>
      </c:txPr>
    </c:legend>
    <c:plotVisOnly val="1"/>
    <c:dispBlanksAs val="gap"/>
    <c:showDLblsOverMax val="0"/>
  </c:chart>
  <c:txPr>
    <a:bodyPr/>
    <a:lstStyle/>
    <a:p>
      <a:pPr>
        <a:defRPr sz="1000" b="0" i="0" u="none" strike="noStrike" baseline="0">
          <a:solidFill>
            <a:srgbClr val="000000"/>
          </a:solidFill>
          <a:latin typeface="Calibri"/>
          <a:ea typeface="Calibri"/>
          <a:cs typeface="Calibri"/>
        </a:defRPr>
      </a:pPr>
      <a:endParaRPr lang="da-DK"/>
    </a:p>
  </c:txPr>
  <c:printSettings>
    <c:headerFooter/>
    <c:pageMargins b="0.75" l="0.7" r="0.7" t="0.75" header="0.3" footer="0.3"/>
    <c:pageSetup/>
  </c:printSettings>
</c:chartSpace>
</file>

<file path=xl/drawings/_rels/drawing1.xml.rels><?xml version="1.0" encoding="UTF-8" standalone="yes"?>
<Relationships xmlns="http://schemas.openxmlformats.org/package/2006/relationships"><Relationship Id="rId3" Type="http://schemas.openxmlformats.org/officeDocument/2006/relationships/image" Target="../media/image1.emf"/><Relationship Id="rId2" Type="http://schemas.openxmlformats.org/officeDocument/2006/relationships/chart" Target="../charts/chart2.xml"/><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openxmlformats.org/officeDocument/2006/relationships/chart" Target="../charts/chart3.xml"/></Relationships>
</file>

<file path=xl/drawings/_rels/drawing4.xml.rels><?xml version="1.0" encoding="UTF-8" standalone="yes"?>
<Relationships xmlns="http://schemas.openxmlformats.org/package/2006/relationships"><Relationship Id="rId3" Type="http://schemas.openxmlformats.org/officeDocument/2006/relationships/image" Target="../media/image4.wmf"/><Relationship Id="rId2" Type="http://schemas.openxmlformats.org/officeDocument/2006/relationships/image" Target="../media/image3.png"/><Relationship Id="rId1" Type="http://schemas.openxmlformats.org/officeDocument/2006/relationships/image" Target="../media/image2.png"/><Relationship Id="rId4" Type="http://schemas.openxmlformats.org/officeDocument/2006/relationships/image" Target="../media/image5.emf"/></Relationships>
</file>

<file path=xl/drawings/_rels/drawing5.xml.rels><?xml version="1.0" encoding="UTF-8" standalone="yes"?>
<Relationships xmlns="http://schemas.openxmlformats.org/package/2006/relationships"><Relationship Id="rId1" Type="http://schemas.openxmlformats.org/officeDocument/2006/relationships/image" Target="../media/image7.png"/></Relationships>
</file>

<file path=xl/drawings/_rels/drawing6.xml.rels><?xml version="1.0" encoding="UTF-8" standalone="yes"?>
<Relationships xmlns="http://schemas.openxmlformats.org/package/2006/relationships"><Relationship Id="rId2" Type="http://schemas.openxmlformats.org/officeDocument/2006/relationships/image" Target="../media/image9.emf"/><Relationship Id="rId1" Type="http://schemas.openxmlformats.org/officeDocument/2006/relationships/image" Target="../media/image8.emf"/></Relationships>
</file>

<file path=xl/drawings/_rels/drawing7.xml.rels><?xml version="1.0" encoding="UTF-8" standalone="yes"?>
<Relationships xmlns="http://schemas.openxmlformats.org/package/2006/relationships"><Relationship Id="rId1" Type="http://schemas.openxmlformats.org/officeDocument/2006/relationships/image" Target="../media/image10.png"/></Relationships>
</file>

<file path=xl/drawings/_rels/drawing8.xml.rels><?xml version="1.0" encoding="UTF-8" standalone="yes"?>
<Relationships xmlns="http://schemas.openxmlformats.org/package/2006/relationships"><Relationship Id="rId1" Type="http://schemas.openxmlformats.org/officeDocument/2006/relationships/image" Target="../media/image11.emf"/></Relationships>
</file>

<file path=xl/drawings/_rels/drawing9.xml.rels><?xml version="1.0" encoding="UTF-8" standalone="yes"?>
<Relationships xmlns="http://schemas.openxmlformats.org/package/2006/relationships"><Relationship Id="rId1" Type="http://schemas.openxmlformats.org/officeDocument/2006/relationships/image" Target="../media/image12.png"/></Relationships>
</file>

<file path=xl/drawings/_rels/drawing11.xml.rels><?xml version="1.0" encoding="UTF-8" standalone="yes"?>
<Relationships xmlns="http://schemas.openxmlformats.org/package/2006/relationships"><Relationship Id="rId1" Type="http://schemas.openxmlformats.org/officeDocument/2006/relationships/image" Target="../media/image9.emf"/></Relationships>
</file>

<file path=xl/drawings/_rels/drawing12.xml.rels><?xml version="1.0" encoding="UTF-8" standalone="yes"?>
<Relationships xmlns="http://schemas.openxmlformats.org/package/2006/relationships"><Relationship Id="rId1" Type="http://schemas.openxmlformats.org/officeDocument/2006/relationships/image" Target="../media/image7.png"/></Relationships>
</file>

<file path=xl/drawings/_rels/drawing13.xml.rels><?xml version="1.0" encoding="UTF-8" standalone="yes"?>
<Relationships xmlns="http://schemas.openxmlformats.org/package/2006/relationships"><Relationship Id="rId8" Type="http://schemas.openxmlformats.org/officeDocument/2006/relationships/image" Target="../media/image21.emf"/><Relationship Id="rId3" Type="http://schemas.openxmlformats.org/officeDocument/2006/relationships/image" Target="../media/image16.emf"/><Relationship Id="rId7" Type="http://schemas.openxmlformats.org/officeDocument/2006/relationships/image" Target="../media/image20.emf"/><Relationship Id="rId2" Type="http://schemas.openxmlformats.org/officeDocument/2006/relationships/image" Target="../media/image15.emf"/><Relationship Id="rId1" Type="http://schemas.openxmlformats.org/officeDocument/2006/relationships/image" Target="../media/image14.emf"/><Relationship Id="rId6" Type="http://schemas.openxmlformats.org/officeDocument/2006/relationships/image" Target="../media/image19.emf"/><Relationship Id="rId5" Type="http://schemas.openxmlformats.org/officeDocument/2006/relationships/image" Target="../media/image18.emf"/><Relationship Id="rId4" Type="http://schemas.openxmlformats.org/officeDocument/2006/relationships/image" Target="../media/image17.emf"/><Relationship Id="rId9" Type="http://schemas.openxmlformats.org/officeDocument/2006/relationships/image" Target="../media/image22.emf"/></Relationships>
</file>

<file path=xl/drawings/_rels/drawing14.xml.rels><?xml version="1.0" encoding="UTF-8" standalone="yes"?>
<Relationships xmlns="http://schemas.openxmlformats.org/package/2006/relationships"><Relationship Id="rId1" Type="http://schemas.openxmlformats.org/officeDocument/2006/relationships/image" Target="../media/image9.emf"/></Relationships>
</file>

<file path=xl/drawings/_rels/vmlDrawing12.vml.rels><?xml version="1.0" encoding="UTF-8" standalone="yes"?>
<Relationships xmlns="http://schemas.openxmlformats.org/package/2006/relationships"><Relationship Id="rId1" Type="http://schemas.openxmlformats.org/officeDocument/2006/relationships/image" Target="../media/image6.emf"/></Relationships>
</file>

<file path=xl/drawings/_rels/vmlDrawing14.vml.rels><?xml version="1.0" encoding="UTF-8" standalone="yes"?>
<Relationships xmlns="http://schemas.openxmlformats.org/package/2006/relationships"><Relationship Id="rId1" Type="http://schemas.openxmlformats.org/officeDocument/2006/relationships/image" Target="../media/image6.emf"/></Relationships>
</file>

<file path=xl/drawings/_rels/vmlDrawing19.vml.rels><?xml version="1.0" encoding="UTF-8" standalone="yes"?>
<Relationships xmlns="http://schemas.openxmlformats.org/package/2006/relationships"><Relationship Id="rId1" Type="http://schemas.openxmlformats.org/officeDocument/2006/relationships/image" Target="../media/image6.emf"/></Relationships>
</file>

<file path=xl/drawings/_rels/vmlDrawing20.vml.rels><?xml version="1.0" encoding="UTF-8" standalone="yes"?>
<Relationships xmlns="http://schemas.openxmlformats.org/package/2006/relationships"><Relationship Id="rId2" Type="http://schemas.openxmlformats.org/officeDocument/2006/relationships/image" Target="../media/image6.emf"/><Relationship Id="rId1" Type="http://schemas.openxmlformats.org/officeDocument/2006/relationships/image" Target="../media/image13.emf"/></Relationships>
</file>

<file path=xl/drawings/_rels/vmlDrawing21.vml.rels><?xml version="1.0" encoding="UTF-8" standalone="yes"?>
<Relationships xmlns="http://schemas.openxmlformats.org/package/2006/relationships"><Relationship Id="rId2" Type="http://schemas.openxmlformats.org/officeDocument/2006/relationships/image" Target="../media/image23.emf"/><Relationship Id="rId1" Type="http://schemas.openxmlformats.org/officeDocument/2006/relationships/image" Target="../media/image6.emf"/></Relationships>
</file>

<file path=xl/drawings/drawing1.xml><?xml version="1.0" encoding="utf-8"?>
<xdr:wsDr xmlns:xdr="http://schemas.openxmlformats.org/drawingml/2006/spreadsheetDrawing" xmlns:a="http://schemas.openxmlformats.org/drawingml/2006/main">
  <xdr:twoCellAnchor>
    <xdr:from>
      <xdr:col>17</xdr:col>
      <xdr:colOff>443432</xdr:colOff>
      <xdr:row>56</xdr:row>
      <xdr:rowOff>151280</xdr:rowOff>
    </xdr:from>
    <xdr:to>
      <xdr:col>26</xdr:col>
      <xdr:colOff>289929</xdr:colOff>
      <xdr:row>86</xdr:row>
      <xdr:rowOff>52647</xdr:rowOff>
    </xdr:to>
    <xdr:graphicFrame macro="">
      <xdr:nvGraphicFramePr>
        <xdr:cNvPr id="2" name="Chart 1">
          <a:extLst>
            <a:ext uri="{FF2B5EF4-FFF2-40B4-BE49-F238E27FC236}">
              <a16:creationId xmlns:a16="http://schemas.microsoft.com/office/drawing/2014/main" id="{00000000-0008-0000-0100-000002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27</xdr:col>
      <xdr:colOff>122465</xdr:colOff>
      <xdr:row>57</xdr:row>
      <xdr:rowOff>42423</xdr:rowOff>
    </xdr:from>
    <xdr:to>
      <xdr:col>32</xdr:col>
      <xdr:colOff>392206</xdr:colOff>
      <xdr:row>86</xdr:row>
      <xdr:rowOff>98450</xdr:rowOff>
    </xdr:to>
    <xdr:graphicFrame macro="">
      <xdr:nvGraphicFramePr>
        <xdr:cNvPr id="3" name="Chart 2">
          <a:extLst>
            <a:ext uri="{FF2B5EF4-FFF2-40B4-BE49-F238E27FC236}">
              <a16:creationId xmlns:a16="http://schemas.microsoft.com/office/drawing/2014/main" id="{00000000-0008-0000-0100-000003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editAs="oneCell">
    <xdr:from>
      <xdr:col>12</xdr:col>
      <xdr:colOff>403412</xdr:colOff>
      <xdr:row>140</xdr:row>
      <xdr:rowOff>33617</xdr:rowOff>
    </xdr:from>
    <xdr:to>
      <xdr:col>24</xdr:col>
      <xdr:colOff>314886</xdr:colOff>
      <xdr:row>141</xdr:row>
      <xdr:rowOff>71717</xdr:rowOff>
    </xdr:to>
    <xdr:pic>
      <xdr:nvPicPr>
        <xdr:cNvPr id="4" name="Picture 3">
          <a:extLst>
            <a:ext uri="{FF2B5EF4-FFF2-40B4-BE49-F238E27FC236}">
              <a16:creationId xmlns:a16="http://schemas.microsoft.com/office/drawing/2014/main" id="{00000000-0008-0000-0100-000004000000}"/>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11923059" y="22434176"/>
          <a:ext cx="8450356" cy="194982"/>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2.xml><?xml version="1.0" encoding="utf-8"?>
<xdr:wsDr xmlns:xdr="http://schemas.openxmlformats.org/drawingml/2006/spreadsheetDrawing" xmlns:a="http://schemas.openxmlformats.org/drawingml/2006/main">
  <xdr:twoCellAnchor>
    <xdr:from>
      <xdr:col>71</xdr:col>
      <xdr:colOff>0</xdr:colOff>
      <xdr:row>18</xdr:row>
      <xdr:rowOff>0</xdr:rowOff>
    </xdr:from>
    <xdr:to>
      <xdr:col>78</xdr:col>
      <xdr:colOff>304800</xdr:colOff>
      <xdr:row>36</xdr:row>
      <xdr:rowOff>104775</xdr:rowOff>
    </xdr:to>
    <xdr:graphicFrame macro="">
      <xdr:nvGraphicFramePr>
        <xdr:cNvPr id="3" name="Chart 1">
          <a:extLst>
            <a:ext uri="{FF2B5EF4-FFF2-40B4-BE49-F238E27FC236}">
              <a16:creationId xmlns:a16="http://schemas.microsoft.com/office/drawing/2014/main" id="{00000000-0008-0000-0500-000003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oneCellAnchor>
    <xdr:from>
      <xdr:col>22</xdr:col>
      <xdr:colOff>493060</xdr:colOff>
      <xdr:row>114</xdr:row>
      <xdr:rowOff>144928</xdr:rowOff>
    </xdr:from>
    <xdr:ext cx="4276165" cy="2420471"/>
    <xdr:sp macro="" textlink="">
      <xdr:nvSpPr>
        <xdr:cNvPr id="4" name="TextBox 3">
          <a:extLst>
            <a:ext uri="{FF2B5EF4-FFF2-40B4-BE49-F238E27FC236}">
              <a16:creationId xmlns:a16="http://schemas.microsoft.com/office/drawing/2014/main" id="{00000000-0008-0000-0500-000004000000}"/>
            </a:ext>
          </a:extLst>
        </xdr:cNvPr>
        <xdr:cNvSpPr txBox="1"/>
      </xdr:nvSpPr>
      <xdr:spPr>
        <a:xfrm>
          <a:off x="25156460" y="20655428"/>
          <a:ext cx="4276165" cy="2420471"/>
        </a:xfrm>
        <a:prstGeom prst="rect">
          <a:avLst/>
        </a:prstGeom>
        <a:solidFill>
          <a:schemeClr val="bg1"/>
        </a:solidFill>
        <a:ln>
          <a:solidFill>
            <a:sysClr val="windowText" lastClr="000000"/>
          </a:solidFill>
        </a:ln>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pPr marL="0" marR="0" lvl="0" indent="0" algn="l" defTabSz="914400" eaLnBrk="1" fontAlgn="auto" latinLnBrk="0" hangingPunct="1">
            <a:lnSpc>
              <a:spcPct val="100000"/>
            </a:lnSpc>
            <a:spcBef>
              <a:spcPts val="0"/>
            </a:spcBef>
            <a:spcAft>
              <a:spcPts val="0"/>
            </a:spcAft>
            <a:buClrTx/>
            <a:buSzTx/>
            <a:buFontTx/>
            <a:buNone/>
            <a:tabLst/>
            <a:defRPr/>
          </a:pPr>
          <a:r>
            <a:rPr lang="da-DK" sz="1200" b="1">
              <a:solidFill>
                <a:schemeClr val="tx1"/>
              </a:solidFill>
              <a:effectLst/>
              <a:latin typeface="+mn-lt"/>
              <a:ea typeface="+mn-ea"/>
              <a:cs typeface="+mn-cs"/>
            </a:rPr>
            <a:t>Notes RAFS</a:t>
          </a:r>
          <a:r>
            <a:rPr lang="da-DK" sz="1200" b="1" baseline="0">
              <a:solidFill>
                <a:schemeClr val="tx1"/>
              </a:solidFill>
              <a:effectLst/>
              <a:latin typeface="+mn-lt"/>
              <a:ea typeface="+mn-ea"/>
              <a:cs typeface="+mn-cs"/>
            </a:rPr>
            <a:t> 13 December 2018</a:t>
          </a:r>
          <a:r>
            <a:rPr lang="da-DK" sz="1200" b="1">
              <a:solidFill>
                <a:schemeClr val="tx1"/>
              </a:solidFill>
              <a:effectLst/>
              <a:latin typeface="+mn-lt"/>
              <a:ea typeface="+mn-ea"/>
              <a:cs typeface="+mn-cs"/>
            </a:rPr>
            <a:t>:</a:t>
          </a:r>
          <a:endParaRPr lang="en-GB" sz="1200"/>
        </a:p>
        <a:p>
          <a:pPr algn="l"/>
          <a:endParaRPr lang="en-GB" sz="1200"/>
        </a:p>
        <a:p>
          <a:r>
            <a:rPr lang="en-GB" sz="1100">
              <a:solidFill>
                <a:schemeClr val="tx1"/>
              </a:solidFill>
              <a:effectLst/>
              <a:latin typeface="+mn-lt"/>
              <a:ea typeface="+mn-ea"/>
              <a:cs typeface="+mn-cs"/>
            </a:rPr>
            <a:t>I modified the TP of electric battery cars since the travel patterns for internal combustion engines were used already in the BY (I assumed the same TP as in TIMES-DK and TIMES-NO) </a:t>
          </a:r>
          <a:endParaRPr lang="en-GB" sz="1100" b="0" baseline="0"/>
        </a:p>
      </xdr:txBody>
    </xdr:sp>
    <xdr:clientData/>
  </xdr:oneCellAnchor>
</xdr:wsDr>
</file>

<file path=xl/drawings/drawing3.xml><?xml version="1.0" encoding="utf-8"?>
<xdr:wsDr xmlns:xdr="http://schemas.openxmlformats.org/drawingml/2006/spreadsheetDrawing" xmlns:a="http://schemas.openxmlformats.org/drawingml/2006/main">
  <xdr:twoCellAnchor>
    <xdr:from>
      <xdr:col>0</xdr:col>
      <xdr:colOff>219927</xdr:colOff>
      <xdr:row>43</xdr:row>
      <xdr:rowOff>46759</xdr:rowOff>
    </xdr:from>
    <xdr:to>
      <xdr:col>2</xdr:col>
      <xdr:colOff>1297310</xdr:colOff>
      <xdr:row>44</xdr:row>
      <xdr:rowOff>118891</xdr:rowOff>
    </xdr:to>
    <xdr:sp macro="" textlink="">
      <xdr:nvSpPr>
        <xdr:cNvPr id="4" name="TextBox 3">
          <a:extLst>
            <a:ext uri="{FF2B5EF4-FFF2-40B4-BE49-F238E27FC236}">
              <a16:creationId xmlns:a16="http://schemas.microsoft.com/office/drawing/2014/main" id="{00000000-0008-0000-0B00-000004000000}"/>
            </a:ext>
          </a:extLst>
        </xdr:cNvPr>
        <xdr:cNvSpPr txBox="1"/>
      </xdr:nvSpPr>
      <xdr:spPr>
        <a:xfrm>
          <a:off x="219927" y="7600084"/>
          <a:ext cx="3944408" cy="234057"/>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da-DK" sz="1100" baseline="0"/>
            <a:t>Add fishing boats and helicopters</a:t>
          </a:r>
        </a:p>
        <a:p>
          <a:endParaRPr lang="da-DK" sz="1100"/>
        </a:p>
      </xdr:txBody>
    </xdr:sp>
    <xdr:clientData/>
  </xdr:twoCellAnchor>
</xdr:wsDr>
</file>

<file path=xl/drawings/drawing4.xml><?xml version="1.0" encoding="utf-8"?>
<xdr:wsDr xmlns:xdr="http://schemas.openxmlformats.org/drawingml/2006/spreadsheetDrawing" xmlns:a="http://schemas.openxmlformats.org/drawingml/2006/main">
  <xdr:twoCellAnchor editAs="oneCell">
    <xdr:from>
      <xdr:col>0</xdr:col>
      <xdr:colOff>19050</xdr:colOff>
      <xdr:row>37</xdr:row>
      <xdr:rowOff>9525</xdr:rowOff>
    </xdr:from>
    <xdr:to>
      <xdr:col>2</xdr:col>
      <xdr:colOff>612156</xdr:colOff>
      <xdr:row>38</xdr:row>
      <xdr:rowOff>919</xdr:rowOff>
    </xdr:to>
    <xdr:pic>
      <xdr:nvPicPr>
        <xdr:cNvPr id="2" name="Bildobjekt 3" descr="sos_farg_sve.png">
          <a:extLst>
            <a:ext uri="{FF2B5EF4-FFF2-40B4-BE49-F238E27FC236}">
              <a16:creationId xmlns:a16="http://schemas.microsoft.com/office/drawing/2014/main" id="{00000000-0008-0000-1100-000002000000}"/>
            </a:ext>
          </a:extLst>
        </xdr:cNvPr>
        <xdr:cNvPicPr>
          <a:picLocks noChangeAspect="1"/>
        </xdr:cNvPicPr>
      </xdr:nvPicPr>
      <xdr:blipFill>
        <a:blip xmlns:r="http://schemas.openxmlformats.org/officeDocument/2006/relationships" r:embed="rId1" cstate="print"/>
        <a:stretch>
          <a:fillRect/>
        </a:stretch>
      </xdr:blipFill>
      <xdr:spPr>
        <a:xfrm>
          <a:off x="19050" y="6296025"/>
          <a:ext cx="1607799" cy="234000"/>
        </a:xfrm>
        <a:prstGeom prst="rect">
          <a:avLst/>
        </a:prstGeom>
      </xdr:spPr>
    </xdr:pic>
    <xdr:clientData/>
  </xdr:twoCellAnchor>
  <xdr:oneCellAnchor>
    <xdr:from>
      <xdr:col>0</xdr:col>
      <xdr:colOff>9526</xdr:colOff>
      <xdr:row>112</xdr:row>
      <xdr:rowOff>9525</xdr:rowOff>
    </xdr:from>
    <xdr:ext cx="1607799" cy="234000"/>
    <xdr:pic>
      <xdr:nvPicPr>
        <xdr:cNvPr id="4" name="Bildobjekt 1" descr="sos_farg_sve.png">
          <a:extLst>
            <a:ext uri="{FF2B5EF4-FFF2-40B4-BE49-F238E27FC236}">
              <a16:creationId xmlns:a16="http://schemas.microsoft.com/office/drawing/2014/main" id="{00000000-0008-0000-1100-000004000000}"/>
            </a:ext>
          </a:extLst>
        </xdr:cNvPr>
        <xdr:cNvPicPr>
          <a:picLocks noChangeAspect="1"/>
        </xdr:cNvPicPr>
      </xdr:nvPicPr>
      <xdr:blipFill>
        <a:blip xmlns:r="http://schemas.openxmlformats.org/officeDocument/2006/relationships" r:embed="rId1" cstate="print"/>
        <a:stretch>
          <a:fillRect/>
        </a:stretch>
      </xdr:blipFill>
      <xdr:spPr>
        <a:xfrm>
          <a:off x="9526" y="9010650"/>
          <a:ext cx="1607799" cy="234000"/>
        </a:xfrm>
        <a:prstGeom prst="rect">
          <a:avLst/>
        </a:prstGeom>
      </xdr:spPr>
    </xdr:pic>
    <xdr:clientData/>
  </xdr:oneCellAnchor>
  <xdr:twoCellAnchor editAs="oneCell">
    <xdr:from>
      <xdr:col>0</xdr:col>
      <xdr:colOff>19050</xdr:colOff>
      <xdr:row>141</xdr:row>
      <xdr:rowOff>19050</xdr:rowOff>
    </xdr:from>
    <xdr:to>
      <xdr:col>1</xdr:col>
      <xdr:colOff>2556</xdr:colOff>
      <xdr:row>142</xdr:row>
      <xdr:rowOff>917</xdr:rowOff>
    </xdr:to>
    <xdr:pic>
      <xdr:nvPicPr>
        <xdr:cNvPr id="5" name="Bildobjekt 2" descr="sos_farg_sve.png">
          <a:extLst>
            <a:ext uri="{FF2B5EF4-FFF2-40B4-BE49-F238E27FC236}">
              <a16:creationId xmlns:a16="http://schemas.microsoft.com/office/drawing/2014/main" id="{00000000-0008-0000-1100-000005000000}"/>
            </a:ext>
          </a:extLst>
        </xdr:cNvPr>
        <xdr:cNvPicPr>
          <a:picLocks noChangeAspect="1"/>
        </xdr:cNvPicPr>
      </xdr:nvPicPr>
      <xdr:blipFill>
        <a:blip xmlns:r="http://schemas.openxmlformats.org/officeDocument/2006/relationships" r:embed="rId1" cstate="print"/>
        <a:stretch>
          <a:fillRect/>
        </a:stretch>
      </xdr:blipFill>
      <xdr:spPr>
        <a:xfrm>
          <a:off x="19050" y="3952875"/>
          <a:ext cx="1607799" cy="234000"/>
        </a:xfrm>
        <a:prstGeom prst="rect">
          <a:avLst/>
        </a:prstGeom>
      </xdr:spPr>
    </xdr:pic>
    <xdr:clientData/>
  </xdr:twoCellAnchor>
  <xdr:twoCellAnchor editAs="oneCell">
    <xdr:from>
      <xdr:col>0</xdr:col>
      <xdr:colOff>19050</xdr:colOff>
      <xdr:row>198</xdr:row>
      <xdr:rowOff>9525</xdr:rowOff>
    </xdr:from>
    <xdr:to>
      <xdr:col>2</xdr:col>
      <xdr:colOff>969624</xdr:colOff>
      <xdr:row>199</xdr:row>
      <xdr:rowOff>919</xdr:rowOff>
    </xdr:to>
    <xdr:pic>
      <xdr:nvPicPr>
        <xdr:cNvPr id="6" name="Bildobjekt 2" descr="sos_farg_sve.png">
          <a:extLst>
            <a:ext uri="{FF2B5EF4-FFF2-40B4-BE49-F238E27FC236}">
              <a16:creationId xmlns:a16="http://schemas.microsoft.com/office/drawing/2014/main" id="{00000000-0008-0000-1100-000006000000}"/>
            </a:ext>
          </a:extLst>
        </xdr:cNvPr>
        <xdr:cNvPicPr>
          <a:picLocks noChangeAspect="1"/>
        </xdr:cNvPicPr>
      </xdr:nvPicPr>
      <xdr:blipFill>
        <a:blip xmlns:r="http://schemas.openxmlformats.org/officeDocument/2006/relationships" r:embed="rId1" cstate="print"/>
        <a:stretch>
          <a:fillRect/>
        </a:stretch>
      </xdr:blipFill>
      <xdr:spPr>
        <a:xfrm>
          <a:off x="19050" y="8105775"/>
          <a:ext cx="1607799" cy="234000"/>
        </a:xfrm>
        <a:prstGeom prst="rect">
          <a:avLst/>
        </a:prstGeom>
      </xdr:spPr>
    </xdr:pic>
    <xdr:clientData/>
  </xdr:twoCellAnchor>
  <xdr:twoCellAnchor editAs="oneCell">
    <xdr:from>
      <xdr:col>0</xdr:col>
      <xdr:colOff>19050</xdr:colOff>
      <xdr:row>252</xdr:row>
      <xdr:rowOff>9525</xdr:rowOff>
    </xdr:from>
    <xdr:to>
      <xdr:col>2</xdr:col>
      <xdr:colOff>1213352</xdr:colOff>
      <xdr:row>253</xdr:row>
      <xdr:rowOff>918</xdr:rowOff>
    </xdr:to>
    <xdr:pic>
      <xdr:nvPicPr>
        <xdr:cNvPr id="8" name="Bildobjekt 2" descr="sos_farg_sve.png">
          <a:extLst>
            <a:ext uri="{FF2B5EF4-FFF2-40B4-BE49-F238E27FC236}">
              <a16:creationId xmlns:a16="http://schemas.microsoft.com/office/drawing/2014/main" id="{00000000-0008-0000-1100-000008000000}"/>
            </a:ext>
          </a:extLst>
        </xdr:cNvPr>
        <xdr:cNvPicPr>
          <a:picLocks noChangeAspect="1"/>
        </xdr:cNvPicPr>
      </xdr:nvPicPr>
      <xdr:blipFill>
        <a:blip xmlns:r="http://schemas.openxmlformats.org/officeDocument/2006/relationships" r:embed="rId1" cstate="print"/>
        <a:stretch>
          <a:fillRect/>
        </a:stretch>
      </xdr:blipFill>
      <xdr:spPr>
        <a:xfrm>
          <a:off x="19050" y="8534400"/>
          <a:ext cx="1607799" cy="234000"/>
        </a:xfrm>
        <a:prstGeom prst="rect">
          <a:avLst/>
        </a:prstGeom>
      </xdr:spPr>
    </xdr:pic>
    <xdr:clientData/>
  </xdr:twoCellAnchor>
  <xdr:twoCellAnchor editAs="oneCell">
    <xdr:from>
      <xdr:col>1</xdr:col>
      <xdr:colOff>9525</xdr:colOff>
      <xdr:row>290</xdr:row>
      <xdr:rowOff>9525</xdr:rowOff>
    </xdr:from>
    <xdr:to>
      <xdr:col>3</xdr:col>
      <xdr:colOff>1271062</xdr:colOff>
      <xdr:row>291</xdr:row>
      <xdr:rowOff>918</xdr:rowOff>
    </xdr:to>
    <xdr:pic>
      <xdr:nvPicPr>
        <xdr:cNvPr id="7" name="Bildobjekt 3" descr="sos_farg_sve.png">
          <a:extLst>
            <a:ext uri="{FF2B5EF4-FFF2-40B4-BE49-F238E27FC236}">
              <a16:creationId xmlns:a16="http://schemas.microsoft.com/office/drawing/2014/main" id="{00000000-0008-0000-1100-000007000000}"/>
            </a:ext>
          </a:extLst>
        </xdr:cNvPr>
        <xdr:cNvPicPr>
          <a:picLocks noChangeAspect="1"/>
        </xdr:cNvPicPr>
      </xdr:nvPicPr>
      <xdr:blipFill>
        <a:blip xmlns:r="http://schemas.openxmlformats.org/officeDocument/2006/relationships" r:embed="rId1" cstate="print"/>
        <a:stretch>
          <a:fillRect/>
        </a:stretch>
      </xdr:blipFill>
      <xdr:spPr>
        <a:xfrm>
          <a:off x="9525" y="3381375"/>
          <a:ext cx="1607799" cy="234000"/>
        </a:xfrm>
        <a:prstGeom prst="rect">
          <a:avLst/>
        </a:prstGeom>
      </xdr:spPr>
    </xdr:pic>
    <xdr:clientData/>
  </xdr:twoCellAnchor>
  <xdr:twoCellAnchor editAs="oneCell">
    <xdr:from>
      <xdr:col>0</xdr:col>
      <xdr:colOff>552450</xdr:colOff>
      <xdr:row>297</xdr:row>
      <xdr:rowOff>133350</xdr:rowOff>
    </xdr:from>
    <xdr:to>
      <xdr:col>11</xdr:col>
      <xdr:colOff>405321</xdr:colOff>
      <xdr:row>328</xdr:row>
      <xdr:rowOff>94628</xdr:rowOff>
    </xdr:to>
    <xdr:pic>
      <xdr:nvPicPr>
        <xdr:cNvPr id="3" name="Picture 2">
          <a:extLst>
            <a:ext uri="{FF2B5EF4-FFF2-40B4-BE49-F238E27FC236}">
              <a16:creationId xmlns:a16="http://schemas.microsoft.com/office/drawing/2014/main" id="{00000000-0008-0000-1100-000003000000}"/>
            </a:ext>
          </a:extLst>
        </xdr:cNvPr>
        <xdr:cNvPicPr>
          <a:picLocks noChangeAspect="1"/>
        </xdr:cNvPicPr>
      </xdr:nvPicPr>
      <xdr:blipFill>
        <a:blip xmlns:r="http://schemas.openxmlformats.org/officeDocument/2006/relationships" r:embed="rId2"/>
        <a:stretch>
          <a:fillRect/>
        </a:stretch>
      </xdr:blipFill>
      <xdr:spPr>
        <a:xfrm>
          <a:off x="552450" y="50072925"/>
          <a:ext cx="11619048" cy="4980953"/>
        </a:xfrm>
        <a:prstGeom prst="rect">
          <a:avLst/>
        </a:prstGeom>
      </xdr:spPr>
    </xdr:pic>
    <xdr:clientData/>
  </xdr:twoCellAnchor>
  <xdr:twoCellAnchor>
    <xdr:from>
      <xdr:col>13</xdr:col>
      <xdr:colOff>0</xdr:colOff>
      <xdr:row>385</xdr:row>
      <xdr:rowOff>0</xdr:rowOff>
    </xdr:from>
    <xdr:to>
      <xdr:col>15</xdr:col>
      <xdr:colOff>800100</xdr:colOff>
      <xdr:row>385</xdr:row>
      <xdr:rowOff>219075</xdr:rowOff>
    </xdr:to>
    <xdr:pic>
      <xdr:nvPicPr>
        <xdr:cNvPr id="9" name="Picture 3" descr="sospms">
          <a:extLst>
            <a:ext uri="{FF2B5EF4-FFF2-40B4-BE49-F238E27FC236}">
              <a16:creationId xmlns:a16="http://schemas.microsoft.com/office/drawing/2014/main" id="{00000000-0008-0000-1100-000009000000}"/>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0" y="7905750"/>
          <a:ext cx="1466850" cy="2190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437029</xdr:colOff>
      <xdr:row>393</xdr:row>
      <xdr:rowOff>112059</xdr:rowOff>
    </xdr:from>
    <xdr:to>
      <xdr:col>3</xdr:col>
      <xdr:colOff>3294530</xdr:colOff>
      <xdr:row>423</xdr:row>
      <xdr:rowOff>104141</xdr:rowOff>
    </xdr:to>
    <xdr:pic>
      <xdr:nvPicPr>
        <xdr:cNvPr id="10" name="Picture 9">
          <a:extLst>
            <a:ext uri="{FF2B5EF4-FFF2-40B4-BE49-F238E27FC236}">
              <a16:creationId xmlns:a16="http://schemas.microsoft.com/office/drawing/2014/main" id="{00000000-0008-0000-1100-00000A000000}"/>
            </a:ext>
          </a:extLst>
        </xdr:cNvPr>
        <xdr:cNvPicPr>
          <a:picLocks noChangeAspect="1" noChangeArrowheads="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1042147" y="65845765"/>
          <a:ext cx="5871883" cy="4698552"/>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5.xml><?xml version="1.0" encoding="utf-8"?>
<xdr:wsDr xmlns:xdr="http://schemas.openxmlformats.org/drawingml/2006/spreadsheetDrawing" xmlns:a="http://schemas.openxmlformats.org/drawingml/2006/main">
  <xdr:twoCellAnchor>
    <xdr:from>
      <xdr:col>0</xdr:col>
      <xdr:colOff>38100</xdr:colOff>
      <xdr:row>63</xdr:row>
      <xdr:rowOff>66675</xdr:rowOff>
    </xdr:from>
    <xdr:to>
      <xdr:col>5</xdr:col>
      <xdr:colOff>342900</xdr:colOff>
      <xdr:row>64</xdr:row>
      <xdr:rowOff>47625</xdr:rowOff>
    </xdr:to>
    <xdr:pic>
      <xdr:nvPicPr>
        <xdr:cNvPr id="2" name="Picture 7">
          <a:extLst>
            <a:ext uri="{FF2B5EF4-FFF2-40B4-BE49-F238E27FC236}">
              <a16:creationId xmlns:a16="http://schemas.microsoft.com/office/drawing/2014/main" id="{00000000-0008-0000-1500-00000200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38100" y="5286375"/>
          <a:ext cx="1038225" cy="1714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0</xdr:col>
      <xdr:colOff>76200</xdr:colOff>
      <xdr:row>139</xdr:row>
      <xdr:rowOff>19050</xdr:rowOff>
    </xdr:from>
    <xdr:to>
      <xdr:col>5</xdr:col>
      <xdr:colOff>0</xdr:colOff>
      <xdr:row>140</xdr:row>
      <xdr:rowOff>28575</xdr:rowOff>
    </xdr:to>
    <xdr:pic>
      <xdr:nvPicPr>
        <xdr:cNvPr id="3" name="Picture 7">
          <a:extLst>
            <a:ext uri="{FF2B5EF4-FFF2-40B4-BE49-F238E27FC236}">
              <a16:creationId xmlns:a16="http://schemas.microsoft.com/office/drawing/2014/main" id="{00000000-0008-0000-1500-00000300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76200" y="9782175"/>
          <a:ext cx="676275" cy="1714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mc:AlternateContent xmlns:mc="http://schemas.openxmlformats.org/markup-compatibility/2006">
    <mc:Choice xmlns:a14="http://schemas.microsoft.com/office/drawing/2010/main" Requires="a14">
      <xdr:twoCellAnchor editAs="oneCell">
        <xdr:from>
          <xdr:col>1</xdr:col>
          <xdr:colOff>0</xdr:colOff>
          <xdr:row>208</xdr:row>
          <xdr:rowOff>99060</xdr:rowOff>
        </xdr:from>
        <xdr:to>
          <xdr:col>3</xdr:col>
          <xdr:colOff>68580</xdr:colOff>
          <xdr:row>210</xdr:row>
          <xdr:rowOff>30480</xdr:rowOff>
        </xdr:to>
        <xdr:sp macro="" textlink="">
          <xdr:nvSpPr>
            <xdr:cNvPr id="619521" name="Bild 2" hidden="1">
              <a:extLst>
                <a:ext uri="{63B3BB69-23CF-44E3-9099-C40C66FF867C}">
                  <a14:compatExt spid="_x0000_s619521"/>
                </a:ext>
                <a:ext uri="{FF2B5EF4-FFF2-40B4-BE49-F238E27FC236}">
                  <a16:creationId xmlns:a16="http://schemas.microsoft.com/office/drawing/2014/main" id="{00000000-0008-0000-1500-000001740900}"/>
                </a:ext>
              </a:extLst>
            </xdr:cNvPr>
            <xdr:cNvSpPr/>
          </xdr:nvSpPr>
          <xdr:spPr bwMode="auto">
            <a:xfrm>
              <a:off x="0" y="0"/>
              <a:ext cx="0" cy="0"/>
            </a:xfrm>
            <a:prstGeom prst="rect">
              <a:avLst/>
            </a:prstGeom>
            <a:solidFill>
              <a:srgbClr val="FFFFFF" mc:Ignorable="a14" a14:legacySpreadsheetColorIndex="65"/>
            </a:solidFill>
            <a:ln>
              <a:noFill/>
            </a:ln>
            <a:extLs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0</xdr:colOff>
          <xdr:row>235</xdr:row>
          <xdr:rowOff>76200</xdr:rowOff>
        </xdr:from>
        <xdr:to>
          <xdr:col>3</xdr:col>
          <xdr:colOff>68580</xdr:colOff>
          <xdr:row>237</xdr:row>
          <xdr:rowOff>0</xdr:rowOff>
        </xdr:to>
        <xdr:sp macro="" textlink="">
          <xdr:nvSpPr>
            <xdr:cNvPr id="619522" name="Object 2" hidden="1">
              <a:extLst>
                <a:ext uri="{63B3BB69-23CF-44E3-9099-C40C66FF867C}">
                  <a14:compatExt spid="_x0000_s619522"/>
                </a:ext>
                <a:ext uri="{FF2B5EF4-FFF2-40B4-BE49-F238E27FC236}">
                  <a16:creationId xmlns:a16="http://schemas.microsoft.com/office/drawing/2014/main" id="{00000000-0008-0000-1500-000002740900}"/>
                </a:ext>
              </a:extLst>
            </xdr:cNvPr>
            <xdr:cNvSpPr/>
          </xdr:nvSpPr>
          <xdr:spPr bwMode="auto">
            <a:xfrm>
              <a:off x="0" y="0"/>
              <a:ext cx="0" cy="0"/>
            </a:xfrm>
            <a:prstGeom prst="rect">
              <a:avLst/>
            </a:prstGeom>
            <a:solidFill>
              <a:srgbClr val="FFFFFF" mc:Ignorable="a14" a14:legacySpreadsheetColorIndex="65"/>
            </a:solidFill>
            <a:ln>
              <a:noFill/>
            </a:ln>
            <a:extLs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xdr:wsDr>
</file>

<file path=xl/drawings/drawing6.xml><?xml version="1.0" encoding="utf-8"?>
<xdr:wsDr xmlns:xdr="http://schemas.openxmlformats.org/drawingml/2006/spreadsheetDrawing" xmlns:a="http://schemas.openxmlformats.org/drawingml/2006/main">
  <xdr:twoCellAnchor>
    <xdr:from>
      <xdr:col>0</xdr:col>
      <xdr:colOff>0</xdr:colOff>
      <xdr:row>117</xdr:row>
      <xdr:rowOff>123825</xdr:rowOff>
    </xdr:from>
    <xdr:to>
      <xdr:col>8</xdr:col>
      <xdr:colOff>523875</xdr:colOff>
      <xdr:row>123</xdr:row>
      <xdr:rowOff>19050</xdr:rowOff>
    </xdr:to>
    <xdr:sp macro="" textlink="">
      <xdr:nvSpPr>
        <xdr:cNvPr id="2" name="Text Box 5">
          <a:extLst>
            <a:ext uri="{FF2B5EF4-FFF2-40B4-BE49-F238E27FC236}">
              <a16:creationId xmlns:a16="http://schemas.microsoft.com/office/drawing/2014/main" id="{00000000-0008-0000-1700-000002000000}"/>
            </a:ext>
          </a:extLst>
        </xdr:cNvPr>
        <xdr:cNvSpPr txBox="1">
          <a:spLocks noChangeArrowheads="1"/>
        </xdr:cNvSpPr>
      </xdr:nvSpPr>
      <xdr:spPr bwMode="auto">
        <a:xfrm>
          <a:off x="0" y="18849975"/>
          <a:ext cx="8467725" cy="866775"/>
        </a:xfrm>
        <a:prstGeom prst="rect">
          <a:avLst/>
        </a:prstGeom>
        <a:solidFill>
          <a:srgbClr val="FFFFFF"/>
        </a:solidFill>
        <a:ln w="9525">
          <a:solidFill>
            <a:srgbClr val="000000"/>
          </a:solidFill>
          <a:miter lim="800000"/>
          <a:headEnd/>
          <a:tailEnd/>
        </a:ln>
      </xdr:spPr>
      <xdr:txBody>
        <a:bodyPr vertOverflow="clip" wrap="square" lIns="27432" tIns="22860" rIns="0" bIns="0" anchor="t" upright="1"/>
        <a:lstStyle/>
        <a:p>
          <a:pPr algn="l" rtl="1">
            <a:defRPr sz="1000"/>
          </a:pPr>
          <a:r>
            <a:rPr lang="sv-SE" sz="1000" b="0" i="0" strike="noStrike">
              <a:solidFill>
                <a:srgbClr val="000000"/>
              </a:solidFill>
              <a:latin typeface="Arial"/>
              <a:cs typeface="Arial"/>
            </a:rPr>
            <a:t>Uppgifterna i tabellen baseras på olika källor. Dessa finns beskrivna i SIKA PM 2004:7 Transportarbetets utveckling.</a:t>
          </a:r>
        </a:p>
        <a:p>
          <a:pPr algn="l" rtl="1">
            <a:defRPr sz="1000"/>
          </a:pPr>
          <a:r>
            <a:rPr lang="sv-SE" sz="1000" b="0" i="0" strike="noStrike">
              <a:solidFill>
                <a:srgbClr val="000000"/>
              </a:solidFill>
              <a:latin typeface="Arial"/>
              <a:cs typeface="Arial"/>
            </a:rPr>
            <a:t>I totaluppgiften ingår samtliga trafikslag. Uppgifter om transportarbetet finns inte tillgängliga för inrikes luftfart  före år 1957, för spårvägstrafik före 1996 och för färjetrafiken före år 2000. </a:t>
          </a:r>
        </a:p>
        <a:p>
          <a:pPr algn="l" rtl="1">
            <a:defRPr sz="1000"/>
          </a:pPr>
          <a:endParaRPr lang="sv-SE" sz="1000" b="1" i="0" strike="noStrike">
            <a:solidFill>
              <a:srgbClr val="000000"/>
            </a:solidFill>
            <a:latin typeface="Arial"/>
            <a:cs typeface="Arial"/>
          </a:endParaRPr>
        </a:p>
        <a:p>
          <a:pPr algn="l" rtl="1">
            <a:defRPr sz="1000"/>
          </a:pPr>
          <a:endParaRPr lang="sv-SE" sz="1000" b="1" i="0" strike="noStrike">
            <a:solidFill>
              <a:srgbClr val="000000"/>
            </a:solidFill>
            <a:latin typeface="Arial"/>
            <a:cs typeface="Arial"/>
          </a:endParaRPr>
        </a:p>
      </xdr:txBody>
    </xdr:sp>
    <xdr:clientData/>
  </xdr:twoCellAnchor>
  <xdr:twoCellAnchor>
    <xdr:from>
      <xdr:col>0</xdr:col>
      <xdr:colOff>38100</xdr:colOff>
      <xdr:row>196</xdr:row>
      <xdr:rowOff>152399</xdr:rowOff>
    </xdr:from>
    <xdr:to>
      <xdr:col>7</xdr:col>
      <xdr:colOff>609600</xdr:colOff>
      <xdr:row>203</xdr:row>
      <xdr:rowOff>76199</xdr:rowOff>
    </xdr:to>
    <xdr:sp macro="" textlink="">
      <xdr:nvSpPr>
        <xdr:cNvPr id="3" name="textruta 10">
          <a:extLst>
            <a:ext uri="{FF2B5EF4-FFF2-40B4-BE49-F238E27FC236}">
              <a16:creationId xmlns:a16="http://schemas.microsoft.com/office/drawing/2014/main" id="{00000000-0008-0000-1700-000003000000}"/>
            </a:ext>
          </a:extLst>
        </xdr:cNvPr>
        <xdr:cNvSpPr txBox="1"/>
      </xdr:nvSpPr>
      <xdr:spPr>
        <a:xfrm>
          <a:off x="38100" y="32413574"/>
          <a:ext cx="7629525" cy="105727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sv-SE" sz="1100"/>
            <a:t>Uppgifterna i tabellen baseras på olika</a:t>
          </a:r>
          <a:r>
            <a:rPr lang="sv-SE" sz="1100" baseline="0"/>
            <a:t> källor. Dessa finns beskrivna i SIKA PM 2004:7 </a:t>
          </a:r>
          <a:r>
            <a:rPr lang="sv-SE" sz="1100" i="1" baseline="0"/>
            <a:t>Transportarbetets utveckling</a:t>
          </a:r>
          <a:r>
            <a:rPr lang="sv-SE" sz="1100" baseline="0"/>
            <a:t>. </a:t>
          </a:r>
        </a:p>
        <a:p>
          <a:r>
            <a:rPr lang="sv-SE" sz="1100" baseline="0"/>
            <a:t>I totaluppgiften ingår samtliga trafikslag. För luftfart finns data endast för inrikes transporter och bara med början 2008. Godstransportarbetet med luftfart har endast marginell betydelse för helheten.</a:t>
          </a:r>
          <a:endParaRPr lang="sv-SE" sz="1100"/>
        </a:p>
      </xdr:txBody>
    </xdr:sp>
    <xdr:clientData/>
  </xdr:twoCellAnchor>
  <xdr:twoCellAnchor editAs="oneCell">
    <xdr:from>
      <xdr:col>9</xdr:col>
      <xdr:colOff>11206</xdr:colOff>
      <xdr:row>163</xdr:row>
      <xdr:rowOff>33619</xdr:rowOff>
    </xdr:from>
    <xdr:to>
      <xdr:col>18</xdr:col>
      <xdr:colOff>546287</xdr:colOff>
      <xdr:row>180</xdr:row>
      <xdr:rowOff>52669</xdr:rowOff>
    </xdr:to>
    <xdr:pic>
      <xdr:nvPicPr>
        <xdr:cNvPr id="4" name="Picture 3">
          <a:extLst>
            <a:ext uri="{FF2B5EF4-FFF2-40B4-BE49-F238E27FC236}">
              <a16:creationId xmlns:a16="http://schemas.microsoft.com/office/drawing/2014/main" id="{00000000-0008-0000-1700-000004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840881" y="26903644"/>
          <a:ext cx="6269131" cy="2759528"/>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444</xdr:row>
      <xdr:rowOff>100293</xdr:rowOff>
    </xdr:from>
    <xdr:to>
      <xdr:col>1</xdr:col>
      <xdr:colOff>95250</xdr:colOff>
      <xdr:row>446</xdr:row>
      <xdr:rowOff>19610</xdr:rowOff>
    </xdr:to>
    <xdr:pic>
      <xdr:nvPicPr>
        <xdr:cNvPr id="5" name="Picture 4">
          <a:extLst>
            <a:ext uri="{FF2B5EF4-FFF2-40B4-BE49-F238E27FC236}">
              <a16:creationId xmlns:a16="http://schemas.microsoft.com/office/drawing/2014/main" id="{00000000-0008-0000-1700-000005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0" y="72557528"/>
          <a:ext cx="1585632" cy="233082"/>
        </a:xfrm>
        <a:prstGeom prst="rect">
          <a:avLst/>
        </a:prstGeom>
        <a:solidFill>
          <a:srgbClr val="FFFFFF"/>
        </a:solidFill>
        <a:ln>
          <a:noFill/>
        </a:ln>
        <a:extLst>
          <a:ext uri="{91240B29-F687-4F45-9708-019B960494DF}">
            <a14:hiddenLine xmlns:a14="http://schemas.microsoft.com/office/drawing/2010/main" w="9525">
              <a:solidFill>
                <a:srgbClr val="000000"/>
              </a:solidFill>
              <a:miter lim="800000"/>
              <a:headEnd/>
              <a:tailEnd/>
            </a14:hiddenLine>
          </a:ext>
        </a:extLst>
      </xdr:spPr>
    </xdr:pic>
    <xdr:clientData/>
  </xdr:twoCellAnchor>
  <mc:AlternateContent xmlns:mc="http://schemas.openxmlformats.org/markup-compatibility/2006">
    <mc:Choice xmlns:a14="http://schemas.microsoft.com/office/drawing/2010/main" Requires="a14">
      <xdr:twoCellAnchor editAs="oneCell">
        <xdr:from>
          <xdr:col>0</xdr:col>
          <xdr:colOff>45720</xdr:colOff>
          <xdr:row>459</xdr:row>
          <xdr:rowOff>60960</xdr:rowOff>
        </xdr:from>
        <xdr:to>
          <xdr:col>1</xdr:col>
          <xdr:colOff>144780</xdr:colOff>
          <xdr:row>460</xdr:row>
          <xdr:rowOff>137160</xdr:rowOff>
        </xdr:to>
        <xdr:sp macro="" textlink="">
          <xdr:nvSpPr>
            <xdr:cNvPr id="622593" name="Bild 3" hidden="1">
              <a:extLst>
                <a:ext uri="{63B3BB69-23CF-44E3-9099-C40C66FF867C}">
                  <a14:compatExt spid="_x0000_s622593"/>
                </a:ext>
                <a:ext uri="{FF2B5EF4-FFF2-40B4-BE49-F238E27FC236}">
                  <a16:creationId xmlns:a16="http://schemas.microsoft.com/office/drawing/2014/main" id="{00000000-0008-0000-1700-000001800900}"/>
                </a:ext>
              </a:extLst>
            </xdr:cNvPr>
            <xdr:cNvSpPr/>
          </xdr:nvSpPr>
          <xdr:spPr bwMode="auto">
            <a:xfrm>
              <a:off x="0" y="0"/>
              <a:ext cx="0" cy="0"/>
            </a:xfrm>
            <a:prstGeom prst="rect">
              <a:avLst/>
            </a:prstGeom>
            <a:solidFill>
              <a:srgbClr val="FFFFFF" mc:Ignorable="a14" a14:legacySpreadsheetColorIndex="65"/>
            </a:solidFill>
            <a:ln>
              <a:noFill/>
            </a:ln>
            <a:extLs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xdr:wsDr>
</file>

<file path=xl/drawings/drawing7.xml><?xml version="1.0" encoding="utf-8"?>
<xdr:wsDr xmlns:xdr="http://schemas.openxmlformats.org/drawingml/2006/spreadsheetDrawing" xmlns:a="http://schemas.openxmlformats.org/drawingml/2006/main">
  <xdr:twoCellAnchor editAs="oneCell">
    <xdr:from>
      <xdr:col>0</xdr:col>
      <xdr:colOff>47625</xdr:colOff>
      <xdr:row>74</xdr:row>
      <xdr:rowOff>76200</xdr:rowOff>
    </xdr:from>
    <xdr:to>
      <xdr:col>3</xdr:col>
      <xdr:colOff>2623738</xdr:colOff>
      <xdr:row>75</xdr:row>
      <xdr:rowOff>114299</xdr:rowOff>
    </xdr:to>
    <xdr:pic>
      <xdr:nvPicPr>
        <xdr:cNvPr id="2" name="Bildobjekt 3">
          <a:extLst>
            <a:ext uri="{FF2B5EF4-FFF2-40B4-BE49-F238E27FC236}">
              <a16:creationId xmlns:a16="http://schemas.microsoft.com/office/drawing/2014/main" id="{00000000-0008-0000-1800-00000200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47625" y="11887200"/>
          <a:ext cx="1423988" cy="2190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9525</xdr:colOff>
      <xdr:row>181</xdr:row>
      <xdr:rowOff>104775</xdr:rowOff>
    </xdr:from>
    <xdr:to>
      <xdr:col>3</xdr:col>
      <xdr:colOff>604838</xdr:colOff>
      <xdr:row>183</xdr:row>
      <xdr:rowOff>1</xdr:rowOff>
    </xdr:to>
    <xdr:pic>
      <xdr:nvPicPr>
        <xdr:cNvPr id="3" name="Bildobjekt 5">
          <a:extLst>
            <a:ext uri="{FF2B5EF4-FFF2-40B4-BE49-F238E27FC236}">
              <a16:creationId xmlns:a16="http://schemas.microsoft.com/office/drawing/2014/main" id="{00000000-0008-0000-1800-00000300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47625" y="7981950"/>
          <a:ext cx="1423988" cy="2190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9525</xdr:colOff>
      <xdr:row>194</xdr:row>
      <xdr:rowOff>28575</xdr:rowOff>
    </xdr:from>
    <xdr:to>
      <xdr:col>3</xdr:col>
      <xdr:colOff>604838</xdr:colOff>
      <xdr:row>195</xdr:row>
      <xdr:rowOff>66674</xdr:rowOff>
    </xdr:to>
    <xdr:pic>
      <xdr:nvPicPr>
        <xdr:cNvPr id="4" name="Bildobjekt 6">
          <a:extLst>
            <a:ext uri="{FF2B5EF4-FFF2-40B4-BE49-F238E27FC236}">
              <a16:creationId xmlns:a16="http://schemas.microsoft.com/office/drawing/2014/main" id="{00000000-0008-0000-1800-00000400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47625" y="9639300"/>
          <a:ext cx="1423988" cy="2190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9525</xdr:colOff>
      <xdr:row>205</xdr:row>
      <xdr:rowOff>114300</xdr:rowOff>
    </xdr:from>
    <xdr:to>
      <xdr:col>3</xdr:col>
      <xdr:colOff>604838</xdr:colOff>
      <xdr:row>206</xdr:row>
      <xdr:rowOff>152400</xdr:rowOff>
    </xdr:to>
    <xdr:pic>
      <xdr:nvPicPr>
        <xdr:cNvPr id="5" name="Bildobjekt 7">
          <a:extLst>
            <a:ext uri="{FF2B5EF4-FFF2-40B4-BE49-F238E27FC236}">
              <a16:creationId xmlns:a16="http://schemas.microsoft.com/office/drawing/2014/main" id="{00000000-0008-0000-1800-00000500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47625" y="11201400"/>
          <a:ext cx="1423988" cy="2190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38100</xdr:colOff>
      <xdr:row>268</xdr:row>
      <xdr:rowOff>114300</xdr:rowOff>
    </xdr:from>
    <xdr:to>
      <xdr:col>3</xdr:col>
      <xdr:colOff>604838</xdr:colOff>
      <xdr:row>268</xdr:row>
      <xdr:rowOff>198344</xdr:rowOff>
    </xdr:to>
    <xdr:pic>
      <xdr:nvPicPr>
        <xdr:cNvPr id="6" name="Bildobjekt 5">
          <a:extLst>
            <a:ext uri="{FF2B5EF4-FFF2-40B4-BE49-F238E27FC236}">
              <a16:creationId xmlns:a16="http://schemas.microsoft.com/office/drawing/2014/main" id="{00000000-0008-0000-1800-00000600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38100" y="6334125"/>
          <a:ext cx="1423988" cy="2190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47625</xdr:colOff>
      <xdr:row>285</xdr:row>
      <xdr:rowOff>114300</xdr:rowOff>
    </xdr:from>
    <xdr:to>
      <xdr:col>3</xdr:col>
      <xdr:colOff>604838</xdr:colOff>
      <xdr:row>287</xdr:row>
      <xdr:rowOff>9525</xdr:rowOff>
    </xdr:to>
    <xdr:pic>
      <xdr:nvPicPr>
        <xdr:cNvPr id="7" name="Bildobjekt 6">
          <a:extLst>
            <a:ext uri="{FF2B5EF4-FFF2-40B4-BE49-F238E27FC236}">
              <a16:creationId xmlns:a16="http://schemas.microsoft.com/office/drawing/2014/main" id="{00000000-0008-0000-1800-00000700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47625" y="8677275"/>
          <a:ext cx="1423988" cy="2190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47625</xdr:colOff>
      <xdr:row>302</xdr:row>
      <xdr:rowOff>114300</xdr:rowOff>
    </xdr:from>
    <xdr:to>
      <xdr:col>3</xdr:col>
      <xdr:colOff>604838</xdr:colOff>
      <xdr:row>304</xdr:row>
      <xdr:rowOff>9525</xdr:rowOff>
    </xdr:to>
    <xdr:pic>
      <xdr:nvPicPr>
        <xdr:cNvPr id="8" name="Bildobjekt 7">
          <a:extLst>
            <a:ext uri="{FF2B5EF4-FFF2-40B4-BE49-F238E27FC236}">
              <a16:creationId xmlns:a16="http://schemas.microsoft.com/office/drawing/2014/main" id="{00000000-0008-0000-1800-00000800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47625" y="10991850"/>
          <a:ext cx="1423988" cy="2190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47625</xdr:colOff>
      <xdr:row>329</xdr:row>
      <xdr:rowOff>114300</xdr:rowOff>
    </xdr:from>
    <xdr:to>
      <xdr:col>3</xdr:col>
      <xdr:colOff>604838</xdr:colOff>
      <xdr:row>330</xdr:row>
      <xdr:rowOff>104775</xdr:rowOff>
    </xdr:to>
    <xdr:pic>
      <xdr:nvPicPr>
        <xdr:cNvPr id="9" name="Bildobjekt 5">
          <a:extLst>
            <a:ext uri="{FF2B5EF4-FFF2-40B4-BE49-F238E27FC236}">
              <a16:creationId xmlns:a16="http://schemas.microsoft.com/office/drawing/2014/main" id="{00000000-0008-0000-1800-00000900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47625" y="2181225"/>
          <a:ext cx="1423988" cy="2190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47625</xdr:colOff>
      <xdr:row>343</xdr:row>
      <xdr:rowOff>104775</xdr:rowOff>
    </xdr:from>
    <xdr:to>
      <xdr:col>3</xdr:col>
      <xdr:colOff>604838</xdr:colOff>
      <xdr:row>344</xdr:row>
      <xdr:rowOff>95250</xdr:rowOff>
    </xdr:to>
    <xdr:pic>
      <xdr:nvPicPr>
        <xdr:cNvPr id="10" name="Bildobjekt 6">
          <a:extLst>
            <a:ext uri="{FF2B5EF4-FFF2-40B4-BE49-F238E27FC236}">
              <a16:creationId xmlns:a16="http://schemas.microsoft.com/office/drawing/2014/main" id="{00000000-0008-0000-1800-00000A00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47625" y="4352925"/>
          <a:ext cx="1423988" cy="2190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47625</xdr:colOff>
      <xdr:row>357</xdr:row>
      <xdr:rowOff>114300</xdr:rowOff>
    </xdr:from>
    <xdr:to>
      <xdr:col>3</xdr:col>
      <xdr:colOff>604838</xdr:colOff>
      <xdr:row>359</xdr:row>
      <xdr:rowOff>9525</xdr:rowOff>
    </xdr:to>
    <xdr:pic>
      <xdr:nvPicPr>
        <xdr:cNvPr id="11" name="Bildobjekt 7">
          <a:extLst>
            <a:ext uri="{FF2B5EF4-FFF2-40B4-BE49-F238E27FC236}">
              <a16:creationId xmlns:a16="http://schemas.microsoft.com/office/drawing/2014/main" id="{00000000-0008-0000-1800-00000B00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47625" y="6543675"/>
          <a:ext cx="1423988" cy="2190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47625</xdr:colOff>
      <xdr:row>438</xdr:row>
      <xdr:rowOff>95250</xdr:rowOff>
    </xdr:from>
    <xdr:to>
      <xdr:col>3</xdr:col>
      <xdr:colOff>604838</xdr:colOff>
      <xdr:row>439</xdr:row>
      <xdr:rowOff>152400</xdr:rowOff>
    </xdr:to>
    <xdr:pic>
      <xdr:nvPicPr>
        <xdr:cNvPr id="12" name="Bildobjekt 9">
          <a:extLst>
            <a:ext uri="{FF2B5EF4-FFF2-40B4-BE49-F238E27FC236}">
              <a16:creationId xmlns:a16="http://schemas.microsoft.com/office/drawing/2014/main" id="{00000000-0008-0000-1800-00000C00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47625" y="9591675"/>
          <a:ext cx="1423988" cy="2190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8.xml><?xml version="1.0" encoding="utf-8"?>
<xdr:wsDr xmlns:xdr="http://schemas.openxmlformats.org/drawingml/2006/spreadsheetDrawing" xmlns:a="http://schemas.openxmlformats.org/drawingml/2006/main">
  <xdr:twoCellAnchor editAs="oneCell">
    <xdr:from>
      <xdr:col>14</xdr:col>
      <xdr:colOff>514350</xdr:colOff>
      <xdr:row>80</xdr:row>
      <xdr:rowOff>123825</xdr:rowOff>
    </xdr:from>
    <xdr:to>
      <xdr:col>24</xdr:col>
      <xdr:colOff>523875</xdr:colOff>
      <xdr:row>100</xdr:row>
      <xdr:rowOff>47622</xdr:rowOff>
    </xdr:to>
    <xdr:pic>
      <xdr:nvPicPr>
        <xdr:cNvPr id="2" name="Picture 1">
          <a:extLst>
            <a:ext uri="{FF2B5EF4-FFF2-40B4-BE49-F238E27FC236}">
              <a16:creationId xmlns:a16="http://schemas.microsoft.com/office/drawing/2014/main" id="{00000000-0008-0000-1C00-000002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305925" y="14420850"/>
          <a:ext cx="7800975" cy="32861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9.xml><?xml version="1.0" encoding="utf-8"?>
<xdr:wsDr xmlns:xdr="http://schemas.openxmlformats.org/drawingml/2006/spreadsheetDrawing" xmlns:a="http://schemas.openxmlformats.org/drawingml/2006/main">
  <xdr:twoCellAnchor>
    <xdr:from>
      <xdr:col>34</xdr:col>
      <xdr:colOff>30480</xdr:colOff>
      <xdr:row>66</xdr:row>
      <xdr:rowOff>38100</xdr:rowOff>
    </xdr:from>
    <xdr:to>
      <xdr:col>41</xdr:col>
      <xdr:colOff>365760</xdr:colOff>
      <xdr:row>68</xdr:row>
      <xdr:rowOff>15240</xdr:rowOff>
    </xdr:to>
    <xdr:sp macro="" textlink="">
      <xdr:nvSpPr>
        <xdr:cNvPr id="2" name="TextBox 1">
          <a:extLst>
            <a:ext uri="{FF2B5EF4-FFF2-40B4-BE49-F238E27FC236}">
              <a16:creationId xmlns:a16="http://schemas.microsoft.com/office/drawing/2014/main" id="{00000000-0008-0000-1E00-000002000000}"/>
            </a:ext>
          </a:extLst>
        </xdr:cNvPr>
        <xdr:cNvSpPr txBox="1"/>
      </xdr:nvSpPr>
      <xdr:spPr>
        <a:xfrm>
          <a:off x="19909155" y="2781300"/>
          <a:ext cx="4602480" cy="35814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GB" sz="1100"/>
            <a:t>http://www.cycling-embassy.dk/facts-about-cycling-in-denmark/statistics/</a:t>
          </a:r>
        </a:p>
      </xdr:txBody>
    </xdr:sp>
    <xdr:clientData/>
  </xdr:twoCellAnchor>
  <xdr:twoCellAnchor editAs="oneCell">
    <xdr:from>
      <xdr:col>0</xdr:col>
      <xdr:colOff>152400</xdr:colOff>
      <xdr:row>24</xdr:row>
      <xdr:rowOff>171450</xdr:rowOff>
    </xdr:from>
    <xdr:to>
      <xdr:col>8</xdr:col>
      <xdr:colOff>751579</xdr:colOff>
      <xdr:row>51</xdr:row>
      <xdr:rowOff>8949</xdr:rowOff>
    </xdr:to>
    <xdr:pic>
      <xdr:nvPicPr>
        <xdr:cNvPr id="3" name="Picture 2">
          <a:extLst>
            <a:ext uri="{FF2B5EF4-FFF2-40B4-BE49-F238E27FC236}">
              <a16:creationId xmlns:a16="http://schemas.microsoft.com/office/drawing/2014/main" id="{00000000-0008-0000-1E00-000003000000}"/>
            </a:ext>
          </a:extLst>
        </xdr:cNvPr>
        <xdr:cNvPicPr>
          <a:picLocks noChangeAspect="1"/>
        </xdr:cNvPicPr>
      </xdr:nvPicPr>
      <xdr:blipFill>
        <a:blip xmlns:r="http://schemas.openxmlformats.org/officeDocument/2006/relationships" r:embed="rId1"/>
        <a:stretch>
          <a:fillRect/>
        </a:stretch>
      </xdr:blipFill>
      <xdr:spPr>
        <a:xfrm>
          <a:off x="152400" y="4743450"/>
          <a:ext cx="7171429" cy="4609524"/>
        </a:xfrm>
        <a:prstGeom prst="rect">
          <a:avLst/>
        </a:prstGeom>
      </xdr:spPr>
    </xdr:pic>
    <xdr:clientData/>
  </xdr:twoCellAnchor>
</xdr:wsDr>
</file>

<file path=xl/drawings/drawing10.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0</xdr:col>
          <xdr:colOff>38100</xdr:colOff>
          <xdr:row>25</xdr:row>
          <xdr:rowOff>22860</xdr:rowOff>
        </xdr:from>
        <xdr:to>
          <xdr:col>1</xdr:col>
          <xdr:colOff>403860</xdr:colOff>
          <xdr:row>26</xdr:row>
          <xdr:rowOff>99060</xdr:rowOff>
        </xdr:to>
        <xdr:sp macro="" textlink="">
          <xdr:nvSpPr>
            <xdr:cNvPr id="521217" name="Bild 4" hidden="1">
              <a:extLst>
                <a:ext uri="{63B3BB69-23CF-44E3-9099-C40C66FF867C}">
                  <a14:compatExt spid="_x0000_s521217"/>
                </a:ext>
                <a:ext uri="{FF2B5EF4-FFF2-40B4-BE49-F238E27FC236}">
                  <a16:creationId xmlns:a16="http://schemas.microsoft.com/office/drawing/2014/main" id="{00000000-0008-0000-1F00-000001F40700}"/>
                </a:ext>
              </a:extLst>
            </xdr:cNvPr>
            <xdr:cNvSpPr/>
          </xdr:nvSpPr>
          <xdr:spPr bwMode="auto">
            <a:xfrm>
              <a:off x="0" y="0"/>
              <a:ext cx="0" cy="0"/>
            </a:xfrm>
            <a:prstGeom prst="rect">
              <a:avLst/>
            </a:prstGeom>
            <a:solidFill>
              <a:srgbClr val="FFFFFF" mc:Ignorable="a14" a14:legacySpreadsheetColorIndex="65"/>
            </a:solidFill>
            <a:ln>
              <a:noFill/>
            </a:ln>
            <a:extLs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0</xdr:col>
          <xdr:colOff>68580</xdr:colOff>
          <xdr:row>54</xdr:row>
          <xdr:rowOff>22860</xdr:rowOff>
        </xdr:from>
        <xdr:to>
          <xdr:col>1</xdr:col>
          <xdr:colOff>426720</xdr:colOff>
          <xdr:row>55</xdr:row>
          <xdr:rowOff>99060</xdr:rowOff>
        </xdr:to>
        <xdr:sp macro="" textlink="">
          <xdr:nvSpPr>
            <xdr:cNvPr id="521218" name="Bild 1" hidden="1">
              <a:extLst>
                <a:ext uri="{63B3BB69-23CF-44E3-9099-C40C66FF867C}">
                  <a14:compatExt spid="_x0000_s521218"/>
                </a:ext>
                <a:ext uri="{FF2B5EF4-FFF2-40B4-BE49-F238E27FC236}">
                  <a16:creationId xmlns:a16="http://schemas.microsoft.com/office/drawing/2014/main" id="{00000000-0008-0000-1F00-000002F40700}"/>
                </a:ext>
              </a:extLst>
            </xdr:cNvPr>
            <xdr:cNvSpPr/>
          </xdr:nvSpPr>
          <xdr:spPr bwMode="auto">
            <a:xfrm>
              <a:off x="0" y="0"/>
              <a:ext cx="0" cy="0"/>
            </a:xfrm>
            <a:prstGeom prst="rect">
              <a:avLst/>
            </a:prstGeom>
            <a:solidFill>
              <a:srgbClr val="FFFFFF" mc:Ignorable="a14" a14:legacySpreadsheetColorIndex="65"/>
            </a:solidFill>
            <a:ln>
              <a:noFill/>
            </a:ln>
            <a:extLs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xdr:wsDr>
</file>

<file path=xl/drawings/drawing11.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0</xdr:col>
          <xdr:colOff>38100</xdr:colOff>
          <xdr:row>332</xdr:row>
          <xdr:rowOff>121920</xdr:rowOff>
        </xdr:from>
        <xdr:to>
          <xdr:col>1</xdr:col>
          <xdr:colOff>1249680</xdr:colOff>
          <xdr:row>334</xdr:row>
          <xdr:rowOff>45720</xdr:rowOff>
        </xdr:to>
        <xdr:sp macro="" textlink="">
          <xdr:nvSpPr>
            <xdr:cNvPr id="517121" name="Object 1" hidden="1">
              <a:extLst>
                <a:ext uri="{63B3BB69-23CF-44E3-9099-C40C66FF867C}">
                  <a14:compatExt spid="_x0000_s517121"/>
                </a:ext>
                <a:ext uri="{FF2B5EF4-FFF2-40B4-BE49-F238E27FC236}">
                  <a16:creationId xmlns:a16="http://schemas.microsoft.com/office/drawing/2014/main" id="{00000000-0008-0000-2000-000001E40700}"/>
                </a:ext>
              </a:extLst>
            </xdr:cNvPr>
            <xdr:cNvSpPr/>
          </xdr:nvSpPr>
          <xdr:spPr bwMode="auto">
            <a:xfrm>
              <a:off x="0" y="0"/>
              <a:ext cx="0" cy="0"/>
            </a:xfrm>
            <a:prstGeom prst="rect">
              <a:avLst/>
            </a:prstGeom>
            <a:solidFill>
              <a:srgbClr val="FFFFFF" mc:Ignorable="a14" a14:legacySpreadsheetColorIndex="65"/>
            </a:solidFill>
            <a:ln>
              <a:noFill/>
            </a:ln>
            <a:extLs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xdr:twoCellAnchor editAs="oneCell">
    <xdr:from>
      <xdr:col>0</xdr:col>
      <xdr:colOff>38100</xdr:colOff>
      <xdr:row>363</xdr:row>
      <xdr:rowOff>66675</xdr:rowOff>
    </xdr:from>
    <xdr:to>
      <xdr:col>1</xdr:col>
      <xdr:colOff>133350</xdr:colOff>
      <xdr:row>364</xdr:row>
      <xdr:rowOff>142875</xdr:rowOff>
    </xdr:to>
    <xdr:pic>
      <xdr:nvPicPr>
        <xdr:cNvPr id="3" name="Picture 2">
          <a:extLst>
            <a:ext uri="{FF2B5EF4-FFF2-40B4-BE49-F238E27FC236}">
              <a16:creationId xmlns:a16="http://schemas.microsoft.com/office/drawing/2014/main" id="{00000000-0008-0000-2000-000003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38100" y="3790950"/>
          <a:ext cx="1143000" cy="238125"/>
        </a:xfrm>
        <a:prstGeom prst="rect">
          <a:avLst/>
        </a:prstGeom>
        <a:solidFill>
          <a:srgbClr val="FFFFFF"/>
        </a:solidFill>
        <a:ln>
          <a:noFill/>
        </a:ln>
        <a:extLst>
          <a:ext uri="{91240B29-F687-4F45-9708-019B960494DF}">
            <a14:hiddenLine xmlns:a14="http://schemas.microsoft.com/office/drawing/2010/main" w="9525">
              <a:solidFill>
                <a:srgbClr val="000000"/>
              </a:solidFill>
              <a:miter lim="800000"/>
              <a:headEnd/>
              <a:tailEnd/>
            </a14:hiddenLine>
          </a:ext>
        </a:extLst>
      </xdr:spPr>
    </xdr:pic>
    <xdr:clientData/>
  </xdr:twoCellAnchor>
  <mc:AlternateContent xmlns:mc="http://schemas.openxmlformats.org/markup-compatibility/2006">
    <mc:Choice xmlns:a14="http://schemas.microsoft.com/office/drawing/2010/main" Requires="a14">
      <xdr:twoCellAnchor editAs="oneCell">
        <xdr:from>
          <xdr:col>0</xdr:col>
          <xdr:colOff>45720</xdr:colOff>
          <xdr:row>380</xdr:row>
          <xdr:rowOff>60960</xdr:rowOff>
        </xdr:from>
        <xdr:to>
          <xdr:col>1</xdr:col>
          <xdr:colOff>144780</xdr:colOff>
          <xdr:row>381</xdr:row>
          <xdr:rowOff>137160</xdr:rowOff>
        </xdr:to>
        <xdr:sp macro="" textlink="">
          <xdr:nvSpPr>
            <xdr:cNvPr id="517122" name="Bild 3" hidden="1">
              <a:extLst>
                <a:ext uri="{63B3BB69-23CF-44E3-9099-C40C66FF867C}">
                  <a14:compatExt spid="_x0000_s517122"/>
                </a:ext>
                <a:ext uri="{FF2B5EF4-FFF2-40B4-BE49-F238E27FC236}">
                  <a16:creationId xmlns:a16="http://schemas.microsoft.com/office/drawing/2014/main" id="{00000000-0008-0000-2000-000002E40700}"/>
                </a:ext>
              </a:extLst>
            </xdr:cNvPr>
            <xdr:cNvSpPr/>
          </xdr:nvSpPr>
          <xdr:spPr bwMode="auto">
            <a:xfrm>
              <a:off x="0" y="0"/>
              <a:ext cx="0" cy="0"/>
            </a:xfrm>
            <a:prstGeom prst="rect">
              <a:avLst/>
            </a:prstGeom>
            <a:solidFill>
              <a:srgbClr val="FFFFFF" mc:Ignorable="a14" a14:legacySpreadsheetColorIndex="65"/>
            </a:solidFill>
            <a:ln>
              <a:noFill/>
            </a:ln>
            <a:extLs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xdr:wsDr>
</file>

<file path=xl/drawings/drawing12.xml><?xml version="1.0" encoding="utf-8"?>
<xdr:wsDr xmlns:xdr="http://schemas.openxmlformats.org/drawingml/2006/spreadsheetDrawing" xmlns:a="http://schemas.openxmlformats.org/drawingml/2006/main">
  <xdr:twoCellAnchor>
    <xdr:from>
      <xdr:col>0</xdr:col>
      <xdr:colOff>0</xdr:colOff>
      <xdr:row>143</xdr:row>
      <xdr:rowOff>0</xdr:rowOff>
    </xdr:from>
    <xdr:to>
      <xdr:col>2</xdr:col>
      <xdr:colOff>28575</xdr:colOff>
      <xdr:row>144</xdr:row>
      <xdr:rowOff>38100</xdr:rowOff>
    </xdr:to>
    <xdr:pic>
      <xdr:nvPicPr>
        <xdr:cNvPr id="3" name="Picture 1">
          <a:extLst>
            <a:ext uri="{FF2B5EF4-FFF2-40B4-BE49-F238E27FC236}">
              <a16:creationId xmlns:a16="http://schemas.microsoft.com/office/drawing/2014/main" id="{00000000-0008-0000-2100-00000300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0" y="8677275"/>
          <a:ext cx="1190625" cy="1809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0</xdr:col>
      <xdr:colOff>0</xdr:colOff>
      <xdr:row>170</xdr:row>
      <xdr:rowOff>0</xdr:rowOff>
    </xdr:from>
    <xdr:to>
      <xdr:col>3</xdr:col>
      <xdr:colOff>447675</xdr:colOff>
      <xdr:row>171</xdr:row>
      <xdr:rowOff>38100</xdr:rowOff>
    </xdr:to>
    <xdr:pic>
      <xdr:nvPicPr>
        <xdr:cNvPr id="4" name="Picture 1">
          <a:extLst>
            <a:ext uri="{FF2B5EF4-FFF2-40B4-BE49-F238E27FC236}">
              <a16:creationId xmlns:a16="http://schemas.microsoft.com/office/drawing/2014/main" id="{00000000-0008-0000-2100-000004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3295650"/>
          <a:ext cx="1190625" cy="1809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0</xdr:col>
      <xdr:colOff>0</xdr:colOff>
      <xdr:row>237</xdr:row>
      <xdr:rowOff>0</xdr:rowOff>
    </xdr:from>
    <xdr:to>
      <xdr:col>3</xdr:col>
      <xdr:colOff>1323975</xdr:colOff>
      <xdr:row>239</xdr:row>
      <xdr:rowOff>38100</xdr:rowOff>
    </xdr:to>
    <xdr:pic>
      <xdr:nvPicPr>
        <xdr:cNvPr id="5" name="Picture 1">
          <a:extLst>
            <a:ext uri="{FF2B5EF4-FFF2-40B4-BE49-F238E27FC236}">
              <a16:creationId xmlns:a16="http://schemas.microsoft.com/office/drawing/2014/main" id="{00000000-0008-0000-2100-000005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9848850"/>
          <a:ext cx="2066925" cy="3619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0</xdr:col>
      <xdr:colOff>0</xdr:colOff>
      <xdr:row>305</xdr:row>
      <xdr:rowOff>54428</xdr:rowOff>
    </xdr:from>
    <xdr:to>
      <xdr:col>1</xdr:col>
      <xdr:colOff>495300</xdr:colOff>
      <xdr:row>306</xdr:row>
      <xdr:rowOff>92529</xdr:rowOff>
    </xdr:to>
    <xdr:pic>
      <xdr:nvPicPr>
        <xdr:cNvPr id="6" name="Picture 1">
          <a:extLst>
            <a:ext uri="{FF2B5EF4-FFF2-40B4-BE49-F238E27FC236}">
              <a16:creationId xmlns:a16="http://schemas.microsoft.com/office/drawing/2014/main" id="{00000000-0008-0000-2100-00000600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0" y="52877357"/>
          <a:ext cx="1107621" cy="2013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13.xml><?xml version="1.0" encoding="utf-8"?>
<xdr:wsDr xmlns:xdr="http://schemas.openxmlformats.org/drawingml/2006/spreadsheetDrawing" xmlns:a="http://schemas.openxmlformats.org/drawingml/2006/main">
  <xdr:twoCellAnchor editAs="oneCell">
    <xdr:from>
      <xdr:col>0</xdr:col>
      <xdr:colOff>257175</xdr:colOff>
      <xdr:row>143</xdr:row>
      <xdr:rowOff>0</xdr:rowOff>
    </xdr:from>
    <xdr:to>
      <xdr:col>10</xdr:col>
      <xdr:colOff>351064</xdr:colOff>
      <xdr:row>193</xdr:row>
      <xdr:rowOff>132844</xdr:rowOff>
    </xdr:to>
    <xdr:pic>
      <xdr:nvPicPr>
        <xdr:cNvPr id="2" name="Picture 1">
          <a:extLst>
            <a:ext uri="{FF2B5EF4-FFF2-40B4-BE49-F238E27FC236}">
              <a16:creationId xmlns:a16="http://schemas.microsoft.com/office/drawing/2014/main" id="{00000000-0008-0000-2200-000002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57175" y="1381125"/>
          <a:ext cx="6189889" cy="822909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12</xdr:col>
      <xdr:colOff>6803</xdr:colOff>
      <xdr:row>141</xdr:row>
      <xdr:rowOff>84366</xdr:rowOff>
    </xdr:from>
    <xdr:to>
      <xdr:col>24</xdr:col>
      <xdr:colOff>1360</xdr:colOff>
      <xdr:row>184</xdr:row>
      <xdr:rowOff>72835</xdr:rowOff>
    </xdr:to>
    <xdr:pic>
      <xdr:nvPicPr>
        <xdr:cNvPr id="3" name="Picture 2">
          <a:extLst>
            <a:ext uri="{FF2B5EF4-FFF2-40B4-BE49-F238E27FC236}">
              <a16:creationId xmlns:a16="http://schemas.microsoft.com/office/drawing/2014/main" id="{00000000-0008-0000-2200-000003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8592910" y="23270937"/>
          <a:ext cx="7342414" cy="700975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10</xdr:col>
      <xdr:colOff>398688</xdr:colOff>
      <xdr:row>187</xdr:row>
      <xdr:rowOff>69395</xdr:rowOff>
    </xdr:from>
    <xdr:to>
      <xdr:col>22</xdr:col>
      <xdr:colOff>233834</xdr:colOff>
      <xdr:row>205</xdr:row>
      <xdr:rowOff>141512</xdr:rowOff>
    </xdr:to>
    <xdr:pic>
      <xdr:nvPicPr>
        <xdr:cNvPr id="4" name="Picture 3">
          <a:extLst>
            <a:ext uri="{FF2B5EF4-FFF2-40B4-BE49-F238E27FC236}">
              <a16:creationId xmlns:a16="http://schemas.microsoft.com/office/drawing/2014/main" id="{00000000-0008-0000-2200-000004000000}"/>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6494688" y="8575220"/>
          <a:ext cx="7150346" cy="298676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352425</xdr:colOff>
      <xdr:row>194</xdr:row>
      <xdr:rowOff>69396</xdr:rowOff>
    </xdr:from>
    <xdr:to>
      <xdr:col>9</xdr:col>
      <xdr:colOff>150155</xdr:colOff>
      <xdr:row>216</xdr:row>
      <xdr:rowOff>146956</xdr:rowOff>
    </xdr:to>
    <xdr:pic>
      <xdr:nvPicPr>
        <xdr:cNvPr id="5" name="Picture 4">
          <a:extLst>
            <a:ext uri="{FF2B5EF4-FFF2-40B4-BE49-F238E27FC236}">
              <a16:creationId xmlns:a16="http://schemas.microsoft.com/office/drawing/2014/main" id="{00000000-0008-0000-2200-000005000000}"/>
            </a:ext>
          </a:extLst>
        </xdr:cNvPr>
        <xdr:cNvPicPr>
          <a:picLocks noChangeAspect="1" noChangeArrowheads="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352425" y="9708696"/>
          <a:ext cx="5284130" cy="363991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11</xdr:col>
      <xdr:colOff>234043</xdr:colOff>
      <xdr:row>209</xdr:row>
      <xdr:rowOff>21770</xdr:rowOff>
    </xdr:from>
    <xdr:to>
      <xdr:col>21</xdr:col>
      <xdr:colOff>315686</xdr:colOff>
      <xdr:row>234</xdr:row>
      <xdr:rowOff>126543</xdr:rowOff>
    </xdr:to>
    <xdr:pic>
      <xdr:nvPicPr>
        <xdr:cNvPr id="6" name="Picture 5">
          <a:extLst>
            <a:ext uri="{FF2B5EF4-FFF2-40B4-BE49-F238E27FC236}">
              <a16:creationId xmlns:a16="http://schemas.microsoft.com/office/drawing/2014/main" id="{00000000-0008-0000-2200-000006000000}"/>
            </a:ext>
          </a:extLst>
        </xdr:cNvPr>
        <xdr:cNvPicPr>
          <a:picLocks noChangeAspect="1" noChangeArrowheads="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6939643" y="12089945"/>
          <a:ext cx="6177643" cy="4152898"/>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11</xdr:col>
      <xdr:colOff>530925</xdr:colOff>
      <xdr:row>237</xdr:row>
      <xdr:rowOff>75951</xdr:rowOff>
    </xdr:from>
    <xdr:to>
      <xdr:col>22</xdr:col>
      <xdr:colOff>164538</xdr:colOff>
      <xdr:row>256</xdr:row>
      <xdr:rowOff>60984</xdr:rowOff>
    </xdr:to>
    <xdr:pic>
      <xdr:nvPicPr>
        <xdr:cNvPr id="7" name="Picture 6">
          <a:extLst>
            <a:ext uri="{FF2B5EF4-FFF2-40B4-BE49-F238E27FC236}">
              <a16:creationId xmlns:a16="http://schemas.microsoft.com/office/drawing/2014/main" id="{00000000-0008-0000-2200-000007000000}"/>
            </a:ext>
          </a:extLst>
        </xdr:cNvPr>
        <xdr:cNvPicPr>
          <a:picLocks noChangeAspect="1" noChangeArrowheads="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7236525" y="16678026"/>
          <a:ext cx="6339213" cy="3061608"/>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238</xdr:row>
      <xdr:rowOff>142874</xdr:rowOff>
    </xdr:from>
    <xdr:to>
      <xdr:col>10</xdr:col>
      <xdr:colOff>460759</xdr:colOff>
      <xdr:row>253</xdr:row>
      <xdr:rowOff>54428</xdr:rowOff>
    </xdr:to>
    <xdr:pic>
      <xdr:nvPicPr>
        <xdr:cNvPr id="8" name="Picture 7">
          <a:extLst>
            <a:ext uri="{FF2B5EF4-FFF2-40B4-BE49-F238E27FC236}">
              <a16:creationId xmlns:a16="http://schemas.microsoft.com/office/drawing/2014/main" id="{00000000-0008-0000-2200-000008000000}"/>
            </a:ext>
          </a:extLst>
        </xdr:cNvPr>
        <xdr:cNvPicPr>
          <a:picLocks noChangeAspect="1" noChangeArrowheads="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0" y="16906874"/>
          <a:ext cx="6556759" cy="2340429"/>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24494</xdr:colOff>
      <xdr:row>258</xdr:row>
      <xdr:rowOff>50346</xdr:rowOff>
    </xdr:from>
    <xdr:to>
      <xdr:col>15</xdr:col>
      <xdr:colOff>195564</xdr:colOff>
      <xdr:row>284</xdr:row>
      <xdr:rowOff>2</xdr:rowOff>
    </xdr:to>
    <xdr:pic>
      <xdr:nvPicPr>
        <xdr:cNvPr id="9" name="Picture 8">
          <a:extLst>
            <a:ext uri="{FF2B5EF4-FFF2-40B4-BE49-F238E27FC236}">
              <a16:creationId xmlns:a16="http://schemas.microsoft.com/office/drawing/2014/main" id="{00000000-0008-0000-2200-000009000000}"/>
            </a:ext>
          </a:extLst>
        </xdr:cNvPr>
        <xdr:cNvPicPr>
          <a:picLocks noChangeAspect="1" noChangeArrowheads="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634094" y="20052846"/>
          <a:ext cx="8705470" cy="4159706"/>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286</xdr:row>
      <xdr:rowOff>0</xdr:rowOff>
    </xdr:from>
    <xdr:to>
      <xdr:col>16</xdr:col>
      <xdr:colOff>523875</xdr:colOff>
      <xdr:row>315</xdr:row>
      <xdr:rowOff>152400</xdr:rowOff>
    </xdr:to>
    <xdr:pic>
      <xdr:nvPicPr>
        <xdr:cNvPr id="10" name="Picture 9">
          <a:extLst>
            <a:ext uri="{FF2B5EF4-FFF2-40B4-BE49-F238E27FC236}">
              <a16:creationId xmlns:a16="http://schemas.microsoft.com/office/drawing/2014/main" id="{00000000-0008-0000-2200-00000A000000}"/>
            </a:ext>
          </a:extLst>
        </xdr:cNvPr>
        <xdr:cNvPicPr>
          <a:picLocks noChangeAspect="1" noChangeArrowheads="1"/>
        </xdr:cNvPicPr>
      </xdr:nvPicPr>
      <xdr:blipFill>
        <a:blip xmlns:r="http://schemas.openxmlformats.org/officeDocument/2006/relationships" r:embed="rId9">
          <a:extLst>
            <a:ext uri="{28A0092B-C50C-407E-A947-70E740481C1C}">
              <a14:useLocalDpi xmlns:a14="http://schemas.microsoft.com/office/drawing/2010/main" val="0"/>
            </a:ext>
          </a:extLst>
        </a:blip>
        <a:srcRect/>
        <a:stretch>
          <a:fillRect/>
        </a:stretch>
      </xdr:blipFill>
      <xdr:spPr bwMode="auto">
        <a:xfrm>
          <a:off x="609600" y="24536400"/>
          <a:ext cx="9667875" cy="48482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14.xml><?xml version="1.0" encoding="utf-8"?>
<xdr:wsDr xmlns:xdr="http://schemas.openxmlformats.org/drawingml/2006/spreadsheetDrawing" xmlns:a="http://schemas.openxmlformats.org/drawingml/2006/main">
  <xdr:twoCellAnchor editAs="oneCell">
    <xdr:from>
      <xdr:col>0</xdr:col>
      <xdr:colOff>38100</xdr:colOff>
      <xdr:row>48</xdr:row>
      <xdr:rowOff>66675</xdr:rowOff>
    </xdr:from>
    <xdr:to>
      <xdr:col>1</xdr:col>
      <xdr:colOff>133350</xdr:colOff>
      <xdr:row>49</xdr:row>
      <xdr:rowOff>142875</xdr:rowOff>
    </xdr:to>
    <xdr:pic>
      <xdr:nvPicPr>
        <xdr:cNvPr id="2" name="Picture 2">
          <a:extLst>
            <a:ext uri="{FF2B5EF4-FFF2-40B4-BE49-F238E27FC236}">
              <a16:creationId xmlns:a16="http://schemas.microsoft.com/office/drawing/2014/main" id="{00000000-0008-0000-2300-000002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38100" y="3790950"/>
          <a:ext cx="1143000" cy="238125"/>
        </a:xfrm>
        <a:prstGeom prst="rect">
          <a:avLst/>
        </a:prstGeom>
        <a:solidFill>
          <a:srgbClr val="FFFFFF"/>
        </a:solidFill>
        <a:ln>
          <a:noFill/>
        </a:ln>
        <a:extLst>
          <a:ext uri="{91240B29-F687-4F45-9708-019B960494DF}">
            <a14:hiddenLine xmlns:a14="http://schemas.microsoft.com/office/drawing/2010/main" w="9525">
              <a:solidFill>
                <a:srgbClr val="000000"/>
              </a:solidFill>
              <a:miter lim="800000"/>
              <a:headEnd/>
              <a:tailEnd/>
            </a14:hiddenLine>
          </a:ext>
        </a:extLst>
      </xdr:spPr>
    </xdr:pic>
    <xdr:clientData/>
  </xdr:twoCellAnchor>
  <mc:AlternateContent xmlns:mc="http://schemas.openxmlformats.org/markup-compatibility/2006">
    <mc:Choice xmlns:a14="http://schemas.microsoft.com/office/drawing/2010/main" Requires="a14">
      <xdr:twoCellAnchor editAs="oneCell">
        <xdr:from>
          <xdr:col>0</xdr:col>
          <xdr:colOff>45720</xdr:colOff>
          <xdr:row>65</xdr:row>
          <xdr:rowOff>60960</xdr:rowOff>
        </xdr:from>
        <xdr:to>
          <xdr:col>1</xdr:col>
          <xdr:colOff>144780</xdr:colOff>
          <xdr:row>66</xdr:row>
          <xdr:rowOff>137160</xdr:rowOff>
        </xdr:to>
        <xdr:sp macro="" textlink="">
          <xdr:nvSpPr>
            <xdr:cNvPr id="645121" name="Bild 3" hidden="1">
              <a:extLst>
                <a:ext uri="{63B3BB69-23CF-44E3-9099-C40C66FF867C}">
                  <a14:compatExt spid="_x0000_s645121"/>
                </a:ext>
                <a:ext uri="{FF2B5EF4-FFF2-40B4-BE49-F238E27FC236}">
                  <a16:creationId xmlns:a16="http://schemas.microsoft.com/office/drawing/2014/main" id="{00000000-0008-0000-2300-000001D80900}"/>
                </a:ext>
              </a:extLst>
            </xdr:cNvPr>
            <xdr:cNvSpPr/>
          </xdr:nvSpPr>
          <xdr:spPr bwMode="auto">
            <a:xfrm>
              <a:off x="0" y="0"/>
              <a:ext cx="0" cy="0"/>
            </a:xfrm>
            <a:prstGeom prst="rect">
              <a:avLst/>
            </a:prstGeom>
            <a:solidFill>
              <a:srgbClr val="FFFFFF" mc:Ignorable="a14" a14:legacySpreadsheetColorIndex="65"/>
            </a:solidFill>
            <a:ln>
              <a:noFill/>
            </a:ln>
            <a:extLs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0</xdr:col>
          <xdr:colOff>7620</xdr:colOff>
          <xdr:row>99</xdr:row>
          <xdr:rowOff>45720</xdr:rowOff>
        </xdr:from>
        <xdr:to>
          <xdr:col>1</xdr:col>
          <xdr:colOff>289560</xdr:colOff>
          <xdr:row>100</xdr:row>
          <xdr:rowOff>121920</xdr:rowOff>
        </xdr:to>
        <xdr:sp macro="" textlink="">
          <xdr:nvSpPr>
            <xdr:cNvPr id="645122" name="Object 2" hidden="1">
              <a:extLst>
                <a:ext uri="{63B3BB69-23CF-44E3-9099-C40C66FF867C}">
                  <a14:compatExt spid="_x0000_s645122"/>
                </a:ext>
                <a:ext uri="{FF2B5EF4-FFF2-40B4-BE49-F238E27FC236}">
                  <a16:creationId xmlns:a16="http://schemas.microsoft.com/office/drawing/2014/main" id="{00000000-0008-0000-2300-000002D80900}"/>
                </a:ext>
              </a:extLst>
            </xdr:cNvPr>
            <xdr:cNvSpPr/>
          </xdr:nvSpPr>
          <xdr:spPr bwMode="auto">
            <a:xfrm>
              <a:off x="0" y="0"/>
              <a:ext cx="0" cy="0"/>
            </a:xfrm>
            <a:prstGeom prst="rect">
              <a:avLst/>
            </a:prstGeom>
            <a:solidFill>
              <a:srgbClr val="FFFFFF" mc:Ignorable="a14" a14:legacySpreadsheetColorIndex="65"/>
            </a:solidFill>
            <a:ln>
              <a:noFill/>
            </a:ln>
            <a:extLs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0</xdr:col>
          <xdr:colOff>45720</xdr:colOff>
          <xdr:row>117</xdr:row>
          <xdr:rowOff>60960</xdr:rowOff>
        </xdr:from>
        <xdr:to>
          <xdr:col>1</xdr:col>
          <xdr:colOff>327660</xdr:colOff>
          <xdr:row>118</xdr:row>
          <xdr:rowOff>137160</xdr:rowOff>
        </xdr:to>
        <xdr:sp macro="" textlink="">
          <xdr:nvSpPr>
            <xdr:cNvPr id="645123" name="Object 3" hidden="1">
              <a:extLst>
                <a:ext uri="{63B3BB69-23CF-44E3-9099-C40C66FF867C}">
                  <a14:compatExt spid="_x0000_s645123"/>
                </a:ext>
                <a:ext uri="{FF2B5EF4-FFF2-40B4-BE49-F238E27FC236}">
                  <a16:creationId xmlns:a16="http://schemas.microsoft.com/office/drawing/2014/main" id="{00000000-0008-0000-2300-000003D80900}"/>
                </a:ext>
              </a:extLst>
            </xdr:cNvPr>
            <xdr:cNvSpPr/>
          </xdr:nvSpPr>
          <xdr:spPr bwMode="auto">
            <a:xfrm>
              <a:off x="0" y="0"/>
              <a:ext cx="0" cy="0"/>
            </a:xfrm>
            <a:prstGeom prst="rect">
              <a:avLst/>
            </a:prstGeom>
            <a:solidFill>
              <a:srgbClr val="FFFFFF" mc:Ignorable="a14" a14:legacySpreadsheetColorIndex="65"/>
            </a:solidFill>
            <a:ln>
              <a:noFill/>
            </a:ln>
            <a:extLs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0</xdr:col>
          <xdr:colOff>22860</xdr:colOff>
          <xdr:row>152</xdr:row>
          <xdr:rowOff>45720</xdr:rowOff>
        </xdr:from>
        <xdr:to>
          <xdr:col>1</xdr:col>
          <xdr:colOff>312420</xdr:colOff>
          <xdr:row>153</xdr:row>
          <xdr:rowOff>121920</xdr:rowOff>
        </xdr:to>
        <xdr:sp macro="" textlink="">
          <xdr:nvSpPr>
            <xdr:cNvPr id="645124" name="Bild 1" hidden="1">
              <a:extLst>
                <a:ext uri="{63B3BB69-23CF-44E3-9099-C40C66FF867C}">
                  <a14:compatExt spid="_x0000_s645124"/>
                </a:ext>
                <a:ext uri="{FF2B5EF4-FFF2-40B4-BE49-F238E27FC236}">
                  <a16:creationId xmlns:a16="http://schemas.microsoft.com/office/drawing/2014/main" id="{00000000-0008-0000-2300-000004D80900}"/>
                </a:ext>
              </a:extLst>
            </xdr:cNvPr>
            <xdr:cNvSpPr/>
          </xdr:nvSpPr>
          <xdr:spPr bwMode="auto">
            <a:xfrm>
              <a:off x="0" y="0"/>
              <a:ext cx="0" cy="0"/>
            </a:xfrm>
            <a:prstGeom prst="rect">
              <a:avLst/>
            </a:prstGeom>
            <a:solidFill>
              <a:srgbClr val="FFFFFF" mc:Ignorable="a14" a14:legacySpreadsheetColorIndex="65"/>
            </a:solidFill>
            <a:ln>
              <a:noFill/>
            </a:ln>
            <a:extLs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0</xdr:col>
          <xdr:colOff>30480</xdr:colOff>
          <xdr:row>177</xdr:row>
          <xdr:rowOff>68580</xdr:rowOff>
        </xdr:from>
        <xdr:to>
          <xdr:col>1</xdr:col>
          <xdr:colOff>327660</xdr:colOff>
          <xdr:row>178</xdr:row>
          <xdr:rowOff>144780</xdr:rowOff>
        </xdr:to>
        <xdr:sp macro="" textlink="">
          <xdr:nvSpPr>
            <xdr:cNvPr id="645125" name="Bild 1" hidden="1">
              <a:extLst>
                <a:ext uri="{63B3BB69-23CF-44E3-9099-C40C66FF867C}">
                  <a14:compatExt spid="_x0000_s645125"/>
                </a:ext>
                <a:ext uri="{FF2B5EF4-FFF2-40B4-BE49-F238E27FC236}">
                  <a16:creationId xmlns:a16="http://schemas.microsoft.com/office/drawing/2014/main" id="{00000000-0008-0000-2300-000005D80900}"/>
                </a:ext>
              </a:extLst>
            </xdr:cNvPr>
            <xdr:cNvSpPr/>
          </xdr:nvSpPr>
          <xdr:spPr bwMode="auto">
            <a:xfrm>
              <a:off x="0" y="0"/>
              <a:ext cx="0" cy="0"/>
            </a:xfrm>
            <a:prstGeom prst="rect">
              <a:avLst/>
            </a:prstGeom>
            <a:solidFill>
              <a:srgbClr val="FFFFFF" mc:Ignorable="a14" a14:legacySpreadsheetColorIndex="65"/>
            </a:solidFill>
            <a:ln>
              <a:noFill/>
            </a:ln>
            <a:extLs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0</xdr:col>
          <xdr:colOff>30480</xdr:colOff>
          <xdr:row>214</xdr:row>
          <xdr:rowOff>45720</xdr:rowOff>
        </xdr:from>
        <xdr:to>
          <xdr:col>1</xdr:col>
          <xdr:colOff>0</xdr:colOff>
          <xdr:row>215</xdr:row>
          <xdr:rowOff>121920</xdr:rowOff>
        </xdr:to>
        <xdr:sp macro="" textlink="">
          <xdr:nvSpPr>
            <xdr:cNvPr id="645126" name="Object 6" hidden="1">
              <a:extLst>
                <a:ext uri="{63B3BB69-23CF-44E3-9099-C40C66FF867C}">
                  <a14:compatExt spid="_x0000_s645126"/>
                </a:ext>
                <a:ext uri="{FF2B5EF4-FFF2-40B4-BE49-F238E27FC236}">
                  <a16:creationId xmlns:a16="http://schemas.microsoft.com/office/drawing/2014/main" id="{00000000-0008-0000-2300-000006D80900}"/>
                </a:ext>
              </a:extLst>
            </xdr:cNvPr>
            <xdr:cNvSpPr/>
          </xdr:nvSpPr>
          <xdr:spPr bwMode="auto">
            <a:xfrm>
              <a:off x="0" y="0"/>
              <a:ext cx="0" cy="0"/>
            </a:xfrm>
            <a:prstGeom prst="rect">
              <a:avLst/>
            </a:prstGeom>
            <a:solidFill>
              <a:srgbClr val="FFFFFF" mc:Ignorable="a14" a14:legacySpreadsheetColorIndex="65"/>
            </a:solidFill>
            <a:ln>
              <a:noFill/>
            </a:ln>
            <a:extLs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0</xdr:col>
          <xdr:colOff>38100</xdr:colOff>
          <xdr:row>232</xdr:row>
          <xdr:rowOff>38100</xdr:rowOff>
        </xdr:from>
        <xdr:to>
          <xdr:col>1</xdr:col>
          <xdr:colOff>0</xdr:colOff>
          <xdr:row>233</xdr:row>
          <xdr:rowOff>114300</xdr:rowOff>
        </xdr:to>
        <xdr:sp macro="" textlink="">
          <xdr:nvSpPr>
            <xdr:cNvPr id="645127" name="Bild 1" hidden="1">
              <a:extLst>
                <a:ext uri="{63B3BB69-23CF-44E3-9099-C40C66FF867C}">
                  <a14:compatExt spid="_x0000_s645127"/>
                </a:ext>
                <a:ext uri="{FF2B5EF4-FFF2-40B4-BE49-F238E27FC236}">
                  <a16:creationId xmlns:a16="http://schemas.microsoft.com/office/drawing/2014/main" id="{00000000-0008-0000-2300-000007D80900}"/>
                </a:ext>
              </a:extLst>
            </xdr:cNvPr>
            <xdr:cNvSpPr/>
          </xdr:nvSpPr>
          <xdr:spPr bwMode="auto">
            <a:xfrm>
              <a:off x="0" y="0"/>
              <a:ext cx="0" cy="0"/>
            </a:xfrm>
            <a:prstGeom prst="rect">
              <a:avLst/>
            </a:prstGeom>
            <a:solidFill>
              <a:srgbClr val="FFFFFF" mc:Ignorable="a14" a14:legacySpreadsheetColorIndex="65"/>
            </a:solidFill>
            <a:ln>
              <a:noFill/>
            </a:ln>
            <a:extLs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0</xdr:col>
          <xdr:colOff>38100</xdr:colOff>
          <xdr:row>265</xdr:row>
          <xdr:rowOff>60960</xdr:rowOff>
        </xdr:from>
        <xdr:to>
          <xdr:col>1</xdr:col>
          <xdr:colOff>0</xdr:colOff>
          <xdr:row>266</xdr:row>
          <xdr:rowOff>137160</xdr:rowOff>
        </xdr:to>
        <xdr:sp macro="" textlink="">
          <xdr:nvSpPr>
            <xdr:cNvPr id="645128" name="Bild 1" hidden="1">
              <a:extLst>
                <a:ext uri="{63B3BB69-23CF-44E3-9099-C40C66FF867C}">
                  <a14:compatExt spid="_x0000_s645128"/>
                </a:ext>
                <a:ext uri="{FF2B5EF4-FFF2-40B4-BE49-F238E27FC236}">
                  <a16:creationId xmlns:a16="http://schemas.microsoft.com/office/drawing/2014/main" id="{00000000-0008-0000-2300-000008D80900}"/>
                </a:ext>
              </a:extLst>
            </xdr:cNvPr>
            <xdr:cNvSpPr/>
          </xdr:nvSpPr>
          <xdr:spPr bwMode="auto">
            <a:xfrm>
              <a:off x="0" y="0"/>
              <a:ext cx="0" cy="0"/>
            </a:xfrm>
            <a:prstGeom prst="rect">
              <a:avLst/>
            </a:prstGeom>
            <a:solidFill>
              <a:srgbClr val="FFFFFF" mc:Ignorable="a14" a14:legacySpreadsheetColorIndex="65"/>
            </a:solidFill>
            <a:ln>
              <a:noFill/>
            </a:ln>
            <a:extLs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0</xdr:col>
          <xdr:colOff>22860</xdr:colOff>
          <xdr:row>285</xdr:row>
          <xdr:rowOff>30480</xdr:rowOff>
        </xdr:from>
        <xdr:to>
          <xdr:col>1</xdr:col>
          <xdr:colOff>0</xdr:colOff>
          <xdr:row>286</xdr:row>
          <xdr:rowOff>106680</xdr:rowOff>
        </xdr:to>
        <xdr:sp macro="" textlink="">
          <xdr:nvSpPr>
            <xdr:cNvPr id="645129" name="Bild 2" hidden="1">
              <a:extLst>
                <a:ext uri="{63B3BB69-23CF-44E3-9099-C40C66FF867C}">
                  <a14:compatExt spid="_x0000_s645129"/>
                </a:ext>
                <a:ext uri="{FF2B5EF4-FFF2-40B4-BE49-F238E27FC236}">
                  <a16:creationId xmlns:a16="http://schemas.microsoft.com/office/drawing/2014/main" id="{00000000-0008-0000-2300-000009D80900}"/>
                </a:ext>
              </a:extLst>
            </xdr:cNvPr>
            <xdr:cNvSpPr/>
          </xdr:nvSpPr>
          <xdr:spPr bwMode="auto">
            <a:xfrm>
              <a:off x="0" y="0"/>
              <a:ext cx="0" cy="0"/>
            </a:xfrm>
            <a:prstGeom prst="rect">
              <a:avLst/>
            </a:prstGeom>
            <a:solidFill>
              <a:srgbClr val="FFFFFF" mc:Ignorable="a14" a14:legacySpreadsheetColorIndex="65"/>
            </a:solidFill>
            <a:ln>
              <a:noFill/>
            </a:ln>
            <a:extLs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0</xdr:col>
          <xdr:colOff>45720</xdr:colOff>
          <xdr:row>301</xdr:row>
          <xdr:rowOff>60960</xdr:rowOff>
        </xdr:from>
        <xdr:to>
          <xdr:col>1</xdr:col>
          <xdr:colOff>0</xdr:colOff>
          <xdr:row>302</xdr:row>
          <xdr:rowOff>137160</xdr:rowOff>
        </xdr:to>
        <xdr:sp macro="" textlink="">
          <xdr:nvSpPr>
            <xdr:cNvPr id="645130" name="Object 10" hidden="1">
              <a:extLst>
                <a:ext uri="{63B3BB69-23CF-44E3-9099-C40C66FF867C}">
                  <a14:compatExt spid="_x0000_s645130"/>
                </a:ext>
                <a:ext uri="{FF2B5EF4-FFF2-40B4-BE49-F238E27FC236}">
                  <a16:creationId xmlns:a16="http://schemas.microsoft.com/office/drawing/2014/main" id="{00000000-0008-0000-2300-00000AD80900}"/>
                </a:ext>
              </a:extLst>
            </xdr:cNvPr>
            <xdr:cNvSpPr/>
          </xdr:nvSpPr>
          <xdr:spPr bwMode="auto">
            <a:xfrm>
              <a:off x="0" y="0"/>
              <a:ext cx="0" cy="0"/>
            </a:xfrm>
            <a:prstGeom prst="rect">
              <a:avLst/>
            </a:prstGeom>
            <a:solidFill>
              <a:srgbClr val="FFFFFF" mc:Ignorable="a14" a14:legacySpreadsheetColorIndex="65"/>
            </a:solidFill>
            <a:ln>
              <a:noFill/>
            </a:ln>
            <a:extLs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0</xdr:col>
          <xdr:colOff>0</xdr:colOff>
          <xdr:row>337</xdr:row>
          <xdr:rowOff>0</xdr:rowOff>
        </xdr:from>
        <xdr:to>
          <xdr:col>0</xdr:col>
          <xdr:colOff>7620</xdr:colOff>
          <xdr:row>337</xdr:row>
          <xdr:rowOff>0</xdr:rowOff>
        </xdr:to>
        <xdr:sp macro="" textlink="">
          <xdr:nvSpPr>
            <xdr:cNvPr id="645131" name="Bild 2" hidden="1">
              <a:extLst>
                <a:ext uri="{63B3BB69-23CF-44E3-9099-C40C66FF867C}">
                  <a14:compatExt spid="_x0000_s645131"/>
                </a:ext>
                <a:ext uri="{FF2B5EF4-FFF2-40B4-BE49-F238E27FC236}">
                  <a16:creationId xmlns:a16="http://schemas.microsoft.com/office/drawing/2014/main" id="{00000000-0008-0000-2300-00000BD80900}"/>
                </a:ext>
              </a:extLst>
            </xdr:cNvPr>
            <xdr:cNvSpPr/>
          </xdr:nvSpPr>
          <xdr:spPr bwMode="auto">
            <a:xfrm>
              <a:off x="0" y="0"/>
              <a:ext cx="0" cy="0"/>
            </a:xfrm>
            <a:prstGeom prst="rect">
              <a:avLst/>
            </a:prstGeom>
            <a:solidFill>
              <a:srgbClr val="FFFFFF" mc:Ignorable="a14" a14:legacySpreadsheetColorIndex="65"/>
            </a:solidFill>
            <a:ln>
              <a:noFill/>
            </a:ln>
            <a:extLst>
              <a:ext uri="{91240B29-F687-4F45-9708-019B960494DF}">
                <a14:hiddenLine w="1">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0</xdr:col>
          <xdr:colOff>83820</xdr:colOff>
          <xdr:row>336</xdr:row>
          <xdr:rowOff>38100</xdr:rowOff>
        </xdr:from>
        <xdr:to>
          <xdr:col>1</xdr:col>
          <xdr:colOff>327660</xdr:colOff>
          <xdr:row>337</xdr:row>
          <xdr:rowOff>114300</xdr:rowOff>
        </xdr:to>
        <xdr:sp macro="" textlink="">
          <xdr:nvSpPr>
            <xdr:cNvPr id="645132" name="Bild 1" hidden="1">
              <a:extLst>
                <a:ext uri="{63B3BB69-23CF-44E3-9099-C40C66FF867C}">
                  <a14:compatExt spid="_x0000_s645132"/>
                </a:ext>
                <a:ext uri="{FF2B5EF4-FFF2-40B4-BE49-F238E27FC236}">
                  <a16:creationId xmlns:a16="http://schemas.microsoft.com/office/drawing/2014/main" id="{00000000-0008-0000-2300-00000CD80900}"/>
                </a:ext>
              </a:extLst>
            </xdr:cNvPr>
            <xdr:cNvSpPr/>
          </xdr:nvSpPr>
          <xdr:spPr bwMode="auto">
            <a:xfrm>
              <a:off x="0" y="0"/>
              <a:ext cx="0" cy="0"/>
            </a:xfrm>
            <a:prstGeom prst="rect">
              <a:avLst/>
            </a:prstGeom>
            <a:solidFill>
              <a:srgbClr val="FFFFFF" mc:Ignorable="a14" a14:legacySpreadsheetColorIndex="65"/>
            </a:solidFill>
            <a:ln>
              <a:noFill/>
            </a:ln>
            <a:extLs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0</xdr:col>
          <xdr:colOff>30480</xdr:colOff>
          <xdr:row>336</xdr:row>
          <xdr:rowOff>45720</xdr:rowOff>
        </xdr:from>
        <xdr:to>
          <xdr:col>1</xdr:col>
          <xdr:colOff>266700</xdr:colOff>
          <xdr:row>337</xdr:row>
          <xdr:rowOff>121920</xdr:rowOff>
        </xdr:to>
        <xdr:sp macro="" textlink="">
          <xdr:nvSpPr>
            <xdr:cNvPr id="645133" name="Object 13" hidden="1">
              <a:extLst>
                <a:ext uri="{63B3BB69-23CF-44E3-9099-C40C66FF867C}">
                  <a14:compatExt spid="_x0000_s645133"/>
                </a:ext>
                <a:ext uri="{FF2B5EF4-FFF2-40B4-BE49-F238E27FC236}">
                  <a16:creationId xmlns:a16="http://schemas.microsoft.com/office/drawing/2014/main" id="{00000000-0008-0000-2300-00000DD80900}"/>
                </a:ext>
              </a:extLst>
            </xdr:cNvPr>
            <xdr:cNvSpPr/>
          </xdr:nvSpPr>
          <xdr:spPr bwMode="auto">
            <a:xfrm>
              <a:off x="0" y="0"/>
              <a:ext cx="0" cy="0"/>
            </a:xfrm>
            <a:prstGeom prst="rect">
              <a:avLst/>
            </a:prstGeom>
            <a:solidFill>
              <a:srgbClr val="FFFFFF" mc:Ignorable="a14" a14:legacySpreadsheetColorIndex="65"/>
            </a:solidFill>
            <a:ln>
              <a:noFill/>
            </a:ln>
            <a:extLs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0</xdr:col>
          <xdr:colOff>45720</xdr:colOff>
          <xdr:row>352</xdr:row>
          <xdr:rowOff>45720</xdr:rowOff>
        </xdr:from>
        <xdr:to>
          <xdr:col>1</xdr:col>
          <xdr:colOff>289560</xdr:colOff>
          <xdr:row>353</xdr:row>
          <xdr:rowOff>121920</xdr:rowOff>
        </xdr:to>
        <xdr:sp macro="" textlink="">
          <xdr:nvSpPr>
            <xdr:cNvPr id="645134" name="Object 14" hidden="1">
              <a:extLst>
                <a:ext uri="{63B3BB69-23CF-44E3-9099-C40C66FF867C}">
                  <a14:compatExt spid="_x0000_s645134"/>
                </a:ext>
                <a:ext uri="{FF2B5EF4-FFF2-40B4-BE49-F238E27FC236}">
                  <a16:creationId xmlns:a16="http://schemas.microsoft.com/office/drawing/2014/main" id="{00000000-0008-0000-2300-00000ED80900}"/>
                </a:ext>
              </a:extLst>
            </xdr:cNvPr>
            <xdr:cNvSpPr/>
          </xdr:nvSpPr>
          <xdr:spPr bwMode="auto">
            <a:xfrm>
              <a:off x="0" y="0"/>
              <a:ext cx="0" cy="0"/>
            </a:xfrm>
            <a:prstGeom prst="rect">
              <a:avLst/>
            </a:prstGeom>
            <a:solidFill>
              <a:srgbClr val="FFFFFF" mc:Ignorable="a14" a14:legacySpreadsheetColorIndex="65"/>
            </a:solidFill>
            <a:ln>
              <a:noFill/>
            </a:ln>
            <a:extLs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0</xdr:col>
          <xdr:colOff>60960</xdr:colOff>
          <xdr:row>365</xdr:row>
          <xdr:rowOff>60960</xdr:rowOff>
        </xdr:from>
        <xdr:to>
          <xdr:col>1</xdr:col>
          <xdr:colOff>297180</xdr:colOff>
          <xdr:row>366</xdr:row>
          <xdr:rowOff>137160</xdr:rowOff>
        </xdr:to>
        <xdr:sp macro="" textlink="">
          <xdr:nvSpPr>
            <xdr:cNvPr id="645135" name="Bild 3" hidden="1">
              <a:extLst>
                <a:ext uri="{63B3BB69-23CF-44E3-9099-C40C66FF867C}">
                  <a14:compatExt spid="_x0000_s645135"/>
                </a:ext>
                <a:ext uri="{FF2B5EF4-FFF2-40B4-BE49-F238E27FC236}">
                  <a16:creationId xmlns:a16="http://schemas.microsoft.com/office/drawing/2014/main" id="{00000000-0008-0000-2300-00000FD80900}"/>
                </a:ext>
              </a:extLst>
            </xdr:cNvPr>
            <xdr:cNvSpPr/>
          </xdr:nvSpPr>
          <xdr:spPr bwMode="auto">
            <a:xfrm>
              <a:off x="0" y="0"/>
              <a:ext cx="0" cy="0"/>
            </a:xfrm>
            <a:prstGeom prst="rect">
              <a:avLst/>
            </a:prstGeom>
            <a:solidFill>
              <a:srgbClr val="FFFFFF" mc:Ignorable="a14" a14:legacySpreadsheetColorIndex="65"/>
            </a:solidFill>
            <a:ln>
              <a:noFill/>
            </a:ln>
            <a:extLs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0</xdr:col>
          <xdr:colOff>0</xdr:colOff>
          <xdr:row>337</xdr:row>
          <xdr:rowOff>0</xdr:rowOff>
        </xdr:from>
        <xdr:to>
          <xdr:col>0</xdr:col>
          <xdr:colOff>7620</xdr:colOff>
          <xdr:row>337</xdr:row>
          <xdr:rowOff>0</xdr:rowOff>
        </xdr:to>
        <xdr:sp macro="" textlink="">
          <xdr:nvSpPr>
            <xdr:cNvPr id="645136" name="Bild 2" hidden="1">
              <a:extLst>
                <a:ext uri="{63B3BB69-23CF-44E3-9099-C40C66FF867C}">
                  <a14:compatExt spid="_x0000_s645136"/>
                </a:ext>
                <a:ext uri="{FF2B5EF4-FFF2-40B4-BE49-F238E27FC236}">
                  <a16:creationId xmlns:a16="http://schemas.microsoft.com/office/drawing/2014/main" id="{00000000-0008-0000-2300-000010D80900}"/>
                </a:ext>
              </a:extLst>
            </xdr:cNvPr>
            <xdr:cNvSpPr/>
          </xdr:nvSpPr>
          <xdr:spPr bwMode="auto">
            <a:xfrm>
              <a:off x="0" y="0"/>
              <a:ext cx="0" cy="0"/>
            </a:xfrm>
            <a:prstGeom prst="rect">
              <a:avLst/>
            </a:prstGeom>
            <a:solidFill>
              <a:srgbClr val="FFFFFF" mc:Ignorable="a14" a14:legacySpreadsheetColorIndex="65"/>
            </a:solidFill>
            <a:ln>
              <a:noFill/>
            </a:ln>
            <a:extLst>
              <a:ext uri="{91240B29-F687-4F45-9708-019B960494DF}">
                <a14:hiddenLine w="1">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0</xdr:col>
          <xdr:colOff>83820</xdr:colOff>
          <xdr:row>336</xdr:row>
          <xdr:rowOff>38100</xdr:rowOff>
        </xdr:from>
        <xdr:to>
          <xdr:col>1</xdr:col>
          <xdr:colOff>327660</xdr:colOff>
          <xdr:row>337</xdr:row>
          <xdr:rowOff>114300</xdr:rowOff>
        </xdr:to>
        <xdr:sp macro="" textlink="">
          <xdr:nvSpPr>
            <xdr:cNvPr id="645137" name="Bild 1" hidden="1">
              <a:extLst>
                <a:ext uri="{63B3BB69-23CF-44E3-9099-C40C66FF867C}">
                  <a14:compatExt spid="_x0000_s645137"/>
                </a:ext>
                <a:ext uri="{FF2B5EF4-FFF2-40B4-BE49-F238E27FC236}">
                  <a16:creationId xmlns:a16="http://schemas.microsoft.com/office/drawing/2014/main" id="{00000000-0008-0000-2300-000011D80900}"/>
                </a:ext>
              </a:extLst>
            </xdr:cNvPr>
            <xdr:cNvSpPr/>
          </xdr:nvSpPr>
          <xdr:spPr bwMode="auto">
            <a:xfrm>
              <a:off x="0" y="0"/>
              <a:ext cx="0" cy="0"/>
            </a:xfrm>
            <a:prstGeom prst="rect">
              <a:avLst/>
            </a:prstGeom>
            <a:solidFill>
              <a:srgbClr val="FFFFFF" mc:Ignorable="a14" a14:legacySpreadsheetColorIndex="65"/>
            </a:solidFill>
            <a:ln>
              <a:noFill/>
            </a:ln>
            <a:extLs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0</xdr:col>
          <xdr:colOff>30480</xdr:colOff>
          <xdr:row>336</xdr:row>
          <xdr:rowOff>45720</xdr:rowOff>
        </xdr:from>
        <xdr:to>
          <xdr:col>1</xdr:col>
          <xdr:colOff>266700</xdr:colOff>
          <xdr:row>337</xdr:row>
          <xdr:rowOff>121920</xdr:rowOff>
        </xdr:to>
        <xdr:sp macro="" textlink="">
          <xdr:nvSpPr>
            <xdr:cNvPr id="645138" name="Object 18" hidden="1">
              <a:extLst>
                <a:ext uri="{63B3BB69-23CF-44E3-9099-C40C66FF867C}">
                  <a14:compatExt spid="_x0000_s645138"/>
                </a:ext>
                <a:ext uri="{FF2B5EF4-FFF2-40B4-BE49-F238E27FC236}">
                  <a16:creationId xmlns:a16="http://schemas.microsoft.com/office/drawing/2014/main" id="{00000000-0008-0000-2300-000012D80900}"/>
                </a:ext>
              </a:extLst>
            </xdr:cNvPr>
            <xdr:cNvSpPr/>
          </xdr:nvSpPr>
          <xdr:spPr bwMode="auto">
            <a:xfrm>
              <a:off x="0" y="0"/>
              <a:ext cx="0" cy="0"/>
            </a:xfrm>
            <a:prstGeom prst="rect">
              <a:avLst/>
            </a:prstGeom>
            <a:solidFill>
              <a:srgbClr val="FFFFFF" mc:Ignorable="a14" a14:legacySpreadsheetColorIndex="65"/>
            </a:solidFill>
            <a:ln>
              <a:noFill/>
            </a:ln>
            <a:extLs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0</xdr:col>
          <xdr:colOff>45720</xdr:colOff>
          <xdr:row>352</xdr:row>
          <xdr:rowOff>45720</xdr:rowOff>
        </xdr:from>
        <xdr:to>
          <xdr:col>1</xdr:col>
          <xdr:colOff>289560</xdr:colOff>
          <xdr:row>353</xdr:row>
          <xdr:rowOff>121920</xdr:rowOff>
        </xdr:to>
        <xdr:sp macro="" textlink="">
          <xdr:nvSpPr>
            <xdr:cNvPr id="645139" name="Object 19" hidden="1">
              <a:extLst>
                <a:ext uri="{63B3BB69-23CF-44E3-9099-C40C66FF867C}">
                  <a14:compatExt spid="_x0000_s645139"/>
                </a:ext>
                <a:ext uri="{FF2B5EF4-FFF2-40B4-BE49-F238E27FC236}">
                  <a16:creationId xmlns:a16="http://schemas.microsoft.com/office/drawing/2014/main" id="{00000000-0008-0000-2300-000013D80900}"/>
                </a:ext>
              </a:extLst>
            </xdr:cNvPr>
            <xdr:cNvSpPr/>
          </xdr:nvSpPr>
          <xdr:spPr bwMode="auto">
            <a:xfrm>
              <a:off x="0" y="0"/>
              <a:ext cx="0" cy="0"/>
            </a:xfrm>
            <a:prstGeom prst="rect">
              <a:avLst/>
            </a:prstGeom>
            <a:solidFill>
              <a:srgbClr val="FFFFFF" mc:Ignorable="a14" a14:legacySpreadsheetColorIndex="65"/>
            </a:solidFill>
            <a:ln>
              <a:noFill/>
            </a:ln>
            <a:extLs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0</xdr:col>
          <xdr:colOff>45720</xdr:colOff>
          <xdr:row>365</xdr:row>
          <xdr:rowOff>60960</xdr:rowOff>
        </xdr:from>
        <xdr:to>
          <xdr:col>1</xdr:col>
          <xdr:colOff>289560</xdr:colOff>
          <xdr:row>366</xdr:row>
          <xdr:rowOff>137160</xdr:rowOff>
        </xdr:to>
        <xdr:sp macro="" textlink="">
          <xdr:nvSpPr>
            <xdr:cNvPr id="645140" name="Bild 3" hidden="1">
              <a:extLst>
                <a:ext uri="{63B3BB69-23CF-44E3-9099-C40C66FF867C}">
                  <a14:compatExt spid="_x0000_s645140"/>
                </a:ext>
                <a:ext uri="{FF2B5EF4-FFF2-40B4-BE49-F238E27FC236}">
                  <a16:creationId xmlns:a16="http://schemas.microsoft.com/office/drawing/2014/main" id="{00000000-0008-0000-2300-000014D80900}"/>
                </a:ext>
              </a:extLst>
            </xdr:cNvPr>
            <xdr:cNvSpPr/>
          </xdr:nvSpPr>
          <xdr:spPr bwMode="auto">
            <a:xfrm>
              <a:off x="0" y="0"/>
              <a:ext cx="0" cy="0"/>
            </a:xfrm>
            <a:prstGeom prst="rect">
              <a:avLst/>
            </a:prstGeom>
            <a:solidFill>
              <a:srgbClr val="FFFFFF" mc:Ignorable="a14" a14:legacySpreadsheetColorIndex="65"/>
            </a:solidFill>
            <a:ln>
              <a:noFill/>
            </a:ln>
            <a:extLs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0</xdr:col>
          <xdr:colOff>0</xdr:colOff>
          <xdr:row>337</xdr:row>
          <xdr:rowOff>0</xdr:rowOff>
        </xdr:from>
        <xdr:to>
          <xdr:col>0</xdr:col>
          <xdr:colOff>7620</xdr:colOff>
          <xdr:row>337</xdr:row>
          <xdr:rowOff>0</xdr:rowOff>
        </xdr:to>
        <xdr:sp macro="" textlink="">
          <xdr:nvSpPr>
            <xdr:cNvPr id="645141" name="Bild 2" hidden="1">
              <a:extLst>
                <a:ext uri="{63B3BB69-23CF-44E3-9099-C40C66FF867C}">
                  <a14:compatExt spid="_x0000_s645141"/>
                </a:ext>
                <a:ext uri="{FF2B5EF4-FFF2-40B4-BE49-F238E27FC236}">
                  <a16:creationId xmlns:a16="http://schemas.microsoft.com/office/drawing/2014/main" id="{00000000-0008-0000-2300-000015D80900}"/>
                </a:ext>
              </a:extLst>
            </xdr:cNvPr>
            <xdr:cNvSpPr/>
          </xdr:nvSpPr>
          <xdr:spPr bwMode="auto">
            <a:xfrm>
              <a:off x="0" y="0"/>
              <a:ext cx="0" cy="0"/>
            </a:xfrm>
            <a:prstGeom prst="rect">
              <a:avLst/>
            </a:prstGeom>
            <a:solidFill>
              <a:srgbClr val="FFFFFF" mc:Ignorable="a14" a14:legacySpreadsheetColorIndex="65"/>
            </a:solidFill>
            <a:ln>
              <a:noFill/>
            </a:ln>
            <a:extLst>
              <a:ext uri="{91240B29-F687-4F45-9708-019B960494DF}">
                <a14:hiddenLine w="1">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0</xdr:col>
          <xdr:colOff>83820</xdr:colOff>
          <xdr:row>336</xdr:row>
          <xdr:rowOff>38100</xdr:rowOff>
        </xdr:from>
        <xdr:to>
          <xdr:col>1</xdr:col>
          <xdr:colOff>327660</xdr:colOff>
          <xdr:row>337</xdr:row>
          <xdr:rowOff>114300</xdr:rowOff>
        </xdr:to>
        <xdr:sp macro="" textlink="">
          <xdr:nvSpPr>
            <xdr:cNvPr id="645142" name="Bild 1" hidden="1">
              <a:extLst>
                <a:ext uri="{63B3BB69-23CF-44E3-9099-C40C66FF867C}">
                  <a14:compatExt spid="_x0000_s645142"/>
                </a:ext>
                <a:ext uri="{FF2B5EF4-FFF2-40B4-BE49-F238E27FC236}">
                  <a16:creationId xmlns:a16="http://schemas.microsoft.com/office/drawing/2014/main" id="{00000000-0008-0000-2300-000016D80900}"/>
                </a:ext>
              </a:extLst>
            </xdr:cNvPr>
            <xdr:cNvSpPr/>
          </xdr:nvSpPr>
          <xdr:spPr bwMode="auto">
            <a:xfrm>
              <a:off x="0" y="0"/>
              <a:ext cx="0" cy="0"/>
            </a:xfrm>
            <a:prstGeom prst="rect">
              <a:avLst/>
            </a:prstGeom>
            <a:solidFill>
              <a:srgbClr val="FFFFFF" mc:Ignorable="a14" a14:legacySpreadsheetColorIndex="65"/>
            </a:solidFill>
            <a:ln>
              <a:noFill/>
            </a:ln>
            <a:extLs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0</xdr:col>
          <xdr:colOff>30480</xdr:colOff>
          <xdr:row>336</xdr:row>
          <xdr:rowOff>45720</xdr:rowOff>
        </xdr:from>
        <xdr:to>
          <xdr:col>1</xdr:col>
          <xdr:colOff>266700</xdr:colOff>
          <xdr:row>337</xdr:row>
          <xdr:rowOff>121920</xdr:rowOff>
        </xdr:to>
        <xdr:sp macro="" textlink="">
          <xdr:nvSpPr>
            <xdr:cNvPr id="645143" name="Object 23" hidden="1">
              <a:extLst>
                <a:ext uri="{63B3BB69-23CF-44E3-9099-C40C66FF867C}">
                  <a14:compatExt spid="_x0000_s645143"/>
                </a:ext>
                <a:ext uri="{FF2B5EF4-FFF2-40B4-BE49-F238E27FC236}">
                  <a16:creationId xmlns:a16="http://schemas.microsoft.com/office/drawing/2014/main" id="{00000000-0008-0000-2300-000017D80900}"/>
                </a:ext>
              </a:extLst>
            </xdr:cNvPr>
            <xdr:cNvSpPr/>
          </xdr:nvSpPr>
          <xdr:spPr bwMode="auto">
            <a:xfrm>
              <a:off x="0" y="0"/>
              <a:ext cx="0" cy="0"/>
            </a:xfrm>
            <a:prstGeom prst="rect">
              <a:avLst/>
            </a:prstGeom>
            <a:solidFill>
              <a:srgbClr val="FFFFFF" mc:Ignorable="a14" a14:legacySpreadsheetColorIndex="65"/>
            </a:solidFill>
            <a:ln>
              <a:noFill/>
            </a:ln>
            <a:extLs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0</xdr:col>
          <xdr:colOff>45720</xdr:colOff>
          <xdr:row>352</xdr:row>
          <xdr:rowOff>45720</xdr:rowOff>
        </xdr:from>
        <xdr:to>
          <xdr:col>1</xdr:col>
          <xdr:colOff>289560</xdr:colOff>
          <xdr:row>353</xdr:row>
          <xdr:rowOff>121920</xdr:rowOff>
        </xdr:to>
        <xdr:sp macro="" textlink="">
          <xdr:nvSpPr>
            <xdr:cNvPr id="645144" name="Object 24" hidden="1">
              <a:extLst>
                <a:ext uri="{63B3BB69-23CF-44E3-9099-C40C66FF867C}">
                  <a14:compatExt spid="_x0000_s645144"/>
                </a:ext>
                <a:ext uri="{FF2B5EF4-FFF2-40B4-BE49-F238E27FC236}">
                  <a16:creationId xmlns:a16="http://schemas.microsoft.com/office/drawing/2014/main" id="{00000000-0008-0000-2300-000018D80900}"/>
                </a:ext>
              </a:extLst>
            </xdr:cNvPr>
            <xdr:cNvSpPr/>
          </xdr:nvSpPr>
          <xdr:spPr bwMode="auto">
            <a:xfrm>
              <a:off x="0" y="0"/>
              <a:ext cx="0" cy="0"/>
            </a:xfrm>
            <a:prstGeom prst="rect">
              <a:avLst/>
            </a:prstGeom>
            <a:solidFill>
              <a:srgbClr val="FFFFFF" mc:Ignorable="a14" a14:legacySpreadsheetColorIndex="65"/>
            </a:solidFill>
            <a:ln>
              <a:noFill/>
            </a:ln>
            <a:extLs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0</xdr:col>
          <xdr:colOff>60960</xdr:colOff>
          <xdr:row>365</xdr:row>
          <xdr:rowOff>60960</xdr:rowOff>
        </xdr:from>
        <xdr:to>
          <xdr:col>1</xdr:col>
          <xdr:colOff>297180</xdr:colOff>
          <xdr:row>366</xdr:row>
          <xdr:rowOff>137160</xdr:rowOff>
        </xdr:to>
        <xdr:sp macro="" textlink="">
          <xdr:nvSpPr>
            <xdr:cNvPr id="645145" name="Bild 3" hidden="1">
              <a:extLst>
                <a:ext uri="{63B3BB69-23CF-44E3-9099-C40C66FF867C}">
                  <a14:compatExt spid="_x0000_s645145"/>
                </a:ext>
                <a:ext uri="{FF2B5EF4-FFF2-40B4-BE49-F238E27FC236}">
                  <a16:creationId xmlns:a16="http://schemas.microsoft.com/office/drawing/2014/main" id="{00000000-0008-0000-2300-000019D80900}"/>
                </a:ext>
              </a:extLst>
            </xdr:cNvPr>
            <xdr:cNvSpPr/>
          </xdr:nvSpPr>
          <xdr:spPr bwMode="auto">
            <a:xfrm>
              <a:off x="0" y="0"/>
              <a:ext cx="0" cy="0"/>
            </a:xfrm>
            <a:prstGeom prst="rect">
              <a:avLst/>
            </a:prstGeom>
            <a:solidFill>
              <a:srgbClr val="FFFFFF" mc:Ignorable="a14" a14:legacySpreadsheetColorIndex="65"/>
            </a:solidFill>
            <a:ln>
              <a:noFill/>
            </a:ln>
            <a:extLs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0</xdr:col>
          <xdr:colOff>0</xdr:colOff>
          <xdr:row>337</xdr:row>
          <xdr:rowOff>0</xdr:rowOff>
        </xdr:from>
        <xdr:to>
          <xdr:col>0</xdr:col>
          <xdr:colOff>7620</xdr:colOff>
          <xdr:row>337</xdr:row>
          <xdr:rowOff>0</xdr:rowOff>
        </xdr:to>
        <xdr:sp macro="" textlink="">
          <xdr:nvSpPr>
            <xdr:cNvPr id="645146" name="Bild 2" hidden="1">
              <a:extLst>
                <a:ext uri="{63B3BB69-23CF-44E3-9099-C40C66FF867C}">
                  <a14:compatExt spid="_x0000_s645146"/>
                </a:ext>
                <a:ext uri="{FF2B5EF4-FFF2-40B4-BE49-F238E27FC236}">
                  <a16:creationId xmlns:a16="http://schemas.microsoft.com/office/drawing/2014/main" id="{00000000-0008-0000-2300-00001AD80900}"/>
                </a:ext>
              </a:extLst>
            </xdr:cNvPr>
            <xdr:cNvSpPr/>
          </xdr:nvSpPr>
          <xdr:spPr bwMode="auto">
            <a:xfrm>
              <a:off x="0" y="0"/>
              <a:ext cx="0" cy="0"/>
            </a:xfrm>
            <a:prstGeom prst="rect">
              <a:avLst/>
            </a:prstGeom>
            <a:solidFill>
              <a:srgbClr val="FFFFFF" mc:Ignorable="a14" a14:legacySpreadsheetColorIndex="65"/>
            </a:solidFill>
            <a:ln>
              <a:noFill/>
            </a:ln>
            <a:extLst>
              <a:ext uri="{91240B29-F687-4F45-9708-019B960494DF}">
                <a14:hiddenLine w="1">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0</xdr:col>
          <xdr:colOff>83820</xdr:colOff>
          <xdr:row>336</xdr:row>
          <xdr:rowOff>38100</xdr:rowOff>
        </xdr:from>
        <xdr:to>
          <xdr:col>1</xdr:col>
          <xdr:colOff>327660</xdr:colOff>
          <xdr:row>337</xdr:row>
          <xdr:rowOff>114300</xdr:rowOff>
        </xdr:to>
        <xdr:sp macro="" textlink="">
          <xdr:nvSpPr>
            <xdr:cNvPr id="645147" name="Bild 1" hidden="1">
              <a:extLst>
                <a:ext uri="{63B3BB69-23CF-44E3-9099-C40C66FF867C}">
                  <a14:compatExt spid="_x0000_s645147"/>
                </a:ext>
                <a:ext uri="{FF2B5EF4-FFF2-40B4-BE49-F238E27FC236}">
                  <a16:creationId xmlns:a16="http://schemas.microsoft.com/office/drawing/2014/main" id="{00000000-0008-0000-2300-00001BD80900}"/>
                </a:ext>
              </a:extLst>
            </xdr:cNvPr>
            <xdr:cNvSpPr/>
          </xdr:nvSpPr>
          <xdr:spPr bwMode="auto">
            <a:xfrm>
              <a:off x="0" y="0"/>
              <a:ext cx="0" cy="0"/>
            </a:xfrm>
            <a:prstGeom prst="rect">
              <a:avLst/>
            </a:prstGeom>
            <a:solidFill>
              <a:srgbClr val="FFFFFF" mc:Ignorable="a14" a14:legacySpreadsheetColorIndex="65"/>
            </a:solidFill>
            <a:ln>
              <a:noFill/>
            </a:ln>
            <a:extLs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0</xdr:col>
          <xdr:colOff>30480</xdr:colOff>
          <xdr:row>336</xdr:row>
          <xdr:rowOff>45720</xdr:rowOff>
        </xdr:from>
        <xdr:to>
          <xdr:col>1</xdr:col>
          <xdr:colOff>266700</xdr:colOff>
          <xdr:row>337</xdr:row>
          <xdr:rowOff>121920</xdr:rowOff>
        </xdr:to>
        <xdr:sp macro="" textlink="">
          <xdr:nvSpPr>
            <xdr:cNvPr id="645148" name="Object 28" hidden="1">
              <a:extLst>
                <a:ext uri="{63B3BB69-23CF-44E3-9099-C40C66FF867C}">
                  <a14:compatExt spid="_x0000_s645148"/>
                </a:ext>
                <a:ext uri="{FF2B5EF4-FFF2-40B4-BE49-F238E27FC236}">
                  <a16:creationId xmlns:a16="http://schemas.microsoft.com/office/drawing/2014/main" id="{00000000-0008-0000-2300-00001CD80900}"/>
                </a:ext>
              </a:extLst>
            </xdr:cNvPr>
            <xdr:cNvSpPr/>
          </xdr:nvSpPr>
          <xdr:spPr bwMode="auto">
            <a:xfrm>
              <a:off x="0" y="0"/>
              <a:ext cx="0" cy="0"/>
            </a:xfrm>
            <a:prstGeom prst="rect">
              <a:avLst/>
            </a:prstGeom>
            <a:solidFill>
              <a:srgbClr val="FFFFFF" mc:Ignorable="a14" a14:legacySpreadsheetColorIndex="65"/>
            </a:solidFill>
            <a:ln>
              <a:noFill/>
            </a:ln>
            <a:extLs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0</xdr:col>
          <xdr:colOff>45720</xdr:colOff>
          <xdr:row>352</xdr:row>
          <xdr:rowOff>45720</xdr:rowOff>
        </xdr:from>
        <xdr:to>
          <xdr:col>1</xdr:col>
          <xdr:colOff>289560</xdr:colOff>
          <xdr:row>353</xdr:row>
          <xdr:rowOff>121920</xdr:rowOff>
        </xdr:to>
        <xdr:sp macro="" textlink="">
          <xdr:nvSpPr>
            <xdr:cNvPr id="645149" name="Object 29" hidden="1">
              <a:extLst>
                <a:ext uri="{63B3BB69-23CF-44E3-9099-C40C66FF867C}">
                  <a14:compatExt spid="_x0000_s645149"/>
                </a:ext>
                <a:ext uri="{FF2B5EF4-FFF2-40B4-BE49-F238E27FC236}">
                  <a16:creationId xmlns:a16="http://schemas.microsoft.com/office/drawing/2014/main" id="{00000000-0008-0000-2300-00001DD80900}"/>
                </a:ext>
              </a:extLst>
            </xdr:cNvPr>
            <xdr:cNvSpPr/>
          </xdr:nvSpPr>
          <xdr:spPr bwMode="auto">
            <a:xfrm>
              <a:off x="0" y="0"/>
              <a:ext cx="0" cy="0"/>
            </a:xfrm>
            <a:prstGeom prst="rect">
              <a:avLst/>
            </a:prstGeom>
            <a:solidFill>
              <a:srgbClr val="FFFFFF" mc:Ignorable="a14" a14:legacySpreadsheetColorIndex="65"/>
            </a:solidFill>
            <a:ln>
              <a:noFill/>
            </a:ln>
            <a:extLs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0</xdr:col>
          <xdr:colOff>45720</xdr:colOff>
          <xdr:row>365</xdr:row>
          <xdr:rowOff>60960</xdr:rowOff>
        </xdr:from>
        <xdr:to>
          <xdr:col>1</xdr:col>
          <xdr:colOff>289560</xdr:colOff>
          <xdr:row>366</xdr:row>
          <xdr:rowOff>137160</xdr:rowOff>
        </xdr:to>
        <xdr:sp macro="" textlink="">
          <xdr:nvSpPr>
            <xdr:cNvPr id="645150" name="Bild 3" hidden="1">
              <a:extLst>
                <a:ext uri="{63B3BB69-23CF-44E3-9099-C40C66FF867C}">
                  <a14:compatExt spid="_x0000_s645150"/>
                </a:ext>
                <a:ext uri="{FF2B5EF4-FFF2-40B4-BE49-F238E27FC236}">
                  <a16:creationId xmlns:a16="http://schemas.microsoft.com/office/drawing/2014/main" id="{00000000-0008-0000-2300-00001ED80900}"/>
                </a:ext>
              </a:extLst>
            </xdr:cNvPr>
            <xdr:cNvSpPr/>
          </xdr:nvSpPr>
          <xdr:spPr bwMode="auto">
            <a:xfrm>
              <a:off x="0" y="0"/>
              <a:ext cx="0" cy="0"/>
            </a:xfrm>
            <a:prstGeom prst="rect">
              <a:avLst/>
            </a:prstGeom>
            <a:solidFill>
              <a:srgbClr val="FFFFFF" mc:Ignorable="a14" a14:legacySpreadsheetColorIndex="65"/>
            </a:solidFill>
            <a:ln>
              <a:noFill/>
            </a:ln>
            <a:extLs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0</xdr:col>
          <xdr:colOff>45720</xdr:colOff>
          <xdr:row>406</xdr:row>
          <xdr:rowOff>45720</xdr:rowOff>
        </xdr:from>
        <xdr:to>
          <xdr:col>1</xdr:col>
          <xdr:colOff>7620</xdr:colOff>
          <xdr:row>407</xdr:row>
          <xdr:rowOff>121920</xdr:rowOff>
        </xdr:to>
        <xdr:sp macro="" textlink="">
          <xdr:nvSpPr>
            <xdr:cNvPr id="645151" name="Bild 1" hidden="1">
              <a:extLst>
                <a:ext uri="{63B3BB69-23CF-44E3-9099-C40C66FF867C}">
                  <a14:compatExt spid="_x0000_s645151"/>
                </a:ext>
                <a:ext uri="{FF2B5EF4-FFF2-40B4-BE49-F238E27FC236}">
                  <a16:creationId xmlns:a16="http://schemas.microsoft.com/office/drawing/2014/main" id="{00000000-0008-0000-2300-00001FD80900}"/>
                </a:ext>
              </a:extLst>
            </xdr:cNvPr>
            <xdr:cNvSpPr/>
          </xdr:nvSpPr>
          <xdr:spPr bwMode="auto">
            <a:xfrm>
              <a:off x="0" y="0"/>
              <a:ext cx="0" cy="0"/>
            </a:xfrm>
            <a:prstGeom prst="rect">
              <a:avLst/>
            </a:prstGeom>
            <a:solidFill>
              <a:srgbClr val="FFFFFF" mc:Ignorable="a14" a14:legacySpreadsheetColorIndex="65"/>
            </a:solidFill>
            <a:ln>
              <a:noFill/>
            </a:ln>
            <a:extLs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http://www.ens.dk/graphics/Publikationer/Statistik/stat_02/Energistat2002filer/Grunddata2002.xls"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Users/stpet/Desktop/Papers%20for%20papers/Paper/Energy%20statistics%202011.xls" TargetMode="External"/></Relationships>
</file>

<file path=xl/externalLinks/_rels/externalLink3.xml.rels><?xml version="1.0" encoding="UTF-8" standalone="yes"?>
<Relationships xmlns="http://schemas.openxmlformats.org/package/2006/relationships"><Relationship Id="rId1" Type="http://schemas.openxmlformats.org/officeDocument/2006/relationships/externalLinkPath" Target="/Statistik%20og%20indikatorer/Energistatistik/Danmark/Databaser/Grunddata2002.xls" TargetMode="External"/></Relationships>
</file>

<file path=xl/externalLinks/_rels/externalLink4.xml.rels><?xml version="1.0" encoding="UTF-8" standalone="yes"?>
<Relationships xmlns="http://schemas.openxmlformats.org/package/2006/relationships"><Relationship Id="rId1" Type="http://schemas.openxmlformats.org/officeDocument/2006/relationships/externalLinkPath" Target="file:///\\Spot\Office\temphold\TMPL_RES.xls" TargetMode="External"/></Relationships>
</file>

<file path=xl/externalLinks/_rels/externalLink5.xml.rels><?xml version="1.0" encoding="UTF-8" standalone="yes"?>
<Relationships xmlns="http://schemas.openxmlformats.org/package/2006/relationships"><Relationship Id="rId1" Type="http://schemas.openxmlformats.org/officeDocument/2006/relationships/externalLinkPath" Target="file:///\\Lame12\f$\Documents%20and%20Settings\labriet\Local%20Settings\Temp\TMPL_RES.xls" TargetMode="External"/></Relationships>
</file>

<file path=xl/externalLinks/_rels/externalLink6.xml.rels><?xml version="1.0" encoding="UTF-8" standalone="yes"?>
<Relationships xmlns="http://schemas.openxmlformats.org/package/2006/relationships"><Relationship Id="rId1" Type="http://schemas.openxmlformats.org/officeDocument/2006/relationships/externalLinkPath" Target="/TIMES%20models/VT_DK_TRA2.xlsx" TargetMode="External"/></Relationships>
</file>

<file path=xl/externalLinks/_rels/externalLink7.xml.rels><?xml version="1.0" encoding="UTF-8" standalone="yes"?>
<Relationships xmlns="http://schemas.openxmlformats.org/package/2006/relationships"><Relationship Id="rId1" Type="http://schemas.openxmlformats.org/officeDocument/2006/relationships/externalLinkPath" Target="VT_DK_TRA.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Pivot2002"/>
      <sheetName val="Pivot2001"/>
      <sheetName val="Tidsserier"/>
      <sheetName val="Rådata"/>
      <sheetName val="Beregn"/>
      <sheetName val="DStFordel"/>
      <sheetName val="Fordel"/>
      <sheetName val="EPdata_int"/>
      <sheetName val="EPdata_dk"/>
      <sheetName val="Kapacitet"/>
      <sheetName val="Naturgas"/>
      <sheetName val="1997b"/>
      <sheetName val="1996b"/>
      <sheetName val="Grunddata2002"/>
    </sheetNames>
    <sheetDataSet>
      <sheetData sheetId="0"/>
      <sheetData sheetId="1"/>
      <sheetData sheetId="2">
        <row r="5">
          <cell r="A5" t="str">
            <v>-  -  råolie</v>
          </cell>
          <cell r="B5" t="str">
            <v>dnk</v>
          </cell>
          <cell r="C5" t="str">
            <v>udv</v>
          </cell>
          <cell r="D5" t="str">
            <v>rao</v>
          </cell>
          <cell r="E5" t="str">
            <v>a0a0</v>
          </cell>
          <cell r="F5" t="str">
            <v>a00</v>
          </cell>
          <cell r="G5">
            <v>0</v>
          </cell>
          <cell r="H5">
            <v>0</v>
          </cell>
          <cell r="I5">
            <v>0</v>
          </cell>
          <cell r="J5">
            <v>7362.8447999999999</v>
          </cell>
          <cell r="K5">
            <v>9624.2064000000009</v>
          </cell>
          <cell r="L5">
            <v>24968.3</v>
          </cell>
          <cell r="M5">
            <v>18331.682399999998</v>
          </cell>
          <cell r="N5">
            <v>18458.469620608899</v>
          </cell>
          <cell r="O5">
            <v>12634.606400000001</v>
          </cell>
          <cell r="P5">
            <v>32150.351200000001</v>
          </cell>
          <cell r="Q5">
            <v>71486.399999999994</v>
          </cell>
          <cell r="R5">
            <v>91272.487200000003</v>
          </cell>
          <cell r="S5">
            <v>98109.784</v>
          </cell>
          <cell r="T5">
            <v>122601.76239999999</v>
          </cell>
          <cell r="U5">
            <v>153533.70719999998</v>
          </cell>
          <cell r="V5">
            <v>195103.72719999999</v>
          </cell>
          <cell r="W5">
            <v>200724.18640000001</v>
          </cell>
          <cell r="X5">
            <v>234494.89599999995</v>
          </cell>
          <cell r="Y5">
            <v>254160.35519999999</v>
          </cell>
          <cell r="Z5">
            <v>296504.38719999994</v>
          </cell>
          <cell r="AA5">
            <v>328851.89839999995</v>
          </cell>
          <cell r="AB5">
            <v>352919.42839999998</v>
          </cell>
          <cell r="AC5">
            <v>389346.9265</v>
          </cell>
          <cell r="AD5">
            <v>391563.31269999995</v>
          </cell>
          <cell r="AE5">
            <v>432220.20310000004</v>
          </cell>
          <cell r="AF5">
            <v>479242.00900000002</v>
          </cell>
          <cell r="AG5">
            <v>491587.35200000001</v>
          </cell>
          <cell r="AH5">
            <v>621996.54799999995</v>
          </cell>
          <cell r="AI5">
            <v>764525.68099999998</v>
          </cell>
          <cell r="AJ5">
            <v>726121.09100000001</v>
          </cell>
          <cell r="AK5">
            <v>780149.64500000002</v>
          </cell>
        </row>
        <row r="7">
          <cell r="A7" t="str">
            <v>-  -  naturgas</v>
          </cell>
          <cell r="B7" t="str">
            <v>dnk</v>
          </cell>
          <cell r="C7" t="str">
            <v>udv</v>
          </cell>
          <cell r="D7" t="str">
            <v>nga</v>
          </cell>
          <cell r="E7" t="str">
            <v>a0a0</v>
          </cell>
          <cell r="F7" t="str">
            <v>a00</v>
          </cell>
          <cell r="G7">
            <v>7.7218556999999999</v>
          </cell>
          <cell r="H7">
            <v>15.288118170000001</v>
          </cell>
          <cell r="I7">
            <v>8.9698989900000008</v>
          </cell>
          <cell r="J7">
            <v>15.171122070000001</v>
          </cell>
          <cell r="K7">
            <v>10.764091260000001</v>
          </cell>
          <cell r="L7">
            <v>20.514070589999999</v>
          </cell>
          <cell r="M7">
            <v>17.589195</v>
          </cell>
          <cell r="N7">
            <v>19.18809984</v>
          </cell>
          <cell r="O7">
            <v>16.770096329999998</v>
          </cell>
          <cell r="P7">
            <v>813.8092072500001</v>
          </cell>
          <cell r="Q7">
            <v>1265.8707176700002</v>
          </cell>
          <cell r="R7">
            <v>1572.0629730000001</v>
          </cell>
          <cell r="S7">
            <v>11072.908665000004</v>
          </cell>
          <cell r="T7">
            <v>45664.790768999992</v>
          </cell>
          <cell r="U7">
            <v>75315.955532999986</v>
          </cell>
          <cell r="V7">
            <v>96828.408729000002</v>
          </cell>
          <cell r="W7">
            <v>97110.342185999994</v>
          </cell>
          <cell r="X7">
            <v>113576.841846</v>
          </cell>
          <cell r="Y7">
            <v>115966.886373</v>
          </cell>
          <cell r="Z7">
            <v>145712.240739</v>
          </cell>
          <cell r="AA7">
            <v>151778.38416000002</v>
          </cell>
          <cell r="AB7">
            <v>167790.60510779999</v>
          </cell>
          <cell r="AC7">
            <v>181802.23933469996</v>
          </cell>
          <cell r="AD7">
            <v>196851.99830999997</v>
          </cell>
          <cell r="AE7">
            <v>239199.4812828</v>
          </cell>
          <cell r="AF7">
            <v>295052.39739359997</v>
          </cell>
          <cell r="AG7">
            <v>286141.81423589995</v>
          </cell>
          <cell r="AH7">
            <v>294071.2317</v>
          </cell>
          <cell r="AI7">
            <v>310306.79758429999</v>
          </cell>
          <cell r="AJ7">
            <v>317755.67829572997</v>
          </cell>
          <cell r="AK7">
            <v>318323.54139686003</v>
          </cell>
        </row>
        <row r="8">
          <cell r="A8" t="str">
            <v>-  -  solvarme</v>
          </cell>
          <cell r="B8" t="str">
            <v>dnk</v>
          </cell>
          <cell r="C8" t="str">
            <v>udv</v>
          </cell>
          <cell r="D8" t="str">
            <v>sol</v>
          </cell>
          <cell r="E8" t="str">
            <v>a0a0</v>
          </cell>
          <cell r="F8" t="str">
            <v>a00</v>
          </cell>
          <cell r="G8">
            <v>0</v>
          </cell>
          <cell r="H8">
            <v>0</v>
          </cell>
          <cell r="I8">
            <v>0</v>
          </cell>
          <cell r="J8">
            <v>0</v>
          </cell>
          <cell r="K8">
            <v>0</v>
          </cell>
          <cell r="L8">
            <v>0</v>
          </cell>
          <cell r="M8">
            <v>10.8</v>
          </cell>
          <cell r="N8">
            <v>36</v>
          </cell>
          <cell r="O8">
            <v>50.4</v>
          </cell>
          <cell r="P8">
            <v>50.4</v>
          </cell>
          <cell r="Q8">
            <v>54</v>
          </cell>
          <cell r="R8">
            <v>54</v>
          </cell>
          <cell r="S8">
            <v>54</v>
          </cell>
          <cell r="T8">
            <v>57.6</v>
          </cell>
          <cell r="U8">
            <v>61.2</v>
          </cell>
          <cell r="V8">
            <v>61.2</v>
          </cell>
          <cell r="W8">
            <v>61.2</v>
          </cell>
          <cell r="X8">
            <v>79.8</v>
          </cell>
          <cell r="Y8">
            <v>99.600000000000009</v>
          </cell>
          <cell r="Z8">
            <v>119.39999999999999</v>
          </cell>
          <cell r="AA8">
            <v>138.89999999999998</v>
          </cell>
          <cell r="AB8">
            <v>160.1</v>
          </cell>
          <cell r="AC8">
            <v>184.80019999999939</v>
          </cell>
          <cell r="AD8">
            <v>212.29999999999998</v>
          </cell>
          <cell r="AE8">
            <v>254.19999999999996</v>
          </cell>
          <cell r="AF8">
            <v>280.2</v>
          </cell>
          <cell r="AG8">
            <v>299.79979999999381</v>
          </cell>
          <cell r="AH8">
            <v>317.09983999999969</v>
          </cell>
          <cell r="AI8">
            <v>330.70019999999971</v>
          </cell>
          <cell r="AJ8">
            <v>341.09999999999997</v>
          </cell>
          <cell r="AK8">
            <v>354.63</v>
          </cell>
        </row>
        <row r="9">
          <cell r="A9" t="str">
            <v>-  -  vindkraft</v>
          </cell>
          <cell r="B9" t="str">
            <v>dnk</v>
          </cell>
          <cell r="C9" t="str">
            <v>udv</v>
          </cell>
          <cell r="D9" t="str">
            <v>vin</v>
          </cell>
          <cell r="E9" t="str">
            <v>a0a0</v>
          </cell>
          <cell r="F9" t="str">
            <v>a00</v>
          </cell>
          <cell r="G9">
            <v>0</v>
          </cell>
          <cell r="H9">
            <v>0</v>
          </cell>
          <cell r="I9">
            <v>0</v>
          </cell>
          <cell r="J9">
            <v>0</v>
          </cell>
          <cell r="K9">
            <v>0</v>
          </cell>
          <cell r="L9">
            <v>0</v>
          </cell>
          <cell r="M9">
            <v>10.8</v>
          </cell>
          <cell r="N9">
            <v>21.6</v>
          </cell>
          <cell r="O9">
            <v>37.800000000000004</v>
          </cell>
          <cell r="P9">
            <v>37.800000000000004</v>
          </cell>
          <cell r="Q9">
            <v>66.600000000000009</v>
          </cell>
          <cell r="R9">
            <v>97.559999999999988</v>
          </cell>
          <cell r="S9">
            <v>119.52000000000001</v>
          </cell>
          <cell r="T9">
            <v>185.04</v>
          </cell>
          <cell r="U9">
            <v>452.15999999999997</v>
          </cell>
          <cell r="V9">
            <v>625.67999999999995</v>
          </cell>
          <cell r="W9">
            <v>1050.1199999999999</v>
          </cell>
          <cell r="X9">
            <v>1542.24</v>
          </cell>
          <cell r="Y9">
            <v>2197.08</v>
          </cell>
          <cell r="Z9">
            <v>2664.36</v>
          </cell>
          <cell r="AA9">
            <v>3295.44</v>
          </cell>
          <cell r="AB9">
            <v>3723.1200000000003</v>
          </cell>
          <cell r="AC9">
            <v>4093.2000000000003</v>
          </cell>
          <cell r="AD9">
            <v>4238.28</v>
          </cell>
          <cell r="AE9">
            <v>4416.84</v>
          </cell>
          <cell r="AF9">
            <v>6963.12</v>
          </cell>
          <cell r="AG9">
            <v>10151.640000000001</v>
          </cell>
          <cell r="AH9">
            <v>10904.4</v>
          </cell>
          <cell r="AI9">
            <v>15268.3165116</v>
          </cell>
          <cell r="AJ9">
            <v>15501.673421999998</v>
          </cell>
          <cell r="AK9">
            <v>17556.981984000002</v>
          </cell>
        </row>
        <row r="10">
          <cell r="A10" t="str">
            <v>-  -  vandkraft</v>
          </cell>
          <cell r="B10" t="str">
            <v>dnk</v>
          </cell>
          <cell r="C10" t="str">
            <v>udv</v>
          </cell>
          <cell r="D10" t="str">
            <v>van</v>
          </cell>
          <cell r="E10" t="str">
            <v>a0a0</v>
          </cell>
          <cell r="F10" t="str">
            <v>a00</v>
          </cell>
          <cell r="G10">
            <v>75.600000000000009</v>
          </cell>
          <cell r="H10">
            <v>0</v>
          </cell>
          <cell r="I10">
            <v>0</v>
          </cell>
          <cell r="J10">
            <v>75.600000000000009</v>
          </cell>
          <cell r="K10">
            <v>68.400000000000006</v>
          </cell>
          <cell r="L10">
            <v>93.600000000000009</v>
          </cell>
          <cell r="M10">
            <v>97.2</v>
          </cell>
          <cell r="N10">
            <v>104.4</v>
          </cell>
          <cell r="O10">
            <v>122.76</v>
          </cell>
          <cell r="P10">
            <v>127.8</v>
          </cell>
          <cell r="Q10">
            <v>109.08</v>
          </cell>
          <cell r="R10">
            <v>120.60000000000001</v>
          </cell>
          <cell r="S10">
            <v>108.72000000000001</v>
          </cell>
          <cell r="T10">
            <v>106.92</v>
          </cell>
          <cell r="U10">
            <v>102.96000000000001</v>
          </cell>
          <cell r="V10">
            <v>105.84</v>
          </cell>
          <cell r="W10">
            <v>118.08</v>
          </cell>
          <cell r="X10">
            <v>82.44</v>
          </cell>
          <cell r="Y10">
            <v>100.8</v>
          </cell>
          <cell r="Z10">
            <v>91.44</v>
          </cell>
          <cell r="AA10">
            <v>99.72</v>
          </cell>
          <cell r="AB10">
            <v>99</v>
          </cell>
          <cell r="AC10">
            <v>117.36000000000001</v>
          </cell>
          <cell r="AD10">
            <v>109.08</v>
          </cell>
          <cell r="AE10">
            <v>69.48</v>
          </cell>
          <cell r="AF10">
            <v>69.120000000000019</v>
          </cell>
          <cell r="AG10">
            <v>98.28</v>
          </cell>
          <cell r="AH10">
            <v>109.8</v>
          </cell>
          <cell r="AI10">
            <v>108.72</v>
          </cell>
          <cell r="AJ10">
            <v>99.360000000000014</v>
          </cell>
          <cell r="AK10">
            <v>114.48</v>
          </cell>
        </row>
        <row r="11">
          <cell r="A11" t="str">
            <v>-  -  geotermi</v>
          </cell>
          <cell r="B11" t="str">
            <v>dnk</v>
          </cell>
          <cell r="C11" t="str">
            <v>udv</v>
          </cell>
          <cell r="D11" t="str">
            <v>geo</v>
          </cell>
          <cell r="E11" t="str">
            <v>a0a0</v>
          </cell>
          <cell r="F11" t="str">
            <v>a00</v>
          </cell>
          <cell r="G11">
            <v>0</v>
          </cell>
          <cell r="H11">
            <v>0</v>
          </cell>
          <cell r="I11">
            <v>0</v>
          </cell>
          <cell r="J11">
            <v>0</v>
          </cell>
          <cell r="K11">
            <v>0</v>
          </cell>
          <cell r="L11">
            <v>0</v>
          </cell>
          <cell r="M11">
            <v>0</v>
          </cell>
          <cell r="N11">
            <v>0</v>
          </cell>
          <cell r="O11">
            <v>0</v>
          </cell>
          <cell r="P11">
            <v>0</v>
          </cell>
          <cell r="Q11">
            <v>0</v>
          </cell>
          <cell r="R11">
            <v>0</v>
          </cell>
          <cell r="S11">
            <v>0</v>
          </cell>
          <cell r="T11">
            <v>0</v>
          </cell>
          <cell r="U11">
            <v>0</v>
          </cell>
          <cell r="V11">
            <v>0</v>
          </cell>
          <cell r="W11">
            <v>0</v>
          </cell>
          <cell r="X11">
            <v>45</v>
          </cell>
          <cell r="Y11">
            <v>48</v>
          </cell>
          <cell r="Z11">
            <v>45</v>
          </cell>
          <cell r="AA11">
            <v>45</v>
          </cell>
          <cell r="AB11">
            <v>45</v>
          </cell>
          <cell r="AC11">
            <v>42.404000000000003</v>
          </cell>
          <cell r="AD11">
            <v>46.926000000000002</v>
          </cell>
          <cell r="AE11">
            <v>32.201999999999998</v>
          </cell>
          <cell r="AF11">
            <v>50.31</v>
          </cell>
          <cell r="AG11">
            <v>53.719000000000001</v>
          </cell>
          <cell r="AH11">
            <v>53.8631999999782</v>
          </cell>
          <cell r="AI11">
            <v>58.039199999976503</v>
          </cell>
          <cell r="AJ11">
            <v>71.37</v>
          </cell>
          <cell r="AK11">
            <v>84.74</v>
          </cell>
        </row>
        <row r="12">
          <cell r="A12" t="str">
            <v>-  -  halm</v>
          </cell>
          <cell r="B12" t="str">
            <v>dnk</v>
          </cell>
          <cell r="C12" t="str">
            <v>udv</v>
          </cell>
          <cell r="D12" t="str">
            <v>hal</v>
          </cell>
          <cell r="E12" t="str">
            <v>a0a0</v>
          </cell>
          <cell r="F12" t="str">
            <v>a00</v>
          </cell>
          <cell r="G12">
            <v>725</v>
          </cell>
          <cell r="H12">
            <v>0</v>
          </cell>
          <cell r="I12">
            <v>0</v>
          </cell>
          <cell r="J12">
            <v>725</v>
          </cell>
          <cell r="K12">
            <v>725</v>
          </cell>
          <cell r="L12">
            <v>1087.5</v>
          </cell>
          <cell r="M12">
            <v>1450</v>
          </cell>
          <cell r="N12">
            <v>2320</v>
          </cell>
          <cell r="O12">
            <v>4840.1000000000004</v>
          </cell>
          <cell r="P12">
            <v>6646.8</v>
          </cell>
          <cell r="Q12">
            <v>7419.8895000000002</v>
          </cell>
          <cell r="R12">
            <v>8318.65</v>
          </cell>
          <cell r="S12">
            <v>9419.9395000000004</v>
          </cell>
          <cell r="T12">
            <v>9892.1895000000004</v>
          </cell>
          <cell r="U12">
            <v>10273.9895</v>
          </cell>
          <cell r="V12">
            <v>10830.789500000001</v>
          </cell>
          <cell r="W12">
            <v>11258.3</v>
          </cell>
          <cell r="X12">
            <v>11658.7395</v>
          </cell>
          <cell r="Y12">
            <v>12481.15</v>
          </cell>
          <cell r="Z12">
            <v>13306.15</v>
          </cell>
          <cell r="AA12">
            <v>13880.15</v>
          </cell>
          <cell r="AB12">
            <v>13366.2201</v>
          </cell>
          <cell r="AC12">
            <v>12656.573290210577</v>
          </cell>
          <cell r="AD12">
            <v>13050.060011487078</v>
          </cell>
          <cell r="AE12">
            <v>13545.634900000001</v>
          </cell>
          <cell r="AF12">
            <v>13911.769997027397</v>
          </cell>
          <cell r="AG12">
            <v>13903.254571000001</v>
          </cell>
          <cell r="AH12">
            <v>13667.3744205</v>
          </cell>
          <cell r="AI12">
            <v>12219.60627</v>
          </cell>
          <cell r="AJ12">
            <v>13697.45</v>
          </cell>
          <cell r="AK12">
            <v>15732.84</v>
          </cell>
        </row>
        <row r="13">
          <cell r="A13" t="str">
            <v>-  -  skovflis</v>
          </cell>
          <cell r="B13" t="str">
            <v>dnk</v>
          </cell>
          <cell r="C13" t="str">
            <v>udv</v>
          </cell>
          <cell r="D13" t="str">
            <v>fli</v>
          </cell>
          <cell r="E13" t="str">
            <v>a0a0</v>
          </cell>
          <cell r="F13" t="str">
            <v>a00</v>
          </cell>
          <cell r="G13">
            <v>0</v>
          </cell>
          <cell r="H13">
            <v>0</v>
          </cell>
          <cell r="I13">
            <v>0</v>
          </cell>
          <cell r="J13">
            <v>0</v>
          </cell>
          <cell r="K13">
            <v>0</v>
          </cell>
          <cell r="L13">
            <v>0</v>
          </cell>
          <cell r="M13">
            <v>0</v>
          </cell>
          <cell r="N13">
            <v>0</v>
          </cell>
          <cell r="O13">
            <v>0</v>
          </cell>
          <cell r="P13">
            <v>0</v>
          </cell>
          <cell r="Q13">
            <v>0</v>
          </cell>
          <cell r="R13">
            <v>0</v>
          </cell>
          <cell r="S13">
            <v>0</v>
          </cell>
          <cell r="T13">
            <v>0</v>
          </cell>
          <cell r="U13">
            <v>1178.1199999999999</v>
          </cell>
          <cell r="V13">
            <v>1450.12</v>
          </cell>
          <cell r="W13">
            <v>1604.12</v>
          </cell>
          <cell r="X13">
            <v>1793.68</v>
          </cell>
          <cell r="Y13">
            <v>1723.68</v>
          </cell>
          <cell r="Z13">
            <v>1611.68</v>
          </cell>
          <cell r="AA13">
            <v>1841.68</v>
          </cell>
          <cell r="AB13">
            <v>1945.6799000000001</v>
          </cell>
          <cell r="AC13">
            <v>2265.0021900166175</v>
          </cell>
          <cell r="AD13">
            <v>2340.2716016513136</v>
          </cell>
          <cell r="AE13">
            <v>2757.9577560126586</v>
          </cell>
          <cell r="AF13">
            <v>2704.0709955400471</v>
          </cell>
          <cell r="AG13">
            <v>3038.3542934400007</v>
          </cell>
          <cell r="AH13">
            <v>2670.5106713699997</v>
          </cell>
          <cell r="AI13">
            <v>2744.4552904799998</v>
          </cell>
          <cell r="AJ13">
            <v>3178.2689999999998</v>
          </cell>
          <cell r="AK13">
            <v>3721.5900000000006</v>
          </cell>
        </row>
        <row r="14">
          <cell r="A14" t="str">
            <v>-  -  brænde</v>
          </cell>
          <cell r="B14" t="str">
            <v>dnk</v>
          </cell>
          <cell r="C14" t="str">
            <v>udv</v>
          </cell>
          <cell r="D14" t="str">
            <v>bra</v>
          </cell>
          <cell r="E14" t="str">
            <v>a0a0</v>
          </cell>
          <cell r="F14" t="str">
            <v>a00</v>
          </cell>
          <cell r="G14">
            <v>2998.8</v>
          </cell>
          <cell r="H14">
            <v>0</v>
          </cell>
          <cell r="I14">
            <v>0</v>
          </cell>
          <cell r="J14">
            <v>2191.56</v>
          </cell>
          <cell r="K14">
            <v>1982.04</v>
          </cell>
          <cell r="L14">
            <v>1403.04</v>
          </cell>
          <cell r="M14">
            <v>2494.92</v>
          </cell>
          <cell r="N14">
            <v>4986</v>
          </cell>
          <cell r="O14">
            <v>7621.44</v>
          </cell>
          <cell r="P14">
            <v>9746.16</v>
          </cell>
          <cell r="Q14">
            <v>10551.72</v>
          </cell>
          <cell r="R14">
            <v>10217.76</v>
          </cell>
          <cell r="S14">
            <v>9881.76</v>
          </cell>
          <cell r="T14">
            <v>9626.2800000000007</v>
          </cell>
          <cell r="U14">
            <v>9887.0400000000009</v>
          </cell>
          <cell r="V14">
            <v>10515.6</v>
          </cell>
          <cell r="W14">
            <v>9747.9599999999991</v>
          </cell>
          <cell r="X14">
            <v>8771.52</v>
          </cell>
          <cell r="Y14">
            <v>8757.1200000000008</v>
          </cell>
          <cell r="Z14">
            <v>10215.120000000001</v>
          </cell>
          <cell r="AA14">
            <v>10523.16</v>
          </cell>
          <cell r="AB14">
            <v>11662.32</v>
          </cell>
          <cell r="AC14">
            <v>11343.6</v>
          </cell>
          <cell r="AD14">
            <v>11478.6</v>
          </cell>
          <cell r="AE14">
            <v>12196.32</v>
          </cell>
          <cell r="AF14">
            <v>11967.24</v>
          </cell>
          <cell r="AG14">
            <v>10410.36</v>
          </cell>
          <cell r="AH14">
            <v>10231.799999999999</v>
          </cell>
          <cell r="AI14">
            <v>11654.64</v>
          </cell>
          <cell r="AJ14">
            <v>11917.68</v>
          </cell>
          <cell r="AK14">
            <v>11290.632608544636</v>
          </cell>
        </row>
        <row r="15">
          <cell r="A15" t="str">
            <v>-  -  træpiller</v>
          </cell>
          <cell r="B15" t="str">
            <v>dnk</v>
          </cell>
          <cell r="C15" t="str">
            <v>udv</v>
          </cell>
          <cell r="D15" t="str">
            <v>tpi</v>
          </cell>
          <cell r="E15" t="str">
            <v>a0a0</v>
          </cell>
          <cell r="F15" t="str">
            <v>a00</v>
          </cell>
          <cell r="G15">
            <v>0</v>
          </cell>
          <cell r="H15">
            <v>0</v>
          </cell>
          <cell r="I15">
            <v>0</v>
          </cell>
          <cell r="J15">
            <v>0</v>
          </cell>
          <cell r="K15">
            <v>0</v>
          </cell>
          <cell r="L15">
            <v>0</v>
          </cell>
          <cell r="M15">
            <v>0</v>
          </cell>
          <cell r="N15">
            <v>0</v>
          </cell>
          <cell r="O15">
            <v>0</v>
          </cell>
          <cell r="P15">
            <v>0</v>
          </cell>
          <cell r="Q15">
            <v>0</v>
          </cell>
          <cell r="R15">
            <v>0</v>
          </cell>
          <cell r="S15">
            <v>0</v>
          </cell>
          <cell r="T15">
            <v>0</v>
          </cell>
          <cell r="U15">
            <v>40.46</v>
          </cell>
          <cell r="V15">
            <v>180.46</v>
          </cell>
          <cell r="W15">
            <v>355.46</v>
          </cell>
          <cell r="X15">
            <v>927.5</v>
          </cell>
          <cell r="Y15">
            <v>1575</v>
          </cell>
          <cell r="Z15">
            <v>2118</v>
          </cell>
          <cell r="AA15">
            <v>2479</v>
          </cell>
          <cell r="AB15">
            <v>2096.6098000000002</v>
          </cell>
          <cell r="AC15">
            <v>2117.1106748749994</v>
          </cell>
          <cell r="AD15">
            <v>2138.0502149999998</v>
          </cell>
          <cell r="AE15">
            <v>2215.4942040000001</v>
          </cell>
          <cell r="AF15">
            <v>2278.5864865650374</v>
          </cell>
          <cell r="AG15">
            <v>2420.1153899999999</v>
          </cell>
          <cell r="AH15">
            <v>2831.218995794</v>
          </cell>
          <cell r="AI15">
            <v>2984.1085695000006</v>
          </cell>
          <cell r="AJ15">
            <v>3027.2405625000001</v>
          </cell>
          <cell r="AK15">
            <v>3181.1836800000001</v>
          </cell>
        </row>
        <row r="16">
          <cell r="A16" t="str">
            <v>-  -  træaffald</v>
          </cell>
          <cell r="B16" t="str">
            <v>dnk</v>
          </cell>
          <cell r="C16" t="str">
            <v>udv</v>
          </cell>
          <cell r="D16" t="str">
            <v>taf</v>
          </cell>
          <cell r="E16" t="str">
            <v>a0a0</v>
          </cell>
          <cell r="F16" t="str">
            <v>a00</v>
          </cell>
          <cell r="G16">
            <v>2561.6171915464997</v>
          </cell>
          <cell r="H16">
            <v>0</v>
          </cell>
          <cell r="I16">
            <v>0</v>
          </cell>
          <cell r="J16">
            <v>3310.4266823650692</v>
          </cell>
          <cell r="K16">
            <v>3631.7415770261</v>
          </cell>
          <cell r="L16">
            <v>3885.4172943183553</v>
          </cell>
          <cell r="M16">
            <v>3953.861621013968</v>
          </cell>
          <cell r="N16">
            <v>4024.1408153810221</v>
          </cell>
          <cell r="O16">
            <v>3709.9832597213226</v>
          </cell>
          <cell r="P16">
            <v>4250.6302293364952</v>
          </cell>
          <cell r="Q16">
            <v>4423.9497386850453</v>
          </cell>
          <cell r="R16">
            <v>4780.9329781669057</v>
          </cell>
          <cell r="S16">
            <v>5229.2815874207208</v>
          </cell>
          <cell r="T16">
            <v>5381.9256966745352</v>
          </cell>
          <cell r="U16">
            <v>5919.7141885353467</v>
          </cell>
          <cell r="V16">
            <v>5821.3603349951936</v>
          </cell>
          <cell r="W16">
            <v>5921.6132374888575</v>
          </cell>
          <cell r="X16">
            <v>6102.5570097336376</v>
          </cell>
          <cell r="Y16">
            <v>6191.0131861197415</v>
          </cell>
          <cell r="Z16">
            <v>6097.6370402167977</v>
          </cell>
          <cell r="AA16">
            <v>6186.8204555074353</v>
          </cell>
          <cell r="AB16">
            <v>6515.2366788383833</v>
          </cell>
          <cell r="AC16">
            <v>6102.8216644421072</v>
          </cell>
          <cell r="AD16">
            <v>5693.8649846060143</v>
          </cell>
          <cell r="AE16">
            <v>5733.1042315762152</v>
          </cell>
          <cell r="AF16">
            <v>5903.6199120852425</v>
          </cell>
          <cell r="AG16">
            <v>6263.2490351632359</v>
          </cell>
          <cell r="AH16">
            <v>7158.8234454815656</v>
          </cell>
          <cell r="AI16">
            <v>6898.3834496686995</v>
          </cell>
          <cell r="AJ16">
            <v>8566.8826697250388</v>
          </cell>
          <cell r="AK16">
            <v>10351.982669725041</v>
          </cell>
        </row>
        <row r="17">
          <cell r="A17" t="str">
            <v>-  -  biogas, deponi</v>
          </cell>
          <cell r="B17" t="str">
            <v>dnk</v>
          </cell>
          <cell r="C17" t="str">
            <v>udv</v>
          </cell>
          <cell r="D17" t="str">
            <v>bid</v>
          </cell>
          <cell r="E17" t="str">
            <v>a0a0</v>
          </cell>
          <cell r="F17" t="str">
            <v>a00</v>
          </cell>
          <cell r="G17">
            <v>0</v>
          </cell>
          <cell r="H17">
            <v>0</v>
          </cell>
          <cell r="I17">
            <v>0</v>
          </cell>
          <cell r="J17">
            <v>0</v>
          </cell>
          <cell r="K17">
            <v>0</v>
          </cell>
          <cell r="L17">
            <v>0</v>
          </cell>
          <cell r="M17">
            <v>0</v>
          </cell>
          <cell r="N17">
            <v>0</v>
          </cell>
          <cell r="O17">
            <v>0</v>
          </cell>
          <cell r="P17">
            <v>0</v>
          </cell>
          <cell r="Q17">
            <v>0</v>
          </cell>
          <cell r="R17">
            <v>0</v>
          </cell>
          <cell r="S17">
            <v>0</v>
          </cell>
          <cell r="T17">
            <v>0</v>
          </cell>
          <cell r="U17">
            <v>0</v>
          </cell>
          <cell r="V17">
            <v>0</v>
          </cell>
          <cell r="W17">
            <v>8.8333320377834692</v>
          </cell>
          <cell r="X17">
            <v>11.196305867234768</v>
          </cell>
          <cell r="Y17">
            <v>27.503243950449804</v>
          </cell>
          <cell r="Z17">
            <v>39.81280384812144</v>
          </cell>
          <cell r="AA17">
            <v>78.502857536689135</v>
          </cell>
          <cell r="AB17">
            <v>96.540467099045443</v>
          </cell>
          <cell r="AC17">
            <v>121.48811999999998</v>
          </cell>
          <cell r="AD17">
            <v>179.93263199999998</v>
          </cell>
          <cell r="AE17">
            <v>186.90455899999995</v>
          </cell>
          <cell r="AF17">
            <v>382.85152375260151</v>
          </cell>
          <cell r="AG17">
            <v>488.03625899999997</v>
          </cell>
          <cell r="AH17">
            <v>638.09774749999974</v>
          </cell>
          <cell r="AI17">
            <v>612.85</v>
          </cell>
          <cell r="AJ17">
            <v>557.37999999999988</v>
          </cell>
          <cell r="AK17">
            <v>623.15</v>
          </cell>
        </row>
        <row r="18">
          <cell r="A18" t="str">
            <v>-  -  biogas, slam</v>
          </cell>
          <cell r="B18" t="str">
            <v>dnk</v>
          </cell>
          <cell r="C18" t="str">
            <v>udv</v>
          </cell>
          <cell r="D18" t="str">
            <v>bis</v>
          </cell>
          <cell r="E18" t="str">
            <v>a0a0</v>
          </cell>
          <cell r="F18" t="str">
            <v>a00</v>
          </cell>
          <cell r="G18">
            <v>92.5505</v>
          </cell>
          <cell r="H18">
            <v>0</v>
          </cell>
          <cell r="I18">
            <v>0</v>
          </cell>
          <cell r="J18">
            <v>92.5505</v>
          </cell>
          <cell r="K18">
            <v>102.5505</v>
          </cell>
          <cell r="L18">
            <v>112.5505</v>
          </cell>
          <cell r="M18">
            <v>112.5505</v>
          </cell>
          <cell r="N18">
            <v>112.5505</v>
          </cell>
          <cell r="O18">
            <v>122.5505</v>
          </cell>
          <cell r="P18">
            <v>132.5505</v>
          </cell>
          <cell r="Q18">
            <v>142.5505</v>
          </cell>
          <cell r="R18">
            <v>142.5505</v>
          </cell>
          <cell r="S18">
            <v>154.26717749736792</v>
          </cell>
          <cell r="T18">
            <v>165.98385499473585</v>
          </cell>
          <cell r="U18">
            <v>180.98385499473585</v>
          </cell>
          <cell r="V18">
            <v>180.98385499473585</v>
          </cell>
          <cell r="W18">
            <v>171.98385499473585</v>
          </cell>
          <cell r="X18">
            <v>394.45854111279357</v>
          </cell>
          <cell r="Y18">
            <v>434.09645661016145</v>
          </cell>
          <cell r="Z18">
            <v>446.48275862068965</v>
          </cell>
          <cell r="AA18">
            <v>407.86206896551727</v>
          </cell>
          <cell r="AB18">
            <v>389.86206896551727</v>
          </cell>
          <cell r="AC18">
            <v>445.82618400002559</v>
          </cell>
          <cell r="AD18">
            <v>585.09890794653109</v>
          </cell>
          <cell r="AE18">
            <v>660</v>
          </cell>
          <cell r="AF18">
            <v>712.55961411405269</v>
          </cell>
          <cell r="AG18">
            <v>694.98771070000043</v>
          </cell>
          <cell r="AH18">
            <v>790.39135206000083</v>
          </cell>
          <cell r="AI18">
            <v>857.21436600000015</v>
          </cell>
          <cell r="AJ18">
            <v>856.97</v>
          </cell>
          <cell r="AK18">
            <v>866.83</v>
          </cell>
        </row>
        <row r="19">
          <cell r="A19" t="str">
            <v>-  -  biogas, andet</v>
          </cell>
          <cell r="B19" t="str">
            <v>dnk</v>
          </cell>
          <cell r="C19" t="str">
            <v>udv</v>
          </cell>
          <cell r="D19" t="str">
            <v>bia</v>
          </cell>
          <cell r="E19" t="str">
            <v>a0a0</v>
          </cell>
          <cell r="F19" t="str">
            <v>a00</v>
          </cell>
          <cell r="G19">
            <v>61.4495</v>
          </cell>
          <cell r="H19">
            <v>0</v>
          </cell>
          <cell r="I19">
            <v>0</v>
          </cell>
          <cell r="J19">
            <v>61.4495</v>
          </cell>
          <cell r="K19">
            <v>61.4495</v>
          </cell>
          <cell r="L19">
            <v>61.4495</v>
          </cell>
          <cell r="M19">
            <v>61.4495</v>
          </cell>
          <cell r="N19">
            <v>61.4495</v>
          </cell>
          <cell r="O19">
            <v>61.4495</v>
          </cell>
          <cell r="P19">
            <v>61.4495</v>
          </cell>
          <cell r="Q19">
            <v>61.4495</v>
          </cell>
          <cell r="R19">
            <v>63.4495</v>
          </cell>
          <cell r="S19">
            <v>94.732822502632061</v>
          </cell>
          <cell r="T19">
            <v>128.01614500526415</v>
          </cell>
          <cell r="U19">
            <v>164.01614500526415</v>
          </cell>
          <cell r="V19">
            <v>161.01614500526415</v>
          </cell>
          <cell r="W19">
            <v>173.01614500526415</v>
          </cell>
          <cell r="X19">
            <v>230.0242175078962</v>
          </cell>
          <cell r="Y19">
            <v>290.0322900105283</v>
          </cell>
          <cell r="Z19">
            <v>423.76000199999999</v>
          </cell>
          <cell r="AA19">
            <v>412.51064000000002</v>
          </cell>
          <cell r="AB19">
            <v>590.35289999999998</v>
          </cell>
          <cell r="AC19">
            <v>712.17367200158856</v>
          </cell>
          <cell r="AD19">
            <v>988.65429328412506</v>
          </cell>
          <cell r="AE19">
            <v>1143.0954410000002</v>
          </cell>
          <cell r="AF19">
            <v>1298.5888621333456</v>
          </cell>
          <cell r="AG19">
            <v>1486.9760302999998</v>
          </cell>
          <cell r="AH19">
            <v>1227.7323004399998</v>
          </cell>
          <cell r="AI19">
            <v>1441.8977464874606</v>
          </cell>
          <cell r="AJ19">
            <v>1632.6109401999997</v>
          </cell>
          <cell r="AK19">
            <v>1871.81</v>
          </cell>
        </row>
        <row r="45">
          <cell r="A45" t="str">
            <v>-  -  koks m.m.</v>
          </cell>
          <cell r="B45" t="str">
            <v>dnk</v>
          </cell>
          <cell r="C45" t="str">
            <v>imp</v>
          </cell>
          <cell r="D45" t="str">
            <v>kok</v>
          </cell>
          <cell r="E45" t="str">
            <v>a0a0</v>
          </cell>
          <cell r="F45" t="str">
            <v>a00</v>
          </cell>
          <cell r="G45">
            <v>2976.7</v>
          </cell>
          <cell r="H45">
            <v>0</v>
          </cell>
          <cell r="I45">
            <v>0</v>
          </cell>
          <cell r="J45">
            <v>2051.9</v>
          </cell>
          <cell r="K45">
            <v>2918.9</v>
          </cell>
          <cell r="L45">
            <v>2982.48</v>
          </cell>
          <cell r="M45">
            <v>3158.77</v>
          </cell>
          <cell r="N45">
            <v>3884.16</v>
          </cell>
          <cell r="O45">
            <v>2932.5696999999996</v>
          </cell>
          <cell r="P45">
            <v>1924.8869134389997</v>
          </cell>
          <cell r="Q45">
            <v>2366.3897999999999</v>
          </cell>
          <cell r="R45">
            <v>2412.0990000000002</v>
          </cell>
          <cell r="S45">
            <v>1556.2072000000001</v>
          </cell>
          <cell r="T45">
            <v>2158.8426999999997</v>
          </cell>
          <cell r="U45">
            <v>1436.1193000000001</v>
          </cell>
          <cell r="V45">
            <v>1430.1216000000002</v>
          </cell>
          <cell r="W45">
            <v>1106.7255</v>
          </cell>
          <cell r="X45">
            <v>930.0886999999999</v>
          </cell>
          <cell r="Y45">
            <v>1304.6268</v>
          </cell>
          <cell r="Z45">
            <v>1474.6690000000001</v>
          </cell>
          <cell r="AA45">
            <v>1155.6213</v>
          </cell>
          <cell r="AB45">
            <v>1177.0396000000001</v>
          </cell>
          <cell r="AC45">
            <v>1170.3885</v>
          </cell>
          <cell r="AD45">
            <v>1327.0849000000001</v>
          </cell>
          <cell r="AE45">
            <v>1070.7684999999999</v>
          </cell>
          <cell r="AF45">
            <v>1365.0284000000001</v>
          </cell>
          <cell r="AG45">
            <v>1336.6367</v>
          </cell>
          <cell r="AH45">
            <v>1424.566</v>
          </cell>
          <cell r="AI45">
            <v>1384.4836</v>
          </cell>
          <cell r="AJ45">
            <v>894.44110000000001</v>
          </cell>
          <cell r="AK45">
            <v>1124.5047</v>
          </cell>
        </row>
        <row r="46">
          <cell r="A46" t="str">
            <v>-  -  brunkulsbriketter</v>
          </cell>
          <cell r="B46" t="str">
            <v>dnk</v>
          </cell>
          <cell r="C46" t="str">
            <v>imp</v>
          </cell>
          <cell r="D46" t="str">
            <v>brk</v>
          </cell>
          <cell r="E46" t="str">
            <v>a0a0</v>
          </cell>
          <cell r="F46" t="str">
            <v>a00</v>
          </cell>
          <cell r="G46">
            <v>577.79999999999995</v>
          </cell>
          <cell r="H46">
            <v>0</v>
          </cell>
          <cell r="I46">
            <v>0</v>
          </cell>
          <cell r="J46">
            <v>342</v>
          </cell>
          <cell r="K46">
            <v>257.49</v>
          </cell>
          <cell r="L46">
            <v>261</v>
          </cell>
          <cell r="M46">
            <v>223.2</v>
          </cell>
          <cell r="N46">
            <v>340.2</v>
          </cell>
          <cell r="O46">
            <v>409.77</v>
          </cell>
          <cell r="P46">
            <v>517.14</v>
          </cell>
          <cell r="Q46">
            <v>920.48400000000004</v>
          </cell>
          <cell r="R46">
            <v>602.14700000000005</v>
          </cell>
          <cell r="S46">
            <v>637.98279999999988</v>
          </cell>
          <cell r="T46">
            <v>762.28380000000004</v>
          </cell>
          <cell r="U46">
            <v>493.94900000000007</v>
          </cell>
          <cell r="V46">
            <v>420.21979999999996</v>
          </cell>
          <cell r="W46">
            <v>146.05230000000003</v>
          </cell>
          <cell r="X46">
            <v>85.932000000000002</v>
          </cell>
          <cell r="Y46">
            <v>128.57580000000002</v>
          </cell>
          <cell r="Z46">
            <v>80.044200000000004</v>
          </cell>
          <cell r="AA46">
            <v>68.039400000000015</v>
          </cell>
          <cell r="AB46">
            <v>85.534199999999998</v>
          </cell>
          <cell r="AC46">
            <v>94.31819999999999</v>
          </cell>
          <cell r="AD46">
            <v>58.065899999999999</v>
          </cell>
          <cell r="AE46">
            <v>65.111400000000003</v>
          </cell>
          <cell r="AF46">
            <v>68.167500000000004</v>
          </cell>
          <cell r="AG46">
            <v>48.092400000000005</v>
          </cell>
          <cell r="AH46">
            <v>29.151900000000001</v>
          </cell>
          <cell r="AI46">
            <v>18.8124</v>
          </cell>
          <cell r="AJ46">
            <v>13.542</v>
          </cell>
          <cell r="AK46">
            <v>17.403299999999998</v>
          </cell>
        </row>
        <row r="52">
          <cell r="A52" t="str">
            <v>-  -  råolie</v>
          </cell>
          <cell r="B52" t="str">
            <v>dnk</v>
          </cell>
          <cell r="C52" t="str">
            <v>exp</v>
          </cell>
          <cell r="D52" t="str">
            <v>rao</v>
          </cell>
          <cell r="E52" t="str">
            <v>a0a0</v>
          </cell>
          <cell r="F52" t="str">
            <v>a00</v>
          </cell>
          <cell r="G52">
            <v>0</v>
          </cell>
          <cell r="H52">
            <v>0</v>
          </cell>
          <cell r="I52">
            <v>0</v>
          </cell>
          <cell r="J52">
            <v>0</v>
          </cell>
          <cell r="K52">
            <v>0</v>
          </cell>
          <cell r="L52">
            <v>-4905.8495999999996</v>
          </cell>
          <cell r="M52">
            <v>-4335.3575999999994</v>
          </cell>
          <cell r="N52">
            <v>-8336.1656955503495</v>
          </cell>
          <cell r="O52">
            <v>-1505.3695999999998</v>
          </cell>
          <cell r="P52">
            <v>-8791.9367999999995</v>
          </cell>
          <cell r="Q52">
            <v>-30529.1024</v>
          </cell>
          <cell r="R52">
            <v>-48396.292799999996</v>
          </cell>
          <cell r="S52">
            <v>-37147.784799999994</v>
          </cell>
          <cell r="T52">
            <v>-41149.963199999998</v>
          </cell>
          <cell r="U52">
            <v>-35625.879199999996</v>
          </cell>
          <cell r="V52">
            <v>-73713.290399999998</v>
          </cell>
          <cell r="W52">
            <v>-82853.712799999994</v>
          </cell>
          <cell r="X52">
            <v>-96090.950399999987</v>
          </cell>
          <cell r="Y52">
            <v>-117426.07920000001</v>
          </cell>
          <cell r="Z52">
            <v>-180368.41279999999</v>
          </cell>
          <cell r="AA52">
            <v>-187681.31040000002</v>
          </cell>
          <cell r="AB52">
            <v>-218421.73010000002</v>
          </cell>
          <cell r="AC52">
            <v>-252323.26699999996</v>
          </cell>
          <cell r="AD52">
            <v>-202957.37</v>
          </cell>
          <cell r="AE52">
            <v>-223787.62560000003</v>
          </cell>
          <cell r="AF52">
            <v>-302271.33799999999</v>
          </cell>
          <cell r="AG52">
            <v>-356384.473</v>
          </cell>
          <cell r="AH52">
            <v>-473626.55300000001</v>
          </cell>
          <cell r="AI52">
            <v>-575964.57499999995</v>
          </cell>
          <cell r="AJ52">
            <v>-513159.59199999995</v>
          </cell>
          <cell r="AK52">
            <v>-590239.06999999995</v>
          </cell>
        </row>
        <row r="68">
          <cell r="A68" t="str">
            <v>-  -  naturgas</v>
          </cell>
          <cell r="B68" t="str">
            <v>dnk</v>
          </cell>
          <cell r="C68" t="str">
            <v>exp</v>
          </cell>
          <cell r="D68" t="str">
            <v>nga</v>
          </cell>
          <cell r="E68" t="str">
            <v>a0a0</v>
          </cell>
          <cell r="F68" t="str">
            <v>a00</v>
          </cell>
          <cell r="G68">
            <v>0</v>
          </cell>
          <cell r="H68">
            <v>0</v>
          </cell>
          <cell r="I68">
            <v>0</v>
          </cell>
          <cell r="J68">
            <v>0</v>
          </cell>
          <cell r="K68">
            <v>0</v>
          </cell>
          <cell r="L68">
            <v>0</v>
          </cell>
          <cell r="M68">
            <v>0</v>
          </cell>
          <cell r="N68">
            <v>0</v>
          </cell>
          <cell r="O68">
            <v>0</v>
          </cell>
          <cell r="P68">
            <v>0</v>
          </cell>
          <cell r="Q68">
            <v>0</v>
          </cell>
          <cell r="R68">
            <v>0</v>
          </cell>
          <cell r="S68">
            <v>-5128.5389999999998</v>
          </cell>
          <cell r="T68">
            <v>-16561.544999999998</v>
          </cell>
          <cell r="U68">
            <v>-22655.079603000002</v>
          </cell>
          <cell r="V68">
            <v>-27856.199007000003</v>
          </cell>
          <cell r="W68">
            <v>-30873.467000999997</v>
          </cell>
          <cell r="X68">
            <v>-34356.621936000003</v>
          </cell>
          <cell r="Y68">
            <v>-38855.071319999995</v>
          </cell>
          <cell r="Z68">
            <v>-52405.816944000006</v>
          </cell>
          <cell r="AA68">
            <v>-57461.273258999994</v>
          </cell>
          <cell r="AB68">
            <v>-60425.244421799995</v>
          </cell>
          <cell r="AC68">
            <v>-62827.536779399998</v>
          </cell>
          <cell r="AD68">
            <v>-62649.158480999999</v>
          </cell>
          <cell r="AE68">
            <v>-71414.785637399997</v>
          </cell>
          <cell r="AF68">
            <v>-116866.7938152</v>
          </cell>
          <cell r="AG68">
            <v>-105422.1649278</v>
          </cell>
          <cell r="AH68">
            <v>-107498.41039999999</v>
          </cell>
          <cell r="AI68">
            <v>-120678.32096484999</v>
          </cell>
          <cell r="AJ68">
            <v>-127881.21125871898</v>
          </cell>
          <cell r="AK68">
            <v>-128610.57279882001</v>
          </cell>
        </row>
        <row r="69">
          <cell r="A69" t="str">
            <v>-  -  elværkskul</v>
          </cell>
          <cell r="B69" t="str">
            <v>dnk</v>
          </cell>
          <cell r="C69" t="str">
            <v>exp</v>
          </cell>
          <cell r="D69" t="str">
            <v>ske</v>
          </cell>
          <cell r="E69" t="str">
            <v>a0a0</v>
          </cell>
          <cell r="F69" t="str">
            <v>a00</v>
          </cell>
          <cell r="G69">
            <v>0</v>
          </cell>
          <cell r="H69">
            <v>0</v>
          </cell>
          <cell r="I69">
            <v>0</v>
          </cell>
          <cell r="J69">
            <v>0</v>
          </cell>
          <cell r="K69">
            <v>0</v>
          </cell>
          <cell r="L69">
            <v>0</v>
          </cell>
          <cell r="M69">
            <v>0</v>
          </cell>
          <cell r="N69">
            <v>0</v>
          </cell>
          <cell r="O69">
            <v>0</v>
          </cell>
          <cell r="P69">
            <v>0</v>
          </cell>
          <cell r="Q69">
            <v>0</v>
          </cell>
          <cell r="R69">
            <v>0</v>
          </cell>
          <cell r="S69">
            <v>0</v>
          </cell>
          <cell r="T69">
            <v>0</v>
          </cell>
          <cell r="U69">
            <v>0</v>
          </cell>
          <cell r="V69">
            <v>0</v>
          </cell>
          <cell r="W69">
            <v>0</v>
          </cell>
          <cell r="X69">
            <v>0</v>
          </cell>
          <cell r="Y69">
            <v>0</v>
          </cell>
          <cell r="Z69">
            <v>0</v>
          </cell>
          <cell r="AA69">
            <v>0</v>
          </cell>
          <cell r="AB69">
            <v>-237.9888</v>
          </cell>
          <cell r="AC69">
            <v>-1243.2525000000001</v>
          </cell>
          <cell r="AD69">
            <v>-388.00650000000002</v>
          </cell>
          <cell r="AE69">
            <v>-3793.92</v>
          </cell>
          <cell r="AF69">
            <v>-2620.8000000000002</v>
          </cell>
          <cell r="AG69">
            <v>-4244.4250000000002</v>
          </cell>
          <cell r="AH69">
            <v>-4800</v>
          </cell>
          <cell r="AI69">
            <v>-3012.7783999999997</v>
          </cell>
          <cell r="AJ69">
            <v>-4066.8775999999993</v>
          </cell>
          <cell r="AK69">
            <v>-4014.1160499999996</v>
          </cell>
        </row>
        <row r="149">
          <cell r="A149" t="str">
            <v>Udvinding og forgasning</v>
          </cell>
        </row>
        <row r="150">
          <cell r="A150" t="str">
            <v>-  udvinding</v>
          </cell>
        </row>
        <row r="151">
          <cell r="A151" t="str">
            <v>-  -  naturgas</v>
          </cell>
          <cell r="B151" t="str">
            <v>plf</v>
          </cell>
          <cell r="C151" t="str">
            <v>udf</v>
          </cell>
          <cell r="D151" t="str">
            <v>nga</v>
          </cell>
          <cell r="E151" t="str">
            <v>a0a0</v>
          </cell>
          <cell r="F151" t="str">
            <v>a00</v>
          </cell>
          <cell r="G151">
            <v>-7.7218556999999999</v>
          </cell>
          <cell r="H151">
            <v>-15.288118170000001</v>
          </cell>
          <cell r="I151">
            <v>-8.9698989900000008</v>
          </cell>
          <cell r="J151">
            <v>-15.171122070000001</v>
          </cell>
          <cell r="K151">
            <v>-10.764091260000001</v>
          </cell>
          <cell r="L151">
            <v>-20.514070589999999</v>
          </cell>
          <cell r="M151">
            <v>-17.589195</v>
          </cell>
          <cell r="N151">
            <v>-19.18809984</v>
          </cell>
          <cell r="O151">
            <v>-16.770096329999998</v>
          </cell>
          <cell r="P151">
            <v>-813.8092072500001</v>
          </cell>
          <cell r="Q151">
            <v>-1265.8707176700002</v>
          </cell>
          <cell r="R151">
            <v>-1572.0629730000001</v>
          </cell>
          <cell r="S151">
            <v>-2487.855513</v>
          </cell>
          <cell r="T151">
            <v>-4150.7636430000002</v>
          </cell>
          <cell r="U151">
            <v>-5210.2955580000007</v>
          </cell>
          <cell r="V151">
            <v>-7390.8444870000003</v>
          </cell>
          <cell r="W151">
            <v>-8805.4121609999984</v>
          </cell>
          <cell r="X151">
            <v>-9131.4885090000007</v>
          </cell>
          <cell r="Y151">
            <v>-9132.5143650000009</v>
          </cell>
          <cell r="Z151">
            <v>-9353.2978110000004</v>
          </cell>
          <cell r="AA151">
            <v>-10768.926753</v>
          </cell>
          <cell r="AB151">
            <v>-10885.7100261</v>
          </cell>
          <cell r="AC151">
            <v>-11995.0211659</v>
          </cell>
          <cell r="AD151">
            <v>-12583.476636513504</v>
          </cell>
          <cell r="AE151">
            <v>-14986.760734822015</v>
          </cell>
          <cell r="AF151">
            <v>-19580.054804418589</v>
          </cell>
          <cell r="AG151">
            <v>-21762.333102530771</v>
          </cell>
          <cell r="AH151">
            <v>-23696.390398583193</v>
          </cell>
          <cell r="AI151">
            <v>-25100.907635799995</v>
          </cell>
          <cell r="AJ151">
            <v>-24453.452190430005</v>
          </cell>
          <cell r="AK151">
            <v>-26226.871916660006</v>
          </cell>
        </row>
        <row r="152">
          <cell r="A152" t="str">
            <v>-  forgasning</v>
          </cell>
        </row>
        <row r="153">
          <cell r="A153" t="str">
            <v>-  -  biogas fra deponi</v>
          </cell>
          <cell r="B153" t="str">
            <v>fgv</v>
          </cell>
          <cell r="C153" t="str">
            <v>fgs</v>
          </cell>
          <cell r="D153" t="str">
            <v>bid</v>
          </cell>
          <cell r="E153" t="str">
            <v>a0a0</v>
          </cell>
          <cell r="F153" t="str">
            <v>a00</v>
          </cell>
          <cell r="G153">
            <v>0</v>
          </cell>
          <cell r="H153">
            <v>0</v>
          </cell>
          <cell r="I153">
            <v>0</v>
          </cell>
          <cell r="J153">
            <v>0</v>
          </cell>
          <cell r="K153">
            <v>0</v>
          </cell>
          <cell r="L153">
            <v>0</v>
          </cell>
          <cell r="M153">
            <v>0</v>
          </cell>
          <cell r="N153">
            <v>0</v>
          </cell>
          <cell r="O153">
            <v>0</v>
          </cell>
          <cell r="P153">
            <v>0</v>
          </cell>
          <cell r="Q153">
            <v>0</v>
          </cell>
          <cell r="R153">
            <v>0</v>
          </cell>
          <cell r="S153">
            <v>0</v>
          </cell>
          <cell r="T153">
            <v>0</v>
          </cell>
          <cell r="U153">
            <v>0</v>
          </cell>
          <cell r="V153">
            <v>0</v>
          </cell>
          <cell r="W153">
            <v>0</v>
          </cell>
          <cell r="X153">
            <v>0</v>
          </cell>
          <cell r="Y153">
            <v>0</v>
          </cell>
          <cell r="Z153">
            <v>0</v>
          </cell>
          <cell r="AA153">
            <v>0</v>
          </cell>
          <cell r="AB153">
            <v>0</v>
          </cell>
          <cell r="AC153">
            <v>0</v>
          </cell>
          <cell r="AD153">
            <v>0</v>
          </cell>
          <cell r="AE153">
            <v>0</v>
          </cell>
          <cell r="AF153">
            <v>0</v>
          </cell>
          <cell r="AG153">
            <v>0</v>
          </cell>
          <cell r="AH153">
            <v>-41.452743713255401</v>
          </cell>
          <cell r="AI153">
            <v>-37.229999999999997</v>
          </cell>
          <cell r="AJ153">
            <v>-21.77</v>
          </cell>
          <cell r="AK153">
            <v>-21.96</v>
          </cell>
        </row>
        <row r="154">
          <cell r="A154" t="str">
            <v>-  -  anden biogas</v>
          </cell>
          <cell r="B154" t="str">
            <v>fgv</v>
          </cell>
          <cell r="C154" t="str">
            <v>fgs</v>
          </cell>
          <cell r="D154" t="str">
            <v>bia</v>
          </cell>
          <cell r="E154" t="str">
            <v>a0a0</v>
          </cell>
          <cell r="F154" t="str">
            <v>a00</v>
          </cell>
          <cell r="G154">
            <v>0</v>
          </cell>
          <cell r="H154">
            <v>0</v>
          </cell>
          <cell r="I154">
            <v>0</v>
          </cell>
          <cell r="J154">
            <v>0</v>
          </cell>
          <cell r="K154">
            <v>0</v>
          </cell>
          <cell r="L154">
            <v>0</v>
          </cell>
          <cell r="M154">
            <v>0</v>
          </cell>
          <cell r="N154">
            <v>0</v>
          </cell>
          <cell r="O154">
            <v>0</v>
          </cell>
          <cell r="P154">
            <v>0</v>
          </cell>
          <cell r="Q154">
            <v>0</v>
          </cell>
          <cell r="R154">
            <v>0</v>
          </cell>
          <cell r="S154">
            <v>0</v>
          </cell>
          <cell r="T154">
            <v>0</v>
          </cell>
          <cell r="U154">
            <v>0</v>
          </cell>
          <cell r="V154">
            <v>0</v>
          </cell>
          <cell r="W154">
            <v>0</v>
          </cell>
          <cell r="X154">
            <v>0</v>
          </cell>
          <cell r="Y154">
            <v>0</v>
          </cell>
          <cell r="Z154">
            <v>0</v>
          </cell>
          <cell r="AA154">
            <v>0</v>
          </cell>
          <cell r="AB154">
            <v>0</v>
          </cell>
          <cell r="AC154">
            <v>-0.85700000000000021</v>
          </cell>
          <cell r="AD154">
            <v>-4.7108346624848521</v>
          </cell>
          <cell r="AE154">
            <v>-4.5033755779843805</v>
          </cell>
          <cell r="AF154">
            <v>-4.4470740669144986</v>
          </cell>
          <cell r="AG154">
            <v>-35.415664072360954</v>
          </cell>
          <cell r="AH154">
            <v>-2.2349920144134399</v>
          </cell>
          <cell r="AI154">
            <v>-4.1500000000000004</v>
          </cell>
          <cell r="AJ154">
            <v>-5.64</v>
          </cell>
          <cell r="AK154">
            <v>-8.69</v>
          </cell>
        </row>
        <row r="155">
          <cell r="A155" t="str">
            <v>-  -  el</v>
          </cell>
          <cell r="B155" t="str">
            <v>fgv</v>
          </cell>
          <cell r="C155" t="str">
            <v>fgs</v>
          </cell>
          <cell r="D155" t="str">
            <v>elc</v>
          </cell>
          <cell r="E155" t="str">
            <v>a0a0</v>
          </cell>
          <cell r="F155" t="str">
            <v>a00</v>
          </cell>
          <cell r="G155">
            <v>0</v>
          </cell>
          <cell r="H155">
            <v>0</v>
          </cell>
          <cell r="I155">
            <v>0</v>
          </cell>
          <cell r="J155">
            <v>0</v>
          </cell>
          <cell r="K155">
            <v>0</v>
          </cell>
          <cell r="L155">
            <v>0</v>
          </cell>
          <cell r="M155">
            <v>0</v>
          </cell>
          <cell r="N155">
            <v>0</v>
          </cell>
          <cell r="O155">
            <v>0</v>
          </cell>
          <cell r="P155">
            <v>0</v>
          </cell>
          <cell r="Q155">
            <v>0</v>
          </cell>
          <cell r="R155">
            <v>0</v>
          </cell>
          <cell r="S155">
            <v>0</v>
          </cell>
          <cell r="T155">
            <v>0</v>
          </cell>
          <cell r="U155">
            <v>0</v>
          </cell>
          <cell r="V155">
            <v>0</v>
          </cell>
          <cell r="W155">
            <v>0</v>
          </cell>
          <cell r="X155">
            <v>0</v>
          </cell>
          <cell r="Y155">
            <v>0</v>
          </cell>
          <cell r="Z155">
            <v>0</v>
          </cell>
          <cell r="AA155">
            <v>0</v>
          </cell>
          <cell r="AB155">
            <v>0</v>
          </cell>
          <cell r="AC155">
            <v>0</v>
          </cell>
          <cell r="AD155">
            <v>0</v>
          </cell>
          <cell r="AE155">
            <v>0</v>
          </cell>
          <cell r="AF155">
            <v>0</v>
          </cell>
          <cell r="AG155">
            <v>0</v>
          </cell>
          <cell r="AH155">
            <v>0</v>
          </cell>
          <cell r="AI155">
            <v>-0.5</v>
          </cell>
          <cell r="AJ155">
            <v>-0.6</v>
          </cell>
          <cell r="AK155">
            <v>-0.1</v>
          </cell>
        </row>
        <row r="173">
          <cell r="A173" t="str">
            <v>-  -  JP4 (Gasoline)</v>
          </cell>
          <cell r="B173" t="str">
            <v>raf</v>
          </cell>
          <cell r="C173" t="str">
            <v>brt</v>
          </cell>
          <cell r="D173" t="str">
            <v>jp4</v>
          </cell>
          <cell r="E173" t="str">
            <v>a0a0</v>
          </cell>
          <cell r="F173" t="str">
            <v>a00</v>
          </cell>
          <cell r="O173">
            <v>0</v>
          </cell>
          <cell r="U173">
            <v>987</v>
          </cell>
          <cell r="V173">
            <v>2864</v>
          </cell>
          <cell r="W173">
            <v>0</v>
          </cell>
          <cell r="X173">
            <v>0</v>
          </cell>
          <cell r="Y173">
            <v>0</v>
          </cell>
          <cell r="Z173">
            <v>0</v>
          </cell>
          <cell r="AA173">
            <v>0</v>
          </cell>
          <cell r="AB173">
            <v>0</v>
          </cell>
          <cell r="AC173">
            <v>0</v>
          </cell>
          <cell r="AD173">
            <v>0</v>
          </cell>
          <cell r="AE173">
            <v>0</v>
          </cell>
          <cell r="AF173">
            <v>0</v>
          </cell>
          <cell r="AG173">
            <v>0</v>
          </cell>
          <cell r="AH173">
            <v>0</v>
          </cell>
          <cell r="AI173">
            <v>0</v>
          </cell>
          <cell r="AJ173">
            <v>0</v>
          </cell>
          <cell r="AK173">
            <v>0</v>
          </cell>
        </row>
        <row r="174">
          <cell r="A174" t="str">
            <v>-  -  petroleum</v>
          </cell>
          <cell r="B174" t="str">
            <v>raf</v>
          </cell>
          <cell r="C174" t="str">
            <v>brt</v>
          </cell>
          <cell r="D174" t="str">
            <v>ptr</v>
          </cell>
          <cell r="E174" t="str">
            <v>a0a0</v>
          </cell>
          <cell r="F174" t="str">
            <v>a00</v>
          </cell>
          <cell r="O174">
            <v>1128.4248</v>
          </cell>
          <cell r="U174">
            <v>976</v>
          </cell>
          <cell r="V174">
            <v>1885</v>
          </cell>
          <cell r="W174">
            <v>2051.9999999999995</v>
          </cell>
          <cell r="X174">
            <v>2287</v>
          </cell>
          <cell r="Y174">
            <v>3312</v>
          </cell>
          <cell r="Z174">
            <v>1181.9999999999998</v>
          </cell>
          <cell r="AA174">
            <v>957.99999999999989</v>
          </cell>
          <cell r="AB174">
            <v>464</v>
          </cell>
          <cell r="AC174">
            <v>1054</v>
          </cell>
          <cell r="AD174">
            <v>0</v>
          </cell>
          <cell r="AE174">
            <v>0</v>
          </cell>
          <cell r="AF174">
            <v>0</v>
          </cell>
          <cell r="AG174">
            <v>0</v>
          </cell>
          <cell r="AH174">
            <v>0</v>
          </cell>
          <cell r="AI174">
            <v>0</v>
          </cell>
          <cell r="AJ174">
            <v>0</v>
          </cell>
          <cell r="AK174">
            <v>0</v>
          </cell>
        </row>
        <row r="175">
          <cell r="A175" t="str">
            <v>-  -  JP1 (Kerosene)</v>
          </cell>
          <cell r="B175" t="str">
            <v>raf</v>
          </cell>
          <cell r="C175" t="str">
            <v>brt</v>
          </cell>
          <cell r="D175" t="str">
            <v>jp1</v>
          </cell>
          <cell r="E175" t="str">
            <v>a0a0</v>
          </cell>
          <cell r="F175" t="str">
            <v>a00</v>
          </cell>
          <cell r="O175">
            <v>429.91919999999999</v>
          </cell>
          <cell r="U175">
            <v>8099</v>
          </cell>
          <cell r="V175">
            <v>6421.9999999999991</v>
          </cell>
          <cell r="W175">
            <v>10087</v>
          </cell>
          <cell r="X175">
            <v>10814.999999999998</v>
          </cell>
          <cell r="Y175">
            <v>10851.000000000002</v>
          </cell>
          <cell r="Z175">
            <v>8144</v>
          </cell>
          <cell r="AA175">
            <v>6409</v>
          </cell>
          <cell r="AB175">
            <v>8680.9999999999982</v>
          </cell>
          <cell r="AC175">
            <v>9756</v>
          </cell>
          <cell r="AD175">
            <v>11993</v>
          </cell>
          <cell r="AE175">
            <v>17888.452799999999</v>
          </cell>
          <cell r="AF175">
            <v>18740.983199999999</v>
          </cell>
          <cell r="AG175">
            <v>16463.218800000002</v>
          </cell>
          <cell r="AH175">
            <v>22585.513200000001</v>
          </cell>
          <cell r="AI175">
            <v>21593.052</v>
          </cell>
          <cell r="AJ175">
            <v>23600.107200000002</v>
          </cell>
          <cell r="AK175">
            <v>23010.212400000004</v>
          </cell>
        </row>
        <row r="176">
          <cell r="A176" t="str">
            <v>-  -  gas/dieselolie</v>
          </cell>
          <cell r="B176" t="str">
            <v>raf</v>
          </cell>
          <cell r="C176" t="str">
            <v>brt</v>
          </cell>
          <cell r="D176" t="str">
            <v>gdt</v>
          </cell>
          <cell r="E176" t="str">
            <v>a0a0</v>
          </cell>
          <cell r="F176" t="str">
            <v>a00</v>
          </cell>
          <cell r="O176">
            <v>119070.74852400002</v>
          </cell>
          <cell r="U176">
            <v>142629</v>
          </cell>
          <cell r="V176">
            <v>134910</v>
          </cell>
          <cell r="W176">
            <v>138552</v>
          </cell>
          <cell r="X176">
            <v>145147</v>
          </cell>
          <cell r="Y176">
            <v>140492</v>
          </cell>
          <cell r="Z176">
            <v>159694.99999999997</v>
          </cell>
          <cell r="AA176">
            <v>170778.99999999997</v>
          </cell>
          <cell r="AB176">
            <v>167773</v>
          </cell>
          <cell r="AC176">
            <v>175592</v>
          </cell>
          <cell r="AD176">
            <v>182235</v>
          </cell>
          <cell r="AE176">
            <v>190710.01252799999</v>
          </cell>
          <cell r="AF176">
            <v>152202.30706800002</v>
          </cell>
          <cell r="AG176">
            <v>138522.969228</v>
          </cell>
          <cell r="AH176">
            <v>139753.815516</v>
          </cell>
          <cell r="AI176">
            <v>139185.738132</v>
          </cell>
          <cell r="AJ176">
            <v>137502.16594800001</v>
          </cell>
          <cell r="AK176">
            <v>139116.29768400002</v>
          </cell>
        </row>
        <row r="183">
          <cell r="A183" t="str">
            <v>-  elforbrug ved forsyning</v>
          </cell>
        </row>
        <row r="184">
          <cell r="A184" t="str">
            <v>-  -  elforsyning</v>
          </cell>
          <cell r="B184" t="str">
            <v>ens</v>
          </cell>
          <cell r="C184" t="str">
            <v>eld</v>
          </cell>
          <cell r="D184" t="str">
            <v>elc</v>
          </cell>
          <cell r="E184" t="str">
            <v>a0a0</v>
          </cell>
          <cell r="F184" t="str">
            <v>a00</v>
          </cell>
          <cell r="G184">
            <v>-193.17866420903894</v>
          </cell>
          <cell r="H184">
            <v>0</v>
          </cell>
          <cell r="I184">
            <v>0</v>
          </cell>
          <cell r="J184">
            <v>-152.43719660172184</v>
          </cell>
          <cell r="K184">
            <v>-173.09553648102076</v>
          </cell>
          <cell r="L184">
            <v>-187.52377573108981</v>
          </cell>
          <cell r="M184">
            <v>-197.45201651025641</v>
          </cell>
          <cell r="N184">
            <v>-203.63950808804674</v>
          </cell>
          <cell r="O184">
            <v>-204.59866859669216</v>
          </cell>
          <cell r="P184">
            <v>-203.79000954022442</v>
          </cell>
          <cell r="Q184">
            <v>-206.04263829536822</v>
          </cell>
          <cell r="R184">
            <v>-212.72232185311407</v>
          </cell>
          <cell r="S184">
            <v>-203.45672089021997</v>
          </cell>
          <cell r="T184">
            <v>-212.9708751901664</v>
          </cell>
          <cell r="U184">
            <v>-218.38863794080072</v>
          </cell>
          <cell r="V184">
            <v>-231.45423371017085</v>
          </cell>
          <cell r="W184">
            <v>-245.79559974890103</v>
          </cell>
          <cell r="X184">
            <v>-289.00396520866667</v>
          </cell>
          <cell r="Y184">
            <v>-249.81009810389608</v>
          </cell>
          <cell r="Z184">
            <v>-252.24558635454545</v>
          </cell>
          <cell r="AA184">
            <v>-278.83884701538466</v>
          </cell>
          <cell r="AB184">
            <v>-227.80799999999999</v>
          </cell>
          <cell r="AC184">
            <v>-250.20561599999914</v>
          </cell>
          <cell r="AD184">
            <v>-290.18786181817711</v>
          </cell>
          <cell r="AE184">
            <v>-356.04892000000001</v>
          </cell>
          <cell r="AF184">
            <v>-322.21969200000001</v>
          </cell>
          <cell r="AG184">
            <v>-321.872814265751</v>
          </cell>
          <cell r="AH184">
            <v>-317.58955707017998</v>
          </cell>
          <cell r="AI184">
            <v>-360.69170251881502</v>
          </cell>
          <cell r="AJ184">
            <v>-526.87863286000697</v>
          </cell>
          <cell r="AK184">
            <v>-526.87863286000697</v>
          </cell>
        </row>
        <row r="185">
          <cell r="A185" t="str">
            <v>-  -  fjernvarmeforsyning</v>
          </cell>
          <cell r="B185" t="str">
            <v>ens</v>
          </cell>
          <cell r="C185" t="str">
            <v>fjd</v>
          </cell>
          <cell r="D185" t="str">
            <v>elc</v>
          </cell>
          <cell r="E185" t="str">
            <v>a0a0</v>
          </cell>
          <cell r="F185" t="str">
            <v>a00</v>
          </cell>
          <cell r="G185">
            <v>-127.05954198629522</v>
          </cell>
          <cell r="H185">
            <v>0</v>
          </cell>
          <cell r="I185">
            <v>0</v>
          </cell>
          <cell r="J185">
            <v>-137.77310485470994</v>
          </cell>
          <cell r="K185">
            <v>-176.24757525406639</v>
          </cell>
          <cell r="L185">
            <v>-217.69762045689023</v>
          </cell>
          <cell r="M185">
            <v>-255.72811782879438</v>
          </cell>
          <cell r="N185">
            <v>-305.8614678514482</v>
          </cell>
          <cell r="O185">
            <v>-326.27980383091113</v>
          </cell>
          <cell r="P185">
            <v>-348.4439544346618</v>
          </cell>
          <cell r="Q185">
            <v>-380.93461721522687</v>
          </cell>
          <cell r="R185">
            <v>-424.4262619498669</v>
          </cell>
          <cell r="S185">
            <v>-462.38468192869095</v>
          </cell>
          <cell r="T185">
            <v>-505.63117316079854</v>
          </cell>
          <cell r="U185">
            <v>-583.94945418117004</v>
          </cell>
          <cell r="V185">
            <v>-589.40899411091868</v>
          </cell>
          <cell r="W185">
            <v>-516.38967694044618</v>
          </cell>
          <cell r="X185">
            <v>-502.13410332344807</v>
          </cell>
          <cell r="Y185">
            <v>-500.87544539312978</v>
          </cell>
          <cell r="Z185">
            <v>-558.36132287841804</v>
          </cell>
          <cell r="AA185">
            <v>-518.65504689230761</v>
          </cell>
          <cell r="AB185">
            <v>-490.08959999999996</v>
          </cell>
          <cell r="AC185">
            <v>-508.44706799999949</v>
          </cell>
          <cell r="AD185">
            <v>-467.5018363636292</v>
          </cell>
          <cell r="AE185">
            <v>-673.86193999999989</v>
          </cell>
          <cell r="AF185">
            <v>-613.50990300000001</v>
          </cell>
          <cell r="AG185">
            <v>-626.88709099467803</v>
          </cell>
          <cell r="AH185">
            <v>-598.17644717604799</v>
          </cell>
          <cell r="AI185">
            <v>-658.71900978125404</v>
          </cell>
          <cell r="AJ185">
            <v>-700.55680607124498</v>
          </cell>
          <cell r="AK185">
            <v>-700.55680607124498</v>
          </cell>
        </row>
        <row r="186">
          <cell r="A186" t="str">
            <v>-  -  bygasforsyning</v>
          </cell>
          <cell r="B186" t="str">
            <v>ens</v>
          </cell>
          <cell r="C186" t="str">
            <v>byd</v>
          </cell>
          <cell r="D186" t="str">
            <v>elc</v>
          </cell>
          <cell r="E186" t="str">
            <v>a0a0</v>
          </cell>
          <cell r="F186" t="str">
            <v>a00</v>
          </cell>
          <cell r="G186">
            <v>-39.761793804665814</v>
          </cell>
          <cell r="H186">
            <v>0</v>
          </cell>
          <cell r="I186">
            <v>0</v>
          </cell>
          <cell r="J186">
            <v>-31.114747543944119</v>
          </cell>
          <cell r="K186">
            <v>-33.255915403800117</v>
          </cell>
          <cell r="L186">
            <v>-35.113310643720084</v>
          </cell>
          <cell r="M186">
            <v>-36.416380594692285</v>
          </cell>
          <cell r="N186">
            <v>-37.404563085090821</v>
          </cell>
          <cell r="O186">
            <v>-34.994454288068141</v>
          </cell>
          <cell r="P186">
            <v>-33.481574918371116</v>
          </cell>
          <cell r="Q186">
            <v>-42.819835421620382</v>
          </cell>
          <cell r="R186">
            <v>-56.640606809203234</v>
          </cell>
          <cell r="S186">
            <v>-75.856809877908532</v>
          </cell>
          <cell r="T186">
            <v>-90.561743621523803</v>
          </cell>
          <cell r="U186">
            <v>-94.723684106841134</v>
          </cell>
          <cell r="V186">
            <v>-111.27196667664006</v>
          </cell>
          <cell r="W186">
            <v>-115.24501491461537</v>
          </cell>
          <cell r="X186">
            <v>-124.1568980649845</v>
          </cell>
          <cell r="Y186">
            <v>-105.75153755844154</v>
          </cell>
          <cell r="Z186">
            <v>-142.10679496363636</v>
          </cell>
          <cell r="AA186">
            <v>-134.67779150769232</v>
          </cell>
          <cell r="AB186">
            <v>-129.58199999999999</v>
          </cell>
          <cell r="AC186">
            <v>-127.8618</v>
          </cell>
          <cell r="AD186">
            <v>-152.16128727272724</v>
          </cell>
          <cell r="AE186">
            <v>-178.35598999999999</v>
          </cell>
          <cell r="AF186">
            <v>-157.18485599999997</v>
          </cell>
          <cell r="AG186">
            <v>-114.996159982661</v>
          </cell>
          <cell r="AH186">
            <v>-114.79828129006</v>
          </cell>
          <cell r="AI186">
            <v>-117.668238322311</v>
          </cell>
          <cell r="AJ186">
            <v>-125.554930469236</v>
          </cell>
          <cell r="AK186">
            <v>-125.554930469236</v>
          </cell>
        </row>
        <row r="187">
          <cell r="A187" t="str">
            <v>Konverteringssektoren</v>
          </cell>
        </row>
        <row r="188">
          <cell r="A188" t="str">
            <v>Centrale elproducerende anlæg</v>
          </cell>
        </row>
        <row r="189">
          <cell r="A189" t="str">
            <v>-  råvareforbrug til kraft</v>
          </cell>
        </row>
        <row r="190">
          <cell r="A190" t="str">
            <v>-  -  gas/dieselolie</v>
          </cell>
          <cell r="B190" t="str">
            <v>cel</v>
          </cell>
          <cell r="C190" t="str">
            <v>elr</v>
          </cell>
          <cell r="D190" t="str">
            <v>gdt</v>
          </cell>
          <cell r="E190" t="str">
            <v>a0a0</v>
          </cell>
          <cell r="F190" t="str">
            <v>a00</v>
          </cell>
          <cell r="G190">
            <v>-97.372935899999987</v>
          </cell>
          <cell r="H190">
            <v>0</v>
          </cell>
          <cell r="I190">
            <v>0</v>
          </cell>
          <cell r="J190">
            <v>-240.1981323</v>
          </cell>
          <cell r="K190">
            <v>-46.554818599999976</v>
          </cell>
          <cell r="L190">
            <v>-287.35161420000003</v>
          </cell>
          <cell r="M190">
            <v>-209.54085599999999</v>
          </cell>
          <cell r="N190">
            <v>-89.239584000000008</v>
          </cell>
          <cell r="O190">
            <v>-80.34432000000001</v>
          </cell>
          <cell r="P190">
            <v>-48.852215999999999</v>
          </cell>
          <cell r="Q190">
            <v>-57.101855999999998</v>
          </cell>
          <cell r="R190">
            <v>-65.243892000000002</v>
          </cell>
          <cell r="S190">
            <v>-64.38306</v>
          </cell>
          <cell r="T190">
            <v>-57.962688000000007</v>
          </cell>
          <cell r="U190">
            <v>-53.515056000000001</v>
          </cell>
          <cell r="V190">
            <v>-81.958380000000005</v>
          </cell>
          <cell r="W190">
            <v>-45.193680000000001</v>
          </cell>
          <cell r="X190">
            <v>-64.741740000000007</v>
          </cell>
          <cell r="Y190">
            <v>-56.743175999999998</v>
          </cell>
          <cell r="Z190">
            <v>-34.289808000000001</v>
          </cell>
          <cell r="AA190">
            <v>-44.440452000000008</v>
          </cell>
          <cell r="AB190">
            <v>-54.411700000000003</v>
          </cell>
          <cell r="AC190">
            <v>-64.171888051595985</v>
          </cell>
          <cell r="AD190">
            <v>-91.218268095085563</v>
          </cell>
          <cell r="AE190">
            <v>-76.347412063823896</v>
          </cell>
          <cell r="AF190">
            <v>-60.865451999999991</v>
          </cell>
          <cell r="AG190">
            <v>-59.525304000000006</v>
          </cell>
          <cell r="AH190">
            <v>-60.541761200000003</v>
          </cell>
          <cell r="AI190">
            <v>-50.453760000000003</v>
          </cell>
          <cell r="AJ190">
            <v>-52.179000000000002</v>
          </cell>
          <cell r="AK190">
            <v>-80.41</v>
          </cell>
        </row>
        <row r="191">
          <cell r="A191" t="str">
            <v>-  -  fuelolie</v>
          </cell>
          <cell r="B191" t="str">
            <v>cel</v>
          </cell>
          <cell r="C191" t="str">
            <v>elr</v>
          </cell>
          <cell r="D191" t="str">
            <v>fut</v>
          </cell>
          <cell r="E191" t="str">
            <v>a0a0</v>
          </cell>
          <cell r="F191" t="str">
            <v>a00</v>
          </cell>
          <cell r="G191">
            <v>-92467.839800000002</v>
          </cell>
          <cell r="H191">
            <v>0</v>
          </cell>
          <cell r="I191">
            <v>0</v>
          </cell>
          <cell r="J191">
            <v>-65474.402000000002</v>
          </cell>
          <cell r="K191">
            <v>-58366.9254</v>
          </cell>
          <cell r="L191">
            <v>-68963.403600000005</v>
          </cell>
          <cell r="M191">
            <v>-56853.303999999996</v>
          </cell>
          <cell r="N191">
            <v>-52030.432799999995</v>
          </cell>
          <cell r="O191">
            <v>-27715.41</v>
          </cell>
          <cell r="P191">
            <v>-13486.610799999999</v>
          </cell>
          <cell r="Q191">
            <v>-5763.5043999999998</v>
          </cell>
          <cell r="R191">
            <v>-2535.6251999999995</v>
          </cell>
          <cell r="S191">
            <v>-2950.614</v>
          </cell>
          <cell r="T191">
            <v>-3799.7411999999999</v>
          </cell>
          <cell r="U191">
            <v>-4065.2903999999999</v>
          </cell>
          <cell r="V191">
            <v>-2617.2331999999997</v>
          </cell>
          <cell r="W191">
            <v>-2408.0419999999999</v>
          </cell>
          <cell r="X191">
            <v>-2924.5963999999999</v>
          </cell>
          <cell r="Y191">
            <v>-1775.6608000000001</v>
          </cell>
          <cell r="Z191">
            <v>-1420.1408000000001</v>
          </cell>
          <cell r="AA191">
            <v>-1728.0695999999998</v>
          </cell>
          <cell r="AB191">
            <v>-1628</v>
          </cell>
          <cell r="AC191">
            <v>-922.10459846403251</v>
          </cell>
          <cell r="AD191">
            <v>-2153.5101962083436</v>
          </cell>
          <cell r="AE191">
            <v>-4693.1501934979342</v>
          </cell>
          <cell r="AF191">
            <v>-1208.8690554528</v>
          </cell>
          <cell r="AG191">
            <v>-821.90819999999997</v>
          </cell>
          <cell r="AH191">
            <v>-615.35050000000001</v>
          </cell>
          <cell r="AI191">
            <v>-404.387</v>
          </cell>
          <cell r="AJ191">
            <v>-272.18</v>
          </cell>
          <cell r="AK191">
            <v>-561.79</v>
          </cell>
        </row>
        <row r="192">
          <cell r="A192" t="str">
            <v>-  -  elværkskul</v>
          </cell>
          <cell r="B192" t="str">
            <v>cel</v>
          </cell>
          <cell r="C192" t="str">
            <v>elr</v>
          </cell>
          <cell r="D192" t="str">
            <v>ske</v>
          </cell>
          <cell r="E192" t="str">
            <v>a0a0</v>
          </cell>
          <cell r="F192" t="str">
            <v>a00</v>
          </cell>
          <cell r="G192">
            <v>-32000.147199999999</v>
          </cell>
          <cell r="H192">
            <v>0</v>
          </cell>
          <cell r="I192">
            <v>0</v>
          </cell>
          <cell r="J192">
            <v>-41007.425000000003</v>
          </cell>
          <cell r="K192">
            <v>-55275.496100000004</v>
          </cell>
          <cell r="L192">
            <v>-60184.540800000002</v>
          </cell>
          <cell r="M192">
            <v>-54016.8056</v>
          </cell>
          <cell r="N192">
            <v>-63913.989600000001</v>
          </cell>
          <cell r="O192">
            <v>-89148.870200000005</v>
          </cell>
          <cell r="P192">
            <v>-75488.913</v>
          </cell>
          <cell r="Q192">
            <v>-29761.371200000001</v>
          </cell>
          <cell r="R192">
            <v>-30393.271499999999</v>
          </cell>
          <cell r="S192">
            <v>-36925.6564</v>
          </cell>
          <cell r="T192">
            <v>-44353.328800000003</v>
          </cell>
          <cell r="U192">
            <v>-27128.380400000002</v>
          </cell>
          <cell r="V192">
            <v>-30078.997199999998</v>
          </cell>
          <cell r="W192">
            <v>-27676.7235</v>
          </cell>
          <cell r="X192">
            <v>-16122.65</v>
          </cell>
          <cell r="Y192">
            <v>-18466.292900000004</v>
          </cell>
          <cell r="Z192">
            <v>-16972.356199999998</v>
          </cell>
          <cell r="AA192">
            <v>-11819.005800000001</v>
          </cell>
          <cell r="AB192">
            <v>-14743.763999999999</v>
          </cell>
          <cell r="AC192">
            <v>-34594.442487375622</v>
          </cell>
          <cell r="AD192">
            <v>-33432.527490506516</v>
          </cell>
          <cell r="AE192">
            <v>-49015.102040816324</v>
          </cell>
          <cell r="AF192">
            <v>-20856.52608</v>
          </cell>
          <cell r="AG192">
            <v>-20763.905000000002</v>
          </cell>
          <cell r="AH192">
            <v>-18367.7</v>
          </cell>
          <cell r="AI192">
            <v>-20303.14</v>
          </cell>
          <cell r="AJ192">
            <v>-12471.69</v>
          </cell>
          <cell r="AK192">
            <v>-10188.49</v>
          </cell>
        </row>
        <row r="193">
          <cell r="A193" t="str">
            <v>-  -  halm</v>
          </cell>
          <cell r="B193" t="str">
            <v>cel</v>
          </cell>
          <cell r="C193" t="str">
            <v>elr</v>
          </cell>
          <cell r="D193" t="str">
            <v>hal</v>
          </cell>
          <cell r="E193" t="str">
            <v>a0a0</v>
          </cell>
          <cell r="F193" t="str">
            <v>a00</v>
          </cell>
          <cell r="G193">
            <v>0</v>
          </cell>
          <cell r="H193">
            <v>0</v>
          </cell>
          <cell r="I193">
            <v>0</v>
          </cell>
          <cell r="J193">
            <v>0</v>
          </cell>
          <cell r="K193">
            <v>0</v>
          </cell>
          <cell r="L193">
            <v>0</v>
          </cell>
          <cell r="M193">
            <v>0</v>
          </cell>
          <cell r="N193">
            <v>0</v>
          </cell>
          <cell r="O193">
            <v>0</v>
          </cell>
          <cell r="P193">
            <v>0</v>
          </cell>
          <cell r="Q193">
            <v>0</v>
          </cell>
          <cell r="R193">
            <v>0</v>
          </cell>
          <cell r="S193">
            <v>0</v>
          </cell>
          <cell r="T193">
            <v>0</v>
          </cell>
          <cell r="U193">
            <v>0</v>
          </cell>
          <cell r="V193">
            <v>0</v>
          </cell>
          <cell r="W193">
            <v>0</v>
          </cell>
          <cell r="X193">
            <v>0</v>
          </cell>
          <cell r="Y193">
            <v>0</v>
          </cell>
          <cell r="Z193">
            <v>0</v>
          </cell>
          <cell r="AA193">
            <v>0</v>
          </cell>
          <cell r="AB193">
            <v>0</v>
          </cell>
          <cell r="AC193">
            <v>0</v>
          </cell>
          <cell r="AD193">
            <v>-82.215000000000003</v>
          </cell>
          <cell r="AE193">
            <v>-610.29049999999995</v>
          </cell>
          <cell r="AF193">
            <v>-740.15250000000003</v>
          </cell>
          <cell r="AG193">
            <v>0</v>
          </cell>
          <cell r="AH193">
            <v>0</v>
          </cell>
          <cell r="AI193">
            <v>0</v>
          </cell>
          <cell r="AJ193">
            <v>0</v>
          </cell>
          <cell r="AK193">
            <v>0</v>
          </cell>
        </row>
        <row r="195">
          <cell r="A195" t="str">
            <v>-  -  el</v>
          </cell>
          <cell r="B195" t="str">
            <v>cel</v>
          </cell>
          <cell r="C195" t="str">
            <v>elf</v>
          </cell>
          <cell r="D195" t="str">
            <v>elc</v>
          </cell>
          <cell r="E195" t="str">
            <v>a0a0</v>
          </cell>
          <cell r="F195" t="str">
            <v>a00</v>
          </cell>
          <cell r="G195">
            <v>-2622.4992000000002</v>
          </cell>
          <cell r="H195">
            <v>0</v>
          </cell>
          <cell r="I195">
            <v>0</v>
          </cell>
          <cell r="J195">
            <v>-2523.0564000000004</v>
          </cell>
          <cell r="K195">
            <v>-2512.2312000000002</v>
          </cell>
          <cell r="L195">
            <v>-2720.8331999999996</v>
          </cell>
          <cell r="M195">
            <v>-2578.6835999999998</v>
          </cell>
          <cell r="N195">
            <v>-2616.3180000000002</v>
          </cell>
          <cell r="O195">
            <v>-2787.1596</v>
          </cell>
          <cell r="P195">
            <v>-2199.9095999999995</v>
          </cell>
          <cell r="Q195">
            <v>-1188.54</v>
          </cell>
          <cell r="R195">
            <v>-1204.9703999999999</v>
          </cell>
          <cell r="S195">
            <v>-1564.326</v>
          </cell>
          <cell r="T195">
            <v>-1302.6888000000001</v>
          </cell>
          <cell r="U195">
            <v>-843.92280000000005</v>
          </cell>
          <cell r="V195">
            <v>-835.5924</v>
          </cell>
          <cell r="W195">
            <v>-768.09960000000012</v>
          </cell>
          <cell r="X195">
            <v>-569.89800000000002</v>
          </cell>
          <cell r="Y195">
            <v>-589.51440000000002</v>
          </cell>
          <cell r="Z195">
            <v>-534.18240000000003</v>
          </cell>
          <cell r="AA195">
            <v>-378.4932</v>
          </cell>
          <cell r="AB195">
            <v>-417.2688</v>
          </cell>
          <cell r="AC195">
            <v>-747.23140800000238</v>
          </cell>
          <cell r="AD195">
            <v>-773.52148799999986</v>
          </cell>
          <cell r="AE195">
            <v>-521.79839999999945</v>
          </cell>
          <cell r="AF195">
            <v>-504.55079999999964</v>
          </cell>
          <cell r="AG195">
            <v>-411.31439999999998</v>
          </cell>
          <cell r="AH195">
            <v>-396.76247999999998</v>
          </cell>
          <cell r="AI195">
            <v>-311.53572000000003</v>
          </cell>
          <cell r="AJ195">
            <v>-153.9</v>
          </cell>
          <cell r="AK195">
            <v>-156.9</v>
          </cell>
        </row>
        <row r="196">
          <cell r="A196" t="str">
            <v>-  bruttoproduktion</v>
          </cell>
        </row>
        <row r="197">
          <cell r="A197" t="str">
            <v>-  -  el</v>
          </cell>
          <cell r="B197" t="str">
            <v>cel</v>
          </cell>
          <cell r="C197" t="str">
            <v>brt</v>
          </cell>
          <cell r="D197" t="str">
            <v>elc</v>
          </cell>
          <cell r="E197" t="str">
            <v>a0a0</v>
          </cell>
          <cell r="F197" t="str">
            <v>a00</v>
          </cell>
          <cell r="G197">
            <v>46040.734800000006</v>
          </cell>
          <cell r="H197">
            <v>0</v>
          </cell>
          <cell r="I197">
            <v>0</v>
          </cell>
          <cell r="J197">
            <v>41192.791200000007</v>
          </cell>
          <cell r="K197">
            <v>41039.431199999999</v>
          </cell>
          <cell r="L197">
            <v>46856.833200000001</v>
          </cell>
          <cell r="M197">
            <v>43895.883599999994</v>
          </cell>
          <cell r="N197">
            <v>44340.317999999999</v>
          </cell>
          <cell r="O197">
            <v>44154.759599999998</v>
          </cell>
          <cell r="P197">
            <v>30859.509599999998</v>
          </cell>
          <cell r="Q197">
            <v>16078.14</v>
          </cell>
          <cell r="R197">
            <v>15712.9704</v>
          </cell>
          <cell r="S197">
            <v>20939.526000000002</v>
          </cell>
          <cell r="T197">
            <v>18413.488799999999</v>
          </cell>
          <cell r="U197">
            <v>11856.3228</v>
          </cell>
          <cell r="V197">
            <v>12470.7924</v>
          </cell>
          <cell r="W197">
            <v>11413.2996</v>
          </cell>
          <cell r="X197">
            <v>6995.8980000000001</v>
          </cell>
          <cell r="Y197">
            <v>7494.3144000000002</v>
          </cell>
          <cell r="Z197">
            <v>6978.1823999999997</v>
          </cell>
          <cell r="AA197">
            <v>4900.0932000000003</v>
          </cell>
          <cell r="AB197">
            <v>6227.6688000000004</v>
          </cell>
          <cell r="AC197">
            <v>14831.313408000002</v>
          </cell>
          <cell r="AD197">
            <v>15119.165088000005</v>
          </cell>
          <cell r="AE197">
            <v>21992.94</v>
          </cell>
          <cell r="AF197">
            <v>9575.3332800000026</v>
          </cell>
          <cell r="AG197">
            <v>9263.5812000000005</v>
          </cell>
          <cell r="AH197">
            <v>8248.976568</v>
          </cell>
          <cell r="AI197">
            <v>8871.4299599999995</v>
          </cell>
          <cell r="AJ197">
            <v>5420</v>
          </cell>
          <cell r="AK197">
            <v>4468.1000000000004</v>
          </cell>
        </row>
        <row r="199">
          <cell r="A199" t="str">
            <v>-  råvareforbrug til kraft</v>
          </cell>
          <cell r="AD199">
            <v>225962.61640428295</v>
          </cell>
          <cell r="AE199">
            <v>331789.43142324541</v>
          </cell>
          <cell r="AF199">
            <v>269487.80478446529</v>
          </cell>
          <cell r="AG199">
            <v>232179.78122197039</v>
          </cell>
          <cell r="AH199">
            <v>203651.1824120036</v>
          </cell>
          <cell r="AI199">
            <v>170480.25868083219</v>
          </cell>
          <cell r="AJ199">
            <v>188703.81999999998</v>
          </cell>
          <cell r="AK199">
            <v>197832.9</v>
          </cell>
        </row>
        <row r="200">
          <cell r="A200" t="str">
            <v>-  -  raffinaderigas</v>
          </cell>
          <cell r="B200" t="str">
            <v>cev</v>
          </cell>
          <cell r="C200" t="str">
            <v>elr</v>
          </cell>
          <cell r="D200" t="str">
            <v>rga</v>
          </cell>
          <cell r="E200" t="str">
            <v>a0a0</v>
          </cell>
          <cell r="F200" t="str">
            <v>a00</v>
          </cell>
          <cell r="G200">
            <v>0</v>
          </cell>
          <cell r="H200">
            <v>0</v>
          </cell>
          <cell r="I200">
            <v>0</v>
          </cell>
          <cell r="J200">
            <v>0</v>
          </cell>
          <cell r="K200">
            <v>0</v>
          </cell>
          <cell r="L200">
            <v>0</v>
          </cell>
          <cell r="M200">
            <v>0</v>
          </cell>
          <cell r="N200">
            <v>0</v>
          </cell>
          <cell r="O200">
            <v>0</v>
          </cell>
          <cell r="P200">
            <v>0</v>
          </cell>
          <cell r="Q200">
            <v>0</v>
          </cell>
          <cell r="R200">
            <v>0</v>
          </cell>
          <cell r="S200">
            <v>0</v>
          </cell>
          <cell r="T200">
            <v>0</v>
          </cell>
          <cell r="U200">
            <v>0</v>
          </cell>
          <cell r="V200">
            <v>0</v>
          </cell>
          <cell r="W200">
            <v>0</v>
          </cell>
          <cell r="X200">
            <v>0</v>
          </cell>
          <cell r="Y200">
            <v>0</v>
          </cell>
          <cell r="Z200">
            <v>0</v>
          </cell>
          <cell r="AA200">
            <v>-117.81322716892416</v>
          </cell>
          <cell r="AB200">
            <v>-195.83029999999999</v>
          </cell>
          <cell r="AC200">
            <v>0</v>
          </cell>
          <cell r="AD200">
            <v>0</v>
          </cell>
          <cell r="AE200">
            <v>0</v>
          </cell>
          <cell r="AF200">
            <v>0</v>
          </cell>
          <cell r="AG200">
            <v>0</v>
          </cell>
          <cell r="AH200">
            <v>0</v>
          </cell>
          <cell r="AI200">
            <v>0</v>
          </cell>
          <cell r="AJ200">
            <v>0</v>
          </cell>
          <cell r="AK200">
            <v>0</v>
          </cell>
        </row>
        <row r="201">
          <cell r="A201" t="str">
            <v>-  -  LPG</v>
          </cell>
          <cell r="B201" t="str">
            <v>cev</v>
          </cell>
          <cell r="C201" t="str">
            <v>elr</v>
          </cell>
          <cell r="D201" t="str">
            <v>lpg</v>
          </cell>
          <cell r="E201" t="str">
            <v>a0a0</v>
          </cell>
          <cell r="F201" t="str">
            <v>a00</v>
          </cell>
          <cell r="G201">
            <v>0</v>
          </cell>
          <cell r="H201">
            <v>0</v>
          </cell>
          <cell r="I201">
            <v>0</v>
          </cell>
          <cell r="J201">
            <v>0</v>
          </cell>
          <cell r="K201">
            <v>0</v>
          </cell>
          <cell r="L201">
            <v>0</v>
          </cell>
          <cell r="M201">
            <v>0</v>
          </cell>
          <cell r="N201">
            <v>0</v>
          </cell>
          <cell r="O201">
            <v>0</v>
          </cell>
          <cell r="P201">
            <v>0</v>
          </cell>
          <cell r="Q201">
            <v>0</v>
          </cell>
          <cell r="R201">
            <v>0</v>
          </cell>
          <cell r="S201">
            <v>0</v>
          </cell>
          <cell r="T201">
            <v>0</v>
          </cell>
          <cell r="U201">
            <v>0</v>
          </cell>
          <cell r="V201">
            <v>0</v>
          </cell>
          <cell r="W201">
            <v>0</v>
          </cell>
          <cell r="X201">
            <v>0</v>
          </cell>
          <cell r="Y201">
            <v>0</v>
          </cell>
          <cell r="Z201">
            <v>-0.90658480886811887</v>
          </cell>
          <cell r="AA201">
            <v>-0.89023142790482201</v>
          </cell>
          <cell r="AB201">
            <v>-2.6539000000000001</v>
          </cell>
          <cell r="AC201">
            <v>0</v>
          </cell>
          <cell r="AD201">
            <v>0</v>
          </cell>
          <cell r="AE201">
            <v>0</v>
          </cell>
          <cell r="AF201">
            <v>0</v>
          </cell>
          <cell r="AG201">
            <v>0</v>
          </cell>
          <cell r="AH201">
            <v>0</v>
          </cell>
          <cell r="AI201">
            <v>0</v>
          </cell>
          <cell r="AJ201">
            <v>0</v>
          </cell>
          <cell r="AK201">
            <v>0</v>
          </cell>
        </row>
        <row r="202">
          <cell r="A202" t="str">
            <v>-  -  nafta (LVN)</v>
          </cell>
          <cell r="B202" t="str">
            <v>cev</v>
          </cell>
          <cell r="C202" t="str">
            <v>elr</v>
          </cell>
          <cell r="D202" t="str">
            <v>lvn</v>
          </cell>
          <cell r="E202" t="str">
            <v>a0a0</v>
          </cell>
          <cell r="F202" t="str">
            <v>a00</v>
          </cell>
          <cell r="G202">
            <v>0</v>
          </cell>
          <cell r="H202">
            <v>0</v>
          </cell>
          <cell r="I202">
            <v>0</v>
          </cell>
          <cell r="J202">
            <v>0</v>
          </cell>
          <cell r="K202">
            <v>0</v>
          </cell>
          <cell r="L202">
            <v>0</v>
          </cell>
          <cell r="M202">
            <v>-32.841498549924481</v>
          </cell>
          <cell r="N202">
            <v>0</v>
          </cell>
          <cell r="O202">
            <v>0</v>
          </cell>
          <cell r="P202">
            <v>0</v>
          </cell>
          <cell r="Q202">
            <v>0</v>
          </cell>
          <cell r="R202">
            <v>0</v>
          </cell>
          <cell r="S202">
            <v>0</v>
          </cell>
          <cell r="T202">
            <v>0</v>
          </cell>
          <cell r="U202">
            <v>-92.847389141090744</v>
          </cell>
          <cell r="V202">
            <v>0</v>
          </cell>
          <cell r="W202">
            <v>0</v>
          </cell>
          <cell r="X202">
            <v>0</v>
          </cell>
          <cell r="Y202">
            <v>0</v>
          </cell>
          <cell r="Z202">
            <v>0</v>
          </cell>
          <cell r="AA202">
            <v>0</v>
          </cell>
          <cell r="AB202">
            <v>0</v>
          </cell>
          <cell r="AC202">
            <v>0</v>
          </cell>
          <cell r="AD202">
            <v>0</v>
          </cell>
          <cell r="AE202">
            <v>0</v>
          </cell>
          <cell r="AF202">
            <v>0</v>
          </cell>
          <cell r="AG202">
            <v>0</v>
          </cell>
          <cell r="AH202">
            <v>0</v>
          </cell>
          <cell r="AI202">
            <v>0</v>
          </cell>
          <cell r="AJ202">
            <v>0</v>
          </cell>
          <cell r="AK202">
            <v>0</v>
          </cell>
        </row>
        <row r="203">
          <cell r="A203" t="str">
            <v>-  -  gas/dieselolie</v>
          </cell>
          <cell r="B203" t="str">
            <v>cev</v>
          </cell>
          <cell r="C203" t="str">
            <v>elr</v>
          </cell>
          <cell r="D203" t="str">
            <v>gdt</v>
          </cell>
          <cell r="E203" t="str">
            <v>a0a0</v>
          </cell>
          <cell r="F203" t="str">
            <v>a00</v>
          </cell>
          <cell r="G203">
            <v>-1.4143285580734759</v>
          </cell>
          <cell r="H203">
            <v>0</v>
          </cell>
          <cell r="I203">
            <v>0</v>
          </cell>
          <cell r="J203">
            <v>-92.035995634670911</v>
          </cell>
          <cell r="K203">
            <v>-9.8443388611245872</v>
          </cell>
          <cell r="L203">
            <v>-59.408517187860689</v>
          </cell>
          <cell r="M203">
            <v>-112.74931022369445</v>
          </cell>
          <cell r="N203">
            <v>-179.49248563795825</v>
          </cell>
          <cell r="O203">
            <v>-152.15317835513156</v>
          </cell>
          <cell r="P203">
            <v>-255.22432310597463</v>
          </cell>
          <cell r="Q203">
            <v>-220.18763209950953</v>
          </cell>
          <cell r="R203">
            <v>-286.04795294368898</v>
          </cell>
          <cell r="S203">
            <v>-240.88315587005175</v>
          </cell>
          <cell r="T203">
            <v>-53.433826093036622</v>
          </cell>
          <cell r="U203">
            <v>-157.00761486811024</v>
          </cell>
          <cell r="V203">
            <v>-295.45032253027091</v>
          </cell>
          <cell r="W203">
            <v>-298.58449655913802</v>
          </cell>
          <cell r="X203">
            <v>-203.98549657219851</v>
          </cell>
          <cell r="Y203">
            <v>-197.30639745720984</v>
          </cell>
          <cell r="Z203">
            <v>-397.72799556281575</v>
          </cell>
          <cell r="AA203">
            <v>-584.48994392058455</v>
          </cell>
          <cell r="AB203">
            <v>-195.14410000000001</v>
          </cell>
          <cell r="AC203">
            <v>-6.3927504623797979</v>
          </cell>
          <cell r="AD203">
            <v>-40.604815693956589</v>
          </cell>
          <cell r="AE203">
            <v>-31.535170451594418</v>
          </cell>
          <cell r="AF203">
            <v>-79.213911966806364</v>
          </cell>
          <cell r="AG203">
            <v>-173.16912362876519</v>
          </cell>
          <cell r="AH203">
            <v>-224.91080049689799</v>
          </cell>
          <cell r="AI203">
            <v>-85.794764357620096</v>
          </cell>
          <cell r="AJ203">
            <v>-80.5</v>
          </cell>
          <cell r="AK203">
            <v>-78.87</v>
          </cell>
        </row>
        <row r="204">
          <cell r="A204" t="str">
            <v>-  -  fuelolie</v>
          </cell>
          <cell r="B204" t="str">
            <v>cev</v>
          </cell>
          <cell r="C204" t="str">
            <v>elr</v>
          </cell>
          <cell r="D204" t="str">
            <v>fut</v>
          </cell>
          <cell r="E204" t="str">
            <v>a0a0</v>
          </cell>
          <cell r="F204" t="str">
            <v>a00</v>
          </cell>
          <cell r="G204">
            <v>-64236.116057104278</v>
          </cell>
          <cell r="H204">
            <v>0</v>
          </cell>
          <cell r="I204">
            <v>0</v>
          </cell>
          <cell r="J204">
            <v>-44701.226423793109</v>
          </cell>
          <cell r="K204">
            <v>-41681.942725501533</v>
          </cell>
          <cell r="L204">
            <v>-35619.637106963259</v>
          </cell>
          <cell r="M204">
            <v>-27054.218073454656</v>
          </cell>
          <cell r="N204">
            <v>-23376.517404485723</v>
          </cell>
          <cell r="O204">
            <v>-18009.304618144884</v>
          </cell>
          <cell r="P204">
            <v>-9884.4808340992895</v>
          </cell>
          <cell r="Q204">
            <v>-11245.806026217775</v>
          </cell>
          <cell r="R204">
            <v>-5401.5059982015173</v>
          </cell>
          <cell r="S204">
            <v>-3533.5545666858156</v>
          </cell>
          <cell r="T204">
            <v>-8641.9923761181162</v>
          </cell>
          <cell r="U204">
            <v>-9305.4107481133742</v>
          </cell>
          <cell r="V204">
            <v>-7027.7455339212602</v>
          </cell>
          <cell r="W204">
            <v>-9392.5329044325863</v>
          </cell>
          <cell r="X204">
            <v>-6884.2358961929203</v>
          </cell>
          <cell r="Y204">
            <v>-5481.4055912558943</v>
          </cell>
          <cell r="Z204">
            <v>-8161.8553870985852</v>
          </cell>
          <cell r="AA204">
            <v>-7764.3745545451002</v>
          </cell>
          <cell r="AB204">
            <v>-6510.7635</v>
          </cell>
          <cell r="AC204">
            <v>-19451.997594341199</v>
          </cell>
          <cell r="AD204">
            <v>-7179.473369796312</v>
          </cell>
          <cell r="AE204">
            <v>-9041.5337469726364</v>
          </cell>
          <cell r="AF204">
            <v>-5061.2899813853182</v>
          </cell>
          <cell r="AG204">
            <v>-8614.710037783927</v>
          </cell>
          <cell r="AH204">
            <v>-5716.1280483139699</v>
          </cell>
          <cell r="AI204">
            <v>-2982.5058879264102</v>
          </cell>
          <cell r="AJ204">
            <v>-5340.84</v>
          </cell>
          <cell r="AK204">
            <v>-8673.82</v>
          </cell>
        </row>
        <row r="205">
          <cell r="A205" t="str">
            <v>-  -  petroleumskoks</v>
          </cell>
          <cell r="B205" t="str">
            <v>cev</v>
          </cell>
          <cell r="C205" t="str">
            <v>elr</v>
          </cell>
          <cell r="D205" t="str">
            <v>pko</v>
          </cell>
          <cell r="E205" t="str">
            <v>a0a0</v>
          </cell>
          <cell r="F205" t="str">
            <v>a00</v>
          </cell>
          <cell r="G205">
            <v>0</v>
          </cell>
          <cell r="H205">
            <v>0</v>
          </cell>
          <cell r="I205">
            <v>0</v>
          </cell>
          <cell r="J205">
            <v>0</v>
          </cell>
          <cell r="K205">
            <v>0</v>
          </cell>
          <cell r="L205">
            <v>0</v>
          </cell>
          <cell r="M205">
            <v>0</v>
          </cell>
          <cell r="N205">
            <v>0</v>
          </cell>
          <cell r="O205">
            <v>0</v>
          </cell>
          <cell r="P205">
            <v>0</v>
          </cell>
          <cell r="Q205">
            <v>0</v>
          </cell>
          <cell r="R205">
            <v>0</v>
          </cell>
          <cell r="S205">
            <v>0</v>
          </cell>
          <cell r="T205">
            <v>0</v>
          </cell>
          <cell r="U205">
            <v>0</v>
          </cell>
          <cell r="V205">
            <v>0</v>
          </cell>
          <cell r="W205">
            <v>0</v>
          </cell>
          <cell r="X205">
            <v>0</v>
          </cell>
          <cell r="Y205">
            <v>0</v>
          </cell>
          <cell r="Z205">
            <v>0</v>
          </cell>
          <cell r="AA205">
            <v>0</v>
          </cell>
          <cell r="AB205">
            <v>-1096.2909999999999</v>
          </cell>
          <cell r="AC205">
            <v>-1842.27</v>
          </cell>
          <cell r="AD205">
            <v>-452.78</v>
          </cell>
          <cell r="AE205">
            <v>0</v>
          </cell>
          <cell r="AF205">
            <v>0</v>
          </cell>
          <cell r="AG205">
            <v>0</v>
          </cell>
          <cell r="AH205">
            <v>0</v>
          </cell>
          <cell r="AI205">
            <v>0</v>
          </cell>
          <cell r="AJ205">
            <v>0</v>
          </cell>
          <cell r="AK205">
            <v>0</v>
          </cell>
        </row>
        <row r="206">
          <cell r="A206" t="str">
            <v>-  -  orimulsion</v>
          </cell>
          <cell r="B206" t="str">
            <v>cev</v>
          </cell>
          <cell r="C206" t="str">
            <v>elr</v>
          </cell>
          <cell r="D206" t="str">
            <v>ori</v>
          </cell>
          <cell r="E206" t="str">
            <v>a0a0</v>
          </cell>
          <cell r="F206" t="str">
            <v>a00</v>
          </cell>
          <cell r="G206">
            <v>0</v>
          </cell>
          <cell r="H206">
            <v>0</v>
          </cell>
          <cell r="I206">
            <v>0</v>
          </cell>
          <cell r="J206">
            <v>0</v>
          </cell>
          <cell r="K206">
            <v>0</v>
          </cell>
          <cell r="L206">
            <v>0</v>
          </cell>
          <cell r="M206">
            <v>0</v>
          </cell>
          <cell r="N206">
            <v>0</v>
          </cell>
          <cell r="O206">
            <v>0</v>
          </cell>
          <cell r="P206">
            <v>0</v>
          </cell>
          <cell r="Q206">
            <v>0</v>
          </cell>
          <cell r="R206">
            <v>0</v>
          </cell>
          <cell r="S206">
            <v>0</v>
          </cell>
          <cell r="T206">
            <v>0</v>
          </cell>
          <cell r="U206">
            <v>0</v>
          </cell>
          <cell r="V206">
            <v>0</v>
          </cell>
          <cell r="W206">
            <v>0</v>
          </cell>
          <cell r="X206">
            <v>0</v>
          </cell>
          <cell r="Y206">
            <v>0</v>
          </cell>
          <cell r="Z206">
            <v>0</v>
          </cell>
          <cell r="AA206">
            <v>0</v>
          </cell>
          <cell r="AB206">
            <v>0</v>
          </cell>
          <cell r="AC206">
            <v>0</v>
          </cell>
          <cell r="AD206">
            <v>-19727.45</v>
          </cell>
          <cell r="AE206">
            <v>-36369.186000000002</v>
          </cell>
          <cell r="AF206">
            <v>-40078.82</v>
          </cell>
          <cell r="AG206">
            <v>-32164.714</v>
          </cell>
          <cell r="AH206">
            <v>-33573.683111223501</v>
          </cell>
          <cell r="AI206">
            <v>-33502.509600190198</v>
          </cell>
          <cell r="AJ206">
            <v>-29587.39</v>
          </cell>
          <cell r="AK206">
            <v>-23233.55</v>
          </cell>
        </row>
        <row r="207">
          <cell r="A207" t="str">
            <v>-  -  naturgas</v>
          </cell>
          <cell r="B207" t="str">
            <v>cev</v>
          </cell>
          <cell r="C207" t="str">
            <v>elr</v>
          </cell>
          <cell r="D207" t="str">
            <v>nga</v>
          </cell>
          <cell r="E207" t="str">
            <v>a0a0</v>
          </cell>
          <cell r="F207" t="str">
            <v>a00</v>
          </cell>
          <cell r="G207">
            <v>0</v>
          </cell>
          <cell r="H207">
            <v>0</v>
          </cell>
          <cell r="I207">
            <v>0</v>
          </cell>
          <cell r="J207">
            <v>0</v>
          </cell>
          <cell r="K207">
            <v>0</v>
          </cell>
          <cell r="L207">
            <v>0</v>
          </cell>
          <cell r="M207">
            <v>0</v>
          </cell>
          <cell r="N207">
            <v>0</v>
          </cell>
          <cell r="O207">
            <v>0</v>
          </cell>
          <cell r="P207">
            <v>0</v>
          </cell>
          <cell r="Q207">
            <v>0</v>
          </cell>
          <cell r="R207">
            <v>0</v>
          </cell>
          <cell r="S207">
            <v>0</v>
          </cell>
          <cell r="T207">
            <v>-2874.5521420671103</v>
          </cell>
          <cell r="U207">
            <v>-5062.913513752419</v>
          </cell>
          <cell r="V207">
            <v>-3151.6700898848326</v>
          </cell>
          <cell r="W207">
            <v>-4514.3554087699313</v>
          </cell>
          <cell r="X207">
            <v>-4505.5258633875001</v>
          </cell>
          <cell r="Y207">
            <v>-3455.5181796265747</v>
          </cell>
          <cell r="Z207">
            <v>-3982.6270653576462</v>
          </cell>
          <cell r="AA207">
            <v>-2918.1786206720067</v>
          </cell>
          <cell r="AB207">
            <v>-3934.0531999999998</v>
          </cell>
          <cell r="AC207">
            <v>-5193.4980353550809</v>
          </cell>
          <cell r="AD207">
            <v>-6631.6489433952593</v>
          </cell>
          <cell r="AE207">
            <v>-8092.5661776048846</v>
          </cell>
          <cell r="AF207">
            <v>-10693.700026784441</v>
          </cell>
          <cell r="AG207">
            <v>-15917.533795973832</v>
          </cell>
          <cell r="AH207">
            <v>-19905.904238716299</v>
          </cell>
          <cell r="AI207">
            <v>-21022.7368249725</v>
          </cell>
          <cell r="AJ207">
            <v>-22100.080000000002</v>
          </cell>
          <cell r="AK207">
            <v>-24648.639999999999</v>
          </cell>
        </row>
        <row r="208">
          <cell r="A208" t="str">
            <v>-  -  elværkskul</v>
          </cell>
          <cell r="B208" t="str">
            <v>cev</v>
          </cell>
          <cell r="C208" t="str">
            <v>elr</v>
          </cell>
          <cell r="D208" t="str">
            <v>ske</v>
          </cell>
          <cell r="E208" t="str">
            <v>a0a0</v>
          </cell>
          <cell r="F208" t="str">
            <v>a00</v>
          </cell>
          <cell r="G208">
            <v>-12396.649599117674</v>
          </cell>
          <cell r="H208">
            <v>0</v>
          </cell>
          <cell r="I208">
            <v>0</v>
          </cell>
          <cell r="J208">
            <v>-19975.712448272217</v>
          </cell>
          <cell r="K208">
            <v>-34843.467205451256</v>
          </cell>
          <cell r="L208">
            <v>-43125.158361648872</v>
          </cell>
          <cell r="M208">
            <v>-58849.540661771738</v>
          </cell>
          <cell r="N208">
            <v>-77212.328125876316</v>
          </cell>
          <cell r="O208">
            <v>-123628.41768349998</v>
          </cell>
          <cell r="P208">
            <v>-88080.918826794732</v>
          </cell>
          <cell r="Q208">
            <v>-176269.52888568272</v>
          </cell>
          <cell r="R208">
            <v>-168103.30545685478</v>
          </cell>
          <cell r="S208">
            <v>-164733.90881744411</v>
          </cell>
          <cell r="T208">
            <v>-205394.41771256714</v>
          </cell>
          <cell r="U208">
            <v>-226880.44151679878</v>
          </cell>
          <cell r="V208">
            <v>-216980.36639468549</v>
          </cell>
          <cell r="W208">
            <v>-201280.56801023835</v>
          </cell>
          <cell r="X208">
            <v>-167090.32493521649</v>
          </cell>
          <cell r="Y208">
            <v>-186479.30971736929</v>
          </cell>
          <cell r="Z208">
            <v>-272214.45026069414</v>
          </cell>
          <cell r="AA208">
            <v>-224348.3567061559</v>
          </cell>
          <cell r="AB208">
            <v>-233469.8834024361</v>
          </cell>
          <cell r="AC208">
            <v>-241047.06449451498</v>
          </cell>
          <cell r="AD208">
            <v>-191930.25769917312</v>
          </cell>
          <cell r="AE208">
            <v>-278174.70990481938</v>
          </cell>
          <cell r="AF208">
            <v>-213507.25028689028</v>
          </cell>
          <cell r="AG208">
            <v>-173929.21510712139</v>
          </cell>
          <cell r="AH208">
            <v>-142724.76818105401</v>
          </cell>
          <cell r="AI208">
            <v>-112862.68267552499</v>
          </cell>
          <cell r="AJ208">
            <v>-129779.38</v>
          </cell>
          <cell r="AK208">
            <v>-136676.88</v>
          </cell>
        </row>
        <row r="209">
          <cell r="A209" t="str">
            <v>-  -  halm</v>
          </cell>
          <cell r="B209" t="str">
            <v>cev</v>
          </cell>
          <cell r="C209" t="str">
            <v>elr</v>
          </cell>
          <cell r="D209" t="str">
            <v>hal</v>
          </cell>
          <cell r="E209" t="str">
            <v>a0a0</v>
          </cell>
          <cell r="F209" t="str">
            <v>a00</v>
          </cell>
          <cell r="G209">
            <v>0</v>
          </cell>
          <cell r="H209">
            <v>0</v>
          </cell>
          <cell r="I209">
            <v>0</v>
          </cell>
          <cell r="J209">
            <v>0</v>
          </cell>
          <cell r="K209">
            <v>0</v>
          </cell>
          <cell r="L209">
            <v>0</v>
          </cell>
          <cell r="M209">
            <v>0</v>
          </cell>
          <cell r="N209">
            <v>0</v>
          </cell>
          <cell r="O209">
            <v>0</v>
          </cell>
          <cell r="P209">
            <v>0</v>
          </cell>
          <cell r="Q209">
            <v>0</v>
          </cell>
          <cell r="R209">
            <v>0</v>
          </cell>
          <cell r="S209">
            <v>0</v>
          </cell>
          <cell r="T209">
            <v>-66.071255154565193</v>
          </cell>
          <cell r="U209">
            <v>-79.193361326224462</v>
          </cell>
          <cell r="V209">
            <v>-52.078878978153931</v>
          </cell>
          <cell r="W209">
            <v>0</v>
          </cell>
          <cell r="X209">
            <v>-50.939668630891809</v>
          </cell>
          <cell r="Y209">
            <v>-182.05543350462261</v>
          </cell>
          <cell r="Z209">
            <v>-339.06271851667645</v>
          </cell>
          <cell r="AA209">
            <v>-213.6555426971573</v>
          </cell>
          <cell r="AB209">
            <v>-222.93260000000001</v>
          </cell>
          <cell r="AC209">
            <v>-97.400496043035659</v>
          </cell>
          <cell r="AD209">
            <v>0</v>
          </cell>
          <cell r="AE209">
            <v>0</v>
          </cell>
          <cell r="AF209">
            <v>0</v>
          </cell>
          <cell r="AG209">
            <v>-988.23762051219364</v>
          </cell>
          <cell r="AH209">
            <v>-1299.86481091733</v>
          </cell>
          <cell r="AI209">
            <v>-0.99246784524534204</v>
          </cell>
          <cell r="AJ209">
            <v>-1626.33</v>
          </cell>
          <cell r="AK209">
            <v>-3430.98</v>
          </cell>
        </row>
        <row r="210">
          <cell r="A210" t="str">
            <v>-  -  skovflis</v>
          </cell>
          <cell r="B210" t="str">
            <v>cev</v>
          </cell>
          <cell r="C210" t="str">
            <v>elr</v>
          </cell>
          <cell r="D210" t="str">
            <v>fli</v>
          </cell>
          <cell r="E210" t="str">
            <v>a0a0</v>
          </cell>
          <cell r="F210" t="str">
            <v>a00</v>
          </cell>
          <cell r="G210">
            <v>0</v>
          </cell>
          <cell r="H210">
            <v>0</v>
          </cell>
          <cell r="I210">
            <v>0</v>
          </cell>
          <cell r="J210">
            <v>0</v>
          </cell>
          <cell r="K210">
            <v>0</v>
          </cell>
          <cell r="L210">
            <v>0</v>
          </cell>
          <cell r="M210">
            <v>0</v>
          </cell>
          <cell r="N210">
            <v>0</v>
          </cell>
          <cell r="O210">
            <v>0</v>
          </cell>
          <cell r="P210">
            <v>0</v>
          </cell>
          <cell r="Q210">
            <v>0</v>
          </cell>
          <cell r="R210">
            <v>0</v>
          </cell>
          <cell r="S210">
            <v>0</v>
          </cell>
          <cell r="T210">
            <v>0</v>
          </cell>
          <cell r="U210">
            <v>0</v>
          </cell>
          <cell r="V210">
            <v>0</v>
          </cell>
          <cell r="W210">
            <v>0</v>
          </cell>
          <cell r="X210">
            <v>0</v>
          </cell>
          <cell r="Y210">
            <v>0</v>
          </cell>
          <cell r="Z210">
            <v>0</v>
          </cell>
          <cell r="AA210">
            <v>0</v>
          </cell>
          <cell r="AB210">
            <v>0</v>
          </cell>
          <cell r="AC210">
            <v>0</v>
          </cell>
          <cell r="AD210">
            <v>0</v>
          </cell>
          <cell r="AE210">
            <v>-1.0463118324424963</v>
          </cell>
          <cell r="AF210">
            <v>-19.563367486546529</v>
          </cell>
          <cell r="AG210">
            <v>-174.30971249737689</v>
          </cell>
          <cell r="AH210">
            <v>-10.5998768804095</v>
          </cell>
          <cell r="AI210">
            <v>-4.9264600152253299</v>
          </cell>
          <cell r="AJ210">
            <v>-22.82</v>
          </cell>
          <cell r="AK210">
            <v>-249.93</v>
          </cell>
        </row>
        <row r="211">
          <cell r="A211" t="str">
            <v>-  -  træpiller</v>
          </cell>
          <cell r="B211" t="str">
            <v>cev</v>
          </cell>
          <cell r="C211" t="str">
            <v>elr</v>
          </cell>
          <cell r="D211" t="str">
            <v>tpi</v>
          </cell>
          <cell r="E211" t="str">
            <v>a0a0</v>
          </cell>
          <cell r="F211" t="str">
            <v>a00</v>
          </cell>
          <cell r="G211">
            <v>0</v>
          </cell>
          <cell r="H211">
            <v>0</v>
          </cell>
          <cell r="I211">
            <v>0</v>
          </cell>
          <cell r="J211">
            <v>0</v>
          </cell>
          <cell r="K211">
            <v>0</v>
          </cell>
          <cell r="L211">
            <v>0</v>
          </cell>
          <cell r="M211">
            <v>0</v>
          </cell>
          <cell r="N211">
            <v>0</v>
          </cell>
          <cell r="O211">
            <v>0</v>
          </cell>
          <cell r="P211">
            <v>0</v>
          </cell>
          <cell r="Q211">
            <v>0</v>
          </cell>
          <cell r="R211">
            <v>0</v>
          </cell>
          <cell r="S211">
            <v>0</v>
          </cell>
          <cell r="T211">
            <v>0</v>
          </cell>
          <cell r="U211">
            <v>0</v>
          </cell>
          <cell r="V211">
            <v>0</v>
          </cell>
          <cell r="W211">
            <v>0</v>
          </cell>
          <cell r="X211">
            <v>0</v>
          </cell>
          <cell r="Y211">
            <v>0</v>
          </cell>
          <cell r="Z211">
            <v>0</v>
          </cell>
          <cell r="AA211">
            <v>0</v>
          </cell>
          <cell r="AB211">
            <v>0</v>
          </cell>
          <cell r="AC211">
            <v>0</v>
          </cell>
          <cell r="AD211">
            <v>0</v>
          </cell>
          <cell r="AE211">
            <v>0</v>
          </cell>
          <cell r="AF211">
            <v>0</v>
          </cell>
          <cell r="AG211">
            <v>-181.88509685702689</v>
          </cell>
          <cell r="AH211">
            <v>0</v>
          </cell>
          <cell r="AI211">
            <v>0</v>
          </cell>
          <cell r="AJ211">
            <v>-0.74</v>
          </cell>
          <cell r="AK211">
            <v>-94.31</v>
          </cell>
        </row>
        <row r="212">
          <cell r="A212" t="str">
            <v>-  -  træaffald</v>
          </cell>
          <cell r="B212" t="str">
            <v>cev</v>
          </cell>
          <cell r="C212" t="str">
            <v>elr</v>
          </cell>
          <cell r="D212" t="str">
            <v>taf</v>
          </cell>
          <cell r="E212" t="str">
            <v>a0a0</v>
          </cell>
          <cell r="F212" t="str">
            <v>a00</v>
          </cell>
          <cell r="G212">
            <v>0</v>
          </cell>
          <cell r="H212">
            <v>0</v>
          </cell>
          <cell r="I212">
            <v>0</v>
          </cell>
          <cell r="J212">
            <v>0</v>
          </cell>
          <cell r="K212">
            <v>0</v>
          </cell>
          <cell r="L212">
            <v>0</v>
          </cell>
          <cell r="M212">
            <v>0</v>
          </cell>
          <cell r="N212">
            <v>0</v>
          </cell>
          <cell r="O212">
            <v>0</v>
          </cell>
          <cell r="P212">
            <v>0</v>
          </cell>
          <cell r="Q212">
            <v>0</v>
          </cell>
          <cell r="R212">
            <v>0</v>
          </cell>
          <cell r="S212">
            <v>0</v>
          </cell>
          <cell r="T212">
            <v>0</v>
          </cell>
          <cell r="U212">
            <v>0</v>
          </cell>
          <cell r="V212">
            <v>0</v>
          </cell>
          <cell r="W212">
            <v>0</v>
          </cell>
          <cell r="X212">
            <v>0</v>
          </cell>
          <cell r="Y212">
            <v>0</v>
          </cell>
          <cell r="Z212">
            <v>0</v>
          </cell>
          <cell r="AA212">
            <v>0</v>
          </cell>
          <cell r="AB212">
            <v>0</v>
          </cell>
          <cell r="AC212">
            <v>-41.743069767376312</v>
          </cell>
          <cell r="AD212">
            <v>0</v>
          </cell>
          <cell r="AE212">
            <v>-15.552167584469004</v>
          </cell>
          <cell r="AF212">
            <v>0</v>
          </cell>
          <cell r="AG212">
            <v>0</v>
          </cell>
          <cell r="AH212">
            <v>-174.38839825225</v>
          </cell>
          <cell r="AI212">
            <v>0</v>
          </cell>
          <cell r="AJ212">
            <v>0</v>
          </cell>
          <cell r="AK212">
            <v>0</v>
          </cell>
        </row>
        <row r="213">
          <cell r="A213" t="str">
            <v>-  -  biogas, deponi</v>
          </cell>
          <cell r="B213" t="str">
            <v>cev</v>
          </cell>
          <cell r="C213" t="str">
            <v>elr</v>
          </cell>
          <cell r="D213" t="str">
            <v>bid</v>
          </cell>
          <cell r="E213" t="str">
            <v>a0a0</v>
          </cell>
          <cell r="F213" t="str">
            <v>a00</v>
          </cell>
          <cell r="G213">
            <v>0</v>
          </cell>
          <cell r="H213">
            <v>0</v>
          </cell>
          <cell r="I213">
            <v>0</v>
          </cell>
          <cell r="J213">
            <v>0</v>
          </cell>
          <cell r="K213">
            <v>0</v>
          </cell>
          <cell r="L213">
            <v>0</v>
          </cell>
          <cell r="M213">
            <v>0</v>
          </cell>
          <cell r="N213">
            <v>0</v>
          </cell>
          <cell r="O213">
            <v>0</v>
          </cell>
          <cell r="P213">
            <v>0</v>
          </cell>
          <cell r="Q213">
            <v>0</v>
          </cell>
          <cell r="R213">
            <v>0</v>
          </cell>
          <cell r="S213">
            <v>0</v>
          </cell>
          <cell r="T213">
            <v>0</v>
          </cell>
          <cell r="U213">
            <v>0</v>
          </cell>
          <cell r="V213">
            <v>0</v>
          </cell>
          <cell r="W213">
            <v>0</v>
          </cell>
          <cell r="X213">
            <v>0</v>
          </cell>
          <cell r="Y213">
            <v>0</v>
          </cell>
          <cell r="Z213">
            <v>0</v>
          </cell>
          <cell r="AA213">
            <v>0</v>
          </cell>
          <cell r="AB213">
            <v>0</v>
          </cell>
          <cell r="AC213">
            <v>0</v>
          </cell>
          <cell r="AD213">
            <v>0</v>
          </cell>
          <cell r="AE213">
            <v>0</v>
          </cell>
          <cell r="AF213">
            <v>0</v>
          </cell>
          <cell r="AG213">
            <v>0</v>
          </cell>
          <cell r="AH213">
            <v>-20.9349461489488</v>
          </cell>
          <cell r="AI213">
            <v>-18.11</v>
          </cell>
          <cell r="AJ213">
            <v>-16.21</v>
          </cell>
          <cell r="AK213">
            <v>-13.8</v>
          </cell>
        </row>
        <row r="221">
          <cell r="A221" t="str">
            <v>-  -  gas/dieselolie</v>
          </cell>
          <cell r="B221" t="str">
            <v>cev</v>
          </cell>
          <cell r="C221" t="str">
            <v>fjr</v>
          </cell>
          <cell r="D221" t="str">
            <v>gdt</v>
          </cell>
          <cell r="E221" t="str">
            <v>a0a0</v>
          </cell>
          <cell r="F221" t="str">
            <v>a00</v>
          </cell>
          <cell r="G221">
            <v>-0.21273554192653663</v>
          </cell>
          <cell r="H221">
            <v>0</v>
          </cell>
          <cell r="I221">
            <v>0</v>
          </cell>
          <cell r="J221">
            <v>-15.765872065329095</v>
          </cell>
          <cell r="K221">
            <v>-1.6008425388754377</v>
          </cell>
          <cell r="L221">
            <v>-9.239868612139281</v>
          </cell>
          <cell r="M221">
            <v>-17.709833776305555</v>
          </cell>
          <cell r="N221">
            <v>-26.267930362041731</v>
          </cell>
          <cell r="O221">
            <v>-16.502501644868438</v>
          </cell>
          <cell r="P221">
            <v>-40.923460894025368</v>
          </cell>
          <cell r="Q221">
            <v>-19.710511900490463</v>
          </cell>
          <cell r="R221">
            <v>-30.708155056310975</v>
          </cell>
          <cell r="S221">
            <v>-27.733784129948258</v>
          </cell>
          <cell r="T221">
            <v>-5.6034859069633729</v>
          </cell>
          <cell r="U221">
            <v>-15.477329131889743</v>
          </cell>
          <cell r="V221">
            <v>-33.591297469729078</v>
          </cell>
          <cell r="W221">
            <v>-36.221823440862025</v>
          </cell>
          <cell r="X221">
            <v>-28.27276342780149</v>
          </cell>
          <cell r="Y221">
            <v>-25.950426542790144</v>
          </cell>
          <cell r="Z221">
            <v>-40.982196437184264</v>
          </cell>
          <cell r="AA221">
            <v>-72.069604079415427</v>
          </cell>
          <cell r="AB221">
            <v>-25.444099999999999</v>
          </cell>
          <cell r="AC221">
            <v>-4.257249552594101</v>
          </cell>
          <cell r="AD221">
            <v>-10.694964306649753</v>
          </cell>
          <cell r="AE221">
            <v>-9.6513415484413247</v>
          </cell>
          <cell r="AF221">
            <v>-5.2302160331936332</v>
          </cell>
          <cell r="AG221">
            <v>-48.524580373370668</v>
          </cell>
          <cell r="AH221">
            <v>-24.791967507054999</v>
          </cell>
          <cell r="AI221">
            <v>-26.089095242379901</v>
          </cell>
          <cell r="AJ221">
            <v>-15.3</v>
          </cell>
          <cell r="AK221">
            <v>-12.8</v>
          </cell>
        </row>
        <row r="222">
          <cell r="A222" t="str">
            <v>-  -  fuelolie</v>
          </cell>
          <cell r="B222" t="str">
            <v>cev</v>
          </cell>
          <cell r="C222" t="str">
            <v>fjr</v>
          </cell>
          <cell r="D222" t="str">
            <v>fut</v>
          </cell>
          <cell r="E222" t="str">
            <v>a0a0</v>
          </cell>
          <cell r="F222" t="str">
            <v>a00</v>
          </cell>
          <cell r="G222">
            <v>-9662.044142895722</v>
          </cell>
          <cell r="H222">
            <v>0</v>
          </cell>
          <cell r="I222">
            <v>0</v>
          </cell>
          <cell r="J222">
            <v>-7657.3715762068914</v>
          </cell>
          <cell r="K222">
            <v>-6778.1318744984637</v>
          </cell>
          <cell r="L222">
            <v>-5539.9592930367353</v>
          </cell>
          <cell r="M222">
            <v>-4249.477926545349</v>
          </cell>
          <cell r="N222">
            <v>-3421.0497955142828</v>
          </cell>
          <cell r="O222">
            <v>-1953.2853818551159</v>
          </cell>
          <cell r="P222">
            <v>-1584.9083659007119</v>
          </cell>
          <cell r="Q222">
            <v>-1006.6895737822258</v>
          </cell>
          <cell r="R222">
            <v>-579.86880179848367</v>
          </cell>
          <cell r="S222">
            <v>-406.83143331418449</v>
          </cell>
          <cell r="T222">
            <v>-906.26642388188361</v>
          </cell>
          <cell r="U222">
            <v>-917.29885188662593</v>
          </cell>
          <cell r="V222">
            <v>-799.02126607873981</v>
          </cell>
          <cell r="W222">
            <v>-1139.4250955674145</v>
          </cell>
          <cell r="X222">
            <v>-954.16770380707896</v>
          </cell>
          <cell r="Y222">
            <v>-720.93360874410621</v>
          </cell>
          <cell r="Z222">
            <v>-841.00381290141422</v>
          </cell>
          <cell r="AA222">
            <v>-957.55584545490001</v>
          </cell>
          <cell r="AB222">
            <v>-848.9144</v>
          </cell>
          <cell r="AC222">
            <v>-1695.9648019422557</v>
          </cell>
          <cell r="AD222">
            <v>-1614.386827277503</v>
          </cell>
          <cell r="AE222">
            <v>-2169.1180514016096</v>
          </cell>
          <cell r="AF222">
            <v>-1328.2429158018811</v>
          </cell>
          <cell r="AG222">
            <v>-1830.1776628503656</v>
          </cell>
          <cell r="AH222">
            <v>-969.35665168602998</v>
          </cell>
          <cell r="AI222">
            <v>-460.293112073592</v>
          </cell>
          <cell r="AJ222">
            <v>-1644.33</v>
          </cell>
          <cell r="AK222">
            <v>-2083.1799999999998</v>
          </cell>
        </row>
        <row r="223">
          <cell r="A223" t="str">
            <v>-  -  petroleumskoks</v>
          </cell>
          <cell r="B223" t="str">
            <v>cev</v>
          </cell>
          <cell r="C223" t="str">
            <v>fjr</v>
          </cell>
          <cell r="D223" t="str">
            <v>pko</v>
          </cell>
          <cell r="E223" t="str">
            <v>a0a0</v>
          </cell>
          <cell r="F223" t="str">
            <v>a00</v>
          </cell>
          <cell r="G223">
            <v>0</v>
          </cell>
          <cell r="H223">
            <v>0</v>
          </cell>
          <cell r="I223">
            <v>0</v>
          </cell>
          <cell r="J223">
            <v>0</v>
          </cell>
          <cell r="K223">
            <v>0</v>
          </cell>
          <cell r="L223">
            <v>0</v>
          </cell>
          <cell r="M223">
            <v>0</v>
          </cell>
          <cell r="N223">
            <v>0</v>
          </cell>
          <cell r="O223">
            <v>0</v>
          </cell>
          <cell r="P223">
            <v>0</v>
          </cell>
          <cell r="Q223">
            <v>0</v>
          </cell>
          <cell r="R223">
            <v>0</v>
          </cell>
          <cell r="S223">
            <v>0</v>
          </cell>
          <cell r="T223">
            <v>0</v>
          </cell>
          <cell r="U223">
            <v>0</v>
          </cell>
          <cell r="V223">
            <v>0</v>
          </cell>
          <cell r="W223">
            <v>0</v>
          </cell>
          <cell r="X223">
            <v>0</v>
          </cell>
          <cell r="Y223">
            <v>0</v>
          </cell>
          <cell r="Z223">
            <v>0</v>
          </cell>
          <cell r="AA223">
            <v>0</v>
          </cell>
          <cell r="AB223">
            <v>-142.94130000000001</v>
          </cell>
          <cell r="AC223">
            <v>-1900.73</v>
          </cell>
          <cell r="AD223">
            <v>-467.22</v>
          </cell>
          <cell r="AE223">
            <v>0</v>
          </cell>
          <cell r="AF223">
            <v>0</v>
          </cell>
          <cell r="AG223">
            <v>0</v>
          </cell>
          <cell r="AH223">
            <v>0</v>
          </cell>
          <cell r="AI223">
            <v>0</v>
          </cell>
          <cell r="AJ223">
            <v>0</v>
          </cell>
          <cell r="AK223">
            <v>0</v>
          </cell>
        </row>
        <row r="224">
          <cell r="A224" t="str">
            <v>-  -  orimulsion</v>
          </cell>
          <cell r="B224" t="str">
            <v>cev</v>
          </cell>
          <cell r="C224" t="str">
            <v>fjr</v>
          </cell>
          <cell r="D224" t="str">
            <v>ori</v>
          </cell>
          <cell r="E224" t="str">
            <v>a0a0</v>
          </cell>
          <cell r="F224" t="str">
            <v>a00</v>
          </cell>
          <cell r="G224">
            <v>0</v>
          </cell>
          <cell r="H224">
            <v>0</v>
          </cell>
          <cell r="I224">
            <v>0</v>
          </cell>
          <cell r="J224">
            <v>0</v>
          </cell>
          <cell r="K224">
            <v>0</v>
          </cell>
          <cell r="L224">
            <v>0</v>
          </cell>
          <cell r="M224">
            <v>0</v>
          </cell>
          <cell r="N224">
            <v>0</v>
          </cell>
          <cell r="O224">
            <v>0</v>
          </cell>
          <cell r="P224">
            <v>0</v>
          </cell>
          <cell r="Q224">
            <v>0</v>
          </cell>
          <cell r="R224">
            <v>0</v>
          </cell>
          <cell r="S224">
            <v>0</v>
          </cell>
          <cell r="T224">
            <v>0</v>
          </cell>
          <cell r="U224">
            <v>0</v>
          </cell>
          <cell r="V224">
            <v>0</v>
          </cell>
          <cell r="W224">
            <v>0</v>
          </cell>
          <cell r="X224">
            <v>0</v>
          </cell>
          <cell r="Y224">
            <v>0</v>
          </cell>
          <cell r="Z224">
            <v>0</v>
          </cell>
          <cell r="AA224">
            <v>0</v>
          </cell>
          <cell r="AB224">
            <v>0</v>
          </cell>
          <cell r="AC224">
            <v>0</v>
          </cell>
          <cell r="AD224">
            <v>-241.36171624122451</v>
          </cell>
          <cell r="AE224">
            <v>-516.54333762327155</v>
          </cell>
          <cell r="AF224">
            <v>-532.47506327818439</v>
          </cell>
          <cell r="AG224">
            <v>-539.87282165235411</v>
          </cell>
          <cell r="AH224">
            <v>-616.94888877651999</v>
          </cell>
          <cell r="AI224">
            <v>-645.671399809798</v>
          </cell>
          <cell r="AJ224">
            <v>-653.26</v>
          </cell>
          <cell r="AK224">
            <v>-610.47</v>
          </cell>
        </row>
        <row r="225">
          <cell r="A225" t="str">
            <v>-  -  naturgas</v>
          </cell>
          <cell r="B225" t="str">
            <v>cev</v>
          </cell>
          <cell r="C225" t="str">
            <v>fjr</v>
          </cell>
          <cell r="D225" t="str">
            <v>nga</v>
          </cell>
          <cell r="E225" t="str">
            <v>a0a0</v>
          </cell>
          <cell r="F225" t="str">
            <v>a00</v>
          </cell>
          <cell r="G225">
            <v>0</v>
          </cell>
          <cell r="H225">
            <v>0</v>
          </cell>
          <cell r="I225">
            <v>0</v>
          </cell>
          <cell r="J225">
            <v>0</v>
          </cell>
          <cell r="K225">
            <v>0</v>
          </cell>
          <cell r="L225">
            <v>0</v>
          </cell>
          <cell r="M225">
            <v>0</v>
          </cell>
          <cell r="N225">
            <v>0</v>
          </cell>
          <cell r="O225">
            <v>0</v>
          </cell>
          <cell r="P225">
            <v>0</v>
          </cell>
          <cell r="Q225">
            <v>0</v>
          </cell>
          <cell r="R225">
            <v>0</v>
          </cell>
          <cell r="S225">
            <v>0</v>
          </cell>
          <cell r="T225">
            <v>-301.44785793288952</v>
          </cell>
          <cell r="U225">
            <v>-499.08648624758086</v>
          </cell>
          <cell r="V225">
            <v>-358.32991011516742</v>
          </cell>
          <cell r="W225">
            <v>-547.64459123006861</v>
          </cell>
          <cell r="X225">
            <v>-624.47413661250039</v>
          </cell>
          <cell r="Y225">
            <v>-454.48182037342542</v>
          </cell>
          <cell r="Z225">
            <v>-410.3729346423537</v>
          </cell>
          <cell r="AA225">
            <v>-359.82137932799327</v>
          </cell>
          <cell r="AB225">
            <v>-512.94669999999996</v>
          </cell>
          <cell r="AC225">
            <v>-3244.4753650549783</v>
          </cell>
          <cell r="AD225">
            <v>-3822.0914063047408</v>
          </cell>
          <cell r="AE225">
            <v>-4101.4338223951145</v>
          </cell>
          <cell r="AF225">
            <v>-3906.3699732155587</v>
          </cell>
          <cell r="AG225">
            <v>-4884.9662040261665</v>
          </cell>
          <cell r="AH225">
            <v>-5702.2941612837503</v>
          </cell>
          <cell r="AI225">
            <v>-8029.4562888274704</v>
          </cell>
          <cell r="AJ225">
            <v>-7843.33</v>
          </cell>
          <cell r="AK225">
            <v>-8700.92</v>
          </cell>
        </row>
        <row r="226">
          <cell r="A226" t="str">
            <v>-  -  elværkskul</v>
          </cell>
          <cell r="B226" t="str">
            <v>cev</v>
          </cell>
          <cell r="C226" t="str">
            <v>fjr</v>
          </cell>
          <cell r="D226" t="str">
            <v>ske</v>
          </cell>
          <cell r="E226" t="str">
            <v>a0a0</v>
          </cell>
          <cell r="F226" t="str">
            <v>a00</v>
          </cell>
          <cell r="G226">
            <v>-1862.2032008823271</v>
          </cell>
          <cell r="H226">
            <v>0</v>
          </cell>
          <cell r="I226">
            <v>0</v>
          </cell>
          <cell r="J226">
            <v>-3421.8625517277783</v>
          </cell>
          <cell r="K226">
            <v>-5642.0366945487394</v>
          </cell>
          <cell r="L226">
            <v>-6707.3008383511251</v>
          </cell>
          <cell r="M226">
            <v>-9243.6537382282713</v>
          </cell>
          <cell r="N226">
            <v>-11299.682274123676</v>
          </cell>
          <cell r="O226">
            <v>-13408.712116500017</v>
          </cell>
          <cell r="P226">
            <v>-14123.168173205262</v>
          </cell>
          <cell r="Q226">
            <v>-15779.099914317285</v>
          </cell>
          <cell r="R226">
            <v>-18046.423043145205</v>
          </cell>
          <cell r="S226">
            <v>-18966.434782555865</v>
          </cell>
          <cell r="T226">
            <v>-21539.253487432827</v>
          </cell>
          <cell r="U226">
            <v>-22365.178083201219</v>
          </cell>
          <cell r="V226">
            <v>-24669.636405314519</v>
          </cell>
          <cell r="W226">
            <v>-24417.708489761659</v>
          </cell>
          <cell r="X226">
            <v>-23159.025064783509</v>
          </cell>
          <cell r="Y226">
            <v>-24527.397382630694</v>
          </cell>
          <cell r="Z226">
            <v>-28050.193539305856</v>
          </cell>
          <cell r="AA226">
            <v>-27679.637493844089</v>
          </cell>
          <cell r="AB226">
            <v>-30311.352597563866</v>
          </cell>
          <cell r="AC226">
            <v>-25772.404892792139</v>
          </cell>
          <cell r="AD226">
            <v>-26523.471762094188</v>
          </cell>
          <cell r="AE226">
            <v>-28353.918446428466</v>
          </cell>
          <cell r="AF226">
            <v>-26083.058233109703</v>
          </cell>
          <cell r="AG226">
            <v>-24726.052893959994</v>
          </cell>
          <cell r="AH226">
            <v>-22891.571818945598</v>
          </cell>
          <cell r="AI226">
            <v>-18965.159324474898</v>
          </cell>
          <cell r="AJ226">
            <v>-20677.02</v>
          </cell>
          <cell r="AK226">
            <v>-18362.12</v>
          </cell>
        </row>
        <row r="227">
          <cell r="A227" t="str">
            <v>-  -  halm</v>
          </cell>
          <cell r="B227" t="str">
            <v>cev</v>
          </cell>
          <cell r="C227" t="str">
            <v>fjr</v>
          </cell>
          <cell r="D227" t="str">
            <v>hal</v>
          </cell>
          <cell r="E227" t="str">
            <v>a0a0</v>
          </cell>
          <cell r="F227" t="str">
            <v>a00</v>
          </cell>
          <cell r="G227">
            <v>0</v>
          </cell>
          <cell r="H227">
            <v>0</v>
          </cell>
          <cell r="I227">
            <v>0</v>
          </cell>
          <cell r="J227">
            <v>0</v>
          </cell>
          <cell r="K227">
            <v>0</v>
          </cell>
          <cell r="L227">
            <v>0</v>
          </cell>
          <cell r="M227">
            <v>0</v>
          </cell>
          <cell r="N227">
            <v>0</v>
          </cell>
          <cell r="O227">
            <v>0</v>
          </cell>
          <cell r="P227">
            <v>0</v>
          </cell>
          <cell r="Q227">
            <v>0</v>
          </cell>
          <cell r="R227">
            <v>0</v>
          </cell>
          <cell r="S227">
            <v>0</v>
          </cell>
          <cell r="T227">
            <v>-6.9287448454348031</v>
          </cell>
          <cell r="U227">
            <v>-7.8066386737755371</v>
          </cell>
          <cell r="V227">
            <v>-5.921121021846071</v>
          </cell>
          <cell r="W227">
            <v>0</v>
          </cell>
          <cell r="X227">
            <v>-7.0603313691081917</v>
          </cell>
          <cell r="Y227">
            <v>-23.944566495377401</v>
          </cell>
          <cell r="Z227">
            <v>-34.937281483323538</v>
          </cell>
          <cell r="AA227">
            <v>-26.344457302842702</v>
          </cell>
          <cell r="AB227">
            <v>-29.067299999999999</v>
          </cell>
          <cell r="AC227">
            <v>-2.8535038968119473</v>
          </cell>
          <cell r="AD227">
            <v>0</v>
          </cell>
          <cell r="AE227">
            <v>0</v>
          </cell>
          <cell r="AF227">
            <v>0</v>
          </cell>
          <cell r="AG227">
            <v>-25.532054487806207</v>
          </cell>
          <cell r="AH227">
            <v>-39.935189082670902</v>
          </cell>
          <cell r="AI227">
            <v>-5.6672154754658602E-2</v>
          </cell>
          <cell r="AJ227">
            <v>-62.94</v>
          </cell>
          <cell r="AK227">
            <v>-427.39</v>
          </cell>
        </row>
        <row r="228">
          <cell r="A228" t="str">
            <v>-  -  skovflis</v>
          </cell>
          <cell r="B228" t="str">
            <v>cev</v>
          </cell>
          <cell r="C228" t="str">
            <v>fjr</v>
          </cell>
          <cell r="D228" t="str">
            <v>fli</v>
          </cell>
          <cell r="E228" t="str">
            <v>a0a0</v>
          </cell>
          <cell r="F228" t="str">
            <v>a00</v>
          </cell>
          <cell r="G228">
            <v>0</v>
          </cell>
          <cell r="H228">
            <v>0</v>
          </cell>
          <cell r="I228">
            <v>0</v>
          </cell>
          <cell r="J228">
            <v>0</v>
          </cell>
          <cell r="K228">
            <v>0</v>
          </cell>
          <cell r="L228">
            <v>0</v>
          </cell>
          <cell r="M228">
            <v>0</v>
          </cell>
          <cell r="N228">
            <v>0</v>
          </cell>
          <cell r="O228">
            <v>0</v>
          </cell>
          <cell r="P228">
            <v>0</v>
          </cell>
          <cell r="Q228">
            <v>0</v>
          </cell>
          <cell r="R228">
            <v>0</v>
          </cell>
          <cell r="S228">
            <v>0</v>
          </cell>
          <cell r="T228">
            <v>0</v>
          </cell>
          <cell r="U228">
            <v>0</v>
          </cell>
          <cell r="V228">
            <v>0</v>
          </cell>
          <cell r="W228">
            <v>0</v>
          </cell>
          <cell r="X228">
            <v>0</v>
          </cell>
          <cell r="Y228">
            <v>0</v>
          </cell>
          <cell r="Z228">
            <v>0</v>
          </cell>
          <cell r="AA228">
            <v>0</v>
          </cell>
          <cell r="AB228">
            <v>0</v>
          </cell>
          <cell r="AC228">
            <v>0</v>
          </cell>
          <cell r="AD228">
            <v>0</v>
          </cell>
          <cell r="AE228">
            <v>-0.22018816755750362</v>
          </cell>
          <cell r="AF228">
            <v>-2.9798325134534727</v>
          </cell>
          <cell r="AG228">
            <v>-6.3791175026231297</v>
          </cell>
          <cell r="AH228">
            <v>-1.36312311959048</v>
          </cell>
          <cell r="AI228">
            <v>-1.3165399847746699</v>
          </cell>
          <cell r="AJ228">
            <v>-8.19</v>
          </cell>
          <cell r="AK228">
            <v>-97.04</v>
          </cell>
        </row>
        <row r="229">
          <cell r="A229" t="str">
            <v>-  -  træpiller</v>
          </cell>
          <cell r="B229" t="str">
            <v>cev</v>
          </cell>
          <cell r="C229" t="str">
            <v>fjr</v>
          </cell>
          <cell r="D229" t="str">
            <v>tpi</v>
          </cell>
          <cell r="E229" t="str">
            <v>a0a0</v>
          </cell>
          <cell r="F229" t="str">
            <v>a00</v>
          </cell>
          <cell r="G229">
            <v>0</v>
          </cell>
          <cell r="H229">
            <v>0</v>
          </cell>
          <cell r="I229">
            <v>0</v>
          </cell>
          <cell r="J229">
            <v>0</v>
          </cell>
          <cell r="K229">
            <v>0</v>
          </cell>
          <cell r="L229">
            <v>0</v>
          </cell>
          <cell r="M229">
            <v>0</v>
          </cell>
          <cell r="N229">
            <v>0</v>
          </cell>
          <cell r="O229">
            <v>0</v>
          </cell>
          <cell r="P229">
            <v>0</v>
          </cell>
          <cell r="Q229">
            <v>0</v>
          </cell>
          <cell r="R229">
            <v>0</v>
          </cell>
          <cell r="S229">
            <v>0</v>
          </cell>
          <cell r="T229">
            <v>0</v>
          </cell>
          <cell r="U229">
            <v>0</v>
          </cell>
          <cell r="V229">
            <v>0</v>
          </cell>
          <cell r="W229">
            <v>0</v>
          </cell>
          <cell r="X229">
            <v>0</v>
          </cell>
          <cell r="Y229">
            <v>0</v>
          </cell>
          <cell r="Z229">
            <v>0</v>
          </cell>
          <cell r="AA229">
            <v>0</v>
          </cell>
          <cell r="AB229">
            <v>0</v>
          </cell>
          <cell r="AC229">
            <v>0</v>
          </cell>
          <cell r="AD229">
            <v>0</v>
          </cell>
          <cell r="AE229">
            <v>0</v>
          </cell>
          <cell r="AF229">
            <v>0</v>
          </cell>
          <cell r="AG229">
            <v>-29.214803142973132</v>
          </cell>
          <cell r="AH229">
            <v>0</v>
          </cell>
          <cell r="AI229">
            <v>0</v>
          </cell>
          <cell r="AJ229">
            <v>-0.18</v>
          </cell>
          <cell r="AK229">
            <v>-22.75</v>
          </cell>
        </row>
        <row r="230">
          <cell r="A230" t="str">
            <v>-  -  træaffald</v>
          </cell>
          <cell r="B230" t="str">
            <v>cev</v>
          </cell>
          <cell r="C230" t="str">
            <v>fjr</v>
          </cell>
          <cell r="D230" t="str">
            <v>taf</v>
          </cell>
          <cell r="E230" t="str">
            <v>a0a0</v>
          </cell>
          <cell r="F230" t="str">
            <v>a00</v>
          </cell>
          <cell r="G230">
            <v>0</v>
          </cell>
          <cell r="H230">
            <v>0</v>
          </cell>
          <cell r="I230">
            <v>0</v>
          </cell>
          <cell r="J230">
            <v>0</v>
          </cell>
          <cell r="K230">
            <v>0</v>
          </cell>
          <cell r="L230">
            <v>0</v>
          </cell>
          <cell r="M230">
            <v>0</v>
          </cell>
          <cell r="N230">
            <v>0</v>
          </cell>
          <cell r="O230">
            <v>0</v>
          </cell>
          <cell r="P230">
            <v>0</v>
          </cell>
          <cell r="Q230">
            <v>0</v>
          </cell>
          <cell r="R230">
            <v>0</v>
          </cell>
          <cell r="S230">
            <v>0</v>
          </cell>
          <cell r="T230">
            <v>0</v>
          </cell>
          <cell r="U230">
            <v>0</v>
          </cell>
          <cell r="V230">
            <v>0</v>
          </cell>
          <cell r="W230">
            <v>0</v>
          </cell>
          <cell r="X230">
            <v>0</v>
          </cell>
          <cell r="Y230">
            <v>0</v>
          </cell>
          <cell r="Z230">
            <v>0</v>
          </cell>
          <cell r="AA230">
            <v>0</v>
          </cell>
          <cell r="AB230">
            <v>0</v>
          </cell>
          <cell r="AC230">
            <v>-1.2229302425058666</v>
          </cell>
          <cell r="AD230">
            <v>0</v>
          </cell>
          <cell r="AE230">
            <v>-3.2728324155309951</v>
          </cell>
          <cell r="AF230">
            <v>0</v>
          </cell>
          <cell r="AG230">
            <v>0</v>
          </cell>
          <cell r="AH230">
            <v>-22.426001747749599</v>
          </cell>
          <cell r="AI230">
            <v>0</v>
          </cell>
          <cell r="AJ230">
            <v>0</v>
          </cell>
          <cell r="AK230">
            <v>0</v>
          </cell>
        </row>
        <row r="232">
          <cell r="A232" t="str">
            <v>-  -  biogas, andet</v>
          </cell>
          <cell r="B232" t="str">
            <v>cev</v>
          </cell>
          <cell r="C232" t="str">
            <v>fjr</v>
          </cell>
          <cell r="D232" t="str">
            <v>bia</v>
          </cell>
          <cell r="E232" t="str">
            <v>a0a0</v>
          </cell>
          <cell r="F232" t="str">
            <v>a00</v>
          </cell>
          <cell r="G232">
            <v>0</v>
          </cell>
          <cell r="H232">
            <v>0</v>
          </cell>
          <cell r="I232">
            <v>0</v>
          </cell>
          <cell r="J232">
            <v>0</v>
          </cell>
          <cell r="K232">
            <v>0</v>
          </cell>
          <cell r="L232">
            <v>0</v>
          </cell>
          <cell r="M232">
            <v>0</v>
          </cell>
          <cell r="N232">
            <v>0</v>
          </cell>
          <cell r="O232">
            <v>0</v>
          </cell>
          <cell r="P232">
            <v>0</v>
          </cell>
          <cell r="Q232">
            <v>0</v>
          </cell>
          <cell r="R232">
            <v>0</v>
          </cell>
          <cell r="S232">
            <v>0</v>
          </cell>
          <cell r="T232">
            <v>0</v>
          </cell>
          <cell r="U232">
            <v>0</v>
          </cell>
          <cell r="V232">
            <v>0</v>
          </cell>
          <cell r="W232">
            <v>0</v>
          </cell>
          <cell r="X232">
            <v>0</v>
          </cell>
          <cell r="Y232">
            <v>-2.7485093787130879</v>
          </cell>
          <cell r="Z232">
            <v>-2.8734514660470452</v>
          </cell>
          <cell r="AA232">
            <v>-3.2393408144148417</v>
          </cell>
          <cell r="AB232">
            <v>-1.8862000000000001</v>
          </cell>
          <cell r="AC232">
            <v>-4.2827565187168002</v>
          </cell>
          <cell r="AD232">
            <v>-1.7823775691693668E-2</v>
          </cell>
          <cell r="AE232">
            <v>-18.363480019999269</v>
          </cell>
          <cell r="AF232">
            <v>-12.143766048025533</v>
          </cell>
          <cell r="AG232">
            <v>-14.26247240413648</v>
          </cell>
          <cell r="AH232">
            <v>0</v>
          </cell>
          <cell r="AI232">
            <v>0</v>
          </cell>
          <cell r="AJ232">
            <v>0</v>
          </cell>
          <cell r="AK232">
            <v>0</v>
          </cell>
        </row>
        <row r="233">
          <cell r="A233" t="str">
            <v>-  -  affald, plastik</v>
          </cell>
          <cell r="B233" t="str">
            <v>cev</v>
          </cell>
          <cell r="C233" t="str">
            <v>fjr</v>
          </cell>
          <cell r="D233" t="str">
            <v>afp</v>
          </cell>
          <cell r="E233" t="str">
            <v>a0a0</v>
          </cell>
          <cell r="F233" t="str">
            <v>a00</v>
          </cell>
          <cell r="G233">
            <v>0</v>
          </cell>
          <cell r="H233">
            <v>0</v>
          </cell>
          <cell r="I233">
            <v>0</v>
          </cell>
          <cell r="J233">
            <v>0</v>
          </cell>
          <cell r="K233">
            <v>0</v>
          </cell>
          <cell r="L233">
            <v>0</v>
          </cell>
          <cell r="M233">
            <v>0</v>
          </cell>
          <cell r="N233">
            <v>0</v>
          </cell>
          <cell r="O233">
            <v>0</v>
          </cell>
          <cell r="P233">
            <v>0</v>
          </cell>
          <cell r="Q233">
            <v>0</v>
          </cell>
          <cell r="R233">
            <v>0</v>
          </cell>
          <cell r="S233">
            <v>0</v>
          </cell>
          <cell r="T233">
            <v>0</v>
          </cell>
          <cell r="U233">
            <v>0</v>
          </cell>
          <cell r="V233">
            <v>0</v>
          </cell>
          <cell r="W233">
            <v>0</v>
          </cell>
          <cell r="X233">
            <v>0</v>
          </cell>
          <cell r="Y233">
            <v>0</v>
          </cell>
          <cell r="Z233">
            <v>0</v>
          </cell>
          <cell r="AA233">
            <v>0</v>
          </cell>
          <cell r="AB233">
            <v>0</v>
          </cell>
          <cell r="AC233">
            <v>0</v>
          </cell>
          <cell r="AD233">
            <v>0</v>
          </cell>
          <cell r="AE233">
            <v>0</v>
          </cell>
          <cell r="AF233">
            <v>0</v>
          </cell>
          <cell r="AG233">
            <v>-5.6151779054981859</v>
          </cell>
          <cell r="AH233">
            <v>0</v>
          </cell>
          <cell r="AI233">
            <v>0</v>
          </cell>
          <cell r="AJ233">
            <v>-6.9097041220766657</v>
          </cell>
          <cell r="AK233">
            <v>-30.516098010072664</v>
          </cell>
        </row>
        <row r="234">
          <cell r="A234" t="str">
            <v>-  -  affald, andet</v>
          </cell>
          <cell r="B234" t="str">
            <v>cev</v>
          </cell>
          <cell r="C234" t="str">
            <v>fjr</v>
          </cell>
          <cell r="D234" t="str">
            <v>afa</v>
          </cell>
          <cell r="E234" t="str">
            <v>a0a0</v>
          </cell>
          <cell r="F234" t="str">
            <v>a00</v>
          </cell>
          <cell r="G234">
            <v>0</v>
          </cell>
          <cell r="H234">
            <v>0</v>
          </cell>
          <cell r="I234">
            <v>0</v>
          </cell>
          <cell r="J234">
            <v>0</v>
          </cell>
          <cell r="K234">
            <v>0</v>
          </cell>
          <cell r="L234">
            <v>0</v>
          </cell>
          <cell r="M234">
            <v>0</v>
          </cell>
          <cell r="N234">
            <v>0</v>
          </cell>
          <cell r="O234">
            <v>0</v>
          </cell>
          <cell r="P234">
            <v>0</v>
          </cell>
          <cell r="Q234">
            <v>0</v>
          </cell>
          <cell r="R234">
            <v>0</v>
          </cell>
          <cell r="S234">
            <v>0</v>
          </cell>
          <cell r="T234">
            <v>0</v>
          </cell>
          <cell r="U234">
            <v>0</v>
          </cell>
          <cell r="V234">
            <v>0</v>
          </cell>
          <cell r="W234">
            <v>0</v>
          </cell>
          <cell r="X234">
            <v>0</v>
          </cell>
          <cell r="Y234">
            <v>0</v>
          </cell>
          <cell r="Z234">
            <v>0</v>
          </cell>
          <cell r="AA234">
            <v>0</v>
          </cell>
          <cell r="AB234">
            <v>0</v>
          </cell>
          <cell r="AC234">
            <v>0</v>
          </cell>
          <cell r="AD234">
            <v>0</v>
          </cell>
          <cell r="AE234">
            <v>0</v>
          </cell>
          <cell r="AF234">
            <v>0</v>
          </cell>
          <cell r="AG234">
            <v>-23.599625237474946</v>
          </cell>
          <cell r="AH234">
            <v>0</v>
          </cell>
          <cell r="AI234">
            <v>0</v>
          </cell>
          <cell r="AJ234">
            <v>-29.040295877923338</v>
          </cell>
          <cell r="AK234">
            <v>-128.25390198992736</v>
          </cell>
        </row>
        <row r="235">
          <cell r="A235" t="str">
            <v>-  forbrug af egne varer</v>
          </cell>
        </row>
        <row r="236">
          <cell r="A236" t="str">
            <v>-  -  el</v>
          </cell>
          <cell r="B236" t="str">
            <v>cev</v>
          </cell>
          <cell r="C236" t="str">
            <v>elf</v>
          </cell>
          <cell r="D236" t="str">
            <v>elc</v>
          </cell>
          <cell r="E236" t="str">
            <v>a0a0</v>
          </cell>
          <cell r="F236" t="str">
            <v>a00</v>
          </cell>
          <cell r="G236">
            <v>-1719.1008000000002</v>
          </cell>
          <cell r="H236">
            <v>0</v>
          </cell>
          <cell r="I236">
            <v>0</v>
          </cell>
          <cell r="J236">
            <v>-1566.5435999999995</v>
          </cell>
          <cell r="K236">
            <v>-2102.7687999999998</v>
          </cell>
          <cell r="L236">
            <v>-2092.1668000000004</v>
          </cell>
          <cell r="M236">
            <v>-1950.3164000000002</v>
          </cell>
          <cell r="N236">
            <v>-2329.6819999999998</v>
          </cell>
          <cell r="O236">
            <v>-2944.0403999999999</v>
          </cell>
          <cell r="P236">
            <v>-2476.0904000000005</v>
          </cell>
          <cell r="Q236">
            <v>-3537.46</v>
          </cell>
          <cell r="R236">
            <v>-3907.0295999999998</v>
          </cell>
          <cell r="S236">
            <v>-3662.674</v>
          </cell>
          <cell r="T236">
            <v>-5288.3112000000001</v>
          </cell>
          <cell r="U236">
            <v>-6172.0771999999997</v>
          </cell>
          <cell r="V236">
            <v>-5903.4076000000005</v>
          </cell>
          <cell r="W236">
            <v>-5762.3003999999992</v>
          </cell>
          <cell r="X236">
            <v>-4981.1019999999999</v>
          </cell>
          <cell r="Y236">
            <v>-5508.8855999999996</v>
          </cell>
          <cell r="Z236">
            <v>-7414.6176000000005</v>
          </cell>
          <cell r="AA236">
            <v>-6450.7067999999999</v>
          </cell>
          <cell r="AB236">
            <v>-6735.9312</v>
          </cell>
          <cell r="AC236">
            <v>-7542.1331999999938</v>
          </cell>
          <cell r="AD236">
            <v>-6575.5044000000016</v>
          </cell>
          <cell r="AE236">
            <v>-8689.2011999999959</v>
          </cell>
          <cell r="AF236">
            <v>-7762.2753599999996</v>
          </cell>
          <cell r="AG236">
            <v>-6034.5005759999995</v>
          </cell>
          <cell r="AH236">
            <v>-5966.6259600000003</v>
          </cell>
          <cell r="AI236">
            <v>-4992.16896</v>
          </cell>
          <cell r="AJ236">
            <v>-5021.8999999999996</v>
          </cell>
          <cell r="AK236">
            <v>-5727.3</v>
          </cell>
        </row>
        <row r="237">
          <cell r="A237" t="str">
            <v>-  produktion</v>
          </cell>
        </row>
        <row r="238">
          <cell r="A238" t="str">
            <v>-  -  el</v>
          </cell>
          <cell r="B238" t="str">
            <v>cev</v>
          </cell>
          <cell r="C238" t="str">
            <v>brt</v>
          </cell>
          <cell r="D238" t="str">
            <v>elc</v>
          </cell>
          <cell r="E238" t="str">
            <v>a0a0</v>
          </cell>
          <cell r="F238" t="str">
            <v>a00</v>
          </cell>
          <cell r="G238">
            <v>26121.065199999997</v>
          </cell>
          <cell r="H238">
            <v>0</v>
          </cell>
          <cell r="I238">
            <v>0</v>
          </cell>
          <cell r="J238">
            <v>24579.008799999996</v>
          </cell>
          <cell r="K238">
            <v>32814.568800000001</v>
          </cell>
          <cell r="L238">
            <v>32555.966800000002</v>
          </cell>
          <cell r="M238">
            <v>29580.316400000003</v>
          </cell>
          <cell r="N238">
            <v>35194.682000000001</v>
          </cell>
          <cell r="O238">
            <v>52055.640399999997</v>
          </cell>
          <cell r="P238">
            <v>38919.290400000005</v>
          </cell>
          <cell r="Q238">
            <v>67952.66</v>
          </cell>
          <cell r="R238">
            <v>62687.629600000007</v>
          </cell>
          <cell r="S238">
            <v>59185.673999999999</v>
          </cell>
          <cell r="T238">
            <v>84903.311199999996</v>
          </cell>
          <cell r="U238">
            <v>97036.0772</v>
          </cell>
          <cell r="V238">
            <v>91460.8076</v>
          </cell>
          <cell r="W238">
            <v>86453.700400000002</v>
          </cell>
          <cell r="X238">
            <v>71588.501999999993</v>
          </cell>
          <cell r="Y238">
            <v>80638.585599999991</v>
          </cell>
          <cell r="Z238">
            <v>117858.31759999999</v>
          </cell>
          <cell r="AA238">
            <v>96525.7068</v>
          </cell>
          <cell r="AB238">
            <v>103909.1312</v>
          </cell>
          <cell r="AC238">
            <v>113643.9828</v>
          </cell>
          <cell r="AD238">
            <v>96215.824799999988</v>
          </cell>
          <cell r="AE238">
            <v>142694.70480000001</v>
          </cell>
          <cell r="AF238">
            <v>115919.49239999999</v>
          </cell>
          <cell r="AG238">
            <v>98906.818176000001</v>
          </cell>
          <cell r="AH238">
            <v>89035.140599999999</v>
          </cell>
          <cell r="AI238">
            <v>73808.617679999996</v>
          </cell>
          <cell r="AJ238">
            <v>81868.800000000003</v>
          </cell>
          <cell r="AK238">
            <v>86460.800000000003</v>
          </cell>
        </row>
        <row r="239">
          <cell r="A239" t="str">
            <v>-  -  fjernvarme</v>
          </cell>
          <cell r="B239" t="str">
            <v>cev</v>
          </cell>
          <cell r="C239" t="str">
            <v>net</v>
          </cell>
          <cell r="D239" t="str">
            <v>fjv</v>
          </cell>
          <cell r="E239" t="str">
            <v>a0a0</v>
          </cell>
          <cell r="F239" t="str">
            <v>a00</v>
          </cell>
          <cell r="G239">
            <v>23027</v>
          </cell>
          <cell r="H239">
            <v>0</v>
          </cell>
          <cell r="I239">
            <v>0</v>
          </cell>
          <cell r="J239">
            <v>22190</v>
          </cell>
          <cell r="K239">
            <v>24794</v>
          </cell>
          <cell r="L239">
            <v>24513</v>
          </cell>
          <cell r="M239">
            <v>27032</v>
          </cell>
          <cell r="N239">
            <v>29494</v>
          </cell>
          <cell r="O239">
            <v>30757</v>
          </cell>
          <cell r="P239">
            <v>31498</v>
          </cell>
          <cell r="Q239">
            <v>33611</v>
          </cell>
          <cell r="R239">
            <v>37314</v>
          </cell>
          <cell r="S239">
            <v>38802</v>
          </cell>
          <cell r="T239">
            <v>45519</v>
          </cell>
          <cell r="U239">
            <v>47628</v>
          </cell>
          <cell r="V239">
            <v>51733</v>
          </cell>
          <cell r="W239">
            <v>52282</v>
          </cell>
          <cell r="X239">
            <v>49546</v>
          </cell>
          <cell r="Y239">
            <v>51511</v>
          </cell>
          <cell r="Z239">
            <v>58761</v>
          </cell>
          <cell r="AA239">
            <v>58045</v>
          </cell>
          <cell r="AB239">
            <v>63734</v>
          </cell>
          <cell r="AC239">
            <v>60562.063000000024</v>
          </cell>
          <cell r="AD239">
            <v>63232.121000000021</v>
          </cell>
          <cell r="AE239">
            <v>68955.953000000009</v>
          </cell>
          <cell r="AF239">
            <v>62341.051000000007</v>
          </cell>
          <cell r="AG239">
            <v>63170.571220799575</v>
          </cell>
          <cell r="AH239">
            <v>59354.447999999997</v>
          </cell>
          <cell r="AI239">
            <v>55405.165000000001</v>
          </cell>
          <cell r="AJ239">
            <v>60967.51</v>
          </cell>
          <cell r="AK239">
            <v>59793.8</v>
          </cell>
        </row>
        <row r="240">
          <cell r="A240" t="str">
            <v>Decentrale kraftvarmeanlæg</v>
          </cell>
        </row>
        <row r="241">
          <cell r="A241" t="str">
            <v>-  råvareforbrug til kraft</v>
          </cell>
          <cell r="AD241">
            <v>27070.78646885046</v>
          </cell>
          <cell r="AE241">
            <v>38362.409564403868</v>
          </cell>
          <cell r="AF241">
            <v>42457.246349479523</v>
          </cell>
          <cell r="AG241">
            <v>45393.372354749852</v>
          </cell>
          <cell r="AH241">
            <v>46166.515934926727</v>
          </cell>
          <cell r="AI241">
            <v>45722.878064313707</v>
          </cell>
          <cell r="AJ241">
            <v>50679.70412127451</v>
          </cell>
          <cell r="AK241">
            <v>50048.009999999995</v>
          </cell>
        </row>
        <row r="243">
          <cell r="A243" t="str">
            <v>-  -  fuelolie</v>
          </cell>
          <cell r="B243" t="str">
            <v>kvt</v>
          </cell>
          <cell r="C243" t="str">
            <v>elr</v>
          </cell>
          <cell r="D243" t="str">
            <v>fut</v>
          </cell>
          <cell r="E243" t="str">
            <v>a0a0</v>
          </cell>
          <cell r="F243" t="str">
            <v>a00</v>
          </cell>
          <cell r="G243">
            <v>0</v>
          </cell>
          <cell r="H243">
            <v>0</v>
          </cell>
          <cell r="I243">
            <v>0</v>
          </cell>
          <cell r="J243">
            <v>0</v>
          </cell>
          <cell r="K243">
            <v>0</v>
          </cell>
          <cell r="L243">
            <v>0</v>
          </cell>
          <cell r="M243">
            <v>0</v>
          </cell>
          <cell r="N243">
            <v>0</v>
          </cell>
          <cell r="O243">
            <v>0</v>
          </cell>
          <cell r="P243">
            <v>0</v>
          </cell>
          <cell r="Q243">
            <v>0</v>
          </cell>
          <cell r="R243">
            <v>0</v>
          </cell>
          <cell r="S243">
            <v>0</v>
          </cell>
          <cell r="T243">
            <v>0</v>
          </cell>
          <cell r="U243">
            <v>-3.65</v>
          </cell>
          <cell r="V243">
            <v>-14.6</v>
          </cell>
          <cell r="W243">
            <v>-14.6</v>
          </cell>
          <cell r="X243">
            <v>-14.6</v>
          </cell>
          <cell r="Y243">
            <v>-14.6</v>
          </cell>
          <cell r="Z243">
            <v>-14.6</v>
          </cell>
          <cell r="AA243">
            <v>-14.6</v>
          </cell>
          <cell r="AB243">
            <v>-151.109927</v>
          </cell>
          <cell r="AC243">
            <v>0</v>
          </cell>
          <cell r="AD243">
            <v>0</v>
          </cell>
          <cell r="AE243">
            <v>0</v>
          </cell>
          <cell r="AF243">
            <v>0</v>
          </cell>
          <cell r="AG243">
            <v>0</v>
          </cell>
          <cell r="AH243">
            <v>0</v>
          </cell>
          <cell r="AI243">
            <v>0</v>
          </cell>
          <cell r="AJ243">
            <v>-1479.0441212745</v>
          </cell>
          <cell r="AK243">
            <v>0</v>
          </cell>
        </row>
        <row r="245">
          <cell r="A245" t="str">
            <v>-  -  anden stenkul</v>
          </cell>
          <cell r="B245" t="str">
            <v>kvt</v>
          </cell>
          <cell r="C245" t="str">
            <v>elr</v>
          </cell>
          <cell r="D245" t="str">
            <v>ska</v>
          </cell>
          <cell r="E245" t="str">
            <v>a0a0</v>
          </cell>
          <cell r="F245" t="str">
            <v>a00</v>
          </cell>
          <cell r="G245">
            <v>0</v>
          </cell>
          <cell r="H245">
            <v>0</v>
          </cell>
          <cell r="I245">
            <v>0</v>
          </cell>
          <cell r="J245">
            <v>0</v>
          </cell>
          <cell r="K245">
            <v>0</v>
          </cell>
          <cell r="L245">
            <v>0</v>
          </cell>
          <cell r="M245">
            <v>0</v>
          </cell>
          <cell r="N245">
            <v>0</v>
          </cell>
          <cell r="O245">
            <v>0</v>
          </cell>
          <cell r="P245">
            <v>0</v>
          </cell>
          <cell r="Q245">
            <v>0</v>
          </cell>
          <cell r="R245">
            <v>0</v>
          </cell>
          <cell r="S245">
            <v>0</v>
          </cell>
          <cell r="T245">
            <v>0</v>
          </cell>
          <cell r="U245">
            <v>-63.365000000000002</v>
          </cell>
          <cell r="V245">
            <v>-290.13600000000002</v>
          </cell>
          <cell r="W245">
            <v>-254.79300000000001</v>
          </cell>
          <cell r="X245">
            <v>-286.81</v>
          </cell>
          <cell r="Y245">
            <v>-634.31700000000001</v>
          </cell>
          <cell r="Z245">
            <v>-1013.8049999999999</v>
          </cell>
          <cell r="AA245">
            <v>-903.27875200000005</v>
          </cell>
          <cell r="AB245">
            <v>-984.80793329999995</v>
          </cell>
          <cell r="AC245">
            <v>-2177.6985635559395</v>
          </cell>
          <cell r="AD245">
            <v>-831.08404397685092</v>
          </cell>
          <cell r="AE245">
            <v>-834.38485594454573</v>
          </cell>
          <cell r="AF245">
            <v>-614.81240788893251</v>
          </cell>
          <cell r="AG245">
            <v>-595.78132688488029</v>
          </cell>
          <cell r="AH245">
            <v>-581.30202436679804</v>
          </cell>
          <cell r="AI245">
            <v>-666.38538482140996</v>
          </cell>
          <cell r="AJ245">
            <v>-658.64</v>
          </cell>
          <cell r="AK245">
            <v>-626.42999999999995</v>
          </cell>
        </row>
        <row r="246">
          <cell r="A246" t="str">
            <v>-  -  halm</v>
          </cell>
          <cell r="B246" t="str">
            <v>kvt</v>
          </cell>
          <cell r="C246" t="str">
            <v>elr</v>
          </cell>
          <cell r="D246" t="str">
            <v>hal</v>
          </cell>
          <cell r="E246" t="str">
            <v>a0a0</v>
          </cell>
          <cell r="F246" t="str">
            <v>a00</v>
          </cell>
          <cell r="G246">
            <v>0</v>
          </cell>
          <cell r="H246">
            <v>0</v>
          </cell>
          <cell r="I246">
            <v>0</v>
          </cell>
          <cell r="J246">
            <v>0</v>
          </cell>
          <cell r="K246">
            <v>0</v>
          </cell>
          <cell r="L246">
            <v>0</v>
          </cell>
          <cell r="M246">
            <v>0</v>
          </cell>
          <cell r="N246">
            <v>0</v>
          </cell>
          <cell r="O246">
            <v>0</v>
          </cell>
          <cell r="P246">
            <v>0</v>
          </cell>
          <cell r="Q246">
            <v>0</v>
          </cell>
          <cell r="R246">
            <v>0</v>
          </cell>
          <cell r="S246">
            <v>0</v>
          </cell>
          <cell r="T246">
            <v>0</v>
          </cell>
          <cell r="U246">
            <v>0</v>
          </cell>
          <cell r="V246">
            <v>0</v>
          </cell>
          <cell r="W246">
            <v>0</v>
          </cell>
          <cell r="X246">
            <v>0</v>
          </cell>
          <cell r="Y246">
            <v>-180.726</v>
          </cell>
          <cell r="Z246">
            <v>-434.48200000000003</v>
          </cell>
          <cell r="AA246">
            <v>-835.51400000000001</v>
          </cell>
          <cell r="AB246">
            <v>-930.98777240000004</v>
          </cell>
          <cell r="AC246">
            <v>-900.09999880995474</v>
          </cell>
          <cell r="AD246">
            <v>-1420.0041314867146</v>
          </cell>
          <cell r="AE246">
            <v>-1743.1603650518232</v>
          </cell>
          <cell r="AF246">
            <v>-1820.3436626543141</v>
          </cell>
          <cell r="AG246">
            <v>-1814.0175604890733</v>
          </cell>
          <cell r="AH246">
            <v>-1759.5226150395699</v>
          </cell>
          <cell r="AI246">
            <v>-2119.8861652856199</v>
          </cell>
          <cell r="AJ246">
            <v>-2253.12</v>
          </cell>
          <cell r="AK246">
            <v>-2144.91</v>
          </cell>
        </row>
        <row r="249">
          <cell r="A249" t="str">
            <v>-  -  træaffald</v>
          </cell>
          <cell r="B249" t="str">
            <v>kvt</v>
          </cell>
          <cell r="C249" t="str">
            <v>elr</v>
          </cell>
          <cell r="D249" t="str">
            <v>taf</v>
          </cell>
          <cell r="E249" t="str">
            <v>a0a0</v>
          </cell>
          <cell r="F249" t="str">
            <v>a00</v>
          </cell>
          <cell r="G249">
            <v>0</v>
          </cell>
          <cell r="H249">
            <v>0</v>
          </cell>
          <cell r="I249">
            <v>0</v>
          </cell>
          <cell r="J249">
            <v>0</v>
          </cell>
          <cell r="K249">
            <v>0</v>
          </cell>
          <cell r="L249">
            <v>0</v>
          </cell>
          <cell r="M249">
            <v>0</v>
          </cell>
          <cell r="N249">
            <v>0</v>
          </cell>
          <cell r="O249">
            <v>0</v>
          </cell>
          <cell r="P249">
            <v>0</v>
          </cell>
          <cell r="Q249">
            <v>0</v>
          </cell>
          <cell r="R249">
            <v>0</v>
          </cell>
          <cell r="S249">
            <v>0</v>
          </cell>
          <cell r="T249">
            <v>0</v>
          </cell>
          <cell r="U249">
            <v>0</v>
          </cell>
          <cell r="V249">
            <v>0</v>
          </cell>
          <cell r="W249">
            <v>0</v>
          </cell>
          <cell r="X249">
            <v>0</v>
          </cell>
          <cell r="Y249">
            <v>0</v>
          </cell>
          <cell r="Z249">
            <v>0</v>
          </cell>
          <cell r="AA249">
            <v>0</v>
          </cell>
          <cell r="AB249">
            <v>-39.498874999999998</v>
          </cell>
          <cell r="AC249">
            <v>-37.485242911216943</v>
          </cell>
          <cell r="AD249">
            <v>-26.311859558925516</v>
          </cell>
          <cell r="AE249">
            <v>0</v>
          </cell>
          <cell r="AF249">
            <v>-1.8561861779939117</v>
          </cell>
          <cell r="AG249">
            <v>-218.0631792941565</v>
          </cell>
          <cell r="AH249">
            <v>-341.43512605530799</v>
          </cell>
          <cell r="AI249">
            <v>-292.50266398830502</v>
          </cell>
          <cell r="AJ249">
            <v>-262.47000000000003</v>
          </cell>
          <cell r="AK249">
            <v>-1935.44</v>
          </cell>
        </row>
        <row r="251">
          <cell r="A251" t="str">
            <v>-  -  biogas, andet</v>
          </cell>
          <cell r="B251" t="str">
            <v>kvt</v>
          </cell>
          <cell r="C251" t="str">
            <v>elr</v>
          </cell>
          <cell r="D251" t="str">
            <v>bia</v>
          </cell>
          <cell r="E251" t="str">
            <v>a0a0</v>
          </cell>
          <cell r="F251" t="str">
            <v>a00</v>
          </cell>
          <cell r="G251">
            <v>-39</v>
          </cell>
          <cell r="H251">
            <v>0</v>
          </cell>
          <cell r="I251">
            <v>0</v>
          </cell>
          <cell r="J251">
            <v>-39</v>
          </cell>
          <cell r="K251">
            <v>-39</v>
          </cell>
          <cell r="L251">
            <v>-39</v>
          </cell>
          <cell r="M251">
            <v>-39</v>
          </cell>
          <cell r="N251">
            <v>-39</v>
          </cell>
          <cell r="O251">
            <v>-39</v>
          </cell>
          <cell r="P251">
            <v>-39</v>
          </cell>
          <cell r="Q251">
            <v>-39</v>
          </cell>
          <cell r="R251">
            <v>-40.5</v>
          </cell>
          <cell r="S251">
            <v>-57</v>
          </cell>
          <cell r="T251">
            <v>-67.5</v>
          </cell>
          <cell r="U251">
            <v>-73.25</v>
          </cell>
          <cell r="V251">
            <v>-73.914000000000001</v>
          </cell>
          <cell r="W251">
            <v>-87.63</v>
          </cell>
          <cell r="X251">
            <v>-124.968</v>
          </cell>
          <cell r="Y251">
            <v>-161.54400000000001</v>
          </cell>
          <cell r="Z251">
            <v>-286.60599999999999</v>
          </cell>
          <cell r="AA251">
            <v>-251.46</v>
          </cell>
          <cell r="AB251">
            <v>-397.00200000000001</v>
          </cell>
          <cell r="AC251">
            <v>-435.41895563668555</v>
          </cell>
          <cell r="AD251">
            <v>-467.4262603529553</v>
          </cell>
          <cell r="AE251">
            <v>-539.75770473015427</v>
          </cell>
          <cell r="AF251">
            <v>-690.96790811183769</v>
          </cell>
          <cell r="AG251">
            <v>-870.33336526643234</v>
          </cell>
          <cell r="AH251">
            <v>-816.56127546867299</v>
          </cell>
          <cell r="AI251">
            <v>-859.3</v>
          </cell>
          <cell r="AJ251">
            <v>-934.56</v>
          </cell>
          <cell r="AK251">
            <v>-970.54</v>
          </cell>
        </row>
        <row r="254">
          <cell r="A254" t="str">
            <v>-  råvareforbrug til varme</v>
          </cell>
          <cell r="AD254">
            <v>9776.3663999999844</v>
          </cell>
          <cell r="AE254">
            <v>13642.443051999997</v>
          </cell>
          <cell r="AF254">
            <v>14812.879303676704</v>
          </cell>
          <cell r="AG254">
            <v>15904.381661797028</v>
          </cell>
          <cell r="AH254">
            <v>16323.362084797263</v>
          </cell>
          <cell r="AI254">
            <v>16353.658716084299</v>
          </cell>
          <cell r="AJ254">
            <v>17858.3818787255</v>
          </cell>
          <cell r="AK254">
            <v>17810.190000000002</v>
          </cell>
        </row>
        <row r="256">
          <cell r="A256" t="str">
            <v>-  -  fuelolie</v>
          </cell>
          <cell r="B256" t="str">
            <v>kvt</v>
          </cell>
          <cell r="C256" t="str">
            <v>fjr</v>
          </cell>
          <cell r="D256" t="str">
            <v>fut</v>
          </cell>
          <cell r="E256" t="str">
            <v>a0a0</v>
          </cell>
          <cell r="F256" t="str">
            <v>a00</v>
          </cell>
          <cell r="G256">
            <v>0</v>
          </cell>
          <cell r="H256">
            <v>0</v>
          </cell>
          <cell r="I256">
            <v>0</v>
          </cell>
          <cell r="J256">
            <v>0</v>
          </cell>
          <cell r="K256">
            <v>0</v>
          </cell>
          <cell r="L256">
            <v>0</v>
          </cell>
          <cell r="M256">
            <v>0</v>
          </cell>
          <cell r="N256">
            <v>0</v>
          </cell>
          <cell r="O256">
            <v>0</v>
          </cell>
          <cell r="P256">
            <v>0</v>
          </cell>
          <cell r="Q256">
            <v>0</v>
          </cell>
          <cell r="R256">
            <v>0</v>
          </cell>
          <cell r="S256">
            <v>0</v>
          </cell>
          <cell r="T256">
            <v>0</v>
          </cell>
          <cell r="U256">
            <v>-1.35</v>
          </cell>
          <cell r="V256">
            <v>-5.4</v>
          </cell>
          <cell r="W256">
            <v>-5.4</v>
          </cell>
          <cell r="X256">
            <v>-5.4</v>
          </cell>
          <cell r="Y256">
            <v>-5.4</v>
          </cell>
          <cell r="Z256">
            <v>-5.4</v>
          </cell>
          <cell r="AA256">
            <v>-5.4</v>
          </cell>
          <cell r="AB256">
            <v>-55.889973000000005</v>
          </cell>
          <cell r="AC256">
            <v>-8.5430555902710061</v>
          </cell>
          <cell r="AD256">
            <v>-2.1149318828025505</v>
          </cell>
          <cell r="AE256">
            <v>-0.37953765921191907</v>
          </cell>
          <cell r="AF256">
            <v>-0.31268437191080761</v>
          </cell>
          <cell r="AG256">
            <v>-0.18878766668093533</v>
          </cell>
          <cell r="AH256">
            <v>0</v>
          </cell>
          <cell r="AI256">
            <v>0</v>
          </cell>
          <cell r="AJ256">
            <v>-236.7318787255</v>
          </cell>
          <cell r="AK256">
            <v>0</v>
          </cell>
        </row>
        <row r="259">
          <cell r="A259" t="str">
            <v>-  -  halm</v>
          </cell>
          <cell r="B259" t="str">
            <v>kvt</v>
          </cell>
          <cell r="C259" t="str">
            <v>fjr</v>
          </cell>
          <cell r="D259" t="str">
            <v>hal</v>
          </cell>
          <cell r="E259" t="str">
            <v>a0a0</v>
          </cell>
          <cell r="F259" t="str">
            <v>a00</v>
          </cell>
          <cell r="G259">
            <v>0</v>
          </cell>
          <cell r="H259">
            <v>0</v>
          </cell>
          <cell r="I259">
            <v>0</v>
          </cell>
          <cell r="J259">
            <v>0</v>
          </cell>
          <cell r="K259">
            <v>0</v>
          </cell>
          <cell r="L259">
            <v>0</v>
          </cell>
          <cell r="M259">
            <v>0</v>
          </cell>
          <cell r="N259">
            <v>0</v>
          </cell>
          <cell r="O259">
            <v>0</v>
          </cell>
          <cell r="P259">
            <v>0</v>
          </cell>
          <cell r="Q259">
            <v>0</v>
          </cell>
          <cell r="R259">
            <v>0</v>
          </cell>
          <cell r="S259">
            <v>0</v>
          </cell>
          <cell r="T259">
            <v>0</v>
          </cell>
          <cell r="U259">
            <v>0</v>
          </cell>
          <cell r="V259">
            <v>0</v>
          </cell>
          <cell r="W259">
            <v>0</v>
          </cell>
          <cell r="X259">
            <v>0</v>
          </cell>
          <cell r="Y259">
            <v>-92.274000000000001</v>
          </cell>
          <cell r="Z259">
            <v>-176.518</v>
          </cell>
          <cell r="AA259">
            <v>-411.48599999999999</v>
          </cell>
          <cell r="AB259">
            <v>-460.23242759999999</v>
          </cell>
          <cell r="AC259">
            <v>-463.01300074511187</v>
          </cell>
          <cell r="AD259">
            <v>-729.00636803183943</v>
          </cell>
          <cell r="AE259">
            <v>-899.6211349481772</v>
          </cell>
          <cell r="AF259">
            <v>-946.14033734568579</v>
          </cell>
          <cell r="AG259">
            <v>-895.09513951092674</v>
          </cell>
          <cell r="AH259">
            <v>-894.92018496043102</v>
          </cell>
          <cell r="AI259">
            <v>-1059.0658347143799</v>
          </cell>
          <cell r="AJ259">
            <v>-1101.3399999999999</v>
          </cell>
          <cell r="AK259">
            <v>-1105.26</v>
          </cell>
        </row>
        <row r="260">
          <cell r="A260" t="str">
            <v>-  -  skovflis</v>
          </cell>
          <cell r="B260" t="str">
            <v>kvt</v>
          </cell>
          <cell r="C260" t="str">
            <v>fjr</v>
          </cell>
          <cell r="D260" t="str">
            <v>fli</v>
          </cell>
          <cell r="E260" t="str">
            <v>a0a0</v>
          </cell>
          <cell r="F260" t="str">
            <v>a00</v>
          </cell>
          <cell r="G260">
            <v>0</v>
          </cell>
          <cell r="H260">
            <v>0</v>
          </cell>
          <cell r="I260">
            <v>0</v>
          </cell>
          <cell r="J260">
            <v>0</v>
          </cell>
          <cell r="K260">
            <v>0</v>
          </cell>
          <cell r="L260">
            <v>0</v>
          </cell>
          <cell r="M260">
            <v>0</v>
          </cell>
          <cell r="N260">
            <v>0</v>
          </cell>
          <cell r="O260">
            <v>0</v>
          </cell>
          <cell r="P260">
            <v>0</v>
          </cell>
          <cell r="Q260">
            <v>0</v>
          </cell>
          <cell r="R260">
            <v>0</v>
          </cell>
          <cell r="S260">
            <v>0</v>
          </cell>
          <cell r="T260">
            <v>0</v>
          </cell>
          <cell r="U260">
            <v>0</v>
          </cell>
          <cell r="V260">
            <v>0</v>
          </cell>
          <cell r="W260">
            <v>0</v>
          </cell>
          <cell r="X260">
            <v>0</v>
          </cell>
          <cell r="Y260">
            <v>0</v>
          </cell>
          <cell r="Z260">
            <v>0</v>
          </cell>
          <cell r="AA260">
            <v>-45.045000000000002</v>
          </cell>
          <cell r="AB260">
            <v>-107.41496850000001</v>
          </cell>
          <cell r="AC260">
            <v>-120.96130984545553</v>
          </cell>
          <cell r="AD260">
            <v>-69.34857379750153</v>
          </cell>
          <cell r="AE260">
            <v>-77.131459918206559</v>
          </cell>
          <cell r="AF260">
            <v>-87.986660780099513</v>
          </cell>
          <cell r="AG260">
            <v>-122.67645345027435</v>
          </cell>
          <cell r="AH260">
            <v>-172.488482682491</v>
          </cell>
          <cell r="AI260">
            <v>-226.46038802659999</v>
          </cell>
          <cell r="AJ260">
            <v>-276.31</v>
          </cell>
          <cell r="AK260">
            <v>-320</v>
          </cell>
        </row>
        <row r="261">
          <cell r="A261" t="str">
            <v>-  -  træpiller</v>
          </cell>
          <cell r="B261" t="str">
            <v>kvt</v>
          </cell>
          <cell r="C261" t="str">
            <v>fjr</v>
          </cell>
          <cell r="D261" t="str">
            <v>tpi</v>
          </cell>
          <cell r="E261" t="str">
            <v>a0a0</v>
          </cell>
          <cell r="F261" t="str">
            <v>a00</v>
          </cell>
          <cell r="G261">
            <v>0</v>
          </cell>
          <cell r="H261">
            <v>0</v>
          </cell>
          <cell r="I261">
            <v>0</v>
          </cell>
          <cell r="J261">
            <v>0</v>
          </cell>
          <cell r="K261">
            <v>0</v>
          </cell>
          <cell r="L261">
            <v>0</v>
          </cell>
          <cell r="M261">
            <v>0</v>
          </cell>
          <cell r="N261">
            <v>0</v>
          </cell>
          <cell r="O261">
            <v>0</v>
          </cell>
          <cell r="P261">
            <v>0</v>
          </cell>
          <cell r="Q261">
            <v>0</v>
          </cell>
          <cell r="R261">
            <v>0</v>
          </cell>
          <cell r="S261">
            <v>0</v>
          </cell>
          <cell r="T261">
            <v>0</v>
          </cell>
          <cell r="U261">
            <v>0</v>
          </cell>
          <cell r="V261">
            <v>0</v>
          </cell>
          <cell r="W261">
            <v>0</v>
          </cell>
          <cell r="X261">
            <v>0</v>
          </cell>
          <cell r="Y261">
            <v>0</v>
          </cell>
          <cell r="Z261">
            <v>0</v>
          </cell>
          <cell r="AA261">
            <v>-9.0190000000000001</v>
          </cell>
          <cell r="AB261">
            <v>-34.519538299999994</v>
          </cell>
          <cell r="AC261">
            <v>-56.105607338824839</v>
          </cell>
          <cell r="AD261">
            <v>-24.859019081997005</v>
          </cell>
          <cell r="AE261">
            <v>-20.562019727062246</v>
          </cell>
          <cell r="AF261">
            <v>-17.808417241380511</v>
          </cell>
          <cell r="AG261">
            <v>-10.242194594785452</v>
          </cell>
          <cell r="AH261">
            <v>-1.0961586487714801</v>
          </cell>
          <cell r="AI261">
            <v>-18.422889976977199</v>
          </cell>
          <cell r="AJ261">
            <v>-6.68</v>
          </cell>
          <cell r="AK261">
            <v>-30.4</v>
          </cell>
        </row>
        <row r="262">
          <cell r="A262" t="str">
            <v>-  -  træaffald</v>
          </cell>
          <cell r="B262" t="str">
            <v>kvt</v>
          </cell>
          <cell r="C262" t="str">
            <v>fjr</v>
          </cell>
          <cell r="D262" t="str">
            <v>taf</v>
          </cell>
          <cell r="E262" t="str">
            <v>a0a0</v>
          </cell>
          <cell r="F262" t="str">
            <v>a00</v>
          </cell>
          <cell r="G262">
            <v>0</v>
          </cell>
          <cell r="H262">
            <v>0</v>
          </cell>
          <cell r="I262">
            <v>0</v>
          </cell>
          <cell r="J262">
            <v>0</v>
          </cell>
          <cell r="K262">
            <v>0</v>
          </cell>
          <cell r="L262">
            <v>0</v>
          </cell>
          <cell r="M262">
            <v>0</v>
          </cell>
          <cell r="N262">
            <v>0</v>
          </cell>
          <cell r="O262">
            <v>0</v>
          </cell>
          <cell r="P262">
            <v>0</v>
          </cell>
          <cell r="Q262">
            <v>0</v>
          </cell>
          <cell r="R262">
            <v>0</v>
          </cell>
          <cell r="S262">
            <v>0</v>
          </cell>
          <cell r="T262">
            <v>0</v>
          </cell>
          <cell r="U262">
            <v>0</v>
          </cell>
          <cell r="V262">
            <v>0</v>
          </cell>
          <cell r="W262">
            <v>0</v>
          </cell>
          <cell r="X262">
            <v>0</v>
          </cell>
          <cell r="Y262">
            <v>0</v>
          </cell>
          <cell r="Z262">
            <v>0</v>
          </cell>
          <cell r="AA262">
            <v>0</v>
          </cell>
          <cell r="AB262">
            <v>-23.699325000000002</v>
          </cell>
          <cell r="AC262">
            <v>-21.182457088783057</v>
          </cell>
          <cell r="AD262">
            <v>-19.375740441074484</v>
          </cell>
          <cell r="AE262">
            <v>0</v>
          </cell>
          <cell r="AF262">
            <v>-1.3778138220060883</v>
          </cell>
          <cell r="AG262">
            <v>-108.05778070584351</v>
          </cell>
          <cell r="AH262">
            <v>-170.45097394469201</v>
          </cell>
          <cell r="AI262">
            <v>-141.64533601169501</v>
          </cell>
          <cell r="AJ262">
            <v>-131.72</v>
          </cell>
          <cell r="AK262">
            <v>-274.11</v>
          </cell>
        </row>
        <row r="263">
          <cell r="A263" t="str">
            <v>-  -  biogas, deponi</v>
          </cell>
          <cell r="B263" t="str">
            <v>kvt</v>
          </cell>
          <cell r="C263" t="str">
            <v>fjr</v>
          </cell>
          <cell r="D263" t="str">
            <v>bid</v>
          </cell>
          <cell r="E263" t="str">
            <v>a0a0</v>
          </cell>
          <cell r="F263" t="str">
            <v>a00</v>
          </cell>
          <cell r="G263">
            <v>0</v>
          </cell>
          <cell r="H263">
            <v>0</v>
          </cell>
          <cell r="I263">
            <v>0</v>
          </cell>
          <cell r="J263">
            <v>0</v>
          </cell>
          <cell r="K263">
            <v>0</v>
          </cell>
          <cell r="L263">
            <v>0</v>
          </cell>
          <cell r="M263">
            <v>0</v>
          </cell>
          <cell r="N263">
            <v>0</v>
          </cell>
          <cell r="O263">
            <v>0</v>
          </cell>
          <cell r="P263">
            <v>0</v>
          </cell>
          <cell r="Q263">
            <v>0</v>
          </cell>
          <cell r="R263">
            <v>0</v>
          </cell>
          <cell r="S263">
            <v>0</v>
          </cell>
          <cell r="T263">
            <v>0</v>
          </cell>
          <cell r="U263">
            <v>0</v>
          </cell>
          <cell r="V263">
            <v>0</v>
          </cell>
          <cell r="W263">
            <v>0</v>
          </cell>
          <cell r="X263">
            <v>0</v>
          </cell>
          <cell r="Y263">
            <v>0</v>
          </cell>
          <cell r="Z263">
            <v>0</v>
          </cell>
          <cell r="AA263">
            <v>0</v>
          </cell>
          <cell r="AB263">
            <v>0</v>
          </cell>
          <cell r="AC263">
            <v>0</v>
          </cell>
          <cell r="AD263">
            <v>0</v>
          </cell>
          <cell r="AE263">
            <v>0</v>
          </cell>
          <cell r="AF263">
            <v>0</v>
          </cell>
          <cell r="AG263">
            <v>0</v>
          </cell>
          <cell r="AH263">
            <v>-22.494104416853901</v>
          </cell>
          <cell r="AI263">
            <v>-24.42</v>
          </cell>
          <cell r="AJ263">
            <v>-21.12</v>
          </cell>
          <cell r="AK263">
            <v>-16.98</v>
          </cell>
        </row>
        <row r="264">
          <cell r="A264" t="str">
            <v>-  -  biogas, andet</v>
          </cell>
          <cell r="B264" t="str">
            <v>kvt</v>
          </cell>
          <cell r="C264" t="str">
            <v>fjr</v>
          </cell>
          <cell r="D264" t="str">
            <v>bia</v>
          </cell>
          <cell r="E264" t="str">
            <v>a0a0</v>
          </cell>
          <cell r="F264" t="str">
            <v>a00</v>
          </cell>
          <cell r="G264">
            <v>-15</v>
          </cell>
          <cell r="H264">
            <v>0</v>
          </cell>
          <cell r="I264">
            <v>0</v>
          </cell>
          <cell r="J264">
            <v>-15</v>
          </cell>
          <cell r="K264">
            <v>-15</v>
          </cell>
          <cell r="L264">
            <v>-15</v>
          </cell>
          <cell r="M264">
            <v>-15</v>
          </cell>
          <cell r="N264">
            <v>-15</v>
          </cell>
          <cell r="O264">
            <v>-15</v>
          </cell>
          <cell r="P264">
            <v>-15</v>
          </cell>
          <cell r="Q264">
            <v>-15</v>
          </cell>
          <cell r="R264">
            <v>-15.5</v>
          </cell>
          <cell r="S264">
            <v>-22</v>
          </cell>
          <cell r="T264">
            <v>-26.5</v>
          </cell>
          <cell r="U264">
            <v>-26.75</v>
          </cell>
          <cell r="V264">
            <v>-23.085999999999999</v>
          </cell>
          <cell r="W264">
            <v>-27.37</v>
          </cell>
          <cell r="X264">
            <v>-39.031999999999996</v>
          </cell>
          <cell r="Y264">
            <v>-50.455999999999996</v>
          </cell>
          <cell r="Z264">
            <v>-76.394000000000005</v>
          </cell>
          <cell r="AA264">
            <v>-78.540000000000006</v>
          </cell>
          <cell r="AB264">
            <v>-123.99799999999999</v>
          </cell>
          <cell r="AC264">
            <v>-130.21450036467655</v>
          </cell>
          <cell r="AD264">
            <v>-157.61791564816565</v>
          </cell>
          <cell r="AE264">
            <v>-167.26849526984569</v>
          </cell>
          <cell r="AF264">
            <v>-209.0881170427898</v>
          </cell>
          <cell r="AG264">
            <v>-240.45818823356768</v>
          </cell>
          <cell r="AH264">
            <v>-235.596224011327</v>
          </cell>
          <cell r="AI264">
            <v>-248.79</v>
          </cell>
          <cell r="AJ264">
            <v>-279.49</v>
          </cell>
          <cell r="AK264">
            <v>-319.86</v>
          </cell>
        </row>
        <row r="265">
          <cell r="A265" t="str">
            <v>-  -  affald, plastik</v>
          </cell>
          <cell r="B265" t="str">
            <v>kvt</v>
          </cell>
          <cell r="C265" t="str">
            <v>fjr</v>
          </cell>
          <cell r="D265" t="str">
            <v>afp</v>
          </cell>
          <cell r="E265" t="str">
            <v>a0a0</v>
          </cell>
          <cell r="F265" t="str">
            <v>a00</v>
          </cell>
          <cell r="G265">
            <v>0</v>
          </cell>
          <cell r="H265">
            <v>0</v>
          </cell>
          <cell r="I265">
            <v>0</v>
          </cell>
          <cell r="J265">
            <v>0</v>
          </cell>
          <cell r="K265">
            <v>0</v>
          </cell>
          <cell r="L265">
            <v>0</v>
          </cell>
          <cell r="M265">
            <v>0</v>
          </cell>
          <cell r="N265">
            <v>0</v>
          </cell>
          <cell r="O265">
            <v>0</v>
          </cell>
          <cell r="P265">
            <v>0</v>
          </cell>
          <cell r="Q265">
            <v>0</v>
          </cell>
          <cell r="R265">
            <v>0</v>
          </cell>
          <cell r="S265">
            <v>0</v>
          </cell>
          <cell r="T265">
            <v>0</v>
          </cell>
          <cell r="U265">
            <v>0</v>
          </cell>
          <cell r="V265">
            <v>0</v>
          </cell>
          <cell r="W265">
            <v>0</v>
          </cell>
          <cell r="X265">
            <v>0</v>
          </cell>
          <cell r="Y265">
            <v>0</v>
          </cell>
          <cell r="Z265">
            <v>-98.174173588810604</v>
          </cell>
          <cell r="AA265">
            <v>-137.95569127979789</v>
          </cell>
          <cell r="AB265">
            <v>-262.8529141962934</v>
          </cell>
          <cell r="AC265">
            <v>-301.28048241467542</v>
          </cell>
          <cell r="AD265">
            <v>-340.79723875987122</v>
          </cell>
          <cell r="AE265">
            <v>-446.14180074935268</v>
          </cell>
          <cell r="AF265">
            <v>-488.50124207268698</v>
          </cell>
          <cell r="AG265">
            <v>-484.21698510285114</v>
          </cell>
          <cell r="AH265">
            <v>-499.54111695313418</v>
          </cell>
          <cell r="AI265">
            <v>-558.5973397588981</v>
          </cell>
          <cell r="AJ265">
            <v>-640.99566481458851</v>
          </cell>
          <cell r="AK265">
            <v>-614.98288718226991</v>
          </cell>
        </row>
        <row r="266">
          <cell r="A266" t="str">
            <v>-  -  affald, andet</v>
          </cell>
          <cell r="B266" t="str">
            <v>kvt</v>
          </cell>
          <cell r="C266" t="str">
            <v>fjr</v>
          </cell>
          <cell r="D266" t="str">
            <v>afa</v>
          </cell>
          <cell r="E266" t="str">
            <v>a0a0</v>
          </cell>
          <cell r="F266" t="str">
            <v>a00</v>
          </cell>
          <cell r="G266">
            <v>0</v>
          </cell>
          <cell r="H266">
            <v>0</v>
          </cell>
          <cell r="I266">
            <v>0</v>
          </cell>
          <cell r="J266">
            <v>0</v>
          </cell>
          <cell r="K266">
            <v>0</v>
          </cell>
          <cell r="L266">
            <v>0</v>
          </cell>
          <cell r="M266">
            <v>0</v>
          </cell>
          <cell r="N266">
            <v>0</v>
          </cell>
          <cell r="O266">
            <v>0</v>
          </cell>
          <cell r="P266">
            <v>0</v>
          </cell>
          <cell r="Q266">
            <v>0</v>
          </cell>
          <cell r="R266">
            <v>0</v>
          </cell>
          <cell r="S266">
            <v>0</v>
          </cell>
          <cell r="T266">
            <v>0</v>
          </cell>
          <cell r="U266">
            <v>0</v>
          </cell>
          <cell r="V266">
            <v>0</v>
          </cell>
          <cell r="W266">
            <v>0</v>
          </cell>
          <cell r="X266">
            <v>0</v>
          </cell>
          <cell r="Y266">
            <v>0</v>
          </cell>
          <cell r="Z266">
            <v>-303.52582641118937</v>
          </cell>
          <cell r="AA266">
            <v>-481.58930872020204</v>
          </cell>
          <cell r="AB266">
            <v>-970.05708580370663</v>
          </cell>
          <cell r="AC266">
            <v>-1111.8737932745969</v>
          </cell>
          <cell r="AD266">
            <v>-1359.7425289870689</v>
          </cell>
          <cell r="AE266">
            <v>-1891.3653071096808</v>
          </cell>
          <cell r="AF266">
            <v>-2070.9431400160247</v>
          </cell>
          <cell r="AG266">
            <v>-2035.0805574402234</v>
          </cell>
          <cell r="AH266">
            <v>-2099.4852432476355</v>
          </cell>
          <cell r="AI266">
            <v>-2347.6883722691023</v>
          </cell>
          <cell r="AJ266">
            <v>-2693.9943351854113</v>
          </cell>
          <cell r="AK266">
            <v>-2584.6671128177304</v>
          </cell>
        </row>
        <row r="267">
          <cell r="A267" t="str">
            <v>-  forbrug af egne varer</v>
          </cell>
        </row>
        <row r="268">
          <cell r="A268" t="str">
            <v>-  -  el</v>
          </cell>
          <cell r="B268" t="str">
            <v>kvt</v>
          </cell>
          <cell r="C268" t="str">
            <v>elf</v>
          </cell>
          <cell r="D268" t="str">
            <v>elc</v>
          </cell>
          <cell r="E268" t="str">
            <v>a0a0</v>
          </cell>
          <cell r="F268" t="str">
            <v>a00</v>
          </cell>
          <cell r="G268">
            <v>0</v>
          </cell>
          <cell r="H268">
            <v>0</v>
          </cell>
          <cell r="I268">
            <v>0</v>
          </cell>
          <cell r="J268">
            <v>0</v>
          </cell>
          <cell r="K268">
            <v>0</v>
          </cell>
          <cell r="L268">
            <v>0</v>
          </cell>
          <cell r="M268">
            <v>0</v>
          </cell>
          <cell r="N268">
            <v>0</v>
          </cell>
          <cell r="O268">
            <v>0</v>
          </cell>
          <cell r="P268">
            <v>0</v>
          </cell>
          <cell r="Q268">
            <v>0</v>
          </cell>
          <cell r="R268">
            <v>0</v>
          </cell>
          <cell r="S268">
            <v>0</v>
          </cell>
          <cell r="T268">
            <v>0</v>
          </cell>
          <cell r="U268">
            <v>-0.90691200000000005</v>
          </cell>
          <cell r="V268">
            <v>-2.3214240000000004</v>
          </cell>
          <cell r="W268">
            <v>-6.8559840000000003</v>
          </cell>
          <cell r="X268">
            <v>-9.3736800000000002</v>
          </cell>
          <cell r="Y268">
            <v>-18.566306925623671</v>
          </cell>
          <cell r="Z268">
            <v>-31.85220446162074</v>
          </cell>
          <cell r="AA268">
            <v>-59.142085074203962</v>
          </cell>
          <cell r="AB268">
            <v>-102.10638518338303</v>
          </cell>
          <cell r="AC268">
            <v>-159.58808639999998</v>
          </cell>
          <cell r="AD268">
            <v>-223.13331216000003</v>
          </cell>
          <cell r="AE268">
            <v>-330.54038927999989</v>
          </cell>
          <cell r="AF268">
            <v>-467.93606735342473</v>
          </cell>
          <cell r="AG268">
            <v>-341.80466399999989</v>
          </cell>
          <cell r="AH268">
            <v>-386.31221640000001</v>
          </cell>
          <cell r="AI268">
            <v>-434.404854</v>
          </cell>
          <cell r="AJ268">
            <v>-417.3</v>
          </cell>
          <cell r="AK268">
            <v>-1056</v>
          </cell>
        </row>
        <row r="269">
          <cell r="A269" t="str">
            <v>-  produktion</v>
          </cell>
        </row>
        <row r="270">
          <cell r="A270" t="str">
            <v>-  -  el</v>
          </cell>
          <cell r="B270" t="str">
            <v>kvt</v>
          </cell>
          <cell r="C270" t="str">
            <v>brt</v>
          </cell>
          <cell r="D270" t="str">
            <v>elc</v>
          </cell>
          <cell r="E270" t="str">
            <v>a0a0</v>
          </cell>
          <cell r="F270" t="str">
            <v>a00</v>
          </cell>
          <cell r="G270">
            <v>18</v>
          </cell>
          <cell r="H270">
            <v>0</v>
          </cell>
          <cell r="I270">
            <v>0</v>
          </cell>
          <cell r="J270">
            <v>18</v>
          </cell>
          <cell r="K270">
            <v>18</v>
          </cell>
          <cell r="L270">
            <v>18</v>
          </cell>
          <cell r="M270">
            <v>18</v>
          </cell>
          <cell r="N270">
            <v>18</v>
          </cell>
          <cell r="O270">
            <v>18</v>
          </cell>
          <cell r="P270">
            <v>18</v>
          </cell>
          <cell r="Q270">
            <v>18</v>
          </cell>
          <cell r="R270">
            <v>19.079999999999998</v>
          </cell>
          <cell r="S270">
            <v>27</v>
          </cell>
          <cell r="T270">
            <v>31.68</v>
          </cell>
          <cell r="U270">
            <v>48.24</v>
          </cell>
          <cell r="V270">
            <v>123.48</v>
          </cell>
          <cell r="W270">
            <v>364.68</v>
          </cell>
          <cell r="X270">
            <v>498.6</v>
          </cell>
          <cell r="Y270">
            <v>987.56951732040807</v>
          </cell>
          <cell r="Z270">
            <v>1694.2661947670606</v>
          </cell>
          <cell r="AA270">
            <v>3145.8555890534021</v>
          </cell>
          <cell r="AB270">
            <v>5431.1907012437778</v>
          </cell>
          <cell r="AC270">
            <v>8488.7279999999992</v>
          </cell>
          <cell r="AD270">
            <v>11868.793200000002</v>
          </cell>
          <cell r="AE270">
            <v>17581.935599999993</v>
          </cell>
          <cell r="AF270">
            <v>20098.325137709573</v>
          </cell>
          <cell r="AG270">
            <v>21541.870806480005</v>
          </cell>
          <cell r="AH270">
            <v>22026.3716628</v>
          </cell>
          <cell r="AI270">
            <v>21518.192966400002</v>
          </cell>
          <cell r="AJ270">
            <v>23329</v>
          </cell>
          <cell r="AK270">
            <v>23110.1</v>
          </cell>
        </row>
        <row r="271">
          <cell r="A271" t="str">
            <v>-  -  fjernvarme</v>
          </cell>
          <cell r="B271" t="str">
            <v>kvt</v>
          </cell>
          <cell r="C271" t="str">
            <v>net</v>
          </cell>
          <cell r="D271" t="str">
            <v>fjv</v>
          </cell>
          <cell r="E271" t="str">
            <v>a0a0</v>
          </cell>
          <cell r="F271" t="str">
            <v>a00</v>
          </cell>
          <cell r="G271">
            <v>30</v>
          </cell>
          <cell r="H271">
            <v>0</v>
          </cell>
          <cell r="I271">
            <v>0</v>
          </cell>
          <cell r="J271">
            <v>30</v>
          </cell>
          <cell r="K271">
            <v>30</v>
          </cell>
          <cell r="L271">
            <v>30</v>
          </cell>
          <cell r="M271">
            <v>30</v>
          </cell>
          <cell r="N271">
            <v>30</v>
          </cell>
          <cell r="O271">
            <v>30</v>
          </cell>
          <cell r="P271">
            <v>30</v>
          </cell>
          <cell r="Q271">
            <v>30</v>
          </cell>
          <cell r="R271">
            <v>31</v>
          </cell>
          <cell r="S271">
            <v>44</v>
          </cell>
          <cell r="T271">
            <v>53</v>
          </cell>
          <cell r="U271">
            <v>122</v>
          </cell>
          <cell r="V271">
            <v>294</v>
          </cell>
          <cell r="W271">
            <v>765</v>
          </cell>
          <cell r="X271">
            <v>1092</v>
          </cell>
          <cell r="Y271">
            <v>2144.6444843752306</v>
          </cell>
          <cell r="Z271">
            <v>3593.630546949983</v>
          </cell>
          <cell r="AA271">
            <v>6349.4797059770917</v>
          </cell>
          <cell r="AB271">
            <v>10280.796635589828</v>
          </cell>
          <cell r="AC271">
            <v>14766.694000000012</v>
          </cell>
          <cell r="AD271">
            <v>19512.735799999955</v>
          </cell>
          <cell r="AE271">
            <v>26869.920999999988</v>
          </cell>
          <cell r="AF271">
            <v>29189.647687353412</v>
          </cell>
          <cell r="AG271">
            <v>31303.640341594135</v>
          </cell>
          <cell r="AH271">
            <v>32012.355210394599</v>
          </cell>
          <cell r="AI271">
            <v>32069.280692394499</v>
          </cell>
          <cell r="AJ271">
            <v>34656.57</v>
          </cell>
          <cell r="AK271">
            <v>34661.29</v>
          </cell>
        </row>
        <row r="272">
          <cell r="A272" t="str">
            <v>Vindmøller</v>
          </cell>
        </row>
        <row r="273">
          <cell r="A273" t="str">
            <v>-  råvareforbrug til kraft</v>
          </cell>
        </row>
        <row r="274">
          <cell r="A274" t="str">
            <v>-  -  vindkraft</v>
          </cell>
          <cell r="B274" t="str">
            <v>vmt</v>
          </cell>
          <cell r="C274" t="str">
            <v>elr</v>
          </cell>
          <cell r="D274" t="str">
            <v>vin</v>
          </cell>
          <cell r="E274" t="str">
            <v>a0a0</v>
          </cell>
          <cell r="F274" t="str">
            <v>a00</v>
          </cell>
          <cell r="G274">
            <v>0</v>
          </cell>
          <cell r="H274">
            <v>0</v>
          </cell>
          <cell r="I274">
            <v>0</v>
          </cell>
          <cell r="J274">
            <v>0</v>
          </cell>
          <cell r="K274">
            <v>0</v>
          </cell>
          <cell r="L274">
            <v>0</v>
          </cell>
          <cell r="M274">
            <v>-10.8</v>
          </cell>
          <cell r="N274">
            <v>-21.6</v>
          </cell>
          <cell r="O274">
            <v>-37.800000000000004</v>
          </cell>
          <cell r="P274">
            <v>-37.800000000000004</v>
          </cell>
          <cell r="Q274">
            <v>-66.600000000000009</v>
          </cell>
          <cell r="R274">
            <v>-97.559999999999988</v>
          </cell>
          <cell r="S274">
            <v>-119.52000000000001</v>
          </cell>
          <cell r="T274">
            <v>-185.04</v>
          </cell>
          <cell r="U274">
            <v>-452.15999999999997</v>
          </cell>
          <cell r="V274">
            <v>-625.67999999999995</v>
          </cell>
          <cell r="W274">
            <v>-1050.1199999999999</v>
          </cell>
          <cell r="X274">
            <v>-1542.24</v>
          </cell>
          <cell r="Y274">
            <v>-2197.08</v>
          </cell>
          <cell r="Z274">
            <v>-2664.36</v>
          </cell>
          <cell r="AA274">
            <v>-3295.44</v>
          </cell>
          <cell r="AB274">
            <v>-3723.1200000000003</v>
          </cell>
          <cell r="AC274">
            <v>-4093.2000000000003</v>
          </cell>
          <cell r="AD274">
            <v>-4238.28</v>
          </cell>
          <cell r="AE274">
            <v>-4416.84</v>
          </cell>
          <cell r="AF274">
            <v>-6963.12</v>
          </cell>
          <cell r="AG274">
            <v>-10151.640000000001</v>
          </cell>
          <cell r="AH274">
            <v>-10904.4</v>
          </cell>
          <cell r="AI274">
            <v>-15268.3165116</v>
          </cell>
          <cell r="AJ274">
            <v>-15501.673421999998</v>
          </cell>
          <cell r="AK274">
            <v>-17556.981984000002</v>
          </cell>
        </row>
        <row r="275">
          <cell r="A275" t="str">
            <v>-  bruttoproduktion</v>
          </cell>
        </row>
        <row r="276">
          <cell r="A276" t="str">
            <v>-  -  el</v>
          </cell>
          <cell r="B276" t="str">
            <v>vmt</v>
          </cell>
          <cell r="C276" t="str">
            <v>brt</v>
          </cell>
          <cell r="D276" t="str">
            <v>elc</v>
          </cell>
          <cell r="E276" t="str">
            <v>a0a0</v>
          </cell>
          <cell r="F276" t="str">
            <v>a00</v>
          </cell>
          <cell r="G276">
            <v>0</v>
          </cell>
          <cell r="H276">
            <v>0</v>
          </cell>
          <cell r="I276">
            <v>0</v>
          </cell>
          <cell r="J276">
            <v>0</v>
          </cell>
          <cell r="K276">
            <v>0</v>
          </cell>
          <cell r="L276">
            <v>0</v>
          </cell>
          <cell r="M276">
            <v>10.8</v>
          </cell>
          <cell r="N276">
            <v>21.6</v>
          </cell>
          <cell r="O276">
            <v>37.800000000000004</v>
          </cell>
          <cell r="P276">
            <v>37.800000000000004</v>
          </cell>
          <cell r="Q276">
            <v>66.600000000000009</v>
          </cell>
          <cell r="R276">
            <v>97.559999999999988</v>
          </cell>
          <cell r="S276">
            <v>119.52000000000001</v>
          </cell>
          <cell r="T276">
            <v>185.04</v>
          </cell>
          <cell r="U276">
            <v>452.15999999999997</v>
          </cell>
          <cell r="V276">
            <v>625.67999999999995</v>
          </cell>
          <cell r="W276">
            <v>1050.1199999999999</v>
          </cell>
          <cell r="X276">
            <v>1542.24</v>
          </cell>
          <cell r="Y276">
            <v>2197.08</v>
          </cell>
          <cell r="Z276">
            <v>2664.36</v>
          </cell>
          <cell r="AA276">
            <v>3295.44</v>
          </cell>
          <cell r="AB276">
            <v>3723.1200000000003</v>
          </cell>
          <cell r="AC276">
            <v>4093.2000000000003</v>
          </cell>
          <cell r="AD276">
            <v>4238.28</v>
          </cell>
          <cell r="AE276">
            <v>4416.84</v>
          </cell>
          <cell r="AF276">
            <v>6963.12</v>
          </cell>
          <cell r="AG276">
            <v>10151.640000000001</v>
          </cell>
          <cell r="AH276">
            <v>10904.4</v>
          </cell>
          <cell r="AI276">
            <v>15268.3165116</v>
          </cell>
          <cell r="AJ276">
            <v>15501.673421999998</v>
          </cell>
          <cell r="AK276">
            <v>17556.981984000002</v>
          </cell>
        </row>
        <row r="277">
          <cell r="A277" t="str">
            <v>Vandkraftanlæg</v>
          </cell>
        </row>
        <row r="278">
          <cell r="A278" t="str">
            <v>-  råvareforbrug til kraft</v>
          </cell>
        </row>
        <row r="280">
          <cell r="A280" t="str">
            <v>-  bruttoproduktion</v>
          </cell>
        </row>
        <row r="283">
          <cell r="A283" t="str">
            <v>-  råvareforbrug til varme</v>
          </cell>
          <cell r="AD283">
            <v>22261.036359866146</v>
          </cell>
          <cell r="AE283">
            <v>20818.525242558593</v>
          </cell>
          <cell r="AF283">
            <v>17163.259229817559</v>
          </cell>
          <cell r="AG283">
            <v>16355.800278642433</v>
          </cell>
          <cell r="AH283">
            <v>15240.268546143297</v>
          </cell>
          <cell r="AI283">
            <v>14591.334054274917</v>
          </cell>
          <cell r="AJ283">
            <v>15657.82</v>
          </cell>
          <cell r="AK283">
            <v>14893.24</v>
          </cell>
        </row>
        <row r="284">
          <cell r="A284" t="str">
            <v>-  -  raffinaderigas</v>
          </cell>
          <cell r="B284" t="str">
            <v>fvv</v>
          </cell>
          <cell r="C284" t="str">
            <v>fjr</v>
          </cell>
          <cell r="D284" t="str">
            <v>rga</v>
          </cell>
          <cell r="E284" t="str">
            <v>a0a0</v>
          </cell>
          <cell r="F284" t="str">
            <v>a00</v>
          </cell>
          <cell r="G284">
            <v>0</v>
          </cell>
          <cell r="H284">
            <v>0</v>
          </cell>
          <cell r="I284">
            <v>0</v>
          </cell>
          <cell r="J284">
            <v>0</v>
          </cell>
          <cell r="K284">
            <v>0</v>
          </cell>
          <cell r="L284">
            <v>0</v>
          </cell>
          <cell r="M284">
            <v>0</v>
          </cell>
          <cell r="N284">
            <v>0</v>
          </cell>
          <cell r="O284">
            <v>0</v>
          </cell>
          <cell r="P284">
            <v>0</v>
          </cell>
          <cell r="Q284">
            <v>0</v>
          </cell>
          <cell r="R284">
            <v>0</v>
          </cell>
          <cell r="S284">
            <v>0</v>
          </cell>
          <cell r="T284">
            <v>0</v>
          </cell>
          <cell r="U284">
            <v>0</v>
          </cell>
          <cell r="V284">
            <v>0</v>
          </cell>
          <cell r="W284">
            <v>0</v>
          </cell>
          <cell r="X284">
            <v>0</v>
          </cell>
          <cell r="Y284">
            <v>0</v>
          </cell>
          <cell r="Z284">
            <v>0</v>
          </cell>
          <cell r="AA284">
            <v>0</v>
          </cell>
          <cell r="AB284">
            <v>0</v>
          </cell>
          <cell r="AC284">
            <v>-369.37199940900479</v>
          </cell>
          <cell r="AD284">
            <v>-156.74399974920962</v>
          </cell>
          <cell r="AE284">
            <v>-35.204000000000001</v>
          </cell>
          <cell r="AF284">
            <v>-40.076999999999998</v>
          </cell>
          <cell r="AG284">
            <v>0</v>
          </cell>
          <cell r="AH284">
            <v>0</v>
          </cell>
          <cell r="AI284">
            <v>0</v>
          </cell>
          <cell r="AJ284">
            <v>0</v>
          </cell>
          <cell r="AK284">
            <v>0</v>
          </cell>
        </row>
        <row r="285">
          <cell r="A285" t="str">
            <v>-  -  LPG</v>
          </cell>
          <cell r="B285" t="str">
            <v>fvv</v>
          </cell>
          <cell r="C285" t="str">
            <v>fjr</v>
          </cell>
          <cell r="D285" t="str">
            <v>lpg</v>
          </cell>
          <cell r="E285" t="str">
            <v>a0a0</v>
          </cell>
          <cell r="F285" t="str">
            <v>a00</v>
          </cell>
          <cell r="G285">
            <v>-46</v>
          </cell>
          <cell r="H285">
            <v>0</v>
          </cell>
          <cell r="I285">
            <v>0</v>
          </cell>
          <cell r="J285">
            <v>0</v>
          </cell>
          <cell r="K285">
            <v>-35</v>
          </cell>
          <cell r="L285">
            <v>0</v>
          </cell>
          <cell r="M285">
            <v>0</v>
          </cell>
          <cell r="N285">
            <v>0</v>
          </cell>
          <cell r="O285">
            <v>-2</v>
          </cell>
          <cell r="P285">
            <v>-2</v>
          </cell>
          <cell r="Q285">
            <v>-153</v>
          </cell>
          <cell r="R285">
            <v>-141</v>
          </cell>
          <cell r="S285">
            <v>-135</v>
          </cell>
          <cell r="T285">
            <v>-63</v>
          </cell>
          <cell r="U285">
            <v>-23</v>
          </cell>
          <cell r="V285">
            <v>-12</v>
          </cell>
          <cell r="W285">
            <v>-10</v>
          </cell>
          <cell r="X285">
            <v>-10</v>
          </cell>
          <cell r="Y285">
            <v>-9</v>
          </cell>
          <cell r="Z285">
            <v>-13</v>
          </cell>
          <cell r="AA285">
            <v>-10</v>
          </cell>
          <cell r="AB285">
            <v>0</v>
          </cell>
          <cell r="AC285">
            <v>-2.7324000000000002</v>
          </cell>
          <cell r="AD285">
            <v>-0.73599999999999999</v>
          </cell>
          <cell r="AE285">
            <v>0</v>
          </cell>
          <cell r="AF285">
            <v>0</v>
          </cell>
          <cell r="AG285">
            <v>0</v>
          </cell>
          <cell r="AH285">
            <v>-8.9300000000000004E-3</v>
          </cell>
          <cell r="AI285">
            <v>-0.24553</v>
          </cell>
          <cell r="AJ285">
            <v>0</v>
          </cell>
          <cell r="AK285">
            <v>0</v>
          </cell>
        </row>
        <row r="286">
          <cell r="A286" t="str">
            <v>-  -  gas/dieselolie</v>
          </cell>
          <cell r="B286" t="str">
            <v>fvv</v>
          </cell>
          <cell r="C286" t="str">
            <v>fjr</v>
          </cell>
          <cell r="D286" t="str">
            <v>gdt</v>
          </cell>
          <cell r="E286" t="str">
            <v>a0a0</v>
          </cell>
          <cell r="F286" t="str">
            <v>a00</v>
          </cell>
          <cell r="G286">
            <v>-402</v>
          </cell>
          <cell r="H286">
            <v>0</v>
          </cell>
          <cell r="I286">
            <v>0</v>
          </cell>
          <cell r="J286">
            <v>-489</v>
          </cell>
          <cell r="K286">
            <v>-328</v>
          </cell>
          <cell r="L286">
            <v>-515</v>
          </cell>
          <cell r="M286">
            <v>-600</v>
          </cell>
          <cell r="N286">
            <v>-446</v>
          </cell>
          <cell r="O286">
            <v>-287</v>
          </cell>
          <cell r="P286">
            <v>-295</v>
          </cell>
          <cell r="Q286">
            <v>-389</v>
          </cell>
          <cell r="R286">
            <v>-330</v>
          </cell>
          <cell r="S286">
            <v>-1260</v>
          </cell>
          <cell r="T286">
            <v>-886</v>
          </cell>
          <cell r="U286">
            <v>-732</v>
          </cell>
          <cell r="V286">
            <v>-739</v>
          </cell>
          <cell r="W286">
            <v>-707</v>
          </cell>
          <cell r="X286">
            <v>-2952</v>
          </cell>
          <cell r="Y286">
            <v>-1941</v>
          </cell>
          <cell r="Z286">
            <v>-813</v>
          </cell>
          <cell r="AA286">
            <v>-744</v>
          </cell>
          <cell r="AB286">
            <v>-947</v>
          </cell>
          <cell r="AC286">
            <v>-1130.6178673394736</v>
          </cell>
          <cell r="AD286">
            <v>-867.1414408108626</v>
          </cell>
          <cell r="AE286">
            <v>-1538.1819633757104</v>
          </cell>
          <cell r="AF286">
            <v>-1253.4038645359999</v>
          </cell>
          <cell r="AG286">
            <v>-1163.7867800925026</v>
          </cell>
          <cell r="AH286">
            <v>-713.06761607107194</v>
          </cell>
          <cell r="AI286">
            <v>-1160.826456546461</v>
          </cell>
          <cell r="AJ286">
            <v>-1261.32</v>
          </cell>
          <cell r="AK286">
            <v>-1052.74</v>
          </cell>
        </row>
        <row r="287">
          <cell r="A287" t="str">
            <v>-  -  fuelolie</v>
          </cell>
          <cell r="B287" t="str">
            <v>fvv</v>
          </cell>
          <cell r="C287" t="str">
            <v>fjr</v>
          </cell>
          <cell r="D287" t="str">
            <v>fut</v>
          </cell>
          <cell r="E287" t="str">
            <v>a0a0</v>
          </cell>
          <cell r="F287" t="str">
            <v>a00</v>
          </cell>
          <cell r="G287">
            <v>-62686</v>
          </cell>
          <cell r="H287">
            <v>0</v>
          </cell>
          <cell r="I287">
            <v>0</v>
          </cell>
          <cell r="J287">
            <v>-47991</v>
          </cell>
          <cell r="K287">
            <v>-51863</v>
          </cell>
          <cell r="L287">
            <v>-52949</v>
          </cell>
          <cell r="M287">
            <v>-53328</v>
          </cell>
          <cell r="N287">
            <v>-55195</v>
          </cell>
          <cell r="O287">
            <v>-48280</v>
          </cell>
          <cell r="P287">
            <v>-42961</v>
          </cell>
          <cell r="Q287">
            <v>-40106</v>
          </cell>
          <cell r="R287">
            <v>-34007</v>
          </cell>
          <cell r="S287">
            <v>-28461</v>
          </cell>
          <cell r="T287">
            <v>-24385</v>
          </cell>
          <cell r="U287">
            <v>-14948</v>
          </cell>
          <cell r="V287">
            <v>-10813</v>
          </cell>
          <cell r="W287">
            <v>-4709</v>
          </cell>
          <cell r="X287">
            <v>-2318</v>
          </cell>
          <cell r="Y287">
            <v>-1289</v>
          </cell>
          <cell r="Z287">
            <v>-1519</v>
          </cell>
          <cell r="AA287">
            <v>-424</v>
          </cell>
          <cell r="AB287">
            <v>-210</v>
          </cell>
          <cell r="AC287">
            <v>-742.96822349232423</v>
          </cell>
          <cell r="AD287">
            <v>-1094.8082915819225</v>
          </cell>
          <cell r="AE287">
            <v>-1357.6432077122349</v>
          </cell>
          <cell r="AF287">
            <v>-961.39165477844153</v>
          </cell>
          <cell r="AG287">
            <v>-923.23041157499995</v>
          </cell>
          <cell r="AH287">
            <v>-1008.3517752499999</v>
          </cell>
          <cell r="AI287">
            <v>-903.19725332870007</v>
          </cell>
          <cell r="AJ287">
            <v>-770.51</v>
          </cell>
          <cell r="AK287">
            <v>-628.82000000000005</v>
          </cell>
        </row>
        <row r="288">
          <cell r="A288" t="str">
            <v>-  -  spildolie</v>
          </cell>
          <cell r="B288" t="str">
            <v>fvv</v>
          </cell>
          <cell r="C288" t="str">
            <v>fjr</v>
          </cell>
          <cell r="D288" t="str">
            <v>spo</v>
          </cell>
          <cell r="E288" t="str">
            <v>a0a0</v>
          </cell>
          <cell r="F288" t="str">
            <v>a00</v>
          </cell>
          <cell r="G288">
            <v>0</v>
          </cell>
          <cell r="H288">
            <v>0</v>
          </cell>
          <cell r="I288">
            <v>0</v>
          </cell>
          <cell r="J288">
            <v>0</v>
          </cell>
          <cell r="K288">
            <v>0</v>
          </cell>
          <cell r="L288">
            <v>0</v>
          </cell>
          <cell r="M288">
            <v>0</v>
          </cell>
          <cell r="N288">
            <v>0</v>
          </cell>
          <cell r="O288">
            <v>-717</v>
          </cell>
          <cell r="P288">
            <v>-717</v>
          </cell>
          <cell r="Q288">
            <v>-717</v>
          </cell>
          <cell r="R288">
            <v>-717</v>
          </cell>
          <cell r="S288">
            <v>-717</v>
          </cell>
          <cell r="T288">
            <v>-717</v>
          </cell>
          <cell r="U288">
            <v>-717</v>
          </cell>
          <cell r="V288">
            <v>-717</v>
          </cell>
          <cell r="W288">
            <v>-717</v>
          </cell>
          <cell r="X288">
            <v>-717</v>
          </cell>
          <cell r="Y288">
            <v>-717</v>
          </cell>
          <cell r="Z288">
            <v>-717</v>
          </cell>
          <cell r="AA288">
            <v>-717</v>
          </cell>
          <cell r="AB288">
            <v>-669</v>
          </cell>
          <cell r="AC288">
            <v>-674.18744836822293</v>
          </cell>
          <cell r="AD288">
            <v>-654.19758154188457</v>
          </cell>
          <cell r="AE288">
            <v>-804.42771986799983</v>
          </cell>
          <cell r="AF288">
            <v>-750.23931167599994</v>
          </cell>
          <cell r="AG288">
            <v>-739.93164613484339</v>
          </cell>
          <cell r="AH288">
            <v>-819.73144194224903</v>
          </cell>
          <cell r="AI288">
            <v>-579.87091870978099</v>
          </cell>
          <cell r="AJ288">
            <v>-689.79</v>
          </cell>
          <cell r="AK288">
            <v>-650.36</v>
          </cell>
        </row>
        <row r="290">
          <cell r="A290" t="str">
            <v>-  -  naturgas</v>
          </cell>
          <cell r="B290" t="str">
            <v>fvv</v>
          </cell>
          <cell r="C290" t="str">
            <v>fjr</v>
          </cell>
          <cell r="D290" t="str">
            <v>nga</v>
          </cell>
          <cell r="E290" t="str">
            <v>a0a0</v>
          </cell>
          <cell r="F290" t="str">
            <v>a00</v>
          </cell>
          <cell r="G290">
            <v>0</v>
          </cell>
          <cell r="H290">
            <v>0</v>
          </cell>
          <cell r="I290">
            <v>0</v>
          </cell>
          <cell r="J290">
            <v>0</v>
          </cell>
          <cell r="K290">
            <v>0</v>
          </cell>
          <cell r="L290">
            <v>0</v>
          </cell>
          <cell r="M290">
            <v>0</v>
          </cell>
          <cell r="N290">
            <v>0</v>
          </cell>
          <cell r="O290">
            <v>0</v>
          </cell>
          <cell r="P290">
            <v>0</v>
          </cell>
          <cell r="Q290">
            <v>0</v>
          </cell>
          <cell r="R290">
            <v>-296</v>
          </cell>
          <cell r="S290">
            <v>-1647</v>
          </cell>
          <cell r="T290">
            <v>-6082</v>
          </cell>
          <cell r="U290">
            <v>-12317</v>
          </cell>
          <cell r="V290">
            <v>-15041</v>
          </cell>
          <cell r="W290">
            <v>-13816</v>
          </cell>
          <cell r="X290">
            <v>-11291</v>
          </cell>
          <cell r="Y290">
            <v>-11033</v>
          </cell>
          <cell r="Z290">
            <v>-13655</v>
          </cell>
          <cell r="AA290">
            <v>-12350</v>
          </cell>
          <cell r="AB290">
            <v>-11420</v>
          </cell>
          <cell r="AC290">
            <v>-9825.2738088017813</v>
          </cell>
          <cell r="AD290">
            <v>-8366.6441833535155</v>
          </cell>
          <cell r="AE290">
            <v>-6424.7799186000702</v>
          </cell>
          <cell r="AF290">
            <v>-4298.18803841096</v>
          </cell>
          <cell r="AG290">
            <v>-3509.013326600093</v>
          </cell>
          <cell r="AH290">
            <v>-2924.3548177000002</v>
          </cell>
          <cell r="AI290">
            <v>-2448.6887806899999</v>
          </cell>
          <cell r="AJ290">
            <v>-3017.14</v>
          </cell>
          <cell r="AK290">
            <v>-2545.21</v>
          </cell>
        </row>
        <row r="293">
          <cell r="A293" t="str">
            <v>-  -  solvarme</v>
          </cell>
          <cell r="B293" t="str">
            <v>fvv</v>
          </cell>
          <cell r="C293" t="str">
            <v>fjr</v>
          </cell>
          <cell r="D293" t="str">
            <v>sol</v>
          </cell>
          <cell r="E293" t="str">
            <v>a0a0</v>
          </cell>
          <cell r="F293" t="str">
            <v>a00</v>
          </cell>
          <cell r="G293">
            <v>0</v>
          </cell>
          <cell r="H293">
            <v>0</v>
          </cell>
          <cell r="I293">
            <v>0</v>
          </cell>
          <cell r="J293">
            <v>0</v>
          </cell>
          <cell r="K293">
            <v>0</v>
          </cell>
          <cell r="L293">
            <v>0</v>
          </cell>
          <cell r="M293">
            <v>0</v>
          </cell>
          <cell r="N293">
            <v>0</v>
          </cell>
          <cell r="O293">
            <v>0</v>
          </cell>
          <cell r="P293">
            <v>0</v>
          </cell>
          <cell r="Q293">
            <v>0</v>
          </cell>
          <cell r="R293">
            <v>0</v>
          </cell>
          <cell r="S293">
            <v>0</v>
          </cell>
          <cell r="T293">
            <v>0</v>
          </cell>
          <cell r="U293">
            <v>0</v>
          </cell>
          <cell r="V293">
            <v>0</v>
          </cell>
          <cell r="W293">
            <v>0</v>
          </cell>
          <cell r="X293">
            <v>-4.3</v>
          </cell>
          <cell r="Y293">
            <v>-5.8</v>
          </cell>
          <cell r="Z293">
            <v>-5.8</v>
          </cell>
          <cell r="AA293">
            <v>-5.8</v>
          </cell>
          <cell r="AB293">
            <v>-5.8</v>
          </cell>
          <cell r="AC293">
            <v>-5.7461999999994227</v>
          </cell>
          <cell r="AD293">
            <v>-6.3630000000000004</v>
          </cell>
          <cell r="AE293">
            <v>-5.5969999999999995</v>
          </cell>
          <cell r="AF293">
            <v>-18.838999999999999</v>
          </cell>
          <cell r="AG293">
            <v>-16.046799999993798</v>
          </cell>
          <cell r="AH293">
            <v>-22.668839999999701</v>
          </cell>
          <cell r="AI293">
            <v>-24.282199999999698</v>
          </cell>
          <cell r="AJ293">
            <v>-27.29</v>
          </cell>
          <cell r="AK293">
            <v>-36.630000000000003</v>
          </cell>
        </row>
        <row r="294">
          <cell r="A294" t="str">
            <v>-  -  geotermi</v>
          </cell>
          <cell r="B294" t="str">
            <v>fvv</v>
          </cell>
          <cell r="C294" t="str">
            <v>fjr</v>
          </cell>
          <cell r="D294" t="str">
            <v>geo</v>
          </cell>
          <cell r="E294" t="str">
            <v>a0a0</v>
          </cell>
          <cell r="F294" t="str">
            <v>a00</v>
          </cell>
          <cell r="G294">
            <v>0</v>
          </cell>
          <cell r="H294">
            <v>0</v>
          </cell>
          <cell r="I294">
            <v>0</v>
          </cell>
          <cell r="J294">
            <v>0</v>
          </cell>
          <cell r="K294">
            <v>0</v>
          </cell>
          <cell r="L294">
            <v>0</v>
          </cell>
          <cell r="M294">
            <v>0</v>
          </cell>
          <cell r="N294">
            <v>0</v>
          </cell>
          <cell r="O294">
            <v>0</v>
          </cell>
          <cell r="P294">
            <v>0</v>
          </cell>
          <cell r="Q294">
            <v>0</v>
          </cell>
          <cell r="R294">
            <v>0</v>
          </cell>
          <cell r="S294">
            <v>0</v>
          </cell>
          <cell r="T294">
            <v>0</v>
          </cell>
          <cell r="U294">
            <v>0</v>
          </cell>
          <cell r="V294">
            <v>0</v>
          </cell>
          <cell r="W294">
            <v>0</v>
          </cell>
          <cell r="X294">
            <v>-45</v>
          </cell>
          <cell r="Y294">
            <v>-48</v>
          </cell>
          <cell r="Z294">
            <v>-45</v>
          </cell>
          <cell r="AA294">
            <v>-45</v>
          </cell>
          <cell r="AB294">
            <v>-45</v>
          </cell>
          <cell r="AC294">
            <v>-42.404000000000003</v>
          </cell>
          <cell r="AD294">
            <v>-46.926000000000002</v>
          </cell>
          <cell r="AE294">
            <v>-32.201999999999998</v>
          </cell>
          <cell r="AF294">
            <v>-50.31</v>
          </cell>
          <cell r="AG294">
            <v>-53.719000000000001</v>
          </cell>
          <cell r="AH294">
            <v>-53.8631999999782</v>
          </cell>
          <cell r="AI294">
            <v>-58.039199999976503</v>
          </cell>
          <cell r="AJ294">
            <v>-71.37</v>
          </cell>
          <cell r="AK294">
            <v>-84.74</v>
          </cell>
        </row>
        <row r="295">
          <cell r="A295" t="str">
            <v>-  -  halm</v>
          </cell>
          <cell r="B295" t="str">
            <v>fvv</v>
          </cell>
          <cell r="C295" t="str">
            <v>fjr</v>
          </cell>
          <cell r="D295" t="str">
            <v>hal</v>
          </cell>
          <cell r="E295" t="str">
            <v>a0a0</v>
          </cell>
          <cell r="F295" t="str">
            <v>a00</v>
          </cell>
          <cell r="G295">
            <v>0</v>
          </cell>
          <cell r="H295">
            <v>0</v>
          </cell>
          <cell r="I295">
            <v>0</v>
          </cell>
          <cell r="J295">
            <v>0</v>
          </cell>
          <cell r="K295">
            <v>0</v>
          </cell>
          <cell r="L295">
            <v>0</v>
          </cell>
          <cell r="M295">
            <v>0</v>
          </cell>
          <cell r="N295">
            <v>-145</v>
          </cell>
          <cell r="O295">
            <v>-290</v>
          </cell>
          <cell r="P295">
            <v>-290</v>
          </cell>
          <cell r="Q295">
            <v>-304</v>
          </cell>
          <cell r="R295">
            <v>-551</v>
          </cell>
          <cell r="S295">
            <v>-1000.5</v>
          </cell>
          <cell r="T295">
            <v>-1436</v>
          </cell>
          <cell r="U295">
            <v>-1740</v>
          </cell>
          <cell r="V295">
            <v>-2262</v>
          </cell>
          <cell r="W295">
            <v>-2683</v>
          </cell>
          <cell r="X295">
            <v>-3074</v>
          </cell>
          <cell r="Y295">
            <v>-3524</v>
          </cell>
          <cell r="Z295">
            <v>-3843</v>
          </cell>
          <cell r="AA295">
            <v>-3915</v>
          </cell>
          <cell r="AB295">
            <v>-3806</v>
          </cell>
          <cell r="AC295">
            <v>-3837.356290715662</v>
          </cell>
          <cell r="AD295">
            <v>-4024.1345119685238</v>
          </cell>
          <cell r="AE295">
            <v>-4237.362900000001</v>
          </cell>
          <cell r="AF295">
            <v>-3912.758497027397</v>
          </cell>
          <cell r="AG295">
            <v>-3885.9221960000004</v>
          </cell>
          <cell r="AH295">
            <v>-3930.0441204999997</v>
          </cell>
          <cell r="AI295">
            <v>-3847.88013</v>
          </cell>
          <cell r="AJ295">
            <v>-3812.17</v>
          </cell>
          <cell r="AK295">
            <v>-3782.75</v>
          </cell>
        </row>
        <row r="296">
          <cell r="A296" t="str">
            <v>-  -  skovflis</v>
          </cell>
          <cell r="B296" t="str">
            <v>fvv</v>
          </cell>
          <cell r="C296" t="str">
            <v>fjr</v>
          </cell>
          <cell r="D296" t="str">
            <v>fli</v>
          </cell>
          <cell r="E296" t="str">
            <v>a0a0</v>
          </cell>
          <cell r="F296" t="str">
            <v>a00</v>
          </cell>
          <cell r="G296">
            <v>0</v>
          </cell>
          <cell r="H296">
            <v>0</v>
          </cell>
          <cell r="I296">
            <v>0</v>
          </cell>
          <cell r="J296">
            <v>0</v>
          </cell>
          <cell r="K296">
            <v>0</v>
          </cell>
          <cell r="L296">
            <v>0</v>
          </cell>
          <cell r="M296">
            <v>0</v>
          </cell>
          <cell r="N296">
            <v>0</v>
          </cell>
          <cell r="O296">
            <v>0</v>
          </cell>
          <cell r="P296">
            <v>0</v>
          </cell>
          <cell r="Q296">
            <v>0</v>
          </cell>
          <cell r="R296">
            <v>0</v>
          </cell>
          <cell r="S296">
            <v>0</v>
          </cell>
          <cell r="T296">
            <v>0</v>
          </cell>
          <cell r="U296">
            <v>-974</v>
          </cell>
          <cell r="V296">
            <v>-1246</v>
          </cell>
          <cell r="W296">
            <v>-1400</v>
          </cell>
          <cell r="X296">
            <v>-1540</v>
          </cell>
          <cell r="Y296">
            <v>-1470</v>
          </cell>
          <cell r="Z296">
            <v>-1358</v>
          </cell>
          <cell r="AA296">
            <v>-1445</v>
          </cell>
          <cell r="AB296">
            <v>-1351</v>
          </cell>
          <cell r="AC296">
            <v>-1592.7321819534152</v>
          </cell>
          <cell r="AD296">
            <v>-1822.3414016513141</v>
          </cell>
          <cell r="AE296">
            <v>-2215.9619000000002</v>
          </cell>
          <cell r="AF296">
            <v>-2114.5586955400472</v>
          </cell>
          <cell r="AG296">
            <v>-2208.2659834400006</v>
          </cell>
          <cell r="AH296">
            <v>-2139.5554793000001</v>
          </cell>
          <cell r="AI296">
            <v>-2093.9454941999998</v>
          </cell>
          <cell r="AJ296">
            <v>-2386.79</v>
          </cell>
          <cell r="AK296">
            <v>-2523.5100000000002</v>
          </cell>
        </row>
        <row r="297">
          <cell r="A297" t="str">
            <v>-  -  træpiller</v>
          </cell>
          <cell r="B297" t="str">
            <v>fvv</v>
          </cell>
          <cell r="C297" t="str">
            <v>fjr</v>
          </cell>
          <cell r="D297" t="str">
            <v>tpi</v>
          </cell>
          <cell r="E297" t="str">
            <v>a0a0</v>
          </cell>
          <cell r="F297" t="str">
            <v>a00</v>
          </cell>
          <cell r="G297">
            <v>0</v>
          </cell>
          <cell r="H297">
            <v>0</v>
          </cell>
          <cell r="I297">
            <v>0</v>
          </cell>
          <cell r="J297">
            <v>0</v>
          </cell>
          <cell r="K297">
            <v>0</v>
          </cell>
          <cell r="L297">
            <v>0</v>
          </cell>
          <cell r="M297">
            <v>0</v>
          </cell>
          <cell r="N297">
            <v>0</v>
          </cell>
          <cell r="O297">
            <v>0</v>
          </cell>
          <cell r="P297">
            <v>0</v>
          </cell>
          <cell r="Q297">
            <v>0</v>
          </cell>
          <cell r="R297">
            <v>0</v>
          </cell>
          <cell r="S297">
            <v>0</v>
          </cell>
          <cell r="T297">
            <v>0</v>
          </cell>
          <cell r="U297">
            <v>-35</v>
          </cell>
          <cell r="V297">
            <v>-175</v>
          </cell>
          <cell r="W297">
            <v>-350</v>
          </cell>
          <cell r="X297">
            <v>-875</v>
          </cell>
          <cell r="Y297">
            <v>-1400</v>
          </cell>
          <cell r="Z297">
            <v>-1943</v>
          </cell>
          <cell r="AA297">
            <v>-2275</v>
          </cell>
          <cell r="AB297">
            <v>-1810.6144999999999</v>
          </cell>
          <cell r="AC297">
            <v>-1824.1475524999996</v>
          </cell>
          <cell r="AD297">
            <v>-1867.1138499999997</v>
          </cell>
          <cell r="AE297">
            <v>-1932.5921999999998</v>
          </cell>
          <cell r="AF297">
            <v>-1923.6766918544772</v>
          </cell>
          <cell r="AG297">
            <v>-1985.6010500000002</v>
          </cell>
          <cell r="AH297">
            <v>-1990.6140654200001</v>
          </cell>
          <cell r="AI297">
            <v>-1875.4577750000001</v>
          </cell>
          <cell r="AJ297">
            <v>-1967.67</v>
          </cell>
          <cell r="AK297">
            <v>-1984.98</v>
          </cell>
        </row>
        <row r="298">
          <cell r="A298" t="str">
            <v>-  -  træaffald</v>
          </cell>
          <cell r="B298" t="str">
            <v>fvv</v>
          </cell>
          <cell r="C298" t="str">
            <v>fjr</v>
          </cell>
          <cell r="D298" t="str">
            <v>taf</v>
          </cell>
          <cell r="E298" t="str">
            <v>a0a0</v>
          </cell>
          <cell r="F298" t="str">
            <v>a00</v>
          </cell>
          <cell r="G298">
            <v>0</v>
          </cell>
          <cell r="H298">
            <v>0</v>
          </cell>
          <cell r="I298">
            <v>0</v>
          </cell>
          <cell r="J298">
            <v>0</v>
          </cell>
          <cell r="K298">
            <v>0</v>
          </cell>
          <cell r="L298">
            <v>0</v>
          </cell>
          <cell r="M298">
            <v>0</v>
          </cell>
          <cell r="N298">
            <v>0</v>
          </cell>
          <cell r="O298">
            <v>0</v>
          </cell>
          <cell r="P298">
            <v>0</v>
          </cell>
          <cell r="Q298">
            <v>0</v>
          </cell>
          <cell r="R298">
            <v>0</v>
          </cell>
          <cell r="S298">
            <v>0</v>
          </cell>
          <cell r="T298">
            <v>0</v>
          </cell>
          <cell r="U298">
            <v>-281</v>
          </cell>
          <cell r="V298">
            <v>-281</v>
          </cell>
          <cell r="W298">
            <v>-281</v>
          </cell>
          <cell r="X298">
            <v>-347</v>
          </cell>
          <cell r="Y298">
            <v>-347</v>
          </cell>
          <cell r="Z298">
            <v>-347</v>
          </cell>
          <cell r="AA298">
            <v>-376</v>
          </cell>
          <cell r="AB298">
            <v>-588.84</v>
          </cell>
          <cell r="AC298">
            <v>-363.53025602773585</v>
          </cell>
          <cell r="AD298">
            <v>-333.38910002665904</v>
          </cell>
          <cell r="AE298">
            <v>-311.66359999999997</v>
          </cell>
          <cell r="AF298">
            <v>-546.19960119037614</v>
          </cell>
          <cell r="AG298">
            <v>-489.76634999999999</v>
          </cell>
          <cell r="AH298">
            <v>-369.77677899999998</v>
          </cell>
          <cell r="AI298">
            <v>-324.569455</v>
          </cell>
          <cell r="AJ298">
            <v>-453.36</v>
          </cell>
          <cell r="AK298">
            <v>-423.68</v>
          </cell>
        </row>
        <row r="299">
          <cell r="A299" t="str">
            <v>-  -  biogas, deponi</v>
          </cell>
          <cell r="B299" t="str">
            <v>fvv</v>
          </cell>
          <cell r="C299" t="str">
            <v>fjr</v>
          </cell>
          <cell r="D299" t="str">
            <v>bid</v>
          </cell>
          <cell r="E299" t="str">
            <v>a0a0</v>
          </cell>
          <cell r="F299" t="str">
            <v>a00</v>
          </cell>
          <cell r="G299">
            <v>0</v>
          </cell>
          <cell r="H299">
            <v>0</v>
          </cell>
          <cell r="I299">
            <v>0</v>
          </cell>
          <cell r="J299">
            <v>0</v>
          </cell>
          <cell r="K299">
            <v>0</v>
          </cell>
          <cell r="L299">
            <v>0</v>
          </cell>
          <cell r="M299">
            <v>0</v>
          </cell>
          <cell r="N299">
            <v>0</v>
          </cell>
          <cell r="O299">
            <v>0</v>
          </cell>
          <cell r="P299">
            <v>0</v>
          </cell>
          <cell r="Q299">
            <v>0</v>
          </cell>
          <cell r="R299">
            <v>0</v>
          </cell>
          <cell r="S299">
            <v>0</v>
          </cell>
          <cell r="T299">
            <v>0</v>
          </cell>
          <cell r="U299">
            <v>0</v>
          </cell>
          <cell r="V299">
            <v>0</v>
          </cell>
          <cell r="W299">
            <v>0</v>
          </cell>
          <cell r="X299">
            <v>0</v>
          </cell>
          <cell r="Y299">
            <v>0</v>
          </cell>
          <cell r="Z299">
            <v>0</v>
          </cell>
          <cell r="AA299">
            <v>0</v>
          </cell>
          <cell r="AB299">
            <v>0</v>
          </cell>
          <cell r="AC299">
            <v>0</v>
          </cell>
          <cell r="AD299">
            <v>0</v>
          </cell>
          <cell r="AE299">
            <v>0</v>
          </cell>
          <cell r="AF299">
            <v>0</v>
          </cell>
          <cell r="AG299">
            <v>0</v>
          </cell>
          <cell r="AH299">
            <v>-1.56637</v>
          </cell>
          <cell r="AI299">
            <v>-1.96</v>
          </cell>
          <cell r="AJ299">
            <v>-0.08</v>
          </cell>
          <cell r="AK299">
            <v>-0.15</v>
          </cell>
        </row>
        <row r="300">
          <cell r="A300" t="str">
            <v>-  -  biogas, slam</v>
          </cell>
          <cell r="B300" t="str">
            <v>fvv</v>
          </cell>
          <cell r="C300" t="str">
            <v>fjr</v>
          </cell>
          <cell r="D300" t="str">
            <v>bis</v>
          </cell>
          <cell r="E300" t="str">
            <v>a0a0</v>
          </cell>
          <cell r="F300" t="str">
            <v>a00</v>
          </cell>
          <cell r="G300">
            <v>0</v>
          </cell>
          <cell r="H300">
            <v>0</v>
          </cell>
          <cell r="I300">
            <v>0</v>
          </cell>
          <cell r="J300">
            <v>0</v>
          </cell>
          <cell r="K300">
            <v>0</v>
          </cell>
          <cell r="L300">
            <v>0</v>
          </cell>
          <cell r="M300">
            <v>0</v>
          </cell>
          <cell r="N300">
            <v>0</v>
          </cell>
          <cell r="O300">
            <v>0</v>
          </cell>
          <cell r="P300">
            <v>0</v>
          </cell>
          <cell r="Q300">
            <v>0</v>
          </cell>
          <cell r="R300">
            <v>0</v>
          </cell>
          <cell r="S300">
            <v>0</v>
          </cell>
          <cell r="T300">
            <v>0</v>
          </cell>
          <cell r="U300">
            <v>0</v>
          </cell>
          <cell r="V300">
            <v>0</v>
          </cell>
          <cell r="W300">
            <v>0</v>
          </cell>
          <cell r="X300">
            <v>0</v>
          </cell>
          <cell r="Y300">
            <v>0</v>
          </cell>
          <cell r="Z300">
            <v>0</v>
          </cell>
          <cell r="AA300">
            <v>0</v>
          </cell>
          <cell r="AB300">
            <v>0</v>
          </cell>
          <cell r="AC300">
            <v>0</v>
          </cell>
          <cell r="AD300">
            <v>0</v>
          </cell>
          <cell r="AE300">
            <v>0</v>
          </cell>
          <cell r="AF300">
            <v>0</v>
          </cell>
          <cell r="AG300">
            <v>0</v>
          </cell>
          <cell r="AH300">
            <v>-7.5004559999999998</v>
          </cell>
          <cell r="AI300">
            <v>-5.05</v>
          </cell>
          <cell r="AJ300">
            <v>-2.2599999999999998</v>
          </cell>
          <cell r="AK300">
            <v>-3.36</v>
          </cell>
        </row>
        <row r="301">
          <cell r="A301" t="str">
            <v>-  -  biogas, andet</v>
          </cell>
          <cell r="B301" t="str">
            <v>fvv</v>
          </cell>
          <cell r="C301" t="str">
            <v>fjr</v>
          </cell>
          <cell r="D301" t="str">
            <v>bia</v>
          </cell>
          <cell r="E301" t="str">
            <v>a0a0</v>
          </cell>
          <cell r="F301" t="str">
            <v>a00</v>
          </cell>
          <cell r="G301">
            <v>0</v>
          </cell>
          <cell r="H301">
            <v>0</v>
          </cell>
          <cell r="I301">
            <v>0</v>
          </cell>
          <cell r="J301">
            <v>0</v>
          </cell>
          <cell r="K301">
            <v>0</v>
          </cell>
          <cell r="L301">
            <v>0</v>
          </cell>
          <cell r="M301">
            <v>0</v>
          </cell>
          <cell r="N301">
            <v>0</v>
          </cell>
          <cell r="O301">
            <v>0</v>
          </cell>
          <cell r="P301">
            <v>0</v>
          </cell>
          <cell r="Q301">
            <v>0</v>
          </cell>
          <cell r="R301">
            <v>0</v>
          </cell>
          <cell r="S301">
            <v>0</v>
          </cell>
          <cell r="T301">
            <v>-10</v>
          </cell>
          <cell r="U301">
            <v>-40</v>
          </cell>
          <cell r="V301">
            <v>-40</v>
          </cell>
          <cell r="W301">
            <v>-34</v>
          </cell>
          <cell r="X301">
            <v>-30</v>
          </cell>
          <cell r="Y301">
            <v>-30</v>
          </cell>
          <cell r="Z301">
            <v>-30</v>
          </cell>
          <cell r="AA301">
            <v>-53</v>
          </cell>
          <cell r="AB301">
            <v>-53</v>
          </cell>
          <cell r="AC301">
            <v>-85.644696000091187</v>
          </cell>
          <cell r="AD301">
            <v>-147.56990928225298</v>
          </cell>
          <cell r="AE301">
            <v>-155.89969300000001</v>
          </cell>
          <cell r="AF301">
            <v>-132.25785297871826</v>
          </cell>
          <cell r="AG301">
            <v>-118.63447480000001</v>
          </cell>
          <cell r="AH301">
            <v>-108.10850296</v>
          </cell>
          <cell r="AI301">
            <v>-141.06</v>
          </cell>
          <cell r="AJ301">
            <v>-114.58</v>
          </cell>
          <cell r="AK301">
            <v>-98.59</v>
          </cell>
        </row>
        <row r="302">
          <cell r="A302" t="str">
            <v>-  -  affald, plastik</v>
          </cell>
          <cell r="B302" t="str">
            <v>fvv</v>
          </cell>
          <cell r="C302" t="str">
            <v>fjr</v>
          </cell>
          <cell r="D302" t="str">
            <v>afp</v>
          </cell>
          <cell r="E302" t="str">
            <v>a0a0</v>
          </cell>
          <cell r="F302" t="str">
            <v>a00</v>
          </cell>
          <cell r="G302">
            <v>-293.97995998632939</v>
          </cell>
          <cell r="H302">
            <v>0</v>
          </cell>
          <cell r="I302">
            <v>0</v>
          </cell>
          <cell r="J302">
            <v>-323.37795598496223</v>
          </cell>
          <cell r="K302">
            <v>-352.77595198359529</v>
          </cell>
          <cell r="L302">
            <v>-352.77595198359529</v>
          </cell>
          <cell r="M302">
            <v>-352.77595198359529</v>
          </cell>
          <cell r="N302">
            <v>-370.41474958277468</v>
          </cell>
          <cell r="O302">
            <v>-370.41474958277468</v>
          </cell>
          <cell r="P302">
            <v>-392.14826805319302</v>
          </cell>
          <cell r="Q302">
            <v>-413.25182946649727</v>
          </cell>
          <cell r="R302">
            <v>-437.36518570823324</v>
          </cell>
          <cell r="S302">
            <v>-456.40388787877635</v>
          </cell>
          <cell r="T302">
            <v>-481.91714869187552</v>
          </cell>
          <cell r="U302">
            <v>-500.60587471957803</v>
          </cell>
          <cell r="V302">
            <v>-500.60587471957803</v>
          </cell>
          <cell r="W302">
            <v>-474.30527032352705</v>
          </cell>
          <cell r="X302">
            <v>-480.15608484509954</v>
          </cell>
          <cell r="Y302">
            <v>-440.34727599331308</v>
          </cell>
          <cell r="Z302">
            <v>-460.09471479996341</v>
          </cell>
          <cell r="AA302">
            <v>-298.31503622928437</v>
          </cell>
          <cell r="AB302">
            <v>-220.93962063717231</v>
          </cell>
          <cell r="AC302">
            <v>-190.94279457372059</v>
          </cell>
          <cell r="AD302">
            <v>-195.97236722081504</v>
          </cell>
          <cell r="AE302">
            <v>-193.02879460068343</v>
          </cell>
          <cell r="AF302">
            <v>-187.98835269839171</v>
          </cell>
          <cell r="AG302">
            <v>-222.54818474301956</v>
          </cell>
          <cell r="AH302">
            <v>-208.17375523602234</v>
          </cell>
          <cell r="AI302">
            <v>-199.12373806810066</v>
          </cell>
          <cell r="AJ302">
            <v>-166.47870159604796</v>
          </cell>
          <cell r="AK302">
            <v>-179.5715818407173</v>
          </cell>
        </row>
        <row r="303">
          <cell r="A303" t="str">
            <v>-  -  affald, andet</v>
          </cell>
          <cell r="B303" t="str">
            <v>fvv</v>
          </cell>
          <cell r="C303" t="str">
            <v>fjr</v>
          </cell>
          <cell r="D303" t="str">
            <v>afa</v>
          </cell>
          <cell r="E303" t="str">
            <v>a0a0</v>
          </cell>
          <cell r="F303" t="str">
            <v>a00</v>
          </cell>
          <cell r="G303">
            <v>-908.90004001367072</v>
          </cell>
          <cell r="H303">
            <v>0</v>
          </cell>
          <cell r="I303">
            <v>0</v>
          </cell>
          <cell r="J303">
            <v>-999.79004401503744</v>
          </cell>
          <cell r="K303">
            <v>-1090.680048016405</v>
          </cell>
          <cell r="L303">
            <v>-1090.680048016405</v>
          </cell>
          <cell r="M303">
            <v>-1090.680048016405</v>
          </cell>
          <cell r="N303">
            <v>-1145.2140504172239</v>
          </cell>
          <cell r="O303">
            <v>-1145.2140504172239</v>
          </cell>
          <cell r="P303">
            <v>-1212.4077319468074</v>
          </cell>
          <cell r="Q303">
            <v>-1277.6537705335029</v>
          </cell>
          <cell r="R303">
            <v>-1352.2052142917673</v>
          </cell>
          <cell r="S303">
            <v>-1411.0673121212237</v>
          </cell>
          <cell r="T303">
            <v>-1489.946851308124</v>
          </cell>
          <cell r="U303">
            <v>-1547.7269252804222</v>
          </cell>
          <cell r="V303">
            <v>-1547.7269252804222</v>
          </cell>
          <cell r="W303">
            <v>-1466.4131500521171</v>
          </cell>
          <cell r="X303">
            <v>-1484.5021570477543</v>
          </cell>
          <cell r="Y303">
            <v>-1361.424965119543</v>
          </cell>
          <cell r="Z303">
            <v>-1422.4782693051982</v>
          </cell>
          <cell r="AA303">
            <v>-1041.3874972879885</v>
          </cell>
          <cell r="AB303">
            <v>-815.37633010155218</v>
          </cell>
          <cell r="AC303">
            <v>-704.67322542627949</v>
          </cell>
          <cell r="AD303">
            <v>-781.90763277918495</v>
          </cell>
          <cell r="AE303">
            <v>-818.32270539931653</v>
          </cell>
          <cell r="AF303">
            <v>-796.95434912675012</v>
          </cell>
          <cell r="AG303">
            <v>-935.33167525698036</v>
          </cell>
          <cell r="AH303">
            <v>-874.91842476397778</v>
          </cell>
          <cell r="AI303">
            <v>-836.88276193189938</v>
          </cell>
          <cell r="AJ303">
            <v>-699.68129840395204</v>
          </cell>
          <cell r="AK303">
            <v>-754.7084181592827</v>
          </cell>
        </row>
        <row r="305">
          <cell r="A305" t="str">
            <v>-  -  el til varmepumper</v>
          </cell>
          <cell r="B305" t="str">
            <v>fvv</v>
          </cell>
          <cell r="C305" t="str">
            <v>fjr</v>
          </cell>
          <cell r="D305" t="str">
            <v>elc</v>
          </cell>
          <cell r="E305" t="str">
            <v>a0a0</v>
          </cell>
          <cell r="F305" t="str">
            <v>a00</v>
          </cell>
          <cell r="G305">
            <v>0</v>
          </cell>
          <cell r="H305">
            <v>0</v>
          </cell>
          <cell r="I305">
            <v>0</v>
          </cell>
          <cell r="J305">
            <v>0</v>
          </cell>
          <cell r="K305">
            <v>0</v>
          </cell>
          <cell r="L305">
            <v>0</v>
          </cell>
          <cell r="M305">
            <v>0</v>
          </cell>
          <cell r="N305">
            <v>0</v>
          </cell>
          <cell r="O305">
            <v>0</v>
          </cell>
          <cell r="P305">
            <v>0</v>
          </cell>
          <cell r="Q305">
            <v>0</v>
          </cell>
          <cell r="R305">
            <v>0</v>
          </cell>
          <cell r="S305">
            <v>0</v>
          </cell>
          <cell r="T305">
            <v>0</v>
          </cell>
          <cell r="U305">
            <v>0</v>
          </cell>
          <cell r="V305">
            <v>0</v>
          </cell>
          <cell r="W305">
            <v>0</v>
          </cell>
          <cell r="X305">
            <v>0</v>
          </cell>
          <cell r="Y305">
            <v>0</v>
          </cell>
          <cell r="Z305">
            <v>0</v>
          </cell>
          <cell r="AA305">
            <v>0</v>
          </cell>
          <cell r="AB305">
            <v>0</v>
          </cell>
          <cell r="AC305">
            <v>-11.530799999999999</v>
          </cell>
          <cell r="AD305">
            <v>-11.485256400000001</v>
          </cell>
          <cell r="AE305">
            <v>-42.940800002576168</v>
          </cell>
          <cell r="AF305">
            <v>-10.1052</v>
          </cell>
          <cell r="AG305">
            <v>-9.7200000000000009E-2</v>
          </cell>
          <cell r="AH305">
            <v>-0.13651199999999999</v>
          </cell>
          <cell r="AI305">
            <v>-1.1622167999999999</v>
          </cell>
          <cell r="AJ305">
            <v>-0.24</v>
          </cell>
          <cell r="AK305">
            <v>-1.26</v>
          </cell>
        </row>
        <row r="306">
          <cell r="A306" t="str">
            <v>-  nettoproduktion</v>
          </cell>
        </row>
        <row r="307">
          <cell r="A307" t="str">
            <v>-  -  fjernvarme</v>
          </cell>
          <cell r="B307" t="str">
            <v>fvv</v>
          </cell>
          <cell r="C307" t="str">
            <v>net</v>
          </cell>
          <cell r="D307" t="str">
            <v>fjv</v>
          </cell>
          <cell r="E307" t="str">
            <v>a0a0</v>
          </cell>
          <cell r="F307" t="str">
            <v>a00</v>
          </cell>
          <cell r="G307">
            <v>55083.6</v>
          </cell>
          <cell r="H307">
            <v>0</v>
          </cell>
          <cell r="I307">
            <v>0</v>
          </cell>
          <cell r="J307">
            <v>42558.16</v>
          </cell>
          <cell r="K307">
            <v>45856.72</v>
          </cell>
          <cell r="L307">
            <v>46921.72</v>
          </cell>
          <cell r="M307">
            <v>47380.72</v>
          </cell>
          <cell r="N307">
            <v>49031.256000000001</v>
          </cell>
          <cell r="O307">
            <v>43655.256000000001</v>
          </cell>
          <cell r="P307">
            <v>40537.51</v>
          </cell>
          <cell r="Q307">
            <v>39017.300799999997</v>
          </cell>
          <cell r="R307">
            <v>37137.338239999997</v>
          </cell>
          <cell r="S307">
            <v>37385.805200000003</v>
          </cell>
          <cell r="T307">
            <v>41530.738400000002</v>
          </cell>
          <cell r="U307">
            <v>39910.839999999997</v>
          </cell>
          <cell r="V307">
            <v>39881.839999999997</v>
          </cell>
          <cell r="W307">
            <v>33172.455679999999</v>
          </cell>
          <cell r="X307">
            <v>29925.362719999997</v>
          </cell>
          <cell r="Y307">
            <v>27755.226719999999</v>
          </cell>
          <cell r="Z307">
            <v>31378.386880000002</v>
          </cell>
          <cell r="AA307">
            <v>28809.843679999998</v>
          </cell>
          <cell r="AB307">
            <v>25480.875750192001</v>
          </cell>
          <cell r="AC307">
            <v>22385.852799999993</v>
          </cell>
          <cell r="AD307">
            <v>20628.326506849298</v>
          </cell>
          <cell r="AE307">
            <v>18782.654999999999</v>
          </cell>
          <cell r="AF307">
            <v>15193.197515068485</v>
          </cell>
          <cell r="AG307">
            <v>15210.147327043911</v>
          </cell>
          <cell r="AH307">
            <v>13484.596273308649</v>
          </cell>
          <cell r="AI307">
            <v>12491.675571197051</v>
          </cell>
          <cell r="AJ307">
            <v>13828.19</v>
          </cell>
          <cell r="AK307">
            <v>12973.46</v>
          </cell>
        </row>
        <row r="308">
          <cell r="A308" t="str">
            <v>Private elproducenter</v>
          </cell>
        </row>
        <row r="309">
          <cell r="A309" t="str">
            <v>-  råvareforbrug til kraft</v>
          </cell>
          <cell r="AD309">
            <v>80.372904000000005</v>
          </cell>
          <cell r="AE309">
            <v>16.724256000000004</v>
          </cell>
          <cell r="AF309">
            <v>2.759808</v>
          </cell>
          <cell r="AG309">
            <v>19.777535</v>
          </cell>
          <cell r="AH309">
            <v>27.830488000000003</v>
          </cell>
          <cell r="AI309">
            <v>27.47</v>
          </cell>
          <cell r="AJ309">
            <v>37.76</v>
          </cell>
          <cell r="AK309">
            <v>8.32</v>
          </cell>
        </row>
        <row r="310">
          <cell r="A310" t="str">
            <v>-  -  naturgas</v>
          </cell>
          <cell r="B310" t="str">
            <v>pel</v>
          </cell>
          <cell r="C310" t="str">
            <v>elr</v>
          </cell>
          <cell r="D310" t="str">
            <v>nga</v>
          </cell>
          <cell r="E310" t="str">
            <v>a0a0</v>
          </cell>
          <cell r="F310" t="str">
            <v>a00</v>
          </cell>
          <cell r="G310">
            <v>0</v>
          </cell>
          <cell r="H310">
            <v>0</v>
          </cell>
          <cell r="I310">
            <v>0</v>
          </cell>
          <cell r="J310">
            <v>0</v>
          </cell>
          <cell r="K310">
            <v>0</v>
          </cell>
          <cell r="L310">
            <v>0</v>
          </cell>
          <cell r="M310">
            <v>0</v>
          </cell>
          <cell r="N310">
            <v>0</v>
          </cell>
          <cell r="O310">
            <v>0</v>
          </cell>
          <cell r="P310">
            <v>0</v>
          </cell>
          <cell r="Q310">
            <v>0</v>
          </cell>
          <cell r="R310">
            <v>0</v>
          </cell>
          <cell r="S310">
            <v>0</v>
          </cell>
          <cell r="T310">
            <v>0</v>
          </cell>
          <cell r="U310">
            <v>0</v>
          </cell>
          <cell r="V310">
            <v>0</v>
          </cell>
          <cell r="W310">
            <v>0</v>
          </cell>
          <cell r="X310">
            <v>0</v>
          </cell>
          <cell r="Y310">
            <v>0</v>
          </cell>
          <cell r="Z310">
            <v>0</v>
          </cell>
          <cell r="AA310">
            <v>0</v>
          </cell>
          <cell r="AB310">
            <v>0</v>
          </cell>
          <cell r="AC310">
            <v>0</v>
          </cell>
          <cell r="AD310">
            <v>0</v>
          </cell>
          <cell r="AE310">
            <v>0</v>
          </cell>
          <cell r="AF310">
            <v>0</v>
          </cell>
          <cell r="AG310">
            <v>0</v>
          </cell>
          <cell r="AH310">
            <v>0</v>
          </cell>
          <cell r="AI310">
            <v>-0.02</v>
          </cell>
          <cell r="AJ310">
            <v>0</v>
          </cell>
          <cell r="AK310">
            <v>-0.99</v>
          </cell>
        </row>
        <row r="311">
          <cell r="A311" t="str">
            <v>-  -  solvarme</v>
          </cell>
          <cell r="B311" t="str">
            <v>pel</v>
          </cell>
          <cell r="C311" t="str">
            <v>elr</v>
          </cell>
          <cell r="D311" t="str">
            <v>sol</v>
          </cell>
          <cell r="E311" t="str">
            <v>a0a0</v>
          </cell>
          <cell r="F311" t="str">
            <v>a00</v>
          </cell>
          <cell r="G311">
            <v>0</v>
          </cell>
          <cell r="H311">
            <v>0</v>
          </cell>
          <cell r="I311">
            <v>0</v>
          </cell>
          <cell r="J311">
            <v>0</v>
          </cell>
          <cell r="K311">
            <v>0</v>
          </cell>
          <cell r="L311">
            <v>0</v>
          </cell>
          <cell r="M311">
            <v>0</v>
          </cell>
          <cell r="N311">
            <v>0</v>
          </cell>
          <cell r="O311">
            <v>0</v>
          </cell>
          <cell r="P311">
            <v>0</v>
          </cell>
          <cell r="Q311">
            <v>0</v>
          </cell>
          <cell r="R311">
            <v>0</v>
          </cell>
          <cell r="S311">
            <v>0</v>
          </cell>
          <cell r="T311">
            <v>0</v>
          </cell>
          <cell r="U311">
            <v>0</v>
          </cell>
          <cell r="V311">
            <v>0</v>
          </cell>
          <cell r="W311">
            <v>0</v>
          </cell>
          <cell r="X311">
            <v>0</v>
          </cell>
          <cell r="Y311">
            <v>0</v>
          </cell>
          <cell r="Z311">
            <v>0</v>
          </cell>
          <cell r="AA311">
            <v>0</v>
          </cell>
          <cell r="AB311">
            <v>0</v>
          </cell>
          <cell r="AC311">
            <v>0</v>
          </cell>
          <cell r="AD311">
            <v>0</v>
          </cell>
          <cell r="AE311">
            <v>0</v>
          </cell>
          <cell r="AF311">
            <v>0</v>
          </cell>
          <cell r="AG311">
            <v>0</v>
          </cell>
          <cell r="AH311">
            <v>0</v>
          </cell>
          <cell r="AI311">
            <v>-0.18</v>
          </cell>
          <cell r="AJ311">
            <v>-0.18</v>
          </cell>
          <cell r="AK311">
            <v>-0.6</v>
          </cell>
        </row>
        <row r="312">
          <cell r="A312" t="str">
            <v>-  -  biogas, deponi</v>
          </cell>
          <cell r="B312" t="str">
            <v>pel</v>
          </cell>
          <cell r="C312" t="str">
            <v>elr</v>
          </cell>
          <cell r="D312" t="str">
            <v>bid</v>
          </cell>
          <cell r="E312" t="str">
            <v>a0a0</v>
          </cell>
          <cell r="F312" t="str">
            <v>a00</v>
          </cell>
          <cell r="G312">
            <v>0</v>
          </cell>
          <cell r="H312">
            <v>0</v>
          </cell>
          <cell r="I312">
            <v>0</v>
          </cell>
          <cell r="J312">
            <v>0</v>
          </cell>
          <cell r="K312">
            <v>0</v>
          </cell>
          <cell r="L312">
            <v>0</v>
          </cell>
          <cell r="M312">
            <v>0</v>
          </cell>
          <cell r="N312">
            <v>0</v>
          </cell>
          <cell r="O312">
            <v>0</v>
          </cell>
          <cell r="P312">
            <v>0</v>
          </cell>
          <cell r="Q312">
            <v>0</v>
          </cell>
          <cell r="R312">
            <v>0</v>
          </cell>
          <cell r="S312">
            <v>0</v>
          </cell>
          <cell r="T312">
            <v>0</v>
          </cell>
          <cell r="U312">
            <v>0</v>
          </cell>
          <cell r="V312">
            <v>0</v>
          </cell>
          <cell r="W312">
            <v>0</v>
          </cell>
          <cell r="X312">
            <v>0</v>
          </cell>
          <cell r="Y312">
            <v>0</v>
          </cell>
          <cell r="Z312">
            <v>0</v>
          </cell>
          <cell r="AA312">
            <v>0</v>
          </cell>
          <cell r="AB312">
            <v>0</v>
          </cell>
          <cell r="AC312">
            <v>0</v>
          </cell>
          <cell r="AD312">
            <v>0</v>
          </cell>
          <cell r="AE312">
            <v>0</v>
          </cell>
          <cell r="AF312">
            <v>0</v>
          </cell>
          <cell r="AG312">
            <v>-9.2040000000000006</v>
          </cell>
          <cell r="AH312">
            <v>-27.830488000000003</v>
          </cell>
          <cell r="AI312">
            <v>-27.27</v>
          </cell>
          <cell r="AJ312">
            <v>-37.58</v>
          </cell>
          <cell r="AK312">
            <v>-6.73</v>
          </cell>
        </row>
        <row r="313">
          <cell r="A313" t="str">
            <v>-  -  biogas, slam</v>
          </cell>
          <cell r="B313" t="str">
            <v>pel</v>
          </cell>
          <cell r="C313" t="str">
            <v>elr</v>
          </cell>
          <cell r="D313" t="str">
            <v>bis</v>
          </cell>
          <cell r="E313" t="str">
            <v>a0a0</v>
          </cell>
          <cell r="F313" t="str">
            <v>a00</v>
          </cell>
          <cell r="G313">
            <v>0</v>
          </cell>
          <cell r="H313">
            <v>0</v>
          </cell>
          <cell r="I313">
            <v>0</v>
          </cell>
          <cell r="J313">
            <v>0</v>
          </cell>
          <cell r="K313">
            <v>0</v>
          </cell>
          <cell r="L313">
            <v>0</v>
          </cell>
          <cell r="M313">
            <v>0</v>
          </cell>
          <cell r="N313">
            <v>0</v>
          </cell>
          <cell r="O313">
            <v>0</v>
          </cell>
          <cell r="P313">
            <v>0</v>
          </cell>
          <cell r="Q313">
            <v>0</v>
          </cell>
          <cell r="R313">
            <v>0</v>
          </cell>
          <cell r="S313">
            <v>0</v>
          </cell>
          <cell r="T313">
            <v>0</v>
          </cell>
          <cell r="U313">
            <v>0</v>
          </cell>
          <cell r="V313">
            <v>0</v>
          </cell>
          <cell r="W313">
            <v>0</v>
          </cell>
          <cell r="X313">
            <v>0</v>
          </cell>
          <cell r="Y313">
            <v>0</v>
          </cell>
          <cell r="Z313">
            <v>0</v>
          </cell>
          <cell r="AA313">
            <v>0</v>
          </cell>
          <cell r="AB313">
            <v>0</v>
          </cell>
          <cell r="AC313">
            <v>-29.351264000025701</v>
          </cell>
          <cell r="AD313">
            <v>-29.839656000000002</v>
          </cell>
          <cell r="AE313">
            <v>-15.111432000000002</v>
          </cell>
          <cell r="AF313">
            <v>0</v>
          </cell>
          <cell r="AG313">
            <v>0</v>
          </cell>
          <cell r="AH313">
            <v>0</v>
          </cell>
          <cell r="AI313">
            <v>0</v>
          </cell>
          <cell r="AJ313">
            <v>0</v>
          </cell>
          <cell r="AK313">
            <v>0</v>
          </cell>
        </row>
        <row r="314">
          <cell r="A314" t="str">
            <v>-  -  biogas, andet</v>
          </cell>
          <cell r="B314" t="str">
            <v>pel</v>
          </cell>
          <cell r="C314" t="str">
            <v>elr</v>
          </cell>
          <cell r="D314" t="str">
            <v>bia</v>
          </cell>
          <cell r="E314" t="str">
            <v>a0a0</v>
          </cell>
          <cell r="F314" t="str">
            <v>a00</v>
          </cell>
          <cell r="G314">
            <v>0</v>
          </cell>
          <cell r="H314">
            <v>0</v>
          </cell>
          <cell r="I314">
            <v>0</v>
          </cell>
          <cell r="J314">
            <v>0</v>
          </cell>
          <cell r="K314">
            <v>0</v>
          </cell>
          <cell r="L314">
            <v>0</v>
          </cell>
          <cell r="M314">
            <v>0</v>
          </cell>
          <cell r="N314">
            <v>0</v>
          </cell>
          <cell r="O314">
            <v>0</v>
          </cell>
          <cell r="P314">
            <v>0</v>
          </cell>
          <cell r="Q314">
            <v>0</v>
          </cell>
          <cell r="R314">
            <v>0</v>
          </cell>
          <cell r="S314">
            <v>0</v>
          </cell>
          <cell r="T314">
            <v>0</v>
          </cell>
          <cell r="U314">
            <v>0</v>
          </cell>
          <cell r="V314">
            <v>0</v>
          </cell>
          <cell r="W314">
            <v>0</v>
          </cell>
          <cell r="X314">
            <v>0</v>
          </cell>
          <cell r="Y314">
            <v>0</v>
          </cell>
          <cell r="Z314">
            <v>0</v>
          </cell>
          <cell r="AA314">
            <v>0</v>
          </cell>
          <cell r="AB314">
            <v>0</v>
          </cell>
          <cell r="AC314">
            <v>0</v>
          </cell>
          <cell r="AD314">
            <v>-50.533248</v>
          </cell>
          <cell r="AE314">
            <v>-1.6128240000000003</v>
          </cell>
          <cell r="AF314">
            <v>-2.759808</v>
          </cell>
          <cell r="AG314">
            <v>-10.573535</v>
          </cell>
          <cell r="AH314">
            <v>0</v>
          </cell>
          <cell r="AI314">
            <v>0</v>
          </cell>
          <cell r="AJ314">
            <v>0</v>
          </cell>
          <cell r="AK314">
            <v>0</v>
          </cell>
        </row>
        <row r="315">
          <cell r="A315" t="str">
            <v>-  bruttoproduktion</v>
          </cell>
        </row>
        <row r="317">
          <cell r="A317" t="str">
            <v>Private kraftvarmeproducenter</v>
          </cell>
        </row>
        <row r="318">
          <cell r="A318" t="str">
            <v>-  råvareforbrug til kraft</v>
          </cell>
          <cell r="AD318">
            <v>11140.148316152419</v>
          </cell>
          <cell r="AE318">
            <v>15173.827531091638</v>
          </cell>
          <cell r="AF318">
            <v>16752.272060846051</v>
          </cell>
          <cell r="AG318">
            <v>20005.292018770953</v>
          </cell>
          <cell r="AH318">
            <v>23644.270741208384</v>
          </cell>
          <cell r="AI318">
            <v>24375.718512754396</v>
          </cell>
          <cell r="AJ318">
            <v>23368.322013180004</v>
          </cell>
          <cell r="AK318">
            <v>22647.46</v>
          </cell>
        </row>
        <row r="321">
          <cell r="A321" t="str">
            <v>-  -  fuelolie</v>
          </cell>
          <cell r="B321" t="str">
            <v>pev</v>
          </cell>
          <cell r="C321" t="str">
            <v>elr</v>
          </cell>
          <cell r="D321" t="str">
            <v>fut</v>
          </cell>
          <cell r="E321" t="str">
            <v>a0a0</v>
          </cell>
          <cell r="F321" t="str">
            <v>a00</v>
          </cell>
          <cell r="G321">
            <v>-2204.7377205663438</v>
          </cell>
          <cell r="H321">
            <v>0</v>
          </cell>
          <cell r="I321">
            <v>0</v>
          </cell>
          <cell r="J321">
            <v>-2224.152681262658</v>
          </cell>
          <cell r="K321">
            <v>-2247.0541972045485</v>
          </cell>
          <cell r="L321">
            <v>-1927.6009006595334</v>
          </cell>
          <cell r="M321">
            <v>-1940.4038789940491</v>
          </cell>
          <cell r="N321">
            <v>-1759.1327508294096</v>
          </cell>
          <cell r="O321">
            <v>-1577.8616226647703</v>
          </cell>
          <cell r="P321">
            <v>-1438.9194402349722</v>
          </cell>
          <cell r="Q321">
            <v>-1457.9772578051734</v>
          </cell>
          <cell r="R321">
            <v>-1477.0350753753751</v>
          </cell>
          <cell r="S321">
            <v>-1493.5686731231228</v>
          </cell>
          <cell r="T321">
            <v>-1510.1022708708711</v>
          </cell>
          <cell r="U321">
            <v>-1204.9291931931932</v>
          </cell>
          <cell r="V321">
            <v>-1212.2475155155155</v>
          </cell>
          <cell r="W321">
            <v>-1214.9663786198646</v>
          </cell>
          <cell r="X321">
            <v>-1209.8302756734606</v>
          </cell>
          <cell r="Y321">
            <v>-1217.1194027617896</v>
          </cell>
          <cell r="Z321">
            <v>-1205.4637731683124</v>
          </cell>
          <cell r="AA321">
            <v>-1220.1880285281718</v>
          </cell>
          <cell r="AB321">
            <v>-1215.2333986495291</v>
          </cell>
          <cell r="AC321">
            <v>-964.50748312662563</v>
          </cell>
          <cell r="AD321">
            <v>-1116.3027595079802</v>
          </cell>
          <cell r="AE321">
            <v>-1037.3589180709632</v>
          </cell>
          <cell r="AF321">
            <v>-1041.241249901339</v>
          </cell>
          <cell r="AG321">
            <v>-1004.8872858210036</v>
          </cell>
          <cell r="AH321">
            <v>-957.48843797140319</v>
          </cell>
          <cell r="AI321">
            <v>-919.65407635947361</v>
          </cell>
          <cell r="AJ321">
            <v>-797.3</v>
          </cell>
          <cell r="AK321">
            <v>-710.06</v>
          </cell>
        </row>
        <row r="322">
          <cell r="A322" t="str">
            <v>-  -  spildolie</v>
          </cell>
          <cell r="B322" t="str">
            <v>pev</v>
          </cell>
          <cell r="C322" t="str">
            <v>elr</v>
          </cell>
          <cell r="D322" t="str">
            <v>spo</v>
          </cell>
          <cell r="E322" t="str">
            <v>a0a0</v>
          </cell>
          <cell r="F322" t="str">
            <v>a00</v>
          </cell>
          <cell r="G322">
            <v>0</v>
          </cell>
          <cell r="H322">
            <v>0</v>
          </cell>
          <cell r="I322">
            <v>0</v>
          </cell>
          <cell r="J322">
            <v>0</v>
          </cell>
          <cell r="K322">
            <v>0</v>
          </cell>
          <cell r="L322">
            <v>0</v>
          </cell>
          <cell r="M322">
            <v>0</v>
          </cell>
          <cell r="N322">
            <v>0</v>
          </cell>
          <cell r="O322">
            <v>0</v>
          </cell>
          <cell r="P322">
            <v>0</v>
          </cell>
          <cell r="Q322">
            <v>0</v>
          </cell>
          <cell r="R322">
            <v>0</v>
          </cell>
          <cell r="S322">
            <v>0</v>
          </cell>
          <cell r="T322">
            <v>0</v>
          </cell>
          <cell r="U322">
            <v>0</v>
          </cell>
          <cell r="V322">
            <v>0</v>
          </cell>
          <cell r="W322">
            <v>0</v>
          </cell>
          <cell r="X322">
            <v>0</v>
          </cell>
          <cell r="Y322">
            <v>0</v>
          </cell>
          <cell r="Z322">
            <v>0</v>
          </cell>
          <cell r="AA322">
            <v>0</v>
          </cell>
          <cell r="AB322">
            <v>0</v>
          </cell>
          <cell r="AC322">
            <v>-57.169092189703392</v>
          </cell>
          <cell r="AD322">
            <v>-64.111891366831657</v>
          </cell>
          <cell r="AE322">
            <v>0</v>
          </cell>
          <cell r="AF322">
            <v>0</v>
          </cell>
          <cell r="AG322">
            <v>0</v>
          </cell>
          <cell r="AH322">
            <v>0</v>
          </cell>
          <cell r="AI322">
            <v>0</v>
          </cell>
          <cell r="AJ322">
            <v>0</v>
          </cell>
          <cell r="AK322">
            <v>0</v>
          </cell>
        </row>
        <row r="323">
          <cell r="A323" t="str">
            <v>-  -  naturgas</v>
          </cell>
          <cell r="B323" t="str">
            <v>pev</v>
          </cell>
          <cell r="C323" t="str">
            <v>elr</v>
          </cell>
          <cell r="D323" t="str">
            <v>nga</v>
          </cell>
          <cell r="E323" t="str">
            <v>a0a0</v>
          </cell>
          <cell r="F323" t="str">
            <v>a00</v>
          </cell>
          <cell r="G323">
            <v>0</v>
          </cell>
          <cell r="H323">
            <v>0</v>
          </cell>
          <cell r="I323">
            <v>0</v>
          </cell>
          <cell r="J323">
            <v>0</v>
          </cell>
          <cell r="K323">
            <v>0</v>
          </cell>
          <cell r="L323">
            <v>0</v>
          </cell>
          <cell r="M323">
            <v>0</v>
          </cell>
          <cell r="N323">
            <v>0</v>
          </cell>
          <cell r="O323">
            <v>0</v>
          </cell>
          <cell r="P323">
            <v>0</v>
          </cell>
          <cell r="Q323">
            <v>0</v>
          </cell>
          <cell r="R323">
            <v>0</v>
          </cell>
          <cell r="S323">
            <v>0</v>
          </cell>
          <cell r="T323">
            <v>0</v>
          </cell>
          <cell r="U323">
            <v>-297.83370000000002</v>
          </cell>
          <cell r="V323">
            <v>-296.178</v>
          </cell>
          <cell r="W323">
            <v>-672.23519999999996</v>
          </cell>
          <cell r="X323">
            <v>-683.81684099999995</v>
          </cell>
          <cell r="Y323">
            <v>-695.39848200000006</v>
          </cell>
          <cell r="Z323">
            <v>-633.14518499999997</v>
          </cell>
          <cell r="AA323">
            <v>-1033.2645033846154</v>
          </cell>
          <cell r="AB323">
            <v>-917.95212946153856</v>
          </cell>
          <cell r="AC323">
            <v>-2144.0726966006314</v>
          </cell>
          <cell r="AD323">
            <v>-3778.5967344889741</v>
          </cell>
          <cell r="AE323">
            <v>-6972.6254821746197</v>
          </cell>
          <cell r="AF323">
            <v>-8472.1292012150861</v>
          </cell>
          <cell r="AG323">
            <v>-11390.855913799691</v>
          </cell>
          <cell r="AH323">
            <v>-12798.467862021422</v>
          </cell>
          <cell r="AI323">
            <v>-12578.558575118399</v>
          </cell>
          <cell r="AJ323">
            <v>-12006.901072980005</v>
          </cell>
          <cell r="AK323">
            <v>-13101.27</v>
          </cell>
        </row>
        <row r="324">
          <cell r="A324" t="str">
            <v>-  -  anden stenkul</v>
          </cell>
          <cell r="B324" t="str">
            <v>pev</v>
          </cell>
          <cell r="C324" t="str">
            <v>elr</v>
          </cell>
          <cell r="D324" t="str">
            <v>ska</v>
          </cell>
          <cell r="E324" t="str">
            <v>a0a0</v>
          </cell>
          <cell r="F324" t="str">
            <v>a00</v>
          </cell>
          <cell r="G324">
            <v>-804.63692307692315</v>
          </cell>
          <cell r="H324">
            <v>0</v>
          </cell>
          <cell r="I324">
            <v>0</v>
          </cell>
          <cell r="J324">
            <v>-829.3938461538462</v>
          </cell>
          <cell r="K324">
            <v>-901.75692307692316</v>
          </cell>
          <cell r="L324">
            <v>-1316.4748124869054</v>
          </cell>
          <cell r="M324">
            <v>-1398.9364270173573</v>
          </cell>
          <cell r="N324">
            <v>-1317.3358954213606</v>
          </cell>
          <cell r="O324">
            <v>-1235.7353638253637</v>
          </cell>
          <cell r="P324">
            <v>-1388.6368885585587</v>
          </cell>
          <cell r="Q324">
            <v>-1383.5384132917534</v>
          </cell>
          <cell r="R324">
            <v>-1378.4399380249479</v>
          </cell>
          <cell r="S324">
            <v>-1488.0432383367981</v>
          </cell>
          <cell r="T324">
            <v>-1597.6465386486486</v>
          </cell>
          <cell r="U324">
            <v>-1541.400192224532</v>
          </cell>
          <cell r="V324">
            <v>-1485.1538458004156</v>
          </cell>
          <cell r="W324">
            <v>-1428.9074993762993</v>
          </cell>
          <cell r="X324">
            <v>-1511.1549158627859</v>
          </cell>
          <cell r="Y324">
            <v>-1593.4023323492725</v>
          </cell>
          <cell r="Z324">
            <v>-1429.9328930630631</v>
          </cell>
          <cell r="AA324">
            <v>-804.09083839223842</v>
          </cell>
          <cell r="AB324">
            <v>-693.60593756756771</v>
          </cell>
          <cell r="AC324">
            <v>-568.41029611979593</v>
          </cell>
          <cell r="AD324">
            <v>-659.40199424749198</v>
          </cell>
          <cell r="AE324">
            <v>-676.80358410906899</v>
          </cell>
          <cell r="AF324">
            <v>-748.89285415990662</v>
          </cell>
          <cell r="AG324">
            <v>-426.19087918014691</v>
          </cell>
          <cell r="AH324">
            <v>-287.61860311777502</v>
          </cell>
          <cell r="AI324">
            <v>-466.00228303374064</v>
          </cell>
          <cell r="AJ324">
            <v>-472.32</v>
          </cell>
          <cell r="AK324">
            <v>-145.07</v>
          </cell>
        </row>
        <row r="325">
          <cell r="A325" t="str">
            <v>-  -  halm</v>
          </cell>
          <cell r="B325" t="str">
            <v>pev</v>
          </cell>
          <cell r="C325" t="str">
            <v>elr</v>
          </cell>
          <cell r="D325" t="str">
            <v>hal</v>
          </cell>
          <cell r="E325" t="str">
            <v>a0a0</v>
          </cell>
          <cell r="F325" t="str">
            <v>a00</v>
          </cell>
          <cell r="G325">
            <v>0</v>
          </cell>
          <cell r="H325">
            <v>0</v>
          </cell>
          <cell r="I325">
            <v>0</v>
          </cell>
          <cell r="J325">
            <v>0</v>
          </cell>
          <cell r="K325">
            <v>0</v>
          </cell>
          <cell r="L325">
            <v>0</v>
          </cell>
          <cell r="M325">
            <v>0</v>
          </cell>
          <cell r="N325">
            <v>0</v>
          </cell>
          <cell r="O325">
            <v>0</v>
          </cell>
          <cell r="P325">
            <v>0</v>
          </cell>
          <cell r="Q325">
            <v>0</v>
          </cell>
          <cell r="R325">
            <v>0</v>
          </cell>
          <cell r="S325">
            <v>0</v>
          </cell>
          <cell r="T325">
            <v>0</v>
          </cell>
          <cell r="U325">
            <v>0</v>
          </cell>
          <cell r="V325">
            <v>0</v>
          </cell>
          <cell r="W325">
            <v>0</v>
          </cell>
          <cell r="X325">
            <v>0</v>
          </cell>
          <cell r="Y325">
            <v>0</v>
          </cell>
          <cell r="Z325">
            <v>0</v>
          </cell>
          <cell r="AA325">
            <v>0</v>
          </cell>
          <cell r="AB325">
            <v>0</v>
          </cell>
          <cell r="AC325">
            <v>0</v>
          </cell>
          <cell r="AD325">
            <v>0</v>
          </cell>
          <cell r="AE325">
            <v>0</v>
          </cell>
          <cell r="AF325">
            <v>0</v>
          </cell>
          <cell r="AG325">
            <v>0</v>
          </cell>
          <cell r="AH325">
            <v>-0.44593921774721601</v>
          </cell>
          <cell r="AI325">
            <v>-0.23</v>
          </cell>
          <cell r="AJ325">
            <v>-0.09</v>
          </cell>
          <cell r="AK325">
            <v>0</v>
          </cell>
        </row>
        <row r="326">
          <cell r="A326" t="str">
            <v>-  -  skovflis</v>
          </cell>
          <cell r="B326" t="str">
            <v>pev</v>
          </cell>
          <cell r="C326" t="str">
            <v>elr</v>
          </cell>
          <cell r="D326" t="str">
            <v>fli</v>
          </cell>
          <cell r="E326" t="str">
            <v>a0a0</v>
          </cell>
          <cell r="F326" t="str">
            <v>a00</v>
          </cell>
          <cell r="G326">
            <v>0</v>
          </cell>
          <cell r="H326">
            <v>0</v>
          </cell>
          <cell r="I326">
            <v>0</v>
          </cell>
          <cell r="J326">
            <v>0</v>
          </cell>
          <cell r="K326">
            <v>0</v>
          </cell>
          <cell r="L326">
            <v>0</v>
          </cell>
          <cell r="M326">
            <v>0</v>
          </cell>
          <cell r="N326">
            <v>0</v>
          </cell>
          <cell r="O326">
            <v>0</v>
          </cell>
          <cell r="P326">
            <v>0</v>
          </cell>
          <cell r="Q326">
            <v>0</v>
          </cell>
          <cell r="R326">
            <v>0</v>
          </cell>
          <cell r="S326">
            <v>0</v>
          </cell>
          <cell r="T326">
            <v>0</v>
          </cell>
          <cell r="U326">
            <v>0</v>
          </cell>
          <cell r="V326">
            <v>0</v>
          </cell>
          <cell r="W326">
            <v>0</v>
          </cell>
          <cell r="X326">
            <v>0</v>
          </cell>
          <cell r="Y326">
            <v>0</v>
          </cell>
          <cell r="Z326">
            <v>0</v>
          </cell>
          <cell r="AA326">
            <v>0</v>
          </cell>
          <cell r="AB326">
            <v>0</v>
          </cell>
          <cell r="AC326">
            <v>0</v>
          </cell>
          <cell r="AD326">
            <v>-3.555297668769982</v>
          </cell>
          <cell r="AE326">
            <v>-6.7691707319139329</v>
          </cell>
          <cell r="AF326">
            <v>0</v>
          </cell>
          <cell r="AG326">
            <v>0</v>
          </cell>
          <cell r="AH326">
            <v>0</v>
          </cell>
          <cell r="AI326">
            <v>0</v>
          </cell>
          <cell r="AJ326">
            <v>0</v>
          </cell>
          <cell r="AK326">
            <v>0</v>
          </cell>
        </row>
        <row r="327">
          <cell r="A327" t="str">
            <v>-  -  træpiller</v>
          </cell>
          <cell r="B327" t="str">
            <v>pev</v>
          </cell>
          <cell r="C327" t="str">
            <v>elr</v>
          </cell>
          <cell r="D327" t="str">
            <v>tpi</v>
          </cell>
          <cell r="E327" t="str">
            <v>a0a0</v>
          </cell>
          <cell r="F327" t="str">
            <v>a00</v>
          </cell>
          <cell r="G327">
            <v>0</v>
          </cell>
          <cell r="H327">
            <v>0</v>
          </cell>
          <cell r="I327">
            <v>0</v>
          </cell>
          <cell r="J327">
            <v>0</v>
          </cell>
          <cell r="K327">
            <v>0</v>
          </cell>
          <cell r="L327">
            <v>0</v>
          </cell>
          <cell r="M327">
            <v>0</v>
          </cell>
          <cell r="N327">
            <v>0</v>
          </cell>
          <cell r="O327">
            <v>0</v>
          </cell>
          <cell r="P327">
            <v>0</v>
          </cell>
          <cell r="Q327">
            <v>0</v>
          </cell>
          <cell r="R327">
            <v>0</v>
          </cell>
          <cell r="S327">
            <v>0</v>
          </cell>
          <cell r="T327">
            <v>0</v>
          </cell>
          <cell r="U327">
            <v>0</v>
          </cell>
          <cell r="V327">
            <v>0</v>
          </cell>
          <cell r="W327">
            <v>0</v>
          </cell>
          <cell r="X327">
            <v>0</v>
          </cell>
          <cell r="Y327">
            <v>0</v>
          </cell>
          <cell r="Z327">
            <v>0</v>
          </cell>
          <cell r="AA327">
            <v>0</v>
          </cell>
          <cell r="AB327">
            <v>0</v>
          </cell>
          <cell r="AC327">
            <v>0</v>
          </cell>
          <cell r="AD327">
            <v>0</v>
          </cell>
          <cell r="AE327">
            <v>0</v>
          </cell>
          <cell r="AF327">
            <v>0</v>
          </cell>
          <cell r="AG327">
            <v>0</v>
          </cell>
          <cell r="AH327">
            <v>0</v>
          </cell>
          <cell r="AI327">
            <v>0</v>
          </cell>
          <cell r="AJ327">
            <v>-7.0000000000000007E-2</v>
          </cell>
          <cell r="AK327">
            <v>0</v>
          </cell>
        </row>
        <row r="328">
          <cell r="A328" t="str">
            <v>-  -  træaffald</v>
          </cell>
          <cell r="B328" t="str">
            <v>pev</v>
          </cell>
          <cell r="C328" t="str">
            <v>elr</v>
          </cell>
          <cell r="D328" t="str">
            <v>taf</v>
          </cell>
          <cell r="E328" t="str">
            <v>a0a0</v>
          </cell>
          <cell r="F328" t="str">
            <v>a00</v>
          </cell>
          <cell r="G328">
            <v>-79.095789473684206</v>
          </cell>
          <cell r="H328">
            <v>0</v>
          </cell>
          <cell r="I328">
            <v>0</v>
          </cell>
          <cell r="J328">
            <v>-32.864210526315787</v>
          </cell>
          <cell r="K328">
            <v>-43.89473684210526</v>
          </cell>
          <cell r="L328">
            <v>-54.925263157894726</v>
          </cell>
          <cell r="M328">
            <v>-65.955789473684206</v>
          </cell>
          <cell r="N328">
            <v>-78.111947368421042</v>
          </cell>
          <cell r="O328">
            <v>-90.268105263157892</v>
          </cell>
          <cell r="P328">
            <v>-146.91226105263155</v>
          </cell>
          <cell r="Q328">
            <v>-203.55641684210528</v>
          </cell>
          <cell r="R328">
            <v>-260.20057263157895</v>
          </cell>
          <cell r="S328">
            <v>-238.92070736842103</v>
          </cell>
          <cell r="T328">
            <v>-217.64084210526315</v>
          </cell>
          <cell r="U328">
            <v>-336.24647368421051</v>
          </cell>
          <cell r="V328">
            <v>-454.85210526315785</v>
          </cell>
          <cell r="W328">
            <v>-573.45773684210519</v>
          </cell>
          <cell r="X328">
            <v>-659.21221894736846</v>
          </cell>
          <cell r="Y328">
            <v>-744.96670105263161</v>
          </cell>
          <cell r="Z328">
            <v>-736.14707052631582</v>
          </cell>
          <cell r="AA328">
            <v>-727.32744000000002</v>
          </cell>
          <cell r="AB328">
            <v>-718.50780947368423</v>
          </cell>
          <cell r="AC328">
            <v>-722.71000044212349</v>
          </cell>
          <cell r="AD328">
            <v>-675.0174545715488</v>
          </cell>
          <cell r="AE328">
            <v>-738.87048463138967</v>
          </cell>
          <cell r="AF328">
            <v>-732.70647774016447</v>
          </cell>
          <cell r="AG328">
            <v>-679.64369192225774</v>
          </cell>
          <cell r="AH328">
            <v>-1599.0239708073375</v>
          </cell>
          <cell r="AI328">
            <v>-1743.0509721533306</v>
          </cell>
          <cell r="AJ328">
            <v>-1585.28</v>
          </cell>
          <cell r="AK328">
            <v>-155.55000000000001</v>
          </cell>
        </row>
        <row r="329">
          <cell r="A329" t="str">
            <v>-  -  biogas, deponi</v>
          </cell>
          <cell r="B329" t="str">
            <v>pev</v>
          </cell>
          <cell r="C329" t="str">
            <v>elr</v>
          </cell>
          <cell r="D329" t="str">
            <v>bid</v>
          </cell>
          <cell r="E329" t="str">
            <v>a0a0</v>
          </cell>
          <cell r="F329" t="str">
            <v>a00</v>
          </cell>
          <cell r="G329">
            <v>0</v>
          </cell>
          <cell r="H329">
            <v>0</v>
          </cell>
          <cell r="I329">
            <v>0</v>
          </cell>
          <cell r="J329">
            <v>0</v>
          </cell>
          <cell r="K329">
            <v>0</v>
          </cell>
          <cell r="L329">
            <v>0</v>
          </cell>
          <cell r="M329">
            <v>0</v>
          </cell>
          <cell r="N329">
            <v>0</v>
          </cell>
          <cell r="O329">
            <v>0</v>
          </cell>
          <cell r="P329">
            <v>0</v>
          </cell>
          <cell r="Q329">
            <v>0</v>
          </cell>
          <cell r="R329">
            <v>0</v>
          </cell>
          <cell r="S329">
            <v>0</v>
          </cell>
          <cell r="T329">
            <v>0</v>
          </cell>
          <cell r="U329">
            <v>0</v>
          </cell>
          <cell r="V329">
            <v>0</v>
          </cell>
          <cell r="W329">
            <v>-8.8333320377834692</v>
          </cell>
          <cell r="X329">
            <v>-11.154638910700125</v>
          </cell>
          <cell r="Y329">
            <v>-26.538206996012175</v>
          </cell>
          <cell r="Z329">
            <v>-36.347080182868602</v>
          </cell>
          <cell r="AA329">
            <v>-73.888313016200911</v>
          </cell>
          <cell r="AB329">
            <v>-90.741740582708786</v>
          </cell>
          <cell r="AC329">
            <v>-87.465139999999991</v>
          </cell>
          <cell r="AD329">
            <v>-133.03015199999999</v>
          </cell>
          <cell r="AE329">
            <v>-104.174114</v>
          </cell>
          <cell r="AF329">
            <v>-276.364426786173</v>
          </cell>
          <cell r="AG329">
            <v>-375.38448780002585</v>
          </cell>
          <cell r="AH329">
            <v>-313.53096635322458</v>
          </cell>
          <cell r="AI329">
            <v>-295.72000000000003</v>
          </cell>
          <cell r="AJ329">
            <v>-242.21</v>
          </cell>
          <cell r="AK329">
            <v>-374.67</v>
          </cell>
        </row>
        <row r="330">
          <cell r="A330" t="str">
            <v>-  -  biogas, slam</v>
          </cell>
          <cell r="B330" t="str">
            <v>pev</v>
          </cell>
          <cell r="C330" t="str">
            <v>elr</v>
          </cell>
          <cell r="D330" t="str">
            <v>bis</v>
          </cell>
          <cell r="E330" t="str">
            <v>a0a0</v>
          </cell>
          <cell r="F330" t="str">
            <v>a00</v>
          </cell>
          <cell r="G330">
            <v>0</v>
          </cell>
          <cell r="H330">
            <v>0</v>
          </cell>
          <cell r="I330">
            <v>0</v>
          </cell>
          <cell r="J330">
            <v>0</v>
          </cell>
          <cell r="K330">
            <v>0</v>
          </cell>
          <cell r="L330">
            <v>0</v>
          </cell>
          <cell r="M330">
            <v>0</v>
          </cell>
          <cell r="N330">
            <v>0</v>
          </cell>
          <cell r="O330">
            <v>0</v>
          </cell>
          <cell r="P330">
            <v>0</v>
          </cell>
          <cell r="Q330">
            <v>0</v>
          </cell>
          <cell r="R330">
            <v>0</v>
          </cell>
          <cell r="S330">
            <v>0</v>
          </cell>
          <cell r="T330">
            <v>0</v>
          </cell>
          <cell r="U330">
            <v>0</v>
          </cell>
          <cell r="V330">
            <v>0</v>
          </cell>
          <cell r="W330">
            <v>0</v>
          </cell>
          <cell r="X330">
            <v>-234.48275862068968</v>
          </cell>
          <cell r="Y330">
            <v>-234.48275862068968</v>
          </cell>
          <cell r="Z330">
            <v>-234.48275862068968</v>
          </cell>
          <cell r="AA330">
            <v>-275.86206896551727</v>
          </cell>
          <cell r="AB330">
            <v>-275.86206896551727</v>
          </cell>
          <cell r="AC330">
            <v>-319.73701540299697</v>
          </cell>
          <cell r="AD330">
            <v>-407.87868393399543</v>
          </cell>
          <cell r="AE330">
            <v>-374.14196087136895</v>
          </cell>
          <cell r="AF330">
            <v>-399.24124229026279</v>
          </cell>
          <cell r="AG330">
            <v>-422.71471329343802</v>
          </cell>
          <cell r="AH330">
            <v>-409.90898828401799</v>
          </cell>
          <cell r="AI330">
            <v>-461.3</v>
          </cell>
          <cell r="AJ330">
            <v>-449.77</v>
          </cell>
          <cell r="AK330">
            <v>-450.8</v>
          </cell>
        </row>
        <row r="331">
          <cell r="A331" t="str">
            <v>-  -  biogas, andet</v>
          </cell>
          <cell r="B331" t="str">
            <v>pev</v>
          </cell>
          <cell r="C331" t="str">
            <v>elr</v>
          </cell>
          <cell r="D331" t="str">
            <v>bia</v>
          </cell>
          <cell r="E331" t="str">
            <v>a0a0</v>
          </cell>
          <cell r="F331" t="str">
            <v>a00</v>
          </cell>
          <cell r="G331">
            <v>0</v>
          </cell>
          <cell r="H331">
            <v>0</v>
          </cell>
          <cell r="I331">
            <v>0</v>
          </cell>
          <cell r="J331">
            <v>0</v>
          </cell>
          <cell r="K331">
            <v>0</v>
          </cell>
          <cell r="L331">
            <v>0</v>
          </cell>
          <cell r="M331">
            <v>0</v>
          </cell>
          <cell r="N331">
            <v>0</v>
          </cell>
          <cell r="O331">
            <v>0</v>
          </cell>
          <cell r="P331">
            <v>0</v>
          </cell>
          <cell r="Q331">
            <v>0</v>
          </cell>
          <cell r="R331">
            <v>0</v>
          </cell>
          <cell r="S331">
            <v>0</v>
          </cell>
          <cell r="T331">
            <v>0</v>
          </cell>
          <cell r="U331">
            <v>0</v>
          </cell>
          <cell r="V331">
            <v>0</v>
          </cell>
          <cell r="W331">
            <v>0</v>
          </cell>
          <cell r="X331">
            <v>0</v>
          </cell>
          <cell r="Y331">
            <v>0</v>
          </cell>
          <cell r="Z331">
            <v>0</v>
          </cell>
          <cell r="AA331">
            <v>0</v>
          </cell>
          <cell r="AB331">
            <v>0</v>
          </cell>
          <cell r="AC331">
            <v>-17.530519381489601</v>
          </cell>
          <cell r="AD331">
            <v>-28.568465092541345</v>
          </cell>
          <cell r="AE331">
            <v>-86.193440835613487</v>
          </cell>
          <cell r="AF331">
            <v>-79.397040106196059</v>
          </cell>
          <cell r="AG331">
            <v>-70.502518280905761</v>
          </cell>
          <cell r="AH331">
            <v>-52.322631597845358</v>
          </cell>
          <cell r="AI331">
            <v>-98.29</v>
          </cell>
          <cell r="AJ331">
            <v>-158.8809402</v>
          </cell>
          <cell r="AK331">
            <v>-268.51</v>
          </cell>
        </row>
        <row r="333">
          <cell r="A333" t="str">
            <v>-  -  affald, plastik</v>
          </cell>
          <cell r="B333" t="str">
            <v>pev</v>
          </cell>
          <cell r="C333" t="str">
            <v>elr</v>
          </cell>
          <cell r="D333" t="str">
            <v>afp</v>
          </cell>
          <cell r="E333" t="str">
            <v>a0a0</v>
          </cell>
          <cell r="F333" t="str">
            <v>a00</v>
          </cell>
          <cell r="G333">
            <v>0</v>
          </cell>
          <cell r="H333">
            <v>0</v>
          </cell>
          <cell r="I333">
            <v>0</v>
          </cell>
          <cell r="J333">
            <v>0</v>
          </cell>
          <cell r="K333">
            <v>0</v>
          </cell>
          <cell r="L333">
            <v>0</v>
          </cell>
          <cell r="M333">
            <v>0</v>
          </cell>
          <cell r="N333">
            <v>0</v>
          </cell>
          <cell r="O333">
            <v>0</v>
          </cell>
          <cell r="P333">
            <v>0</v>
          </cell>
          <cell r="Q333">
            <v>0</v>
          </cell>
          <cell r="R333">
            <v>0</v>
          </cell>
          <cell r="S333">
            <v>0</v>
          </cell>
          <cell r="T333">
            <v>0</v>
          </cell>
          <cell r="U333">
            <v>0</v>
          </cell>
          <cell r="V333">
            <v>0</v>
          </cell>
          <cell r="W333">
            <v>-47.328673232750958</v>
          </cell>
          <cell r="X333">
            <v>-59.766151411005801</v>
          </cell>
          <cell r="Y333">
            <v>-142.19075222406511</v>
          </cell>
          <cell r="Z333">
            <v>-194.74633961243541</v>
          </cell>
          <cell r="AA333">
            <v>-360.70060314398859</v>
          </cell>
          <cell r="AB333">
            <v>-424.1240294458849</v>
          </cell>
          <cell r="AC333">
            <v>-494.09425556184772</v>
          </cell>
          <cell r="AD333">
            <v>-504.30414849999005</v>
          </cell>
          <cell r="AE333">
            <v>-600.34359287552957</v>
          </cell>
          <cell r="AF333">
            <v>-624.59962707354748</v>
          </cell>
          <cell r="AG333">
            <v>-722.42682116202604</v>
          </cell>
          <cell r="AH333">
            <v>-997.8944422185167</v>
          </cell>
          <cell r="AI333">
            <v>-1150.094749275831</v>
          </cell>
          <cell r="AJ333">
            <v>-1113.1754374316145</v>
          </cell>
          <cell r="AK333">
            <v>-1067.2888515594425</v>
          </cell>
        </row>
        <row r="336">
          <cell r="A336" t="str">
            <v>-  -  raffinaderigas</v>
          </cell>
          <cell r="B336" t="str">
            <v>pev</v>
          </cell>
          <cell r="C336" t="str">
            <v>fjr</v>
          </cell>
          <cell r="D336" t="str">
            <v>rga</v>
          </cell>
          <cell r="E336" t="str">
            <v>a0a0</v>
          </cell>
          <cell r="F336" t="str">
            <v>a00</v>
          </cell>
          <cell r="G336">
            <v>0</v>
          </cell>
          <cell r="H336">
            <v>0</v>
          </cell>
          <cell r="I336">
            <v>0</v>
          </cell>
          <cell r="J336">
            <v>0</v>
          </cell>
          <cell r="K336">
            <v>0</v>
          </cell>
          <cell r="L336">
            <v>0</v>
          </cell>
          <cell r="M336">
            <v>0</v>
          </cell>
          <cell r="N336">
            <v>0</v>
          </cell>
          <cell r="O336">
            <v>0</v>
          </cell>
          <cell r="P336">
            <v>0</v>
          </cell>
          <cell r="Q336">
            <v>0</v>
          </cell>
          <cell r="R336">
            <v>0</v>
          </cell>
          <cell r="S336">
            <v>0</v>
          </cell>
          <cell r="T336">
            <v>0</v>
          </cell>
          <cell r="U336">
            <v>0</v>
          </cell>
          <cell r="V336">
            <v>0</v>
          </cell>
          <cell r="W336">
            <v>0</v>
          </cell>
          <cell r="X336">
            <v>0</v>
          </cell>
          <cell r="Y336">
            <v>0</v>
          </cell>
          <cell r="Z336">
            <v>0</v>
          </cell>
          <cell r="AA336">
            <v>0</v>
          </cell>
          <cell r="AB336">
            <v>0</v>
          </cell>
          <cell r="AC336">
            <v>-102</v>
          </cell>
          <cell r="AD336">
            <v>-114.5</v>
          </cell>
          <cell r="AE336">
            <v>-126.5</v>
          </cell>
          <cell r="AF336">
            <v>-105.5</v>
          </cell>
          <cell r="AG336">
            <v>-123</v>
          </cell>
          <cell r="AH336">
            <v>-128.5</v>
          </cell>
          <cell r="AI336">
            <v>-121</v>
          </cell>
          <cell r="AJ336">
            <v>-120.91</v>
          </cell>
          <cell r="AK336">
            <v>-126.93</v>
          </cell>
        </row>
        <row r="337">
          <cell r="A337" t="str">
            <v>-  -  gas/dieselolie</v>
          </cell>
          <cell r="B337" t="str">
            <v>pev</v>
          </cell>
          <cell r="C337" t="str">
            <v>fjr</v>
          </cell>
          <cell r="D337" t="str">
            <v>gdt</v>
          </cell>
          <cell r="E337" t="str">
            <v>a0a0</v>
          </cell>
          <cell r="F337" t="str">
            <v>a00</v>
          </cell>
          <cell r="G337">
            <v>0</v>
          </cell>
          <cell r="H337">
            <v>0</v>
          </cell>
          <cell r="I337">
            <v>0</v>
          </cell>
          <cell r="J337">
            <v>0</v>
          </cell>
          <cell r="K337">
            <v>0</v>
          </cell>
          <cell r="L337">
            <v>0</v>
          </cell>
          <cell r="M337">
            <v>0</v>
          </cell>
          <cell r="N337">
            <v>0</v>
          </cell>
          <cell r="O337">
            <v>0</v>
          </cell>
          <cell r="P337">
            <v>0</v>
          </cell>
          <cell r="Q337">
            <v>0</v>
          </cell>
          <cell r="R337">
            <v>0</v>
          </cell>
          <cell r="S337">
            <v>0</v>
          </cell>
          <cell r="T337">
            <v>0</v>
          </cell>
          <cell r="U337">
            <v>0</v>
          </cell>
          <cell r="V337">
            <v>0</v>
          </cell>
          <cell r="W337">
            <v>0</v>
          </cell>
          <cell r="X337">
            <v>0</v>
          </cell>
          <cell r="Y337">
            <v>0</v>
          </cell>
          <cell r="Z337">
            <v>0</v>
          </cell>
          <cell r="AA337">
            <v>0</v>
          </cell>
          <cell r="AB337">
            <v>0</v>
          </cell>
          <cell r="AC337">
            <v>0</v>
          </cell>
          <cell r="AD337">
            <v>-0.26251420041679835</v>
          </cell>
          <cell r="AE337">
            <v>-15.788207816397932</v>
          </cell>
          <cell r="AF337">
            <v>-12.043533189864554</v>
          </cell>
          <cell r="AG337">
            <v>0</v>
          </cell>
          <cell r="AH337">
            <v>-23.341805865233798</v>
          </cell>
          <cell r="AI337">
            <v>-19.931332007877799</v>
          </cell>
          <cell r="AJ337">
            <v>-15.92</v>
          </cell>
          <cell r="AK337">
            <v>-20.91</v>
          </cell>
        </row>
        <row r="338">
          <cell r="A338" t="str">
            <v>-  -  fuelolie</v>
          </cell>
          <cell r="B338" t="str">
            <v>pev</v>
          </cell>
          <cell r="C338" t="str">
            <v>fjr</v>
          </cell>
          <cell r="D338" t="str">
            <v>fut</v>
          </cell>
          <cell r="E338" t="str">
            <v>a0a0</v>
          </cell>
          <cell r="F338" t="str">
            <v>a00</v>
          </cell>
          <cell r="G338">
            <v>-9.52</v>
          </cell>
          <cell r="H338">
            <v>0</v>
          </cell>
          <cell r="I338">
            <v>0</v>
          </cell>
          <cell r="J338">
            <v>-28.12</v>
          </cell>
          <cell r="K338">
            <v>-37.200000000000003</v>
          </cell>
          <cell r="L338">
            <v>-34.71</v>
          </cell>
          <cell r="M338">
            <v>-41.85</v>
          </cell>
          <cell r="N338">
            <v>-41.85</v>
          </cell>
          <cell r="O338">
            <v>-48.66</v>
          </cell>
          <cell r="P338">
            <v>-56.25</v>
          </cell>
          <cell r="Q338">
            <v>-63.75</v>
          </cell>
          <cell r="R338">
            <v>-75</v>
          </cell>
          <cell r="S338">
            <v>-81.25</v>
          </cell>
          <cell r="T338">
            <v>-87.5</v>
          </cell>
          <cell r="U338">
            <v>-43.75</v>
          </cell>
          <cell r="V338">
            <v>-50</v>
          </cell>
          <cell r="W338">
            <v>-56.25</v>
          </cell>
          <cell r="X338">
            <v>-63.17651944552329</v>
          </cell>
          <cell r="Y338">
            <v>-52.453931363440354</v>
          </cell>
          <cell r="Z338">
            <v>-98.020715390610505</v>
          </cell>
          <cell r="AA338">
            <v>-115.06129384560001</v>
          </cell>
          <cell r="AB338">
            <v>-135.96442495486372</v>
          </cell>
          <cell r="AC338">
            <v>-168.1477508113868</v>
          </cell>
          <cell r="AD338">
            <v>-166.23648554804225</v>
          </cell>
          <cell r="AE338">
            <v>-162.47011151348636</v>
          </cell>
          <cell r="AF338">
            <v>-237.3268376480039</v>
          </cell>
          <cell r="AG338">
            <v>-243.68267889041957</v>
          </cell>
          <cell r="AH338">
            <v>-77.667321041373697</v>
          </cell>
          <cell r="AI338">
            <v>-83.324358061630605</v>
          </cell>
          <cell r="AJ338">
            <v>-49.56</v>
          </cell>
          <cell r="AK338">
            <v>-68.06</v>
          </cell>
        </row>
        <row r="339">
          <cell r="A339" t="str">
            <v>-  -  spildolie</v>
          </cell>
          <cell r="B339" t="str">
            <v>pev</v>
          </cell>
          <cell r="C339" t="str">
            <v>fjr</v>
          </cell>
          <cell r="D339" t="str">
            <v>spo</v>
          </cell>
          <cell r="E339" t="str">
            <v>a0a0</v>
          </cell>
          <cell r="F339" t="str">
            <v>a00</v>
          </cell>
          <cell r="G339">
            <v>0</v>
          </cell>
          <cell r="H339">
            <v>0</v>
          </cell>
          <cell r="I339">
            <v>0</v>
          </cell>
          <cell r="J339">
            <v>0</v>
          </cell>
          <cell r="K339">
            <v>0</v>
          </cell>
          <cell r="L339">
            <v>0</v>
          </cell>
          <cell r="M339">
            <v>0</v>
          </cell>
          <cell r="N339">
            <v>0</v>
          </cell>
          <cell r="O339">
            <v>0</v>
          </cell>
          <cell r="P339">
            <v>0</v>
          </cell>
          <cell r="Q339">
            <v>0</v>
          </cell>
          <cell r="R339">
            <v>0</v>
          </cell>
          <cell r="S339">
            <v>0</v>
          </cell>
          <cell r="T339">
            <v>0</v>
          </cell>
          <cell r="U339">
            <v>0</v>
          </cell>
          <cell r="V339">
            <v>0</v>
          </cell>
          <cell r="W339">
            <v>0</v>
          </cell>
          <cell r="X339">
            <v>0</v>
          </cell>
          <cell r="Y339">
            <v>0</v>
          </cell>
          <cell r="Z339">
            <v>0</v>
          </cell>
          <cell r="AA339">
            <v>0</v>
          </cell>
          <cell r="AB339">
            <v>0</v>
          </cell>
          <cell r="AC339">
            <v>-55.092355014280649</v>
          </cell>
          <cell r="AD339">
            <v>-69.945095880870724</v>
          </cell>
          <cell r="AE339">
            <v>0</v>
          </cell>
          <cell r="AF339">
            <v>0</v>
          </cell>
          <cell r="AG339">
            <v>0</v>
          </cell>
          <cell r="AH339">
            <v>0</v>
          </cell>
          <cell r="AI339">
            <v>0</v>
          </cell>
          <cell r="AJ339">
            <v>0</v>
          </cell>
          <cell r="AK339">
            <v>0</v>
          </cell>
        </row>
        <row r="340">
          <cell r="A340" t="str">
            <v>-  -  naturgas</v>
          </cell>
          <cell r="B340" t="str">
            <v>pev</v>
          </cell>
          <cell r="C340" t="str">
            <v>fjr</v>
          </cell>
          <cell r="D340" t="str">
            <v>nga</v>
          </cell>
          <cell r="E340" t="str">
            <v>a0a0</v>
          </cell>
          <cell r="F340" t="str">
            <v>a00</v>
          </cell>
          <cell r="G340">
            <v>0</v>
          </cell>
          <cell r="H340">
            <v>0</v>
          </cell>
          <cell r="I340">
            <v>0</v>
          </cell>
          <cell r="J340">
            <v>0</v>
          </cell>
          <cell r="K340">
            <v>0</v>
          </cell>
          <cell r="L340">
            <v>0</v>
          </cell>
          <cell r="M340">
            <v>0</v>
          </cell>
          <cell r="N340">
            <v>0</v>
          </cell>
          <cell r="O340">
            <v>0</v>
          </cell>
          <cell r="P340">
            <v>0</v>
          </cell>
          <cell r="Q340">
            <v>0</v>
          </cell>
          <cell r="R340">
            <v>0</v>
          </cell>
          <cell r="S340">
            <v>0</v>
          </cell>
          <cell r="T340">
            <v>0</v>
          </cell>
          <cell r="U340">
            <v>-50</v>
          </cell>
          <cell r="V340">
            <v>-50</v>
          </cell>
          <cell r="W340">
            <v>-62.5</v>
          </cell>
          <cell r="X340">
            <v>-62.5</v>
          </cell>
          <cell r="Y340">
            <v>-42</v>
          </cell>
          <cell r="Z340">
            <v>-44.330500000000001</v>
          </cell>
          <cell r="AA340">
            <v>-46.661000000000001</v>
          </cell>
          <cell r="AB340">
            <v>-48.991500000000002</v>
          </cell>
          <cell r="AC340">
            <v>-44.96619166810855</v>
          </cell>
          <cell r="AD340">
            <v>-21.112700174359421</v>
          </cell>
          <cell r="AE340">
            <v>-116.6825</v>
          </cell>
          <cell r="AF340">
            <v>-171.96939535177864</v>
          </cell>
          <cell r="AG340">
            <v>-151.51008917854844</v>
          </cell>
          <cell r="AH340">
            <v>-209.54142839992409</v>
          </cell>
          <cell r="AI340">
            <v>-200.14881722349122</v>
          </cell>
          <cell r="AJ340">
            <v>-153.41999999999999</v>
          </cell>
          <cell r="AK340">
            <v>-156.88</v>
          </cell>
        </row>
        <row r="341">
          <cell r="A341" t="str">
            <v>-  -  anden stenkul</v>
          </cell>
          <cell r="B341" t="str">
            <v>pev</v>
          </cell>
          <cell r="C341" t="str">
            <v>fjr</v>
          </cell>
          <cell r="D341" t="str">
            <v>ska</v>
          </cell>
          <cell r="E341" t="str">
            <v>a0a0</v>
          </cell>
          <cell r="F341" t="str">
            <v>a00</v>
          </cell>
          <cell r="G341">
            <v>0</v>
          </cell>
          <cell r="H341">
            <v>0</v>
          </cell>
          <cell r="I341">
            <v>0</v>
          </cell>
          <cell r="J341">
            <v>0</v>
          </cell>
          <cell r="K341">
            <v>0</v>
          </cell>
          <cell r="L341">
            <v>-11.57</v>
          </cell>
          <cell r="M341">
            <v>-13.95</v>
          </cell>
          <cell r="N341">
            <v>-13.95</v>
          </cell>
          <cell r="O341">
            <v>-16.22</v>
          </cell>
          <cell r="P341">
            <v>-18.75</v>
          </cell>
          <cell r="Q341">
            <v>-21.25</v>
          </cell>
          <cell r="R341">
            <v>-25</v>
          </cell>
          <cell r="S341">
            <v>-31.25</v>
          </cell>
          <cell r="T341">
            <v>-37.5</v>
          </cell>
          <cell r="U341">
            <v>-43.75</v>
          </cell>
          <cell r="V341">
            <v>-50</v>
          </cell>
          <cell r="W341">
            <v>-56.25</v>
          </cell>
          <cell r="X341">
            <v>-62.5</v>
          </cell>
          <cell r="Y341">
            <v>-36.785249999999998</v>
          </cell>
          <cell r="Z341">
            <v>-41.75</v>
          </cell>
          <cell r="AA341">
            <v>-54.938916666666664</v>
          </cell>
          <cell r="AB341">
            <v>-64.015749999999997</v>
          </cell>
          <cell r="AC341">
            <v>-237.21458771691172</v>
          </cell>
          <cell r="AD341">
            <v>-81.141026196669372</v>
          </cell>
          <cell r="AE341">
            <v>-172.59657162207682</v>
          </cell>
          <cell r="AF341">
            <v>-53.799141095962817</v>
          </cell>
          <cell r="AG341">
            <v>-523.54064892287499</v>
          </cell>
          <cell r="AH341">
            <v>0</v>
          </cell>
          <cell r="AI341">
            <v>0</v>
          </cell>
          <cell r="AJ341">
            <v>0</v>
          </cell>
          <cell r="AK341">
            <v>0</v>
          </cell>
        </row>
        <row r="348">
          <cell r="A348" t="str">
            <v>-  -  affald, andet</v>
          </cell>
          <cell r="B348" t="str">
            <v>pev</v>
          </cell>
          <cell r="C348" t="str">
            <v>fjr</v>
          </cell>
          <cell r="D348" t="str">
            <v>afa</v>
          </cell>
          <cell r="E348" t="str">
            <v>a0a0</v>
          </cell>
          <cell r="F348" t="str">
            <v>a00</v>
          </cell>
          <cell r="G348">
            <v>0</v>
          </cell>
          <cell r="H348">
            <v>0</v>
          </cell>
          <cell r="I348">
            <v>0</v>
          </cell>
          <cell r="J348">
            <v>0</v>
          </cell>
          <cell r="K348">
            <v>0</v>
          </cell>
          <cell r="L348">
            <v>0</v>
          </cell>
          <cell r="M348">
            <v>0</v>
          </cell>
          <cell r="N348">
            <v>0</v>
          </cell>
          <cell r="O348">
            <v>0</v>
          </cell>
          <cell r="P348">
            <v>0</v>
          </cell>
          <cell r="Q348">
            <v>0</v>
          </cell>
          <cell r="R348">
            <v>0</v>
          </cell>
          <cell r="S348">
            <v>0</v>
          </cell>
          <cell r="T348">
            <v>0</v>
          </cell>
          <cell r="U348">
            <v>0</v>
          </cell>
          <cell r="V348">
            <v>0</v>
          </cell>
          <cell r="W348">
            <v>0</v>
          </cell>
          <cell r="X348">
            <v>-13.321615875907447</v>
          </cell>
          <cell r="Y348">
            <v>-308.53829226488523</v>
          </cell>
          <cell r="Z348">
            <v>-1108.0492371012308</v>
          </cell>
          <cell r="AA348">
            <v>-1517.7635880807475</v>
          </cell>
          <cell r="AB348">
            <v>-1930.5002073906542</v>
          </cell>
          <cell r="AC348">
            <v>-1943.6671613693186</v>
          </cell>
          <cell r="AD348">
            <v>-2427.7663267177295</v>
          </cell>
          <cell r="AE348">
            <v>-3158.4857640009982</v>
          </cell>
          <cell r="AF348">
            <v>-2810.1939133048668</v>
          </cell>
          <cell r="AG348">
            <v>-3348.1603893133579</v>
          </cell>
          <cell r="AH348">
            <v>-4229.69459838892</v>
          </cell>
          <cell r="AI348">
            <v>-5099.7827759598285</v>
          </cell>
          <cell r="AJ348">
            <v>-5177.0163734462831</v>
          </cell>
          <cell r="AK348">
            <v>-5622.1285802516595</v>
          </cell>
        </row>
        <row r="350">
          <cell r="A350" t="str">
            <v>-  -  el</v>
          </cell>
          <cell r="B350" t="str">
            <v>pev</v>
          </cell>
          <cell r="C350" t="str">
            <v>brt</v>
          </cell>
          <cell r="D350" t="str">
            <v>elc</v>
          </cell>
          <cell r="E350" t="str">
            <v>a0a0</v>
          </cell>
          <cell r="F350" t="str">
            <v>a00</v>
          </cell>
          <cell r="G350">
            <v>1201.2454604651164</v>
          </cell>
          <cell r="H350">
            <v>0</v>
          </cell>
          <cell r="I350">
            <v>0</v>
          </cell>
          <cell r="J350">
            <v>1202.9112</v>
          </cell>
          <cell r="K350">
            <v>1240.8492000000001</v>
          </cell>
          <cell r="L350">
            <v>1278.7872</v>
          </cell>
          <cell r="M350">
            <v>1316.7252000000001</v>
          </cell>
          <cell r="N350">
            <v>1218.138786</v>
          </cell>
          <cell r="O350">
            <v>1119.5523720000001</v>
          </cell>
          <cell r="P350">
            <v>1146.9739139999999</v>
          </cell>
          <cell r="Q350">
            <v>1174.395456</v>
          </cell>
          <cell r="R350">
            <v>1201.816998</v>
          </cell>
          <cell r="S350">
            <v>1239.0221232000001</v>
          </cell>
          <cell r="T350">
            <v>1276.2272484</v>
          </cell>
          <cell r="U350">
            <v>1323.4794767999997</v>
          </cell>
          <cell r="V350">
            <v>1375.4124251999997</v>
          </cell>
          <cell r="W350">
            <v>1650.7250136000002</v>
          </cell>
          <cell r="X350">
            <v>1851.9920924012308</v>
          </cell>
          <cell r="Y350">
            <v>2099.0859995131832</v>
          </cell>
          <cell r="Z350">
            <v>2260.3194032722367</v>
          </cell>
          <cell r="AA350">
            <v>2675.217438353704</v>
          </cell>
          <cell r="AB350">
            <v>2897.8383208088044</v>
          </cell>
          <cell r="AC350">
            <v>3524.5426234082192</v>
          </cell>
          <cell r="AD350">
            <v>4418.9427757808226</v>
          </cell>
          <cell r="AE350">
            <v>6116.6973839999982</v>
          </cell>
          <cell r="AF350">
            <v>6891.4906490958892</v>
          </cell>
          <cell r="AG350">
            <v>7994.8289231999952</v>
          </cell>
          <cell r="AH350">
            <v>9699.4598867999994</v>
          </cell>
          <cell r="AI350">
            <v>10160.496550800002</v>
          </cell>
          <cell r="AJ350">
            <v>9535.5</v>
          </cell>
          <cell r="AK350">
            <v>9559.6</v>
          </cell>
        </row>
        <row r="352">
          <cell r="A352" t="str">
            <v>Private fjernvarmeproducenter</v>
          </cell>
        </row>
        <row r="356">
          <cell r="A356" t="str">
            <v>-  -  spildolie</v>
          </cell>
          <cell r="B356" t="str">
            <v>pvp</v>
          </cell>
          <cell r="C356" t="str">
            <v>fjr</v>
          </cell>
          <cell r="D356" t="str">
            <v>spo</v>
          </cell>
          <cell r="E356" t="str">
            <v>a0a0</v>
          </cell>
          <cell r="F356" t="str">
            <v>a00</v>
          </cell>
          <cell r="G356">
            <v>0</v>
          </cell>
          <cell r="H356">
            <v>0</v>
          </cell>
          <cell r="I356">
            <v>0</v>
          </cell>
          <cell r="J356">
            <v>0</v>
          </cell>
          <cell r="K356">
            <v>0</v>
          </cell>
          <cell r="L356">
            <v>0</v>
          </cell>
          <cell r="M356">
            <v>0</v>
          </cell>
          <cell r="N356">
            <v>0</v>
          </cell>
          <cell r="O356">
            <v>0</v>
          </cell>
          <cell r="P356">
            <v>0</v>
          </cell>
          <cell r="Q356">
            <v>0</v>
          </cell>
          <cell r="R356">
            <v>0</v>
          </cell>
          <cell r="S356">
            <v>0</v>
          </cell>
          <cell r="T356">
            <v>0</v>
          </cell>
          <cell r="U356">
            <v>0</v>
          </cell>
          <cell r="V356">
            <v>0</v>
          </cell>
          <cell r="W356">
            <v>0</v>
          </cell>
          <cell r="X356">
            <v>0</v>
          </cell>
          <cell r="Y356">
            <v>0</v>
          </cell>
          <cell r="Z356">
            <v>0</v>
          </cell>
          <cell r="AA356">
            <v>0</v>
          </cell>
          <cell r="AB356">
            <v>0</v>
          </cell>
          <cell r="AC356">
            <v>-7.122416114901438</v>
          </cell>
          <cell r="AD356">
            <v>0</v>
          </cell>
          <cell r="AE356">
            <v>-14.802329014598541</v>
          </cell>
          <cell r="AF356">
            <v>-13.389513511778755</v>
          </cell>
          <cell r="AG356">
            <v>-16.048338421272515</v>
          </cell>
          <cell r="AH356">
            <v>-19.053000000000001</v>
          </cell>
          <cell r="AI356">
            <v>-7.6230592403006803</v>
          </cell>
          <cell r="AJ356">
            <v>-0.55000000000000004</v>
          </cell>
          <cell r="AK356">
            <v>0</v>
          </cell>
        </row>
        <row r="357">
          <cell r="A357" t="str">
            <v>-  -  naturgas</v>
          </cell>
          <cell r="B357" t="str">
            <v>pvp</v>
          </cell>
          <cell r="C357" t="str">
            <v>fjr</v>
          </cell>
          <cell r="D357" t="str">
            <v>nga</v>
          </cell>
          <cell r="E357" t="str">
            <v>a0a0</v>
          </cell>
          <cell r="F357" t="str">
            <v>a00</v>
          </cell>
          <cell r="G357">
            <v>0</v>
          </cell>
          <cell r="H357">
            <v>0</v>
          </cell>
          <cell r="I357">
            <v>0</v>
          </cell>
          <cell r="J357">
            <v>0</v>
          </cell>
          <cell r="K357">
            <v>0</v>
          </cell>
          <cell r="L357">
            <v>0</v>
          </cell>
          <cell r="M357">
            <v>0</v>
          </cell>
          <cell r="N357">
            <v>0</v>
          </cell>
          <cell r="O357">
            <v>0</v>
          </cell>
          <cell r="P357">
            <v>0</v>
          </cell>
          <cell r="Q357">
            <v>0</v>
          </cell>
          <cell r="R357">
            <v>0</v>
          </cell>
          <cell r="S357">
            <v>0</v>
          </cell>
          <cell r="T357">
            <v>0</v>
          </cell>
          <cell r="U357">
            <v>0</v>
          </cell>
          <cell r="V357">
            <v>0</v>
          </cell>
          <cell r="W357">
            <v>0</v>
          </cell>
          <cell r="X357">
            <v>0</v>
          </cell>
          <cell r="Y357">
            <v>0</v>
          </cell>
          <cell r="Z357">
            <v>0</v>
          </cell>
          <cell r="AA357">
            <v>0</v>
          </cell>
          <cell r="AB357">
            <v>0</v>
          </cell>
          <cell r="AC357">
            <v>-135.06516957360193</v>
          </cell>
          <cell r="AD357">
            <v>-98.637663386203045</v>
          </cell>
          <cell r="AE357">
            <v>-242.85379979999999</v>
          </cell>
          <cell r="AF357">
            <v>-197.71255572981127</v>
          </cell>
          <cell r="AG357">
            <v>-222.04694990133322</v>
          </cell>
          <cell r="AH357">
            <v>-157.66659227557923</v>
          </cell>
          <cell r="AI357">
            <v>-186.73438584467647</v>
          </cell>
          <cell r="AJ357">
            <v>-205.24</v>
          </cell>
          <cell r="AK357">
            <v>-80.349999999999994</v>
          </cell>
        </row>
        <row r="358">
          <cell r="A358" t="str">
            <v>-  -  anden stenkul</v>
          </cell>
          <cell r="B358" t="str">
            <v>pvp</v>
          </cell>
          <cell r="C358" t="str">
            <v>fjr</v>
          </cell>
          <cell r="D358" t="str">
            <v>ska</v>
          </cell>
          <cell r="E358" t="str">
            <v>a0a0</v>
          </cell>
          <cell r="F358" t="str">
            <v>a00</v>
          </cell>
          <cell r="G358">
            <v>0</v>
          </cell>
          <cell r="H358">
            <v>0</v>
          </cell>
          <cell r="I358">
            <v>0</v>
          </cell>
          <cell r="J358">
            <v>0</v>
          </cell>
          <cell r="K358">
            <v>0</v>
          </cell>
          <cell r="L358">
            <v>0</v>
          </cell>
          <cell r="M358">
            <v>0</v>
          </cell>
          <cell r="N358">
            <v>0</v>
          </cell>
          <cell r="O358">
            <v>0</v>
          </cell>
          <cell r="P358">
            <v>0</v>
          </cell>
          <cell r="Q358">
            <v>0</v>
          </cell>
          <cell r="R358">
            <v>0</v>
          </cell>
          <cell r="S358">
            <v>0</v>
          </cell>
          <cell r="T358">
            <v>0</v>
          </cell>
          <cell r="U358">
            <v>0</v>
          </cell>
          <cell r="V358">
            <v>0</v>
          </cell>
          <cell r="W358">
            <v>0</v>
          </cell>
          <cell r="X358">
            <v>0</v>
          </cell>
          <cell r="Y358">
            <v>0</v>
          </cell>
          <cell r="Z358">
            <v>0</v>
          </cell>
          <cell r="AA358">
            <v>0</v>
          </cell>
          <cell r="AB358">
            <v>0</v>
          </cell>
          <cell r="AC358">
            <v>0</v>
          </cell>
          <cell r="AD358">
            <v>0</v>
          </cell>
          <cell r="AE358">
            <v>0</v>
          </cell>
          <cell r="AF358">
            <v>0</v>
          </cell>
          <cell r="AG358">
            <v>0</v>
          </cell>
          <cell r="AH358">
            <v>0</v>
          </cell>
          <cell r="AI358">
            <v>0</v>
          </cell>
          <cell r="AJ358">
            <v>0</v>
          </cell>
          <cell r="AK358">
            <v>0</v>
          </cell>
        </row>
        <row r="361">
          <cell r="A361" t="str">
            <v>-  -  træpiller</v>
          </cell>
          <cell r="B361" t="str">
            <v>pvp</v>
          </cell>
          <cell r="C361" t="str">
            <v>fjr</v>
          </cell>
          <cell r="D361" t="str">
            <v>tpi</v>
          </cell>
          <cell r="E361" t="str">
            <v>a0a0</v>
          </cell>
          <cell r="F361" t="str">
            <v>a00</v>
          </cell>
          <cell r="G361">
            <v>0</v>
          </cell>
          <cell r="H361">
            <v>0</v>
          </cell>
          <cell r="I361">
            <v>0</v>
          </cell>
          <cell r="J361">
            <v>0</v>
          </cell>
          <cell r="K361">
            <v>0</v>
          </cell>
          <cell r="L361">
            <v>0</v>
          </cell>
          <cell r="M361">
            <v>0</v>
          </cell>
          <cell r="N361">
            <v>0</v>
          </cell>
          <cell r="O361">
            <v>0</v>
          </cell>
          <cell r="P361">
            <v>0</v>
          </cell>
          <cell r="Q361">
            <v>0</v>
          </cell>
          <cell r="R361">
            <v>0</v>
          </cell>
          <cell r="S361">
            <v>0</v>
          </cell>
          <cell r="T361">
            <v>0</v>
          </cell>
          <cell r="U361">
            <v>0</v>
          </cell>
          <cell r="V361">
            <v>0</v>
          </cell>
          <cell r="W361">
            <v>0</v>
          </cell>
          <cell r="X361">
            <v>0</v>
          </cell>
          <cell r="Y361">
            <v>0</v>
          </cell>
          <cell r="Z361">
            <v>0</v>
          </cell>
          <cell r="AA361">
            <v>0</v>
          </cell>
          <cell r="AB361">
            <v>0</v>
          </cell>
          <cell r="AC361">
            <v>-6.7841978955141222</v>
          </cell>
          <cell r="AD361">
            <v>-53.115938814655749</v>
          </cell>
          <cell r="AE361">
            <v>-6.4606552074669619</v>
          </cell>
          <cell r="AF361">
            <v>-55.597763914902501</v>
          </cell>
          <cell r="AG361">
            <v>-5.5446262254901963</v>
          </cell>
          <cell r="AH361">
            <v>-2.093</v>
          </cell>
          <cell r="AI361">
            <v>0</v>
          </cell>
          <cell r="AJ361">
            <v>0</v>
          </cell>
          <cell r="AK361">
            <v>0</v>
          </cell>
        </row>
        <row r="362">
          <cell r="A362" t="str">
            <v>-  -  træaffald</v>
          </cell>
          <cell r="B362" t="str">
            <v>pvp</v>
          </cell>
          <cell r="C362" t="str">
            <v>fjr</v>
          </cell>
          <cell r="D362" t="str">
            <v>taf</v>
          </cell>
          <cell r="E362" t="str">
            <v>a0a0</v>
          </cell>
          <cell r="F362" t="str">
            <v>a00</v>
          </cell>
          <cell r="G362">
            <v>-46</v>
          </cell>
          <cell r="H362">
            <v>0</v>
          </cell>
          <cell r="I362">
            <v>0</v>
          </cell>
          <cell r="J362">
            <v>-138.5</v>
          </cell>
          <cell r="K362">
            <v>-185</v>
          </cell>
          <cell r="L362">
            <v>-231.5</v>
          </cell>
          <cell r="M362">
            <v>-277.5</v>
          </cell>
          <cell r="N362">
            <v>-277.5</v>
          </cell>
          <cell r="O362">
            <v>-324</v>
          </cell>
          <cell r="P362">
            <v>-324</v>
          </cell>
          <cell r="Q362">
            <v>-324</v>
          </cell>
          <cell r="R362">
            <v>-324</v>
          </cell>
          <cell r="S362">
            <v>-324</v>
          </cell>
          <cell r="T362">
            <v>-324</v>
          </cell>
          <cell r="U362">
            <v>-324</v>
          </cell>
          <cell r="V362">
            <v>-324</v>
          </cell>
          <cell r="W362">
            <v>-324</v>
          </cell>
          <cell r="X362">
            <v>-324</v>
          </cell>
          <cell r="Y362">
            <v>-324</v>
          </cell>
          <cell r="Z362">
            <v>-324</v>
          </cell>
          <cell r="AA362">
            <v>-324</v>
          </cell>
          <cell r="AB362">
            <v>-324</v>
          </cell>
          <cell r="AC362">
            <v>-396.1868051830935</v>
          </cell>
          <cell r="AD362">
            <v>-402.95150530776533</v>
          </cell>
          <cell r="AE362">
            <v>-337.89940768395735</v>
          </cell>
          <cell r="AF362">
            <v>-321.7867448894483</v>
          </cell>
          <cell r="AG362">
            <v>-258.81475964191094</v>
          </cell>
          <cell r="AH362">
            <v>-240.73679611853231</v>
          </cell>
          <cell r="AI362">
            <v>-236.49121964530585</v>
          </cell>
          <cell r="AJ362">
            <v>-234.94</v>
          </cell>
          <cell r="AK362">
            <v>-251.45</v>
          </cell>
        </row>
        <row r="363">
          <cell r="A363" t="str">
            <v>-  -  biogas, deponi</v>
          </cell>
          <cell r="B363" t="str">
            <v>pvp</v>
          </cell>
          <cell r="C363" t="str">
            <v>fjr</v>
          </cell>
          <cell r="D363" t="str">
            <v>bid</v>
          </cell>
          <cell r="E363" t="str">
            <v>a0a0</v>
          </cell>
          <cell r="F363" t="str">
            <v>a00</v>
          </cell>
          <cell r="G363">
            <v>0</v>
          </cell>
          <cell r="H363">
            <v>0</v>
          </cell>
          <cell r="I363">
            <v>0</v>
          </cell>
          <cell r="J363">
            <v>0</v>
          </cell>
          <cell r="K363">
            <v>0</v>
          </cell>
          <cell r="L363">
            <v>0</v>
          </cell>
          <cell r="M363">
            <v>0</v>
          </cell>
          <cell r="N363">
            <v>0</v>
          </cell>
          <cell r="O363">
            <v>0</v>
          </cell>
          <cell r="P363">
            <v>0</v>
          </cell>
          <cell r="Q363">
            <v>0</v>
          </cell>
          <cell r="R363">
            <v>0</v>
          </cell>
          <cell r="S363">
            <v>0</v>
          </cell>
          <cell r="T363">
            <v>0</v>
          </cell>
          <cell r="U363">
            <v>0</v>
          </cell>
          <cell r="V363">
            <v>0</v>
          </cell>
          <cell r="W363">
            <v>0</v>
          </cell>
          <cell r="X363">
            <v>0</v>
          </cell>
          <cell r="Y363">
            <v>0</v>
          </cell>
          <cell r="Z363">
            <v>0</v>
          </cell>
          <cell r="AA363">
            <v>0</v>
          </cell>
          <cell r="AB363">
            <v>0</v>
          </cell>
          <cell r="AC363">
            <v>-14.21748</v>
          </cell>
          <cell r="AD363">
            <v>-14.21748</v>
          </cell>
          <cell r="AE363">
            <v>-14.21748</v>
          </cell>
          <cell r="AF363">
            <v>-12.81432</v>
          </cell>
          <cell r="AG363">
            <v>-12.143736000000001</v>
          </cell>
          <cell r="AH363">
            <v>-11.538360000000001</v>
          </cell>
          <cell r="AI363">
            <v>-8.64</v>
          </cell>
          <cell r="AJ363">
            <v>-18.21</v>
          </cell>
          <cell r="AK363">
            <v>0</v>
          </cell>
        </row>
        <row r="364">
          <cell r="A364" t="str">
            <v>-  -  biogas, slam</v>
          </cell>
          <cell r="B364" t="str">
            <v>pvp</v>
          </cell>
          <cell r="C364" t="str">
            <v>fjr</v>
          </cell>
          <cell r="D364" t="str">
            <v>bis</v>
          </cell>
          <cell r="E364" t="str">
            <v>a0a0</v>
          </cell>
          <cell r="F364" t="str">
            <v>a00</v>
          </cell>
          <cell r="G364">
            <v>0</v>
          </cell>
          <cell r="H364">
            <v>0</v>
          </cell>
          <cell r="I364">
            <v>0</v>
          </cell>
          <cell r="J364">
            <v>0</v>
          </cell>
          <cell r="K364">
            <v>0</v>
          </cell>
          <cell r="L364">
            <v>0</v>
          </cell>
          <cell r="M364">
            <v>0</v>
          </cell>
          <cell r="N364">
            <v>0</v>
          </cell>
          <cell r="O364">
            <v>0</v>
          </cell>
          <cell r="P364">
            <v>0</v>
          </cell>
          <cell r="Q364">
            <v>0</v>
          </cell>
          <cell r="R364">
            <v>0</v>
          </cell>
          <cell r="S364">
            <v>0</v>
          </cell>
          <cell r="T364">
            <v>0</v>
          </cell>
          <cell r="U364">
            <v>0</v>
          </cell>
          <cell r="V364">
            <v>0</v>
          </cell>
          <cell r="W364">
            <v>0</v>
          </cell>
          <cell r="X364">
            <v>0</v>
          </cell>
          <cell r="Y364">
            <v>0</v>
          </cell>
          <cell r="Z364">
            <v>0</v>
          </cell>
          <cell r="AA364">
            <v>0</v>
          </cell>
          <cell r="AB364">
            <v>0</v>
          </cell>
          <cell r="AC364">
            <v>0</v>
          </cell>
          <cell r="AD364">
            <v>-2.8648102134247484</v>
          </cell>
          <cell r="AE364">
            <v>0</v>
          </cell>
          <cell r="AF364">
            <v>-39.396442454014917</v>
          </cell>
          <cell r="AG364">
            <v>-71.225587634484384</v>
          </cell>
          <cell r="AH364">
            <v>-74.379275945912596</v>
          </cell>
          <cell r="AI364">
            <v>-80.19</v>
          </cell>
          <cell r="AJ364">
            <v>-76.430000000000007</v>
          </cell>
          <cell r="AK364">
            <v>-6.83</v>
          </cell>
        </row>
        <row r="365">
          <cell r="A365" t="str">
            <v>-  -  biogas, andet</v>
          </cell>
          <cell r="B365" t="str">
            <v>pvp</v>
          </cell>
          <cell r="C365" t="str">
            <v>fjr</v>
          </cell>
          <cell r="D365" t="str">
            <v>bia</v>
          </cell>
          <cell r="E365" t="str">
            <v>a0a0</v>
          </cell>
          <cell r="F365" t="str">
            <v>a00</v>
          </cell>
          <cell r="G365">
            <v>0</v>
          </cell>
          <cell r="H365">
            <v>0</v>
          </cell>
          <cell r="I365">
            <v>0</v>
          </cell>
          <cell r="J365">
            <v>0</v>
          </cell>
          <cell r="K365">
            <v>0</v>
          </cell>
          <cell r="L365">
            <v>0</v>
          </cell>
          <cell r="M365">
            <v>0</v>
          </cell>
          <cell r="N365">
            <v>0</v>
          </cell>
          <cell r="O365">
            <v>0</v>
          </cell>
          <cell r="P365">
            <v>0</v>
          </cell>
          <cell r="Q365">
            <v>0</v>
          </cell>
          <cell r="R365">
            <v>0</v>
          </cell>
          <cell r="S365">
            <v>0</v>
          </cell>
          <cell r="T365">
            <v>0</v>
          </cell>
          <cell r="U365">
            <v>0</v>
          </cell>
          <cell r="V365">
            <v>0</v>
          </cell>
          <cell r="W365">
            <v>0</v>
          </cell>
          <cell r="X365">
            <v>0</v>
          </cell>
          <cell r="Y365">
            <v>0</v>
          </cell>
          <cell r="Z365">
            <v>0</v>
          </cell>
          <cell r="AA365">
            <v>0</v>
          </cell>
          <cell r="AB365">
            <v>0</v>
          </cell>
          <cell r="AC365">
            <v>0</v>
          </cell>
          <cell r="AD365">
            <v>0</v>
          </cell>
          <cell r="AE365">
            <v>0</v>
          </cell>
          <cell r="AF365">
            <v>0</v>
          </cell>
          <cell r="AG365">
            <v>0</v>
          </cell>
          <cell r="AH365">
            <v>0</v>
          </cell>
          <cell r="AI365">
            <v>0</v>
          </cell>
          <cell r="AJ365">
            <v>-45.39</v>
          </cell>
          <cell r="AK365">
            <v>-52.52</v>
          </cell>
        </row>
        <row r="367">
          <cell r="A367" t="str">
            <v>-  -  affald, andet</v>
          </cell>
          <cell r="B367" t="str">
            <v>pvp</v>
          </cell>
          <cell r="C367" t="str">
            <v>fjr</v>
          </cell>
          <cell r="D367" t="str">
            <v>afa</v>
          </cell>
          <cell r="E367" t="str">
            <v>a0a0</v>
          </cell>
          <cell r="F367" t="str">
            <v>a00</v>
          </cell>
          <cell r="G367">
            <v>-5077.6538548249755</v>
          </cell>
          <cell r="H367">
            <v>0</v>
          </cell>
          <cell r="I367">
            <v>0</v>
          </cell>
          <cell r="J367">
            <v>-5585.419240307473</v>
          </cell>
          <cell r="K367">
            <v>-6093.1846257899706</v>
          </cell>
          <cell r="L367">
            <v>-6093.1846257899706</v>
          </cell>
          <cell r="M367">
            <v>-6093.1846257899706</v>
          </cell>
          <cell r="N367">
            <v>-6397.8438570794697</v>
          </cell>
          <cell r="O367">
            <v>-6397.8438570794697</v>
          </cell>
          <cell r="P367">
            <v>-6773.2275527754591</v>
          </cell>
          <cell r="Q367">
            <v>-7137.7305616396798</v>
          </cell>
          <cell r="R367">
            <v>-7554.2190742556813</v>
          </cell>
          <cell r="S367">
            <v>-7883.0576096157747</v>
          </cell>
          <cell r="T367">
            <v>-8323.7254263023715</v>
          </cell>
          <cell r="U367">
            <v>-8646.5191356448158</v>
          </cell>
          <cell r="V367">
            <v>-8646.5191356448158</v>
          </cell>
          <cell r="W367">
            <v>-8666.4670615030573</v>
          </cell>
          <cell r="X367">
            <v>-9070.8659220837599</v>
          </cell>
          <cell r="Y367">
            <v>-8889.5211415542963</v>
          </cell>
          <cell r="Z367">
            <v>-7751.8848850327968</v>
          </cell>
          <cell r="AA367">
            <v>-7595.4215648045565</v>
          </cell>
          <cell r="AB367">
            <v>-6926.5505442590711</v>
          </cell>
          <cell r="AC367">
            <v>-7015.8865537479523</v>
          </cell>
          <cell r="AD367">
            <v>-7473.7327846941898</v>
          </cell>
          <cell r="AE367">
            <v>-6493.2809690499616</v>
          </cell>
          <cell r="AF367">
            <v>-7577.7312461540869</v>
          </cell>
          <cell r="AG367">
            <v>-7132.1300785488065</v>
          </cell>
          <cell r="AH367">
            <v>-6427.992040455063</v>
          </cell>
          <cell r="AI367">
            <v>-5553.5190821693259</v>
          </cell>
          <cell r="AJ367">
            <v>-5690.1854628028432</v>
          </cell>
          <cell r="AK367">
            <v>-5225.3630134544528</v>
          </cell>
        </row>
        <row r="368">
          <cell r="A368" t="str">
            <v>-  -  el til varmepumper</v>
          </cell>
          <cell r="B368" t="str">
            <v>pvp</v>
          </cell>
          <cell r="C368" t="str">
            <v>fjr</v>
          </cell>
          <cell r="D368" t="str">
            <v>elc</v>
          </cell>
          <cell r="E368" t="str">
            <v>a0a0</v>
          </cell>
          <cell r="F368" t="str">
            <v>a00</v>
          </cell>
          <cell r="G368">
            <v>0</v>
          </cell>
          <cell r="H368">
            <v>0</v>
          </cell>
          <cell r="I368">
            <v>0</v>
          </cell>
          <cell r="J368">
            <v>0</v>
          </cell>
          <cell r="K368">
            <v>0</v>
          </cell>
          <cell r="L368">
            <v>0</v>
          </cell>
          <cell r="M368">
            <v>0</v>
          </cell>
          <cell r="N368">
            <v>0</v>
          </cell>
          <cell r="O368">
            <v>0</v>
          </cell>
          <cell r="P368">
            <v>0</v>
          </cell>
          <cell r="Q368">
            <v>0</v>
          </cell>
          <cell r="R368">
            <v>0</v>
          </cell>
          <cell r="S368">
            <v>0</v>
          </cell>
          <cell r="T368">
            <v>0</v>
          </cell>
          <cell r="U368">
            <v>0</v>
          </cell>
          <cell r="V368">
            <v>0</v>
          </cell>
          <cell r="W368">
            <v>0</v>
          </cell>
          <cell r="X368">
            <v>0</v>
          </cell>
          <cell r="Y368">
            <v>0</v>
          </cell>
          <cell r="Z368">
            <v>0</v>
          </cell>
          <cell r="AA368">
            <v>0</v>
          </cell>
          <cell r="AB368">
            <v>0</v>
          </cell>
          <cell r="AC368">
            <v>-48.1464</v>
          </cell>
          <cell r="AD368">
            <v>-42.742800000000003</v>
          </cell>
          <cell r="AE368">
            <v>-55.244990914520002</v>
          </cell>
          <cell r="AF368">
            <v>-40.8017000500788</v>
          </cell>
          <cell r="AG368">
            <v>-19.0341187042972</v>
          </cell>
          <cell r="AH368">
            <v>-45.283065646254798</v>
          </cell>
          <cell r="AI368">
            <v>-73.91</v>
          </cell>
          <cell r="AJ368">
            <v>-68.95</v>
          </cell>
          <cell r="AK368">
            <v>-55.76</v>
          </cell>
        </row>
        <row r="369">
          <cell r="A369" t="str">
            <v>-  nettoproduktion</v>
          </cell>
        </row>
        <row r="370">
          <cell r="A370" t="str">
            <v>-  -  fjernvarme</v>
          </cell>
          <cell r="B370" t="str">
            <v>pvp</v>
          </cell>
          <cell r="C370" t="str">
            <v>net</v>
          </cell>
          <cell r="D370" t="str">
            <v>fjv</v>
          </cell>
          <cell r="E370" t="str">
            <v>a0a0</v>
          </cell>
          <cell r="F370" t="str">
            <v>a00</v>
          </cell>
          <cell r="G370">
            <v>3155.36</v>
          </cell>
          <cell r="H370">
            <v>0</v>
          </cell>
          <cell r="I370">
            <v>0</v>
          </cell>
          <cell r="J370">
            <v>3625.6</v>
          </cell>
          <cell r="K370">
            <v>4014.88</v>
          </cell>
          <cell r="L370">
            <v>4096.72</v>
          </cell>
          <cell r="M370">
            <v>4177.68</v>
          </cell>
          <cell r="N370">
            <v>4362.1440000000002</v>
          </cell>
          <cell r="O370">
            <v>4443.9840000000004</v>
          </cell>
          <cell r="P370">
            <v>5237.7299999999996</v>
          </cell>
          <cell r="Q370">
            <v>6457.9392000000007</v>
          </cell>
          <cell r="R370">
            <v>7184.9017600000016</v>
          </cell>
          <cell r="S370">
            <v>8036.4347999999991</v>
          </cell>
          <cell r="T370">
            <v>8906.5016000000014</v>
          </cell>
          <cell r="U370">
            <v>9554.4</v>
          </cell>
          <cell r="V370">
            <v>9394.4</v>
          </cell>
          <cell r="W370">
            <v>10069.784320000001</v>
          </cell>
          <cell r="X370">
            <v>10696.877280000001</v>
          </cell>
          <cell r="Y370">
            <v>10306.013279999999</v>
          </cell>
          <cell r="Z370">
            <v>9296.8531199999998</v>
          </cell>
          <cell r="AA370">
            <v>9221.3963199999998</v>
          </cell>
          <cell r="AB370">
            <v>8743.3642498080007</v>
          </cell>
          <cell r="AC370">
            <v>10590.443000000001</v>
          </cell>
          <cell r="AD370">
            <v>10787.145</v>
          </cell>
          <cell r="AE370">
            <v>10196.099</v>
          </cell>
          <cell r="AF370">
            <v>10890.187799999992</v>
          </cell>
          <cell r="AG370">
            <v>10683.402727050041</v>
          </cell>
          <cell r="AH370">
            <v>9920.2126054380387</v>
          </cell>
          <cell r="AI370">
            <v>9513.0674907983357</v>
          </cell>
          <cell r="AJ370">
            <v>9723.41</v>
          </cell>
          <cell r="AK370">
            <v>8913.44</v>
          </cell>
        </row>
        <row r="371">
          <cell r="A371" t="str">
            <v>Bygasværker</v>
          </cell>
        </row>
        <row r="373">
          <cell r="A373" t="str">
            <v>-  -  raffinaderigas</v>
          </cell>
          <cell r="B373" t="str">
            <v>bgv</v>
          </cell>
          <cell r="C373" t="str">
            <v>byr</v>
          </cell>
          <cell r="D373" t="str">
            <v>rga</v>
          </cell>
          <cell r="E373" t="str">
            <v>a0a0</v>
          </cell>
          <cell r="F373" t="str">
            <v>a00</v>
          </cell>
          <cell r="G373">
            <v>-1256.6399999999999</v>
          </cell>
          <cell r="H373">
            <v>0</v>
          </cell>
          <cell r="I373">
            <v>0</v>
          </cell>
          <cell r="J373">
            <v>-1256.6399999999999</v>
          </cell>
          <cell r="K373">
            <v>-1125.6447999999998</v>
          </cell>
          <cell r="L373">
            <v>-1387.2</v>
          </cell>
          <cell r="M373">
            <v>-227.55520000000001</v>
          </cell>
          <cell r="N373">
            <v>0</v>
          </cell>
          <cell r="O373">
            <v>0</v>
          </cell>
          <cell r="P373">
            <v>0</v>
          </cell>
          <cell r="Q373">
            <v>0</v>
          </cell>
          <cell r="R373">
            <v>0</v>
          </cell>
          <cell r="S373">
            <v>0</v>
          </cell>
          <cell r="T373">
            <v>0</v>
          </cell>
          <cell r="U373">
            <v>0</v>
          </cell>
          <cell r="V373">
            <v>0</v>
          </cell>
          <cell r="W373">
            <v>0</v>
          </cell>
          <cell r="X373">
            <v>0</v>
          </cell>
          <cell r="Y373">
            <v>0</v>
          </cell>
          <cell r="Z373">
            <v>0</v>
          </cell>
          <cell r="AA373">
            <v>0</v>
          </cell>
          <cell r="AB373">
            <v>0</v>
          </cell>
          <cell r="AC373">
            <v>0</v>
          </cell>
          <cell r="AD373">
            <v>0</v>
          </cell>
          <cell r="AE373">
            <v>0</v>
          </cell>
          <cell r="AF373">
            <v>0</v>
          </cell>
          <cell r="AG373">
            <v>0</v>
          </cell>
          <cell r="AH373">
            <v>0</v>
          </cell>
          <cell r="AI373">
            <v>0</v>
          </cell>
          <cell r="AJ373">
            <v>0</v>
          </cell>
          <cell r="AK373">
            <v>0</v>
          </cell>
        </row>
        <row r="374">
          <cell r="A374" t="str">
            <v>-  -  LPG</v>
          </cell>
          <cell r="B374" t="str">
            <v>bgv</v>
          </cell>
          <cell r="C374" t="str">
            <v>byr</v>
          </cell>
          <cell r="D374" t="str">
            <v>lpg</v>
          </cell>
          <cell r="E374" t="str">
            <v>a0a0</v>
          </cell>
          <cell r="F374" t="str">
            <v>a00</v>
          </cell>
          <cell r="G374">
            <v>-1442.93</v>
          </cell>
          <cell r="H374">
            <v>0</v>
          </cell>
          <cell r="I374">
            <v>0</v>
          </cell>
          <cell r="J374">
            <v>-1180.1600000000001</v>
          </cell>
          <cell r="K374">
            <v>-1018.81</v>
          </cell>
          <cell r="L374">
            <v>-834.41</v>
          </cell>
          <cell r="M374">
            <v>-682.58259999999996</v>
          </cell>
          <cell r="N374">
            <v>-1545.1674</v>
          </cell>
          <cell r="O374">
            <v>-1666.6384</v>
          </cell>
          <cell r="P374">
            <v>-1697.78</v>
          </cell>
          <cell r="Q374">
            <v>-1683.71</v>
          </cell>
          <cell r="R374">
            <v>-1378.86</v>
          </cell>
          <cell r="S374">
            <v>-1153.74</v>
          </cell>
          <cell r="T374">
            <v>-647.21999999999991</v>
          </cell>
          <cell r="U374">
            <v>-504.16</v>
          </cell>
          <cell r="V374">
            <v>-141.08200000000002</v>
          </cell>
          <cell r="W374">
            <v>-453.79</v>
          </cell>
          <cell r="X374">
            <v>-401.99399999999997</v>
          </cell>
          <cell r="Y374">
            <v>-171.35</v>
          </cell>
          <cell r="Z374">
            <v>-51.97999999999999</v>
          </cell>
          <cell r="AA374">
            <v>-49.956000000000003</v>
          </cell>
          <cell r="AB374">
            <v>-54.786000000000001</v>
          </cell>
          <cell r="AC374">
            <v>0</v>
          </cell>
          <cell r="AD374">
            <v>-46</v>
          </cell>
          <cell r="AE374">
            <v>-46</v>
          </cell>
          <cell r="AF374">
            <v>0</v>
          </cell>
          <cell r="AG374">
            <v>0</v>
          </cell>
          <cell r="AH374">
            <v>0</v>
          </cell>
          <cell r="AI374">
            <v>0</v>
          </cell>
          <cell r="AJ374">
            <v>-10.671999999999999</v>
          </cell>
          <cell r="AK374">
            <v>-10.028</v>
          </cell>
        </row>
        <row r="375">
          <cell r="A375" t="str">
            <v>-  -  nafta (LVN)</v>
          </cell>
          <cell r="B375" t="str">
            <v>bgv</v>
          </cell>
          <cell r="C375" t="str">
            <v>byr</v>
          </cell>
          <cell r="D375" t="str">
            <v>lvn</v>
          </cell>
          <cell r="E375" t="str">
            <v>a0a0</v>
          </cell>
          <cell r="F375" t="str">
            <v>a00</v>
          </cell>
          <cell r="G375">
            <v>-3071.1</v>
          </cell>
          <cell r="H375">
            <v>0</v>
          </cell>
          <cell r="I375">
            <v>0</v>
          </cell>
          <cell r="J375">
            <v>-2383.7999999999997</v>
          </cell>
          <cell r="K375">
            <v>-2749.2000000000003</v>
          </cell>
          <cell r="L375">
            <v>-2523</v>
          </cell>
          <cell r="M375">
            <v>-3713.6385</v>
          </cell>
          <cell r="N375">
            <v>-3349.3694999999998</v>
          </cell>
          <cell r="O375">
            <v>-3081.4094999999998</v>
          </cell>
          <cell r="P375">
            <v>-2792.7</v>
          </cell>
          <cell r="Q375">
            <v>-2466.4499999999998</v>
          </cell>
          <cell r="R375">
            <v>-2640.45</v>
          </cell>
          <cell r="S375">
            <v>-2553.4499999999998</v>
          </cell>
          <cell r="T375">
            <v>-1070.1000000000001</v>
          </cell>
          <cell r="U375">
            <v>-304.38</v>
          </cell>
          <cell r="V375">
            <v>-220.9425</v>
          </cell>
          <cell r="W375">
            <v>-153.52500000000001</v>
          </cell>
          <cell r="X375">
            <v>-72.445999999999998</v>
          </cell>
          <cell r="Y375">
            <v>-4.4055</v>
          </cell>
          <cell r="Z375">
            <v>-78.498000000000005</v>
          </cell>
          <cell r="AA375">
            <v>-0.22249999999999998</v>
          </cell>
          <cell r="AB375">
            <v>-7.88</v>
          </cell>
          <cell r="AC375">
            <v>-123.5</v>
          </cell>
          <cell r="AD375">
            <v>-85.3</v>
          </cell>
          <cell r="AE375">
            <v>-8.9890000000000008</v>
          </cell>
          <cell r="AF375">
            <v>-22.25</v>
          </cell>
          <cell r="AG375">
            <v>0</v>
          </cell>
          <cell r="AH375">
            <v>-2.1805000000000003</v>
          </cell>
          <cell r="AI375">
            <v>-0.13349999999999998</v>
          </cell>
          <cell r="AJ375">
            <v>-75.116</v>
          </cell>
          <cell r="AK375">
            <v>0</v>
          </cell>
        </row>
        <row r="376">
          <cell r="A376" t="str">
            <v>-  -  gas/dieselolie</v>
          </cell>
          <cell r="B376" t="str">
            <v>bgv</v>
          </cell>
          <cell r="C376" t="str">
            <v>byr</v>
          </cell>
          <cell r="D376" t="str">
            <v>gdt</v>
          </cell>
          <cell r="E376" t="str">
            <v>a0a0</v>
          </cell>
          <cell r="F376" t="str">
            <v>a00</v>
          </cell>
          <cell r="G376">
            <v>-0.35568999999999995</v>
          </cell>
          <cell r="H376">
            <v>0</v>
          </cell>
          <cell r="I376">
            <v>0</v>
          </cell>
          <cell r="J376">
            <v>-0.35568999999999995</v>
          </cell>
          <cell r="K376">
            <v>-0.10671</v>
          </cell>
          <cell r="L376">
            <v>0</v>
          </cell>
          <cell r="M376">
            <v>-39.992820000000002</v>
          </cell>
          <cell r="N376">
            <v>-75.071719999999999</v>
          </cell>
          <cell r="O376">
            <v>-4.3041599999999995</v>
          </cell>
          <cell r="P376">
            <v>-52.116199999999999</v>
          </cell>
          <cell r="Q376">
            <v>-5.0932599999999999</v>
          </cell>
          <cell r="R376">
            <v>-2.0803400000000001</v>
          </cell>
          <cell r="S376">
            <v>-2.4390200000000002</v>
          </cell>
          <cell r="T376">
            <v>0</v>
          </cell>
          <cell r="U376">
            <v>-1.57819</v>
          </cell>
          <cell r="V376">
            <v>-1.72166</v>
          </cell>
          <cell r="W376">
            <v>-1.14778</v>
          </cell>
          <cell r="X376">
            <v>-6.0616899999999996</v>
          </cell>
          <cell r="Y376">
            <v>-6.0975600000000005</v>
          </cell>
          <cell r="Z376">
            <v>-6.63558</v>
          </cell>
          <cell r="AA376">
            <v>-8.64419</v>
          </cell>
          <cell r="AB376">
            <v>-2.7618400000000003</v>
          </cell>
          <cell r="AC376">
            <v>-9.4332799999999999</v>
          </cell>
          <cell r="AD376">
            <v>-7.0301299999999998</v>
          </cell>
          <cell r="AE376">
            <v>-6.7431799999999997</v>
          </cell>
          <cell r="AF376">
            <v>-8.1779039999999998</v>
          </cell>
          <cell r="AG376">
            <v>-15.60258</v>
          </cell>
          <cell r="AH376">
            <v>-70.265411999999998</v>
          </cell>
          <cell r="AI376">
            <v>-8.0703000000000014</v>
          </cell>
          <cell r="AJ376">
            <v>-9.827831999999999</v>
          </cell>
          <cell r="AK376">
            <v>-7.0659960000000002</v>
          </cell>
        </row>
        <row r="378">
          <cell r="A378" t="str">
            <v>-  -  anden stenkul</v>
          </cell>
          <cell r="B378" t="str">
            <v>bgv</v>
          </cell>
          <cell r="C378" t="str">
            <v>byr</v>
          </cell>
          <cell r="D378" t="str">
            <v>ska</v>
          </cell>
          <cell r="E378" t="str">
            <v>a0a0</v>
          </cell>
          <cell r="F378" t="str">
            <v>a00</v>
          </cell>
          <cell r="G378">
            <v>-3468.3929000000003</v>
          </cell>
          <cell r="H378">
            <v>-3468.3929000000003</v>
          </cell>
          <cell r="I378">
            <v>-3468.3929000000003</v>
          </cell>
          <cell r="J378">
            <v>-3591.1106</v>
          </cell>
          <cell r="K378">
            <v>-3080.7049000000002</v>
          </cell>
          <cell r="L378">
            <v>-2538.4232999999999</v>
          </cell>
          <cell r="M378">
            <v>-2768.7786000000001</v>
          </cell>
          <cell r="N378">
            <v>-2685.8530999999998</v>
          </cell>
          <cell r="O378">
            <v>-2745.1200000000003</v>
          </cell>
          <cell r="P378">
            <v>-2763.18</v>
          </cell>
          <cell r="Q378">
            <v>-2790.2700000000004</v>
          </cell>
          <cell r="R378">
            <v>-1248.1868000000002</v>
          </cell>
          <cell r="S378">
            <v>0</v>
          </cell>
          <cell r="T378">
            <v>0</v>
          </cell>
          <cell r="U378">
            <v>0</v>
          </cell>
          <cell r="V378">
            <v>0</v>
          </cell>
          <cell r="W378">
            <v>0</v>
          </cell>
          <cell r="X378">
            <v>0</v>
          </cell>
          <cell r="Y378">
            <v>0</v>
          </cell>
          <cell r="Z378">
            <v>0</v>
          </cell>
          <cell r="AA378">
            <v>0</v>
          </cell>
          <cell r="AB378">
            <v>0</v>
          </cell>
          <cell r="AC378">
            <v>0</v>
          </cell>
          <cell r="AD378">
            <v>0</v>
          </cell>
          <cell r="AE378">
            <v>0</v>
          </cell>
          <cell r="AF378">
            <v>0</v>
          </cell>
          <cell r="AG378">
            <v>0</v>
          </cell>
          <cell r="AH378">
            <v>0</v>
          </cell>
          <cell r="AI378">
            <v>0</v>
          </cell>
          <cell r="AJ378">
            <v>0</v>
          </cell>
          <cell r="AK378">
            <v>0</v>
          </cell>
        </row>
        <row r="379">
          <cell r="A379" t="str">
            <v>-  bruttoproduktion</v>
          </cell>
        </row>
        <row r="380">
          <cell r="A380" t="str">
            <v>-  -  bygas</v>
          </cell>
          <cell r="B380" t="str">
            <v>bgv</v>
          </cell>
          <cell r="C380" t="str">
            <v>brt</v>
          </cell>
          <cell r="D380" t="str">
            <v>bga</v>
          </cell>
          <cell r="E380" t="str">
            <v>a0a0</v>
          </cell>
          <cell r="F380" t="str">
            <v>a00</v>
          </cell>
          <cell r="G380">
            <v>6464</v>
          </cell>
          <cell r="H380">
            <v>0</v>
          </cell>
          <cell r="I380">
            <v>0</v>
          </cell>
          <cell r="J380">
            <v>5543</v>
          </cell>
          <cell r="K380">
            <v>5631</v>
          </cell>
          <cell r="L380">
            <v>5347</v>
          </cell>
          <cell r="M380">
            <v>5280</v>
          </cell>
          <cell r="N380">
            <v>5527</v>
          </cell>
          <cell r="O380">
            <v>5234</v>
          </cell>
          <cell r="P380">
            <v>4882</v>
          </cell>
          <cell r="Q380">
            <v>4564</v>
          </cell>
          <cell r="R380">
            <v>4297</v>
          </cell>
          <cell r="S380">
            <v>4369</v>
          </cell>
          <cell r="T380">
            <v>4043</v>
          </cell>
          <cell r="U380">
            <v>2661</v>
          </cell>
          <cell r="V380">
            <v>2331.1410000000001</v>
          </cell>
          <cell r="W380">
            <v>1948.0649999999998</v>
          </cell>
          <cell r="X380">
            <v>1667.5840000000001</v>
          </cell>
          <cell r="Y380">
            <v>1604.0650000000001</v>
          </cell>
          <cell r="Z380">
            <v>1664.6009999999999</v>
          </cell>
          <cell r="AA380">
            <v>1513.5149999999999</v>
          </cell>
          <cell r="AB380">
            <v>1496.5619999999999</v>
          </cell>
          <cell r="AC380">
            <v>1338.3400000000001</v>
          </cell>
          <cell r="AD380">
            <v>1310.133</v>
          </cell>
          <cell r="AE380">
            <v>1210.1779999999999</v>
          </cell>
          <cell r="AF380">
            <v>1032.8999999999999</v>
          </cell>
          <cell r="AG380">
            <v>880.1</v>
          </cell>
          <cell r="AH380">
            <v>741.21299999999997</v>
          </cell>
          <cell r="AI380">
            <v>679.49199999999996</v>
          </cell>
          <cell r="AJ380">
            <v>715.14499999999998</v>
          </cell>
          <cell r="AK380">
            <v>623.38700000000006</v>
          </cell>
        </row>
        <row r="381">
          <cell r="A381" t="str">
            <v>-  -  koks</v>
          </cell>
          <cell r="B381" t="str">
            <v>bgv</v>
          </cell>
          <cell r="C381" t="str">
            <v>brt</v>
          </cell>
          <cell r="D381" t="str">
            <v>kok</v>
          </cell>
          <cell r="E381" t="str">
            <v>a0a0</v>
          </cell>
          <cell r="F381" t="str">
            <v>a00</v>
          </cell>
          <cell r="G381">
            <v>59014000</v>
          </cell>
          <cell r="H381">
            <v>0</v>
          </cell>
          <cell r="I381">
            <v>0</v>
          </cell>
          <cell r="J381">
            <v>85005000</v>
          </cell>
          <cell r="K381">
            <v>62660000</v>
          </cell>
          <cell r="L381">
            <v>57976000</v>
          </cell>
          <cell r="M381">
            <v>59668000</v>
          </cell>
          <cell r="N381">
            <v>56224000</v>
          </cell>
          <cell r="O381">
            <v>65600000</v>
          </cell>
          <cell r="P381">
            <v>69600000</v>
          </cell>
          <cell r="Q381">
            <v>66600000</v>
          </cell>
          <cell r="R381">
            <v>20557000</v>
          </cell>
          <cell r="S381">
            <v>0</v>
          </cell>
          <cell r="T381">
            <v>0</v>
          </cell>
          <cell r="U381">
            <v>0</v>
          </cell>
          <cell r="V381">
            <v>0</v>
          </cell>
          <cell r="W381">
            <v>0</v>
          </cell>
          <cell r="X381">
            <v>0</v>
          </cell>
          <cell r="Y381">
            <v>0</v>
          </cell>
          <cell r="Z381">
            <v>0</v>
          </cell>
          <cell r="AA381">
            <v>0</v>
          </cell>
          <cell r="AB381">
            <v>0</v>
          </cell>
          <cell r="AC381">
            <v>0</v>
          </cell>
          <cell r="AD381">
            <v>0</v>
          </cell>
          <cell r="AE381">
            <v>0</v>
          </cell>
          <cell r="AF381">
            <v>0</v>
          </cell>
          <cell r="AG381">
            <v>0</v>
          </cell>
          <cell r="AH381">
            <v>0</v>
          </cell>
          <cell r="AI381">
            <v>0</v>
          </cell>
          <cell r="AJ381">
            <v>0</v>
          </cell>
          <cell r="AK381">
            <v>0</v>
          </cell>
        </row>
        <row r="383">
          <cell r="A383" t="str">
            <v>-  nettab mv</v>
          </cell>
        </row>
        <row r="384">
          <cell r="A384" t="str">
            <v>-  -  naturgas</v>
          </cell>
          <cell r="B384" t="str">
            <v>ens</v>
          </cell>
          <cell r="C384" t="str">
            <v>tab</v>
          </cell>
          <cell r="D384" t="str">
            <v>nga</v>
          </cell>
          <cell r="E384" t="str">
            <v>a0a0</v>
          </cell>
          <cell r="F384" t="str">
            <v>a00</v>
          </cell>
          <cell r="G384">
            <v>0</v>
          </cell>
          <cell r="H384">
            <v>0</v>
          </cell>
          <cell r="I384">
            <v>0</v>
          </cell>
          <cell r="J384">
            <v>0</v>
          </cell>
          <cell r="K384">
            <v>0</v>
          </cell>
          <cell r="L384">
            <v>0</v>
          </cell>
          <cell r="M384">
            <v>0</v>
          </cell>
          <cell r="N384">
            <v>0</v>
          </cell>
          <cell r="O384">
            <v>0</v>
          </cell>
          <cell r="P384">
            <v>0</v>
          </cell>
          <cell r="Q384">
            <v>0</v>
          </cell>
          <cell r="R384">
            <v>0</v>
          </cell>
          <cell r="S384">
            <v>0</v>
          </cell>
          <cell r="T384">
            <v>0</v>
          </cell>
          <cell r="U384">
            <v>-117</v>
          </cell>
          <cell r="V384">
            <v>-117</v>
          </cell>
          <cell r="W384">
            <v>-117</v>
          </cell>
          <cell r="X384">
            <v>-117</v>
          </cell>
          <cell r="Y384">
            <v>-117</v>
          </cell>
          <cell r="Z384">
            <v>-117</v>
          </cell>
          <cell r="AA384">
            <v>-117</v>
          </cell>
          <cell r="AB384">
            <v>-117.89999999999999</v>
          </cell>
          <cell r="AC384">
            <v>-117.89999999999999</v>
          </cell>
          <cell r="AD384">
            <v>-117.89999999999999</v>
          </cell>
          <cell r="AE384">
            <v>-117.89999999999999</v>
          </cell>
          <cell r="AF384">
            <v>-118.80000000000001</v>
          </cell>
          <cell r="AG384">
            <v>-119.69999999999999</v>
          </cell>
          <cell r="AH384">
            <v>-120</v>
          </cell>
          <cell r="AI384">
            <v>-120.44999999999999</v>
          </cell>
          <cell r="AJ384">
            <v>-119.97</v>
          </cell>
          <cell r="AK384">
            <v>-120.18</v>
          </cell>
        </row>
        <row r="385">
          <cell r="A385" t="str">
            <v>-  -  el</v>
          </cell>
          <cell r="B385" t="str">
            <v>ens</v>
          </cell>
          <cell r="C385" t="str">
            <v>tab</v>
          </cell>
          <cell r="D385" t="str">
            <v>elc</v>
          </cell>
          <cell r="E385" t="str">
            <v>a0a0</v>
          </cell>
          <cell r="F385" t="str">
            <v>a00</v>
          </cell>
          <cell r="G385">
            <v>-3365.2888000000021</v>
          </cell>
          <cell r="H385">
            <v>0</v>
          </cell>
          <cell r="I385">
            <v>0</v>
          </cell>
          <cell r="J385">
            <v>-5326.0648000000001</v>
          </cell>
          <cell r="K385">
            <v>-7656.6262666666589</v>
          </cell>
          <cell r="L385">
            <v>-7112.4913333333534</v>
          </cell>
          <cell r="M385">
            <v>-7319.3564000000042</v>
          </cell>
          <cell r="N385">
            <v>-6887.4692487999855</v>
          </cell>
          <cell r="O385">
            <v>-7497.3420975999907</v>
          </cell>
          <cell r="P385">
            <v>-6922.3586776000011</v>
          </cell>
          <cell r="Q385">
            <v>-6759.215257600008</v>
          </cell>
          <cell r="R385">
            <v>-7723.3518375999993</v>
          </cell>
          <cell r="S385">
            <v>-7568.7504248000041</v>
          </cell>
          <cell r="T385">
            <v>-8062.549011999974</v>
          </cell>
          <cell r="U385">
            <v>-7542.3341040000087</v>
          </cell>
          <cell r="V385">
            <v>-7904.9163160000026</v>
          </cell>
          <cell r="W385">
            <v>-8038.4328661600011</v>
          </cell>
          <cell r="X385">
            <v>-8441.2572647252964</v>
          </cell>
          <cell r="Y385">
            <v>-8887.6337554153288</v>
          </cell>
          <cell r="Z385">
            <v>-9098.8851246868871</v>
          </cell>
          <cell r="AA385">
            <v>-8045.8802428818453</v>
          </cell>
          <cell r="AB385">
            <v>-8765.0090790430841</v>
          </cell>
          <cell r="AC385">
            <v>-5727.0374106411327</v>
          </cell>
          <cell r="AD385">
            <v>-7772.2720294103783</v>
          </cell>
          <cell r="AE385">
            <v>-10528.505814117423</v>
          </cell>
          <cell r="AF385">
            <v>-7222.627507452009</v>
          </cell>
          <cell r="AG385">
            <v>-8014.0421908799617</v>
          </cell>
          <cell r="AH385">
            <v>-6906.0953123999789</v>
          </cell>
          <cell r="AI385">
            <v>-7601.0512112468859</v>
          </cell>
          <cell r="AJ385">
            <v>-8486.2624382399808</v>
          </cell>
          <cell r="AK385">
            <v>-7914.8151520000247</v>
          </cell>
        </row>
        <row r="386">
          <cell r="A386" t="str">
            <v>-  -  fjernvarme</v>
          </cell>
          <cell r="B386" t="str">
            <v>ens</v>
          </cell>
          <cell r="C386" t="str">
            <v>tab</v>
          </cell>
          <cell r="D386" t="str">
            <v>fjv</v>
          </cell>
          <cell r="E386" t="str">
            <v>a0a0</v>
          </cell>
          <cell r="F386" t="str">
            <v>a00</v>
          </cell>
          <cell r="G386">
            <v>-20328.75</v>
          </cell>
          <cell r="H386">
            <v>0</v>
          </cell>
          <cell r="I386">
            <v>0</v>
          </cell>
          <cell r="J386">
            <v>-17115</v>
          </cell>
          <cell r="K386">
            <v>-18692.5</v>
          </cell>
          <cell r="L386">
            <v>-18913.5</v>
          </cell>
          <cell r="M386">
            <v>-19683</v>
          </cell>
          <cell r="N386">
            <v>-20757.25</v>
          </cell>
          <cell r="O386">
            <v>-19753.999999999996</v>
          </cell>
          <cell r="P386">
            <v>-19363.310000000001</v>
          </cell>
          <cell r="Q386">
            <v>-19821.559999999998</v>
          </cell>
          <cell r="R386">
            <v>-20466.810000000001</v>
          </cell>
          <cell r="S386">
            <v>-21154.81</v>
          </cell>
          <cell r="T386">
            <v>-23132.457600000002</v>
          </cell>
          <cell r="U386">
            <v>-22451.735199999999</v>
          </cell>
          <cell r="V386">
            <v>-22380.432799999999</v>
          </cell>
          <cell r="W386">
            <v>-20320.700400000002</v>
          </cell>
          <cell r="X386">
            <v>-18355.448</v>
          </cell>
          <cell r="Y386">
            <v>-18506.648000000001</v>
          </cell>
          <cell r="Z386">
            <v>-21019.013466666671</v>
          </cell>
          <cell r="AA386">
            <v>-21014.032266666669</v>
          </cell>
          <cell r="AB386">
            <v>-22295.5098</v>
          </cell>
          <cell r="AC386">
            <v>-22413.235360000006</v>
          </cell>
          <cell r="AD386">
            <v>-23631.588861369855</v>
          </cell>
          <cell r="AE386">
            <v>-26017.131400000002</v>
          </cell>
          <cell r="AF386">
            <v>-24529.773600484379</v>
          </cell>
          <cell r="AG386">
            <v>-25286.244884897191</v>
          </cell>
          <cell r="AH386">
            <v>-24393.448549187862</v>
          </cell>
          <cell r="AI386">
            <v>-23599.622947277559</v>
          </cell>
          <cell r="AJ386">
            <v>-25562</v>
          </cell>
          <cell r="AK386">
            <v>-25191.326000000001</v>
          </cell>
        </row>
        <row r="387">
          <cell r="A387" t="str">
            <v>-  -  bygas</v>
          </cell>
          <cell r="B387" t="str">
            <v>ens</v>
          </cell>
          <cell r="C387" t="str">
            <v>tab</v>
          </cell>
          <cell r="D387" t="str">
            <v>bga</v>
          </cell>
          <cell r="E387" t="str">
            <v>a0a0</v>
          </cell>
          <cell r="F387" t="str">
            <v>a00</v>
          </cell>
          <cell r="G387">
            <v>-258.56</v>
          </cell>
          <cell r="H387">
            <v>0</v>
          </cell>
          <cell r="I387">
            <v>0</v>
          </cell>
          <cell r="J387">
            <v>-221.72</v>
          </cell>
          <cell r="K387">
            <v>-225.24</v>
          </cell>
          <cell r="L387">
            <v>-213.88</v>
          </cell>
          <cell r="M387">
            <v>-211.2</v>
          </cell>
          <cell r="N387">
            <v>-221.08</v>
          </cell>
          <cell r="O387">
            <v>-209.36</v>
          </cell>
          <cell r="P387">
            <v>-195.28</v>
          </cell>
          <cell r="Q387">
            <v>-182.56</v>
          </cell>
          <cell r="R387">
            <v>-171.88</v>
          </cell>
          <cell r="S387">
            <v>-174.76</v>
          </cell>
          <cell r="T387">
            <v>-161.72</v>
          </cell>
          <cell r="U387">
            <v>-106.44</v>
          </cell>
          <cell r="V387">
            <v>-93.245640000000009</v>
          </cell>
          <cell r="W387">
            <v>-77.922599999999989</v>
          </cell>
          <cell r="X387">
            <v>-66.703360000000004</v>
          </cell>
          <cell r="Y387">
            <v>-64.162599999999998</v>
          </cell>
          <cell r="Z387">
            <v>-66.584040000000002</v>
          </cell>
          <cell r="AA387">
            <v>-60.540599999999998</v>
          </cell>
          <cell r="AB387">
            <v>-59.862479999999998</v>
          </cell>
          <cell r="AC387">
            <v>-53.533600000000007</v>
          </cell>
          <cell r="AD387">
            <v>-52.405319999999996</v>
          </cell>
          <cell r="AE387">
            <v>-48.407119999999999</v>
          </cell>
          <cell r="AF387">
            <v>-41.315999999999995</v>
          </cell>
          <cell r="AG387">
            <v>-35.204000000000001</v>
          </cell>
          <cell r="AH387">
            <v>-29.647999999999996</v>
          </cell>
          <cell r="AI387">
            <v>-27.179679999999998</v>
          </cell>
          <cell r="AJ387">
            <v>-28.605799999999999</v>
          </cell>
          <cell r="AK387">
            <v>-24.935480000000002</v>
          </cell>
        </row>
        <row r="389">
          <cell r="A389" t="str">
            <v>-  ikke energiformål</v>
          </cell>
          <cell r="Y389">
            <v>12741.9431</v>
          </cell>
          <cell r="Z389">
            <v>12300.912100000001</v>
          </cell>
          <cell r="AA389">
            <v>12472.3076</v>
          </cell>
          <cell r="AB389">
            <v>12718.205299999998</v>
          </cell>
          <cell r="AC389">
            <v>12643.758</v>
          </cell>
          <cell r="AD389">
            <v>12655.022299999999</v>
          </cell>
          <cell r="AE389">
            <v>13543.479399999998</v>
          </cell>
          <cell r="AF389">
            <v>13189.107599999999</v>
          </cell>
          <cell r="AG389">
            <v>11725.036700000001</v>
          </cell>
          <cell r="AH389">
            <v>12561.1191</v>
          </cell>
          <cell r="AI389">
            <v>12106.3086</v>
          </cell>
          <cell r="AJ389">
            <v>10625.9581</v>
          </cell>
          <cell r="AK389">
            <v>10870.151899999999</v>
          </cell>
        </row>
        <row r="390">
          <cell r="A390" t="str">
            <v>-  -  mineralsk terpentin</v>
          </cell>
          <cell r="B390" t="str">
            <v>fbs</v>
          </cell>
          <cell r="C390" t="str">
            <v>ief</v>
          </cell>
          <cell r="D390" t="str">
            <v>ter</v>
          </cell>
          <cell r="E390" t="str">
            <v>a0a0</v>
          </cell>
          <cell r="F390" t="str">
            <v>a00</v>
          </cell>
          <cell r="G390">
            <v>-1818.3</v>
          </cell>
          <cell r="H390">
            <v>0</v>
          </cell>
          <cell r="I390">
            <v>0</v>
          </cell>
          <cell r="J390">
            <v>-1722.6</v>
          </cell>
          <cell r="K390">
            <v>-1755.2249999999999</v>
          </cell>
          <cell r="L390">
            <v>-1735.65</v>
          </cell>
          <cell r="M390">
            <v>-1747.395</v>
          </cell>
          <cell r="N390">
            <v>-1717.989</v>
          </cell>
          <cell r="O390">
            <v>-1379.037</v>
          </cell>
          <cell r="P390">
            <v>-1145.442</v>
          </cell>
          <cell r="Q390">
            <v>-1159.1010000000001</v>
          </cell>
          <cell r="R390">
            <v>-1216.9559999999999</v>
          </cell>
          <cell r="S390">
            <v>-1078.7565</v>
          </cell>
          <cell r="T390">
            <v>-1126.0409999999999</v>
          </cell>
          <cell r="U390">
            <v>-1097.7225000000001</v>
          </cell>
          <cell r="V390">
            <v>-1100.376</v>
          </cell>
          <cell r="W390">
            <v>-1160.319</v>
          </cell>
          <cell r="X390">
            <v>-1124.0835</v>
          </cell>
          <cell r="Y390">
            <v>-1018.8135</v>
          </cell>
          <cell r="Z390">
            <v>-1030.0364999999999</v>
          </cell>
          <cell r="AA390">
            <v>-946.38599999999997</v>
          </cell>
          <cell r="AB390">
            <v>-1028.1224999999999</v>
          </cell>
          <cell r="AC390">
            <v>-1015.812</v>
          </cell>
          <cell r="AD390">
            <v>-1022.6849999999999</v>
          </cell>
          <cell r="AE390">
            <v>-1222.6545000000001</v>
          </cell>
          <cell r="AF390">
            <v>-994.06200000000001</v>
          </cell>
          <cell r="AG390">
            <v>-936.99</v>
          </cell>
          <cell r="AH390">
            <v>-1057.4414999999999</v>
          </cell>
          <cell r="AI390">
            <v>-1069.5345</v>
          </cell>
          <cell r="AJ390">
            <v>-880.875</v>
          </cell>
          <cell r="AK390">
            <v>-880.875</v>
          </cell>
        </row>
      </sheetData>
      <sheetData sheetId="3">
        <row r="7">
          <cell r="A7" t="str">
            <v>ELIMKORR_F</v>
          </cell>
          <cell r="B7" t="str">
            <v>TJ</v>
          </cell>
          <cell r="C7" t="str">
            <v>elc</v>
          </cell>
          <cell r="D7" t="str">
            <v>fut</v>
          </cell>
          <cell r="G7">
            <v>-17699.986874130427</v>
          </cell>
          <cell r="J7">
            <v>5443.9645313039146</v>
          </cell>
          <cell r="K7">
            <v>4048.9977263672035</v>
          </cell>
          <cell r="L7">
            <v>2987.0857579754147</v>
          </cell>
          <cell r="M7">
            <v>15164.342632327003</v>
          </cell>
          <cell r="N7">
            <v>10648.579917085535</v>
          </cell>
          <cell r="O7">
            <v>-2118.3202310976999</v>
          </cell>
          <cell r="P7">
            <v>6685.9008179318498</v>
          </cell>
          <cell r="Q7">
            <v>1479.64745517136</v>
          </cell>
          <cell r="R7">
            <v>1535.8811274990314</v>
          </cell>
          <cell r="S7">
            <v>1424.9505756719122</v>
          </cell>
          <cell r="T7">
            <v>199.55423926904618</v>
          </cell>
          <cell r="U7">
            <v>36.156322383940193</v>
          </cell>
          <cell r="V7">
            <v>977.33935708398451</v>
          </cell>
          <cell r="W7">
            <v>1747.2838430865522</v>
          </cell>
          <cell r="X7">
            <v>4975.9828801234189</v>
          </cell>
          <cell r="Y7">
            <v>3420.6298843407399</v>
          </cell>
          <cell r="Z7">
            <v>1322.2202047618694</v>
          </cell>
          <cell r="AA7">
            <v>578.85080158446817</v>
          </cell>
          <cell r="AB7">
            <v>-902.99846355380316</v>
          </cell>
          <cell r="AC7">
            <v>-15448.43</v>
          </cell>
          <cell r="AD7">
            <v>890.68</v>
          </cell>
          <cell r="AE7">
            <v>-4555.28</v>
          </cell>
          <cell r="AF7">
            <v>-1354</v>
          </cell>
          <cell r="AG7">
            <v>365</v>
          </cell>
          <cell r="AH7">
            <v>298</v>
          </cell>
          <cell r="AI7">
            <v>0</v>
          </cell>
          <cell r="AJ7">
            <v>675</v>
          </cell>
          <cell r="AK7">
            <v>179</v>
          </cell>
          <cell r="AM7" t="str">
            <v>Eltra og Elkraft; 2001-2002: Energistyrelsen</v>
          </cell>
          <cell r="AN7" t="str">
            <v>Oplysninger fra SOxNOx-rapport</v>
          </cell>
        </row>
        <row r="8">
          <cell r="A8" t="str">
            <v>ELIMKORR_ORI</v>
          </cell>
          <cell r="B8" t="str">
            <v>TJ</v>
          </cell>
          <cell r="C8" t="str">
            <v>elc</v>
          </cell>
          <cell r="D8" t="str">
            <v>ori</v>
          </cell>
          <cell r="G8">
            <v>0</v>
          </cell>
          <cell r="J8">
            <v>0</v>
          </cell>
          <cell r="K8">
            <v>0</v>
          </cell>
          <cell r="L8">
            <v>0</v>
          </cell>
          <cell r="M8">
            <v>0</v>
          </cell>
          <cell r="N8">
            <v>0</v>
          </cell>
          <cell r="O8">
            <v>0</v>
          </cell>
          <cell r="P8">
            <v>0</v>
          </cell>
          <cell r="Q8">
            <v>0</v>
          </cell>
          <cell r="R8">
            <v>0</v>
          </cell>
          <cell r="S8">
            <v>0</v>
          </cell>
          <cell r="T8">
            <v>0</v>
          </cell>
          <cell r="U8">
            <v>0</v>
          </cell>
          <cell r="V8">
            <v>0</v>
          </cell>
          <cell r="W8">
            <v>0</v>
          </cell>
          <cell r="X8">
            <v>0</v>
          </cell>
          <cell r="Y8">
            <v>0</v>
          </cell>
          <cell r="Z8">
            <v>0</v>
          </cell>
          <cell r="AA8">
            <v>0</v>
          </cell>
          <cell r="AB8">
            <v>0</v>
          </cell>
          <cell r="AC8">
            <v>0</v>
          </cell>
          <cell r="AD8">
            <v>287.22274256923242</v>
          </cell>
          <cell r="AE8">
            <v>-11160.240977863708</v>
          </cell>
          <cell r="AF8">
            <v>-3566</v>
          </cell>
          <cell r="AG8">
            <v>392</v>
          </cell>
          <cell r="AH8">
            <v>0</v>
          </cell>
          <cell r="AI8">
            <v>2294</v>
          </cell>
          <cell r="AJ8">
            <v>5079</v>
          </cell>
          <cell r="AK8">
            <v>1278</v>
          </cell>
          <cell r="AM8" t="str">
            <v>Eltra og Elkraft</v>
          </cell>
          <cell r="AN8" t="str">
            <v>Oplysninger fra SOxNOx-rapport</v>
          </cell>
        </row>
        <row r="9">
          <cell r="A9" t="str">
            <v>ELIMKORR_NG</v>
          </cell>
          <cell r="B9" t="str">
            <v>TJ</v>
          </cell>
          <cell r="C9" t="str">
            <v>elc</v>
          </cell>
          <cell r="D9" t="str">
            <v>nga</v>
          </cell>
          <cell r="G9">
            <v>0</v>
          </cell>
          <cell r="J9">
            <v>0</v>
          </cell>
          <cell r="K9">
            <v>0</v>
          </cell>
          <cell r="L9">
            <v>0</v>
          </cell>
          <cell r="M9">
            <v>0</v>
          </cell>
          <cell r="N9">
            <v>0</v>
          </cell>
          <cell r="O9">
            <v>0</v>
          </cell>
          <cell r="P9">
            <v>0</v>
          </cell>
          <cell r="Q9">
            <v>0</v>
          </cell>
          <cell r="R9">
            <v>0</v>
          </cell>
          <cell r="S9">
            <v>0</v>
          </cell>
          <cell r="T9">
            <v>46.105236255057676</v>
          </cell>
          <cell r="U9">
            <v>13.690855189824463</v>
          </cell>
          <cell r="V9">
            <v>485.2375094860638</v>
          </cell>
          <cell r="W9">
            <v>1145.3859309856537</v>
          </cell>
          <cell r="X9">
            <v>2897</v>
          </cell>
          <cell r="Y9">
            <v>1915.9321654960343</v>
          </cell>
          <cell r="Z9">
            <v>113.90229443653202</v>
          </cell>
          <cell r="AA9">
            <v>680.27447680250248</v>
          </cell>
          <cell r="AB9">
            <v>329.79155130430058</v>
          </cell>
          <cell r="AC9">
            <v>0</v>
          </cell>
          <cell r="AD9">
            <v>0</v>
          </cell>
          <cell r="AE9">
            <v>-47.67</v>
          </cell>
          <cell r="AF9">
            <v>0</v>
          </cell>
          <cell r="AG9">
            <v>0</v>
          </cell>
          <cell r="AH9">
            <v>0</v>
          </cell>
          <cell r="AI9">
            <v>0</v>
          </cell>
          <cell r="AJ9">
            <v>-999</v>
          </cell>
          <cell r="AK9">
            <v>-1715</v>
          </cell>
          <cell r="AM9" t="str">
            <v>Eltra og Elkraft</v>
          </cell>
          <cell r="AN9" t="str">
            <v>Oplysninger fra SOxNOx-rapport</v>
          </cell>
        </row>
        <row r="10">
          <cell r="A10" t="str">
            <v>ELIMKORR_KUVH</v>
          </cell>
          <cell r="B10" t="str">
            <v>TJ</v>
          </cell>
          <cell r="C10" t="str">
            <v>elc</v>
          </cell>
          <cell r="D10" t="str">
            <v>kul</v>
          </cell>
          <cell r="G10">
            <v>-5014.6961274825571</v>
          </cell>
          <cell r="J10">
            <v>3013.2801784349085</v>
          </cell>
          <cell r="K10">
            <v>3647.1324899810052</v>
          </cell>
          <cell r="L10">
            <v>2950.7167600065713</v>
          </cell>
          <cell r="M10">
            <v>20397.979872103006</v>
          </cell>
          <cell r="N10">
            <v>19929.129458660991</v>
          </cell>
          <cell r="O10">
            <v>-9857.4794267355519</v>
          </cell>
          <cell r="P10">
            <v>46793.350072023248</v>
          </cell>
          <cell r="Q10">
            <v>17922.719343669065</v>
          </cell>
          <cell r="R10">
            <v>38410.244055216397</v>
          </cell>
          <cell r="S10">
            <v>44316.385453442526</v>
          </cell>
          <cell r="T10">
            <v>4005.729688677653</v>
          </cell>
          <cell r="U10">
            <v>686.87683254999013</v>
          </cell>
          <cell r="V10">
            <v>21184.913133429949</v>
          </cell>
          <cell r="W10">
            <v>36135.230225927793</v>
          </cell>
          <cell r="X10">
            <v>79289.017119876575</v>
          </cell>
          <cell r="Y10">
            <v>62355.617950163229</v>
          </cell>
          <cell r="Z10">
            <v>-17551.122499198402</v>
          </cell>
          <cell r="AA10">
            <v>30051.874721613029</v>
          </cell>
          <cell r="AB10">
            <v>11787.846912249503</v>
          </cell>
          <cell r="AC10">
            <v>-27349.64</v>
          </cell>
          <cell r="AD10">
            <v>-8236.1427425692327</v>
          </cell>
          <cell r="AE10">
            <v>-125274.17902213629</v>
          </cell>
          <cell r="AF10">
            <v>-58990</v>
          </cell>
          <cell r="AG10">
            <v>-39738</v>
          </cell>
          <cell r="AH10">
            <v>-20429</v>
          </cell>
          <cell r="AI10">
            <v>5006</v>
          </cell>
          <cell r="AJ10">
            <v>-8179</v>
          </cell>
          <cell r="AK10">
            <v>-17111</v>
          </cell>
          <cell r="AM10" t="str">
            <v>Eltra og Elkraft</v>
          </cell>
          <cell r="AN10" t="str">
            <v>Oplysninger fra SOxNOx-rapport</v>
          </cell>
        </row>
      </sheetData>
      <sheetData sheetId="4"/>
      <sheetData sheetId="5"/>
      <sheetData sheetId="6"/>
      <sheetData sheetId="7"/>
      <sheetData sheetId="8"/>
      <sheetData sheetId="9"/>
      <sheetData sheetId="10"/>
      <sheetData sheetId="11"/>
      <sheetData sheetId="12"/>
      <sheetData sheetId="13" refreshError="1"/>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Main Menu"/>
      <sheetName val="Gross Energy Consumption (adj.)"/>
      <sheetName val="Total Consumption (adj.)"/>
      <sheetName val="Agriculture and Industry (adj.)"/>
      <sheetName val="Commercial and Public (adj) "/>
      <sheetName val="Households (adj.)"/>
      <sheetName val="Space Heating (adj.)"/>
      <sheetName val="Net Space Heating (adj.)"/>
      <sheetName val="Electricity Consumption (adj.)"/>
      <sheetName val="Emissions (adj.)"/>
      <sheetName val="Gross Energy Consumption (obs.)"/>
      <sheetName val="Energy Sector"/>
      <sheetName val="Final Energy Consumption (obs.)"/>
      <sheetName val="Transport (obs.)"/>
      <sheetName val="Agriculture and Industry (obs.)"/>
      <sheetName val="Commercial and Public (obs.) "/>
      <sheetName val="Households (obs.)"/>
      <sheetName val="Space Heating (obs.)"/>
      <sheetName val="Net Space Heating (obs.)"/>
      <sheetName val="Electricity Consumption (obs.)"/>
      <sheetName val="Emissions (obs.)"/>
      <sheetName val="Primary Energy Production"/>
      <sheetName val="Renewable Energy "/>
      <sheetName val="Electricity Production"/>
      <sheetName val="Fuels Used in El. Production"/>
      <sheetName val="Heat Production"/>
      <sheetName val="Fuels Used in Heat Production"/>
      <sheetName val="Gas Works"/>
      <sheetName val="Energy Balance"/>
      <sheetName val="Detailed Supply and Consumption"/>
      <sheetName val="Assumptions"/>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Set>
  </externalBook>
</externalLink>
</file>

<file path=xl/externalLinks/externalLink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Pivot2002"/>
      <sheetName val="Pivot2001"/>
      <sheetName val="Tidsserier"/>
      <sheetName val="Rådata"/>
      <sheetName val="Beregn"/>
      <sheetName val="DStFordel"/>
      <sheetName val="Fordel"/>
      <sheetName val="EPdata_int"/>
      <sheetName val="EPdata_dk"/>
      <sheetName val="Kapacitet"/>
      <sheetName val="Naturgas"/>
      <sheetName val="1997b"/>
      <sheetName val="1996b"/>
    </sheetNames>
    <sheetDataSet>
      <sheetData sheetId="0"/>
      <sheetData sheetId="1"/>
      <sheetData sheetId="2"/>
      <sheetData sheetId="3">
        <row r="28">
          <cell r="A28" t="str">
            <v>RVEFTY_RO</v>
          </cell>
          <cell r="B28" t="str">
            <v>tons</v>
          </cell>
          <cell r="C28" t="str">
            <v>i</v>
          </cell>
          <cell r="J28">
            <v>9294370</v>
          </cell>
          <cell r="K28">
            <v>9110925</v>
          </cell>
          <cell r="L28">
            <v>9175319</v>
          </cell>
          <cell r="M28">
            <v>8006691</v>
          </cell>
          <cell r="N28">
            <v>8589440.3278688509</v>
          </cell>
          <cell r="O28">
            <v>6400182.0000000009</v>
          </cell>
          <cell r="P28">
            <v>5770188</v>
          </cell>
          <cell r="Q28">
            <v>5187130</v>
          </cell>
          <cell r="R28">
            <v>6274564</v>
          </cell>
          <cell r="S28">
            <v>6782254.0000000009</v>
          </cell>
          <cell r="T28">
            <v>6557735</v>
          </cell>
          <cell r="U28">
            <v>7135013.2665094342</v>
          </cell>
          <cell r="V28">
            <v>7003793.5141509436</v>
          </cell>
          <cell r="W28">
            <v>7332320.5188679257</v>
          </cell>
          <cell r="X28">
            <v>7551037.1462264154</v>
          </cell>
          <cell r="Y28">
            <v>7280235.9669811325</v>
          </cell>
          <cell r="Z28">
            <v>7815914.3867924521</v>
          </cell>
          <cell r="AA28">
            <v>8343370.4599056607</v>
          </cell>
          <cell r="AB28">
            <v>8355854.8009367688</v>
          </cell>
          <cell r="AC28">
            <v>8564355.9718969557</v>
          </cell>
          <cell r="AD28">
            <v>9726229.5081967209</v>
          </cell>
          <cell r="AE28">
            <v>10539718.969555033</v>
          </cell>
          <cell r="AF28">
            <v>8620477</v>
          </cell>
          <cell r="AG28">
            <v>7764293</v>
          </cell>
          <cell r="AH28">
            <v>7888445</v>
          </cell>
          <cell r="AI28">
            <v>8052791.0000000009</v>
          </cell>
          <cell r="AJ28">
            <v>7958019.0000000009</v>
          </cell>
          <cell r="AK28">
            <v>7721397</v>
          </cell>
          <cell r="AM28" t="str">
            <v>ENS: ERSO / Oliebalance</v>
          </cell>
        </row>
        <row r="36">
          <cell r="A36" t="str">
            <v>RVEFTY_HF</v>
          </cell>
          <cell r="B36" t="str">
            <v>tons</v>
          </cell>
          <cell r="C36" t="str">
            <v>i</v>
          </cell>
          <cell r="J36">
            <v>-89466</v>
          </cell>
          <cell r="K36">
            <v>235644</v>
          </cell>
          <cell r="L36">
            <v>-122674</v>
          </cell>
          <cell r="M36">
            <v>68692</v>
          </cell>
          <cell r="N36">
            <v>217446</v>
          </cell>
          <cell r="O36">
            <v>249102</v>
          </cell>
          <cell r="P36">
            <v>459149</v>
          </cell>
          <cell r="Q36">
            <v>843648</v>
          </cell>
          <cell r="R36">
            <v>672711</v>
          </cell>
          <cell r="S36">
            <v>559920</v>
          </cell>
          <cell r="T36" t="e">
            <v>#REF!</v>
          </cell>
          <cell r="U36">
            <v>617785</v>
          </cell>
          <cell r="V36">
            <v>640908</v>
          </cell>
          <cell r="W36">
            <v>642296</v>
          </cell>
          <cell r="X36">
            <v>835883</v>
          </cell>
          <cell r="Y36">
            <v>659088</v>
          </cell>
          <cell r="Z36">
            <v>407321</v>
          </cell>
          <cell r="AA36">
            <v>187082</v>
          </cell>
          <cell r="AB36">
            <v>249041</v>
          </cell>
          <cell r="AC36">
            <v>313443</v>
          </cell>
          <cell r="AD36">
            <v>84447.11538461539</v>
          </cell>
          <cell r="AE36">
            <v>140515</v>
          </cell>
          <cell r="AF36">
            <v>7227</v>
          </cell>
          <cell r="AG36">
            <v>65414</v>
          </cell>
          <cell r="AH36">
            <v>254122</v>
          </cell>
          <cell r="AI36">
            <v>235724</v>
          </cell>
          <cell r="AJ36">
            <v>185366</v>
          </cell>
          <cell r="AK36">
            <v>201492</v>
          </cell>
          <cell r="AM36" t="str">
            <v>ENS: ERSO / Oliebalance</v>
          </cell>
        </row>
        <row r="40">
          <cell r="A40" t="str">
            <v>OPEPTY_RG</v>
          </cell>
          <cell r="B40" t="str">
            <v>tons</v>
          </cell>
          <cell r="G40">
            <v>301500</v>
          </cell>
          <cell r="H40">
            <v>0</v>
          </cell>
          <cell r="I40">
            <v>0</v>
          </cell>
          <cell r="J40">
            <v>287329</v>
          </cell>
          <cell r="K40">
            <v>264284</v>
          </cell>
          <cell r="L40">
            <v>274557</v>
          </cell>
          <cell r="M40">
            <v>231461</v>
          </cell>
          <cell r="N40">
            <v>246737</v>
          </cell>
          <cell r="O40">
            <v>202740</v>
          </cell>
          <cell r="P40">
            <v>214565</v>
          </cell>
          <cell r="Q40">
            <v>194499</v>
          </cell>
          <cell r="R40">
            <v>217983</v>
          </cell>
          <cell r="S40">
            <v>234385</v>
          </cell>
          <cell r="T40">
            <v>211764.70588235295</v>
          </cell>
          <cell r="U40">
            <v>253230.76923076919</v>
          </cell>
          <cell r="V40">
            <v>254865.3846153846</v>
          </cell>
          <cell r="W40">
            <v>261903.84615384616</v>
          </cell>
          <cell r="X40">
            <v>281384.61538461538</v>
          </cell>
          <cell r="Y40">
            <v>272480.76923076925</v>
          </cell>
          <cell r="Z40">
            <v>279557.69230769231</v>
          </cell>
          <cell r="AA40">
            <v>285865.38461538462</v>
          </cell>
          <cell r="AB40">
            <v>296250</v>
          </cell>
          <cell r="AC40">
            <v>305673.07692307694</v>
          </cell>
          <cell r="AD40">
            <v>372019.23076923075</v>
          </cell>
          <cell r="AE40">
            <v>412323</v>
          </cell>
          <cell r="AF40">
            <v>325102</v>
          </cell>
          <cell r="AG40">
            <v>292795</v>
          </cell>
          <cell r="AH40">
            <v>302381</v>
          </cell>
          <cell r="AI40">
            <v>299159</v>
          </cell>
          <cell r="AJ40">
            <v>302989</v>
          </cell>
          <cell r="AK40">
            <v>292250</v>
          </cell>
          <cell r="AM40" t="str">
            <v>ENS: ERSO / Oliebalance</v>
          </cell>
        </row>
        <row r="44">
          <cell r="A44" t="str">
            <v>OPEPTY_LPG</v>
          </cell>
          <cell r="B44" t="str">
            <v>tons</v>
          </cell>
          <cell r="C44" t="str">
            <v>i</v>
          </cell>
          <cell r="J44">
            <v>282374</v>
          </cell>
          <cell r="K44">
            <v>280718</v>
          </cell>
          <cell r="L44">
            <v>317574</v>
          </cell>
          <cell r="M44">
            <v>139304</v>
          </cell>
          <cell r="N44">
            <v>131795</v>
          </cell>
          <cell r="O44">
            <v>104478.84861407249</v>
          </cell>
          <cell r="P44">
            <v>108492</v>
          </cell>
          <cell r="Q44">
            <v>116973</v>
          </cell>
          <cell r="R44">
            <v>128799</v>
          </cell>
          <cell r="S44">
            <v>144343</v>
          </cell>
          <cell r="T44">
            <v>130898</v>
          </cell>
          <cell r="U44">
            <v>162086.95652173914</v>
          </cell>
          <cell r="V44">
            <v>162391.30434782608</v>
          </cell>
          <cell r="W44">
            <v>151369.5652173913</v>
          </cell>
          <cell r="X44">
            <v>139891.30434782608</v>
          </cell>
          <cell r="Y44">
            <v>142934.78260869565</v>
          </cell>
          <cell r="Z44">
            <v>142478.26086956522</v>
          </cell>
          <cell r="AA44">
            <v>129239.13043478261</v>
          </cell>
          <cell r="AB44">
            <v>134086.95652173914</v>
          </cell>
          <cell r="AC44">
            <v>145108.69565217392</v>
          </cell>
          <cell r="AD44">
            <v>147978.26086956522</v>
          </cell>
          <cell r="AE44">
            <v>161313</v>
          </cell>
          <cell r="AF44">
            <v>186279</v>
          </cell>
          <cell r="AG44">
            <v>137102</v>
          </cell>
          <cell r="AH44">
            <v>157754</v>
          </cell>
          <cell r="AI44">
            <v>175176</v>
          </cell>
          <cell r="AJ44">
            <v>166885</v>
          </cell>
          <cell r="AK44">
            <v>163193</v>
          </cell>
          <cell r="AM44" t="str">
            <v>ENS: ERSO / Oliebalance</v>
          </cell>
        </row>
        <row r="49">
          <cell r="A49" t="str">
            <v>OPFRTY_LPG</v>
          </cell>
          <cell r="B49" t="str">
            <v>tons</v>
          </cell>
          <cell r="C49" t="str">
            <v>i</v>
          </cell>
          <cell r="G49">
            <v>0</v>
          </cell>
          <cell r="H49">
            <v>0</v>
          </cell>
          <cell r="I49">
            <v>0</v>
          </cell>
          <cell r="J49">
            <v>23461</v>
          </cell>
          <cell r="K49">
            <v>15112</v>
          </cell>
          <cell r="L49">
            <v>12764</v>
          </cell>
          <cell r="M49">
            <v>2279</v>
          </cell>
          <cell r="N49">
            <v>0</v>
          </cell>
          <cell r="O49">
            <v>0</v>
          </cell>
          <cell r="P49">
            <v>0</v>
          </cell>
          <cell r="Q49">
            <v>0</v>
          </cell>
          <cell r="R49">
            <v>0</v>
          </cell>
          <cell r="S49">
            <v>0</v>
          </cell>
          <cell r="T49">
            <v>0</v>
          </cell>
          <cell r="U49">
            <v>0</v>
          </cell>
          <cell r="V49">
            <v>0</v>
          </cell>
          <cell r="W49">
            <v>0</v>
          </cell>
          <cell r="X49">
            <v>0</v>
          </cell>
          <cell r="Y49">
            <v>0</v>
          </cell>
          <cell r="Z49">
            <v>0</v>
          </cell>
          <cell r="AA49">
            <v>100</v>
          </cell>
          <cell r="AB49">
            <v>0</v>
          </cell>
          <cell r="AC49">
            <v>174</v>
          </cell>
          <cell r="AD49">
            <v>327</v>
          </cell>
          <cell r="AE49">
            <v>449</v>
          </cell>
          <cell r="AF49">
            <v>402</v>
          </cell>
          <cell r="AG49">
            <v>0</v>
          </cell>
          <cell r="AH49">
            <v>0</v>
          </cell>
          <cell r="AI49">
            <v>0</v>
          </cell>
          <cell r="AJ49">
            <v>0</v>
          </cell>
          <cell r="AK49">
            <v>0</v>
          </cell>
          <cell r="AM49" t="str">
            <v>ENS: ERSO / Oliebalance</v>
          </cell>
        </row>
        <row r="53">
          <cell r="A53" t="str">
            <v>OPEPTY_LVN</v>
          </cell>
          <cell r="B53" t="str">
            <v>tons</v>
          </cell>
          <cell r="C53" t="str">
            <v>i</v>
          </cell>
          <cell r="J53">
            <v>-122800</v>
          </cell>
          <cell r="K53">
            <v>-208537</v>
          </cell>
          <cell r="L53">
            <v>-188182</v>
          </cell>
          <cell r="M53">
            <v>47102</v>
          </cell>
          <cell r="N53">
            <v>93385</v>
          </cell>
          <cell r="O53">
            <v>109179.47126436782</v>
          </cell>
          <cell r="P53">
            <v>76486</v>
          </cell>
          <cell r="Q53">
            <v>104268</v>
          </cell>
          <cell r="R53">
            <v>117181</v>
          </cell>
          <cell r="S53">
            <v>145469</v>
          </cell>
          <cell r="T53">
            <v>153727</v>
          </cell>
          <cell r="U53">
            <v>180719.10112359549</v>
          </cell>
          <cell r="V53">
            <v>184764.04494382019</v>
          </cell>
          <cell r="W53">
            <v>242000</v>
          </cell>
          <cell r="X53">
            <v>283707.86516853934</v>
          </cell>
          <cell r="Y53">
            <v>250853.9325842697</v>
          </cell>
          <cell r="Z53">
            <v>150426.96629213484</v>
          </cell>
          <cell r="AA53">
            <v>130741.57303370787</v>
          </cell>
          <cell r="AB53">
            <v>148786.51685393261</v>
          </cell>
          <cell r="AC53">
            <v>137033.70786516852</v>
          </cell>
          <cell r="AD53">
            <v>144674.15730337077</v>
          </cell>
          <cell r="AE53">
            <v>197293</v>
          </cell>
          <cell r="AF53">
            <v>63477</v>
          </cell>
          <cell r="AG53">
            <v>11535</v>
          </cell>
          <cell r="AH53">
            <v>0</v>
          </cell>
          <cell r="AI53">
            <v>5532</v>
          </cell>
          <cell r="AJ53">
            <v>5064</v>
          </cell>
          <cell r="AK53">
            <v>0</v>
          </cell>
          <cell r="AM53" t="str">
            <v>ENS: ERSO / Oliebalance</v>
          </cell>
        </row>
        <row r="61">
          <cell r="A61" t="str">
            <v>OPEPMY_BZFLY</v>
          </cell>
          <cell r="B61" t="str">
            <v>m3</v>
          </cell>
          <cell r="C61" t="str">
            <v>i</v>
          </cell>
          <cell r="O61">
            <v>0</v>
          </cell>
          <cell r="U61">
            <v>0</v>
          </cell>
          <cell r="V61">
            <v>0</v>
          </cell>
          <cell r="W61">
            <v>0</v>
          </cell>
          <cell r="X61">
            <v>0</v>
          </cell>
          <cell r="Y61">
            <v>0</v>
          </cell>
          <cell r="Z61">
            <v>0</v>
          </cell>
          <cell r="AA61">
            <v>0</v>
          </cell>
          <cell r="AB61">
            <v>0</v>
          </cell>
          <cell r="AC61">
            <v>0</v>
          </cell>
          <cell r="AD61">
            <v>0</v>
          </cell>
          <cell r="AE61">
            <v>0</v>
          </cell>
          <cell r="AF61">
            <v>0</v>
          </cell>
          <cell r="AG61">
            <v>0</v>
          </cell>
          <cell r="AH61">
            <v>0</v>
          </cell>
          <cell r="AI61">
            <v>0</v>
          </cell>
          <cell r="AJ61">
            <v>0</v>
          </cell>
          <cell r="AK61">
            <v>0</v>
          </cell>
          <cell r="AM61" t="str">
            <v>ENS: ERSO / Oliebalance</v>
          </cell>
        </row>
        <row r="69">
          <cell r="A69" t="str">
            <v>OPEPMY_BZ</v>
          </cell>
          <cell r="B69" t="str">
            <v>m3</v>
          </cell>
          <cell r="C69" t="str">
            <v>i</v>
          </cell>
          <cell r="O69">
            <v>1484959.9586206896</v>
          </cell>
          <cell r="P69">
            <v>0</v>
          </cell>
          <cell r="Q69">
            <v>0</v>
          </cell>
          <cell r="R69">
            <v>0</v>
          </cell>
          <cell r="S69">
            <v>0</v>
          </cell>
          <cell r="T69">
            <v>0</v>
          </cell>
          <cell r="U69">
            <v>1742648.4018264841</v>
          </cell>
          <cell r="V69">
            <v>1643074.581430746</v>
          </cell>
          <cell r="W69">
            <v>1733120.2435312024</v>
          </cell>
          <cell r="X69">
            <v>1875220.7001522069</v>
          </cell>
          <cell r="Y69">
            <v>1757990.8675799088</v>
          </cell>
          <cell r="Z69">
            <v>2070197.8691019786</v>
          </cell>
          <cell r="AA69">
            <v>2050015.2207001525</v>
          </cell>
          <cell r="AB69">
            <v>1969375.9512937597</v>
          </cell>
          <cell r="AC69">
            <v>2126362.2526636226</v>
          </cell>
          <cell r="AD69">
            <v>2840426.1796042626</v>
          </cell>
          <cell r="AE69">
            <v>3461835</v>
          </cell>
          <cell r="AF69">
            <v>3123562</v>
          </cell>
          <cell r="AG69">
            <v>2920324</v>
          </cell>
          <cell r="AH69">
            <v>3032211</v>
          </cell>
          <cell r="AI69">
            <v>3036806</v>
          </cell>
          <cell r="AJ69">
            <v>2985960</v>
          </cell>
          <cell r="AK69">
            <v>2765246</v>
          </cell>
          <cell r="AM69" t="str">
            <v>ENS: ERSO / Oliebalance</v>
          </cell>
        </row>
        <row r="85">
          <cell r="A85" t="str">
            <v>OPEPMY_BZJP4</v>
          </cell>
          <cell r="B85" t="str">
            <v>m3</v>
          </cell>
          <cell r="C85" t="str">
            <v>i</v>
          </cell>
          <cell r="J85">
            <v>0</v>
          </cell>
          <cell r="K85">
            <v>0</v>
          </cell>
          <cell r="L85">
            <v>0</v>
          </cell>
          <cell r="M85">
            <v>0</v>
          </cell>
          <cell r="N85">
            <v>0</v>
          </cell>
          <cell r="O85">
            <v>0</v>
          </cell>
          <cell r="P85">
            <v>0</v>
          </cell>
          <cell r="Q85">
            <v>0</v>
          </cell>
          <cell r="R85">
            <v>0</v>
          </cell>
          <cell r="S85">
            <v>0</v>
          </cell>
          <cell r="T85">
            <v>1690</v>
          </cell>
          <cell r="U85">
            <v>29650.324441240085</v>
          </cell>
          <cell r="V85">
            <v>86037.010334054314</v>
          </cell>
          <cell r="W85">
            <v>0</v>
          </cell>
          <cell r="X85">
            <v>0</v>
          </cell>
          <cell r="Y85">
            <v>0</v>
          </cell>
          <cell r="Z85">
            <v>0</v>
          </cell>
          <cell r="AA85">
            <v>0</v>
          </cell>
          <cell r="AB85">
            <v>0</v>
          </cell>
          <cell r="AC85">
            <v>0</v>
          </cell>
          <cell r="AD85">
            <v>0</v>
          </cell>
          <cell r="AE85">
            <v>0</v>
          </cell>
          <cell r="AF85">
            <v>0</v>
          </cell>
          <cell r="AG85">
            <v>0</v>
          </cell>
          <cell r="AH85">
            <v>0</v>
          </cell>
          <cell r="AI85">
            <v>0</v>
          </cell>
          <cell r="AJ85">
            <v>0</v>
          </cell>
          <cell r="AK85">
            <v>0</v>
          </cell>
          <cell r="AM85" t="str">
            <v>ENS: ERSO / Oliebalance</v>
          </cell>
        </row>
        <row r="93">
          <cell r="A93" t="str">
            <v>OPEPMY_PETR</v>
          </cell>
          <cell r="B93" t="str">
            <v>m3</v>
          </cell>
          <cell r="C93" t="str">
            <v>i</v>
          </cell>
          <cell r="J93">
            <v>129553.84615384616</v>
          </cell>
          <cell r="K93">
            <v>128782.56410256411</v>
          </cell>
          <cell r="L93">
            <v>125877.94871794872</v>
          </cell>
          <cell r="M93">
            <v>104784</v>
          </cell>
          <cell r="N93">
            <v>86465</v>
          </cell>
          <cell r="O93">
            <v>32426</v>
          </cell>
          <cell r="P93">
            <v>8587</v>
          </cell>
          <cell r="Q93">
            <v>11032</v>
          </cell>
          <cell r="R93">
            <v>13328</v>
          </cell>
          <cell r="S93">
            <v>69303</v>
          </cell>
          <cell r="T93">
            <v>20099</v>
          </cell>
          <cell r="U93">
            <v>28045.977011494251</v>
          </cell>
          <cell r="V93">
            <v>54166.666666666672</v>
          </cell>
          <cell r="W93">
            <v>58965.517241379304</v>
          </cell>
          <cell r="X93">
            <v>65718.3908045977</v>
          </cell>
          <cell r="Y93">
            <v>95172.413793103435</v>
          </cell>
          <cell r="Z93">
            <v>33965.517241379304</v>
          </cell>
          <cell r="AA93">
            <v>27528.735632183903</v>
          </cell>
          <cell r="AB93">
            <v>13333.333333333334</v>
          </cell>
          <cell r="AC93">
            <v>30287.356321839081</v>
          </cell>
          <cell r="AD93">
            <v>0</v>
          </cell>
          <cell r="AE93">
            <v>0</v>
          </cell>
          <cell r="AF93">
            <v>0</v>
          </cell>
          <cell r="AG93">
            <v>0</v>
          </cell>
          <cell r="AH93">
            <v>0</v>
          </cell>
          <cell r="AI93">
            <v>0</v>
          </cell>
          <cell r="AJ93">
            <v>0</v>
          </cell>
          <cell r="AK93">
            <v>0</v>
          </cell>
          <cell r="AM93" t="str">
            <v>ENS: ERSO / Oliebalance</v>
          </cell>
        </row>
        <row r="101">
          <cell r="A101" t="str">
            <v>OPEPMY_JP1</v>
          </cell>
          <cell r="B101" t="str">
            <v>m3</v>
          </cell>
          <cell r="C101" t="str">
            <v>i</v>
          </cell>
          <cell r="J101">
            <v>7170.4</v>
          </cell>
          <cell r="K101">
            <v>0</v>
          </cell>
          <cell r="L101">
            <v>9186.4</v>
          </cell>
          <cell r="M101">
            <v>10476.799999999999</v>
          </cell>
          <cell r="N101">
            <v>8400.7999999999993</v>
          </cell>
          <cell r="O101">
            <v>12354</v>
          </cell>
          <cell r="P101">
            <v>6107.2</v>
          </cell>
          <cell r="Q101">
            <v>22047.200000000001</v>
          </cell>
          <cell r="R101">
            <v>34276.800000000003</v>
          </cell>
          <cell r="S101">
            <v>83329.600000000006</v>
          </cell>
          <cell r="T101">
            <v>124438.39999999999</v>
          </cell>
          <cell r="U101">
            <v>232729.88505747126</v>
          </cell>
          <cell r="V101">
            <v>184540.22988505743</v>
          </cell>
          <cell r="W101">
            <v>289856.32183908042</v>
          </cell>
          <cell r="X101">
            <v>310775.86206896545</v>
          </cell>
          <cell r="Y101">
            <v>311810.34482758626</v>
          </cell>
          <cell r="Z101">
            <v>234022.98850574714</v>
          </cell>
          <cell r="AA101">
            <v>184166.66666666666</v>
          </cell>
          <cell r="AB101">
            <v>249454.02298850569</v>
          </cell>
          <cell r="AC101">
            <v>280344.8275862069</v>
          </cell>
          <cell r="AD101">
            <v>344626.43678160914</v>
          </cell>
          <cell r="AE101">
            <v>514036</v>
          </cell>
          <cell r="AF101">
            <v>538534</v>
          </cell>
          <cell r="AG101">
            <v>473081</v>
          </cell>
          <cell r="AH101">
            <v>649009</v>
          </cell>
          <cell r="AI101">
            <v>620490</v>
          </cell>
          <cell r="AJ101">
            <v>678164</v>
          </cell>
          <cell r="AK101">
            <v>661213</v>
          </cell>
          <cell r="AM101" t="str">
            <v>ENS: ERSO / Oliebalance</v>
          </cell>
        </row>
        <row r="109">
          <cell r="A109" t="str">
            <v>OPEPMY_GASD</v>
          </cell>
          <cell r="B109" t="str">
            <v>m3</v>
          </cell>
          <cell r="C109" t="str">
            <v>i</v>
          </cell>
          <cell r="J109">
            <v>3572851.7647058824</v>
          </cell>
          <cell r="K109">
            <v>3876360</v>
          </cell>
          <cell r="L109">
            <v>3970341.5827338127</v>
          </cell>
          <cell r="M109">
            <v>3932893</v>
          </cell>
          <cell r="N109">
            <v>5277554</v>
          </cell>
          <cell r="O109">
            <v>3319693</v>
          </cell>
          <cell r="P109">
            <v>3179883</v>
          </cell>
          <cell r="Q109">
            <v>3093914</v>
          </cell>
          <cell r="R109">
            <v>3568355</v>
          </cell>
          <cell r="S109">
            <v>3726180</v>
          </cell>
          <cell r="T109">
            <v>3591671</v>
          </cell>
          <cell r="U109">
            <v>3976497.1562395445</v>
          </cell>
          <cell r="V109">
            <v>3761291.4018066241</v>
          </cell>
          <cell r="W109">
            <v>3862830.3780528605</v>
          </cell>
          <cell r="X109">
            <v>4046699.0074718413</v>
          </cell>
          <cell r="Y109">
            <v>3916917.5867068134</v>
          </cell>
          <cell r="Z109">
            <v>4452297.3123675697</v>
          </cell>
          <cell r="AA109">
            <v>4761319.2818110846</v>
          </cell>
          <cell r="AB109">
            <v>4677511.9884019177</v>
          </cell>
          <cell r="AC109">
            <v>4895505.7432809193</v>
          </cell>
          <cell r="AD109">
            <v>5080712.6129140183</v>
          </cell>
          <cell r="AE109">
            <v>5316996</v>
          </cell>
          <cell r="AF109">
            <v>4243401</v>
          </cell>
          <cell r="AG109">
            <v>3862021</v>
          </cell>
          <cell r="AH109">
            <v>3896337</v>
          </cell>
          <cell r="AI109">
            <v>3880499</v>
          </cell>
          <cell r="AJ109">
            <v>3833561</v>
          </cell>
          <cell r="AK109">
            <v>3878563</v>
          </cell>
          <cell r="AM109" t="str">
            <v>ENS: ERSO / Oliebalance</v>
          </cell>
        </row>
        <row r="115">
          <cell r="A115" t="str">
            <v>OPFRMY_GASD</v>
          </cell>
          <cell r="B115" t="str">
            <v>m3</v>
          </cell>
          <cell r="C115" t="str">
            <v>i</v>
          </cell>
          <cell r="G115">
            <v>0</v>
          </cell>
          <cell r="H115">
            <v>0</v>
          </cell>
          <cell r="I115">
            <v>0</v>
          </cell>
          <cell r="J115">
            <v>527.00012089144786</v>
          </cell>
          <cell r="K115">
            <v>25.000070285725531</v>
          </cell>
          <cell r="L115">
            <v>60.00005616116006</v>
          </cell>
          <cell r="M115">
            <v>0</v>
          </cell>
          <cell r="N115">
            <v>0</v>
          </cell>
          <cell r="O115">
            <v>0</v>
          </cell>
          <cell r="P115">
            <v>0</v>
          </cell>
          <cell r="Q115">
            <v>0</v>
          </cell>
          <cell r="R115">
            <v>0</v>
          </cell>
          <cell r="S115">
            <v>0</v>
          </cell>
          <cell r="T115">
            <v>0</v>
          </cell>
          <cell r="U115">
            <v>122.00011152001784</v>
          </cell>
          <cell r="V115">
            <v>36.000055760008919</v>
          </cell>
          <cell r="W115">
            <v>0</v>
          </cell>
          <cell r="X115">
            <v>0</v>
          </cell>
          <cell r="Y115">
            <v>0</v>
          </cell>
          <cell r="Z115">
            <v>1116.0000557600088</v>
          </cell>
          <cell r="AA115">
            <v>1240</v>
          </cell>
          <cell r="AB115">
            <v>812.00011152001787</v>
          </cell>
          <cell r="AC115">
            <v>1375</v>
          </cell>
          <cell r="AD115">
            <v>928.99994423999112</v>
          </cell>
          <cell r="AE115">
            <v>610</v>
          </cell>
          <cell r="AF115">
            <v>2439</v>
          </cell>
          <cell r="AG115">
            <v>0</v>
          </cell>
          <cell r="AH115">
            <v>0</v>
          </cell>
          <cell r="AI115">
            <v>0</v>
          </cell>
          <cell r="AJ115">
            <v>0</v>
          </cell>
          <cell r="AK115">
            <v>0</v>
          </cell>
          <cell r="AM115" t="str">
            <v>ENS: ERSO / Oliebalance</v>
          </cell>
        </row>
        <row r="129">
          <cell r="A129" t="str">
            <v>OPEPTY_F</v>
          </cell>
          <cell r="B129" t="str">
            <v>tons</v>
          </cell>
          <cell r="C129" t="str">
            <v>i</v>
          </cell>
          <cell r="J129">
            <v>2654843</v>
          </cell>
          <cell r="K129">
            <v>2450321</v>
          </cell>
          <cell r="L129">
            <v>2345944</v>
          </cell>
          <cell r="M129">
            <v>2475784</v>
          </cell>
          <cell r="N129">
            <v>2952128</v>
          </cell>
          <cell r="O129">
            <v>2116106</v>
          </cell>
          <cell r="P129">
            <v>1801333</v>
          </cell>
          <cell r="Q129">
            <v>1851113</v>
          </cell>
          <cell r="R129">
            <v>2062566</v>
          </cell>
          <cell r="S129">
            <v>2178728</v>
          </cell>
          <cell r="T129">
            <v>1993888</v>
          </cell>
          <cell r="U129">
            <v>2155173.2673267326</v>
          </cell>
          <cell r="V129">
            <v>2259876.2376237628</v>
          </cell>
          <cell r="W129">
            <v>2355148.5148514854</v>
          </cell>
          <cell r="X129">
            <v>2434975.2475247527</v>
          </cell>
          <cell r="Y129">
            <v>2220198.0198019804</v>
          </cell>
          <cell r="Z129">
            <v>2067574.2574257425</v>
          </cell>
          <cell r="AA129">
            <v>2188663.3663366335</v>
          </cell>
          <cell r="AB129">
            <v>2358316.8316831682</v>
          </cell>
          <cell r="AC129">
            <v>2283598</v>
          </cell>
          <cell r="AD129">
            <v>2388913</v>
          </cell>
          <cell r="AE129">
            <v>2360430</v>
          </cell>
          <cell r="AF129">
            <v>1678089</v>
          </cell>
          <cell r="AG129">
            <v>1560425</v>
          </cell>
          <cell r="AH129">
            <v>1599182</v>
          </cell>
          <cell r="AI129">
            <v>1716662</v>
          </cell>
          <cell r="AJ129">
            <v>1566929</v>
          </cell>
          <cell r="AK129">
            <v>1574455</v>
          </cell>
          <cell r="AM129" t="str">
            <v>ENS: ERSO / Oliebalance</v>
          </cell>
        </row>
        <row r="135">
          <cell r="A135" t="str">
            <v>OPFRTY_F</v>
          </cell>
          <cell r="B135" t="str">
            <v>tons</v>
          </cell>
          <cell r="C135" t="str">
            <v>i</v>
          </cell>
          <cell r="G135">
            <v>147000</v>
          </cell>
          <cell r="H135">
            <v>0</v>
          </cell>
          <cell r="I135">
            <v>0</v>
          </cell>
          <cell r="J135">
            <v>124194</v>
          </cell>
          <cell r="K135">
            <v>108094</v>
          </cell>
          <cell r="L135">
            <v>94750</v>
          </cell>
          <cell r="M135">
            <v>89451</v>
          </cell>
          <cell r="N135">
            <v>112620</v>
          </cell>
          <cell r="O135">
            <v>88892</v>
          </cell>
          <cell r="P135">
            <v>96185</v>
          </cell>
          <cell r="Q135">
            <v>69860</v>
          </cell>
          <cell r="R135">
            <v>69370</v>
          </cell>
          <cell r="S135">
            <v>69613</v>
          </cell>
          <cell r="T135">
            <v>78561</v>
          </cell>
          <cell r="U135">
            <v>67830</v>
          </cell>
          <cell r="V135">
            <v>53957</v>
          </cell>
          <cell r="W135">
            <v>39754</v>
          </cell>
          <cell r="X135">
            <v>40925</v>
          </cell>
          <cell r="Y135">
            <v>32406</v>
          </cell>
          <cell r="Z135">
            <v>50449</v>
          </cell>
          <cell r="AA135">
            <v>88333</v>
          </cell>
          <cell r="AB135">
            <v>86392</v>
          </cell>
          <cell r="AC135">
            <v>80992</v>
          </cell>
          <cell r="AD135">
            <v>53916</v>
          </cell>
          <cell r="AE135">
            <v>54865</v>
          </cell>
          <cell r="AF135">
            <v>39911</v>
          </cell>
          <cell r="AG135">
            <v>27210</v>
          </cell>
          <cell r="AH135">
            <v>26802</v>
          </cell>
          <cell r="AI135">
            <v>31187</v>
          </cell>
          <cell r="AJ135">
            <v>31492</v>
          </cell>
          <cell r="AK135">
            <v>31555</v>
          </cell>
          <cell r="AM135" t="str">
            <v>ENS: ERSO / Oliebalance</v>
          </cell>
        </row>
        <row r="149">
          <cell r="A149" t="str">
            <v>OPEPTY_PK</v>
          </cell>
          <cell r="B149" t="str">
            <v>tons</v>
          </cell>
          <cell r="C149" t="str">
            <v>i</v>
          </cell>
          <cell r="G149">
            <v>0</v>
          </cell>
          <cell r="H149">
            <v>0</v>
          </cell>
          <cell r="I149">
            <v>0</v>
          </cell>
          <cell r="J149">
            <v>0</v>
          </cell>
          <cell r="K149">
            <v>0</v>
          </cell>
          <cell r="L149">
            <v>0</v>
          </cell>
          <cell r="M149">
            <v>0</v>
          </cell>
          <cell r="N149">
            <v>0</v>
          </cell>
          <cell r="O149">
            <v>0</v>
          </cell>
          <cell r="P149">
            <v>0</v>
          </cell>
          <cell r="Q149">
            <v>0</v>
          </cell>
          <cell r="R149">
            <v>0</v>
          </cell>
          <cell r="S149">
            <v>0</v>
          </cell>
          <cell r="T149">
            <v>0</v>
          </cell>
          <cell r="U149">
            <v>0</v>
          </cell>
          <cell r="V149">
            <v>0</v>
          </cell>
          <cell r="W149">
            <v>0</v>
          </cell>
          <cell r="X149">
            <v>0</v>
          </cell>
          <cell r="Y149">
            <v>0</v>
          </cell>
          <cell r="Z149">
            <v>0</v>
          </cell>
          <cell r="AA149">
            <v>0</v>
          </cell>
          <cell r="AB149">
            <v>0</v>
          </cell>
          <cell r="AC149">
            <v>0</v>
          </cell>
          <cell r="AD149">
            <v>0</v>
          </cell>
          <cell r="AE149">
            <v>0</v>
          </cell>
          <cell r="AF149">
            <v>0</v>
          </cell>
          <cell r="AG149">
            <v>0</v>
          </cell>
          <cell r="AH149">
            <v>0</v>
          </cell>
          <cell r="AI149">
            <v>0</v>
          </cell>
          <cell r="AJ149">
            <v>0</v>
          </cell>
          <cell r="AK149">
            <v>0</v>
          </cell>
          <cell r="AM149" t="str">
            <v>ENS: ERSO / Oliebalance</v>
          </cell>
        </row>
        <row r="162">
          <cell r="A162" t="str">
            <v>OPEPTY_TERP</v>
          </cell>
          <cell r="B162" t="str">
            <v>tons</v>
          </cell>
          <cell r="O162">
            <v>0</v>
          </cell>
          <cell r="P162">
            <v>0</v>
          </cell>
          <cell r="Q162">
            <v>0</v>
          </cell>
          <cell r="R162">
            <v>0</v>
          </cell>
          <cell r="S162">
            <v>0</v>
          </cell>
          <cell r="T162" t="e">
            <v>#REF!</v>
          </cell>
          <cell r="U162">
            <v>0</v>
          </cell>
          <cell r="V162">
            <v>0</v>
          </cell>
          <cell r="W162">
            <v>0</v>
          </cell>
          <cell r="X162">
            <v>0</v>
          </cell>
          <cell r="Y162">
            <v>0</v>
          </cell>
          <cell r="Z162">
            <v>0</v>
          </cell>
          <cell r="AA162">
            <v>0</v>
          </cell>
          <cell r="AB162">
            <v>0</v>
          </cell>
          <cell r="AC162">
            <v>0</v>
          </cell>
          <cell r="AD162">
            <v>0</v>
          </cell>
          <cell r="AE162">
            <v>0</v>
          </cell>
          <cell r="AF162">
            <v>0</v>
          </cell>
          <cell r="AG162">
            <v>0</v>
          </cell>
          <cell r="AH162">
            <v>0</v>
          </cell>
          <cell r="AI162">
            <v>0</v>
          </cell>
          <cell r="AJ162">
            <v>0</v>
          </cell>
          <cell r="AK162">
            <v>0</v>
          </cell>
        </row>
        <row r="171">
          <cell r="A171" t="str">
            <v>OPEPTY_SO</v>
          </cell>
          <cell r="B171" t="str">
            <v>tons</v>
          </cell>
          <cell r="J171">
            <v>0</v>
          </cell>
          <cell r="K171">
            <v>0</v>
          </cell>
          <cell r="L171">
            <v>0</v>
          </cell>
          <cell r="M171">
            <v>2768</v>
          </cell>
          <cell r="N171">
            <v>277</v>
          </cell>
          <cell r="O171">
            <v>0</v>
          </cell>
          <cell r="P171">
            <v>193</v>
          </cell>
          <cell r="Q171">
            <v>0</v>
          </cell>
          <cell r="R171">
            <v>200</v>
          </cell>
          <cell r="S171">
            <v>804</v>
          </cell>
          <cell r="T171">
            <v>853</v>
          </cell>
          <cell r="U171">
            <v>811.45584725537003</v>
          </cell>
          <cell r="V171">
            <v>1026.2529832935561</v>
          </cell>
          <cell r="W171">
            <v>930.78758949880671</v>
          </cell>
          <cell r="X171">
            <v>0</v>
          </cell>
          <cell r="Y171">
            <v>0</v>
          </cell>
          <cell r="Z171">
            <v>0</v>
          </cell>
          <cell r="AA171">
            <v>95.465393794749403</v>
          </cell>
          <cell r="AB171">
            <v>0</v>
          </cell>
          <cell r="AC171">
            <v>0</v>
          </cell>
          <cell r="AD171">
            <v>0</v>
          </cell>
          <cell r="AE171">
            <v>0</v>
          </cell>
          <cell r="AF171">
            <v>0</v>
          </cell>
          <cell r="AG171">
            <v>0</v>
          </cell>
          <cell r="AH171">
            <v>0</v>
          </cell>
          <cell r="AI171">
            <v>0</v>
          </cell>
          <cell r="AJ171">
            <v>0</v>
          </cell>
          <cell r="AK171">
            <v>0</v>
          </cell>
          <cell r="AM171" t="str">
            <v>ENS: ERSO / Oliebalance</v>
          </cell>
        </row>
        <row r="181">
          <cell r="A181" t="str">
            <v>OPEPTY_BIT</v>
          </cell>
          <cell r="B181" t="str">
            <v>tons</v>
          </cell>
          <cell r="J181">
            <v>279324</v>
          </cell>
          <cell r="K181">
            <v>317716</v>
          </cell>
          <cell r="L181">
            <v>264376</v>
          </cell>
          <cell r="M181">
            <v>265208</v>
          </cell>
          <cell r="N181">
            <v>229388</v>
          </cell>
          <cell r="O181">
            <v>139698.49246231155</v>
          </cell>
          <cell r="P181">
            <v>164087</v>
          </cell>
          <cell r="Q181">
            <v>76201</v>
          </cell>
          <cell r="R181">
            <v>72521</v>
          </cell>
          <cell r="S181">
            <v>86369</v>
          </cell>
          <cell r="T181">
            <v>83813</v>
          </cell>
          <cell r="U181">
            <v>56331.658291457286</v>
          </cell>
          <cell r="V181">
            <v>45226.130653266337</v>
          </cell>
          <cell r="W181">
            <v>56658.291457286432</v>
          </cell>
          <cell r="X181">
            <v>48216.080402010055</v>
          </cell>
          <cell r="Y181">
            <v>27386.934673366839</v>
          </cell>
          <cell r="Z181">
            <v>9798.9949748743729</v>
          </cell>
          <cell r="AA181">
            <v>25.125628140703522</v>
          </cell>
          <cell r="AB181">
            <v>0</v>
          </cell>
          <cell r="AC181">
            <v>0</v>
          </cell>
          <cell r="AD181">
            <v>0</v>
          </cell>
          <cell r="AE181">
            <v>0</v>
          </cell>
          <cell r="AF181">
            <v>0</v>
          </cell>
          <cell r="AG181">
            <v>0</v>
          </cell>
          <cell r="AH181">
            <v>0</v>
          </cell>
          <cell r="AI181">
            <v>0</v>
          </cell>
          <cell r="AJ181">
            <v>0</v>
          </cell>
          <cell r="AK181">
            <v>0</v>
          </cell>
          <cell r="AM181" t="str">
            <v>ENS: ERSO / Oliebalance</v>
          </cell>
        </row>
        <row r="191">
          <cell r="C191" t="str">
            <v>i</v>
          </cell>
          <cell r="G191">
            <v>1.25664</v>
          </cell>
          <cell r="J191">
            <v>1.25664</v>
          </cell>
          <cell r="K191">
            <v>1.1256447999999999</v>
          </cell>
          <cell r="L191">
            <v>1.3872</v>
          </cell>
          <cell r="M191">
            <v>0.22755520000000001</v>
          </cell>
          <cell r="N191">
            <v>0</v>
          </cell>
          <cell r="O191">
            <v>0</v>
          </cell>
          <cell r="P191">
            <v>0</v>
          </cell>
          <cell r="Q191">
            <v>0</v>
          </cell>
          <cell r="R191">
            <v>0</v>
          </cell>
          <cell r="S191">
            <v>0</v>
          </cell>
          <cell r="T191">
            <v>0</v>
          </cell>
          <cell r="U191">
            <v>0</v>
          </cell>
          <cell r="V191">
            <v>0</v>
          </cell>
          <cell r="W191">
            <v>0</v>
          </cell>
          <cell r="X191">
            <v>0</v>
          </cell>
          <cell r="Y191">
            <v>0</v>
          </cell>
          <cell r="Z191">
            <v>0</v>
          </cell>
          <cell r="AA191">
            <v>0</v>
          </cell>
          <cell r="AB191">
            <v>0</v>
          </cell>
          <cell r="AC191">
            <v>0</v>
          </cell>
          <cell r="AD191">
            <v>0</v>
          </cell>
          <cell r="AE191">
            <v>0</v>
          </cell>
          <cell r="AF191">
            <v>0</v>
          </cell>
          <cell r="AG191">
            <v>0</v>
          </cell>
          <cell r="AH191">
            <v>0</v>
          </cell>
          <cell r="AI191">
            <v>0</v>
          </cell>
          <cell r="AJ191">
            <v>0</v>
          </cell>
          <cell r="AK191">
            <v>0</v>
          </cell>
          <cell r="AM191" t="str">
            <v>ENS: End use, olie</v>
          </cell>
        </row>
        <row r="192">
          <cell r="C192" t="str">
            <v>i</v>
          </cell>
          <cell r="G192">
            <v>0.46239999999999998</v>
          </cell>
          <cell r="J192">
            <v>0.18343680000000001</v>
          </cell>
          <cell r="K192">
            <v>0.1368704</v>
          </cell>
          <cell r="L192">
            <v>0.137632</v>
          </cell>
          <cell r="M192">
            <v>0.1069504</v>
          </cell>
          <cell r="N192">
            <v>0.12571840000000001</v>
          </cell>
          <cell r="O192">
            <v>0.1033056</v>
          </cell>
          <cell r="P192">
            <v>0.1104864</v>
          </cell>
          <cell r="Q192">
            <v>0.11249919999999999</v>
          </cell>
          <cell r="R192">
            <v>0.129472</v>
          </cell>
          <cell r="S192">
            <v>0.143072</v>
          </cell>
          <cell r="T192">
            <v>0.12963520000000001</v>
          </cell>
          <cell r="U192">
            <v>0.14055599999999999</v>
          </cell>
          <cell r="V192">
            <v>0.16328000000000001</v>
          </cell>
          <cell r="W192">
            <v>0.18928</v>
          </cell>
          <cell r="X192">
            <v>0.20794799999999999</v>
          </cell>
          <cell r="Y192">
            <v>0.19089200000000001</v>
          </cell>
          <cell r="Z192">
            <v>0.12506</v>
          </cell>
          <cell r="AA192">
            <v>0.10218000000000001</v>
          </cell>
          <cell r="AB192">
            <v>0.10842</v>
          </cell>
          <cell r="AC192">
            <v>0.142376</v>
          </cell>
          <cell r="AD192">
            <v>1.0711999999999999E-2</v>
          </cell>
          <cell r="AE192">
            <v>3.4684E-2</v>
          </cell>
          <cell r="AF192">
            <v>5.2727999999999997E-2</v>
          </cell>
          <cell r="AG192">
            <v>2.6727999999999998E-2</v>
          </cell>
          <cell r="AH192">
            <v>0</v>
          </cell>
          <cell r="AI192">
            <v>0</v>
          </cell>
          <cell r="AJ192">
            <v>0</v>
          </cell>
          <cell r="AK192">
            <v>0</v>
          </cell>
          <cell r="AM192" t="str">
            <v>ENS: End use, olie</v>
          </cell>
        </row>
        <row r="322">
          <cell r="A322" t="str">
            <v>NGEFTRMY</v>
          </cell>
          <cell r="B322" t="str">
            <v>mio Nm3</v>
          </cell>
          <cell r="C322" t="str">
            <v>i</v>
          </cell>
          <cell r="D322"/>
          <cell r="G322">
            <v>0</v>
          </cell>
          <cell r="H322">
            <v>0</v>
          </cell>
          <cell r="I322">
            <v>0</v>
          </cell>
          <cell r="J322">
            <v>0</v>
          </cell>
          <cell r="K322">
            <v>0</v>
          </cell>
          <cell r="L322">
            <v>0</v>
          </cell>
          <cell r="M322">
            <v>0</v>
          </cell>
          <cell r="N322">
            <v>0</v>
          </cell>
          <cell r="O322">
            <v>0</v>
          </cell>
          <cell r="P322">
            <v>0</v>
          </cell>
          <cell r="Q322">
            <v>0</v>
          </cell>
          <cell r="R322">
            <v>0</v>
          </cell>
          <cell r="S322">
            <v>0</v>
          </cell>
          <cell r="T322">
            <v>0</v>
          </cell>
          <cell r="U322">
            <v>9.7021660000000001</v>
          </cell>
          <cell r="V322">
            <v>10.255528999999999</v>
          </cell>
          <cell r="W322">
            <v>10.112327000000001</v>
          </cell>
          <cell r="X322">
            <v>9.6201709999999991</v>
          </cell>
          <cell r="Y322">
            <v>15.648777000000001</v>
          </cell>
          <cell r="Z322">
            <v>15.798914</v>
          </cell>
          <cell r="AA322">
            <v>15.623075</v>
          </cell>
          <cell r="AB322">
            <v>15.494899</v>
          </cell>
          <cell r="AC322">
            <v>15.912523</v>
          </cell>
          <cell r="AD322">
            <v>17.227958000000001</v>
          </cell>
          <cell r="AE322">
            <v>16.362280999999999</v>
          </cell>
          <cell r="AF322">
            <v>17.134239999999998</v>
          </cell>
          <cell r="AG322">
            <v>17.513000000000002</v>
          </cell>
          <cell r="AH322">
            <v>17.491448999999999</v>
          </cell>
          <cell r="AI322">
            <v>15.010999999999999</v>
          </cell>
          <cell r="AJ322">
            <v>16.600999999999999</v>
          </cell>
          <cell r="AK322">
            <v>16</v>
          </cell>
          <cell r="AM322" t="str">
            <v>ENS: Oplysninger fra Dong</v>
          </cell>
          <cell r="AN322" t="str">
            <v>Inkl. forbrug til elproduktion i Nybro og nettab</v>
          </cell>
        </row>
        <row r="323">
          <cell r="B323" t="str">
            <v>mio Nm3</v>
          </cell>
          <cell r="C323" t="str">
            <v>i</v>
          </cell>
          <cell r="D323"/>
          <cell r="G323">
            <v>0</v>
          </cell>
          <cell r="H323">
            <v>0</v>
          </cell>
          <cell r="I323">
            <v>0</v>
          </cell>
          <cell r="J323">
            <v>0</v>
          </cell>
          <cell r="K323">
            <v>0</v>
          </cell>
          <cell r="L323">
            <v>0</v>
          </cell>
          <cell r="M323">
            <v>0</v>
          </cell>
          <cell r="N323">
            <v>0</v>
          </cell>
          <cell r="O323">
            <v>0</v>
          </cell>
          <cell r="P323">
            <v>0</v>
          </cell>
          <cell r="Q323">
            <v>0</v>
          </cell>
          <cell r="R323">
            <v>0</v>
          </cell>
          <cell r="S323">
            <v>0</v>
          </cell>
          <cell r="T323">
            <v>0</v>
          </cell>
          <cell r="U323">
            <v>3</v>
          </cell>
          <cell r="V323">
            <v>3</v>
          </cell>
          <cell r="W323">
            <v>3</v>
          </cell>
          <cell r="X323">
            <v>3</v>
          </cell>
          <cell r="Y323">
            <v>3</v>
          </cell>
          <cell r="Z323">
            <v>3</v>
          </cell>
          <cell r="AA323">
            <v>3</v>
          </cell>
          <cell r="AB323">
            <v>3</v>
          </cell>
          <cell r="AC323">
            <v>3</v>
          </cell>
          <cell r="AD323">
            <v>3</v>
          </cell>
          <cell r="AE323">
            <v>3</v>
          </cell>
          <cell r="AF323">
            <v>3</v>
          </cell>
          <cell r="AG323">
            <v>3</v>
          </cell>
          <cell r="AH323">
            <v>3</v>
          </cell>
          <cell r="AI323">
            <v>3</v>
          </cell>
          <cell r="AJ323">
            <v>3</v>
          </cell>
          <cell r="AK323">
            <v>3</v>
          </cell>
          <cell r="AM323" t="str">
            <v>ENS: Oplysninger fra Dong</v>
          </cell>
        </row>
        <row r="329">
          <cell r="B329" t="str">
            <v>mio Nm3</v>
          </cell>
          <cell r="C329" t="str">
            <v>i</v>
          </cell>
          <cell r="D329"/>
          <cell r="G329">
            <v>0.19799629999999999</v>
          </cell>
          <cell r="H329">
            <v>0.39200303000000003</v>
          </cell>
          <cell r="I329">
            <v>0.22999741000000001</v>
          </cell>
          <cell r="J329">
            <v>0.38900313000000003</v>
          </cell>
          <cell r="K329">
            <v>0.27600234000000001</v>
          </cell>
          <cell r="L329">
            <v>0.52600181000000001</v>
          </cell>
          <cell r="M329">
            <v>0.45100499999999999</v>
          </cell>
          <cell r="N329">
            <v>0.49200255999999998</v>
          </cell>
          <cell r="O329">
            <v>0.43000246999999997</v>
          </cell>
          <cell r="P329">
            <v>20.866902750000001</v>
          </cell>
          <cell r="Q329">
            <v>32.458223530000005</v>
          </cell>
          <cell r="R329">
            <v>40.309307000000004</v>
          </cell>
          <cell r="S329">
            <v>63.791166999999994</v>
          </cell>
          <cell r="T329">
            <v>106.42983700000001</v>
          </cell>
          <cell r="U329">
            <v>126.895156</v>
          </cell>
          <cell r="V329">
            <v>182.25330400000001</v>
          </cell>
          <cell r="W329">
            <v>218.66747199999998</v>
          </cell>
          <cell r="X329">
            <v>227.52056000000002</v>
          </cell>
          <cell r="Y329">
            <v>221.518258</v>
          </cell>
          <cell r="Z329">
            <v>227.029235</v>
          </cell>
          <cell r="AA329">
            <v>263.50325200000003</v>
          </cell>
          <cell r="AB329">
            <v>264.49517800000001</v>
          </cell>
          <cell r="AC329">
            <v>299.31039800000002</v>
          </cell>
          <cell r="AD329">
            <v>314.275194</v>
          </cell>
          <cell r="AE329">
            <v>374.62745999999999</v>
          </cell>
          <cell r="AF329">
            <v>487.80840700000005</v>
          </cell>
          <cell r="AG329">
            <v>538.50027299999999</v>
          </cell>
          <cell r="AH329">
            <v>585.11983399999997</v>
          </cell>
          <cell r="AI329">
            <v>617.60737199999994</v>
          </cell>
          <cell r="AJ329">
            <v>604.00795700000015</v>
          </cell>
          <cell r="AK329">
            <v>648.12461100000007</v>
          </cell>
          <cell r="AM329" t="str">
            <v>ENS: Energiindvinding</v>
          </cell>
        </row>
        <row r="444">
          <cell r="A444" t="str">
            <v>ELRAFFTJY</v>
          </cell>
          <cell r="G444">
            <v>801.24699999999996</v>
          </cell>
          <cell r="J444">
            <v>745.13196340063746</v>
          </cell>
          <cell r="K444">
            <v>665.52235013577945</v>
          </cell>
          <cell r="L444">
            <v>642.8942518274705</v>
          </cell>
          <cell r="M444">
            <v>713.03380619808684</v>
          </cell>
          <cell r="N444">
            <v>730.1588230039049</v>
          </cell>
          <cell r="O444">
            <v>689.74349400000006</v>
          </cell>
          <cell r="P444">
            <v>813.99508622974247</v>
          </cell>
          <cell r="Q444">
            <v>810.58682939803577</v>
          </cell>
          <cell r="R444">
            <v>798.56495999999993</v>
          </cell>
          <cell r="S444">
            <v>801.1774755291965</v>
          </cell>
          <cell r="T444">
            <v>785.21074199999998</v>
          </cell>
          <cell r="U444">
            <v>923.49626215896205</v>
          </cell>
          <cell r="V444">
            <v>925.12180960810463</v>
          </cell>
          <cell r="W444">
            <v>876.35014835688003</v>
          </cell>
          <cell r="X444">
            <v>868.09560068318547</v>
          </cell>
          <cell r="Y444">
            <v>927.4177160883072</v>
          </cell>
          <cell r="Z444">
            <v>1143.7742493569342</v>
          </cell>
          <cell r="AA444">
            <v>1184.6345903950337</v>
          </cell>
          <cell r="AB444">
            <v>1124.6347750658113</v>
          </cell>
          <cell r="AC444">
            <v>1187.4765152554455</v>
          </cell>
          <cell r="AD444">
            <v>1185.4592367999999</v>
          </cell>
          <cell r="AE444">
            <v>1326.2948647150952</v>
          </cell>
          <cell r="AF444">
            <v>1058.6714502202053</v>
          </cell>
          <cell r="AG444">
            <v>948.78418768104495</v>
          </cell>
          <cell r="AH444">
            <v>995.39899645194805</v>
          </cell>
          <cell r="AI444">
            <v>774.28156869979796</v>
          </cell>
          <cell r="AJ444">
            <v>557.53423990234501</v>
          </cell>
          <cell r="AK444">
            <v>557.53423990234501</v>
          </cell>
          <cell r="AL444" t="str">
            <v>2002=2001</v>
          </cell>
          <cell r="AM444" t="str">
            <v>Danmarks Statistik</v>
          </cell>
        </row>
        <row r="445">
          <cell r="A445" t="str">
            <v>ELFJVKTJY</v>
          </cell>
          <cell r="G445">
            <v>127.05954198629522</v>
          </cell>
          <cell r="J445">
            <v>137.77310485470994</v>
          </cell>
          <cell r="K445">
            <v>176.24757525406639</v>
          </cell>
          <cell r="L445">
            <v>217.69762045689023</v>
          </cell>
          <cell r="M445">
            <v>255.72811782879438</v>
          </cell>
          <cell r="N445">
            <v>305.8614678514482</v>
          </cell>
          <cell r="O445">
            <v>326.27980383091113</v>
          </cell>
          <cell r="P445">
            <v>348.4439544346618</v>
          </cell>
          <cell r="Q445">
            <v>380.93461721522687</v>
          </cell>
          <cell r="R445">
            <v>424.4262619498669</v>
          </cell>
          <cell r="S445">
            <v>462.38468192869095</v>
          </cell>
          <cell r="T445">
            <v>505.63117316079854</v>
          </cell>
          <cell r="U445">
            <v>583.94945418117004</v>
          </cell>
          <cell r="V445">
            <v>589.40899411091868</v>
          </cell>
          <cell r="W445">
            <v>516.38967694044618</v>
          </cell>
          <cell r="X445">
            <v>502.13410332344807</v>
          </cell>
          <cell r="Y445">
            <v>500.87544539312978</v>
          </cell>
          <cell r="Z445">
            <v>558.36132287841804</v>
          </cell>
          <cell r="AA445">
            <v>518.65504689230761</v>
          </cell>
          <cell r="AB445">
            <v>490.08959999999996</v>
          </cell>
          <cell r="AC445">
            <v>508.44706799999949</v>
          </cell>
          <cell r="AD445">
            <v>467.5018363636292</v>
          </cell>
          <cell r="AE445">
            <v>673.86193999999989</v>
          </cell>
          <cell r="AF445">
            <v>613.50990300000001</v>
          </cell>
          <cell r="AG445">
            <v>626.88709099467803</v>
          </cell>
          <cell r="AH445">
            <v>598.17644717604799</v>
          </cell>
          <cell r="AI445">
            <v>658.71900978125404</v>
          </cell>
          <cell r="AJ445">
            <v>700.55680607124498</v>
          </cell>
          <cell r="AK445">
            <v>700.55680607124498</v>
          </cell>
          <cell r="AL445" t="str">
            <v>2002=2001</v>
          </cell>
          <cell r="AM445" t="str">
            <v>Danmarks Statistik</v>
          </cell>
        </row>
        <row r="446">
          <cell r="A446" t="str">
            <v>ELBGVKTJY</v>
          </cell>
          <cell r="G446">
            <v>39.761793804665814</v>
          </cell>
          <cell r="J446">
            <v>31.114747543944119</v>
          </cell>
          <cell r="K446">
            <v>33.255915403800117</v>
          </cell>
          <cell r="L446">
            <v>35.113310643720084</v>
          </cell>
          <cell r="M446">
            <v>36.416380594692285</v>
          </cell>
          <cell r="N446">
            <v>37.404563085090821</v>
          </cell>
          <cell r="O446">
            <v>34.994454288068141</v>
          </cell>
          <cell r="P446">
            <v>33.481574918371116</v>
          </cell>
          <cell r="Q446">
            <v>42.819835421620382</v>
          </cell>
          <cell r="R446">
            <v>56.640606809203234</v>
          </cell>
          <cell r="S446">
            <v>75.856809877908532</v>
          </cell>
          <cell r="T446">
            <v>90.561743621523803</v>
          </cell>
          <cell r="U446">
            <v>94.723684106841134</v>
          </cell>
          <cell r="V446">
            <v>111.27196667664006</v>
          </cell>
          <cell r="W446">
            <v>115.24501491461537</v>
          </cell>
          <cell r="X446">
            <v>124.1568980649845</v>
          </cell>
          <cell r="Y446">
            <v>105.75153755844154</v>
          </cell>
          <cell r="Z446">
            <v>142.10679496363636</v>
          </cell>
          <cell r="AA446">
            <v>134.67779150769232</v>
          </cell>
          <cell r="AB446">
            <v>129.58199999999999</v>
          </cell>
          <cell r="AC446">
            <v>127.8618</v>
          </cell>
          <cell r="AD446">
            <v>152.16128727272724</v>
          </cell>
          <cell r="AE446">
            <v>178.35598999999999</v>
          </cell>
          <cell r="AF446">
            <v>157.18485599999997</v>
          </cell>
          <cell r="AG446">
            <v>114.996159982661</v>
          </cell>
          <cell r="AH446">
            <v>114.79828129006</v>
          </cell>
          <cell r="AI446">
            <v>117.668238322311</v>
          </cell>
          <cell r="AJ446">
            <v>125.554930469236</v>
          </cell>
          <cell r="AK446">
            <v>125.554930469236</v>
          </cell>
          <cell r="AL446" t="str">
            <v>2002=2001</v>
          </cell>
          <cell r="AM446" t="str">
            <v>Danmarks Statistik</v>
          </cell>
        </row>
        <row r="447">
          <cell r="A447" t="str">
            <v>ELDISTTJY</v>
          </cell>
          <cell r="G447">
            <v>193.17866420903894</v>
          </cell>
          <cell r="J447">
            <v>152.43719660172184</v>
          </cell>
          <cell r="K447">
            <v>173.09553648102076</v>
          </cell>
          <cell r="L447">
            <v>187.52377573108981</v>
          </cell>
          <cell r="M447">
            <v>197.45201651025641</v>
          </cell>
          <cell r="N447">
            <v>203.63950808804674</v>
          </cell>
          <cell r="O447">
            <v>204.59866859669216</v>
          </cell>
          <cell r="P447">
            <v>203.79000954022442</v>
          </cell>
          <cell r="Q447">
            <v>206.04263829536822</v>
          </cell>
          <cell r="R447">
            <v>212.72232185311407</v>
          </cell>
          <cell r="S447">
            <v>203.45672089021997</v>
          </cell>
          <cell r="T447">
            <v>212.9708751901664</v>
          </cell>
          <cell r="U447">
            <v>218.38863794080072</v>
          </cell>
          <cell r="V447">
            <v>231.45423371017085</v>
          </cell>
          <cell r="W447">
            <v>245.79559974890103</v>
          </cell>
          <cell r="X447">
            <v>289.00396520866667</v>
          </cell>
          <cell r="Y447">
            <v>249.81009810389608</v>
          </cell>
          <cell r="Z447">
            <v>252.24558635454545</v>
          </cell>
          <cell r="AA447">
            <v>278.83884701538466</v>
          </cell>
          <cell r="AB447">
            <v>227.80799999999999</v>
          </cell>
          <cell r="AC447">
            <v>250.20561599999914</v>
          </cell>
          <cell r="AD447">
            <v>290.18786181817711</v>
          </cell>
          <cell r="AE447">
            <v>356.04892000000001</v>
          </cell>
          <cell r="AF447">
            <v>322.21969200000001</v>
          </cell>
          <cell r="AG447">
            <v>321.872814265751</v>
          </cell>
          <cell r="AH447">
            <v>317.58955707017998</v>
          </cell>
          <cell r="AI447">
            <v>360.69170251881502</v>
          </cell>
          <cell r="AJ447">
            <v>526.87863286000697</v>
          </cell>
          <cell r="AK447">
            <v>526.87863286000697</v>
          </cell>
          <cell r="AL447" t="str">
            <v>2002=2001</v>
          </cell>
          <cell r="AM447" t="str">
            <v>Danmarks Statistik</v>
          </cell>
        </row>
        <row r="468">
          <cell r="A468" t="str">
            <v>FVPRRFTJY</v>
          </cell>
          <cell r="D468" t="str">
            <v>Raffinaderier</v>
          </cell>
          <cell r="G468">
            <v>0</v>
          </cell>
          <cell r="J468">
            <v>5.9605114776769375</v>
          </cell>
          <cell r="K468">
            <v>5.1730268061918476</v>
          </cell>
          <cell r="L468">
            <v>5.7008580640777202</v>
          </cell>
          <cell r="M468">
            <v>5.535663089888514</v>
          </cell>
          <cell r="N468">
            <v>5.388097923567372</v>
          </cell>
          <cell r="O468">
            <v>0</v>
          </cell>
          <cell r="P468">
            <v>0</v>
          </cell>
          <cell r="Q468">
            <v>294.55900000000003</v>
          </cell>
          <cell r="R468">
            <v>446.93900000000002</v>
          </cell>
          <cell r="S468">
            <v>459.88499999999999</v>
          </cell>
          <cell r="T468">
            <v>439.14499999999998</v>
          </cell>
          <cell r="U468">
            <v>335.697</v>
          </cell>
          <cell r="V468">
            <v>362.024</v>
          </cell>
          <cell r="W468">
            <v>405.85</v>
          </cell>
          <cell r="X468">
            <v>416.80399999999997</v>
          </cell>
          <cell r="Y468">
            <v>427.75799999999998</v>
          </cell>
          <cell r="Z468">
            <v>387.197</v>
          </cell>
          <cell r="AA468">
            <v>346.63600000000002</v>
          </cell>
          <cell r="AB468">
            <v>306.07499999999999</v>
          </cell>
          <cell r="AC468">
            <v>351.62025767251828</v>
          </cell>
          <cell r="AD468">
            <v>380.45731304347822</v>
          </cell>
          <cell r="AE468">
            <v>318.66601061682547</v>
          </cell>
          <cell r="AF468">
            <v>256.81599999999997</v>
          </cell>
          <cell r="AG468">
            <v>222.84686951151747</v>
          </cell>
          <cell r="AH468">
            <v>299.36308332247694</v>
          </cell>
          <cell r="AI468">
            <v>275.37075074318602</v>
          </cell>
          <cell r="AJ468">
            <v>252.29458842648799</v>
          </cell>
          <cell r="AK468">
            <v>252.29458842648799</v>
          </cell>
          <cell r="AL468" t="str">
            <v>2002=2001</v>
          </cell>
          <cell r="AM468" t="str">
            <v>Danmarks Statistik</v>
          </cell>
          <cell r="AN468" t="str">
            <v>2000=1999</v>
          </cell>
        </row>
      </sheetData>
      <sheetData sheetId="4">
        <row r="3">
          <cell r="A3" t="str">
            <v>JPTY_RO</v>
          </cell>
          <cell r="B3" t="str">
            <v>Råolie, Gennemsnit</v>
          </cell>
          <cell r="C3" t="str">
            <v>GJ / ton</v>
          </cell>
          <cell r="G3">
            <v>42.4</v>
          </cell>
          <cell r="H3">
            <v>42.4</v>
          </cell>
          <cell r="I3">
            <v>42.4</v>
          </cell>
          <cell r="J3">
            <v>42.4</v>
          </cell>
          <cell r="K3">
            <v>42.4</v>
          </cell>
          <cell r="L3">
            <v>42.4</v>
          </cell>
          <cell r="M3">
            <v>42.4</v>
          </cell>
          <cell r="N3">
            <v>42.4</v>
          </cell>
          <cell r="O3">
            <v>42.4</v>
          </cell>
          <cell r="P3">
            <v>42.4</v>
          </cell>
          <cell r="Q3">
            <v>42.4</v>
          </cell>
          <cell r="R3">
            <v>42.4</v>
          </cell>
          <cell r="S3">
            <v>42.4</v>
          </cell>
          <cell r="T3">
            <v>42.4</v>
          </cell>
          <cell r="U3">
            <v>42.4</v>
          </cell>
          <cell r="V3">
            <v>42.4</v>
          </cell>
          <cell r="W3">
            <v>42.4</v>
          </cell>
          <cell r="X3">
            <v>42.4</v>
          </cell>
          <cell r="Y3">
            <v>42.4</v>
          </cell>
          <cell r="Z3">
            <v>42.4</v>
          </cell>
          <cell r="AA3">
            <v>42.4</v>
          </cell>
          <cell r="AB3">
            <v>42.7</v>
          </cell>
          <cell r="AC3">
            <v>42.7</v>
          </cell>
          <cell r="AD3">
            <v>42.7</v>
          </cell>
          <cell r="AE3">
            <v>42.7</v>
          </cell>
          <cell r="AF3">
            <v>43</v>
          </cell>
          <cell r="AG3">
            <v>43</v>
          </cell>
          <cell r="AH3">
            <v>43</v>
          </cell>
          <cell r="AI3">
            <v>43</v>
          </cell>
          <cell r="AJ3">
            <v>43</v>
          </cell>
          <cell r="AK3">
            <v>43</v>
          </cell>
          <cell r="AL3" t="str">
            <v>Check</v>
          </cell>
        </row>
        <row r="6">
          <cell r="A6" t="str">
            <v>JPTY_HF</v>
          </cell>
          <cell r="B6" t="str">
            <v>Halvfabrikata</v>
          </cell>
          <cell r="C6" t="str">
            <v>GJ / ton</v>
          </cell>
          <cell r="G6">
            <v>41.6</v>
          </cell>
          <cell r="H6">
            <v>41.6</v>
          </cell>
          <cell r="I6">
            <v>41.6</v>
          </cell>
          <cell r="J6">
            <v>41.6</v>
          </cell>
          <cell r="K6">
            <v>41.6</v>
          </cell>
          <cell r="L6">
            <v>41.6</v>
          </cell>
          <cell r="M6">
            <v>41.6</v>
          </cell>
          <cell r="N6">
            <v>41.6</v>
          </cell>
          <cell r="O6">
            <v>41.6</v>
          </cell>
          <cell r="P6">
            <v>41.6</v>
          </cell>
          <cell r="Q6">
            <v>41.6</v>
          </cell>
          <cell r="R6">
            <v>41.6</v>
          </cell>
          <cell r="S6">
            <v>41.6</v>
          </cell>
          <cell r="T6">
            <v>41.6</v>
          </cell>
          <cell r="U6">
            <v>41.6</v>
          </cell>
          <cell r="V6">
            <v>41.6</v>
          </cell>
          <cell r="W6">
            <v>41.6</v>
          </cell>
          <cell r="X6">
            <v>41.6</v>
          </cell>
          <cell r="Y6">
            <v>41.6</v>
          </cell>
          <cell r="Z6">
            <v>41.6</v>
          </cell>
          <cell r="AA6">
            <v>41.6</v>
          </cell>
          <cell r="AB6">
            <v>41.6</v>
          </cell>
          <cell r="AC6">
            <v>41.6</v>
          </cell>
          <cell r="AD6">
            <v>41.6</v>
          </cell>
          <cell r="AE6">
            <v>41.6</v>
          </cell>
          <cell r="AF6">
            <v>42.7</v>
          </cell>
          <cell r="AG6">
            <v>42.7</v>
          </cell>
          <cell r="AH6">
            <v>42.7</v>
          </cell>
          <cell r="AI6">
            <v>42.7</v>
          </cell>
          <cell r="AJ6">
            <v>42.7</v>
          </cell>
          <cell r="AK6">
            <v>42.7</v>
          </cell>
        </row>
        <row r="8">
          <cell r="A8" t="str">
            <v>JPTY_RG</v>
          </cell>
          <cell r="B8" t="str">
            <v>Raffinaderigas</v>
          </cell>
          <cell r="C8" t="str">
            <v>GJ / ton</v>
          </cell>
          <cell r="G8">
            <v>54.4</v>
          </cell>
          <cell r="H8">
            <v>54.4</v>
          </cell>
          <cell r="I8">
            <v>54.4</v>
          </cell>
          <cell r="J8">
            <v>54.4</v>
          </cell>
          <cell r="K8">
            <v>54.4</v>
          </cell>
          <cell r="L8">
            <v>54.4</v>
          </cell>
          <cell r="M8">
            <v>54.4</v>
          </cell>
          <cell r="N8">
            <v>54.4</v>
          </cell>
          <cell r="O8">
            <v>54.4</v>
          </cell>
          <cell r="P8">
            <v>54.4</v>
          </cell>
          <cell r="Q8">
            <v>54.4</v>
          </cell>
          <cell r="R8">
            <v>54.4</v>
          </cell>
          <cell r="S8">
            <v>54.4</v>
          </cell>
          <cell r="T8">
            <v>54.4</v>
          </cell>
          <cell r="U8">
            <v>52</v>
          </cell>
          <cell r="V8">
            <v>52</v>
          </cell>
          <cell r="W8">
            <v>52</v>
          </cell>
          <cell r="X8">
            <v>52</v>
          </cell>
          <cell r="Y8">
            <v>52</v>
          </cell>
          <cell r="Z8">
            <v>52</v>
          </cell>
          <cell r="AA8">
            <v>52</v>
          </cell>
          <cell r="AB8">
            <v>52</v>
          </cell>
          <cell r="AC8">
            <v>52</v>
          </cell>
          <cell r="AD8">
            <v>52</v>
          </cell>
          <cell r="AE8">
            <v>52</v>
          </cell>
          <cell r="AF8">
            <v>52</v>
          </cell>
          <cell r="AG8">
            <v>52</v>
          </cell>
          <cell r="AH8">
            <v>52</v>
          </cell>
          <cell r="AI8">
            <v>52</v>
          </cell>
          <cell r="AJ8">
            <v>52</v>
          </cell>
          <cell r="AK8">
            <v>52</v>
          </cell>
        </row>
        <row r="9">
          <cell r="A9" t="str">
            <v>JPTY_LPG</v>
          </cell>
          <cell r="B9" t="str">
            <v>LPG</v>
          </cell>
          <cell r="C9" t="str">
            <v>GJ / ton</v>
          </cell>
          <cell r="G9">
            <v>46.1</v>
          </cell>
          <cell r="H9">
            <v>46.1</v>
          </cell>
          <cell r="I9">
            <v>46.1</v>
          </cell>
          <cell r="J9">
            <v>46.1</v>
          </cell>
          <cell r="K9">
            <v>46.1</v>
          </cell>
          <cell r="L9">
            <v>46.1</v>
          </cell>
          <cell r="M9">
            <v>46.9</v>
          </cell>
          <cell r="N9">
            <v>46.9</v>
          </cell>
          <cell r="O9">
            <v>46.9</v>
          </cell>
          <cell r="P9">
            <v>46.9</v>
          </cell>
          <cell r="Q9">
            <v>46.9</v>
          </cell>
          <cell r="R9">
            <v>46.9</v>
          </cell>
          <cell r="S9">
            <v>46.9</v>
          </cell>
          <cell r="T9">
            <v>46.9</v>
          </cell>
          <cell r="U9">
            <v>46</v>
          </cell>
          <cell r="V9">
            <v>46</v>
          </cell>
          <cell r="W9">
            <v>46</v>
          </cell>
          <cell r="X9">
            <v>46</v>
          </cell>
          <cell r="Y9">
            <v>46</v>
          </cell>
          <cell r="Z9">
            <v>46</v>
          </cell>
          <cell r="AA9">
            <v>46</v>
          </cell>
          <cell r="AB9">
            <v>46</v>
          </cell>
          <cell r="AC9">
            <v>46</v>
          </cell>
          <cell r="AD9">
            <v>46</v>
          </cell>
          <cell r="AE9">
            <v>46</v>
          </cell>
          <cell r="AF9">
            <v>46</v>
          </cell>
          <cell r="AG9">
            <v>46</v>
          </cell>
          <cell r="AH9">
            <v>46</v>
          </cell>
          <cell r="AI9">
            <v>46</v>
          </cell>
          <cell r="AJ9">
            <v>46</v>
          </cell>
          <cell r="AK9">
            <v>46</v>
          </cell>
        </row>
        <row r="10">
          <cell r="A10" t="str">
            <v>JPTY_LVN</v>
          </cell>
          <cell r="B10" t="str">
            <v>LVN</v>
          </cell>
          <cell r="C10" t="str">
            <v>GJ / ton</v>
          </cell>
          <cell r="G10">
            <v>43.5</v>
          </cell>
          <cell r="H10">
            <v>43.5</v>
          </cell>
          <cell r="I10">
            <v>43.5</v>
          </cell>
          <cell r="J10">
            <v>43.5</v>
          </cell>
          <cell r="K10">
            <v>43.5</v>
          </cell>
          <cell r="L10">
            <v>43.5</v>
          </cell>
          <cell r="M10">
            <v>43.5</v>
          </cell>
          <cell r="N10">
            <v>43.5</v>
          </cell>
          <cell r="O10">
            <v>43.5</v>
          </cell>
          <cell r="P10">
            <v>43.5</v>
          </cell>
          <cell r="Q10">
            <v>43.5</v>
          </cell>
          <cell r="R10">
            <v>43.5</v>
          </cell>
          <cell r="S10">
            <v>43.5</v>
          </cell>
          <cell r="T10">
            <v>43.5</v>
          </cell>
          <cell r="U10">
            <v>44.5</v>
          </cell>
          <cell r="V10">
            <v>44.5</v>
          </cell>
          <cell r="W10">
            <v>44.5</v>
          </cell>
          <cell r="X10">
            <v>44.5</v>
          </cell>
          <cell r="Y10">
            <v>44.5</v>
          </cell>
          <cell r="Z10">
            <v>44.5</v>
          </cell>
          <cell r="AA10">
            <v>44.5</v>
          </cell>
          <cell r="AB10">
            <v>44.5</v>
          </cell>
          <cell r="AC10">
            <v>44.5</v>
          </cell>
          <cell r="AD10">
            <v>44.5</v>
          </cell>
          <cell r="AE10">
            <v>44.5</v>
          </cell>
          <cell r="AF10">
            <v>44.5</v>
          </cell>
          <cell r="AG10">
            <v>44.5</v>
          </cell>
          <cell r="AH10">
            <v>44.5</v>
          </cell>
          <cell r="AI10">
            <v>44.5</v>
          </cell>
          <cell r="AJ10">
            <v>44.5</v>
          </cell>
          <cell r="AK10">
            <v>44.5</v>
          </cell>
        </row>
        <row r="11">
          <cell r="A11" t="str">
            <v>JPTY_BZ</v>
          </cell>
          <cell r="B11" t="str">
            <v>Motorbenzin</v>
          </cell>
          <cell r="C11" t="str">
            <v>GJ / ton</v>
          </cell>
          <cell r="G11">
            <v>43.5</v>
          </cell>
          <cell r="H11">
            <v>43.5</v>
          </cell>
          <cell r="I11">
            <v>43.5</v>
          </cell>
          <cell r="J11">
            <v>43.5</v>
          </cell>
          <cell r="K11">
            <v>43.5</v>
          </cell>
          <cell r="L11">
            <v>43.5</v>
          </cell>
          <cell r="M11">
            <v>43.5</v>
          </cell>
          <cell r="N11">
            <v>43.5</v>
          </cell>
          <cell r="O11">
            <v>43.5</v>
          </cell>
          <cell r="P11">
            <v>43.5</v>
          </cell>
          <cell r="Q11">
            <v>43.5</v>
          </cell>
          <cell r="R11">
            <v>43.5</v>
          </cell>
          <cell r="S11">
            <v>43.5</v>
          </cell>
          <cell r="T11">
            <v>43.5</v>
          </cell>
          <cell r="U11">
            <v>43.8</v>
          </cell>
          <cell r="V11">
            <v>43.8</v>
          </cell>
          <cell r="W11">
            <v>43.8</v>
          </cell>
          <cell r="X11">
            <v>43.8</v>
          </cell>
          <cell r="Y11">
            <v>43.8</v>
          </cell>
          <cell r="Z11">
            <v>43.8</v>
          </cell>
          <cell r="AA11">
            <v>43.8</v>
          </cell>
          <cell r="AB11">
            <v>43.8</v>
          </cell>
          <cell r="AC11">
            <v>43.8</v>
          </cell>
          <cell r="AD11">
            <v>43.8</v>
          </cell>
          <cell r="AE11">
            <v>43.8</v>
          </cell>
          <cell r="AF11">
            <v>43.8</v>
          </cell>
          <cell r="AG11">
            <v>43.8</v>
          </cell>
          <cell r="AH11">
            <v>43.8</v>
          </cell>
          <cell r="AI11">
            <v>43.8</v>
          </cell>
          <cell r="AJ11">
            <v>43.8</v>
          </cell>
          <cell r="AK11">
            <v>43.8</v>
          </cell>
        </row>
        <row r="12">
          <cell r="A12" t="str">
            <v>JPTY_BZFLY</v>
          </cell>
          <cell r="B12" t="str">
            <v>Flyvebenzin</v>
          </cell>
          <cell r="C12" t="str">
            <v>GJ / ton</v>
          </cell>
          <cell r="G12">
            <v>44</v>
          </cell>
          <cell r="H12">
            <v>44</v>
          </cell>
          <cell r="I12">
            <v>44</v>
          </cell>
          <cell r="J12">
            <v>44</v>
          </cell>
          <cell r="K12">
            <v>44</v>
          </cell>
          <cell r="L12">
            <v>44</v>
          </cell>
          <cell r="M12">
            <v>43.5</v>
          </cell>
          <cell r="N12">
            <v>43.5</v>
          </cell>
          <cell r="O12">
            <v>43.5</v>
          </cell>
          <cell r="P12">
            <v>43.5</v>
          </cell>
          <cell r="Q12">
            <v>43.5</v>
          </cell>
          <cell r="R12">
            <v>43.5</v>
          </cell>
          <cell r="S12">
            <v>43.5</v>
          </cell>
          <cell r="T12">
            <v>43.5</v>
          </cell>
          <cell r="U12">
            <v>43.8</v>
          </cell>
          <cell r="V12">
            <v>43.8</v>
          </cell>
          <cell r="W12">
            <v>43.8</v>
          </cell>
          <cell r="X12">
            <v>43.8</v>
          </cell>
          <cell r="Y12">
            <v>43.8</v>
          </cell>
          <cell r="Z12">
            <v>43.8</v>
          </cell>
          <cell r="AA12">
            <v>43.8</v>
          </cell>
          <cell r="AB12">
            <v>43.8</v>
          </cell>
          <cell r="AC12">
            <v>43.8</v>
          </cell>
          <cell r="AD12">
            <v>43.8</v>
          </cell>
          <cell r="AE12">
            <v>43.8</v>
          </cell>
          <cell r="AF12">
            <v>43.8</v>
          </cell>
          <cell r="AG12">
            <v>43.8</v>
          </cell>
          <cell r="AH12">
            <v>43.8</v>
          </cell>
          <cell r="AI12">
            <v>43.8</v>
          </cell>
          <cell r="AJ12">
            <v>43.8</v>
          </cell>
          <cell r="AK12">
            <v>43.8</v>
          </cell>
        </row>
        <row r="13">
          <cell r="A13" t="str">
            <v>JPTY_BZJP4</v>
          </cell>
          <cell r="B13" t="str">
            <v>JP4</v>
          </cell>
          <cell r="C13" t="str">
            <v>GJ / ton</v>
          </cell>
          <cell r="G13">
            <v>43.1</v>
          </cell>
          <cell r="H13">
            <v>43.1</v>
          </cell>
          <cell r="I13">
            <v>43.1</v>
          </cell>
          <cell r="J13">
            <v>43.1</v>
          </cell>
          <cell r="K13">
            <v>43.1</v>
          </cell>
          <cell r="L13">
            <v>43.1</v>
          </cell>
          <cell r="M13">
            <v>43.5</v>
          </cell>
          <cell r="N13">
            <v>43.5</v>
          </cell>
          <cell r="O13">
            <v>43.5</v>
          </cell>
          <cell r="P13">
            <v>43.5</v>
          </cell>
          <cell r="Q13">
            <v>43.5</v>
          </cell>
          <cell r="R13">
            <v>43.5</v>
          </cell>
          <cell r="S13">
            <v>43.5</v>
          </cell>
          <cell r="T13">
            <v>43.5</v>
          </cell>
          <cell r="U13">
            <v>43.8</v>
          </cell>
          <cell r="V13">
            <v>43.8</v>
          </cell>
          <cell r="W13">
            <v>43.8</v>
          </cell>
          <cell r="X13">
            <v>43.8</v>
          </cell>
          <cell r="Y13">
            <v>43.8</v>
          </cell>
          <cell r="Z13">
            <v>43.8</v>
          </cell>
          <cell r="AA13">
            <v>43.8</v>
          </cell>
          <cell r="AB13">
            <v>43.8</v>
          </cell>
          <cell r="AC13">
            <v>43.8</v>
          </cell>
          <cell r="AD13">
            <v>43.8</v>
          </cell>
          <cell r="AE13">
            <v>43.8</v>
          </cell>
          <cell r="AF13">
            <v>43.8</v>
          </cell>
          <cell r="AG13">
            <v>43.8</v>
          </cell>
          <cell r="AH13">
            <v>43.8</v>
          </cell>
          <cell r="AI13">
            <v>43.8</v>
          </cell>
          <cell r="AJ13">
            <v>43.8</v>
          </cell>
          <cell r="AK13">
            <v>43.8</v>
          </cell>
        </row>
        <row r="15">
          <cell r="A15" t="str">
            <v>JPTY_PETR</v>
          </cell>
          <cell r="B15" t="str">
            <v>Petroleum</v>
          </cell>
          <cell r="C15" t="str">
            <v>GJ / ton</v>
          </cell>
          <cell r="G15">
            <v>43.5</v>
          </cell>
          <cell r="H15">
            <v>43.5</v>
          </cell>
          <cell r="I15">
            <v>43.5</v>
          </cell>
          <cell r="J15">
            <v>43.5</v>
          </cell>
          <cell r="K15">
            <v>43.5</v>
          </cell>
          <cell r="L15">
            <v>43.5</v>
          </cell>
          <cell r="M15">
            <v>43.5</v>
          </cell>
          <cell r="N15">
            <v>43.5</v>
          </cell>
          <cell r="O15">
            <v>43.5</v>
          </cell>
          <cell r="P15">
            <v>43.5</v>
          </cell>
          <cell r="Q15">
            <v>43.5</v>
          </cell>
          <cell r="R15">
            <v>43.5</v>
          </cell>
          <cell r="S15">
            <v>43.5</v>
          </cell>
          <cell r="T15">
            <v>43.5</v>
          </cell>
          <cell r="U15">
            <v>43.5</v>
          </cell>
          <cell r="V15">
            <v>43.5</v>
          </cell>
          <cell r="W15">
            <v>43.5</v>
          </cell>
          <cell r="X15">
            <v>43.5</v>
          </cell>
          <cell r="Y15">
            <v>43.5</v>
          </cell>
          <cell r="Z15">
            <v>43.5</v>
          </cell>
          <cell r="AA15">
            <v>43.5</v>
          </cell>
          <cell r="AB15">
            <v>43.5</v>
          </cell>
          <cell r="AC15">
            <v>43.5</v>
          </cell>
          <cell r="AD15">
            <v>43.5</v>
          </cell>
          <cell r="AE15">
            <v>43.5</v>
          </cell>
          <cell r="AF15">
            <v>43.5</v>
          </cell>
          <cell r="AG15">
            <v>43.5</v>
          </cell>
          <cell r="AH15">
            <v>43.5</v>
          </cell>
          <cell r="AI15">
            <v>43.5</v>
          </cell>
          <cell r="AJ15">
            <v>43.5</v>
          </cell>
          <cell r="AK15">
            <v>43.5</v>
          </cell>
        </row>
        <row r="16">
          <cell r="A16" t="str">
            <v>JPTY_JP1</v>
          </cell>
          <cell r="B16" t="str">
            <v>JP1</v>
          </cell>
          <cell r="C16" t="str">
            <v>GJ / ton</v>
          </cell>
          <cell r="G16">
            <v>43.1</v>
          </cell>
          <cell r="H16">
            <v>43.1</v>
          </cell>
          <cell r="I16">
            <v>43.1</v>
          </cell>
          <cell r="J16">
            <v>43.1</v>
          </cell>
          <cell r="K16">
            <v>43.1</v>
          </cell>
          <cell r="L16">
            <v>43.1</v>
          </cell>
          <cell r="M16">
            <v>43.5</v>
          </cell>
          <cell r="N16">
            <v>43.5</v>
          </cell>
          <cell r="O16">
            <v>43.5</v>
          </cell>
          <cell r="P16">
            <v>43.5</v>
          </cell>
          <cell r="Q16">
            <v>43.5</v>
          </cell>
          <cell r="R16">
            <v>43.5</v>
          </cell>
          <cell r="S16">
            <v>43.5</v>
          </cell>
          <cell r="T16">
            <v>43.5</v>
          </cell>
          <cell r="U16">
            <v>43.5</v>
          </cell>
          <cell r="V16">
            <v>43.5</v>
          </cell>
          <cell r="W16">
            <v>43.5</v>
          </cell>
          <cell r="X16">
            <v>43.5</v>
          </cell>
          <cell r="Y16">
            <v>43.5</v>
          </cell>
          <cell r="Z16">
            <v>43.5</v>
          </cell>
          <cell r="AA16">
            <v>43.5</v>
          </cell>
          <cell r="AB16">
            <v>43.5</v>
          </cell>
          <cell r="AC16">
            <v>43.5</v>
          </cell>
          <cell r="AD16">
            <v>43.5</v>
          </cell>
          <cell r="AE16">
            <v>43.5</v>
          </cell>
          <cell r="AF16">
            <v>43.5</v>
          </cell>
          <cell r="AG16">
            <v>43.5</v>
          </cell>
          <cell r="AH16">
            <v>43.5</v>
          </cell>
          <cell r="AI16">
            <v>43.5</v>
          </cell>
          <cell r="AJ16">
            <v>43.5</v>
          </cell>
          <cell r="AK16">
            <v>43.5</v>
          </cell>
        </row>
        <row r="18">
          <cell r="A18" t="str">
            <v>JPTY_GASD</v>
          </cell>
          <cell r="B18" t="str">
            <v>Gas-/dieselolie</v>
          </cell>
          <cell r="C18" t="str">
            <v>GJ / ton</v>
          </cell>
          <cell r="G18">
            <v>42.7</v>
          </cell>
          <cell r="H18">
            <v>42.7</v>
          </cell>
          <cell r="I18">
            <v>42.7</v>
          </cell>
          <cell r="J18">
            <v>42.7</v>
          </cell>
          <cell r="K18">
            <v>42.7</v>
          </cell>
          <cell r="L18">
            <v>42.7</v>
          </cell>
          <cell r="M18">
            <v>42.7</v>
          </cell>
          <cell r="N18">
            <v>42.7</v>
          </cell>
          <cell r="O18">
            <v>42.7</v>
          </cell>
          <cell r="P18">
            <v>42.7</v>
          </cell>
          <cell r="Q18">
            <v>42.7</v>
          </cell>
          <cell r="R18">
            <v>42.7</v>
          </cell>
          <cell r="S18">
            <v>42.7</v>
          </cell>
          <cell r="T18">
            <v>42.7</v>
          </cell>
          <cell r="U18">
            <v>42.7</v>
          </cell>
          <cell r="V18">
            <v>42.7</v>
          </cell>
          <cell r="W18">
            <v>42.7</v>
          </cell>
          <cell r="X18">
            <v>42.7</v>
          </cell>
          <cell r="Y18">
            <v>42.7</v>
          </cell>
          <cell r="Z18">
            <v>42.7</v>
          </cell>
          <cell r="AA18">
            <v>42.7</v>
          </cell>
          <cell r="AB18">
            <v>42.7</v>
          </cell>
          <cell r="AC18">
            <v>42.7</v>
          </cell>
          <cell r="AD18">
            <v>42.7</v>
          </cell>
          <cell r="AE18">
            <v>42.7</v>
          </cell>
          <cell r="AF18">
            <v>42.7</v>
          </cell>
          <cell r="AG18">
            <v>42.7</v>
          </cell>
          <cell r="AH18">
            <v>42.7</v>
          </cell>
          <cell r="AI18">
            <v>42.7</v>
          </cell>
          <cell r="AJ18">
            <v>42.7</v>
          </cell>
          <cell r="AK18">
            <v>42.7</v>
          </cell>
        </row>
        <row r="19">
          <cell r="A19" t="str">
            <v>JPTY_F</v>
          </cell>
          <cell r="B19" t="str">
            <v>Fuelolie</v>
          </cell>
          <cell r="C19" t="str">
            <v>GJ / ton</v>
          </cell>
          <cell r="G19">
            <v>40.6</v>
          </cell>
          <cell r="H19">
            <v>40.6</v>
          </cell>
          <cell r="I19">
            <v>40.6</v>
          </cell>
          <cell r="J19">
            <v>40.6</v>
          </cell>
          <cell r="K19">
            <v>40.6</v>
          </cell>
          <cell r="L19">
            <v>40.6</v>
          </cell>
          <cell r="M19">
            <v>40.4</v>
          </cell>
          <cell r="N19">
            <v>40.4</v>
          </cell>
          <cell r="O19">
            <v>40.4</v>
          </cell>
          <cell r="P19">
            <v>40.4</v>
          </cell>
          <cell r="Q19">
            <v>40.4</v>
          </cell>
          <cell r="R19">
            <v>40.4</v>
          </cell>
          <cell r="S19">
            <v>40.4</v>
          </cell>
          <cell r="T19">
            <v>40.4</v>
          </cell>
          <cell r="U19">
            <v>40.4</v>
          </cell>
          <cell r="V19">
            <v>40.4</v>
          </cell>
          <cell r="W19">
            <v>40.4</v>
          </cell>
          <cell r="X19">
            <v>40.4</v>
          </cell>
          <cell r="Y19">
            <v>40.4</v>
          </cell>
          <cell r="Z19">
            <v>40.4</v>
          </cell>
          <cell r="AA19">
            <v>40.4</v>
          </cell>
          <cell r="AB19">
            <v>40.4</v>
          </cell>
          <cell r="AC19">
            <v>40.4</v>
          </cell>
          <cell r="AD19">
            <v>40.4</v>
          </cell>
          <cell r="AE19">
            <v>40.700000000000003</v>
          </cell>
          <cell r="AF19">
            <v>40.65</v>
          </cell>
          <cell r="AG19">
            <v>40.65</v>
          </cell>
          <cell r="AH19">
            <v>40.65</v>
          </cell>
          <cell r="AI19">
            <v>40.65</v>
          </cell>
          <cell r="AJ19">
            <v>40.65</v>
          </cell>
          <cell r="AK19">
            <v>40.65</v>
          </cell>
        </row>
        <row r="21">
          <cell r="A21" t="str">
            <v>JPTY_PK</v>
          </cell>
          <cell r="B21" t="str">
            <v>Petroleumskoks</v>
          </cell>
          <cell r="C21" t="str">
            <v>GJ / ton</v>
          </cell>
          <cell r="G21">
            <v>31.4</v>
          </cell>
          <cell r="H21">
            <v>31.4</v>
          </cell>
          <cell r="I21">
            <v>31.4</v>
          </cell>
          <cell r="J21">
            <v>31.4</v>
          </cell>
          <cell r="K21">
            <v>31.4</v>
          </cell>
          <cell r="L21">
            <v>31.4</v>
          </cell>
          <cell r="M21">
            <v>31.4</v>
          </cell>
          <cell r="N21">
            <v>31.4</v>
          </cell>
          <cell r="O21">
            <v>31.4</v>
          </cell>
          <cell r="P21">
            <v>31.4</v>
          </cell>
          <cell r="Q21">
            <v>31.4</v>
          </cell>
          <cell r="R21">
            <v>31.4</v>
          </cell>
          <cell r="S21">
            <v>31.4</v>
          </cell>
          <cell r="T21">
            <v>31.4</v>
          </cell>
          <cell r="U21">
            <v>31.4</v>
          </cell>
          <cell r="V21">
            <v>31.4</v>
          </cell>
          <cell r="W21">
            <v>31.4</v>
          </cell>
          <cell r="X21">
            <v>31.4</v>
          </cell>
          <cell r="Y21">
            <v>31.4</v>
          </cell>
          <cell r="Z21">
            <v>31.4</v>
          </cell>
          <cell r="AA21">
            <v>31.4</v>
          </cell>
          <cell r="AB21">
            <v>31.4</v>
          </cell>
          <cell r="AC21">
            <v>31.4</v>
          </cell>
          <cell r="AD21">
            <v>31.4</v>
          </cell>
          <cell r="AE21">
            <v>31.4</v>
          </cell>
          <cell r="AF21">
            <v>31.4</v>
          </cell>
          <cell r="AG21">
            <v>31.4</v>
          </cell>
          <cell r="AH21">
            <v>31.4</v>
          </cell>
          <cell r="AI21">
            <v>31.4</v>
          </cell>
          <cell r="AJ21">
            <v>31.4</v>
          </cell>
          <cell r="AK21">
            <v>31.4</v>
          </cell>
        </row>
        <row r="23">
          <cell r="A23" t="str">
            <v>JPTY_TERP</v>
          </cell>
          <cell r="B23" t="str">
            <v>Mineralsk terpentin</v>
          </cell>
          <cell r="C23" t="str">
            <v>GJ / ton</v>
          </cell>
          <cell r="G23">
            <v>43.5</v>
          </cell>
          <cell r="H23">
            <v>43.5</v>
          </cell>
          <cell r="I23">
            <v>43.5</v>
          </cell>
          <cell r="J23">
            <v>43.5</v>
          </cell>
          <cell r="K23">
            <v>43.5</v>
          </cell>
          <cell r="L23">
            <v>43.5</v>
          </cell>
          <cell r="M23">
            <v>43.5</v>
          </cell>
          <cell r="N23">
            <v>43.5</v>
          </cell>
          <cell r="O23">
            <v>43.5</v>
          </cell>
          <cell r="P23">
            <v>43.5</v>
          </cell>
          <cell r="Q23">
            <v>43.5</v>
          </cell>
          <cell r="R23">
            <v>43.5</v>
          </cell>
          <cell r="S23">
            <v>43.5</v>
          </cell>
          <cell r="T23">
            <v>43.5</v>
          </cell>
          <cell r="U23">
            <v>43.5</v>
          </cell>
          <cell r="V23">
            <v>43.5</v>
          </cell>
          <cell r="W23">
            <v>43.5</v>
          </cell>
          <cell r="X23">
            <v>43.5</v>
          </cell>
          <cell r="Y23">
            <v>43.5</v>
          </cell>
          <cell r="Z23">
            <v>43.5</v>
          </cell>
          <cell r="AA23">
            <v>43.5</v>
          </cell>
          <cell r="AB23">
            <v>43.5</v>
          </cell>
          <cell r="AC23">
            <v>43.5</v>
          </cell>
          <cell r="AD23">
            <v>43.5</v>
          </cell>
          <cell r="AE23">
            <v>43.5</v>
          </cell>
          <cell r="AF23">
            <v>43.5</v>
          </cell>
          <cell r="AG23">
            <v>43.5</v>
          </cell>
          <cell r="AH23">
            <v>43.5</v>
          </cell>
          <cell r="AI23">
            <v>43.5</v>
          </cell>
          <cell r="AJ23">
            <v>43.5</v>
          </cell>
          <cell r="AK23">
            <v>43.5</v>
          </cell>
        </row>
        <row r="24">
          <cell r="A24" t="str">
            <v>JPTY_BIT</v>
          </cell>
          <cell r="B24" t="str">
            <v>Bitumen</v>
          </cell>
          <cell r="C24" t="str">
            <v>GJ / ton</v>
          </cell>
          <cell r="G24">
            <v>39.799999999999997</v>
          </cell>
          <cell r="H24">
            <v>39.799999999999997</v>
          </cell>
          <cell r="I24">
            <v>39.799999999999997</v>
          </cell>
          <cell r="J24">
            <v>39.799999999999997</v>
          </cell>
          <cell r="K24">
            <v>39.799999999999997</v>
          </cell>
          <cell r="L24">
            <v>39.799999999999997</v>
          </cell>
          <cell r="M24">
            <v>39.799999999999997</v>
          </cell>
          <cell r="N24">
            <v>39.799999999999997</v>
          </cell>
          <cell r="O24">
            <v>39.799999999999997</v>
          </cell>
          <cell r="P24">
            <v>39.799999999999997</v>
          </cell>
          <cell r="Q24">
            <v>39.799999999999997</v>
          </cell>
          <cell r="R24">
            <v>39.799999999999997</v>
          </cell>
          <cell r="S24">
            <v>39.799999999999997</v>
          </cell>
          <cell r="T24">
            <v>39.799999999999997</v>
          </cell>
          <cell r="U24">
            <v>39.799999999999997</v>
          </cell>
          <cell r="V24">
            <v>39.799999999999997</v>
          </cell>
          <cell r="W24">
            <v>39.799999999999997</v>
          </cell>
          <cell r="X24">
            <v>39.799999999999997</v>
          </cell>
          <cell r="Y24">
            <v>39.799999999999997</v>
          </cell>
          <cell r="Z24">
            <v>39.799999999999997</v>
          </cell>
          <cell r="AA24">
            <v>39.799999999999997</v>
          </cell>
          <cell r="AB24">
            <v>39.799999999999997</v>
          </cell>
          <cell r="AC24">
            <v>39.799999999999997</v>
          </cell>
          <cell r="AD24">
            <v>39.799999999999997</v>
          </cell>
          <cell r="AE24">
            <v>39.799999999999997</v>
          </cell>
          <cell r="AF24">
            <v>39.799999999999997</v>
          </cell>
          <cell r="AG24">
            <v>39.799999999999997</v>
          </cell>
          <cell r="AH24">
            <v>39.799999999999997</v>
          </cell>
          <cell r="AI24">
            <v>39.799999999999997</v>
          </cell>
          <cell r="AJ24">
            <v>39.799999999999997</v>
          </cell>
          <cell r="AK24">
            <v>39.799999999999997</v>
          </cell>
        </row>
        <row r="25">
          <cell r="A25" t="str">
            <v>JPTY_SO</v>
          </cell>
          <cell r="B25" t="str">
            <v>Smøreolie</v>
          </cell>
          <cell r="C25" t="str">
            <v>GJ / ton</v>
          </cell>
          <cell r="G25">
            <v>41.9</v>
          </cell>
          <cell r="H25">
            <v>41.9</v>
          </cell>
          <cell r="I25">
            <v>41.9</v>
          </cell>
          <cell r="J25">
            <v>41.9</v>
          </cell>
          <cell r="K25">
            <v>41.9</v>
          </cell>
          <cell r="L25">
            <v>41.9</v>
          </cell>
          <cell r="M25">
            <v>41.9</v>
          </cell>
          <cell r="N25">
            <v>41.9</v>
          </cell>
          <cell r="O25">
            <v>41.9</v>
          </cell>
          <cell r="P25">
            <v>41.9</v>
          </cell>
          <cell r="Q25">
            <v>41.9</v>
          </cell>
          <cell r="R25">
            <v>41.9</v>
          </cell>
          <cell r="S25">
            <v>41.9</v>
          </cell>
          <cell r="T25">
            <v>41.9</v>
          </cell>
          <cell r="U25">
            <v>41.9</v>
          </cell>
          <cell r="V25">
            <v>41.9</v>
          </cell>
          <cell r="W25">
            <v>41.9</v>
          </cell>
          <cell r="X25">
            <v>41.9</v>
          </cell>
          <cell r="Y25">
            <v>41.9</v>
          </cell>
          <cell r="Z25">
            <v>41.9</v>
          </cell>
          <cell r="AA25">
            <v>41.9</v>
          </cell>
          <cell r="AB25">
            <v>41.9</v>
          </cell>
          <cell r="AC25">
            <v>41.9</v>
          </cell>
          <cell r="AD25">
            <v>41.9</v>
          </cell>
          <cell r="AE25">
            <v>41.9</v>
          </cell>
          <cell r="AF25">
            <v>41.9</v>
          </cell>
          <cell r="AG25">
            <v>41.9</v>
          </cell>
          <cell r="AH25">
            <v>41.9</v>
          </cell>
          <cell r="AI25">
            <v>41.9</v>
          </cell>
          <cell r="AJ25">
            <v>41.9</v>
          </cell>
          <cell r="AK25">
            <v>41.9</v>
          </cell>
        </row>
        <row r="27">
          <cell r="A27" t="str">
            <v>JPNY_NG</v>
          </cell>
          <cell r="B27" t="str">
            <v>Naturgas</v>
          </cell>
          <cell r="C27" t="str">
            <v>GJ / 1000 Nm3</v>
          </cell>
          <cell r="G27">
            <v>39</v>
          </cell>
          <cell r="H27">
            <v>39</v>
          </cell>
          <cell r="I27">
            <v>39</v>
          </cell>
          <cell r="J27">
            <v>39</v>
          </cell>
          <cell r="K27">
            <v>39</v>
          </cell>
          <cell r="L27">
            <v>39</v>
          </cell>
          <cell r="M27">
            <v>39</v>
          </cell>
          <cell r="N27">
            <v>39</v>
          </cell>
          <cell r="O27">
            <v>39</v>
          </cell>
          <cell r="P27">
            <v>39</v>
          </cell>
          <cell r="Q27">
            <v>39</v>
          </cell>
          <cell r="R27">
            <v>39</v>
          </cell>
          <cell r="S27">
            <v>39</v>
          </cell>
          <cell r="T27">
            <v>39</v>
          </cell>
          <cell r="U27">
            <v>39</v>
          </cell>
          <cell r="V27">
            <v>39</v>
          </cell>
          <cell r="W27">
            <v>39</v>
          </cell>
          <cell r="X27">
            <v>39</v>
          </cell>
          <cell r="Y27">
            <v>39</v>
          </cell>
          <cell r="Z27">
            <v>39</v>
          </cell>
          <cell r="AA27">
            <v>39</v>
          </cell>
          <cell r="AB27">
            <v>39.299999999999997</v>
          </cell>
          <cell r="AC27">
            <v>39.299999999999997</v>
          </cell>
          <cell r="AD27">
            <v>39.299999999999997</v>
          </cell>
          <cell r="AE27">
            <v>39.299999999999997</v>
          </cell>
          <cell r="AF27">
            <v>39.6</v>
          </cell>
          <cell r="AG27">
            <v>39.9</v>
          </cell>
          <cell r="AH27">
            <v>40</v>
          </cell>
          <cell r="AI27">
            <v>40.15</v>
          </cell>
          <cell r="AJ27">
            <v>39.99</v>
          </cell>
          <cell r="AK27">
            <v>40.06</v>
          </cell>
        </row>
        <row r="50">
          <cell r="A50" t="str">
            <v xml:space="preserve">TPMY_BZ                </v>
          </cell>
          <cell r="B50" t="str">
            <v>ton / m3</v>
          </cell>
          <cell r="C50" t="str">
            <v>Motorbenzin</v>
          </cell>
          <cell r="G50">
            <v>0.752</v>
          </cell>
          <cell r="H50">
            <v>0.752</v>
          </cell>
          <cell r="I50">
            <v>0.752</v>
          </cell>
          <cell r="J50">
            <v>0.752</v>
          </cell>
          <cell r="K50">
            <v>0.752</v>
          </cell>
          <cell r="L50">
            <v>0.752</v>
          </cell>
          <cell r="M50">
            <v>0.75</v>
          </cell>
          <cell r="N50">
            <v>0.75</v>
          </cell>
          <cell r="O50">
            <v>0.75</v>
          </cell>
          <cell r="P50">
            <v>0.75</v>
          </cell>
          <cell r="Q50">
            <v>0.75</v>
          </cell>
          <cell r="R50">
            <v>0.75</v>
          </cell>
          <cell r="S50">
            <v>0.75</v>
          </cell>
          <cell r="T50">
            <v>0.75</v>
          </cell>
          <cell r="U50">
            <v>0.75</v>
          </cell>
          <cell r="V50">
            <v>0.75</v>
          </cell>
          <cell r="W50">
            <v>0.75</v>
          </cell>
          <cell r="X50">
            <v>0.75</v>
          </cell>
          <cell r="Y50">
            <v>0.75</v>
          </cell>
          <cell r="Z50">
            <v>0.75</v>
          </cell>
          <cell r="AA50">
            <v>0.75</v>
          </cell>
          <cell r="AB50">
            <v>0.75</v>
          </cell>
          <cell r="AC50">
            <v>0.75</v>
          </cell>
          <cell r="AD50">
            <v>0.75</v>
          </cell>
          <cell r="AE50">
            <v>0.75</v>
          </cell>
          <cell r="AF50">
            <v>0.75</v>
          </cell>
          <cell r="AG50">
            <v>0.745</v>
          </cell>
          <cell r="AH50">
            <v>0.745</v>
          </cell>
          <cell r="AI50">
            <v>0.75</v>
          </cell>
          <cell r="AJ50">
            <v>0.75</v>
          </cell>
          <cell r="AK50">
            <v>0.75</v>
          </cell>
        </row>
        <row r="51">
          <cell r="A51" t="str">
            <v>TPMY_BZFLY</v>
          </cell>
          <cell r="B51" t="str">
            <v>ton / m3</v>
          </cell>
          <cell r="C51" t="str">
            <v>Flyvebenzin</v>
          </cell>
          <cell r="G51">
            <v>0.71099999999999997</v>
          </cell>
          <cell r="H51">
            <v>0.71099999999999997</v>
          </cell>
          <cell r="I51">
            <v>0.71099999999999997</v>
          </cell>
          <cell r="J51">
            <v>0.71099999999999997</v>
          </cell>
          <cell r="K51">
            <v>0.71099999999999997</v>
          </cell>
          <cell r="L51">
            <v>0.71099999999999997</v>
          </cell>
          <cell r="M51">
            <v>0.71</v>
          </cell>
          <cell r="N51">
            <v>0.71</v>
          </cell>
          <cell r="O51">
            <v>0.71</v>
          </cell>
          <cell r="P51">
            <v>0.71</v>
          </cell>
          <cell r="Q51">
            <v>0.71</v>
          </cell>
          <cell r="R51">
            <v>0.71</v>
          </cell>
          <cell r="S51">
            <v>0.71</v>
          </cell>
          <cell r="T51">
            <v>0.71</v>
          </cell>
          <cell r="U51">
            <v>0.71</v>
          </cell>
          <cell r="V51">
            <v>0.71</v>
          </cell>
          <cell r="W51">
            <v>0.71</v>
          </cell>
          <cell r="X51">
            <v>0.71</v>
          </cell>
          <cell r="Y51">
            <v>0.71</v>
          </cell>
          <cell r="Z51">
            <v>0.71</v>
          </cell>
          <cell r="AA51">
            <v>0.71</v>
          </cell>
          <cell r="AB51">
            <v>0.71</v>
          </cell>
          <cell r="AC51">
            <v>0.71</v>
          </cell>
          <cell r="AD51">
            <v>0.71</v>
          </cell>
          <cell r="AE51">
            <v>0.71</v>
          </cell>
          <cell r="AF51">
            <v>0.71</v>
          </cell>
          <cell r="AG51">
            <v>0.71</v>
          </cell>
          <cell r="AH51">
            <v>0.71</v>
          </cell>
          <cell r="AI51">
            <v>0.71</v>
          </cell>
          <cell r="AJ51">
            <v>0.71</v>
          </cell>
          <cell r="AK51">
            <v>0.71</v>
          </cell>
        </row>
        <row r="52">
          <cell r="A52" t="str">
            <v>TPMY_BZJP4</v>
          </cell>
          <cell r="B52" t="str">
            <v>ton / m3</v>
          </cell>
          <cell r="C52" t="str">
            <v>JP4</v>
          </cell>
          <cell r="G52">
            <v>0.753</v>
          </cell>
          <cell r="H52">
            <v>0.753</v>
          </cell>
          <cell r="I52">
            <v>0.753</v>
          </cell>
          <cell r="J52">
            <v>0.753</v>
          </cell>
          <cell r="K52">
            <v>0.753</v>
          </cell>
          <cell r="L52">
            <v>0.753</v>
          </cell>
          <cell r="M52">
            <v>0.76</v>
          </cell>
          <cell r="N52">
            <v>0.76</v>
          </cell>
          <cell r="O52">
            <v>0.76</v>
          </cell>
          <cell r="P52">
            <v>0.76</v>
          </cell>
          <cell r="Q52">
            <v>0.76</v>
          </cell>
          <cell r="R52">
            <v>0.76</v>
          </cell>
          <cell r="S52">
            <v>0.76</v>
          </cell>
          <cell r="T52">
            <v>0.76</v>
          </cell>
          <cell r="U52">
            <v>0.76</v>
          </cell>
          <cell r="V52">
            <v>0.76</v>
          </cell>
          <cell r="W52">
            <v>0.76</v>
          </cell>
          <cell r="X52">
            <v>0.76</v>
          </cell>
          <cell r="Y52">
            <v>0.76</v>
          </cell>
          <cell r="Z52">
            <v>0.76</v>
          </cell>
          <cell r="AA52">
            <v>0.76</v>
          </cell>
          <cell r="AB52">
            <v>0.76</v>
          </cell>
          <cell r="AC52">
            <v>0.76</v>
          </cell>
          <cell r="AD52">
            <v>0.76</v>
          </cell>
          <cell r="AE52">
            <v>0.76</v>
          </cell>
          <cell r="AF52">
            <v>0.76</v>
          </cell>
          <cell r="AG52">
            <v>0.76</v>
          </cell>
          <cell r="AH52">
            <v>0.76</v>
          </cell>
          <cell r="AI52">
            <v>0.76</v>
          </cell>
          <cell r="AJ52">
            <v>0.76</v>
          </cell>
          <cell r="AK52">
            <v>0.76</v>
          </cell>
        </row>
        <row r="53">
          <cell r="A53" t="str">
            <v>TPMY_PETR</v>
          </cell>
          <cell r="B53" t="str">
            <v>ton / m3</v>
          </cell>
          <cell r="C53" t="str">
            <v>Petroleum</v>
          </cell>
          <cell r="G53">
            <v>0.78</v>
          </cell>
          <cell r="H53">
            <v>0.78</v>
          </cell>
          <cell r="I53">
            <v>0.78</v>
          </cell>
          <cell r="J53">
            <v>0.78</v>
          </cell>
          <cell r="K53">
            <v>0.78</v>
          </cell>
          <cell r="L53">
            <v>0.78</v>
          </cell>
          <cell r="M53">
            <v>0.8</v>
          </cell>
          <cell r="N53">
            <v>0.8</v>
          </cell>
          <cell r="O53">
            <v>0.8</v>
          </cell>
          <cell r="P53">
            <v>0.8</v>
          </cell>
          <cell r="Q53">
            <v>0.8</v>
          </cell>
          <cell r="R53">
            <v>0.8</v>
          </cell>
          <cell r="S53">
            <v>0.8</v>
          </cell>
          <cell r="T53">
            <v>0.8</v>
          </cell>
          <cell r="U53">
            <v>0.8</v>
          </cell>
          <cell r="V53">
            <v>0.8</v>
          </cell>
          <cell r="W53">
            <v>0.8</v>
          </cell>
          <cell r="X53">
            <v>0.8</v>
          </cell>
          <cell r="Y53">
            <v>0.8</v>
          </cell>
          <cell r="Z53">
            <v>0.8</v>
          </cell>
          <cell r="AA53">
            <v>0.8</v>
          </cell>
          <cell r="AB53">
            <v>0.8</v>
          </cell>
          <cell r="AC53">
            <v>0.8</v>
          </cell>
          <cell r="AD53">
            <v>0.8</v>
          </cell>
          <cell r="AE53">
            <v>0.8</v>
          </cell>
          <cell r="AF53">
            <v>0.8</v>
          </cell>
          <cell r="AG53">
            <v>0.8</v>
          </cell>
          <cell r="AH53">
            <v>0.8</v>
          </cell>
          <cell r="AI53">
            <v>0.8</v>
          </cell>
          <cell r="AJ53">
            <v>0.8</v>
          </cell>
          <cell r="AK53">
            <v>0.8</v>
          </cell>
        </row>
        <row r="54">
          <cell r="A54" t="str">
            <v>TPMY_JP1</v>
          </cell>
          <cell r="B54" t="str">
            <v>ton / m3</v>
          </cell>
          <cell r="C54" t="str">
            <v>JP1</v>
          </cell>
          <cell r="G54">
            <v>0.79200000000000004</v>
          </cell>
          <cell r="H54">
            <v>0.79200000000000004</v>
          </cell>
          <cell r="I54">
            <v>0.79200000000000004</v>
          </cell>
          <cell r="J54">
            <v>0.79200000000000004</v>
          </cell>
          <cell r="K54">
            <v>0.79200000000000004</v>
          </cell>
          <cell r="L54">
            <v>0.79200000000000004</v>
          </cell>
          <cell r="M54">
            <v>0.8</v>
          </cell>
          <cell r="N54">
            <v>0.8</v>
          </cell>
          <cell r="O54">
            <v>0.8</v>
          </cell>
          <cell r="P54">
            <v>0.8</v>
          </cell>
          <cell r="Q54">
            <v>0.8</v>
          </cell>
          <cell r="R54">
            <v>0.8</v>
          </cell>
          <cell r="S54">
            <v>0.8</v>
          </cell>
          <cell r="T54">
            <v>0.8</v>
          </cell>
          <cell r="U54">
            <v>0.8</v>
          </cell>
          <cell r="V54">
            <v>0.8</v>
          </cell>
          <cell r="W54">
            <v>0.8</v>
          </cell>
          <cell r="X54">
            <v>0.8</v>
          </cell>
          <cell r="Y54">
            <v>0.8</v>
          </cell>
          <cell r="Z54">
            <v>0.8</v>
          </cell>
          <cell r="AA54">
            <v>0.8</v>
          </cell>
          <cell r="AB54">
            <v>0.8</v>
          </cell>
          <cell r="AC54">
            <v>0.8</v>
          </cell>
          <cell r="AD54">
            <v>0.8</v>
          </cell>
          <cell r="AE54">
            <v>0.8</v>
          </cell>
          <cell r="AF54">
            <v>0.8</v>
          </cell>
          <cell r="AG54">
            <v>0.8</v>
          </cell>
          <cell r="AH54">
            <v>0.8</v>
          </cell>
          <cell r="AI54">
            <v>0.8</v>
          </cell>
          <cell r="AJ54">
            <v>0.8</v>
          </cell>
          <cell r="AK54">
            <v>0.8</v>
          </cell>
        </row>
        <row r="55">
          <cell r="A55" t="str">
            <v>TPMY_GASD</v>
          </cell>
          <cell r="B55" t="str">
            <v>ton / m3</v>
          </cell>
          <cell r="C55" t="str">
            <v>Gas-/dieselolie</v>
          </cell>
          <cell r="G55">
            <v>0.83299999999999996</v>
          </cell>
          <cell r="H55">
            <v>0.83299999999999996</v>
          </cell>
          <cell r="I55">
            <v>0.83299999999999996</v>
          </cell>
          <cell r="J55">
            <v>0.83299999999999996</v>
          </cell>
          <cell r="K55">
            <v>0.83299999999999996</v>
          </cell>
          <cell r="L55">
            <v>0.83399999999999996</v>
          </cell>
          <cell r="M55">
            <v>0.84</v>
          </cell>
          <cell r="N55">
            <v>0.84</v>
          </cell>
          <cell r="O55">
            <v>0.84</v>
          </cell>
          <cell r="P55">
            <v>0.84</v>
          </cell>
          <cell r="Q55">
            <v>0.84</v>
          </cell>
          <cell r="R55">
            <v>0.84</v>
          </cell>
          <cell r="S55">
            <v>0.84</v>
          </cell>
          <cell r="T55">
            <v>0.84</v>
          </cell>
          <cell r="U55">
            <v>0.84</v>
          </cell>
          <cell r="V55">
            <v>0.84</v>
          </cell>
          <cell r="W55">
            <v>0.84</v>
          </cell>
          <cell r="X55">
            <v>0.84</v>
          </cell>
          <cell r="Y55">
            <v>0.84</v>
          </cell>
          <cell r="Z55">
            <v>0.84</v>
          </cell>
          <cell r="AA55">
            <v>0.84</v>
          </cell>
          <cell r="AB55">
            <v>0.84</v>
          </cell>
          <cell r="AC55">
            <v>0.84</v>
          </cell>
          <cell r="AD55">
            <v>0.84</v>
          </cell>
          <cell r="AE55">
            <v>0.84</v>
          </cell>
          <cell r="AF55">
            <v>0.84</v>
          </cell>
          <cell r="AG55">
            <v>0.84</v>
          </cell>
          <cell r="AH55">
            <v>0.84</v>
          </cell>
          <cell r="AI55">
            <v>0.84</v>
          </cell>
          <cell r="AJ55">
            <v>0.84</v>
          </cell>
          <cell r="AK55">
            <v>0.84</v>
          </cell>
        </row>
      </sheetData>
      <sheetData sheetId="5"/>
      <sheetData sheetId="6"/>
      <sheetData sheetId="7"/>
      <sheetData sheetId="8">
        <row r="5">
          <cell r="A5" t="str">
            <v>KONELNYBRTJY_NG</v>
          </cell>
          <cell r="G5">
            <v>0</v>
          </cell>
          <cell r="H5">
            <v>0</v>
          </cell>
          <cell r="I5">
            <v>0</v>
          </cell>
          <cell r="J5">
            <v>0</v>
          </cell>
          <cell r="K5">
            <v>0</v>
          </cell>
          <cell r="L5">
            <v>0</v>
          </cell>
          <cell r="M5">
            <v>0</v>
          </cell>
          <cell r="N5">
            <v>0</v>
          </cell>
          <cell r="O5">
            <v>0</v>
          </cell>
          <cell r="P5">
            <v>0</v>
          </cell>
          <cell r="Q5">
            <v>0</v>
          </cell>
          <cell r="R5">
            <v>0</v>
          </cell>
          <cell r="S5">
            <v>0</v>
          </cell>
          <cell r="T5">
            <v>0</v>
          </cell>
          <cell r="U5">
            <v>0</v>
          </cell>
          <cell r="V5">
            <v>0</v>
          </cell>
          <cell r="W5">
            <v>0</v>
          </cell>
          <cell r="X5">
            <v>0</v>
          </cell>
          <cell r="Y5">
            <v>0</v>
          </cell>
          <cell r="Z5">
            <v>0</v>
          </cell>
          <cell r="AA5">
            <v>0</v>
          </cell>
          <cell r="AB5">
            <v>0</v>
          </cell>
          <cell r="AC5">
            <v>275.33962939999998</v>
          </cell>
          <cell r="AD5">
            <v>326.69723708649525</v>
          </cell>
          <cell r="AE5">
            <v>261.23608647798437</v>
          </cell>
          <cell r="AF5">
            <v>296.87401678141265</v>
          </cell>
          <cell r="AG5">
            <v>302.89649016922783</v>
          </cell>
          <cell r="AH5">
            <v>288.06092141680801</v>
          </cell>
          <cell r="AI5">
            <v>178.27</v>
          </cell>
          <cell r="AJ5">
            <v>244.73</v>
          </cell>
          <cell r="AK5">
            <v>257.77999999999997</v>
          </cell>
          <cell r="AO5" t="str">
            <v>ENS: Energiproducenttællingen (1994-2001)</v>
          </cell>
        </row>
        <row r="15">
          <cell r="A15" t="str">
            <v xml:space="preserve">                                           </v>
          </cell>
          <cell r="C15" t="str">
            <v>cev</v>
          </cell>
          <cell r="D15" t="str">
            <v>elr</v>
          </cell>
          <cell r="E15" t="str">
            <v>rga</v>
          </cell>
          <cell r="G15">
            <v>0</v>
          </cell>
          <cell r="J15">
            <v>0</v>
          </cell>
          <cell r="K15">
            <v>0</v>
          </cell>
          <cell r="L15">
            <v>0</v>
          </cell>
          <cell r="M15">
            <v>0</v>
          </cell>
          <cell r="N15">
            <v>0</v>
          </cell>
          <cell r="O15">
            <v>0</v>
          </cell>
          <cell r="P15">
            <v>0</v>
          </cell>
          <cell r="Q15">
            <v>0</v>
          </cell>
          <cell r="R15">
            <v>0</v>
          </cell>
          <cell r="S15">
            <v>0</v>
          </cell>
          <cell r="T15">
            <v>0</v>
          </cell>
          <cell r="U15">
            <v>0</v>
          </cell>
          <cell r="V15">
            <v>0</v>
          </cell>
          <cell r="W15">
            <v>0</v>
          </cell>
          <cell r="X15">
            <v>0</v>
          </cell>
          <cell r="Y15">
            <v>0</v>
          </cell>
          <cell r="Z15">
            <v>0</v>
          </cell>
          <cell r="AA15">
            <v>117.81322716892416</v>
          </cell>
          <cell r="AB15">
            <v>195.83029999999999</v>
          </cell>
          <cell r="AC15">
            <v>0</v>
          </cell>
          <cell r="AD15">
            <v>0</v>
          </cell>
          <cell r="AE15">
            <v>0</v>
          </cell>
          <cell r="AF15">
            <v>0</v>
          </cell>
          <cell r="AG15">
            <v>0</v>
          </cell>
          <cell r="AH15">
            <v>0</v>
          </cell>
          <cell r="AI15">
            <v>0</v>
          </cell>
          <cell r="AJ15">
            <v>0</v>
          </cell>
          <cell r="AK15">
            <v>0</v>
          </cell>
          <cell r="AO15" t="str">
            <v>ENS: Energiproducenttællingen (1994-2001)</v>
          </cell>
        </row>
        <row r="33">
          <cell r="A33" t="str">
            <v>CVFV_RG</v>
          </cell>
          <cell r="C33" t="str">
            <v>cev</v>
          </cell>
          <cell r="D33" t="str">
            <v>fjr</v>
          </cell>
          <cell r="E33" t="str">
            <v>rga</v>
          </cell>
          <cell r="G33">
            <v>0</v>
          </cell>
          <cell r="H33">
            <v>0</v>
          </cell>
          <cell r="I33">
            <v>0</v>
          </cell>
          <cell r="J33">
            <v>0</v>
          </cell>
          <cell r="K33">
            <v>0</v>
          </cell>
          <cell r="L33">
            <v>0</v>
          </cell>
          <cell r="M33">
            <v>0</v>
          </cell>
          <cell r="N33">
            <v>0</v>
          </cell>
          <cell r="O33">
            <v>0</v>
          </cell>
          <cell r="P33">
            <v>0</v>
          </cell>
          <cell r="Q33">
            <v>0</v>
          </cell>
          <cell r="R33">
            <v>0</v>
          </cell>
          <cell r="S33">
            <v>0</v>
          </cell>
          <cell r="T33">
            <v>0</v>
          </cell>
          <cell r="U33">
            <v>0</v>
          </cell>
          <cell r="V33">
            <v>0</v>
          </cell>
          <cell r="W33">
            <v>0</v>
          </cell>
          <cell r="X33">
            <v>0</v>
          </cell>
          <cell r="Y33">
            <v>0</v>
          </cell>
          <cell r="Z33">
            <v>0</v>
          </cell>
          <cell r="AA33">
            <v>14.526772831075847</v>
          </cell>
          <cell r="AB33">
            <v>25.5336</v>
          </cell>
          <cell r="AC33">
            <v>0</v>
          </cell>
          <cell r="AD33">
            <v>0</v>
          </cell>
          <cell r="AE33">
            <v>0</v>
          </cell>
          <cell r="AF33">
            <v>0</v>
          </cell>
          <cell r="AG33">
            <v>0</v>
          </cell>
          <cell r="AH33">
            <v>0</v>
          </cell>
          <cell r="AI33">
            <v>0</v>
          </cell>
          <cell r="AJ33">
            <v>0</v>
          </cell>
          <cell r="AK33">
            <v>0</v>
          </cell>
          <cell r="AO33" t="str">
            <v>ENS: Energiproducenttællingen (1994-2001)</v>
          </cell>
        </row>
        <row r="77">
          <cell r="A77" t="str">
            <v>FJFV_RG</v>
          </cell>
          <cell r="C77" t="str">
            <v>fvv</v>
          </cell>
          <cell r="D77" t="str">
            <v>fjr</v>
          </cell>
          <cell r="E77" t="str">
            <v>rga</v>
          </cell>
          <cell r="G77">
            <v>0</v>
          </cell>
          <cell r="H77">
            <v>0</v>
          </cell>
          <cell r="I77">
            <v>0</v>
          </cell>
          <cell r="J77">
            <v>0</v>
          </cell>
          <cell r="K77">
            <v>0</v>
          </cell>
          <cell r="L77">
            <v>0</v>
          </cell>
          <cell r="M77">
            <v>0</v>
          </cell>
          <cell r="N77">
            <v>0</v>
          </cell>
          <cell r="O77">
            <v>0</v>
          </cell>
          <cell r="P77">
            <v>0</v>
          </cell>
          <cell r="Q77">
            <v>0</v>
          </cell>
          <cell r="R77">
            <v>0</v>
          </cell>
          <cell r="S77">
            <v>0</v>
          </cell>
          <cell r="T77">
            <v>0</v>
          </cell>
          <cell r="U77">
            <v>0</v>
          </cell>
          <cell r="V77">
            <v>0</v>
          </cell>
          <cell r="W77">
            <v>0</v>
          </cell>
          <cell r="X77">
            <v>0</v>
          </cell>
          <cell r="Y77">
            <v>0</v>
          </cell>
          <cell r="Z77">
            <v>0</v>
          </cell>
          <cell r="AA77">
            <v>0</v>
          </cell>
          <cell r="AB77">
            <v>0</v>
          </cell>
          <cell r="AC77">
            <v>369.37199940900479</v>
          </cell>
          <cell r="AD77">
            <v>156.74399974920962</v>
          </cell>
          <cell r="AE77">
            <v>35.204000000000001</v>
          </cell>
          <cell r="AF77">
            <v>40.076999999999998</v>
          </cell>
          <cell r="AG77">
            <v>0</v>
          </cell>
          <cell r="AH77">
            <v>0</v>
          </cell>
          <cell r="AI77">
            <v>0</v>
          </cell>
          <cell r="AJ77">
            <v>0</v>
          </cell>
          <cell r="AK77">
            <v>0</v>
          </cell>
          <cell r="AO77" t="str">
            <v>ENS: Energiproducenttællingen (1994-2001)</v>
          </cell>
        </row>
        <row r="107">
          <cell r="A107" t="str">
            <v>PVEL_RG</v>
          </cell>
          <cell r="C107" t="str">
            <v>pev</v>
          </cell>
          <cell r="D107" t="str">
            <v>elr</v>
          </cell>
          <cell r="E107" t="str">
            <v>rga</v>
          </cell>
          <cell r="G107">
            <v>0</v>
          </cell>
          <cell r="H107">
            <v>0</v>
          </cell>
          <cell r="I107">
            <v>0</v>
          </cell>
          <cell r="J107">
            <v>0</v>
          </cell>
          <cell r="K107">
            <v>0</v>
          </cell>
          <cell r="L107">
            <v>0</v>
          </cell>
          <cell r="M107">
            <v>0</v>
          </cell>
          <cell r="N107">
            <v>0</v>
          </cell>
          <cell r="O107">
            <v>0</v>
          </cell>
          <cell r="P107">
            <v>0</v>
          </cell>
          <cell r="Q107">
            <v>0</v>
          </cell>
          <cell r="R107">
            <v>0</v>
          </cell>
          <cell r="S107">
            <v>0</v>
          </cell>
          <cell r="T107">
            <v>0</v>
          </cell>
          <cell r="U107">
            <v>68.422867199999999</v>
          </cell>
          <cell r="V107">
            <v>136.8457344</v>
          </cell>
          <cell r="W107">
            <v>205.26860160000001</v>
          </cell>
          <cell r="X107">
            <v>331.59700800000002</v>
          </cell>
          <cell r="Y107">
            <v>457.92541439999997</v>
          </cell>
          <cell r="Z107">
            <v>925.58920960000012</v>
          </cell>
          <cell r="AA107">
            <v>1393.2530047999999</v>
          </cell>
          <cell r="AB107">
            <v>1860.9168</v>
          </cell>
          <cell r="AC107">
            <v>1656.999996392</v>
          </cell>
          <cell r="AD107">
            <v>1733.1999963364804</v>
          </cell>
          <cell r="AE107">
            <v>2012.4999957295997</v>
          </cell>
          <cell r="AF107">
            <v>1718.3130000000001</v>
          </cell>
          <cell r="AG107">
            <v>1875.5</v>
          </cell>
          <cell r="AH107">
            <v>2006.5</v>
          </cell>
          <cell r="AI107">
            <v>1807.7329999999999</v>
          </cell>
          <cell r="AJ107">
            <v>1845.91</v>
          </cell>
          <cell r="AK107">
            <v>1861.05</v>
          </cell>
          <cell r="AO107" t="str">
            <v>ENS: Energiproducenttællingen (1994-2001)</v>
          </cell>
        </row>
        <row r="123">
          <cell r="A123" t="str">
            <v>PVFV_RG</v>
          </cell>
          <cell r="C123" t="str">
            <v>pev</v>
          </cell>
          <cell r="D123" t="str">
            <v>fjr</v>
          </cell>
          <cell r="E123" t="str">
            <v>rga</v>
          </cell>
          <cell r="G123">
            <v>0</v>
          </cell>
          <cell r="H123">
            <v>0</v>
          </cell>
          <cell r="I123">
            <v>0</v>
          </cell>
          <cell r="J123">
            <v>0</v>
          </cell>
          <cell r="K123">
            <v>0</v>
          </cell>
          <cell r="L123">
            <v>0</v>
          </cell>
          <cell r="M123">
            <v>0</v>
          </cell>
          <cell r="N123">
            <v>0</v>
          </cell>
          <cell r="O123">
            <v>0</v>
          </cell>
          <cell r="P123">
            <v>0</v>
          </cell>
          <cell r="Q123">
            <v>0</v>
          </cell>
          <cell r="R123">
            <v>0</v>
          </cell>
          <cell r="S123">
            <v>0</v>
          </cell>
          <cell r="T123">
            <v>0</v>
          </cell>
          <cell r="U123">
            <v>0</v>
          </cell>
          <cell r="V123">
            <v>0</v>
          </cell>
          <cell r="W123">
            <v>0</v>
          </cell>
          <cell r="X123">
            <v>0</v>
          </cell>
          <cell r="Y123">
            <v>0</v>
          </cell>
          <cell r="Z123">
            <v>0</v>
          </cell>
          <cell r="AA123">
            <v>0</v>
          </cell>
          <cell r="AB123">
            <v>0</v>
          </cell>
          <cell r="AC123">
            <v>102</v>
          </cell>
          <cell r="AD123">
            <v>114.5</v>
          </cell>
          <cell r="AE123">
            <v>126.5</v>
          </cell>
          <cell r="AF123">
            <v>105.5</v>
          </cell>
          <cell r="AG123">
            <v>123</v>
          </cell>
          <cell r="AH123">
            <v>128.5</v>
          </cell>
          <cell r="AI123">
            <v>121</v>
          </cell>
          <cell r="AJ123">
            <v>120.91</v>
          </cell>
          <cell r="AK123">
            <v>126.93</v>
          </cell>
          <cell r="AO123" t="str">
            <v>ENS: Energiproducenttællingen (1994-2001)</v>
          </cell>
        </row>
        <row r="156">
          <cell r="A156" t="str">
            <v>PVRENS_BID</v>
          </cell>
          <cell r="C156" t="str">
            <v>El-, gas- og fjv.forsyning</v>
          </cell>
          <cell r="D156" t="str">
            <v>pvr</v>
          </cell>
          <cell r="E156" t="str">
            <v>bid</v>
          </cell>
          <cell r="G156">
            <v>0</v>
          </cell>
          <cell r="H156">
            <v>0</v>
          </cell>
          <cell r="I156">
            <v>0</v>
          </cell>
          <cell r="J156">
            <v>0</v>
          </cell>
          <cell r="K156">
            <v>0</v>
          </cell>
          <cell r="L156">
            <v>0</v>
          </cell>
          <cell r="M156">
            <v>0</v>
          </cell>
          <cell r="N156">
            <v>0</v>
          </cell>
          <cell r="O156">
            <v>0</v>
          </cell>
          <cell r="P156">
            <v>0</v>
          </cell>
          <cell r="Q156">
            <v>0</v>
          </cell>
          <cell r="R156">
            <v>0</v>
          </cell>
          <cell r="S156">
            <v>0</v>
          </cell>
          <cell r="T156">
            <v>0</v>
          </cell>
          <cell r="U156">
            <v>0</v>
          </cell>
          <cell r="V156">
            <v>0</v>
          </cell>
          <cell r="W156">
            <v>0</v>
          </cell>
          <cell r="X156">
            <v>0</v>
          </cell>
          <cell r="Y156">
            <v>0</v>
          </cell>
          <cell r="Z156">
            <v>0</v>
          </cell>
          <cell r="AA156">
            <v>0</v>
          </cell>
          <cell r="AB156">
            <v>0</v>
          </cell>
          <cell r="AC156">
            <v>0</v>
          </cell>
          <cell r="AD156">
            <v>0</v>
          </cell>
          <cell r="AE156">
            <v>0</v>
          </cell>
          <cell r="AF156">
            <v>0</v>
          </cell>
          <cell r="AG156">
            <v>0</v>
          </cell>
          <cell r="AH156">
            <v>41.452743713255401</v>
          </cell>
          <cell r="AI156">
            <v>37.229999999999997</v>
          </cell>
          <cell r="AJ156">
            <v>21.77</v>
          </cell>
          <cell r="AK156">
            <v>21.96</v>
          </cell>
        </row>
        <row r="157">
          <cell r="A157" t="str">
            <v>PVRENS_BIA</v>
          </cell>
          <cell r="C157" t="str">
            <v>El-, gas- og fjv.forsyning</v>
          </cell>
          <cell r="D157" t="str">
            <v>pvr</v>
          </cell>
          <cell r="E157" t="str">
            <v>bia</v>
          </cell>
          <cell r="G157">
            <v>0</v>
          </cell>
          <cell r="H157">
            <v>0</v>
          </cell>
          <cell r="I157">
            <v>0</v>
          </cell>
          <cell r="J157">
            <v>0</v>
          </cell>
          <cell r="K157">
            <v>0</v>
          </cell>
          <cell r="L157">
            <v>0</v>
          </cell>
          <cell r="M157">
            <v>0</v>
          </cell>
          <cell r="N157">
            <v>0</v>
          </cell>
          <cell r="O157">
            <v>0</v>
          </cell>
          <cell r="P157">
            <v>0</v>
          </cell>
          <cell r="Q157">
            <v>0</v>
          </cell>
          <cell r="R157">
            <v>0</v>
          </cell>
          <cell r="S157">
            <v>0</v>
          </cell>
          <cell r="T157">
            <v>0</v>
          </cell>
          <cell r="U157">
            <v>0</v>
          </cell>
          <cell r="V157">
            <v>0</v>
          </cell>
          <cell r="W157">
            <v>0</v>
          </cell>
          <cell r="X157">
            <v>0</v>
          </cell>
          <cell r="Y157">
            <v>0</v>
          </cell>
          <cell r="Z157">
            <v>0</v>
          </cell>
          <cell r="AA157">
            <v>0</v>
          </cell>
          <cell r="AB157">
            <v>0</v>
          </cell>
          <cell r="AC157">
            <v>0.85700000000000021</v>
          </cell>
          <cell r="AD157">
            <v>4.7108346624848521</v>
          </cell>
          <cell r="AE157">
            <v>4.5033755779843805</v>
          </cell>
          <cell r="AF157">
            <v>4.4470740669144986</v>
          </cell>
          <cell r="AG157">
            <v>35.415664072360954</v>
          </cell>
          <cell r="AH157">
            <v>2.2349920144134399</v>
          </cell>
          <cell r="AI157">
            <v>4.1500000000000004</v>
          </cell>
          <cell r="AJ157">
            <v>5.64</v>
          </cell>
          <cell r="AK157">
            <v>8.69</v>
          </cell>
        </row>
        <row r="212">
          <cell r="A212" t="str">
            <v>KONELRAFFTJY_F</v>
          </cell>
          <cell r="C212" t="str">
            <v>Raffinaderier</v>
          </cell>
          <cell r="D212" t="str">
            <v>elr</v>
          </cell>
          <cell r="E212" t="str">
            <v>fut</v>
          </cell>
          <cell r="G212">
            <v>170.95500000000001</v>
          </cell>
          <cell r="H212">
            <v>0</v>
          </cell>
          <cell r="I212">
            <v>0</v>
          </cell>
          <cell r="J212">
            <v>335.99700000000001</v>
          </cell>
          <cell r="K212">
            <v>333.279</v>
          </cell>
          <cell r="L212">
            <v>330.56099999999998</v>
          </cell>
          <cell r="M212">
            <v>327.84300000000002</v>
          </cell>
          <cell r="N212">
            <v>293.03100000000001</v>
          </cell>
          <cell r="O212">
            <v>258.21899999999999</v>
          </cell>
          <cell r="P212">
            <v>255.85230000000001</v>
          </cell>
          <cell r="Q212">
            <v>253.48560000000001</v>
          </cell>
          <cell r="R212">
            <v>251.1189</v>
          </cell>
          <cell r="S212">
            <v>275.30414999999999</v>
          </cell>
          <cell r="T212">
            <v>299.48939999999999</v>
          </cell>
          <cell r="U212">
            <v>0</v>
          </cell>
          <cell r="V212">
            <v>0</v>
          </cell>
          <cell r="W212">
            <v>0</v>
          </cell>
          <cell r="X212">
            <v>0</v>
          </cell>
          <cell r="Y212">
            <v>0</v>
          </cell>
          <cell r="Z212">
            <v>0</v>
          </cell>
          <cell r="AA212">
            <v>0</v>
          </cell>
          <cell r="AB212">
            <v>0</v>
          </cell>
          <cell r="AC212">
            <v>0</v>
          </cell>
          <cell r="AD212">
            <v>0</v>
          </cell>
          <cell r="AE212">
            <v>0</v>
          </cell>
          <cell r="AF212">
            <v>0</v>
          </cell>
          <cell r="AG212">
            <v>0</v>
          </cell>
          <cell r="AH212">
            <v>0</v>
          </cell>
          <cell r="AI212">
            <v>0</v>
          </cell>
          <cell r="AJ212">
            <v>0</v>
          </cell>
          <cell r="AK212">
            <v>0</v>
          </cell>
          <cell r="AO212" t="str">
            <v>ENS: Energiproducenttællingen (1994-2001)</v>
          </cell>
        </row>
        <row r="239">
          <cell r="A239" t="str">
            <v>KONFVRAFFTJY_F</v>
          </cell>
          <cell r="C239" t="str">
            <v>Raffinaderier</v>
          </cell>
          <cell r="D239" t="str">
            <v>fjr</v>
          </cell>
          <cell r="E239" t="str">
            <v>fut</v>
          </cell>
          <cell r="G239">
            <v>-4.76</v>
          </cell>
          <cell r="H239">
            <v>0</v>
          </cell>
          <cell r="I239">
            <v>0</v>
          </cell>
          <cell r="J239">
            <v>14.06</v>
          </cell>
          <cell r="K239">
            <v>18.600000000000001</v>
          </cell>
          <cell r="L239">
            <v>23.14</v>
          </cell>
          <cell r="M239">
            <v>27.9</v>
          </cell>
          <cell r="N239">
            <v>27.9</v>
          </cell>
          <cell r="O239">
            <v>32.44</v>
          </cell>
          <cell r="P239">
            <v>37.5</v>
          </cell>
          <cell r="Q239">
            <v>42.5</v>
          </cell>
          <cell r="R239">
            <v>50</v>
          </cell>
          <cell r="S239">
            <v>50</v>
          </cell>
          <cell r="T239">
            <v>50</v>
          </cell>
          <cell r="U239">
            <v>0</v>
          </cell>
          <cell r="V239">
            <v>0</v>
          </cell>
          <cell r="W239">
            <v>0</v>
          </cell>
          <cell r="X239">
            <v>0</v>
          </cell>
          <cell r="Y239">
            <v>0</v>
          </cell>
          <cell r="Z239">
            <v>0</v>
          </cell>
          <cell r="AA239">
            <v>0</v>
          </cell>
          <cell r="AB239">
            <v>0</v>
          </cell>
          <cell r="AC239">
            <v>0</v>
          </cell>
          <cell r="AD239">
            <v>0</v>
          </cell>
          <cell r="AE239">
            <v>0</v>
          </cell>
          <cell r="AF239">
            <v>0</v>
          </cell>
          <cell r="AG239">
            <v>0</v>
          </cell>
          <cell r="AH239">
            <v>0</v>
          </cell>
          <cell r="AI239">
            <v>0</v>
          </cell>
          <cell r="AJ239">
            <v>0</v>
          </cell>
          <cell r="AK239">
            <v>0</v>
          </cell>
          <cell r="AO239" t="str">
            <v>ENS: Energiproducenttællingen (1994-2001)</v>
          </cell>
        </row>
        <row r="266">
          <cell r="A266" t="str">
            <v>ELERAFTJY</v>
          </cell>
          <cell r="C266" t="str">
            <v>ny</v>
          </cell>
          <cell r="G266">
            <v>0</v>
          </cell>
          <cell r="J266">
            <v>0</v>
          </cell>
          <cell r="K266">
            <v>0</v>
          </cell>
          <cell r="L266">
            <v>0</v>
          </cell>
          <cell r="M266">
            <v>0</v>
          </cell>
          <cell r="N266">
            <v>0</v>
          </cell>
          <cell r="O266">
            <v>0</v>
          </cell>
          <cell r="P266">
            <v>0</v>
          </cell>
          <cell r="Q266">
            <v>0</v>
          </cell>
          <cell r="R266">
            <v>0</v>
          </cell>
          <cell r="S266">
            <v>0</v>
          </cell>
          <cell r="T266">
            <v>0</v>
          </cell>
          <cell r="U266">
            <v>0</v>
          </cell>
          <cell r="V266">
            <v>0</v>
          </cell>
          <cell r="W266">
            <v>0</v>
          </cell>
          <cell r="X266">
            <v>0</v>
          </cell>
          <cell r="Y266">
            <v>0</v>
          </cell>
          <cell r="Z266">
            <v>0</v>
          </cell>
          <cell r="AA266">
            <v>0</v>
          </cell>
          <cell r="AB266">
            <v>0</v>
          </cell>
          <cell r="AC266">
            <v>0</v>
          </cell>
          <cell r="AD266">
            <v>0</v>
          </cell>
          <cell r="AE266">
            <v>0</v>
          </cell>
          <cell r="AF266">
            <v>0</v>
          </cell>
          <cell r="AG266">
            <v>0</v>
          </cell>
          <cell r="AH266">
            <v>0</v>
          </cell>
          <cell r="AI266">
            <v>0</v>
          </cell>
          <cell r="AJ266">
            <v>431.9316</v>
          </cell>
          <cell r="AK266">
            <v>454.9</v>
          </cell>
        </row>
        <row r="273">
          <cell r="A273" t="str">
            <v>ELEFGVKTJY</v>
          </cell>
          <cell r="G273">
            <v>0</v>
          </cell>
          <cell r="H273">
            <v>0</v>
          </cell>
          <cell r="I273">
            <v>0</v>
          </cell>
          <cell r="J273">
            <v>0</v>
          </cell>
          <cell r="K273">
            <v>0</v>
          </cell>
          <cell r="L273">
            <v>0</v>
          </cell>
          <cell r="M273">
            <v>0</v>
          </cell>
          <cell r="N273">
            <v>0</v>
          </cell>
          <cell r="O273">
            <v>0</v>
          </cell>
          <cell r="P273">
            <v>0</v>
          </cell>
          <cell r="Q273">
            <v>0</v>
          </cell>
          <cell r="R273">
            <v>0</v>
          </cell>
          <cell r="S273">
            <v>0</v>
          </cell>
          <cell r="T273">
            <v>0</v>
          </cell>
          <cell r="U273">
            <v>0</v>
          </cell>
          <cell r="V273">
            <v>0</v>
          </cell>
          <cell r="W273">
            <v>0</v>
          </cell>
          <cell r="X273">
            <v>0</v>
          </cell>
          <cell r="Y273">
            <v>0</v>
          </cell>
          <cell r="Z273">
            <v>0</v>
          </cell>
          <cell r="AA273">
            <v>0</v>
          </cell>
          <cell r="AB273">
            <v>0</v>
          </cell>
          <cell r="AC273">
            <v>0</v>
          </cell>
          <cell r="AD273">
            <v>0</v>
          </cell>
          <cell r="AE273">
            <v>0</v>
          </cell>
          <cell r="AF273">
            <v>0</v>
          </cell>
          <cell r="AG273">
            <v>0</v>
          </cell>
          <cell r="AH273">
            <v>0</v>
          </cell>
          <cell r="AI273">
            <v>0.5</v>
          </cell>
          <cell r="AJ273">
            <v>0.6</v>
          </cell>
          <cell r="AK273">
            <v>0.1</v>
          </cell>
        </row>
      </sheetData>
      <sheetData sheetId="9"/>
      <sheetData sheetId="10"/>
      <sheetData sheetId="11"/>
      <sheetData sheetId="12"/>
    </sheetDataSet>
  </externalBook>
</externalLink>
</file>

<file path=xl/externalLinks/externalLink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IEA Data"/>
      <sheetName val="E&amp;D Drivers"/>
      <sheetName val="AGR_Fuels"/>
      <sheetName val="AGR"/>
      <sheetName val="RES_Fuels"/>
      <sheetName val="RH1"/>
      <sheetName val="RH2"/>
      <sheetName val="RH3"/>
      <sheetName val="RH4"/>
      <sheetName val="RC1"/>
      <sheetName val="RC2"/>
      <sheetName val="RC3"/>
      <sheetName val="RC4"/>
      <sheetName val="RHW"/>
      <sheetName val="RRF"/>
      <sheetName val="RCW"/>
      <sheetName val="RCD"/>
      <sheetName val="RK1"/>
      <sheetName val="RK2"/>
      <sheetName val="RK3"/>
      <sheetName val="RK4"/>
      <sheetName val="RDW"/>
      <sheetName val="RME"/>
      <sheetName val="RL1"/>
      <sheetName val="RL2"/>
      <sheetName val="RL3"/>
      <sheetName val="RL4"/>
      <sheetName val="COM_Fuels"/>
      <sheetName val="CH1"/>
      <sheetName val="CH2"/>
      <sheetName val="CH3"/>
      <sheetName val="CH4"/>
      <sheetName val="CC1"/>
      <sheetName val="CC2"/>
      <sheetName val="CC3"/>
      <sheetName val="CC4"/>
      <sheetName val="CHW"/>
      <sheetName val="CAA"/>
      <sheetName val="CLA"/>
      <sheetName val="ElastPar"/>
      <sheetName val="Conversion Factors"/>
      <sheetName val="Intro"/>
      <sheetName val="TechRep"/>
      <sheetName val="Other_HYDRO"/>
      <sheetName val="Other_NUCL"/>
      <sheetName val="Other_THERM"/>
      <sheetName val="Other_CHP"/>
      <sheetName val="Other_RENEW"/>
      <sheetName val="Other_HEAT"/>
      <sheetName val="ELC_FUELS"/>
      <sheetName val="ELC"/>
      <sheetName val="HEAT"/>
      <sheetName val="CHP"/>
      <sheetName val="ELC_EMI"/>
      <sheetName val="Constant Table"/>
      <sheetName val="ANS_ITEMS_DEL"/>
      <sheetName val="ANS_ITEMS"/>
      <sheetName val="ANS_TIDDATA"/>
      <sheetName val="ANS_TSDATA"/>
    </sheetNames>
    <sheetDataSet>
      <sheetData sheetId="0" refreshError="1"/>
      <sheetData sheetId="1" refreshError="1"/>
      <sheetData sheetId="2" refreshError="1">
        <row r="2">
          <cell r="A2" t="str">
            <v>^FI_ST: TCH, PRC</v>
          </cell>
        </row>
      </sheetData>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Set>
  </externalBook>
</externalLink>
</file>

<file path=xl/externalLinks/externalLink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IEA Data"/>
      <sheetName val="E&amp;D Drivers"/>
      <sheetName val="AGR_Fuels"/>
      <sheetName val="AGR"/>
      <sheetName val="RES_Fuels"/>
      <sheetName val="RH1"/>
      <sheetName val="RH2"/>
      <sheetName val="RH3"/>
      <sheetName val="RH4"/>
      <sheetName val="RC1"/>
      <sheetName val="RC2"/>
      <sheetName val="RC3"/>
      <sheetName val="RC4"/>
      <sheetName val="RHW"/>
      <sheetName val="RRF"/>
      <sheetName val="RCW"/>
      <sheetName val="RCD"/>
      <sheetName val="RK1"/>
      <sheetName val="RK2"/>
      <sheetName val="RK3"/>
      <sheetName val="RK4"/>
      <sheetName val="RDW"/>
      <sheetName val="REA"/>
      <sheetName val="ROT"/>
      <sheetName val="RL1"/>
      <sheetName val="RL2"/>
      <sheetName val="RL3"/>
      <sheetName val="RL4"/>
      <sheetName val="COM_Fuels"/>
      <sheetName val="CH1"/>
      <sheetName val="CH2"/>
      <sheetName val="CH3"/>
      <sheetName val="CH4"/>
      <sheetName val="CC1"/>
      <sheetName val="CC2"/>
      <sheetName val="CC3"/>
      <sheetName val="CC4"/>
      <sheetName val="CHW"/>
      <sheetName val="CLA"/>
      <sheetName val="CCK"/>
      <sheetName val="CRF"/>
      <sheetName val="COE"/>
      <sheetName val="COT"/>
      <sheetName val="ElastPar"/>
      <sheetName val="Conversion Factors"/>
      <sheetName val="ANS_ITEMS"/>
      <sheetName val="ANS_TIDDATA"/>
      <sheetName val="ANS_TSDATA"/>
      <sheetName val="AGR_Emi"/>
      <sheetName val="RES_Emi"/>
      <sheetName val="COM_Emi"/>
    </sheetNames>
    <sheetDataSet>
      <sheetData sheetId="0"/>
      <sheetData sheetId="1"/>
      <sheetData sheetId="2">
        <row r="2">
          <cell r="A2" t="str">
            <v>^FI_ST: TCH, PRC</v>
          </cell>
        </row>
      </sheetData>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sheetData sheetId="41"/>
      <sheetData sheetId="42"/>
      <sheetData sheetId="43"/>
      <sheetData sheetId="44"/>
      <sheetData sheetId="45"/>
      <sheetData sheetId="46"/>
      <sheetData sheetId="47"/>
      <sheetData sheetId="48" refreshError="1"/>
      <sheetData sheetId="49" refreshError="1"/>
      <sheetData sheetId="50" refreshError="1"/>
    </sheetDataSet>
  </externalBook>
</externalLink>
</file>

<file path=xl/externalLinks/externalLink6.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LOG"/>
      <sheetName val="TRA_BAL"/>
      <sheetName val="EnergyEffRoadTransport_ksa"/>
      <sheetName val="Commodities"/>
      <sheetName val="Processes"/>
      <sheetName val="TRA_Fuel"/>
      <sheetName val="Cars"/>
      <sheetName val="CarData"/>
      <sheetName val="CarMoreData"/>
      <sheetName val="Moto-Mopeds"/>
      <sheetName val="BIKE"/>
      <sheetName val="WALK"/>
      <sheetName val="Bicycle - Walk"/>
      <sheetName val="BUS"/>
      <sheetName val="BUS_data"/>
      <sheetName val="TRAIN"/>
      <sheetName val="STRAIN,METRO_Data"/>
      <sheetName val="TRAIN_Data"/>
      <sheetName val="Navi"/>
      <sheetName val="NAVI-AVI"/>
      <sheetName val="Freight_Road_New"/>
      <sheetName val="Freight_Road_Old"/>
      <sheetName val="Freight_Rail"/>
      <sheetName val="Freight_NAVI-AVI"/>
      <sheetName val="SEA_Data"/>
      <sheetName val="PassangersFreightAir"/>
      <sheetName val="Dem"/>
      <sheetName val="Data"/>
      <sheetName val="Emis"/>
      <sheetName val="TransData"/>
    </sheetNames>
    <sheetDataSet>
      <sheetData sheetId="0"/>
      <sheetData sheetId="1"/>
      <sheetData sheetId="2"/>
      <sheetData sheetId="3"/>
      <sheetData sheetId="4">
        <row r="19">
          <cell r="D19" t="str">
            <v>TPSSFO1E</v>
          </cell>
        </row>
        <row r="101">
          <cell r="E101" t="str">
            <v>Fuel Technology Blended Fuel - Oil products bio and renewable - level 1 - TRA Navigation</v>
          </cell>
        </row>
        <row r="102">
          <cell r="E102" t="str">
            <v>Fuel Technology Blended Fuel - Oil products bio and renewable - level 2 - TRA Navigation</v>
          </cell>
        </row>
        <row r="103">
          <cell r="E103" t="str">
            <v>Fuel Technology Blended Fuel - Oil products bio and renewable - level 3 - TRA Navigation</v>
          </cell>
        </row>
        <row r="104">
          <cell r="E104" t="str">
            <v>Fuel Technology Blended Fuel - Oil products bio and renewable - level 4 - TRA Navigation</v>
          </cell>
        </row>
        <row r="105">
          <cell r="E105" t="str">
            <v>Fuel Technology Blended Fuel - Oil products bio and renewable - level 5 - TRA Navigation</v>
          </cell>
        </row>
        <row r="106">
          <cell r="E106" t="str">
            <v>Fuel Technology Liqufied Blended Fuel - NGA &amp; SNG - level 1 - TRA Navigation</v>
          </cell>
        </row>
        <row r="107">
          <cell r="E107" t="str">
            <v>Fuel Technology Liqufied Blended Fuel - NGA &amp; SNG - level 2 - TRA Navigation</v>
          </cell>
        </row>
        <row r="108">
          <cell r="E108" t="str">
            <v>Fuel Technology Liqufied Blended Fuel - NGA &amp; SNG - level 3 - TRA Navigation</v>
          </cell>
        </row>
        <row r="109">
          <cell r="E109" t="str">
            <v>Fuel Technology Liqufied Blended Fuel - NGA &amp; SNG - level 4 - TRA Navigation</v>
          </cell>
        </row>
        <row r="110">
          <cell r="E110" t="str">
            <v>Fuel Technology Liqufied Blended Fuel - NGA &amp; SNG - level 5 - TRA Navigation</v>
          </cell>
        </row>
        <row r="126">
          <cell r="E126" t="str">
            <v>Fuel Technology MGO &amp; Biodiesel Blending - level 1</v>
          </cell>
        </row>
        <row r="127">
          <cell r="E127" t="str">
            <v>Fuel Technology MGO &amp; Biodiesel Blending - level 2</v>
          </cell>
        </row>
        <row r="128">
          <cell r="E128" t="str">
            <v>Fuel Technology MGO &amp; Biodiesel Blending - level 3</v>
          </cell>
        </row>
        <row r="129">
          <cell r="E129" t="str">
            <v>Fuel Technology MGO &amp; Biodiesel Blending - level 4</v>
          </cell>
        </row>
      </sheetData>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row r="9">
          <cell r="E9">
            <v>254.51513029871001</v>
          </cell>
        </row>
      </sheetData>
      <sheetData sheetId="27"/>
      <sheetData sheetId="28"/>
      <sheetData sheetId="29"/>
    </sheetDataSet>
  </externalBook>
</externalLink>
</file>

<file path=xl/externalLinks/externalLink7.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LOG"/>
      <sheetName val="TRA_BAL"/>
      <sheetName val="EnergyEffRoadTransport_ksa"/>
      <sheetName val="Commodities"/>
      <sheetName val="Processes"/>
      <sheetName val="TRA_Fuel"/>
      <sheetName val="Cars"/>
      <sheetName val="CarData"/>
      <sheetName val="CarMoreData"/>
      <sheetName val="Moto-Mopeds"/>
      <sheetName val="BIKE"/>
      <sheetName val="WALK"/>
      <sheetName val="Bicycle - Walk"/>
      <sheetName val="BUS"/>
      <sheetName val="BUS_data"/>
      <sheetName val="TRAIN"/>
      <sheetName val="STRAIN,METRO_Data"/>
      <sheetName val="TRAIN_Data"/>
      <sheetName val="NAVI-AVI"/>
      <sheetName val="Freight_Road"/>
      <sheetName val="Freight_Rail"/>
      <sheetName val="Freight_NAVI-AVI"/>
      <sheetName val="PassangersFreightSea"/>
      <sheetName val="PassangersFreightAir"/>
      <sheetName val="Dem"/>
      <sheetName val="Data"/>
      <sheetName val="Emis"/>
      <sheetName val="TransData"/>
    </sheetNames>
    <sheetDataSet>
      <sheetData sheetId="0"/>
      <sheetData sheetId="1"/>
      <sheetData sheetId="2"/>
      <sheetData sheetId="3">
        <row r="52">
          <cell r="D52" t="str">
            <v>TRADSL</v>
          </cell>
        </row>
        <row r="53">
          <cell r="D53" t="str">
            <v>TRADSB</v>
          </cell>
        </row>
        <row r="54">
          <cell r="D54" t="str">
            <v>TRAGSL</v>
          </cell>
        </row>
        <row r="55">
          <cell r="D55" t="str">
            <v>TRAGSB</v>
          </cell>
        </row>
        <row r="56">
          <cell r="D56" t="str">
            <v>TRALPG</v>
          </cell>
        </row>
        <row r="58">
          <cell r="D58" t="str">
            <v>TRANGA</v>
          </cell>
        </row>
        <row r="59">
          <cell r="D59" t="str">
            <v>TRASNG</v>
          </cell>
        </row>
        <row r="66">
          <cell r="D66" t="str">
            <v>TRAKEN</v>
          </cell>
        </row>
        <row r="67">
          <cell r="D67" t="str">
            <v>TRAKEI</v>
          </cell>
        </row>
        <row r="68">
          <cell r="D68" t="str">
            <v>TRAKRB</v>
          </cell>
        </row>
        <row r="69">
          <cell r="D69" t="str">
            <v>TRAAGSL</v>
          </cell>
        </row>
      </sheetData>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Set>
  </externalBook>
</external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bwMode="auto">
        <a:xfrm>
          <a:off x="0" y="0"/>
          <a:ext cx="1" cy="1"/>
        </a:xfrm>
        <a:custGeom>
          <a:avLst/>
          <a:gdLst/>
          <a:ahLst/>
          <a:cxnLst/>
          <a:rect l="0" t="0" r="0" b="0"/>
          <a:pathLst/>
        </a:custGeom>
        <a:solidFill>
          <a:srgbClr xmlns:mc="http://schemas.openxmlformats.org/markup-compatibility/2006" xmlns:a14="http://schemas.microsoft.com/office/drawing/2010/main" val="FFFFFF" mc:Ignorable="a14" a14:legacySpreadsheetColorIndex="9"/>
        </a:solidFill>
        <a:ln w="9525" cap="flat" cmpd="sng" algn="ctr">
          <a:solidFill>
            <a:srgbClr xmlns:mc="http://schemas.openxmlformats.org/markup-compatibility/2006" xmlns:a14="http://schemas.microsoft.com/office/drawing/2010/main" val="000000" mc:Ignorable="a14" a14:legacySpreadsheetColorIndex="64"/>
          </a:solidFill>
          <a:prstDash val="solid"/>
          <a:round/>
          <a:headEnd type="none" w="med" len="med"/>
          <a:tailEnd type="none" w="med" len="med"/>
        </a:ln>
        <a:effectLst/>
        <a:extLst>
          <a:ext uri="{AF507438-7753-43E0-B8FC-AC1667EBCBE1}">
            <a14:hiddenEffects xmlns:a14="http://schemas.microsoft.com/office/drawing/2010/main">
              <a:effectLst>
                <a:outerShdw dist="35921" dir="2700000" algn="ctr" rotWithShape="0">
                  <a:srgbClr val="808080"/>
                </a:outerShdw>
              </a:effectLst>
            </a14:hiddenEffects>
          </a:ext>
        </a:extLst>
      </a:spPr>
      <a:bodyPr vertOverflow="clip" wrap="square" lIns="18288" tIns="0" rIns="0" bIns="0" upright="1"/>
      <a:lstStyle/>
    </a:spDef>
    <a:lnDef>
      <a:spPr bwMode="auto">
        <a:xfrm>
          <a:off x="0" y="0"/>
          <a:ext cx="1" cy="1"/>
        </a:xfrm>
        <a:custGeom>
          <a:avLst/>
          <a:gdLst/>
          <a:ahLst/>
          <a:cxnLst/>
          <a:rect l="0" t="0" r="0" b="0"/>
          <a:pathLst/>
        </a:custGeom>
        <a:solidFill>
          <a:srgbClr xmlns:mc="http://schemas.openxmlformats.org/markup-compatibility/2006" xmlns:a14="http://schemas.microsoft.com/office/drawing/2010/main" val="090000" mc:Ignorable="a14" a14:legacySpreadsheetColorIndex="9"/>
        </a:solidFill>
        <a:ln w="9525" cap="flat" cmpd="sng" algn="ctr">
          <a:solidFill>
            <a:srgbClr xmlns:mc="http://schemas.openxmlformats.org/markup-compatibility/2006" xmlns:a14="http://schemas.microsoft.com/office/drawing/2010/main" val="400000" mc:Ignorable="a14" a14:legacySpreadsheetColorIndex="64"/>
          </a:solidFill>
          <a:prstDash val="solid"/>
          <a:round/>
          <a:headEnd type="none" w="med" len="med"/>
          <a:tailEnd type="none" w="med" len="med"/>
        </a:ln>
        <a:effectLst/>
        <a:extLst>
          <a:ext uri="{AF507438-7753-43E0-B8FC-AC1667EBCBE1}">
            <a14:hiddenEffects xmlns:a14="http://schemas.microsoft.com/office/drawing/2010/main">
              <a:effectLst>
                <a:outerShdw dist="35921" dir="2700000" algn="ctr" rotWithShape="0">
                  <a:srgbClr val="808080"/>
                </a:outerShdw>
              </a:effectLst>
            </a14:hiddenEffects>
          </a:ext>
        </a:extLst>
      </a:spPr>
      <a:bodyPr vertOverflow="clip" wrap="square" lIns="18288" tIns="0" rIns="0" bIns="0" upright="1"/>
      <a:lstStyle/>
    </a:lnDef>
  </a:objectDefaults>
  <a:extraClrSchemeLst/>
</a:theme>
</file>

<file path=xl/worksheets/_rels/sheet2.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5.xml.rels><?xml version="1.0" encoding="UTF-8" standalone="yes"?>
<Relationships xmlns="http://schemas.openxmlformats.org/package/2006/relationships"><Relationship Id="rId2" Type="http://schemas.openxmlformats.org/officeDocument/2006/relationships/comments" Target="../comments1.xml"/><Relationship Id="rId1" Type="http://schemas.openxmlformats.org/officeDocument/2006/relationships/vmlDrawing" Target="../drawings/vmlDrawing1.vml"/></Relationships>
</file>

<file path=xl/worksheets/_rels/sheet6.xml.rels><?xml version="1.0" encoding="UTF-8" standalone="yes"?>
<Relationships xmlns="http://schemas.openxmlformats.org/package/2006/relationships"><Relationship Id="rId3" Type="http://schemas.openxmlformats.org/officeDocument/2006/relationships/comments" Target="../comments2.xml"/><Relationship Id="rId2" Type="http://schemas.openxmlformats.org/officeDocument/2006/relationships/vmlDrawing" Target="../drawings/vmlDrawing2.vml"/><Relationship Id="rId1" Type="http://schemas.openxmlformats.org/officeDocument/2006/relationships/drawing" Target="../drawings/drawing2.xml"/></Relationships>
</file>

<file path=xl/worksheets/_rels/sheet7.xml.rels><?xml version="1.0" encoding="UTF-8" standalone="yes"?>
<Relationships xmlns="http://schemas.openxmlformats.org/package/2006/relationships"><Relationship Id="rId2" Type="http://schemas.openxmlformats.org/officeDocument/2006/relationships/comments" Target="../comments3.xml"/><Relationship Id="rId1" Type="http://schemas.openxmlformats.org/officeDocument/2006/relationships/vmlDrawing" Target="../drawings/vmlDrawing3.vml"/></Relationships>
</file>

<file path=xl/worksheets/_rels/sheet9.xml.rels><?xml version="1.0" encoding="UTF-8" standalone="yes"?>
<Relationships xmlns="http://schemas.openxmlformats.org/package/2006/relationships"><Relationship Id="rId2" Type="http://schemas.openxmlformats.org/officeDocument/2006/relationships/comments" Target="../comments4.xml"/><Relationship Id="rId1" Type="http://schemas.openxmlformats.org/officeDocument/2006/relationships/vmlDrawing" Target="../drawings/vmlDrawing4.vml"/></Relationships>
</file>

<file path=xl/worksheets/_rels/sheet10.xml.rels><?xml version="1.0" encoding="UTF-8" standalone="yes"?>
<Relationships xmlns="http://schemas.openxmlformats.org/package/2006/relationships"><Relationship Id="rId2" Type="http://schemas.openxmlformats.org/officeDocument/2006/relationships/comments" Target="../comments5.xml"/><Relationship Id="rId1" Type="http://schemas.openxmlformats.org/officeDocument/2006/relationships/vmlDrawing" Target="../drawings/vmlDrawing5.vml"/></Relationships>
</file>

<file path=xl/worksheets/_rels/sheet12.xml.rels><?xml version="1.0" encoding="UTF-8" standalone="yes"?>
<Relationships xmlns="http://schemas.openxmlformats.org/package/2006/relationships"><Relationship Id="rId3" Type="http://schemas.openxmlformats.org/officeDocument/2006/relationships/comments" Target="../comments6.xml"/><Relationship Id="rId2" Type="http://schemas.openxmlformats.org/officeDocument/2006/relationships/vmlDrawing" Target="../drawings/vmlDrawing6.vml"/><Relationship Id="rId1" Type="http://schemas.openxmlformats.org/officeDocument/2006/relationships/drawing" Target="../drawings/drawing3.xml"/></Relationships>
</file>

<file path=xl/worksheets/_rels/sheet13.xml.rels><?xml version="1.0" encoding="UTF-8" standalone="yes"?>
<Relationships xmlns="http://schemas.openxmlformats.org/package/2006/relationships"><Relationship Id="rId2" Type="http://schemas.openxmlformats.org/officeDocument/2006/relationships/comments" Target="../comments7.xml"/><Relationship Id="rId1" Type="http://schemas.openxmlformats.org/officeDocument/2006/relationships/vmlDrawing" Target="../drawings/vmlDrawing7.vml"/></Relationships>
</file>

<file path=xl/worksheets/_rels/sheet14.xml.rels><?xml version="1.0" encoding="UTF-8" standalone="yes"?>
<Relationships xmlns="http://schemas.openxmlformats.org/package/2006/relationships"><Relationship Id="rId2" Type="http://schemas.openxmlformats.org/officeDocument/2006/relationships/comments" Target="../comments8.xml"/><Relationship Id="rId1" Type="http://schemas.openxmlformats.org/officeDocument/2006/relationships/vmlDrawing" Target="../drawings/vmlDrawing8.vml"/></Relationships>
</file>

<file path=xl/worksheets/_rels/sheet15.xml.rels><?xml version="1.0" encoding="UTF-8" standalone="yes"?>
<Relationships xmlns="http://schemas.openxmlformats.org/package/2006/relationships"><Relationship Id="rId2" Type="http://schemas.openxmlformats.org/officeDocument/2006/relationships/comments" Target="../comments9.xml"/><Relationship Id="rId1" Type="http://schemas.openxmlformats.org/officeDocument/2006/relationships/vmlDrawing" Target="../drawings/vmlDrawing9.vml"/></Relationships>
</file>

<file path=xl/worksheets/_rels/sheet17.xml.rels><?xml version="1.0" encoding="UTF-8" standalone="yes"?>
<Relationships xmlns="http://schemas.openxmlformats.org/package/2006/relationships"><Relationship Id="rId2" Type="http://schemas.openxmlformats.org/officeDocument/2006/relationships/comments" Target="../comments10.xml"/><Relationship Id="rId1" Type="http://schemas.openxmlformats.org/officeDocument/2006/relationships/vmlDrawing" Target="../drawings/vmlDrawing10.vml"/></Relationships>
</file>

<file path=xl/worksheets/_rels/sheet18.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21.xml.rels><?xml version="1.0" encoding="UTF-8" standalone="yes"?>
<Relationships xmlns="http://schemas.openxmlformats.org/package/2006/relationships"><Relationship Id="rId2" Type="http://schemas.openxmlformats.org/officeDocument/2006/relationships/comments" Target="../comments11.xml"/><Relationship Id="rId1" Type="http://schemas.openxmlformats.org/officeDocument/2006/relationships/vmlDrawing" Target="../drawings/vmlDrawing11.vml"/></Relationships>
</file>

<file path=xl/worksheets/_rels/sheet22.xml.rels><?xml version="1.0" encoding="UTF-8" standalone="yes"?>
<Relationships xmlns="http://schemas.openxmlformats.org/package/2006/relationships"><Relationship Id="rId3" Type="http://schemas.openxmlformats.org/officeDocument/2006/relationships/vmlDrawing" Target="../drawings/vmlDrawing12.vml"/><Relationship Id="rId2" Type="http://schemas.openxmlformats.org/officeDocument/2006/relationships/drawing" Target="../drawings/drawing5.xml"/><Relationship Id="rId1" Type="http://schemas.openxmlformats.org/officeDocument/2006/relationships/hyperlink" Target="http://www.trafa.se/" TargetMode="External"/><Relationship Id="rId6" Type="http://schemas.openxmlformats.org/officeDocument/2006/relationships/oleObject" Target="../embeddings/oleObject2.bin"/><Relationship Id="rId5" Type="http://schemas.openxmlformats.org/officeDocument/2006/relationships/image" Target="../media/image6.emf"/><Relationship Id="rId4" Type="http://schemas.openxmlformats.org/officeDocument/2006/relationships/oleObject" Target="../embeddings/oleObject1.bin"/></Relationships>
</file>

<file path=xl/worksheets/_rels/sheet23.xml.rels><?xml version="1.0" encoding="UTF-8" standalone="yes"?>
<Relationships xmlns="http://schemas.openxmlformats.org/package/2006/relationships"><Relationship Id="rId2" Type="http://schemas.openxmlformats.org/officeDocument/2006/relationships/comments" Target="../comments12.xml"/><Relationship Id="rId1" Type="http://schemas.openxmlformats.org/officeDocument/2006/relationships/vmlDrawing" Target="../drawings/vmlDrawing13.vml"/></Relationships>
</file>

<file path=xl/worksheets/_rels/sheet24.xml.rels><?xml version="1.0" encoding="UTF-8" standalone="yes"?>
<Relationships xmlns="http://schemas.openxmlformats.org/package/2006/relationships"><Relationship Id="rId3" Type="http://schemas.openxmlformats.org/officeDocument/2006/relationships/drawing" Target="../drawings/drawing6.xml"/><Relationship Id="rId2" Type="http://schemas.openxmlformats.org/officeDocument/2006/relationships/hyperlink" Target="http://www.trafa.se/" TargetMode="External"/><Relationship Id="rId1" Type="http://schemas.openxmlformats.org/officeDocument/2006/relationships/hyperlink" Target="http://www.trafa.se/" TargetMode="External"/><Relationship Id="rId6" Type="http://schemas.openxmlformats.org/officeDocument/2006/relationships/image" Target="../media/image6.emf"/><Relationship Id="rId5" Type="http://schemas.openxmlformats.org/officeDocument/2006/relationships/oleObject" Target="../embeddings/oleObject3.bin"/><Relationship Id="rId4" Type="http://schemas.openxmlformats.org/officeDocument/2006/relationships/vmlDrawing" Target="../drawings/vmlDrawing14.vml"/></Relationships>
</file>

<file path=xl/worksheets/_rels/sheet25.xml.rels><?xml version="1.0" encoding="UTF-8" standalone="yes"?>
<Relationships xmlns="http://schemas.openxmlformats.org/package/2006/relationships"><Relationship Id="rId3" Type="http://schemas.openxmlformats.org/officeDocument/2006/relationships/vmlDrawing" Target="../drawings/vmlDrawing15.vml"/><Relationship Id="rId2" Type="http://schemas.openxmlformats.org/officeDocument/2006/relationships/drawing" Target="../drawings/drawing7.xml"/><Relationship Id="rId1" Type="http://schemas.openxmlformats.org/officeDocument/2006/relationships/hyperlink" Target="http://www.trafa.se/" TargetMode="External"/><Relationship Id="rId4" Type="http://schemas.openxmlformats.org/officeDocument/2006/relationships/comments" Target="../comments13.xml"/></Relationships>
</file>

<file path=xl/worksheets/_rels/sheet26.xml.rels><?xml version="1.0" encoding="UTF-8" standalone="yes"?>
<Relationships xmlns="http://schemas.openxmlformats.org/package/2006/relationships"><Relationship Id="rId3" Type="http://schemas.openxmlformats.org/officeDocument/2006/relationships/hyperlink" Target="http://www.trafa.se/vagtrafik/fordon/" TargetMode="External"/><Relationship Id="rId2" Type="http://schemas.openxmlformats.org/officeDocument/2006/relationships/hyperlink" Target="http://www.trafa.se/vagtrafik/fordon/" TargetMode="External"/><Relationship Id="rId1" Type="http://schemas.openxmlformats.org/officeDocument/2006/relationships/hyperlink" Target="http://www.trafa.se/vagtrafik/fordon/" TargetMode="External"/><Relationship Id="rId6" Type="http://schemas.openxmlformats.org/officeDocument/2006/relationships/comments" Target="../comments14.xml"/><Relationship Id="rId5" Type="http://schemas.openxmlformats.org/officeDocument/2006/relationships/vmlDrawing" Target="../drawings/vmlDrawing16.vml"/><Relationship Id="rId4" Type="http://schemas.openxmlformats.org/officeDocument/2006/relationships/hyperlink" Target="http://www.trafa.se/vagtrafik/fordon/" TargetMode="External"/></Relationships>
</file>

<file path=xl/worksheets/_rels/sheet27.xml.rels><?xml version="1.0" encoding="UTF-8" standalone="yes"?>
<Relationships xmlns="http://schemas.openxmlformats.org/package/2006/relationships"><Relationship Id="rId2" Type="http://schemas.openxmlformats.org/officeDocument/2006/relationships/hyperlink" Target="http://www.modelcenter.transport.dtu.dk/Publikationer/Transportoekonomiske-Enhedspriser" TargetMode="External"/><Relationship Id="rId1" Type="http://schemas.openxmlformats.org/officeDocument/2006/relationships/hyperlink" Target="http://projektwebbar.lansstyrelsen.se/rus/Sv/statistik-och-data/korstrackor-och-bransleforbrukning/Pages/default.aspx" TargetMode="External"/></Relationships>
</file>

<file path=xl/worksheets/_rels/sheet28.xml.rels><?xml version="1.0" encoding="UTF-8" standalone="yes"?>
<Relationships xmlns="http://schemas.openxmlformats.org/package/2006/relationships"><Relationship Id="rId1" Type="http://schemas.openxmlformats.org/officeDocument/2006/relationships/hyperlink" Target="http://extra.lansstyrelsen.se/rus/Sv/statistik-och-data/korstrackor-och-bransleforbrukning/Pages/default.aspx" TargetMode="External"/></Relationships>
</file>

<file path=xl/worksheets/_rels/sheet29.xml.rels><?xml version="1.0" encoding="UTF-8" standalone="yes"?>
<Relationships xmlns="http://schemas.openxmlformats.org/package/2006/relationships"><Relationship Id="rId3" Type="http://schemas.openxmlformats.org/officeDocument/2006/relationships/vmlDrawing" Target="../drawings/vmlDrawing17.vml"/><Relationship Id="rId2" Type="http://schemas.openxmlformats.org/officeDocument/2006/relationships/drawing" Target="../drawings/drawing8.xml"/><Relationship Id="rId1" Type="http://schemas.openxmlformats.org/officeDocument/2006/relationships/hyperlink" Target="http://www.trafa.se/" TargetMode="External"/><Relationship Id="rId4" Type="http://schemas.openxmlformats.org/officeDocument/2006/relationships/comments" Target="../comments15.xml"/></Relationships>
</file>

<file path=xl/worksheets/_rels/sheet31.xml.rels><?xml version="1.0" encoding="UTF-8" standalone="yes"?>
<Relationships xmlns="http://schemas.openxmlformats.org/package/2006/relationships"><Relationship Id="rId3" Type="http://schemas.openxmlformats.org/officeDocument/2006/relationships/comments" Target="../comments16.xml"/><Relationship Id="rId2" Type="http://schemas.openxmlformats.org/officeDocument/2006/relationships/vmlDrawing" Target="../drawings/vmlDrawing18.vml"/><Relationship Id="rId1" Type="http://schemas.openxmlformats.org/officeDocument/2006/relationships/drawing" Target="../drawings/drawing9.xml"/></Relationships>
</file>

<file path=xl/worksheets/_rels/sheet32.xml.rels><?xml version="1.0" encoding="UTF-8" standalone="yes"?>
<Relationships xmlns="http://schemas.openxmlformats.org/package/2006/relationships"><Relationship Id="rId3" Type="http://schemas.openxmlformats.org/officeDocument/2006/relationships/oleObject" Target="../embeddings/oleObject4.bin"/><Relationship Id="rId2" Type="http://schemas.openxmlformats.org/officeDocument/2006/relationships/vmlDrawing" Target="../drawings/vmlDrawing19.vml"/><Relationship Id="rId1" Type="http://schemas.openxmlformats.org/officeDocument/2006/relationships/drawing" Target="../drawings/drawing10.xml"/><Relationship Id="rId5" Type="http://schemas.openxmlformats.org/officeDocument/2006/relationships/oleObject" Target="../embeddings/oleObject5.bin"/><Relationship Id="rId4" Type="http://schemas.openxmlformats.org/officeDocument/2006/relationships/image" Target="../media/image6.emf"/></Relationships>
</file>

<file path=xl/worksheets/_rels/sheet33.xml.rels><?xml version="1.0" encoding="UTF-8" standalone="yes"?>
<Relationships xmlns="http://schemas.openxmlformats.org/package/2006/relationships"><Relationship Id="rId3" Type="http://schemas.openxmlformats.org/officeDocument/2006/relationships/oleObject" Target="../embeddings/oleObject6.bin"/><Relationship Id="rId2" Type="http://schemas.openxmlformats.org/officeDocument/2006/relationships/vmlDrawing" Target="../drawings/vmlDrawing20.vml"/><Relationship Id="rId1" Type="http://schemas.openxmlformats.org/officeDocument/2006/relationships/drawing" Target="../drawings/drawing11.xml"/><Relationship Id="rId6" Type="http://schemas.openxmlformats.org/officeDocument/2006/relationships/image" Target="../media/image6.emf"/><Relationship Id="rId5" Type="http://schemas.openxmlformats.org/officeDocument/2006/relationships/oleObject" Target="../embeddings/oleObject7.bin"/><Relationship Id="rId4" Type="http://schemas.openxmlformats.org/officeDocument/2006/relationships/image" Target="../media/image13.emf"/></Relationships>
</file>

<file path=xl/worksheets/_rels/sheet34.xml.rels><?xml version="1.0" encoding="UTF-8" standalone="yes"?>
<Relationships xmlns="http://schemas.openxmlformats.org/package/2006/relationships"><Relationship Id="rId2" Type="http://schemas.openxmlformats.org/officeDocument/2006/relationships/drawing" Target="../drawings/drawing12.xml"/><Relationship Id="rId1" Type="http://schemas.openxmlformats.org/officeDocument/2006/relationships/hyperlink" Target="http://www.trafa.se/" TargetMode="External"/></Relationships>
</file>

<file path=xl/worksheets/_rels/sheet35.xml.rels><?xml version="1.0" encoding="UTF-8" standalone="yes"?>
<Relationships xmlns="http://schemas.openxmlformats.org/package/2006/relationships"><Relationship Id="rId1" Type="http://schemas.openxmlformats.org/officeDocument/2006/relationships/drawing" Target="../drawings/drawing13.xml"/></Relationships>
</file>

<file path=xl/worksheets/_rels/sheet36.xml.rels><?xml version="1.0" encoding="UTF-8" standalone="yes"?>
<Relationships xmlns="http://schemas.openxmlformats.org/package/2006/relationships"><Relationship Id="rId8" Type="http://schemas.openxmlformats.org/officeDocument/2006/relationships/oleObject" Target="../embeddings/oleObject12.bin"/><Relationship Id="rId13" Type="http://schemas.openxmlformats.org/officeDocument/2006/relationships/oleObject" Target="../embeddings/oleObject17.bin"/><Relationship Id="rId18" Type="http://schemas.openxmlformats.org/officeDocument/2006/relationships/oleObject" Target="../embeddings/oleObject20.bin"/><Relationship Id="rId26" Type="http://schemas.openxmlformats.org/officeDocument/2006/relationships/oleObject" Target="../embeddings/oleObject26.bin"/><Relationship Id="rId3" Type="http://schemas.openxmlformats.org/officeDocument/2006/relationships/oleObject" Target="../embeddings/oleObject8.bin"/><Relationship Id="rId21" Type="http://schemas.openxmlformats.org/officeDocument/2006/relationships/oleObject" Target="../embeddings/oleObject22.bin"/><Relationship Id="rId34" Type="http://schemas.openxmlformats.org/officeDocument/2006/relationships/oleObject" Target="../embeddings/oleObject33.bin"/><Relationship Id="rId7" Type="http://schemas.openxmlformats.org/officeDocument/2006/relationships/oleObject" Target="../embeddings/oleObject11.bin"/><Relationship Id="rId12" Type="http://schemas.openxmlformats.org/officeDocument/2006/relationships/oleObject" Target="../embeddings/oleObject16.bin"/><Relationship Id="rId17" Type="http://schemas.openxmlformats.org/officeDocument/2006/relationships/oleObject" Target="../embeddings/oleObject19.bin"/><Relationship Id="rId25" Type="http://schemas.openxmlformats.org/officeDocument/2006/relationships/oleObject" Target="../embeddings/Microsoft_Word_97_-_2003_Document2.doc"/><Relationship Id="rId33" Type="http://schemas.openxmlformats.org/officeDocument/2006/relationships/oleObject" Target="../embeddings/oleObject32.bin"/><Relationship Id="rId2" Type="http://schemas.openxmlformats.org/officeDocument/2006/relationships/vmlDrawing" Target="../drawings/vmlDrawing21.vml"/><Relationship Id="rId16" Type="http://schemas.openxmlformats.org/officeDocument/2006/relationships/oleObject" Target="../embeddings/oleObject18.bin"/><Relationship Id="rId20" Type="http://schemas.openxmlformats.org/officeDocument/2006/relationships/oleObject" Target="../embeddings/Microsoft_Word_97_-_2003_Document1.doc"/><Relationship Id="rId29" Type="http://schemas.openxmlformats.org/officeDocument/2006/relationships/oleObject" Target="../embeddings/oleObject29.bin"/><Relationship Id="rId1" Type="http://schemas.openxmlformats.org/officeDocument/2006/relationships/drawing" Target="../drawings/drawing14.xml"/><Relationship Id="rId6" Type="http://schemas.openxmlformats.org/officeDocument/2006/relationships/oleObject" Target="../embeddings/oleObject10.bin"/><Relationship Id="rId11" Type="http://schemas.openxmlformats.org/officeDocument/2006/relationships/oleObject" Target="../embeddings/oleObject15.bin"/><Relationship Id="rId24" Type="http://schemas.openxmlformats.org/officeDocument/2006/relationships/oleObject" Target="../embeddings/oleObject25.bin"/><Relationship Id="rId32" Type="http://schemas.openxmlformats.org/officeDocument/2006/relationships/oleObject" Target="../embeddings/oleObject31.bin"/><Relationship Id="rId5" Type="http://schemas.openxmlformats.org/officeDocument/2006/relationships/oleObject" Target="../embeddings/oleObject9.bin"/><Relationship Id="rId15" Type="http://schemas.openxmlformats.org/officeDocument/2006/relationships/image" Target="../media/image23.emf"/><Relationship Id="rId23" Type="http://schemas.openxmlformats.org/officeDocument/2006/relationships/oleObject" Target="../embeddings/oleObject24.bin"/><Relationship Id="rId28" Type="http://schemas.openxmlformats.org/officeDocument/2006/relationships/oleObject" Target="../embeddings/oleObject28.bin"/><Relationship Id="rId10" Type="http://schemas.openxmlformats.org/officeDocument/2006/relationships/oleObject" Target="../embeddings/oleObject14.bin"/><Relationship Id="rId19" Type="http://schemas.openxmlformats.org/officeDocument/2006/relationships/oleObject" Target="../embeddings/oleObject21.bin"/><Relationship Id="rId31" Type="http://schemas.openxmlformats.org/officeDocument/2006/relationships/oleObject" Target="../embeddings/oleObject30.bin"/><Relationship Id="rId4" Type="http://schemas.openxmlformats.org/officeDocument/2006/relationships/image" Target="../media/image6.emf"/><Relationship Id="rId9" Type="http://schemas.openxmlformats.org/officeDocument/2006/relationships/oleObject" Target="../embeddings/oleObject13.bin"/><Relationship Id="rId14" Type="http://schemas.openxmlformats.org/officeDocument/2006/relationships/oleObject" Target="../embeddings/Microsoft_Word_97_-_2003_Document.doc"/><Relationship Id="rId22" Type="http://schemas.openxmlformats.org/officeDocument/2006/relationships/oleObject" Target="../embeddings/oleObject23.bin"/><Relationship Id="rId27" Type="http://schemas.openxmlformats.org/officeDocument/2006/relationships/oleObject" Target="../embeddings/oleObject27.bin"/><Relationship Id="rId30" Type="http://schemas.openxmlformats.org/officeDocument/2006/relationships/oleObject" Target="../embeddings/Microsoft_Word_97_-_2003_Document3.doc"/><Relationship Id="rId35" Type="http://schemas.openxmlformats.org/officeDocument/2006/relationships/oleObject" Target="../embeddings/oleObject34.bin"/></Relationships>
</file>

<file path=xl/worksheets/_rels/sheet37.xml.rels><?xml version="1.0" encoding="UTF-8" standalone="yes"?>
<Relationships xmlns="http://schemas.openxmlformats.org/package/2006/relationships"><Relationship Id="rId2" Type="http://schemas.openxmlformats.org/officeDocument/2006/relationships/comments" Target="../comments17.xml"/><Relationship Id="rId1" Type="http://schemas.openxmlformats.org/officeDocument/2006/relationships/vmlDrawing" Target="../drawings/vmlDrawing22.v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Sheet4">
    <tabColor rgb="FFFFC000"/>
  </sheetPr>
  <dimension ref="A3:E45"/>
  <sheetViews>
    <sheetView zoomScale="70" zoomScaleNormal="70" workbookViewId="0">
      <selection activeCell="A5" sqref="A5"/>
    </sheetView>
  </sheetViews>
  <sheetFormatPr defaultRowHeight="13.2"/>
  <cols>
    <col min="1" max="1" width="11" bestFit="1" customWidth="1"/>
    <col min="2" max="2" width="22.5546875" bestFit="1" customWidth="1"/>
    <col min="3" max="3" width="12.6640625" bestFit="1" customWidth="1"/>
    <col min="4" max="4" width="44.6640625" customWidth="1"/>
    <col min="5" max="5" width="60.6640625" bestFit="1" customWidth="1"/>
    <col min="9" max="9" width="13" customWidth="1"/>
    <col min="10" max="10" width="14.5546875" bestFit="1" customWidth="1"/>
  </cols>
  <sheetData>
    <row r="3" spans="1:5">
      <c r="A3" s="31" t="s">
        <v>266</v>
      </c>
      <c r="B3" s="278" t="s">
        <v>267</v>
      </c>
      <c r="C3" s="278" t="s">
        <v>271</v>
      </c>
      <c r="D3" s="278" t="s">
        <v>408</v>
      </c>
      <c r="E3" s="278" t="s">
        <v>268</v>
      </c>
    </row>
    <row r="4" spans="1:5" s="754" customFormat="1">
      <c r="A4" s="3019">
        <v>43902</v>
      </c>
      <c r="B4" s="765" t="s">
        <v>2197</v>
      </c>
      <c r="C4" s="765" t="s">
        <v>3474</v>
      </c>
      <c r="E4" s="765" t="s">
        <v>3475</v>
      </c>
    </row>
    <row r="5" spans="1:5" s="754" customFormat="1">
      <c r="A5" s="2425">
        <v>43203</v>
      </c>
      <c r="B5" s="278"/>
      <c r="C5" s="278"/>
      <c r="D5" s="278"/>
      <c r="E5" s="573" t="s">
        <v>3466</v>
      </c>
    </row>
    <row r="6" spans="1:5" s="754" customFormat="1">
      <c r="A6" s="2425">
        <v>43069</v>
      </c>
      <c r="B6" s="573" t="s">
        <v>2197</v>
      </c>
      <c r="C6" s="278"/>
      <c r="D6" s="278"/>
      <c r="E6" s="573" t="s">
        <v>2721</v>
      </c>
    </row>
    <row r="7" spans="1:5" s="754" customFormat="1">
      <c r="A7" s="2425">
        <v>43025</v>
      </c>
      <c r="B7" s="573" t="s">
        <v>2194</v>
      </c>
      <c r="C7" s="573" t="s">
        <v>2716</v>
      </c>
      <c r="D7" s="573"/>
      <c r="E7" s="573" t="s">
        <v>2717</v>
      </c>
    </row>
    <row r="8" spans="1:5" s="754" customFormat="1">
      <c r="A8" s="2425">
        <v>42922</v>
      </c>
      <c r="B8" s="573" t="s">
        <v>2197</v>
      </c>
      <c r="C8" s="573" t="s">
        <v>2709</v>
      </c>
      <c r="D8" s="278"/>
      <c r="E8" s="573" t="s">
        <v>2710</v>
      </c>
    </row>
    <row r="9" spans="1:5" s="754" customFormat="1">
      <c r="A9" s="466">
        <v>42871</v>
      </c>
      <c r="B9" s="573" t="s">
        <v>2194</v>
      </c>
      <c r="C9" s="573" t="s">
        <v>2395</v>
      </c>
      <c r="D9" s="278"/>
      <c r="E9" s="573" t="s">
        <v>2396</v>
      </c>
    </row>
    <row r="10" spans="1:5" s="754" customFormat="1">
      <c r="A10" s="466">
        <v>42548</v>
      </c>
      <c r="B10" s="573" t="s">
        <v>2197</v>
      </c>
      <c r="C10" s="573" t="s">
        <v>2198</v>
      </c>
      <c r="D10" s="278"/>
      <c r="E10" s="573" t="s">
        <v>2199</v>
      </c>
    </row>
    <row r="11" spans="1:5" s="754" customFormat="1">
      <c r="A11" s="466">
        <v>42522</v>
      </c>
      <c r="B11" s="573" t="s">
        <v>2197</v>
      </c>
      <c r="C11" s="573"/>
      <c r="D11" s="278"/>
      <c r="E11" s="573" t="s">
        <v>2196</v>
      </c>
    </row>
    <row r="12" spans="1:5" s="464" customFormat="1">
      <c r="A12" s="1979">
        <v>42461</v>
      </c>
      <c r="B12" s="572" t="s">
        <v>2194</v>
      </c>
      <c r="C12" s="572" t="s">
        <v>2195</v>
      </c>
      <c r="D12" s="1980"/>
      <c r="E12" s="572" t="s">
        <v>2196</v>
      </c>
    </row>
    <row r="13" spans="1:5" s="464" customFormat="1">
      <c r="A13" s="466">
        <v>42254</v>
      </c>
      <c r="B13" s="465" t="s">
        <v>320</v>
      </c>
      <c r="C13" s="465" t="s">
        <v>282</v>
      </c>
      <c r="D13" s="465" t="str">
        <f>ADDRESS(ROW(Cars!AV2),COLUMN(Cars!AV2),4,1)</f>
        <v>AV2</v>
      </c>
      <c r="E13" s="465" t="s">
        <v>570</v>
      </c>
    </row>
    <row r="14" spans="1:5" s="464" customFormat="1">
      <c r="A14" s="466">
        <v>42251</v>
      </c>
      <c r="B14" s="465" t="s">
        <v>320</v>
      </c>
      <c r="C14" s="465" t="s">
        <v>286</v>
      </c>
      <c r="D14" s="465" t="str">
        <f>ADDRESS(ROW(BUS!G3),COLUMN(BUS!G3),4,1)</f>
        <v>G3</v>
      </c>
      <c r="E14" s="465" t="s">
        <v>561</v>
      </c>
    </row>
    <row r="15" spans="1:5" s="464" customFormat="1">
      <c r="A15" s="466">
        <v>42251</v>
      </c>
      <c r="B15" s="465" t="s">
        <v>320</v>
      </c>
      <c r="C15" s="465" t="s">
        <v>290</v>
      </c>
      <c r="D15" s="465" t="str">
        <f>ADDRESS(ROW(Freight_Road!G3),COLUMN(Freight_Road!G3),4,1)</f>
        <v>G3</v>
      </c>
      <c r="E15" s="465" t="s">
        <v>561</v>
      </c>
    </row>
    <row r="16" spans="1:5" s="464" customFormat="1">
      <c r="A16" s="466">
        <v>42248</v>
      </c>
      <c r="B16" s="465" t="s">
        <v>320</v>
      </c>
      <c r="C16" s="465" t="s">
        <v>272</v>
      </c>
      <c r="D16" s="465" t="str">
        <f>ADDRESS(ROW(Commodities!E13),COLUMN(Commodities!E13),4,1)&amp;","&amp;ADDRESS(ROW(Commodities!E14),COLUMN(Commodities!E14),4,1)&amp;","&amp;ADDRESS(ROW(Commodities!E15),COLUMN(Commodities!E15),4,1)&amp;","&amp;ADDRESS(ROW(Commodities!E16),COLUMN(Commodities!E16),4,1)</f>
        <v>E13,E14,E15,E16</v>
      </c>
      <c r="E16" s="465" t="s">
        <v>556</v>
      </c>
    </row>
    <row r="17" spans="1:5" s="464" customFormat="1">
      <c r="A17" s="466">
        <v>42230</v>
      </c>
      <c r="B17" s="465" t="s">
        <v>535</v>
      </c>
      <c r="C17" s="465" t="s">
        <v>306</v>
      </c>
      <c r="D17" s="465" t="e">
        <f>ADDRESS(ROW(CarMoreData!D53),COLUMN(CarMoreData!D53),4,1)&amp;":"&amp;ADDRESS(ROW(CarMoreData!#REF!),COLUMN(CarMoreData!#REF!),4,1)</f>
        <v>#REF!</v>
      </c>
      <c r="E17" s="465" t="s">
        <v>551</v>
      </c>
    </row>
    <row r="18" spans="1:5" s="464" customFormat="1">
      <c r="A18" s="466">
        <v>42167</v>
      </c>
      <c r="B18" s="465" t="s">
        <v>535</v>
      </c>
      <c r="C18" s="465" t="s">
        <v>493</v>
      </c>
      <c r="D18" s="465" t="str">
        <f>ADDRESS(ROW(TRA_Fuel!H22),COLUMN(TRA_Fuel!H22),4,1)&amp;":"&amp;ADDRESS(ROW(TRA_Fuel!H63),COLUMN(TRA_Fuel!H63),4,1)</f>
        <v>H22:H63</v>
      </c>
      <c r="E18" s="465" t="s">
        <v>539</v>
      </c>
    </row>
    <row r="19" spans="1:5" s="464" customFormat="1">
      <c r="A19" s="466">
        <v>42166</v>
      </c>
      <c r="B19" s="465" t="s">
        <v>535</v>
      </c>
      <c r="C19" s="465" t="s">
        <v>282</v>
      </c>
      <c r="D19" s="465" t="str">
        <f>ADDRESS(ROW(Cars!AV2),COLUMN(Cars!AV2),4,1)</f>
        <v>AV2</v>
      </c>
      <c r="E19" s="465" t="s">
        <v>538</v>
      </c>
    </row>
    <row r="20" spans="1:5" s="464" customFormat="1">
      <c r="A20" s="466">
        <v>42166</v>
      </c>
      <c r="B20" s="465" t="s">
        <v>535</v>
      </c>
      <c r="C20" s="465" t="s">
        <v>282</v>
      </c>
      <c r="D20" s="465" t="e">
        <f>ADDRESS(ROW(Cars!#REF!),COLUMN(Cars!#REF!),4,1)&amp;":"&amp;ADDRESS(ROW(Cars!#REF!),COLUMN(Cars!#REF!),4,1)</f>
        <v>#REF!</v>
      </c>
      <c r="E20" s="465" t="s">
        <v>537</v>
      </c>
    </row>
    <row r="21" spans="1:5" s="464" customFormat="1">
      <c r="A21" s="466">
        <v>42166</v>
      </c>
      <c r="B21" s="465" t="s">
        <v>535</v>
      </c>
      <c r="C21" s="465" t="s">
        <v>282</v>
      </c>
      <c r="D21" s="465" t="e">
        <f>ADDRESS(ROW(Cars!J5),COLUMN(Cars!J5),4,1)&amp;":"&amp;ADDRESS(ROW(Cars!#REF!),COLUMN(Cars!#REF!),4,1)</f>
        <v>#REF!</v>
      </c>
      <c r="E21" s="465" t="s">
        <v>536</v>
      </c>
    </row>
    <row r="22" spans="1:5" s="464" customFormat="1">
      <c r="A22" s="466">
        <v>42132</v>
      </c>
      <c r="B22" s="465" t="s">
        <v>495</v>
      </c>
      <c r="C22" s="465" t="s">
        <v>287</v>
      </c>
      <c r="D22" s="465" t="str">
        <f>ADDRESS(ROW('NAVI-AVI'!D10),COLUMN('NAVI-AVI'!D10),4,1)&amp;","&amp;ADDRESS(ROW('NAVI-AVI'!D15),COLUMN('NAVI-AVI'!D15),4,1)</f>
        <v>D10,D15</v>
      </c>
      <c r="E22" s="465" t="s">
        <v>499</v>
      </c>
    </row>
    <row r="23" spans="1:5" s="464" customFormat="1">
      <c r="A23" s="466">
        <v>42132</v>
      </c>
      <c r="B23" s="465" t="s">
        <v>495</v>
      </c>
      <c r="C23" s="465" t="s">
        <v>493</v>
      </c>
      <c r="D23" s="465" t="str">
        <f>ADDRESS(ROW(TRA_Fuel!B52),COLUMN(TRA_Fuel!B52),4,1)&amp;","&amp;ADDRESS(ROW(TRA_Fuel!B50),COLUMN(TRA_Fuel!B50),4,1)&amp;","&amp;ADDRESS(ROW(TRA_Fuel!B48),COLUMN(TRA_Fuel!B48),4,1)&amp;","&amp;ADDRESS(ROW(TRA_Fuel!B46),COLUMN(TRA_Fuel!B46),4,1)&amp;","&amp;ADDRESS(ROW(TRA_Fuel!B44),COLUMN(TRA_Fuel!B44),4,1)&amp;","&amp;ADDRESS(ROW(TRA_Fuel!I45),COLUMN(TRA_Fuel!I45),4,1)&amp;","&amp;ADDRESS(ROW(TRA_Fuel!I47),COLUMN(TRA_Fuel!I47),4,1)&amp;","&amp;ADDRESS(ROW(TRA_Fuel!I49),COLUMN(TRA_Fuel!I49),4,1)&amp;","&amp;ADDRESS(ROW(TRA_Fuel!I51),COLUMN(TRA_Fuel!I51),4,1)</f>
        <v>B52,B50,B48,B46,B44,I45,I47,I49,I51</v>
      </c>
      <c r="E23" s="465" t="s">
        <v>498</v>
      </c>
    </row>
    <row r="24" spans="1:5" s="464" customFormat="1">
      <c r="A24" s="466">
        <v>42132</v>
      </c>
      <c r="B24" s="465" t="s">
        <v>495</v>
      </c>
      <c r="C24" s="465" t="s">
        <v>493</v>
      </c>
      <c r="D24" s="465" t="str">
        <f>ADDRESS(ROW(TRA_Fuel!H23),COLUMN(TRA_Fuel!H23),4,1)&amp;":"&amp;ADDRESS(ROW(TRA_Fuel!H26),COLUMN(TRA_Fuel!H26),4,1)&amp;","&amp;ADDRESS(ROW(TRA_Fuel!H35),COLUMN(TRA_Fuel!H35),4,1)&amp;":"&amp;ADDRESS(ROW(TRA_Fuel!H37),COLUMN(TRA_Fuel!H37),4,1)</f>
        <v>H23:H26,H35:H37</v>
      </c>
      <c r="E24" s="465" t="s">
        <v>497</v>
      </c>
    </row>
    <row r="25" spans="1:5" s="386" customFormat="1">
      <c r="A25" s="466">
        <v>42132</v>
      </c>
      <c r="B25" s="465" t="s">
        <v>495</v>
      </c>
      <c r="C25" s="465" t="s">
        <v>493</v>
      </c>
      <c r="D25" s="465" t="str">
        <f>ADDRESS(ROW(TRA_Fuel!I57),COLUMN(TRA_Fuel!I57),4,1)&amp;":"&amp;ADDRESS(ROW(TRA_Fuel!I63),COLUMN(TRA_Fuel!I63),4,1)</f>
        <v>I57:I63</v>
      </c>
      <c r="E25" s="465" t="s">
        <v>496</v>
      </c>
    </row>
    <row r="26" spans="1:5" s="386" customFormat="1">
      <c r="A26" s="455">
        <v>42132</v>
      </c>
      <c r="B26" s="53" t="s">
        <v>285</v>
      </c>
      <c r="C26" s="53" t="s">
        <v>493</v>
      </c>
      <c r="D26" s="53" t="str">
        <f>ADDRESS(ROW(TRA_Fuel!B44),COLUMN(TRA_Fuel!B44),4,1)&amp;","&amp;ADDRESS(ROW(TRA_Fuel!B46),COLUMN(TRA_Fuel!B46),4,1)&amp;","&amp;ADDRESS(ROW(TRA_Fuel!B48),COLUMN(TRA_Fuel!B48),4,1)&amp;","&amp;ADDRESS(ROW(TRA_Fuel!B50),COLUMN(TRA_Fuel!B50),4,1)&amp;","&amp;ADDRESS(ROW(TRA_Fuel!B52),COLUMN(TRA_Fuel!B52),4,1)&amp;","&amp;ADDRESS(ROW(TRA_Fuel!I45),COLUMN(TRA_Fuel!I45),4,1)&amp;","&amp;ADDRESS(ROW(TRA_Fuel!I47),COLUMN(TRA_Fuel!I47),4,1)&amp;","&amp;ADDRESS(ROW(TRA_Fuel!I49),COLUMN(TRA_Fuel!I49),4,1)&amp;","&amp;ADDRESS(ROW(TRA_Fuel!I51),COLUMN(TRA_Fuel!I51),4,1)&amp;","&amp;ADDRESS(ROW(TRA_Fuel!I53),COLUMN(TRA_Fuel!I53),4,1)</f>
        <v>B44,B46,B48,B50,B52,I45,I47,I49,I51,I53</v>
      </c>
      <c r="E26" s="53" t="s">
        <v>494</v>
      </c>
    </row>
    <row r="27" spans="1:5" s="386" customFormat="1">
      <c r="A27" s="455">
        <v>42132</v>
      </c>
      <c r="B27" s="53" t="s">
        <v>445</v>
      </c>
      <c r="C27" s="53" t="s">
        <v>290</v>
      </c>
      <c r="D27" s="53" t="e">
        <f>ADDRESS(ROW(Freight_Road!#REF!),COLUMN(Freight_Road!#REF!),4,1)</f>
        <v>#REF!</v>
      </c>
      <c r="E27" s="53" t="s">
        <v>492</v>
      </c>
    </row>
    <row r="28" spans="1:5" s="386" customFormat="1">
      <c r="A28" s="455">
        <v>42132</v>
      </c>
      <c r="B28" s="53" t="s">
        <v>445</v>
      </c>
      <c r="C28" s="53" t="s">
        <v>282</v>
      </c>
      <c r="D28" s="53" t="e">
        <f>ADDRESS(ROW(Cars!#REF!),COLUMN(Cars!#REF!),4,1)</f>
        <v>#REF!</v>
      </c>
      <c r="E28" s="53" t="s">
        <v>491</v>
      </c>
    </row>
    <row r="29" spans="1:5" s="386" customFormat="1">
      <c r="A29" s="455">
        <v>42045</v>
      </c>
      <c r="B29" s="53" t="s">
        <v>445</v>
      </c>
      <c r="C29" s="53" t="s">
        <v>272</v>
      </c>
      <c r="D29" s="53" t="str">
        <f>ADDRESS(ROW(Commodities!D39),COLUMN(Commodities!D39),4,1)&amp;","&amp;ADDRESS(ROW(Commodities!D40),COLUMN(Commodities!D40),4,1)&amp;","&amp;ADDRESS(ROW(Commodities!D41),COLUMN(Commodities!D41),4,1)&amp;","&amp;ADDRESS(ROW(Commodities!D42),COLUMN(Commodities!D42),4,1)&amp;","&amp;ADDRESS(ROW(Commodities!D43),COLUMN(Commodities!D43),4,1)&amp;","&amp;ADDRESS(ROW(Commodities!D44),COLUMN(Commodities!D44),4,1)&amp;","&amp;ADDRESS(ROW(Commodities!D45),COLUMN(Commodities!D45),4,1)&amp;","&amp;ADDRESS(ROW(Commodities!D46),COLUMN(Commodities!D46),4,1)&amp;","&amp;ADDRESS(ROW(Commodities!D128),COLUMN(Commodities!D128),4,1)&amp;","&amp;ADDRESS(ROW(Commodities!D49),COLUMN(Commodities!D49),4,1)&amp;","&amp;ADDRESS(ROW(Commodities!D50),COLUMN(Commodities!D50),4,1)&amp;","&amp;ADDRESS(ROW(Commodities!D51),COLUMN(Commodities!D51),4,1)&amp;","&amp;ADDRESS(ROW(Commodities!D52),COLUMN(Commodities!D52),4,1)&amp;","&amp;ADDRESS(ROW(Commodities!D54),COLUMN(Commodities!D54),4,1)&amp;","&amp;ADDRESS(ROW(Commodities!D56),COLUMN(Commodities!D56),4,1)&amp;","&amp;ADDRESS(ROW(Commodities!D58),COLUMN(Commodities!D58),4,1)&amp;","&amp;ADDRESS(ROW(Commodities!D59),COLUMN(Commodities!D59),4,1)&amp;","&amp;ADDRESS(ROW(Commodities!D60),COLUMN(Commodities!D60),4,1)&amp;","&amp;ADDRESS(ROW(Commodities!D53),COLUMN(Commodities!D53),4,1)&amp;","&amp;ADDRESS(ROW(Commodities!D55),COLUMN(Commodities!D55),4,1)</f>
        <v>D39,D40,D41,D42,D43,D44,D45,D46,D128,D49,D50,D51,D52,D54,D56,D58,D59,D60,D53,D55</v>
      </c>
      <c r="E29" s="53" t="s">
        <v>446</v>
      </c>
    </row>
    <row r="30" spans="1:5" s="282" customFormat="1">
      <c r="A30" s="455">
        <v>41922</v>
      </c>
      <c r="B30" s="53" t="s">
        <v>320</v>
      </c>
      <c r="C30" s="53" t="s">
        <v>405</v>
      </c>
      <c r="D30" s="53" t="str">
        <f>ADDRESS(ROW(Processes!D17),COLUMN(Processes!D17),4,1)</f>
        <v>D17</v>
      </c>
      <c r="E30" s="53" t="s">
        <v>406</v>
      </c>
    </row>
    <row r="31" spans="1:5" s="282" customFormat="1">
      <c r="A31" s="284">
        <v>41802</v>
      </c>
      <c r="B31" s="283" t="s">
        <v>320</v>
      </c>
      <c r="C31" s="283" t="s">
        <v>290</v>
      </c>
      <c r="D31" s="283" t="s">
        <v>324</v>
      </c>
      <c r="E31" s="283" t="s">
        <v>322</v>
      </c>
    </row>
    <row r="32" spans="1:5" s="282" customFormat="1">
      <c r="A32" s="284">
        <v>41802</v>
      </c>
      <c r="B32" s="283" t="s">
        <v>320</v>
      </c>
      <c r="C32" s="283" t="s">
        <v>286</v>
      </c>
      <c r="D32" s="283" t="s">
        <v>323</v>
      </c>
      <c r="E32" s="283" t="s">
        <v>322</v>
      </c>
    </row>
    <row r="33" spans="1:5" s="282" customFormat="1">
      <c r="A33" s="284">
        <v>41802</v>
      </c>
      <c r="B33" s="283" t="s">
        <v>320</v>
      </c>
      <c r="C33" s="283" t="s">
        <v>282</v>
      </c>
      <c r="D33" s="283" t="s">
        <v>321</v>
      </c>
      <c r="E33" s="283" t="s">
        <v>322</v>
      </c>
    </row>
    <row r="34" spans="1:5" s="282" customFormat="1">
      <c r="A34" s="284">
        <v>41801</v>
      </c>
      <c r="B34" s="283" t="s">
        <v>285</v>
      </c>
      <c r="C34" s="283" t="s">
        <v>306</v>
      </c>
      <c r="D34" s="283" t="s">
        <v>308</v>
      </c>
      <c r="E34" s="283" t="s">
        <v>307</v>
      </c>
    </row>
    <row r="35" spans="1:5" s="282" customFormat="1">
      <c r="A35" s="284">
        <v>41801</v>
      </c>
      <c r="B35" s="283" t="s">
        <v>285</v>
      </c>
      <c r="C35" s="283" t="s">
        <v>290</v>
      </c>
      <c r="D35" s="283" t="s">
        <v>309</v>
      </c>
      <c r="E35" s="283" t="s">
        <v>305</v>
      </c>
    </row>
    <row r="36" spans="1:5" s="282" customFormat="1">
      <c r="A36" s="284">
        <v>41801</v>
      </c>
      <c r="B36" s="283" t="s">
        <v>285</v>
      </c>
      <c r="C36" s="283" t="s">
        <v>303</v>
      </c>
      <c r="D36" s="283" t="s">
        <v>304</v>
      </c>
      <c r="E36" s="283" t="s">
        <v>283</v>
      </c>
    </row>
    <row r="37" spans="1:5" s="282" customFormat="1">
      <c r="A37" s="284">
        <v>41801</v>
      </c>
      <c r="B37" s="283" t="s">
        <v>285</v>
      </c>
      <c r="C37" s="283" t="s">
        <v>301</v>
      </c>
      <c r="D37" s="283" t="s">
        <v>302</v>
      </c>
      <c r="E37" s="283" t="s">
        <v>283</v>
      </c>
    </row>
    <row r="38" spans="1:5" s="282" customFormat="1">
      <c r="A38" s="284">
        <v>41801</v>
      </c>
      <c r="B38" s="283" t="s">
        <v>285</v>
      </c>
      <c r="C38" s="283" t="s">
        <v>299</v>
      </c>
      <c r="D38" s="283" t="s">
        <v>300</v>
      </c>
      <c r="E38" s="283" t="s">
        <v>283</v>
      </c>
    </row>
    <row r="39" spans="1:5" s="282" customFormat="1">
      <c r="A39" s="284">
        <v>41800</v>
      </c>
      <c r="B39" s="283" t="s">
        <v>285</v>
      </c>
      <c r="C39" s="283" t="s">
        <v>290</v>
      </c>
      <c r="D39" s="283" t="s">
        <v>291</v>
      </c>
      <c r="E39" s="283" t="s">
        <v>283</v>
      </c>
    </row>
    <row r="40" spans="1:5" s="282" customFormat="1">
      <c r="A40" s="284">
        <v>41800</v>
      </c>
      <c r="B40" s="283" t="s">
        <v>285</v>
      </c>
      <c r="C40" s="283" t="s">
        <v>287</v>
      </c>
      <c r="D40" s="283" t="s">
        <v>288</v>
      </c>
      <c r="E40" s="283" t="s">
        <v>283</v>
      </c>
    </row>
    <row r="41" spans="1:5" s="282" customFormat="1">
      <c r="A41" s="284">
        <v>41800</v>
      </c>
      <c r="B41" s="283" t="s">
        <v>285</v>
      </c>
      <c r="C41" s="283" t="s">
        <v>286</v>
      </c>
      <c r="D41" s="283" t="s">
        <v>289</v>
      </c>
      <c r="E41" s="283" t="s">
        <v>283</v>
      </c>
    </row>
    <row r="42" spans="1:5" s="282" customFormat="1">
      <c r="A42" s="284">
        <v>41800</v>
      </c>
      <c r="B42" s="283" t="s">
        <v>285</v>
      </c>
      <c r="C42" s="283" t="s">
        <v>282</v>
      </c>
      <c r="D42" s="283" t="s">
        <v>284</v>
      </c>
      <c r="E42" s="283" t="s">
        <v>283</v>
      </c>
    </row>
    <row r="43" spans="1:5">
      <c r="A43" s="284">
        <v>41800</v>
      </c>
      <c r="B43" s="283" t="s">
        <v>285</v>
      </c>
      <c r="C43" s="283" t="s">
        <v>279</v>
      </c>
      <c r="D43" s="283" t="s">
        <v>310</v>
      </c>
      <c r="E43" s="283" t="s">
        <v>298</v>
      </c>
    </row>
    <row r="44" spans="1:5">
      <c r="A44" s="279">
        <v>41800</v>
      </c>
      <c r="B44" s="280" t="s">
        <v>269</v>
      </c>
      <c r="C44" s="280" t="s">
        <v>272</v>
      </c>
      <c r="D44" s="281" t="s">
        <v>273</v>
      </c>
      <c r="E44" s="280" t="s">
        <v>270</v>
      </c>
    </row>
    <row r="45" spans="1:5">
      <c r="A45" s="279">
        <v>41800</v>
      </c>
      <c r="B45" s="280" t="s">
        <v>269</v>
      </c>
      <c r="C45" s="280" t="s">
        <v>272</v>
      </c>
      <c r="D45" s="14" t="s">
        <v>274</v>
      </c>
      <c r="E45" s="14" t="s">
        <v>275</v>
      </c>
    </row>
  </sheetData>
  <pageMargins left="0.7" right="0.7" top="0.75" bottom="0.75" header="0.3" footer="0.3"/>
  <pageSetup paperSize="9" orientation="portrai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codeName="Sheet1">
    <tabColor rgb="FFFF0000"/>
  </sheetPr>
  <dimension ref="B1:AI216"/>
  <sheetViews>
    <sheetView topLeftCell="C16" zoomScale="70" zoomScaleNormal="70" workbookViewId="0">
      <selection activeCell="J84" sqref="J84"/>
    </sheetView>
  </sheetViews>
  <sheetFormatPr defaultRowHeight="13.2"/>
  <cols>
    <col min="2" max="2" width="26.109375" customWidth="1"/>
    <col min="3" max="3" width="25.33203125" customWidth="1"/>
    <col min="4" max="4" width="13.5546875" customWidth="1"/>
    <col min="5" max="5" width="12.5546875" customWidth="1"/>
    <col min="6" max="6" width="10.109375" customWidth="1"/>
    <col min="7" max="7" width="9.109375" customWidth="1"/>
    <col min="8" max="8" width="11.88671875" customWidth="1"/>
    <col min="9" max="9" width="15.6640625" customWidth="1"/>
    <col min="10" max="10" width="19.5546875" customWidth="1"/>
    <col min="11" max="11" width="10.5546875" customWidth="1"/>
    <col min="12" max="12" width="9" bestFit="1" customWidth="1"/>
    <col min="13" max="13" width="8.109375" customWidth="1"/>
    <col min="18" max="18" width="12.33203125" bestFit="1" customWidth="1"/>
    <col min="21" max="21" width="15.6640625" customWidth="1"/>
    <col min="22" max="22" width="19.33203125" customWidth="1"/>
  </cols>
  <sheetData>
    <row r="1" spans="2:29" s="754" customFormat="1"/>
    <row r="2" spans="2:29" s="754" customFormat="1"/>
    <row r="3" spans="2:29" s="754" customFormat="1">
      <c r="B3" s="37" t="s">
        <v>2165</v>
      </c>
    </row>
    <row r="4" spans="2:29" s="754" customFormat="1">
      <c r="B4" s="31" t="s">
        <v>1612</v>
      </c>
      <c r="T4" s="765" t="s">
        <v>2187</v>
      </c>
    </row>
    <row r="5" spans="2:29" s="754" customFormat="1" ht="27.6">
      <c r="D5" s="1924">
        <v>2002</v>
      </c>
      <c r="E5" s="1924">
        <v>2003</v>
      </c>
      <c r="F5" s="1924">
        <v>2004</v>
      </c>
      <c r="G5" s="1924">
        <v>2005</v>
      </c>
      <c r="H5" s="1924">
        <v>2006</v>
      </c>
      <c r="I5" s="1924">
        <v>2007</v>
      </c>
      <c r="J5" s="1924">
        <v>2008</v>
      </c>
      <c r="K5" s="1924">
        <v>2009</v>
      </c>
      <c r="L5" s="1924">
        <v>2010</v>
      </c>
      <c r="M5" s="1924">
        <v>2011</v>
      </c>
      <c r="N5" s="1924">
        <v>2012</v>
      </c>
      <c r="O5" s="1924">
        <v>2013</v>
      </c>
      <c r="P5" s="1924">
        <v>2014</v>
      </c>
      <c r="U5" s="1949" t="s">
        <v>626</v>
      </c>
      <c r="V5" s="1950" t="s">
        <v>2185</v>
      </c>
      <c r="W5" s="1950" t="s">
        <v>2177</v>
      </c>
      <c r="X5" s="1956" t="s">
        <v>2178</v>
      </c>
      <c r="Y5" s="1950" t="s">
        <v>2186</v>
      </c>
      <c r="Z5" s="1950" t="s">
        <v>328</v>
      </c>
      <c r="AA5" s="1950" t="s">
        <v>2180</v>
      </c>
      <c r="AB5" s="1949" t="s">
        <v>627</v>
      </c>
    </row>
    <row r="6" spans="2:29" s="754" customFormat="1" ht="13.8">
      <c r="B6" s="1935" t="s">
        <v>44</v>
      </c>
      <c r="C6" s="1931" t="s">
        <v>626</v>
      </c>
      <c r="D6" s="1932">
        <v>177.98400000000001</v>
      </c>
      <c r="E6" s="1932">
        <v>176.50800000000001</v>
      </c>
      <c r="F6" s="1932">
        <v>173.268</v>
      </c>
      <c r="G6" s="1932">
        <v>170.85599999999999</v>
      </c>
      <c r="H6" s="1932">
        <v>167.04</v>
      </c>
      <c r="I6" s="1932">
        <v>158.72400000000002</v>
      </c>
      <c r="J6" s="1932">
        <v>153.108</v>
      </c>
      <c r="K6" s="1932">
        <v>152.02799999999999</v>
      </c>
      <c r="L6" s="1932">
        <v>142.92000000000002</v>
      </c>
      <c r="M6" s="1932">
        <v>132.804</v>
      </c>
      <c r="N6" s="1932">
        <v>122.148</v>
      </c>
      <c r="O6" s="1932">
        <v>115.848</v>
      </c>
      <c r="P6" s="1932">
        <v>111.42</v>
      </c>
      <c r="T6" s="754">
        <v>2010</v>
      </c>
      <c r="U6" s="754">
        <v>138.78891348612919</v>
      </c>
      <c r="V6" s="754">
        <v>145.46569647026874</v>
      </c>
      <c r="W6" s="754">
        <v>0.64031832000000222</v>
      </c>
      <c r="X6" s="754">
        <v>6.2140005000000214</v>
      </c>
      <c r="Y6" s="754">
        <v>6.8510089440000241</v>
      </c>
      <c r="Z6" s="754">
        <v>1.2203099046000043</v>
      </c>
      <c r="AA6" s="754">
        <v>17.885815853036462</v>
      </c>
      <c r="AB6" s="754">
        <v>8.65903802400004</v>
      </c>
      <c r="AC6" s="754">
        <f>SUM(U6:AB6)</f>
        <v>325.72510150203442</v>
      </c>
    </row>
    <row r="7" spans="2:29" s="754" customFormat="1" ht="13.8">
      <c r="B7" s="1935" t="s">
        <v>44</v>
      </c>
      <c r="C7" s="1931" t="s">
        <v>61</v>
      </c>
      <c r="D7" s="1932">
        <v>111.16799999999999</v>
      </c>
      <c r="E7" s="1932">
        <v>116.06400000000001</v>
      </c>
      <c r="F7" s="1932">
        <v>124.884</v>
      </c>
      <c r="G7" s="1932">
        <v>132.94800000000001</v>
      </c>
      <c r="H7" s="1932">
        <v>134.85599999999999</v>
      </c>
      <c r="I7" s="1932">
        <v>143.46</v>
      </c>
      <c r="J7" s="1932">
        <v>150.47999999999999</v>
      </c>
      <c r="K7" s="1932">
        <v>143.78399999999999</v>
      </c>
      <c r="L7" s="1932">
        <v>156.24</v>
      </c>
      <c r="M7" s="1932">
        <v>160.16400000000002</v>
      </c>
      <c r="N7" s="1932">
        <v>161.1</v>
      </c>
      <c r="O7" s="1932">
        <v>162.108</v>
      </c>
      <c r="P7" s="1932">
        <v>161.56800000000001</v>
      </c>
    </row>
    <row r="8" spans="2:29" s="754" customFormat="1" ht="13.8">
      <c r="B8" s="1935" t="s">
        <v>44</v>
      </c>
      <c r="C8" s="1931" t="s">
        <v>1440</v>
      </c>
      <c r="D8" s="1932">
        <v>1.62</v>
      </c>
      <c r="E8" s="1932">
        <v>3.1680000000000001</v>
      </c>
      <c r="F8" s="1932">
        <v>5.5440000000000005</v>
      </c>
      <c r="G8" s="1932">
        <v>5.5440000000000005</v>
      </c>
      <c r="H8" s="1932">
        <v>6.8039999999999994</v>
      </c>
      <c r="I8" s="1932">
        <v>7.6320000000000006</v>
      </c>
      <c r="J8" s="1932">
        <v>8.9640000000000004</v>
      </c>
      <c r="K8" s="1932">
        <v>8.2799999999999994</v>
      </c>
      <c r="L8" s="1932">
        <v>8.4960000000000004</v>
      </c>
      <c r="M8" s="1932">
        <v>8.9280000000000008</v>
      </c>
      <c r="N8" s="1932">
        <v>8.64</v>
      </c>
      <c r="O8" s="1932">
        <v>7.524</v>
      </c>
      <c r="P8" s="1932">
        <v>6.9479999999999995</v>
      </c>
    </row>
    <row r="9" spans="2:29" s="754" customFormat="1">
      <c r="B9" s="765" t="s">
        <v>44</v>
      </c>
      <c r="C9" s="704" t="s">
        <v>2161</v>
      </c>
      <c r="D9" s="1936">
        <v>1.2319199999999999</v>
      </c>
      <c r="E9" s="1936">
        <v>2.6550000000000002</v>
      </c>
      <c r="F9" s="1936">
        <v>4.9914000000000005</v>
      </c>
      <c r="G9" s="1936">
        <v>5.3524799999999999</v>
      </c>
      <c r="H9" s="1936">
        <v>5.2675199999999993</v>
      </c>
      <c r="I9" s="1936">
        <v>5.1825599999999996</v>
      </c>
      <c r="J9" s="1936">
        <v>4.842719999999999</v>
      </c>
      <c r="K9" s="1936">
        <v>4.8639599999999996</v>
      </c>
      <c r="L9" s="1936">
        <v>4.587839999999999</v>
      </c>
      <c r="M9" s="1936">
        <v>4.3329599999999999</v>
      </c>
      <c r="N9" s="1936">
        <v>4.0568399999999993</v>
      </c>
      <c r="O9" s="1936">
        <v>3.8019599999999993</v>
      </c>
      <c r="P9" s="1936">
        <v>3.6320399999999999</v>
      </c>
    </row>
    <row r="10" spans="2:29" s="754" customFormat="1">
      <c r="B10" s="765" t="s">
        <v>44</v>
      </c>
      <c r="C10" s="704" t="s">
        <v>2162</v>
      </c>
      <c r="D10" s="1936">
        <v>0.38231999999999999</v>
      </c>
      <c r="E10" s="1936">
        <v>0.53100000000000003</v>
      </c>
      <c r="F10" s="1936">
        <v>0.53100000000000003</v>
      </c>
      <c r="G10" s="1936">
        <v>0.7009200000000001</v>
      </c>
      <c r="H10" s="1936">
        <v>1.52928</v>
      </c>
      <c r="I10" s="1936">
        <v>2.4426000000000001</v>
      </c>
      <c r="J10" s="1936">
        <v>4.1205599999999993</v>
      </c>
      <c r="K10" s="1936">
        <v>3.3983999999999996</v>
      </c>
      <c r="L10" s="1936">
        <v>3.9081599999999996</v>
      </c>
      <c r="M10" s="1936">
        <v>4.587839999999999</v>
      </c>
      <c r="N10" s="1936">
        <v>4.5665999999999993</v>
      </c>
      <c r="O10" s="1936">
        <v>3.7382400000000002</v>
      </c>
      <c r="P10" s="1936">
        <v>3.3134399999999995</v>
      </c>
    </row>
    <row r="11" spans="2:29" s="754" customFormat="1" ht="13.8">
      <c r="B11" s="1935" t="s">
        <v>44</v>
      </c>
      <c r="C11" s="1931" t="s">
        <v>52</v>
      </c>
      <c r="D11" s="1932">
        <v>0.14400000000000002</v>
      </c>
      <c r="E11" s="1932">
        <v>0.18000000000000002</v>
      </c>
      <c r="F11" s="1932">
        <v>0.32400000000000001</v>
      </c>
      <c r="G11" s="1932">
        <v>0.32400000000000001</v>
      </c>
      <c r="H11" s="1932">
        <v>2.1960000000000002</v>
      </c>
      <c r="I11" s="1932">
        <v>4.3920000000000003</v>
      </c>
      <c r="J11" s="1932">
        <v>5.5440000000000005</v>
      </c>
      <c r="K11" s="1932">
        <v>6.8039999999999994</v>
      </c>
      <c r="L11" s="1932">
        <v>7.4160000000000004</v>
      </c>
      <c r="M11" s="1932">
        <v>9.7920000000000016</v>
      </c>
      <c r="N11" s="1932">
        <v>14.148000000000001</v>
      </c>
      <c r="O11" s="1932">
        <v>19.512</v>
      </c>
      <c r="P11" s="1932">
        <v>27.036000000000001</v>
      </c>
    </row>
    <row r="12" spans="2:29" s="754" customFormat="1">
      <c r="B12" s="765" t="s">
        <v>44</v>
      </c>
      <c r="C12" s="704" t="s">
        <v>2151</v>
      </c>
      <c r="D12" s="1936">
        <v>0.13203999999999999</v>
      </c>
      <c r="E12" s="1936">
        <v>0.16504999999999997</v>
      </c>
      <c r="F12" s="1936">
        <v>0.29709000000000002</v>
      </c>
      <c r="G12" s="1936">
        <v>0.29709000000000002</v>
      </c>
      <c r="H12" s="1936">
        <v>1.84856</v>
      </c>
      <c r="I12" s="1936">
        <v>4.1262499999999998</v>
      </c>
      <c r="J12" s="1936">
        <v>5.2815999999999992</v>
      </c>
      <c r="K12" s="1936">
        <v>6.4039400000000004</v>
      </c>
      <c r="L12" s="1936">
        <v>6.8330700000000002</v>
      </c>
      <c r="M12" s="1936">
        <v>7.3942399999999999</v>
      </c>
      <c r="N12" s="1936">
        <v>8.3185199999999995</v>
      </c>
      <c r="O12" s="1936">
        <v>7.9224000000000006</v>
      </c>
      <c r="P12" s="1936">
        <v>8.4505599999999994</v>
      </c>
    </row>
    <row r="13" spans="2:29" s="754" customFormat="1">
      <c r="B13" s="765" t="s">
        <v>44</v>
      </c>
      <c r="C13" s="704" t="s">
        <v>2152</v>
      </c>
      <c r="D13" s="1936">
        <v>0</v>
      </c>
      <c r="E13" s="1936">
        <v>0</v>
      </c>
      <c r="F13" s="1936">
        <v>0</v>
      </c>
      <c r="G13" s="1936">
        <v>0</v>
      </c>
      <c r="H13" s="1936">
        <v>0</v>
      </c>
      <c r="I13" s="1936">
        <v>0</v>
      </c>
      <c r="J13" s="1936">
        <v>0</v>
      </c>
      <c r="K13" s="1936">
        <v>0</v>
      </c>
      <c r="L13" s="1936">
        <v>0</v>
      </c>
      <c r="M13" s="1936">
        <v>1.53</v>
      </c>
      <c r="N13" s="1936">
        <v>4.4539999999999997</v>
      </c>
      <c r="O13" s="1936">
        <v>9.8202200000000008</v>
      </c>
      <c r="P13" s="1936">
        <v>14.91722</v>
      </c>
    </row>
    <row r="14" spans="2:29" s="754" customFormat="1">
      <c r="B14" s="765" t="s">
        <v>44</v>
      </c>
      <c r="C14" s="704" t="s">
        <v>2153</v>
      </c>
      <c r="D14" s="1936">
        <v>3.3009999999999998E-2</v>
      </c>
      <c r="E14" s="1936">
        <v>3.3009999999999998E-2</v>
      </c>
      <c r="F14" s="1936">
        <v>3.3009999999999998E-2</v>
      </c>
      <c r="G14" s="1936">
        <v>6.6019999999999995E-2</v>
      </c>
      <c r="H14" s="1936">
        <v>0.29709000000000002</v>
      </c>
      <c r="I14" s="1936">
        <v>0.16504999999999997</v>
      </c>
      <c r="J14" s="1936">
        <v>0.16504999999999997</v>
      </c>
      <c r="K14" s="1936">
        <v>0.39611999999999997</v>
      </c>
      <c r="L14" s="1936">
        <v>0.59418000000000004</v>
      </c>
      <c r="M14" s="1936">
        <v>0.85826000000000002</v>
      </c>
      <c r="N14" s="1936">
        <v>1.3864199999999998</v>
      </c>
      <c r="O14" s="1936">
        <v>1.74953</v>
      </c>
      <c r="P14" s="1936">
        <v>3.69712</v>
      </c>
    </row>
    <row r="15" spans="2:29" s="754" customFormat="1">
      <c r="B15" s="1935" t="s">
        <v>44</v>
      </c>
      <c r="C15" s="1933" t="s">
        <v>2147</v>
      </c>
      <c r="D15" s="1932">
        <v>0.82800000000000007</v>
      </c>
      <c r="E15" s="1932">
        <v>1.08</v>
      </c>
      <c r="F15" s="1932">
        <v>1.26</v>
      </c>
      <c r="G15" s="1932">
        <v>1.26</v>
      </c>
      <c r="H15" s="1932">
        <v>1.62</v>
      </c>
      <c r="I15" s="1932">
        <v>2.0160000000000005</v>
      </c>
      <c r="J15" s="1932">
        <v>2.1600000000000006</v>
      </c>
      <c r="K15" s="1932">
        <v>2.484</v>
      </c>
      <c r="L15" s="1932">
        <v>3.3839999999999999</v>
      </c>
      <c r="M15" s="1932">
        <v>4.4279999999999999</v>
      </c>
      <c r="N15" s="1932">
        <v>5.1480000000000006</v>
      </c>
      <c r="O15" s="1932">
        <v>5.4</v>
      </c>
      <c r="P15" s="1932">
        <v>5.8320000000000007</v>
      </c>
    </row>
    <row r="16" spans="2:29" s="754" customFormat="1">
      <c r="B16" s="765" t="s">
        <v>44</v>
      </c>
      <c r="C16" s="704" t="s">
        <v>328</v>
      </c>
      <c r="D16" s="1936">
        <v>0.50400000000000011</v>
      </c>
      <c r="E16" s="1936">
        <v>0.68400000000000005</v>
      </c>
      <c r="F16" s="1936">
        <v>0.79200000000000004</v>
      </c>
      <c r="G16" s="1936">
        <v>0.79200000000000004</v>
      </c>
      <c r="H16" s="1936">
        <v>0.79200000000000004</v>
      </c>
      <c r="I16" s="1936">
        <v>1.0080000000000002</v>
      </c>
      <c r="J16" s="1936">
        <v>0.97200000000000009</v>
      </c>
      <c r="K16" s="1936">
        <v>1.0080000000000002</v>
      </c>
      <c r="L16" s="1936">
        <v>1.3320000000000001</v>
      </c>
      <c r="M16" s="1936">
        <v>1.8</v>
      </c>
      <c r="N16" s="1936">
        <v>2.2320000000000002</v>
      </c>
      <c r="O16" s="1936">
        <v>2.2680000000000002</v>
      </c>
      <c r="P16" s="1936">
        <v>2.3400000000000003</v>
      </c>
    </row>
    <row r="17" spans="2:29" s="754" customFormat="1">
      <c r="B17" s="765" t="s">
        <v>44</v>
      </c>
      <c r="C17" s="704" t="s">
        <v>329</v>
      </c>
      <c r="D17" s="1936">
        <v>0.32400000000000001</v>
      </c>
      <c r="E17" s="1936">
        <v>0.39600000000000002</v>
      </c>
      <c r="F17" s="1936">
        <v>0.46800000000000003</v>
      </c>
      <c r="G17" s="1936">
        <v>0.46800000000000003</v>
      </c>
      <c r="H17" s="1936">
        <v>0.82800000000000007</v>
      </c>
      <c r="I17" s="1936">
        <v>1.0080000000000002</v>
      </c>
      <c r="J17" s="1936">
        <v>1.1880000000000002</v>
      </c>
      <c r="K17" s="1936">
        <v>1.476</v>
      </c>
      <c r="L17" s="1936">
        <v>2.052</v>
      </c>
      <c r="M17" s="1936">
        <v>2.6280000000000001</v>
      </c>
      <c r="N17" s="1936">
        <v>2.9160000000000004</v>
      </c>
      <c r="O17" s="1936">
        <v>3.1320000000000001</v>
      </c>
      <c r="P17" s="1936">
        <v>3.492</v>
      </c>
    </row>
    <row r="18" spans="2:29" s="754" customFormat="1" ht="13.8">
      <c r="B18" s="1935" t="s">
        <v>44</v>
      </c>
      <c r="C18" s="1931" t="s">
        <v>627</v>
      </c>
      <c r="D18" s="1932">
        <v>9.7920000000000016</v>
      </c>
      <c r="E18" s="1932">
        <v>10.151999999999999</v>
      </c>
      <c r="F18" s="1932">
        <v>9.9359999999999999</v>
      </c>
      <c r="G18" s="1932">
        <v>9.9359999999999999</v>
      </c>
      <c r="H18" s="1932">
        <v>10.512</v>
      </c>
      <c r="I18" s="1932">
        <v>10.656000000000001</v>
      </c>
      <c r="J18" s="1932">
        <v>10.764000000000001</v>
      </c>
      <c r="K18" s="1932">
        <v>9.9359999999999999</v>
      </c>
      <c r="L18" s="1932">
        <v>10.944000000000001</v>
      </c>
      <c r="M18" s="1932">
        <v>10.907999999999999</v>
      </c>
      <c r="N18" s="1932">
        <v>10.944000000000001</v>
      </c>
      <c r="O18" s="1932">
        <v>11.124000000000001</v>
      </c>
      <c r="P18" s="1932">
        <v>11.088000000000001</v>
      </c>
    </row>
    <row r="19" spans="2:29" s="754" customFormat="1">
      <c r="B19" s="765" t="s">
        <v>44</v>
      </c>
      <c r="C19" s="704" t="s">
        <v>2163</v>
      </c>
      <c r="D19" s="1936"/>
      <c r="E19" s="1936"/>
      <c r="F19" s="1936"/>
      <c r="G19" s="1936"/>
      <c r="H19" s="1936">
        <v>10.385999999999999</v>
      </c>
      <c r="I19" s="1936">
        <v>8.7156000000000002</v>
      </c>
      <c r="J19" s="1936">
        <v>8.4996000000000009</v>
      </c>
      <c r="K19" s="1936">
        <v>8.7912000000000017</v>
      </c>
      <c r="L19" s="1936">
        <v>8.6579999999999995</v>
      </c>
      <c r="M19" s="1936">
        <v>9.5040000000000013</v>
      </c>
      <c r="N19" s="1936">
        <v>9.6660000000000004</v>
      </c>
      <c r="O19" s="1936">
        <v>9.9</v>
      </c>
      <c r="P19" s="1620"/>
    </row>
    <row r="20" spans="2:29" s="754" customFormat="1" ht="13.8">
      <c r="B20" s="765" t="s">
        <v>44</v>
      </c>
      <c r="C20" s="1934" t="s">
        <v>2164</v>
      </c>
      <c r="D20" s="1936"/>
      <c r="E20" s="1936"/>
      <c r="F20" s="1936"/>
      <c r="G20" s="1936"/>
      <c r="H20" s="1936">
        <v>0.12600000000000053</v>
      </c>
      <c r="I20" s="1936">
        <v>1.9404000000000006</v>
      </c>
      <c r="J20" s="1936">
        <v>2.2644000000000002</v>
      </c>
      <c r="K20" s="1936">
        <v>1.1447999999999987</v>
      </c>
      <c r="L20" s="1936">
        <v>2.2860000000000009</v>
      </c>
      <c r="M20" s="1936">
        <v>1.4039999999999988</v>
      </c>
      <c r="N20" s="1936">
        <v>1.278</v>
      </c>
      <c r="O20" s="1936">
        <v>1.2239999999999995</v>
      </c>
      <c r="P20" s="1620"/>
    </row>
    <row r="21" spans="2:29" s="754" customFormat="1" ht="13.8">
      <c r="B21" s="1935" t="s">
        <v>44</v>
      </c>
      <c r="C21" s="1931" t="s">
        <v>1424</v>
      </c>
      <c r="D21" s="1932">
        <v>9.1079999999999988</v>
      </c>
      <c r="E21" s="1932">
        <v>8.82</v>
      </c>
      <c r="F21" s="1932">
        <v>9.9</v>
      </c>
      <c r="G21" s="1932">
        <v>9.9</v>
      </c>
      <c r="H21" s="1932">
        <v>9.1079999999999988</v>
      </c>
      <c r="I21" s="1932">
        <v>8.7840000000000007</v>
      </c>
      <c r="J21" s="1932">
        <v>9.0359999999999996</v>
      </c>
      <c r="K21" s="1932">
        <v>7.8120000000000003</v>
      </c>
      <c r="L21" s="1932">
        <v>6.84</v>
      </c>
      <c r="M21" s="1932">
        <v>7.5600000000000005</v>
      </c>
      <c r="N21" s="1932">
        <v>7.38</v>
      </c>
      <c r="O21" s="1932">
        <v>7.38</v>
      </c>
      <c r="P21" s="1932">
        <v>7.3440000000000003</v>
      </c>
    </row>
    <row r="22" spans="2:29" s="754" customFormat="1" ht="13.8">
      <c r="B22" s="1935" t="s">
        <v>44</v>
      </c>
      <c r="C22" s="1931" t="s">
        <v>2149</v>
      </c>
      <c r="D22" s="1932">
        <v>4.0679999999999996</v>
      </c>
      <c r="E22" s="1932">
        <v>3.7800000000000002</v>
      </c>
      <c r="F22" s="1932">
        <v>2.8080000000000003</v>
      </c>
      <c r="G22" s="1932">
        <v>2.8080000000000003</v>
      </c>
      <c r="H22" s="1932">
        <v>2.3760000000000003</v>
      </c>
      <c r="I22" s="1932">
        <v>2.2680000000000002</v>
      </c>
      <c r="J22" s="1932">
        <v>0.93600000000000005</v>
      </c>
      <c r="K22" s="1932">
        <v>0.72000000000000008</v>
      </c>
      <c r="L22" s="1932">
        <v>0.64800000000000002</v>
      </c>
      <c r="M22" s="1932">
        <v>0.68400000000000005</v>
      </c>
      <c r="N22" s="1932">
        <v>0.82800000000000007</v>
      </c>
      <c r="O22" s="1932">
        <v>0.93600000000000005</v>
      </c>
      <c r="P22" s="1932">
        <v>1.08</v>
      </c>
    </row>
    <row r="23" spans="2:29" s="754" customFormat="1" ht="13.8">
      <c r="B23" s="1935" t="s">
        <v>44</v>
      </c>
      <c r="C23" s="1931" t="s">
        <v>2150</v>
      </c>
      <c r="D23" s="1932">
        <v>1.8720000000000001</v>
      </c>
      <c r="E23" s="1932">
        <v>2.8080000000000003</v>
      </c>
      <c r="F23" s="1932">
        <v>2.8440000000000003</v>
      </c>
      <c r="G23" s="1932">
        <v>2.8440000000000003</v>
      </c>
      <c r="H23" s="1932">
        <v>2.2320000000000002</v>
      </c>
      <c r="I23" s="1932">
        <v>1.9080000000000001</v>
      </c>
      <c r="J23" s="1932">
        <v>1.62</v>
      </c>
      <c r="K23" s="1932">
        <v>3.1320000000000001</v>
      </c>
      <c r="L23" s="1932">
        <v>6.1920000000000002</v>
      </c>
      <c r="M23" s="1932">
        <v>3.1320000000000001</v>
      </c>
      <c r="N23" s="1932">
        <v>1.9080000000000001</v>
      </c>
      <c r="O23" s="1932">
        <v>1.8720000000000001</v>
      </c>
      <c r="P23" s="1932">
        <v>1.9440000000000002</v>
      </c>
    </row>
    <row r="24" spans="2:29" s="754" customFormat="1">
      <c r="D24" s="250">
        <f>SUM(D6:D8)+SUM(D11)+SUM(D15)+SUM(D18)+SUM(D21:D23)</f>
        <v>316.58399999999995</v>
      </c>
      <c r="E24" s="250">
        <f t="shared" ref="E24:P24" si="0">SUM(E6:E8)+SUM(E11)+SUM(E15)+SUM(E18)+SUM(E21:E23)</f>
        <v>322.56</v>
      </c>
      <c r="F24" s="250">
        <f t="shared" si="0"/>
        <v>330.76799999999997</v>
      </c>
      <c r="G24" s="250">
        <f t="shared" si="0"/>
        <v>336.41999999999996</v>
      </c>
      <c r="H24" s="250">
        <f t="shared" si="0"/>
        <v>336.74399999999997</v>
      </c>
      <c r="I24" s="250">
        <f t="shared" si="0"/>
        <v>339.84000000000003</v>
      </c>
      <c r="J24" s="250">
        <f t="shared" si="0"/>
        <v>342.61199999999997</v>
      </c>
      <c r="K24" s="250">
        <f t="shared" si="0"/>
        <v>334.9799999999999</v>
      </c>
      <c r="L24" s="250">
        <f t="shared" si="0"/>
        <v>343.08000000000004</v>
      </c>
      <c r="M24" s="250">
        <f t="shared" si="0"/>
        <v>338.4</v>
      </c>
      <c r="N24" s="250">
        <f t="shared" si="0"/>
        <v>332.24400000000003</v>
      </c>
      <c r="O24" s="250">
        <f t="shared" si="0"/>
        <v>331.70400000000001</v>
      </c>
      <c r="P24" s="250">
        <f t="shared" si="0"/>
        <v>334.26</v>
      </c>
    </row>
    <row r="25" spans="2:29" s="754" customFormat="1"/>
    <row r="26" spans="2:29" s="754" customFormat="1">
      <c r="V26" s="754" t="str">
        <f>Emis!C10</f>
        <v>CommName</v>
      </c>
      <c r="W26" s="754" t="str">
        <f>Emis!D10</f>
        <v>TRADSL</v>
      </c>
      <c r="X26" s="754" t="str">
        <f>Emis!E10</f>
        <v>TRAGSL</v>
      </c>
      <c r="Y26" s="754" t="str">
        <f>Emis!F10</f>
        <v>TRALPG</v>
      </c>
      <c r="Z26" s="754" t="str">
        <f>Emis!G10</f>
        <v>TRANGA</v>
      </c>
      <c r="AA26" s="754" t="str">
        <f>Emis!I10</f>
        <v>TRAHFON</v>
      </c>
      <c r="AB26" s="754" t="str">
        <f>Emis!J10</f>
        <v>TRAMGO</v>
      </c>
    </row>
    <row r="27" spans="2:29" s="754" customFormat="1">
      <c r="B27" s="23"/>
      <c r="C27" s="23"/>
      <c r="D27" s="23"/>
      <c r="E27" s="23"/>
      <c r="F27" s="23"/>
      <c r="G27" s="23"/>
      <c r="V27" s="754" t="str">
        <f>Emis!C11</f>
        <v>*Units</v>
      </c>
      <c r="W27" s="754" t="str">
        <f>Emis!D11</f>
        <v>kg/GJ</v>
      </c>
      <c r="X27" s="754" t="str">
        <f>Emis!E11</f>
        <v>kg/GJ</v>
      </c>
      <c r="Y27" s="754" t="str">
        <f>Emis!F11</f>
        <v>kg/GJ</v>
      </c>
      <c r="Z27" s="754" t="str">
        <f>Emis!G11</f>
        <v>kg/GJ</v>
      </c>
      <c r="AA27" s="754" t="str">
        <f>Emis!I11</f>
        <v>kg/GJ</v>
      </c>
      <c r="AB27" s="754" t="str">
        <f>Emis!J11</f>
        <v>kg/GJ</v>
      </c>
    </row>
    <row r="28" spans="2:29" s="754" customFormat="1">
      <c r="B28" s="754">
        <v>2010</v>
      </c>
      <c r="V28" s="754" t="str">
        <f>Emis!C12</f>
        <v>TRACO2</v>
      </c>
      <c r="W28" s="754">
        <f>Emis!D12</f>
        <v>74.099999999999994</v>
      </c>
      <c r="X28" s="754">
        <f>Emis!E12</f>
        <v>69.3</v>
      </c>
      <c r="Y28" s="754">
        <f>Emis!F12</f>
        <v>63.1</v>
      </c>
      <c r="Z28" s="754">
        <f>Emis!G12</f>
        <v>56.1</v>
      </c>
      <c r="AA28" s="754">
        <f>Emis!I12</f>
        <v>0</v>
      </c>
      <c r="AB28" s="754">
        <f>Emis!J12</f>
        <v>0</v>
      </c>
    </row>
    <row r="29" spans="2:29" s="754" customFormat="1"/>
    <row r="30" spans="2:29" s="754" customFormat="1">
      <c r="B30" s="23"/>
      <c r="C30" s="23"/>
      <c r="D30" s="598" t="s">
        <v>344</v>
      </c>
      <c r="E30" s="598" t="s">
        <v>345</v>
      </c>
      <c r="F30" s="23"/>
      <c r="G30" s="23"/>
      <c r="I30" s="31"/>
      <c r="K30" s="765" t="s">
        <v>3229</v>
      </c>
      <c r="L30" s="765" t="s">
        <v>3230</v>
      </c>
      <c r="Q30" s="765"/>
    </row>
    <row r="31" spans="2:29" s="754" customFormat="1">
      <c r="B31" s="2368" t="s">
        <v>282</v>
      </c>
      <c r="C31" s="1651"/>
      <c r="D31" s="2369" t="s">
        <v>44</v>
      </c>
      <c r="E31" s="1651"/>
      <c r="F31" s="1651"/>
      <c r="G31" s="1651"/>
      <c r="I31" s="765" t="s">
        <v>3225</v>
      </c>
      <c r="J31" s="765" t="s">
        <v>3226</v>
      </c>
      <c r="K31" s="548">
        <f>D32+D42+D46+D49+D50</f>
        <v>165.33822922074637</v>
      </c>
      <c r="L31" s="2842">
        <f>AA121+AF121</f>
        <v>158.29400000000001</v>
      </c>
      <c r="M31" s="2842">
        <f>L31-K31</f>
        <v>-7.0442292207463595</v>
      </c>
      <c r="O31" s="754">
        <v>25.981690014185574</v>
      </c>
      <c r="X31" s="765" t="s">
        <v>3241</v>
      </c>
      <c r="Z31" s="765" t="s">
        <v>3243</v>
      </c>
    </row>
    <row r="32" spans="2:29" s="754" customFormat="1">
      <c r="B32" s="1651"/>
      <c r="C32" s="1651" t="s">
        <v>61</v>
      </c>
      <c r="D32" s="2370">
        <f>Cars!K153</f>
        <v>39.586230352894894</v>
      </c>
      <c r="E32" s="1651"/>
      <c r="F32" s="1651"/>
      <c r="G32" s="1651"/>
      <c r="J32" s="765" t="s">
        <v>3227</v>
      </c>
      <c r="K32" s="548">
        <f>D33+D37+D39+D47</f>
        <v>152.46297070141622</v>
      </c>
      <c r="L32" s="2842">
        <f>W121+AE121</f>
        <v>147.47900000000001</v>
      </c>
      <c r="M32" s="2842">
        <f>L32-K32</f>
        <v>-4.9839707014162116</v>
      </c>
      <c r="O32" s="754">
        <v>-6.9975584434800169</v>
      </c>
      <c r="V32" s="765" t="s">
        <v>3242</v>
      </c>
      <c r="W32" s="765" t="s">
        <v>282</v>
      </c>
      <c r="X32" s="12">
        <f>(D33*X28+D32*W28)/1000</f>
        <v>12.905572349196659</v>
      </c>
      <c r="Y32" s="12">
        <f>X32/X$37</f>
        <v>0.56560603233189533</v>
      </c>
      <c r="Z32" s="754">
        <v>12</v>
      </c>
      <c r="AA32" s="12">
        <f>Z32/Z$37</f>
        <v>0.63291139240506322</v>
      </c>
      <c r="AC32" s="754">
        <f>X32/Z32</f>
        <v>1.0754643624330549</v>
      </c>
    </row>
    <row r="33" spans="2:29" s="754" customFormat="1">
      <c r="B33" s="1651"/>
      <c r="C33" s="1651" t="s">
        <v>72</v>
      </c>
      <c r="D33" s="2370">
        <f>Cars!L153</f>
        <v>143.89946147254182</v>
      </c>
      <c r="E33" s="1651"/>
      <c r="F33" s="1651"/>
      <c r="G33" s="1651"/>
      <c r="J33" s="765" t="s">
        <v>3228</v>
      </c>
      <c r="K33" s="548">
        <f>D35+D43</f>
        <v>3.3998735293880777</v>
      </c>
      <c r="L33" s="2842">
        <f>AD121+AC121</f>
        <v>2.2130000000000001</v>
      </c>
      <c r="M33" s="2842">
        <f>L33-K33</f>
        <v>-1.1868735293880777</v>
      </c>
      <c r="O33" s="754">
        <v>-0.8576760931776608</v>
      </c>
      <c r="W33" s="765" t="s">
        <v>2167</v>
      </c>
      <c r="X33" s="12">
        <f>(D46*W28+D47*X28)/1000</f>
        <v>2.349887977138859</v>
      </c>
      <c r="Y33" s="12">
        <f t="shared" ref="Y33:AA36" si="1">X33/X$37</f>
        <v>0.10298735919733677</v>
      </c>
      <c r="Z33" s="754">
        <v>1.56</v>
      </c>
      <c r="AA33" s="12">
        <f t="shared" si="1"/>
        <v>8.2278481012658222E-2</v>
      </c>
      <c r="AC33" s="754">
        <f>X33/Z33</f>
        <v>1.5063384468838839</v>
      </c>
    </row>
    <row r="34" spans="2:29" s="754" customFormat="1">
      <c r="B34" s="1651"/>
      <c r="C34" s="1651" t="s">
        <v>51</v>
      </c>
      <c r="D34" s="2370">
        <f>Cars!M153</f>
        <v>0</v>
      </c>
      <c r="E34" s="1651"/>
      <c r="F34" s="1651"/>
      <c r="G34" s="1651"/>
      <c r="J34" s="765" t="s">
        <v>567</v>
      </c>
      <c r="K34" s="548">
        <f>D36</f>
        <v>1.8481005645985705E-3</v>
      </c>
      <c r="M34" s="2842">
        <f>L34-K34</f>
        <v>-1.8481005645985705E-3</v>
      </c>
      <c r="O34" s="754">
        <v>-1.8481005645985702E-3</v>
      </c>
      <c r="W34" s="765" t="s">
        <v>316</v>
      </c>
      <c r="X34" s="12">
        <f>(D42*W28)/1000</f>
        <v>0.81465748778727276</v>
      </c>
      <c r="Y34" s="12">
        <f t="shared" si="1"/>
        <v>3.5703584227747248E-2</v>
      </c>
      <c r="Z34" s="754">
        <v>0.78</v>
      </c>
      <c r="AA34" s="12">
        <f t="shared" si="1"/>
        <v>4.1139240506329111E-2</v>
      </c>
      <c r="AC34" s="754">
        <f>X34/Z34</f>
        <v>1.0444326766503496</v>
      </c>
    </row>
    <row r="35" spans="2:29" s="754" customFormat="1">
      <c r="B35" s="1651"/>
      <c r="C35" s="2369" t="s">
        <v>2665</v>
      </c>
      <c r="D35" s="2370">
        <f>Cars!N153</f>
        <v>1.3552758076426386</v>
      </c>
      <c r="E35" s="1651"/>
      <c r="F35" s="1651"/>
      <c r="G35" s="1651"/>
      <c r="K35" s="548">
        <f>SUM(K31:K34)</f>
        <v>321.20292155211524</v>
      </c>
      <c r="L35" s="548">
        <f>SUM(L31:L34)</f>
        <v>307.98600000000005</v>
      </c>
      <c r="M35" s="2842">
        <f>L35-K35</f>
        <v>-13.216921552115195</v>
      </c>
      <c r="O35" s="754">
        <v>18.124607376963354</v>
      </c>
      <c r="W35" s="2844" t="s">
        <v>317</v>
      </c>
      <c r="X35" s="548">
        <f>((D49+D50)*W28)/1000</f>
        <v>6.6668480732975546</v>
      </c>
      <c r="Y35" s="12">
        <f t="shared" si="1"/>
        <v>0.29218459940152092</v>
      </c>
      <c r="Z35" s="754">
        <v>4.5199999999999996</v>
      </c>
      <c r="AA35" s="12">
        <f t="shared" si="1"/>
        <v>0.23839662447257381</v>
      </c>
      <c r="AC35" s="754">
        <f>X35/Z35</f>
        <v>1.4749663878976893</v>
      </c>
    </row>
    <row r="36" spans="2:29" s="754" customFormat="1">
      <c r="B36" s="1651"/>
      <c r="C36" s="1651" t="s">
        <v>567</v>
      </c>
      <c r="D36" s="2370">
        <f>Cars!O153</f>
        <v>1.8481005645985705E-3</v>
      </c>
      <c r="E36" s="1651"/>
      <c r="F36" s="1651"/>
      <c r="G36" s="1651"/>
      <c r="W36" s="765" t="s">
        <v>3240</v>
      </c>
      <c r="X36" s="12">
        <f>(D39*X28)/1000</f>
        <v>8.0280767445103221E-2</v>
      </c>
      <c r="Y36" s="12">
        <f t="shared" si="1"/>
        <v>3.5184248414996426E-3</v>
      </c>
      <c r="Z36" s="754">
        <v>0.1</v>
      </c>
      <c r="AA36" s="12">
        <f t="shared" si="1"/>
        <v>5.2742616033755272E-3</v>
      </c>
      <c r="AC36" s="754">
        <f>X36/Z36</f>
        <v>0.80280767445103218</v>
      </c>
    </row>
    <row r="37" spans="2:29" s="754" customFormat="1">
      <c r="B37" s="1651"/>
      <c r="C37" s="1651" t="s">
        <v>607</v>
      </c>
      <c r="D37" s="2370">
        <f>Cars!P153</f>
        <v>0</v>
      </c>
      <c r="E37" s="1651"/>
      <c r="F37" s="1651"/>
      <c r="G37" s="1651"/>
      <c r="X37" s="548">
        <f>SUM(X32:X36)</f>
        <v>22.81724665486545</v>
      </c>
      <c r="Z37" s="548">
        <f>SUM(Z32:Z36)</f>
        <v>18.96</v>
      </c>
    </row>
    <row r="38" spans="2:29" s="754" customFormat="1">
      <c r="B38" s="1651"/>
      <c r="C38" s="1651"/>
      <c r="D38" s="2370"/>
      <c r="E38" s="1651"/>
      <c r="F38" s="1651"/>
      <c r="G38" s="1651"/>
    </row>
    <row r="39" spans="2:29" s="754" customFormat="1">
      <c r="B39" s="2368" t="s">
        <v>2661</v>
      </c>
      <c r="C39" s="2369" t="s">
        <v>72</v>
      </c>
      <c r="D39" s="2370">
        <f>'Moto-Mopeds'!V20+'Moto-Mopeds'!V21</f>
        <v>1.1584526326854723</v>
      </c>
      <c r="E39" s="1651"/>
      <c r="F39" s="1651"/>
      <c r="G39" s="1651"/>
    </row>
    <row r="40" spans="2:29" s="754" customFormat="1">
      <c r="B40" s="1651"/>
      <c r="C40" s="1651"/>
      <c r="D40" s="2370"/>
      <c r="E40" s="1651"/>
      <c r="F40" s="1651"/>
      <c r="G40" s="1651"/>
    </row>
    <row r="41" spans="2:29" s="754" customFormat="1">
      <c r="B41" s="2368" t="s">
        <v>286</v>
      </c>
      <c r="C41" s="1651"/>
      <c r="D41" s="2370"/>
      <c r="E41" s="1651"/>
      <c r="F41" s="1651"/>
      <c r="G41" s="1651"/>
    </row>
    <row r="42" spans="2:29" s="754" customFormat="1">
      <c r="B42" s="1651"/>
      <c r="C42" s="2369" t="s">
        <v>61</v>
      </c>
      <c r="D42" s="2370">
        <f>BUS!Z51</f>
        <v>10.994028175266839</v>
      </c>
      <c r="E42" s="1651"/>
      <c r="F42" s="1651"/>
      <c r="G42" s="1651"/>
    </row>
    <row r="43" spans="2:29" s="754" customFormat="1">
      <c r="B43" s="1651"/>
      <c r="C43" s="2369" t="s">
        <v>2665</v>
      </c>
      <c r="D43" s="2370">
        <f>BUS!AA51</f>
        <v>2.044597721745439</v>
      </c>
      <c r="E43" s="1651"/>
      <c r="F43" s="1651"/>
      <c r="G43" s="1651"/>
    </row>
    <row r="44" spans="2:29" s="754" customFormat="1">
      <c r="B44" s="1651"/>
      <c r="C44" s="1651"/>
      <c r="D44" s="2370"/>
      <c r="E44" s="1651"/>
      <c r="F44" s="1651"/>
      <c r="G44" s="1651"/>
    </row>
    <row r="45" spans="2:29" s="754" customFormat="1">
      <c r="B45" s="2368" t="s">
        <v>2166</v>
      </c>
      <c r="C45" s="1651"/>
      <c r="D45" s="2370"/>
      <c r="E45" s="1651"/>
      <c r="F45" s="1651"/>
      <c r="G45" s="1651"/>
    </row>
    <row r="46" spans="2:29" s="754" customFormat="1">
      <c r="B46" s="1651" t="str">
        <f>Freight_Road!AO30</f>
        <v>Van</v>
      </c>
      <c r="C46" s="1651" t="str">
        <f>Freight_Road!AP30</f>
        <v>Diesel</v>
      </c>
      <c r="D46" s="2370">
        <f>Freight_Road!AC35</f>
        <v>24.787011538771477</v>
      </c>
      <c r="E46" s="1651"/>
      <c r="F46" s="1651"/>
      <c r="G46" s="1651"/>
    </row>
    <row r="47" spans="2:29" s="754" customFormat="1">
      <c r="B47" s="1651" t="str">
        <f>Freight_Road!AO31</f>
        <v>Van</v>
      </c>
      <c r="C47" s="1651" t="str">
        <f>Freight_Road!AP31</f>
        <v>Gasoline</v>
      </c>
      <c r="D47" s="2370">
        <f>Freight_Road!AD35</f>
        <v>7.405056596188925</v>
      </c>
      <c r="E47" s="1651"/>
      <c r="F47" s="1651"/>
      <c r="G47" s="1651"/>
    </row>
    <row r="48" spans="2:29" s="754" customFormat="1">
      <c r="B48" s="1651"/>
      <c r="C48" s="1651"/>
      <c r="D48" s="2370"/>
      <c r="E48" s="1651"/>
      <c r="F48" s="1651"/>
      <c r="G48" s="1651"/>
    </row>
    <row r="49" spans="2:14" s="754" customFormat="1">
      <c r="B49" s="1651" t="str">
        <f>Freight_Road!AO33</f>
        <v>Truck  - international</v>
      </c>
      <c r="C49" s="1651" t="str">
        <f>Freight_Road!AP33</f>
        <v>Diesel</v>
      </c>
      <c r="D49" s="2370">
        <f>Freight_Road!AF35</f>
        <v>8.769259454631305</v>
      </c>
      <c r="E49" s="1651"/>
      <c r="F49" s="1651"/>
      <c r="G49" s="1651"/>
    </row>
    <row r="50" spans="2:14" s="754" customFormat="1">
      <c r="B50" s="1651" t="str">
        <f>Freight_Road!AO34</f>
        <v>Truck  - national</v>
      </c>
      <c r="C50" s="1651" t="str">
        <f>Freight_Road!AP34</f>
        <v>Diesel</v>
      </c>
      <c r="D50" s="2370">
        <f>Freight_Road!AE35</f>
        <v>81.201699699181859</v>
      </c>
      <c r="E50" s="1651"/>
      <c r="F50" s="2370"/>
      <c r="G50" s="1651"/>
    </row>
    <row r="51" spans="2:14" s="754" customFormat="1">
      <c r="B51" s="1651"/>
      <c r="C51" s="1651"/>
      <c r="D51" s="2841">
        <f>SUM(D32:D50)</f>
        <v>321.2029215521153</v>
      </c>
      <c r="E51" s="1651"/>
      <c r="F51" s="1651"/>
      <c r="G51" s="1651"/>
    </row>
    <row r="52" spans="2:14" s="754" customFormat="1">
      <c r="B52" s="2368" t="s">
        <v>2694</v>
      </c>
      <c r="C52" s="1651"/>
      <c r="D52" s="1651"/>
      <c r="E52" s="1651"/>
      <c r="F52" s="1651"/>
      <c r="G52" s="1651"/>
    </row>
    <row r="53" spans="2:14" s="754" customFormat="1">
      <c r="B53" s="1651"/>
      <c r="C53" s="2369" t="s">
        <v>2693</v>
      </c>
      <c r="D53" s="2377">
        <f>TRAIN!Z52</f>
        <v>5.7413337944016227</v>
      </c>
      <c r="E53" s="2384"/>
      <c r="F53" s="1651"/>
      <c r="G53" s="1651"/>
    </row>
    <row r="54" spans="2:14" s="754" customFormat="1">
      <c r="B54" s="1651"/>
      <c r="C54" s="2369" t="s">
        <v>61</v>
      </c>
      <c r="D54" s="2377">
        <f>TRAIN!AA52</f>
        <v>0.23284094399999994</v>
      </c>
      <c r="E54" s="2384"/>
      <c r="F54" s="1651"/>
      <c r="G54" s="1651"/>
    </row>
    <row r="55" spans="2:14" s="754" customFormat="1">
      <c r="B55" s="1651"/>
      <c r="C55" s="1651"/>
      <c r="D55" s="1651"/>
      <c r="E55" s="1651"/>
      <c r="F55" s="1651"/>
      <c r="G55" s="1651"/>
      <c r="H55" s="1663"/>
      <c r="I55" s="1663"/>
      <c r="J55" s="1663"/>
      <c r="K55" s="1663"/>
      <c r="L55" s="1663"/>
      <c r="M55" s="1663"/>
    </row>
    <row r="56" spans="2:14" s="754" customFormat="1">
      <c r="B56" s="2368" t="s">
        <v>2173</v>
      </c>
      <c r="C56" s="1651"/>
      <c r="D56" s="1651"/>
      <c r="E56" s="1651"/>
      <c r="F56" s="1651"/>
      <c r="G56" s="1651"/>
      <c r="H56" s="1663"/>
      <c r="I56" s="1663"/>
      <c r="J56" s="1663"/>
      <c r="K56" s="1663"/>
      <c r="L56" s="1663"/>
      <c r="M56" s="1663"/>
    </row>
    <row r="57" spans="2:14" s="754" customFormat="1">
      <c r="B57" s="1651"/>
      <c r="C57" s="2369" t="s">
        <v>2693</v>
      </c>
      <c r="D57" s="2384">
        <f>Freight_Rail!AB7</f>
        <v>3.1928760000000009</v>
      </c>
      <c r="E57" s="2384">
        <f>D203</f>
        <v>3.192876</v>
      </c>
      <c r="F57" s="1651"/>
      <c r="G57" s="1651"/>
      <c r="H57" s="1663"/>
      <c r="I57" s="1663"/>
      <c r="J57" s="1663"/>
      <c r="K57" s="2415" t="s">
        <v>344</v>
      </c>
      <c r="L57" s="2415" t="s">
        <v>2701</v>
      </c>
      <c r="M57" s="2415" t="s">
        <v>2706</v>
      </c>
    </row>
    <row r="58" spans="2:14" s="754" customFormat="1">
      <c r="B58" s="1651"/>
      <c r="C58" s="2369" t="s">
        <v>61</v>
      </c>
      <c r="D58" s="2384">
        <f>Freight_Rail!AB6</f>
        <v>0.60277503297576962</v>
      </c>
      <c r="E58" s="2384">
        <f>D208</f>
        <v>0.60277503297576951</v>
      </c>
      <c r="F58" s="1651"/>
      <c r="G58" s="1651"/>
      <c r="H58" s="1663"/>
      <c r="I58" s="1663"/>
      <c r="J58" s="1663"/>
      <c r="K58" s="1663"/>
      <c r="L58" s="1663"/>
      <c r="M58" s="1663"/>
    </row>
    <row r="59" spans="2:14" s="754" customFormat="1">
      <c r="B59" s="1651"/>
      <c r="C59" s="1651"/>
      <c r="D59" s="1651"/>
      <c r="E59" s="1651"/>
      <c r="F59" s="1651"/>
      <c r="G59" s="1651"/>
      <c r="H59" s="1663"/>
      <c r="I59" s="1663"/>
      <c r="J59" s="1663"/>
      <c r="K59" s="1663"/>
      <c r="L59" s="1663"/>
      <c r="M59" s="1663"/>
    </row>
    <row r="60" spans="2:14" s="754" customFormat="1">
      <c r="B60" s="2368" t="s">
        <v>2666</v>
      </c>
      <c r="C60" s="1651"/>
      <c r="D60" s="1651"/>
      <c r="E60" s="1651"/>
      <c r="F60" s="1651"/>
      <c r="G60" s="1651"/>
      <c r="H60" s="2415" t="s">
        <v>384</v>
      </c>
      <c r="I60" s="1663"/>
      <c r="J60" s="2415" t="s">
        <v>2704</v>
      </c>
      <c r="K60" s="2416">
        <f>D65+D73</f>
        <v>7.0068522754219433</v>
      </c>
      <c r="L60" s="2417">
        <f>E157</f>
        <v>6.8774400000000009</v>
      </c>
      <c r="M60" s="2418">
        <f>K60-L60</f>
        <v>0.12941227542194245</v>
      </c>
    </row>
    <row r="61" spans="2:14" s="754" customFormat="1">
      <c r="B61" s="2369" t="s">
        <v>227</v>
      </c>
      <c r="C61" s="2369" t="s">
        <v>2174</v>
      </c>
      <c r="D61" s="1101">
        <f>'NAVI-AVI'!AD13</f>
        <v>0.91479059660583062</v>
      </c>
      <c r="E61" s="1651"/>
      <c r="F61" s="1651"/>
      <c r="G61" s="1651"/>
      <c r="H61" s="2415" t="s">
        <v>384</v>
      </c>
      <c r="I61" s="1663"/>
      <c r="J61" s="2415" t="s">
        <v>2705</v>
      </c>
      <c r="K61" s="2416">
        <f>D66+D74</f>
        <v>8.9102219989119913</v>
      </c>
      <c r="L61" s="2419">
        <f>E158</f>
        <v>30.274560000000001</v>
      </c>
      <c r="M61" s="2418">
        <f>K61-L61</f>
        <v>-21.364338001088008</v>
      </c>
    </row>
    <row r="62" spans="2:14" s="754" customFormat="1">
      <c r="B62" s="2368" t="s">
        <v>228</v>
      </c>
      <c r="C62" s="2368" t="s">
        <v>2174</v>
      </c>
      <c r="D62" s="2414">
        <f>'NAVI-AVI'!AD11</f>
        <v>2.3867208981726762</v>
      </c>
      <c r="E62" s="1651"/>
      <c r="F62" s="1651"/>
      <c r="G62" s="1651"/>
      <c r="H62" s="1663"/>
      <c r="I62" s="1663"/>
      <c r="J62" s="1663"/>
      <c r="K62" s="1663"/>
      <c r="L62" s="1663"/>
      <c r="M62" s="1663"/>
    </row>
    <row r="63" spans="2:14" s="754" customFormat="1">
      <c r="B63" s="1651"/>
      <c r="C63" s="1651"/>
      <c r="D63" s="1651"/>
      <c r="E63" s="1651"/>
      <c r="F63" s="1651"/>
      <c r="G63" s="1651"/>
      <c r="H63" s="2415" t="s">
        <v>1836</v>
      </c>
      <c r="I63" s="2415" t="s">
        <v>2699</v>
      </c>
      <c r="J63" s="2415" t="s">
        <v>2703</v>
      </c>
      <c r="K63" s="2416">
        <f>D68</f>
        <v>1.6715082038130726</v>
      </c>
      <c r="L63" s="2417">
        <f>E126+E127</f>
        <v>1.9148399999999999</v>
      </c>
      <c r="M63" s="2418">
        <f>K63-L63</f>
        <v>-0.24333179618692724</v>
      </c>
      <c r="N63" s="250"/>
    </row>
    <row r="64" spans="2:14" s="754" customFormat="1">
      <c r="B64" s="2368" t="s">
        <v>2667</v>
      </c>
      <c r="C64" s="1651"/>
      <c r="D64" s="1651"/>
      <c r="E64" s="1651"/>
      <c r="F64" s="1651"/>
      <c r="G64" s="1651"/>
      <c r="H64" s="2415" t="s">
        <v>1836</v>
      </c>
      <c r="I64" s="2415" t="s">
        <v>2702</v>
      </c>
      <c r="J64" s="2415" t="s">
        <v>2703</v>
      </c>
      <c r="K64" s="2416">
        <f>D61+D69</f>
        <v>6.3012328540711389</v>
      </c>
      <c r="L64" s="2417">
        <f>E128</f>
        <v>6.1705800000000011</v>
      </c>
      <c r="M64" s="2418">
        <f>K64-L64</f>
        <v>0.1306528540711378</v>
      </c>
      <c r="N64" s="250"/>
    </row>
    <row r="65" spans="2:14" s="754" customFormat="1">
      <c r="B65" s="2369" t="s">
        <v>227</v>
      </c>
      <c r="C65" s="2369" t="s">
        <v>2697</v>
      </c>
      <c r="D65" s="2384">
        <f>'NAVI-AVI'!AD7</f>
        <v>7.0068522754219433</v>
      </c>
      <c r="E65" s="2370"/>
      <c r="F65" s="1651"/>
      <c r="G65" s="1651"/>
      <c r="H65" s="2415" t="s">
        <v>1836</v>
      </c>
      <c r="I65" s="2415" t="s">
        <v>2699</v>
      </c>
      <c r="J65" s="2415" t="s">
        <v>108</v>
      </c>
      <c r="K65" s="2416">
        <f>D70</f>
        <v>7.2468938982786106</v>
      </c>
      <c r="L65" s="2416">
        <f>E143</f>
        <v>7.5499200000000002</v>
      </c>
      <c r="M65" s="2418">
        <f>K65-L65</f>
        <v>-0.30302610172138955</v>
      </c>
      <c r="N65" s="250"/>
    </row>
    <row r="66" spans="2:14" s="754" customFormat="1">
      <c r="B66" s="2413" t="s">
        <v>228</v>
      </c>
      <c r="C66" s="2385" t="s">
        <v>2697</v>
      </c>
      <c r="D66" s="2386">
        <f>'NAVI-AVI'!AD8</f>
        <v>8.8869076704545442</v>
      </c>
      <c r="E66" s="2388"/>
      <c r="F66" s="2387"/>
      <c r="G66" s="2387"/>
      <c r="H66" s="2415" t="s">
        <v>1836</v>
      </c>
      <c r="I66" s="2415" t="s">
        <v>2702</v>
      </c>
      <c r="J66" s="2415" t="s">
        <v>108</v>
      </c>
      <c r="K66" s="2416">
        <f>D71+D62</f>
        <v>75.399451444338524</v>
      </c>
      <c r="L66" s="2416">
        <f>E144</f>
        <v>76.065730000000016</v>
      </c>
      <c r="M66" s="2418">
        <f>K66-L66</f>
        <v>-0.66627855566149208</v>
      </c>
      <c r="N66" s="250"/>
    </row>
    <row r="67" spans="2:14" s="754" customFormat="1">
      <c r="B67" s="2368" t="s">
        <v>2668</v>
      </c>
      <c r="C67" s="1651"/>
      <c r="D67" s="1651"/>
      <c r="E67" s="1651"/>
      <c r="F67" s="1651"/>
      <c r="G67" s="1651"/>
    </row>
    <row r="68" spans="2:14" s="754" customFormat="1">
      <c r="B68" s="2369" t="s">
        <v>227</v>
      </c>
      <c r="C68" s="2369" t="s">
        <v>61</v>
      </c>
      <c r="D68" s="1523">
        <f>'Freight NAVI_AVI'!Z28</f>
        <v>1.6715082038130726</v>
      </c>
      <c r="E68" s="1651"/>
      <c r="F68" s="1651"/>
      <c r="G68" s="1651"/>
    </row>
    <row r="69" spans="2:14" s="754" customFormat="1">
      <c r="B69" s="2369"/>
      <c r="C69" s="2409" t="s">
        <v>2688</v>
      </c>
      <c r="D69" s="1523">
        <f>'Freight NAVI_AVI'!AA28</f>
        <v>5.3864422574653084</v>
      </c>
      <c r="E69" s="1651"/>
      <c r="F69" s="1651"/>
      <c r="G69" s="1651"/>
    </row>
    <row r="70" spans="2:14" s="754" customFormat="1">
      <c r="B70" s="2368" t="s">
        <v>228</v>
      </c>
      <c r="C70" s="2368" t="s">
        <v>2699</v>
      </c>
      <c r="D70" s="2384">
        <f>'Freight NAVI_AVI'!AB28</f>
        <v>7.2468938982786106</v>
      </c>
      <c r="E70" s="1651"/>
      <c r="F70" s="1651"/>
      <c r="G70" s="1651"/>
    </row>
    <row r="71" spans="2:14" s="754" customFormat="1">
      <c r="B71" s="2368"/>
      <c r="C71" s="2410" t="s">
        <v>2700</v>
      </c>
      <c r="D71" s="2384">
        <f>'Freight NAVI_AVI'!AC28</f>
        <v>73.012730546165841</v>
      </c>
      <c r="E71" s="1651"/>
      <c r="F71" s="1651"/>
      <c r="G71" s="1651"/>
    </row>
    <row r="72" spans="2:14" s="754" customFormat="1">
      <c r="B72" s="2410" t="s">
        <v>2669</v>
      </c>
      <c r="C72" s="2411"/>
      <c r="D72" s="2411"/>
      <c r="E72" s="2411"/>
      <c r="F72" s="2411"/>
      <c r="G72" s="2411"/>
    </row>
    <row r="73" spans="2:14" s="754" customFormat="1">
      <c r="B73" s="2409" t="s">
        <v>227</v>
      </c>
      <c r="C73" s="2409" t="s">
        <v>73</v>
      </c>
      <c r="D73" s="2412"/>
      <c r="E73" s="2411"/>
      <c r="F73" s="2411"/>
      <c r="G73" s="2411"/>
    </row>
    <row r="74" spans="2:14" s="754" customFormat="1">
      <c r="B74" s="2413" t="s">
        <v>228</v>
      </c>
      <c r="C74" s="2413" t="s">
        <v>73</v>
      </c>
      <c r="D74" s="2386">
        <f>'Freight NAVI_AVI'!AD28</f>
        <v>2.3314328457446812E-2</v>
      </c>
      <c r="E74" s="2387"/>
      <c r="F74" s="2387"/>
      <c r="G74" s="2387"/>
    </row>
    <row r="75" spans="2:14" s="754" customFormat="1"/>
    <row r="76" spans="2:14" s="754" customFormat="1">
      <c r="B76" s="2409" t="s">
        <v>2690</v>
      </c>
      <c r="D76" s="12">
        <f>D32+D33+D34+D35+D36+D37+D39+D42+D43+D46+D47+D50+D53+D54+D57+D58+D61+D65+D68+D69+D73+D49</f>
        <v>345.95234065679881</v>
      </c>
      <c r="E76" s="12"/>
    </row>
    <row r="77" spans="2:14" s="754" customFormat="1">
      <c r="B77" s="2409" t="s">
        <v>2691</v>
      </c>
      <c r="D77" s="12">
        <f>D62+D66+D70+D71+D74</f>
        <v>91.556567341529117</v>
      </c>
    </row>
    <row r="78" spans="2:14" s="754" customFormat="1"/>
    <row r="79" spans="2:14" s="754" customFormat="1">
      <c r="B79" s="765"/>
      <c r="C79" s="765"/>
      <c r="D79" s="12"/>
    </row>
    <row r="80" spans="2:14" s="754" customFormat="1">
      <c r="B80" s="31" t="s">
        <v>124</v>
      </c>
      <c r="C80" s="765"/>
      <c r="D80" s="1532" t="s">
        <v>2692</v>
      </c>
      <c r="E80" s="31" t="s">
        <v>2707</v>
      </c>
      <c r="F80" s="765" t="s">
        <v>1311</v>
      </c>
      <c r="G80" s="765" t="s">
        <v>2497</v>
      </c>
      <c r="I80" s="31" t="s">
        <v>2708</v>
      </c>
      <c r="L80" s="765" t="s">
        <v>3224</v>
      </c>
    </row>
    <row r="81" spans="2:34" s="754" customFormat="1">
      <c r="B81" s="31" t="s">
        <v>227</v>
      </c>
      <c r="C81" s="765" t="s">
        <v>2671</v>
      </c>
      <c r="D81" s="12">
        <f>D32+D42+D46+D50+D54+D58+D68+D49</f>
        <v>167.84535340153519</v>
      </c>
      <c r="E81" s="250">
        <f>L7+L22+L12+L13</f>
        <v>163.72107</v>
      </c>
      <c r="F81" s="1947">
        <f>D81-E81</f>
        <v>4.1242834015351946</v>
      </c>
      <c r="G81" s="1947">
        <f t="shared" ref="G81:G91" si="2">D81/E81</f>
        <v>1.025190914043838</v>
      </c>
      <c r="I81" s="2375">
        <f>V6+W6</f>
        <v>146.10601479026874</v>
      </c>
      <c r="K81" s="765" t="s">
        <v>61</v>
      </c>
      <c r="L81" s="754">
        <f>'Eurostat data 2010'!AL162</f>
        <v>3606.7641157924904</v>
      </c>
      <c r="M81" s="754">
        <f>L81*Q105</f>
        <v>151.00800000000001</v>
      </c>
    </row>
    <row r="82" spans="2:34" s="754" customFormat="1">
      <c r="B82" s="765"/>
      <c r="C82" s="765" t="s">
        <v>2695</v>
      </c>
      <c r="D82" s="12"/>
      <c r="E82" s="250">
        <f>L10</f>
        <v>3.9081599999999996</v>
      </c>
      <c r="F82" s="1947">
        <f t="shared" ref="F82:F91" si="3">D82-E82</f>
        <v>-3.9081599999999996</v>
      </c>
      <c r="G82" s="1947">
        <f t="shared" si="2"/>
        <v>0</v>
      </c>
    </row>
    <row r="83" spans="2:34" s="754" customFormat="1">
      <c r="B83" s="765"/>
      <c r="C83" s="765" t="s">
        <v>2672</v>
      </c>
      <c r="D83" s="12">
        <f>D33+D47+D39</f>
        <v>152.46297070141622</v>
      </c>
      <c r="E83" s="250">
        <f>L6+L9</f>
        <v>147.50784000000002</v>
      </c>
      <c r="F83" s="12">
        <f t="shared" si="3"/>
        <v>4.9551307014162091</v>
      </c>
      <c r="G83" s="12">
        <f t="shared" si="2"/>
        <v>1.0335923209330176</v>
      </c>
      <c r="I83" s="754">
        <f>U6</f>
        <v>138.78891348612919</v>
      </c>
      <c r="K83" s="765" t="s">
        <v>72</v>
      </c>
      <c r="L83" s="754">
        <f>'Eurostat data 2010'!AF162</f>
        <v>3320.1968090188211</v>
      </c>
      <c r="M83" s="754">
        <f>L83*Q105</f>
        <v>139.01000000000002</v>
      </c>
    </row>
    <row r="84" spans="2:34" s="754" customFormat="1">
      <c r="B84" s="765"/>
      <c r="C84" s="765" t="s">
        <v>51</v>
      </c>
      <c r="D84" s="12"/>
      <c r="F84" s="12"/>
      <c r="G84" s="12"/>
    </row>
    <row r="85" spans="2:34" s="754" customFormat="1">
      <c r="B85" s="765"/>
      <c r="C85" s="765" t="s">
        <v>2188</v>
      </c>
      <c r="D85" s="12">
        <f>D35+D43</f>
        <v>3.3998735293880777</v>
      </c>
      <c r="E85" s="250">
        <f>L15</f>
        <v>3.3839999999999999</v>
      </c>
      <c r="F85" s="12">
        <f t="shared" si="3"/>
        <v>1.5873529388077845E-2</v>
      </c>
      <c r="G85" s="12">
        <f t="shared" si="2"/>
        <v>1.0046907592754366</v>
      </c>
    </row>
    <row r="86" spans="2:34" s="754" customFormat="1">
      <c r="B86" s="765"/>
      <c r="C86" s="765" t="s">
        <v>49</v>
      </c>
      <c r="D86" s="12">
        <f>D36+D53+D57</f>
        <v>8.9360578949662219</v>
      </c>
      <c r="E86" s="250">
        <f>L18</f>
        <v>10.944000000000001</v>
      </c>
      <c r="F86" s="12">
        <f t="shared" si="3"/>
        <v>-2.0079421050337789</v>
      </c>
      <c r="G86" s="12">
        <f t="shared" si="2"/>
        <v>0.81652575794647486</v>
      </c>
      <c r="I86" s="754">
        <f>AB6</f>
        <v>8.65903802400004</v>
      </c>
    </row>
    <row r="87" spans="2:34" s="754" customFormat="1">
      <c r="B87" s="765"/>
      <c r="C87" s="765" t="s">
        <v>2696</v>
      </c>
      <c r="D87" s="12">
        <f>D37</f>
        <v>0</v>
      </c>
      <c r="E87" s="250">
        <f>L10</f>
        <v>3.9081599999999996</v>
      </c>
      <c r="F87" s="1947">
        <f t="shared" si="3"/>
        <v>-3.9081599999999996</v>
      </c>
      <c r="G87" s="1947">
        <f t="shared" si="2"/>
        <v>0</v>
      </c>
    </row>
    <row r="88" spans="2:34" s="754" customFormat="1">
      <c r="B88" s="765"/>
      <c r="C88" s="765" t="s">
        <v>2174</v>
      </c>
      <c r="D88" s="12">
        <f>D61+D69</f>
        <v>6.3012328540711389</v>
      </c>
      <c r="E88" s="250">
        <f>L23</f>
        <v>6.1920000000000002</v>
      </c>
      <c r="F88" s="12">
        <f t="shared" si="3"/>
        <v>0.1092328540711387</v>
      </c>
      <c r="G88" s="12">
        <f t="shared" si="2"/>
        <v>1.0176409648047704</v>
      </c>
      <c r="I88" s="754">
        <f>X6</f>
        <v>6.2140005000000214</v>
      </c>
    </row>
    <row r="89" spans="2:34" s="754" customFormat="1">
      <c r="B89" s="765"/>
      <c r="C89" s="765" t="s">
        <v>2698</v>
      </c>
      <c r="D89" s="12">
        <f>D65+D73</f>
        <v>7.0068522754219433</v>
      </c>
      <c r="E89" s="250">
        <f>L21</f>
        <v>6.84</v>
      </c>
      <c r="F89" s="12">
        <f t="shared" si="3"/>
        <v>0.16685227542194347</v>
      </c>
      <c r="G89" s="12">
        <f t="shared" si="2"/>
        <v>1.0243936075178279</v>
      </c>
      <c r="I89" s="754">
        <f>Y6</f>
        <v>6.8510089440000241</v>
      </c>
    </row>
    <row r="90" spans="2:34" s="754" customFormat="1">
      <c r="B90" s="765"/>
      <c r="C90" s="31"/>
      <c r="D90" s="12"/>
      <c r="E90" s="726"/>
      <c r="F90" s="12"/>
      <c r="G90" s="12"/>
      <c r="I90" s="754">
        <f>AA6</f>
        <v>17.885815853036462</v>
      </c>
    </row>
    <row r="91" spans="2:34" s="754" customFormat="1">
      <c r="B91" s="765"/>
      <c r="C91" s="31" t="s">
        <v>124</v>
      </c>
      <c r="D91" s="1532">
        <f>SUM(D81:D89)</f>
        <v>345.95234065679875</v>
      </c>
      <c r="E91" s="1946">
        <f>SUM(E81:E89)</f>
        <v>346.40523000000002</v>
      </c>
      <c r="F91" s="12">
        <f t="shared" si="3"/>
        <v>-0.45288934320126373</v>
      </c>
      <c r="G91" s="12">
        <f t="shared" si="2"/>
        <v>0.99869260246676628</v>
      </c>
      <c r="I91" s="2420">
        <f>SUM(I81:I90)</f>
        <v>324.50479159743441</v>
      </c>
    </row>
    <row r="92" spans="2:34">
      <c r="B92" s="765"/>
      <c r="C92" s="765"/>
      <c r="D92" s="12"/>
      <c r="E92" s="754"/>
      <c r="F92" s="754"/>
      <c r="G92" s="754"/>
      <c r="H92" s="754"/>
      <c r="I92" s="754"/>
      <c r="J92" s="754"/>
      <c r="K92" s="754"/>
      <c r="Q92" s="754"/>
      <c r="R92" s="754"/>
      <c r="S92" s="754"/>
      <c r="T92" s="754"/>
      <c r="U92" s="754"/>
      <c r="V92" s="754"/>
      <c r="W92" s="754"/>
      <c r="X92" s="754"/>
      <c r="Y92" s="754"/>
      <c r="Z92" s="754"/>
      <c r="AA92" s="754"/>
      <c r="AB92" s="754"/>
      <c r="AC92" s="754"/>
      <c r="AD92" s="754"/>
      <c r="AE92" s="754"/>
      <c r="AF92" s="754"/>
      <c r="AG92" s="754"/>
      <c r="AH92" s="754"/>
    </row>
    <row r="93" spans="2:34">
      <c r="B93" s="765"/>
      <c r="C93" s="765"/>
      <c r="D93" s="1532" t="s">
        <v>2692</v>
      </c>
      <c r="E93" s="31" t="s">
        <v>2707</v>
      </c>
      <c r="F93" s="754"/>
      <c r="G93" s="754"/>
      <c r="H93" s="754"/>
      <c r="I93" s="765"/>
      <c r="J93" s="927"/>
      <c r="K93" s="754"/>
      <c r="L93" s="754"/>
      <c r="M93" s="754"/>
      <c r="N93" s="754"/>
      <c r="Q93" s="754"/>
      <c r="R93" s="754"/>
      <c r="S93" s="754"/>
      <c r="T93" s="754"/>
      <c r="U93" s="754"/>
      <c r="V93" s="754"/>
      <c r="W93" s="754"/>
      <c r="X93" s="754"/>
      <c r="Y93" s="754"/>
      <c r="Z93" s="754"/>
      <c r="AA93" s="754"/>
      <c r="AB93" s="754"/>
      <c r="AC93" s="754"/>
      <c r="AD93" s="754"/>
      <c r="AE93" s="754"/>
      <c r="AF93" s="754"/>
      <c r="AG93" s="754"/>
      <c r="AH93" s="754"/>
    </row>
    <row r="94" spans="2:34">
      <c r="B94" s="31" t="s">
        <v>228</v>
      </c>
      <c r="C94" s="765" t="s">
        <v>2174</v>
      </c>
      <c r="D94" s="12">
        <f>D62+D71</f>
        <v>75.399451444338524</v>
      </c>
      <c r="E94" s="2375">
        <f>L66</f>
        <v>76.065730000000016</v>
      </c>
      <c r="F94" s="12">
        <f>D94-E94</f>
        <v>-0.66627855566149208</v>
      </c>
      <c r="G94" s="12">
        <f>D94/E94</f>
        <v>0.9912407524957495</v>
      </c>
      <c r="H94" s="754"/>
      <c r="I94" s="754">
        <f>D94/E94</f>
        <v>0.9912407524957495</v>
      </c>
      <c r="J94" s="927">
        <f>1/I94</f>
        <v>1.0088366499079022</v>
      </c>
      <c r="K94" s="754"/>
      <c r="L94" s="754"/>
      <c r="M94" s="754"/>
      <c r="N94" s="754"/>
      <c r="Q94" s="754"/>
      <c r="R94" s="754"/>
      <c r="S94" s="754"/>
      <c r="T94" s="754"/>
      <c r="U94" s="754"/>
      <c r="V94" s="754"/>
      <c r="W94" s="754"/>
      <c r="X94" s="754"/>
      <c r="Y94" s="754"/>
      <c r="Z94" s="754"/>
      <c r="AA94" s="754"/>
      <c r="AB94" s="754"/>
      <c r="AC94" s="754"/>
      <c r="AD94" s="754"/>
      <c r="AE94" s="754"/>
      <c r="AF94" s="754"/>
      <c r="AG94" s="754"/>
      <c r="AH94" s="754"/>
    </row>
    <row r="95" spans="2:34" s="754" customFormat="1">
      <c r="B95" s="31"/>
      <c r="C95" s="765" t="s">
        <v>2699</v>
      </c>
      <c r="D95" s="12">
        <f>D70</f>
        <v>7.2468938982786106</v>
      </c>
      <c r="E95" s="12">
        <f>L65</f>
        <v>7.5499200000000002</v>
      </c>
      <c r="F95" s="12">
        <f>D95-E95</f>
        <v>-0.30302610172138955</v>
      </c>
      <c r="G95" s="12">
        <f>D95/E95</f>
        <v>0.95986366720158767</v>
      </c>
      <c r="I95" s="754">
        <f>D95/E95</f>
        <v>0.95986366720158767</v>
      </c>
      <c r="J95" s="927">
        <f>1/I95</f>
        <v>1.0418146182315942</v>
      </c>
    </row>
    <row r="96" spans="2:34">
      <c r="B96" s="467"/>
      <c r="C96" s="467" t="s">
        <v>2697</v>
      </c>
      <c r="D96" s="277">
        <f>D66+D74</f>
        <v>8.9102219989119913</v>
      </c>
      <c r="E96" s="317">
        <f>L61</f>
        <v>30.274560000000001</v>
      </c>
      <c r="F96" s="12">
        <f>D96-E96</f>
        <v>-21.364338001088008</v>
      </c>
      <c r="G96" s="12">
        <f>D96/E96</f>
        <v>0.29431383970277325</v>
      </c>
      <c r="H96" s="754"/>
      <c r="I96" s="754">
        <f>D96/E96</f>
        <v>0.29431383970277325</v>
      </c>
      <c r="J96" s="927">
        <f>1/I96</f>
        <v>3.3977335248994653</v>
      </c>
      <c r="K96" s="754"/>
      <c r="L96" s="754"/>
      <c r="M96" s="754"/>
      <c r="N96" s="754"/>
      <c r="Q96" s="754"/>
      <c r="R96" s="754"/>
      <c r="S96" s="754"/>
      <c r="T96" s="754"/>
      <c r="U96" s="754"/>
      <c r="V96" s="754"/>
      <c r="W96" s="754"/>
      <c r="X96" s="754"/>
      <c r="Y96" s="754"/>
      <c r="Z96" s="754"/>
      <c r="AA96" s="754"/>
      <c r="AB96" s="754"/>
      <c r="AC96" s="754"/>
      <c r="AD96" s="754"/>
      <c r="AE96" s="754"/>
      <c r="AF96" s="754"/>
      <c r="AG96" s="754"/>
      <c r="AH96" s="754"/>
    </row>
    <row r="97" spans="2:34">
      <c r="B97" s="734"/>
      <c r="C97" s="734"/>
      <c r="D97" s="1948">
        <f>SUM(D94:D96)</f>
        <v>91.556567341529131</v>
      </c>
      <c r="E97" s="1948">
        <f>SUM(E94:E96)</f>
        <v>113.89021000000002</v>
      </c>
      <c r="F97" s="23"/>
      <c r="G97" s="23"/>
      <c r="H97" s="754"/>
      <c r="I97" s="754"/>
      <c r="J97" s="754"/>
      <c r="K97" s="754"/>
      <c r="L97" s="754"/>
      <c r="M97" s="754"/>
      <c r="N97" s="754"/>
      <c r="Q97" s="754"/>
      <c r="R97" s="754"/>
      <c r="S97" s="754"/>
      <c r="T97" s="754"/>
      <c r="U97" s="754"/>
      <c r="V97" s="754"/>
      <c r="W97" s="754"/>
      <c r="X97" s="754"/>
      <c r="Y97" s="754"/>
      <c r="Z97" s="754"/>
      <c r="AA97" s="754"/>
      <c r="AB97" s="754"/>
      <c r="AC97" s="754"/>
      <c r="AD97" s="754"/>
      <c r="AE97" s="754"/>
      <c r="AF97" s="754"/>
      <c r="AG97" s="754"/>
      <c r="AH97" s="754"/>
    </row>
    <row r="98" spans="2:34">
      <c r="Q98" s="754"/>
      <c r="R98" s="754"/>
      <c r="S98" s="754"/>
      <c r="T98" s="754"/>
      <c r="U98" s="754"/>
      <c r="V98" s="754"/>
      <c r="W98" s="754"/>
      <c r="X98" s="754"/>
      <c r="Y98" s="754"/>
      <c r="Z98" s="754"/>
      <c r="AA98" s="754"/>
      <c r="AB98" s="754"/>
      <c r="AC98" s="754"/>
      <c r="AD98" s="754"/>
      <c r="AE98" s="754"/>
      <c r="AF98" s="754"/>
      <c r="AG98" s="754"/>
      <c r="AH98" s="754"/>
    </row>
    <row r="99" spans="2:34">
      <c r="D99">
        <f>E94/D94</f>
        <v>1.0088366499079022</v>
      </c>
      <c r="Q99" s="754"/>
      <c r="R99" s="754"/>
      <c r="S99" s="754"/>
      <c r="T99" s="754"/>
      <c r="U99" s="754"/>
      <c r="V99" s="754"/>
      <c r="W99" s="754"/>
      <c r="X99" s="754"/>
      <c r="Y99" s="754"/>
      <c r="Z99" s="754"/>
      <c r="AA99" s="754"/>
      <c r="AB99" s="754"/>
      <c r="AC99" s="754"/>
      <c r="AD99" s="754"/>
      <c r="AE99" s="754"/>
      <c r="AF99" s="754"/>
      <c r="AG99" s="754"/>
      <c r="AH99" s="754"/>
    </row>
    <row r="100" spans="2:34">
      <c r="D100">
        <f>E88/D88</f>
        <v>0.98266484407086074</v>
      </c>
      <c r="Q100" s="754"/>
      <c r="R100" s="754"/>
      <c r="S100" s="754"/>
      <c r="T100" s="754"/>
      <c r="U100" s="754"/>
      <c r="V100" s="754"/>
      <c r="W100" s="754"/>
      <c r="X100" s="754"/>
      <c r="Y100" s="754"/>
      <c r="Z100" s="754"/>
      <c r="AA100" s="754"/>
      <c r="AB100" s="754"/>
      <c r="AC100" s="754"/>
      <c r="AD100" s="754"/>
      <c r="AE100" s="754"/>
      <c r="AF100" s="754"/>
      <c r="AG100" s="754"/>
      <c r="AH100" s="754"/>
    </row>
    <row r="101" spans="2:34">
      <c r="Q101" s="754"/>
      <c r="R101" s="754"/>
      <c r="S101" s="754"/>
      <c r="T101" s="754"/>
      <c r="U101" s="754"/>
      <c r="V101" s="754"/>
      <c r="W101" s="754"/>
      <c r="X101" s="754"/>
      <c r="Y101" s="754"/>
      <c r="Z101" s="754"/>
      <c r="AA101" s="754"/>
      <c r="AB101" s="754"/>
      <c r="AC101" s="754"/>
      <c r="AD101" s="754"/>
      <c r="AE101" s="754"/>
      <c r="AF101" s="754"/>
      <c r="AG101" s="754"/>
      <c r="AH101" s="754"/>
    </row>
    <row r="105" spans="2:34">
      <c r="O105">
        <v>1</v>
      </c>
      <c r="P105" s="765" t="s">
        <v>2722</v>
      </c>
      <c r="Q105">
        <v>4.1868000000000002E-2</v>
      </c>
      <c r="R105" s="765" t="s">
        <v>44</v>
      </c>
    </row>
    <row r="106" spans="2:34">
      <c r="O106">
        <v>1940</v>
      </c>
      <c r="Q106">
        <f>Q105*O106</f>
        <v>81.223920000000007</v>
      </c>
    </row>
    <row r="107" spans="2:34">
      <c r="B107" s="1035" t="str">
        <f>'SE km&amp;fuel data'!A209</f>
        <v>Energimyndigheten, "Transportsektorns energianvändning 2015"</v>
      </c>
      <c r="C107" s="629"/>
      <c r="D107" s="629"/>
      <c r="E107" s="629"/>
      <c r="F107" s="629"/>
      <c r="G107" s="629"/>
      <c r="H107" s="629"/>
      <c r="I107" s="629"/>
      <c r="J107" s="629"/>
      <c r="U107" s="31" t="s">
        <v>3224</v>
      </c>
    </row>
    <row r="108" spans="2:34">
      <c r="B108" s="629"/>
      <c r="C108" s="629"/>
      <c r="D108" s="629"/>
      <c r="E108" s="629"/>
      <c r="F108" s="629"/>
      <c r="G108" s="629"/>
      <c r="H108" s="629"/>
      <c r="I108" s="629"/>
      <c r="J108" s="629"/>
    </row>
    <row r="109" spans="2:34" ht="30.6">
      <c r="B109" s="260"/>
      <c r="C109" s="400"/>
      <c r="D109" s="400"/>
      <c r="E109" s="400"/>
      <c r="F109" s="400"/>
      <c r="G109" s="400"/>
      <c r="H109" s="400"/>
      <c r="I109" s="400"/>
      <c r="J109" s="401"/>
      <c r="W109" s="2808" t="s">
        <v>2795</v>
      </c>
      <c r="X109" s="2808" t="s">
        <v>370</v>
      </c>
      <c r="Y109" s="2808" t="s">
        <v>2796</v>
      </c>
      <c r="Z109" s="2808" t="s">
        <v>2797</v>
      </c>
      <c r="AA109" s="2808" t="s">
        <v>2799</v>
      </c>
      <c r="AB109" s="2808" t="s">
        <v>372</v>
      </c>
      <c r="AC109" s="2808" t="s">
        <v>2806</v>
      </c>
      <c r="AD109" s="2808" t="s">
        <v>2819</v>
      </c>
      <c r="AE109" s="2808" t="s">
        <v>2821</v>
      </c>
      <c r="AF109" s="2808" t="s">
        <v>52</v>
      </c>
      <c r="AG109" s="2826" t="s">
        <v>49</v>
      </c>
    </row>
    <row r="110" spans="2:34">
      <c r="B110" s="233"/>
      <c r="C110" s="234"/>
      <c r="D110" s="234"/>
      <c r="E110" s="234"/>
      <c r="F110" s="234"/>
      <c r="G110" s="234"/>
      <c r="H110" s="234"/>
      <c r="I110" s="234"/>
      <c r="J110" s="235"/>
      <c r="U110" s="2649" t="s">
        <v>369</v>
      </c>
      <c r="V110" s="2649"/>
      <c r="W110" s="2838">
        <v>3320.1968090188211</v>
      </c>
      <c r="X110" s="2838">
        <v>3.1527658354829464</v>
      </c>
      <c r="Y110" s="2838"/>
      <c r="Z110" s="2838">
        <v>840.11655679755415</v>
      </c>
      <c r="AA110" s="2838">
        <v>3652.861373841597</v>
      </c>
      <c r="AB110" s="2838">
        <v>142.35215438998756</v>
      </c>
      <c r="AC110" s="2838">
        <v>31.718735072131459</v>
      </c>
      <c r="AD110" s="2838">
        <v>21.13786185153339</v>
      </c>
      <c r="AE110" s="2838">
        <v>202.2785898538263</v>
      </c>
      <c r="AF110" s="2838">
        <v>174.02312028279354</v>
      </c>
      <c r="AG110" s="2839">
        <v>206.69723894143499</v>
      </c>
    </row>
    <row r="111" spans="2:34">
      <c r="B111" s="320" t="str">
        <f>'SE km&amp;fuel data'!A213</f>
        <v>Tabell 14 Användning av diesel, Eo1 och Eo2-6 för inrikes sjöfart, 2008-2015, uttryckt i 1000 m3</v>
      </c>
      <c r="C111" s="234"/>
      <c r="D111" s="234"/>
      <c r="E111" s="234"/>
      <c r="F111" s="234"/>
      <c r="G111" s="234"/>
      <c r="H111" s="234"/>
      <c r="I111" s="234"/>
      <c r="J111" s="235"/>
      <c r="U111" s="2648" t="s">
        <v>1369</v>
      </c>
      <c r="V111" s="2649" t="s">
        <v>3131</v>
      </c>
      <c r="W111" s="2811"/>
      <c r="X111" s="2811"/>
      <c r="Y111" s="2811"/>
      <c r="Z111" s="2811"/>
      <c r="AA111" s="2811">
        <v>1.0270373554982324</v>
      </c>
      <c r="AB111" s="2811">
        <v>0</v>
      </c>
      <c r="AC111" s="2811"/>
      <c r="AD111" s="2811">
        <v>0</v>
      </c>
      <c r="AE111" s="2811">
        <v>0</v>
      </c>
      <c r="AF111" s="2811">
        <v>0</v>
      </c>
      <c r="AG111" s="2829">
        <v>206.69723894143499</v>
      </c>
    </row>
    <row r="112" spans="2:34">
      <c r="B112" s="233"/>
      <c r="C112" s="234"/>
      <c r="D112" s="234"/>
      <c r="E112" s="234"/>
      <c r="F112" s="234"/>
      <c r="G112" s="234"/>
      <c r="H112" s="234"/>
      <c r="I112" s="234"/>
      <c r="J112" s="235"/>
      <c r="U112" s="2648" t="s">
        <v>1369</v>
      </c>
      <c r="V112" s="2649" t="s">
        <v>3133</v>
      </c>
      <c r="W112" s="2811">
        <v>3320.1968090188211</v>
      </c>
      <c r="X112" s="2811"/>
      <c r="Y112" s="2811"/>
      <c r="Z112" s="2811"/>
      <c r="AA112" s="2811">
        <v>3606.7641157924904</v>
      </c>
      <c r="AB112" s="2811">
        <v>0</v>
      </c>
      <c r="AC112" s="2811">
        <v>31.718735072131459</v>
      </c>
      <c r="AD112" s="2811">
        <v>21.13786185153339</v>
      </c>
      <c r="AE112" s="2811">
        <v>202.2785898538263</v>
      </c>
      <c r="AF112" s="2811">
        <v>174.02312028279354</v>
      </c>
      <c r="AG112" s="2829">
        <v>0</v>
      </c>
    </row>
    <row r="113" spans="2:35">
      <c r="B113" s="320" t="str">
        <f>'SE km&amp;fuel data'!A215</f>
        <v>År</v>
      </c>
      <c r="C113" s="1676">
        <f>'SE km&amp;fuel data'!B215</f>
        <v>2008</v>
      </c>
      <c r="D113" s="1676">
        <f>'SE km&amp;fuel data'!C215</f>
        <v>2009</v>
      </c>
      <c r="E113" s="1676">
        <f>'SE km&amp;fuel data'!D215</f>
        <v>2010</v>
      </c>
      <c r="F113" s="1676">
        <f>'SE km&amp;fuel data'!E215</f>
        <v>2011</v>
      </c>
      <c r="G113" s="1676">
        <f>'SE km&amp;fuel data'!F215</f>
        <v>2012</v>
      </c>
      <c r="H113" s="1676">
        <f>'SE km&amp;fuel data'!G215</f>
        <v>2013</v>
      </c>
      <c r="I113" s="1676">
        <f>'SE km&amp;fuel data'!H215</f>
        <v>2014</v>
      </c>
      <c r="J113" s="1677">
        <f>'SE km&amp;fuel data'!I215</f>
        <v>2015</v>
      </c>
      <c r="U113" s="2648" t="s">
        <v>1369</v>
      </c>
      <c r="V113" s="2649" t="s">
        <v>3135</v>
      </c>
      <c r="W113" s="2811"/>
      <c r="X113" s="2811"/>
      <c r="Y113" s="2811"/>
      <c r="Z113" s="2811">
        <v>689.14206553931399</v>
      </c>
      <c r="AA113" s="2811">
        <v>0</v>
      </c>
      <c r="AB113" s="2811">
        <v>0</v>
      </c>
      <c r="AC113" s="2811"/>
      <c r="AD113" s="2811"/>
      <c r="AE113" s="2811"/>
      <c r="AF113" s="2811"/>
      <c r="AG113" s="2829"/>
    </row>
    <row r="114" spans="2:35">
      <c r="B114" s="471" t="str">
        <f>'SE km&amp;fuel data'!A216</f>
        <v>Inrikes sjöfart</v>
      </c>
      <c r="C114" s="234">
        <f>'SE km&amp;fuel data'!B216</f>
        <v>93</v>
      </c>
      <c r="D114" s="234">
        <f>'SE km&amp;fuel data'!C216</f>
        <v>147</v>
      </c>
      <c r="E114" s="873">
        <f>'SE km&amp;fuel data'!D216</f>
        <v>217</v>
      </c>
      <c r="F114" s="234">
        <f>'SE km&amp;fuel data'!E216</f>
        <v>136</v>
      </c>
      <c r="G114" s="234">
        <f>'SE km&amp;fuel data'!F216</f>
        <v>76</v>
      </c>
      <c r="H114" s="234">
        <f>'SE km&amp;fuel data'!G216</f>
        <v>79</v>
      </c>
      <c r="I114" s="234">
        <f>'SE km&amp;fuel data'!H216</f>
        <v>89</v>
      </c>
      <c r="J114" s="235">
        <f>'SE km&amp;fuel data'!I216</f>
        <v>77</v>
      </c>
      <c r="U114" s="2648" t="s">
        <v>1369</v>
      </c>
      <c r="V114" s="2649" t="s">
        <v>3137</v>
      </c>
      <c r="W114" s="2811"/>
      <c r="X114" s="2811">
        <v>3.1527658354829464</v>
      </c>
      <c r="Y114" s="2811"/>
      <c r="Z114" s="2811">
        <v>150.97449125824016</v>
      </c>
      <c r="AA114" s="2811">
        <v>0</v>
      </c>
      <c r="AB114" s="2811">
        <v>0</v>
      </c>
      <c r="AC114" s="2811"/>
      <c r="AD114" s="2811"/>
      <c r="AE114" s="2811"/>
      <c r="AF114" s="2811"/>
      <c r="AG114" s="2829"/>
    </row>
    <row r="115" spans="2:35">
      <c r="B115" s="471" t="str">
        <f>'SE km&amp;fuel data'!A217</f>
        <v>varav dieselolja</v>
      </c>
      <c r="C115" s="234">
        <f>'SE km&amp;fuel data'!B217</f>
        <v>24</v>
      </c>
      <c r="D115" s="234">
        <f>'SE km&amp;fuel data'!C217</f>
        <v>35</v>
      </c>
      <c r="E115" s="234">
        <f>'SE km&amp;fuel data'!D217</f>
        <v>36</v>
      </c>
      <c r="F115" s="234">
        <f>'SE km&amp;fuel data'!E217</f>
        <v>35</v>
      </c>
      <c r="G115" s="234">
        <f>'SE km&amp;fuel data'!F217</f>
        <v>3</v>
      </c>
      <c r="H115" s="234">
        <f>'SE km&amp;fuel data'!G217</f>
        <v>4</v>
      </c>
      <c r="I115" s="234">
        <f>'SE km&amp;fuel data'!H217</f>
        <v>7</v>
      </c>
      <c r="J115" s="235">
        <f>'SE km&amp;fuel data'!I217</f>
        <v>11</v>
      </c>
      <c r="U115" s="2648" t="s">
        <v>1369</v>
      </c>
      <c r="V115" s="2649" t="s">
        <v>3139</v>
      </c>
      <c r="W115" s="2811"/>
      <c r="X115" s="2811"/>
      <c r="Y115" s="2811"/>
      <c r="Z115" s="2811"/>
      <c r="AA115" s="2811">
        <v>45.094105283271233</v>
      </c>
      <c r="AB115" s="2811">
        <v>142.35215438998756</v>
      </c>
      <c r="AC115" s="2811"/>
      <c r="AD115" s="2811">
        <v>0</v>
      </c>
      <c r="AE115" s="2811">
        <v>0</v>
      </c>
      <c r="AF115" s="2811">
        <v>0</v>
      </c>
      <c r="AG115" s="2829"/>
    </row>
    <row r="116" spans="2:35">
      <c r="B116" s="471" t="str">
        <f>'SE km&amp;fuel data'!A218</f>
        <v>varav Eo1</v>
      </c>
      <c r="C116" s="234">
        <f>'SE km&amp;fuel data'!B218</f>
        <v>26</v>
      </c>
      <c r="D116" s="234">
        <f>'SE km&amp;fuel data'!C218</f>
        <v>20</v>
      </c>
      <c r="E116" s="234">
        <f>'SE km&amp;fuel data'!D218</f>
        <v>18</v>
      </c>
      <c r="F116" s="234">
        <f>'SE km&amp;fuel data'!E218</f>
        <v>19</v>
      </c>
      <c r="G116" s="234">
        <f>'SE km&amp;fuel data'!F218</f>
        <v>23</v>
      </c>
      <c r="H116" s="234">
        <f>'SE km&amp;fuel data'!G218</f>
        <v>26</v>
      </c>
      <c r="I116" s="234">
        <f>'SE km&amp;fuel data'!H218</f>
        <v>30</v>
      </c>
      <c r="J116" s="235">
        <f>'SE km&amp;fuel data'!I218</f>
        <v>43</v>
      </c>
    </row>
    <row r="117" spans="2:35">
      <c r="B117" s="471" t="str">
        <f>'SE km&amp;fuel data'!A219</f>
        <v>varav Eo2-6</v>
      </c>
      <c r="C117" s="234">
        <f>'SE km&amp;fuel data'!B219</f>
        <v>42</v>
      </c>
      <c r="D117" s="234">
        <f>'SE km&amp;fuel data'!C219</f>
        <v>92</v>
      </c>
      <c r="E117" s="234">
        <f>'SE km&amp;fuel data'!D219</f>
        <v>162</v>
      </c>
      <c r="F117" s="234">
        <f>'SE km&amp;fuel data'!E219</f>
        <v>82</v>
      </c>
      <c r="G117" s="234">
        <f>'SE km&amp;fuel data'!F219</f>
        <v>50</v>
      </c>
      <c r="H117" s="234">
        <f>'SE km&amp;fuel data'!G219</f>
        <v>49</v>
      </c>
      <c r="I117" s="234">
        <f>'SE km&amp;fuel data'!H219</f>
        <v>51</v>
      </c>
      <c r="J117" s="235">
        <f>'SE km&amp;fuel data'!I219</f>
        <v>23</v>
      </c>
      <c r="U117" s="2648" t="s">
        <v>390</v>
      </c>
      <c r="V117" s="2649" t="s">
        <v>2852</v>
      </c>
      <c r="W117" s="2811"/>
      <c r="X117" s="2811"/>
      <c r="Y117" s="2811"/>
      <c r="Z117" s="2811"/>
      <c r="AA117" s="2811">
        <v>183.40976402025413</v>
      </c>
      <c r="AB117" s="2811">
        <v>1754.0842648323301</v>
      </c>
      <c r="AC117" s="2811">
        <v>0</v>
      </c>
      <c r="AD117" s="2811"/>
      <c r="AE117" s="2811"/>
      <c r="AF117" s="2811"/>
      <c r="AG117" s="2829"/>
    </row>
    <row r="118" spans="2:35">
      <c r="B118" s="233"/>
      <c r="C118" s="234"/>
      <c r="D118" s="234"/>
      <c r="E118" s="234"/>
      <c r="F118" s="234"/>
      <c r="G118" s="234"/>
      <c r="H118" s="234"/>
      <c r="I118" s="234"/>
      <c r="J118" s="235"/>
    </row>
    <row r="119" spans="2:35">
      <c r="B119" s="471" t="str">
        <f>'SE km&amp;fuel data'!A221</f>
        <v>Not. Siffror för diesel innan 2012 antas vara felaktigt fördelade och bör användas med försiktighet då den reella användningen antas vara mindre än de angivna värdena.</v>
      </c>
      <c r="C119" s="234"/>
      <c r="D119" s="234"/>
      <c r="E119" s="234"/>
      <c r="F119" s="234"/>
      <c r="G119" s="234"/>
      <c r="H119" s="234"/>
      <c r="I119" s="234"/>
      <c r="J119" s="235"/>
      <c r="T119" s="765" t="s">
        <v>44</v>
      </c>
      <c r="U119" s="2649" t="s">
        <v>369</v>
      </c>
      <c r="V119" s="2649"/>
      <c r="W119" s="2840">
        <f>W110*$Q$105</f>
        <v>139.01000000000002</v>
      </c>
      <c r="X119" s="2840">
        <f t="shared" ref="X119:AG119" si="4">X110*$Q$105</f>
        <v>0.13200000000000001</v>
      </c>
      <c r="Y119" s="2840">
        <f t="shared" si="4"/>
        <v>0</v>
      </c>
      <c r="Z119" s="2840">
        <f t="shared" si="4"/>
        <v>35.173999999999999</v>
      </c>
      <c r="AA119" s="2840">
        <f t="shared" si="4"/>
        <v>152.93799999999999</v>
      </c>
      <c r="AB119" s="2840">
        <f t="shared" si="4"/>
        <v>5.96</v>
      </c>
      <c r="AC119" s="2840">
        <f t="shared" si="4"/>
        <v>1.3280000000000001</v>
      </c>
      <c r="AD119" s="2840">
        <f t="shared" si="4"/>
        <v>0.88500000000000001</v>
      </c>
      <c r="AE119" s="2840">
        <f t="shared" si="4"/>
        <v>8.4689999999999994</v>
      </c>
      <c r="AF119" s="2840">
        <f t="shared" si="4"/>
        <v>7.2860000000000005</v>
      </c>
      <c r="AG119" s="2840">
        <f t="shared" si="4"/>
        <v>8.6539999999999999</v>
      </c>
    </row>
    <row r="120" spans="2:35">
      <c r="B120" s="233"/>
      <c r="C120" s="234"/>
      <c r="D120" s="234"/>
      <c r="E120" s="234"/>
      <c r="F120" s="234"/>
      <c r="G120" s="234"/>
      <c r="H120" s="234"/>
      <c r="I120" s="234"/>
      <c r="J120" s="235"/>
      <c r="T120" s="765" t="s">
        <v>44</v>
      </c>
      <c r="U120" s="2648" t="s">
        <v>1369</v>
      </c>
      <c r="V120" s="2649" t="s">
        <v>3131</v>
      </c>
      <c r="W120" s="2840">
        <f t="shared" ref="W120:AG126" si="5">W111*$Q$105</f>
        <v>0</v>
      </c>
      <c r="X120" s="2840">
        <f t="shared" si="5"/>
        <v>0</v>
      </c>
      <c r="Y120" s="2840">
        <f t="shared" si="5"/>
        <v>0</v>
      </c>
      <c r="Z120" s="2840">
        <f t="shared" si="5"/>
        <v>0</v>
      </c>
      <c r="AA120" s="2840">
        <f t="shared" si="5"/>
        <v>4.2999999999999997E-2</v>
      </c>
      <c r="AB120" s="2840">
        <f t="shared" si="5"/>
        <v>0</v>
      </c>
      <c r="AC120" s="2840">
        <f t="shared" si="5"/>
        <v>0</v>
      </c>
      <c r="AD120" s="2840">
        <f t="shared" si="5"/>
        <v>0</v>
      </c>
      <c r="AE120" s="2840">
        <f t="shared" si="5"/>
        <v>0</v>
      </c>
      <c r="AF120" s="2840">
        <f t="shared" si="5"/>
        <v>0</v>
      </c>
      <c r="AG120" s="2840">
        <f t="shared" si="5"/>
        <v>8.6539999999999999</v>
      </c>
    </row>
    <row r="121" spans="2:35">
      <c r="B121" s="233"/>
      <c r="C121" s="234"/>
      <c r="D121" s="234"/>
      <c r="E121" s="234"/>
      <c r="F121" s="234"/>
      <c r="G121" s="234"/>
      <c r="H121" s="234"/>
      <c r="I121" s="234"/>
      <c r="J121" s="235"/>
      <c r="T121" s="765" t="s">
        <v>44</v>
      </c>
      <c r="U121" s="2648" t="s">
        <v>1369</v>
      </c>
      <c r="V121" s="2649" t="s">
        <v>3133</v>
      </c>
      <c r="W121" s="2840">
        <f t="shared" si="5"/>
        <v>139.01000000000002</v>
      </c>
      <c r="X121" s="2840">
        <f t="shared" si="5"/>
        <v>0</v>
      </c>
      <c r="Y121" s="2840">
        <f t="shared" si="5"/>
        <v>0</v>
      </c>
      <c r="Z121" s="2840">
        <f t="shared" si="5"/>
        <v>0</v>
      </c>
      <c r="AA121" s="2840">
        <f t="shared" si="5"/>
        <v>151.00800000000001</v>
      </c>
      <c r="AB121" s="2840">
        <f t="shared" si="5"/>
        <v>0</v>
      </c>
      <c r="AC121" s="2840">
        <f t="shared" si="5"/>
        <v>1.3280000000000001</v>
      </c>
      <c r="AD121" s="2840">
        <f t="shared" si="5"/>
        <v>0.88500000000000001</v>
      </c>
      <c r="AE121" s="2840">
        <f t="shared" si="5"/>
        <v>8.4689999999999994</v>
      </c>
      <c r="AF121" s="2840">
        <f t="shared" si="5"/>
        <v>7.2860000000000005</v>
      </c>
      <c r="AG121" s="2840">
        <f t="shared" si="5"/>
        <v>0</v>
      </c>
      <c r="AI121" s="2843">
        <f>SUM(W121:AH121)</f>
        <v>307.98599999999999</v>
      </c>
    </row>
    <row r="122" spans="2:35">
      <c r="B122" s="233"/>
      <c r="C122" s="234"/>
      <c r="D122" s="234"/>
      <c r="E122" s="234"/>
      <c r="F122" s="234"/>
      <c r="G122" s="234"/>
      <c r="H122" s="234"/>
      <c r="I122" s="234"/>
      <c r="J122" s="235"/>
      <c r="T122" s="765" t="s">
        <v>44</v>
      </c>
      <c r="U122" s="2648" t="s">
        <v>1369</v>
      </c>
      <c r="V122" s="2649" t="s">
        <v>3135</v>
      </c>
      <c r="W122" s="2840">
        <f t="shared" si="5"/>
        <v>0</v>
      </c>
      <c r="X122" s="2840">
        <f t="shared" si="5"/>
        <v>0</v>
      </c>
      <c r="Y122" s="2840">
        <f t="shared" si="5"/>
        <v>0</v>
      </c>
      <c r="Z122" s="2840">
        <f t="shared" si="5"/>
        <v>28.853000000000002</v>
      </c>
      <c r="AA122" s="2840">
        <f t="shared" si="5"/>
        <v>0</v>
      </c>
      <c r="AB122" s="2840">
        <f t="shared" si="5"/>
        <v>0</v>
      </c>
      <c r="AC122" s="2840">
        <f t="shared" si="5"/>
        <v>0</v>
      </c>
      <c r="AD122" s="2840">
        <f t="shared" si="5"/>
        <v>0</v>
      </c>
      <c r="AE122" s="2840">
        <f t="shared" si="5"/>
        <v>0</v>
      </c>
      <c r="AF122" s="2840">
        <f t="shared" si="5"/>
        <v>0</v>
      </c>
      <c r="AG122" s="2840">
        <f t="shared" si="5"/>
        <v>0</v>
      </c>
    </row>
    <row r="123" spans="2:35">
      <c r="B123" s="1820" t="str">
        <f>'SE km&amp;fuel data'!A225</f>
        <v>PJ</v>
      </c>
      <c r="C123" s="1821"/>
      <c r="D123" s="1821"/>
      <c r="E123" s="1821"/>
      <c r="F123" s="1821"/>
      <c r="G123" s="1821"/>
      <c r="H123" s="1821"/>
      <c r="I123" s="1821"/>
      <c r="J123" s="1822"/>
      <c r="T123" s="765" t="s">
        <v>44</v>
      </c>
      <c r="U123" s="2648" t="s">
        <v>1369</v>
      </c>
      <c r="V123" s="2649" t="s">
        <v>3137</v>
      </c>
      <c r="W123" s="2840">
        <f t="shared" si="5"/>
        <v>0</v>
      </c>
      <c r="X123" s="2840">
        <f t="shared" si="5"/>
        <v>0.13200000000000001</v>
      </c>
      <c r="Y123" s="2840">
        <f t="shared" si="5"/>
        <v>0</v>
      </c>
      <c r="Z123" s="2840">
        <f t="shared" si="5"/>
        <v>6.3209999999999997</v>
      </c>
      <c r="AA123" s="2840">
        <f t="shared" si="5"/>
        <v>0</v>
      </c>
      <c r="AB123" s="2840">
        <f t="shared" si="5"/>
        <v>0</v>
      </c>
      <c r="AC123" s="2840">
        <f t="shared" si="5"/>
        <v>0</v>
      </c>
      <c r="AD123" s="2840">
        <f t="shared" si="5"/>
        <v>0</v>
      </c>
      <c r="AE123" s="2840">
        <f t="shared" si="5"/>
        <v>0</v>
      </c>
      <c r="AF123" s="2840">
        <f t="shared" si="5"/>
        <v>0</v>
      </c>
      <c r="AG123" s="2840">
        <f t="shared" si="5"/>
        <v>0</v>
      </c>
    </row>
    <row r="124" spans="2:35">
      <c r="B124" s="1823" t="str">
        <f>'SE km&amp;fuel data'!A226</f>
        <v>År</v>
      </c>
      <c r="C124" s="1821">
        <f>'SE km&amp;fuel data'!B226</f>
        <v>2008</v>
      </c>
      <c r="D124" s="1821">
        <f>'SE km&amp;fuel data'!C226</f>
        <v>2009</v>
      </c>
      <c r="E124" s="1127">
        <f>'SE km&amp;fuel data'!D226</f>
        <v>2010</v>
      </c>
      <c r="F124" s="1821">
        <f>'SE km&amp;fuel data'!E226</f>
        <v>2011</v>
      </c>
      <c r="G124" s="1821">
        <f>'SE km&amp;fuel data'!F226</f>
        <v>2012</v>
      </c>
      <c r="H124" s="1821">
        <f>'SE km&amp;fuel data'!G226</f>
        <v>2013</v>
      </c>
      <c r="I124" s="1821">
        <f>'SE km&amp;fuel data'!H226</f>
        <v>2014</v>
      </c>
      <c r="J124" s="1822">
        <f>'SE km&amp;fuel data'!I226</f>
        <v>2015</v>
      </c>
      <c r="T124" s="765" t="s">
        <v>44</v>
      </c>
      <c r="U124" s="2648" t="s">
        <v>1369</v>
      </c>
      <c r="V124" s="2649" t="s">
        <v>3139</v>
      </c>
      <c r="W124" s="2840">
        <f t="shared" si="5"/>
        <v>0</v>
      </c>
      <c r="X124" s="2840">
        <f t="shared" si="5"/>
        <v>0</v>
      </c>
      <c r="Y124" s="2840">
        <f t="shared" si="5"/>
        <v>0</v>
      </c>
      <c r="Z124" s="2840">
        <f t="shared" si="5"/>
        <v>0</v>
      </c>
      <c r="AA124" s="2840">
        <f t="shared" si="5"/>
        <v>1.8880000000000001</v>
      </c>
      <c r="AB124" s="2840">
        <f t="shared" si="5"/>
        <v>5.96</v>
      </c>
      <c r="AC124" s="2840">
        <f t="shared" si="5"/>
        <v>0</v>
      </c>
      <c r="AD124" s="2840">
        <f t="shared" si="5"/>
        <v>0</v>
      </c>
      <c r="AE124" s="2840">
        <f t="shared" si="5"/>
        <v>0</v>
      </c>
      <c r="AF124" s="2840">
        <f t="shared" si="5"/>
        <v>0</v>
      </c>
      <c r="AG124" s="2840">
        <f t="shared" si="5"/>
        <v>0</v>
      </c>
    </row>
    <row r="125" spans="2:35">
      <c r="B125" s="1824" t="str">
        <f>'SE km&amp;fuel data'!A227</f>
        <v>Inrikes sjöfart</v>
      </c>
      <c r="C125" s="1147">
        <f>'SE km&amp;fuel data'!B227</f>
        <v>3.3778200000000003</v>
      </c>
      <c r="D125" s="1147">
        <f>'SE km&amp;fuel data'!C227</f>
        <v>5.4554799999999997</v>
      </c>
      <c r="E125" s="1328">
        <f>'SE km&amp;fuel data'!D227</f>
        <v>8.0854200000000009</v>
      </c>
      <c r="F125" s="1147">
        <f>'SE km&amp;fuel data'!E227</f>
        <v>5.0387599999999999</v>
      </c>
      <c r="G125" s="1147">
        <f>'SE km&amp;fuel data'!F227</f>
        <v>2.8342000000000001</v>
      </c>
      <c r="H125" s="1147">
        <f>'SE km&amp;fuel data'!G227</f>
        <v>2.93885</v>
      </c>
      <c r="I125" s="1147">
        <f>'SE km&amp;fuel data'!H227</f>
        <v>3.2641499999999999</v>
      </c>
      <c r="J125" s="1825">
        <f>'SE km&amp;fuel data'!I227</f>
        <v>2.8044099999999998</v>
      </c>
      <c r="T125" s="765"/>
      <c r="U125" s="754"/>
      <c r="V125" s="754"/>
      <c r="W125" s="2840"/>
      <c r="X125" s="2840"/>
      <c r="Y125" s="2840"/>
      <c r="Z125" s="2840"/>
      <c r="AA125" s="2840"/>
      <c r="AB125" s="2840"/>
      <c r="AC125" s="2840"/>
      <c r="AD125" s="2840"/>
      <c r="AE125" s="2840"/>
      <c r="AF125" s="2840"/>
      <c r="AG125" s="2840"/>
    </row>
    <row r="126" spans="2:35">
      <c r="B126" s="1824" t="str">
        <f>'SE km&amp;fuel data'!A228</f>
        <v>varav dieselolja</v>
      </c>
      <c r="C126" s="1147">
        <f>'SE km&amp;fuel data'!B228</f>
        <v>0.84672000000000003</v>
      </c>
      <c r="D126" s="1147">
        <f>'SE km&amp;fuel data'!C228</f>
        <v>1.2347999999999999</v>
      </c>
      <c r="E126" s="1328">
        <f>'SE km&amp;fuel data'!D228</f>
        <v>1.2700799999999999</v>
      </c>
      <c r="F126" s="1147">
        <f>'SE km&amp;fuel data'!E228</f>
        <v>1.2347999999999999</v>
      </c>
      <c r="G126" s="1147">
        <f>'SE km&amp;fuel data'!F228</f>
        <v>0.10584</v>
      </c>
      <c r="H126" s="1147">
        <f>'SE km&amp;fuel data'!G228</f>
        <v>0.14112</v>
      </c>
      <c r="I126" s="1147">
        <f>'SE km&amp;fuel data'!H228</f>
        <v>0.24696000000000001</v>
      </c>
      <c r="J126" s="1825">
        <f>'SE km&amp;fuel data'!I228</f>
        <v>0.38808000000000004</v>
      </c>
      <c r="T126" s="765" t="s">
        <v>44</v>
      </c>
      <c r="U126" s="2648" t="s">
        <v>390</v>
      </c>
      <c r="V126" s="2649" t="s">
        <v>2852</v>
      </c>
      <c r="W126" s="2840">
        <f t="shared" si="5"/>
        <v>0</v>
      </c>
      <c r="X126" s="2840">
        <f t="shared" si="5"/>
        <v>0</v>
      </c>
      <c r="Y126" s="2840">
        <f t="shared" si="5"/>
        <v>0</v>
      </c>
      <c r="Z126" s="2840">
        <f t="shared" si="5"/>
        <v>0</v>
      </c>
      <c r="AA126" s="2840">
        <f t="shared" si="5"/>
        <v>7.6790000000000003</v>
      </c>
      <c r="AB126" s="2840">
        <f t="shared" si="5"/>
        <v>73.44</v>
      </c>
      <c r="AC126" s="2840">
        <f t="shared" si="5"/>
        <v>0</v>
      </c>
      <c r="AD126" s="2840">
        <f t="shared" si="5"/>
        <v>0</v>
      </c>
      <c r="AE126" s="2840">
        <f t="shared" si="5"/>
        <v>0</v>
      </c>
      <c r="AF126" s="2840">
        <f t="shared" si="5"/>
        <v>0</v>
      </c>
      <c r="AG126" s="2840">
        <f t="shared" si="5"/>
        <v>0</v>
      </c>
    </row>
    <row r="127" spans="2:35">
      <c r="B127" s="1824" t="str">
        <f>'SE km&amp;fuel data'!A229</f>
        <v>varav Eo1</v>
      </c>
      <c r="C127" s="1147">
        <f>'SE km&amp;fuel data'!B229</f>
        <v>0.93132000000000004</v>
      </c>
      <c r="D127" s="1147">
        <f>'SE km&amp;fuel data'!C229</f>
        <v>0.71639999999999993</v>
      </c>
      <c r="E127" s="1328">
        <f>'SE km&amp;fuel data'!D229</f>
        <v>0.64476</v>
      </c>
      <c r="F127" s="1147">
        <f>'SE km&amp;fuel data'!E229</f>
        <v>0.68058000000000007</v>
      </c>
      <c r="G127" s="1147">
        <f>'SE km&amp;fuel data'!F229</f>
        <v>0.82386000000000004</v>
      </c>
      <c r="H127" s="1147">
        <f>'SE km&amp;fuel data'!G229</f>
        <v>0.93132000000000004</v>
      </c>
      <c r="I127" s="1147">
        <f>'SE km&amp;fuel data'!H229</f>
        <v>1.0746</v>
      </c>
      <c r="J127" s="1825">
        <f>'SE km&amp;fuel data'!I229</f>
        <v>1.54026</v>
      </c>
    </row>
    <row r="128" spans="2:35">
      <c r="B128" s="1824" t="str">
        <f>'SE km&amp;fuel data'!A230</f>
        <v>varav Eo2-6</v>
      </c>
      <c r="C128" s="1147">
        <f>'SE km&amp;fuel data'!B230</f>
        <v>1.5997800000000002</v>
      </c>
      <c r="D128" s="1147">
        <f>'SE km&amp;fuel data'!C230</f>
        <v>3.5042800000000001</v>
      </c>
      <c r="E128" s="1328">
        <f>'SE km&amp;fuel data'!D230</f>
        <v>6.1705800000000011</v>
      </c>
      <c r="F128" s="1147">
        <f>'SE km&amp;fuel data'!E230</f>
        <v>3.12338</v>
      </c>
      <c r="G128" s="1147">
        <f>'SE km&amp;fuel data'!F230</f>
        <v>1.9045000000000003</v>
      </c>
      <c r="H128" s="1147">
        <f>'SE km&amp;fuel data'!G230</f>
        <v>1.8664100000000001</v>
      </c>
      <c r="I128" s="1147">
        <f>'SE km&amp;fuel data'!H230</f>
        <v>1.94259</v>
      </c>
      <c r="J128" s="1825">
        <f>'SE km&amp;fuel data'!I230</f>
        <v>0.87607000000000002</v>
      </c>
    </row>
    <row r="129" spans="2:21">
      <c r="B129" s="233"/>
      <c r="C129" s="234"/>
      <c r="D129" s="234"/>
      <c r="E129" s="234"/>
      <c r="F129" s="234"/>
      <c r="G129" s="234"/>
      <c r="H129" s="234"/>
      <c r="I129" s="234"/>
      <c r="J129" s="235"/>
    </row>
    <row r="130" spans="2:21">
      <c r="B130" s="233"/>
      <c r="C130" s="234"/>
      <c r="D130" s="234"/>
      <c r="E130" s="234"/>
      <c r="F130" s="234"/>
      <c r="G130" s="234"/>
      <c r="H130" s="234"/>
      <c r="I130" s="234"/>
      <c r="J130" s="235"/>
    </row>
    <row r="131" spans="2:21">
      <c r="B131" s="233"/>
      <c r="C131" s="234"/>
      <c r="D131" s="234"/>
      <c r="E131" s="234"/>
      <c r="F131" s="234"/>
      <c r="G131" s="234"/>
      <c r="H131" s="234"/>
      <c r="I131" s="234"/>
      <c r="J131" s="235"/>
      <c r="O131" s="765" t="s">
        <v>3231</v>
      </c>
    </row>
    <row r="132" spans="2:21">
      <c r="B132" s="233"/>
      <c r="C132" s="234"/>
      <c r="D132" s="234"/>
      <c r="E132" s="234"/>
      <c r="F132" s="234"/>
      <c r="G132" s="234"/>
      <c r="H132" s="234"/>
      <c r="I132" s="234"/>
      <c r="J132" s="235"/>
      <c r="O132" s="765" t="s">
        <v>3232</v>
      </c>
      <c r="S132" s="765" t="s">
        <v>3233</v>
      </c>
      <c r="T132" s="765" t="s">
        <v>3234</v>
      </c>
      <c r="U132" s="765" t="s">
        <v>3235</v>
      </c>
    </row>
    <row r="133" spans="2:21">
      <c r="B133" s="320" t="str">
        <f>'SE km&amp;fuel data'!A235</f>
        <v>Tabell 15 Användning av diesel, Eo1 och Eo2-6 för utrikes sjöfart, 2008-2015, uttryckt i 1000 m3</v>
      </c>
      <c r="C133" s="234"/>
      <c r="D133" s="234"/>
      <c r="E133" s="234"/>
      <c r="F133" s="234"/>
      <c r="G133" s="234"/>
      <c r="H133" s="234"/>
      <c r="I133" s="234"/>
      <c r="J133" s="235"/>
      <c r="N133">
        <v>2010</v>
      </c>
      <c r="O133">
        <v>5164367</v>
      </c>
      <c r="S133" s="31">
        <v>4803659</v>
      </c>
      <c r="T133">
        <v>3757987</v>
      </c>
      <c r="U133">
        <v>1045671</v>
      </c>
    </row>
    <row r="134" spans="2:21">
      <c r="B134" s="233"/>
      <c r="C134" s="234"/>
      <c r="D134" s="234"/>
      <c r="E134" s="234"/>
      <c r="F134" s="234"/>
      <c r="G134" s="234"/>
      <c r="H134" s="234"/>
      <c r="I134" s="234"/>
      <c r="J134" s="235"/>
      <c r="U134">
        <f>U133+T133</f>
        <v>4803658</v>
      </c>
    </row>
    <row r="135" spans="2:21">
      <c r="B135" s="320" t="str">
        <f>'SE km&amp;fuel data'!A237</f>
        <v>År</v>
      </c>
      <c r="C135" s="1676">
        <f>'SE km&amp;fuel data'!B237</f>
        <v>2008</v>
      </c>
      <c r="D135" s="1676">
        <f>'SE km&amp;fuel data'!C237</f>
        <v>2009</v>
      </c>
      <c r="E135" s="1676">
        <f>'SE km&amp;fuel data'!D237</f>
        <v>2010</v>
      </c>
      <c r="F135" s="1676">
        <f>'SE km&amp;fuel data'!E237</f>
        <v>2011</v>
      </c>
      <c r="G135" s="1676">
        <f>'SE km&amp;fuel data'!F237</f>
        <v>2012</v>
      </c>
      <c r="H135" s="1676">
        <f>'SE km&amp;fuel data'!G237</f>
        <v>2013</v>
      </c>
      <c r="I135" s="1676">
        <f>'SE km&amp;fuel data'!H237</f>
        <v>2014</v>
      </c>
      <c r="J135" s="1677">
        <f>'SE km&amp;fuel data'!I237</f>
        <v>2015</v>
      </c>
    </row>
    <row r="136" spans="2:21">
      <c r="B136" s="471" t="str">
        <f>'SE km&amp;fuel data'!A238</f>
        <v>Utrikes sjöfart</v>
      </c>
      <c r="C136" s="234">
        <f>'SE km&amp;fuel data'!B238</f>
        <v>2292</v>
      </c>
      <c r="D136" s="234">
        <f>'SE km&amp;fuel data'!C238</f>
        <v>2384</v>
      </c>
      <c r="E136" s="873">
        <f>'SE km&amp;fuel data'!D238</f>
        <v>2211</v>
      </c>
      <c r="F136" s="234">
        <f>'SE km&amp;fuel data'!E238</f>
        <v>1943</v>
      </c>
      <c r="G136" s="234">
        <f>'SE km&amp;fuel data'!F238</f>
        <v>1912</v>
      </c>
      <c r="H136" s="234">
        <f>'SE km&amp;fuel data'!G238</f>
        <v>1809</v>
      </c>
      <c r="I136" s="234">
        <f>'SE km&amp;fuel data'!H238</f>
        <v>1948</v>
      </c>
      <c r="J136" s="235">
        <f>'SE km&amp;fuel data'!I238</f>
        <v>2048</v>
      </c>
      <c r="M136" s="765" t="s">
        <v>3238</v>
      </c>
      <c r="N136" s="765" t="s">
        <v>3236</v>
      </c>
      <c r="P136">
        <v>9800</v>
      </c>
      <c r="Q136" s="765" t="s">
        <v>3237</v>
      </c>
      <c r="R136" s="765" t="s">
        <v>2148</v>
      </c>
      <c r="S136">
        <f>P136*S133/10^9</f>
        <v>47.075858199999999</v>
      </c>
      <c r="T136" s="754">
        <f>P136*T133/10^9</f>
        <v>36.828272599999998</v>
      </c>
      <c r="U136" s="754">
        <f>P136*U133/10^9</f>
        <v>10.2475758</v>
      </c>
    </row>
    <row r="137" spans="2:21">
      <c r="B137" s="471" t="str">
        <f>'SE km&amp;fuel data'!A239</f>
        <v>varav dieselolja och Eo1</v>
      </c>
      <c r="C137" s="234">
        <f>'SE km&amp;fuel data'!B239</f>
        <v>121</v>
      </c>
      <c r="D137" s="234">
        <f>'SE km&amp;fuel data'!C239</f>
        <v>102</v>
      </c>
      <c r="E137" s="234">
        <f>'SE km&amp;fuel data'!D239</f>
        <v>214</v>
      </c>
      <c r="F137" s="234">
        <f>'SE km&amp;fuel data'!E239</f>
        <v>242</v>
      </c>
      <c r="G137" s="234">
        <f>'SE km&amp;fuel data'!F239</f>
        <v>282</v>
      </c>
      <c r="H137" s="234">
        <f>'SE km&amp;fuel data'!G239</f>
        <v>287</v>
      </c>
      <c r="I137" s="234">
        <f>'SE km&amp;fuel data'!H239</f>
        <v>374</v>
      </c>
      <c r="J137" s="235">
        <f>'SE km&amp;fuel data'!I239</f>
        <v>885</v>
      </c>
      <c r="R137" s="765" t="s">
        <v>44</v>
      </c>
      <c r="S137">
        <f>S136*3.6</f>
        <v>169.47308952</v>
      </c>
      <c r="T137" s="754">
        <f>T136*3.6</f>
        <v>132.58178136000001</v>
      </c>
      <c r="U137" s="754">
        <f>U136*3.6</f>
        <v>36.891272880000002</v>
      </c>
    </row>
    <row r="138" spans="2:21">
      <c r="B138" s="471" t="str">
        <f>'SE km&amp;fuel data'!A240</f>
        <v>varav Eo2-6</v>
      </c>
      <c r="C138" s="234">
        <f>'SE km&amp;fuel data'!B240</f>
        <v>2171</v>
      </c>
      <c r="D138" s="234">
        <f>'SE km&amp;fuel data'!C240</f>
        <v>2283</v>
      </c>
      <c r="E138" s="234">
        <f>'SE km&amp;fuel data'!D240</f>
        <v>1997</v>
      </c>
      <c r="F138" s="234">
        <f>'SE km&amp;fuel data'!E240</f>
        <v>1701</v>
      </c>
      <c r="G138" s="234">
        <f>'SE km&amp;fuel data'!F240</f>
        <v>1630</v>
      </c>
      <c r="H138" s="234">
        <f>'SE km&amp;fuel data'!G240</f>
        <v>1522</v>
      </c>
      <c r="I138" s="234">
        <f>'SE km&amp;fuel data'!H240</f>
        <v>1574</v>
      </c>
      <c r="J138" s="235">
        <f>'SE km&amp;fuel data'!I240</f>
        <v>1163</v>
      </c>
    </row>
    <row r="139" spans="2:21">
      <c r="B139" s="233"/>
      <c r="C139" s="234"/>
      <c r="D139" s="234"/>
      <c r="E139" s="234"/>
      <c r="F139" s="234"/>
      <c r="G139" s="234"/>
      <c r="H139" s="234"/>
      <c r="I139" s="234"/>
      <c r="J139" s="235"/>
    </row>
    <row r="140" spans="2:21">
      <c r="B140" s="1820" t="str">
        <f>'SE km&amp;fuel data'!A242</f>
        <v>PJ</v>
      </c>
      <c r="C140" s="1821"/>
      <c r="D140" s="1821"/>
      <c r="E140" s="1821"/>
      <c r="F140" s="1821"/>
      <c r="G140" s="1821"/>
      <c r="H140" s="1821"/>
      <c r="I140" s="1821"/>
      <c r="J140" s="1822"/>
    </row>
    <row r="141" spans="2:21">
      <c r="B141" s="1823" t="str">
        <f>'SE km&amp;fuel data'!A243</f>
        <v>År</v>
      </c>
      <c r="C141" s="1821">
        <f>'SE km&amp;fuel data'!B243</f>
        <v>2008</v>
      </c>
      <c r="D141" s="1821">
        <f>'SE km&amp;fuel data'!C243</f>
        <v>2009</v>
      </c>
      <c r="E141" s="1127">
        <f>'SE km&amp;fuel data'!D243</f>
        <v>2010</v>
      </c>
      <c r="F141" s="1821">
        <f>'SE km&amp;fuel data'!E243</f>
        <v>2011</v>
      </c>
      <c r="G141" s="1821">
        <f>'SE km&amp;fuel data'!F243</f>
        <v>2012</v>
      </c>
      <c r="H141" s="1821">
        <f>'SE km&amp;fuel data'!G243</f>
        <v>2013</v>
      </c>
      <c r="I141" s="1821">
        <f>'SE km&amp;fuel data'!H243</f>
        <v>2014</v>
      </c>
      <c r="J141" s="1822">
        <f>'SE km&amp;fuel data'!I243</f>
        <v>2015</v>
      </c>
    </row>
    <row r="142" spans="2:21">
      <c r="B142" s="1824" t="str">
        <f>'SE km&amp;fuel data'!A244</f>
        <v>Utrikes sjöfart</v>
      </c>
      <c r="C142" s="1826">
        <f>'SE km&amp;fuel data'!B244</f>
        <v>86.962270000000004</v>
      </c>
      <c r="D142" s="1826">
        <f>'SE km&amp;fuel data'!C244</f>
        <v>90.558030000000002</v>
      </c>
      <c r="E142" s="1827">
        <f>'SE km&amp;fuel data'!D244</f>
        <v>83.615650000000016</v>
      </c>
      <c r="F142" s="1826">
        <f>'SE km&amp;fuel data'!E244</f>
        <v>73.328850000000003</v>
      </c>
      <c r="G142" s="1826">
        <f>'SE km&amp;fuel data'!F244</f>
        <v>72.035660000000007</v>
      </c>
      <c r="H142" s="1826">
        <f>'SE km&amp;fuel data'!G244</f>
        <v>68.098340000000007</v>
      </c>
      <c r="I142" s="1826">
        <f>'SE km&amp;fuel data'!H244</f>
        <v>73.148380000000003</v>
      </c>
      <c r="J142" s="871">
        <f>'SE km&amp;fuel data'!I244</f>
        <v>75.521470000000008</v>
      </c>
    </row>
    <row r="143" spans="2:21">
      <c r="B143" s="1824" t="str">
        <f>'SE km&amp;fuel data'!A245</f>
        <v>varav dieselolja och Eo1</v>
      </c>
      <c r="C143" s="1147">
        <f>'SE km&amp;fuel data'!B245</f>
        <v>4.2688800000000002</v>
      </c>
      <c r="D143" s="1147">
        <f>'SE km&amp;fuel data'!C245</f>
        <v>3.59856</v>
      </c>
      <c r="E143" s="1328">
        <f>'SE km&amp;fuel data'!D245</f>
        <v>7.5499200000000002</v>
      </c>
      <c r="F143" s="1147">
        <f>'SE km&amp;fuel data'!E245</f>
        <v>8.5377600000000005</v>
      </c>
      <c r="G143" s="1147">
        <f>'SE km&amp;fuel data'!F245</f>
        <v>9.9489600000000014</v>
      </c>
      <c r="H143" s="1147">
        <f>'SE km&amp;fuel data'!G245</f>
        <v>10.125360000000001</v>
      </c>
      <c r="I143" s="1147">
        <f>'SE km&amp;fuel data'!H245</f>
        <v>13.194720000000002</v>
      </c>
      <c r="J143" s="1825">
        <f>'SE km&amp;fuel data'!I245</f>
        <v>31.222799999999999</v>
      </c>
    </row>
    <row r="144" spans="2:21">
      <c r="B144" s="1824" t="str">
        <f>'SE km&amp;fuel data'!A246</f>
        <v>varav Eo2-6</v>
      </c>
      <c r="C144" s="1826">
        <f>'SE km&amp;fuel data'!B246</f>
        <v>82.693390000000008</v>
      </c>
      <c r="D144" s="1826">
        <f>'SE km&amp;fuel data'!C246</f>
        <v>86.959469999999996</v>
      </c>
      <c r="E144" s="637">
        <f>'SE km&amp;fuel data'!D246</f>
        <v>76.065730000000016</v>
      </c>
      <c r="F144" s="1826">
        <f>'SE km&amp;fuel data'!E246</f>
        <v>64.791089999999997</v>
      </c>
      <c r="G144" s="1826">
        <f>'SE km&amp;fuel data'!F246</f>
        <v>62.086700000000008</v>
      </c>
      <c r="H144" s="1826">
        <f>'SE km&amp;fuel data'!G246</f>
        <v>57.97298</v>
      </c>
      <c r="I144" s="1826">
        <f>'SE km&amp;fuel data'!H246</f>
        <v>59.953660000000006</v>
      </c>
      <c r="J144" s="871">
        <f>'SE km&amp;fuel data'!I246</f>
        <v>44.298670000000008</v>
      </c>
    </row>
    <row r="145" spans="2:10">
      <c r="B145" s="233"/>
      <c r="C145" s="234"/>
      <c r="D145" s="234"/>
      <c r="E145" s="234"/>
      <c r="F145" s="234"/>
      <c r="G145" s="234"/>
      <c r="H145" s="234"/>
      <c r="I145" s="234"/>
      <c r="J145" s="235"/>
    </row>
    <row r="146" spans="2:10">
      <c r="B146" s="233"/>
      <c r="C146" s="234"/>
      <c r="D146" s="234"/>
      <c r="E146" s="234"/>
      <c r="F146" s="234"/>
      <c r="G146" s="234"/>
      <c r="H146" s="234"/>
      <c r="I146" s="234"/>
      <c r="J146" s="235"/>
    </row>
    <row r="147" spans="2:10">
      <c r="B147" s="320" t="str">
        <f>'SE km&amp;fuel data'!A249</f>
        <v>Tabell 13 Användning av flygbränsle för inrikes och utrikes transporter, 2008-2015, uttryckt i 1000 m3</v>
      </c>
      <c r="C147" s="234"/>
      <c r="D147" s="234"/>
      <c r="E147" s="234"/>
      <c r="F147" s="234"/>
      <c r="G147" s="234"/>
      <c r="H147" s="234"/>
      <c r="I147" s="234"/>
      <c r="J147" s="235"/>
    </row>
    <row r="148" spans="2:10">
      <c r="B148" s="233"/>
      <c r="C148" s="234"/>
      <c r="D148" s="234"/>
      <c r="E148" s="234"/>
      <c r="F148" s="234"/>
      <c r="G148" s="234"/>
      <c r="H148" s="234"/>
      <c r="I148" s="234"/>
      <c r="J148" s="235"/>
    </row>
    <row r="149" spans="2:10">
      <c r="B149" s="320" t="str">
        <f>'SE km&amp;fuel data'!A251</f>
        <v>År</v>
      </c>
      <c r="C149" s="1676">
        <f>'SE km&amp;fuel data'!B251</f>
        <v>2008</v>
      </c>
      <c r="D149" s="1676">
        <f>'SE km&amp;fuel data'!C251</f>
        <v>2009</v>
      </c>
      <c r="E149" s="1676">
        <f>'SE km&amp;fuel data'!D251</f>
        <v>2010</v>
      </c>
      <c r="F149" s="1676">
        <f>'SE km&amp;fuel data'!E251</f>
        <v>2011</v>
      </c>
      <c r="G149" s="1676">
        <f>'SE km&amp;fuel data'!F251</f>
        <v>2012</v>
      </c>
      <c r="H149" s="1676">
        <f>'SE km&amp;fuel data'!G251</f>
        <v>2013</v>
      </c>
      <c r="I149" s="1676">
        <f>'SE km&amp;fuel data'!H251</f>
        <v>2014</v>
      </c>
      <c r="J149" s="1677">
        <f>'SE km&amp;fuel data'!I251</f>
        <v>2015</v>
      </c>
    </row>
    <row r="150" spans="2:10">
      <c r="B150" s="471" t="str">
        <f>'SE km&amp;fuel data'!A252</f>
        <v>Flygbränsle</v>
      </c>
      <c r="C150" s="234">
        <f>'SE km&amp;fuel data'!B252</f>
        <v>1247</v>
      </c>
      <c r="D150" s="234">
        <f>'SE km&amp;fuel data'!C252</f>
        <v>1101</v>
      </c>
      <c r="E150" s="234">
        <f>'SE km&amp;fuel data'!D252</f>
        <v>1075</v>
      </c>
      <c r="F150" s="234">
        <f>'SE km&amp;fuel data'!E252</f>
        <v>1163</v>
      </c>
      <c r="G150" s="234">
        <f>'SE km&amp;fuel data'!F252</f>
        <v>1109</v>
      </c>
      <c r="H150" s="234">
        <f>'SE km&amp;fuel data'!G252</f>
        <v>1135</v>
      </c>
      <c r="I150" s="234">
        <f>'SE km&amp;fuel data'!H252</f>
        <v>1149</v>
      </c>
      <c r="J150" s="235">
        <f>'SE km&amp;fuel data'!I252</f>
        <v>1112</v>
      </c>
    </row>
    <row r="151" spans="2:10">
      <c r="B151" s="471" t="str">
        <f>'SE km&amp;fuel data'!A253</f>
        <v>varav inrikes</v>
      </c>
      <c r="C151" s="234">
        <f>'SE km&amp;fuel data'!B253</f>
        <v>241</v>
      </c>
      <c r="D151" s="234">
        <f>'SE km&amp;fuel data'!C253</f>
        <v>211</v>
      </c>
      <c r="E151" s="234">
        <f>'SE km&amp;fuel data'!D253</f>
        <v>199</v>
      </c>
      <c r="F151" s="234">
        <f>'SE km&amp;fuel data'!E253</f>
        <v>218</v>
      </c>
      <c r="G151" s="234">
        <f>'SE km&amp;fuel data'!F253</f>
        <v>214</v>
      </c>
      <c r="H151" s="234">
        <f>'SE km&amp;fuel data'!G253</f>
        <v>216</v>
      </c>
      <c r="I151" s="234">
        <f>'SE km&amp;fuel data'!H253</f>
        <v>213</v>
      </c>
      <c r="J151" s="235">
        <f>'SE km&amp;fuel data'!I253</f>
        <v>210</v>
      </c>
    </row>
    <row r="152" spans="2:10">
      <c r="B152" s="471" t="str">
        <f>'SE km&amp;fuel data'!A254</f>
        <v>varav utrikes</v>
      </c>
      <c r="C152" s="234">
        <f>'SE km&amp;fuel data'!B254</f>
        <v>1006</v>
      </c>
      <c r="D152" s="234">
        <f>'SE km&amp;fuel data'!C254</f>
        <v>890</v>
      </c>
      <c r="E152" s="234">
        <f>'SE km&amp;fuel data'!D254</f>
        <v>876</v>
      </c>
      <c r="F152" s="234">
        <f>'SE km&amp;fuel data'!E254</f>
        <v>945</v>
      </c>
      <c r="G152" s="234">
        <f>'SE km&amp;fuel data'!F254</f>
        <v>895</v>
      </c>
      <c r="H152" s="234">
        <f>'SE km&amp;fuel data'!G254</f>
        <v>919</v>
      </c>
      <c r="I152" s="234">
        <f>'SE km&amp;fuel data'!H254</f>
        <v>936</v>
      </c>
      <c r="J152" s="235">
        <f>'SE km&amp;fuel data'!I254</f>
        <v>902</v>
      </c>
    </row>
    <row r="153" spans="2:10">
      <c r="B153" s="233"/>
      <c r="C153" s="234"/>
      <c r="D153" s="234"/>
      <c r="E153" s="234"/>
      <c r="F153" s="234"/>
      <c r="G153" s="234"/>
      <c r="H153" s="234"/>
      <c r="I153" s="234"/>
      <c r="J153" s="235"/>
    </row>
    <row r="154" spans="2:10">
      <c r="B154" s="1820" t="str">
        <f>'SE km&amp;fuel data'!A256</f>
        <v>PJ</v>
      </c>
      <c r="C154" s="1821"/>
      <c r="D154" s="1821"/>
      <c r="E154" s="1821"/>
      <c r="F154" s="1821"/>
      <c r="G154" s="1821"/>
      <c r="H154" s="1821"/>
      <c r="I154" s="1821"/>
      <c r="J154" s="1822"/>
    </row>
    <row r="155" spans="2:10">
      <c r="B155" s="1823" t="str">
        <f>'SE km&amp;fuel data'!A257</f>
        <v>År</v>
      </c>
      <c r="C155" s="1821">
        <f>'SE km&amp;fuel data'!B257</f>
        <v>2008</v>
      </c>
      <c r="D155" s="1821">
        <f>'SE km&amp;fuel data'!C257</f>
        <v>2009</v>
      </c>
      <c r="E155" s="1127">
        <f>'SE km&amp;fuel data'!D257</f>
        <v>2010</v>
      </c>
      <c r="F155" s="1821">
        <f>'SE km&amp;fuel data'!E257</f>
        <v>2011</v>
      </c>
      <c r="G155" s="1821">
        <f>'SE km&amp;fuel data'!F257</f>
        <v>2012</v>
      </c>
      <c r="H155" s="1821">
        <f>'SE km&amp;fuel data'!G257</f>
        <v>2013</v>
      </c>
      <c r="I155" s="1821">
        <f>'SE km&amp;fuel data'!H257</f>
        <v>2014</v>
      </c>
      <c r="J155" s="1822">
        <f>'SE km&amp;fuel data'!I257</f>
        <v>2015</v>
      </c>
    </row>
    <row r="156" spans="2:10">
      <c r="B156" s="1824" t="str">
        <f>'SE km&amp;fuel data'!A258</f>
        <v>Flygbränsle</v>
      </c>
      <c r="C156" s="1826">
        <f>'SE km&amp;fuel data'!B258</f>
        <v>43.096320000000006</v>
      </c>
      <c r="D156" s="1826">
        <f>'SE km&amp;fuel data'!C258</f>
        <v>38.050560000000004</v>
      </c>
      <c r="E156" s="637">
        <f>'SE km&amp;fuel data'!D258</f>
        <v>37.152000000000001</v>
      </c>
      <c r="F156" s="1826">
        <f>'SE km&amp;fuel data'!E258</f>
        <v>40.193280000000001</v>
      </c>
      <c r="G156" s="1826">
        <f>'SE km&amp;fuel data'!F258</f>
        <v>38.327039999999997</v>
      </c>
      <c r="H156" s="1826">
        <f>'SE km&amp;fuel data'!G258</f>
        <v>39.2256</v>
      </c>
      <c r="I156" s="1826">
        <f>'SE km&amp;fuel data'!H258</f>
        <v>39.709440000000001</v>
      </c>
      <c r="J156" s="871">
        <f>'SE km&amp;fuel data'!I258</f>
        <v>38.430720000000008</v>
      </c>
    </row>
    <row r="157" spans="2:10">
      <c r="B157" s="1824" t="str">
        <f>'SE km&amp;fuel data'!A259</f>
        <v>varav inrikes</v>
      </c>
      <c r="C157" s="1147">
        <f>'SE km&amp;fuel data'!B259</f>
        <v>8.3289600000000004</v>
      </c>
      <c r="D157" s="1147">
        <f>'SE km&amp;fuel data'!C259</f>
        <v>7.2921600000000009</v>
      </c>
      <c r="E157" s="1328">
        <f>'SE km&amp;fuel data'!D259</f>
        <v>6.8774400000000009</v>
      </c>
      <c r="F157" s="1147">
        <f>'SE km&amp;fuel data'!E259</f>
        <v>7.5340800000000012</v>
      </c>
      <c r="G157" s="1147">
        <f>'SE km&amp;fuel data'!F259</f>
        <v>7.3958399999999997</v>
      </c>
      <c r="H157" s="1147">
        <f>'SE km&amp;fuel data'!G259</f>
        <v>7.4649600000000014</v>
      </c>
      <c r="I157" s="1147">
        <f>'SE km&amp;fuel data'!H259</f>
        <v>7.3612800000000007</v>
      </c>
      <c r="J157" s="1825">
        <f>'SE km&amp;fuel data'!I259</f>
        <v>7.2576000000000001</v>
      </c>
    </row>
    <row r="158" spans="2:10">
      <c r="B158" s="1824" t="str">
        <f>'SE km&amp;fuel data'!A260</f>
        <v>varav utrikes</v>
      </c>
      <c r="C158" s="1826">
        <f>'SE km&amp;fuel data'!B260</f>
        <v>34.767360000000004</v>
      </c>
      <c r="D158" s="1826">
        <f>'SE km&amp;fuel data'!C260</f>
        <v>30.758400000000002</v>
      </c>
      <c r="E158" s="637">
        <f>'SE km&amp;fuel data'!D260</f>
        <v>30.274560000000001</v>
      </c>
      <c r="F158" s="1826">
        <f>'SE km&amp;fuel data'!E260</f>
        <v>32.659199999999998</v>
      </c>
      <c r="G158" s="1826">
        <f>'SE km&amp;fuel data'!F260</f>
        <v>30.9312</v>
      </c>
      <c r="H158" s="1826">
        <f>'SE km&amp;fuel data'!G260</f>
        <v>31.760640000000002</v>
      </c>
      <c r="I158" s="1826">
        <f>'SE km&amp;fuel data'!H260</f>
        <v>32.34816</v>
      </c>
      <c r="J158" s="871">
        <f>'SE km&amp;fuel data'!I260</f>
        <v>31.173120000000004</v>
      </c>
    </row>
    <row r="159" spans="2:10">
      <c r="B159" s="233"/>
      <c r="C159" s="234"/>
      <c r="D159" s="234"/>
      <c r="E159" s="234"/>
      <c r="F159" s="234"/>
      <c r="G159" s="234"/>
      <c r="H159" s="234"/>
      <c r="I159" s="234"/>
      <c r="J159" s="235"/>
    </row>
    <row r="160" spans="2:10">
      <c r="B160" s="233"/>
      <c r="C160" s="234"/>
      <c r="D160" s="234"/>
      <c r="E160" s="234"/>
      <c r="F160" s="234"/>
      <c r="G160" s="234"/>
      <c r="H160" s="234"/>
      <c r="I160" s="234"/>
      <c r="J160" s="235"/>
    </row>
    <row r="161" spans="2:10">
      <c r="B161" s="233"/>
      <c r="C161" s="234"/>
      <c r="D161" s="234"/>
      <c r="E161" s="234"/>
      <c r="F161" s="234"/>
      <c r="G161" s="234"/>
      <c r="H161" s="234"/>
      <c r="I161" s="234"/>
      <c r="J161" s="235"/>
    </row>
    <row r="162" spans="2:10">
      <c r="B162" s="320" t="str">
        <f>'SE km&amp;fuel data'!A264</f>
        <v>Tabell 12 Användning av el, utrtryckt i GWh, samt dieselanvändning, uttryckt i 1000 m3, 2006-2014 i bantrafiken</v>
      </c>
      <c r="C162" s="234"/>
      <c r="D162" s="234"/>
      <c r="E162" s="234"/>
      <c r="F162" s="234"/>
      <c r="G162" s="234"/>
      <c r="H162" s="234"/>
      <c r="I162" s="234"/>
      <c r="J162" s="235"/>
    </row>
    <row r="163" spans="2:10">
      <c r="B163" s="233"/>
      <c r="C163" s="234"/>
      <c r="D163" s="234"/>
      <c r="E163" s="234"/>
      <c r="F163" s="234"/>
      <c r="G163" s="234"/>
      <c r="H163" s="234"/>
      <c r="I163" s="234"/>
      <c r="J163" s="235"/>
    </row>
    <row r="164" spans="2:10">
      <c r="B164" s="320" t="str">
        <f>'SE km&amp;fuel data'!A266</f>
        <v>År</v>
      </c>
      <c r="C164" s="1676">
        <f>'SE km&amp;fuel data'!B266</f>
        <v>2008</v>
      </c>
      <c r="D164" s="1676">
        <f>'SE km&amp;fuel data'!C266</f>
        <v>2009</v>
      </c>
      <c r="E164" s="1676">
        <f>'SE km&amp;fuel data'!D266</f>
        <v>2010</v>
      </c>
      <c r="F164" s="1676">
        <f>'SE km&amp;fuel data'!E266</f>
        <v>2011</v>
      </c>
      <c r="G164" s="1676">
        <f>'SE km&amp;fuel data'!F266</f>
        <v>2012</v>
      </c>
      <c r="H164" s="1676">
        <f>'SE km&amp;fuel data'!G266</f>
        <v>2013</v>
      </c>
      <c r="I164" s="1676">
        <f>'SE km&amp;fuel data'!H266</f>
        <v>2014</v>
      </c>
      <c r="J164" s="1677">
        <f>'SE km&amp;fuel data'!I266</f>
        <v>2015</v>
      </c>
    </row>
    <row r="165" spans="2:10">
      <c r="B165" s="233"/>
      <c r="C165" s="234"/>
      <c r="D165" s="234"/>
      <c r="E165" s="234"/>
      <c r="F165" s="234"/>
      <c r="G165" s="234"/>
      <c r="H165" s="234"/>
      <c r="I165" s="234"/>
      <c r="J165" s="235"/>
    </row>
    <row r="166" spans="2:10">
      <c r="B166" s="471" t="str">
        <f>'SE km&amp;fuel data'!A268</f>
        <v>El årlig statistik</v>
      </c>
      <c r="C166" s="234">
        <f>'SE km&amp;fuel data'!B268</f>
        <v>2361</v>
      </c>
      <c r="D166" s="234">
        <f>'SE km&amp;fuel data'!C268</f>
        <v>2442</v>
      </c>
      <c r="E166" s="234">
        <f>'SE km&amp;fuel data'!D268</f>
        <v>2405</v>
      </c>
      <c r="F166" s="234">
        <f>'SE km&amp;fuel data'!E268</f>
        <v>2640</v>
      </c>
      <c r="G166" s="234">
        <f>'SE km&amp;fuel data'!F268</f>
        <v>2685</v>
      </c>
      <c r="H166" s="234">
        <f>'SE km&amp;fuel data'!G268</f>
        <v>2750</v>
      </c>
      <c r="I166" s="234">
        <f>'SE km&amp;fuel data'!H268</f>
        <v>2616</v>
      </c>
      <c r="J166" s="235">
        <f>'SE km&amp;fuel data'!I268</f>
        <v>0</v>
      </c>
    </row>
    <row r="167" spans="2:10">
      <c r="B167" s="1828" t="str">
        <f>'SE km&amp;fuel data'!A269</f>
        <v>Varav högspänning</v>
      </c>
      <c r="C167" s="234">
        <f>'SE km&amp;fuel data'!B269</f>
        <v>2175</v>
      </c>
      <c r="D167" s="234">
        <f>'SE km&amp;fuel data'!C269</f>
        <v>2205</v>
      </c>
      <c r="E167" s="234">
        <f>'SE km&amp;fuel data'!D269</f>
        <v>2183</v>
      </c>
      <c r="F167" s="234">
        <f>'SE km&amp;fuel data'!E269</f>
        <v>2390</v>
      </c>
      <c r="G167" s="234">
        <f>'SE km&amp;fuel data'!F269</f>
        <v>2425</v>
      </c>
      <c r="H167" s="234">
        <f>'SE km&amp;fuel data'!G269</f>
        <v>2499</v>
      </c>
      <c r="I167" s="234">
        <f>'SE km&amp;fuel data'!H269</f>
        <v>2383</v>
      </c>
      <c r="J167" s="235">
        <f>'SE km&amp;fuel data'!I269</f>
        <v>0</v>
      </c>
    </row>
    <row r="168" spans="2:10">
      <c r="B168" s="1828" t="str">
        <f>'SE km&amp;fuel data'!A270</f>
        <v>Varav lågspänning</v>
      </c>
      <c r="C168" s="234">
        <f>'SE km&amp;fuel data'!B270</f>
        <v>186</v>
      </c>
      <c r="D168" s="234">
        <f>'SE km&amp;fuel data'!C270</f>
        <v>237</v>
      </c>
      <c r="E168" s="234">
        <f>'SE km&amp;fuel data'!D270</f>
        <v>222</v>
      </c>
      <c r="F168" s="234">
        <f>'SE km&amp;fuel data'!E270</f>
        <v>250</v>
      </c>
      <c r="G168" s="234">
        <f>'SE km&amp;fuel data'!F270</f>
        <v>260</v>
      </c>
      <c r="H168" s="234">
        <f>'SE km&amp;fuel data'!G270</f>
        <v>251</v>
      </c>
      <c r="I168" s="234">
        <f>'SE km&amp;fuel data'!H270</f>
        <v>232</v>
      </c>
      <c r="J168" s="235">
        <f>'SE km&amp;fuel data'!I270</f>
        <v>0</v>
      </c>
    </row>
    <row r="169" spans="2:10">
      <c r="B169" s="471" t="str">
        <f>'SE km&amp;fuel data'!A271</f>
        <v>Dieselanvändning inom bantrafiken</v>
      </c>
      <c r="C169" s="234">
        <f>'SE km&amp;fuel data'!B271</f>
        <v>27</v>
      </c>
      <c r="D169" s="234">
        <f>'SE km&amp;fuel data'!C271</f>
        <v>24</v>
      </c>
      <c r="E169" s="234">
        <f>'SE km&amp;fuel data'!D271</f>
        <v>24</v>
      </c>
      <c r="F169" s="234">
        <f>'SE km&amp;fuel data'!E271</f>
        <v>23</v>
      </c>
      <c r="G169" s="234">
        <f>'SE km&amp;fuel data'!F271</f>
        <v>23</v>
      </c>
      <c r="H169" s="234">
        <f>'SE km&amp;fuel data'!G271</f>
        <v>22</v>
      </c>
      <c r="I169" s="234">
        <f>'SE km&amp;fuel data'!H271</f>
        <v>22</v>
      </c>
      <c r="J169" s="235">
        <f>'SE km&amp;fuel data'!I271</f>
        <v>0</v>
      </c>
    </row>
    <row r="170" spans="2:10">
      <c r="B170" s="233"/>
      <c r="C170" s="234"/>
      <c r="D170" s="234"/>
      <c r="E170" s="234"/>
      <c r="F170" s="234"/>
      <c r="G170" s="234"/>
      <c r="H170" s="234"/>
      <c r="I170" s="234"/>
      <c r="J170" s="235"/>
    </row>
    <row r="171" spans="2:10">
      <c r="B171" s="1820" t="str">
        <f>'SE km&amp;fuel data'!A273</f>
        <v>PJ</v>
      </c>
      <c r="C171" s="1821">
        <f>'SE km&amp;fuel data'!B273</f>
        <v>0</v>
      </c>
      <c r="D171" s="1821">
        <f>'SE km&amp;fuel data'!C273</f>
        <v>0</v>
      </c>
      <c r="E171" s="1821">
        <f>'SE km&amp;fuel data'!D273</f>
        <v>0</v>
      </c>
      <c r="F171" s="1821">
        <f>'SE km&amp;fuel data'!E273</f>
        <v>0</v>
      </c>
      <c r="G171" s="1821">
        <f>'SE km&amp;fuel data'!F273</f>
        <v>0</v>
      </c>
      <c r="H171" s="1821">
        <f>'SE km&amp;fuel data'!G273</f>
        <v>0</v>
      </c>
      <c r="I171" s="1821">
        <f>'SE km&amp;fuel data'!H273</f>
        <v>0</v>
      </c>
      <c r="J171" s="1822">
        <f>'SE km&amp;fuel data'!I273</f>
        <v>0</v>
      </c>
    </row>
    <row r="172" spans="2:10">
      <c r="B172" s="1823" t="str">
        <f>'SE km&amp;fuel data'!A274</f>
        <v>År</v>
      </c>
      <c r="C172" s="1821">
        <f>'SE km&amp;fuel data'!B274</f>
        <v>2008</v>
      </c>
      <c r="D172" s="1821">
        <f>'SE km&amp;fuel data'!C274</f>
        <v>2009</v>
      </c>
      <c r="E172" s="1127">
        <f>'SE km&amp;fuel data'!D274</f>
        <v>2010</v>
      </c>
      <c r="F172" s="1821">
        <f>'SE km&amp;fuel data'!E274</f>
        <v>2011</v>
      </c>
      <c r="G172" s="1821">
        <f>'SE km&amp;fuel data'!F274</f>
        <v>2012</v>
      </c>
      <c r="H172" s="1821">
        <f>'SE km&amp;fuel data'!G274</f>
        <v>2013</v>
      </c>
      <c r="I172" s="1821">
        <f>'SE km&amp;fuel data'!H274</f>
        <v>2014</v>
      </c>
      <c r="J172" s="1822">
        <f>'SE km&amp;fuel data'!I274</f>
        <v>2015</v>
      </c>
    </row>
    <row r="173" spans="2:10">
      <c r="B173" s="868">
        <f>'SE km&amp;fuel data'!A275</f>
        <v>0</v>
      </c>
      <c r="C173" s="869">
        <f>'SE km&amp;fuel data'!B275</f>
        <v>0</v>
      </c>
      <c r="D173" s="869">
        <f>'SE km&amp;fuel data'!C275</f>
        <v>0</v>
      </c>
      <c r="E173" s="873">
        <f>'SE km&amp;fuel data'!D275</f>
        <v>0</v>
      </c>
      <c r="F173" s="869">
        <f>'SE km&amp;fuel data'!E275</f>
        <v>0</v>
      </c>
      <c r="G173" s="869">
        <f>'SE km&amp;fuel data'!F275</f>
        <v>0</v>
      </c>
      <c r="H173" s="869">
        <f>'SE km&amp;fuel data'!G275</f>
        <v>0</v>
      </c>
      <c r="I173" s="869">
        <f>'SE km&amp;fuel data'!H275</f>
        <v>0</v>
      </c>
      <c r="J173" s="870">
        <f>'SE km&amp;fuel data'!I275</f>
        <v>0</v>
      </c>
    </row>
    <row r="174" spans="2:10">
      <c r="B174" s="1824" t="str">
        <f>'SE km&amp;fuel data'!A276</f>
        <v>El årlig statistik</v>
      </c>
      <c r="C174" s="1147">
        <f>'SE km&amp;fuel data'!B276</f>
        <v>8.4996000000000009</v>
      </c>
      <c r="D174" s="1147">
        <f>'SE km&amp;fuel data'!C276</f>
        <v>8.7911999999999999</v>
      </c>
      <c r="E174" s="1328">
        <f>'SE km&amp;fuel data'!D276</f>
        <v>8.6579999999999995</v>
      </c>
      <c r="F174" s="1147">
        <f>'SE km&amp;fuel data'!E276</f>
        <v>9.5039999999999996</v>
      </c>
      <c r="G174" s="1147">
        <f>'SE km&amp;fuel data'!F276</f>
        <v>9.6660000000000004</v>
      </c>
      <c r="H174" s="1147">
        <f>'SE km&amp;fuel data'!G276</f>
        <v>9.8999999999999986</v>
      </c>
      <c r="I174" s="1147">
        <f>'SE km&amp;fuel data'!H276</f>
        <v>9.4139999999999997</v>
      </c>
      <c r="J174" s="870">
        <f>'SE km&amp;fuel data'!I276</f>
        <v>0</v>
      </c>
    </row>
    <row r="175" spans="2:10">
      <c r="B175" s="1829" t="str">
        <f>'SE km&amp;fuel data'!A277</f>
        <v>Varav högspänning</v>
      </c>
      <c r="C175" s="1147">
        <f>'SE km&amp;fuel data'!B277</f>
        <v>7.83</v>
      </c>
      <c r="D175" s="1147">
        <f>'SE km&amp;fuel data'!C277</f>
        <v>7.9379999999999997</v>
      </c>
      <c r="E175" s="1328">
        <f>'SE km&amp;fuel data'!D277</f>
        <v>7.8587999999999996</v>
      </c>
      <c r="F175" s="1147">
        <f>'SE km&amp;fuel data'!E277</f>
        <v>8.6039999999999992</v>
      </c>
      <c r="G175" s="1147">
        <f>'SE km&amp;fuel data'!F277</f>
        <v>8.73</v>
      </c>
      <c r="H175" s="1147">
        <f>'SE km&amp;fuel data'!G277</f>
        <v>8.9963999999999995</v>
      </c>
      <c r="I175" s="1147">
        <f>'SE km&amp;fuel data'!H277</f>
        <v>8.5787999999999993</v>
      </c>
      <c r="J175" s="870">
        <f>'SE km&amp;fuel data'!I277</f>
        <v>0</v>
      </c>
    </row>
    <row r="176" spans="2:10">
      <c r="B176" s="1829" t="str">
        <f>'SE km&amp;fuel data'!A278</f>
        <v>Varav lågspänning</v>
      </c>
      <c r="C176" s="1147">
        <f>'SE km&amp;fuel data'!B278</f>
        <v>0.66959999999999997</v>
      </c>
      <c r="D176" s="1147">
        <f>'SE km&amp;fuel data'!C278</f>
        <v>0.85319999999999996</v>
      </c>
      <c r="E176" s="1328">
        <f>'SE km&amp;fuel data'!D278</f>
        <v>0.79920000000000002</v>
      </c>
      <c r="F176" s="1147">
        <f>'SE km&amp;fuel data'!E278</f>
        <v>0.9</v>
      </c>
      <c r="G176" s="1147">
        <f>'SE km&amp;fuel data'!F278</f>
        <v>0.93600000000000005</v>
      </c>
      <c r="H176" s="1147">
        <f>'SE km&amp;fuel data'!G278</f>
        <v>0.90359999999999996</v>
      </c>
      <c r="I176" s="1147">
        <f>'SE km&amp;fuel data'!H278</f>
        <v>0.83520000000000005</v>
      </c>
      <c r="J176" s="870">
        <f>'SE km&amp;fuel data'!I278</f>
        <v>0</v>
      </c>
    </row>
    <row r="177" spans="2:10">
      <c r="B177" s="1824" t="str">
        <f>'SE km&amp;fuel data'!A279</f>
        <v>Dieselanvändning inom bantrafiken</v>
      </c>
      <c r="C177" s="1150">
        <f>'SE km&amp;fuel data'!B279</f>
        <v>0.95256000000000007</v>
      </c>
      <c r="D177" s="1150">
        <f>'SE km&amp;fuel data'!C279</f>
        <v>0.84672000000000003</v>
      </c>
      <c r="E177" s="1830">
        <f>'SE km&amp;fuel data'!D279</f>
        <v>0.84672000000000003</v>
      </c>
      <c r="F177" s="1150">
        <f>'SE km&amp;fuel data'!E279</f>
        <v>0.81144000000000005</v>
      </c>
      <c r="G177" s="1150">
        <f>'SE km&amp;fuel data'!F279</f>
        <v>0.81144000000000005</v>
      </c>
      <c r="H177" s="1150">
        <f>'SE km&amp;fuel data'!G279</f>
        <v>0.77616000000000007</v>
      </c>
      <c r="I177" s="1150">
        <f>'SE km&amp;fuel data'!H279</f>
        <v>0.77616000000000007</v>
      </c>
      <c r="J177" s="871">
        <f>'SE km&amp;fuel data'!I279</f>
        <v>0</v>
      </c>
    </row>
    <row r="178" spans="2:10">
      <c r="B178" s="233"/>
      <c r="C178" s="234"/>
      <c r="D178" s="234"/>
      <c r="E178" s="234"/>
      <c r="F178" s="234"/>
      <c r="G178" s="234"/>
      <c r="H178" s="234"/>
      <c r="I178" s="234"/>
      <c r="J178" s="235"/>
    </row>
    <row r="179" spans="2:10">
      <c r="B179" s="233"/>
      <c r="C179" s="234"/>
      <c r="D179" s="234"/>
      <c r="E179" s="234"/>
      <c r="F179" s="234"/>
      <c r="G179" s="234"/>
      <c r="H179" s="234"/>
      <c r="I179" s="234"/>
      <c r="J179" s="235"/>
    </row>
    <row r="180" spans="2:10">
      <c r="B180" s="320" t="str">
        <f>'SE km&amp;fuel data'!A282</f>
        <v>Tabell 1 Omräkningsfaktorer för energibärare</v>
      </c>
      <c r="C180" s="234"/>
      <c r="D180" s="234"/>
      <c r="E180" s="234"/>
      <c r="F180" s="234"/>
      <c r="G180" s="234"/>
      <c r="H180" s="234"/>
      <c r="I180" s="234"/>
      <c r="J180" s="235"/>
    </row>
    <row r="181" spans="2:10">
      <c r="B181" s="233"/>
      <c r="C181" s="234"/>
      <c r="D181" s="234"/>
      <c r="E181" s="234"/>
      <c r="F181" s="234"/>
      <c r="G181" s="234"/>
      <c r="H181" s="234"/>
      <c r="I181" s="234"/>
      <c r="J181" s="235"/>
    </row>
    <row r="182" spans="2:10">
      <c r="B182" s="320" t="str">
        <f>'SE km&amp;fuel data'!A284</f>
        <v xml:space="preserve">Bränsle </v>
      </c>
      <c r="C182" s="543"/>
      <c r="D182" s="1676" t="str">
        <f>'SE km&amp;fuel data'!C284</f>
        <v>Fysisk kvantitet</v>
      </c>
      <c r="E182" s="1676" t="str">
        <f>'SE km&amp;fuel data'!D284</f>
        <v>GJ</v>
      </c>
      <c r="F182" s="234"/>
      <c r="G182" s="234"/>
      <c r="H182" s="234"/>
      <c r="I182" s="234"/>
      <c r="J182" s="235"/>
    </row>
    <row r="183" spans="2:10">
      <c r="B183" s="471" t="str">
        <f>'SE km&amp;fuel data'!A285</f>
        <v>Motorbensin</v>
      </c>
      <c r="C183" s="234"/>
      <c r="D183" s="697" t="str">
        <f>'SE km&amp;fuel data'!C285</f>
        <v>1 m3</v>
      </c>
      <c r="E183" s="234">
        <f>'SE km&amp;fuel data'!D285</f>
        <v>32.76</v>
      </c>
      <c r="F183" s="234"/>
      <c r="G183" s="234"/>
      <c r="H183" s="234"/>
      <c r="I183" s="234"/>
      <c r="J183" s="235"/>
    </row>
    <row r="184" spans="2:10">
      <c r="B184" s="471" t="str">
        <f>'SE km&amp;fuel data'!A286</f>
        <v>Flygfotogen och övriga mellanoljor</v>
      </c>
      <c r="C184" s="234"/>
      <c r="D184" s="697" t="str">
        <f>'SE km&amp;fuel data'!C286</f>
        <v>1 m3</v>
      </c>
      <c r="E184" s="234">
        <f>'SE km&amp;fuel data'!D286</f>
        <v>34.56</v>
      </c>
      <c r="F184" s="234"/>
      <c r="G184" s="234"/>
      <c r="H184" s="234"/>
      <c r="I184" s="234"/>
      <c r="J184" s="235"/>
    </row>
    <row r="185" spans="2:10">
      <c r="B185" s="471" t="str">
        <f>'SE km&amp;fuel data'!A287</f>
        <v>Diesel</v>
      </c>
      <c r="C185" s="234"/>
      <c r="D185" s="697" t="str">
        <f>'SE km&amp;fuel data'!C287</f>
        <v>1 m3</v>
      </c>
      <c r="E185" s="234">
        <f>'SE km&amp;fuel data'!D287</f>
        <v>35.28</v>
      </c>
      <c r="F185" s="234"/>
      <c r="G185" s="234"/>
      <c r="H185" s="234"/>
      <c r="I185" s="234"/>
      <c r="J185" s="235"/>
    </row>
    <row r="186" spans="2:10">
      <c r="B186" s="471" t="str">
        <f>'SE km&amp;fuel data'!A288</f>
        <v>Tunn eldningsolja nr 1</v>
      </c>
      <c r="C186" s="234"/>
      <c r="D186" s="697" t="str">
        <f>'SE km&amp;fuel data'!C288</f>
        <v>1 m3</v>
      </c>
      <c r="E186" s="234">
        <f>'SE km&amp;fuel data'!D288</f>
        <v>35.82</v>
      </c>
      <c r="F186" s="234"/>
      <c r="G186" s="234"/>
      <c r="H186" s="234"/>
      <c r="I186" s="234"/>
      <c r="J186" s="235"/>
    </row>
    <row r="187" spans="2:10">
      <c r="B187" s="471" t="str">
        <f>'SE km&amp;fuel data'!A289</f>
        <v>Tjocka eldningsoljor nr2-6</v>
      </c>
      <c r="C187" s="234"/>
      <c r="D187" s="697" t="str">
        <f>'SE km&amp;fuel data'!C289</f>
        <v>1 m3</v>
      </c>
      <c r="E187" s="234">
        <f>'SE km&amp;fuel data'!D289</f>
        <v>38.090000000000003</v>
      </c>
      <c r="F187" s="234"/>
      <c r="G187" s="234"/>
      <c r="H187" s="234"/>
      <c r="I187" s="234"/>
      <c r="J187" s="235"/>
    </row>
    <row r="188" spans="2:10">
      <c r="B188" s="471" t="str">
        <f>'SE km&amp;fuel data'!A290</f>
        <v>Naturgas</v>
      </c>
      <c r="C188" s="234"/>
      <c r="D188" s="697" t="str">
        <f>'SE km&amp;fuel data'!C290</f>
        <v>1000 m3</v>
      </c>
      <c r="E188" s="234">
        <f>'SE km&amp;fuel data'!D290</f>
        <v>39.78</v>
      </c>
      <c r="F188" s="234"/>
      <c r="G188" s="234"/>
      <c r="H188" s="234"/>
      <c r="I188" s="234"/>
      <c r="J188" s="235"/>
    </row>
    <row r="189" spans="2:10">
      <c r="B189" s="471" t="str">
        <f>'SE km&amp;fuel data'!A291</f>
        <v>Etanol</v>
      </c>
      <c r="C189" s="234"/>
      <c r="D189" s="697" t="str">
        <f>'SE km&amp;fuel data'!C291</f>
        <v>1 m3</v>
      </c>
      <c r="E189" s="234">
        <f>'SE km&amp;fuel data'!D291</f>
        <v>21.24</v>
      </c>
      <c r="F189" s="234"/>
      <c r="G189" s="234"/>
      <c r="H189" s="234"/>
      <c r="I189" s="234"/>
      <c r="J189" s="235"/>
    </row>
    <row r="190" spans="2:10">
      <c r="B190" s="471" t="str">
        <f>'SE km&amp;fuel data'!A292</f>
        <v>FAME</v>
      </c>
      <c r="C190" s="234"/>
      <c r="D190" s="697" t="str">
        <f>'SE km&amp;fuel data'!C292</f>
        <v>1 m3</v>
      </c>
      <c r="E190" s="234">
        <f>'SE km&amp;fuel data'!D292</f>
        <v>33.01</v>
      </c>
      <c r="F190" s="234"/>
      <c r="G190" s="234"/>
      <c r="H190" s="234"/>
      <c r="I190" s="234"/>
      <c r="J190" s="235"/>
    </row>
    <row r="191" spans="2:10">
      <c r="B191" s="471" t="str">
        <f>'SE km&amp;fuel data'!A293</f>
        <v>Biogas</v>
      </c>
      <c r="C191" s="234"/>
      <c r="D191" s="697" t="str">
        <f>'SE km&amp;fuel data'!C293</f>
        <v>1000 m3</v>
      </c>
      <c r="E191" s="234">
        <f>'SE km&amp;fuel data'!D293</f>
        <v>34.92</v>
      </c>
      <c r="F191" s="234"/>
      <c r="G191" s="234"/>
      <c r="H191" s="234"/>
      <c r="I191" s="234"/>
      <c r="J191" s="235"/>
    </row>
    <row r="192" spans="2:10">
      <c r="B192" s="471" t="str">
        <f>'SE km&amp;fuel data'!A294</f>
        <v>HVO</v>
      </c>
      <c r="C192" s="234"/>
      <c r="D192" s="697" t="str">
        <f>'SE km&amp;fuel data'!C294</f>
        <v>1 m3</v>
      </c>
      <c r="E192" s="234">
        <f>'SE km&amp;fuel data'!D294</f>
        <v>33.979999999999997</v>
      </c>
      <c r="F192" s="234"/>
      <c r="G192" s="234"/>
      <c r="H192" s="234"/>
      <c r="I192" s="234"/>
      <c r="J192" s="235"/>
    </row>
    <row r="193" spans="2:10">
      <c r="B193" s="233"/>
      <c r="C193" s="234"/>
      <c r="D193" s="234">
        <f>'SE km&amp;fuel data'!C295</f>
        <v>0</v>
      </c>
      <c r="E193" s="234">
        <f>'SE km&amp;fuel data'!D295</f>
        <v>0</v>
      </c>
      <c r="F193" s="234"/>
      <c r="G193" s="234"/>
      <c r="H193" s="234"/>
      <c r="I193" s="234"/>
      <c r="J193" s="235"/>
    </row>
    <row r="194" spans="2:10">
      <c r="B194" s="1688"/>
      <c r="C194" s="404"/>
      <c r="D194" s="736" t="str">
        <f>'SE km&amp;fuel data'!C296</f>
        <v>1 GWh</v>
      </c>
      <c r="E194" s="404">
        <f>'SE km&amp;fuel data'!D296</f>
        <v>3600</v>
      </c>
      <c r="F194" s="404"/>
      <c r="G194" s="404"/>
      <c r="H194" s="404"/>
      <c r="I194" s="404"/>
      <c r="J194" s="405"/>
    </row>
    <row r="200" spans="2:10">
      <c r="D200">
        <f>'SE km&amp;fuel data'!J307</f>
        <v>2010</v>
      </c>
    </row>
    <row r="201" spans="2:10">
      <c r="D201" t="str">
        <f>'SE km&amp;fuel data'!J308</f>
        <v>[PJ]</v>
      </c>
    </row>
    <row r="202" spans="2:10">
      <c r="B202" t="str">
        <f>'SE km&amp;fuel data'!H309</f>
        <v>JÄRNVÄG</v>
      </c>
      <c r="C202" t="str">
        <f>'SE km&amp;fuel data'!I309</f>
        <v>El för persontrafik</v>
      </c>
      <c r="D202" s="12">
        <f>'SE km&amp;fuel data'!J309</f>
        <v>4.3608599999999997</v>
      </c>
    </row>
    <row r="203" spans="2:10">
      <c r="B203" t="str">
        <f>'SE km&amp;fuel data'!H310</f>
        <v>JÄRNVÄG</v>
      </c>
      <c r="C203" t="str">
        <f>'SE km&amp;fuel data'!I310</f>
        <v>El för godstrafik</v>
      </c>
      <c r="D203" s="12">
        <f>'SE km&amp;fuel data'!J310</f>
        <v>3.192876</v>
      </c>
    </row>
    <row r="204" spans="2:10">
      <c r="B204" t="str">
        <f>'SE km&amp;fuel data'!H311</f>
        <v>JÄRNVÄG</v>
      </c>
      <c r="C204" t="str">
        <f>'SE km&amp;fuel data'!I311</f>
        <v>Totalt för trafik</v>
      </c>
      <c r="D204" s="12">
        <f>'SE km&amp;fuel data'!J311</f>
        <v>7.5537360000000007</v>
      </c>
    </row>
    <row r="205" spans="2:10">
      <c r="D205" s="12"/>
    </row>
    <row r="206" spans="2:10">
      <c r="D206" s="12"/>
    </row>
    <row r="207" spans="2:10">
      <c r="B207" t="str">
        <f>'SE km&amp;fuel data'!H314</f>
        <v>JÄRNVÄG</v>
      </c>
      <c r="C207" t="str">
        <f>'SE km&amp;fuel data'!I314</f>
        <v>Diesel för persontrafik</v>
      </c>
      <c r="D207" s="12">
        <f>'SE km&amp;fuel data'!J314</f>
        <v>0.23284094400000002</v>
      </c>
    </row>
    <row r="208" spans="2:10">
      <c r="B208" t="str">
        <f>'SE km&amp;fuel data'!H315</f>
        <v>JÄRNVÄG</v>
      </c>
      <c r="C208" t="str">
        <f>'SE km&amp;fuel data'!I315</f>
        <v>Diesel för godstrafik</v>
      </c>
      <c r="D208" s="12">
        <f>'SE km&amp;fuel data'!J315</f>
        <v>0.60277503297576951</v>
      </c>
    </row>
    <row r="209" spans="2:4">
      <c r="B209" t="str">
        <f>'SE km&amp;fuel data'!H316</f>
        <v>JÄRNVÄG</v>
      </c>
      <c r="C209" t="str">
        <f>'SE km&amp;fuel data'!I316</f>
        <v>Totalt för trafik</v>
      </c>
      <c r="D209" s="12">
        <f>'SE km&amp;fuel data'!J316</f>
        <v>0.8356159769757695</v>
      </c>
    </row>
    <row r="210" spans="2:4">
      <c r="D210" s="12"/>
    </row>
    <row r="211" spans="2:4">
      <c r="B211" t="str">
        <f>'SE km&amp;fuel data'!H318</f>
        <v>SPÅRVÄG</v>
      </c>
      <c r="C211" t="str">
        <f>'SE km&amp;fuel data'!I318</f>
        <v>El för persontrafik</v>
      </c>
      <c r="D211" s="12">
        <f>'SE km&amp;fuel data'!J318</f>
        <v>0.26291160000000002</v>
      </c>
    </row>
    <row r="212" spans="2:4">
      <c r="D212" s="12"/>
    </row>
    <row r="213" spans="2:4">
      <c r="B213" t="str">
        <f>'SE km&amp;fuel data'!H320</f>
        <v>TUNNELBANA</v>
      </c>
      <c r="C213" t="str">
        <f>'SE km&amp;fuel data'!I320</f>
        <v>El för persontrafik</v>
      </c>
      <c r="D213" s="12">
        <f>'SE km&amp;fuel data'!J320</f>
        <v>0.72757440000000007</v>
      </c>
    </row>
    <row r="214" spans="2:4">
      <c r="D214" s="12"/>
    </row>
    <row r="215" spans="2:4">
      <c r="B215" t="str">
        <f>'SE km&amp;fuel data'!H322</f>
        <v>TOT</v>
      </c>
      <c r="C215" t="str">
        <f>'SE km&amp;fuel data'!I322</f>
        <v>El bantrafik tot</v>
      </c>
      <c r="D215" s="12">
        <f>'SE km&amp;fuel data'!J322</f>
        <v>8.5442219999999995</v>
      </c>
    </row>
    <row r="216" spans="2:4">
      <c r="B216" t="str">
        <f>'SE km&amp;fuel data'!H323</f>
        <v>TOT</v>
      </c>
      <c r="C216" t="str">
        <f>'SE km&amp;fuel data'!I323</f>
        <v>Diesel anv bantrafik tot</v>
      </c>
      <c r="D216" s="12">
        <f>'SE km&amp;fuel data'!J323</f>
        <v>0.8356159769757695</v>
      </c>
    </row>
  </sheetData>
  <pageMargins left="0.7" right="0.7" top="0.75" bottom="0.75" header="0.3" footer="0.3"/>
  <pageSetup paperSize="9" orientation="portrait"/>
  <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codeName="Sheet5">
    <tabColor rgb="FF92D050"/>
  </sheetPr>
  <dimension ref="A2:T129"/>
  <sheetViews>
    <sheetView topLeftCell="A105" zoomScale="85" zoomScaleNormal="85" workbookViewId="0">
      <selection activeCell="D124" sqref="D124"/>
    </sheetView>
  </sheetViews>
  <sheetFormatPr defaultColWidth="9.109375" defaultRowHeight="13.2"/>
  <cols>
    <col min="1" max="1" width="2.88671875" style="754" customWidth="1"/>
    <col min="2" max="2" width="11.88671875" style="754" bestFit="1" customWidth="1"/>
    <col min="3" max="3" width="6.33203125" style="754" bestFit="1" customWidth="1"/>
    <col min="4" max="4" width="13.109375" style="754" bestFit="1" customWidth="1"/>
    <col min="5" max="5" width="53.88671875" style="754" bestFit="1" customWidth="1"/>
    <col min="6" max="6" width="10.88671875" style="754" bestFit="1" customWidth="1"/>
    <col min="7" max="7" width="10.44140625" style="754" customWidth="1"/>
    <col min="8" max="10" width="9.109375" style="754"/>
    <col min="11" max="11" width="2.6640625" style="754" customWidth="1"/>
    <col min="12" max="12" width="21.88671875" style="754" bestFit="1" customWidth="1"/>
    <col min="13" max="13" width="9.109375" style="754"/>
    <col min="14" max="14" width="18" style="754" bestFit="1" customWidth="1"/>
    <col min="15" max="16384" width="9.109375" style="754"/>
  </cols>
  <sheetData>
    <row r="2" spans="1:19">
      <c r="B2" s="2"/>
      <c r="C2" s="2"/>
    </row>
    <row r="3" spans="1:19">
      <c r="B3" s="49" t="s">
        <v>9</v>
      </c>
      <c r="C3" s="49"/>
      <c r="D3" s="50"/>
      <c r="E3" s="50"/>
      <c r="F3" s="50"/>
      <c r="G3" s="50"/>
      <c r="H3" s="50"/>
      <c r="I3" s="50"/>
      <c r="J3" s="50"/>
    </row>
    <row r="4" spans="1:19" ht="13.8">
      <c r="B4" s="51" t="s">
        <v>6</v>
      </c>
      <c r="C4" s="51" t="s">
        <v>1</v>
      </c>
      <c r="D4" s="51" t="s">
        <v>4</v>
      </c>
      <c r="E4" s="51" t="s">
        <v>5</v>
      </c>
      <c r="F4" s="51" t="s">
        <v>7</v>
      </c>
      <c r="G4" s="51" t="s">
        <v>10</v>
      </c>
      <c r="H4" s="51" t="s">
        <v>11</v>
      </c>
      <c r="I4" s="51" t="s">
        <v>12</v>
      </c>
      <c r="J4" s="51" t="s">
        <v>13</v>
      </c>
    </row>
    <row r="5" spans="1:19" ht="21" thickBot="1">
      <c r="B5" s="52" t="s">
        <v>37</v>
      </c>
      <c r="C5" s="52" t="s">
        <v>29</v>
      </c>
      <c r="D5" s="52" t="s">
        <v>38</v>
      </c>
      <c r="E5" s="52" t="s">
        <v>39</v>
      </c>
      <c r="F5" s="52" t="s">
        <v>7</v>
      </c>
      <c r="G5" s="52" t="s">
        <v>40</v>
      </c>
      <c r="H5" s="52" t="s">
        <v>41</v>
      </c>
      <c r="I5" s="52" t="s">
        <v>42</v>
      </c>
      <c r="J5" s="52" t="s">
        <v>43</v>
      </c>
    </row>
    <row r="6" spans="1:19">
      <c r="B6" s="570" t="s">
        <v>17</v>
      </c>
      <c r="C6" s="58"/>
      <c r="D6" s="573" t="s">
        <v>2200</v>
      </c>
      <c r="E6" s="570" t="s">
        <v>2201</v>
      </c>
      <c r="F6" s="50" t="s">
        <v>79</v>
      </c>
      <c r="G6" s="58"/>
      <c r="H6" s="58"/>
      <c r="I6" s="58"/>
      <c r="J6" s="58"/>
    </row>
    <row r="7" spans="1:19" s="545" customFormat="1">
      <c r="A7" s="754"/>
      <c r="C7" s="54"/>
      <c r="D7" s="573" t="s">
        <v>2202</v>
      </c>
      <c r="E7" s="570" t="s">
        <v>235</v>
      </c>
      <c r="F7" s="50" t="s">
        <v>79</v>
      </c>
      <c r="G7" s="55"/>
      <c r="H7" s="55"/>
      <c r="I7" s="55"/>
      <c r="J7" s="55"/>
      <c r="N7" s="543"/>
    </row>
    <row r="8" spans="1:19">
      <c r="B8" s="58"/>
      <c r="C8" s="50"/>
      <c r="D8" s="573" t="s">
        <v>2203</v>
      </c>
      <c r="E8" s="570" t="s">
        <v>234</v>
      </c>
      <c r="F8" s="50" t="s">
        <v>79</v>
      </c>
      <c r="G8" s="55"/>
      <c r="H8" s="50"/>
      <c r="I8" s="50"/>
      <c r="J8" s="50"/>
      <c r="N8" s="543"/>
    </row>
    <row r="9" spans="1:19">
      <c r="B9" s="58"/>
      <c r="C9" s="58"/>
      <c r="D9" s="573" t="s">
        <v>2204</v>
      </c>
      <c r="E9" s="1983" t="s">
        <v>233</v>
      </c>
      <c r="F9" s="58" t="s">
        <v>79</v>
      </c>
      <c r="G9" s="59"/>
      <c r="H9" s="58"/>
      <c r="I9" s="58"/>
      <c r="J9" s="58"/>
      <c r="N9" s="3"/>
    </row>
    <row r="10" spans="1:19">
      <c r="B10" s="58"/>
      <c r="C10" s="58"/>
      <c r="D10" s="573" t="s">
        <v>2205</v>
      </c>
      <c r="E10" s="573" t="s">
        <v>2206</v>
      </c>
      <c r="F10" s="58" t="s">
        <v>79</v>
      </c>
      <c r="G10" s="59"/>
      <c r="H10" s="58"/>
      <c r="I10" s="58"/>
      <c r="J10" s="58"/>
      <c r="N10" s="3"/>
    </row>
    <row r="11" spans="1:19">
      <c r="B11" s="58"/>
      <c r="C11" s="59"/>
      <c r="D11" s="573" t="s">
        <v>2207</v>
      </c>
      <c r="E11" s="573" t="s">
        <v>2646</v>
      </c>
      <c r="F11" s="59" t="s">
        <v>79</v>
      </c>
      <c r="G11" s="59"/>
      <c r="H11" s="58"/>
      <c r="I11" s="58"/>
      <c r="J11" s="58"/>
      <c r="P11" s="391"/>
      <c r="Q11" s="391"/>
      <c r="R11" s="391"/>
      <c r="S11" s="391"/>
    </row>
    <row r="12" spans="1:19">
      <c r="B12" s="58"/>
      <c r="C12" s="59"/>
      <c r="D12" s="573" t="s">
        <v>2208</v>
      </c>
      <c r="E12" s="573" t="s">
        <v>2209</v>
      </c>
      <c r="F12" s="59" t="s">
        <v>79</v>
      </c>
      <c r="G12" s="59"/>
      <c r="H12" s="58"/>
      <c r="I12" s="58"/>
      <c r="J12" s="58"/>
      <c r="P12" s="391"/>
      <c r="Q12" s="391"/>
      <c r="R12" s="391"/>
      <c r="S12" s="391"/>
    </row>
    <row r="13" spans="1:19">
      <c r="B13" s="58"/>
      <c r="C13" s="59"/>
      <c r="D13" s="573" t="s">
        <v>2210</v>
      </c>
      <c r="E13" s="573" t="s">
        <v>2211</v>
      </c>
      <c r="F13" s="59" t="s">
        <v>79</v>
      </c>
      <c r="G13" s="59"/>
      <c r="H13" s="58"/>
      <c r="I13" s="58"/>
      <c r="J13" s="58"/>
      <c r="P13" s="391"/>
      <c r="Q13" s="391"/>
      <c r="R13" s="391"/>
      <c r="S13" s="391"/>
    </row>
    <row r="14" spans="1:19">
      <c r="B14" s="58"/>
      <c r="C14" s="59"/>
      <c r="D14" s="573" t="s">
        <v>2212</v>
      </c>
      <c r="E14" s="573" t="s">
        <v>2213</v>
      </c>
      <c r="F14" s="59" t="s">
        <v>79</v>
      </c>
      <c r="G14" s="59"/>
      <c r="H14" s="58"/>
      <c r="I14" s="58"/>
      <c r="J14" s="58"/>
      <c r="P14" s="391"/>
      <c r="Q14" s="391"/>
      <c r="R14" s="391"/>
      <c r="S14" s="391"/>
    </row>
    <row r="15" spans="1:19">
      <c r="B15" s="58"/>
      <c r="C15" s="59"/>
      <c r="D15" s="573" t="s">
        <v>2214</v>
      </c>
      <c r="E15" s="573" t="s">
        <v>2215</v>
      </c>
      <c r="F15" s="59" t="s">
        <v>79</v>
      </c>
      <c r="G15" s="59"/>
      <c r="H15" s="58"/>
      <c r="I15" s="58"/>
      <c r="J15" s="58"/>
      <c r="P15" s="391"/>
      <c r="Q15" s="391"/>
      <c r="R15" s="391"/>
      <c r="S15" s="391"/>
    </row>
    <row r="16" spans="1:19">
      <c r="B16" s="58"/>
      <c r="C16" s="59"/>
      <c r="D16" s="573" t="s">
        <v>2216</v>
      </c>
      <c r="E16" s="573" t="s">
        <v>2217</v>
      </c>
      <c r="F16" s="59" t="s">
        <v>79</v>
      </c>
      <c r="G16" s="59"/>
      <c r="H16" s="58"/>
      <c r="I16" s="58"/>
      <c r="J16" s="58"/>
      <c r="P16" s="391"/>
      <c r="Q16" s="391"/>
      <c r="R16" s="391"/>
      <c r="S16" s="391"/>
    </row>
    <row r="17" spans="2:19">
      <c r="B17" s="58"/>
      <c r="C17" s="59"/>
      <c r="D17" s="573" t="s">
        <v>2218</v>
      </c>
      <c r="E17" s="573" t="s">
        <v>2219</v>
      </c>
      <c r="F17" s="59" t="s">
        <v>79</v>
      </c>
      <c r="G17" s="59"/>
      <c r="H17" s="58"/>
      <c r="I17" s="58"/>
      <c r="J17" s="58"/>
      <c r="P17" s="391"/>
      <c r="Q17" s="391"/>
      <c r="R17" s="391"/>
      <c r="S17" s="391"/>
    </row>
    <row r="18" spans="2:19">
      <c r="B18" s="58"/>
      <c r="C18" s="59"/>
      <c r="D18" s="573" t="s">
        <v>2220</v>
      </c>
      <c r="E18" s="573" t="s">
        <v>2221</v>
      </c>
      <c r="F18" s="59" t="s">
        <v>79</v>
      </c>
      <c r="G18" s="59"/>
      <c r="H18" s="58"/>
      <c r="I18" s="58"/>
      <c r="J18" s="58"/>
      <c r="N18" s="3"/>
    </row>
    <row r="19" spans="2:19">
      <c r="B19" s="58"/>
      <c r="C19" s="59"/>
      <c r="D19" s="573" t="s">
        <v>2222</v>
      </c>
      <c r="E19" s="573" t="s">
        <v>2223</v>
      </c>
      <c r="F19" s="59" t="s">
        <v>79</v>
      </c>
      <c r="G19" s="59"/>
      <c r="H19" s="58"/>
      <c r="I19" s="58"/>
      <c r="J19" s="58"/>
      <c r="N19" s="3"/>
    </row>
    <row r="20" spans="2:19">
      <c r="B20" s="58"/>
      <c r="C20" s="59"/>
      <c r="D20" s="573" t="s">
        <v>2224</v>
      </c>
      <c r="E20" s="573" t="s">
        <v>2225</v>
      </c>
      <c r="F20" s="59" t="s">
        <v>79</v>
      </c>
      <c r="G20" s="59"/>
      <c r="H20" s="58"/>
      <c r="I20" s="58"/>
      <c r="J20" s="58"/>
      <c r="N20" s="3"/>
    </row>
    <row r="21" spans="2:19">
      <c r="B21" s="58"/>
      <c r="C21" s="59"/>
      <c r="D21" s="573" t="s">
        <v>2226</v>
      </c>
      <c r="E21" s="573" t="s">
        <v>2227</v>
      </c>
      <c r="F21" s="59" t="s">
        <v>79</v>
      </c>
      <c r="G21" s="59"/>
      <c r="H21" s="58"/>
      <c r="I21" s="58"/>
      <c r="J21" s="58"/>
      <c r="N21" s="3"/>
    </row>
    <row r="22" spans="2:19">
      <c r="B22" s="58"/>
      <c r="C22" s="59"/>
      <c r="D22" s="573" t="s">
        <v>2228</v>
      </c>
      <c r="E22" s="573" t="s">
        <v>2229</v>
      </c>
      <c r="F22" s="59" t="s">
        <v>79</v>
      </c>
      <c r="G22" s="59"/>
      <c r="H22" s="58"/>
      <c r="I22" s="58"/>
      <c r="J22" s="58"/>
      <c r="N22" s="3"/>
    </row>
    <row r="23" spans="2:19">
      <c r="B23" s="58"/>
      <c r="C23" s="59"/>
      <c r="D23" s="573" t="s">
        <v>2230</v>
      </c>
      <c r="E23" s="573" t="s">
        <v>2231</v>
      </c>
      <c r="F23" s="59" t="s">
        <v>79</v>
      </c>
      <c r="G23" s="59"/>
      <c r="H23" s="58"/>
      <c r="I23" s="58"/>
      <c r="J23" s="58"/>
    </row>
    <row r="24" spans="2:19">
      <c r="B24" s="58"/>
      <c r="C24" s="59"/>
      <c r="D24" s="573" t="s">
        <v>2232</v>
      </c>
      <c r="E24" s="573" t="s">
        <v>2233</v>
      </c>
      <c r="F24" s="59" t="s">
        <v>79</v>
      </c>
      <c r="G24" s="59"/>
      <c r="H24" s="58"/>
      <c r="I24" s="58"/>
      <c r="J24" s="58"/>
    </row>
    <row r="25" spans="2:19">
      <c r="C25" s="59"/>
      <c r="D25" s="573" t="s">
        <v>2234</v>
      </c>
      <c r="E25" s="573" t="s">
        <v>2235</v>
      </c>
      <c r="F25" s="59" t="s">
        <v>79</v>
      </c>
      <c r="G25" s="59"/>
      <c r="H25" s="58"/>
      <c r="I25" s="58"/>
      <c r="J25" s="58"/>
    </row>
    <row r="26" spans="2:19">
      <c r="C26" s="59"/>
      <c r="D26" s="573" t="s">
        <v>2236</v>
      </c>
      <c r="E26" s="573" t="s">
        <v>2237</v>
      </c>
      <c r="F26" s="59" t="s">
        <v>79</v>
      </c>
      <c r="G26" s="59"/>
      <c r="H26" s="58"/>
      <c r="I26" s="58"/>
      <c r="J26" s="58"/>
    </row>
    <row r="27" spans="2:19">
      <c r="C27" s="59"/>
      <c r="D27" s="573" t="s">
        <v>2238</v>
      </c>
      <c r="E27" s="573" t="s">
        <v>2239</v>
      </c>
      <c r="F27" s="59" t="s">
        <v>79</v>
      </c>
      <c r="G27" s="59"/>
      <c r="H27" s="58"/>
      <c r="I27" s="58"/>
      <c r="J27" s="58"/>
    </row>
    <row r="28" spans="2:19">
      <c r="C28" s="59"/>
      <c r="D28" s="573" t="s">
        <v>2240</v>
      </c>
      <c r="E28" s="573" t="s">
        <v>2241</v>
      </c>
      <c r="F28" s="59" t="s">
        <v>79</v>
      </c>
      <c r="G28" s="59"/>
      <c r="H28" s="58"/>
      <c r="I28" s="58"/>
      <c r="J28" s="58"/>
    </row>
    <row r="29" spans="2:19">
      <c r="B29" s="58"/>
      <c r="C29" s="59"/>
      <c r="D29" s="573" t="s">
        <v>2242</v>
      </c>
      <c r="E29" s="573" t="s">
        <v>2243</v>
      </c>
      <c r="F29" s="59" t="s">
        <v>79</v>
      </c>
      <c r="G29" s="59"/>
      <c r="H29" s="58"/>
      <c r="I29" s="58"/>
      <c r="J29" s="58"/>
      <c r="S29" s="58"/>
    </row>
    <row r="30" spans="2:19">
      <c r="B30" s="58"/>
      <c r="C30" s="59"/>
      <c r="D30" s="573" t="s">
        <v>2244</v>
      </c>
      <c r="E30" s="573" t="s">
        <v>2245</v>
      </c>
      <c r="F30" s="59" t="s">
        <v>79</v>
      </c>
      <c r="G30" s="59"/>
      <c r="H30" s="58"/>
      <c r="I30" s="58"/>
      <c r="J30" s="58"/>
      <c r="K30" s="543"/>
      <c r="L30" s="543"/>
      <c r="S30" s="58"/>
    </row>
    <row r="31" spans="2:19">
      <c r="B31" s="58"/>
      <c r="C31" s="59"/>
      <c r="D31" s="573" t="s">
        <v>2246</v>
      </c>
      <c r="E31" s="573" t="s">
        <v>2247</v>
      </c>
      <c r="F31" s="59" t="s">
        <v>79</v>
      </c>
      <c r="G31" s="59"/>
      <c r="H31" s="58"/>
      <c r="I31" s="58"/>
      <c r="J31" s="58"/>
      <c r="K31" s="543"/>
      <c r="L31" s="543"/>
      <c r="S31" s="58"/>
    </row>
    <row r="32" spans="2:19">
      <c r="B32" s="58"/>
      <c r="C32" s="59"/>
      <c r="D32" s="573" t="s">
        <v>2248</v>
      </c>
      <c r="E32" s="573" t="s">
        <v>553</v>
      </c>
      <c r="F32" s="59" t="s">
        <v>79</v>
      </c>
      <c r="G32" s="59"/>
      <c r="H32" s="58"/>
      <c r="I32" s="58"/>
      <c r="J32" s="58"/>
      <c r="K32" s="543"/>
      <c r="L32" s="543"/>
      <c r="S32" s="58"/>
    </row>
    <row r="33" spans="2:14">
      <c r="B33" s="58"/>
      <c r="C33" s="59"/>
      <c r="D33" s="573" t="s">
        <v>2249</v>
      </c>
      <c r="E33" s="573" t="s">
        <v>554</v>
      </c>
      <c r="F33" s="59" t="s">
        <v>79</v>
      </c>
      <c r="G33" s="59"/>
      <c r="H33" s="58"/>
      <c r="I33" s="58"/>
      <c r="J33" s="58"/>
      <c r="K33" s="543"/>
      <c r="L33" s="543"/>
    </row>
    <row r="34" spans="2:14">
      <c r="B34" s="58"/>
      <c r="C34" s="59"/>
      <c r="D34" s="573" t="s">
        <v>2250</v>
      </c>
      <c r="E34" s="573" t="s">
        <v>555</v>
      </c>
      <c r="F34" s="59" t="s">
        <v>79</v>
      </c>
      <c r="G34" s="59"/>
      <c r="H34" s="58"/>
      <c r="I34" s="58"/>
      <c r="J34" s="58"/>
      <c r="K34" s="543"/>
      <c r="L34" s="543"/>
    </row>
    <row r="35" spans="2:14">
      <c r="B35" s="58"/>
      <c r="C35" s="59"/>
      <c r="D35" s="570" t="s">
        <v>3565</v>
      </c>
      <c r="E35" s="570" t="s">
        <v>3566</v>
      </c>
      <c r="F35" s="50" t="s">
        <v>79</v>
      </c>
      <c r="G35" s="59"/>
      <c r="H35" s="58"/>
      <c r="I35" s="58"/>
      <c r="J35" s="58"/>
      <c r="K35" s="543"/>
      <c r="L35" s="543"/>
    </row>
    <row r="36" spans="2:14">
      <c r="D36" s="570" t="s">
        <v>3563</v>
      </c>
      <c r="E36" s="570" t="s">
        <v>3564</v>
      </c>
      <c r="F36" s="50" t="s">
        <v>79</v>
      </c>
    </row>
    <row r="37" spans="2:14">
      <c r="B37" s="58"/>
      <c r="C37" s="59"/>
      <c r="D37" s="573" t="s">
        <v>2251</v>
      </c>
      <c r="E37" s="573" t="s">
        <v>2252</v>
      </c>
      <c r="F37" s="59" t="s">
        <v>79</v>
      </c>
      <c r="G37" s="59"/>
      <c r="H37" s="58"/>
      <c r="I37" s="58"/>
      <c r="J37" s="58"/>
      <c r="K37" s="543"/>
      <c r="L37" s="543"/>
    </row>
    <row r="38" spans="2:14">
      <c r="B38" s="58"/>
      <c r="C38" s="59"/>
      <c r="D38" s="573" t="s">
        <v>2253</v>
      </c>
      <c r="E38" s="573" t="s">
        <v>2254</v>
      </c>
      <c r="F38" s="59" t="s">
        <v>79</v>
      </c>
      <c r="G38" s="59"/>
      <c r="H38" s="58"/>
      <c r="I38" s="58"/>
      <c r="J38" s="58"/>
      <c r="K38" s="543"/>
      <c r="L38" s="543"/>
      <c r="N38" s="3"/>
    </row>
    <row r="39" spans="2:14">
      <c r="B39" s="58"/>
      <c r="C39" s="59"/>
      <c r="D39" s="573" t="s">
        <v>2255</v>
      </c>
      <c r="E39" s="571" t="s">
        <v>2256</v>
      </c>
      <c r="F39" s="55" t="s">
        <v>79</v>
      </c>
      <c r="G39" s="59"/>
      <c r="H39" s="58"/>
      <c r="I39" s="58"/>
      <c r="J39" s="58"/>
      <c r="N39" s="3"/>
    </row>
    <row r="40" spans="2:14">
      <c r="B40" s="58"/>
      <c r="C40" s="59"/>
      <c r="D40" s="573" t="s">
        <v>2257</v>
      </c>
      <c r="E40" s="571" t="s">
        <v>2258</v>
      </c>
      <c r="F40" s="55" t="s">
        <v>79</v>
      </c>
      <c r="G40" s="59"/>
      <c r="H40" s="58"/>
      <c r="I40" s="58"/>
      <c r="J40" s="58"/>
      <c r="N40" s="3"/>
    </row>
    <row r="41" spans="2:14">
      <c r="B41" s="58"/>
      <c r="C41" s="59"/>
      <c r="D41" s="573" t="s">
        <v>2259</v>
      </c>
      <c r="E41" s="571" t="s">
        <v>2260</v>
      </c>
      <c r="F41" s="55" t="s">
        <v>79</v>
      </c>
      <c r="G41" s="59"/>
      <c r="H41" s="58"/>
      <c r="I41" s="58"/>
      <c r="J41" s="58"/>
    </row>
    <row r="42" spans="2:14">
      <c r="B42" s="58"/>
      <c r="C42" s="57"/>
      <c r="D42" s="572" t="s">
        <v>2261</v>
      </c>
      <c r="E42" s="572" t="s">
        <v>231</v>
      </c>
      <c r="F42" s="57" t="s">
        <v>80</v>
      </c>
      <c r="G42" s="57"/>
      <c r="H42" s="56"/>
      <c r="I42" s="56"/>
      <c r="J42" s="56"/>
      <c r="K42" s="543"/>
      <c r="L42" s="543"/>
    </row>
    <row r="43" spans="2:14">
      <c r="B43" s="58"/>
      <c r="C43" s="59"/>
      <c r="D43" s="573" t="s">
        <v>2262</v>
      </c>
      <c r="E43" s="573" t="s">
        <v>89</v>
      </c>
      <c r="F43" s="59" t="s">
        <v>80</v>
      </c>
      <c r="G43" s="59"/>
      <c r="H43" s="58"/>
      <c r="I43" s="58"/>
      <c r="J43" s="58"/>
      <c r="K43" s="543"/>
      <c r="L43" s="543"/>
    </row>
    <row r="44" spans="2:14">
      <c r="B44" s="58"/>
      <c r="C44" s="59"/>
      <c r="D44" s="573" t="s">
        <v>2263</v>
      </c>
      <c r="E44" s="573" t="s">
        <v>256</v>
      </c>
      <c r="F44" s="59" t="s">
        <v>80</v>
      </c>
      <c r="G44" s="59"/>
      <c r="H44" s="58"/>
      <c r="I44" s="58"/>
      <c r="J44" s="58"/>
      <c r="K44" s="543"/>
      <c r="L44" s="543"/>
    </row>
    <row r="45" spans="2:14">
      <c r="B45" s="58"/>
      <c r="C45" s="59"/>
      <c r="D45" s="573" t="s">
        <v>2264</v>
      </c>
      <c r="E45" s="573" t="s">
        <v>264</v>
      </c>
      <c r="F45" s="59" t="s">
        <v>80</v>
      </c>
      <c r="G45" s="59"/>
      <c r="H45" s="58"/>
      <c r="I45" s="58"/>
      <c r="J45" s="58"/>
      <c r="K45" s="543"/>
      <c r="L45" s="543"/>
    </row>
    <row r="46" spans="2:14">
      <c r="B46" s="58"/>
      <c r="C46" s="59"/>
      <c r="D46" s="573" t="s">
        <v>2265</v>
      </c>
      <c r="E46" s="573" t="s">
        <v>265</v>
      </c>
      <c r="F46" s="59" t="s">
        <v>80</v>
      </c>
      <c r="G46" s="59"/>
      <c r="H46" s="58"/>
      <c r="I46" s="58"/>
      <c r="J46" s="58"/>
      <c r="K46" s="543"/>
      <c r="L46" s="543"/>
    </row>
    <row r="47" spans="2:14">
      <c r="B47" s="58"/>
      <c r="C47" s="3003"/>
      <c r="D47" s="2549" t="s">
        <v>3467</v>
      </c>
      <c r="E47" s="2549" t="s">
        <v>3469</v>
      </c>
      <c r="F47" s="2549" t="s">
        <v>80</v>
      </c>
      <c r="G47" s="3003"/>
      <c r="H47" s="3004"/>
      <c r="I47" s="3004"/>
      <c r="J47" s="3004"/>
      <c r="K47" s="543"/>
      <c r="L47" s="543"/>
    </row>
    <row r="48" spans="2:14">
      <c r="B48" s="58"/>
      <c r="C48" s="59"/>
      <c r="D48" s="59" t="s">
        <v>3468</v>
      </c>
      <c r="E48" s="1984" t="s">
        <v>3470</v>
      </c>
      <c r="F48" s="59" t="s">
        <v>80</v>
      </c>
      <c r="G48" s="59"/>
      <c r="H48" s="58"/>
      <c r="I48" s="58"/>
      <c r="J48" s="58"/>
      <c r="K48" s="543"/>
      <c r="L48" s="543"/>
    </row>
    <row r="49" spans="2:13">
      <c r="B49" s="392"/>
      <c r="C49" s="3003"/>
      <c r="D49" s="3005" t="s">
        <v>2267</v>
      </c>
      <c r="E49" s="3005" t="s">
        <v>88</v>
      </c>
      <c r="F49" s="3003" t="s">
        <v>80</v>
      </c>
      <c r="G49" s="3003"/>
      <c r="H49" s="3004"/>
      <c r="I49" s="3004"/>
      <c r="J49" s="3004"/>
      <c r="K49" s="543"/>
      <c r="L49" s="543"/>
    </row>
    <row r="50" spans="2:13">
      <c r="B50" s="392"/>
      <c r="C50" s="59"/>
      <c r="D50" s="573" t="s">
        <v>2268</v>
      </c>
      <c r="E50" s="573" t="s">
        <v>87</v>
      </c>
      <c r="F50" s="59" t="s">
        <v>80</v>
      </c>
      <c r="G50" s="59"/>
      <c r="H50" s="58"/>
      <c r="I50" s="58"/>
      <c r="J50" s="58"/>
      <c r="K50" s="543"/>
      <c r="L50" s="543"/>
    </row>
    <row r="51" spans="2:13" ht="13.8" thickBot="1">
      <c r="B51" s="392"/>
      <c r="C51" s="1985"/>
      <c r="D51" s="1986" t="s">
        <v>2269</v>
      </c>
      <c r="E51" s="1986" t="s">
        <v>206</v>
      </c>
      <c r="F51" s="1985" t="s">
        <v>80</v>
      </c>
      <c r="G51" s="1987"/>
      <c r="H51" s="1988"/>
      <c r="I51" s="1988"/>
      <c r="J51" s="1988"/>
      <c r="K51" s="271"/>
    </row>
    <row r="52" spans="2:13">
      <c r="B52" s="570" t="s">
        <v>46</v>
      </c>
      <c r="C52" s="55"/>
      <c r="D52" s="50" t="s">
        <v>68</v>
      </c>
      <c r="E52" s="50" t="s">
        <v>292</v>
      </c>
      <c r="F52" s="570" t="s">
        <v>44</v>
      </c>
      <c r="G52" s="50"/>
      <c r="H52" s="50"/>
      <c r="I52" s="50"/>
      <c r="J52" s="50"/>
      <c r="M52" s="50"/>
    </row>
    <row r="53" spans="2:13">
      <c r="B53" s="58"/>
      <c r="C53" s="55"/>
      <c r="D53" s="570" t="s">
        <v>278</v>
      </c>
      <c r="E53" s="570" t="s">
        <v>3488</v>
      </c>
      <c r="F53" s="570" t="s">
        <v>44</v>
      </c>
      <c r="G53" s="50"/>
      <c r="H53" s="50"/>
      <c r="I53" s="50"/>
      <c r="J53" s="50"/>
      <c r="M53" s="570"/>
    </row>
    <row r="54" spans="2:13">
      <c r="B54" s="58"/>
      <c r="C54" s="55"/>
      <c r="D54" s="50" t="s">
        <v>69</v>
      </c>
      <c r="E54" s="50" t="s">
        <v>293</v>
      </c>
      <c r="F54" s="570" t="s">
        <v>44</v>
      </c>
      <c r="G54" s="50"/>
      <c r="H54" s="50"/>
      <c r="I54" s="50"/>
      <c r="J54" s="50"/>
      <c r="M54" s="50"/>
    </row>
    <row r="55" spans="2:13">
      <c r="B55" s="58"/>
      <c r="C55" s="55"/>
      <c r="D55" s="570" t="s">
        <v>277</v>
      </c>
      <c r="E55" s="570" t="s">
        <v>3489</v>
      </c>
      <c r="F55" s="570" t="s">
        <v>44</v>
      </c>
      <c r="G55" s="50"/>
      <c r="H55" s="50"/>
      <c r="I55" s="50"/>
      <c r="J55" s="50"/>
      <c r="M55" s="570"/>
    </row>
    <row r="56" spans="2:13">
      <c r="B56" s="58"/>
      <c r="C56" s="59"/>
      <c r="D56" s="50" t="s">
        <v>70</v>
      </c>
      <c r="E56" s="50" t="s">
        <v>295</v>
      </c>
      <c r="F56" s="570" t="s">
        <v>44</v>
      </c>
      <c r="G56" s="50"/>
      <c r="H56" s="50"/>
      <c r="I56" s="50"/>
      <c r="J56" s="50"/>
      <c r="K56" s="543"/>
      <c r="L56" s="543"/>
      <c r="M56" s="50"/>
    </row>
    <row r="57" spans="2:13">
      <c r="B57" s="58"/>
      <c r="C57" s="59"/>
      <c r="D57" s="50" t="s">
        <v>3476</v>
      </c>
      <c r="E57" s="50" t="s">
        <v>3490</v>
      </c>
      <c r="F57" s="570" t="s">
        <v>44</v>
      </c>
      <c r="G57" s="50"/>
      <c r="H57" s="50"/>
      <c r="I57" s="50"/>
      <c r="J57" s="50"/>
      <c r="K57" s="543"/>
      <c r="L57" s="543"/>
      <c r="M57" s="50"/>
    </row>
    <row r="58" spans="2:13">
      <c r="B58" s="58"/>
      <c r="C58" s="59"/>
      <c r="D58" s="50" t="s">
        <v>67</v>
      </c>
      <c r="E58" s="50" t="s">
        <v>294</v>
      </c>
      <c r="F58" s="570" t="s">
        <v>44</v>
      </c>
      <c r="G58" s="50"/>
      <c r="H58" s="50"/>
      <c r="I58" s="50"/>
      <c r="J58" s="50"/>
      <c r="K58" s="543"/>
      <c r="L58" s="543"/>
      <c r="M58" s="50"/>
    </row>
    <row r="59" spans="2:13">
      <c r="B59" s="58"/>
      <c r="C59" s="59"/>
      <c r="D59" s="3020" t="s">
        <v>280</v>
      </c>
      <c r="E59" s="3020" t="s">
        <v>3491</v>
      </c>
      <c r="F59" s="571" t="s">
        <v>44</v>
      </c>
      <c r="G59" s="50"/>
      <c r="H59" s="50"/>
      <c r="I59" s="50"/>
      <c r="J59" s="50"/>
      <c r="K59" s="543"/>
      <c r="L59" s="543"/>
      <c r="M59" s="3020"/>
    </row>
    <row r="60" spans="2:13">
      <c r="B60" s="58"/>
      <c r="C60" s="59"/>
      <c r="D60" s="570" t="s">
        <v>71</v>
      </c>
      <c r="E60" s="570" t="s">
        <v>296</v>
      </c>
      <c r="F60" s="571" t="s">
        <v>44</v>
      </c>
      <c r="G60" s="50"/>
      <c r="H60" s="50" t="s">
        <v>55</v>
      </c>
      <c r="I60" s="50"/>
      <c r="J60" s="50" t="s">
        <v>56</v>
      </c>
      <c r="K60" s="543"/>
      <c r="L60" s="543"/>
      <c r="M60" s="570"/>
    </row>
    <row r="61" spans="2:13">
      <c r="B61" s="58"/>
      <c r="C61" s="59"/>
      <c r="D61" s="570" t="s">
        <v>2723</v>
      </c>
      <c r="E61" s="570" t="s">
        <v>3492</v>
      </c>
      <c r="F61" s="571" t="s">
        <v>44</v>
      </c>
      <c r="G61" s="50"/>
      <c r="H61" s="50" t="s">
        <v>55</v>
      </c>
      <c r="I61" s="50"/>
      <c r="J61" s="50" t="s">
        <v>56</v>
      </c>
      <c r="K61" s="543"/>
      <c r="L61" s="543"/>
      <c r="M61" s="570"/>
    </row>
    <row r="62" spans="2:13">
      <c r="B62" s="58"/>
      <c r="C62" s="59"/>
      <c r="D62" s="570" t="s">
        <v>3477</v>
      </c>
      <c r="E62" s="570" t="s">
        <v>2724</v>
      </c>
      <c r="F62" s="571" t="s">
        <v>44</v>
      </c>
      <c r="G62" s="50"/>
      <c r="H62" s="50" t="s">
        <v>55</v>
      </c>
      <c r="I62" s="50"/>
      <c r="J62" s="50" t="s">
        <v>56</v>
      </c>
      <c r="K62" s="543"/>
      <c r="L62" s="543"/>
      <c r="M62" s="570"/>
    </row>
    <row r="63" spans="2:13">
      <c r="B63" s="58"/>
      <c r="C63" s="59"/>
      <c r="D63" s="570" t="s">
        <v>2272</v>
      </c>
      <c r="E63" s="570" t="s">
        <v>2273</v>
      </c>
      <c r="F63" s="571" t="s">
        <v>44</v>
      </c>
      <c r="K63" s="543"/>
      <c r="L63" s="543"/>
      <c r="M63" s="570"/>
    </row>
    <row r="64" spans="2:13">
      <c r="B64" s="58"/>
      <c r="C64" s="59"/>
      <c r="D64" s="570" t="s">
        <v>3478</v>
      </c>
      <c r="E64" s="570" t="s">
        <v>3493</v>
      </c>
      <c r="F64" s="545" t="s">
        <v>44</v>
      </c>
      <c r="K64" s="543"/>
      <c r="L64" s="543"/>
      <c r="M64" s="570"/>
    </row>
    <row r="65" spans="2:20">
      <c r="B65" s="58"/>
      <c r="C65" s="59"/>
      <c r="D65" s="570" t="s">
        <v>3600</v>
      </c>
      <c r="E65" s="570" t="s">
        <v>3601</v>
      </c>
      <c r="F65" s="570" t="s">
        <v>44</v>
      </c>
      <c r="G65" s="50"/>
      <c r="H65" s="50"/>
      <c r="I65" s="50"/>
      <c r="J65" s="50"/>
      <c r="K65" s="543"/>
      <c r="L65" s="543"/>
      <c r="M65" s="570"/>
    </row>
    <row r="66" spans="2:20">
      <c r="B66" s="58"/>
      <c r="C66" s="59"/>
      <c r="D66" s="570" t="s">
        <v>3569</v>
      </c>
      <c r="E66" s="570" t="s">
        <v>3570</v>
      </c>
      <c r="F66" s="570" t="s">
        <v>44</v>
      </c>
      <c r="G66" s="50"/>
      <c r="H66" s="50"/>
      <c r="I66" s="50"/>
      <c r="J66" s="50"/>
      <c r="K66" s="543"/>
      <c r="L66" s="543"/>
      <c r="M66" s="570"/>
    </row>
    <row r="67" spans="2:20">
      <c r="B67" s="50"/>
      <c r="C67" s="50"/>
      <c r="D67" s="570" t="s">
        <v>3567</v>
      </c>
      <c r="E67" s="570" t="s">
        <v>3568</v>
      </c>
      <c r="F67" s="570" t="s">
        <v>44</v>
      </c>
      <c r="G67" s="50"/>
      <c r="H67" s="50"/>
      <c r="I67" s="50"/>
      <c r="J67" s="50"/>
      <c r="M67" s="570"/>
      <c r="N67" s="570"/>
      <c r="O67" s="570"/>
      <c r="P67" s="570"/>
      <c r="Q67" s="50"/>
      <c r="R67" s="50"/>
      <c r="S67" s="50"/>
      <c r="T67" s="50" t="s">
        <v>56</v>
      </c>
    </row>
    <row r="68" spans="2:20">
      <c r="B68" s="58"/>
      <c r="C68" s="59"/>
      <c r="D68" s="3020" t="s">
        <v>281</v>
      </c>
      <c r="E68" s="3020" t="s">
        <v>3494</v>
      </c>
      <c r="F68" s="570" t="s">
        <v>44</v>
      </c>
      <c r="G68" s="50"/>
      <c r="H68" s="50"/>
      <c r="I68" s="50"/>
      <c r="J68" s="50"/>
      <c r="K68" s="543"/>
      <c r="L68" s="543"/>
      <c r="M68" s="3020"/>
    </row>
    <row r="69" spans="2:20">
      <c r="B69" s="58"/>
      <c r="C69" s="59"/>
      <c r="D69" s="570" t="s">
        <v>2270</v>
      </c>
      <c r="E69" s="570" t="s">
        <v>2271</v>
      </c>
      <c r="F69" s="570" t="s">
        <v>44</v>
      </c>
      <c r="G69" s="50"/>
      <c r="H69" s="50"/>
      <c r="I69" s="50"/>
      <c r="J69" s="50"/>
      <c r="K69" s="543"/>
      <c r="L69" s="543"/>
      <c r="M69" s="570"/>
    </row>
    <row r="70" spans="2:20">
      <c r="B70" s="58"/>
      <c r="C70" s="59"/>
      <c r="D70" s="3020" t="s">
        <v>3479</v>
      </c>
      <c r="E70" s="3020" t="s">
        <v>3495</v>
      </c>
      <c r="F70" s="754" t="s">
        <v>44</v>
      </c>
      <c r="G70" s="50"/>
      <c r="H70" s="50"/>
      <c r="I70" s="50"/>
      <c r="J70" s="50"/>
      <c r="K70" s="543"/>
      <c r="L70" s="543"/>
      <c r="M70" s="3020"/>
    </row>
    <row r="71" spans="2:20">
      <c r="B71" s="58"/>
      <c r="C71" s="59"/>
      <c r="D71" s="570" t="s">
        <v>276</v>
      </c>
      <c r="E71" s="570" t="s">
        <v>297</v>
      </c>
      <c r="F71" s="3020" t="s">
        <v>44</v>
      </c>
      <c r="G71" s="50"/>
      <c r="H71" s="50"/>
      <c r="I71" s="50"/>
      <c r="J71" s="50"/>
      <c r="K71" s="543"/>
      <c r="L71" s="543"/>
      <c r="M71" s="570"/>
    </row>
    <row r="72" spans="2:20">
      <c r="B72" s="58"/>
      <c r="C72" s="59"/>
      <c r="D72" s="3021" t="s">
        <v>3480</v>
      </c>
      <c r="E72" s="570" t="s">
        <v>3496</v>
      </c>
      <c r="F72" s="3020" t="s">
        <v>44</v>
      </c>
      <c r="G72" s="50"/>
      <c r="H72" s="50"/>
      <c r="I72" s="50"/>
      <c r="J72" s="50"/>
      <c r="K72" s="543"/>
      <c r="L72" s="543"/>
      <c r="M72" s="3021"/>
    </row>
    <row r="73" spans="2:20">
      <c r="B73" s="58"/>
      <c r="C73" s="59"/>
      <c r="D73" s="570" t="s">
        <v>3481</v>
      </c>
      <c r="E73" s="570" t="s">
        <v>3497</v>
      </c>
      <c r="F73" s="3020" t="s">
        <v>44</v>
      </c>
      <c r="G73" s="50"/>
      <c r="H73" s="50"/>
      <c r="I73" s="50"/>
      <c r="J73" s="50"/>
      <c r="K73" s="543"/>
      <c r="L73" s="543"/>
      <c r="M73" s="570"/>
    </row>
    <row r="74" spans="2:20">
      <c r="B74" s="58"/>
      <c r="C74" s="59"/>
      <c r="D74" s="50" t="s">
        <v>3482</v>
      </c>
      <c r="E74" s="50" t="s">
        <v>3498</v>
      </c>
      <c r="F74" s="3020" t="s">
        <v>44</v>
      </c>
      <c r="G74" s="50"/>
      <c r="H74" s="50"/>
      <c r="I74" s="50"/>
      <c r="J74" s="50"/>
      <c r="K74" s="543"/>
      <c r="L74" s="543"/>
      <c r="M74" s="50"/>
    </row>
    <row r="75" spans="2:20">
      <c r="B75" s="58"/>
      <c r="C75" s="59"/>
      <c r="D75" s="570" t="s">
        <v>3483</v>
      </c>
      <c r="E75" s="570" t="s">
        <v>3499</v>
      </c>
      <c r="F75" s="3020" t="s">
        <v>44</v>
      </c>
      <c r="G75" s="50"/>
      <c r="H75" s="50"/>
      <c r="I75" s="50"/>
      <c r="J75" s="50"/>
      <c r="K75" s="543"/>
      <c r="L75" s="543"/>
      <c r="M75" s="1983"/>
    </row>
    <row r="76" spans="2:20">
      <c r="B76" s="58"/>
      <c r="C76" s="59"/>
      <c r="D76" s="570" t="s">
        <v>3484</v>
      </c>
      <c r="E76" s="570" t="s">
        <v>3500</v>
      </c>
      <c r="F76" s="3020" t="s">
        <v>44</v>
      </c>
      <c r="G76" s="50"/>
      <c r="H76" s="50"/>
      <c r="I76" s="50"/>
      <c r="J76" s="50"/>
      <c r="K76" s="543"/>
      <c r="L76" s="543"/>
      <c r="M76" s="1983"/>
    </row>
    <row r="77" spans="2:20">
      <c r="B77" s="58"/>
      <c r="C77" s="59"/>
      <c r="D77" s="50" t="s">
        <v>3485</v>
      </c>
      <c r="E77" s="50" t="s">
        <v>3501</v>
      </c>
      <c r="F77" s="3020" t="s">
        <v>44</v>
      </c>
      <c r="G77" s="50"/>
      <c r="H77" s="50"/>
      <c r="I77" s="50"/>
      <c r="J77" s="50"/>
      <c r="K77" s="543"/>
      <c r="L77" s="543"/>
      <c r="M77" s="58"/>
    </row>
    <row r="78" spans="2:20">
      <c r="B78" s="58"/>
      <c r="C78" s="59"/>
      <c r="D78" s="3020" t="s">
        <v>3486</v>
      </c>
      <c r="E78" s="3020" t="s">
        <v>3502</v>
      </c>
      <c r="F78" s="3020" t="s">
        <v>44</v>
      </c>
      <c r="G78" s="50"/>
      <c r="H78" s="50"/>
      <c r="I78" s="50"/>
      <c r="J78" s="50"/>
      <c r="K78" s="543"/>
      <c r="L78" s="543"/>
      <c r="M78" s="462"/>
    </row>
    <row r="79" spans="2:20">
      <c r="B79" s="58"/>
      <c r="C79" s="59"/>
      <c r="D79" s="3022" t="s">
        <v>3487</v>
      </c>
      <c r="E79" s="3022" t="s">
        <v>3503</v>
      </c>
      <c r="F79" s="3022" t="s">
        <v>44</v>
      </c>
      <c r="G79" s="3023"/>
      <c r="H79" s="3023"/>
      <c r="I79" s="3023"/>
      <c r="J79" s="3023"/>
      <c r="K79" s="543"/>
      <c r="L79" s="543"/>
      <c r="M79" s="462"/>
    </row>
    <row r="80" spans="2:20">
      <c r="B80" s="58"/>
      <c r="C80" s="59"/>
      <c r="D80" s="1984" t="s">
        <v>430</v>
      </c>
      <c r="E80" s="1984" t="s">
        <v>447</v>
      </c>
      <c r="F80" s="573" t="s">
        <v>44</v>
      </c>
      <c r="G80" s="59"/>
      <c r="H80" s="58"/>
      <c r="I80" s="58"/>
      <c r="J80" s="58"/>
      <c r="M80" s="1983"/>
    </row>
    <row r="81" spans="2:20">
      <c r="B81" s="58"/>
      <c r="C81" s="59"/>
      <c r="D81" s="1984" t="s">
        <v>431</v>
      </c>
      <c r="E81" s="1984" t="s">
        <v>448</v>
      </c>
      <c r="F81" s="1989" t="s">
        <v>44</v>
      </c>
      <c r="G81" s="59"/>
      <c r="H81" s="58"/>
      <c r="I81" s="58"/>
      <c r="J81" s="58"/>
      <c r="M81" s="58"/>
    </row>
    <row r="82" spans="2:20">
      <c r="B82" s="58"/>
      <c r="C82" s="59"/>
      <c r="D82" s="1984" t="s">
        <v>432</v>
      </c>
      <c r="E82" s="1984" t="s">
        <v>449</v>
      </c>
      <c r="F82" s="573" t="s">
        <v>44</v>
      </c>
      <c r="G82" s="59"/>
      <c r="H82" s="58"/>
      <c r="I82" s="58"/>
      <c r="J82" s="58"/>
      <c r="M82" s="462"/>
    </row>
    <row r="83" spans="2:20">
      <c r="B83" s="58"/>
      <c r="C83" s="58"/>
      <c r="D83" s="462" t="s">
        <v>433</v>
      </c>
      <c r="E83" s="462" t="s">
        <v>450</v>
      </c>
      <c r="F83" s="573" t="s">
        <v>44</v>
      </c>
      <c r="G83" s="58"/>
      <c r="H83" s="58"/>
      <c r="I83" s="58"/>
      <c r="J83" s="58"/>
      <c r="M83" s="462"/>
    </row>
    <row r="84" spans="2:20">
      <c r="B84" s="58"/>
      <c r="C84" s="58"/>
      <c r="D84" s="462" t="s">
        <v>438</v>
      </c>
      <c r="E84" s="462" t="s">
        <v>451</v>
      </c>
      <c r="F84" s="573" t="s">
        <v>44</v>
      </c>
      <c r="G84" s="58"/>
      <c r="H84" s="58"/>
      <c r="I84" s="58"/>
      <c r="J84" s="58"/>
      <c r="M84" s="543"/>
    </row>
    <row r="85" spans="2:20">
      <c r="B85" s="58"/>
      <c r="C85" s="58"/>
      <c r="D85" s="462" t="s">
        <v>440</v>
      </c>
      <c r="E85" s="462" t="s">
        <v>452</v>
      </c>
      <c r="F85" s="573" t="s">
        <v>44</v>
      </c>
      <c r="G85" s="58"/>
      <c r="H85" s="58"/>
      <c r="I85" s="58"/>
      <c r="J85" s="58"/>
      <c r="M85" s="543"/>
    </row>
    <row r="86" spans="2:20">
      <c r="B86" s="58"/>
      <c r="C86" s="58"/>
      <c r="D86" s="462" t="s">
        <v>441</v>
      </c>
      <c r="E86" s="462" t="s">
        <v>453</v>
      </c>
      <c r="F86" s="573" t="s">
        <v>44</v>
      </c>
      <c r="G86" s="58"/>
      <c r="H86" s="58"/>
      <c r="I86" s="58"/>
      <c r="J86" s="58"/>
      <c r="M86" s="543"/>
    </row>
    <row r="87" spans="2:20">
      <c r="B87" s="58"/>
      <c r="C87" s="58"/>
      <c r="D87" s="462" t="s">
        <v>442</v>
      </c>
      <c r="E87" s="462" t="s">
        <v>454</v>
      </c>
      <c r="F87" s="573" t="s">
        <v>44</v>
      </c>
      <c r="G87" s="58"/>
      <c r="H87" s="58"/>
      <c r="I87" s="58"/>
      <c r="J87" s="58"/>
    </row>
    <row r="88" spans="2:20">
      <c r="B88" s="58"/>
      <c r="C88" s="58"/>
      <c r="D88" s="462" t="s">
        <v>443</v>
      </c>
      <c r="E88" s="462" t="s">
        <v>455</v>
      </c>
      <c r="F88" s="573" t="s">
        <v>44</v>
      </c>
      <c r="G88" s="58"/>
      <c r="H88" s="58"/>
      <c r="I88" s="58"/>
      <c r="J88" s="58"/>
    </row>
    <row r="89" spans="2:20">
      <c r="B89" s="58"/>
      <c r="C89" s="58"/>
      <c r="D89" s="462" t="s">
        <v>444</v>
      </c>
      <c r="E89" s="462" t="s">
        <v>456</v>
      </c>
      <c r="F89" s="573" t="s">
        <v>44</v>
      </c>
      <c r="G89" s="58"/>
      <c r="H89" s="58"/>
      <c r="I89" s="58"/>
      <c r="J89" s="58"/>
    </row>
    <row r="90" spans="2:20">
      <c r="B90" s="58"/>
      <c r="C90" s="58"/>
      <c r="D90" s="3020" t="s">
        <v>3581</v>
      </c>
      <c r="E90" s="3020" t="s">
        <v>3582</v>
      </c>
      <c r="F90" s="573" t="s">
        <v>44</v>
      </c>
      <c r="G90" s="58"/>
      <c r="H90" s="58"/>
      <c r="I90" s="58"/>
      <c r="J90" s="58"/>
    </row>
    <row r="91" spans="2:20">
      <c r="B91" s="58"/>
      <c r="C91" s="58"/>
      <c r="D91" s="3020" t="s">
        <v>3583</v>
      </c>
      <c r="E91" s="3020" t="s">
        <v>3584</v>
      </c>
      <c r="F91" s="573" t="s">
        <v>44</v>
      </c>
      <c r="G91" s="58"/>
      <c r="H91" s="58"/>
      <c r="I91" s="58"/>
      <c r="J91" s="58"/>
      <c r="K91" s="543"/>
    </row>
    <row r="92" spans="2:20">
      <c r="B92" s="58"/>
      <c r="C92" s="58"/>
      <c r="D92" s="3020" t="s">
        <v>3585</v>
      </c>
      <c r="E92" s="3020" t="s">
        <v>3586</v>
      </c>
      <c r="F92" s="573" t="s">
        <v>44</v>
      </c>
      <c r="G92" s="58"/>
      <c r="H92" s="58"/>
      <c r="I92" s="58"/>
      <c r="J92" s="58"/>
    </row>
    <row r="93" spans="2:20">
      <c r="B93" s="58"/>
      <c r="C93" s="58"/>
      <c r="D93" s="3020" t="s">
        <v>3587</v>
      </c>
      <c r="E93" s="3020" t="s">
        <v>3588</v>
      </c>
      <c r="F93" s="573" t="s">
        <v>44</v>
      </c>
      <c r="G93" s="58"/>
      <c r="H93" s="58"/>
      <c r="I93" s="58"/>
      <c r="J93" s="58"/>
    </row>
    <row r="94" spans="2:20">
      <c r="B94" s="58"/>
      <c r="C94" s="58"/>
      <c r="D94" s="3020" t="s">
        <v>3589</v>
      </c>
      <c r="E94" s="3020" t="s">
        <v>3590</v>
      </c>
      <c r="F94" s="573" t="s">
        <v>44</v>
      </c>
      <c r="G94" s="58"/>
      <c r="H94" s="58"/>
      <c r="I94" s="58"/>
      <c r="J94" s="58"/>
    </row>
    <row r="95" spans="2:20">
      <c r="B95" s="50"/>
      <c r="C95" s="50"/>
      <c r="D95" s="3020" t="s">
        <v>3571</v>
      </c>
      <c r="E95" s="3020" t="s">
        <v>3572</v>
      </c>
      <c r="F95" s="570" t="s">
        <v>44</v>
      </c>
      <c r="G95" s="50"/>
      <c r="H95" s="50"/>
      <c r="I95" s="50"/>
      <c r="J95" s="50"/>
      <c r="M95" s="50"/>
      <c r="N95" s="50"/>
      <c r="O95" s="50"/>
      <c r="P95" s="50"/>
      <c r="Q95" s="50"/>
      <c r="R95" s="50"/>
      <c r="S95" s="50"/>
      <c r="T95" s="50"/>
    </row>
    <row r="96" spans="2:20">
      <c r="B96" s="50"/>
      <c r="C96" s="50"/>
      <c r="D96" s="3020" t="s">
        <v>3573</v>
      </c>
      <c r="E96" s="3020" t="s">
        <v>3574</v>
      </c>
      <c r="F96" s="570" t="s">
        <v>44</v>
      </c>
      <c r="G96" s="50"/>
      <c r="H96" s="50"/>
      <c r="I96" s="50"/>
      <c r="J96" s="50"/>
      <c r="M96" s="50"/>
      <c r="N96" s="50"/>
      <c r="O96" s="50"/>
      <c r="P96" s="50"/>
      <c r="Q96" s="50"/>
      <c r="R96" s="50"/>
      <c r="S96" s="50"/>
      <c r="T96" s="50"/>
    </row>
    <row r="97" spans="2:12">
      <c r="B97" s="50"/>
      <c r="C97" s="50"/>
      <c r="D97" s="3020" t="s">
        <v>3575</v>
      </c>
      <c r="E97" s="3020" t="s">
        <v>3576</v>
      </c>
      <c r="F97" s="570" t="s">
        <v>44</v>
      </c>
      <c r="G97" s="50"/>
      <c r="H97" s="50"/>
      <c r="I97" s="50"/>
      <c r="J97" s="50"/>
    </row>
    <row r="98" spans="2:12">
      <c r="B98" s="50"/>
      <c r="C98" s="50"/>
      <c r="D98" s="3020" t="s">
        <v>3577</v>
      </c>
      <c r="E98" s="3020" t="s">
        <v>3578</v>
      </c>
      <c r="F98" s="570" t="s">
        <v>44</v>
      </c>
      <c r="G98" s="50"/>
      <c r="H98" s="50"/>
      <c r="I98" s="50"/>
      <c r="J98" s="50"/>
    </row>
    <row r="99" spans="2:12">
      <c r="B99" s="50"/>
      <c r="C99" s="50"/>
      <c r="D99" s="3020" t="s">
        <v>3579</v>
      </c>
      <c r="E99" s="3020" t="s">
        <v>3580</v>
      </c>
      <c r="F99" s="570" t="s">
        <v>44</v>
      </c>
      <c r="G99" s="50"/>
      <c r="H99" s="50"/>
      <c r="I99" s="50"/>
      <c r="J99" s="50"/>
    </row>
    <row r="100" spans="2:12">
      <c r="B100" s="58"/>
      <c r="C100" s="58"/>
      <c r="D100" s="462" t="s">
        <v>434</v>
      </c>
      <c r="E100" s="462" t="s">
        <v>457</v>
      </c>
      <c r="F100" s="573" t="s">
        <v>44</v>
      </c>
      <c r="G100" s="58"/>
      <c r="H100" s="58"/>
      <c r="I100" s="58"/>
      <c r="J100" s="58"/>
      <c r="L100" s="543"/>
    </row>
    <row r="101" spans="2:12">
      <c r="B101" s="58"/>
      <c r="C101" s="58"/>
      <c r="D101" s="462" t="s">
        <v>435</v>
      </c>
      <c r="E101" s="462" t="s">
        <v>458</v>
      </c>
      <c r="F101" s="573" t="s">
        <v>44</v>
      </c>
      <c r="G101" s="58"/>
      <c r="H101" s="58"/>
      <c r="I101" s="58"/>
      <c r="J101" s="58"/>
      <c r="L101" s="543"/>
    </row>
    <row r="102" spans="2:12">
      <c r="B102" s="58"/>
      <c r="C102" s="58"/>
      <c r="D102" s="462" t="s">
        <v>436</v>
      </c>
      <c r="E102" s="462" t="s">
        <v>459</v>
      </c>
      <c r="F102" s="573" t="s">
        <v>44</v>
      </c>
      <c r="G102" s="58"/>
      <c r="H102" s="58"/>
      <c r="I102" s="58"/>
      <c r="J102" s="58"/>
      <c r="L102" s="543"/>
    </row>
    <row r="103" spans="2:12">
      <c r="B103" s="58"/>
      <c r="C103" s="58"/>
      <c r="D103" s="462" t="s">
        <v>437</v>
      </c>
      <c r="E103" s="462" t="s">
        <v>460</v>
      </c>
      <c r="F103" s="573" t="s">
        <v>44</v>
      </c>
      <c r="G103" s="58"/>
      <c r="H103" s="58"/>
      <c r="I103" s="58"/>
      <c r="J103" s="58"/>
    </row>
    <row r="104" spans="2:12">
      <c r="B104" s="58"/>
      <c r="C104" s="58"/>
      <c r="D104" s="462" t="s">
        <v>439</v>
      </c>
      <c r="E104" s="462" t="s">
        <v>461</v>
      </c>
      <c r="F104" s="573" t="s">
        <v>44</v>
      </c>
      <c r="G104" s="58"/>
      <c r="H104" s="58"/>
      <c r="I104" s="58"/>
      <c r="J104" s="58"/>
    </row>
    <row r="105" spans="2:12">
      <c r="B105" s="50"/>
      <c r="C105" s="570"/>
      <c r="D105" s="570" t="s">
        <v>3504</v>
      </c>
      <c r="E105" s="3020" t="s">
        <v>3505</v>
      </c>
      <c r="F105" s="570" t="s">
        <v>44</v>
      </c>
      <c r="G105" s="50"/>
      <c r="H105" s="50"/>
      <c r="I105" s="50"/>
      <c r="J105" s="50"/>
    </row>
    <row r="106" spans="2:12">
      <c r="B106" s="50"/>
      <c r="C106" s="50"/>
      <c r="D106" s="570" t="s">
        <v>3506</v>
      </c>
      <c r="E106" s="3020" t="s">
        <v>3507</v>
      </c>
      <c r="F106" s="570" t="s">
        <v>44</v>
      </c>
      <c r="G106" s="50"/>
      <c r="H106" s="50"/>
      <c r="I106" s="50"/>
      <c r="J106" s="50"/>
    </row>
    <row r="107" spans="2:12">
      <c r="B107" s="50"/>
      <c r="C107" s="50"/>
      <c r="D107" s="570" t="s">
        <v>3508</v>
      </c>
      <c r="E107" s="3020" t="s">
        <v>3509</v>
      </c>
      <c r="F107" s="570" t="s">
        <v>44</v>
      </c>
      <c r="G107" s="50"/>
      <c r="H107" s="50"/>
      <c r="I107" s="50"/>
      <c r="J107" s="50"/>
    </row>
    <row r="108" spans="2:12">
      <c r="B108" s="50"/>
      <c r="C108" s="50"/>
      <c r="D108" s="570" t="s">
        <v>3510</v>
      </c>
      <c r="E108" s="3020" t="s">
        <v>3511</v>
      </c>
      <c r="F108" s="570" t="s">
        <v>44</v>
      </c>
      <c r="G108" s="50"/>
      <c r="H108" s="50"/>
      <c r="I108" s="50"/>
      <c r="J108" s="50"/>
    </row>
    <row r="109" spans="2:12">
      <c r="B109" s="50"/>
      <c r="C109" s="50"/>
      <c r="D109" s="570" t="s">
        <v>3512</v>
      </c>
      <c r="E109" s="3020" t="s">
        <v>3513</v>
      </c>
      <c r="F109" s="570" t="s">
        <v>44</v>
      </c>
      <c r="G109" s="50"/>
      <c r="H109" s="50"/>
      <c r="I109" s="50"/>
      <c r="J109" s="50"/>
    </row>
    <row r="110" spans="2:12">
      <c r="B110" s="50"/>
      <c r="C110" s="50"/>
      <c r="D110" s="3020" t="s">
        <v>3514</v>
      </c>
      <c r="E110" s="3020" t="s">
        <v>3515</v>
      </c>
      <c r="F110" s="570" t="s">
        <v>44</v>
      </c>
      <c r="G110" s="50"/>
      <c r="H110" s="50"/>
      <c r="I110" s="50"/>
      <c r="J110" s="50"/>
    </row>
    <row r="111" spans="2:12">
      <c r="B111" s="50"/>
      <c r="C111" s="50"/>
      <c r="D111" s="3020" t="s">
        <v>3516</v>
      </c>
      <c r="E111" s="3020" t="s">
        <v>3517</v>
      </c>
      <c r="F111" s="570" t="s">
        <v>44</v>
      </c>
      <c r="G111" s="50"/>
      <c r="H111" s="50"/>
      <c r="I111" s="50"/>
      <c r="J111" s="50"/>
    </row>
    <row r="112" spans="2:12">
      <c r="B112" s="50"/>
      <c r="C112" s="50"/>
      <c r="D112" s="3020" t="s">
        <v>3518</v>
      </c>
      <c r="E112" s="3020" t="s">
        <v>3519</v>
      </c>
      <c r="F112" s="570" t="s">
        <v>44</v>
      </c>
      <c r="G112" s="50"/>
      <c r="H112" s="50"/>
      <c r="I112" s="50"/>
      <c r="J112" s="50"/>
    </row>
    <row r="113" spans="2:10">
      <c r="B113" s="50"/>
      <c r="C113" s="50"/>
      <c r="D113" s="3020" t="s">
        <v>3520</v>
      </c>
      <c r="E113" s="3020" t="s">
        <v>3521</v>
      </c>
      <c r="F113" s="570" t="s">
        <v>44</v>
      </c>
      <c r="G113" s="50"/>
      <c r="H113" s="50"/>
      <c r="I113" s="50"/>
      <c r="J113" s="50"/>
    </row>
    <row r="114" spans="2:10">
      <c r="B114" s="50"/>
      <c r="C114" s="50"/>
      <c r="D114" s="3020" t="s">
        <v>3522</v>
      </c>
      <c r="E114" s="3020" t="s">
        <v>3523</v>
      </c>
      <c r="F114" s="570" t="s">
        <v>44</v>
      </c>
      <c r="G114" s="50"/>
      <c r="H114" s="50"/>
      <c r="I114" s="50"/>
      <c r="J114" s="50"/>
    </row>
    <row r="115" spans="2:10">
      <c r="B115" s="50"/>
      <c r="C115" s="50"/>
      <c r="D115" s="3021" t="s">
        <v>3524</v>
      </c>
      <c r="E115" s="570" t="s">
        <v>3525</v>
      </c>
      <c r="F115" s="570" t="s">
        <v>44</v>
      </c>
      <c r="G115" s="50"/>
      <c r="H115" s="50"/>
      <c r="I115" s="50"/>
      <c r="J115" s="50"/>
    </row>
    <row r="116" spans="2:10">
      <c r="B116" s="50"/>
      <c r="C116" s="50"/>
      <c r="D116" s="3021" t="s">
        <v>3526</v>
      </c>
      <c r="E116" s="570" t="s">
        <v>3527</v>
      </c>
      <c r="F116" s="570" t="s">
        <v>44</v>
      </c>
      <c r="G116" s="50"/>
      <c r="H116" s="50"/>
      <c r="I116" s="50"/>
      <c r="J116" s="50"/>
    </row>
    <row r="117" spans="2:10">
      <c r="B117" s="50"/>
      <c r="C117" s="50"/>
      <c r="D117" s="3021" t="s">
        <v>3528</v>
      </c>
      <c r="E117" s="570" t="s">
        <v>3529</v>
      </c>
      <c r="F117" s="570" t="s">
        <v>44</v>
      </c>
      <c r="G117" s="50"/>
      <c r="H117" s="50"/>
      <c r="I117" s="50"/>
      <c r="J117" s="50"/>
    </row>
    <row r="118" spans="2:10">
      <c r="B118" s="3023"/>
      <c r="C118" s="3023"/>
      <c r="D118" s="3024" t="s">
        <v>3530</v>
      </c>
      <c r="E118" s="3025" t="s">
        <v>3531</v>
      </c>
      <c r="F118" s="3025" t="s">
        <v>44</v>
      </c>
      <c r="G118" s="3023"/>
      <c r="H118" s="3023"/>
      <c r="I118" s="3023"/>
      <c r="J118" s="3023"/>
    </row>
    <row r="119" spans="2:10">
      <c r="B119" s="59" t="s">
        <v>57</v>
      </c>
      <c r="C119" s="50"/>
      <c r="D119" s="465" t="s">
        <v>66</v>
      </c>
      <c r="E119" s="573" t="s">
        <v>78</v>
      </c>
      <c r="F119" s="573" t="s">
        <v>58</v>
      </c>
      <c r="G119" s="50"/>
      <c r="H119" s="50"/>
      <c r="I119" s="50"/>
      <c r="J119" s="50"/>
    </row>
    <row r="120" spans="2:10">
      <c r="B120" s="58"/>
      <c r="C120" s="50"/>
      <c r="D120" s="465" t="s">
        <v>75</v>
      </c>
      <c r="E120" s="573" t="s">
        <v>76</v>
      </c>
      <c r="F120" s="573" t="s">
        <v>58</v>
      </c>
      <c r="G120" s="50"/>
      <c r="H120" s="50"/>
      <c r="I120" s="50"/>
      <c r="J120" s="50"/>
    </row>
    <row r="121" spans="2:10">
      <c r="B121" s="50"/>
      <c r="C121" s="50"/>
      <c r="D121" s="3044" t="s">
        <v>3591</v>
      </c>
      <c r="E121" s="570" t="s">
        <v>3592</v>
      </c>
      <c r="F121" s="570" t="s">
        <v>58</v>
      </c>
      <c r="G121" s="50"/>
      <c r="H121" s="50"/>
      <c r="I121" s="50"/>
      <c r="J121" s="50"/>
    </row>
    <row r="122" spans="2:10">
      <c r="B122" s="50"/>
      <c r="C122" s="50"/>
      <c r="D122" s="3044" t="s">
        <v>3593</v>
      </c>
      <c r="E122" s="570" t="s">
        <v>3594</v>
      </c>
      <c r="F122" s="570" t="s">
        <v>58</v>
      </c>
      <c r="G122" s="50"/>
      <c r="H122" s="50"/>
      <c r="I122" s="50"/>
      <c r="J122" s="50"/>
    </row>
    <row r="123" spans="2:10">
      <c r="B123" s="58"/>
      <c r="C123" s="50"/>
      <c r="D123" s="465" t="s">
        <v>3602</v>
      </c>
      <c r="E123" s="573" t="s">
        <v>77</v>
      </c>
      <c r="F123" s="573" t="s">
        <v>58</v>
      </c>
      <c r="G123" s="50"/>
      <c r="H123" s="50"/>
      <c r="I123" s="50"/>
      <c r="J123" s="50"/>
    </row>
    <row r="124" spans="2:10">
      <c r="B124" s="543"/>
    </row>
    <row r="126" spans="2:10">
      <c r="B126" s="543"/>
    </row>
    <row r="127" spans="2:10">
      <c r="B127" s="543"/>
    </row>
    <row r="128" spans="2:10">
      <c r="B128" s="543"/>
      <c r="D128" s="59" t="s">
        <v>2266</v>
      </c>
      <c r="E128" s="1984" t="s">
        <v>230</v>
      </c>
      <c r="F128" s="59" t="s">
        <v>80</v>
      </c>
    </row>
    <row r="129" spans="2:2">
      <c r="B129" s="543"/>
    </row>
  </sheetData>
  <phoneticPr fontId="31" type="noConversion"/>
  <pageMargins left="0.75" right="0.75" top="1" bottom="1" header="0.5" footer="0.5"/>
  <pageSetup paperSize="9" orientation="portrait" horizontalDpi="300" verticalDpi="300"/>
  <headerFooter alignWithMargins="0"/>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codeName="Sheet6">
    <tabColor rgb="FF92D050"/>
  </sheetPr>
  <dimension ref="A2:P104"/>
  <sheetViews>
    <sheetView topLeftCell="A21" zoomScale="70" zoomScaleNormal="70" workbookViewId="0">
      <selection activeCell="D52" sqref="D52"/>
    </sheetView>
  </sheetViews>
  <sheetFormatPr defaultColWidth="9.109375" defaultRowHeight="13.2"/>
  <cols>
    <col min="1" max="1" width="2.44140625" style="754" customWidth="1"/>
    <col min="2" max="2" width="11.88671875" style="754" bestFit="1" customWidth="1"/>
    <col min="3" max="3" width="14.6640625" style="754" customWidth="1"/>
    <col min="4" max="4" width="27.33203125" style="754" customWidth="1"/>
    <col min="5" max="5" width="72.5546875" style="754" customWidth="1"/>
    <col min="6" max="6" width="10.33203125" style="754" bestFit="1" customWidth="1"/>
    <col min="7" max="7" width="10" style="754" bestFit="1" customWidth="1"/>
    <col min="8" max="8" width="12.88671875" style="754" customWidth="1"/>
    <col min="9" max="9" width="14" style="754" customWidth="1"/>
    <col min="10" max="16384" width="9.109375" style="754"/>
  </cols>
  <sheetData>
    <row r="2" spans="1:14">
      <c r="E2" s="765" t="s">
        <v>2286</v>
      </c>
    </row>
    <row r="3" spans="1:14">
      <c r="B3" s="49" t="s">
        <v>18</v>
      </c>
      <c r="C3" s="49"/>
      <c r="D3" s="50"/>
      <c r="E3" s="50"/>
      <c r="F3" s="50"/>
      <c r="G3" s="50"/>
      <c r="H3" s="50"/>
      <c r="I3" s="50"/>
      <c r="J3" s="50"/>
    </row>
    <row r="4" spans="1:14" ht="13.8">
      <c r="B4" s="51" t="s">
        <v>19</v>
      </c>
      <c r="C4" s="51" t="s">
        <v>1</v>
      </c>
      <c r="D4" s="51" t="s">
        <v>2</v>
      </c>
      <c r="E4" s="51" t="s">
        <v>3</v>
      </c>
      <c r="F4" s="51" t="s">
        <v>20</v>
      </c>
      <c r="G4" s="51" t="s">
        <v>21</v>
      </c>
      <c r="H4" s="51" t="s">
        <v>22</v>
      </c>
      <c r="I4" s="51" t="s">
        <v>23</v>
      </c>
      <c r="J4" s="51" t="s">
        <v>24</v>
      </c>
    </row>
    <row r="5" spans="1:14" ht="21" thickBot="1">
      <c r="B5" s="52" t="s">
        <v>28</v>
      </c>
      <c r="C5" s="52" t="s">
        <v>29</v>
      </c>
      <c r="D5" s="52" t="s">
        <v>30</v>
      </c>
      <c r="E5" s="52" t="s">
        <v>31</v>
      </c>
      <c r="F5" s="52" t="s">
        <v>32</v>
      </c>
      <c r="G5" s="52" t="s">
        <v>33</v>
      </c>
      <c r="H5" s="52" t="s">
        <v>34</v>
      </c>
      <c r="I5" s="52" t="s">
        <v>35</v>
      </c>
      <c r="J5" s="52" t="s">
        <v>36</v>
      </c>
    </row>
    <row r="6" spans="1:14" s="545" customFormat="1">
      <c r="A6" s="3"/>
      <c r="B6" s="59" t="s">
        <v>25</v>
      </c>
      <c r="C6" s="60"/>
      <c r="D6" s="573" t="str">
        <f>LEFT(Commodities!$D$7,4)&amp;RIGHT(Commodities!D80,5)&amp;"E"</f>
        <v>TPCADSBL1E</v>
      </c>
      <c r="E6" s="1990" t="s">
        <v>462</v>
      </c>
      <c r="F6" s="59" t="str">
        <f>Commodities!$F$7</f>
        <v>Mpass-km</v>
      </c>
      <c r="G6" s="573" t="s">
        <v>153</v>
      </c>
      <c r="H6" s="59"/>
      <c r="I6" s="61"/>
      <c r="J6" s="59"/>
      <c r="K6" s="3"/>
    </row>
    <row r="7" spans="1:14" s="545" customFormat="1">
      <c r="A7" s="3"/>
      <c r="C7" s="60"/>
      <c r="D7" s="573" t="str">
        <f>LEFT(Commodities!$D$7,4)&amp;RIGHT(Commodities!D85,5)&amp;"E"</f>
        <v>TPCAGSBL1E</v>
      </c>
      <c r="E7" s="1990" t="s">
        <v>463</v>
      </c>
      <c r="F7" s="59" t="str">
        <f>Commodities!$F$7</f>
        <v>Mpass-km</v>
      </c>
      <c r="G7" s="573" t="s">
        <v>153</v>
      </c>
      <c r="H7" s="59"/>
      <c r="I7" s="61"/>
      <c r="J7" s="59"/>
      <c r="K7" s="3"/>
    </row>
    <row r="8" spans="1:14" s="545" customFormat="1">
      <c r="A8" s="3"/>
      <c r="C8" s="60"/>
      <c r="D8" s="573" t="str">
        <f>LEFT(Commodities!$D$7,4)&amp;RIGHT(Commodities!D56,3)&amp;"X1E"</f>
        <v>TPCALPGX1E</v>
      </c>
      <c r="E8" s="1990" t="s">
        <v>464</v>
      </c>
      <c r="F8" s="59" t="str">
        <f>Commodities!$F$7</f>
        <v>Mpass-km</v>
      </c>
      <c r="G8" s="573" t="s">
        <v>153</v>
      </c>
      <c r="H8" s="59"/>
      <c r="I8" s="61"/>
      <c r="J8" s="59"/>
      <c r="K8" s="3"/>
    </row>
    <row r="9" spans="1:14" s="545" customFormat="1">
      <c r="A9" s="3"/>
      <c r="C9" s="60"/>
      <c r="D9" s="573" t="str">
        <f>LEFT(Commodities!$D$7,4)&amp;RIGHT(Commodities!D100,5)&amp;"E"</f>
        <v>TPCANGBL1E</v>
      </c>
      <c r="E9" s="1990" t="s">
        <v>465</v>
      </c>
      <c r="F9" s="59" t="str">
        <f>Commodities!$F$7</f>
        <v>Mpass-km</v>
      </c>
      <c r="G9" s="573" t="s">
        <v>153</v>
      </c>
      <c r="H9" s="59"/>
      <c r="I9" s="61"/>
      <c r="J9" s="59"/>
      <c r="K9" s="3"/>
    </row>
    <row r="10" spans="1:14" s="545" customFormat="1">
      <c r="A10" s="3"/>
      <c r="C10" s="60"/>
      <c r="D10" s="573" t="str">
        <f>LEFT(Commodities!$D$7,4)&amp;RIGHT(Commodities!D60,3)&amp;"X1E"</f>
        <v>TPCAELCX1E</v>
      </c>
      <c r="E10" s="1991" t="s">
        <v>2274</v>
      </c>
      <c r="F10" s="59" t="str">
        <f>Commodities!$F$7</f>
        <v>Mpass-km</v>
      </c>
      <c r="G10" s="573" t="s">
        <v>153</v>
      </c>
      <c r="H10" s="59"/>
      <c r="I10" s="62"/>
      <c r="J10" s="59"/>
      <c r="K10" s="3"/>
    </row>
    <row r="11" spans="1:14" s="545" customFormat="1">
      <c r="A11" s="3"/>
      <c r="C11" s="60"/>
      <c r="D11" s="1992" t="str">
        <f>LEFT(Commodities!$D$7,4)&amp;RIGHT(Commodities!D55,3)&amp;"X1E"</f>
        <v>TPCAGSBX1E</v>
      </c>
      <c r="E11" s="2082" t="s">
        <v>2298</v>
      </c>
      <c r="F11" s="1992" t="str">
        <f>Commodities!$F$7</f>
        <v>Mpass-km</v>
      </c>
      <c r="G11" s="1992" t="s">
        <v>153</v>
      </c>
      <c r="H11" s="59"/>
      <c r="I11" s="62"/>
      <c r="J11" s="59"/>
      <c r="L11" s="2083" t="s">
        <v>2398</v>
      </c>
    </row>
    <row r="12" spans="1:14" s="545" customFormat="1">
      <c r="A12" s="3"/>
      <c r="C12" s="59"/>
      <c r="D12" s="573" t="str">
        <f>LEFT(Commodities!D19,4)&amp;RIGHT(Commodities!D60,3)&amp;"X1E"</f>
        <v>TPRSELCX1E</v>
      </c>
      <c r="E12" s="545" t="s">
        <v>2275</v>
      </c>
      <c r="F12" s="59" t="str">
        <f>Commodities!$F$7</f>
        <v>Mpass-km</v>
      </c>
      <c r="G12" s="59" t="s">
        <v>153</v>
      </c>
      <c r="H12" s="59"/>
      <c r="I12" s="62"/>
      <c r="J12" s="58"/>
      <c r="K12" s="754"/>
      <c r="L12" s="754"/>
      <c r="N12" s="60"/>
    </row>
    <row r="13" spans="1:14">
      <c r="B13" s="545"/>
      <c r="C13" s="573"/>
      <c r="D13" s="754" t="str">
        <f>LEFT(Commodities!D17,4)&amp;RIGHT(Commodities!D60,3)&amp;"X1E"</f>
        <v>TPRMELCX1E</v>
      </c>
      <c r="E13" s="545" t="s">
        <v>2276</v>
      </c>
      <c r="F13" s="59" t="str">
        <f>Commodities!$F$7</f>
        <v>Mpass-km</v>
      </c>
      <c r="G13" s="59" t="s">
        <v>153</v>
      </c>
      <c r="H13" s="59"/>
      <c r="I13" s="62"/>
      <c r="J13" s="58"/>
    </row>
    <row r="14" spans="1:14">
      <c r="B14" s="3"/>
      <c r="C14" s="543"/>
      <c r="D14" s="59" t="str">
        <f>LEFT(Commodities!D22,4)&amp;RIGHT(Commodities!D60,3)&amp;"X1E"</f>
        <v>TPROELCX1E</v>
      </c>
      <c r="E14" s="3" t="s">
        <v>2277</v>
      </c>
      <c r="F14" s="59" t="str">
        <f>Commodities!$F$7</f>
        <v>Mpass-km</v>
      </c>
      <c r="G14" s="59" t="s">
        <v>153</v>
      </c>
      <c r="H14" s="59"/>
      <c r="I14" s="62"/>
      <c r="J14" s="58"/>
      <c r="L14" s="543"/>
    </row>
    <row r="15" spans="1:14">
      <c r="B15" s="3"/>
      <c r="C15" s="543"/>
      <c r="D15" s="59" t="str">
        <f>LEFT(Commodities!D22,4)&amp;RIGHT(Commodities!D80,5)&amp;"E"</f>
        <v>TPRODSBL1E</v>
      </c>
      <c r="E15" s="3" t="s">
        <v>2278</v>
      </c>
      <c r="F15" s="59" t="str">
        <f>Commodities!$F$7</f>
        <v>Mpass-km</v>
      </c>
      <c r="G15" s="59" t="s">
        <v>153</v>
      </c>
      <c r="H15" s="59"/>
      <c r="I15" s="62"/>
      <c r="J15" s="58"/>
      <c r="L15" s="543"/>
    </row>
    <row r="16" spans="1:14">
      <c r="B16" s="3"/>
      <c r="C16" s="59"/>
      <c r="D16" s="573" t="str">
        <f>LEFT(Commodities!D11,4)&amp;RIGHT(Commodities!D80,5)&amp;"E"</f>
        <v>TPBUDSBL1E</v>
      </c>
      <c r="E16" s="573" t="s">
        <v>2279</v>
      </c>
      <c r="F16" s="59" t="str">
        <f>Commodities!$F$7</f>
        <v>Mpass-km</v>
      </c>
      <c r="G16" s="59" t="s">
        <v>153</v>
      </c>
      <c r="H16" s="59"/>
      <c r="I16" s="62"/>
      <c r="J16" s="58"/>
      <c r="L16" s="543"/>
    </row>
    <row r="17" spans="2:16">
      <c r="B17" s="3"/>
      <c r="C17" s="59"/>
      <c r="D17" s="573" t="str">
        <f>LEFT(Commodities!D14,4)&amp;RIGHT(Commodities!D80,5)&amp;"E"</f>
        <v>TPCODSBL1E</v>
      </c>
      <c r="E17" s="573" t="s">
        <v>2280</v>
      </c>
      <c r="F17" s="59" t="str">
        <f>Commodities!$F$7</f>
        <v>Mpass-km</v>
      </c>
      <c r="G17" s="59" t="s">
        <v>153</v>
      </c>
      <c r="H17" s="59"/>
      <c r="I17" s="62"/>
      <c r="J17" s="58"/>
      <c r="K17" s="543"/>
    </row>
    <row r="18" spans="2:16">
      <c r="B18" s="3"/>
      <c r="C18" s="59"/>
      <c r="D18" s="1992" t="s">
        <v>2400</v>
      </c>
      <c r="E18" s="1992" t="s">
        <v>2399</v>
      </c>
      <c r="F18" s="1992" t="str">
        <f>Commodities!$F$7</f>
        <v>Mpass-km</v>
      </c>
      <c r="G18" s="1992" t="s">
        <v>153</v>
      </c>
      <c r="H18" s="59"/>
      <c r="I18" s="62"/>
      <c r="J18" s="58"/>
      <c r="L18" s="2019" t="s">
        <v>2398</v>
      </c>
      <c r="M18" s="38" t="s">
        <v>2397</v>
      </c>
    </row>
    <row r="19" spans="2:16">
      <c r="B19" s="543"/>
      <c r="C19" s="59"/>
      <c r="D19" s="573" t="str">
        <f>LEFT(Commodities!$D$25,4)&amp;RIGHT(Commodities!D85,5)&amp;"E"</f>
        <v>TPMTGSBL1E</v>
      </c>
      <c r="E19" s="573" t="s">
        <v>2281</v>
      </c>
      <c r="F19" s="59" t="str">
        <f>Commodities!$F$7</f>
        <v>Mpass-km</v>
      </c>
      <c r="G19" s="59" t="s">
        <v>153</v>
      </c>
      <c r="H19" s="59"/>
      <c r="I19" s="62"/>
      <c r="J19" s="58"/>
      <c r="K19" s="543"/>
      <c r="O19" s="3"/>
      <c r="P19" s="59"/>
    </row>
    <row r="20" spans="2:16">
      <c r="B20" s="58"/>
      <c r="C20" s="59"/>
      <c r="D20" s="573" t="str">
        <f>LEFT(Commodities!$D$29,4)&amp;RIGHT(Commodities!D85,5)&amp;"E"</f>
        <v>TPMPGSBL1E</v>
      </c>
      <c r="E20" s="573" t="s">
        <v>2282</v>
      </c>
      <c r="F20" s="59" t="str">
        <f>Commodities!$F$7</f>
        <v>Mpass-km</v>
      </c>
      <c r="G20" s="573" t="s">
        <v>153</v>
      </c>
      <c r="H20" s="59"/>
      <c r="I20" s="62"/>
      <c r="J20" s="58"/>
      <c r="K20" s="543"/>
    </row>
    <row r="21" spans="2:16">
      <c r="B21" s="573"/>
      <c r="C21" s="543"/>
      <c r="D21" s="59" t="str">
        <f>LEFT(Commodities!D32,4)&amp;RIGHT(Commodities!D80,5)&amp;"E"</f>
        <v>TPSNDSBL1E</v>
      </c>
      <c r="E21" s="1984" t="s">
        <v>254</v>
      </c>
      <c r="F21" s="59" t="str">
        <f>Commodities!$F$7</f>
        <v>Mpass-km</v>
      </c>
      <c r="G21" s="573" t="s">
        <v>153</v>
      </c>
      <c r="H21" s="59"/>
      <c r="I21" s="62"/>
      <c r="J21" s="58"/>
      <c r="K21" s="543"/>
    </row>
    <row r="22" spans="2:16">
      <c r="B22" s="573"/>
      <c r="C22" s="59"/>
      <c r="D22" s="543" t="str">
        <f>LEFT(Commodities!D33,4)&amp;RIGHT(Commodities!D71,3)&amp;"X1E"</f>
        <v>TPSIHFOX1E</v>
      </c>
      <c r="E22" s="1991" t="s">
        <v>255</v>
      </c>
      <c r="F22" s="59" t="str">
        <f>Commodities!$F$7</f>
        <v>Mpass-km</v>
      </c>
      <c r="G22" s="573" t="s">
        <v>153</v>
      </c>
      <c r="H22" s="59"/>
      <c r="I22" s="62"/>
      <c r="J22" s="58"/>
      <c r="K22" s="543"/>
    </row>
    <row r="23" spans="2:16">
      <c r="B23" s="58"/>
      <c r="C23" s="59"/>
      <c r="D23" s="59" t="str">
        <f>LEFT(Commodities!$D$34,4)&amp;RIGHT(Commodities!D90,5)&amp;"E"</f>
        <v>TPANKENA1E</v>
      </c>
      <c r="E23" s="1984" t="s">
        <v>466</v>
      </c>
      <c r="F23" s="59" t="str">
        <f>Commodities!$F$7</f>
        <v>Mpass-km</v>
      </c>
      <c r="G23" s="573" t="s">
        <v>153</v>
      </c>
      <c r="H23" s="59"/>
      <c r="I23" s="58"/>
      <c r="J23" s="58"/>
      <c r="K23" s="543"/>
    </row>
    <row r="24" spans="2:16">
      <c r="B24" s="58"/>
      <c r="C24" s="59"/>
      <c r="D24" s="59" t="str">
        <f>LEFT(Commodities!$D$34,4)&amp;RIGHT(Commodities!D69,4)&amp;"1E"</f>
        <v>TPANAGSL1E</v>
      </c>
      <c r="E24" s="1984" t="s">
        <v>2283</v>
      </c>
      <c r="F24" s="59" t="str">
        <f>Commodities!$F$7</f>
        <v>Mpass-km</v>
      </c>
      <c r="G24" s="573" t="s">
        <v>153</v>
      </c>
      <c r="H24" s="59"/>
      <c r="I24" s="58"/>
      <c r="J24" s="58"/>
      <c r="K24" s="543"/>
    </row>
    <row r="25" spans="2:16">
      <c r="B25" s="58"/>
      <c r="C25" s="59"/>
      <c r="D25" s="573" t="str">
        <f>LEFT(Commodities!$D$35,4)&amp;RIGHT(Commodities!D90,5)&amp;"E"</f>
        <v>TPAIKENA1E</v>
      </c>
      <c r="E25" s="1990" t="s">
        <v>3595</v>
      </c>
      <c r="F25" s="59" t="str">
        <f>Commodities!$F$7</f>
        <v>Mpass-km</v>
      </c>
      <c r="G25" s="573" t="s">
        <v>153</v>
      </c>
      <c r="H25" s="59"/>
      <c r="I25" s="62"/>
      <c r="J25" s="58"/>
      <c r="K25" s="543"/>
    </row>
    <row r="26" spans="2:16">
      <c r="B26" s="58"/>
      <c r="C26" s="59"/>
      <c r="D26" s="573" t="str">
        <f>LEFT(Commodities!$D$35,4)&amp;RIGHT(Commodities!D91,5)&amp;"E"</f>
        <v>TPAIKENA2E</v>
      </c>
      <c r="E26" s="1990" t="s">
        <v>3596</v>
      </c>
      <c r="F26" s="59" t="str">
        <f>Commodities!$F$7</f>
        <v>Mpass-km</v>
      </c>
      <c r="G26" s="573" t="s">
        <v>153</v>
      </c>
      <c r="H26" s="59"/>
      <c r="I26" s="62"/>
      <c r="J26" s="58"/>
      <c r="K26" s="543"/>
    </row>
    <row r="27" spans="2:16">
      <c r="B27" s="58"/>
      <c r="C27" s="59"/>
      <c r="D27" s="573" t="str">
        <f>LEFT(Commodities!D37,4)&amp;"KINGX1E"</f>
        <v>TPBIKINGX1E</v>
      </c>
      <c r="E27" s="1991" t="s">
        <v>2284</v>
      </c>
      <c r="F27" s="59" t="str">
        <f>Commodities!$F$7</f>
        <v>Mpass-km</v>
      </c>
      <c r="G27" s="573" t="s">
        <v>153</v>
      </c>
      <c r="H27" s="59"/>
      <c r="I27" s="62"/>
      <c r="J27" s="58"/>
      <c r="K27" s="543"/>
    </row>
    <row r="28" spans="2:16">
      <c r="B28" s="58"/>
      <c r="C28" s="59"/>
      <c r="D28" s="573" t="str">
        <f>LEFT(Commodities!D40,4)&amp;"LKXX1E"</f>
        <v>TPWALKXX1E</v>
      </c>
      <c r="E28" s="1991" t="s">
        <v>2285</v>
      </c>
      <c r="F28" s="59" t="str">
        <f>Commodities!$F$7</f>
        <v>Mpass-km</v>
      </c>
      <c r="G28" s="59" t="str">
        <f>Commodities!$F$7</f>
        <v>Mpass-km</v>
      </c>
      <c r="H28" s="59"/>
      <c r="I28" s="62"/>
      <c r="J28" s="58"/>
      <c r="K28" s="543"/>
      <c r="O28" s="573"/>
    </row>
    <row r="29" spans="2:16">
      <c r="B29" s="58"/>
      <c r="C29" s="59"/>
      <c r="D29" s="573" t="str">
        <f>LEFT(Commodities!$D$42,4)&amp;RIGHT(Commodities!D80,5)&amp;"E"</f>
        <v>TFVADSBL1E</v>
      </c>
      <c r="E29" s="1991" t="s">
        <v>467</v>
      </c>
      <c r="F29" s="59" t="str">
        <f>Commodities!$F$42</f>
        <v>Mt-km</v>
      </c>
      <c r="G29" s="573" t="s">
        <v>153</v>
      </c>
      <c r="H29" s="59"/>
      <c r="I29" s="62"/>
      <c r="J29" s="59"/>
      <c r="K29" s="543"/>
    </row>
    <row r="30" spans="2:16">
      <c r="B30" s="58"/>
      <c r="C30" s="59"/>
      <c r="D30" s="573" t="str">
        <f>LEFT(Commodities!$D$42,4)&amp;RIGHT(Commodities!D85,5)&amp;"E"</f>
        <v>TFVAGSBL1E</v>
      </c>
      <c r="E30" s="1991" t="s">
        <v>468</v>
      </c>
      <c r="F30" s="59" t="str">
        <f>Commodities!$F$42</f>
        <v>Mt-km</v>
      </c>
      <c r="G30" s="573" t="s">
        <v>153</v>
      </c>
      <c r="H30" s="59"/>
      <c r="I30" s="62"/>
      <c r="J30" s="59"/>
      <c r="K30" s="543"/>
    </row>
    <row r="31" spans="2:16">
      <c r="B31" s="58"/>
      <c r="C31" s="59"/>
      <c r="D31" s="573" t="str">
        <f>LEFT(Commodities!$D$44,4)&amp;RIGHT(Commodities!D80,5)&amp;"E"</f>
        <v>TFTRDSBL1E</v>
      </c>
      <c r="E31" s="1991" t="s">
        <v>469</v>
      </c>
      <c r="F31" s="59" t="str">
        <f>Commodities!$F$44</f>
        <v>Mt-km</v>
      </c>
      <c r="G31" s="573" t="s">
        <v>153</v>
      </c>
      <c r="H31" s="59"/>
      <c r="I31" s="62"/>
      <c r="J31" s="58"/>
      <c r="K31" s="543"/>
    </row>
    <row r="32" spans="2:16">
      <c r="B32" s="58"/>
      <c r="C32" s="59"/>
      <c r="D32" s="59" t="str">
        <f>LEFT(Commodities!$D$128,4)&amp;RIGHT(Commodities!D80,5)&amp;"E"</f>
        <v>TFRLDSBL1E</v>
      </c>
      <c r="E32" s="1984" t="s">
        <v>470</v>
      </c>
      <c r="F32" s="59" t="str">
        <f>Commodities!$F$128</f>
        <v>Mt-km</v>
      </c>
      <c r="G32" s="573" t="s">
        <v>153</v>
      </c>
      <c r="H32" s="59"/>
      <c r="I32" s="58"/>
      <c r="J32" s="58"/>
      <c r="K32" s="543"/>
    </row>
    <row r="33" spans="2:11">
      <c r="B33" s="58"/>
      <c r="C33" s="59"/>
      <c r="D33" s="59" t="str">
        <f>LEFT(Commodities!$D$128,4)&amp;RIGHT(Commodities!D60,3)&amp;"X1E"</f>
        <v>TFRLELCX1E</v>
      </c>
      <c r="E33" s="1984" t="s">
        <v>471</v>
      </c>
      <c r="F33" s="59" t="str">
        <f>Commodities!$F$128</f>
        <v>Mt-km</v>
      </c>
      <c r="G33" s="573" t="s">
        <v>153</v>
      </c>
      <c r="H33" s="59"/>
      <c r="I33" s="58"/>
      <c r="J33" s="58"/>
      <c r="K33" s="543"/>
    </row>
    <row r="34" spans="2:11">
      <c r="B34" s="3"/>
      <c r="C34" s="1992"/>
      <c r="D34" s="543" t="str">
        <f>LEFT(Commodities!D49,4)&amp;RIGHT(Commodities!D80,5)&amp;"E"</f>
        <v>TFSNDSBL1E</v>
      </c>
      <c r="E34" s="573" t="s">
        <v>151</v>
      </c>
      <c r="F34" s="59" t="str">
        <f>Commodities!$F$128</f>
        <v>Mt-km</v>
      </c>
      <c r="G34" s="573" t="s">
        <v>153</v>
      </c>
      <c r="H34" s="59"/>
      <c r="I34" s="58"/>
      <c r="J34" s="58"/>
      <c r="K34" s="543"/>
    </row>
    <row r="35" spans="2:11">
      <c r="B35" s="573"/>
      <c r="C35" s="1992"/>
      <c r="D35" s="754" t="str">
        <f>LEFT(Commodities!D50,4)&amp;RIGHT(Commodities!D71,3)&amp;"X1E"</f>
        <v>TFSIHFOX1E</v>
      </c>
      <c r="E35" s="1991" t="s">
        <v>152</v>
      </c>
      <c r="F35" s="59" t="str">
        <f>Commodities!$F$128</f>
        <v>Mt-km</v>
      </c>
      <c r="G35" s="573" t="s">
        <v>153</v>
      </c>
      <c r="H35" s="59"/>
      <c r="I35" s="62"/>
      <c r="J35" s="58"/>
    </row>
    <row r="36" spans="2:11">
      <c r="B36" s="572"/>
      <c r="C36" s="1993"/>
      <c r="D36" s="23" t="str">
        <f>LEFT(Commodities!D51,4)&amp;RIGHT(Commodities!D90,5)&amp;"E"</f>
        <v>TFAIKENA1E</v>
      </c>
      <c r="E36" s="1994" t="s">
        <v>472</v>
      </c>
      <c r="F36" s="57" t="str">
        <f>Commodities!$F$128</f>
        <v>Mt-km</v>
      </c>
      <c r="G36" s="572" t="s">
        <v>153</v>
      </c>
      <c r="H36" s="57"/>
      <c r="I36" s="63"/>
    </row>
    <row r="37" spans="2:11">
      <c r="B37" s="571" t="s">
        <v>47</v>
      </c>
      <c r="C37" s="55"/>
      <c r="D37" s="50" t="str">
        <f>"FT-TRA"&amp;IF(LEN(Commodities!D52)=6,RIGHT(Commodities!D52,3),RIGHT(Commodities!D52,4))</f>
        <v>FT-TRADSL</v>
      </c>
      <c r="E37" s="50" t="str">
        <f>"Fuel Technology "&amp;Commodities!E52</f>
        <v>Fuel Technology Diesel TRA</v>
      </c>
      <c r="F37" s="570" t="s">
        <v>44</v>
      </c>
      <c r="G37" s="570" t="s">
        <v>48</v>
      </c>
      <c r="H37" s="55"/>
      <c r="I37" s="50"/>
      <c r="J37" s="50"/>
    </row>
    <row r="38" spans="2:11">
      <c r="B38" s="55"/>
      <c r="C38" s="55"/>
      <c r="D38" s="50" t="str">
        <f>"FT-TRA"&amp;IF(LEN(Commodities!D53)=6,RIGHT(Commodities!D53,3),RIGHT(Commodities!D53,4))</f>
        <v>FT-TRADSB</v>
      </c>
      <c r="E38" s="50" t="str">
        <f>"Fuel Technology "&amp;Commodities!E53</f>
        <v>Fuel Technology RE diesel (1G &amp; 2G) TRA</v>
      </c>
      <c r="F38" s="573" t="s">
        <v>44</v>
      </c>
      <c r="G38" s="573" t="s">
        <v>48</v>
      </c>
      <c r="H38" s="55"/>
      <c r="I38" s="50"/>
      <c r="J38" s="50"/>
    </row>
    <row r="39" spans="2:11">
      <c r="C39" s="55"/>
      <c r="D39" s="50" t="str">
        <f>"FT-TRA"&amp;IF(LEN(Commodities!D54)=6,RIGHT(Commodities!D54,3),RIGHT(Commodities!D54,4))</f>
        <v>FT-TRAGSL</v>
      </c>
      <c r="E39" s="50" t="str">
        <f>"Fuel Technology "&amp;Commodities!E54</f>
        <v>Fuel Technology Gasoline TRA</v>
      </c>
      <c r="F39" s="573" t="s">
        <v>44</v>
      </c>
      <c r="G39" s="573" t="s">
        <v>48</v>
      </c>
      <c r="H39" s="55"/>
      <c r="I39" s="50"/>
      <c r="J39" s="50"/>
    </row>
    <row r="40" spans="2:11">
      <c r="B40" s="55"/>
      <c r="C40" s="55"/>
      <c r="D40" s="50" t="str">
        <f>"FT-TRA"&amp;IF(LEN(Commodities!D55)=6,RIGHT(Commodities!D55,3),RIGHT(Commodities!D55,4))</f>
        <v>FT-TRAGSB</v>
      </c>
      <c r="E40" s="50" t="str">
        <f>"Fuel Technology "&amp;Commodities!E55</f>
        <v>Fuel Technology RE ethanol (1G &amp; 2G) TRA</v>
      </c>
      <c r="F40" s="573" t="s">
        <v>44</v>
      </c>
      <c r="G40" s="573" t="s">
        <v>48</v>
      </c>
      <c r="H40" s="55"/>
      <c r="I40" s="50"/>
      <c r="J40" s="50"/>
    </row>
    <row r="41" spans="2:11">
      <c r="B41" s="55"/>
      <c r="C41" s="55"/>
      <c r="D41" s="50" t="str">
        <f>"FT-TRA"&amp;IF(LEN(Commodities!D56)=6,RIGHT(Commodities!D56,3),RIGHT(Commodities!D56,4))</f>
        <v>FT-TRALPG</v>
      </c>
      <c r="E41" s="50" t="str">
        <f>"Fuel Technology "&amp;Commodities!E56</f>
        <v>Fuel Technology Liquid petrol gas TRA</v>
      </c>
      <c r="F41" s="573" t="s">
        <v>44</v>
      </c>
      <c r="G41" s="573" t="s">
        <v>48</v>
      </c>
      <c r="H41" s="55"/>
      <c r="I41" s="50"/>
      <c r="J41" s="50"/>
    </row>
    <row r="42" spans="2:11">
      <c r="B42" s="55"/>
      <c r="C42" s="55"/>
      <c r="D42" s="50" t="str">
        <f>"FT-TRA"&amp;IF(LEN(Commodities!D57)=6,RIGHT(Commodities!D57,3),RIGHT(Commodities!D57,4))</f>
        <v>FT-TRALPGC</v>
      </c>
      <c r="E42" s="50" t="str">
        <f>"Fuel Technology "&amp;Commodities!E57</f>
        <v>Fuel Technology Liquid petrol gas TRA Cars</v>
      </c>
      <c r="F42" s="573" t="s">
        <v>44</v>
      </c>
      <c r="G42" s="573" t="s">
        <v>48</v>
      </c>
      <c r="H42" s="55"/>
      <c r="I42" s="50"/>
      <c r="J42" s="50"/>
    </row>
    <row r="43" spans="2:11">
      <c r="B43" s="55"/>
      <c r="C43" s="55"/>
      <c r="D43" s="50" t="str">
        <f>"FT-TRA"&amp;IF(LEN(Commodities!D58)=6,RIGHT(Commodities!D58,3),RIGHT(Commodities!D58,4))</f>
        <v>FT-TRANGA</v>
      </c>
      <c r="E43" s="50" t="str">
        <f>"Fuel Technology "&amp;Commodities!E58</f>
        <v>Fuel Technology Nat. Gas TRA</v>
      </c>
      <c r="F43" s="573" t="s">
        <v>44</v>
      </c>
      <c r="G43" s="573" t="s">
        <v>48</v>
      </c>
      <c r="I43" s="50"/>
      <c r="J43" s="50"/>
    </row>
    <row r="44" spans="2:11">
      <c r="B44" s="55"/>
      <c r="C44" s="55"/>
      <c r="D44" s="50" t="str">
        <f>"FT-TRA"&amp;IF(LEN(Commodities!D59)=6,RIGHT(Commodities!D59,3),RIGHT(Commodities!D59,4))</f>
        <v>FT-TRASNG</v>
      </c>
      <c r="E44" s="50" t="str">
        <f>"Fuel Technology "&amp;Commodities!E59</f>
        <v>Fuel Technology RE Synt. Nat. Gas (1G &amp; 2G) TRA</v>
      </c>
      <c r="F44" s="573" t="s">
        <v>44</v>
      </c>
      <c r="G44" s="573" t="s">
        <v>48</v>
      </c>
      <c r="H44" s="545"/>
      <c r="I44" s="50"/>
      <c r="J44" s="50"/>
    </row>
    <row r="45" spans="2:11">
      <c r="B45" s="55"/>
      <c r="C45" s="55"/>
      <c r="D45" s="3041" t="str">
        <f>"FT-TRA"&amp;IF(LEN(Commodities!D60)=6,RIGHT(Commodities!D60,3),RIGHT(Commodities!D60,4))</f>
        <v>FT-TRAELC</v>
      </c>
      <c r="E45" s="3041" t="str">
        <f>"Fuel Technology "&amp;Commodities!E60</f>
        <v>Fuel Technology Electricity TRA</v>
      </c>
      <c r="F45" s="3042" t="s">
        <v>44</v>
      </c>
      <c r="G45" s="3042" t="s">
        <v>48</v>
      </c>
      <c r="H45" s="3043" t="s">
        <v>55</v>
      </c>
      <c r="I45" s="50"/>
      <c r="J45" s="50"/>
    </row>
    <row r="46" spans="2:11">
      <c r="B46" s="55"/>
      <c r="C46" s="55"/>
      <c r="D46" s="3041" t="str">
        <f>"FT-TRA"&amp;IF(LEN(Commodities!D61)=6,RIGHT(Commodities!D61,3),RIGHT(Commodities!D61,5))</f>
        <v>FT-TRAELCEV</v>
      </c>
      <c r="E46" s="3041" t="str">
        <f>"Fuel Technology "&amp;Commodities!E61</f>
        <v>Fuel Technology Electricity TRA for electric EV</v>
      </c>
      <c r="F46" s="3042" t="s">
        <v>44</v>
      </c>
      <c r="G46" s="3042" t="s">
        <v>48</v>
      </c>
      <c r="H46" s="3043" t="s">
        <v>55</v>
      </c>
      <c r="I46" s="50"/>
      <c r="J46" s="50"/>
    </row>
    <row r="47" spans="2:11">
      <c r="B47" s="55"/>
      <c r="C47" s="55"/>
      <c r="D47" s="3041" t="str">
        <f>"FT-TRA"&amp;IF(LEN(Commodities!D62)=6,RIGHT(Commodities!D62,3),RIGHT(Commodities!D62,6))</f>
        <v>FT-TRAELCEVC</v>
      </c>
      <c r="E47" s="3041" t="str">
        <f>"Fuel Technology "&amp;Commodities!E62</f>
        <v>Fuel Technology Electricity TRA for electric cars</v>
      </c>
      <c r="F47" s="3042" t="s">
        <v>44</v>
      </c>
      <c r="G47" s="3042" t="s">
        <v>48</v>
      </c>
      <c r="H47" s="3043" t="s">
        <v>55</v>
      </c>
      <c r="I47" s="50"/>
      <c r="J47" s="50"/>
    </row>
    <row r="48" spans="2:11">
      <c r="B48" s="55"/>
      <c r="C48" s="55"/>
      <c r="D48" s="50" t="str">
        <f>"FT-TRA"&amp;IF(LEN(Commodities!D63)=6,RIGHT(Commodities!D63,3),RIGHT(Commodities!D63,4))</f>
        <v>FT-TRAH2G</v>
      </c>
      <c r="E48" s="50" t="str">
        <f>"Fuel Technology "&amp;Commodities!E63</f>
        <v>Fuel Technology Hydrogen TRA</v>
      </c>
      <c r="F48" s="573" t="s">
        <v>44</v>
      </c>
      <c r="G48" s="573" t="s">
        <v>48</v>
      </c>
      <c r="H48" s="55"/>
      <c r="I48" s="50"/>
      <c r="J48" s="50"/>
    </row>
    <row r="49" spans="2:10">
      <c r="B49" s="55"/>
      <c r="C49" s="55"/>
      <c r="D49" s="50" t="str">
        <f>"FT-TRA"&amp;IF(LEN(Commodities!D64)=6,RIGHT(Commodities!D64,3),RIGHT(Commodities!D64,4))</f>
        <v>FT-TRAH2C</v>
      </c>
      <c r="E49" s="50" t="str">
        <f>"Fuel Technology "&amp;Commodities!E64</f>
        <v>Fuel Technology Hydrogen Compressed TRA</v>
      </c>
      <c r="F49" s="573" t="s">
        <v>44</v>
      </c>
      <c r="G49" s="573" t="s">
        <v>48</v>
      </c>
      <c r="H49" s="55"/>
      <c r="I49" s="50"/>
      <c r="J49" s="50"/>
    </row>
    <row r="50" spans="2:10">
      <c r="B50" s="55"/>
      <c r="C50" s="55"/>
      <c r="D50" s="50" t="str">
        <f>"FT-TRA"&amp;IF(LEN(Commodities!D65)=6,RIGHT(Commodities!D65,3),RIGHT(Commodities!D65,4))</f>
        <v>FT-TRAKER</v>
      </c>
      <c r="E50" s="50" t="str">
        <f>"Fuel Technology "&amp;Commodities!E65</f>
        <v>Fuel Technology Kerosene TRA</v>
      </c>
      <c r="F50" s="573" t="s">
        <v>44</v>
      </c>
      <c r="G50" s="573" t="s">
        <v>48</v>
      </c>
      <c r="H50" s="55"/>
      <c r="I50" s="50"/>
      <c r="J50" s="50"/>
    </row>
    <row r="51" spans="2:10">
      <c r="B51" s="55"/>
      <c r="C51" s="55"/>
      <c r="D51" s="50" t="str">
        <f>"FT-TRA"&amp;IF(LEN(Commodities!D66)=6,RIGHT(Commodities!D66,3),RIGHT(Commodities!D66,4))</f>
        <v>FT-TRAKEN</v>
      </c>
      <c r="E51" s="50" t="str">
        <f>"Fuel Technology "&amp;Commodities!E66</f>
        <v>Fuel Technology Kerosene National TRA</v>
      </c>
      <c r="F51" s="573" t="s">
        <v>44</v>
      </c>
      <c r="G51" s="573" t="s">
        <v>48</v>
      </c>
      <c r="H51" s="55"/>
      <c r="I51" s="50"/>
      <c r="J51" s="50"/>
    </row>
    <row r="52" spans="2:10">
      <c r="B52" s="55"/>
      <c r="C52" s="55"/>
      <c r="D52" s="50" t="str">
        <f>"FT-TRA"&amp;IF(LEN(Commodities!D67)=6,RIGHT(Commodities!D67,3),RIGHT(Commodities!D67,4))</f>
        <v>FT-TRAKEI</v>
      </c>
      <c r="E52" s="50" t="str">
        <f>"Fuel Technology "&amp;Commodities!E67</f>
        <v>Fuel Technology Kerosene International TRA</v>
      </c>
      <c r="F52" s="573" t="s">
        <v>44</v>
      </c>
      <c r="G52" s="573" t="s">
        <v>48</v>
      </c>
      <c r="H52" s="55"/>
      <c r="I52" s="50"/>
      <c r="J52" s="50"/>
    </row>
    <row r="53" spans="2:10">
      <c r="B53" s="55"/>
      <c r="C53" s="55"/>
      <c r="D53" s="50" t="str">
        <f>"FT-TRA"&amp;IF(LEN(Commodities!D68)=6,RIGHT(Commodities!D68,3),RIGHT(Commodities!D68,4))</f>
        <v>FT-TRAKRB</v>
      </c>
      <c r="E53" s="50" t="str">
        <f>"Fuel Technology "&amp;Commodities!E68</f>
        <v>Fuel Technology RE kerosene TRA</v>
      </c>
      <c r="F53" s="573" t="s">
        <v>44</v>
      </c>
      <c r="G53" s="573" t="s">
        <v>48</v>
      </c>
      <c r="H53" s="55"/>
      <c r="I53" s="50"/>
      <c r="J53" s="50"/>
    </row>
    <row r="54" spans="2:10">
      <c r="B54" s="55"/>
      <c r="C54" s="55"/>
      <c r="D54" s="50" t="str">
        <f>"FT-TRA"&amp;IF(LEN(Commodities!D69)=6,RIGHT(Commodities!D69,3),RIGHT(Commodities!D69,4))</f>
        <v>FT-TRAAGSL</v>
      </c>
      <c r="E54" s="50" t="str">
        <f>"Fuel Technology "&amp;Commodities!E69</f>
        <v>Fuel Technology Aviation gasoline TRA</v>
      </c>
      <c r="F54" s="573" t="s">
        <v>44</v>
      </c>
      <c r="G54" s="573" t="s">
        <v>48</v>
      </c>
      <c r="H54" s="55"/>
      <c r="I54" s="50"/>
      <c r="J54" s="50"/>
    </row>
    <row r="55" spans="2:10">
      <c r="B55" s="55"/>
      <c r="C55" s="55"/>
      <c r="D55" s="50" t="str">
        <f>"FT-TRA"&amp;IF(LEN(Commodities!D70)=6,RIGHT(Commodities!D70,3),RIGHT(Commodities!D70,4))</f>
        <v>FT-TRAMOB</v>
      </c>
      <c r="E55" s="50" t="str">
        <f>"Fuel Technology "&amp;Commodities!E70</f>
        <v>Fuel Technology Methanol TRA</v>
      </c>
      <c r="F55" s="573" t="s">
        <v>44</v>
      </c>
      <c r="G55" s="573" t="s">
        <v>48</v>
      </c>
      <c r="H55" s="55"/>
      <c r="I55" s="50"/>
      <c r="J55" s="50"/>
    </row>
    <row r="56" spans="2:10">
      <c r="B56" s="55"/>
      <c r="C56" s="55"/>
      <c r="D56" s="50" t="str">
        <f>"FT-TRA"&amp;IF(LEN(Commodities!D71)=6,RIGHT(Commodities!D71,3),RIGHT(Commodities!D71,4))</f>
        <v>FT-TRAHFO</v>
      </c>
      <c r="E56" s="50" t="str">
        <f>"Fuel Technology "&amp;Commodities!E71</f>
        <v>Fuel Technology Heavy Fuel Oil TRA</v>
      </c>
      <c r="F56" s="573" t="s">
        <v>44</v>
      </c>
      <c r="G56" s="573" t="s">
        <v>48</v>
      </c>
      <c r="H56" s="55"/>
      <c r="I56" s="50"/>
      <c r="J56" s="50"/>
    </row>
    <row r="57" spans="2:10">
      <c r="B57" s="55"/>
      <c r="C57" s="55"/>
      <c r="D57" s="50" t="str">
        <f>"FT-TRA"&amp;IF(LEN(Commodities!D72)=6,RIGHT(Commodities!D72,3),RIGHT(Commodities!D72,4))</f>
        <v>FT-TRAMGO</v>
      </c>
      <c r="E57" s="50" t="str">
        <f>"Fuel Technology "&amp;Commodities!E72</f>
        <v>Fuel Technology Transport marine gas oil</v>
      </c>
      <c r="F57" s="573" t="s">
        <v>44</v>
      </c>
      <c r="G57" s="573" t="s">
        <v>48</v>
      </c>
      <c r="H57" s="55"/>
      <c r="I57" s="50"/>
      <c r="J57" s="50"/>
    </row>
    <row r="58" spans="2:10">
      <c r="B58" s="55"/>
      <c r="C58" s="55"/>
      <c r="D58" s="50" t="str">
        <f>"FT-TRA"&amp;IF(LEN(Commodities!D73)=6,RIGHT(Commodities!D73,3),RIGHT(Commodities!D73,4))</f>
        <v>FT-TRAHFON</v>
      </c>
      <c r="E58" s="50" t="str">
        <f>"Fuel Technology "&amp;Commodities!E73</f>
        <v>Fuel Technology Heavy Fuel Oil TRA Navigation</v>
      </c>
      <c r="F58" s="573" t="s">
        <v>44</v>
      </c>
      <c r="G58" s="573" t="s">
        <v>48</v>
      </c>
      <c r="H58" s="55"/>
      <c r="I58" s="50"/>
      <c r="J58" s="50"/>
    </row>
    <row r="59" spans="2:10">
      <c r="B59" s="55"/>
      <c r="C59" s="55"/>
      <c r="D59" s="50" t="str">
        <f>"FT-TRA"&amp;IF(LEN(Commodities!D74)=6,RIGHT(Commodities!D74,3),RIGHT(Commodities!D74,4))</f>
        <v>FT-TRADSLN</v>
      </c>
      <c r="E59" s="50" t="str">
        <f>"Fuel Technology "&amp;Commodities!E74</f>
        <v>Fuel Technology Diesel TRA Navigation</v>
      </c>
      <c r="F59" s="573" t="s">
        <v>44</v>
      </c>
      <c r="G59" s="573" t="s">
        <v>48</v>
      </c>
      <c r="H59" s="55"/>
      <c r="I59" s="50"/>
      <c r="J59" s="50"/>
    </row>
    <row r="60" spans="2:10">
      <c r="B60" s="55"/>
      <c r="C60" s="55"/>
      <c r="D60" s="50" t="str">
        <f>"FT-TRA"&amp;IF(LEN(Commodities!D75)=6,RIGHT(Commodities!D75,3),RIGHT(Commodities!D75,4))</f>
        <v>FT-TRADSBN</v>
      </c>
      <c r="E60" s="50" t="str">
        <f>"Fuel Technology "&amp;Commodities!E75</f>
        <v>Fuel Technology RE diesel (1G &amp; 2G) TRA Navigation</v>
      </c>
      <c r="F60" s="573" t="s">
        <v>44</v>
      </c>
      <c r="G60" s="573" t="s">
        <v>48</v>
      </c>
      <c r="H60" s="55"/>
      <c r="I60" s="50"/>
      <c r="J60" s="50"/>
    </row>
    <row r="61" spans="2:10">
      <c r="B61" s="55"/>
      <c r="C61" s="55"/>
      <c r="D61" s="50" t="str">
        <f>"FT-TRA"&amp;IF(LEN(Commodities!D76)=6,RIGHT(Commodities!D76,3),RIGHT(Commodities!D76,4))</f>
        <v>FT-TRAGSBN</v>
      </c>
      <c r="E61" s="50" t="str">
        <f>"Fuel Technology "&amp;Commodities!E76</f>
        <v>Fuel Technology RE ethanol (1G &amp; 2G) TRA Navigation</v>
      </c>
      <c r="F61" s="573" t="s">
        <v>44</v>
      </c>
      <c r="G61" s="573" t="s">
        <v>48</v>
      </c>
      <c r="H61" s="55"/>
      <c r="I61" s="50"/>
      <c r="J61" s="50"/>
    </row>
    <row r="62" spans="2:10">
      <c r="B62" s="50"/>
      <c r="C62" s="55"/>
      <c r="D62" s="50" t="str">
        <f>"FT-TRA"&amp;IF(LEN(Commodities!D77)=6,RIGHT(Commodities!D77,3),RIGHT(Commodities!D77,4))</f>
        <v>FT-TRANGAN</v>
      </c>
      <c r="E62" s="50" t="str">
        <f>"Fuel Technology "&amp;Commodities!E77</f>
        <v>Fuel Technology Nat. Gas TRA Navigation</v>
      </c>
      <c r="F62" s="573" t="s">
        <v>44</v>
      </c>
      <c r="G62" s="573" t="s">
        <v>48</v>
      </c>
      <c r="H62" s="55"/>
      <c r="I62" s="50"/>
      <c r="J62" s="50"/>
    </row>
    <row r="63" spans="2:10">
      <c r="B63" s="50"/>
      <c r="C63" s="55"/>
      <c r="D63" s="50" t="str">
        <f>"FT-TRA"&amp;IF(LEN(Commodities!D78)=6,RIGHT(Commodities!D78,3),RIGHT(Commodities!D78,4))</f>
        <v>FT-TRASNGN</v>
      </c>
      <c r="E63" s="50" t="str">
        <f>"Fuel Technology "&amp;Commodities!E78</f>
        <v>Fuel Technology RE Synt. Nat. Gas (1G &amp; 2G) TRA Navigation</v>
      </c>
      <c r="F63" s="573" t="s">
        <v>44</v>
      </c>
      <c r="G63" s="573" t="s">
        <v>48</v>
      </c>
      <c r="H63" s="55"/>
      <c r="I63" s="50"/>
      <c r="J63" s="50"/>
    </row>
    <row r="64" spans="2:10">
      <c r="B64" s="50"/>
      <c r="C64" s="50"/>
      <c r="D64" s="50" t="str">
        <f>"FT-TRA"&amp;IF(LEN(Commodities!D79)=6,RIGHT(Commodities!D79,3),RIGHT(Commodities!D79,4))</f>
        <v>FT-TRAAMM</v>
      </c>
      <c r="E64" s="50" t="str">
        <f>"Fuel Technology "&amp;Commodities!E79</f>
        <v>Fuel Technology Ammonia TRA</v>
      </c>
      <c r="F64" s="573" t="s">
        <v>44</v>
      </c>
      <c r="G64" s="573" t="s">
        <v>48</v>
      </c>
      <c r="H64" s="50"/>
      <c r="I64" s="50"/>
      <c r="J64" s="50"/>
    </row>
    <row r="65" spans="2:10">
      <c r="B65" s="50"/>
      <c r="C65" s="50"/>
      <c r="D65" s="50" t="str">
        <f>"FT-"&amp;Commodities!D80</f>
        <v>FT-TRADSBL1</v>
      </c>
      <c r="E65" s="50" t="s">
        <v>473</v>
      </c>
      <c r="F65" s="573" t="s">
        <v>44</v>
      </c>
      <c r="G65" s="573" t="s">
        <v>48</v>
      </c>
      <c r="H65" s="50"/>
      <c r="I65" s="50"/>
      <c r="J65" s="50"/>
    </row>
    <row r="66" spans="2:10">
      <c r="B66" s="50"/>
      <c r="C66" s="50"/>
      <c r="D66" s="50" t="str">
        <f>"FT-"&amp;Commodities!D81</f>
        <v>FT-TRADSBL2</v>
      </c>
      <c r="E66" s="50" t="s">
        <v>475</v>
      </c>
      <c r="F66" s="573" t="s">
        <v>44</v>
      </c>
      <c r="G66" s="573" t="s">
        <v>48</v>
      </c>
      <c r="H66" s="50"/>
      <c r="I66" s="50"/>
      <c r="J66" s="50"/>
    </row>
    <row r="67" spans="2:10">
      <c r="B67" s="50"/>
      <c r="C67" s="50"/>
      <c r="D67" s="50" t="str">
        <f>"FT-"&amp;Commodities!D82</f>
        <v>FT-TRADSBL3</v>
      </c>
      <c r="E67" s="50" t="s">
        <v>476</v>
      </c>
      <c r="F67" s="573" t="s">
        <v>44</v>
      </c>
      <c r="G67" s="573" t="s">
        <v>48</v>
      </c>
      <c r="H67" s="50"/>
      <c r="I67" s="50"/>
      <c r="J67" s="50"/>
    </row>
    <row r="68" spans="2:10">
      <c r="B68" s="50"/>
      <c r="C68" s="50"/>
      <c r="D68" s="50" t="str">
        <f>"FT-"&amp;Commodities!D83</f>
        <v>FT-TRADSBL4</v>
      </c>
      <c r="E68" s="50" t="s">
        <v>477</v>
      </c>
      <c r="F68" s="573" t="s">
        <v>44</v>
      </c>
      <c r="G68" s="573" t="s">
        <v>48</v>
      </c>
      <c r="H68" s="50"/>
      <c r="I68" s="50"/>
      <c r="J68" s="50"/>
    </row>
    <row r="69" spans="2:10">
      <c r="B69" s="50"/>
      <c r="C69" s="50"/>
      <c r="D69" s="50" t="str">
        <f>"FT-"&amp;Commodities!D84</f>
        <v>FT-TRADSBL5</v>
      </c>
      <c r="E69" s="50" t="s">
        <v>474</v>
      </c>
      <c r="F69" s="573" t="s">
        <v>44</v>
      </c>
      <c r="G69" s="573" t="s">
        <v>48</v>
      </c>
      <c r="H69" s="50"/>
      <c r="I69" s="50"/>
      <c r="J69" s="50"/>
    </row>
    <row r="70" spans="2:10">
      <c r="B70" s="50"/>
      <c r="C70" s="50"/>
      <c r="D70" s="50" t="str">
        <f>"FT-"&amp;Commodities!D85</f>
        <v>FT-TRAGSBL1</v>
      </c>
      <c r="E70" s="50" t="s">
        <v>478</v>
      </c>
      <c r="F70" s="573" t="s">
        <v>44</v>
      </c>
      <c r="G70" s="573" t="s">
        <v>48</v>
      </c>
      <c r="H70" s="50"/>
      <c r="I70" s="50"/>
      <c r="J70" s="50"/>
    </row>
    <row r="71" spans="2:10">
      <c r="B71" s="50"/>
      <c r="C71" s="50"/>
      <c r="D71" s="50" t="str">
        <f>"FT-"&amp;Commodities!D86</f>
        <v>FT-TRAGSBL2</v>
      </c>
      <c r="E71" s="50" t="s">
        <v>479</v>
      </c>
      <c r="F71" s="573" t="s">
        <v>44</v>
      </c>
      <c r="G71" s="573" t="s">
        <v>48</v>
      </c>
      <c r="H71" s="50"/>
      <c r="I71" s="50"/>
      <c r="J71" s="50"/>
    </row>
    <row r="72" spans="2:10">
      <c r="D72" s="50" t="str">
        <f>"FT-"&amp;Commodities!D87</f>
        <v>FT-TRAGSBL3</v>
      </c>
      <c r="E72" s="50" t="s">
        <v>480</v>
      </c>
      <c r="F72" s="573" t="s">
        <v>44</v>
      </c>
      <c r="G72" s="573" t="s">
        <v>48</v>
      </c>
    </row>
    <row r="73" spans="2:10">
      <c r="D73" s="50" t="str">
        <f>"FT-"&amp;Commodities!D88</f>
        <v>FT-TRAGSBL4</v>
      </c>
      <c r="E73" s="50" t="s">
        <v>481</v>
      </c>
      <c r="F73" s="573" t="s">
        <v>44</v>
      </c>
      <c r="G73" s="573" t="s">
        <v>48</v>
      </c>
    </row>
    <row r="74" spans="2:10">
      <c r="D74" s="50" t="str">
        <f>"FT-"&amp;Commodities!D89</f>
        <v>FT-TRAGSBL5</v>
      </c>
      <c r="E74" s="50" t="s">
        <v>482</v>
      </c>
      <c r="F74" s="573" t="s">
        <v>44</v>
      </c>
      <c r="G74" s="573" t="s">
        <v>48</v>
      </c>
    </row>
    <row r="75" spans="2:10">
      <c r="D75" s="50" t="str">
        <f>"FT-"&amp;Commodities!D90</f>
        <v>FT-TRAKENA1</v>
      </c>
      <c r="E75" s="3020" t="s">
        <v>3582</v>
      </c>
      <c r="F75" s="573" t="s">
        <v>44</v>
      </c>
      <c r="G75" s="573" t="s">
        <v>48</v>
      </c>
    </row>
    <row r="76" spans="2:10">
      <c r="D76" s="50" t="str">
        <f>"FT-"&amp;Commodities!D91</f>
        <v>FT-TRAKENA2</v>
      </c>
      <c r="E76" s="3020" t="s">
        <v>3584</v>
      </c>
      <c r="F76" s="573" t="s">
        <v>44</v>
      </c>
      <c r="G76" s="573" t="s">
        <v>48</v>
      </c>
    </row>
    <row r="77" spans="2:10">
      <c r="D77" s="50" t="str">
        <f>"FT-"&amp;Commodities!D92</f>
        <v>FT-TRAKENA3</v>
      </c>
      <c r="E77" s="3020" t="s">
        <v>3586</v>
      </c>
      <c r="F77" s="573" t="s">
        <v>44</v>
      </c>
      <c r="G77" s="573" t="s">
        <v>48</v>
      </c>
    </row>
    <row r="78" spans="2:10">
      <c r="D78" s="50" t="str">
        <f>"FT-"&amp;Commodities!D93</f>
        <v>FT-TRAKENA4</v>
      </c>
      <c r="E78" s="3020" t="s">
        <v>3588</v>
      </c>
      <c r="F78" s="573" t="s">
        <v>44</v>
      </c>
      <c r="G78" s="573" t="s">
        <v>48</v>
      </c>
    </row>
    <row r="79" spans="2:10">
      <c r="D79" s="50" t="str">
        <f>"FT-"&amp;Commodities!D94</f>
        <v>FT-TRAKENA5</v>
      </c>
      <c r="E79" s="3020" t="s">
        <v>3590</v>
      </c>
      <c r="F79" s="573" t="s">
        <v>44</v>
      </c>
      <c r="G79" s="573" t="s">
        <v>48</v>
      </c>
    </row>
    <row r="80" spans="2:10">
      <c r="D80" s="50" t="str">
        <f>"FT-"&amp;Commodities!D95</f>
        <v>FT-TRAKEIN1</v>
      </c>
      <c r="E80" s="3020" t="s">
        <v>3572</v>
      </c>
      <c r="F80" s="573" t="s">
        <v>44</v>
      </c>
      <c r="G80" s="573" t="s">
        <v>48</v>
      </c>
    </row>
    <row r="81" spans="4:7">
      <c r="D81" s="50" t="str">
        <f>"FT-"&amp;Commodities!D96</f>
        <v>FT-TRAKEIN2</v>
      </c>
      <c r="E81" s="3020" t="s">
        <v>3574</v>
      </c>
      <c r="F81" s="573" t="s">
        <v>44</v>
      </c>
      <c r="G81" s="573" t="s">
        <v>48</v>
      </c>
    </row>
    <row r="82" spans="4:7">
      <c r="D82" s="50" t="str">
        <f>"FT-"&amp;Commodities!D97</f>
        <v>FT-TRAKEIN3</v>
      </c>
      <c r="E82" s="3020" t="s">
        <v>3576</v>
      </c>
      <c r="F82" s="573" t="s">
        <v>44</v>
      </c>
      <c r="G82" s="573" t="s">
        <v>48</v>
      </c>
    </row>
    <row r="83" spans="4:7">
      <c r="D83" s="50" t="str">
        <f>"FT-"&amp;Commodities!D98</f>
        <v>FT-TRAKEIN4</v>
      </c>
      <c r="E83" s="3020" t="s">
        <v>3578</v>
      </c>
      <c r="F83" s="573" t="s">
        <v>44</v>
      </c>
      <c r="G83" s="573" t="s">
        <v>48</v>
      </c>
    </row>
    <row r="84" spans="4:7">
      <c r="D84" s="50" t="str">
        <f>"FT-"&amp;Commodities!D99</f>
        <v>FT-TRAKEIN5</v>
      </c>
      <c r="E84" s="3020" t="s">
        <v>3580</v>
      </c>
      <c r="F84" s="573" t="s">
        <v>44</v>
      </c>
      <c r="G84" s="573" t="s">
        <v>48</v>
      </c>
    </row>
    <row r="85" spans="4:7">
      <c r="D85" s="50" t="str">
        <f>"FT-"&amp;Commodities!D100</f>
        <v>FT-TRANGBL1</v>
      </c>
      <c r="E85" s="50" t="s">
        <v>3532</v>
      </c>
      <c r="F85" s="573" t="s">
        <v>44</v>
      </c>
      <c r="G85" s="573" t="s">
        <v>48</v>
      </c>
    </row>
    <row r="86" spans="4:7">
      <c r="D86" s="50" t="str">
        <f>"FT-"&amp;Commodities!D101</f>
        <v>FT-TRANGBL2</v>
      </c>
      <c r="E86" s="50" t="s">
        <v>3533</v>
      </c>
      <c r="F86" s="573" t="s">
        <v>44</v>
      </c>
      <c r="G86" s="573" t="s">
        <v>48</v>
      </c>
    </row>
    <row r="87" spans="4:7">
      <c r="D87" s="50" t="str">
        <f>"FT-"&amp;Commodities!D102</f>
        <v>FT-TRANGBL3</v>
      </c>
      <c r="E87" s="50" t="s">
        <v>3534</v>
      </c>
      <c r="F87" s="573" t="s">
        <v>44</v>
      </c>
      <c r="G87" s="573" t="s">
        <v>48</v>
      </c>
    </row>
    <row r="88" spans="4:7">
      <c r="D88" s="50" t="str">
        <f>"FT-"&amp;Commodities!D103</f>
        <v>FT-TRANGBL4</v>
      </c>
      <c r="E88" s="50" t="s">
        <v>3535</v>
      </c>
      <c r="F88" s="573" t="s">
        <v>44</v>
      </c>
      <c r="G88" s="573" t="s">
        <v>48</v>
      </c>
    </row>
    <row r="89" spans="4:7">
      <c r="D89" s="50" t="str">
        <f>"FT-"&amp;Commodities!D104</f>
        <v>FT-TRANGBL5</v>
      </c>
      <c r="E89" s="50" t="s">
        <v>3536</v>
      </c>
      <c r="F89" s="573" t="s">
        <v>44</v>
      </c>
      <c r="G89" s="573" t="s">
        <v>48</v>
      </c>
    </row>
    <row r="90" spans="4:7">
      <c r="D90" s="50" t="str">
        <f>"FT-"&amp;Commodities!D105</f>
        <v>FT-TRAOILBL1N</v>
      </c>
      <c r="E90" s="754" t="s">
        <v>3537</v>
      </c>
      <c r="F90" s="573" t="s">
        <v>44</v>
      </c>
      <c r="G90" s="573" t="s">
        <v>48</v>
      </c>
    </row>
    <row r="91" spans="4:7">
      <c r="D91" s="50" t="str">
        <f>"FT-"&amp;Commodities!D106</f>
        <v>FT-TRAOILBL2N</v>
      </c>
      <c r="E91" s="754" t="s">
        <v>3538</v>
      </c>
      <c r="F91" s="573" t="s">
        <v>44</v>
      </c>
      <c r="G91" s="573" t="s">
        <v>48</v>
      </c>
    </row>
    <row r="92" spans="4:7">
      <c r="D92" s="50" t="str">
        <f>"FT-"&amp;Commodities!D107</f>
        <v>FT-TRAOILBL3N</v>
      </c>
      <c r="E92" s="754" t="s">
        <v>3539</v>
      </c>
      <c r="F92" s="573" t="s">
        <v>44</v>
      </c>
      <c r="G92" s="573" t="s">
        <v>48</v>
      </c>
    </row>
    <row r="93" spans="4:7">
      <c r="D93" s="50" t="str">
        <f>"FT-"&amp;Commodities!D108</f>
        <v>FT-TRAOILBL4N</v>
      </c>
      <c r="E93" s="754" t="s">
        <v>3540</v>
      </c>
      <c r="F93" s="573" t="s">
        <v>44</v>
      </c>
      <c r="G93" s="573" t="s">
        <v>48</v>
      </c>
    </row>
    <row r="94" spans="4:7">
      <c r="D94" s="50" t="str">
        <f>"FT-"&amp;Commodities!D109</f>
        <v>FT-TRAOILBL5N</v>
      </c>
      <c r="E94" s="754" t="s">
        <v>3541</v>
      </c>
      <c r="F94" s="573" t="s">
        <v>44</v>
      </c>
      <c r="G94" s="573" t="s">
        <v>48</v>
      </c>
    </row>
    <row r="95" spans="4:7">
      <c r="D95" s="50" t="str">
        <f>"FT-"&amp;Commodities!D110</f>
        <v>FT-TRANGBL1N</v>
      </c>
      <c r="E95" s="754" t="s">
        <v>3542</v>
      </c>
      <c r="F95" s="573" t="s">
        <v>44</v>
      </c>
      <c r="G95" s="573" t="s">
        <v>48</v>
      </c>
    </row>
    <row r="96" spans="4:7">
      <c r="D96" s="50" t="str">
        <f>"FT-"&amp;Commodities!D111</f>
        <v>FT-TRANGBL2N</v>
      </c>
      <c r="E96" s="754" t="s">
        <v>3543</v>
      </c>
      <c r="F96" s="573" t="s">
        <v>44</v>
      </c>
      <c r="G96" s="573" t="s">
        <v>48</v>
      </c>
    </row>
    <row r="97" spans="4:7">
      <c r="D97" s="50" t="str">
        <f>"FT-"&amp;Commodities!D112</f>
        <v>FT-TRANGBL3N</v>
      </c>
      <c r="E97" s="754" t="s">
        <v>3544</v>
      </c>
      <c r="F97" s="573" t="s">
        <v>44</v>
      </c>
      <c r="G97" s="573" t="s">
        <v>48</v>
      </c>
    </row>
    <row r="98" spans="4:7">
      <c r="D98" s="50" t="str">
        <f>"FT-"&amp;Commodities!D113</f>
        <v>FT-TRANGBL4N</v>
      </c>
      <c r="E98" s="754" t="s">
        <v>3545</v>
      </c>
      <c r="F98" s="573" t="s">
        <v>44</v>
      </c>
      <c r="G98" s="573" t="s">
        <v>48</v>
      </c>
    </row>
    <row r="99" spans="4:7">
      <c r="D99" s="50" t="str">
        <f>"FT-"&amp;Commodities!D114</f>
        <v>FT-TRANGBL5N</v>
      </c>
      <c r="E99" s="754" t="s">
        <v>3546</v>
      </c>
      <c r="F99" s="573" t="s">
        <v>44</v>
      </c>
      <c r="G99" s="573" t="s">
        <v>48</v>
      </c>
    </row>
    <row r="100" spans="4:7">
      <c r="D100" s="50" t="str">
        <f>"FT-"&amp;Commodities!D115</f>
        <v>FT-TRAMFO</v>
      </c>
      <c r="E100" s="50" t="s">
        <v>3547</v>
      </c>
      <c r="F100" s="573" t="s">
        <v>44</v>
      </c>
      <c r="G100" s="573" t="s">
        <v>48</v>
      </c>
    </row>
    <row r="101" spans="4:7">
      <c r="D101" s="50" t="str">
        <f>"FT-"&amp;Commodities!D116</f>
        <v>FT-TRAMFO2</v>
      </c>
      <c r="E101" s="50" t="s">
        <v>3548</v>
      </c>
      <c r="F101" s="573" t="s">
        <v>44</v>
      </c>
      <c r="G101" s="573" t="s">
        <v>48</v>
      </c>
    </row>
    <row r="102" spans="4:7">
      <c r="D102" s="50" t="str">
        <f>"FT-"&amp;Commodities!D117</f>
        <v>FT-TRAMFO3</v>
      </c>
      <c r="E102" s="50" t="s">
        <v>3549</v>
      </c>
      <c r="F102" s="573" t="s">
        <v>44</v>
      </c>
      <c r="G102" s="573" t="s">
        <v>48</v>
      </c>
    </row>
    <row r="103" spans="4:7">
      <c r="D103" s="50" t="str">
        <f>"FT-"&amp;Commodities!D118</f>
        <v>FT-TRAMFO4</v>
      </c>
      <c r="E103" s="50" t="s">
        <v>3550</v>
      </c>
      <c r="F103" s="573" t="s">
        <v>44</v>
      </c>
      <c r="G103" s="573" t="s">
        <v>48</v>
      </c>
    </row>
    <row r="104" spans="4:7">
      <c r="D104" s="50"/>
    </row>
  </sheetData>
  <phoneticPr fontId="31" type="noConversion"/>
  <pageMargins left="0.75" right="0.75" top="1" bottom="1" header="0.5" footer="0.5"/>
  <pageSetup paperSize="9" orientation="portrait" horizontalDpi="300" verticalDpi="300"/>
  <headerFooter alignWithMargins="0"/>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codeName="Sheet15">
    <tabColor rgb="FF92D050"/>
  </sheetPr>
  <dimension ref="B1:N182"/>
  <sheetViews>
    <sheetView zoomScale="70" zoomScaleNormal="70" workbookViewId="0">
      <selection activeCell="E45" sqref="E45"/>
    </sheetView>
  </sheetViews>
  <sheetFormatPr defaultColWidth="8.88671875" defaultRowHeight="13.2"/>
  <cols>
    <col min="1" max="1" width="4.6640625" style="754" customWidth="1"/>
    <col min="2" max="2" width="17" style="754" bestFit="1" customWidth="1"/>
    <col min="3" max="3" width="56.88671875" style="754" bestFit="1" customWidth="1"/>
    <col min="4" max="4" width="9.44140625" style="754" bestFit="1" customWidth="1"/>
    <col min="5" max="5" width="19.6640625" style="754" bestFit="1" customWidth="1"/>
    <col min="6" max="6" width="11.6640625" style="754" bestFit="1" customWidth="1"/>
    <col min="7" max="7" width="4.88671875" style="754" customWidth="1"/>
    <col min="8" max="8" width="8.33203125" style="754" bestFit="1" customWidth="1"/>
    <col min="9" max="9" width="8.5546875" style="754" bestFit="1" customWidth="1"/>
    <col min="10" max="11" width="10.33203125" style="754" bestFit="1" customWidth="1"/>
    <col min="12" max="12" width="5.6640625" style="754" customWidth="1"/>
    <col min="13" max="13" width="8.88671875" style="754"/>
    <col min="14" max="14" width="12.33203125" style="754" bestFit="1" customWidth="1"/>
    <col min="15" max="15" width="52.6640625" style="754" customWidth="1"/>
    <col min="16" max="16384" width="8.88671875" style="754"/>
  </cols>
  <sheetData>
    <row r="1" spans="2:12">
      <c r="G1" s="37"/>
      <c r="H1" s="38"/>
    </row>
    <row r="3" spans="2:12" ht="13.8">
      <c r="C3" s="3026"/>
      <c r="D3" s="3026"/>
      <c r="E3" s="17" t="s">
        <v>8</v>
      </c>
      <c r="F3" s="3026"/>
    </row>
    <row r="4" spans="2:12" ht="13.8">
      <c r="B4" s="3027" t="s">
        <v>2</v>
      </c>
      <c r="C4" s="3027" t="s">
        <v>26</v>
      </c>
      <c r="D4" s="3027" t="s">
        <v>14</v>
      </c>
      <c r="E4" s="3028" t="s">
        <v>15</v>
      </c>
      <c r="F4" s="3029" t="s">
        <v>16</v>
      </c>
      <c r="G4" s="3029" t="s">
        <v>53</v>
      </c>
      <c r="H4" s="3029" t="s">
        <v>423</v>
      </c>
      <c r="I4" s="3029" t="s">
        <v>421</v>
      </c>
      <c r="J4" s="3029" t="s">
        <v>489</v>
      </c>
      <c r="K4" s="3029" t="s">
        <v>488</v>
      </c>
      <c r="L4" s="3029" t="s">
        <v>422</v>
      </c>
    </row>
    <row r="5" spans="2:12" ht="13.8" thickBot="1">
      <c r="B5" s="18" t="s">
        <v>45</v>
      </c>
      <c r="C5" s="19"/>
      <c r="D5" s="19"/>
      <c r="E5" s="20"/>
      <c r="F5" s="21"/>
      <c r="G5" s="21"/>
      <c r="H5" s="21"/>
      <c r="I5" s="21"/>
      <c r="J5" s="21"/>
      <c r="K5" s="21"/>
      <c r="L5" s="21"/>
    </row>
    <row r="6" spans="2:12">
      <c r="B6" s="754" t="str">
        <f>Processes!D37</f>
        <v>FT-TRADSL</v>
      </c>
      <c r="C6" s="754" t="str">
        <f>Processes!E37</f>
        <v>Fuel Technology Diesel TRA</v>
      </c>
      <c r="D6" s="754" t="str">
        <f>IF(LEN(E6)=6,RIGHT(E6,3),RIGHT(E6,4))</f>
        <v>DSL</v>
      </c>
      <c r="E6" s="754" t="str">
        <f>IF(LEN(B6)=9,RIGHT(B6,6),RIGHT(B6,7))</f>
        <v>TRADSL</v>
      </c>
      <c r="F6" s="3030">
        <v>1</v>
      </c>
      <c r="G6" s="754">
        <v>100</v>
      </c>
    </row>
    <row r="7" spans="2:12">
      <c r="B7" s="754" t="str">
        <f>Processes!D38</f>
        <v>FT-TRADSB</v>
      </c>
      <c r="C7" s="754" t="str">
        <f>Processes!E38</f>
        <v>Fuel Technology RE diesel (1G &amp; 2G) TRA</v>
      </c>
      <c r="D7" s="765" t="s">
        <v>419</v>
      </c>
      <c r="E7" s="754" t="str">
        <f>IF(LEN(B7)=9,RIGHT(B7,6),RIGHT(B7,7))</f>
        <v>TRADSB</v>
      </c>
      <c r="F7" s="3031">
        <v>1</v>
      </c>
      <c r="G7" s="754">
        <v>100</v>
      </c>
    </row>
    <row r="8" spans="2:12">
      <c r="D8" s="765" t="s">
        <v>420</v>
      </c>
      <c r="F8" s="3031"/>
    </row>
    <row r="9" spans="2:12">
      <c r="D9" s="765" t="s">
        <v>3551</v>
      </c>
      <c r="F9" s="3031"/>
    </row>
    <row r="10" spans="2:12">
      <c r="B10" s="754" t="str">
        <f>Processes!D39</f>
        <v>FT-TRAGSL</v>
      </c>
      <c r="C10" s="754" t="str">
        <f>Processes!E39</f>
        <v>Fuel Technology Gasoline TRA</v>
      </c>
      <c r="D10" s="754" t="str">
        <f t="shared" ref="D10:D49" si="0">IF(LEN(E10)=6,RIGHT(E10,3),RIGHT(E10,4))</f>
        <v>GSL</v>
      </c>
      <c r="E10" s="754" t="str">
        <f t="shared" ref="E10:E49" si="1">IF(LEN(B10)=9,RIGHT(B10,6),RIGHT(B10,7))</f>
        <v>TRAGSL</v>
      </c>
      <c r="F10" s="3031">
        <v>1</v>
      </c>
      <c r="G10" s="754">
        <v>100</v>
      </c>
      <c r="H10" s="36"/>
      <c r="I10" s="36"/>
      <c r="J10" s="36"/>
      <c r="K10" s="36"/>
    </row>
    <row r="11" spans="2:12">
      <c r="B11" s="754" t="str">
        <f>Processes!D40</f>
        <v>FT-TRAGSB</v>
      </c>
      <c r="C11" s="754" t="str">
        <f>Processes!E40</f>
        <v>Fuel Technology RE ethanol (1G &amp; 2G) TRA</v>
      </c>
      <c r="D11" s="765" t="s">
        <v>424</v>
      </c>
      <c r="E11" s="754" t="str">
        <f t="shared" si="1"/>
        <v>TRAGSB</v>
      </c>
      <c r="F11" s="3031">
        <v>1</v>
      </c>
      <c r="G11" s="754">
        <v>100</v>
      </c>
      <c r="H11" s="36"/>
      <c r="I11" s="36"/>
      <c r="J11" s="36"/>
      <c r="K11" s="36"/>
    </row>
    <row r="12" spans="2:12">
      <c r="D12" s="765" t="s">
        <v>425</v>
      </c>
      <c r="F12" s="3031"/>
      <c r="H12" s="36"/>
      <c r="I12" s="36"/>
      <c r="J12" s="36"/>
      <c r="K12" s="36"/>
    </row>
    <row r="13" spans="2:12">
      <c r="D13" s="765" t="s">
        <v>3552</v>
      </c>
      <c r="F13" s="3031"/>
      <c r="H13" s="36"/>
      <c r="I13" s="36"/>
      <c r="J13" s="36"/>
      <c r="K13" s="36"/>
    </row>
    <row r="14" spans="2:12">
      <c r="B14" s="754" t="str">
        <f>Processes!D41</f>
        <v>FT-TRALPG</v>
      </c>
      <c r="C14" s="754" t="str">
        <f>Processes!E41</f>
        <v>Fuel Technology Liquid petrol gas TRA</v>
      </c>
      <c r="D14" s="754" t="str">
        <f t="shared" si="0"/>
        <v>LPG</v>
      </c>
      <c r="E14" s="754" t="str">
        <f t="shared" si="1"/>
        <v>TRALPG</v>
      </c>
      <c r="F14" s="3031">
        <v>1</v>
      </c>
      <c r="G14" s="754">
        <v>100</v>
      </c>
      <c r="H14" s="36"/>
      <c r="I14" s="36"/>
      <c r="J14" s="36"/>
      <c r="K14" s="36"/>
    </row>
    <row r="15" spans="2:12">
      <c r="B15" s="754" t="str">
        <f>Processes!D42</f>
        <v>FT-TRALPGC</v>
      </c>
      <c r="C15" s="754" t="str">
        <f>Processes!E42</f>
        <v>Fuel Technology Liquid petrol gas TRA Cars</v>
      </c>
      <c r="D15" s="754" t="s">
        <v>51</v>
      </c>
      <c r="E15" s="754" t="str">
        <f t="shared" si="1"/>
        <v>TRALPGC</v>
      </c>
      <c r="F15" s="3031">
        <v>1</v>
      </c>
      <c r="G15" s="754">
        <v>100</v>
      </c>
      <c r="H15" s="36"/>
      <c r="I15" s="36"/>
      <c r="J15" s="36"/>
      <c r="K15" s="36"/>
    </row>
    <row r="16" spans="2:12">
      <c r="B16" s="754" t="str">
        <f>Processes!D43</f>
        <v>FT-TRANGA</v>
      </c>
      <c r="C16" s="754" t="str">
        <f>Processes!E43</f>
        <v>Fuel Technology Nat. Gas TRA</v>
      </c>
      <c r="D16" s="754" t="str">
        <f t="shared" si="0"/>
        <v>NGA</v>
      </c>
      <c r="E16" s="754" t="str">
        <f t="shared" si="1"/>
        <v>TRANGA</v>
      </c>
      <c r="F16" s="3031">
        <v>1</v>
      </c>
      <c r="G16" s="754">
        <v>100</v>
      </c>
      <c r="H16" s="36"/>
      <c r="I16" s="36"/>
      <c r="J16" s="36"/>
      <c r="K16" s="36"/>
    </row>
    <row r="17" spans="2:11">
      <c r="B17" s="754" t="str">
        <f>Processes!D44</f>
        <v>FT-TRASNG</v>
      </c>
      <c r="C17" s="754" t="str">
        <f>Processes!E44</f>
        <v>Fuel Technology RE Synt. Nat. Gas (1G &amp; 2G) TRA</v>
      </c>
      <c r="D17" s="765" t="s">
        <v>428</v>
      </c>
      <c r="E17" s="754" t="str">
        <f t="shared" si="1"/>
        <v>TRASNG</v>
      </c>
      <c r="F17" s="3031">
        <v>1</v>
      </c>
      <c r="G17" s="754">
        <v>100</v>
      </c>
      <c r="H17" s="36"/>
      <c r="I17" s="36"/>
      <c r="J17" s="36"/>
      <c r="K17" s="36"/>
    </row>
    <row r="18" spans="2:11">
      <c r="D18" s="765" t="s">
        <v>429</v>
      </c>
      <c r="F18" s="3031"/>
      <c r="H18" s="36"/>
      <c r="I18" s="36"/>
      <c r="J18" s="36"/>
      <c r="K18" s="36"/>
    </row>
    <row r="19" spans="2:11">
      <c r="D19" s="765" t="s">
        <v>3553</v>
      </c>
      <c r="F19" s="3031"/>
    </row>
    <row r="20" spans="2:11">
      <c r="B20" s="754" t="str">
        <f>Processes!D45</f>
        <v>FT-TRAELC</v>
      </c>
      <c r="C20" s="754" t="str">
        <f>Processes!E45</f>
        <v>Fuel Technology Electricity TRA</v>
      </c>
      <c r="D20" s="754" t="s">
        <v>3561</v>
      </c>
      <c r="E20" s="754" t="str">
        <f t="shared" si="1"/>
        <v>TRAELC</v>
      </c>
      <c r="F20" s="3031">
        <v>1</v>
      </c>
      <c r="G20" s="754">
        <v>100</v>
      </c>
    </row>
    <row r="21" spans="2:11">
      <c r="B21" s="754" t="str">
        <f>Processes!D46</f>
        <v>FT-TRAELCEV</v>
      </c>
      <c r="C21" s="754" t="str">
        <f>Processes!E46</f>
        <v>Fuel Technology Electricity TRA for electric EV</v>
      </c>
      <c r="D21" s="866" t="str">
        <f>E20</f>
        <v>TRAELC</v>
      </c>
      <c r="E21" s="304" t="str">
        <f>IF(LEN(B21)=9,RIGHT(B21,6),RIGHT(B21,8))</f>
        <v>TRAELCEV</v>
      </c>
      <c r="F21" s="3031">
        <v>1</v>
      </c>
      <c r="G21" s="754">
        <v>100</v>
      </c>
    </row>
    <row r="22" spans="2:11">
      <c r="B22" s="754" t="str">
        <f>Processes!D47</f>
        <v>FT-TRAELCEVC</v>
      </c>
      <c r="C22" s="754" t="str">
        <f>Processes!E47</f>
        <v>Fuel Technology Electricity TRA for electric cars</v>
      </c>
      <c r="D22" s="866" t="str">
        <f>D21</f>
        <v>TRAELC</v>
      </c>
      <c r="E22" s="304" t="str">
        <f>IF(LEN(B22)=9,RIGHT(B22,6),RIGHT(B22,9))</f>
        <v>TRAELCEVC</v>
      </c>
      <c r="F22" s="3031">
        <v>1</v>
      </c>
      <c r="G22" s="754">
        <v>100</v>
      </c>
    </row>
    <row r="23" spans="2:11">
      <c r="B23" s="754" t="str">
        <f>Processes!D48</f>
        <v>FT-TRAH2G</v>
      </c>
      <c r="C23" s="754" t="str">
        <f>Processes!E48</f>
        <v>Fuel Technology Hydrogen TRA</v>
      </c>
      <c r="D23" s="866" t="s">
        <v>3562</v>
      </c>
      <c r="E23" s="754" t="str">
        <f t="shared" si="1"/>
        <v>TRAH2G</v>
      </c>
      <c r="F23" s="3031">
        <v>1</v>
      </c>
      <c r="G23" s="754">
        <v>100</v>
      </c>
    </row>
    <row r="24" spans="2:11">
      <c r="B24" s="754" t="str">
        <f>Processes!D49</f>
        <v>FT-TRAH2C</v>
      </c>
      <c r="C24" s="754" t="str">
        <f>Processes!E49</f>
        <v>Fuel Technology Hydrogen Compressed TRA</v>
      </c>
      <c r="D24" s="866" t="s">
        <v>3562</v>
      </c>
      <c r="E24" s="754" t="str">
        <f t="shared" si="1"/>
        <v>TRAH2C</v>
      </c>
      <c r="F24" s="3031">
        <v>1</v>
      </c>
      <c r="G24" s="754">
        <v>100</v>
      </c>
    </row>
    <row r="25" spans="2:11">
      <c r="B25" s="754" t="str">
        <f>Processes!D50</f>
        <v>FT-TRAKER</v>
      </c>
      <c r="C25" s="754" t="str">
        <f>Processes!E50</f>
        <v>Fuel Technology Kerosene TRA</v>
      </c>
      <c r="D25" s="765" t="s">
        <v>3597</v>
      </c>
      <c r="E25" s="754" t="str">
        <f t="shared" ref="E25" si="2">IF(LEN(B25)=9,RIGHT(B25,6),RIGHT(B25,7))</f>
        <v>TRAKER</v>
      </c>
      <c r="F25" s="3031">
        <v>1</v>
      </c>
      <c r="G25" s="754">
        <v>100</v>
      </c>
    </row>
    <row r="26" spans="2:11">
      <c r="B26" s="754" t="str">
        <f>Processes!D51</f>
        <v>FT-TRAKEN</v>
      </c>
      <c r="C26" s="754" t="str">
        <f>Processes!E51</f>
        <v>Fuel Technology Kerosene National TRA</v>
      </c>
      <c r="D26" s="765" t="str">
        <f>E25</f>
        <v>TRAKER</v>
      </c>
      <c r="E26" s="754" t="str">
        <f t="shared" si="1"/>
        <v>TRAKEN</v>
      </c>
      <c r="F26" s="3031">
        <v>1</v>
      </c>
      <c r="G26" s="754">
        <v>100</v>
      </c>
    </row>
    <row r="27" spans="2:11">
      <c r="B27" s="754" t="str">
        <f>Processes!D52</f>
        <v>FT-TRAKEI</v>
      </c>
      <c r="C27" s="754" t="str">
        <f>Processes!E52</f>
        <v>Fuel Technology Kerosene International TRA</v>
      </c>
      <c r="D27" s="765" t="str">
        <f>D26</f>
        <v>TRAKER</v>
      </c>
      <c r="E27" s="754" t="str">
        <f t="shared" ref="E27" si="3">IF(LEN(B27)=9,RIGHT(B27,6),RIGHT(B27,7))</f>
        <v>TRAKEI</v>
      </c>
      <c r="F27" s="3031">
        <v>1</v>
      </c>
      <c r="G27" s="754">
        <v>100</v>
      </c>
    </row>
    <row r="28" spans="2:11">
      <c r="B28" s="754" t="str">
        <f>Processes!D53</f>
        <v>FT-TRAKRB</v>
      </c>
      <c r="C28" s="754" t="str">
        <f>Processes!E53</f>
        <v>Fuel Technology RE kerosene TRA</v>
      </c>
      <c r="D28" s="765" t="s">
        <v>426</v>
      </c>
      <c r="E28" s="754" t="str">
        <f t="shared" si="1"/>
        <v>TRAKRB</v>
      </c>
      <c r="F28" s="3031">
        <v>1</v>
      </c>
      <c r="G28" s="754">
        <v>100</v>
      </c>
    </row>
    <row r="29" spans="2:11">
      <c r="D29" s="765" t="s">
        <v>427</v>
      </c>
      <c r="E29" s="754" t="str">
        <f t="shared" si="1"/>
        <v/>
      </c>
      <c r="F29" s="3031"/>
    </row>
    <row r="30" spans="2:11">
      <c r="D30" s="765" t="s">
        <v>3554</v>
      </c>
      <c r="E30" s="754" t="str">
        <f t="shared" si="1"/>
        <v/>
      </c>
      <c r="F30" s="3031"/>
    </row>
    <row r="31" spans="2:11">
      <c r="B31" s="754" t="str">
        <f>Processes!D54</f>
        <v>FT-TRAAGSL</v>
      </c>
      <c r="C31" s="754" t="str">
        <f>Processes!E54</f>
        <v>Fuel Technology Aviation gasoline TRA</v>
      </c>
      <c r="D31" s="754" t="str">
        <f t="shared" si="0"/>
        <v>AGSL</v>
      </c>
      <c r="E31" s="754" t="str">
        <f t="shared" si="1"/>
        <v>TRAAGSL</v>
      </c>
      <c r="F31" s="3031">
        <v>1</v>
      </c>
      <c r="G31" s="754">
        <v>100</v>
      </c>
    </row>
    <row r="32" spans="2:11">
      <c r="B32" s="754" t="str">
        <f>Processes!D55</f>
        <v>FT-TRAMOB</v>
      </c>
      <c r="C32" s="754" t="str">
        <f>Processes!E55</f>
        <v>Fuel Technology Methanol TRA</v>
      </c>
      <c r="D32" s="765" t="s">
        <v>3555</v>
      </c>
      <c r="E32" s="754" t="str">
        <f t="shared" si="1"/>
        <v>TRAMOB</v>
      </c>
      <c r="F32" s="3031">
        <v>1</v>
      </c>
      <c r="G32" s="754">
        <v>100</v>
      </c>
    </row>
    <row r="33" spans="2:12">
      <c r="D33" s="765" t="s">
        <v>3556</v>
      </c>
      <c r="F33" s="3031"/>
    </row>
    <row r="34" spans="2:12">
      <c r="D34" s="765" t="s">
        <v>3557</v>
      </c>
      <c r="F34" s="3031"/>
    </row>
    <row r="35" spans="2:12">
      <c r="B35" s="754" t="str">
        <f>Processes!D56</f>
        <v>FT-TRAHFO</v>
      </c>
      <c r="C35" s="754" t="str">
        <f>Processes!E56</f>
        <v>Fuel Technology Heavy Fuel Oil TRA</v>
      </c>
      <c r="D35" s="754" t="str">
        <f t="shared" si="0"/>
        <v>HFO</v>
      </c>
      <c r="E35" s="754" t="str">
        <f t="shared" si="1"/>
        <v>TRAHFO</v>
      </c>
      <c r="F35" s="3031">
        <v>1</v>
      </c>
      <c r="G35" s="754">
        <v>100</v>
      </c>
    </row>
    <row r="36" spans="2:12">
      <c r="B36" s="754" t="str">
        <f>Processes!D57</f>
        <v>FT-TRAMGO</v>
      </c>
      <c r="C36" s="754" t="str">
        <f>Processes!E57</f>
        <v>Fuel Technology Transport marine gas oil</v>
      </c>
      <c r="D36" s="754" t="str">
        <f t="shared" si="0"/>
        <v>MGO</v>
      </c>
      <c r="E36" s="754" t="str">
        <f t="shared" si="1"/>
        <v>TRAMGO</v>
      </c>
      <c r="F36" s="3031">
        <v>1</v>
      </c>
      <c r="G36" s="754">
        <v>100</v>
      </c>
    </row>
    <row r="37" spans="2:12">
      <c r="B37" s="754" t="str">
        <f>Processes!D58</f>
        <v>FT-TRAHFON</v>
      </c>
      <c r="C37" s="754" t="str">
        <f>Processes!E58</f>
        <v>Fuel Technology Heavy Fuel Oil TRA Navigation</v>
      </c>
      <c r="D37" s="765" t="s">
        <v>3558</v>
      </c>
      <c r="E37" s="754" t="str">
        <f t="shared" si="1"/>
        <v>TRAHFON</v>
      </c>
      <c r="F37" s="3031">
        <v>1</v>
      </c>
      <c r="G37" s="754">
        <v>100</v>
      </c>
    </row>
    <row r="38" spans="2:12">
      <c r="B38" s="754" t="str">
        <f>Processes!D59</f>
        <v>FT-TRADSLN</v>
      </c>
      <c r="C38" s="754" t="str">
        <f>Processes!E59</f>
        <v>Fuel Technology Diesel TRA Navigation</v>
      </c>
      <c r="D38" s="765" t="s">
        <v>3559</v>
      </c>
      <c r="E38" s="754" t="str">
        <f t="shared" si="1"/>
        <v>TRADSLN</v>
      </c>
      <c r="F38" s="3031">
        <v>1</v>
      </c>
      <c r="G38" s="754">
        <v>100</v>
      </c>
    </row>
    <row r="39" spans="2:12">
      <c r="B39" s="754" t="str">
        <f>Processes!D60</f>
        <v>FT-TRADSBN</v>
      </c>
      <c r="C39" s="754" t="str">
        <f>Processes!E60</f>
        <v>Fuel Technology RE diesel (1G &amp; 2G) TRA Navigation</v>
      </c>
      <c r="D39" s="765" t="s">
        <v>419</v>
      </c>
      <c r="E39" s="754" t="str">
        <f t="shared" si="1"/>
        <v>TRADSBN</v>
      </c>
      <c r="F39" s="3031">
        <v>1</v>
      </c>
      <c r="G39" s="754">
        <v>100</v>
      </c>
    </row>
    <row r="40" spans="2:12">
      <c r="D40" s="765" t="s">
        <v>420</v>
      </c>
      <c r="F40" s="3031"/>
      <c r="H40" s="3032"/>
      <c r="I40" s="3032"/>
      <c r="J40" s="3032"/>
      <c r="K40" s="3033"/>
      <c r="L40" s="3016"/>
    </row>
    <row r="41" spans="2:12">
      <c r="D41" s="765" t="s">
        <v>3551</v>
      </c>
      <c r="F41" s="3031"/>
    </row>
    <row r="42" spans="2:12">
      <c r="B42" s="754" t="str">
        <f>Processes!D61</f>
        <v>FT-TRAGSBN</v>
      </c>
      <c r="C42" s="754" t="str">
        <f>Processes!E61</f>
        <v>Fuel Technology RE ethanol (1G &amp; 2G) TRA Navigation</v>
      </c>
      <c r="D42" s="765" t="s">
        <v>424</v>
      </c>
      <c r="E42" s="754" t="str">
        <f t="shared" si="1"/>
        <v>TRAGSBN</v>
      </c>
      <c r="F42" s="3031">
        <v>1</v>
      </c>
      <c r="G42" s="754">
        <v>100</v>
      </c>
    </row>
    <row r="43" spans="2:12">
      <c r="D43" s="765" t="s">
        <v>425</v>
      </c>
      <c r="F43" s="3031"/>
    </row>
    <row r="44" spans="2:12">
      <c r="D44" s="765" t="s">
        <v>3552</v>
      </c>
      <c r="F44" s="3031"/>
    </row>
    <row r="45" spans="2:12">
      <c r="B45" s="754" t="str">
        <f>Processes!D62</f>
        <v>FT-TRANGAN</v>
      </c>
      <c r="C45" s="754" t="str">
        <f>Processes!E62</f>
        <v>Fuel Technology Nat. Gas TRA Navigation</v>
      </c>
      <c r="D45" s="765" t="s">
        <v>3560</v>
      </c>
      <c r="E45" s="754" t="str">
        <f t="shared" si="1"/>
        <v>TRANGAN</v>
      </c>
      <c r="F45" s="3031">
        <v>1</v>
      </c>
      <c r="G45" s="754">
        <v>100</v>
      </c>
    </row>
    <row r="46" spans="2:12">
      <c r="B46" s="754" t="str">
        <f>Processes!D63</f>
        <v>FT-TRASNGN</v>
      </c>
      <c r="C46" s="754" t="str">
        <f>Processes!E63</f>
        <v>Fuel Technology RE Synt. Nat. Gas (1G &amp; 2G) TRA Navigation</v>
      </c>
      <c r="D46" s="765" t="s">
        <v>428</v>
      </c>
      <c r="E46" s="754" t="str">
        <f t="shared" si="1"/>
        <v>TRASNGN</v>
      </c>
      <c r="F46" s="3031">
        <v>1</v>
      </c>
      <c r="G46" s="754">
        <v>100</v>
      </c>
    </row>
    <row r="47" spans="2:12">
      <c r="D47" s="765" t="s">
        <v>429</v>
      </c>
      <c r="F47" s="3031"/>
    </row>
    <row r="48" spans="2:12">
      <c r="D48" s="765" t="s">
        <v>3553</v>
      </c>
      <c r="F48" s="3031"/>
    </row>
    <row r="49" spans="2:12">
      <c r="B49" s="3034" t="str">
        <f>Processes!D64</f>
        <v>FT-TRAAMM</v>
      </c>
      <c r="C49" s="3034" t="str">
        <f>Processes!E64</f>
        <v>Fuel Technology Ammonia TRA</v>
      </c>
      <c r="D49" s="754" t="str">
        <f t="shared" si="0"/>
        <v>AMM</v>
      </c>
      <c r="E49" s="426" t="str">
        <f t="shared" si="1"/>
        <v>TRAAMM</v>
      </c>
      <c r="F49" s="3031">
        <v>1</v>
      </c>
      <c r="G49" s="754">
        <v>100</v>
      </c>
    </row>
    <row r="50" spans="2:12">
      <c r="B50" s="50" t="str">
        <f>"FT-"&amp;E50</f>
        <v>FT-TRADSBL1</v>
      </c>
      <c r="C50" s="3035" t="s">
        <v>473</v>
      </c>
      <c r="D50" s="3035" t="str">
        <f>E6</f>
        <v>TRADSL</v>
      </c>
      <c r="E50" s="754" t="str">
        <f>Commodities!D80</f>
        <v>TRADSBL1</v>
      </c>
      <c r="F50" s="3036">
        <v>1</v>
      </c>
      <c r="G50" s="3035">
        <v>100</v>
      </c>
      <c r="H50" s="3035"/>
      <c r="I50" s="3035"/>
      <c r="J50" s="3035"/>
      <c r="K50" s="3035"/>
      <c r="L50" s="3035"/>
    </row>
    <row r="51" spans="2:12">
      <c r="D51" s="754" t="str">
        <f>E7</f>
        <v>TRADSB</v>
      </c>
      <c r="F51" s="3031"/>
      <c r="H51" s="120">
        <v>0</v>
      </c>
      <c r="I51" s="120">
        <v>0.1</v>
      </c>
      <c r="J51" s="754">
        <v>5</v>
      </c>
      <c r="K51" s="754">
        <v>5</v>
      </c>
    </row>
    <row r="52" spans="2:12">
      <c r="B52" s="50" t="str">
        <f>"FT-"&amp;E52</f>
        <v>FT-TRADSBL2</v>
      </c>
      <c r="C52" s="754" t="s">
        <v>475</v>
      </c>
      <c r="D52" s="754" t="str">
        <f>D50</f>
        <v>TRADSL</v>
      </c>
      <c r="E52" s="754" t="str">
        <f>Commodities!D81</f>
        <v>TRADSBL2</v>
      </c>
      <c r="F52" s="754">
        <v>1</v>
      </c>
      <c r="G52" s="754">
        <v>100</v>
      </c>
      <c r="L52" s="754">
        <v>2012</v>
      </c>
    </row>
    <row r="53" spans="2:12">
      <c r="D53" s="754" t="str">
        <f t="shared" ref="D53:D59" si="4">D51</f>
        <v>TRADSB</v>
      </c>
      <c r="F53" s="3031"/>
      <c r="H53" s="120">
        <v>0</v>
      </c>
      <c r="I53" s="120">
        <v>0.25</v>
      </c>
      <c r="J53" s="754">
        <v>5</v>
      </c>
      <c r="K53" s="754">
        <v>5</v>
      </c>
    </row>
    <row r="54" spans="2:12">
      <c r="B54" s="50" t="str">
        <f>"FT-"&amp;E54</f>
        <v>FT-TRADSBL3</v>
      </c>
      <c r="C54" s="754" t="s">
        <v>476</v>
      </c>
      <c r="D54" s="754" t="str">
        <f t="shared" si="4"/>
        <v>TRADSL</v>
      </c>
      <c r="E54" s="754" t="str">
        <f>Commodities!D82</f>
        <v>TRADSBL3</v>
      </c>
      <c r="F54" s="3031">
        <v>1</v>
      </c>
      <c r="G54" s="754">
        <v>100</v>
      </c>
      <c r="L54" s="754">
        <v>2020</v>
      </c>
    </row>
    <row r="55" spans="2:12">
      <c r="D55" s="754" t="str">
        <f t="shared" si="4"/>
        <v>TRADSB</v>
      </c>
      <c r="F55" s="3031"/>
      <c r="H55" s="120">
        <v>0</v>
      </c>
      <c r="I55" s="120">
        <v>0.5</v>
      </c>
      <c r="J55" s="754">
        <v>5</v>
      </c>
      <c r="K55" s="754">
        <v>5</v>
      </c>
    </row>
    <row r="56" spans="2:12">
      <c r="B56" s="50" t="str">
        <f>"FT-"&amp;E56</f>
        <v>FT-TRADSBL4</v>
      </c>
      <c r="C56" s="754" t="s">
        <v>477</v>
      </c>
      <c r="D56" s="754" t="str">
        <f t="shared" si="4"/>
        <v>TRADSL</v>
      </c>
      <c r="E56" s="754" t="str">
        <f>Commodities!D83</f>
        <v>TRADSBL4</v>
      </c>
      <c r="F56" s="3031">
        <v>1</v>
      </c>
      <c r="G56" s="754">
        <v>100</v>
      </c>
      <c r="L56" s="754">
        <v>2030</v>
      </c>
    </row>
    <row r="57" spans="2:12">
      <c r="D57" s="754" t="str">
        <f t="shared" si="4"/>
        <v>TRADSB</v>
      </c>
      <c r="F57" s="3031"/>
      <c r="H57" s="120">
        <v>0</v>
      </c>
      <c r="I57" s="120">
        <v>1</v>
      </c>
      <c r="J57" s="754">
        <v>5</v>
      </c>
      <c r="K57" s="754">
        <v>5</v>
      </c>
    </row>
    <row r="58" spans="2:12">
      <c r="B58" s="50" t="str">
        <f>"FT-"&amp;E58</f>
        <v>FT-TRADSBL5</v>
      </c>
      <c r="C58" s="754" t="s">
        <v>474</v>
      </c>
      <c r="D58" s="754" t="str">
        <f t="shared" si="4"/>
        <v>TRADSL</v>
      </c>
      <c r="E58" s="754" t="str">
        <f>Commodities!D84</f>
        <v>TRADSBL5</v>
      </c>
      <c r="F58" s="3031">
        <v>1</v>
      </c>
      <c r="G58" s="754">
        <v>100</v>
      </c>
      <c r="L58" s="754">
        <v>2100</v>
      </c>
    </row>
    <row r="59" spans="2:12">
      <c r="B59" s="3034"/>
      <c r="C59" s="3034"/>
      <c r="D59" s="3034" t="str">
        <f t="shared" si="4"/>
        <v>TRADSB</v>
      </c>
      <c r="E59" s="426"/>
      <c r="F59" s="461"/>
      <c r="G59" s="3034"/>
      <c r="H59" s="3037">
        <v>0</v>
      </c>
      <c r="I59" s="3037">
        <v>1</v>
      </c>
      <c r="J59" s="3034">
        <v>5</v>
      </c>
      <c r="K59" s="3034">
        <v>5</v>
      </c>
      <c r="L59" s="3034"/>
    </row>
    <row r="60" spans="2:12">
      <c r="B60" s="50" t="str">
        <f>"FT-"&amp;E60</f>
        <v>FT-TRAGSBL1</v>
      </c>
      <c r="C60" s="754" t="s">
        <v>478</v>
      </c>
      <c r="D60" s="754" t="str">
        <f>E10</f>
        <v>TRAGSL</v>
      </c>
      <c r="E60" s="754" t="str">
        <f>Commodities!D85</f>
        <v>TRAGSBL1</v>
      </c>
      <c r="F60" s="3031">
        <v>1</v>
      </c>
      <c r="G60" s="754">
        <v>100</v>
      </c>
    </row>
    <row r="61" spans="2:12">
      <c r="D61" s="754" t="str">
        <f>E11</f>
        <v>TRAGSB</v>
      </c>
      <c r="F61" s="3031"/>
      <c r="H61" s="120">
        <v>0</v>
      </c>
      <c r="I61" s="120">
        <v>0.1</v>
      </c>
      <c r="J61" s="754">
        <v>5</v>
      </c>
      <c r="K61" s="754">
        <v>5</v>
      </c>
    </row>
    <row r="62" spans="2:12">
      <c r="B62" s="50" t="str">
        <f>"FT-"&amp;E62</f>
        <v>FT-TRAGSBL2</v>
      </c>
      <c r="C62" s="754" t="s">
        <v>479</v>
      </c>
      <c r="D62" s="754" t="str">
        <f>D60</f>
        <v>TRAGSL</v>
      </c>
      <c r="E62" s="754" t="str">
        <f>Commodities!D86</f>
        <v>TRAGSBL2</v>
      </c>
      <c r="F62" s="3031">
        <v>1</v>
      </c>
      <c r="G62" s="754">
        <v>100</v>
      </c>
      <c r="L62" s="754">
        <v>2012</v>
      </c>
    </row>
    <row r="63" spans="2:12">
      <c r="D63" s="754" t="str">
        <f t="shared" ref="D63:D69" si="5">D61</f>
        <v>TRAGSB</v>
      </c>
      <c r="F63" s="3031"/>
      <c r="H63" s="120">
        <v>0</v>
      </c>
      <c r="I63" s="120">
        <v>0.25</v>
      </c>
      <c r="J63" s="754">
        <v>5</v>
      </c>
      <c r="K63" s="754">
        <v>5</v>
      </c>
    </row>
    <row r="64" spans="2:12">
      <c r="B64" s="50" t="str">
        <f>"FT-"&amp;E64</f>
        <v>FT-TRAGSBL3</v>
      </c>
      <c r="C64" s="754" t="s">
        <v>480</v>
      </c>
      <c r="D64" s="754" t="str">
        <f t="shared" si="5"/>
        <v>TRAGSL</v>
      </c>
      <c r="E64" s="754" t="str">
        <f>Commodities!D87</f>
        <v>TRAGSBL3</v>
      </c>
      <c r="F64" s="3031">
        <v>1</v>
      </c>
      <c r="G64" s="754">
        <v>100</v>
      </c>
      <c r="L64" s="754">
        <v>2020</v>
      </c>
    </row>
    <row r="65" spans="2:12">
      <c r="D65" s="754" t="str">
        <f t="shared" si="5"/>
        <v>TRAGSB</v>
      </c>
      <c r="F65" s="3031"/>
      <c r="H65" s="120">
        <v>0</v>
      </c>
      <c r="I65" s="120">
        <v>0.5</v>
      </c>
      <c r="J65" s="754">
        <v>5</v>
      </c>
      <c r="K65" s="754">
        <v>5</v>
      </c>
    </row>
    <row r="66" spans="2:12">
      <c r="B66" s="50" t="str">
        <f>"FT-"&amp;E66</f>
        <v>FT-TRAGSBL4</v>
      </c>
      <c r="C66" s="754" t="s">
        <v>481</v>
      </c>
      <c r="D66" s="754" t="str">
        <f t="shared" si="5"/>
        <v>TRAGSL</v>
      </c>
      <c r="E66" s="754" t="str">
        <f>Commodities!D88</f>
        <v>TRAGSBL4</v>
      </c>
      <c r="F66" s="3031">
        <v>1</v>
      </c>
      <c r="G66" s="754">
        <v>100</v>
      </c>
      <c r="L66" s="754">
        <v>2030</v>
      </c>
    </row>
    <row r="67" spans="2:12">
      <c r="D67" s="754" t="str">
        <f t="shared" si="5"/>
        <v>TRAGSB</v>
      </c>
      <c r="F67" s="3031"/>
      <c r="H67" s="120">
        <v>0</v>
      </c>
      <c r="I67" s="120">
        <v>1</v>
      </c>
      <c r="J67" s="754">
        <v>5</v>
      </c>
      <c r="K67" s="754">
        <v>5</v>
      </c>
    </row>
    <row r="68" spans="2:12">
      <c r="B68" s="50" t="str">
        <f>"FT-"&amp;E68</f>
        <v>FT-TRAGSBL5</v>
      </c>
      <c r="C68" s="754" t="s">
        <v>482</v>
      </c>
      <c r="D68" s="754" t="str">
        <f t="shared" si="5"/>
        <v>TRAGSL</v>
      </c>
      <c r="E68" s="754" t="str">
        <f>Commodities!D89</f>
        <v>TRAGSBL5</v>
      </c>
      <c r="F68" s="3031">
        <v>1</v>
      </c>
      <c r="G68" s="754">
        <v>100</v>
      </c>
      <c r="L68" s="754">
        <v>2010</v>
      </c>
    </row>
    <row r="69" spans="2:12">
      <c r="B69" s="3034"/>
      <c r="C69" s="3034"/>
      <c r="D69" s="3034" t="str">
        <f t="shared" si="5"/>
        <v>TRAGSB</v>
      </c>
      <c r="E69" s="426"/>
      <c r="F69" s="461"/>
      <c r="G69" s="3034"/>
      <c r="H69" s="3037">
        <v>0.51</v>
      </c>
      <c r="I69" s="3037">
        <v>0.85</v>
      </c>
      <c r="J69" s="3034">
        <v>5</v>
      </c>
      <c r="K69" s="3034">
        <v>5</v>
      </c>
      <c r="L69" s="3034"/>
    </row>
    <row r="70" spans="2:12">
      <c r="B70" s="50" t="str">
        <f>"FT-"&amp;E70</f>
        <v>FT-TRAKENA1</v>
      </c>
      <c r="C70" s="754" t="s">
        <v>483</v>
      </c>
      <c r="D70" s="754" t="str">
        <f>E26</f>
        <v>TRAKEN</v>
      </c>
      <c r="E70" s="754" t="str">
        <f>Commodities!D90</f>
        <v>TRAKENA1</v>
      </c>
      <c r="F70" s="3031">
        <v>1</v>
      </c>
      <c r="G70" s="754">
        <v>100</v>
      </c>
    </row>
    <row r="71" spans="2:12">
      <c r="D71" s="754" t="str">
        <f>E28</f>
        <v>TRAKRB</v>
      </c>
      <c r="F71" s="3031"/>
      <c r="H71" s="120"/>
      <c r="I71" s="3038">
        <v>0</v>
      </c>
      <c r="J71" s="754">
        <v>5</v>
      </c>
      <c r="K71" s="754">
        <v>5</v>
      </c>
    </row>
    <row r="72" spans="2:12">
      <c r="B72" s="50" t="str">
        <f>"FT-"&amp;E72</f>
        <v>FT-TRAKENA2</v>
      </c>
      <c r="C72" s="754" t="s">
        <v>484</v>
      </c>
      <c r="D72" s="754" t="str">
        <f>D70</f>
        <v>TRAKEN</v>
      </c>
      <c r="E72" s="754" t="str">
        <f>Commodities!D91</f>
        <v>TRAKENA2</v>
      </c>
      <c r="F72" s="3031">
        <v>1</v>
      </c>
      <c r="G72" s="754">
        <v>100</v>
      </c>
      <c r="L72" s="754">
        <v>2012</v>
      </c>
    </row>
    <row r="73" spans="2:12">
      <c r="D73" s="754" t="str">
        <f t="shared" ref="D73:D79" si="6">D71</f>
        <v>TRAKRB</v>
      </c>
      <c r="F73" s="3031"/>
      <c r="H73" s="120"/>
      <c r="I73" s="120">
        <v>0.25</v>
      </c>
      <c r="J73" s="754">
        <v>5</v>
      </c>
      <c r="K73" s="754">
        <v>5</v>
      </c>
    </row>
    <row r="74" spans="2:12">
      <c r="B74" s="50" t="str">
        <f>"FT-"&amp;E74</f>
        <v>FT-TRAKENA3</v>
      </c>
      <c r="C74" s="754" t="s">
        <v>485</v>
      </c>
      <c r="D74" s="754" t="str">
        <f t="shared" si="6"/>
        <v>TRAKEN</v>
      </c>
      <c r="E74" s="754" t="str">
        <f>Commodities!D92</f>
        <v>TRAKENA3</v>
      </c>
      <c r="F74" s="3031">
        <v>1</v>
      </c>
      <c r="G74" s="754">
        <v>100</v>
      </c>
      <c r="L74" s="754">
        <v>2020</v>
      </c>
    </row>
    <row r="75" spans="2:12">
      <c r="D75" s="754" t="str">
        <f t="shared" si="6"/>
        <v>TRAKRB</v>
      </c>
      <c r="F75" s="3031"/>
      <c r="H75" s="120"/>
      <c r="I75" s="120">
        <v>0.5</v>
      </c>
      <c r="J75" s="754">
        <v>5</v>
      </c>
      <c r="K75" s="754">
        <v>5</v>
      </c>
    </row>
    <row r="76" spans="2:12">
      <c r="B76" s="50" t="str">
        <f>"FT-"&amp;E76</f>
        <v>FT-TRAKENA4</v>
      </c>
      <c r="C76" s="754" t="s">
        <v>486</v>
      </c>
      <c r="D76" s="754" t="str">
        <f t="shared" si="6"/>
        <v>TRAKEN</v>
      </c>
      <c r="E76" s="754" t="str">
        <f>Commodities!D93</f>
        <v>TRAKENA4</v>
      </c>
      <c r="F76" s="3031">
        <v>1</v>
      </c>
      <c r="G76" s="754">
        <v>100</v>
      </c>
      <c r="L76" s="754">
        <v>2035</v>
      </c>
    </row>
    <row r="77" spans="2:12">
      <c r="D77" s="754" t="str">
        <f t="shared" si="6"/>
        <v>TRAKRB</v>
      </c>
      <c r="F77" s="3031"/>
      <c r="H77" s="120"/>
      <c r="I77" s="120">
        <v>1</v>
      </c>
      <c r="J77" s="754">
        <v>5</v>
      </c>
      <c r="K77" s="754">
        <v>5</v>
      </c>
    </row>
    <row r="78" spans="2:12">
      <c r="B78" s="50" t="str">
        <f>"FT-"&amp;E78</f>
        <v>FT-TRAKENA5</v>
      </c>
      <c r="C78" s="754" t="s">
        <v>487</v>
      </c>
      <c r="D78" s="754" t="str">
        <f t="shared" si="6"/>
        <v>TRAKEN</v>
      </c>
      <c r="E78" s="754" t="str">
        <f>Commodities!D94</f>
        <v>TRAKENA5</v>
      </c>
      <c r="F78" s="3031">
        <v>1</v>
      </c>
      <c r="G78" s="754">
        <v>100</v>
      </c>
      <c r="L78" s="754">
        <v>2100</v>
      </c>
    </row>
    <row r="79" spans="2:12">
      <c r="B79" s="3034"/>
      <c r="C79" s="3034"/>
      <c r="D79" s="3034" t="str">
        <f t="shared" si="6"/>
        <v>TRAKRB</v>
      </c>
      <c r="E79" s="426"/>
      <c r="F79" s="461"/>
      <c r="G79" s="3034"/>
      <c r="H79" s="3037"/>
      <c r="I79" s="3037">
        <v>1</v>
      </c>
      <c r="J79" s="3034">
        <v>5</v>
      </c>
      <c r="K79" s="3034">
        <v>5</v>
      </c>
      <c r="L79" s="3034"/>
    </row>
    <row r="80" spans="2:12">
      <c r="B80" s="50" t="str">
        <f>"FT-"&amp;E80</f>
        <v>FT-TRAKEIN1</v>
      </c>
      <c r="C80" s="754" t="s">
        <v>483</v>
      </c>
      <c r="D80" s="754" t="str">
        <f>E27</f>
        <v>TRAKEI</v>
      </c>
      <c r="E80" s="754" t="str">
        <f>Commodities!D95</f>
        <v>TRAKEIN1</v>
      </c>
      <c r="F80" s="3031">
        <v>1</v>
      </c>
      <c r="G80" s="754">
        <v>100</v>
      </c>
    </row>
    <row r="81" spans="2:12">
      <c r="D81" s="754" t="str">
        <f>E28</f>
        <v>TRAKRB</v>
      </c>
      <c r="F81" s="3031"/>
      <c r="H81" s="120"/>
      <c r="I81" s="3038">
        <v>0</v>
      </c>
      <c r="J81" s="754">
        <v>5</v>
      </c>
      <c r="K81" s="754">
        <v>5</v>
      </c>
    </row>
    <row r="82" spans="2:12">
      <c r="B82" s="50" t="str">
        <f>"FT-"&amp;E82</f>
        <v>FT-TRAKEIN2</v>
      </c>
      <c r="C82" s="754" t="s">
        <v>484</v>
      </c>
      <c r="D82" s="754" t="str">
        <f>D80</f>
        <v>TRAKEI</v>
      </c>
      <c r="E82" s="754" t="str">
        <f>Commodities!D96</f>
        <v>TRAKEIN2</v>
      </c>
      <c r="F82" s="3031">
        <v>1</v>
      </c>
      <c r="G82" s="754">
        <v>100</v>
      </c>
      <c r="L82" s="754">
        <v>2012</v>
      </c>
    </row>
    <row r="83" spans="2:12">
      <c r="D83" s="754" t="str">
        <f t="shared" ref="D83:D89" si="7">D81</f>
        <v>TRAKRB</v>
      </c>
      <c r="F83" s="3031"/>
      <c r="H83" s="120"/>
      <c r="I83" s="120">
        <v>0.25</v>
      </c>
      <c r="J83" s="754">
        <v>5</v>
      </c>
      <c r="K83" s="754">
        <v>5</v>
      </c>
    </row>
    <row r="84" spans="2:12">
      <c r="B84" s="50" t="str">
        <f>"FT-"&amp;E84</f>
        <v>FT-TRAKEIN3</v>
      </c>
      <c r="C84" s="754" t="s">
        <v>485</v>
      </c>
      <c r="D84" s="754" t="str">
        <f t="shared" si="7"/>
        <v>TRAKEI</v>
      </c>
      <c r="E84" s="754" t="str">
        <f>Commodities!D97</f>
        <v>TRAKEIN3</v>
      </c>
      <c r="F84" s="3031">
        <v>1</v>
      </c>
      <c r="G84" s="754">
        <v>100</v>
      </c>
      <c r="L84" s="754">
        <v>2020</v>
      </c>
    </row>
    <row r="85" spans="2:12">
      <c r="D85" s="754" t="str">
        <f t="shared" si="7"/>
        <v>TRAKRB</v>
      </c>
      <c r="F85" s="3031"/>
      <c r="H85" s="120"/>
      <c r="I85" s="120">
        <v>0.5</v>
      </c>
      <c r="J85" s="754">
        <v>5</v>
      </c>
      <c r="K85" s="754">
        <v>5</v>
      </c>
    </row>
    <row r="86" spans="2:12">
      <c r="B86" s="50" t="str">
        <f>"FT-"&amp;E86</f>
        <v>FT-TRAKEIN4</v>
      </c>
      <c r="C86" s="754" t="s">
        <v>486</v>
      </c>
      <c r="D86" s="754" t="str">
        <f t="shared" si="7"/>
        <v>TRAKEI</v>
      </c>
      <c r="E86" s="754" t="str">
        <f>Commodities!D98</f>
        <v>TRAKEIN4</v>
      </c>
      <c r="F86" s="3031">
        <v>1</v>
      </c>
      <c r="G86" s="754">
        <v>100</v>
      </c>
      <c r="L86" s="754">
        <v>2035</v>
      </c>
    </row>
    <row r="87" spans="2:12">
      <c r="D87" s="754" t="str">
        <f t="shared" si="7"/>
        <v>TRAKRB</v>
      </c>
      <c r="F87" s="3031"/>
      <c r="H87" s="120"/>
      <c r="I87" s="120">
        <v>1</v>
      </c>
      <c r="J87" s="754">
        <v>5</v>
      </c>
      <c r="K87" s="754">
        <v>5</v>
      </c>
    </row>
    <row r="88" spans="2:12">
      <c r="B88" s="50" t="str">
        <f>"FT-"&amp;E88</f>
        <v>FT-TRAKEIN5</v>
      </c>
      <c r="C88" s="754" t="s">
        <v>487</v>
      </c>
      <c r="D88" s="754" t="str">
        <f t="shared" si="7"/>
        <v>TRAKEI</v>
      </c>
      <c r="E88" s="754" t="str">
        <f>Commodities!D99</f>
        <v>TRAKEIN5</v>
      </c>
      <c r="F88" s="3031">
        <v>1</v>
      </c>
      <c r="G88" s="754">
        <v>100</v>
      </c>
      <c r="L88" s="754">
        <v>2100</v>
      </c>
    </row>
    <row r="89" spans="2:12">
      <c r="B89" s="3034"/>
      <c r="C89" s="3034"/>
      <c r="D89" s="3034" t="str">
        <f t="shared" si="7"/>
        <v>TRAKRB</v>
      </c>
      <c r="E89" s="426"/>
      <c r="F89" s="461"/>
      <c r="G89" s="3034"/>
      <c r="H89" s="3037"/>
      <c r="I89" s="3037">
        <v>1</v>
      </c>
      <c r="J89" s="3034">
        <v>5</v>
      </c>
      <c r="K89" s="3034">
        <v>5</v>
      </c>
      <c r="L89" s="3034"/>
    </row>
    <row r="90" spans="2:12">
      <c r="B90" s="50" t="str">
        <f>"FT-"&amp;E90</f>
        <v>FT-TRANGBL1</v>
      </c>
      <c r="C90" s="754" t="s">
        <v>3532</v>
      </c>
      <c r="D90" s="754" t="str">
        <f>E16</f>
        <v>TRANGA</v>
      </c>
      <c r="E90" s="754" t="str">
        <f>Commodities!D100</f>
        <v>TRANGBL1</v>
      </c>
      <c r="F90" s="3031">
        <v>1</v>
      </c>
      <c r="G90" s="754">
        <v>100</v>
      </c>
    </row>
    <row r="91" spans="2:12">
      <c r="D91" s="754" t="str">
        <f>E17</f>
        <v>TRASNG</v>
      </c>
      <c r="F91" s="3031"/>
      <c r="H91" s="120"/>
      <c r="I91" s="120">
        <v>0.1</v>
      </c>
      <c r="J91" s="754">
        <v>5</v>
      </c>
      <c r="K91" s="754">
        <v>5</v>
      </c>
    </row>
    <row r="92" spans="2:12">
      <c r="B92" s="50" t="str">
        <f>"FT-"&amp;E92</f>
        <v>FT-TRANGBL2</v>
      </c>
      <c r="C92" s="754" t="s">
        <v>3533</v>
      </c>
      <c r="D92" s="754" t="str">
        <f>D90</f>
        <v>TRANGA</v>
      </c>
      <c r="E92" s="754" t="str">
        <f>Commodities!D101</f>
        <v>TRANGBL2</v>
      </c>
      <c r="F92" s="3031">
        <v>1</v>
      </c>
      <c r="G92" s="754">
        <v>100</v>
      </c>
      <c r="L92" s="754">
        <v>2012</v>
      </c>
    </row>
    <row r="93" spans="2:12">
      <c r="D93" s="754" t="str">
        <f>D91</f>
        <v>TRASNG</v>
      </c>
      <c r="F93" s="3031"/>
      <c r="H93" s="120"/>
      <c r="I93" s="120">
        <v>1</v>
      </c>
      <c r="J93" s="754">
        <v>5</v>
      </c>
      <c r="K93" s="754">
        <v>5</v>
      </c>
    </row>
    <row r="94" spans="2:12">
      <c r="B94" s="50" t="str">
        <f>"FT-"&amp;E94</f>
        <v>FT-TRANGBL3</v>
      </c>
      <c r="C94" s="754" t="s">
        <v>3534</v>
      </c>
      <c r="D94" s="754" t="str">
        <f>D92</f>
        <v>TRANGA</v>
      </c>
      <c r="E94" s="754" t="str">
        <f>Commodities!D102</f>
        <v>TRANGBL3</v>
      </c>
      <c r="F94" s="3031">
        <v>1</v>
      </c>
      <c r="G94" s="754">
        <v>100</v>
      </c>
      <c r="L94" s="754">
        <v>2020</v>
      </c>
    </row>
    <row r="95" spans="2:12">
      <c r="D95" s="754" t="str">
        <f>D93</f>
        <v>TRASNG</v>
      </c>
      <c r="F95" s="3031"/>
      <c r="H95" s="120"/>
      <c r="I95" s="120">
        <v>1</v>
      </c>
      <c r="J95" s="754">
        <v>5</v>
      </c>
      <c r="K95" s="754">
        <v>5</v>
      </c>
    </row>
    <row r="96" spans="2:12">
      <c r="D96" s="754" t="str">
        <f>E23</f>
        <v>TRAH2G</v>
      </c>
      <c r="F96" s="3031"/>
      <c r="H96" s="120"/>
      <c r="I96" s="120">
        <v>5.6030998243804531E-3</v>
      </c>
    </row>
    <row r="97" spans="2:12">
      <c r="B97" s="50" t="str">
        <f>"FT-"&amp;E97</f>
        <v>FT-TRANGBL4</v>
      </c>
      <c r="C97" s="754" t="s">
        <v>3535</v>
      </c>
      <c r="D97" s="754" t="str">
        <f t="shared" ref="D97:D102" si="8">D94</f>
        <v>TRANGA</v>
      </c>
      <c r="E97" s="754" t="str">
        <f>Commodities!D103</f>
        <v>TRANGBL4</v>
      </c>
      <c r="F97" s="3031">
        <v>1</v>
      </c>
      <c r="G97" s="754">
        <v>100</v>
      </c>
      <c r="L97" s="754">
        <v>2030</v>
      </c>
    </row>
    <row r="98" spans="2:12">
      <c r="D98" s="754" t="str">
        <f t="shared" si="8"/>
        <v>TRASNG</v>
      </c>
      <c r="F98" s="3031"/>
      <c r="H98" s="120"/>
      <c r="I98" s="120">
        <v>1</v>
      </c>
      <c r="J98" s="754">
        <v>5</v>
      </c>
      <c r="K98" s="754">
        <v>5</v>
      </c>
    </row>
    <row r="99" spans="2:12">
      <c r="D99" s="754" t="str">
        <f t="shared" si="8"/>
        <v>TRAH2G</v>
      </c>
      <c r="F99" s="3031"/>
      <c r="H99" s="120"/>
      <c r="I99" s="3032">
        <v>4.6459665613683636E-2</v>
      </c>
    </row>
    <row r="100" spans="2:12">
      <c r="B100" s="50" t="str">
        <f>"FT-"&amp;E100</f>
        <v>FT-TRANGBL5</v>
      </c>
      <c r="C100" s="754" t="s">
        <v>3536</v>
      </c>
      <c r="D100" s="754" t="str">
        <f t="shared" si="8"/>
        <v>TRANGA</v>
      </c>
      <c r="E100" s="754" t="str">
        <f>Commodities!D104</f>
        <v>TRANGBL5</v>
      </c>
      <c r="F100" s="3031">
        <v>1</v>
      </c>
      <c r="G100" s="754">
        <v>100</v>
      </c>
      <c r="L100" s="754">
        <v>2100</v>
      </c>
    </row>
    <row r="101" spans="2:12">
      <c r="D101" s="754" t="str">
        <f t="shared" si="8"/>
        <v>TRASNG</v>
      </c>
      <c r="F101" s="3031"/>
      <c r="H101" s="120"/>
      <c r="I101" s="120">
        <v>1</v>
      </c>
      <c r="J101" s="754">
        <v>5</v>
      </c>
      <c r="K101" s="754">
        <v>5</v>
      </c>
    </row>
    <row r="102" spans="2:12">
      <c r="B102" s="3034"/>
      <c r="C102" s="3034"/>
      <c r="D102" s="3034" t="str">
        <f t="shared" si="8"/>
        <v>TRAH2G</v>
      </c>
      <c r="E102" s="426"/>
      <c r="F102" s="461"/>
      <c r="G102" s="3034"/>
      <c r="H102" s="3037"/>
      <c r="I102" s="3037">
        <f>I99</f>
        <v>4.6459665613683636E-2</v>
      </c>
      <c r="J102" s="3034"/>
      <c r="K102" s="3034"/>
      <c r="L102" s="3034"/>
    </row>
    <row r="103" spans="2:12">
      <c r="B103" s="50" t="str">
        <f>"FT-"&amp;E103</f>
        <v>FT-TRAOILBL1N</v>
      </c>
      <c r="C103" s="754" t="str">
        <f>[6]Processes!E101</f>
        <v>Fuel Technology Blended Fuel - Oil products bio and renewable - level 1 - TRA Navigation</v>
      </c>
      <c r="D103" s="754" t="str">
        <f>E38</f>
        <v>TRADSLN</v>
      </c>
      <c r="E103" s="754" t="str">
        <f>Commodities!D105</f>
        <v>TRAOILBL1N</v>
      </c>
      <c r="F103" s="3031">
        <v>1</v>
      </c>
      <c r="G103" s="754">
        <v>100</v>
      </c>
    </row>
    <row r="104" spans="2:12">
      <c r="D104" s="754" t="str">
        <f>E39</f>
        <v>TRADSBN</v>
      </c>
      <c r="F104" s="3031"/>
      <c r="H104" s="120">
        <v>0</v>
      </c>
      <c r="I104" s="120">
        <v>0.1</v>
      </c>
      <c r="J104" s="754">
        <v>5</v>
      </c>
      <c r="K104" s="754">
        <v>5</v>
      </c>
    </row>
    <row r="105" spans="2:12">
      <c r="B105" s="50" t="str">
        <f>"FT-"&amp;E105</f>
        <v>FT-TRAOILBL2N</v>
      </c>
      <c r="C105" s="754" t="str">
        <f>[6]Processes!E102</f>
        <v>Fuel Technology Blended Fuel - Oil products bio and renewable - level 2 - TRA Navigation</v>
      </c>
      <c r="D105" s="754" t="str">
        <f>D103</f>
        <v>TRADSLN</v>
      </c>
      <c r="E105" s="754" t="str">
        <f>Commodities!D106</f>
        <v>TRAOILBL2N</v>
      </c>
      <c r="F105" s="3031">
        <v>1</v>
      </c>
      <c r="G105" s="754">
        <v>100</v>
      </c>
      <c r="L105" s="754">
        <v>2012</v>
      </c>
    </row>
    <row r="106" spans="2:12">
      <c r="D106" s="754" t="str">
        <f t="shared" ref="D106:D110" si="9">D104</f>
        <v>TRADSBN</v>
      </c>
      <c r="F106" s="3031"/>
      <c r="H106" s="120">
        <v>0</v>
      </c>
      <c r="I106" s="120">
        <v>0.25</v>
      </c>
      <c r="J106" s="754">
        <v>5</v>
      </c>
      <c r="K106" s="754">
        <v>5</v>
      </c>
    </row>
    <row r="107" spans="2:12">
      <c r="B107" s="50" t="str">
        <f>"FT-"&amp;E107</f>
        <v>FT-TRAOILBL3N</v>
      </c>
      <c r="C107" s="754" t="str">
        <f>[6]Processes!E103</f>
        <v>Fuel Technology Blended Fuel - Oil products bio and renewable - level 3 - TRA Navigation</v>
      </c>
      <c r="D107" s="754" t="str">
        <f t="shared" si="9"/>
        <v>TRADSLN</v>
      </c>
      <c r="E107" s="754" t="str">
        <f>Commodities!D107</f>
        <v>TRAOILBL3N</v>
      </c>
      <c r="F107" s="3031">
        <v>1</v>
      </c>
      <c r="G107" s="754">
        <v>100</v>
      </c>
      <c r="L107" s="754">
        <v>2020</v>
      </c>
    </row>
    <row r="108" spans="2:12">
      <c r="D108" s="754" t="str">
        <f t="shared" si="9"/>
        <v>TRADSBN</v>
      </c>
      <c r="F108" s="3031"/>
      <c r="H108" s="120">
        <v>0</v>
      </c>
      <c r="I108" s="120">
        <v>0.5</v>
      </c>
      <c r="J108" s="754">
        <v>5</v>
      </c>
      <c r="K108" s="754">
        <v>5</v>
      </c>
    </row>
    <row r="109" spans="2:12">
      <c r="B109" s="50" t="str">
        <f>"FT-"&amp;E109</f>
        <v>FT-TRAOILBL4N</v>
      </c>
      <c r="C109" s="754" t="str">
        <f>[6]Processes!E104</f>
        <v>Fuel Technology Blended Fuel - Oil products bio and renewable - level 4 - TRA Navigation</v>
      </c>
      <c r="D109" s="754" t="str">
        <f t="shared" si="9"/>
        <v>TRADSLN</v>
      </c>
      <c r="E109" s="754" t="str">
        <f>Commodities!D108</f>
        <v>TRAOILBL4N</v>
      </c>
      <c r="F109" s="3031">
        <v>1</v>
      </c>
      <c r="G109" s="754">
        <v>100</v>
      </c>
      <c r="L109" s="754">
        <v>2030</v>
      </c>
    </row>
    <row r="110" spans="2:12">
      <c r="D110" s="754" t="str">
        <f t="shared" si="9"/>
        <v>TRADSBN</v>
      </c>
      <c r="F110" s="3031"/>
      <c r="H110" s="120">
        <v>0</v>
      </c>
      <c r="I110" s="120">
        <v>1</v>
      </c>
      <c r="J110" s="754">
        <v>5</v>
      </c>
      <c r="K110" s="754">
        <v>5</v>
      </c>
    </row>
    <row r="111" spans="2:12">
      <c r="D111" s="754" t="str">
        <f>E42</f>
        <v>TRAGSBN</v>
      </c>
      <c r="F111" s="3031"/>
      <c r="H111" s="120">
        <v>0</v>
      </c>
      <c r="I111" s="120">
        <v>1</v>
      </c>
      <c r="J111" s="754">
        <v>5</v>
      </c>
      <c r="K111" s="754">
        <v>5</v>
      </c>
    </row>
    <row r="112" spans="2:12">
      <c r="B112" s="50" t="str">
        <f>"FT-"&amp;E112</f>
        <v>FT-TRAOILBL5N</v>
      </c>
      <c r="C112" s="754" t="str">
        <f>[6]Processes!E105</f>
        <v>Fuel Technology Blended Fuel - Oil products bio and renewable - level 5 - TRA Navigation</v>
      </c>
      <c r="D112" s="754" t="str">
        <f>D109</f>
        <v>TRADSLN</v>
      </c>
      <c r="E112" s="754" t="str">
        <f>Commodities!D109</f>
        <v>TRAOILBL5N</v>
      </c>
      <c r="F112" s="3031">
        <v>1</v>
      </c>
      <c r="G112" s="754">
        <v>100</v>
      </c>
      <c r="L112" s="754">
        <v>2100</v>
      </c>
    </row>
    <row r="113" spans="2:12">
      <c r="D113" s="754" t="str">
        <f>D110</f>
        <v>TRADSBN</v>
      </c>
      <c r="F113" s="3031"/>
      <c r="H113" s="120">
        <v>0</v>
      </c>
      <c r="I113" s="120">
        <v>1</v>
      </c>
      <c r="J113" s="754">
        <v>5</v>
      </c>
      <c r="K113" s="754">
        <v>5</v>
      </c>
    </row>
    <row r="114" spans="2:12">
      <c r="B114" s="3034"/>
      <c r="C114" s="3034"/>
      <c r="D114" s="3034" t="str">
        <f>D111</f>
        <v>TRAGSBN</v>
      </c>
      <c r="E114" s="426"/>
      <c r="F114" s="461"/>
      <c r="G114" s="3034"/>
      <c r="H114" s="3037">
        <v>0</v>
      </c>
      <c r="I114" s="3037">
        <v>1</v>
      </c>
      <c r="J114" s="3034">
        <v>5</v>
      </c>
      <c r="K114" s="3034">
        <v>5</v>
      </c>
      <c r="L114" s="3034"/>
    </row>
    <row r="115" spans="2:12">
      <c r="B115" s="50" t="str">
        <f>"FT-"&amp;E115</f>
        <v>FT-TRANGBL1N</v>
      </c>
      <c r="C115" s="754" t="str">
        <f>[6]Processes!E106</f>
        <v>Fuel Technology Liqufied Blended Fuel - NGA &amp; SNG - level 1 - TRA Navigation</v>
      </c>
      <c r="D115" s="754" t="str">
        <f>E45</f>
        <v>TRANGAN</v>
      </c>
      <c r="E115" s="754" t="str">
        <f>Commodities!D110</f>
        <v>TRANGBL1N</v>
      </c>
      <c r="F115" s="3031">
        <v>1</v>
      </c>
      <c r="G115" s="754">
        <v>100</v>
      </c>
    </row>
    <row r="116" spans="2:12">
      <c r="D116" s="754" t="str">
        <f>E46</f>
        <v>TRASNGN</v>
      </c>
      <c r="F116" s="3031"/>
      <c r="H116" s="120">
        <v>0</v>
      </c>
      <c r="I116" s="120">
        <v>0.1</v>
      </c>
      <c r="J116" s="754">
        <v>5</v>
      </c>
      <c r="K116" s="754">
        <v>5</v>
      </c>
    </row>
    <row r="117" spans="2:12">
      <c r="B117" s="50" t="str">
        <f>"FT-"&amp;E117</f>
        <v>FT-TRANGBL2N</v>
      </c>
      <c r="C117" s="754" t="str">
        <f>[6]Processes!E107</f>
        <v>Fuel Technology Liqufied Blended Fuel - NGA &amp; SNG - level 2 - TRA Navigation</v>
      </c>
      <c r="D117" s="754" t="str">
        <f>D115</f>
        <v>TRANGAN</v>
      </c>
      <c r="E117" s="754" t="str">
        <f>Commodities!D111</f>
        <v>TRANGBL2N</v>
      </c>
      <c r="F117" s="3031">
        <v>1</v>
      </c>
      <c r="G117" s="754">
        <v>100</v>
      </c>
      <c r="L117" s="754">
        <v>2012</v>
      </c>
    </row>
    <row r="118" spans="2:12">
      <c r="D118" s="754" t="str">
        <f t="shared" ref="D118:D120" si="10">D116</f>
        <v>TRASNGN</v>
      </c>
      <c r="F118" s="3031"/>
      <c r="H118" s="120">
        <v>0</v>
      </c>
      <c r="I118" s="120">
        <v>0.25</v>
      </c>
      <c r="J118" s="754">
        <v>5</v>
      </c>
      <c r="K118" s="754">
        <v>5</v>
      </c>
    </row>
    <row r="119" spans="2:12">
      <c r="B119" s="50" t="str">
        <f>"FT-"&amp;E119</f>
        <v>FT-TRANGBL3N</v>
      </c>
      <c r="C119" s="754" t="str">
        <f>[6]Processes!E108</f>
        <v>Fuel Technology Liqufied Blended Fuel - NGA &amp; SNG - level 3 - TRA Navigation</v>
      </c>
      <c r="D119" s="754" t="str">
        <f t="shared" si="10"/>
        <v>TRANGAN</v>
      </c>
      <c r="E119" s="754" t="str">
        <f>Commodities!D112</f>
        <v>TRANGBL3N</v>
      </c>
      <c r="F119" s="3031">
        <v>1</v>
      </c>
      <c r="G119" s="754">
        <v>100</v>
      </c>
      <c r="L119" s="754">
        <v>2020</v>
      </c>
    </row>
    <row r="120" spans="2:12">
      <c r="D120" s="754" t="str">
        <f t="shared" si="10"/>
        <v>TRASNGN</v>
      </c>
      <c r="F120" s="3031"/>
      <c r="H120" s="120">
        <v>0</v>
      </c>
      <c r="I120" s="120">
        <v>0.5</v>
      </c>
      <c r="J120" s="754">
        <v>5</v>
      </c>
      <c r="K120" s="754">
        <v>5</v>
      </c>
    </row>
    <row r="121" spans="2:12">
      <c r="D121" s="754" t="str">
        <f>E23</f>
        <v>TRAH2G</v>
      </c>
      <c r="F121" s="3031"/>
      <c r="H121" s="120"/>
      <c r="I121" s="120">
        <v>5.6030998243804531E-3</v>
      </c>
    </row>
    <row r="122" spans="2:12">
      <c r="B122" s="50" t="str">
        <f>"FT-"&amp;E122</f>
        <v>FT-TRANGBL4N</v>
      </c>
      <c r="C122" s="754" t="str">
        <f>[6]Processes!E109</f>
        <v>Fuel Technology Liqufied Blended Fuel - NGA &amp; SNG - level 4 - TRA Navigation</v>
      </c>
      <c r="D122" s="754" t="str">
        <f>D119</f>
        <v>TRANGAN</v>
      </c>
      <c r="E122" s="754" t="str">
        <f>Commodities!D113</f>
        <v>TRANGBL4N</v>
      </c>
      <c r="F122" s="3031">
        <v>1</v>
      </c>
      <c r="G122" s="754">
        <v>100</v>
      </c>
      <c r="L122" s="754">
        <v>2030</v>
      </c>
    </row>
    <row r="123" spans="2:12">
      <c r="D123" s="754" t="str">
        <f t="shared" ref="D123:D127" si="11">D120</f>
        <v>TRASNGN</v>
      </c>
      <c r="F123" s="3031"/>
      <c r="H123" s="120">
        <v>0</v>
      </c>
      <c r="I123" s="120">
        <v>1</v>
      </c>
      <c r="J123" s="754">
        <v>5</v>
      </c>
      <c r="K123" s="754">
        <v>5</v>
      </c>
    </row>
    <row r="124" spans="2:12">
      <c r="D124" s="754" t="str">
        <f t="shared" si="11"/>
        <v>TRAH2G</v>
      </c>
      <c r="F124" s="3031"/>
      <c r="H124" s="120"/>
      <c r="I124" s="3032">
        <v>4.6459665613683636E-2</v>
      </c>
    </row>
    <row r="125" spans="2:12">
      <c r="B125" s="50" t="str">
        <f>"FT-"&amp;E125</f>
        <v>FT-TRANGBL5N</v>
      </c>
      <c r="C125" s="754" t="str">
        <f>[6]Processes!E110</f>
        <v>Fuel Technology Liqufied Blended Fuel - NGA &amp; SNG - level 5 - TRA Navigation</v>
      </c>
      <c r="D125" s="754" t="str">
        <f t="shared" si="11"/>
        <v>TRANGAN</v>
      </c>
      <c r="E125" s="754" t="str">
        <f>Commodities!D114</f>
        <v>TRANGBL5N</v>
      </c>
      <c r="F125" s="3031">
        <v>1</v>
      </c>
      <c r="G125" s="754">
        <v>100</v>
      </c>
      <c r="L125" s="754">
        <v>2100</v>
      </c>
    </row>
    <row r="126" spans="2:12">
      <c r="D126" s="754" t="str">
        <f t="shared" si="11"/>
        <v>TRASNGN</v>
      </c>
      <c r="F126" s="3031"/>
      <c r="H126" s="120">
        <v>0</v>
      </c>
      <c r="I126" s="120">
        <v>1</v>
      </c>
      <c r="J126" s="754">
        <v>5</v>
      </c>
      <c r="K126" s="754">
        <v>5</v>
      </c>
    </row>
    <row r="127" spans="2:12">
      <c r="B127" s="3034"/>
      <c r="C127" s="3034"/>
      <c r="D127" s="3034" t="str">
        <f t="shared" si="11"/>
        <v>TRAH2G</v>
      </c>
      <c r="E127" s="426"/>
      <c r="F127" s="461"/>
      <c r="G127" s="3034"/>
      <c r="H127" s="3037"/>
      <c r="I127" s="3037">
        <f>I123</f>
        <v>1</v>
      </c>
      <c r="J127" s="3034"/>
      <c r="K127" s="3034"/>
      <c r="L127" s="3034"/>
    </row>
    <row r="128" spans="2:12">
      <c r="B128" s="50" t="str">
        <f>"FT-"&amp;E128</f>
        <v>FT-TRAMFO</v>
      </c>
      <c r="C128" s="765" t="str">
        <f>[6]Processes!E126</f>
        <v>Fuel Technology MGO &amp; Biodiesel Blending - level 1</v>
      </c>
      <c r="D128" s="754" t="str">
        <f>E36</f>
        <v>TRAMGO</v>
      </c>
      <c r="E128" s="754" t="str">
        <f>Commodities!D115</f>
        <v>TRAMFO</v>
      </c>
      <c r="F128" s="3036">
        <v>1</v>
      </c>
      <c r="G128" s="754">
        <v>100</v>
      </c>
      <c r="H128" s="439"/>
      <c r="I128" s="439"/>
      <c r="J128" s="2698"/>
    </row>
    <row r="129" spans="2:12">
      <c r="D129" s="765" t="str">
        <f>E37</f>
        <v>TRAHFON</v>
      </c>
      <c r="F129" s="3031"/>
      <c r="I129" s="3032">
        <v>0.2</v>
      </c>
      <c r="J129" s="3032"/>
      <c r="K129" s="3016">
        <v>5</v>
      </c>
      <c r="L129" s="3016"/>
    </row>
    <row r="130" spans="2:12">
      <c r="D130" s="765" t="str">
        <f>E39</f>
        <v>TRADSBN</v>
      </c>
      <c r="F130" s="3031"/>
      <c r="I130" s="3032">
        <v>0.2</v>
      </c>
      <c r="J130" s="3032"/>
      <c r="K130" s="3016">
        <v>5</v>
      </c>
      <c r="L130" s="3033"/>
    </row>
    <row r="131" spans="2:12">
      <c r="B131" s="50" t="str">
        <f>"FT-"&amp;E131</f>
        <v>FT-TRAMFO2</v>
      </c>
      <c r="C131" s="765" t="str">
        <f>[6]Processes!E127</f>
        <v>Fuel Technology MGO &amp; Biodiesel Blending - level 2</v>
      </c>
      <c r="D131" s="754" t="str">
        <f>D128</f>
        <v>TRAMGO</v>
      </c>
      <c r="E131" s="754" t="str">
        <f>Commodities!D116</f>
        <v>TRAMFO2</v>
      </c>
      <c r="F131" s="3031">
        <v>1</v>
      </c>
      <c r="G131" s="754">
        <v>100</v>
      </c>
      <c r="H131" s="3032"/>
      <c r="I131" s="3032"/>
      <c r="J131" s="3032"/>
      <c r="K131" s="3033"/>
      <c r="L131" s="3016">
        <v>2020</v>
      </c>
    </row>
    <row r="132" spans="2:12">
      <c r="D132" s="754" t="str">
        <f t="shared" ref="D132:D135" si="12">D129</f>
        <v>TRAHFON</v>
      </c>
      <c r="F132" s="3031"/>
      <c r="H132" s="3032"/>
      <c r="I132" s="3032">
        <v>1</v>
      </c>
      <c r="J132" s="3032"/>
      <c r="K132" s="3039">
        <v>5</v>
      </c>
      <c r="L132" s="3016"/>
    </row>
    <row r="133" spans="2:12">
      <c r="D133" s="754" t="str">
        <f t="shared" si="12"/>
        <v>TRADSBN</v>
      </c>
      <c r="F133" s="3031"/>
      <c r="H133" s="3032"/>
      <c r="I133" s="3032">
        <v>0.5</v>
      </c>
      <c r="J133" s="3032"/>
      <c r="K133" s="3039">
        <v>5</v>
      </c>
      <c r="L133" s="3016"/>
    </row>
    <row r="134" spans="2:12">
      <c r="B134" s="50" t="str">
        <f>"FT-"&amp;E134</f>
        <v>FT-TRAMFO3</v>
      </c>
      <c r="C134" s="765" t="str">
        <f>[6]Processes!E128</f>
        <v>Fuel Technology MGO &amp; Biodiesel Blending - level 3</v>
      </c>
      <c r="D134" s="754" t="str">
        <f>D131</f>
        <v>TRAMGO</v>
      </c>
      <c r="E134" s="754" t="str">
        <f>Commodities!D117</f>
        <v>TRAMFO3</v>
      </c>
      <c r="F134" s="3031">
        <v>1</v>
      </c>
      <c r="G134" s="754">
        <v>100</v>
      </c>
      <c r="L134" s="754">
        <v>2030</v>
      </c>
    </row>
    <row r="135" spans="2:12">
      <c r="D135" s="754" t="str">
        <f t="shared" si="12"/>
        <v>TRAHFON</v>
      </c>
      <c r="F135" s="3031"/>
      <c r="H135" s="120">
        <v>0</v>
      </c>
      <c r="I135" s="3032">
        <v>1</v>
      </c>
      <c r="J135" s="3032"/>
      <c r="K135" s="3039">
        <v>5</v>
      </c>
      <c r="L135" s="3016"/>
    </row>
    <row r="136" spans="2:12">
      <c r="D136" s="765" t="str">
        <f>D133</f>
        <v>TRADSBN</v>
      </c>
      <c r="F136" s="3031"/>
      <c r="H136" s="120">
        <v>0</v>
      </c>
      <c r="I136" s="120">
        <v>1</v>
      </c>
      <c r="K136" s="754">
        <v>5</v>
      </c>
    </row>
    <row r="137" spans="2:12">
      <c r="B137" s="50" t="str">
        <f>"FT-"&amp;E137</f>
        <v>FT-TRAMFO4</v>
      </c>
      <c r="C137" s="765" t="str">
        <f>[6]Processes!E129</f>
        <v>Fuel Technology MGO &amp; Biodiesel Blending - level 4</v>
      </c>
      <c r="D137" s="754" t="str">
        <f>D134</f>
        <v>TRAMGO</v>
      </c>
      <c r="E137" s="754" t="str">
        <f>Commodities!D118</f>
        <v>TRAMFO4</v>
      </c>
      <c r="F137" s="3031">
        <v>1</v>
      </c>
      <c r="G137" s="754">
        <v>100</v>
      </c>
      <c r="L137" s="754">
        <v>2035</v>
      </c>
    </row>
    <row r="138" spans="2:12">
      <c r="B138" s="3034"/>
      <c r="C138" s="3034"/>
      <c r="D138" s="3040" t="str">
        <f>D136</f>
        <v>TRADSBN</v>
      </c>
      <c r="E138" s="426"/>
      <c r="F138" s="3034"/>
      <c r="G138" s="3034"/>
      <c r="H138" s="3037">
        <v>0</v>
      </c>
      <c r="I138" s="3037">
        <v>1</v>
      </c>
      <c r="J138" s="3034">
        <v>5</v>
      </c>
      <c r="K138" s="3034">
        <v>5</v>
      </c>
      <c r="L138" s="3034"/>
    </row>
    <row r="167" spans="14:14">
      <c r="N167" s="570"/>
    </row>
    <row r="168" spans="14:14">
      <c r="N168" s="570"/>
    </row>
    <row r="169" spans="14:14">
      <c r="N169" s="570"/>
    </row>
    <row r="170" spans="14:14">
      <c r="N170" s="570"/>
    </row>
    <row r="171" spans="14:14">
      <c r="N171" s="570"/>
    </row>
    <row r="172" spans="14:14">
      <c r="N172" s="570"/>
    </row>
    <row r="173" spans="14:14">
      <c r="N173" s="570"/>
    </row>
    <row r="174" spans="14:14">
      <c r="N174" s="570"/>
    </row>
    <row r="175" spans="14:14">
      <c r="N175" s="3020"/>
    </row>
    <row r="176" spans="14:14">
      <c r="N176" s="3020"/>
    </row>
    <row r="177" spans="14:14">
      <c r="N177" s="3020"/>
    </row>
    <row r="178" spans="14:14">
      <c r="N178" s="3020"/>
    </row>
    <row r="179" spans="14:14">
      <c r="N179" s="3020"/>
    </row>
    <row r="180" spans="14:14">
      <c r="N180" s="3021"/>
    </row>
    <row r="181" spans="14:14">
      <c r="N181" s="3021"/>
    </row>
    <row r="182" spans="14:14">
      <c r="N182" s="3021"/>
    </row>
  </sheetData>
  <pageMargins left="0.7" right="0.7" top="0.75" bottom="0.75" header="0.3" footer="0.3"/>
  <pageSetup paperSize="9" orientation="portrait"/>
  <legacyDrawing r:id="rId1"/>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codeName="Sheet7">
    <tabColor rgb="FF92D050"/>
  </sheetPr>
  <dimension ref="A1:DY377"/>
  <sheetViews>
    <sheetView tabSelected="1" topLeftCell="Q1" zoomScale="60" zoomScaleNormal="60" workbookViewId="0">
      <selection activeCell="AB21" sqref="AB21"/>
    </sheetView>
  </sheetViews>
  <sheetFormatPr defaultRowHeight="13.2"/>
  <cols>
    <col min="1" max="1" width="1.88671875" style="9" customWidth="1"/>
    <col min="2" max="2" width="6.33203125" bestFit="1" customWidth="1"/>
    <col min="3" max="3" width="36.33203125" customWidth="1"/>
    <col min="4" max="4" width="76.88671875" customWidth="1"/>
    <col min="5" max="5" width="12.33203125" customWidth="1"/>
    <col min="6" max="6" width="13.109375" customWidth="1"/>
    <col min="7" max="7" width="13.109375" style="754" customWidth="1"/>
    <col min="8" max="8" width="10.109375" style="542" customWidth="1"/>
    <col min="9" max="9" width="17.5546875" customWidth="1"/>
    <col min="10" max="10" width="11.88671875" style="542" bestFit="1" customWidth="1"/>
    <col min="11" max="11" width="11.33203125" style="542" bestFit="1" customWidth="1"/>
    <col min="12" max="12" width="19.33203125" customWidth="1"/>
    <col min="13" max="13" width="15.109375" style="542" bestFit="1" customWidth="1"/>
    <col min="14" max="14" width="12" bestFit="1" customWidth="1"/>
    <col min="15" max="18" width="10.88671875" bestFit="1" customWidth="1"/>
    <col min="19" max="19" width="18" customWidth="1"/>
    <col min="20" max="21" width="10.88671875" bestFit="1" customWidth="1"/>
    <col min="22" max="22" width="18.6640625" customWidth="1"/>
    <col min="23" max="24" width="10.88671875" bestFit="1" customWidth="1"/>
    <col min="25" max="25" width="9.109375" customWidth="1"/>
    <col min="26" max="26" width="9.109375" style="754" customWidth="1"/>
    <col min="27" max="27" width="9.109375" customWidth="1"/>
    <col min="28" max="29" width="9.109375" style="754" customWidth="1"/>
    <col min="30" max="30" width="10.44140625" style="754" customWidth="1"/>
    <col min="31" max="31" width="9.109375" style="754" customWidth="1"/>
    <col min="32" max="32" width="9.109375" style="542" customWidth="1"/>
    <col min="33" max="33" width="9.109375" customWidth="1"/>
    <col min="34" max="34" width="9.33203125" style="542" bestFit="1" customWidth="1"/>
    <col min="35" max="46" width="9.109375" style="542" customWidth="1"/>
    <col min="47" max="47" width="19.109375" style="542" customWidth="1"/>
    <col min="48" max="48" width="9.109375" style="542" customWidth="1"/>
    <col min="51" max="51" width="18.44140625" customWidth="1"/>
    <col min="52" max="52" width="19.88671875" customWidth="1"/>
    <col min="53" max="54" width="9.33203125" bestFit="1" customWidth="1"/>
    <col min="55" max="55" width="8.88671875" customWidth="1"/>
    <col min="56" max="56" width="9.6640625" style="542" bestFit="1" customWidth="1"/>
    <col min="57" max="57" width="10.6640625" style="542" bestFit="1" customWidth="1"/>
    <col min="58" max="58" width="10.6640625" style="754" customWidth="1"/>
    <col min="59" max="59" width="18.5546875" style="542" customWidth="1"/>
    <col min="60" max="61" width="8.5546875" bestFit="1" customWidth="1"/>
    <col min="62" max="62" width="9.33203125" bestFit="1" customWidth="1"/>
    <col min="63" max="64" width="7.5546875" bestFit="1" customWidth="1"/>
    <col min="65" max="65" width="8.88671875" customWidth="1"/>
    <col min="66" max="66" width="8.109375" customWidth="1"/>
    <col min="67" max="67" width="8.6640625" customWidth="1"/>
    <col min="69" max="69" width="16" customWidth="1"/>
    <col min="70" max="70" width="20.33203125" customWidth="1"/>
    <col min="71" max="71" width="15.6640625" customWidth="1"/>
    <col min="72" max="72" width="15.88671875" customWidth="1"/>
    <col min="114" max="114" width="9.109375" style="754"/>
    <col min="117" max="118" width="9.5546875" bestFit="1" customWidth="1"/>
    <col min="120" max="120" width="9.44140625" customWidth="1"/>
    <col min="121" max="121" width="42.5546875" customWidth="1"/>
  </cols>
  <sheetData>
    <row r="1" spans="1:129" s="542" customFormat="1">
      <c r="A1" s="545"/>
      <c r="G1" s="754"/>
      <c r="J1" s="784"/>
      <c r="K1" s="784"/>
      <c r="L1" s="784"/>
      <c r="M1" s="12"/>
      <c r="N1" s="12"/>
      <c r="O1" s="784"/>
      <c r="P1" s="784"/>
      <c r="Q1" s="784"/>
      <c r="R1" s="784"/>
      <c r="S1" s="784"/>
      <c r="T1" s="784"/>
      <c r="U1" s="784"/>
      <c r="V1" s="784"/>
      <c r="W1" s="784"/>
      <c r="X1" s="784"/>
      <c r="Z1" s="754"/>
      <c r="AB1" s="754"/>
      <c r="AC1" s="754"/>
      <c r="AD1" s="754"/>
      <c r="AE1" s="754"/>
      <c r="AG1" s="629"/>
      <c r="AH1" s="629"/>
      <c r="AI1" s="629"/>
      <c r="AJ1" s="629"/>
      <c r="AK1" s="629"/>
      <c r="AL1" s="629"/>
      <c r="AM1" s="629"/>
      <c r="AN1" s="629"/>
      <c r="AO1" s="629"/>
      <c r="AP1" s="629"/>
      <c r="AQ1" s="629"/>
      <c r="AR1" s="629"/>
      <c r="AS1" s="629"/>
      <c r="AY1" s="629"/>
      <c r="AZ1" s="629"/>
      <c r="BA1" s="629"/>
      <c r="BB1" s="629"/>
      <c r="BC1" s="629"/>
      <c r="BD1" s="629"/>
      <c r="BE1" s="629"/>
      <c r="BF1" s="629"/>
      <c r="BG1" s="629"/>
      <c r="BH1" s="629"/>
      <c r="BI1" s="629"/>
      <c r="BJ1" s="629"/>
      <c r="BK1" s="629"/>
      <c r="BL1" s="629"/>
      <c r="BM1" s="629"/>
      <c r="BN1" s="629"/>
      <c r="BO1" s="629"/>
      <c r="BP1" s="629"/>
      <c r="BQ1" s="629"/>
      <c r="BR1" s="629"/>
      <c r="BS1" s="629"/>
      <c r="DJ1" s="754"/>
    </row>
    <row r="2" spans="1:129" ht="12.75" customHeight="1">
      <c r="I2" s="14"/>
      <c r="J2" s="784"/>
      <c r="K2" s="784"/>
      <c r="L2" s="784"/>
      <c r="M2" s="12"/>
      <c r="N2" s="12"/>
      <c r="O2" s="784"/>
      <c r="P2" s="784"/>
      <c r="Q2" s="784"/>
      <c r="R2" s="784"/>
      <c r="S2" s="784"/>
      <c r="T2" s="784"/>
      <c r="U2" s="784"/>
      <c r="V2" s="784"/>
      <c r="W2" s="784"/>
      <c r="X2" s="784"/>
      <c r="Y2" s="12"/>
      <c r="Z2" s="12"/>
      <c r="AF2" s="629"/>
      <c r="AG2" s="3058" t="s">
        <v>590</v>
      </c>
      <c r="AH2" s="3058"/>
      <c r="AI2" s="3058"/>
      <c r="AJ2" s="3058"/>
      <c r="AK2" s="3058"/>
      <c r="AL2" s="3058"/>
      <c r="AM2" s="3058"/>
      <c r="AN2" s="3058"/>
      <c r="AO2" s="3058"/>
      <c r="AP2" s="3058"/>
      <c r="AQ2" s="3058"/>
      <c r="AR2" s="3058"/>
      <c r="AS2" s="629"/>
      <c r="AT2" s="575" t="s">
        <v>552</v>
      </c>
      <c r="AU2" s="253"/>
      <c r="AV2" s="576">
        <v>0.2</v>
      </c>
      <c r="AY2" s="629"/>
      <c r="AZ2" s="3056" t="s">
        <v>598</v>
      </c>
      <c r="BA2" s="3056"/>
      <c r="BB2" s="3056"/>
      <c r="BC2" s="3056"/>
      <c r="BD2" s="629"/>
      <c r="BE2" s="629"/>
      <c r="BF2" s="629"/>
      <c r="BG2" s="3057" t="s">
        <v>597</v>
      </c>
      <c r="BH2" s="3057"/>
      <c r="BI2" s="3057"/>
      <c r="BJ2" s="3057"/>
      <c r="BK2" s="3057"/>
      <c r="BL2" s="3057"/>
      <c r="BM2" s="3057"/>
      <c r="BN2" s="3057"/>
      <c r="BO2" s="3057"/>
      <c r="BP2" s="3057"/>
      <c r="BQ2" s="3057"/>
      <c r="BR2" s="3057"/>
      <c r="BS2" s="629"/>
    </row>
    <row r="3" spans="1:129" ht="12.75" customHeight="1" thickBot="1">
      <c r="I3" s="37"/>
      <c r="J3" s="784"/>
      <c r="K3" s="784"/>
      <c r="L3" s="784"/>
      <c r="M3" s="12"/>
      <c r="N3" s="12"/>
      <c r="O3" s="12"/>
      <c r="P3" s="12"/>
      <c r="Q3" s="12"/>
      <c r="R3" s="12"/>
      <c r="S3" s="12"/>
      <c r="T3" s="12"/>
      <c r="U3" s="12"/>
      <c r="V3" s="12"/>
      <c r="W3" s="12"/>
      <c r="X3" s="12"/>
      <c r="AF3" s="629"/>
      <c r="AG3" s="3058"/>
      <c r="AH3" s="3058"/>
      <c r="AI3" s="3058"/>
      <c r="AJ3" s="3058"/>
      <c r="AK3" s="3058"/>
      <c r="AL3" s="3058"/>
      <c r="AM3" s="3058"/>
      <c r="AN3" s="3058"/>
      <c r="AO3" s="3058"/>
      <c r="AP3" s="3058"/>
      <c r="AQ3" s="3058"/>
      <c r="AR3" s="3058"/>
      <c r="AS3" s="629"/>
      <c r="AY3" s="629"/>
      <c r="AZ3" s="3056"/>
      <c r="BA3" s="3056"/>
      <c r="BB3" s="3056"/>
      <c r="BC3" s="3056"/>
      <c r="BD3" s="629"/>
      <c r="BE3" s="629"/>
      <c r="BF3" s="629"/>
      <c r="BG3" s="3057"/>
      <c r="BH3" s="3057"/>
      <c r="BI3" s="3057"/>
      <c r="BJ3" s="3057"/>
      <c r="BK3" s="3057"/>
      <c r="BL3" s="3057"/>
      <c r="BM3" s="3057"/>
      <c r="BN3" s="3057"/>
      <c r="BO3" s="3057"/>
      <c r="BP3" s="3057"/>
      <c r="BQ3" s="3057"/>
      <c r="BR3" s="3057"/>
      <c r="BS3" s="629"/>
      <c r="DM3" s="31"/>
    </row>
    <row r="4" spans="1:129" ht="21" customHeight="1">
      <c r="B4" s="6"/>
      <c r="E4" s="6"/>
      <c r="G4" s="7" t="s">
        <v>8</v>
      </c>
      <c r="H4" s="7"/>
      <c r="I4" s="4"/>
      <c r="J4" s="4"/>
      <c r="K4" s="4"/>
      <c r="P4" s="7"/>
      <c r="AF4" s="629"/>
      <c r="AG4" s="629"/>
      <c r="AH4" s="629"/>
      <c r="AI4" s="629"/>
      <c r="AJ4" s="629"/>
      <c r="AK4" s="629"/>
      <c r="AL4" s="629"/>
      <c r="AM4" s="629"/>
      <c r="AN4" s="629"/>
      <c r="AO4" s="629"/>
      <c r="AP4" s="629"/>
      <c r="AQ4" s="629"/>
      <c r="AR4" s="629"/>
      <c r="AS4" s="629"/>
      <c r="AY4" s="629"/>
      <c r="AZ4" s="629"/>
      <c r="BA4" s="629"/>
      <c r="BB4" s="629"/>
      <c r="BC4" s="629"/>
      <c r="BD4" s="629"/>
      <c r="BE4" s="629"/>
      <c r="BF4" s="629"/>
      <c r="BG4" s="629"/>
      <c r="BH4" s="629"/>
      <c r="BI4" s="629"/>
      <c r="BJ4" s="629"/>
      <c r="BK4" s="629"/>
      <c r="BL4" s="629"/>
      <c r="BM4" s="629"/>
      <c r="BN4" s="629"/>
      <c r="BO4" s="629"/>
      <c r="BP4" s="629"/>
      <c r="BQ4" s="629"/>
      <c r="BR4" s="629"/>
      <c r="BS4" s="629"/>
      <c r="DK4" s="2476"/>
      <c r="DL4" s="2477"/>
      <c r="DM4" s="2478" t="s">
        <v>2189</v>
      </c>
      <c r="DN4" s="2477"/>
      <c r="DO4" s="2477"/>
      <c r="DP4" s="2477"/>
      <c r="DQ4" s="2490" t="s">
        <v>2193</v>
      </c>
    </row>
    <row r="5" spans="1:129" ht="35.25" customHeight="1">
      <c r="B5" s="16" t="s">
        <v>1</v>
      </c>
      <c r="C5" s="16" t="s">
        <v>2</v>
      </c>
      <c r="D5" s="16" t="s">
        <v>26</v>
      </c>
      <c r="E5" s="16" t="s">
        <v>14</v>
      </c>
      <c r="F5" s="16" t="s">
        <v>15</v>
      </c>
      <c r="G5" s="2559" t="s">
        <v>2767</v>
      </c>
      <c r="H5" s="66" t="s">
        <v>0</v>
      </c>
      <c r="I5" s="590" t="s">
        <v>582</v>
      </c>
      <c r="J5" s="66" t="s">
        <v>562</v>
      </c>
      <c r="K5" s="66" t="s">
        <v>534</v>
      </c>
      <c r="L5" s="590" t="s">
        <v>580</v>
      </c>
      <c r="M5" s="66" t="s">
        <v>2288</v>
      </c>
      <c r="N5" s="66" t="s">
        <v>2297</v>
      </c>
      <c r="O5" s="590" t="s">
        <v>563</v>
      </c>
      <c r="P5" s="590" t="s">
        <v>189</v>
      </c>
      <c r="Q5" s="590" t="s">
        <v>190</v>
      </c>
      <c r="R5" s="590" t="s">
        <v>191</v>
      </c>
      <c r="S5" s="590" t="s">
        <v>192</v>
      </c>
      <c r="T5" s="590" t="s">
        <v>193</v>
      </c>
      <c r="U5" s="590" t="s">
        <v>194</v>
      </c>
      <c r="V5" s="590" t="s">
        <v>195</v>
      </c>
      <c r="W5" s="590" t="s">
        <v>196</v>
      </c>
      <c r="X5" s="590" t="s">
        <v>197</v>
      </c>
      <c r="Y5" s="590" t="s">
        <v>2294</v>
      </c>
      <c r="AF5" s="629"/>
      <c r="AG5" s="616" t="s">
        <v>1</v>
      </c>
      <c r="AH5" s="614" t="s">
        <v>187</v>
      </c>
      <c r="AI5" s="615">
        <v>2010</v>
      </c>
      <c r="AJ5" s="615">
        <v>2012</v>
      </c>
      <c r="AK5" s="615">
        <v>2015</v>
      </c>
      <c r="AL5" s="615">
        <v>2020</v>
      </c>
      <c r="AM5" s="615">
        <v>2025</v>
      </c>
      <c r="AN5" s="615">
        <v>2030</v>
      </c>
      <c r="AO5" s="615">
        <v>2035</v>
      </c>
      <c r="AP5" s="615">
        <v>2040</v>
      </c>
      <c r="AQ5" s="615">
        <v>2045</v>
      </c>
      <c r="AR5" s="614">
        <v>2050</v>
      </c>
      <c r="AS5" s="629"/>
      <c r="AY5" s="629"/>
      <c r="AZ5" s="646" t="s">
        <v>588</v>
      </c>
      <c r="BA5" s="617"/>
      <c r="BB5" s="618"/>
      <c r="BC5" s="619"/>
      <c r="BD5" s="629"/>
      <c r="BE5" s="629"/>
      <c r="BF5" s="629"/>
      <c r="BG5" s="671" t="s">
        <v>591</v>
      </c>
      <c r="BH5" s="672"/>
      <c r="BI5" s="672"/>
      <c r="BJ5" s="672"/>
      <c r="BK5" s="672"/>
      <c r="BL5" s="672"/>
      <c r="BM5" s="672"/>
      <c r="BN5" s="672"/>
      <c r="BO5" s="673"/>
      <c r="BP5" s="629"/>
      <c r="BQ5" s="629"/>
      <c r="BR5" s="629"/>
      <c r="BS5" s="629"/>
      <c r="DK5" s="2479"/>
      <c r="DL5" s="234"/>
      <c r="DM5" s="1676" t="s">
        <v>2190</v>
      </c>
      <c r="DN5" s="234"/>
      <c r="DO5" s="234"/>
      <c r="DP5" s="234"/>
      <c r="DQ5" s="2491" t="s">
        <v>2191</v>
      </c>
    </row>
    <row r="6" spans="1:129" ht="21" thickBot="1">
      <c r="B6" s="15" t="s">
        <v>27</v>
      </c>
      <c r="C6" s="15"/>
      <c r="D6" s="15"/>
      <c r="E6" s="15"/>
      <c r="F6" s="15"/>
      <c r="G6" s="15"/>
      <c r="H6" s="15"/>
      <c r="I6" s="15" t="s">
        <v>564</v>
      </c>
      <c r="J6" s="591" t="s">
        <v>394</v>
      </c>
      <c r="K6" s="15"/>
      <c r="L6" s="15" t="s">
        <v>565</v>
      </c>
      <c r="M6" s="15" t="s">
        <v>85</v>
      </c>
      <c r="N6" s="15" t="s">
        <v>402</v>
      </c>
      <c r="O6" s="15" t="str">
        <f>Processes!$G$6</f>
        <v>kvehicles</v>
      </c>
      <c r="P6" s="15" t="str">
        <f>Processes!$G$6</f>
        <v>kvehicles</v>
      </c>
      <c r="Q6" s="15" t="str">
        <f>Processes!$G$6</f>
        <v>kvehicles</v>
      </c>
      <c r="R6" s="15" t="str">
        <f>Processes!$G$6</f>
        <v>kvehicles</v>
      </c>
      <c r="S6" s="15" t="str">
        <f>Processes!$G$6</f>
        <v>kvehicles</v>
      </c>
      <c r="T6" s="15" t="str">
        <f>Processes!$G$6</f>
        <v>kvehicles</v>
      </c>
      <c r="U6" s="15" t="str">
        <f>Processes!$G$6</f>
        <v>kvehicles</v>
      </c>
      <c r="V6" s="15" t="str">
        <f>Processes!$G$6</f>
        <v>kvehicles</v>
      </c>
      <c r="W6" s="15" t="str">
        <f>Processes!$G$6</f>
        <v>kvehicles</v>
      </c>
      <c r="X6" s="15" t="str">
        <f>Processes!$G$6</f>
        <v>kvehicles</v>
      </c>
      <c r="Y6" s="15" t="s">
        <v>2295</v>
      </c>
      <c r="AC6" s="2017" t="s">
        <v>2299</v>
      </c>
      <c r="AD6" s="2017" t="s">
        <v>540</v>
      </c>
      <c r="AE6" s="765" t="s">
        <v>2497</v>
      </c>
      <c r="AF6" s="629"/>
      <c r="AG6" s="644" t="s">
        <v>581</v>
      </c>
      <c r="AH6" s="645"/>
      <c r="AI6" s="641"/>
      <c r="AJ6" s="641"/>
      <c r="AK6" s="641"/>
      <c r="AL6" s="641"/>
      <c r="AM6" s="641"/>
      <c r="AN6" s="641"/>
      <c r="AO6" s="641"/>
      <c r="AP6" s="641"/>
      <c r="AQ6" s="641"/>
      <c r="AR6" s="642"/>
      <c r="AS6" s="629"/>
      <c r="AT6" s="568" t="s">
        <v>576</v>
      </c>
      <c r="AY6" s="629"/>
      <c r="AZ6" s="650" t="s">
        <v>198</v>
      </c>
      <c r="BA6" s="651">
        <v>2010</v>
      </c>
      <c r="BB6" s="651">
        <v>2012</v>
      </c>
      <c r="BC6" s="652">
        <v>2014</v>
      </c>
      <c r="BD6" s="629"/>
      <c r="BE6" s="629"/>
      <c r="BF6" s="629"/>
      <c r="BG6" s="683" t="s">
        <v>589</v>
      </c>
      <c r="BH6" s="684">
        <v>2015</v>
      </c>
      <c r="BI6" s="684">
        <v>2020</v>
      </c>
      <c r="BJ6" s="684">
        <v>2025</v>
      </c>
      <c r="BK6" s="684">
        <v>2030</v>
      </c>
      <c r="BL6" s="684">
        <v>2035</v>
      </c>
      <c r="BM6" s="684">
        <v>2040</v>
      </c>
      <c r="BN6" s="684">
        <v>2045</v>
      </c>
      <c r="BO6" s="685">
        <v>2050</v>
      </c>
      <c r="BP6" s="629"/>
      <c r="BQ6" s="629"/>
      <c r="BR6" s="629"/>
      <c r="BS6" s="629"/>
      <c r="BT6" s="184" t="s">
        <v>262</v>
      </c>
      <c r="BX6" s="276" t="s">
        <v>263</v>
      </c>
      <c r="BY6" s="276"/>
      <c r="BZ6" s="276"/>
      <c r="DK6" s="2479"/>
      <c r="DL6" s="234"/>
      <c r="DM6" s="234"/>
      <c r="DN6" s="234"/>
      <c r="DO6" s="234"/>
      <c r="DP6" s="234"/>
      <c r="DQ6" s="2492">
        <v>0.99</v>
      </c>
    </row>
    <row r="7" spans="1:129" ht="14.4">
      <c r="B7" s="546" t="s">
        <v>601</v>
      </c>
      <c r="C7" t="str">
        <f>Processes!$D$6</f>
        <v>TPCADSBL1E</v>
      </c>
      <c r="D7" t="str">
        <f>Processes!$E$6</f>
        <v>Transport Passengers Cars - Diesel Engine - Blending 1 - Average size - Existing</v>
      </c>
      <c r="E7" t="str">
        <f>Commodities!D80</f>
        <v>TRADSBL1</v>
      </c>
      <c r="F7" t="str">
        <f>Commodities!$D$6</f>
        <v>TPCAX</v>
      </c>
      <c r="G7" s="765" t="s">
        <v>3603</v>
      </c>
      <c r="H7" s="610">
        <v>1E-3</v>
      </c>
      <c r="I7" s="2469">
        <f>VLOOKUP(VLOOKUP($E7,$S$136:$T$140,2,0),$AH$40:$AR$47,MATCH(VALUE(RIGHT(I$5,4)),$AH$5:$AR$5,0),0)</f>
        <v>1.7189998335071497</v>
      </c>
      <c r="J7" s="1109">
        <f>VLOOKUP(VLOOKUP($E7,$S$136:$T$140,2,0),$AH$105:$AR$110,MATCH(VALUE(RIGHT(J$5,4)),$AH$5:$AR$5,0),0)</f>
        <v>210.09639756980272</v>
      </c>
      <c r="K7" s="1109">
        <f>VLOOKUP(VLOOKUP($E7,$S$136:$T$140,2,0),$AH$105:$AR$110,MATCH(VALUE(RIGHT(K$5,4)),$AH$5:$AR$5,0),0)</f>
        <v>213.73073170775214</v>
      </c>
      <c r="L7" s="1109">
        <f>VLOOKUP(VLOOKUP($E7,$S$136:$T$140,2,0),$AH$73:$AR$79,MATCH(VALUE(RIGHT(L$5,4)),$AH$5:$AR$5,0),0)</f>
        <v>21500.623745335757</v>
      </c>
      <c r="M7" s="12">
        <f>$X$135</f>
        <v>5.0803730281783234E-2</v>
      </c>
      <c r="N7" s="604">
        <v>5</v>
      </c>
      <c r="O7" s="610">
        <f t="shared" ref="O7:X7" si="0">VLOOKUP(VLOOKUP($E7,$S$136:$T$140,2,0),$AH$7:$AR$13,MATCH(VALUE(RIGHT(O$5,4)),$AH$5:$AR$5,0),0)</f>
        <v>22.071999999999999</v>
      </c>
      <c r="P7" s="610">
        <f t="shared" si="0"/>
        <v>36.383000000000003</v>
      </c>
      <c r="Q7" s="610">
        <f t="shared" si="0"/>
        <v>41.295999999999999</v>
      </c>
      <c r="R7" s="610">
        <f t="shared" si="0"/>
        <v>27.974</v>
      </c>
      <c r="S7" s="610">
        <f>VLOOKUP(VLOOKUP($E7,$S$136:$T$140,2,0),$AH$7:$AR$13,MATCH(VALUE(RIGHT(S$5,4)),$AH$5:$AR$5,0),0)</f>
        <v>15.571</v>
      </c>
      <c r="T7" s="610">
        <f t="shared" si="0"/>
        <v>6.6050000000000004</v>
      </c>
      <c r="U7" s="610">
        <f t="shared" si="0"/>
        <v>1.8939999999999999</v>
      </c>
      <c r="V7" s="610">
        <f t="shared" si="0"/>
        <v>0.317</v>
      </c>
      <c r="W7" s="610">
        <f t="shared" si="0"/>
        <v>2.5999999999999999E-2</v>
      </c>
      <c r="X7" s="610">
        <f t="shared" si="0"/>
        <v>1E-3</v>
      </c>
      <c r="Y7" s="765">
        <v>3.5E-4</v>
      </c>
      <c r="AA7" s="784">
        <f>H7*I7*L7*M7*O7</f>
        <v>41.444240286610686</v>
      </c>
      <c r="AB7" t="str">
        <f>Dem!B5</f>
        <v>TPCAX</v>
      </c>
      <c r="AC7" s="784">
        <f>Dem!E5</f>
        <v>192.6182602936436</v>
      </c>
      <c r="AD7" s="784">
        <f>AA7+AA11+AA15+AA19+AA23+AA27</f>
        <v>194.56389928650867</v>
      </c>
      <c r="AE7" s="250">
        <f>AD7/AC7</f>
        <v>1.0101010101010099</v>
      </c>
      <c r="AF7" s="629"/>
      <c r="AG7" s="3055" t="s">
        <v>601</v>
      </c>
      <c r="AH7" s="611" t="s">
        <v>184</v>
      </c>
      <c r="AI7" s="630">
        <f>ROUND(Cars!BA33*Cars!BH63*Cars!BH48/1000,3)</f>
        <v>126.617</v>
      </c>
      <c r="AJ7" s="630">
        <f>ROUND(Cars!BB33*Cars!BI63*Cars!BI48/1000,3)</f>
        <v>106.63200000000001</v>
      </c>
      <c r="AK7" s="630">
        <f>ROUND(Cars!BH41*Cars!BK63*Cars!BJ48/1000,3)</f>
        <v>95.19</v>
      </c>
      <c r="AL7" s="630">
        <f>ROUND(Cars!BI41*Cars!BL63*Cars!BL48/1000,3)</f>
        <v>64.483999999999995</v>
      </c>
      <c r="AM7" s="630">
        <f>ROUND(Cars!BJ41*Cars!BM63*Cars!BM48/1000,3)</f>
        <v>35.892000000000003</v>
      </c>
      <c r="AN7" s="630">
        <f>ROUND(Cars!BK41*Cars!BN63*Cars!BN48/1000,3)</f>
        <v>15.226000000000001</v>
      </c>
      <c r="AO7" s="630">
        <f>ROUND(Cars!BL41*Cars!BO63*Cars!BO48/1000,3)</f>
        <v>4.367</v>
      </c>
      <c r="AP7" s="630">
        <f>ROUND(Cars!BM41*Cars!BP63*Cars!BP48/1000,3)</f>
        <v>0.73099999999999998</v>
      </c>
      <c r="AQ7" s="630">
        <f>ROUND(Cars!BN41*Cars!BQ63*Cars!BQ48/1000,3)</f>
        <v>6.0999999999999999E-2</v>
      </c>
      <c r="AR7" s="631">
        <f>ROUND(Cars!BO41*Cars!BR63*Cars!BR48/1000,3)</f>
        <v>2E-3</v>
      </c>
      <c r="AS7" s="629"/>
      <c r="AT7" s="696" t="s">
        <v>543</v>
      </c>
      <c r="AU7" s="569"/>
      <c r="AV7" s="569"/>
      <c r="AY7" s="629"/>
      <c r="AZ7" s="620">
        <v>0</v>
      </c>
      <c r="BA7" s="621">
        <f>AVERAGE('SE CarData'!B22:C22)</f>
        <v>227002</v>
      </c>
      <c r="BB7" s="621">
        <f>AVERAGE('SE CarData'!D22:E22)</f>
        <v>215607</v>
      </c>
      <c r="BC7" s="622">
        <f>AVERAGE('SE CarData'!F22:G22)</f>
        <v>216232.5</v>
      </c>
      <c r="BE7" s="629"/>
      <c r="BF7" s="629"/>
      <c r="BG7" s="674">
        <f>AZ7</f>
        <v>0</v>
      </c>
      <c r="BH7" s="675">
        <f t="shared" ref="BH7:BO9" si="1">ROUND(IFERROR($BC7/INDEX($BU$15:$DI$16,2,$AZ7+1)*INDEX($BU$15:$DI$16,2,(BH$6-$BC$6+1+$AZ7)+1),0),0)</f>
        <v>216064</v>
      </c>
      <c r="BI7" s="675">
        <f t="shared" si="1"/>
        <v>207304</v>
      </c>
      <c r="BJ7" s="675">
        <f t="shared" si="1"/>
        <v>171014</v>
      </c>
      <c r="BK7" s="675">
        <f t="shared" si="1"/>
        <v>106177</v>
      </c>
      <c r="BL7" s="675">
        <f t="shared" si="1"/>
        <v>42942</v>
      </c>
      <c r="BM7" s="675">
        <f t="shared" si="1"/>
        <v>9712</v>
      </c>
      <c r="BN7" s="675">
        <f t="shared" si="1"/>
        <v>1047</v>
      </c>
      <c r="BO7" s="676">
        <f t="shared" si="1"/>
        <v>46</v>
      </c>
      <c r="BP7" s="629"/>
      <c r="BQ7" s="629"/>
      <c r="BR7" s="629"/>
      <c r="BS7" s="629"/>
      <c r="BT7" s="468" t="s">
        <v>201</v>
      </c>
      <c r="DK7" s="2476" t="str">
        <f>B7</f>
        <v>SE1</v>
      </c>
      <c r="DL7" s="2477" t="str">
        <f>Commodities!$D$6</f>
        <v>TPCAX</v>
      </c>
      <c r="DM7" s="2485">
        <f>O7*L7*I7*H7</f>
        <v>815.77159898967898</v>
      </c>
      <c r="DN7" s="2485">
        <f>DM7*M7</f>
        <v>41.444240286610686</v>
      </c>
      <c r="DO7" s="2477"/>
      <c r="DP7" s="2486"/>
      <c r="DQ7" s="2493"/>
    </row>
    <row r="8" spans="1:129" ht="14.25" customHeight="1">
      <c r="B8" s="546" t="s">
        <v>601</v>
      </c>
      <c r="F8" t="str">
        <f>Commodities!$D$7</f>
        <v>TPCAS</v>
      </c>
      <c r="G8" s="754" t="s">
        <v>3603</v>
      </c>
      <c r="H8" s="2347"/>
      <c r="I8" s="2470"/>
      <c r="J8" s="1109">
        <f>VLOOKUP(VLOOKUP($E7,$S$136:$T$140,2,0),$AH$130:$AR$134,MATCH(VALUE(RIGHT(J$5,4)),$AH$5:$AR$5,0),0)</f>
        <v>265.20364939139034</v>
      </c>
      <c r="K8" s="1109">
        <f>VLOOKUP(VLOOKUP($E7,$S$136:$T$140,2,0),$AH$130:$AR$134,MATCH(VALUE(RIGHT(K$5,4)),$AH$5:$AR$5,0),0)</f>
        <v>269.79125149994945</v>
      </c>
      <c r="L8" s="765"/>
      <c r="M8" s="12">
        <f>$X$136</f>
        <v>0.25356727683990965</v>
      </c>
      <c r="N8" s="604">
        <v>5</v>
      </c>
      <c r="O8" s="610"/>
      <c r="P8" s="610"/>
      <c r="Q8" s="610"/>
      <c r="R8" s="610"/>
      <c r="S8" s="610"/>
      <c r="T8" s="610"/>
      <c r="U8" s="610"/>
      <c r="V8" s="610"/>
      <c r="W8" s="610"/>
      <c r="X8" s="610"/>
      <c r="Y8" s="765"/>
      <c r="AA8" s="784">
        <f>H7*I7*L7*M8*O7</f>
        <v>206.85298287915171</v>
      </c>
      <c r="AB8" s="754" t="str">
        <f>Dem!B6</f>
        <v>TPCAS</v>
      </c>
      <c r="AC8" s="784">
        <f>Dem!E6</f>
        <v>961.36342150643441</v>
      </c>
      <c r="AD8" s="784">
        <f>AA8+AA12+AA16+AA20+AA24+AA28</f>
        <v>971.07416313781232</v>
      </c>
      <c r="AE8" s="250">
        <f>AD8/AC8</f>
        <v>1.0101010101010099</v>
      </c>
      <c r="AF8" s="629"/>
      <c r="AG8" s="3055"/>
      <c r="AH8" s="612" t="s">
        <v>61</v>
      </c>
      <c r="AI8" s="632">
        <f>ROUND(Cars!BA33*Cars!BH64*Cars!BH48/1000,3)</f>
        <v>22.071999999999999</v>
      </c>
      <c r="AJ8" s="632">
        <f>ROUND(Cars!BB33*Cars!BI64*Cars!BI48/1000,3)</f>
        <v>36.383000000000003</v>
      </c>
      <c r="AK8" s="632">
        <f>ROUND(Cars!BH41*Cars!BK64*Cars!BJ48/1000,3)</f>
        <v>41.295999999999999</v>
      </c>
      <c r="AL8" s="632">
        <f>ROUND(Cars!BI41*Cars!BL64*Cars!BL48/1000,3)</f>
        <v>27.974</v>
      </c>
      <c r="AM8" s="632">
        <f>ROUND(Cars!BJ41*Cars!BM64*Cars!BM48/1000,3)</f>
        <v>15.571</v>
      </c>
      <c r="AN8" s="632">
        <f>ROUND(Cars!BK41*Cars!BN64*Cars!BN48/1000,3)</f>
        <v>6.6050000000000004</v>
      </c>
      <c r="AO8" s="632">
        <f>ROUND(Cars!BL41*Cars!BO64*Cars!BO48/1000,3)</f>
        <v>1.8939999999999999</v>
      </c>
      <c r="AP8" s="632">
        <f>ROUND(Cars!BM41*Cars!BP64*Cars!BP48/1000,3)</f>
        <v>0.317</v>
      </c>
      <c r="AQ8" s="632">
        <f>ROUND(Cars!BN41*Cars!BQ64*Cars!BQ48/1000,3)</f>
        <v>2.5999999999999999E-2</v>
      </c>
      <c r="AR8" s="633">
        <f>ROUND(Cars!BO41*Cars!BR64*Cars!BR48/1000,3)</f>
        <v>1E-3</v>
      </c>
      <c r="AS8" s="629"/>
      <c r="AT8" s="552" t="s">
        <v>61</v>
      </c>
      <c r="AU8" s="552" t="s">
        <v>72</v>
      </c>
      <c r="AV8" s="696"/>
      <c r="AY8" s="629"/>
      <c r="AZ8" s="620">
        <v>1</v>
      </c>
      <c r="BA8" s="621">
        <f>AVERAGE('SE CarData'!B23:C23)</f>
        <v>183689</v>
      </c>
      <c r="BB8" s="621">
        <f>AVERAGE('SE CarData'!D23:E23)</f>
        <v>283858.5</v>
      </c>
      <c r="BC8" s="622">
        <f>AVERAGE('SE CarData'!F23:G23)</f>
        <v>252317</v>
      </c>
      <c r="BD8" s="710"/>
      <c r="BE8" s="629"/>
      <c r="BF8" s="629"/>
      <c r="BG8" s="674">
        <f>AZ8</f>
        <v>1</v>
      </c>
      <c r="BH8" s="675">
        <f t="shared" si="1"/>
        <v>251623</v>
      </c>
      <c r="BI8" s="675">
        <f t="shared" si="1"/>
        <v>236574</v>
      </c>
      <c r="BJ8" s="675">
        <f t="shared" si="1"/>
        <v>186429</v>
      </c>
      <c r="BK8" s="675">
        <f t="shared" si="1"/>
        <v>107505</v>
      </c>
      <c r="BL8" s="675">
        <f t="shared" si="1"/>
        <v>39192</v>
      </c>
      <c r="BM8" s="675">
        <f t="shared" si="1"/>
        <v>7743</v>
      </c>
      <c r="BN8" s="675">
        <f t="shared" si="1"/>
        <v>706</v>
      </c>
      <c r="BO8" s="676">
        <f t="shared" si="1"/>
        <v>25</v>
      </c>
      <c r="BP8" s="629"/>
      <c r="BQ8" s="629"/>
      <c r="BR8" s="629"/>
      <c r="BS8" s="629"/>
      <c r="DK8" s="2479"/>
      <c r="DL8" s="234" t="str">
        <f>Commodities!$D$7</f>
        <v>TPCAS</v>
      </c>
      <c r="DM8" s="1682">
        <f t="shared" ref="DM8:DM38" si="2">O8*L8*I8*H8</f>
        <v>0</v>
      </c>
      <c r="DN8" s="1682">
        <f>DM7*M8</f>
        <v>206.85298287915168</v>
      </c>
      <c r="DO8" s="234"/>
      <c r="DP8" s="605"/>
      <c r="DQ8" s="2494"/>
    </row>
    <row r="9" spans="1:129" ht="14.4">
      <c r="B9" s="546" t="s">
        <v>601</v>
      </c>
      <c r="F9" t="str">
        <f>Commodities!$D$8</f>
        <v>TPCAM</v>
      </c>
      <c r="G9" s="754" t="s">
        <v>3603</v>
      </c>
      <c r="H9" s="2347"/>
      <c r="I9" s="2470"/>
      <c r="J9" s="1109">
        <f>VLOOKUP(VLOOKUP($E7,$S$136:$T$140,2,0),$AH$155:$AR$159,MATCH(VALUE(RIGHT(J$5,4)),$AH$5:$AR$5,0),0)</f>
        <v>344.42032388492248</v>
      </c>
      <c r="K9" s="1109">
        <f>VLOOKUP(VLOOKUP($E7,$S$136:$T$140,2,0),$AH$155:$AR$159,MATCH(VALUE(RIGHT(K$5,4)),$AH$5:$AR$5,0),0)</f>
        <v>350.37824870123302</v>
      </c>
      <c r="L9" s="765"/>
      <c r="M9" s="12">
        <f>$X$137</f>
        <v>0.19568103798130093</v>
      </c>
      <c r="N9" s="604">
        <v>5</v>
      </c>
      <c r="O9" s="610"/>
      <c r="P9" s="610"/>
      <c r="Q9" s="610"/>
      <c r="R9" s="610"/>
      <c r="S9" s="610"/>
      <c r="T9" s="610"/>
      <c r="U9" s="610"/>
      <c r="V9" s="610"/>
      <c r="W9" s="610"/>
      <c r="X9" s="610"/>
      <c r="Y9" s="765"/>
      <c r="Z9" s="765"/>
      <c r="AA9" s="784">
        <f>H7*I7*L7*M9*O7</f>
        <v>159.63103324596597</v>
      </c>
      <c r="AB9" s="754" t="str">
        <f>Dem!B7</f>
        <v>TPCAM</v>
      </c>
      <c r="AC9" s="784">
        <f>Dem!E7</f>
        <v>741.9114019279973</v>
      </c>
      <c r="AD9" s="784">
        <f>AA9+AA13+AA17+AA21+AA25+AA29</f>
        <v>749.40545649292631</v>
      </c>
      <c r="AE9" s="250">
        <f>AD9/AC9</f>
        <v>1.0101010101010097</v>
      </c>
      <c r="AF9" s="629"/>
      <c r="AG9" s="3055"/>
      <c r="AH9" s="612" t="s">
        <v>51</v>
      </c>
      <c r="AI9" s="632">
        <f>ROUND(Cars!BA33*Cars!BH65*Cars!BH48/1000,3)</f>
        <v>0</v>
      </c>
      <c r="AJ9" s="632">
        <f>ROUND(Cars!BB33*Cars!BI65*Cars!BI48/1000,3)</f>
        <v>0</v>
      </c>
      <c r="AK9" s="632">
        <f>ROUND(Cars!BH41*Cars!BK65*Cars!BJ48/1000,3)</f>
        <v>0</v>
      </c>
      <c r="AL9" s="632">
        <f>ROUND(Cars!BI41*Cars!BL65*Cars!BL48/1000,3)</f>
        <v>0</v>
      </c>
      <c r="AM9" s="632">
        <f>ROUND(Cars!BJ41*Cars!BM65*Cars!BM48/1000,3)</f>
        <v>0</v>
      </c>
      <c r="AN9" s="632">
        <f>ROUND(Cars!BK41*Cars!BN65*Cars!BN48/1000,3)</f>
        <v>0</v>
      </c>
      <c r="AO9" s="632">
        <f>ROUND(Cars!BL41*Cars!BO65*Cars!BO48/1000,3)</f>
        <v>0</v>
      </c>
      <c r="AP9" s="632">
        <f>ROUND(Cars!BM41*Cars!BP65*Cars!BP48/1000,3)</f>
        <v>0</v>
      </c>
      <c r="AQ9" s="632">
        <f>ROUND(Cars!BN41*Cars!BQ65*Cars!BQ48/1000,3)</f>
        <v>0</v>
      </c>
      <c r="AR9" s="633">
        <f>ROUND(Cars!BO41*Cars!BR65*Cars!BR48/1000,3)</f>
        <v>0</v>
      </c>
      <c r="AS9" s="629"/>
      <c r="AT9" s="566">
        <v>0.33768792342543202</v>
      </c>
      <c r="AU9" s="566">
        <v>0.02</v>
      </c>
      <c r="AV9" s="546" t="s">
        <v>544</v>
      </c>
      <c r="AY9" s="629"/>
      <c r="AZ9" s="620">
        <v>2</v>
      </c>
      <c r="BA9" s="621">
        <f>AVERAGE('SE CarData'!B24:C24)</f>
        <v>233229</v>
      </c>
      <c r="BB9" s="621">
        <f>AVERAGE('SE CarData'!D24:E24)</f>
        <v>232285.5</v>
      </c>
      <c r="BC9" s="622">
        <f>AVERAGE('SE CarData'!F24:G24)</f>
        <v>273843</v>
      </c>
      <c r="BD9" s="629"/>
      <c r="BE9" s="629"/>
      <c r="BF9" s="629"/>
      <c r="BG9" s="674">
        <f>AZ9</f>
        <v>2</v>
      </c>
      <c r="BH9" s="675">
        <f t="shared" si="1"/>
        <v>272119</v>
      </c>
      <c r="BI9" s="675">
        <f t="shared" si="1"/>
        <v>249502</v>
      </c>
      <c r="BJ9" s="675">
        <f t="shared" si="1"/>
        <v>186802</v>
      </c>
      <c r="BK9" s="675">
        <f t="shared" si="1"/>
        <v>99465</v>
      </c>
      <c r="BL9" s="675">
        <f t="shared" si="1"/>
        <v>32485</v>
      </c>
      <c r="BM9" s="675">
        <f t="shared" si="1"/>
        <v>5570</v>
      </c>
      <c r="BN9" s="675">
        <f t="shared" si="1"/>
        <v>427</v>
      </c>
      <c r="BO9" s="676">
        <f t="shared" si="1"/>
        <v>12</v>
      </c>
      <c r="BP9" s="629"/>
      <c r="BQ9" s="629"/>
      <c r="BR9" s="629"/>
      <c r="BS9" s="629"/>
      <c r="BT9" t="s">
        <v>202</v>
      </c>
      <c r="BU9">
        <v>18.919982929286352</v>
      </c>
      <c r="DK9" s="2479"/>
      <c r="DL9" s="234" t="str">
        <f>Commodities!$D$8</f>
        <v>TPCAM</v>
      </c>
      <c r="DM9" s="1682">
        <f t="shared" si="2"/>
        <v>0</v>
      </c>
      <c r="DN9" s="1682">
        <f>DM7*M9</f>
        <v>159.63103324596597</v>
      </c>
      <c r="DO9" s="234"/>
      <c r="DP9" s="605"/>
      <c r="DQ9" s="2494"/>
      <c r="DR9" s="542"/>
      <c r="DS9" s="542"/>
      <c r="DT9" s="542"/>
      <c r="DU9" s="542"/>
      <c r="DV9" s="542"/>
      <c r="DW9" s="542"/>
      <c r="DX9" s="542"/>
      <c r="DY9" s="542"/>
    </row>
    <row r="10" spans="1:129" s="754" customFormat="1" ht="14.4">
      <c r="A10" s="545"/>
      <c r="B10" s="765" t="s">
        <v>601</v>
      </c>
      <c r="F10" s="754" t="str">
        <f>Commodities!$D$9</f>
        <v>TPCAL</v>
      </c>
      <c r="G10" s="754" t="s">
        <v>3603</v>
      </c>
      <c r="H10" s="2347"/>
      <c r="I10" s="2470"/>
      <c r="J10" s="1109">
        <f>VLOOKUP(VLOOKUP($E7,$S$136:$T$140,2,0),$AH$180:$AR$184,MATCH(VALUE(RIGHT(J$5,4)),$AH$5:$AR$5,0),0)</f>
        <v>382.43630030472383</v>
      </c>
      <c r="K10" s="1109">
        <f>VLOOKUP(VLOOKUP($E7,$S$136:$T$140,2,0),$AH$180:$AR$184,MATCH(VALUE(RIGHT(K$5,4)),$AH$5:$AR$5,0),0)</f>
        <v>389.05184116056722</v>
      </c>
      <c r="L10" s="765"/>
      <c r="M10" s="12">
        <f>$X$138</f>
        <v>0.49994795489700627</v>
      </c>
      <c r="N10" s="604">
        <v>5</v>
      </c>
      <c r="O10" s="610"/>
      <c r="P10" s="610"/>
      <c r="Q10" s="610"/>
      <c r="R10" s="610"/>
      <c r="S10" s="610"/>
      <c r="T10" s="610"/>
      <c r="U10" s="610"/>
      <c r="V10" s="610"/>
      <c r="W10" s="610"/>
      <c r="X10" s="610"/>
      <c r="Y10" s="765"/>
      <c r="Z10" s="765"/>
      <c r="AA10" s="784">
        <f>H7*I7*L7*M10*O7</f>
        <v>407.84334257795075</v>
      </c>
      <c r="AB10" s="754" t="str">
        <f>Dem!B8</f>
        <v>TPCAL</v>
      </c>
      <c r="AC10" s="784">
        <f>Dem!E8</f>
        <v>1895.3650463571753</v>
      </c>
      <c r="AD10" s="784">
        <f>AA10+AA14+AA18+AA22+AA26+AA30</f>
        <v>1914.5101478355305</v>
      </c>
      <c r="AE10" s="250">
        <f>AD10/AC10</f>
        <v>1.0101010101010099</v>
      </c>
      <c r="AF10" s="629"/>
      <c r="AG10" s="3055"/>
      <c r="AH10" s="612"/>
      <c r="AI10" s="632"/>
      <c r="AJ10" s="632"/>
      <c r="AK10" s="632"/>
      <c r="AL10" s="632"/>
      <c r="AM10" s="632"/>
      <c r="AN10" s="632"/>
      <c r="AO10" s="632"/>
      <c r="AP10" s="632"/>
      <c r="AQ10" s="632"/>
      <c r="AR10" s="633"/>
      <c r="AS10" s="629"/>
      <c r="AT10" s="566"/>
      <c r="AU10" s="566"/>
      <c r="AV10" s="765"/>
      <c r="AY10" s="629"/>
      <c r="AZ10" s="620">
        <v>3</v>
      </c>
      <c r="BA10" s="621">
        <f>AVERAGE('SE CarData'!B25:C25)</f>
        <v>284885</v>
      </c>
      <c r="BB10" s="621">
        <f>AVERAGE('SE CarData'!D25:E25)</f>
        <v>205182</v>
      </c>
      <c r="BC10" s="622">
        <f>AVERAGE('SE CarData'!F25:G25)</f>
        <v>282363.5</v>
      </c>
      <c r="BD10" s="629"/>
      <c r="BE10" s="629"/>
      <c r="BF10" s="629"/>
      <c r="BG10" s="674"/>
      <c r="BH10" s="675"/>
      <c r="BI10" s="675"/>
      <c r="BJ10" s="675"/>
      <c r="BK10" s="675"/>
      <c r="BL10" s="675"/>
      <c r="BM10" s="675"/>
      <c r="BN10" s="675"/>
      <c r="BO10" s="676"/>
      <c r="BP10" s="629"/>
      <c r="BQ10" s="629"/>
      <c r="BR10" s="629"/>
      <c r="BS10" s="629"/>
      <c r="DK10" s="2479"/>
      <c r="DL10" s="234" t="str">
        <f>Commodities!$D$9</f>
        <v>TPCAL</v>
      </c>
      <c r="DM10" s="1682">
        <f t="shared" si="2"/>
        <v>0</v>
      </c>
      <c r="DN10" s="1682">
        <f>DM7*M10</f>
        <v>407.84334257795069</v>
      </c>
      <c r="DO10" s="234"/>
      <c r="DP10" s="605"/>
      <c r="DQ10" s="2494"/>
    </row>
    <row r="11" spans="1:129">
      <c r="B11" s="765" t="s">
        <v>601</v>
      </c>
      <c r="C11" t="str">
        <f>Processes!$D$7</f>
        <v>TPCAGSBL1E</v>
      </c>
      <c r="D11" t="str">
        <f>Processes!$E$7</f>
        <v>Transport Passengers Cars - Otto Engine - Blending 1 - Average size - Existing</v>
      </c>
      <c r="E11" t="str">
        <f>Commodities!D85</f>
        <v>TRAGSBL1</v>
      </c>
      <c r="F11" s="754" t="str">
        <f>Commodities!$D$6</f>
        <v>TPCAX</v>
      </c>
      <c r="G11" s="754" t="s">
        <v>3603</v>
      </c>
      <c r="H11" s="610">
        <v>1E-3</v>
      </c>
      <c r="I11" s="2471">
        <f>VLOOKUP(VLOOKUP($E11,$S$136:$T$140,2,0),$AH$40:$AR$45,MATCH(VALUE(RIGHT(I$5,4)),$AH$5:$AR$5,0),0)</f>
        <v>1.7189998335071497</v>
      </c>
      <c r="J11" s="1109">
        <f>VLOOKUP(VLOOKUP($E11,$S$136:$T$140,2,0),$AH$105:$AR$110,MATCH(VALUE(RIGHT(J$5,4)),$AH$5:$AR$5,0),0)</f>
        <v>211.5191783490703</v>
      </c>
      <c r="K11" s="1109">
        <f>VLOOKUP(VLOOKUP($E11,$S$136:$T$140,2,0),$AH$105:$AR$110,MATCH(VALUE(RIGHT(K$5,4)),$AH$5:$AR$5,0),0)</f>
        <v>216.72334595739218</v>
      </c>
      <c r="L11" s="1109">
        <f>VLOOKUP(VLOOKUP($E11,$S$136:$T$140,2,0),$AH$73:$AR$79,MATCH(VALUE(RIGHT(L$5,4)),$AH$5:$AR$5,0),0)</f>
        <v>12887.692725004867</v>
      </c>
      <c r="M11" s="12">
        <f>$X$135</f>
        <v>5.0803730281783234E-2</v>
      </c>
      <c r="N11" s="604">
        <v>5</v>
      </c>
      <c r="O11" s="610">
        <f t="shared" ref="O11:X11" si="3">VLOOKUP(VLOOKUP($E11,$S$136:$T$140,2,0),$AH$7:$AR$12,MATCH(VALUE(RIGHT(O$5,4)),$AH$5:$AR$5,0),0)</f>
        <v>126.617</v>
      </c>
      <c r="P11" s="610">
        <f t="shared" si="3"/>
        <v>106.63200000000001</v>
      </c>
      <c r="Q11" s="610">
        <f t="shared" si="3"/>
        <v>95.19</v>
      </c>
      <c r="R11" s="610">
        <f t="shared" si="3"/>
        <v>64.483999999999995</v>
      </c>
      <c r="S11" s="610">
        <f t="shared" si="3"/>
        <v>35.892000000000003</v>
      </c>
      <c r="T11" s="610">
        <f t="shared" si="3"/>
        <v>15.226000000000001</v>
      </c>
      <c r="U11" s="610">
        <f t="shared" si="3"/>
        <v>4.367</v>
      </c>
      <c r="V11" s="610">
        <f t="shared" si="3"/>
        <v>0.73099999999999998</v>
      </c>
      <c r="W11" s="610">
        <f t="shared" si="3"/>
        <v>6.0999999999999999E-2</v>
      </c>
      <c r="X11" s="610">
        <f t="shared" si="3"/>
        <v>2E-3</v>
      </c>
      <c r="Y11" s="765">
        <v>3.5E-4</v>
      </c>
      <c r="Z11" s="765"/>
      <c r="AA11" s="784">
        <f>H11*I11*L11*M11*O11</f>
        <v>142.50779767487231</v>
      </c>
      <c r="AB11" s="784"/>
      <c r="AC11" s="784"/>
      <c r="AD11" s="784"/>
      <c r="AE11" s="784"/>
      <c r="AF11" s="629"/>
      <c r="AG11" s="3055"/>
      <c r="AH11" s="612" t="s">
        <v>577</v>
      </c>
      <c r="AI11" s="632">
        <f>ROUND(Cars!BA33*Cars!BH67*Cars!BH48/1000,3)</f>
        <v>0.90900000000000003</v>
      </c>
      <c r="AJ11" s="632">
        <f>ROUND(Cars!BB33*Cars!BI67*Cars!BI48/1000,3)</f>
        <v>1.272</v>
      </c>
      <c r="AK11" s="632">
        <f>ROUND(Cars!BH41*Cars!BK67*Cars!BJ48/1000,3)</f>
        <v>1.3120000000000001</v>
      </c>
      <c r="AL11" s="632">
        <f>ROUND(Cars!BI41*Cars!BL67*Cars!BL48/1000,3)</f>
        <v>0.88900000000000001</v>
      </c>
      <c r="AM11" s="632">
        <f>ROUND(Cars!BJ41*Cars!BM67*Cars!BM48/1000,3)</f>
        <v>0.495</v>
      </c>
      <c r="AN11" s="632">
        <f>ROUND(Cars!BK41*Cars!BN67*Cars!BN48/1000,3)</f>
        <v>0.21</v>
      </c>
      <c r="AO11" s="632">
        <f>ROUND(Cars!BL41*Cars!BO67*Cars!BO48/1000,3)</f>
        <v>0.06</v>
      </c>
      <c r="AP11" s="632">
        <f>ROUND(Cars!BM41*Cars!BP67*Cars!BP48/1000,3)</f>
        <v>0.01</v>
      </c>
      <c r="AQ11" s="632">
        <f>ROUND(Cars!BN41*Cars!BQ67*Cars!BQ48/1000,3)</f>
        <v>1E-3</v>
      </c>
      <c r="AR11" s="633">
        <f>ROUND(Cars!BO41*Cars!BR67*Cars!BR48/1000,3)</f>
        <v>0</v>
      </c>
      <c r="AS11" s="629"/>
      <c r="AY11" s="629"/>
      <c r="AZ11" s="620">
        <v>4</v>
      </c>
      <c r="BA11" s="621">
        <f>AVERAGE('SE CarData'!B26:C26)</f>
        <v>265181</v>
      </c>
      <c r="BB11" s="621">
        <f>AVERAGE('SE CarData'!D26:E26)</f>
        <v>258449</v>
      </c>
      <c r="BC11" s="622">
        <f>AVERAGE('SE CarData'!F26:G26)</f>
        <v>232329</v>
      </c>
      <c r="BD11" s="629"/>
      <c r="BE11" s="629"/>
      <c r="BF11" s="629"/>
      <c r="BG11" s="674">
        <f>AZ10</f>
        <v>3</v>
      </c>
      <c r="BH11" s="675">
        <f t="shared" ref="BH11:BO13" si="4">ROUND(IFERROR($BC10/INDEX($BU$15:$DI$16,2,$AZ10+1)*INDEX($BU$15:$DI$16,2,(BH$6-$BC$6+1+$AZ10)+1),0),0)</f>
        <v>279106</v>
      </c>
      <c r="BI11" s="675">
        <f t="shared" si="4"/>
        <v>248328</v>
      </c>
      <c r="BJ11" s="675">
        <f t="shared" si="4"/>
        <v>175665</v>
      </c>
      <c r="BK11" s="675">
        <f t="shared" si="4"/>
        <v>85857</v>
      </c>
      <c r="BL11" s="675">
        <f t="shared" si="4"/>
        <v>24964</v>
      </c>
      <c r="BM11" s="675">
        <f t="shared" si="4"/>
        <v>3692</v>
      </c>
      <c r="BN11" s="675">
        <f t="shared" si="4"/>
        <v>236</v>
      </c>
      <c r="BO11" s="676">
        <f t="shared" si="4"/>
        <v>6</v>
      </c>
      <c r="BP11" s="629"/>
      <c r="BQ11" s="629"/>
      <c r="BR11" s="629"/>
      <c r="BS11" s="629"/>
      <c r="BT11" t="s">
        <v>203</v>
      </c>
      <c r="BU11">
        <v>3.1842475178763525</v>
      </c>
      <c r="DK11" s="2479"/>
      <c r="DL11" s="234" t="str">
        <f>Commodities!$D$6</f>
        <v>TPCAX</v>
      </c>
      <c r="DM11" s="1682">
        <f t="shared" si="2"/>
        <v>2805.0656297175792</v>
      </c>
      <c r="DN11" s="1682">
        <f>$DM$11*M11</f>
        <v>142.50779767487234</v>
      </c>
      <c r="DO11" s="234"/>
      <c r="DP11" s="605"/>
      <c r="DQ11" s="2494"/>
    </row>
    <row r="12" spans="1:129">
      <c r="B12" s="765" t="s">
        <v>601</v>
      </c>
      <c r="F12" s="754" t="str">
        <f>Commodities!$D$7</f>
        <v>TPCAS</v>
      </c>
      <c r="G12" s="754" t="s">
        <v>3603</v>
      </c>
      <c r="H12" s="2347"/>
      <c r="I12" s="2470"/>
      <c r="J12" s="1109">
        <f>VLOOKUP(VLOOKUP($E11,$S$136:$T$140,2,0),$AH$130:$AR$134,MATCH(VALUE(RIGHT(J$5,4)),$AH$5:$AR$5,0),0)</f>
        <v>266.99961857177726</v>
      </c>
      <c r="K12" s="1109">
        <f>VLOOKUP(VLOOKUP($E11,$S$136:$T$140,2,0),$AH$130:$AR$134,MATCH(VALUE(RIGHT(K$5,4)),$AH$5:$AR$5,0),0)</f>
        <v>273.56881374949506</v>
      </c>
      <c r="L12" s="765"/>
      <c r="M12" s="12">
        <f>$X$136</f>
        <v>0.25356727683990965</v>
      </c>
      <c r="N12" s="604">
        <v>5</v>
      </c>
      <c r="O12" s="610"/>
      <c r="P12" s="610"/>
      <c r="Q12" s="610"/>
      <c r="R12" s="610"/>
      <c r="S12" s="610"/>
      <c r="T12" s="610"/>
      <c r="U12" s="610"/>
      <c r="V12" s="610"/>
      <c r="W12" s="610"/>
      <c r="X12" s="610"/>
      <c r="Y12" s="765"/>
      <c r="Z12" s="765"/>
      <c r="AA12" s="784">
        <f>H11*I11*L11*M12*O11</f>
        <v>711.27285308471278</v>
      </c>
      <c r="AB12" s="784"/>
      <c r="AC12" s="784"/>
      <c r="AD12" s="784"/>
      <c r="AE12" s="784"/>
      <c r="AF12" s="629"/>
      <c r="AG12" s="3055"/>
      <c r="AH12" s="697" t="s">
        <v>49</v>
      </c>
      <c r="AI12" s="727">
        <f>ROUND(Cars!BA33*Cars!BH68*Cars!BH48/1000,3)</f>
        <v>7.0000000000000001E-3</v>
      </c>
      <c r="AJ12" s="632">
        <f>ROUND(Cars!BB33*Cars!BI68*Cars!BI48/1000,3)</f>
        <v>1.056</v>
      </c>
      <c r="AK12" s="632">
        <f>ROUND(Cars!BH41*Cars!BK68*Cars!BJ48/1000,3)</f>
        <v>1.5740000000000001</v>
      </c>
      <c r="AL12" s="632">
        <f>ROUND(Cars!BI41*Cars!BL68*Cars!BL48/1000,3)</f>
        <v>1.0660000000000001</v>
      </c>
      <c r="AM12" s="632">
        <f>ROUND(Cars!BJ41*Cars!BM68*Cars!BM48/1000,3)</f>
        <v>0.59299999999999997</v>
      </c>
      <c r="AN12" s="632">
        <f>ROUND(Cars!BK41*Cars!BN68*Cars!BN48/1000,3)</f>
        <v>0.252</v>
      </c>
      <c r="AO12" s="632">
        <f>ROUND(Cars!BL41*Cars!BO68*Cars!BO48/1000,3)</f>
        <v>7.1999999999999995E-2</v>
      </c>
      <c r="AP12" s="632">
        <f>ROUND(Cars!BM41*Cars!BP68*Cars!BP48/1000,3)</f>
        <v>1.2E-2</v>
      </c>
      <c r="AQ12" s="632">
        <f>ROUND(Cars!BN41*Cars!BQ68*Cars!BQ48/1000,3)</f>
        <v>1E-3</v>
      </c>
      <c r="AR12" s="633">
        <f>ROUND(Cars!BO41*Cars!BR68*Cars!BR48/1000,3)</f>
        <v>0</v>
      </c>
      <c r="AS12" s="629"/>
      <c r="AT12" s="568" t="s">
        <v>560</v>
      </c>
      <c r="AY12" s="629"/>
      <c r="AZ12" s="620">
        <v>5</v>
      </c>
      <c r="BA12" s="621">
        <f>AVERAGE('SE CarData'!B27:C27)</f>
        <v>262445</v>
      </c>
      <c r="BB12" s="621">
        <f>AVERAGE('SE CarData'!D27:E27)</f>
        <v>274992</v>
      </c>
      <c r="BC12" s="622">
        <f>AVERAGE('SE CarData'!F27:G27)</f>
        <v>208858</v>
      </c>
      <c r="BD12" s="629"/>
      <c r="BE12" s="629"/>
      <c r="BF12" s="629"/>
      <c r="BG12" s="674">
        <f>AZ11</f>
        <v>4</v>
      </c>
      <c r="BH12" s="675">
        <f t="shared" si="4"/>
        <v>228022</v>
      </c>
      <c r="BI12" s="675">
        <f t="shared" si="4"/>
        <v>195863</v>
      </c>
      <c r="BJ12" s="675">
        <f t="shared" si="4"/>
        <v>130173</v>
      </c>
      <c r="BK12" s="675">
        <f t="shared" si="4"/>
        <v>58051</v>
      </c>
      <c r="BL12" s="675">
        <f t="shared" si="4"/>
        <v>14933</v>
      </c>
      <c r="BM12" s="675">
        <f t="shared" si="4"/>
        <v>1892</v>
      </c>
      <c r="BN12" s="675">
        <f t="shared" si="4"/>
        <v>100</v>
      </c>
      <c r="BO12" s="676">
        <f t="shared" si="4"/>
        <v>0</v>
      </c>
      <c r="BP12" s="629"/>
      <c r="BQ12" s="629"/>
      <c r="BR12" s="629"/>
      <c r="BS12" s="629"/>
      <c r="BT12" t="s">
        <v>204</v>
      </c>
      <c r="BU12">
        <v>0</v>
      </c>
      <c r="DK12" s="2479"/>
      <c r="DL12" s="234" t="str">
        <f>Commodities!$D$7</f>
        <v>TPCAS</v>
      </c>
      <c r="DM12" s="1682">
        <f t="shared" si="2"/>
        <v>0</v>
      </c>
      <c r="DN12" s="1682">
        <f>$DM$11*M12</f>
        <v>711.27285308471289</v>
      </c>
      <c r="DO12" s="234"/>
      <c r="DP12" s="605"/>
      <c r="DQ12" s="2494"/>
    </row>
    <row r="13" spans="1:129" ht="14.4">
      <c r="B13" s="765" t="s">
        <v>601</v>
      </c>
      <c r="F13" s="754" t="str">
        <f>Commodities!$D$8</f>
        <v>TPCAM</v>
      </c>
      <c r="G13" s="754" t="s">
        <v>3603</v>
      </c>
      <c r="H13" s="2347"/>
      <c r="I13" s="2470"/>
      <c r="J13" s="1109">
        <f>VLOOKUP(VLOOKUP($E11,$S$136:$T$140,2,0),$AH$155:$AR$159,MATCH(VALUE(RIGHT(J$5,4)),$AH$5:$AR$5,0),0)</f>
        <v>346.75275139191854</v>
      </c>
      <c r="K13" s="1109">
        <f>VLOOKUP(VLOOKUP($E11,$S$136:$T$140,2,0),$AH$155:$AR$159,MATCH(VALUE(RIGHT(K$5,4)),$AH$5:$AR$5,0),0)</f>
        <v>355.28417370064295</v>
      </c>
      <c r="L13" s="765"/>
      <c r="M13" s="12">
        <f>$X$137</f>
        <v>0.19568103798130093</v>
      </c>
      <c r="N13" s="604">
        <v>5</v>
      </c>
      <c r="O13" s="610"/>
      <c r="P13" s="610"/>
      <c r="Q13" s="610"/>
      <c r="R13" s="610"/>
      <c r="S13" s="610"/>
      <c r="T13" s="610"/>
      <c r="U13" s="610"/>
      <c r="V13" s="610"/>
      <c r="W13" s="610"/>
      <c r="X13" s="610"/>
      <c r="Y13" s="765"/>
      <c r="Z13" s="765"/>
      <c r="AA13" s="784">
        <f>H11*I11*L11*M13*O11</f>
        <v>548.89815402880731</v>
      </c>
      <c r="AB13" s="784"/>
      <c r="AC13" s="784"/>
      <c r="AD13" s="784"/>
      <c r="AE13" s="784"/>
      <c r="AF13" s="629"/>
      <c r="AG13" s="461"/>
      <c r="AH13" s="613" t="s">
        <v>607</v>
      </c>
      <c r="AI13" s="634">
        <f>ROUND(Cars!BA33*Cars!BH71*Cars!BH48/1000,3)</f>
        <v>8.1440000000000001</v>
      </c>
      <c r="AJ13" s="634">
        <f>ROUND(Cars!BB33*Cars!BI71*Cars!BI48/1000,3)</f>
        <v>7.7919999999999998</v>
      </c>
      <c r="AK13" s="634">
        <f>ROUND(Cars!BC33*Cars!BK71*Cars!BJ48/1000,3)</f>
        <v>8.0939999999999994</v>
      </c>
      <c r="AL13" s="634">
        <f>ROUND(Cars!BI41*Cars!BL71*Cars!BL48/1000,3)</f>
        <v>4.9139999999999997</v>
      </c>
      <c r="AM13" s="634">
        <f>ROUND(Cars!BJ41*Cars!BM71*Cars!BM48/1000,3)</f>
        <v>2.7349999999999999</v>
      </c>
      <c r="AN13" s="634">
        <f>ROUND(Cars!BK41*Cars!BN71*Cars!BN48/1000,3)</f>
        <v>1.1599999999999999</v>
      </c>
      <c r="AO13" s="634">
        <f>ROUND(Cars!BL41*Cars!BO71*Cars!BO48/1000,3)</f>
        <v>0.33300000000000002</v>
      </c>
      <c r="AP13" s="634">
        <f>ROUND(Cars!BM41*Cars!BP71*Cars!BP48/1000,3)</f>
        <v>5.6000000000000001E-2</v>
      </c>
      <c r="AQ13" s="634">
        <f>ROUND(Cars!BN41*Cars!BQ71*Cars!BQ48/1000,3)</f>
        <v>5.0000000000000001E-3</v>
      </c>
      <c r="AR13" s="635">
        <f>ROUND(Cars!BO41*Cars!BR71*Cars!BR48/1000,3)</f>
        <v>0</v>
      </c>
      <c r="AS13" s="629"/>
      <c r="AT13" s="553">
        <v>0.7</v>
      </c>
      <c r="AV13" s="546" t="s">
        <v>549</v>
      </c>
      <c r="AY13" s="629"/>
      <c r="AZ13" s="620">
        <v>6</v>
      </c>
      <c r="BA13" s="621">
        <f>AVERAGE('SE CarData'!B28:C28)</f>
        <v>248016</v>
      </c>
      <c r="BB13" s="621">
        <f>AVERAGE('SE CarData'!D28:E28)</f>
        <v>261522.5</v>
      </c>
      <c r="BC13" s="622">
        <f>AVERAGE('SE CarData'!F28:G28)</f>
        <v>258594.5</v>
      </c>
      <c r="BD13" s="629"/>
      <c r="BE13" s="629"/>
      <c r="BF13" s="629"/>
      <c r="BG13" s="674">
        <f>AZ12</f>
        <v>5</v>
      </c>
      <c r="BH13" s="675">
        <f t="shared" si="4"/>
        <v>203147</v>
      </c>
      <c r="BI13" s="675">
        <f t="shared" si="4"/>
        <v>167584</v>
      </c>
      <c r="BJ13" s="675">
        <f t="shared" si="4"/>
        <v>104048</v>
      </c>
      <c r="BK13" s="675">
        <f t="shared" si="4"/>
        <v>42081</v>
      </c>
      <c r="BL13" s="675">
        <f t="shared" si="4"/>
        <v>9517</v>
      </c>
      <c r="BM13" s="675">
        <f t="shared" si="4"/>
        <v>1026</v>
      </c>
      <c r="BN13" s="675">
        <f t="shared" si="4"/>
        <v>45</v>
      </c>
      <c r="BO13" s="676">
        <f t="shared" si="4"/>
        <v>0</v>
      </c>
      <c r="BP13" s="629"/>
      <c r="BQ13" s="629"/>
      <c r="BR13" s="629"/>
      <c r="BS13" s="629"/>
      <c r="DK13" s="2479"/>
      <c r="DL13" s="234" t="str">
        <f>Commodities!$D$8</f>
        <v>TPCAM</v>
      </c>
      <c r="DM13" s="1682">
        <f t="shared" si="2"/>
        <v>0</v>
      </c>
      <c r="DN13" s="1682">
        <f>$DM$11*M13</f>
        <v>548.89815402880743</v>
      </c>
      <c r="DO13" s="234"/>
      <c r="DP13" s="605"/>
      <c r="DQ13" s="2494"/>
    </row>
    <row r="14" spans="1:129" s="754" customFormat="1" ht="14.4">
      <c r="A14" s="545"/>
      <c r="B14" s="765" t="s">
        <v>601</v>
      </c>
      <c r="F14" s="754" t="str">
        <f>Commodities!$D$9</f>
        <v>TPCAL</v>
      </c>
      <c r="G14" s="754" t="s">
        <v>3603</v>
      </c>
      <c r="H14" s="2347"/>
      <c r="I14" s="2470"/>
      <c r="J14" s="1109">
        <f>VLOOKUP(VLOOKUP($E11,$S$136:$T$140,2,0),$AH$180:$AR$184,MATCH(VALUE(RIGHT(J$5,4)),$AH$5:$AR$5,0),0)</f>
        <v>385.02617344706078</v>
      </c>
      <c r="K14" s="1109">
        <f>VLOOKUP(VLOOKUP($E11,$S$136:$T$140,2,0),$AH$180:$AR$184,MATCH(VALUE(RIGHT(K$5,4)),$AH$5:$AR$5,0),0)</f>
        <v>394.499265938478</v>
      </c>
      <c r="L14" s="765"/>
      <c r="M14" s="12">
        <f>$X$138</f>
        <v>0.49994795489700627</v>
      </c>
      <c r="N14" s="604">
        <v>5</v>
      </c>
      <c r="O14" s="610"/>
      <c r="P14" s="610"/>
      <c r="Q14" s="610"/>
      <c r="R14" s="610"/>
      <c r="S14" s="610"/>
      <c r="T14" s="610"/>
      <c r="U14" s="610"/>
      <c r="V14" s="610"/>
      <c r="W14" s="610"/>
      <c r="X14" s="610"/>
      <c r="Y14" s="765"/>
      <c r="Z14" s="765"/>
      <c r="AA14" s="784">
        <f>H11*I11*L11*M14*O11</f>
        <v>1402.3868249291866</v>
      </c>
      <c r="AB14" s="784"/>
      <c r="AC14" s="784"/>
      <c r="AD14" s="784"/>
      <c r="AE14" s="784"/>
      <c r="AF14" s="629"/>
      <c r="AG14" s="22"/>
      <c r="AH14" s="612"/>
      <c r="AI14" s="632"/>
      <c r="AJ14" s="632"/>
      <c r="AK14" s="632"/>
      <c r="AL14" s="632"/>
      <c r="AM14" s="632"/>
      <c r="AN14" s="632"/>
      <c r="AO14" s="632"/>
      <c r="AP14" s="632"/>
      <c r="AQ14" s="632"/>
      <c r="AR14" s="633"/>
      <c r="AS14" s="629"/>
      <c r="AT14" s="553"/>
      <c r="AV14" s="765"/>
      <c r="AY14" s="629"/>
      <c r="AZ14" s="620">
        <v>7</v>
      </c>
      <c r="BA14" s="621">
        <f>AVERAGE('SE CarData'!B29:C29)</f>
        <v>245626</v>
      </c>
      <c r="BB14" s="621">
        <f>AVERAGE('SE CarData'!D29:E29)</f>
        <v>251614</v>
      </c>
      <c r="BC14" s="622">
        <f>AVERAGE('SE CarData'!F29:G29)</f>
        <v>272569.5</v>
      </c>
      <c r="BD14" s="629"/>
      <c r="BE14" s="629"/>
      <c r="BF14" s="629"/>
      <c r="BG14" s="674"/>
      <c r="BH14" s="675"/>
      <c r="BI14" s="675"/>
      <c r="BJ14" s="675"/>
      <c r="BK14" s="675"/>
      <c r="BL14" s="675"/>
      <c r="BM14" s="675"/>
      <c r="BN14" s="675"/>
      <c r="BO14" s="676"/>
      <c r="BP14" s="629"/>
      <c r="BQ14" s="629"/>
      <c r="BR14" s="629"/>
      <c r="BS14" s="629"/>
      <c r="BU14" s="2004"/>
      <c r="BV14" s="2004"/>
      <c r="BW14" s="2004"/>
      <c r="BX14" s="2004"/>
      <c r="BY14" s="2004"/>
      <c r="BZ14" s="2004"/>
      <c r="CA14" s="2004"/>
      <c r="CB14" s="2004"/>
      <c r="CC14" s="2004"/>
      <c r="CD14" s="2004"/>
      <c r="CE14" s="2004"/>
      <c r="CF14" s="2004"/>
      <c r="CG14" s="2004"/>
      <c r="CH14" s="2004"/>
      <c r="CI14" s="2004"/>
      <c r="CJ14" s="2004"/>
      <c r="CK14" s="2004"/>
      <c r="CL14" s="2004"/>
      <c r="CM14" s="2004"/>
      <c r="CN14" s="2004"/>
      <c r="CO14" s="2004"/>
      <c r="CP14" s="2004"/>
      <c r="CQ14" s="2004"/>
      <c r="CR14" s="2004"/>
      <c r="CS14" s="2004"/>
      <c r="CT14" s="2004"/>
      <c r="CU14" s="2004"/>
      <c r="CV14" s="2004"/>
      <c r="CW14" s="2004"/>
      <c r="CX14" s="2004"/>
      <c r="CY14" s="2004"/>
      <c r="CZ14" s="2004"/>
      <c r="DA14" s="2004"/>
      <c r="DB14" s="2004"/>
      <c r="DC14" s="2004"/>
      <c r="DD14" s="2004"/>
      <c r="DE14" s="2004"/>
      <c r="DF14" s="2004"/>
      <c r="DG14" s="2004"/>
      <c r="DH14" s="2004"/>
      <c r="DI14" s="2004"/>
      <c r="DK14" s="2479"/>
      <c r="DL14" s="234" t="str">
        <f>Commodities!$D$9</f>
        <v>TPCAL</v>
      </c>
      <c r="DM14" s="1682">
        <f t="shared" si="2"/>
        <v>0</v>
      </c>
      <c r="DN14" s="1682">
        <f>$DM$11*M14</f>
        <v>1402.3868249291868</v>
      </c>
      <c r="DO14" s="234"/>
      <c r="DP14" s="605"/>
      <c r="DQ14" s="2494"/>
    </row>
    <row r="15" spans="1:129">
      <c r="B15" s="765" t="s">
        <v>601</v>
      </c>
      <c r="C15" t="str">
        <f>Processes!$D$8</f>
        <v>TPCALPGX1E</v>
      </c>
      <c r="D15" t="str">
        <f>Processes!$E$8</f>
        <v>Transport Passengers Cars - LPG - Average size - Existing</v>
      </c>
      <c r="E15" t="str">
        <f>Commodities!$D$56</f>
        <v>TRALPG</v>
      </c>
      <c r="F15" s="754" t="str">
        <f>Commodities!$D$6</f>
        <v>TPCAX</v>
      </c>
      <c r="G15" s="754" t="s">
        <v>3603</v>
      </c>
      <c r="H15" s="610">
        <v>1E-3</v>
      </c>
      <c r="I15" s="2471">
        <f>VLOOKUP(VLOOKUP($E15,$S$136:$T$140,2,0),$AH$40:$AR$45,MATCH(VALUE(RIGHT(I$5,4)),$AH$5:$AR$5,0),0)</f>
        <v>1.7189998335071497</v>
      </c>
      <c r="J15" s="1109">
        <f>VLOOKUP(VLOOKUP($E15,$S$136:$T$140,2,0),$AH$105:$AR$110,MATCH(VALUE(RIGHT(J$5,4)),$AH$5:$AR$5,0),0)</f>
        <v>211.5191783490703</v>
      </c>
      <c r="K15" s="1109">
        <f>VLOOKUP(VLOOKUP($E15,$S$136:$T$140,2,0),$AH$105:$AR$110,MATCH(VALUE(RIGHT(K$5,4)),$AH$5:$AR$5,0),0)</f>
        <v>216.72334595739218</v>
      </c>
      <c r="L15" s="1109">
        <f>VLOOKUP(VLOOKUP($E15,$S$136:$T$140,2,0),$AH$73:$AR$79,MATCH(VALUE(RIGHT(L$5,4)),$AH$5:$AR$5,0),0)</f>
        <v>18000</v>
      </c>
      <c r="M15" s="12">
        <f>$X$135</f>
        <v>5.0803730281783234E-2</v>
      </c>
      <c r="N15" s="604">
        <v>5</v>
      </c>
      <c r="O15" s="610">
        <f t="shared" ref="O15:X15" si="5">VLOOKUP(VLOOKUP($E15,$S$136:$T$140,2,0),$AH$7:$AR$12,MATCH(VALUE(RIGHT(O$5,4)),$AH$5:$AR$5,0),0)</f>
        <v>0</v>
      </c>
      <c r="P15" s="610">
        <f t="shared" si="5"/>
        <v>0</v>
      </c>
      <c r="Q15" s="610">
        <f t="shared" si="5"/>
        <v>0</v>
      </c>
      <c r="R15" s="610">
        <f t="shared" si="5"/>
        <v>0</v>
      </c>
      <c r="S15" s="610">
        <f t="shared" si="5"/>
        <v>0</v>
      </c>
      <c r="T15" s="610">
        <f t="shared" si="5"/>
        <v>0</v>
      </c>
      <c r="U15" s="610">
        <f t="shared" si="5"/>
        <v>0</v>
      </c>
      <c r="V15" s="610">
        <f t="shared" si="5"/>
        <v>0</v>
      </c>
      <c r="W15" s="610">
        <f t="shared" si="5"/>
        <v>0</v>
      </c>
      <c r="X15" s="610">
        <f t="shared" si="5"/>
        <v>0</v>
      </c>
      <c r="Y15" s="765">
        <v>3.5E-4</v>
      </c>
      <c r="Z15" s="765"/>
      <c r="AA15" s="784">
        <f>H15*I15*L15*M15*O15</f>
        <v>0</v>
      </c>
      <c r="AB15" s="784"/>
      <c r="AC15" s="784"/>
      <c r="AD15" s="784"/>
      <c r="AE15" s="784"/>
      <c r="AF15" s="629"/>
      <c r="AG15" s="3054" t="s">
        <v>602</v>
      </c>
      <c r="AH15" s="611" t="s">
        <v>184</v>
      </c>
      <c r="AI15" s="630">
        <f>ROUND(Cars!BA33*Cars!BH63*Cars!BH49/1000,3)</f>
        <v>301.779</v>
      </c>
      <c r="AJ15" s="630">
        <f>ROUND(Cars!BB33*Cars!BI63*Cars!BI49/1000,3)</f>
        <v>252.09700000000001</v>
      </c>
      <c r="AK15" s="630">
        <f>ROUND(Cars!BH41*Cars!BK63*Cars!BJ49/1000,3)</f>
        <v>225.60900000000001</v>
      </c>
      <c r="AL15" s="630">
        <f>ROUND(Cars!BI41*Cars!BL63*Cars!BL49/1000,3)</f>
        <v>152.83199999999999</v>
      </c>
      <c r="AM15" s="630">
        <f>ROUND(Cars!BJ41*Cars!BM63*Cars!BM49/1000,3)</f>
        <v>85.067999999999998</v>
      </c>
      <c r="AN15" s="630">
        <f>ROUND(Cars!BK41*Cars!BN63*Cars!BN49/1000,3)</f>
        <v>36.087000000000003</v>
      </c>
      <c r="AO15" s="630">
        <f>ROUND(Cars!BL41*Cars!BO63*Cars!BO49/1000,3)</f>
        <v>10.349</v>
      </c>
      <c r="AP15" s="630">
        <f>ROUND(Cars!BM41*Cars!BP63*Cars!BP49/1000,3)</f>
        <v>1.734</v>
      </c>
      <c r="AQ15" s="630">
        <f>ROUND(Cars!BN41*Cars!BQ63*Cars!BQ49/1000,3)</f>
        <v>0.14399999999999999</v>
      </c>
      <c r="AR15" s="631">
        <f>ROUND(Cars!BO41*Cars!BR63*Cars!BR49/1000,3)</f>
        <v>5.0000000000000001E-3</v>
      </c>
      <c r="AS15" s="629"/>
      <c r="AY15" s="629"/>
      <c r="AZ15" s="620">
        <v>8</v>
      </c>
      <c r="BA15" s="621">
        <f>AVERAGE('SE CarData'!B30:C30)</f>
        <v>236585</v>
      </c>
      <c r="BB15" s="621">
        <f>AVERAGE('SE CarData'!D30:E30)</f>
        <v>241610.5</v>
      </c>
      <c r="BC15" s="622">
        <f>AVERAGE('SE CarData'!F30:G30)</f>
        <v>257163</v>
      </c>
      <c r="BD15" s="629"/>
      <c r="BE15" s="629"/>
      <c r="BF15" s="629"/>
      <c r="BG15" s="674">
        <f>AZ13</f>
        <v>6</v>
      </c>
      <c r="BH15" s="675">
        <f t="shared" ref="BH15:BO17" si="6">ROUND(IFERROR($BC13/INDEX($BU$15:$DI$16,2,$AZ13+1)*INDEX($BU$15:$DI$16,2,(BH$6-$BC$6+1+$AZ13)+1),0),0)</f>
        <v>248778</v>
      </c>
      <c r="BI15" s="675">
        <f t="shared" si="6"/>
        <v>196047</v>
      </c>
      <c r="BJ15" s="675">
        <f t="shared" si="6"/>
        <v>113051</v>
      </c>
      <c r="BK15" s="675">
        <f t="shared" si="6"/>
        <v>41214</v>
      </c>
      <c r="BL15" s="675">
        <f t="shared" si="6"/>
        <v>8142</v>
      </c>
      <c r="BM15" s="675">
        <f t="shared" si="6"/>
        <v>742</v>
      </c>
      <c r="BN15" s="675">
        <f t="shared" si="6"/>
        <v>26</v>
      </c>
      <c r="BO15" s="676">
        <f t="shared" si="6"/>
        <v>0</v>
      </c>
      <c r="BP15" s="629"/>
      <c r="BQ15" s="629"/>
      <c r="BR15" s="629"/>
      <c r="BS15" s="629"/>
      <c r="BT15" s="647" t="s">
        <v>592</v>
      </c>
      <c r="BU15" s="251">
        <v>0</v>
      </c>
      <c r="BV15" s="251">
        <f t="shared" ref="BV15:DI15" si="7">1+BU15</f>
        <v>1</v>
      </c>
      <c r="BW15" s="251">
        <f t="shared" si="7"/>
        <v>2</v>
      </c>
      <c r="BX15" s="251">
        <f t="shared" si="7"/>
        <v>3</v>
      </c>
      <c r="BY15" s="251">
        <f t="shared" si="7"/>
        <v>4</v>
      </c>
      <c r="BZ15" s="251">
        <f t="shared" si="7"/>
        <v>5</v>
      </c>
      <c r="CA15" s="251">
        <f t="shared" si="7"/>
        <v>6</v>
      </c>
      <c r="CB15" s="251">
        <f t="shared" si="7"/>
        <v>7</v>
      </c>
      <c r="CC15" s="251">
        <f t="shared" si="7"/>
        <v>8</v>
      </c>
      <c r="CD15" s="251">
        <f t="shared" si="7"/>
        <v>9</v>
      </c>
      <c r="CE15" s="251">
        <f t="shared" si="7"/>
        <v>10</v>
      </c>
      <c r="CF15" s="251">
        <f t="shared" si="7"/>
        <v>11</v>
      </c>
      <c r="CG15" s="251">
        <f t="shared" si="7"/>
        <v>12</v>
      </c>
      <c r="CH15" s="251">
        <f t="shared" si="7"/>
        <v>13</v>
      </c>
      <c r="CI15" s="251">
        <f t="shared" si="7"/>
        <v>14</v>
      </c>
      <c r="CJ15" s="251">
        <f t="shared" si="7"/>
        <v>15</v>
      </c>
      <c r="CK15" s="251">
        <f t="shared" si="7"/>
        <v>16</v>
      </c>
      <c r="CL15" s="251">
        <f t="shared" si="7"/>
        <v>17</v>
      </c>
      <c r="CM15" s="251">
        <f t="shared" si="7"/>
        <v>18</v>
      </c>
      <c r="CN15" s="251">
        <f t="shared" si="7"/>
        <v>19</v>
      </c>
      <c r="CO15" s="251">
        <f t="shared" si="7"/>
        <v>20</v>
      </c>
      <c r="CP15" s="251">
        <f t="shared" si="7"/>
        <v>21</v>
      </c>
      <c r="CQ15" s="251">
        <f t="shared" si="7"/>
        <v>22</v>
      </c>
      <c r="CR15" s="251">
        <f t="shared" si="7"/>
        <v>23</v>
      </c>
      <c r="CS15" s="251">
        <f t="shared" si="7"/>
        <v>24</v>
      </c>
      <c r="CT15" s="251">
        <f t="shared" si="7"/>
        <v>25</v>
      </c>
      <c r="CU15" s="251">
        <f t="shared" si="7"/>
        <v>26</v>
      </c>
      <c r="CV15" s="251">
        <f t="shared" si="7"/>
        <v>27</v>
      </c>
      <c r="CW15" s="251">
        <f t="shared" si="7"/>
        <v>28</v>
      </c>
      <c r="CX15" s="251">
        <f t="shared" si="7"/>
        <v>29</v>
      </c>
      <c r="CY15" s="251">
        <f t="shared" si="7"/>
        <v>30</v>
      </c>
      <c r="CZ15" s="251">
        <f t="shared" si="7"/>
        <v>31</v>
      </c>
      <c r="DA15" s="251">
        <f t="shared" si="7"/>
        <v>32</v>
      </c>
      <c r="DB15" s="251">
        <f t="shared" si="7"/>
        <v>33</v>
      </c>
      <c r="DC15" s="251">
        <f t="shared" si="7"/>
        <v>34</v>
      </c>
      <c r="DD15" s="251">
        <f t="shared" si="7"/>
        <v>35</v>
      </c>
      <c r="DE15" s="251">
        <f t="shared" si="7"/>
        <v>36</v>
      </c>
      <c r="DF15" s="251">
        <f t="shared" si="7"/>
        <v>37</v>
      </c>
      <c r="DG15" s="251">
        <f t="shared" si="7"/>
        <v>38</v>
      </c>
      <c r="DH15" s="251">
        <f t="shared" si="7"/>
        <v>39</v>
      </c>
      <c r="DI15" s="251">
        <f t="shared" si="7"/>
        <v>40</v>
      </c>
      <c r="DJ15" s="1978"/>
      <c r="DK15" s="2479"/>
      <c r="DL15" s="234" t="str">
        <f>Commodities!$D$6</f>
        <v>TPCAX</v>
      </c>
      <c r="DM15" s="1682">
        <f t="shared" si="2"/>
        <v>0</v>
      </c>
      <c r="DN15" s="1682">
        <f>DM15*M15</f>
        <v>0</v>
      </c>
      <c r="DO15" s="234"/>
      <c r="DP15" s="605"/>
      <c r="DQ15" s="2494"/>
    </row>
    <row r="16" spans="1:129">
      <c r="B16" s="765" t="s">
        <v>601</v>
      </c>
      <c r="F16" s="754" t="str">
        <f>Commodities!$D$7</f>
        <v>TPCAS</v>
      </c>
      <c r="G16" s="754" t="s">
        <v>3603</v>
      </c>
      <c r="H16" s="2347"/>
      <c r="I16" s="2470"/>
      <c r="J16" s="1109">
        <f>VLOOKUP(VLOOKUP($E15,$S$136:$T$140,2,0),$AH$130:$AR$134,MATCH(VALUE(RIGHT(J$5,4)),$AH$5:$AR$5,0),0)</f>
        <v>266.99961857177726</v>
      </c>
      <c r="K16" s="1109">
        <f>VLOOKUP(VLOOKUP($E15,$S$136:$T$140,2,0),$AH$130:$AR$134,MATCH(VALUE(RIGHT(K$5,4)),$AH$5:$AR$5,0),0)</f>
        <v>273.56881374949506</v>
      </c>
      <c r="L16" s="765"/>
      <c r="M16" s="12">
        <f>$X$136</f>
        <v>0.25356727683990965</v>
      </c>
      <c r="N16" s="604">
        <v>5</v>
      </c>
      <c r="O16" s="610"/>
      <c r="P16" s="610"/>
      <c r="Q16" s="610"/>
      <c r="R16" s="610"/>
      <c r="S16" s="610"/>
      <c r="T16" s="610"/>
      <c r="U16" s="610"/>
      <c r="V16" s="610"/>
      <c r="W16" s="610"/>
      <c r="X16" s="610"/>
      <c r="Y16" s="765"/>
      <c r="Z16" s="765"/>
      <c r="AA16" s="784">
        <f>H15*I15*L15*M16*O15</f>
        <v>0</v>
      </c>
      <c r="AB16" s="784"/>
      <c r="AC16" s="784"/>
      <c r="AD16" s="784"/>
      <c r="AE16" s="784"/>
      <c r="AF16" s="629"/>
      <c r="AG16" s="3055"/>
      <c r="AH16" s="612" t="s">
        <v>61</v>
      </c>
      <c r="AI16" s="632">
        <f>ROUND(Cars!BA33*Cars!BH64*Cars!BH49/1000,3)</f>
        <v>52.606000000000002</v>
      </c>
      <c r="AJ16" s="632">
        <f>ROUND(Cars!BB33*Cars!BI64*Cars!BI49/1000,3)</f>
        <v>86.016000000000005</v>
      </c>
      <c r="AK16" s="632">
        <f>ROUND(Cars!BH41*Cars!BK64*Cars!BJ49/1000,3)</f>
        <v>97.873999999999995</v>
      </c>
      <c r="AL16" s="632">
        <f>ROUND(Cars!BI41*Cars!BL64*Cars!BL49/1000,3)</f>
        <v>66.302000000000007</v>
      </c>
      <c r="AM16" s="632">
        <f>ROUND(Cars!BJ41*Cars!BM64*Cars!BM49/1000,3)</f>
        <v>36.904000000000003</v>
      </c>
      <c r="AN16" s="632">
        <f>ROUND(Cars!BK41*Cars!BN64*Cars!BN49/1000,3)</f>
        <v>15.654999999999999</v>
      </c>
      <c r="AO16" s="632">
        <f>ROUND(Cars!BL41*Cars!BO64*Cars!BO49/1000,3)</f>
        <v>4.49</v>
      </c>
      <c r="AP16" s="632">
        <f>ROUND(Cars!BM41*Cars!BP64*Cars!BP49/1000,3)</f>
        <v>0.752</v>
      </c>
      <c r="AQ16" s="632">
        <f>ROUND(Cars!BN41*Cars!BQ64*Cars!BQ49/1000,3)</f>
        <v>6.3E-2</v>
      </c>
      <c r="AR16" s="633">
        <f>ROUND(Cars!BO41*Cars!BR64*Cars!BR49/1000,3)</f>
        <v>2E-3</v>
      </c>
      <c r="AS16" s="629"/>
      <c r="AY16" s="629"/>
      <c r="AZ16" s="620">
        <v>9</v>
      </c>
      <c r="BA16" s="621">
        <f>AVERAGE('SE CarData'!B31:C31)</f>
        <v>218803</v>
      </c>
      <c r="BB16" s="621">
        <f>AVERAGE('SE CarData'!D31:E31)</f>
        <v>234086.5</v>
      </c>
      <c r="BC16" s="622">
        <f>AVERAGE('SE CarData'!F31:G31)</f>
        <v>244567</v>
      </c>
      <c r="BD16" s="629"/>
      <c r="BE16" s="629"/>
      <c r="BF16" s="629"/>
      <c r="BG16" s="674">
        <f>AZ14</f>
        <v>7</v>
      </c>
      <c r="BH16" s="675">
        <f t="shared" si="6"/>
        <v>258836</v>
      </c>
      <c r="BI16" s="675">
        <f t="shared" si="6"/>
        <v>193790</v>
      </c>
      <c r="BJ16" s="675">
        <f t="shared" si="6"/>
        <v>103186</v>
      </c>
      <c r="BK16" s="675">
        <f t="shared" si="6"/>
        <v>33700</v>
      </c>
      <c r="BL16" s="675">
        <f t="shared" si="6"/>
        <v>5779</v>
      </c>
      <c r="BM16" s="675">
        <f t="shared" si="6"/>
        <v>443</v>
      </c>
      <c r="BN16" s="675">
        <f t="shared" si="6"/>
        <v>13</v>
      </c>
      <c r="BO16" s="676">
        <f t="shared" si="6"/>
        <v>0</v>
      </c>
      <c r="BP16" s="629"/>
      <c r="BQ16" s="629"/>
      <c r="BR16" s="629"/>
      <c r="BS16" s="629"/>
      <c r="BT16" s="648" t="s">
        <v>593</v>
      </c>
      <c r="BU16" s="252">
        <f t="shared" ref="BU16:DI16" si="8">+IF(BU15&lt;=MAX($BU$12,0),1,  EXP(  -(  (  (BU15-$BU$12)/$BU$9  )^$BU$11  )  ))</f>
        <v>1</v>
      </c>
      <c r="BV16" s="252">
        <f t="shared" si="8"/>
        <v>0.99991410860612417</v>
      </c>
      <c r="BW16" s="252">
        <f t="shared" si="8"/>
        <v>0.9992195361566989</v>
      </c>
      <c r="BX16" s="252">
        <f t="shared" si="8"/>
        <v>0.99716453669151872</v>
      </c>
      <c r="BY16" s="252">
        <f t="shared" si="8"/>
        <v>0.99292809940492943</v>
      </c>
      <c r="BZ16" s="252">
        <f t="shared" si="8"/>
        <v>0.98566065581078033</v>
      </c>
      <c r="CA16" s="252">
        <f t="shared" si="8"/>
        <v>0.9745198552529365</v>
      </c>
      <c r="CB16" s="252">
        <f t="shared" si="8"/>
        <v>0.95870994801252296</v>
      </c>
      <c r="CC16" s="252">
        <f t="shared" si="8"/>
        <v>0.93752627799089538</v>
      </c>
      <c r="CD16" s="252">
        <f t="shared" si="8"/>
        <v>0.91040389563683743</v>
      </c>
      <c r="CE16" s="252">
        <f t="shared" si="8"/>
        <v>0.87696761424636627</v>
      </c>
      <c r="CF16" s="252">
        <f t="shared" si="8"/>
        <v>0.83707945545245599</v>
      </c>
      <c r="CG16" s="252">
        <f t="shared" si="8"/>
        <v>0.79087838346939432</v>
      </c>
      <c r="CH16" s="252">
        <f t="shared" si="8"/>
        <v>0.73880668372977898</v>
      </c>
      <c r="CI16" s="252">
        <f t="shared" si="8"/>
        <v>0.68161750830146905</v>
      </c>
      <c r="CJ16" s="252">
        <f t="shared" si="8"/>
        <v>0.6203591582718655</v>
      </c>
      <c r="CK16" s="252">
        <f t="shared" si="8"/>
        <v>0.55633366542933571</v>
      </c>
      <c r="CL16" s="252">
        <f t="shared" si="8"/>
        <v>0.4910300689339831</v>
      </c>
      <c r="CM16" s="252">
        <f t="shared" si="8"/>
        <v>0.42603615357492164</v>
      </c>
      <c r="CN16" s="252">
        <f t="shared" si="8"/>
        <v>0.36293582918014178</v>
      </c>
      <c r="CO16" s="252">
        <f t="shared" si="8"/>
        <v>0.30320216224398971</v>
      </c>
      <c r="CP16" s="252">
        <f t="shared" si="8"/>
        <v>0.24809768696079504</v>
      </c>
      <c r="CQ16" s="252">
        <f t="shared" si="8"/>
        <v>0.19859353171072761</v>
      </c>
      <c r="CR16" s="252">
        <f t="shared" si="8"/>
        <v>0.15531689885966579</v>
      </c>
      <c r="CS16" s="252">
        <f t="shared" si="8"/>
        <v>0.11853272373571756</v>
      </c>
      <c r="CT16" s="252">
        <f t="shared" si="8"/>
        <v>8.8160508412827715E-2</v>
      </c>
      <c r="CU16" s="252">
        <f t="shared" si="8"/>
        <v>6.3822272629914814E-2</v>
      </c>
      <c r="CV16" s="252">
        <f t="shared" si="8"/>
        <v>4.4913281734575435E-2</v>
      </c>
      <c r="CW16" s="252">
        <f t="shared" si="8"/>
        <v>3.0684544353199485E-2</v>
      </c>
      <c r="CX16" s="252">
        <f t="shared" si="8"/>
        <v>2.032549364454133E-2</v>
      </c>
      <c r="CY16" s="252">
        <f t="shared" si="8"/>
        <v>1.3036754644380326E-2</v>
      </c>
      <c r="CZ16" s="252">
        <f t="shared" si="8"/>
        <v>8.085961133918634E-3</v>
      </c>
      <c r="DA16" s="252">
        <f t="shared" si="8"/>
        <v>4.8434056398182074E-3</v>
      </c>
      <c r="DB16" s="252">
        <f t="shared" si="8"/>
        <v>2.7979947970093503E-3</v>
      </c>
      <c r="DC16" s="252">
        <f t="shared" si="8"/>
        <v>1.5568124870497775E-3</v>
      </c>
      <c r="DD16" s="252">
        <f t="shared" si="8"/>
        <v>8.3316739348158423E-4</v>
      </c>
      <c r="DE16" s="252">
        <f t="shared" si="8"/>
        <v>4.2829677132559313E-4</v>
      </c>
      <c r="DF16" s="252">
        <f t="shared" si="8"/>
        <v>2.111936319669825E-4</v>
      </c>
      <c r="DG16" s="252">
        <f t="shared" si="8"/>
        <v>9.9757184505159361E-5</v>
      </c>
      <c r="DH16" s="252">
        <f t="shared" si="8"/>
        <v>4.507500461671761E-5</v>
      </c>
      <c r="DI16" s="252">
        <f t="shared" si="8"/>
        <v>1.9456001105115882E-5</v>
      </c>
      <c r="DJ16" s="252"/>
      <c r="DK16" s="2479"/>
      <c r="DL16" s="234" t="str">
        <f>Commodities!$D$7</f>
        <v>TPCAS</v>
      </c>
      <c r="DM16" s="1682">
        <f t="shared" si="2"/>
        <v>0</v>
      </c>
      <c r="DN16" s="1682">
        <f>DM16*M16</f>
        <v>0</v>
      </c>
      <c r="DO16" s="234"/>
      <c r="DP16" s="605"/>
      <c r="DQ16" s="2494"/>
    </row>
    <row r="17" spans="1:122">
      <c r="B17" s="765" t="s">
        <v>601</v>
      </c>
      <c r="F17" s="754" t="str">
        <f>Commodities!$D$8</f>
        <v>TPCAM</v>
      </c>
      <c r="G17" s="754" t="s">
        <v>3603</v>
      </c>
      <c r="H17" s="2347"/>
      <c r="I17" s="2470"/>
      <c r="J17" s="1109">
        <f>VLOOKUP(VLOOKUP($E15,$S$136:$T$140,2,0),$AH$155:$AR$159,MATCH(VALUE(RIGHT(J$5,4)),$AH$5:$AR$5,0),0)</f>
        <v>346.75275139191854</v>
      </c>
      <c r="K17" s="1109">
        <f>VLOOKUP(VLOOKUP($E15,$S$136:$T$140,2,0),$AH$155:$AR$159,MATCH(VALUE(RIGHT(K$5,4)),$AH$5:$AR$5,0),0)</f>
        <v>355.28417370064295</v>
      </c>
      <c r="L17" s="765"/>
      <c r="M17" s="12">
        <f>$X$137</f>
        <v>0.19568103798130093</v>
      </c>
      <c r="N17" s="604">
        <v>5</v>
      </c>
      <c r="O17" s="610"/>
      <c r="P17" s="610"/>
      <c r="Q17" s="610"/>
      <c r="R17" s="610"/>
      <c r="S17" s="610"/>
      <c r="T17" s="610"/>
      <c r="U17" s="610"/>
      <c r="V17" s="610"/>
      <c r="W17" s="610"/>
      <c r="X17" s="610"/>
      <c r="Y17" s="765"/>
      <c r="Z17" s="765"/>
      <c r="AA17" s="784">
        <f>H15*I15*L15*M17*O15</f>
        <v>0</v>
      </c>
      <c r="AB17" s="784"/>
      <c r="AC17" s="784"/>
      <c r="AD17" s="784"/>
      <c r="AE17" s="784"/>
      <c r="AF17" s="629"/>
      <c r="AG17" s="3055"/>
      <c r="AH17" s="612" t="s">
        <v>51</v>
      </c>
      <c r="AI17" s="632">
        <f>ROUND(Cars!BA33*Cars!BH65*Cars!BH49/1000,3)</f>
        <v>0</v>
      </c>
      <c r="AJ17" s="632">
        <f>ROUND(Cars!BB33*Cars!BI65*Cars!BI49/1000,3)</f>
        <v>0</v>
      </c>
      <c r="AK17" s="632">
        <f>ROUND(Cars!BH41*Cars!BK65*Cars!BJ49/1000,3)</f>
        <v>0</v>
      </c>
      <c r="AL17" s="632">
        <f>ROUND(Cars!BI41*Cars!BL65*Cars!BL49/1000,3)</f>
        <v>0</v>
      </c>
      <c r="AM17" s="632">
        <f>ROUND(Cars!BJ41*Cars!BM65*Cars!BM49/1000,3)</f>
        <v>0</v>
      </c>
      <c r="AN17" s="632">
        <f>ROUND(Cars!BK41*Cars!BN65*Cars!BN49/1000,3)</f>
        <v>0</v>
      </c>
      <c r="AO17" s="632">
        <f>ROUND(Cars!BL41*Cars!BO65*Cars!BO49/1000,3)</f>
        <v>0</v>
      </c>
      <c r="AP17" s="632">
        <f>ROUND(Cars!BM41*Cars!BP65*Cars!BP49/1000,3)</f>
        <v>0</v>
      </c>
      <c r="AQ17" s="632">
        <f>ROUND(Cars!BN41*Cars!BQ65*Cars!BQ49/1000,3)</f>
        <v>0</v>
      </c>
      <c r="AR17" s="633">
        <f>ROUND(Cars!BO41*Cars!BR65*Cars!BR49/1000,3)</f>
        <v>0</v>
      </c>
      <c r="AS17" s="629"/>
      <c r="AY17" s="629"/>
      <c r="AZ17" s="620">
        <v>10</v>
      </c>
      <c r="BA17" s="621">
        <f>AVERAGE('SE CarData'!B32:C32)</f>
        <v>273982</v>
      </c>
      <c r="BB17" s="621">
        <f>AVERAGE('SE CarData'!D32:E32)</f>
        <v>218587.5</v>
      </c>
      <c r="BC17" s="622">
        <f>AVERAGE('SE CarData'!F32:G32)</f>
        <v>231813</v>
      </c>
      <c r="BD17" s="629"/>
      <c r="BE17" s="629"/>
      <c r="BF17" s="629"/>
      <c r="BG17" s="674">
        <f>AZ15</f>
        <v>8</v>
      </c>
      <c r="BH17" s="675">
        <f t="shared" si="6"/>
        <v>240552</v>
      </c>
      <c r="BI17" s="675">
        <f t="shared" si="6"/>
        <v>170164</v>
      </c>
      <c r="BJ17" s="675">
        <f t="shared" si="6"/>
        <v>83168</v>
      </c>
      <c r="BK17" s="675">
        <f t="shared" si="6"/>
        <v>24182</v>
      </c>
      <c r="BL17" s="675">
        <f t="shared" si="6"/>
        <v>3576</v>
      </c>
      <c r="BM17" s="675">
        <f t="shared" si="6"/>
        <v>229</v>
      </c>
      <c r="BN17" s="675">
        <f t="shared" si="6"/>
        <v>5</v>
      </c>
      <c r="BO17" s="676">
        <f t="shared" si="6"/>
        <v>0</v>
      </c>
      <c r="BP17" s="629"/>
      <c r="BQ17" s="629"/>
      <c r="BR17" s="629"/>
      <c r="BS17" s="629"/>
      <c r="DK17" s="2479"/>
      <c r="DL17" s="234" t="str">
        <f>Commodities!$D$8</f>
        <v>TPCAM</v>
      </c>
      <c r="DM17" s="1682">
        <f t="shared" si="2"/>
        <v>0</v>
      </c>
      <c r="DN17" s="1682">
        <f>DM17*M17</f>
        <v>0</v>
      </c>
      <c r="DO17" s="234"/>
      <c r="DP17" s="605"/>
      <c r="DQ17" s="2494"/>
    </row>
    <row r="18" spans="1:122" s="754" customFormat="1">
      <c r="A18" s="545"/>
      <c r="B18" s="765" t="s">
        <v>601</v>
      </c>
      <c r="F18" s="754" t="str">
        <f>Commodities!$D$9</f>
        <v>TPCAL</v>
      </c>
      <c r="G18" s="754" t="s">
        <v>3603</v>
      </c>
      <c r="H18" s="2347"/>
      <c r="I18" s="2470"/>
      <c r="J18" s="1109">
        <f>VLOOKUP(VLOOKUP($E15,$S$136:$T$140,2,0),$AH$180:$AR$184,MATCH(VALUE(RIGHT(J$5,4)),$AH$5:$AR$5,0),0)</f>
        <v>385.02617344706078</v>
      </c>
      <c r="K18" s="1109">
        <f>VLOOKUP(VLOOKUP($E15,$S$136:$T$140,2,0),$AH$180:$AR$184,MATCH(VALUE(RIGHT(K$5,4)),$AH$5:$AR$5,0),0)</f>
        <v>394.499265938478</v>
      </c>
      <c r="L18" s="765"/>
      <c r="M18" s="12">
        <f>$X$138</f>
        <v>0.49994795489700627</v>
      </c>
      <c r="N18" s="604">
        <v>5</v>
      </c>
      <c r="O18" s="610"/>
      <c r="P18" s="610"/>
      <c r="Q18" s="610"/>
      <c r="R18" s="610"/>
      <c r="S18" s="610"/>
      <c r="T18" s="610"/>
      <c r="U18" s="610"/>
      <c r="V18" s="610"/>
      <c r="W18" s="610"/>
      <c r="X18" s="610"/>
      <c r="Y18" s="765"/>
      <c r="Z18" s="765"/>
      <c r="AA18" s="784">
        <f>H15*I15*L15*M18*O15</f>
        <v>0</v>
      </c>
      <c r="AB18" s="784"/>
      <c r="AC18" s="784"/>
      <c r="AD18" s="784"/>
      <c r="AE18" s="784"/>
      <c r="AF18" s="629"/>
      <c r="AG18" s="3055"/>
      <c r="AH18" s="612"/>
      <c r="AI18" s="632"/>
      <c r="AJ18" s="632"/>
      <c r="AK18" s="632"/>
      <c r="AL18" s="632"/>
      <c r="AM18" s="632"/>
      <c r="AN18" s="632"/>
      <c r="AO18" s="632"/>
      <c r="AP18" s="632"/>
      <c r="AQ18" s="632"/>
      <c r="AR18" s="633"/>
      <c r="AS18" s="629"/>
      <c r="AY18" s="629"/>
      <c r="AZ18" s="620">
        <v>11</v>
      </c>
      <c r="BA18" s="621">
        <f>AVERAGE('SE CarData'!B33:C33)</f>
        <v>332292</v>
      </c>
      <c r="BB18" s="621">
        <f>AVERAGE('SE CarData'!D33:E33)</f>
        <v>234270.5</v>
      </c>
      <c r="BC18" s="622">
        <f>AVERAGE('SE CarData'!F33:G33)</f>
        <v>220368.5</v>
      </c>
      <c r="BD18" s="629"/>
      <c r="BE18" s="629"/>
      <c r="BF18" s="629"/>
      <c r="BG18" s="674"/>
      <c r="BH18" s="675"/>
      <c r="BI18" s="675"/>
      <c r="BJ18" s="675"/>
      <c r="BK18" s="675"/>
      <c r="BL18" s="675"/>
      <c r="BM18" s="675"/>
      <c r="BN18" s="675"/>
      <c r="BO18" s="676"/>
      <c r="BP18" s="629"/>
      <c r="BQ18" s="629"/>
      <c r="BR18" s="629"/>
      <c r="BS18" s="629"/>
      <c r="DK18" s="2479"/>
      <c r="DL18" s="234" t="str">
        <f>Commodities!$D$9</f>
        <v>TPCAL</v>
      </c>
      <c r="DM18" s="1682">
        <f t="shared" si="2"/>
        <v>0</v>
      </c>
      <c r="DN18" s="1682">
        <f>DM18*M18</f>
        <v>0</v>
      </c>
      <c r="DO18" s="234"/>
      <c r="DP18" s="605"/>
      <c r="DQ18" s="2494"/>
    </row>
    <row r="19" spans="1:122">
      <c r="B19" s="765" t="s">
        <v>601</v>
      </c>
      <c r="C19" t="str">
        <f>Processes!$D$9</f>
        <v>TPCANGBL1E</v>
      </c>
      <c r="D19" t="str">
        <f>Processes!$E$9</f>
        <v>Transport Passengers Cars - Gas Engine - Blending 1 - Average size - Existing</v>
      </c>
      <c r="E19" t="str">
        <f>Commodities!D100</f>
        <v>TRANGBL1</v>
      </c>
      <c r="F19" s="754" t="str">
        <f>Commodities!$D$6</f>
        <v>TPCAX</v>
      </c>
      <c r="G19" s="754" t="s">
        <v>3603</v>
      </c>
      <c r="H19" s="610">
        <v>1E-3</v>
      </c>
      <c r="I19" s="2471">
        <f>VLOOKUP(VLOOKUP($E19,$S$136:$T$140,2,0),$AH$40:$AR$45,MATCH(VALUE(RIGHT(I$5,4)),$AH$5:$AR$5,0),0)</f>
        <v>1.7189998335071497</v>
      </c>
      <c r="J19" s="1109">
        <f>VLOOKUP(VLOOKUP($E19,$S$136:$T$140,2,0),$AH$105:$AR$110,MATCH(VALUE(RIGHT(J$5,4)),$AH$5:$AR$5,0),0)</f>
        <v>211.5191783490703</v>
      </c>
      <c r="K19" s="1109">
        <f>VLOOKUP(VLOOKUP($E19,$S$136:$T$140,2,0),$AH$105:$AR$110,MATCH(VALUE(RIGHT(K$5,4)),$AH$5:$AR$5,0),0)</f>
        <v>216.72334595739218</v>
      </c>
      <c r="L19" s="1109">
        <f>VLOOKUP(VLOOKUP($E19,$S$136:$T$140,2,0),$AH$73:$AR$79,MATCH(VALUE(RIGHT(L$5,4)),$AH$5:$AR$5,0),0)</f>
        <v>18000</v>
      </c>
      <c r="M19" s="12">
        <f>$X$135</f>
        <v>5.0803730281783234E-2</v>
      </c>
      <c r="N19" s="604">
        <v>5</v>
      </c>
      <c r="O19" s="610">
        <f t="shared" ref="O19:X19" si="9">VLOOKUP(VLOOKUP($E19,$S$136:$T$140,2,0),$AH$7:$AR$12,MATCH(VALUE(RIGHT(O$5,4)),$AH$5:$AR$5,0),0)</f>
        <v>0.90900000000000003</v>
      </c>
      <c r="P19" s="610">
        <f t="shared" si="9"/>
        <v>1.272</v>
      </c>
      <c r="Q19" s="610">
        <f t="shared" si="9"/>
        <v>1.3120000000000001</v>
      </c>
      <c r="R19" s="610">
        <f t="shared" si="9"/>
        <v>0.88900000000000001</v>
      </c>
      <c r="S19" s="610">
        <f t="shared" si="9"/>
        <v>0.495</v>
      </c>
      <c r="T19" s="610">
        <f t="shared" si="9"/>
        <v>0.21</v>
      </c>
      <c r="U19" s="610">
        <f t="shared" si="9"/>
        <v>0.06</v>
      </c>
      <c r="V19" s="610">
        <f t="shared" si="9"/>
        <v>0.01</v>
      </c>
      <c r="W19" s="610">
        <f t="shared" si="9"/>
        <v>1E-3</v>
      </c>
      <c r="X19" s="610">
        <f t="shared" si="9"/>
        <v>0</v>
      </c>
      <c r="Y19" s="765">
        <v>3.5E-4</v>
      </c>
      <c r="Z19" s="765"/>
      <c r="AA19" s="784">
        <f>H19*I19*L19*M19*O19</f>
        <v>1.4289197029451661</v>
      </c>
      <c r="AB19" s="784"/>
      <c r="AC19" s="784"/>
      <c r="AD19" s="784"/>
      <c r="AE19" s="784"/>
      <c r="AF19" s="629"/>
      <c r="AG19" s="3055"/>
      <c r="AH19" s="612" t="s">
        <v>577</v>
      </c>
      <c r="AI19" s="632">
        <f>ROUND(Cars!BA33*Cars!BH67*Cars!BH49/1000,3)</f>
        <v>2.1659999999999999</v>
      </c>
      <c r="AJ19" s="632">
        <f>ROUND(Cars!BB33*Cars!BI67*Cars!BI49/1000,3)</f>
        <v>3.0059999999999998</v>
      </c>
      <c r="AK19" s="632">
        <f>ROUND(Cars!BH41*Cars!BK67*Cars!BJ49/1000,3)</f>
        <v>3.109</v>
      </c>
      <c r="AL19" s="632">
        <f>ROUND(Cars!BI41*Cars!BL67*Cars!BL49/1000,3)</f>
        <v>2.1059999999999999</v>
      </c>
      <c r="AM19" s="632">
        <f>ROUND(Cars!BJ41*Cars!BM67*Cars!BM49/1000,3)</f>
        <v>1.1719999999999999</v>
      </c>
      <c r="AN19" s="632">
        <f>ROUND(Cars!BK41*Cars!BN67*Cars!BN49/1000,3)</f>
        <v>0.497</v>
      </c>
      <c r="AO19" s="632">
        <f>ROUND(Cars!BL41*Cars!BO67*Cars!BO49/1000,3)</f>
        <v>0.14299999999999999</v>
      </c>
      <c r="AP19" s="632">
        <f>ROUND(Cars!BM41*Cars!BP67*Cars!BP49/1000,3)</f>
        <v>2.4E-2</v>
      </c>
      <c r="AQ19" s="632">
        <f>ROUND(Cars!BN41*Cars!BQ67*Cars!BQ49/1000,3)</f>
        <v>2E-3</v>
      </c>
      <c r="AR19" s="633">
        <f>ROUND(Cars!BO41*Cars!BR67*Cars!BR49/1000,3)</f>
        <v>0</v>
      </c>
      <c r="AS19" s="629"/>
      <c r="AY19" s="629"/>
      <c r="AZ19" s="620">
        <v>12</v>
      </c>
      <c r="BA19" s="621">
        <f>AVERAGE('SE CarData'!B34:C34)</f>
        <v>243584</v>
      </c>
      <c r="BB19" s="621">
        <f>AVERAGE('SE CarData'!D34:E34)</f>
        <v>284213</v>
      </c>
      <c r="BC19" s="622">
        <f>AVERAGE('SE CarData'!F34:G34)</f>
        <v>201311.5</v>
      </c>
      <c r="BD19" s="629"/>
      <c r="BE19" s="629"/>
      <c r="BF19" s="629"/>
      <c r="BG19" s="674">
        <f>AZ16</f>
        <v>9</v>
      </c>
      <c r="BH19" s="675">
        <f t="shared" ref="BH19:BO21" si="10">ROUND(IFERROR($BC16/INDEX($BU$15:$DI$16,2,$AZ16+1)*INDEX($BU$15:$DI$16,2,(BH$6-$BC$6+1+$AZ16)+1),0),0)</f>
        <v>224869</v>
      </c>
      <c r="BI19" s="675">
        <f t="shared" si="10"/>
        <v>149451</v>
      </c>
      <c r="BJ19" s="675">
        <f t="shared" si="10"/>
        <v>66648</v>
      </c>
      <c r="BK19" s="675">
        <f t="shared" si="10"/>
        <v>17145</v>
      </c>
      <c r="BL19" s="675">
        <f t="shared" si="10"/>
        <v>2172</v>
      </c>
      <c r="BM19" s="675">
        <f t="shared" si="10"/>
        <v>115</v>
      </c>
      <c r="BN19" s="675">
        <f t="shared" si="10"/>
        <v>0</v>
      </c>
      <c r="BO19" s="676">
        <f t="shared" si="10"/>
        <v>0</v>
      </c>
      <c r="BP19" s="629"/>
      <c r="BQ19" s="629"/>
      <c r="BR19" s="629"/>
      <c r="BS19" s="629"/>
      <c r="DK19" s="2479"/>
      <c r="DL19" s="234" t="str">
        <f>Commodities!$D$6</f>
        <v>TPCAX</v>
      </c>
      <c r="DM19" s="1682">
        <f t="shared" si="2"/>
        <v>28.126275275843984</v>
      </c>
      <c r="DN19" s="1682">
        <f>$DM$19*M19</f>
        <v>1.4289197029451661</v>
      </c>
      <c r="DO19" s="234"/>
      <c r="DP19" s="605"/>
      <c r="DQ19" s="2494"/>
    </row>
    <row r="20" spans="1:122">
      <c r="A20"/>
      <c r="B20" s="765" t="s">
        <v>601</v>
      </c>
      <c r="F20" s="754" t="str">
        <f>Commodities!$D$7</f>
        <v>TPCAS</v>
      </c>
      <c r="G20" s="754" t="s">
        <v>3603</v>
      </c>
      <c r="H20" s="2347"/>
      <c r="I20" s="2470"/>
      <c r="J20" s="1109">
        <f>VLOOKUP(VLOOKUP($E19,$S$136:$T$140,2,0),$AH$130:$AR$134,MATCH(VALUE(RIGHT(J$5,4)),$AH$5:$AR$5,0),0)</f>
        <v>266.99961857177726</v>
      </c>
      <c r="K20" s="1109">
        <f>VLOOKUP(VLOOKUP($E19,$S$136:$T$140,2,0),$AH$130:$AR$134,MATCH(VALUE(RIGHT(K$5,4)),$AH$5:$AR$5,0),0)</f>
        <v>273.56881374949506</v>
      </c>
      <c r="L20" s="765"/>
      <c r="M20" s="12">
        <f>$X$136</f>
        <v>0.25356727683990965</v>
      </c>
      <c r="N20" s="604">
        <v>5</v>
      </c>
      <c r="O20" s="610"/>
      <c r="P20" s="610"/>
      <c r="Q20" s="610"/>
      <c r="R20" s="610"/>
      <c r="S20" s="610"/>
      <c r="T20" s="610"/>
      <c r="U20" s="610"/>
      <c r="V20" s="610"/>
      <c r="W20" s="610"/>
      <c r="X20" s="610"/>
      <c r="Y20" s="765"/>
      <c r="Z20" s="765"/>
      <c r="AA20" s="784">
        <f>H19*I19*L19*M20*O19</f>
        <v>7.1319030293454375</v>
      </c>
      <c r="AB20" s="784"/>
      <c r="AC20" s="784"/>
      <c r="AD20" s="784"/>
      <c r="AE20" s="784"/>
      <c r="AF20" s="629"/>
      <c r="AG20" s="3055"/>
      <c r="AH20" s="697" t="s">
        <v>49</v>
      </c>
      <c r="AI20" s="727">
        <f>ROUND(Cars!BA33*Cars!BH68*Cars!BH49/1000,3)</f>
        <v>1.6E-2</v>
      </c>
      <c r="AJ20" s="632">
        <f>ROUND(Cars!BB33*Cars!BI68*Cars!BI49/1000,3)</f>
        <v>2.4969999999999999</v>
      </c>
      <c r="AK20" s="632">
        <f>ROUND(Cars!BH41*Cars!BK68*Cars!BJ49/1000,3)</f>
        <v>3.7290000000000001</v>
      </c>
      <c r="AL20" s="632">
        <f>ROUND(Cars!BI41*Cars!BL68*Cars!BL49/1000,3)</f>
        <v>2.5259999999999998</v>
      </c>
      <c r="AM20" s="632">
        <f>ROUND(Cars!BJ41*Cars!BM68*Cars!BM49/1000,3)</f>
        <v>1.4059999999999999</v>
      </c>
      <c r="AN20" s="632">
        <f>ROUND(Cars!BK41*Cars!BN68*Cars!BN49/1000,3)</f>
        <v>0.59699999999999998</v>
      </c>
      <c r="AO20" s="632">
        <f>ROUND(Cars!BL41*Cars!BO68*Cars!BO49/1000,3)</f>
        <v>0.17100000000000001</v>
      </c>
      <c r="AP20" s="632">
        <f>ROUND(Cars!BM41*Cars!BP68*Cars!BP49/1000,3)</f>
        <v>2.9000000000000001E-2</v>
      </c>
      <c r="AQ20" s="632">
        <f>ROUND(Cars!BN41*Cars!BQ68*Cars!BQ49/1000,3)</f>
        <v>2E-3</v>
      </c>
      <c r="AR20" s="633">
        <f>ROUND(Cars!BO41*Cars!BR68*Cars!BR49/1000,3)</f>
        <v>0</v>
      </c>
      <c r="AS20" s="629"/>
      <c r="AY20" s="629"/>
      <c r="AZ20" s="620">
        <v>13</v>
      </c>
      <c r="BA20" s="621">
        <f>AVERAGE('SE CarData'!B35:C35)</f>
        <v>188104</v>
      </c>
      <c r="BB20" s="621">
        <f>AVERAGE('SE CarData'!D35:E35)</f>
        <v>261848</v>
      </c>
      <c r="BC20" s="622">
        <f>AVERAGE('SE CarData'!F35:G35)</f>
        <v>210307.5</v>
      </c>
      <c r="BD20" s="629"/>
      <c r="BE20" s="629"/>
      <c r="BF20" s="629"/>
      <c r="BG20" s="674">
        <f>AZ17</f>
        <v>10</v>
      </c>
      <c r="BH20" s="675">
        <f t="shared" si="10"/>
        <v>209057</v>
      </c>
      <c r="BI20" s="675">
        <f t="shared" si="10"/>
        <v>129796</v>
      </c>
      <c r="BJ20" s="675">
        <f t="shared" si="10"/>
        <v>52495</v>
      </c>
      <c r="BK20" s="675">
        <f t="shared" si="10"/>
        <v>11872</v>
      </c>
      <c r="BL20" s="675">
        <f t="shared" si="10"/>
        <v>1280</v>
      </c>
      <c r="BM20" s="675">
        <f t="shared" si="10"/>
        <v>56</v>
      </c>
      <c r="BN20" s="675">
        <f t="shared" si="10"/>
        <v>0</v>
      </c>
      <c r="BO20" s="676">
        <f t="shared" si="10"/>
        <v>0</v>
      </c>
      <c r="BP20" s="629"/>
      <c r="BQ20" s="629"/>
      <c r="BR20" s="629"/>
      <c r="BS20" s="629"/>
      <c r="BT20" s="231"/>
      <c r="DK20" s="2479"/>
      <c r="DL20" s="234" t="str">
        <f>Commodities!$D$7</f>
        <v>TPCAS</v>
      </c>
      <c r="DM20" s="1682">
        <f t="shared" si="2"/>
        <v>0</v>
      </c>
      <c r="DN20" s="1682">
        <f>$DM$19*M20</f>
        <v>7.1319030293454375</v>
      </c>
      <c r="DO20" s="234"/>
      <c r="DP20" s="605"/>
      <c r="DQ20" s="2494"/>
    </row>
    <row r="21" spans="1:122">
      <c r="A21"/>
      <c r="B21" s="765" t="s">
        <v>601</v>
      </c>
      <c r="F21" s="754" t="str">
        <f>Commodities!$D$8</f>
        <v>TPCAM</v>
      </c>
      <c r="G21" s="754" t="s">
        <v>3603</v>
      </c>
      <c r="H21" s="2347"/>
      <c r="I21" s="2470"/>
      <c r="J21" s="1109">
        <f>VLOOKUP(VLOOKUP($E19,$S$136:$T$140,2,0),$AH$155:$AR$159,MATCH(VALUE(RIGHT(J$5,4)),$AH$5:$AR$5,0),0)</f>
        <v>346.75275139191854</v>
      </c>
      <c r="K21" s="1109">
        <f>VLOOKUP(VLOOKUP($E19,$S$136:$T$140,2,0),$AH$155:$AR$159,MATCH(VALUE(RIGHT(K$5,4)),$AH$5:$AR$5,0),0)</f>
        <v>355.28417370064295</v>
      </c>
      <c r="L21" s="765"/>
      <c r="M21" s="12">
        <f>$X$137</f>
        <v>0.19568103798130093</v>
      </c>
      <c r="N21" s="604">
        <v>5</v>
      </c>
      <c r="O21" s="610"/>
      <c r="P21" s="610"/>
      <c r="Q21" s="610"/>
      <c r="R21" s="610"/>
      <c r="S21" s="610"/>
      <c r="T21" s="610"/>
      <c r="U21" s="610"/>
      <c r="V21" s="610"/>
      <c r="W21" s="610"/>
      <c r="X21" s="610"/>
      <c r="Y21" s="765"/>
      <c r="Z21" s="765"/>
      <c r="AA21" s="784">
        <f>H19*I19*L19*M21*O19</f>
        <v>5.5037787405249521</v>
      </c>
      <c r="AB21" s="784"/>
      <c r="AC21" s="784"/>
      <c r="AD21" s="784"/>
      <c r="AE21" s="784"/>
      <c r="AF21" s="629"/>
      <c r="AG21" s="461"/>
      <c r="AH21" s="613" t="s">
        <v>607</v>
      </c>
      <c r="AI21" s="728">
        <f>ROUND(Cars!BA33*Cars!BH71*Cars!BH49/1000,3)</f>
        <v>19.41</v>
      </c>
      <c r="AJ21" s="634">
        <f>ROUND(Cars!BB33*Cars!BI71*Cars!BI49/1000,3)</f>
        <v>18.420999999999999</v>
      </c>
      <c r="AK21" s="634">
        <f>ROUND(Cars!BH41*Cars!BK71*Cars!BJ49/1000,3)</f>
        <v>17.190999999999999</v>
      </c>
      <c r="AL21" s="634">
        <f>ROUND(Cars!BI41*Cars!BL71*Cars!BL49/1000,3)</f>
        <v>11.646000000000001</v>
      </c>
      <c r="AM21" s="634">
        <f>ROUND(Cars!BJ41*Cars!BM71*Cars!BM49/1000,3)</f>
        <v>6.4820000000000002</v>
      </c>
      <c r="AN21" s="634">
        <f>ROUND(Cars!BK41*Cars!BN71*Cars!BN49/1000,3)</f>
        <v>2.75</v>
      </c>
      <c r="AO21" s="634">
        <f>ROUND(Cars!BL41*Cars!BO71*Cars!BO49/1000,3)</f>
        <v>0.78900000000000003</v>
      </c>
      <c r="AP21" s="634">
        <f>ROUND(Cars!BM41*Cars!BP71*Cars!BP49/1000,3)</f>
        <v>0.13200000000000001</v>
      </c>
      <c r="AQ21" s="634">
        <f>ROUND(Cars!BN41*Cars!BQ71*Cars!BQ49/1000,3)</f>
        <v>1.0999999999999999E-2</v>
      </c>
      <c r="AR21" s="635">
        <f>ROUND(Cars!BO41*Cars!BR71*Cars!BR49/1000,3)</f>
        <v>0</v>
      </c>
      <c r="AS21" s="629"/>
      <c r="AY21" s="629"/>
      <c r="AZ21" s="620">
        <v>14</v>
      </c>
      <c r="BA21" s="621">
        <f>AVERAGE('SE CarData'!B36:C36)</f>
        <v>130230</v>
      </c>
      <c r="BB21" s="621">
        <f>AVERAGE('SE CarData'!D36:E36)</f>
        <v>188077</v>
      </c>
      <c r="BC21" s="622">
        <f>AVERAGE('SE CarData'!F36:G36)</f>
        <v>247357.5</v>
      </c>
      <c r="BD21" s="629"/>
      <c r="BE21" s="629"/>
      <c r="BF21" s="629"/>
      <c r="BG21" s="674">
        <f>AZ18</f>
        <v>11</v>
      </c>
      <c r="BH21" s="675">
        <f t="shared" si="10"/>
        <v>194497</v>
      </c>
      <c r="BI21" s="675">
        <f t="shared" si="10"/>
        <v>112158</v>
      </c>
      <c r="BJ21" s="675">
        <f t="shared" si="10"/>
        <v>40889</v>
      </c>
      <c r="BK21" s="675">
        <f t="shared" si="10"/>
        <v>8078</v>
      </c>
      <c r="BL21" s="675">
        <f t="shared" si="10"/>
        <v>737</v>
      </c>
      <c r="BM21" s="675">
        <f t="shared" si="10"/>
        <v>26</v>
      </c>
      <c r="BN21" s="675">
        <f t="shared" si="10"/>
        <v>0</v>
      </c>
      <c r="BO21" s="676">
        <f t="shared" si="10"/>
        <v>0</v>
      </c>
      <c r="BP21" s="629"/>
      <c r="BQ21" s="629"/>
      <c r="BR21" s="629"/>
      <c r="BS21" s="629"/>
      <c r="BT21" s="184"/>
      <c r="DK21" s="2479"/>
      <c r="DL21" s="234" t="str">
        <f>Commodities!$D$8</f>
        <v>TPCAM</v>
      </c>
      <c r="DM21" s="1682">
        <f t="shared" si="2"/>
        <v>0</v>
      </c>
      <c r="DN21" s="1682">
        <f>$DM$19*M21</f>
        <v>5.5037787405249521</v>
      </c>
      <c r="DO21" s="234"/>
      <c r="DP21" s="605"/>
      <c r="DQ21" s="2494"/>
    </row>
    <row r="22" spans="1:122" s="754" customFormat="1">
      <c r="B22" s="765" t="s">
        <v>601</v>
      </c>
      <c r="F22" s="754" t="str">
        <f>Commodities!$D$9</f>
        <v>TPCAL</v>
      </c>
      <c r="G22" s="754" t="s">
        <v>3603</v>
      </c>
      <c r="H22" s="2347"/>
      <c r="I22" s="2470"/>
      <c r="J22" s="1109">
        <f>VLOOKUP(VLOOKUP($E19,$S$136:$T$140,2,0),$AH$180:$AR$184,MATCH(VALUE(RIGHT(J$5,4)),$AH$5:$AR$5,0),0)</f>
        <v>385.02617344706078</v>
      </c>
      <c r="K22" s="1109">
        <f>VLOOKUP(VLOOKUP($E19,$S$136:$T$140,2,0),$AH$180:$AR$184,MATCH(VALUE(RIGHT(K$5,4)),$AH$5:$AR$5,0),0)</f>
        <v>394.499265938478</v>
      </c>
      <c r="L22" s="765"/>
      <c r="M22" s="12">
        <f>$X$138</f>
        <v>0.49994795489700627</v>
      </c>
      <c r="N22" s="604">
        <v>5</v>
      </c>
      <c r="O22" s="610"/>
      <c r="P22" s="610"/>
      <c r="Q22" s="610"/>
      <c r="R22" s="610"/>
      <c r="S22" s="610"/>
      <c r="T22" s="610"/>
      <c r="U22" s="610"/>
      <c r="V22" s="610"/>
      <c r="W22" s="610"/>
      <c r="X22" s="610"/>
      <c r="Y22" s="765"/>
      <c r="Z22" s="765"/>
      <c r="AA22" s="784">
        <f>H19*I19*L19*M22*O19</f>
        <v>14.061673803028432</v>
      </c>
      <c r="AB22" s="784"/>
      <c r="AC22" s="784"/>
      <c r="AD22" s="784"/>
      <c r="AE22" s="784"/>
      <c r="AF22" s="629"/>
      <c r="AG22" s="22"/>
      <c r="AH22" s="612"/>
      <c r="AI22" s="632"/>
      <c r="AJ22" s="632"/>
      <c r="AK22" s="632"/>
      <c r="AL22" s="632"/>
      <c r="AM22" s="632"/>
      <c r="AN22" s="632"/>
      <c r="AO22" s="632"/>
      <c r="AP22" s="632"/>
      <c r="AQ22" s="632"/>
      <c r="AR22" s="633"/>
      <c r="AS22" s="629"/>
      <c r="AY22" s="629"/>
      <c r="AZ22" s="620">
        <v>15</v>
      </c>
      <c r="BA22" s="621">
        <f>AVERAGE('SE CarData'!B37:C37)</f>
        <v>116574</v>
      </c>
      <c r="BB22" s="621">
        <f>AVERAGE('SE CarData'!D37:E37)</f>
        <v>132927</v>
      </c>
      <c r="BC22" s="622">
        <f>AVERAGE('SE CarData'!F37:G37)</f>
        <v>216512</v>
      </c>
      <c r="BD22" s="629"/>
      <c r="BE22" s="629"/>
      <c r="BF22" s="629"/>
      <c r="BG22" s="674"/>
      <c r="BH22" s="675"/>
      <c r="BI22" s="675"/>
      <c r="BJ22" s="675"/>
      <c r="BK22" s="675"/>
      <c r="BL22" s="675"/>
      <c r="BM22" s="675"/>
      <c r="BN22" s="675"/>
      <c r="BO22" s="676"/>
      <c r="BP22" s="629"/>
      <c r="BQ22" s="629"/>
      <c r="BR22" s="629"/>
      <c r="BS22" s="629"/>
      <c r="BT22" s="184"/>
      <c r="DK22" s="2479"/>
      <c r="DL22" s="234" t="str">
        <f>Commodities!$D$9</f>
        <v>TPCAL</v>
      </c>
      <c r="DM22" s="1682">
        <f t="shared" si="2"/>
        <v>0</v>
      </c>
      <c r="DN22" s="1682">
        <f>$DM$19*M22</f>
        <v>14.06167380302843</v>
      </c>
      <c r="DO22" s="234"/>
      <c r="DP22" s="605"/>
      <c r="DQ22" s="2494"/>
    </row>
    <row r="23" spans="1:122">
      <c r="A23"/>
      <c r="B23" s="765" t="s">
        <v>601</v>
      </c>
      <c r="C23" t="str">
        <f>Processes!$D$10</f>
        <v>TPCAELCX1E</v>
      </c>
      <c r="D23" t="str">
        <f>Processes!$E$10</f>
        <v>Transport Passengers Cars - Electricity BEV- Average size - Existing</v>
      </c>
      <c r="E23" s="304" t="str">
        <f>Commodities!$D$61</f>
        <v>TRAELCEV</v>
      </c>
      <c r="F23" s="754" t="str">
        <f>Commodities!$D$6</f>
        <v>TPCAX</v>
      </c>
      <c r="G23" s="754" t="s">
        <v>3603</v>
      </c>
      <c r="H23" s="610">
        <v>1E-3</v>
      </c>
      <c r="I23" s="2471">
        <f>VLOOKUP(VLOOKUP($E23,$S$136:$T$140,2,0),$AH$40:$AR$45,MATCH(VALUE(RIGHT(I$5,4)),$AH$5:$AR$5,0),0)</f>
        <v>1.7189998335071497</v>
      </c>
      <c r="J23" s="2432">
        <f>VLOOKUP(VLOOKUP($E23,$S$136:$T$140,2,0),$AH$105:$AR$110,MATCH(VALUE(RIGHT(J$5,4)),$AH$5:$AR$5,0),0)</f>
        <v>1431.7402692719502</v>
      </c>
      <c r="K23" s="2432">
        <f>VLOOKUP(VLOOKUP($E23,$S$136:$T$140,2,0),$AH$105:$AR$110,MATCH(VALUE(RIGHT(K$5,4)),$AH$5:$AR$5,0),0)</f>
        <v>1431.7402692719506</v>
      </c>
      <c r="L23" s="1109">
        <f>VLOOKUP(VLOOKUP($E23,$S$136:$T$140,2,0),$AH$73:$AR$79,MATCH(VALUE(RIGHT(L$5,4)),$AH$5:$AR$5,0),0)</f>
        <v>14000</v>
      </c>
      <c r="M23" s="1947">
        <f>AC135</f>
        <v>0.1</v>
      </c>
      <c r="N23" s="604">
        <v>5</v>
      </c>
      <c r="O23" s="610">
        <f t="shared" ref="O23:X23" si="11">VLOOKUP(VLOOKUP($E23,$S$136:$T$140,2,0),$AH$7:$AR$12,MATCH(VALUE(RIGHT(O$5,4)),$AH$5:$AR$5,0),0)</f>
        <v>7.0000000000000001E-3</v>
      </c>
      <c r="P23" s="610">
        <f t="shared" si="11"/>
        <v>1.056</v>
      </c>
      <c r="Q23" s="610">
        <f t="shared" si="11"/>
        <v>1.5740000000000001</v>
      </c>
      <c r="R23" s="610">
        <f t="shared" si="11"/>
        <v>1.0660000000000001</v>
      </c>
      <c r="S23" s="610">
        <f t="shared" si="11"/>
        <v>0.59299999999999997</v>
      </c>
      <c r="T23" s="610">
        <f t="shared" si="11"/>
        <v>0.252</v>
      </c>
      <c r="U23" s="610">
        <f t="shared" si="11"/>
        <v>7.1999999999999995E-2</v>
      </c>
      <c r="V23" s="610">
        <f t="shared" si="11"/>
        <v>1.2E-2</v>
      </c>
      <c r="W23" s="610">
        <f t="shared" si="11"/>
        <v>1E-3</v>
      </c>
      <c r="X23" s="610">
        <f t="shared" si="11"/>
        <v>0</v>
      </c>
      <c r="Y23" s="467">
        <v>3.5E-4</v>
      </c>
      <c r="Z23" s="467"/>
      <c r="AA23" s="784">
        <f>H23*I23*L23*M23*O23</f>
        <v>1.6846198368370067E-2</v>
      </c>
      <c r="AB23" s="784"/>
      <c r="AC23" s="784"/>
      <c r="AD23" s="784"/>
      <c r="AE23" s="784"/>
      <c r="AF23" s="629"/>
      <c r="AG23" s="3054" t="s">
        <v>603</v>
      </c>
      <c r="AH23" s="611" t="s">
        <v>184</v>
      </c>
      <c r="AI23" s="630">
        <f>ROUND(Cars!BA$33*Cars!BH$51*Cars!BH63/1000,3)</f>
        <v>2310.06</v>
      </c>
      <c r="AJ23" s="630">
        <f>ROUND(Cars!BB$33*Cars!BI$51*Cars!BI63/1000,3)</f>
        <v>1951.8710000000001</v>
      </c>
      <c r="AK23" s="630">
        <f>ROUND(Cars!BH$41*Cars!BK63*Cars!BK$51/1000,3)</f>
        <v>1760.797</v>
      </c>
      <c r="AL23" s="630">
        <f>ROUND(Cars!BI$41*Cars!BL63*Cars!BL$51/1000,3)</f>
        <v>1192.798</v>
      </c>
      <c r="AM23" s="630">
        <f>ROUND(Cars!BJ$41*Cars!BM63*Cars!BM$51/1000,3)</f>
        <v>663.92600000000004</v>
      </c>
      <c r="AN23" s="630">
        <f>ROUND(Cars!BK$41*Cars!BN63*Cars!BN$51/1000,3)</f>
        <v>281.64299999999997</v>
      </c>
      <c r="AO23" s="630">
        <f>ROUND(Cars!BL$41*Cars!BO63*Cars!BO$51/1000,3)</f>
        <v>80.77</v>
      </c>
      <c r="AP23" s="630">
        <f>ROUND(Cars!BM$41*Cars!BP63*Cars!BP$51/1000,3)</f>
        <v>13.53</v>
      </c>
      <c r="AQ23" s="630">
        <f>ROUND(Cars!BN$41*Cars!BQ63*Cars!BQ$51/1000,3)</f>
        <v>1.127</v>
      </c>
      <c r="AR23" s="631">
        <f>ROUND(Cars!BO$41*Cars!BR63*Cars!BR$51/1000,3)</f>
        <v>3.9E-2</v>
      </c>
      <c r="AS23" s="629"/>
      <c r="AY23" s="629"/>
      <c r="AZ23" s="620">
        <v>16</v>
      </c>
      <c r="BA23" s="621">
        <f>AVERAGE('SE CarData'!B38:C38)</f>
        <v>86355</v>
      </c>
      <c r="BB23" s="621">
        <f>AVERAGE('SE CarData'!D38:E38)</f>
        <v>99806.5</v>
      </c>
      <c r="BC23" s="622">
        <f>AVERAGE('SE CarData'!F38:G38)</f>
        <v>145551.5</v>
      </c>
      <c r="BD23" s="629"/>
      <c r="BE23" s="629"/>
      <c r="BF23" s="629"/>
      <c r="BG23" s="674">
        <f>AZ19</f>
        <v>12</v>
      </c>
      <c r="BH23" s="675">
        <f t="shared" ref="BH23:BO25" si="12">ROUND(IFERROR($BC19/INDEX($BU$15:$DI$16,2,$AZ19+1)*INDEX($BU$15:$DI$16,2,(BH$6-$BC$6+1+$AZ19)+1),0),0)</f>
        <v>173500</v>
      </c>
      <c r="BI23" s="675">
        <f t="shared" si="12"/>
        <v>92382</v>
      </c>
      <c r="BJ23" s="675">
        <f t="shared" si="12"/>
        <v>30172</v>
      </c>
      <c r="BK23" s="675">
        <f t="shared" si="12"/>
        <v>5174</v>
      </c>
      <c r="BL23" s="675">
        <f t="shared" si="12"/>
        <v>396</v>
      </c>
      <c r="BM23" s="675">
        <f t="shared" si="12"/>
        <v>11</v>
      </c>
      <c r="BN23" s="675">
        <f t="shared" si="12"/>
        <v>0</v>
      </c>
      <c r="BO23" s="676">
        <f t="shared" si="12"/>
        <v>0</v>
      </c>
      <c r="BP23" s="629"/>
      <c r="BQ23" s="629"/>
      <c r="BR23" s="629"/>
      <c r="BS23" s="629"/>
      <c r="BT23" s="184"/>
      <c r="DK23" s="2479"/>
      <c r="DL23" s="234" t="str">
        <f>Commodities!$D$6</f>
        <v>TPCAX</v>
      </c>
      <c r="DM23" s="1682">
        <f t="shared" si="2"/>
        <v>0.16846198368370069</v>
      </c>
      <c r="DN23" s="1682">
        <f>$DM$23*M23</f>
        <v>1.684619836837007E-2</v>
      </c>
      <c r="DO23" s="234"/>
      <c r="DP23" s="605"/>
      <c r="DQ23" s="2494"/>
    </row>
    <row r="24" spans="1:122">
      <c r="A24"/>
      <c r="B24" s="765" t="s">
        <v>601</v>
      </c>
      <c r="F24" s="754" t="str">
        <f>Commodities!$D$7</f>
        <v>TPCAS</v>
      </c>
      <c r="G24" s="754" t="s">
        <v>3603</v>
      </c>
      <c r="H24" s="2347"/>
      <c r="I24" s="2472"/>
      <c r="J24" s="859">
        <f>VLOOKUP(VLOOKUP($E23,$S$136:$T$140,2,0),$AH$130:$AR$134,MATCH(VALUE(RIGHT(J$5,4)),$AH$5:$AR$5,0),0)</f>
        <v>1431.7402692719502</v>
      </c>
      <c r="K24" s="2432">
        <f>VLOOKUP(VLOOKUP($E23,$S$136:$T$140,2,0),$AH$130:$AR$134,MATCH(VALUE(RIGHT(K$5,4)),$AH$5:$AR$5,0),0)</f>
        <v>1431.7402692719506</v>
      </c>
      <c r="L24" s="765"/>
      <c r="M24" s="1947">
        <f t="shared" ref="M24:M26" si="13">AC136</f>
        <v>0.4</v>
      </c>
      <c r="N24" s="604">
        <v>5</v>
      </c>
      <c r="O24" s="2320"/>
      <c r="P24" s="2320"/>
      <c r="Q24" s="2320"/>
      <c r="R24" s="2320"/>
      <c r="S24" s="2320"/>
      <c r="T24" s="2320"/>
      <c r="U24" s="2320"/>
      <c r="V24" s="2320"/>
      <c r="W24" s="2320"/>
      <c r="X24" s="2320"/>
      <c r="Y24" s="467"/>
      <c r="Z24" s="467"/>
      <c r="AA24" s="784">
        <f>H23*I23*L23*M24*O23</f>
        <v>6.7384793473480267E-2</v>
      </c>
      <c r="AB24" s="784"/>
      <c r="AC24" s="784"/>
      <c r="AD24" s="784"/>
      <c r="AE24" s="784"/>
      <c r="AF24" s="629"/>
      <c r="AG24" s="3055"/>
      <c r="AH24" s="612" t="s">
        <v>61</v>
      </c>
      <c r="AI24" s="632">
        <f>ROUND(Cars!BA$33*Cars!BH$51*Cars!BH64/1000,3)</f>
        <v>402.68700000000001</v>
      </c>
      <c r="AJ24" s="632">
        <f>ROUND(Cars!BB$33*Cars!BI$51*Cars!BI64/1000,3)</f>
        <v>665.98299999999995</v>
      </c>
      <c r="AK24" s="632">
        <f>ROUND(Cars!BH$41*Cars!BK64*Cars!BK$51/1000,3)</f>
        <v>763.86900000000003</v>
      </c>
      <c r="AL24" s="632">
        <f>ROUND(Cars!BI$41*Cars!BL64*Cars!BL$51/1000,3)</f>
        <v>517.46</v>
      </c>
      <c r="AM24" s="632">
        <f>ROUND(Cars!BJ$41*Cars!BM64*Cars!BM$51/1000,3)</f>
        <v>288.024</v>
      </c>
      <c r="AN24" s="632">
        <f>ROUND(Cars!BK$41*Cars!BN64*Cars!BN$51/1000,3)</f>
        <v>122.182</v>
      </c>
      <c r="AO24" s="632">
        <f>ROUND(Cars!BL$41*Cars!BO64*Cars!BO$51/1000,3)</f>
        <v>35.04</v>
      </c>
      <c r="AP24" s="632">
        <f>ROUND(Cars!BM$41*Cars!BP64*Cars!BP$51/1000,3)</f>
        <v>5.8689999999999998</v>
      </c>
      <c r="AQ24" s="632">
        <f>ROUND(Cars!BN$41*Cars!BQ64*Cars!BQ$51/1000,3)</f>
        <v>0.48899999999999999</v>
      </c>
      <c r="AR24" s="633">
        <f>ROUND(Cars!BO$41*Cars!BR64*Cars!BR$51/1000,3)</f>
        <v>1.7000000000000001E-2</v>
      </c>
      <c r="AS24" s="629"/>
      <c r="AY24" s="629"/>
      <c r="AZ24" s="620">
        <v>17</v>
      </c>
      <c r="BA24" s="621">
        <f>AVERAGE('SE CarData'!B39:C39)</f>
        <v>64282</v>
      </c>
      <c r="BB24" s="621">
        <f>AVERAGE('SE CarData'!D39:E39)</f>
        <v>77620.5</v>
      </c>
      <c r="BC24" s="622">
        <f>AVERAGE('SE CarData'!F39:G39)</f>
        <v>97734</v>
      </c>
      <c r="BD24" s="629"/>
      <c r="BE24" s="629"/>
      <c r="BF24" s="629"/>
      <c r="BG24" s="674">
        <f>AZ20</f>
        <v>13</v>
      </c>
      <c r="BH24" s="675">
        <f t="shared" si="12"/>
        <v>176590</v>
      </c>
      <c r="BI24" s="675">
        <f t="shared" si="12"/>
        <v>86309</v>
      </c>
      <c r="BJ24" s="675">
        <f t="shared" si="12"/>
        <v>25096</v>
      </c>
      <c r="BK24" s="675">
        <f t="shared" si="12"/>
        <v>3711</v>
      </c>
      <c r="BL24" s="675">
        <f t="shared" si="12"/>
        <v>237</v>
      </c>
      <c r="BM24" s="675">
        <f t="shared" si="12"/>
        <v>6</v>
      </c>
      <c r="BN24" s="675">
        <f t="shared" si="12"/>
        <v>0</v>
      </c>
      <c r="BO24" s="676">
        <f t="shared" si="12"/>
        <v>0</v>
      </c>
      <c r="BP24" s="629"/>
      <c r="BQ24" s="629"/>
      <c r="BR24" s="629"/>
      <c r="BS24" s="629"/>
      <c r="DK24" s="2479"/>
      <c r="DL24" s="234" t="str">
        <f>Commodities!$D$7</f>
        <v>TPCAS</v>
      </c>
      <c r="DM24" s="1682">
        <f t="shared" si="2"/>
        <v>0</v>
      </c>
      <c r="DN24" s="1682">
        <f>$DM$23*M24</f>
        <v>6.7384793473480281E-2</v>
      </c>
      <c r="DO24" s="234"/>
      <c r="DP24" s="605"/>
      <c r="DQ24" s="2494"/>
    </row>
    <row r="25" spans="1:122">
      <c r="A25"/>
      <c r="B25" s="765" t="s">
        <v>601</v>
      </c>
      <c r="C25" s="543"/>
      <c r="D25" s="543"/>
      <c r="F25" s="754" t="str">
        <f>Commodities!$D$8</f>
        <v>TPCAM</v>
      </c>
      <c r="G25" s="754" t="s">
        <v>3603</v>
      </c>
      <c r="H25" s="1538"/>
      <c r="I25" s="2472"/>
      <c r="J25" s="859">
        <f>VLOOKUP(VLOOKUP($E23,$S$136:$T$140,2,0),$AH$155:$AR$159,MATCH(VALUE(RIGHT(J$5,4)),$AH$5:$AR$5,0),0)</f>
        <v>1431.7402692719502</v>
      </c>
      <c r="K25" s="2432">
        <f>VLOOKUP(VLOOKUP($E23,$S$136:$T$140,2,0),$AH$155:$AR$159,MATCH(VALUE(RIGHT(K$5,4)),$AH$5:$AR$5,0),0)</f>
        <v>1431.7402692719506</v>
      </c>
      <c r="L25" s="467"/>
      <c r="M25" s="1947">
        <f t="shared" si="13"/>
        <v>0.4</v>
      </c>
      <c r="N25" s="604">
        <v>5</v>
      </c>
      <c r="O25" s="863"/>
      <c r="P25" s="863"/>
      <c r="Q25" s="863"/>
      <c r="R25" s="863"/>
      <c r="S25" s="863"/>
      <c r="T25" s="863"/>
      <c r="U25" s="863"/>
      <c r="V25" s="863"/>
      <c r="W25" s="863"/>
      <c r="X25" s="863"/>
      <c r="Y25" s="467"/>
      <c r="Z25" s="467"/>
      <c r="AA25" s="784">
        <f>H23*I23*L23*M25*O23</f>
        <v>6.7384793473480267E-2</v>
      </c>
      <c r="AB25" s="784"/>
      <c r="AC25" s="784"/>
      <c r="AD25" s="784"/>
      <c r="AE25" s="784"/>
      <c r="AF25" s="629"/>
      <c r="AG25" s="3055"/>
      <c r="AH25" s="612" t="s">
        <v>51</v>
      </c>
      <c r="AI25" s="632">
        <f>ROUND(Cars!BA$33*Cars!BH$51*Cars!BH65/1000,3)</f>
        <v>0</v>
      </c>
      <c r="AJ25" s="632">
        <f>ROUND(Cars!BB$33*Cars!BI$51*Cars!BI65/1000,3)</f>
        <v>0</v>
      </c>
      <c r="AK25" s="632">
        <f>ROUND(Cars!BH$41*Cars!BK65*Cars!BK$51/1000,3)</f>
        <v>0</v>
      </c>
      <c r="AL25" s="632">
        <f>ROUND(Cars!BI$41*Cars!BL65*Cars!BL$51/1000,3)</f>
        <v>0</v>
      </c>
      <c r="AM25" s="632">
        <f>ROUND(Cars!BJ$41*Cars!BM65*Cars!BM$51/1000,3)</f>
        <v>0</v>
      </c>
      <c r="AN25" s="632">
        <f>ROUND(Cars!BK$41*Cars!BN65*Cars!BN$51/1000,3)</f>
        <v>0</v>
      </c>
      <c r="AO25" s="632">
        <f>ROUND(Cars!BL$41*Cars!BO65*Cars!BO$51/1000,3)</f>
        <v>0</v>
      </c>
      <c r="AP25" s="632">
        <f>ROUND(Cars!BM$41*Cars!BP65*Cars!BP$51/1000,3)</f>
        <v>0</v>
      </c>
      <c r="AQ25" s="632">
        <f>ROUND(Cars!BN$41*Cars!BQ65*Cars!BQ$51/1000,3)</f>
        <v>0</v>
      </c>
      <c r="AR25" s="633">
        <f>ROUND(Cars!BO$41*Cars!BR65*Cars!BR$51/1000,3)</f>
        <v>0</v>
      </c>
      <c r="AS25" s="629"/>
      <c r="AU25" s="250"/>
      <c r="AY25" s="629"/>
      <c r="AZ25" s="620">
        <v>18</v>
      </c>
      <c r="BA25" s="621">
        <f>AVERAGE('SE CarData'!B40:C40)</f>
        <v>77581</v>
      </c>
      <c r="BB25" s="621">
        <f>AVERAGE('SE CarData'!D40:E40)</f>
        <v>257294</v>
      </c>
      <c r="BC25" s="622">
        <f>AVERAGE('SE CarData'!F40:G40)</f>
        <v>470698.5</v>
      </c>
      <c r="BD25" s="629"/>
      <c r="BE25" s="629"/>
      <c r="BF25" s="629"/>
      <c r="BG25" s="674">
        <f>AZ21</f>
        <v>14</v>
      </c>
      <c r="BH25" s="675">
        <f t="shared" si="12"/>
        <v>201892</v>
      </c>
      <c r="BI25" s="675">
        <f t="shared" si="12"/>
        <v>90034</v>
      </c>
      <c r="BJ25" s="675">
        <f t="shared" si="12"/>
        <v>23161</v>
      </c>
      <c r="BK25" s="675">
        <f t="shared" si="12"/>
        <v>2934</v>
      </c>
      <c r="BL25" s="675">
        <f t="shared" si="12"/>
        <v>155</v>
      </c>
      <c r="BM25" s="675">
        <f t="shared" si="12"/>
        <v>0</v>
      </c>
      <c r="BN25" s="675">
        <f t="shared" si="12"/>
        <v>0</v>
      </c>
      <c r="BO25" s="676">
        <f t="shared" si="12"/>
        <v>0</v>
      </c>
      <c r="BP25" s="629"/>
      <c r="BQ25" s="629"/>
      <c r="BR25" s="629"/>
      <c r="BS25" s="629"/>
      <c r="DK25" s="2479"/>
      <c r="DL25" s="234" t="str">
        <f>Commodities!$D8</f>
        <v>TPCAM</v>
      </c>
      <c r="DM25" s="1682">
        <f t="shared" si="2"/>
        <v>0</v>
      </c>
      <c r="DN25" s="1682">
        <f>$DM$23*M25</f>
        <v>6.7384793473480281E-2</v>
      </c>
      <c r="DO25" s="234"/>
      <c r="DP25" s="605"/>
      <c r="DQ25" s="2494"/>
    </row>
    <row r="26" spans="1:122" s="754" customFormat="1">
      <c r="B26" s="765" t="s">
        <v>601</v>
      </c>
      <c r="C26" s="543"/>
      <c r="D26" s="543"/>
      <c r="F26" s="754" t="str">
        <f>Commodities!$D$9</f>
        <v>TPCAL</v>
      </c>
      <c r="G26" s="754" t="s">
        <v>3603</v>
      </c>
      <c r="H26" s="1538"/>
      <c r="I26" s="2472"/>
      <c r="J26" s="859">
        <f>VLOOKUP(VLOOKUP($E23,$S$136:$T$140,2,0),$AH$180:$AR$184,MATCH(VALUE(RIGHT(J$5,4)),$AH$5:$AR$5,0),0)</f>
        <v>1431.7402692719502</v>
      </c>
      <c r="K26" s="2432">
        <f>VLOOKUP(VLOOKUP($E23,$S$136:$T$140,2,0),$AH$180:$AR$184,MATCH(VALUE(RIGHT(K$5,4)),$AH$5:$AR$5,0),0)</f>
        <v>1431.7402692719506</v>
      </c>
      <c r="L26" s="467"/>
      <c r="M26" s="1947">
        <f t="shared" si="13"/>
        <v>0.1</v>
      </c>
      <c r="N26" s="604">
        <v>5</v>
      </c>
      <c r="O26" s="863"/>
      <c r="P26" s="863"/>
      <c r="Q26" s="863"/>
      <c r="R26" s="863"/>
      <c r="S26" s="863"/>
      <c r="T26" s="863"/>
      <c r="U26" s="863"/>
      <c r="V26" s="863"/>
      <c r="W26" s="863"/>
      <c r="X26" s="863"/>
      <c r="Y26" s="467"/>
      <c r="Z26" s="467"/>
      <c r="AA26" s="784">
        <f>H23*I23*L23*M26*O23</f>
        <v>1.6846198368370067E-2</v>
      </c>
      <c r="AB26" s="784"/>
      <c r="AC26" s="784"/>
      <c r="AD26" s="784"/>
      <c r="AE26" s="784"/>
      <c r="AF26" s="629"/>
      <c r="AG26" s="3055"/>
      <c r="AH26" s="612"/>
      <c r="AI26" s="632"/>
      <c r="AJ26" s="632"/>
      <c r="AK26" s="632"/>
      <c r="AL26" s="632"/>
      <c r="AM26" s="632"/>
      <c r="AN26" s="632"/>
      <c r="AO26" s="632"/>
      <c r="AP26" s="632"/>
      <c r="AQ26" s="632"/>
      <c r="AR26" s="633"/>
      <c r="AS26" s="629"/>
      <c r="AY26" s="629"/>
      <c r="AZ26" s="620">
        <v>19</v>
      </c>
      <c r="BA26" s="621">
        <f>AVERAGE('SE CarData'!B41:C41)</f>
        <v>208266.5</v>
      </c>
      <c r="BB26" s="621">
        <f>AVERAGE('SE CarData'!D41:E41)</f>
        <v>0</v>
      </c>
      <c r="BC26" s="622">
        <f>AVERAGE('SE CarData'!F41:G41)</f>
        <v>0</v>
      </c>
      <c r="BD26" s="629"/>
      <c r="BE26" s="629"/>
      <c r="BF26" s="629"/>
      <c r="BG26" s="674"/>
      <c r="BH26" s="675"/>
      <c r="BI26" s="675"/>
      <c r="BJ26" s="675"/>
      <c r="BK26" s="675"/>
      <c r="BL26" s="675"/>
      <c r="BM26" s="675"/>
      <c r="BN26" s="675"/>
      <c r="BO26" s="676"/>
      <c r="BP26" s="629"/>
      <c r="BQ26" s="629"/>
      <c r="BR26" s="629"/>
      <c r="BS26" s="629"/>
      <c r="DK26" s="2479"/>
      <c r="DL26" s="234" t="str">
        <f>Commodities!$D9</f>
        <v>TPCAL</v>
      </c>
      <c r="DM26" s="1682">
        <f t="shared" si="2"/>
        <v>0</v>
      </c>
      <c r="DN26" s="1682">
        <f>$DM$23*M26</f>
        <v>1.684619836837007E-2</v>
      </c>
      <c r="DO26" s="234"/>
      <c r="DP26" s="605"/>
      <c r="DQ26" s="2494"/>
    </row>
    <row r="27" spans="1:122">
      <c r="A27"/>
      <c r="B27" s="765" t="s">
        <v>601</v>
      </c>
      <c r="C27" s="754" t="str">
        <f>Processes!$D$11</f>
        <v>TPCAGSBX1E</v>
      </c>
      <c r="D27" s="542" t="str">
        <f>Processes!$E$11</f>
        <v>Transport Passengers Cars -Ethanol- Average size - Existing</v>
      </c>
      <c r="E27" s="865" t="str">
        <f>Commodities!D89</f>
        <v>TRAGSBL5</v>
      </c>
      <c r="F27" s="754" t="str">
        <f>Commodities!$D$6</f>
        <v>TPCAX</v>
      </c>
      <c r="G27" s="754" t="s">
        <v>3603</v>
      </c>
      <c r="H27" s="610">
        <v>1E-3</v>
      </c>
      <c r="I27" s="2472">
        <f>VLOOKUP(VLOOKUP(E27,$S$136:$T$141,2,0),$AH$40:$AI$47,MATCH(VALUE(RIGHT(I$5,4)),$AH$5:$AR$5,0),0)</f>
        <v>1.7189998335071497</v>
      </c>
      <c r="J27" s="2351">
        <f>VLOOKUP(VLOOKUP($E27,$S$136:$T$141,2,0),$AH$105:$AR$110,MATCH(VALUE(RIGHT(J$5,4)),$AH$5:$AR$5,0),0)</f>
        <v>211.5191783490703</v>
      </c>
      <c r="K27" s="1109">
        <f>VLOOKUP(VLOOKUP($E27,$S$136:$T$141,2,0),$AH$105:$AR$110,MATCH(VALUE(RIGHT(K$5,4)),$AH$5:$AR$5,0),0)</f>
        <v>216.72334595739218</v>
      </c>
      <c r="L27" s="1109">
        <f>VLOOKUP(VLOOKUP($E27,$S$136:$T$141,2,0),$AH$73:$AR$80,MATCH(VALUE(RIGHT(L$5,4)),$AH$5:$AR$5,0),0)</f>
        <v>12887.692725004867</v>
      </c>
      <c r="M27" s="12">
        <f>$X$135</f>
        <v>5.0803730281783234E-2</v>
      </c>
      <c r="N27" s="604">
        <v>5</v>
      </c>
      <c r="O27" s="2175">
        <f t="shared" ref="O27:X27" si="14">VLOOKUP(VLOOKUP($E27,$S$136:$T$141,2,0),$AH$7:$AR$13,MATCH(VALUE(RIGHT(O$5,4)),$AH$5:$AR$5,0),0)</f>
        <v>8.1440000000000001</v>
      </c>
      <c r="P27" s="2175">
        <f t="shared" si="14"/>
        <v>7.7919999999999998</v>
      </c>
      <c r="Q27" s="2175">
        <f t="shared" si="14"/>
        <v>8.0939999999999994</v>
      </c>
      <c r="R27" s="2175">
        <f t="shared" si="14"/>
        <v>4.9139999999999997</v>
      </c>
      <c r="S27" s="2175">
        <f t="shared" si="14"/>
        <v>2.7349999999999999</v>
      </c>
      <c r="T27" s="2175">
        <f t="shared" si="14"/>
        <v>1.1599999999999999</v>
      </c>
      <c r="U27" s="2175">
        <f t="shared" si="14"/>
        <v>0.33300000000000002</v>
      </c>
      <c r="V27" s="2175">
        <f t="shared" si="14"/>
        <v>5.6000000000000001E-2</v>
      </c>
      <c r="W27" s="2175">
        <f t="shared" si="14"/>
        <v>5.0000000000000001E-3</v>
      </c>
      <c r="X27" s="2175">
        <f t="shared" si="14"/>
        <v>0</v>
      </c>
      <c r="Y27" s="765">
        <v>3.5E-4</v>
      </c>
      <c r="Z27" s="765"/>
      <c r="AA27" s="784">
        <f>H27*I27*L27*M27*O27</f>
        <v>9.1660954237121413</v>
      </c>
      <c r="AB27" s="784"/>
      <c r="AC27" s="784"/>
      <c r="AD27" s="784"/>
      <c r="AE27" s="784"/>
      <c r="AF27" s="629"/>
      <c r="AG27" s="3055"/>
      <c r="AH27" s="612" t="s">
        <v>577</v>
      </c>
      <c r="AI27" s="632">
        <f>ROUND(Cars!BA$33*Cars!BH$51*Cars!BH67/1000,3)</f>
        <v>16.579000000000001</v>
      </c>
      <c r="AJ27" s="632">
        <f>ROUND(Cars!BB$33*Cars!BI$51*Cars!BI67/1000,3)</f>
        <v>23.276</v>
      </c>
      <c r="AK27" s="632">
        <f>ROUND(Cars!BH$41*Cars!BK67*Cars!BK$51/1000,3)</f>
        <v>24.262</v>
      </c>
      <c r="AL27" s="632">
        <f>ROUND(Cars!BI$41*Cars!BL67*Cars!BL$51/1000,3)</f>
        <v>16.434999999999999</v>
      </c>
      <c r="AM27" s="632">
        <f>ROUND(Cars!BJ$41*Cars!BM67*Cars!BM$51/1000,3)</f>
        <v>9.1479999999999997</v>
      </c>
      <c r="AN27" s="632">
        <f>ROUND(Cars!BK$41*Cars!BN67*Cars!BN$51/1000,3)</f>
        <v>3.8809999999999998</v>
      </c>
      <c r="AO27" s="632">
        <f>ROUND(Cars!BL$41*Cars!BO67*Cars!BO$51/1000,3)</f>
        <v>1.113</v>
      </c>
      <c r="AP27" s="632">
        <f>ROUND(Cars!BM$41*Cars!BP67*Cars!BP$51/1000,3)</f>
        <v>0.186</v>
      </c>
      <c r="AQ27" s="632">
        <f>ROUND(Cars!BN$41*Cars!BQ67*Cars!BQ$51/1000,3)</f>
        <v>1.6E-2</v>
      </c>
      <c r="AR27" s="633">
        <f>ROUND(Cars!BO$41*Cars!BR67*Cars!BR$51/1000,3)</f>
        <v>1E-3</v>
      </c>
      <c r="AS27" s="629"/>
      <c r="AU27" s="754"/>
      <c r="AV27" s="754"/>
      <c r="AY27" s="629"/>
      <c r="AZ27" s="620">
        <v>20</v>
      </c>
      <c r="BA27" s="621">
        <f>AVERAGE('SE CarData'!B42:C42)</f>
        <v>208266.5</v>
      </c>
      <c r="BB27" s="621">
        <f>AVERAGE('SE CarData'!D42:E42)</f>
        <v>0</v>
      </c>
      <c r="BC27" s="622">
        <f>AVERAGE('SE CarData'!F42:G42)</f>
        <v>0</v>
      </c>
      <c r="BD27" s="629"/>
      <c r="BE27" s="629"/>
      <c r="BF27" s="629"/>
      <c r="BG27" s="674">
        <f>AZ22</f>
        <v>15</v>
      </c>
      <c r="BH27" s="675">
        <f t="shared" ref="BH27:BO29" si="15">ROUND(IFERROR($BC22/INDEX($BU$15:$DI$16,2,$AZ22+1)*INDEX($BU$15:$DI$16,2,(BH$6-$BC$6+1+$AZ22)+1),0),0)</f>
        <v>171375</v>
      </c>
      <c r="BI27" s="675">
        <f t="shared" si="15"/>
        <v>69311</v>
      </c>
      <c r="BJ27" s="675">
        <f t="shared" si="15"/>
        <v>15675</v>
      </c>
      <c r="BK27" s="675">
        <f t="shared" si="15"/>
        <v>1690</v>
      </c>
      <c r="BL27" s="675">
        <f t="shared" si="15"/>
        <v>74</v>
      </c>
      <c r="BM27" s="675">
        <f t="shared" si="15"/>
        <v>0</v>
      </c>
      <c r="BN27" s="675">
        <f t="shared" si="15"/>
        <v>0</v>
      </c>
      <c r="BO27" s="676">
        <f t="shared" si="15"/>
        <v>0</v>
      </c>
      <c r="BP27" s="629"/>
      <c r="BQ27" s="629"/>
      <c r="BR27" s="629"/>
      <c r="BS27" s="629"/>
      <c r="DK27" s="2479"/>
      <c r="DL27" s="234" t="str">
        <f>DL23</f>
        <v>TPCAX</v>
      </c>
      <c r="DM27" s="1682">
        <f t="shared" si="2"/>
        <v>180.42170078599213</v>
      </c>
      <c r="DN27" s="1682">
        <f>$DM$27*M27</f>
        <v>9.166095423712143</v>
      </c>
      <c r="DO27" s="234" t="str">
        <f>Commodities!$D$6</f>
        <v>TPCAX</v>
      </c>
      <c r="DP27" s="605">
        <f>DN7+DN11+DN15+DN19+DN23+DN27</f>
        <v>194.5638992865087</v>
      </c>
      <c r="DQ27" s="2494">
        <f>DP27*$DQ$6</f>
        <v>192.6182602936436</v>
      </c>
      <c r="DR27" s="12"/>
    </row>
    <row r="28" spans="1:122">
      <c r="A28"/>
      <c r="B28" s="765" t="s">
        <v>601</v>
      </c>
      <c r="F28" s="754" t="str">
        <f>Commodities!$D$7</f>
        <v>TPCAS</v>
      </c>
      <c r="G28" s="754" t="s">
        <v>3603</v>
      </c>
      <c r="H28" s="467"/>
      <c r="I28" s="2008"/>
      <c r="J28" s="2351">
        <f>VLOOKUP(VLOOKUP($E27,$S$136:$T$141,2,0),$AH$130:$AR$135,MATCH(VALUE(RIGHT(J$5,4)),$AH$5:$AR$5,0),0)</f>
        <v>266.99961857177726</v>
      </c>
      <c r="K28" s="1109">
        <f>VLOOKUP(VLOOKUP($E27,$S$136:$T$141,2,0),$AH$130:$AR$135,MATCH(VALUE(RIGHT(K$5,4)),$AH$5:$AR$5,0),0)</f>
        <v>273.56881374949506</v>
      </c>
      <c r="L28" s="467"/>
      <c r="M28" s="12">
        <f>$X$136</f>
        <v>0.25356727683990965</v>
      </c>
      <c r="N28" s="604">
        <v>5</v>
      </c>
      <c r="O28" s="863"/>
      <c r="P28" s="863"/>
      <c r="Q28" s="863"/>
      <c r="R28" s="863"/>
      <c r="S28" s="863"/>
      <c r="T28" s="863"/>
      <c r="U28" s="863"/>
      <c r="V28" s="863"/>
      <c r="W28" s="863"/>
      <c r="X28" s="863"/>
      <c r="Y28" s="765"/>
      <c r="Z28" s="765"/>
      <c r="AA28" s="784">
        <f>H27*I27*L27*M28*O27</f>
        <v>45.749039351129007</v>
      </c>
      <c r="AB28" s="784"/>
      <c r="AC28" s="784"/>
      <c r="AD28" s="784"/>
      <c r="AE28" s="784"/>
      <c r="AF28" s="629"/>
      <c r="AG28" s="3055"/>
      <c r="AH28" s="612" t="s">
        <v>49</v>
      </c>
      <c r="AI28" s="727">
        <f>ROUND(Cars!BA$33*Cars!BH$51*Cars!BH68/1000,3)</f>
        <v>0.126</v>
      </c>
      <c r="AJ28" s="632">
        <f>ROUND(Cars!BB$33*Cars!BI$51*Cars!BI68/1000,3)</f>
        <v>19.332999999999998</v>
      </c>
      <c r="AK28" s="632">
        <f>ROUND(Cars!BH$41*Cars!BK68*Cars!BK$51/1000,3)</f>
        <v>29.106999999999999</v>
      </c>
      <c r="AL28" s="632">
        <f>ROUND(Cars!BI$41*Cars!BL68*Cars!BL$51/1000,3)</f>
        <v>19.716999999999999</v>
      </c>
      <c r="AM28" s="632">
        <f>ROUND(Cars!BJ$41*Cars!BM68*Cars!BM$51/1000,3)</f>
        <v>10.975</v>
      </c>
      <c r="AN28" s="632">
        <f>ROUND(Cars!BK$41*Cars!BN68*Cars!BN$51/1000,3)</f>
        <v>4.6559999999999997</v>
      </c>
      <c r="AO28" s="632">
        <f>ROUND(Cars!BL$41*Cars!BO68*Cars!BO$51/1000,3)</f>
        <v>1.335</v>
      </c>
      <c r="AP28" s="632">
        <f>ROUND(Cars!BM$41*Cars!BP68*Cars!BP$51/1000,3)</f>
        <v>0.224</v>
      </c>
      <c r="AQ28" s="632">
        <f>ROUND(Cars!BN$41*Cars!BQ68*Cars!BQ$51/1000,3)</f>
        <v>1.9E-2</v>
      </c>
      <c r="AR28" s="633">
        <f>ROUND(Cars!BO$41*Cars!BR68*Cars!BR$51/1000,3)</f>
        <v>1E-3</v>
      </c>
      <c r="AS28" s="629"/>
      <c r="AU28" s="754"/>
      <c r="AV28" s="754"/>
      <c r="AY28" s="629"/>
      <c r="AZ28" s="620">
        <v>21</v>
      </c>
      <c r="BA28" s="621">
        <f>AVERAGE('SE CarData'!B43:C43)</f>
        <v>0</v>
      </c>
      <c r="BB28" s="621">
        <f>AVERAGE('SE CarData'!D43:E43)</f>
        <v>0</v>
      </c>
      <c r="BC28" s="622">
        <f>AVERAGE('SE CarData'!F43:G43)</f>
        <v>0</v>
      </c>
      <c r="BD28" s="629"/>
      <c r="BE28" s="629"/>
      <c r="BF28" s="629"/>
      <c r="BG28" s="674">
        <f>AZ23</f>
        <v>16</v>
      </c>
      <c r="BH28" s="675">
        <f t="shared" si="15"/>
        <v>111462</v>
      </c>
      <c r="BI28" s="675">
        <f t="shared" si="15"/>
        <v>40635</v>
      </c>
      <c r="BJ28" s="675">
        <f t="shared" si="15"/>
        <v>8028</v>
      </c>
      <c r="BK28" s="675">
        <f t="shared" si="15"/>
        <v>732</v>
      </c>
      <c r="BL28" s="675">
        <f t="shared" si="15"/>
        <v>26</v>
      </c>
      <c r="BM28" s="675">
        <f t="shared" si="15"/>
        <v>0</v>
      </c>
      <c r="BN28" s="675">
        <f t="shared" si="15"/>
        <v>0</v>
      </c>
      <c r="BO28" s="676">
        <f t="shared" si="15"/>
        <v>0</v>
      </c>
      <c r="BP28" s="629"/>
      <c r="BQ28" s="629"/>
      <c r="BR28" s="629"/>
      <c r="BS28" s="629"/>
      <c r="DK28" s="2479"/>
      <c r="DL28" s="234" t="str">
        <f>DL24</f>
        <v>TPCAS</v>
      </c>
      <c r="DM28" s="1682">
        <f t="shared" si="2"/>
        <v>0</v>
      </c>
      <c r="DN28" s="1682">
        <f>$DM$27*M28</f>
        <v>45.749039351129014</v>
      </c>
      <c r="DO28" s="234" t="str">
        <f>Commodities!$D$7</f>
        <v>TPCAS</v>
      </c>
      <c r="DP28" s="605">
        <f>DN8+DN12+DN16+DN20+DN24+DN28</f>
        <v>971.07416313781255</v>
      </c>
      <c r="DQ28" s="2494">
        <f>DP28*$DQ$6</f>
        <v>961.36342150643441</v>
      </c>
      <c r="DR28" s="12"/>
    </row>
    <row r="29" spans="1:122">
      <c r="A29"/>
      <c r="B29" s="765" t="s">
        <v>601</v>
      </c>
      <c r="F29" s="754" t="str">
        <f>Commodities!$D$8</f>
        <v>TPCAM</v>
      </c>
      <c r="G29" s="754" t="s">
        <v>3603</v>
      </c>
      <c r="H29" s="2011"/>
      <c r="I29" s="765"/>
      <c r="J29" s="2351">
        <f>VLOOKUP(VLOOKUP($E27,$S$136:$T$141,2,0),$AH$155:$AR$160,MATCH(VALUE(RIGHT(J$5,4)),$AH$5:$AR$5,0),0)</f>
        <v>346.75275139191854</v>
      </c>
      <c r="K29" s="1109">
        <f>VLOOKUP(VLOOKUP($E27,$S$136:$T$141,2,0),$AH$155:$AR$160,MATCH(VALUE(RIGHT(K$5,4)),$AH$5:$AR$5,0),0)</f>
        <v>355.28417370064295</v>
      </c>
      <c r="L29" s="467"/>
      <c r="M29" s="12">
        <f>$X$137</f>
        <v>0.19568103798130093</v>
      </c>
      <c r="N29" s="604">
        <v>5</v>
      </c>
      <c r="O29" s="863"/>
      <c r="P29" s="863"/>
      <c r="Q29" s="863"/>
      <c r="R29" s="863"/>
      <c r="S29" s="863"/>
      <c r="T29" s="863"/>
      <c r="U29" s="863"/>
      <c r="V29" s="863"/>
      <c r="W29" s="863"/>
      <c r="X29" s="863"/>
      <c r="Y29" s="765"/>
      <c r="Z29" s="765"/>
      <c r="AA29" s="784">
        <f>H27*I27*L27*M29*O27</f>
        <v>35.305105684154633</v>
      </c>
      <c r="AB29" s="784"/>
      <c r="AC29" s="784"/>
      <c r="AD29" s="784"/>
      <c r="AE29" s="784"/>
      <c r="AF29" s="629"/>
      <c r="AG29" s="461"/>
      <c r="AH29" s="613" t="s">
        <v>607</v>
      </c>
      <c r="AI29" s="728">
        <f>ROUND(Cars!BA$33*Cars!BH$51*Cars!BH71/1000,3)</f>
        <v>148.58000000000001</v>
      </c>
      <c r="AJ29" s="634">
        <f>ROUND(Cars!BB$33*Cars!BI$51*Cars!BI71/1000,3)</f>
        <v>142.62700000000001</v>
      </c>
      <c r="AK29" s="634">
        <f>ROUND(Cars!BH$41*Cars!BK71*Cars!BK$51/1000,3)</f>
        <v>134.16999999999999</v>
      </c>
      <c r="AL29" s="634">
        <f>ROUND(Cars!BI$41*Cars!BL71*Cars!BL$51/1000,3)</f>
        <v>90.89</v>
      </c>
      <c r="AM29" s="634">
        <f>ROUND(Cars!BJ$41*Cars!BM71*Cars!BM$51/1000,3)</f>
        <v>50.59</v>
      </c>
      <c r="AN29" s="634">
        <f>ROUND(Cars!BK$41*Cars!BN71*Cars!BN$51/1000,3)</f>
        <v>21.460999999999999</v>
      </c>
      <c r="AO29" s="634">
        <f>ROUND(Cars!BL$41*Cars!BO71*Cars!BO$51/1000,3)</f>
        <v>6.1550000000000002</v>
      </c>
      <c r="AP29" s="634">
        <f>ROUND(Cars!BM$41*Cars!BP71*Cars!BP$51/1000,3)</f>
        <v>1.0309999999999999</v>
      </c>
      <c r="AQ29" s="634">
        <f>ROUND(Cars!BN$41*Cars!BQ71*Cars!BQ$51/1000,3)</f>
        <v>8.5999999999999993E-2</v>
      </c>
      <c r="AR29" s="635">
        <f>ROUND(Cars!BO$41*Cars!BR71*Cars!BR$51/1000,3)</f>
        <v>3.0000000000000001E-3</v>
      </c>
      <c r="AS29" s="629"/>
      <c r="AU29" s="754"/>
      <c r="AY29" s="629"/>
      <c r="AZ29" s="620">
        <v>22</v>
      </c>
      <c r="BA29" s="621">
        <f>AVERAGE('SE CarData'!B44:C44)</f>
        <v>0</v>
      </c>
      <c r="BB29" s="621">
        <f>AVERAGE('SE CarData'!D44:E44)</f>
        <v>0</v>
      </c>
      <c r="BC29" s="622">
        <f>AVERAGE('SE CarData'!F44:G44)</f>
        <v>0</v>
      </c>
      <c r="BD29" s="629"/>
      <c r="BE29" s="629"/>
      <c r="BF29" s="629"/>
      <c r="BG29" s="674">
        <f>AZ24</f>
        <v>17</v>
      </c>
      <c r="BH29" s="675">
        <f t="shared" si="15"/>
        <v>72238</v>
      </c>
      <c r="BI29" s="675">
        <f t="shared" si="15"/>
        <v>23593</v>
      </c>
      <c r="BJ29" s="675">
        <f t="shared" si="15"/>
        <v>4046</v>
      </c>
      <c r="BK29" s="675">
        <f t="shared" si="15"/>
        <v>310</v>
      </c>
      <c r="BL29" s="675">
        <f t="shared" si="15"/>
        <v>9</v>
      </c>
      <c r="BM29" s="675">
        <f t="shared" si="15"/>
        <v>0</v>
      </c>
      <c r="BN29" s="675">
        <f t="shared" si="15"/>
        <v>0</v>
      </c>
      <c r="BO29" s="676">
        <f t="shared" si="15"/>
        <v>0</v>
      </c>
      <c r="BP29" s="629"/>
      <c r="BQ29" s="629"/>
      <c r="BR29" s="629"/>
      <c r="BS29" s="629"/>
      <c r="DK29" s="2479"/>
      <c r="DL29" s="234" t="str">
        <f>DL25</f>
        <v>TPCAM</v>
      </c>
      <c r="DM29" s="1682">
        <f t="shared" si="2"/>
        <v>0</v>
      </c>
      <c r="DN29" s="1682">
        <f>$DM$27*M29</f>
        <v>35.30510568415464</v>
      </c>
      <c r="DO29" s="234" t="str">
        <f>Commodities!$D$8</f>
        <v>TPCAM</v>
      </c>
      <c r="DP29" s="605">
        <f>DN9+DN13+DN17+DN21+DN25+DN29</f>
        <v>749.40545649292653</v>
      </c>
      <c r="DQ29" s="2494">
        <f>DP29*$DQ$6</f>
        <v>741.9114019279973</v>
      </c>
      <c r="DR29" s="12"/>
    </row>
    <row r="30" spans="1:122" s="754" customFormat="1" ht="13.8" thickBot="1">
      <c r="B30" s="765" t="s">
        <v>601</v>
      </c>
      <c r="D30" s="23"/>
      <c r="E30" s="23"/>
      <c r="F30" s="23" t="str">
        <f>Commodities!$D$9</f>
        <v>TPCAL</v>
      </c>
      <c r="G30" s="23" t="s">
        <v>3603</v>
      </c>
      <c r="H30" s="735"/>
      <c r="I30" s="1614"/>
      <c r="J30" s="2351">
        <f>VLOOKUP(VLOOKUP($E27,$S$136:$T$141,2,0),$AH$180:$AR$185,MATCH(VALUE(RIGHT(J$5,4)),$AH$5:$AR$5,0),0)</f>
        <v>385.02617344706078</v>
      </c>
      <c r="K30" s="1109">
        <f>VLOOKUP(VLOOKUP($E27,$S$136:$T$141,2,0),$AH$180:$AR$185,MATCH(VALUE(RIGHT(K$5,4)),$AH$5:$AR$5,0),0)</f>
        <v>394.499265938478</v>
      </c>
      <c r="L30" s="467"/>
      <c r="M30" s="12">
        <f>$X$138</f>
        <v>0.49994795489700627</v>
      </c>
      <c r="N30" s="604">
        <v>5</v>
      </c>
      <c r="O30" s="863"/>
      <c r="P30" s="863"/>
      <c r="Q30" s="863"/>
      <c r="R30" s="863"/>
      <c r="S30" s="863"/>
      <c r="T30" s="863"/>
      <c r="U30" s="863"/>
      <c r="V30" s="863"/>
      <c r="W30" s="863"/>
      <c r="X30" s="863"/>
      <c r="Y30" s="734"/>
      <c r="Z30" s="765"/>
      <c r="AA30" s="784">
        <f>H27*I27*L27*M30*O27</f>
        <v>90.20146032699634</v>
      </c>
      <c r="AB30" s="784"/>
      <c r="AC30" s="784"/>
      <c r="AD30" s="784"/>
      <c r="AE30" s="784"/>
      <c r="AF30" s="629"/>
      <c r="AG30" s="22"/>
      <c r="AH30" s="612"/>
      <c r="AI30" s="632"/>
      <c r="AJ30" s="632"/>
      <c r="AK30" s="632"/>
      <c r="AL30" s="632"/>
      <c r="AM30" s="632"/>
      <c r="AN30" s="632"/>
      <c r="AO30" s="632"/>
      <c r="AP30" s="632"/>
      <c r="AQ30" s="632"/>
      <c r="AR30" s="633"/>
      <c r="AS30" s="629"/>
      <c r="AY30" s="629"/>
      <c r="AZ30" s="620">
        <v>23</v>
      </c>
      <c r="BA30" s="621">
        <f>AVERAGE('SE CarData'!B45:C45)</f>
        <v>0</v>
      </c>
      <c r="BB30" s="621">
        <f>AVERAGE('SE CarData'!D45:E45)</f>
        <v>0</v>
      </c>
      <c r="BC30" s="622">
        <f>AVERAGE('SE CarData'!F45:G45)</f>
        <v>0</v>
      </c>
      <c r="BD30" s="629"/>
      <c r="BE30" s="629"/>
      <c r="BF30" s="629"/>
      <c r="BG30" s="674"/>
      <c r="BH30" s="675"/>
      <c r="BI30" s="675"/>
      <c r="BJ30" s="675"/>
      <c r="BK30" s="675"/>
      <c r="BL30" s="675"/>
      <c r="BM30" s="675"/>
      <c r="BN30" s="675"/>
      <c r="BO30" s="676"/>
      <c r="BP30" s="629"/>
      <c r="BQ30" s="629"/>
      <c r="BR30" s="629"/>
      <c r="BS30" s="629"/>
      <c r="DK30" s="427"/>
      <c r="DL30" s="2484" t="str">
        <f>DL26</f>
        <v>TPCAL</v>
      </c>
      <c r="DM30" s="2488">
        <f t="shared" si="2"/>
        <v>0</v>
      </c>
      <c r="DN30" s="2488">
        <f>$DM$27*M30</f>
        <v>90.201460326996354</v>
      </c>
      <c r="DO30" s="2484" t="str">
        <f>Commodities!$D$9</f>
        <v>TPCAL</v>
      </c>
      <c r="DP30" s="2489">
        <f>DN10+DN14+DN18+DN22+DN26+DN30</f>
        <v>1914.5101478355307</v>
      </c>
      <c r="DQ30" s="2495">
        <f>DP30*$DQ$6</f>
        <v>1895.3650463571753</v>
      </c>
      <c r="DR30"/>
    </row>
    <row r="31" spans="1:122">
      <c r="A31"/>
      <c r="B31" s="725" t="s">
        <v>602</v>
      </c>
      <c r="C31" s="30" t="str">
        <f>Processes!$D$6</f>
        <v>TPCADSBL1E</v>
      </c>
      <c r="D31" s="543" t="str">
        <f>Processes!$E$6</f>
        <v>Transport Passengers Cars - Diesel Engine - Blending 1 - Average size - Existing</v>
      </c>
      <c r="E31" s="754" t="str">
        <f>E7</f>
        <v>TRADSBL1</v>
      </c>
      <c r="F31" s="754" t="str">
        <f>Commodities!$D$6</f>
        <v>TPCAX</v>
      </c>
      <c r="G31" s="754" t="s">
        <v>3603</v>
      </c>
      <c r="H31" s="2349">
        <v>1E-3</v>
      </c>
      <c r="I31" s="2473">
        <f>VLOOKUP(VLOOKUP($E31,$S$136:$T$140,2,0),$AH$48:$AR$55,MATCH(VALUE(RIGHT(I$5,4)),$AH$5:$AR$5,0),0)</f>
        <v>1.7189998335071497</v>
      </c>
      <c r="J31" s="2352">
        <f>VLOOKUP(VLOOKUP($E31,$S$136:$T$140,2,0),$AH$111:$AR$115,MATCH(VALUE(RIGHT(J$5,4)),$AH$5:$AR$5,0),0)</f>
        <v>210.09639756980272</v>
      </c>
      <c r="K31" s="2013">
        <f>VLOOKUP(VLOOKUP($E31,$S$136:$T$140,2,0),$AH$111:$AR$115,MATCH(VALUE(RIGHT(K$5,4)),$AH$5:$AR$5,0),0)</f>
        <v>213.73073170775214</v>
      </c>
      <c r="L31" s="2013">
        <f>VLOOKUP(VLOOKUP($E31,$S$136:$T$140,2,0),$AH$81:$AR$87,MATCH(VALUE(RIGHT(L$5,4)),$AH$5:$AR$5,0),0)</f>
        <v>21500.809182730438</v>
      </c>
      <c r="M31" s="2012">
        <f>$Y$135</f>
        <v>4.1969686632245623E-2</v>
      </c>
      <c r="N31" s="2013">
        <v>5</v>
      </c>
      <c r="O31" s="2350">
        <f t="shared" ref="O31:X31" si="16">VLOOKUP(VLOOKUP($E31,$S$136:$T$140,2,0),$AH$15:$AR$20,MATCH(VALUE(RIGHT(O$5,4)),$AH$5:$AR$5,0),0)</f>
        <v>52.606000000000002</v>
      </c>
      <c r="P31" s="2350">
        <f t="shared" si="16"/>
        <v>86.016000000000005</v>
      </c>
      <c r="Q31" s="2350">
        <f t="shared" si="16"/>
        <v>97.873999999999995</v>
      </c>
      <c r="R31" s="2350">
        <f t="shared" si="16"/>
        <v>66.302000000000007</v>
      </c>
      <c r="S31" s="2350">
        <f t="shared" si="16"/>
        <v>36.904000000000003</v>
      </c>
      <c r="T31" s="2350">
        <f t="shared" si="16"/>
        <v>15.654999999999999</v>
      </c>
      <c r="U31" s="2350">
        <f t="shared" si="16"/>
        <v>4.49</v>
      </c>
      <c r="V31" s="2350">
        <f t="shared" si="16"/>
        <v>0.752</v>
      </c>
      <c r="W31" s="2350">
        <f t="shared" si="16"/>
        <v>6.3E-2</v>
      </c>
      <c r="X31" s="2350">
        <f t="shared" si="16"/>
        <v>2E-3</v>
      </c>
      <c r="Y31" s="765">
        <v>3.5E-4</v>
      </c>
      <c r="Z31" s="765"/>
      <c r="AA31" s="784">
        <f>H31*I31*L31*M31*O31</f>
        <v>81.602158507857894</v>
      </c>
      <c r="AB31" s="784" t="str">
        <f>AB7</f>
        <v>TPCAX</v>
      </c>
      <c r="AC31" s="754">
        <f>Dem!F5</f>
        <v>379.26239192781333</v>
      </c>
      <c r="AD31" s="784">
        <f>AA31+AA35+AA39+AA43+AA47+AA51</f>
        <v>383.09332517960945</v>
      </c>
      <c r="AE31" s="250">
        <f>AD31/AC31</f>
        <v>1.0101010101010102</v>
      </c>
      <c r="AF31" s="629"/>
      <c r="AG31" s="3054" t="s">
        <v>604</v>
      </c>
      <c r="AH31" s="611" t="s">
        <v>184</v>
      </c>
      <c r="AI31" s="630">
        <f>ROUND(Cars!BA$33*Cars!BH$52*Cars!BH63/1000,3)</f>
        <v>740.995</v>
      </c>
      <c r="AJ31" s="630">
        <f>ROUND(Cars!BB$33*Cars!BI$52*Cars!BI63/1000,3)</f>
        <v>623.47400000000005</v>
      </c>
      <c r="AK31" s="630">
        <f>ROUND(Cars!BH$41*Cars!BK63*Cars!BK$52/1000,3)</f>
        <v>559.71299999999997</v>
      </c>
      <c r="AL31" s="630">
        <f>ROUND(Cars!BI$41*Cars!BL63*Cars!BL$52/1000,3)</f>
        <v>379.16</v>
      </c>
      <c r="AM31" s="630">
        <f>ROUND(Cars!BJ$41*Cars!BM63*Cars!BM$52/1000,3)</f>
        <v>211.04499999999999</v>
      </c>
      <c r="AN31" s="630">
        <f>ROUND(Cars!BK$41*Cars!BN63*Cars!BN$52/1000,3)</f>
        <v>89.527000000000001</v>
      </c>
      <c r="AO31" s="630">
        <f>ROUND(Cars!BL$41*Cars!BO63*Cars!BO$52/1000,3)</f>
        <v>25.675000000000001</v>
      </c>
      <c r="AP31" s="630">
        <f>ROUND(Cars!BM$41*Cars!BP63*Cars!BP$52/1000,3)</f>
        <v>4.3010000000000002</v>
      </c>
      <c r="AQ31" s="630">
        <f>ROUND(Cars!BN$41*Cars!BQ63*Cars!BQ$52/1000,3)</f>
        <v>0.35799999999999998</v>
      </c>
      <c r="AR31" s="631">
        <f>ROUND(Cars!BO$41*Cars!BR63*Cars!BR$52/1000,3)</f>
        <v>1.2E-2</v>
      </c>
      <c r="AS31" s="629"/>
      <c r="AY31" s="629"/>
      <c r="AZ31" s="620">
        <v>24</v>
      </c>
      <c r="BA31" s="621">
        <f>AVERAGE('SE CarData'!B46:C46)</f>
        <v>0</v>
      </c>
      <c r="BB31" s="621">
        <f>AVERAGE('SE CarData'!D46:E46)</f>
        <v>0</v>
      </c>
      <c r="BC31" s="622">
        <f>AVERAGE('SE CarData'!F46:G46)</f>
        <v>0</v>
      </c>
      <c r="BD31" s="629"/>
      <c r="BE31" s="629"/>
      <c r="BF31" s="629"/>
      <c r="BG31" s="674">
        <f>AZ25</f>
        <v>18</v>
      </c>
      <c r="BH31" s="675">
        <f t="shared" ref="BH31:BO33" si="17">ROUND(IFERROR($BC25/INDEX($BU$15:$DI$16,2,$AZ25+1)*INDEX($BU$15:$DI$16,2,(BH$6-$BC$6+1+$AZ25)+1),0),0)</f>
        <v>334988</v>
      </c>
      <c r="BI31" s="675">
        <f t="shared" si="17"/>
        <v>97403</v>
      </c>
      <c r="BJ31" s="675">
        <f t="shared" si="17"/>
        <v>14403</v>
      </c>
      <c r="BK31" s="675">
        <f t="shared" si="17"/>
        <v>921</v>
      </c>
      <c r="BL31" s="675">
        <f t="shared" si="17"/>
        <v>21</v>
      </c>
      <c r="BM31" s="675">
        <f t="shared" si="17"/>
        <v>0</v>
      </c>
      <c r="BN31" s="675">
        <f t="shared" si="17"/>
        <v>0</v>
      </c>
      <c r="BO31" s="676">
        <f t="shared" si="17"/>
        <v>0</v>
      </c>
      <c r="BP31" s="629"/>
      <c r="BQ31" s="629"/>
      <c r="BR31" s="629"/>
      <c r="BS31" s="629"/>
      <c r="DK31" s="2476" t="str">
        <f>B31</f>
        <v>SE2</v>
      </c>
      <c r="DL31" s="2477" t="str">
        <f>Commodities!$D$6</f>
        <v>TPCAX</v>
      </c>
      <c r="DM31" s="2485">
        <f t="shared" si="2"/>
        <v>1944.3118368475582</v>
      </c>
      <c r="DN31" s="2485">
        <f>$DM$31*M31</f>
        <v>81.602158507857894</v>
      </c>
      <c r="DO31" s="2477"/>
      <c r="DP31" s="2486"/>
      <c r="DQ31" s="2493"/>
    </row>
    <row r="32" spans="1:122">
      <c r="A32"/>
      <c r="B32" s="467" t="s">
        <v>602</v>
      </c>
      <c r="C32" s="543"/>
      <c r="D32" s="543"/>
      <c r="E32" s="754"/>
      <c r="F32" s="754" t="str">
        <f>Commodities!$D$7</f>
        <v>TPCAS</v>
      </c>
      <c r="G32" s="754" t="s">
        <v>3603</v>
      </c>
      <c r="H32" s="2348"/>
      <c r="I32" s="2472"/>
      <c r="J32" s="2351">
        <f>VLOOKUP(VLOOKUP($E31,$S$136:$T$140,2,0),$AH$136:$AR$140,MATCH(VALUE(RIGHT(J$5,4)),$AH$5:$AR$5,0),0)</f>
        <v>265.20364939139034</v>
      </c>
      <c r="K32" s="1109">
        <f>VLOOKUP(VLOOKUP($E31,$S$136:$T$140,2,0),$AH$136:$AR$140,MATCH(VALUE(RIGHT(K$5,4)),$AH$5:$AR$5,0),0)</f>
        <v>269.79125149994945</v>
      </c>
      <c r="L32" s="467"/>
      <c r="M32" s="12">
        <f>$Y$136</f>
        <v>0.22141521801670719</v>
      </c>
      <c r="N32" s="604">
        <v>5</v>
      </c>
      <c r="O32" s="467"/>
      <c r="P32" s="467"/>
      <c r="Q32" s="467"/>
      <c r="R32" s="467"/>
      <c r="S32" s="467"/>
      <c r="T32" s="467"/>
      <c r="U32" s="467"/>
      <c r="V32" s="467"/>
      <c r="W32" s="467"/>
      <c r="X32" s="467"/>
      <c r="Y32" s="765"/>
      <c r="Z32" s="765"/>
      <c r="AA32" s="784">
        <f>H31*I31*L31*M32*O31</f>
        <v>430.50022924806643</v>
      </c>
      <c r="AB32" s="784" t="str">
        <f>AB8</f>
        <v>TPCAS</v>
      </c>
      <c r="AC32" s="754">
        <f>Dem!F6</f>
        <v>2000.7874991017616</v>
      </c>
      <c r="AD32" s="784">
        <f>AA32+AA36+AA40+AA44+AA48+AA52</f>
        <v>2020.9974738401631</v>
      </c>
      <c r="AE32" s="250">
        <f>AD32/AC32</f>
        <v>1.0101010101010102</v>
      </c>
      <c r="AF32" s="629"/>
      <c r="AG32" s="3055"/>
      <c r="AH32" s="612" t="s">
        <v>61</v>
      </c>
      <c r="AI32" s="632">
        <f>ROUND(Cars!BA$33*Cars!BH$52*Cars!BH64/1000,3)</f>
        <v>129.16999999999999</v>
      </c>
      <c r="AJ32" s="632">
        <f>ROUND(Cars!BB$33*Cars!BI$52*Cars!BI64/1000,3)</f>
        <v>212.73099999999999</v>
      </c>
      <c r="AK32" s="632">
        <f>ROUND(Cars!BH$41*Cars!BK64*Cars!BK$52/1000,3)</f>
        <v>242.81399999999999</v>
      </c>
      <c r="AL32" s="632">
        <f>ROUND(Cars!BI$41*Cars!BL64*Cars!BL$52/1000,3)</f>
        <v>164.48699999999999</v>
      </c>
      <c r="AM32" s="632">
        <f>ROUND(Cars!BJ$41*Cars!BM64*Cars!BM$52/1000,3)</f>
        <v>91.555999999999997</v>
      </c>
      <c r="AN32" s="632">
        <f>ROUND(Cars!BK$41*Cars!BN64*Cars!BN$52/1000,3)</f>
        <v>38.838999999999999</v>
      </c>
      <c r="AO32" s="632">
        <f>ROUND(Cars!BL$41*Cars!BO64*Cars!BO$52/1000,3)</f>
        <v>11.138</v>
      </c>
      <c r="AP32" s="632">
        <f>ROUND(Cars!BM$41*Cars!BP64*Cars!BP$52/1000,3)</f>
        <v>1.8660000000000001</v>
      </c>
      <c r="AQ32" s="632">
        <f>ROUND(Cars!BN$41*Cars!BQ64*Cars!BQ$52/1000,3)</f>
        <v>0.155</v>
      </c>
      <c r="AR32" s="633">
        <f>ROUND(Cars!BO$41*Cars!BR64*Cars!BR$52/1000,3)</f>
        <v>5.0000000000000001E-3</v>
      </c>
      <c r="AS32" s="629"/>
      <c r="AY32" s="629"/>
      <c r="AZ32" s="649">
        <v>25</v>
      </c>
      <c r="BA32" s="621">
        <f>AVERAGE('SE CarData'!B47:C47)</f>
        <v>0</v>
      </c>
      <c r="BB32" s="621">
        <f>AVERAGE('SE CarData'!D47:E47)</f>
        <v>0</v>
      </c>
      <c r="BC32" s="622">
        <f>AVERAGE('SE CarData'!F47:G47)</f>
        <v>0</v>
      </c>
      <c r="BD32" s="629"/>
      <c r="BE32" s="629"/>
      <c r="BF32" s="629"/>
      <c r="BG32" s="674">
        <f>AZ26</f>
        <v>19</v>
      </c>
      <c r="BH32" s="675">
        <f t="shared" si="17"/>
        <v>0</v>
      </c>
      <c r="BI32" s="675">
        <f t="shared" si="17"/>
        <v>0</v>
      </c>
      <c r="BJ32" s="675">
        <f t="shared" si="17"/>
        <v>0</v>
      </c>
      <c r="BK32" s="675">
        <f t="shared" si="17"/>
        <v>0</v>
      </c>
      <c r="BL32" s="675">
        <f t="shared" si="17"/>
        <v>0</v>
      </c>
      <c r="BM32" s="675">
        <f t="shared" si="17"/>
        <v>0</v>
      </c>
      <c r="BN32" s="675">
        <f t="shared" si="17"/>
        <v>0</v>
      </c>
      <c r="BO32" s="676">
        <f t="shared" si="17"/>
        <v>0</v>
      </c>
      <c r="BP32" s="629"/>
      <c r="BQ32" s="629"/>
      <c r="BR32" s="629"/>
      <c r="BS32" s="629"/>
      <c r="DK32" s="2479"/>
      <c r="DL32" s="234" t="str">
        <f>Commodities!$D$7</f>
        <v>TPCAS</v>
      </c>
      <c r="DM32" s="1682">
        <f t="shared" si="2"/>
        <v>0</v>
      </c>
      <c r="DN32" s="1682">
        <f>$DM$31*M32</f>
        <v>430.50022924806649</v>
      </c>
      <c r="DO32" s="234"/>
      <c r="DP32" s="605"/>
      <c r="DQ32" s="2494"/>
    </row>
    <row r="33" spans="1:123">
      <c r="A33"/>
      <c r="B33" s="467" t="s">
        <v>602</v>
      </c>
      <c r="C33" s="543"/>
      <c r="D33" s="543"/>
      <c r="E33" s="754"/>
      <c r="F33" s="754" t="str">
        <f>Commodities!$D$8</f>
        <v>TPCAM</v>
      </c>
      <c r="G33" s="754" t="s">
        <v>3603</v>
      </c>
      <c r="H33" s="2348"/>
      <c r="I33" s="2472"/>
      <c r="J33" s="2351">
        <f>VLOOKUP(VLOOKUP($E31,$S$136:$T$140,2,0),$AH$161:$AR$165,MATCH(VALUE(RIGHT(J$5,4)),$AH$5:$AR$5,0),0)</f>
        <v>344.42032388492248</v>
      </c>
      <c r="K33" s="1109">
        <f>VLOOKUP(VLOOKUP($E31,$S$136:$T$140,2,0),$AH$161:$AR$165,MATCH(VALUE(RIGHT(K$5,4)),$AH$5:$AR$5,0),0)</f>
        <v>350.37824870123302</v>
      </c>
      <c r="L33" s="467"/>
      <c r="M33" s="12">
        <f>$Y$137</f>
        <v>0.19211349098651823</v>
      </c>
      <c r="N33" s="604">
        <v>5</v>
      </c>
      <c r="O33" s="467"/>
      <c r="P33" s="467"/>
      <c r="Q33" s="467"/>
      <c r="R33" s="467"/>
      <c r="S33" s="467"/>
      <c r="T33" s="467"/>
      <c r="U33" s="467"/>
      <c r="V33" s="467"/>
      <c r="W33" s="467"/>
      <c r="X33" s="467"/>
      <c r="Y33" s="765"/>
      <c r="Z33" s="765"/>
      <c r="AA33" s="784">
        <f>H31*I31*L31*M33*O31</f>
        <v>373.52853454319404</v>
      </c>
      <c r="AB33" s="784" t="str">
        <f>AB9</f>
        <v>TPCAM</v>
      </c>
      <c r="AC33" s="784">
        <f>Dem!F7</f>
        <v>1736.0267402048485</v>
      </c>
      <c r="AD33" s="784">
        <f>AA33+AA37+AA41+AA45+AA49+AA53</f>
        <v>1753.5623638432812</v>
      </c>
      <c r="AE33" s="250">
        <f>AD33/AC33</f>
        <v>1.0101010101010102</v>
      </c>
      <c r="AF33" s="629"/>
      <c r="AG33" s="3055"/>
      <c r="AH33" s="612" t="s">
        <v>51</v>
      </c>
      <c r="AI33" s="632">
        <f>ROUND(Cars!BA$33*Cars!BH$52*Cars!BH65/1000,3)</f>
        <v>0</v>
      </c>
      <c r="AJ33" s="632">
        <f>ROUND(Cars!BB$33*Cars!BI$52*Cars!BI65/1000,3)</f>
        <v>0</v>
      </c>
      <c r="AK33" s="632">
        <f>ROUND(Cars!BH$41*Cars!BK65*Cars!BK$52/1000,3)</f>
        <v>0</v>
      </c>
      <c r="AL33" s="632">
        <f>ROUND(Cars!BI$41*Cars!BL65*Cars!BL$52/1000,3)</f>
        <v>0</v>
      </c>
      <c r="AM33" s="632">
        <f>ROUND(Cars!BJ$41*Cars!BM65*Cars!BM$52/1000,3)</f>
        <v>0</v>
      </c>
      <c r="AN33" s="632">
        <f>ROUND(Cars!BK$41*Cars!BN65*Cars!BN$52/1000,3)</f>
        <v>0</v>
      </c>
      <c r="AO33" s="632">
        <f>ROUND(Cars!BL$41*Cars!BO65*Cars!BO$52/1000,3)</f>
        <v>0</v>
      </c>
      <c r="AP33" s="632">
        <f>ROUND(Cars!BM$41*Cars!BP65*Cars!BP$52/1000,3)</f>
        <v>0</v>
      </c>
      <c r="AQ33" s="632">
        <f>ROUND(Cars!BN$41*Cars!BQ65*Cars!BQ$52/1000,3)</f>
        <v>0</v>
      </c>
      <c r="AR33" s="633">
        <f>ROUND(Cars!BO$41*Cars!BR65*Cars!BR$52/1000,3)</f>
        <v>0</v>
      </c>
      <c r="AS33" s="629"/>
      <c r="AY33" s="629"/>
      <c r="AZ33" s="653" t="s">
        <v>124</v>
      </c>
      <c r="BA33" s="654">
        <f>SUM(BA7:BA32)</f>
        <v>4334978</v>
      </c>
      <c r="BB33" s="654">
        <f>SUM(BB7:BB32)</f>
        <v>4213851.5</v>
      </c>
      <c r="BC33" s="655">
        <f>SUM(BC7:BC32)</f>
        <v>4540491</v>
      </c>
      <c r="BD33" s="629"/>
      <c r="BE33" s="629"/>
      <c r="BF33" s="629"/>
      <c r="BG33" s="674">
        <f>AZ27</f>
        <v>20</v>
      </c>
      <c r="BH33" s="675">
        <f t="shared" si="17"/>
        <v>0</v>
      </c>
      <c r="BI33" s="675">
        <f t="shared" si="17"/>
        <v>0</v>
      </c>
      <c r="BJ33" s="675">
        <f t="shared" si="17"/>
        <v>0</v>
      </c>
      <c r="BK33" s="675">
        <f t="shared" si="17"/>
        <v>0</v>
      </c>
      <c r="BL33" s="675">
        <f t="shared" si="17"/>
        <v>0</v>
      </c>
      <c r="BM33" s="675">
        <f t="shared" si="17"/>
        <v>0</v>
      </c>
      <c r="BN33" s="675">
        <f t="shared" si="17"/>
        <v>0</v>
      </c>
      <c r="BO33" s="676">
        <f t="shared" si="17"/>
        <v>0</v>
      </c>
      <c r="BP33" s="629"/>
      <c r="BQ33" s="629"/>
      <c r="BR33" s="629"/>
      <c r="BS33" s="629"/>
      <c r="DK33" s="2479"/>
      <c r="DL33" s="234" t="str">
        <f>Commodities!$D$8</f>
        <v>TPCAM</v>
      </c>
      <c r="DM33" s="1682">
        <f t="shared" si="2"/>
        <v>0</v>
      </c>
      <c r="DN33" s="1682">
        <f>$DM$31*M33</f>
        <v>373.52853454319404</v>
      </c>
      <c r="DO33" s="234"/>
      <c r="DP33" s="605"/>
      <c r="DQ33" s="2494"/>
    </row>
    <row r="34" spans="1:123" s="754" customFormat="1">
      <c r="B34" s="467" t="s">
        <v>602</v>
      </c>
      <c r="C34" s="543"/>
      <c r="D34" s="543"/>
      <c r="F34" s="754" t="str">
        <f>Commodities!$D$9</f>
        <v>TPCAL</v>
      </c>
      <c r="G34" s="754" t="s">
        <v>3603</v>
      </c>
      <c r="H34" s="2348"/>
      <c r="I34" s="2472"/>
      <c r="J34" s="2351">
        <f>VLOOKUP(VLOOKUP($E31,$S$136:$T$140,2,0),$AH$186:$AR$190,MATCH(VALUE(RIGHT(J$5,4)),$AH$5:$AR$5,0),0)</f>
        <v>382.43630030472383</v>
      </c>
      <c r="K34" s="1109">
        <f>VLOOKUP(VLOOKUP($E31,$S$136:$T$140,2,0),$AH$186:$AR$190,MATCH(VALUE(RIGHT(K$5,4)),$AH$5:$AR$5,0),0)</f>
        <v>389.05184116056722</v>
      </c>
      <c r="L34" s="467"/>
      <c r="M34" s="12">
        <f>$Y$138</f>
        <v>0.54450160436452888</v>
      </c>
      <c r="N34" s="604">
        <v>5</v>
      </c>
      <c r="O34" s="467"/>
      <c r="P34" s="467"/>
      <c r="Q34" s="467"/>
      <c r="R34" s="467"/>
      <c r="S34" s="467"/>
      <c r="T34" s="467"/>
      <c r="U34" s="467"/>
      <c r="V34" s="467"/>
      <c r="W34" s="467"/>
      <c r="X34" s="467"/>
      <c r="Y34" s="765"/>
      <c r="Z34" s="765"/>
      <c r="AA34" s="784">
        <f>H31*I31*L31*M34*O31</f>
        <v>1058.6809145484394</v>
      </c>
      <c r="AB34" s="784" t="str">
        <f>AB10</f>
        <v>TPCAL</v>
      </c>
      <c r="AC34" s="784">
        <f>Dem!F8</f>
        <v>4919.9753598576908</v>
      </c>
      <c r="AD34" s="784">
        <f>AA34+AA38+AA42+AA46+AA50+AA54</f>
        <v>4969.6720806643343</v>
      </c>
      <c r="AE34" s="250">
        <f>AD34/AC34</f>
        <v>1.0101010101010102</v>
      </c>
      <c r="AF34" s="629"/>
      <c r="AG34" s="3055"/>
      <c r="AH34" s="612"/>
      <c r="AI34" s="632"/>
      <c r="AJ34" s="632"/>
      <c r="AK34" s="632"/>
      <c r="AL34" s="632"/>
      <c r="AM34" s="632"/>
      <c r="AN34" s="632"/>
      <c r="AO34" s="632"/>
      <c r="AP34" s="632"/>
      <c r="AQ34" s="632"/>
      <c r="AR34" s="633"/>
      <c r="AS34" s="629"/>
      <c r="AY34" s="629"/>
      <c r="AZ34" s="629"/>
      <c r="BA34" s="629"/>
      <c r="BB34" s="629"/>
      <c r="BC34" s="629"/>
      <c r="BD34" s="629"/>
      <c r="BE34" s="629"/>
      <c r="BF34" s="629"/>
      <c r="BG34" s="674"/>
      <c r="BH34" s="675"/>
      <c r="BI34" s="675"/>
      <c r="BJ34" s="675"/>
      <c r="BK34" s="675"/>
      <c r="BL34" s="675"/>
      <c r="BM34" s="675"/>
      <c r="BN34" s="675"/>
      <c r="BO34" s="676"/>
      <c r="BP34" s="629"/>
      <c r="BQ34" s="629"/>
      <c r="BR34" s="629"/>
      <c r="BS34" s="629"/>
      <c r="DK34" s="2479"/>
      <c r="DL34" s="234" t="str">
        <f>Commodities!$D$9</f>
        <v>TPCAL</v>
      </c>
      <c r="DM34" s="1682">
        <f t="shared" si="2"/>
        <v>0</v>
      </c>
      <c r="DN34" s="1682">
        <f>$DM$31*M34</f>
        <v>1058.6809145484397</v>
      </c>
      <c r="DO34" s="234"/>
      <c r="DP34" s="605"/>
      <c r="DQ34" s="2494"/>
    </row>
    <row r="35" spans="1:123">
      <c r="A35"/>
      <c r="B35" s="467" t="s">
        <v>602</v>
      </c>
      <c r="C35" s="543" t="str">
        <f>Processes!$D$7</f>
        <v>TPCAGSBL1E</v>
      </c>
      <c r="D35" s="543" t="str">
        <f>Processes!$E$7</f>
        <v>Transport Passengers Cars - Otto Engine - Blending 1 - Average size - Existing</v>
      </c>
      <c r="E35" s="754" t="str">
        <f>E11</f>
        <v>TRAGSBL1</v>
      </c>
      <c r="F35" s="754" t="str">
        <f>Commodities!$D$6</f>
        <v>TPCAX</v>
      </c>
      <c r="G35" s="754" t="s">
        <v>3603</v>
      </c>
      <c r="H35" s="2349">
        <v>1E-3</v>
      </c>
      <c r="I35" s="2473">
        <f>VLOOKUP(VLOOKUP($E35,$S$136:$T$140,2,0),$AH$48:$AR$53,MATCH(VALUE(RIGHT(I$5,4)),$AH$5:$AR$5,0),0)</f>
        <v>1.7189998335071497</v>
      </c>
      <c r="J35" s="2351">
        <f>VLOOKUP(VLOOKUP($E35,$S$136:$T$140,2,0),$AH$111:$AR$115,MATCH(VALUE(RIGHT(J$5,4)),$AH$5:$AR$5,0),0)</f>
        <v>211.5191783490703</v>
      </c>
      <c r="K35" s="1109">
        <f>VLOOKUP(VLOOKUP($E35,$S$136:$T$140,2,0),$AH$111:$AR$115,MATCH(VALUE(RIGHT(K$5,4)),$AH$5:$AR$5,0),0)</f>
        <v>216.72334595739218</v>
      </c>
      <c r="L35" s="1109">
        <f>VLOOKUP(VLOOKUP($E35,$S$136:$T$140,2,0),$AH$81:$AR$87,MATCH(VALUE(RIGHT(L$5,4)),$AH$5:$AR$5,0),0)</f>
        <v>12887.702905772145</v>
      </c>
      <c r="M35" s="12">
        <f>$Y$135</f>
        <v>4.1969686632245623E-2</v>
      </c>
      <c r="N35" s="604">
        <v>5</v>
      </c>
      <c r="O35" s="2175">
        <f t="shared" ref="O35:X35" si="18">VLOOKUP(VLOOKUP($E35,$S$136:$T$140,2,0),$AH$15:$AR$20,MATCH(VALUE(RIGHT(O$5,4)),$AH$5:$AR$5,0),0)</f>
        <v>301.779</v>
      </c>
      <c r="P35" s="2175">
        <f t="shared" si="18"/>
        <v>252.09700000000001</v>
      </c>
      <c r="Q35" s="2175">
        <f t="shared" si="18"/>
        <v>225.60900000000001</v>
      </c>
      <c r="R35" s="2175">
        <f t="shared" si="18"/>
        <v>152.83199999999999</v>
      </c>
      <c r="S35" s="2175">
        <f t="shared" si="18"/>
        <v>85.067999999999998</v>
      </c>
      <c r="T35" s="2175">
        <f t="shared" si="18"/>
        <v>36.087000000000003</v>
      </c>
      <c r="U35" s="2175">
        <f t="shared" si="18"/>
        <v>10.349</v>
      </c>
      <c r="V35" s="2175">
        <f t="shared" si="18"/>
        <v>1.734</v>
      </c>
      <c r="W35" s="2175">
        <f t="shared" si="18"/>
        <v>0.14399999999999999</v>
      </c>
      <c r="X35" s="2175">
        <f t="shared" si="18"/>
        <v>5.0000000000000001E-3</v>
      </c>
      <c r="Y35" s="765">
        <v>3.5E-4</v>
      </c>
      <c r="Z35" s="765"/>
      <c r="AA35" s="784">
        <f>H35*I35*L35*M35*O35</f>
        <v>280.59252176055969</v>
      </c>
      <c r="AB35" s="784"/>
      <c r="AC35" s="784"/>
      <c r="AD35" s="784"/>
      <c r="AE35" s="784"/>
      <c r="AF35" s="629"/>
      <c r="AG35" s="3055"/>
      <c r="AH35" s="612" t="s">
        <v>577</v>
      </c>
      <c r="AI35" s="632">
        <f>ROUND(Cars!BA$33*Cars!BH$52*Cars!BH67/1000,3)</f>
        <v>5.3179999999999996</v>
      </c>
      <c r="AJ35" s="632">
        <f>ROUND(Cars!BB$33*Cars!BI$52*Cars!BI67/1000,3)</f>
        <v>7.4349999999999996</v>
      </c>
      <c r="AK35" s="632">
        <f>ROUND(Cars!BH$41*Cars!BK67*Cars!BK$52/1000,3)</f>
        <v>7.7119999999999997</v>
      </c>
      <c r="AL35" s="632">
        <f>ROUND(Cars!BI$41*Cars!BL67*Cars!BL$52/1000,3)</f>
        <v>5.2240000000000002</v>
      </c>
      <c r="AM35" s="632">
        <f>ROUND(Cars!BJ$41*Cars!BM67*Cars!BM$52/1000,3)</f>
        <v>2.9079999999999999</v>
      </c>
      <c r="AN35" s="632">
        <f>ROUND(Cars!BK$41*Cars!BN67*Cars!BN$52/1000,3)</f>
        <v>1.234</v>
      </c>
      <c r="AO35" s="632">
        <f>ROUND(Cars!BL$41*Cars!BO67*Cars!BO$52/1000,3)</f>
        <v>0.35399999999999998</v>
      </c>
      <c r="AP35" s="632">
        <f>ROUND(Cars!BM$41*Cars!BP67*Cars!BP$52/1000,3)</f>
        <v>5.8999999999999997E-2</v>
      </c>
      <c r="AQ35" s="632">
        <f>ROUND(Cars!BN$41*Cars!BQ67*Cars!BQ$52/1000,3)</f>
        <v>5.0000000000000001E-3</v>
      </c>
      <c r="AR35" s="633">
        <f>ROUND(Cars!BO$41*Cars!BR67*Cars!BR$52/1000,3)</f>
        <v>0</v>
      </c>
      <c r="AS35" s="629"/>
      <c r="AY35" s="629"/>
      <c r="AZ35" s="670" t="s">
        <v>311</v>
      </c>
      <c r="BA35" s="629"/>
      <c r="BB35" s="629"/>
      <c r="BC35" s="629"/>
      <c r="BD35" s="629"/>
      <c r="BE35" s="629"/>
      <c r="BF35" s="629"/>
      <c r="BG35" s="674">
        <f>AZ28</f>
        <v>21</v>
      </c>
      <c r="BH35" s="675">
        <f t="shared" ref="BH35:BO37" si="19">ROUND(IFERROR($BC28/INDEX($BU$15:$DI$16,2,$AZ28+1)*INDEX($BU$15:$DI$16,2,(BH$6-$BC$6+1+$AZ28)+1),0),0)</f>
        <v>0</v>
      </c>
      <c r="BI35" s="675">
        <f t="shared" si="19"/>
        <v>0</v>
      </c>
      <c r="BJ35" s="675">
        <f t="shared" si="19"/>
        <v>0</v>
      </c>
      <c r="BK35" s="675">
        <f t="shared" si="19"/>
        <v>0</v>
      </c>
      <c r="BL35" s="675">
        <f t="shared" si="19"/>
        <v>0</v>
      </c>
      <c r="BM35" s="675">
        <f t="shared" si="19"/>
        <v>0</v>
      </c>
      <c r="BN35" s="675">
        <f t="shared" si="19"/>
        <v>0</v>
      </c>
      <c r="BO35" s="676">
        <f t="shared" si="19"/>
        <v>0</v>
      </c>
      <c r="BP35" s="629"/>
      <c r="BQ35" s="629"/>
      <c r="BR35" s="629"/>
      <c r="BS35" s="629"/>
      <c r="DK35" s="2479"/>
      <c r="DL35" s="234" t="str">
        <f>Commodities!$D$6</f>
        <v>TPCAX</v>
      </c>
      <c r="DM35" s="1682">
        <f t="shared" si="2"/>
        <v>6685.599638120204</v>
      </c>
      <c r="DN35" s="1682">
        <f>$DM$35*M35</f>
        <v>280.59252176055969</v>
      </c>
      <c r="DO35" s="234"/>
      <c r="DP35" s="605"/>
      <c r="DQ35" s="2494"/>
    </row>
    <row r="36" spans="1:123" ht="15.75" customHeight="1">
      <c r="A36"/>
      <c r="B36" s="467" t="s">
        <v>602</v>
      </c>
      <c r="C36" s="543"/>
      <c r="D36" s="543"/>
      <c r="E36" s="754"/>
      <c r="F36" s="754" t="str">
        <f>Commodities!$D$7</f>
        <v>TPCAS</v>
      </c>
      <c r="G36" s="754" t="s">
        <v>3603</v>
      </c>
      <c r="H36" s="2348"/>
      <c r="I36" s="2472"/>
      <c r="J36" s="2351">
        <f>VLOOKUP(VLOOKUP($E35,$S$136:$T$140,2,0),$AH$136:$AR$140,MATCH(VALUE(RIGHT(J$5,4)),$AH$5:$AR$5,0),0)</f>
        <v>266.99961857177726</v>
      </c>
      <c r="K36" s="1109">
        <f>VLOOKUP(VLOOKUP($E35,$S$136:$T$140,2,0),$AH$136:$AR$140,MATCH(VALUE(RIGHT(K$5,4)),$AH$5:$AR$5,0),0)</f>
        <v>273.56881374949506</v>
      </c>
      <c r="L36" s="467"/>
      <c r="M36" s="12">
        <f>$Y$136</f>
        <v>0.22141521801670719</v>
      </c>
      <c r="N36" s="604">
        <v>5</v>
      </c>
      <c r="O36" s="467"/>
      <c r="P36" s="467"/>
      <c r="Q36" s="467"/>
      <c r="R36" s="467"/>
      <c r="S36" s="467"/>
      <c r="T36" s="467"/>
      <c r="U36" s="467"/>
      <c r="V36" s="467"/>
      <c r="W36" s="467"/>
      <c r="X36" s="467"/>
      <c r="Y36" s="765"/>
      <c r="Z36" s="765"/>
      <c r="AA36" s="784">
        <f>H35*I35*L35*M36*O35</f>
        <v>1480.2935014468037</v>
      </c>
      <c r="AB36" s="784"/>
      <c r="AC36" s="784"/>
      <c r="AD36" s="784"/>
      <c r="AE36" s="784"/>
      <c r="AF36" s="629"/>
      <c r="AG36" s="3055"/>
      <c r="AH36" s="612" t="s">
        <v>49</v>
      </c>
      <c r="AI36" s="727">
        <f>ROUND(Cars!BA$33*Cars!BH$52*Cars!BH68/1000,3)</f>
        <v>0.04</v>
      </c>
      <c r="AJ36" s="632">
        <f>ROUND(Cars!BB$33*Cars!BI$52*Cars!BI68/1000,3)</f>
        <v>6.1760000000000002</v>
      </c>
      <c r="AK36" s="632">
        <f>ROUND(Cars!BH$41*Cars!BK68*Cars!BK$52/1000,3)</f>
        <v>9.2520000000000007</v>
      </c>
      <c r="AL36" s="632">
        <f>ROUND(Cars!BI$41*Cars!BL68*Cars!BL$52/1000,3)</f>
        <v>6.2679999999999998</v>
      </c>
      <c r="AM36" s="632">
        <f>ROUND(Cars!BJ$41*Cars!BM68*Cars!BM$52/1000,3)</f>
        <v>3.4889999999999999</v>
      </c>
      <c r="AN36" s="632">
        <f>ROUND(Cars!BK$41*Cars!BN68*Cars!BN$52/1000,3)</f>
        <v>1.48</v>
      </c>
      <c r="AO36" s="632">
        <f>ROUND(Cars!BL$41*Cars!BO68*Cars!BO$52/1000,3)</f>
        <v>0.42399999999999999</v>
      </c>
      <c r="AP36" s="632">
        <f>ROUND(Cars!BM$41*Cars!BP68*Cars!BP$52/1000,3)</f>
        <v>7.0999999999999994E-2</v>
      </c>
      <c r="AQ36" s="632">
        <f>ROUND(Cars!BN$41*Cars!BQ68*Cars!BQ$52/1000,3)</f>
        <v>6.0000000000000001E-3</v>
      </c>
      <c r="AR36" s="633">
        <f>ROUND(Cars!BO$41*Cars!BR68*Cars!BR$52/1000,3)</f>
        <v>0</v>
      </c>
      <c r="AS36" s="629"/>
      <c r="AY36" s="629"/>
      <c r="AZ36" s="629"/>
      <c r="BA36" s="629"/>
      <c r="BB36" s="629"/>
      <c r="BC36" s="629"/>
      <c r="BD36" s="629"/>
      <c r="BE36" s="629"/>
      <c r="BF36" s="629"/>
      <c r="BG36" s="674">
        <f>AZ29</f>
        <v>22</v>
      </c>
      <c r="BH36" s="675">
        <f t="shared" si="19"/>
        <v>0</v>
      </c>
      <c r="BI36" s="675">
        <f t="shared" si="19"/>
        <v>0</v>
      </c>
      <c r="BJ36" s="675">
        <f t="shared" si="19"/>
        <v>0</v>
      </c>
      <c r="BK36" s="675">
        <f t="shared" si="19"/>
        <v>0</v>
      </c>
      <c r="BL36" s="675">
        <f t="shared" si="19"/>
        <v>0</v>
      </c>
      <c r="BM36" s="675">
        <f t="shared" si="19"/>
        <v>0</v>
      </c>
      <c r="BN36" s="675">
        <f t="shared" si="19"/>
        <v>0</v>
      </c>
      <c r="BO36" s="676">
        <f t="shared" si="19"/>
        <v>0</v>
      </c>
      <c r="BP36" s="629"/>
      <c r="BQ36" s="629"/>
      <c r="BR36" s="629"/>
      <c r="BS36" s="629"/>
      <c r="DK36" s="2479"/>
      <c r="DL36" s="234" t="str">
        <f>Commodities!$D$7</f>
        <v>TPCAS</v>
      </c>
      <c r="DM36" s="1682">
        <f t="shared" si="2"/>
        <v>0</v>
      </c>
      <c r="DN36" s="1682">
        <f>$DM$35*M36</f>
        <v>1480.2935014468037</v>
      </c>
      <c r="DO36" s="234"/>
      <c r="DP36" s="605"/>
      <c r="DQ36" s="2494"/>
    </row>
    <row r="37" spans="1:123">
      <c r="A37"/>
      <c r="B37" s="467" t="s">
        <v>602</v>
      </c>
      <c r="C37" s="542"/>
      <c r="D37" s="542"/>
      <c r="E37" s="754"/>
      <c r="F37" s="754" t="str">
        <f>Commodities!$D$8</f>
        <v>TPCAM</v>
      </c>
      <c r="G37" s="754" t="s">
        <v>3603</v>
      </c>
      <c r="H37" s="2348"/>
      <c r="I37" s="2472"/>
      <c r="J37" s="2351">
        <f>VLOOKUP(VLOOKUP($E35,$S$136:$T$140,2,0),$AH$161:$AR$165,MATCH(VALUE(RIGHT(J$5,4)),$AH$5:$AR$5,0),0)</f>
        <v>346.75275139191854</v>
      </c>
      <c r="K37" s="1109">
        <f>VLOOKUP(VLOOKUP($E35,$S$136:$T$140,2,0),$AH$161:$AR$165,MATCH(VALUE(RIGHT(K$5,4)),$AH$5:$AR$5,0),0)</f>
        <v>355.28417370064295</v>
      </c>
      <c r="L37" s="765"/>
      <c r="M37" s="12">
        <f>$Y$137</f>
        <v>0.19211349098651823</v>
      </c>
      <c r="N37" s="604">
        <v>5</v>
      </c>
      <c r="O37" s="765"/>
      <c r="P37" s="765"/>
      <c r="Q37" s="765"/>
      <c r="R37" s="765"/>
      <c r="S37" s="765"/>
      <c r="T37" s="765"/>
      <c r="U37" s="765"/>
      <c r="V37" s="765"/>
      <c r="W37" s="765"/>
      <c r="X37" s="765"/>
      <c r="Y37" s="765"/>
      <c r="Z37" s="765"/>
      <c r="AA37" s="784">
        <f>H35*I35*L35*M37*O35</f>
        <v>1284.3938858174754</v>
      </c>
      <c r="AB37" s="784"/>
      <c r="AF37" s="629"/>
      <c r="AG37" s="461"/>
      <c r="AH37" s="613" t="s">
        <v>607</v>
      </c>
      <c r="AI37" s="728">
        <f>ROUND(Cars!BA$33*Cars!BH$52*Cars!BH71/1000,3)</f>
        <v>47.66</v>
      </c>
      <c r="AJ37" s="634">
        <f>ROUND(Cars!BB$33*Cars!BI$52*Cars!BI71/1000,3)</f>
        <v>45.558999999999997</v>
      </c>
      <c r="AK37" s="634">
        <f>ROUND(Cars!BH$41*Cars!BK71*Cars!BK$52/1000,3)</f>
        <v>42.649000000000001</v>
      </c>
      <c r="AL37" s="634">
        <f>ROUND(Cars!BI$41*Cars!BL71*Cars!BL$52/1000,3)</f>
        <v>28.891999999999999</v>
      </c>
      <c r="AM37" s="634">
        <f>ROUND(Cars!BJ$41*Cars!BM71*Cars!BM$52/1000,3)</f>
        <v>16.081</v>
      </c>
      <c r="AN37" s="634">
        <f>ROUND(Cars!BK$41*Cars!BN71*Cars!BN$52/1000,3)</f>
        <v>6.8220000000000001</v>
      </c>
      <c r="AO37" s="634">
        <f>ROUND(Cars!BL$41*Cars!BO71*Cars!BO$52/1000,3)</f>
        <v>1.956</v>
      </c>
      <c r="AP37" s="634">
        <f>ROUND(Cars!BM$41*Cars!BP71*Cars!BP$52/1000,3)</f>
        <v>0.32800000000000001</v>
      </c>
      <c r="AQ37" s="634">
        <f>ROUND(Cars!BN$41*Cars!BQ71*Cars!BQ$52/1000,3)</f>
        <v>2.7E-2</v>
      </c>
      <c r="AR37" s="635">
        <f>ROUND(Cars!BO$41*Cars!BR71*Cars!BR$52/1000,3)</f>
        <v>1E-3</v>
      </c>
      <c r="AS37" s="629"/>
      <c r="AY37" s="629"/>
      <c r="AZ37" s="629"/>
      <c r="BA37" s="629"/>
      <c r="BB37" s="629"/>
      <c r="BC37" s="629"/>
      <c r="BD37" s="629"/>
      <c r="BE37" s="629"/>
      <c r="BF37" s="629"/>
      <c r="BG37" s="674">
        <f>AZ30</f>
        <v>23</v>
      </c>
      <c r="BH37" s="675">
        <f t="shared" si="19"/>
        <v>0</v>
      </c>
      <c r="BI37" s="675">
        <f t="shared" si="19"/>
        <v>0</v>
      </c>
      <c r="BJ37" s="675">
        <f t="shared" si="19"/>
        <v>0</v>
      </c>
      <c r="BK37" s="675">
        <f t="shared" si="19"/>
        <v>0</v>
      </c>
      <c r="BL37" s="675">
        <f t="shared" si="19"/>
        <v>0</v>
      </c>
      <c r="BM37" s="675">
        <f t="shared" si="19"/>
        <v>0</v>
      </c>
      <c r="BN37" s="675">
        <f t="shared" si="19"/>
        <v>0</v>
      </c>
      <c r="BO37" s="676">
        <f t="shared" si="19"/>
        <v>0</v>
      </c>
      <c r="BP37" s="629"/>
      <c r="BQ37" s="629"/>
      <c r="BR37" s="629"/>
      <c r="BS37" s="629"/>
      <c r="DK37" s="2479"/>
      <c r="DL37" s="234" t="str">
        <f>Commodities!$D$8</f>
        <v>TPCAM</v>
      </c>
      <c r="DM37" s="1682">
        <f t="shared" si="2"/>
        <v>0</v>
      </c>
      <c r="DN37" s="1682">
        <f>$DM$35*M37</f>
        <v>1284.3938858174754</v>
      </c>
      <c r="DO37" s="234"/>
      <c r="DP37" s="605"/>
      <c r="DQ37" s="2494"/>
    </row>
    <row r="38" spans="1:123" s="754" customFormat="1">
      <c r="B38" s="467" t="s">
        <v>602</v>
      </c>
      <c r="F38" s="754" t="str">
        <f>Commodities!$D$9</f>
        <v>TPCAL</v>
      </c>
      <c r="G38" s="754" t="s">
        <v>3603</v>
      </c>
      <c r="H38" s="1538"/>
      <c r="I38" s="2472"/>
      <c r="J38" s="2351">
        <f>VLOOKUP(VLOOKUP($E35,$S$136:$T$140,2,0),$AH$186:$AR$190,MATCH(VALUE(RIGHT(J$5,4)),$AH$5:$AR$5,0),0)</f>
        <v>385.02617344706078</v>
      </c>
      <c r="K38" s="1109">
        <f>VLOOKUP(VLOOKUP($E35,$S$136:$T$140,2,0),$AH$186:$AR$190,MATCH(VALUE(RIGHT(K$5,4)),$AH$5:$AR$5,0),0)</f>
        <v>394.499265938478</v>
      </c>
      <c r="L38" s="765"/>
      <c r="M38" s="12">
        <f>$Y$138</f>
        <v>0.54450160436452888</v>
      </c>
      <c r="N38" s="604">
        <v>5</v>
      </c>
      <c r="O38" s="765"/>
      <c r="P38" s="765"/>
      <c r="Q38" s="765"/>
      <c r="R38" s="765"/>
      <c r="S38" s="765"/>
      <c r="T38" s="765"/>
      <c r="U38" s="765"/>
      <c r="V38" s="765"/>
      <c r="W38" s="765"/>
      <c r="X38" s="765"/>
      <c r="Y38" s="765"/>
      <c r="Z38" s="765"/>
      <c r="AA38" s="784">
        <f>H35*I35*L35*M38*O35</f>
        <v>3640.3197290953649</v>
      </c>
      <c r="AB38" s="784"/>
      <c r="AD38" s="250"/>
      <c r="AF38" s="629"/>
      <c r="AG38" s="22"/>
      <c r="AH38" s="697"/>
      <c r="AI38" s="632"/>
      <c r="AJ38" s="632"/>
      <c r="AK38" s="632"/>
      <c r="AL38" s="632"/>
      <c r="AM38" s="632"/>
      <c r="AN38" s="632"/>
      <c r="AO38" s="632"/>
      <c r="AP38" s="632"/>
      <c r="AQ38" s="632"/>
      <c r="AR38" s="633"/>
      <c r="AS38" s="629"/>
      <c r="AY38" s="629"/>
      <c r="AZ38" s="646" t="s">
        <v>574</v>
      </c>
      <c r="BA38" s="656"/>
      <c r="BB38" s="656"/>
      <c r="BC38" s="657"/>
      <c r="BD38" s="629"/>
      <c r="BE38" s="629"/>
      <c r="BF38" s="629"/>
      <c r="BG38" s="674"/>
      <c r="BH38" s="675"/>
      <c r="BI38" s="675"/>
      <c r="BJ38" s="675"/>
      <c r="BK38" s="675"/>
      <c r="BL38" s="675"/>
      <c r="BM38" s="675"/>
      <c r="BN38" s="675"/>
      <c r="BO38" s="676"/>
      <c r="BP38" s="629"/>
      <c r="BQ38" s="629"/>
      <c r="BR38" s="629"/>
      <c r="BS38" s="629"/>
      <c r="DK38" s="2479"/>
      <c r="DL38" s="234" t="str">
        <f>Commodities!$D$9</f>
        <v>TPCAL</v>
      </c>
      <c r="DM38" s="1682">
        <f t="shared" si="2"/>
        <v>0</v>
      </c>
      <c r="DN38" s="1682">
        <f>$DM$35*M38</f>
        <v>3640.3197290953649</v>
      </c>
      <c r="DO38" s="234"/>
      <c r="DP38" s="605"/>
      <c r="DQ38" s="2494"/>
    </row>
    <row r="39" spans="1:123">
      <c r="A39"/>
      <c r="B39" s="467" t="s">
        <v>602</v>
      </c>
      <c r="C39" s="542" t="str">
        <f>Processes!$D$8</f>
        <v>TPCALPGX1E</v>
      </c>
      <c r="D39" s="542" t="str">
        <f>Processes!$E$8</f>
        <v>Transport Passengers Cars - LPG - Average size - Existing</v>
      </c>
      <c r="E39" s="754" t="str">
        <f>E15</f>
        <v>TRALPG</v>
      </c>
      <c r="F39" s="754" t="str">
        <f>Commodities!$D$6</f>
        <v>TPCAX</v>
      </c>
      <c r="G39" s="754" t="s">
        <v>3603</v>
      </c>
      <c r="H39" s="610">
        <v>1E-3</v>
      </c>
      <c r="I39" s="2473">
        <f>VLOOKUP(VLOOKUP($E39,$S$136:$T$140,2,0),$AH$48:$AR$53,MATCH(VALUE(RIGHT(I$5,4)),$AH$5:$AR$5,0),0)</f>
        <v>1.7189998335071497</v>
      </c>
      <c r="J39" s="2351">
        <f>VLOOKUP(VLOOKUP($E39,$S$136:$T$140,2,0),$AH$111:$AR$115,MATCH(VALUE(RIGHT(J$5,4)),$AH$5:$AR$5,0),0)</f>
        <v>211.5191783490703</v>
      </c>
      <c r="K39" s="1109">
        <f>VLOOKUP(VLOOKUP($E39,$S$136:$T$140,2,0),$AH$111:$AR$115,MATCH(VALUE(RIGHT(K$5,4)),$AH$5:$AR$5,0),0)</f>
        <v>216.72334595739218</v>
      </c>
      <c r="L39" s="1109">
        <f>VLOOKUP(VLOOKUP($E39,$S$136:$T$140,2,0),$AH$81:$AR$87,MATCH(VALUE(RIGHT(L$5,4)),$AH$5:$AR$5,0),0)</f>
        <v>18000</v>
      </c>
      <c r="M39" s="12">
        <f>$Y$135</f>
        <v>4.1969686632245623E-2</v>
      </c>
      <c r="N39" s="604">
        <v>5</v>
      </c>
      <c r="O39" s="610">
        <f t="shared" ref="O39:X39" si="20">VLOOKUP(VLOOKUP($E39,$S$136:$T$140,2,0),$AH$15:$AR$20,MATCH(VALUE(RIGHT(O$5,4)),$AH$5:$AR$5,0),0)</f>
        <v>0</v>
      </c>
      <c r="P39" s="610">
        <f t="shared" si="20"/>
        <v>0</v>
      </c>
      <c r="Q39" s="610">
        <f t="shared" si="20"/>
        <v>0</v>
      </c>
      <c r="R39" s="610">
        <f t="shared" si="20"/>
        <v>0</v>
      </c>
      <c r="S39" s="610">
        <f t="shared" si="20"/>
        <v>0</v>
      </c>
      <c r="T39" s="610">
        <f t="shared" si="20"/>
        <v>0</v>
      </c>
      <c r="U39" s="610">
        <f t="shared" si="20"/>
        <v>0</v>
      </c>
      <c r="V39" s="610">
        <f t="shared" si="20"/>
        <v>0</v>
      </c>
      <c r="W39" s="610">
        <f t="shared" si="20"/>
        <v>0</v>
      </c>
      <c r="X39" s="610">
        <f t="shared" si="20"/>
        <v>0</v>
      </c>
      <c r="Y39" s="765">
        <v>3.5E-4</v>
      </c>
      <c r="Z39" s="765"/>
      <c r="AA39" s="784">
        <f>H39*I39*L39*M39*O39</f>
        <v>0</v>
      </c>
      <c r="AB39" s="784"/>
      <c r="AF39" s="629"/>
      <c r="AG39" s="644" t="s">
        <v>584</v>
      </c>
      <c r="AH39" s="641"/>
      <c r="AI39" s="641"/>
      <c r="AJ39" s="641"/>
      <c r="AK39" s="641"/>
      <c r="AL39" s="641"/>
      <c r="AM39" s="641"/>
      <c r="AN39" s="641"/>
      <c r="AO39" s="641"/>
      <c r="AP39" s="641"/>
      <c r="AQ39" s="641"/>
      <c r="AR39" s="642"/>
      <c r="AS39" s="629"/>
      <c r="AY39" s="629"/>
      <c r="AZ39" s="1996"/>
      <c r="BA39" s="1997"/>
      <c r="BB39" s="1997"/>
      <c r="BC39" s="1998"/>
      <c r="BD39" s="629"/>
      <c r="BE39" s="629"/>
      <c r="BF39" s="629"/>
      <c r="BG39" s="674">
        <f>AZ31</f>
        <v>24</v>
      </c>
      <c r="BH39" s="675">
        <f t="shared" ref="BH39:BO40" si="21">ROUND(IFERROR($BC31/INDEX($BU$15:$DI$16,2,$AZ31+1)*INDEX($BU$15:$DI$16,2,(BH$6-$BC$6+1+$AZ31)+1),0),0)</f>
        <v>0</v>
      </c>
      <c r="BI39" s="675">
        <f t="shared" si="21"/>
        <v>0</v>
      </c>
      <c r="BJ39" s="675">
        <f t="shared" si="21"/>
        <v>0</v>
      </c>
      <c r="BK39" s="675">
        <f t="shared" si="21"/>
        <v>0</v>
      </c>
      <c r="BL39" s="675">
        <f t="shared" si="21"/>
        <v>0</v>
      </c>
      <c r="BM39" s="675">
        <f t="shared" si="21"/>
        <v>0</v>
      </c>
      <c r="BN39" s="675">
        <f t="shared" si="21"/>
        <v>0</v>
      </c>
      <c r="BO39" s="676">
        <f t="shared" si="21"/>
        <v>0</v>
      </c>
      <c r="BP39" s="629"/>
      <c r="BQ39" s="629"/>
      <c r="BR39" s="629"/>
      <c r="BS39" s="629"/>
      <c r="DK39" s="2479"/>
      <c r="DL39" s="234" t="str">
        <f>Commodities!$D$6</f>
        <v>TPCAX</v>
      </c>
      <c r="DM39" s="1682">
        <f t="shared" ref="DM39:DM69" si="22">O39*L39*I39*H39</f>
        <v>0</v>
      </c>
      <c r="DN39" s="1682">
        <f>$DM$39*M39</f>
        <v>0</v>
      </c>
      <c r="DO39" s="234"/>
      <c r="DP39" s="605"/>
      <c r="DQ39" s="2494"/>
    </row>
    <row r="40" spans="1:123">
      <c r="A40"/>
      <c r="B40" s="467" t="s">
        <v>602</v>
      </c>
      <c r="C40" s="542"/>
      <c r="D40" s="542"/>
      <c r="E40" s="754"/>
      <c r="F40" s="754" t="str">
        <f>Commodities!$D$7</f>
        <v>TPCAS</v>
      </c>
      <c r="G40" s="754" t="s">
        <v>3603</v>
      </c>
      <c r="H40" s="2347"/>
      <c r="I40" s="2472"/>
      <c r="J40" s="2351">
        <f>VLOOKUP(VLOOKUP($E39,$S$136:$T$140,2,0),$AH$136:$AR$140,MATCH(VALUE(RIGHT(J$5,4)),$AH$5:$AR$5,0),0)</f>
        <v>266.99961857177726</v>
      </c>
      <c r="K40" s="1109">
        <f>VLOOKUP(VLOOKUP($E39,$S$136:$T$140,2,0),$AH$136:$AR$140,MATCH(VALUE(RIGHT(K$5,4)),$AH$5:$AR$5,0),0)</f>
        <v>273.56881374949506</v>
      </c>
      <c r="L40" s="765"/>
      <c r="M40" s="12">
        <f>$Y$136</f>
        <v>0.22141521801670719</v>
      </c>
      <c r="N40" s="604">
        <v>5</v>
      </c>
      <c r="O40" s="765"/>
      <c r="P40" s="765"/>
      <c r="Q40" s="765"/>
      <c r="R40" s="765"/>
      <c r="S40" s="765"/>
      <c r="T40" s="765"/>
      <c r="U40" s="765"/>
      <c r="V40" s="765"/>
      <c r="W40" s="765"/>
      <c r="X40" s="765"/>
      <c r="Y40" s="765"/>
      <c r="Z40" s="765"/>
      <c r="AA40" s="784">
        <f>H39*I39*L39*M40*O39</f>
        <v>0</v>
      </c>
      <c r="AB40" s="784"/>
      <c r="AF40" s="629"/>
      <c r="AG40" s="3054" t="s">
        <v>601</v>
      </c>
      <c r="AH40" s="729" t="s">
        <v>184</v>
      </c>
      <c r="AI40" s="2450">
        <f>'SE km&amp;fuel data'!N37</f>
        <v>1.7189998335071497</v>
      </c>
      <c r="AJ40" s="623"/>
      <c r="AK40" s="623"/>
      <c r="AL40" s="623"/>
      <c r="AM40" s="623"/>
      <c r="AN40" s="623"/>
      <c r="AO40" s="623"/>
      <c r="AP40" s="623"/>
      <c r="AQ40" s="623"/>
      <c r="AR40" s="624"/>
      <c r="AS40" s="629"/>
      <c r="AY40" s="629"/>
      <c r="AZ40" s="661" t="s">
        <v>1</v>
      </c>
      <c r="BA40" s="662">
        <v>2010</v>
      </c>
      <c r="BB40" s="662">
        <v>2012</v>
      </c>
      <c r="BC40" s="663">
        <v>2014</v>
      </c>
      <c r="BD40" s="629"/>
      <c r="BE40" s="629"/>
      <c r="BF40" s="629"/>
      <c r="BG40" s="677">
        <f>AZ32</f>
        <v>25</v>
      </c>
      <c r="BH40" s="678">
        <f t="shared" si="21"/>
        <v>0</v>
      </c>
      <c r="BI40" s="678">
        <f t="shared" si="21"/>
        <v>0</v>
      </c>
      <c r="BJ40" s="678">
        <f t="shared" si="21"/>
        <v>0</v>
      </c>
      <c r="BK40" s="678">
        <f t="shared" si="21"/>
        <v>0</v>
      </c>
      <c r="BL40" s="678">
        <f t="shared" si="21"/>
        <v>0</v>
      </c>
      <c r="BM40" s="678">
        <f t="shared" si="21"/>
        <v>0</v>
      </c>
      <c r="BN40" s="678">
        <f t="shared" si="21"/>
        <v>0</v>
      </c>
      <c r="BO40" s="679">
        <f t="shared" si="21"/>
        <v>0</v>
      </c>
      <c r="BP40" s="629"/>
      <c r="BQ40" s="629"/>
      <c r="BR40" s="629"/>
      <c r="BS40" s="629"/>
      <c r="DK40" s="2479"/>
      <c r="DL40" s="234" t="str">
        <f>Commodities!$D$7</f>
        <v>TPCAS</v>
      </c>
      <c r="DM40" s="1682">
        <f t="shared" si="22"/>
        <v>0</v>
      </c>
      <c r="DN40" s="1682">
        <f>$DM$39*M40</f>
        <v>0</v>
      </c>
      <c r="DO40" s="234"/>
      <c r="DP40" s="605"/>
      <c r="DQ40" s="2494"/>
    </row>
    <row r="41" spans="1:123">
      <c r="A41"/>
      <c r="B41" s="467" t="s">
        <v>602</v>
      </c>
      <c r="C41" s="542"/>
      <c r="D41" s="542"/>
      <c r="E41" s="754"/>
      <c r="F41" s="754" t="str">
        <f>Commodities!$D$8</f>
        <v>TPCAM</v>
      </c>
      <c r="G41" s="754" t="s">
        <v>3603</v>
      </c>
      <c r="H41" s="2347"/>
      <c r="I41" s="2472"/>
      <c r="J41" s="2351">
        <f>VLOOKUP(VLOOKUP($E39,$S$136:$T$140,2,0),$AH$161:$AR$165,MATCH(VALUE(RIGHT(J$5,4)),$AH$5:$AR$5,0),0)</f>
        <v>346.75275139191854</v>
      </c>
      <c r="K41" s="1109">
        <f>VLOOKUP(VLOOKUP($E39,$S$136:$T$140,2,0),$AH$161:$AR$165,MATCH(VALUE(RIGHT(K$5,4)),$AH$5:$AR$5,0),0)</f>
        <v>355.28417370064295</v>
      </c>
      <c r="L41" s="765"/>
      <c r="M41" s="12">
        <f>$Y$137</f>
        <v>0.19211349098651823</v>
      </c>
      <c r="N41" s="604">
        <v>5</v>
      </c>
      <c r="O41" s="765"/>
      <c r="P41" s="765"/>
      <c r="Q41" s="765"/>
      <c r="R41" s="765"/>
      <c r="S41" s="765"/>
      <c r="T41" s="765"/>
      <c r="U41" s="765"/>
      <c r="V41" s="765"/>
      <c r="W41" s="765"/>
      <c r="X41" s="765"/>
      <c r="Y41" s="765"/>
      <c r="Z41" s="765"/>
      <c r="AA41" s="784">
        <f>H39*I39*L39*M41*O39</f>
        <v>0</v>
      </c>
      <c r="AB41" s="784"/>
      <c r="AF41" s="629"/>
      <c r="AG41" s="3055"/>
      <c r="AH41" s="697" t="s">
        <v>61</v>
      </c>
      <c r="AI41" s="2451">
        <f>AI40</f>
        <v>1.7189998335071497</v>
      </c>
      <c r="AJ41" s="625"/>
      <c r="AK41" s="625"/>
      <c r="AL41" s="625"/>
      <c r="AM41" s="625"/>
      <c r="AN41" s="625"/>
      <c r="AO41" s="625"/>
      <c r="AP41" s="625"/>
      <c r="AQ41" s="625"/>
      <c r="AR41" s="626"/>
      <c r="AS41" s="629"/>
      <c r="AY41" s="629"/>
      <c r="AZ41" s="620" t="str">
        <f>'SE CarData'!A7</f>
        <v>SE1</v>
      </c>
      <c r="BA41" s="621">
        <f>ROUND(AVERAGE('SE CarData'!B7:C7),0)</f>
        <v>78878</v>
      </c>
      <c r="BB41" s="621">
        <f>ROUND(AVERAGE('SE CarData'!D7:E7),0)</f>
        <v>81688</v>
      </c>
      <c r="BC41" s="622">
        <f>ROUND(AVERAGE('SE CarData'!F7:G7),0)</f>
        <v>166652</v>
      </c>
      <c r="BD41" s="629"/>
      <c r="BE41" s="629"/>
      <c r="BF41" s="629"/>
      <c r="BG41" s="680" t="s">
        <v>124</v>
      </c>
      <c r="BH41" s="681">
        <f t="shared" ref="BH41:BO41" si="23">SUM(BH7:BH40)</f>
        <v>4068715</v>
      </c>
      <c r="BI41" s="681">
        <f t="shared" si="23"/>
        <v>2756228</v>
      </c>
      <c r="BJ41" s="681">
        <f t="shared" si="23"/>
        <v>1534149</v>
      </c>
      <c r="BK41" s="681">
        <f t="shared" si="23"/>
        <v>650799</v>
      </c>
      <c r="BL41" s="681">
        <f t="shared" si="23"/>
        <v>186637</v>
      </c>
      <c r="BM41" s="681">
        <f t="shared" si="23"/>
        <v>31263</v>
      </c>
      <c r="BN41" s="681">
        <f t="shared" si="23"/>
        <v>2605</v>
      </c>
      <c r="BO41" s="682">
        <f t="shared" si="23"/>
        <v>89</v>
      </c>
      <c r="BP41" s="629"/>
      <c r="BQ41" s="629"/>
      <c r="BR41" s="629"/>
      <c r="BS41" s="629"/>
      <c r="DK41" s="2479"/>
      <c r="DL41" s="234" t="str">
        <f>Commodities!$D$8</f>
        <v>TPCAM</v>
      </c>
      <c r="DM41" s="1682">
        <f t="shared" si="22"/>
        <v>0</v>
      </c>
      <c r="DN41" s="1682">
        <f>$DM$39*M41</f>
        <v>0</v>
      </c>
      <c r="DO41" s="234"/>
      <c r="DP41" s="605"/>
      <c r="DQ41" s="2494"/>
    </row>
    <row r="42" spans="1:123" s="754" customFormat="1">
      <c r="B42" s="467" t="s">
        <v>602</v>
      </c>
      <c r="F42" s="754" t="str">
        <f>Commodities!$D$9</f>
        <v>TPCAL</v>
      </c>
      <c r="G42" s="754" t="s">
        <v>3603</v>
      </c>
      <c r="H42" s="2347"/>
      <c r="I42" s="2472"/>
      <c r="J42" s="2351">
        <f>VLOOKUP(VLOOKUP($E39,$S$136:$T$140,2,0),$AH$186:$AR$190,MATCH(VALUE(RIGHT(J$5,4)),$AH$5:$AR$5,0),0)</f>
        <v>385.02617344706078</v>
      </c>
      <c r="K42" s="1109">
        <f>VLOOKUP(VLOOKUP($E39,$S$136:$T$140,2,0),$AH$186:$AR$190,MATCH(VALUE(RIGHT(K$5,4)),$AH$5:$AR$5,0),0)</f>
        <v>394.499265938478</v>
      </c>
      <c r="L42" s="765"/>
      <c r="M42" s="12">
        <f>$Y$138</f>
        <v>0.54450160436452888</v>
      </c>
      <c r="N42" s="604">
        <v>5</v>
      </c>
      <c r="O42" s="765"/>
      <c r="P42" s="765"/>
      <c r="Q42" s="765"/>
      <c r="R42" s="765"/>
      <c r="S42" s="765"/>
      <c r="T42" s="765"/>
      <c r="U42" s="765"/>
      <c r="V42" s="765"/>
      <c r="W42" s="765"/>
      <c r="X42" s="765"/>
      <c r="Y42" s="765"/>
      <c r="Z42" s="765"/>
      <c r="AA42" s="784">
        <f>H39*I39*L39*M42*O39</f>
        <v>0</v>
      </c>
      <c r="AB42" s="784"/>
      <c r="AF42" s="629"/>
      <c r="AG42" s="3055"/>
      <c r="AH42" s="697"/>
      <c r="AI42" s="2451"/>
      <c r="AJ42" s="625"/>
      <c r="AK42" s="625"/>
      <c r="AL42" s="625"/>
      <c r="AM42" s="625"/>
      <c r="AN42" s="625"/>
      <c r="AO42" s="625"/>
      <c r="AP42" s="625"/>
      <c r="AQ42" s="625"/>
      <c r="AR42" s="626"/>
      <c r="AS42" s="629"/>
      <c r="AY42" s="629"/>
      <c r="AZ42" s="620" t="str">
        <f>'SE CarData'!A8</f>
        <v>SE2</v>
      </c>
      <c r="BA42" s="621">
        <f>ROUND(AVERAGE('SE CarData'!B8:C8),0)</f>
        <v>187998</v>
      </c>
      <c r="BB42" s="621">
        <f>ROUND(AVERAGE('SE CarData'!D8:E8),0)</f>
        <v>193124</v>
      </c>
      <c r="BC42" s="622">
        <f>ROUND(AVERAGE('SE CarData'!F8:G8),0)</f>
        <v>394979</v>
      </c>
      <c r="BD42" s="629"/>
      <c r="BE42" s="629"/>
      <c r="BF42" s="629"/>
      <c r="BG42" s="1995"/>
      <c r="BH42" s="1995"/>
      <c r="BI42" s="1995"/>
      <c r="BJ42" s="1995"/>
      <c r="BK42" s="1995"/>
      <c r="BL42" s="1995"/>
      <c r="BM42" s="1995"/>
      <c r="BN42" s="1995"/>
      <c r="BO42" s="1995"/>
      <c r="BP42" s="629"/>
      <c r="BQ42" s="629"/>
      <c r="BR42" s="629"/>
      <c r="BS42" s="629"/>
      <c r="DK42" s="2479"/>
      <c r="DL42" s="234" t="str">
        <f>Commodities!$D$9</f>
        <v>TPCAL</v>
      </c>
      <c r="DM42" s="1682">
        <f t="shared" si="22"/>
        <v>0</v>
      </c>
      <c r="DN42" s="1682">
        <f>$DM$39*M42</f>
        <v>0</v>
      </c>
      <c r="DO42" s="234"/>
      <c r="DP42" s="605"/>
      <c r="DQ42" s="2494"/>
    </row>
    <row r="43" spans="1:123">
      <c r="A43"/>
      <c r="B43" s="467" t="s">
        <v>602</v>
      </c>
      <c r="C43" s="542" t="str">
        <f>Processes!$D$9</f>
        <v>TPCANGBL1E</v>
      </c>
      <c r="D43" s="542" t="str">
        <f>Processes!$E$9</f>
        <v>Transport Passengers Cars - Gas Engine - Blending 1 - Average size - Existing</v>
      </c>
      <c r="E43" s="754" t="str">
        <f>E19</f>
        <v>TRANGBL1</v>
      </c>
      <c r="F43" s="754" t="str">
        <f>Commodities!$D$6</f>
        <v>TPCAX</v>
      </c>
      <c r="G43" s="754" t="s">
        <v>3603</v>
      </c>
      <c r="H43" s="610">
        <v>1E-3</v>
      </c>
      <c r="I43" s="2473">
        <f>VLOOKUP(VLOOKUP($E43,$S$136:$T$140,2,0),$AH$48:$AR$53,MATCH(VALUE(RIGHT(I$5,4)),$AH$5:$AR$5,0),0)</f>
        <v>1.7189998335071497</v>
      </c>
      <c r="J43" s="2351">
        <f>VLOOKUP(VLOOKUP($E43,$S$136:$T$140,2,0),$AH$111:$AR$115,MATCH(VALUE(RIGHT(J$5,4)),$AH$5:$AR$5,0),0)</f>
        <v>211.5191783490703</v>
      </c>
      <c r="K43" s="1109">
        <f>VLOOKUP(VLOOKUP($E43,$S$136:$T$140,2,0),$AH$111:$AR$115,MATCH(VALUE(RIGHT(K$5,4)),$AH$5:$AR$5,0),0)</f>
        <v>216.72334595739218</v>
      </c>
      <c r="L43" s="1109">
        <f>VLOOKUP(VLOOKUP($E43,$S$136:$T$140,2,0),$AH$81:$AR$87,MATCH(VALUE(RIGHT(L$5,4)),$AH$5:$AR$5,0),0)</f>
        <v>18000</v>
      </c>
      <c r="M43" s="12">
        <f>$Y$135</f>
        <v>4.1969686632245623E-2</v>
      </c>
      <c r="N43" s="604">
        <v>5</v>
      </c>
      <c r="O43" s="610">
        <f t="shared" ref="O43:X43" si="24">VLOOKUP(VLOOKUP($E43,$S$136:$T$140,2,0),$AH$15:$AR$20,MATCH(VALUE(RIGHT(O$5,4)),$AH$5:$AR$5,0),0)</f>
        <v>2.1659999999999999</v>
      </c>
      <c r="P43" s="610">
        <f t="shared" si="24"/>
        <v>3.0059999999999998</v>
      </c>
      <c r="Q43" s="610">
        <f t="shared" si="24"/>
        <v>3.109</v>
      </c>
      <c r="R43" s="610">
        <f t="shared" si="24"/>
        <v>2.1059999999999999</v>
      </c>
      <c r="S43" s="610">
        <f t="shared" si="24"/>
        <v>1.1719999999999999</v>
      </c>
      <c r="T43" s="610">
        <f t="shared" si="24"/>
        <v>0.497</v>
      </c>
      <c r="U43" s="610">
        <f t="shared" si="24"/>
        <v>0.14299999999999999</v>
      </c>
      <c r="V43" s="610">
        <f t="shared" si="24"/>
        <v>2.4E-2</v>
      </c>
      <c r="W43" s="610">
        <f t="shared" si="24"/>
        <v>2E-3</v>
      </c>
      <c r="X43" s="610">
        <f t="shared" si="24"/>
        <v>0</v>
      </c>
      <c r="Y43" s="467">
        <v>3.5E-4</v>
      </c>
      <c r="Z43" s="467"/>
      <c r="AA43" s="784">
        <f>H43*I43*L43*M43*O43</f>
        <v>2.812823738381923</v>
      </c>
      <c r="AB43" s="784"/>
      <c r="AF43" s="629"/>
      <c r="AG43" s="3055"/>
      <c r="AH43" s="697" t="s">
        <v>51</v>
      </c>
      <c r="AI43" s="2451">
        <f>AI41</f>
        <v>1.7189998335071497</v>
      </c>
      <c r="AJ43" s="625"/>
      <c r="AK43" s="625"/>
      <c r="AL43" s="625"/>
      <c r="AM43" s="625"/>
      <c r="AN43" s="625"/>
      <c r="AO43" s="625"/>
      <c r="AP43" s="625"/>
      <c r="AQ43" s="625"/>
      <c r="AR43" s="626"/>
      <c r="AS43" s="629"/>
      <c r="AU43" s="250"/>
      <c r="AY43" s="629"/>
      <c r="AZ43" s="620" t="str">
        <f>'SE CarData'!A9</f>
        <v>SE3</v>
      </c>
      <c r="BA43" s="621">
        <f>ROUND(AVERAGE('SE CarData'!B9:C9),0)</f>
        <v>1439086</v>
      </c>
      <c r="BB43" s="621">
        <f>ROUND(AVERAGE('SE CarData'!D9:E9),0)</f>
        <v>1495273</v>
      </c>
      <c r="BC43" s="622">
        <f>ROUND(AVERAGE('SE CarData'!F9:G9),0)</f>
        <v>3082665</v>
      </c>
      <c r="BD43" s="629"/>
      <c r="BE43" s="629"/>
      <c r="BF43" s="629"/>
      <c r="BG43" s="629"/>
      <c r="BH43" s="629"/>
      <c r="BI43" s="629"/>
      <c r="BJ43" s="629"/>
      <c r="BK43" s="629"/>
      <c r="BL43" s="629"/>
      <c r="BM43" s="629"/>
      <c r="BN43" s="629"/>
      <c r="BO43" s="629"/>
      <c r="BP43" s="629"/>
      <c r="BQ43" s="629"/>
      <c r="BR43" s="629"/>
      <c r="BS43" s="629"/>
      <c r="DK43" s="2479"/>
      <c r="DL43" s="234" t="str">
        <f>Commodities!$D$6</f>
        <v>TPCAX</v>
      </c>
      <c r="DM43" s="1682">
        <f t="shared" si="22"/>
        <v>67.020365508776763</v>
      </c>
      <c r="DN43" s="1682">
        <f>$DM$43*M43</f>
        <v>2.8128237383819239</v>
      </c>
      <c r="DO43" s="234"/>
      <c r="DP43" s="605"/>
      <c r="DQ43" s="2494"/>
      <c r="DS43" s="754"/>
    </row>
    <row r="44" spans="1:123">
      <c r="A44"/>
      <c r="B44" s="467" t="s">
        <v>602</v>
      </c>
      <c r="C44" s="542"/>
      <c r="D44" s="542"/>
      <c r="E44" s="754"/>
      <c r="F44" s="754" t="str">
        <f>Commodities!$D$7</f>
        <v>TPCAS</v>
      </c>
      <c r="G44" s="754" t="s">
        <v>3603</v>
      </c>
      <c r="H44" s="2347"/>
      <c r="I44" s="2472"/>
      <c r="J44" s="2351">
        <f>VLOOKUP(VLOOKUP($E43,$S$136:$T$140,2,0),$AH$136:$AR$140,MATCH(VALUE(RIGHT(J$5,4)),$AH$5:$AR$5,0),0)</f>
        <v>266.99961857177726</v>
      </c>
      <c r="K44" s="1109">
        <f>VLOOKUP(VLOOKUP($E43,$S$136:$T$140,2,0),$AH$136:$AR$140,MATCH(VALUE(RIGHT(K$5,4)),$AH$5:$AR$5,0),0)</f>
        <v>273.56881374949506</v>
      </c>
      <c r="L44" s="765"/>
      <c r="M44" s="12">
        <f>$Y$136</f>
        <v>0.22141521801670719</v>
      </c>
      <c r="N44" s="604">
        <v>5</v>
      </c>
      <c r="O44" s="765"/>
      <c r="P44" s="765"/>
      <c r="Q44" s="765"/>
      <c r="R44" s="765"/>
      <c r="S44" s="765"/>
      <c r="T44" s="765"/>
      <c r="U44" s="765"/>
      <c r="V44" s="765"/>
      <c r="W44" s="765"/>
      <c r="X44" s="765"/>
      <c r="Y44" s="765"/>
      <c r="Z44" s="765"/>
      <c r="AA44" s="784">
        <f>H43*I43*L43*M44*O43</f>
        <v>14.839328840685207</v>
      </c>
      <c r="AB44" s="784"/>
      <c r="AF44" s="629"/>
      <c r="AG44" s="3055"/>
      <c r="AH44" s="697" t="s">
        <v>577</v>
      </c>
      <c r="AI44" s="2451">
        <f>AI43</f>
        <v>1.7189998335071497</v>
      </c>
      <c r="AJ44" s="625"/>
      <c r="AK44" s="625"/>
      <c r="AL44" s="625"/>
      <c r="AM44" s="625"/>
      <c r="AN44" s="625"/>
      <c r="AO44" s="625"/>
      <c r="AP44" s="625"/>
      <c r="AQ44" s="625"/>
      <c r="AR44" s="626"/>
      <c r="AS44" s="629"/>
      <c r="AY44" s="629"/>
      <c r="AZ44" s="620" t="str">
        <f>'SE CarData'!A10</f>
        <v>SE4</v>
      </c>
      <c r="BA44" s="621">
        <f>ROUND(AVERAGE('SE CarData'!B10:C10),0)</f>
        <v>461614</v>
      </c>
      <c r="BB44" s="621">
        <f>ROUND(AVERAGE('SE CarData'!D10:E10),0)</f>
        <v>477626</v>
      </c>
      <c r="BC44" s="622">
        <f>ROUND(AVERAGE('SE CarData'!F10:G10),0)</f>
        <v>979901</v>
      </c>
      <c r="BD44" s="629"/>
      <c r="BE44" s="629"/>
      <c r="BF44" s="629"/>
      <c r="BG44" s="629"/>
      <c r="BH44" s="629"/>
      <c r="BI44" s="629"/>
      <c r="BJ44" s="629"/>
      <c r="BK44" s="629"/>
      <c r="BL44" s="629"/>
      <c r="BM44" s="629"/>
      <c r="BN44" s="629"/>
      <c r="BO44" s="629"/>
      <c r="BP44" s="629"/>
      <c r="BQ44" s="629"/>
      <c r="BR44" s="629"/>
      <c r="BS44" s="629"/>
      <c r="DK44" s="2479"/>
      <c r="DL44" s="234" t="str">
        <f>Commodities!$D$7</f>
        <v>TPCAS</v>
      </c>
      <c r="DM44" s="1682">
        <f t="shared" si="22"/>
        <v>0</v>
      </c>
      <c r="DN44" s="1682">
        <f>$DM$43*M44</f>
        <v>14.83932884068521</v>
      </c>
      <c r="DO44" s="234"/>
      <c r="DP44" s="605"/>
      <c r="DQ44" s="2494"/>
    </row>
    <row r="45" spans="1:123">
      <c r="A45"/>
      <c r="B45" s="467" t="s">
        <v>602</v>
      </c>
      <c r="C45" s="542"/>
      <c r="D45" s="542"/>
      <c r="E45" s="754"/>
      <c r="F45" s="754" t="str">
        <f>Commodities!$D$8</f>
        <v>TPCAM</v>
      </c>
      <c r="G45" s="754" t="s">
        <v>3603</v>
      </c>
      <c r="H45" s="2347"/>
      <c r="I45" s="2472"/>
      <c r="J45" s="2351">
        <f>VLOOKUP(VLOOKUP($E43,$S$136:$T$140,2,0),$AH$161:$AR$165,MATCH(VALUE(RIGHT(J$5,4)),$AH$5:$AR$5,0),0)</f>
        <v>346.75275139191854</v>
      </c>
      <c r="K45" s="1109">
        <f>VLOOKUP(VLOOKUP($E43,$S$136:$T$140,2,0),$AH$161:$AR$165,MATCH(VALUE(RIGHT(K$5,4)),$AH$5:$AR$5,0),0)</f>
        <v>355.28417370064295</v>
      </c>
      <c r="L45" s="765"/>
      <c r="M45" s="12">
        <f>$Y$137</f>
        <v>0.19211349098651823</v>
      </c>
      <c r="N45" s="604">
        <v>5</v>
      </c>
      <c r="O45" s="765"/>
      <c r="P45" s="765"/>
      <c r="Q45" s="765"/>
      <c r="R45" s="765"/>
      <c r="S45" s="765"/>
      <c r="T45" s="765"/>
      <c r="U45" s="765"/>
      <c r="V45" s="765"/>
      <c r="W45" s="765"/>
      <c r="X45" s="765"/>
      <c r="Y45" s="765"/>
      <c r="Z45" s="765"/>
      <c r="AA45" s="784">
        <f>H43*I43*L43*M45*O43</f>
        <v>12.875516385083538</v>
      </c>
      <c r="AB45" s="784"/>
      <c r="AF45" s="629"/>
      <c r="AG45" s="3055"/>
      <c r="AH45" s="697" t="s">
        <v>49</v>
      </c>
      <c r="AI45" s="2451">
        <f>AI44</f>
        <v>1.7189998335071497</v>
      </c>
      <c r="AJ45" s="625"/>
      <c r="AK45" s="625"/>
      <c r="AL45" s="625"/>
      <c r="AM45" s="625"/>
      <c r="AN45" s="625"/>
      <c r="AO45" s="625"/>
      <c r="AP45" s="625"/>
      <c r="AQ45" s="625"/>
      <c r="AR45" s="626"/>
      <c r="AS45" s="629"/>
      <c r="AU45" s="250"/>
      <c r="AY45" s="629"/>
      <c r="AZ45" s="620"/>
      <c r="BA45" s="621">
        <f>ROUND(AVERAGE('SE CarData'!B11:C11),0)</f>
        <v>0</v>
      </c>
      <c r="BB45" s="621">
        <f>ROUND(AVERAGE('SE CarData'!D11:E11),0)</f>
        <v>0</v>
      </c>
      <c r="BC45" s="622">
        <f>ROUND(AVERAGE('SE CarData'!F11:G11),0)</f>
        <v>0</v>
      </c>
      <c r="BD45" s="629"/>
      <c r="BE45" s="629"/>
      <c r="BF45" s="629"/>
      <c r="BG45" s="671" t="s">
        <v>595</v>
      </c>
      <c r="BH45" s="672"/>
      <c r="BI45" s="672"/>
      <c r="BJ45" s="673"/>
      <c r="BK45" s="672"/>
      <c r="BL45" s="672"/>
      <c r="BM45" s="672"/>
      <c r="BN45" s="672"/>
      <c r="BO45" s="672"/>
      <c r="BP45" s="672"/>
      <c r="BQ45" s="672"/>
      <c r="BR45" s="673"/>
      <c r="BS45" s="629"/>
      <c r="DK45" s="2479"/>
      <c r="DL45" s="234" t="str">
        <f>Commodities!$D$8</f>
        <v>TPCAM</v>
      </c>
      <c r="DM45" s="1682">
        <f t="shared" si="22"/>
        <v>0</v>
      </c>
      <c r="DN45" s="1682">
        <f>$DM$43*M45</f>
        <v>12.875516385083541</v>
      </c>
      <c r="DO45" s="234"/>
      <c r="DP45" s="605"/>
      <c r="DQ45" s="2494"/>
    </row>
    <row r="46" spans="1:123" s="754" customFormat="1">
      <c r="B46" s="467" t="s">
        <v>602</v>
      </c>
      <c r="F46" s="754" t="str">
        <f>Commodities!$D$9</f>
        <v>TPCAL</v>
      </c>
      <c r="G46" s="754" t="s">
        <v>3603</v>
      </c>
      <c r="H46" s="2347"/>
      <c r="I46" s="2472"/>
      <c r="J46" s="2351">
        <f>VLOOKUP(VLOOKUP($E43,$S$136:$T$140,2,0),$AH$186:$AR$190,MATCH(VALUE(RIGHT(J$5,4)),$AH$5:$AR$5,0),0)</f>
        <v>385.02617344706078</v>
      </c>
      <c r="K46" s="1109">
        <f>VLOOKUP(VLOOKUP($E43,$S$136:$T$140,2,0),$AH$186:$AR$190,MATCH(VALUE(RIGHT(K$5,4)),$AH$5:$AR$5,0),0)</f>
        <v>394.499265938478</v>
      </c>
      <c r="L46" s="765"/>
      <c r="M46" s="12">
        <f>$Y$138</f>
        <v>0.54450160436452888</v>
      </c>
      <c r="N46" s="604">
        <v>5</v>
      </c>
      <c r="O46" s="765"/>
      <c r="P46" s="765"/>
      <c r="Q46" s="765"/>
      <c r="R46" s="765"/>
      <c r="S46" s="765"/>
      <c r="T46" s="765"/>
      <c r="U46" s="765"/>
      <c r="V46" s="765"/>
      <c r="W46" s="765"/>
      <c r="X46" s="765"/>
      <c r="Y46" s="765"/>
      <c r="Z46" s="765"/>
      <c r="AA46" s="784">
        <f>H43*I43*L43*M46*O43</f>
        <v>36.492696544626078</v>
      </c>
      <c r="AB46" s="784"/>
      <c r="AC46" s="784"/>
      <c r="AD46" s="784"/>
      <c r="AE46" s="784"/>
      <c r="AF46" s="629"/>
      <c r="AG46" s="1981"/>
      <c r="AH46" s="697"/>
      <c r="AI46" s="2451"/>
      <c r="AJ46" s="625"/>
      <c r="AK46" s="625"/>
      <c r="AL46" s="625"/>
      <c r="AM46" s="625"/>
      <c r="AN46" s="625"/>
      <c r="AO46" s="625"/>
      <c r="AP46" s="625"/>
      <c r="AQ46" s="625"/>
      <c r="AR46" s="626"/>
      <c r="AS46" s="629"/>
      <c r="AU46" s="250"/>
      <c r="AY46" s="629"/>
      <c r="AZ46" s="620"/>
      <c r="BA46" s="621">
        <f>ROUND(AVERAGE('SE CarData'!B12:C12),0)</f>
        <v>0</v>
      </c>
      <c r="BB46" s="621">
        <f>ROUND(AVERAGE('SE CarData'!D12:E12),0)</f>
        <v>0</v>
      </c>
      <c r="BC46" s="622">
        <f>ROUND(AVERAGE('SE CarData'!F12:G12),0)</f>
        <v>0</v>
      </c>
      <c r="BD46" s="629"/>
      <c r="BE46" s="629"/>
      <c r="BF46" s="629"/>
      <c r="BG46" s="1999"/>
      <c r="BH46" s="675"/>
      <c r="BI46" s="675"/>
      <c r="BJ46" s="675"/>
      <c r="BK46" s="675"/>
      <c r="BL46" s="675"/>
      <c r="BM46" s="675"/>
      <c r="BN46" s="675"/>
      <c r="BO46" s="675"/>
      <c r="BP46" s="675"/>
      <c r="BQ46" s="675"/>
      <c r="BR46" s="676"/>
      <c r="BS46" s="629"/>
      <c r="DK46" s="2479"/>
      <c r="DL46" s="234" t="str">
        <f>Commodities!$D$9</f>
        <v>TPCAL</v>
      </c>
      <c r="DM46" s="1682">
        <f t="shared" si="22"/>
        <v>0</v>
      </c>
      <c r="DN46" s="1682">
        <f>$DM$43*M46</f>
        <v>36.492696544626085</v>
      </c>
      <c r="DO46" s="234"/>
      <c r="DP46" s="605"/>
      <c r="DQ46" s="2494"/>
      <c r="DS46"/>
    </row>
    <row r="47" spans="1:123">
      <c r="A47"/>
      <c r="B47" s="467" t="s">
        <v>602</v>
      </c>
      <c r="C47" s="542" t="str">
        <f>Processes!$D$10</f>
        <v>TPCAELCX1E</v>
      </c>
      <c r="D47" s="542" t="str">
        <f>Processes!$E$10</f>
        <v>Transport Passengers Cars - Electricity BEV- Average size - Existing</v>
      </c>
      <c r="E47" s="304" t="str">
        <f>E23</f>
        <v>TRAELCEV</v>
      </c>
      <c r="F47" s="754" t="str">
        <f>Commodities!$D$6</f>
        <v>TPCAX</v>
      </c>
      <c r="G47" s="754" t="s">
        <v>3603</v>
      </c>
      <c r="H47" s="2175">
        <v>1E-3</v>
      </c>
      <c r="I47" s="2473">
        <f>VLOOKUP(VLOOKUP($E43,$S$136:$T$140,2,0),$AH$48:$AR$53,2,0)</f>
        <v>1.7189998335071497</v>
      </c>
      <c r="J47" s="2351">
        <f>VLOOKUP(VLOOKUP($E47,$S$136:$T$140,2,0),$AH$111:$AR$115,MATCH(VALUE(RIGHT(J$5,4)),$AH$5:$AR$5,0),0)</f>
        <v>1431.7402692719502</v>
      </c>
      <c r="K47" s="1109">
        <f>VLOOKUP(VLOOKUP($E47,$S$136:$T$140,2,0),$AH$111:$AR$115,MATCH(VALUE(RIGHT(K$5,4)),$AH$5:$AR$5,0),0)</f>
        <v>1431.7402692719506</v>
      </c>
      <c r="L47" s="1109">
        <f>VLOOKUP(VLOOKUP($E47,$S$136:$T$140,2,0),$AH$81:$AR$87,MATCH(VALUE(RIGHT(L$5,4)),$AH$5:$AR$5,0),0)</f>
        <v>14000</v>
      </c>
      <c r="M47" s="1947">
        <f>AC135</f>
        <v>0.1</v>
      </c>
      <c r="N47" s="604">
        <v>5</v>
      </c>
      <c r="O47" s="610">
        <f t="shared" ref="O47:X47" si="25">VLOOKUP(VLOOKUP($E47,$S$136:$T$140,2,0),$AH$15:$AR$20,MATCH(VALUE(RIGHT(O$5,4)),$AH$5:$AR$5,0),0)</f>
        <v>1.6E-2</v>
      </c>
      <c r="P47" s="610">
        <f t="shared" si="25"/>
        <v>2.4969999999999999</v>
      </c>
      <c r="Q47" s="610">
        <f>VLOOKUP(VLOOKUP($E47,$S$136:$T$140,2,0),$AH$15:$AR$20,MATCH(VALUE(RIGHT(Q$5,4)),$AH$5:$AR$5,0),0)</f>
        <v>3.7290000000000001</v>
      </c>
      <c r="R47" s="610">
        <f t="shared" si="25"/>
        <v>2.5259999999999998</v>
      </c>
      <c r="S47" s="610">
        <f t="shared" si="25"/>
        <v>1.4059999999999999</v>
      </c>
      <c r="T47" s="610">
        <f t="shared" si="25"/>
        <v>0.59699999999999998</v>
      </c>
      <c r="U47" s="610">
        <f t="shared" si="25"/>
        <v>0.17100000000000001</v>
      </c>
      <c r="V47" s="610">
        <f t="shared" si="25"/>
        <v>2.9000000000000001E-2</v>
      </c>
      <c r="W47" s="610">
        <f t="shared" si="25"/>
        <v>2E-3</v>
      </c>
      <c r="X47" s="610">
        <f t="shared" si="25"/>
        <v>0</v>
      </c>
      <c r="Y47" s="765">
        <v>3.5E-4</v>
      </c>
      <c r="Z47" s="765"/>
      <c r="AA47" s="784">
        <f>H47*I47*L47*M47*O47</f>
        <v>3.8505596270560154E-2</v>
      </c>
      <c r="AB47" s="784"/>
      <c r="AC47" s="784"/>
      <c r="AD47" s="784"/>
      <c r="AE47" s="784"/>
      <c r="AF47" s="629"/>
      <c r="AG47" s="22"/>
      <c r="AH47" s="467" t="s">
        <v>607</v>
      </c>
      <c r="AI47" s="2451">
        <f>AI45</f>
        <v>1.7189998335071497</v>
      </c>
      <c r="AJ47" s="625"/>
      <c r="AK47" s="625"/>
      <c r="AL47" s="625"/>
      <c r="AM47" s="625"/>
      <c r="AN47" s="625"/>
      <c r="AO47" s="625"/>
      <c r="AP47" s="625"/>
      <c r="AQ47" s="625"/>
      <c r="AR47" s="626"/>
      <c r="AS47" s="629"/>
      <c r="AY47" s="629"/>
      <c r="AZ47" s="653" t="s">
        <v>124</v>
      </c>
      <c r="BA47" s="659">
        <f>SUM(BA41:BA46)</f>
        <v>2167576</v>
      </c>
      <c r="BB47" s="659">
        <f>SUM(BB41:BB46)</f>
        <v>2247711</v>
      </c>
      <c r="BC47" s="660">
        <f>SUM(BC41:BC46)</f>
        <v>4624197</v>
      </c>
      <c r="BD47" s="629"/>
      <c r="BE47" s="629"/>
      <c r="BF47" s="629"/>
      <c r="BG47" s="683" t="s">
        <v>1</v>
      </c>
      <c r="BH47" s="694">
        <f>BA40</f>
        <v>2010</v>
      </c>
      <c r="BI47" s="694">
        <f>BB40</f>
        <v>2012</v>
      </c>
      <c r="BJ47" s="694">
        <f>BC40</f>
        <v>2014</v>
      </c>
      <c r="BK47" s="684">
        <v>2015</v>
      </c>
      <c r="BL47" s="684">
        <v>2020</v>
      </c>
      <c r="BM47" s="684">
        <v>2025</v>
      </c>
      <c r="BN47" s="684">
        <v>2030</v>
      </c>
      <c r="BO47" s="684">
        <v>2035</v>
      </c>
      <c r="BP47" s="684">
        <v>2040</v>
      </c>
      <c r="BQ47" s="684">
        <v>2045</v>
      </c>
      <c r="BR47" s="685">
        <v>2050</v>
      </c>
      <c r="BS47" s="629"/>
      <c r="DK47" s="2479"/>
      <c r="DL47" s="234" t="str">
        <f>Commodities!$D$6</f>
        <v>TPCAX</v>
      </c>
      <c r="DM47" s="1682">
        <f t="shared" si="22"/>
        <v>0.38505596270560155</v>
      </c>
      <c r="DN47" s="1682">
        <f>$DM$47*M47</f>
        <v>3.8505596270560161E-2</v>
      </c>
      <c r="DO47" s="234"/>
      <c r="DP47" s="605"/>
      <c r="DQ47" s="2494"/>
      <c r="DS47" s="754"/>
    </row>
    <row r="48" spans="1:123">
      <c r="A48"/>
      <c r="B48" s="467" t="s">
        <v>602</v>
      </c>
      <c r="C48" s="542"/>
      <c r="D48" s="542"/>
      <c r="E48" s="754"/>
      <c r="F48" s="754" t="str">
        <f>Commodities!$D$7</f>
        <v>TPCAS</v>
      </c>
      <c r="G48" s="754" t="s">
        <v>3603</v>
      </c>
      <c r="H48" s="1538"/>
      <c r="I48" s="2472"/>
      <c r="J48" s="2351">
        <f>VLOOKUP(VLOOKUP($E47,$S$136:$T$140,2,0),$AH$136:$AR$140,MATCH(VALUE(RIGHT(J$5,4)),$AH$5:$AR$5,0),0)</f>
        <v>1431.7402692719502</v>
      </c>
      <c r="K48" s="1109">
        <f>VLOOKUP(VLOOKUP($E47,$S$136:$T$140,2,0),$AH$136:$AR$140,MATCH(VALUE(RIGHT(K$5,4)),$AH$5:$AR$5,0),0)</f>
        <v>1431.7402692719506</v>
      </c>
      <c r="L48" s="765"/>
      <c r="M48" s="1947">
        <f t="shared" ref="M48:M50" si="26">AC136</f>
        <v>0.4</v>
      </c>
      <c r="N48" s="604">
        <v>5</v>
      </c>
      <c r="O48" s="765"/>
      <c r="P48" s="765"/>
      <c r="Q48" s="765"/>
      <c r="R48" s="765"/>
      <c r="S48" s="765"/>
      <c r="T48" s="765"/>
      <c r="U48" s="765"/>
      <c r="V48" s="765"/>
      <c r="W48" s="765"/>
      <c r="X48" s="765"/>
      <c r="Y48" s="765"/>
      <c r="Z48" s="765"/>
      <c r="AA48" s="784">
        <f>H47*I47*L47*M48*O47</f>
        <v>0.15402238508224061</v>
      </c>
      <c r="AB48" s="784"/>
      <c r="AC48" s="784"/>
      <c r="AD48" s="784"/>
      <c r="AE48" s="784"/>
      <c r="AF48" s="629"/>
      <c r="AG48" s="3054" t="s">
        <v>602</v>
      </c>
      <c r="AH48" s="729" t="s">
        <v>184</v>
      </c>
      <c r="AI48" s="2452">
        <f>AI40</f>
        <v>1.7189998335071497</v>
      </c>
      <c r="AJ48" s="623"/>
      <c r="AK48" s="623"/>
      <c r="AL48" s="623"/>
      <c r="AM48" s="623"/>
      <c r="AN48" s="623"/>
      <c r="AO48" s="623"/>
      <c r="AP48" s="623"/>
      <c r="AQ48" s="623"/>
      <c r="AR48" s="624"/>
      <c r="AS48" s="629"/>
      <c r="AY48" s="629"/>
      <c r="AZ48" s="670" t="s">
        <v>311</v>
      </c>
      <c r="BA48" s="669"/>
      <c r="BB48" s="669"/>
      <c r="BC48" s="669"/>
      <c r="BD48" s="629"/>
      <c r="BE48" s="629"/>
      <c r="BF48" s="629"/>
      <c r="BG48" s="686" t="str">
        <f>AZ41</f>
        <v>SE1</v>
      </c>
      <c r="BH48" s="687">
        <f t="shared" ref="BH48:BJ49" si="27">SUM(BA41)/SUM(BA$47)</f>
        <v>3.6389958183703823E-2</v>
      </c>
      <c r="BI48" s="687">
        <f t="shared" si="27"/>
        <v>3.6342750469255169E-2</v>
      </c>
      <c r="BJ48" s="687">
        <f t="shared" si="27"/>
        <v>3.6039122035674519E-2</v>
      </c>
      <c r="BK48" s="689">
        <f t="shared" ref="BK48:BR52" si="28">$BJ48</f>
        <v>3.6039122035674519E-2</v>
      </c>
      <c r="BL48" s="689">
        <f t="shared" si="28"/>
        <v>3.6039122035674519E-2</v>
      </c>
      <c r="BM48" s="689">
        <f t="shared" si="28"/>
        <v>3.6039122035674519E-2</v>
      </c>
      <c r="BN48" s="689">
        <f t="shared" si="28"/>
        <v>3.6039122035674519E-2</v>
      </c>
      <c r="BO48" s="689">
        <f t="shared" si="28"/>
        <v>3.6039122035674519E-2</v>
      </c>
      <c r="BP48" s="689">
        <f t="shared" si="28"/>
        <v>3.6039122035674519E-2</v>
      </c>
      <c r="BQ48" s="689">
        <f t="shared" si="28"/>
        <v>3.6039122035674519E-2</v>
      </c>
      <c r="BR48" s="690">
        <f t="shared" si="28"/>
        <v>3.6039122035674519E-2</v>
      </c>
      <c r="BS48" s="629"/>
      <c r="DK48" s="2479"/>
      <c r="DL48" s="234" t="str">
        <f>Commodities!$D$7</f>
        <v>TPCAS</v>
      </c>
      <c r="DM48" s="1682">
        <f t="shared" si="22"/>
        <v>0</v>
      </c>
      <c r="DN48" s="1682">
        <f>$DM$47*M48</f>
        <v>0.15402238508224064</v>
      </c>
      <c r="DO48" s="234"/>
      <c r="DP48" s="605"/>
      <c r="DQ48" s="2494"/>
    </row>
    <row r="49" spans="1:123">
      <c r="A49"/>
      <c r="B49" s="467" t="s">
        <v>602</v>
      </c>
      <c r="C49" s="543"/>
      <c r="D49" s="543"/>
      <c r="E49" s="754"/>
      <c r="F49" s="754" t="str">
        <f>Commodities!$D$8</f>
        <v>TPCAM</v>
      </c>
      <c r="G49" s="754" t="s">
        <v>3603</v>
      </c>
      <c r="H49" s="1538"/>
      <c r="I49" s="2470"/>
      <c r="J49" s="1109">
        <f>VLOOKUP(VLOOKUP($E47,$S$136:$T$140,2,0),$AH$161:$AR$165,MATCH(VALUE(RIGHT(J$5,4)),$AH$5:$AR$5,0),0)</f>
        <v>1431.7402692719502</v>
      </c>
      <c r="K49" s="1109">
        <f>VLOOKUP(VLOOKUP($E47,$S$136:$T$140,2,0),$AH$161:$AR$165,MATCH(VALUE(RIGHT(K$5,4)),$AH$5:$AR$5,0),0)</f>
        <v>1431.7402692719506</v>
      </c>
      <c r="L49" s="467"/>
      <c r="M49" s="1947">
        <f t="shared" si="26"/>
        <v>0.4</v>
      </c>
      <c r="N49" s="604">
        <v>5</v>
      </c>
      <c r="O49" s="467"/>
      <c r="P49" s="467"/>
      <c r="Q49" s="467"/>
      <c r="R49" s="467"/>
      <c r="S49" s="467"/>
      <c r="T49" s="467"/>
      <c r="U49" s="467"/>
      <c r="V49" s="467"/>
      <c r="W49" s="467"/>
      <c r="X49" s="467"/>
      <c r="Y49" s="765"/>
      <c r="Z49" s="765"/>
      <c r="AA49" s="784">
        <f>H47*I47*L47*M49*O47</f>
        <v>0.15402238508224061</v>
      </c>
      <c r="AB49" s="784"/>
      <c r="AC49" s="784"/>
      <c r="AD49" s="784"/>
      <c r="AE49" s="784"/>
      <c r="AF49" s="629"/>
      <c r="AG49" s="3055"/>
      <c r="AH49" s="697" t="s">
        <v>61</v>
      </c>
      <c r="AI49" s="2451">
        <f>AI41</f>
        <v>1.7189998335071497</v>
      </c>
      <c r="AJ49" s="625"/>
      <c r="AK49" s="625"/>
      <c r="AL49" s="625"/>
      <c r="AM49" s="625"/>
      <c r="AN49" s="625"/>
      <c r="AO49" s="625"/>
      <c r="AP49" s="625"/>
      <c r="AQ49" s="625"/>
      <c r="AR49" s="626"/>
      <c r="AS49" s="629"/>
      <c r="AY49" s="629"/>
      <c r="AZ49" s="629"/>
      <c r="BA49" s="629"/>
      <c r="BB49" s="629"/>
      <c r="BC49" s="629"/>
      <c r="BD49" s="629"/>
      <c r="BE49" s="629"/>
      <c r="BF49" s="629"/>
      <c r="BG49" s="686" t="str">
        <f>AZ42</f>
        <v>SE2</v>
      </c>
      <c r="BH49" s="687">
        <f t="shared" si="27"/>
        <v>8.6731906978117487E-2</v>
      </c>
      <c r="BI49" s="687">
        <f t="shared" si="27"/>
        <v>8.5920298472534948E-2</v>
      </c>
      <c r="BJ49" s="687">
        <f t="shared" si="27"/>
        <v>8.5415694876321224E-2</v>
      </c>
      <c r="BK49" s="689">
        <f t="shared" si="28"/>
        <v>8.5415694876321224E-2</v>
      </c>
      <c r="BL49" s="689">
        <f t="shared" si="28"/>
        <v>8.5415694876321224E-2</v>
      </c>
      <c r="BM49" s="689">
        <f t="shared" si="28"/>
        <v>8.5415694876321224E-2</v>
      </c>
      <c r="BN49" s="689">
        <f t="shared" si="28"/>
        <v>8.5415694876321224E-2</v>
      </c>
      <c r="BO49" s="689">
        <f t="shared" si="28"/>
        <v>8.5415694876321224E-2</v>
      </c>
      <c r="BP49" s="689">
        <f t="shared" si="28"/>
        <v>8.5415694876321224E-2</v>
      </c>
      <c r="BQ49" s="689">
        <f t="shared" si="28"/>
        <v>8.5415694876321224E-2</v>
      </c>
      <c r="BR49" s="690">
        <f t="shared" si="28"/>
        <v>8.5415694876321224E-2</v>
      </c>
      <c r="BS49" s="629"/>
      <c r="DK49" s="2479"/>
      <c r="DL49" s="234" t="str">
        <f>Commodities!$D$8</f>
        <v>TPCAM</v>
      </c>
      <c r="DM49" s="1682">
        <f t="shared" si="22"/>
        <v>0</v>
      </c>
      <c r="DN49" s="1682">
        <f>$DM$47*M49</f>
        <v>0.15402238508224064</v>
      </c>
      <c r="DO49" s="234"/>
      <c r="DP49" s="605"/>
      <c r="DQ49" s="2494"/>
    </row>
    <row r="50" spans="1:123" s="754" customFormat="1">
      <c r="B50" s="467" t="s">
        <v>602</v>
      </c>
      <c r="C50" s="543"/>
      <c r="D50" s="543"/>
      <c r="F50" s="754" t="str">
        <f>Commodities!$D$9</f>
        <v>TPCAL</v>
      </c>
      <c r="G50" s="754" t="s">
        <v>3603</v>
      </c>
      <c r="H50" s="1538"/>
      <c r="I50" s="2470"/>
      <c r="J50" s="1109">
        <f>VLOOKUP(VLOOKUP($E47,$S$136:$T$140,2,0),$AH$186:$AR$190,MATCH(VALUE(RIGHT(J$5,4)),$AH$5:$AR$5,0),0)</f>
        <v>1431.7402692719502</v>
      </c>
      <c r="K50" s="1109">
        <f>VLOOKUP(VLOOKUP($E47,$S$136:$T$140,2,0),$AH$186:$AR$190,MATCH(VALUE(RIGHT(K$5,4)),$AH$5:$AR$5,0),0)</f>
        <v>1431.7402692719506</v>
      </c>
      <c r="L50" s="467"/>
      <c r="M50" s="1947">
        <f t="shared" si="26"/>
        <v>0.1</v>
      </c>
      <c r="N50" s="604">
        <v>5</v>
      </c>
      <c r="O50" s="467"/>
      <c r="P50" s="467"/>
      <c r="Q50" s="467"/>
      <c r="R50" s="467"/>
      <c r="S50" s="467"/>
      <c r="T50" s="467"/>
      <c r="U50" s="467"/>
      <c r="V50" s="467"/>
      <c r="W50" s="467"/>
      <c r="X50" s="467"/>
      <c r="Y50" s="765"/>
      <c r="Z50" s="765"/>
      <c r="AA50" s="784">
        <f>H47*I47*L47*M50*O47</f>
        <v>3.8505596270560154E-2</v>
      </c>
      <c r="AB50" s="784"/>
      <c r="AC50" s="784"/>
      <c r="AD50" s="784"/>
      <c r="AE50" s="784"/>
      <c r="AF50" s="629"/>
      <c r="AG50" s="3055"/>
      <c r="AH50" s="697"/>
      <c r="AI50" s="2451"/>
      <c r="AJ50" s="625"/>
      <c r="AK50" s="625"/>
      <c r="AL50" s="625"/>
      <c r="AM50" s="625"/>
      <c r="AN50" s="625"/>
      <c r="AO50" s="625"/>
      <c r="AP50" s="625"/>
      <c r="AQ50" s="625"/>
      <c r="AR50" s="626"/>
      <c r="AS50" s="629"/>
      <c r="AY50" s="629"/>
      <c r="AZ50" s="629"/>
      <c r="BA50" s="629"/>
      <c r="BB50" s="629"/>
      <c r="BC50" s="629"/>
      <c r="BD50" s="629"/>
      <c r="BE50" s="629"/>
      <c r="BF50" s="629"/>
      <c r="BG50" s="686"/>
      <c r="BH50" s="687"/>
      <c r="BI50" s="687"/>
      <c r="BJ50" s="687"/>
      <c r="BK50" s="689"/>
      <c r="BL50" s="689"/>
      <c r="BM50" s="689"/>
      <c r="BN50" s="689"/>
      <c r="BO50" s="689"/>
      <c r="BP50" s="689"/>
      <c r="BQ50" s="689"/>
      <c r="BR50" s="690"/>
      <c r="BS50" s="629"/>
      <c r="DK50" s="2479"/>
      <c r="DL50" s="234" t="str">
        <f>Commodities!$D$9</f>
        <v>TPCAL</v>
      </c>
      <c r="DM50" s="1682">
        <f t="shared" si="22"/>
        <v>0</v>
      </c>
      <c r="DN50" s="1682">
        <f>$DM$47*M50</f>
        <v>3.8505596270560161E-2</v>
      </c>
      <c r="DO50" s="234"/>
      <c r="DP50" s="605"/>
      <c r="DQ50" s="2494"/>
      <c r="DS50"/>
    </row>
    <row r="51" spans="1:123">
      <c r="A51"/>
      <c r="B51" s="467" t="s">
        <v>602</v>
      </c>
      <c r="C51" s="542" t="str">
        <f>Processes!$D$11</f>
        <v>TPCAGSBX1E</v>
      </c>
      <c r="D51" s="542" t="str">
        <f>Processes!$E$11</f>
        <v>Transport Passengers Cars -Ethanol- Average size - Existing</v>
      </c>
      <c r="E51" s="865" t="str">
        <f>E27</f>
        <v>TRAGSBL5</v>
      </c>
      <c r="F51" s="754" t="str">
        <f>Commodities!$D$6</f>
        <v>TPCAX</v>
      </c>
      <c r="G51" s="754" t="s">
        <v>3603</v>
      </c>
      <c r="H51" s="2175">
        <v>1E-3</v>
      </c>
      <c r="I51" s="2471">
        <f>VLOOKUP((VLOOKUP(E51,S136:T141,2,0)),AH40:AR60,2,0)</f>
        <v>1.7189998335071497</v>
      </c>
      <c r="J51" s="1109">
        <f>VLOOKUP(VLOOKUP($E51,$S$136:$T$141,2,0),$AH$111:$AR$116,MATCH(VALUE(RIGHT(J$5,4)),$AH$5:$AR$5,0),0)</f>
        <v>211.5191783490703</v>
      </c>
      <c r="K51" s="1109">
        <f>VLOOKUP(VLOOKUP($E51,$S$136:$T$141,2,0),$AH$111:$AR$116,MATCH(VALUE(RIGHT(K$5,4)),$AH$5:$AR$5,0),0)</f>
        <v>216.72334595739218</v>
      </c>
      <c r="L51" s="1109">
        <f>VLOOKUP(VLOOKUP($E51,$S$136:$T$141,2,0),$AH$81:$AR$88,MATCH(VALUE(RIGHT(L$5,4)),$AH$5:$AR$5,0),0)</f>
        <v>12887.702905772145</v>
      </c>
      <c r="M51" s="12">
        <f>$Y$135</f>
        <v>4.1969686632245623E-2</v>
      </c>
      <c r="N51" s="604">
        <v>5</v>
      </c>
      <c r="O51" s="610">
        <f t="shared" ref="O51:X51" si="29">VLOOKUP(VLOOKUP($E51,$S$136:$T$141,2,0),$AH$15:$AR$21,MATCH(VALUE(RIGHT(O$5,4)),$AH$5:$AR$5,0),0)</f>
        <v>19.41</v>
      </c>
      <c r="P51" s="610">
        <f t="shared" si="29"/>
        <v>18.420999999999999</v>
      </c>
      <c r="Q51" s="610">
        <f t="shared" si="29"/>
        <v>17.190999999999999</v>
      </c>
      <c r="R51" s="610">
        <f t="shared" si="29"/>
        <v>11.646000000000001</v>
      </c>
      <c r="S51" s="610">
        <f t="shared" si="29"/>
        <v>6.4820000000000002</v>
      </c>
      <c r="T51" s="610">
        <f t="shared" si="29"/>
        <v>2.75</v>
      </c>
      <c r="U51" s="610">
        <f t="shared" si="29"/>
        <v>0.78900000000000003</v>
      </c>
      <c r="V51" s="610">
        <f t="shared" si="29"/>
        <v>0.13200000000000001</v>
      </c>
      <c r="W51" s="610">
        <f t="shared" si="29"/>
        <v>1.0999999999999999E-2</v>
      </c>
      <c r="X51" s="610">
        <f t="shared" si="29"/>
        <v>0</v>
      </c>
      <c r="Y51" s="765">
        <v>3.5E-4</v>
      </c>
      <c r="Z51" s="765"/>
      <c r="AA51" s="784">
        <f>H51*I51*L51*M51*O51</f>
        <v>18.047315576539333</v>
      </c>
      <c r="AB51" s="784"/>
      <c r="AC51" s="784"/>
      <c r="AD51" s="784"/>
      <c r="AE51" s="784"/>
      <c r="AF51" s="629"/>
      <c r="AG51" s="3055"/>
      <c r="AH51" s="697" t="s">
        <v>51</v>
      </c>
      <c r="AI51" s="2451">
        <f>AI43</f>
        <v>1.7189998335071497</v>
      </c>
      <c r="AJ51" s="625"/>
      <c r="AK51" s="625"/>
      <c r="AL51" s="625"/>
      <c r="AM51" s="625"/>
      <c r="AN51" s="625"/>
      <c r="AO51" s="625"/>
      <c r="AP51" s="625"/>
      <c r="AQ51" s="625"/>
      <c r="AR51" s="626"/>
      <c r="AS51" s="629"/>
      <c r="AY51" s="629"/>
      <c r="AZ51" s="646" t="s">
        <v>573</v>
      </c>
      <c r="BA51" s="656"/>
      <c r="BB51" s="656"/>
      <c r="BC51" s="657"/>
      <c r="BD51" s="629"/>
      <c r="BE51" s="629"/>
      <c r="BF51" s="629"/>
      <c r="BG51" s="686" t="str">
        <f>AZ43</f>
        <v>SE3</v>
      </c>
      <c r="BH51" s="687">
        <f t="shared" ref="BH51:BJ52" si="30">SUM(BA43)/SUM(BA$47)</f>
        <v>0.66391489848568175</v>
      </c>
      <c r="BI51" s="687">
        <f t="shared" si="30"/>
        <v>0.66524255119986508</v>
      </c>
      <c r="BJ51" s="687">
        <f t="shared" si="30"/>
        <v>0.66663790491624819</v>
      </c>
      <c r="BK51" s="689">
        <f t="shared" si="28"/>
        <v>0.66663790491624819</v>
      </c>
      <c r="BL51" s="689">
        <f t="shared" si="28"/>
        <v>0.66663790491624819</v>
      </c>
      <c r="BM51" s="689">
        <f t="shared" si="28"/>
        <v>0.66663790491624819</v>
      </c>
      <c r="BN51" s="689">
        <f t="shared" si="28"/>
        <v>0.66663790491624819</v>
      </c>
      <c r="BO51" s="689">
        <f t="shared" si="28"/>
        <v>0.66663790491624819</v>
      </c>
      <c r="BP51" s="689">
        <f t="shared" si="28"/>
        <v>0.66663790491624819</v>
      </c>
      <c r="BQ51" s="689">
        <f t="shared" si="28"/>
        <v>0.66663790491624819</v>
      </c>
      <c r="BR51" s="690">
        <f t="shared" si="28"/>
        <v>0.66663790491624819</v>
      </c>
      <c r="BS51" s="629"/>
      <c r="DK51" s="2479"/>
      <c r="DL51" s="234" t="str">
        <f>DL47</f>
        <v>TPCAX</v>
      </c>
      <c r="DM51" s="1682">
        <f t="shared" si="22"/>
        <v>430.00834708814455</v>
      </c>
      <c r="DN51" s="1682">
        <f>$DM$51*M51</f>
        <v>18.047315576539336</v>
      </c>
      <c r="DO51" s="234" t="str">
        <f>Commodities!$D$6</f>
        <v>TPCAX</v>
      </c>
      <c r="DP51" s="605">
        <f>DN31+DN35+DN39+DN43+DN47+DN51</f>
        <v>383.09332517960945</v>
      </c>
      <c r="DQ51" s="2494">
        <f>DP51*$DQ$6</f>
        <v>379.26239192781333</v>
      </c>
      <c r="DR51" s="12"/>
      <c r="DS51" s="754"/>
    </row>
    <row r="52" spans="1:123" ht="15" customHeight="1">
      <c r="A52"/>
      <c r="B52" s="467" t="s">
        <v>602</v>
      </c>
      <c r="D52" s="542"/>
      <c r="E52" s="754"/>
      <c r="F52" s="754" t="str">
        <f>Commodities!$D$7</f>
        <v>TPCAS</v>
      </c>
      <c r="G52" s="754" t="s">
        <v>3603</v>
      </c>
      <c r="H52" s="1538"/>
      <c r="I52" s="2470"/>
      <c r="J52" s="1109">
        <f>VLOOKUP(VLOOKUP($E51,$S$136:$T$141,2,0),$AH$136:$AR$141,MATCH(VALUE(RIGHT(J$5,4)),$AH$5:$AR$5,0),0)</f>
        <v>266.99961857177726</v>
      </c>
      <c r="K52" s="1109">
        <f>VLOOKUP(VLOOKUP($E51,$S$136:$T$141,2,0),$AH$136:$AR$141,MATCH(VALUE(RIGHT(K$5,4)),$AH$5:$AR$5,0),0)</f>
        <v>273.56881374949506</v>
      </c>
      <c r="L52" s="765"/>
      <c r="M52" s="12">
        <f>$Y$136</f>
        <v>0.22141521801670719</v>
      </c>
      <c r="N52" s="604">
        <v>5</v>
      </c>
      <c r="O52" s="765"/>
      <c r="P52" s="765"/>
      <c r="Q52" s="765"/>
      <c r="R52" s="765"/>
      <c r="S52" s="765"/>
      <c r="T52" s="765"/>
      <c r="U52" s="765"/>
      <c r="V52" s="765"/>
      <c r="W52" s="765"/>
      <c r="X52" s="765"/>
      <c r="Y52" s="765"/>
      <c r="Z52" s="765"/>
      <c r="AA52" s="784">
        <f>H51*I51*L51*M52*O51</f>
        <v>95.210391919525406</v>
      </c>
      <c r="AB52" s="784"/>
      <c r="AC52" s="784"/>
      <c r="AD52" s="784"/>
      <c r="AE52" s="784"/>
      <c r="AF52" s="629"/>
      <c r="AG52" s="3055"/>
      <c r="AH52" s="697" t="s">
        <v>577</v>
      </c>
      <c r="AI52" s="2451">
        <f>AI44</f>
        <v>1.7189998335071497</v>
      </c>
      <c r="AJ52" s="625"/>
      <c r="AK52" s="625"/>
      <c r="AL52" s="625"/>
      <c r="AM52" s="625"/>
      <c r="AN52" s="625"/>
      <c r="AO52" s="625"/>
      <c r="AP52" s="625"/>
      <c r="AQ52" s="625"/>
      <c r="AR52" s="626"/>
      <c r="AS52" s="629"/>
      <c r="AY52" s="629"/>
      <c r="AZ52" s="664" t="s">
        <v>187</v>
      </c>
      <c r="BA52" s="665">
        <v>2010</v>
      </c>
      <c r="BB52" s="665">
        <v>2012</v>
      </c>
      <c r="BC52" s="666">
        <v>2014</v>
      </c>
      <c r="BD52" s="629"/>
      <c r="BE52" s="629"/>
      <c r="BF52" s="629"/>
      <c r="BG52" s="688" t="str">
        <f>AZ44</f>
        <v>SE4</v>
      </c>
      <c r="BH52" s="691">
        <f t="shared" si="30"/>
        <v>0.21296323635249698</v>
      </c>
      <c r="BI52" s="691">
        <f t="shared" si="30"/>
        <v>0.21249439985834478</v>
      </c>
      <c r="BJ52" s="691">
        <f t="shared" si="30"/>
        <v>0.21190727817175609</v>
      </c>
      <c r="BK52" s="692">
        <f t="shared" si="28"/>
        <v>0.21190727817175609</v>
      </c>
      <c r="BL52" s="692">
        <f t="shared" si="28"/>
        <v>0.21190727817175609</v>
      </c>
      <c r="BM52" s="692">
        <f t="shared" si="28"/>
        <v>0.21190727817175609</v>
      </c>
      <c r="BN52" s="692">
        <f t="shared" si="28"/>
        <v>0.21190727817175609</v>
      </c>
      <c r="BO52" s="692">
        <f t="shared" si="28"/>
        <v>0.21190727817175609</v>
      </c>
      <c r="BP52" s="692">
        <f t="shared" si="28"/>
        <v>0.21190727817175609</v>
      </c>
      <c r="BQ52" s="692">
        <f t="shared" si="28"/>
        <v>0.21190727817175609</v>
      </c>
      <c r="BR52" s="693">
        <f t="shared" si="28"/>
        <v>0.21190727817175609</v>
      </c>
      <c r="BS52" s="629"/>
      <c r="DK52" s="2479"/>
      <c r="DL52" s="234" t="str">
        <f>DL48</f>
        <v>TPCAS</v>
      </c>
      <c r="DM52" s="1682">
        <f t="shared" si="22"/>
        <v>0</v>
      </c>
      <c r="DN52" s="1682">
        <f>$DM$51*M52</f>
        <v>95.210391919525421</v>
      </c>
      <c r="DO52" s="234" t="str">
        <f>Commodities!$D$7</f>
        <v>TPCAS</v>
      </c>
      <c r="DP52" s="605">
        <f>DN32+DN36+DN40+DN44+DN48+DN52</f>
        <v>2020.9974738401631</v>
      </c>
      <c r="DQ52" s="2494">
        <f>DP52*$DQ$6</f>
        <v>2000.7874991017616</v>
      </c>
      <c r="DR52" s="12"/>
    </row>
    <row r="53" spans="1:123">
      <c r="A53"/>
      <c r="B53" s="467" t="s">
        <v>602</v>
      </c>
      <c r="C53" s="543"/>
      <c r="D53" s="543"/>
      <c r="E53" s="543"/>
      <c r="F53" s="543" t="str">
        <f>Commodities!$D$8</f>
        <v>TPCAM</v>
      </c>
      <c r="G53" s="754" t="s">
        <v>3603</v>
      </c>
      <c r="H53" s="1538"/>
      <c r="I53" s="2474"/>
      <c r="J53" s="1109">
        <f>VLOOKUP(VLOOKUP($E51,$S$136:$T$141,2,0),$AH$161:$AR$166,MATCH(VALUE(RIGHT(J$5,4)),$AH$5:$AR$5,0),0)</f>
        <v>346.75275139191854</v>
      </c>
      <c r="K53" s="1109">
        <f>VLOOKUP(VLOOKUP($E51,$S$136:$T$141,2,0),$AH$161:$AR$166,MATCH(VALUE(RIGHT(K$5,4)),$AH$5:$AR$5,0),0)</f>
        <v>355.28417370064295</v>
      </c>
      <c r="L53" s="467"/>
      <c r="M53" s="12">
        <f>$Y$137</f>
        <v>0.19211349098651823</v>
      </c>
      <c r="N53" s="604">
        <v>5</v>
      </c>
      <c r="O53" s="467"/>
      <c r="P53" s="467"/>
      <c r="Q53" s="467"/>
      <c r="R53" s="467"/>
      <c r="S53" s="467"/>
      <c r="T53" s="467"/>
      <c r="U53" s="467"/>
      <c r="V53" s="467"/>
      <c r="W53" s="467"/>
      <c r="X53" s="467"/>
      <c r="Y53" s="765"/>
      <c r="Z53" s="765"/>
      <c r="AA53" s="784">
        <f>H51*I51*L51*M53*O51</f>
        <v>82.610404712445856</v>
      </c>
      <c r="AB53" s="784"/>
      <c r="AC53" s="784"/>
      <c r="AD53" s="784"/>
      <c r="AE53" s="784"/>
      <c r="AF53" s="629"/>
      <c r="AG53" s="3055"/>
      <c r="AH53" s="697" t="s">
        <v>49</v>
      </c>
      <c r="AI53" s="2451">
        <f>AI45</f>
        <v>1.7189998335071497</v>
      </c>
      <c r="AJ53" s="625"/>
      <c r="AK53" s="625"/>
      <c r="AL53" s="625"/>
      <c r="AM53" s="625"/>
      <c r="AN53" s="625"/>
      <c r="AO53" s="625"/>
      <c r="AP53" s="625"/>
      <c r="AQ53" s="625"/>
      <c r="AR53" s="626"/>
      <c r="AS53" s="629"/>
      <c r="AY53" s="629"/>
      <c r="AZ53" s="664"/>
      <c r="BA53" s="665"/>
      <c r="BB53" s="665"/>
      <c r="BC53" s="666"/>
      <c r="BD53" s="629"/>
      <c r="BE53" s="629"/>
      <c r="BF53" s="629"/>
      <c r="BG53" s="629"/>
      <c r="BH53" s="695"/>
      <c r="BI53" s="695"/>
      <c r="BJ53" s="695"/>
      <c r="BK53" s="629"/>
      <c r="BL53" s="629"/>
      <c r="BM53" s="629"/>
      <c r="BN53" s="629"/>
      <c r="BO53" s="629"/>
      <c r="BP53" s="629"/>
      <c r="BQ53" s="629"/>
      <c r="BR53" s="629"/>
      <c r="BS53" s="629"/>
      <c r="DK53" s="2479"/>
      <c r="DL53" s="234" t="str">
        <f>DL49</f>
        <v>TPCAM</v>
      </c>
      <c r="DM53" s="1682">
        <f t="shared" si="22"/>
        <v>0</v>
      </c>
      <c r="DN53" s="1682">
        <f>$DM$51*M53</f>
        <v>82.610404712445856</v>
      </c>
      <c r="DO53" s="234" t="str">
        <f>Commodities!$D$8</f>
        <v>TPCAM</v>
      </c>
      <c r="DP53" s="605">
        <f>DN33+DN37+DN41+DN45+DN49+DN53</f>
        <v>1753.5623638432812</v>
      </c>
      <c r="DQ53" s="2494">
        <f>DP53*$DQ$6</f>
        <v>1736.0267402048485</v>
      </c>
      <c r="DR53" s="12"/>
    </row>
    <row r="54" spans="1:123" s="754" customFormat="1" ht="13.8" thickBot="1">
      <c r="B54" s="467" t="s">
        <v>602</v>
      </c>
      <c r="C54" s="543"/>
      <c r="D54" s="23"/>
      <c r="E54" s="23"/>
      <c r="F54" s="23" t="str">
        <f>Commodities!$D$9</f>
        <v>TPCAL</v>
      </c>
      <c r="G54" s="23" t="s">
        <v>3603</v>
      </c>
      <c r="H54" s="1556"/>
      <c r="I54" s="2475"/>
      <c r="J54" s="1109">
        <f>VLOOKUP(VLOOKUP($E51,$S$136:$T$141,2,0),$AH$186:$AR$191,MATCH(VALUE(RIGHT(J$5,4)),$AH$5:$AR$5,0),0)</f>
        <v>385.02617344706078</v>
      </c>
      <c r="K54" s="1109">
        <f>VLOOKUP(VLOOKUP($E51,$S$136:$T$141,2,0),$AH$186:$AR$191,MATCH(VALUE(RIGHT(K$5,4)),$AH$5:$AR$5,0),0)</f>
        <v>394.499265938478</v>
      </c>
      <c r="L54" s="467"/>
      <c r="M54" s="12">
        <f>$Y$138</f>
        <v>0.54450160436452888</v>
      </c>
      <c r="N54" s="604">
        <v>5</v>
      </c>
      <c r="O54" s="467"/>
      <c r="P54" s="467"/>
      <c r="Q54" s="467"/>
      <c r="R54" s="467"/>
      <c r="S54" s="467"/>
      <c r="T54" s="467"/>
      <c r="U54" s="467"/>
      <c r="V54" s="467"/>
      <c r="W54" s="467"/>
      <c r="X54" s="467"/>
      <c r="Y54" s="734"/>
      <c r="Z54" s="765"/>
      <c r="AA54" s="784">
        <f>H51*I51*L51*M54*O51</f>
        <v>234.14023487963388</v>
      </c>
      <c r="AB54" s="784"/>
      <c r="AC54" s="784"/>
      <c r="AD54" s="784"/>
      <c r="AE54" s="784"/>
      <c r="AF54" s="629"/>
      <c r="AG54" s="1981"/>
      <c r="AH54" s="697"/>
      <c r="AI54" s="2451"/>
      <c r="AJ54" s="625"/>
      <c r="AK54" s="625"/>
      <c r="AL54" s="625"/>
      <c r="AM54" s="625"/>
      <c r="AN54" s="625"/>
      <c r="AO54" s="625"/>
      <c r="AP54" s="625"/>
      <c r="AQ54" s="625"/>
      <c r="AR54" s="626"/>
      <c r="AS54" s="629"/>
      <c r="AY54" s="629"/>
      <c r="AZ54" s="658" t="str">
        <f>'SE CarData'!A58</f>
        <v>Petrol</v>
      </c>
      <c r="BA54" s="621">
        <f>ROUND(AVERAGE('SE CarData'!B58:C58),0)</f>
        <v>3479591</v>
      </c>
      <c r="BB54" s="621">
        <f>ROUND(AVERAGE('SE CarData'!D58:E58),0)</f>
        <v>3130130</v>
      </c>
      <c r="BC54" s="622">
        <f>ROUND(AVERAGE('SE CarData'!F58:G58),0)</f>
        <v>3001914</v>
      </c>
      <c r="BD54" s="629"/>
      <c r="BE54" s="629"/>
      <c r="BF54" s="629"/>
      <c r="BG54" s="629"/>
      <c r="BH54" s="695"/>
      <c r="BI54" s="695"/>
      <c r="BJ54" s="695"/>
      <c r="BK54" s="629"/>
      <c r="BL54" s="629"/>
      <c r="BM54" s="629"/>
      <c r="BN54" s="629"/>
      <c r="BO54" s="629"/>
      <c r="BP54" s="629"/>
      <c r="BQ54" s="629"/>
      <c r="BR54" s="629"/>
      <c r="BS54" s="629"/>
      <c r="DK54" s="427"/>
      <c r="DL54" s="2484" t="str">
        <f>Commodities!$D$9</f>
        <v>TPCAL</v>
      </c>
      <c r="DM54" s="2488">
        <f t="shared" si="22"/>
        <v>0</v>
      </c>
      <c r="DN54" s="2488">
        <f>$DM$51*M54</f>
        <v>234.14023487963391</v>
      </c>
      <c r="DO54" s="2484" t="str">
        <f>Commodities!$D$9</f>
        <v>TPCAL</v>
      </c>
      <c r="DP54" s="2489">
        <f>DN34+DN38+DN42+DN46+DN50+DN54</f>
        <v>4969.6720806643343</v>
      </c>
      <c r="DQ54" s="2495">
        <f>DP54*$DQ$6</f>
        <v>4919.9753598576908</v>
      </c>
      <c r="DR54" s="12"/>
      <c r="DS54"/>
    </row>
    <row r="55" spans="1:123">
      <c r="A55"/>
      <c r="B55" s="725" t="s">
        <v>603</v>
      </c>
      <c r="C55" s="30" t="str">
        <f>Processes!$D$6</f>
        <v>TPCADSBL1E</v>
      </c>
      <c r="D55" s="543" t="str">
        <f>Processes!$E$6</f>
        <v>Transport Passengers Cars - Diesel Engine - Blending 1 - Average size - Existing</v>
      </c>
      <c r="E55" s="754" t="str">
        <f>E31</f>
        <v>TRADSBL1</v>
      </c>
      <c r="F55" s="754" t="str">
        <f>Commodities!$D$6</f>
        <v>TPCAX</v>
      </c>
      <c r="G55" s="754" t="s">
        <v>3603</v>
      </c>
      <c r="H55" s="2175">
        <v>1E-3</v>
      </c>
      <c r="I55" s="2472">
        <f>VLOOKUP(VLOOKUP($E55,$S$136:$T$140,2,0),$AH$56:$AI$63,MATCH(VALUE(RIGHT(I$5,4)),$AH$5:$AR$5,0),0)</f>
        <v>1.7189998335071497</v>
      </c>
      <c r="J55" s="2352">
        <f>VLOOKUP(VLOOKUP($E55,$S$136:$T$141,2,0),$AH$117:$AR$122,MATCH(VALUE(RIGHT(J$5,4)),$AH$5:$AR$5,0),0)</f>
        <v>210.09639756980272</v>
      </c>
      <c r="K55" s="2013">
        <f>VLOOKUP(VLOOKUP($E55,$S$136:$T$141,2,0),$AH$117:$AR$122,MATCH(VALUE(RIGHT(K$5,4)),$AH$5:$AR$5,0),0)</f>
        <v>213.73073170775214</v>
      </c>
      <c r="L55" s="2013">
        <f>VLOOKUP(VLOOKUP($E55,$S$136:$T$140,2,0),$AH$89:$AI$96,MATCH(VALUE(RIGHT(L$5,4)),$AH$5:$AR$5,0),0)</f>
        <v>21500.868112010729</v>
      </c>
      <c r="M55" s="2012">
        <f>$Z$135</f>
        <v>4.0207008532722487E-2</v>
      </c>
      <c r="N55" s="2013">
        <v>5</v>
      </c>
      <c r="O55" s="2350">
        <f t="shared" ref="O55:X55" si="31">VLOOKUP(VLOOKUP($E55,$S$136:$T$140,2,0),$AH$23:$AR$29,MATCH(VALUE(RIGHT(O$5,4)),$AH$5:$AR$5,0),0)</f>
        <v>402.68700000000001</v>
      </c>
      <c r="P55" s="2350">
        <f t="shared" si="31"/>
        <v>665.98299999999995</v>
      </c>
      <c r="Q55" s="2350">
        <f t="shared" si="31"/>
        <v>763.86900000000003</v>
      </c>
      <c r="R55" s="2350">
        <f t="shared" si="31"/>
        <v>517.46</v>
      </c>
      <c r="S55" s="2350">
        <f t="shared" si="31"/>
        <v>288.024</v>
      </c>
      <c r="T55" s="2350">
        <f t="shared" si="31"/>
        <v>122.182</v>
      </c>
      <c r="U55" s="2350">
        <f t="shared" si="31"/>
        <v>35.04</v>
      </c>
      <c r="V55" s="2350">
        <f t="shared" si="31"/>
        <v>5.8689999999999998</v>
      </c>
      <c r="W55" s="2350">
        <f t="shared" si="31"/>
        <v>0.48899999999999999</v>
      </c>
      <c r="X55" s="2350">
        <f t="shared" si="31"/>
        <v>1.7000000000000001E-2</v>
      </c>
      <c r="Y55" s="765">
        <v>3.5E-4</v>
      </c>
      <c r="Z55" s="765"/>
      <c r="AA55" s="784">
        <f>H55*I55*L55*M55*O55</f>
        <v>598.41325040112599</v>
      </c>
      <c r="AB55" s="784" t="str">
        <f>AB31</f>
        <v>TPCAX</v>
      </c>
      <c r="AC55" s="784">
        <f>Dem!G5</f>
        <v>2781.264797136429</v>
      </c>
      <c r="AD55" s="784">
        <f>AA55+AA59+AA63+AA67+AA71+AA75</f>
        <v>2809.3583809458878</v>
      </c>
      <c r="AE55" s="250">
        <f>AD55/AC55</f>
        <v>1.0101010101010102</v>
      </c>
      <c r="AF55" s="629"/>
      <c r="AG55" s="461"/>
      <c r="AH55" s="467" t="s">
        <v>607</v>
      </c>
      <c r="AI55" s="2453">
        <f>AI47</f>
        <v>1.7189998335071497</v>
      </c>
      <c r="AJ55" s="627"/>
      <c r="AK55" s="627"/>
      <c r="AL55" s="627"/>
      <c r="AM55" s="627"/>
      <c r="AN55" s="627"/>
      <c r="AO55" s="627"/>
      <c r="AP55" s="627"/>
      <c r="AQ55" s="627"/>
      <c r="AR55" s="628"/>
      <c r="AS55" s="629"/>
      <c r="AY55" s="629"/>
      <c r="AZ55" s="658" t="str">
        <f>'SE CarData'!A59</f>
        <v>Diesel</v>
      </c>
      <c r="BA55" s="621">
        <f>ROUND(AVERAGE('SE CarData'!B59:C59),0)</f>
        <v>606559</v>
      </c>
      <c r="BB55" s="621">
        <f>ROUND(AVERAGE('SE CarData'!D59:E59),0)</f>
        <v>1068007</v>
      </c>
      <c r="BC55" s="622">
        <f>ROUND(AVERAGE('SE CarData'!F59:G59),0)</f>
        <v>1302290</v>
      </c>
      <c r="BD55" s="629"/>
      <c r="BE55" s="629"/>
      <c r="BF55" s="629"/>
      <c r="BG55" s="629"/>
      <c r="BH55" s="629"/>
      <c r="BI55" s="695"/>
      <c r="BJ55" s="629"/>
      <c r="BK55" s="629"/>
      <c r="BL55" s="629"/>
      <c r="BM55" s="629"/>
      <c r="BN55" s="629"/>
      <c r="BO55" s="629"/>
      <c r="BP55" s="629"/>
      <c r="BQ55" s="629"/>
      <c r="BR55" s="629"/>
      <c r="BS55" s="629"/>
      <c r="DK55" s="2476" t="str">
        <f>B55</f>
        <v>SE3</v>
      </c>
      <c r="DL55" s="2477" t="str">
        <f>Commodities!$D$6</f>
        <v>TPCAX</v>
      </c>
      <c r="DM55" s="2485">
        <f t="shared" si="22"/>
        <v>14883.306971572065</v>
      </c>
      <c r="DN55" s="2485">
        <f>$DM$55*M55</f>
        <v>598.41325040112611</v>
      </c>
      <c r="DO55" s="2477"/>
      <c r="DP55" s="2486"/>
      <c r="DQ55" s="2493"/>
    </row>
    <row r="56" spans="1:123">
      <c r="A56"/>
      <c r="B56" s="467" t="s">
        <v>603</v>
      </c>
      <c r="C56" s="543"/>
      <c r="D56" s="543"/>
      <c r="E56" s="754"/>
      <c r="F56" s="754" t="str">
        <f>Commodities!$D$7</f>
        <v>TPCAS</v>
      </c>
      <c r="G56" s="754" t="s">
        <v>3603</v>
      </c>
      <c r="H56" s="1538"/>
      <c r="I56" s="2472"/>
      <c r="J56" s="2351">
        <f>VLOOKUP(VLOOKUP($E55,$S$136:$T$141,2,0),$AH$142:$AR$147,MATCH(VALUE(RIGHT(J$5,4)),$AH$5:$AR$5,0),0)</f>
        <v>265.20364939139034</v>
      </c>
      <c r="K56" s="1109">
        <f>VLOOKUP(VLOOKUP($E55,$S$136:$T$141,2,0),$AH$142:$AR$147,MATCH(VALUE(RIGHT(K$5,4)),$AH$5:$AR$5,0),0)</f>
        <v>269.79125149994945</v>
      </c>
      <c r="L56" s="467"/>
      <c r="M56" s="12">
        <f>$Z$136</f>
        <v>0.23254183648799168</v>
      </c>
      <c r="N56" s="604">
        <v>5</v>
      </c>
      <c r="O56" s="2175"/>
      <c r="P56" s="2175"/>
      <c r="Q56" s="2175"/>
      <c r="R56" s="2175"/>
      <c r="S56" s="2175"/>
      <c r="T56" s="2175"/>
      <c r="U56" s="2175"/>
      <c r="V56" s="2175"/>
      <c r="W56" s="2175"/>
      <c r="X56" s="2175"/>
      <c r="Y56" s="765"/>
      <c r="Z56" s="765"/>
      <c r="AA56" s="784">
        <f>H55*I55*L55*M56*O55</f>
        <v>3460.9915361838971</v>
      </c>
      <c r="AB56" s="784" t="str">
        <f>AB32</f>
        <v>TPCAS</v>
      </c>
      <c r="AC56" s="784">
        <f>Dem!G6</f>
        <v>16085.2278957566</v>
      </c>
      <c r="AD56" s="784">
        <f>AA56+AA60+AA64+AA68+AA72+AA76</f>
        <v>16247.704945208687</v>
      </c>
      <c r="AE56" s="250">
        <f>AD56/AC56</f>
        <v>1.0101010101010102</v>
      </c>
      <c r="AF56" s="629"/>
      <c r="AG56" s="3054" t="s">
        <v>603</v>
      </c>
      <c r="AH56" s="729" t="s">
        <v>184</v>
      </c>
      <c r="AI56" s="2452">
        <f>AI48</f>
        <v>1.7189998335071497</v>
      </c>
      <c r="AJ56" s="623"/>
      <c r="AK56" s="623"/>
      <c r="AL56" s="623"/>
      <c r="AM56" s="623"/>
      <c r="AN56" s="623"/>
      <c r="AO56" s="623"/>
      <c r="AP56" s="623"/>
      <c r="AQ56" s="623"/>
      <c r="AR56" s="624"/>
      <c r="AS56" s="629"/>
      <c r="AY56" s="629"/>
      <c r="AZ56" s="658" t="str">
        <f>'SE CarData'!A60</f>
        <v>LPG</v>
      </c>
      <c r="BA56" s="621">
        <f>ROUND(AVERAGE('SE CarData'!B60:C60),0)</f>
        <v>0</v>
      </c>
      <c r="BB56" s="621">
        <f>ROUND(AVERAGE('SE CarData'!D60:E60),0)</f>
        <v>0</v>
      </c>
      <c r="BC56" s="622">
        <f>ROUND(AVERAGE('SE CarData'!F60:G60),0)</f>
        <v>0</v>
      </c>
      <c r="BD56" s="629"/>
      <c r="BG56" s="629"/>
      <c r="BH56" s="629"/>
      <c r="BI56" s="629"/>
      <c r="BJ56" s="629"/>
      <c r="BK56" s="629"/>
      <c r="BL56" s="629"/>
      <c r="BM56" s="629"/>
      <c r="BN56" s="629"/>
      <c r="BO56" s="629"/>
      <c r="BP56" s="629"/>
      <c r="BQ56" s="629"/>
      <c r="BR56" s="629"/>
      <c r="BS56" s="629"/>
      <c r="DK56" s="2479"/>
      <c r="DL56" s="234" t="str">
        <f>Commodities!$D$7</f>
        <v>TPCAS</v>
      </c>
      <c r="DM56" s="1682">
        <f t="shared" si="22"/>
        <v>0</v>
      </c>
      <c r="DN56" s="1682">
        <f>$DM$55*M56</f>
        <v>3460.9915361838976</v>
      </c>
      <c r="DO56" s="234"/>
      <c r="DP56" s="605"/>
      <c r="DQ56" s="2494"/>
      <c r="DS56" s="754"/>
    </row>
    <row r="57" spans="1:123" ht="12.75" customHeight="1">
      <c r="A57"/>
      <c r="B57" s="467" t="s">
        <v>603</v>
      </c>
      <c r="C57" s="543"/>
      <c r="D57" s="543"/>
      <c r="E57" s="754"/>
      <c r="F57" s="754" t="str">
        <f>Commodities!$D$8</f>
        <v>TPCAM</v>
      </c>
      <c r="G57" s="754" t="s">
        <v>3603</v>
      </c>
      <c r="H57" s="1538"/>
      <c r="I57" s="2472"/>
      <c r="J57" s="2351">
        <f>VLOOKUP(VLOOKUP($E55,$S$136:$T$141,2,0),$AH$167:$AR$172,MATCH(VALUE(RIGHT(J$5,4)),$AH$5:$AR$5,0),0)</f>
        <v>344.42032388492248</v>
      </c>
      <c r="K57" s="1109">
        <f>VLOOKUP(VLOOKUP($E55,$S$136:$T$141,2,0),$AH$167:$AR$172,MATCH(VALUE(RIGHT(K$5,4)),$AH$5:$AR$5,0),0)</f>
        <v>350.37824870123302</v>
      </c>
      <c r="L57" s="467"/>
      <c r="M57" s="12">
        <f>$Z$137</f>
        <v>0.221833860855045</v>
      </c>
      <c r="N57" s="604">
        <v>5</v>
      </c>
      <c r="O57" s="2175"/>
      <c r="P57" s="2175"/>
      <c r="Q57" s="2175"/>
      <c r="R57" s="2175"/>
      <c r="S57" s="2175"/>
      <c r="T57" s="2175"/>
      <c r="U57" s="2175"/>
      <c r="V57" s="2175"/>
      <c r="W57" s="2175"/>
      <c r="X57" s="2175"/>
      <c r="Y57" s="765"/>
      <c r="Z57" s="765"/>
      <c r="AA57" s="784">
        <f>H55*I55*L55*M57*O55</f>
        <v>3301.6214477946382</v>
      </c>
      <c r="AB57" s="784" t="str">
        <f>AB33</f>
        <v>TPCAM</v>
      </c>
      <c r="AC57" s="784">
        <f>Dem!G7</f>
        <v>15344.598283236006</v>
      </c>
      <c r="AD57" s="784">
        <f>AA57+AA61+AA65+AA69+AA73+AA77</f>
        <v>15499.594225490917</v>
      </c>
      <c r="AE57" s="250">
        <f>AD57/AC57</f>
        <v>1.0101010101010102</v>
      </c>
      <c r="AF57" s="629"/>
      <c r="AG57" s="3055"/>
      <c r="AH57" s="697" t="s">
        <v>61</v>
      </c>
      <c r="AI57" s="2451">
        <f>AI49</f>
        <v>1.7189998335071497</v>
      </c>
      <c r="AJ57" s="625"/>
      <c r="AK57" s="625"/>
      <c r="AL57" s="625"/>
      <c r="AM57" s="625"/>
      <c r="AN57" s="625"/>
      <c r="AO57" s="625"/>
      <c r="AP57" s="625"/>
      <c r="AQ57" s="625"/>
      <c r="AR57" s="626"/>
      <c r="AS57" s="629"/>
      <c r="AY57" s="669"/>
      <c r="AZ57" s="658" t="str">
        <f>'SE CarData'!A61</f>
        <v>N-gas</v>
      </c>
      <c r="BA57" s="621">
        <f>ROUND(AVERAGE('SE CarData'!B61:C61),0)</f>
        <v>24973</v>
      </c>
      <c r="BB57" s="621">
        <f>ROUND(AVERAGE('SE CarData'!D61:E61),0)</f>
        <v>37327</v>
      </c>
      <c r="BC57" s="622">
        <f>ROUND(AVERAGE('SE CarData'!F61:G61),0)</f>
        <v>41363</v>
      </c>
      <c r="BD57" s="669"/>
      <c r="BE57" s="629"/>
      <c r="BF57" s="629"/>
      <c r="BG57" s="629"/>
      <c r="BH57" s="629"/>
      <c r="BI57" s="629"/>
      <c r="BJ57" s="629"/>
      <c r="BK57" s="629"/>
      <c r="BL57" s="629"/>
      <c r="BM57" s="629"/>
      <c r="BN57" s="629"/>
      <c r="BO57" s="629"/>
      <c r="BP57" s="629"/>
      <c r="BQ57" s="629"/>
      <c r="BR57" s="629"/>
      <c r="BS57" s="629"/>
      <c r="DK57" s="2479"/>
      <c r="DL57" s="234" t="str">
        <f>Commodities!$D$8</f>
        <v>TPCAM</v>
      </c>
      <c r="DM57" s="1682">
        <f t="shared" si="22"/>
        <v>0</v>
      </c>
      <c r="DN57" s="1682">
        <f>$DM$55*M57</f>
        <v>3301.6214477946387</v>
      </c>
      <c r="DO57" s="234"/>
      <c r="DP57" s="605"/>
      <c r="DQ57" s="2494"/>
      <c r="DR57" s="754"/>
    </row>
    <row r="58" spans="1:123" s="754" customFormat="1" ht="12.75" customHeight="1">
      <c r="B58" s="467" t="s">
        <v>603</v>
      </c>
      <c r="C58" s="543"/>
      <c r="D58" s="543"/>
      <c r="F58" s="754" t="str">
        <f>Commodities!$D$9</f>
        <v>TPCAL</v>
      </c>
      <c r="G58" s="754" t="s">
        <v>3603</v>
      </c>
      <c r="H58" s="1538"/>
      <c r="I58" s="2472"/>
      <c r="J58" s="2351">
        <f>VLOOKUP(VLOOKUP($E55,$S$136:$T$140,2,0),$AH$192:$AR$197,MATCH(VALUE(RIGHT(J$5,4)),$AH$5:$AR$5,0),0)</f>
        <v>382.43630030472383</v>
      </c>
      <c r="K58" s="1109">
        <f>VLOOKUP(VLOOKUP($E55,$S$136:$T$140,2,0),$AH$192:$AR$197,MATCH(VALUE(RIGHT(K$5,4)),$AH$5:$AR$5,0),0)</f>
        <v>389.05184116056722</v>
      </c>
      <c r="L58" s="467"/>
      <c r="M58" s="12">
        <f>$Z$138</f>
        <v>0.50541729412424075</v>
      </c>
      <c r="N58" s="604">
        <v>5</v>
      </c>
      <c r="O58" s="2175"/>
      <c r="P58" s="2175"/>
      <c r="Q58" s="2175"/>
      <c r="R58" s="2175"/>
      <c r="S58" s="2175"/>
      <c r="T58" s="2175"/>
      <c r="U58" s="2175"/>
      <c r="V58" s="2175"/>
      <c r="W58" s="2175"/>
      <c r="X58" s="2175"/>
      <c r="Y58" s="765"/>
      <c r="Z58" s="765"/>
      <c r="AA58" s="784">
        <f>H55*I55*L55*M58*O55</f>
        <v>7522.2807371924</v>
      </c>
      <c r="AB58" s="784" t="str">
        <f>AB34</f>
        <v>TPCAL</v>
      </c>
      <c r="AC58" s="784">
        <f>Dem!G8</f>
        <v>34958.076303703776</v>
      </c>
      <c r="AD58" s="784">
        <f>AA58+AA62+AA66+AA70+AA74+AA78</f>
        <v>35311.188185559375</v>
      </c>
      <c r="AE58" s="250">
        <f>AD58/AC58</f>
        <v>1.0101010101010102</v>
      </c>
      <c r="AF58" s="629"/>
      <c r="AG58" s="3055"/>
      <c r="AH58" s="697"/>
      <c r="AI58" s="2451"/>
      <c r="AJ58" s="625"/>
      <c r="AK58" s="625"/>
      <c r="AL58" s="625"/>
      <c r="AM58" s="625"/>
      <c r="AN58" s="625"/>
      <c r="AO58" s="625"/>
      <c r="AP58" s="625"/>
      <c r="AQ58" s="625"/>
      <c r="AR58" s="626"/>
      <c r="AS58" s="629"/>
      <c r="AY58" s="669"/>
      <c r="AZ58" s="658" t="str">
        <f>'SE CarData'!A62</f>
        <v>Electricity</v>
      </c>
      <c r="BA58" s="621">
        <f>ROUND(AVERAGE('SE CarData'!B62:C62),0)</f>
        <v>190</v>
      </c>
      <c r="BB58" s="621">
        <f>ROUND(AVERAGE('SE CarData'!D62:E62),0)</f>
        <v>31004</v>
      </c>
      <c r="BC58" s="622">
        <f>ROUND(AVERAGE('SE CarData'!F62:G62),0)</f>
        <v>49623</v>
      </c>
      <c r="BD58" s="669"/>
      <c r="BE58" s="629"/>
      <c r="BF58" s="629"/>
      <c r="BG58" s="629"/>
      <c r="BH58" s="629"/>
      <c r="BI58" s="629"/>
      <c r="BJ58" s="629"/>
      <c r="BK58" s="629"/>
      <c r="BL58" s="629"/>
      <c r="BM58" s="629"/>
      <c r="BN58" s="629"/>
      <c r="BO58" s="629"/>
      <c r="BP58" s="629"/>
      <c r="BQ58" s="629"/>
      <c r="BR58" s="629"/>
      <c r="BS58" s="629"/>
      <c r="DK58" s="2479"/>
      <c r="DL58" s="234" t="str">
        <f>Commodities!$D9</f>
        <v>TPCAL</v>
      </c>
      <c r="DM58" s="1682">
        <f t="shared" si="22"/>
        <v>0</v>
      </c>
      <c r="DN58" s="1682">
        <f>$DM$55*M58</f>
        <v>7522.2807371924009</v>
      </c>
      <c r="DO58" s="234"/>
      <c r="DP58" s="605"/>
      <c r="DQ58" s="2494"/>
    </row>
    <row r="59" spans="1:123">
      <c r="A59"/>
      <c r="B59" s="467" t="s">
        <v>603</v>
      </c>
      <c r="C59" s="543" t="str">
        <f>Processes!$D$7</f>
        <v>TPCAGSBL1E</v>
      </c>
      <c r="D59" s="543" t="str">
        <f>Processes!$E$7</f>
        <v>Transport Passengers Cars - Otto Engine - Blending 1 - Average size - Existing</v>
      </c>
      <c r="E59" s="754" t="str">
        <f>E35</f>
        <v>TRAGSBL1</v>
      </c>
      <c r="F59" s="754" t="str">
        <f>Commodities!$D$6</f>
        <v>TPCAX</v>
      </c>
      <c r="G59" s="754" t="s">
        <v>3603</v>
      </c>
      <c r="H59" s="2175">
        <v>1E-3</v>
      </c>
      <c r="I59" s="2470">
        <f>VLOOKUP(VLOOKUP($E59,$S$136:$T$140,2,0),$AH$56:$AI$63,MATCH(VALUE(RIGHT(I$5,4)),$AH$5:$AR$5,0),0)</f>
        <v>1.7189998335071497</v>
      </c>
      <c r="J59" s="1109">
        <f>VLOOKUP(VLOOKUP($E59,$S$136:$T$141,2,0),$AH$117:$AR$122,MATCH(VALUE(RIGHT(J$5,4)),$AH$5:$AR$5,0),0)</f>
        <v>211.5191783490703</v>
      </c>
      <c r="K59" s="1109">
        <f>VLOOKUP(VLOOKUP($E59,$S$136:$T$141,2,0),$AH$117:$AR$122,MATCH(VALUE(RIGHT(K$5,4)),$AH$5:$AR$5,0),0)</f>
        <v>216.72334595739218</v>
      </c>
      <c r="L59" s="1109">
        <f>VLOOKUP(VLOOKUP($E59,$S$136:$T$140,2,0),$AH$89:$AI$96,MATCH(VALUE(RIGHT(L$5,4)),$AH$5:$AR$5,0),0)</f>
        <v>12887.681364693466</v>
      </c>
      <c r="M59" s="12">
        <f>$Z$135</f>
        <v>4.0207008532722487E-2</v>
      </c>
      <c r="N59" s="604">
        <v>5</v>
      </c>
      <c r="O59" s="2175">
        <f t="shared" ref="O59:X59" si="32">VLOOKUP(VLOOKUP($E59,$S$136:$T$140,2,0),$AH$23:$AR$29,MATCH(VALUE(RIGHT(O$5,4)),$AH$5:$AR$5,0),0)</f>
        <v>2310.06</v>
      </c>
      <c r="P59" s="2175">
        <f t="shared" si="32"/>
        <v>1951.8710000000001</v>
      </c>
      <c r="Q59" s="2175">
        <f t="shared" si="32"/>
        <v>1760.797</v>
      </c>
      <c r="R59" s="2175">
        <f t="shared" si="32"/>
        <v>1192.798</v>
      </c>
      <c r="S59" s="2175">
        <f t="shared" si="32"/>
        <v>663.92600000000004</v>
      </c>
      <c r="T59" s="2175">
        <f t="shared" si="32"/>
        <v>281.64299999999997</v>
      </c>
      <c r="U59" s="2175">
        <f t="shared" si="32"/>
        <v>80.77</v>
      </c>
      <c r="V59" s="2175">
        <f t="shared" si="32"/>
        <v>13.53</v>
      </c>
      <c r="W59" s="2175">
        <f t="shared" si="32"/>
        <v>1.127</v>
      </c>
      <c r="X59" s="2175">
        <f t="shared" si="32"/>
        <v>3.9E-2</v>
      </c>
      <c r="Y59" s="765">
        <v>3.5E-4</v>
      </c>
      <c r="Z59" s="765"/>
      <c r="AA59" s="784">
        <f>H59*I59*L59*M59*O59</f>
        <v>2057.6696260898088</v>
      </c>
      <c r="AB59" s="784"/>
      <c r="AC59" s="784"/>
      <c r="AD59" s="784"/>
      <c r="AE59" s="784"/>
      <c r="AF59" s="629"/>
      <c r="AG59" s="3055"/>
      <c r="AH59" s="697" t="s">
        <v>51</v>
      </c>
      <c r="AI59" s="2451">
        <f>AI51</f>
        <v>1.7189998335071497</v>
      </c>
      <c r="AJ59" s="625"/>
      <c r="AK59" s="625"/>
      <c r="AL59" s="625"/>
      <c r="AM59" s="625"/>
      <c r="AN59" s="625"/>
      <c r="AO59" s="625"/>
      <c r="AP59" s="625"/>
      <c r="AQ59" s="625"/>
      <c r="AR59" s="626"/>
      <c r="AS59" s="629"/>
      <c r="AY59" s="629"/>
      <c r="AZ59" s="658" t="str">
        <f>'SE CarData'!A63</f>
        <v>Kerosene</v>
      </c>
      <c r="BA59" s="621">
        <f>ROUND(AVERAGE('SE CarData'!B63:C63),0)</f>
        <v>0</v>
      </c>
      <c r="BB59" s="621">
        <f>ROUND(AVERAGE('SE CarData'!D63:E63),0)</f>
        <v>0</v>
      </c>
      <c r="BC59" s="622">
        <f>ROUND(AVERAGE('SE CarData'!F63:G63),0)</f>
        <v>0</v>
      </c>
      <c r="BD59" s="629"/>
      <c r="BE59" s="629"/>
      <c r="BF59" s="629"/>
      <c r="BG59" s="629"/>
      <c r="BH59" s="629"/>
      <c r="BI59" s="629"/>
      <c r="BJ59" s="629"/>
      <c r="BK59" s="629"/>
      <c r="BL59" s="629"/>
      <c r="BM59" s="629"/>
      <c r="BN59" s="629"/>
      <c r="BO59" s="629"/>
      <c r="BP59" s="629"/>
      <c r="BQ59" s="629"/>
      <c r="BR59" s="629"/>
      <c r="BS59" s="629"/>
      <c r="DK59" s="2479"/>
      <c r="DL59" s="234" t="str">
        <f>Commodities!$D$6</f>
        <v>TPCAX</v>
      </c>
      <c r="DM59" s="1682">
        <f t="shared" si="22"/>
        <v>51176.889332992127</v>
      </c>
      <c r="DN59" s="1682">
        <f>$DM$59*M59</f>
        <v>2057.6696260898088</v>
      </c>
      <c r="DO59" s="234"/>
      <c r="DP59" s="605"/>
      <c r="DQ59" s="2494"/>
    </row>
    <row r="60" spans="1:123">
      <c r="A60"/>
      <c r="B60" s="467" t="s">
        <v>603</v>
      </c>
      <c r="C60" s="543"/>
      <c r="D60" s="543"/>
      <c r="E60" s="754"/>
      <c r="F60" s="754" t="str">
        <f>Commodities!$D$7</f>
        <v>TPCAS</v>
      </c>
      <c r="G60" s="754" t="s">
        <v>3603</v>
      </c>
      <c r="H60" s="1538"/>
      <c r="I60" s="2470"/>
      <c r="J60" s="1109">
        <f>VLOOKUP(VLOOKUP($E59,$S$136:$T$141,2,0),$AH$142:$AR$147,MATCH(VALUE(RIGHT(J$5,4)),$AH$5:$AR$5,0),0)</f>
        <v>266.99961857177726</v>
      </c>
      <c r="K60" s="1109">
        <f>VLOOKUP(VLOOKUP($E59,$S$136:$T$141,2,0),$AH$142:$AR$147,MATCH(VALUE(RIGHT(K$5,4)),$AH$5:$AR$5,0),0)</f>
        <v>273.56881374949506</v>
      </c>
      <c r="L60" s="2019"/>
      <c r="M60" s="12">
        <f>$Z$136</f>
        <v>0.23254183648799168</v>
      </c>
      <c r="N60" s="604">
        <v>5</v>
      </c>
      <c r="O60" s="2353"/>
      <c r="P60" s="2353"/>
      <c r="Q60" s="2353"/>
      <c r="R60" s="2353"/>
      <c r="S60" s="2353"/>
      <c r="T60" s="2353"/>
      <c r="U60" s="2353"/>
      <c r="V60" s="2353"/>
      <c r="W60" s="2353"/>
      <c r="X60" s="2353"/>
      <c r="Y60" s="765"/>
      <c r="Z60" s="765"/>
      <c r="AA60" s="784">
        <f>H59*I59*L59*M60*O59</f>
        <v>11900.767831236701</v>
      </c>
      <c r="AB60" s="784"/>
      <c r="AC60" s="784"/>
      <c r="AD60" s="784"/>
      <c r="AE60" s="784"/>
      <c r="AF60" s="629"/>
      <c r="AG60" s="3055"/>
      <c r="AH60" s="697" t="s">
        <v>577</v>
      </c>
      <c r="AI60" s="2451">
        <f>AI52</f>
        <v>1.7189998335071497</v>
      </c>
      <c r="AJ60" s="625"/>
      <c r="AK60" s="625"/>
      <c r="AL60" s="625"/>
      <c r="AM60" s="625"/>
      <c r="AN60" s="625"/>
      <c r="AO60" s="625"/>
      <c r="AP60" s="625"/>
      <c r="AQ60" s="625"/>
      <c r="AR60" s="626"/>
      <c r="AS60" s="629"/>
      <c r="AY60" s="629"/>
      <c r="AZ60" s="658" t="str">
        <f>'SE CarData'!A64</f>
        <v>Ethanol</v>
      </c>
      <c r="BA60" s="621">
        <f>ROUND(AVERAGE('SE CarData'!B64:C64),0)</f>
        <v>223802</v>
      </c>
      <c r="BB60" s="621">
        <f>ROUND(AVERAGE('SE CarData'!D64:E64),0)</f>
        <v>228725</v>
      </c>
      <c r="BC60" s="622">
        <f>ROUND(AVERAGE('SE CarData'!F64:G64),0)</f>
        <v>228742</v>
      </c>
      <c r="BD60" s="629"/>
      <c r="BE60" s="629"/>
      <c r="BF60" s="629"/>
      <c r="BG60" s="671" t="s">
        <v>596</v>
      </c>
      <c r="BH60" s="672"/>
      <c r="BI60" s="672"/>
      <c r="BJ60" s="672"/>
      <c r="BK60" s="672"/>
      <c r="BL60" s="672"/>
      <c r="BM60" s="672"/>
      <c r="BN60" s="672"/>
      <c r="BO60" s="672"/>
      <c r="BP60" s="672"/>
      <c r="BQ60" s="672"/>
      <c r="BR60" s="673"/>
      <c r="BS60" s="629"/>
      <c r="DK60" s="2479"/>
      <c r="DL60" s="234" t="str">
        <f>Commodities!$D$7</f>
        <v>TPCAS</v>
      </c>
      <c r="DM60" s="1682">
        <f t="shared" si="22"/>
        <v>0</v>
      </c>
      <c r="DN60" s="1682">
        <f>$DM$59*M60</f>
        <v>11900.767831236701</v>
      </c>
      <c r="DO60" s="234"/>
      <c r="DP60" s="605"/>
      <c r="DQ60" s="2494"/>
    </row>
    <row r="61" spans="1:123">
      <c r="A61"/>
      <c r="B61" s="467" t="s">
        <v>603</v>
      </c>
      <c r="C61" s="542"/>
      <c r="D61" s="542"/>
      <c r="E61" s="754"/>
      <c r="F61" s="754" t="str">
        <f>Commodities!$D$8</f>
        <v>TPCAM</v>
      </c>
      <c r="G61" s="754" t="s">
        <v>3603</v>
      </c>
      <c r="H61" s="2347"/>
      <c r="I61" s="2470"/>
      <c r="J61" s="1109">
        <f>VLOOKUP(VLOOKUP($E59,$S$136:$T$141,2,0),$AH$167:$AR$172,MATCH(VALUE(RIGHT(J$5,4)),$AH$5:$AR$5,0),0)</f>
        <v>346.75275139191854</v>
      </c>
      <c r="K61" s="1109">
        <f>VLOOKUP(VLOOKUP($E59,$S$136:$T$141,2,0),$AH$167:$AR$172,MATCH(VALUE(RIGHT(K$5,4)),$AH$5:$AR$5,0),0)</f>
        <v>355.28417370064295</v>
      </c>
      <c r="L61" s="2019"/>
      <c r="M61" s="12">
        <f>$Z$137</f>
        <v>0.221833860855045</v>
      </c>
      <c r="N61" s="604">
        <v>5</v>
      </c>
      <c r="O61" s="2353"/>
      <c r="P61" s="2080"/>
      <c r="Q61" s="2080"/>
      <c r="R61" s="2080"/>
      <c r="S61" s="2080"/>
      <c r="T61" s="2080"/>
      <c r="U61" s="2080"/>
      <c r="V61" s="2080"/>
      <c r="W61" s="2080"/>
      <c r="X61" s="2080"/>
      <c r="Y61" s="765"/>
      <c r="Z61" s="765"/>
      <c r="AA61" s="784">
        <f>H59*I59*L59*M61*O59</f>
        <v>11352.766947289014</v>
      </c>
      <c r="AB61" s="784"/>
      <c r="AF61" s="629"/>
      <c r="AG61" s="3055"/>
      <c r="AH61" s="697" t="s">
        <v>49</v>
      </c>
      <c r="AI61" s="2451">
        <f>AI53</f>
        <v>1.7189998335071497</v>
      </c>
      <c r="AJ61" s="625"/>
      <c r="AK61" s="625"/>
      <c r="AL61" s="625"/>
      <c r="AM61" s="625"/>
      <c r="AN61" s="625"/>
      <c r="AO61" s="625"/>
      <c r="AP61" s="625"/>
      <c r="AQ61" s="625"/>
      <c r="AR61" s="626"/>
      <c r="AS61" s="629"/>
      <c r="AY61" s="629"/>
      <c r="AZ61" s="658" t="str">
        <f>'SE CarData'!A65</f>
        <v>Other propellant</v>
      </c>
      <c r="BA61" s="621">
        <f>ROUND(AVERAGE('SE CarData'!B65:C65),0)</f>
        <v>37</v>
      </c>
      <c r="BB61" s="621">
        <f>ROUND(AVERAGE('SE CarData'!D65:E65),0)</f>
        <v>229</v>
      </c>
      <c r="BC61" s="622">
        <f>ROUND(AVERAGE('SE CarData'!F65:G65),0)</f>
        <v>265</v>
      </c>
      <c r="BD61" s="629"/>
      <c r="BE61" s="629"/>
      <c r="BF61" s="629"/>
      <c r="BG61" s="683" t="s">
        <v>187</v>
      </c>
      <c r="BH61" s="694">
        <f>BA52</f>
        <v>2010</v>
      </c>
      <c r="BI61" s="694">
        <f>BB52</f>
        <v>2012</v>
      </c>
      <c r="BJ61" s="694">
        <f>BC52</f>
        <v>2014</v>
      </c>
      <c r="BK61" s="684">
        <v>2015</v>
      </c>
      <c r="BL61" s="684">
        <v>2020</v>
      </c>
      <c r="BM61" s="684">
        <v>2025</v>
      </c>
      <c r="BN61" s="684">
        <v>2030</v>
      </c>
      <c r="BO61" s="684">
        <v>2035</v>
      </c>
      <c r="BP61" s="684">
        <v>2040</v>
      </c>
      <c r="BQ61" s="684">
        <v>2045</v>
      </c>
      <c r="BR61" s="685">
        <v>2050</v>
      </c>
      <c r="BS61" s="629"/>
      <c r="DK61" s="2479"/>
      <c r="DL61" s="234" t="str">
        <f>Commodities!$D8</f>
        <v>TPCAM</v>
      </c>
      <c r="DM61" s="1682">
        <f t="shared" si="22"/>
        <v>0</v>
      </c>
      <c r="DN61" s="1682">
        <f>$DM$59*M61</f>
        <v>11352.766947289012</v>
      </c>
      <c r="DO61" s="234"/>
      <c r="DP61" s="605"/>
      <c r="DQ61" s="2494"/>
      <c r="DS61" s="754"/>
    </row>
    <row r="62" spans="1:123" s="754" customFormat="1">
      <c r="B62" s="467" t="s">
        <v>603</v>
      </c>
      <c r="F62" s="754" t="str">
        <f>Commodities!$D$9</f>
        <v>TPCAL</v>
      </c>
      <c r="G62" s="754" t="s">
        <v>3603</v>
      </c>
      <c r="H62" s="2347"/>
      <c r="I62" s="2470"/>
      <c r="J62" s="1109">
        <f>VLOOKUP(VLOOKUP($E59,$S$136:$T$140,2,0),$AH$192:$AR$197,MATCH(VALUE(RIGHT(J$5,4)),$AH$5:$AR$5,0),0)</f>
        <v>385.02617344706078</v>
      </c>
      <c r="K62" s="1109">
        <f>VLOOKUP(VLOOKUP($E59,$S$136:$T$140,2,0),$AH$192:$AR$197,MATCH(VALUE(RIGHT(K$5,4)),$AH$5:$AR$5,0),0)</f>
        <v>394.499265938478</v>
      </c>
      <c r="L62" s="2019"/>
      <c r="M62" s="12">
        <f>$Z$138</f>
        <v>0.50541729412424075</v>
      </c>
      <c r="N62" s="604">
        <v>5</v>
      </c>
      <c r="O62" s="2353"/>
      <c r="P62" s="2080"/>
      <c r="Q62" s="2080"/>
      <c r="R62" s="2080"/>
      <c r="S62" s="2080"/>
      <c r="T62" s="2080"/>
      <c r="U62" s="2080"/>
      <c r="V62" s="2080"/>
      <c r="W62" s="2080"/>
      <c r="X62" s="2080"/>
      <c r="Y62" s="765"/>
      <c r="Z62" s="765"/>
      <c r="AA62" s="784">
        <f>H59*I59*L59*M62*O59</f>
        <v>25865.684928376602</v>
      </c>
      <c r="AB62" s="784"/>
      <c r="AF62" s="629"/>
      <c r="AG62" s="1981"/>
      <c r="AH62" s="697"/>
      <c r="AI62" s="2451"/>
      <c r="AJ62" s="625"/>
      <c r="AK62" s="625"/>
      <c r="AL62" s="625"/>
      <c r="AM62" s="625"/>
      <c r="AN62" s="625"/>
      <c r="AO62" s="625"/>
      <c r="AP62" s="625"/>
      <c r="AQ62" s="625"/>
      <c r="AR62" s="626"/>
      <c r="AS62" s="629"/>
      <c r="AY62" s="629"/>
      <c r="AZ62" s="653" t="s">
        <v>124</v>
      </c>
      <c r="BA62" s="659">
        <f>SUM(BA54:BA61)</f>
        <v>4335152</v>
      </c>
      <c r="BB62" s="659">
        <f>SUM(BB54:BB61)</f>
        <v>4495422</v>
      </c>
      <c r="BC62" s="660">
        <f>SUM(BC54:BC61)</f>
        <v>4624197</v>
      </c>
      <c r="BD62" s="629"/>
      <c r="BE62" s="629"/>
      <c r="BF62" s="629"/>
      <c r="BG62" s="683"/>
      <c r="BH62" s="694"/>
      <c r="BI62" s="694"/>
      <c r="BJ62" s="694"/>
      <c r="BK62" s="684"/>
      <c r="BL62" s="684"/>
      <c r="BM62" s="684"/>
      <c r="BN62" s="684"/>
      <c r="BO62" s="684"/>
      <c r="BP62" s="684"/>
      <c r="BQ62" s="684"/>
      <c r="BR62" s="685"/>
      <c r="BS62" s="629"/>
      <c r="DK62" s="2479"/>
      <c r="DL62" s="234" t="str">
        <f>Commodities!$D9</f>
        <v>TPCAL</v>
      </c>
      <c r="DM62" s="1682">
        <f t="shared" si="22"/>
        <v>0</v>
      </c>
      <c r="DN62" s="1682">
        <f>$DM$59*M62</f>
        <v>25865.684928376599</v>
      </c>
      <c r="DO62" s="234"/>
      <c r="DP62" s="605"/>
      <c r="DQ62" s="2494"/>
      <c r="DS62"/>
    </row>
    <row r="63" spans="1:123">
      <c r="B63" s="467" t="s">
        <v>603</v>
      </c>
      <c r="C63" s="542" t="str">
        <f>Processes!$D$8</f>
        <v>TPCALPGX1E</v>
      </c>
      <c r="D63" s="542" t="str">
        <f>Processes!$E$8</f>
        <v>Transport Passengers Cars - LPG - Average size - Existing</v>
      </c>
      <c r="E63" s="754" t="str">
        <f>E39</f>
        <v>TRALPG</v>
      </c>
      <c r="F63" s="754" t="str">
        <f>Commodities!$D$6</f>
        <v>TPCAX</v>
      </c>
      <c r="G63" s="754" t="s">
        <v>3603</v>
      </c>
      <c r="H63" s="610">
        <v>1E-3</v>
      </c>
      <c r="I63" s="2470">
        <f>VLOOKUP(VLOOKUP($E63,$S$136:$T$140,2,0),$AH$56:$AI$63,MATCH(VALUE(RIGHT(I$5,4)),$AH$5:$AR$5,0),0)</f>
        <v>1.7189998335071497</v>
      </c>
      <c r="J63" s="1109">
        <f>VLOOKUP(VLOOKUP($E63,$S$136:$T$141,2,0),$AH$117:$AR$122,MATCH(VALUE(RIGHT(J$5,4)),$AH$5:$AR$5,0),0)</f>
        <v>211.5191783490703</v>
      </c>
      <c r="K63" s="1109">
        <f>VLOOKUP(VLOOKUP($E63,$S$136:$T$141,2,0),$AH$117:$AR$122,MATCH(VALUE(RIGHT(K$5,4)),$AH$5:$AR$5,0),0)</f>
        <v>216.72334595739218</v>
      </c>
      <c r="L63" s="1109">
        <f>VLOOKUP(VLOOKUP($E63,$S$136:$T$140,2,0),$AH$89:$AI$96,MATCH(VALUE(RIGHT(L$5,4)),$AH$5:$AR$5,0),0)</f>
        <v>18000</v>
      </c>
      <c r="M63" s="12">
        <f>$Z$135</f>
        <v>4.0207008532722487E-2</v>
      </c>
      <c r="N63" s="604">
        <v>5</v>
      </c>
      <c r="O63" s="2175">
        <f t="shared" ref="O63:X63" si="33">VLOOKUP(VLOOKUP($E63,$S$136:$T$140,2,0),$AH$23:$AR$29,MATCH(VALUE(RIGHT(O$5,4)),$AH$5:$AR$5,0),0)</f>
        <v>0</v>
      </c>
      <c r="P63" s="2175">
        <f t="shared" si="33"/>
        <v>0</v>
      </c>
      <c r="Q63" s="2175">
        <f t="shared" si="33"/>
        <v>0</v>
      </c>
      <c r="R63" s="2175">
        <f t="shared" si="33"/>
        <v>0</v>
      </c>
      <c r="S63" s="2175">
        <f t="shared" si="33"/>
        <v>0</v>
      </c>
      <c r="T63" s="2175">
        <f t="shared" si="33"/>
        <v>0</v>
      </c>
      <c r="U63" s="2175">
        <f t="shared" si="33"/>
        <v>0</v>
      </c>
      <c r="V63" s="2175">
        <f t="shared" si="33"/>
        <v>0</v>
      </c>
      <c r="W63" s="2175">
        <f t="shared" si="33"/>
        <v>0</v>
      </c>
      <c r="X63" s="2175">
        <f t="shared" si="33"/>
        <v>0</v>
      </c>
      <c r="Y63" s="467">
        <v>3.5E-4</v>
      </c>
      <c r="Z63" s="467"/>
      <c r="AA63" s="784">
        <f>H63*I63*L63*M63*O63</f>
        <v>0</v>
      </c>
      <c r="AB63" s="784"/>
      <c r="AF63" s="629"/>
      <c r="AG63" s="461"/>
      <c r="AH63" s="467" t="s">
        <v>607</v>
      </c>
      <c r="AI63" s="2453">
        <f>AI55</f>
        <v>1.7189998335071497</v>
      </c>
      <c r="AJ63" s="627"/>
      <c r="AK63" s="627"/>
      <c r="AL63" s="627"/>
      <c r="AM63" s="627"/>
      <c r="AN63" s="627"/>
      <c r="AO63" s="627"/>
      <c r="AP63" s="627"/>
      <c r="AQ63" s="627"/>
      <c r="AR63" s="628"/>
      <c r="AS63" s="629"/>
      <c r="AY63" s="629"/>
      <c r="AZ63" s="629"/>
      <c r="BA63" s="629"/>
      <c r="BB63" s="629"/>
      <c r="BC63" s="629"/>
      <c r="BD63" s="629"/>
      <c r="BE63" s="629"/>
      <c r="BF63" s="629"/>
      <c r="BG63" s="674" t="str">
        <f>AZ54</f>
        <v>Petrol</v>
      </c>
      <c r="BH63" s="687">
        <f>Cars!BA54/SUM(Cars!$BA$54:$BA$61)</f>
        <v>0.80264567424625477</v>
      </c>
      <c r="BI63" s="687">
        <f>Cars!BB54/SUM(Cars!$BB$54:$BB$61)</f>
        <v>0.69629280632608015</v>
      </c>
      <c r="BJ63" s="687">
        <f>Cars!BC54/SUM(Cars!$BC$54:$BC$61)</f>
        <v>0.64917519733696472</v>
      </c>
      <c r="BK63" s="689">
        <f>$BJ63</f>
        <v>0.64917519733696472</v>
      </c>
      <c r="BL63" s="689">
        <f t="shared" ref="BL63:BR63" si="34">$BJ63</f>
        <v>0.64917519733696472</v>
      </c>
      <c r="BM63" s="689">
        <f t="shared" si="34"/>
        <v>0.64917519733696472</v>
      </c>
      <c r="BN63" s="689">
        <f t="shared" si="34"/>
        <v>0.64917519733696472</v>
      </c>
      <c r="BO63" s="689">
        <f t="shared" si="34"/>
        <v>0.64917519733696472</v>
      </c>
      <c r="BP63" s="689">
        <f t="shared" si="34"/>
        <v>0.64917519733696472</v>
      </c>
      <c r="BQ63" s="689">
        <f t="shared" si="34"/>
        <v>0.64917519733696472</v>
      </c>
      <c r="BR63" s="690">
        <f t="shared" si="34"/>
        <v>0.64917519733696472</v>
      </c>
      <c r="BS63" s="629"/>
      <c r="DK63" s="2479"/>
      <c r="DL63" s="234" t="str">
        <f>Commodities!$D$6</f>
        <v>TPCAX</v>
      </c>
      <c r="DM63" s="1682">
        <f t="shared" si="22"/>
        <v>0</v>
      </c>
      <c r="DN63" s="1682">
        <f>$DM$63*M63</f>
        <v>0</v>
      </c>
      <c r="DO63" s="234"/>
      <c r="DP63" s="605"/>
      <c r="DQ63" s="2494"/>
    </row>
    <row r="64" spans="1:123">
      <c r="B64" s="467" t="s">
        <v>603</v>
      </c>
      <c r="C64" s="542"/>
      <c r="D64" s="542"/>
      <c r="E64" s="754"/>
      <c r="F64" s="754" t="str">
        <f>Commodities!$D$7</f>
        <v>TPCAS</v>
      </c>
      <c r="G64" s="754" t="s">
        <v>3603</v>
      </c>
      <c r="H64" s="2347"/>
      <c r="I64" s="2470"/>
      <c r="J64" s="1109">
        <f>VLOOKUP(VLOOKUP($E63,$S$136:$T$141,2,0),$AH$142:$AR$147,MATCH(VALUE(RIGHT(J$5,4)),$AH$5:$AR$5,0),0)</f>
        <v>266.99961857177726</v>
      </c>
      <c r="K64" s="1109">
        <f>VLOOKUP(VLOOKUP($E63,$S$136:$T$141,2,0),$AH$142:$AR$147,MATCH(VALUE(RIGHT(K$5,4)),$AH$5:$AR$5,0),0)</f>
        <v>273.56881374949506</v>
      </c>
      <c r="L64" s="2019"/>
      <c r="M64" s="12">
        <f>$Z$136</f>
        <v>0.23254183648799168</v>
      </c>
      <c r="N64" s="604">
        <v>5</v>
      </c>
      <c r="O64" s="2353"/>
      <c r="P64" s="2080"/>
      <c r="Q64" s="2080"/>
      <c r="R64" s="2080"/>
      <c r="S64" s="2080"/>
      <c r="T64" s="2080"/>
      <c r="U64" s="2080"/>
      <c r="V64" s="2080"/>
      <c r="W64" s="2080"/>
      <c r="X64" s="2080"/>
      <c r="Y64" s="467"/>
      <c r="Z64" s="467"/>
      <c r="AA64" s="784">
        <f>H63*I63*L63*M64*O63</f>
        <v>0</v>
      </c>
      <c r="AB64" s="784"/>
      <c r="AF64" s="629"/>
      <c r="AG64" s="3054" t="s">
        <v>604</v>
      </c>
      <c r="AH64" s="729" t="s">
        <v>184</v>
      </c>
      <c r="AI64" s="2452">
        <f>AI56</f>
        <v>1.7189998335071497</v>
      </c>
      <c r="AJ64" s="623"/>
      <c r="AK64" s="623"/>
      <c r="AL64" s="623"/>
      <c r="AM64" s="623"/>
      <c r="AN64" s="623"/>
      <c r="AO64" s="623"/>
      <c r="AP64" s="623"/>
      <c r="AQ64" s="623"/>
      <c r="AR64" s="624"/>
      <c r="AS64" s="629"/>
      <c r="AY64" s="629"/>
      <c r="AZ64" s="629"/>
      <c r="BA64" s="629"/>
      <c r="BB64" s="629"/>
      <c r="BC64" s="629"/>
      <c r="BD64" s="629"/>
      <c r="BE64" s="629"/>
      <c r="BF64" s="629"/>
      <c r="BG64" s="674" t="str">
        <f>AZ55</f>
        <v>Diesel</v>
      </c>
      <c r="BH64" s="687">
        <f>Cars!BA55/SUM(Cars!$BA$54:$BA$61)</f>
        <v>0.13991643199592541</v>
      </c>
      <c r="BI64" s="687">
        <f>Cars!BB55/SUM(Cars!$BB$54:$BB$61)</f>
        <v>0.23757658346646879</v>
      </c>
      <c r="BJ64" s="687">
        <f>Cars!BC55/SUM(Cars!$BC$54:$BC$61)</f>
        <v>0.28162511242492483</v>
      </c>
      <c r="BK64" s="689">
        <f t="shared" ref="BK64:BR72" si="35">$BJ64</f>
        <v>0.28162511242492483</v>
      </c>
      <c r="BL64" s="689">
        <f t="shared" si="35"/>
        <v>0.28162511242492483</v>
      </c>
      <c r="BM64" s="689">
        <f t="shared" si="35"/>
        <v>0.28162511242492483</v>
      </c>
      <c r="BN64" s="689">
        <f t="shared" si="35"/>
        <v>0.28162511242492483</v>
      </c>
      <c r="BO64" s="689">
        <f t="shared" si="35"/>
        <v>0.28162511242492483</v>
      </c>
      <c r="BP64" s="689">
        <f t="shared" si="35"/>
        <v>0.28162511242492483</v>
      </c>
      <c r="BQ64" s="689">
        <f t="shared" si="35"/>
        <v>0.28162511242492483</v>
      </c>
      <c r="BR64" s="690">
        <f t="shared" si="35"/>
        <v>0.28162511242492483</v>
      </c>
      <c r="BS64" s="629"/>
      <c r="DK64" s="2479"/>
      <c r="DL64" s="234" t="str">
        <f>Commodities!$D$7</f>
        <v>TPCAS</v>
      </c>
      <c r="DM64" s="1682">
        <f t="shared" si="22"/>
        <v>0</v>
      </c>
      <c r="DN64" s="1682">
        <f>$DM$63*M64</f>
        <v>0</v>
      </c>
      <c r="DO64" s="234"/>
      <c r="DP64" s="605"/>
      <c r="DQ64" s="2494"/>
    </row>
    <row r="65" spans="1:123">
      <c r="B65" s="467" t="s">
        <v>603</v>
      </c>
      <c r="C65" s="542"/>
      <c r="D65" s="542"/>
      <c r="E65" s="754"/>
      <c r="F65" s="754" t="str">
        <f>Commodities!$D$8</f>
        <v>TPCAM</v>
      </c>
      <c r="G65" s="754" t="s">
        <v>3603</v>
      </c>
      <c r="H65" s="2347"/>
      <c r="I65" s="2470"/>
      <c r="J65" s="1109">
        <f>VLOOKUP(VLOOKUP($E63,$S$136:$T$141,2,0),$AH$167:$AR$172,MATCH(VALUE(RIGHT(J$5,4)),$AH$5:$AR$5,0),0)</f>
        <v>346.75275139191854</v>
      </c>
      <c r="K65" s="1109">
        <f>VLOOKUP(VLOOKUP($E63,$S$136:$T$141,2,0),$AH$167:$AR$172,MATCH(VALUE(RIGHT(K$5,4)),$AH$5:$AR$5,0),0)</f>
        <v>355.28417370064295</v>
      </c>
      <c r="L65" s="2019"/>
      <c r="M65" s="12">
        <f>$Z$137</f>
        <v>0.221833860855045</v>
      </c>
      <c r="N65" s="604">
        <v>5</v>
      </c>
      <c r="O65" s="2353"/>
      <c r="P65" s="2080"/>
      <c r="Q65" s="2080"/>
      <c r="R65" s="2080"/>
      <c r="S65" s="2080"/>
      <c r="T65" s="2080"/>
      <c r="U65" s="2080"/>
      <c r="V65" s="2080"/>
      <c r="W65" s="2080"/>
      <c r="X65" s="2080"/>
      <c r="Y65" s="467"/>
      <c r="Z65" s="467"/>
      <c r="AA65" s="784">
        <f>H63*I63*L63*M65*O63</f>
        <v>0</v>
      </c>
      <c r="AB65" s="784"/>
      <c r="AF65" s="629"/>
      <c r="AG65" s="3055"/>
      <c r="AH65" s="697" t="s">
        <v>61</v>
      </c>
      <c r="AI65" s="2451">
        <f>AI57</f>
        <v>1.7189998335071497</v>
      </c>
      <c r="AJ65" s="625"/>
      <c r="AK65" s="625"/>
      <c r="AL65" s="625"/>
      <c r="AM65" s="625"/>
      <c r="AN65" s="625"/>
      <c r="AO65" s="625"/>
      <c r="AP65" s="625"/>
      <c r="AQ65" s="625"/>
      <c r="AR65" s="626"/>
      <c r="AS65" s="629"/>
      <c r="AY65" s="629"/>
      <c r="AZ65" s="2461" t="s">
        <v>2727</v>
      </c>
      <c r="BA65" s="2462"/>
      <c r="BB65" s="2462"/>
      <c r="BC65" s="2462"/>
      <c r="BD65" s="2462"/>
      <c r="BE65" s="2463"/>
      <c r="BF65" s="629"/>
      <c r="BG65" s="674" t="str">
        <f>AZ56</f>
        <v>LPG</v>
      </c>
      <c r="BH65" s="687">
        <f>Cars!BA56/SUM(Cars!$BA$54:$BA$61)</f>
        <v>0</v>
      </c>
      <c r="BI65" s="687">
        <f>Cars!BB56/SUM(Cars!$BB$54:$BB$61)</f>
        <v>0</v>
      </c>
      <c r="BJ65" s="687">
        <f>Cars!BC56/SUM(Cars!$BC$54:$BC$61)</f>
        <v>0</v>
      </c>
      <c r="BK65" s="689">
        <f t="shared" si="35"/>
        <v>0</v>
      </c>
      <c r="BL65" s="689">
        <f t="shared" si="35"/>
        <v>0</v>
      </c>
      <c r="BM65" s="689">
        <f t="shared" si="35"/>
        <v>0</v>
      </c>
      <c r="BN65" s="689">
        <f t="shared" si="35"/>
        <v>0</v>
      </c>
      <c r="BO65" s="689">
        <f t="shared" si="35"/>
        <v>0</v>
      </c>
      <c r="BP65" s="689">
        <f t="shared" si="35"/>
        <v>0</v>
      </c>
      <c r="BQ65" s="689">
        <f t="shared" si="35"/>
        <v>0</v>
      </c>
      <c r="BR65" s="690">
        <f t="shared" si="35"/>
        <v>0</v>
      </c>
      <c r="BS65" s="629"/>
      <c r="DK65" s="2479"/>
      <c r="DL65" s="234" t="str">
        <f>Commodities!$D8</f>
        <v>TPCAM</v>
      </c>
      <c r="DM65" s="1682">
        <f t="shared" si="22"/>
        <v>0</v>
      </c>
      <c r="DN65" s="1682">
        <f>$DM$63*M65</f>
        <v>0</v>
      </c>
      <c r="DO65" s="234"/>
      <c r="DP65" s="605"/>
      <c r="DQ65" s="2494"/>
      <c r="DS65" s="754"/>
    </row>
    <row r="66" spans="1:123" s="754" customFormat="1">
      <c r="A66" s="545"/>
      <c r="B66" s="467" t="s">
        <v>603</v>
      </c>
      <c r="F66" s="754" t="str">
        <f>Commodities!$D$9</f>
        <v>TPCAL</v>
      </c>
      <c r="G66" s="754" t="s">
        <v>3603</v>
      </c>
      <c r="H66" s="2347"/>
      <c r="I66" s="2470"/>
      <c r="J66" s="1109">
        <f>VLOOKUP(VLOOKUP($E63,$S$136:$T$140,2,0),$AH$192:$AR$197,MATCH(VALUE(RIGHT(J$5,4)),$AH$5:$AR$5,0),0)</f>
        <v>385.02617344706078</v>
      </c>
      <c r="K66" s="1109">
        <f>VLOOKUP(VLOOKUP($E63,$S$136:$T$140,2,0),$AH$192:$AR$197,MATCH(VALUE(RIGHT(K$5,4)),$AH$5:$AR$5,0),0)</f>
        <v>394.499265938478</v>
      </c>
      <c r="L66" s="2019"/>
      <c r="M66" s="12">
        <f>$Z$138</f>
        <v>0.50541729412424075</v>
      </c>
      <c r="N66" s="604">
        <v>5</v>
      </c>
      <c r="O66" s="2353"/>
      <c r="P66" s="2080"/>
      <c r="Q66" s="2080"/>
      <c r="R66" s="2080"/>
      <c r="S66" s="2080"/>
      <c r="T66" s="2080"/>
      <c r="U66" s="2080"/>
      <c r="V66" s="2080"/>
      <c r="W66" s="2080"/>
      <c r="X66" s="2080"/>
      <c r="Y66" s="467"/>
      <c r="Z66" s="467"/>
      <c r="AA66" s="784">
        <f>H63*I63*L63*M66*O63</f>
        <v>0</v>
      </c>
      <c r="AB66" s="784"/>
      <c r="AF66" s="629"/>
      <c r="AG66" s="3055"/>
      <c r="AH66" s="697"/>
      <c r="AI66" s="2451"/>
      <c r="AJ66" s="625"/>
      <c r="AK66" s="625"/>
      <c r="AL66" s="625"/>
      <c r="AM66" s="625"/>
      <c r="AN66" s="625"/>
      <c r="AO66" s="625"/>
      <c r="AP66" s="625"/>
      <c r="AQ66" s="625"/>
      <c r="AR66" s="626"/>
      <c r="AS66" s="629"/>
      <c r="AY66" s="629"/>
      <c r="AZ66" s="2001"/>
      <c r="BA66" s="2002"/>
      <c r="BB66" s="2002"/>
      <c r="BC66" s="2002"/>
      <c r="BD66" s="2002"/>
      <c r="BE66" s="2464"/>
      <c r="BF66" s="629"/>
      <c r="BG66" s="674"/>
      <c r="BH66" s="687"/>
      <c r="BI66" s="687"/>
      <c r="BJ66" s="687"/>
      <c r="BK66" s="689"/>
      <c r="BL66" s="689"/>
      <c r="BM66" s="689"/>
      <c r="BN66" s="689"/>
      <c r="BO66" s="689"/>
      <c r="BP66" s="689"/>
      <c r="BQ66" s="689"/>
      <c r="BR66" s="690"/>
      <c r="BS66" s="629"/>
      <c r="DK66" s="2479"/>
      <c r="DL66" s="234" t="str">
        <f>Commodities!$D9</f>
        <v>TPCAL</v>
      </c>
      <c r="DM66" s="1682">
        <f t="shared" si="22"/>
        <v>0</v>
      </c>
      <c r="DN66" s="1682">
        <f>$DM$63*M66</f>
        <v>0</v>
      </c>
      <c r="DO66" s="234"/>
      <c r="DP66" s="605"/>
      <c r="DQ66" s="2494"/>
      <c r="DR66"/>
      <c r="DS66"/>
    </row>
    <row r="67" spans="1:123" s="542" customFormat="1">
      <c r="A67" s="545"/>
      <c r="B67" s="467" t="s">
        <v>603</v>
      </c>
      <c r="C67" s="542" t="str">
        <f>Processes!$D$9</f>
        <v>TPCANGBL1E</v>
      </c>
      <c r="D67" s="542" t="str">
        <f>Processes!$E$9</f>
        <v>Transport Passengers Cars - Gas Engine - Blending 1 - Average size - Existing</v>
      </c>
      <c r="E67" s="754" t="str">
        <f>E43</f>
        <v>TRANGBL1</v>
      </c>
      <c r="F67" s="754" t="str">
        <f>Commodities!$D$6</f>
        <v>TPCAX</v>
      </c>
      <c r="G67" s="754" t="s">
        <v>3603</v>
      </c>
      <c r="H67" s="610">
        <v>1E-3</v>
      </c>
      <c r="I67" s="2470">
        <f>VLOOKUP(VLOOKUP($E67,$S$136:$T$140,2,0),$AH$56:$AI$63,MATCH(VALUE(RIGHT(I$5,4)),$AH$5:$AR$5,0),0)</f>
        <v>1.7189998335071497</v>
      </c>
      <c r="J67" s="1109">
        <f>VLOOKUP(VLOOKUP($E67,$S$136:$T$141,2,0),$AH$117:$AR$122,MATCH(VALUE(RIGHT(J$5,4)),$AH$5:$AR$5,0),0)</f>
        <v>211.5191783490703</v>
      </c>
      <c r="K67" s="1109">
        <f>VLOOKUP(VLOOKUP($E67,$S$136:$T$141,2,0),$AH$117:$AR$122,MATCH(VALUE(RIGHT(K$5,4)),$AH$5:$AR$5,0),0)</f>
        <v>216.72334595739218</v>
      </c>
      <c r="L67" s="1109">
        <f>VLOOKUP(VLOOKUP($E67,$S$136:$T$140,2,0),$AH$89:$AI$96,MATCH(VALUE(RIGHT(L$5,4)),$AH$5:$AR$5,0),0)</f>
        <v>18000</v>
      </c>
      <c r="M67" s="12">
        <f>$Z$135</f>
        <v>4.0207008532722487E-2</v>
      </c>
      <c r="N67" s="604">
        <v>5</v>
      </c>
      <c r="O67" s="2175">
        <f t="shared" ref="O67:X67" si="36">VLOOKUP(VLOOKUP($E67,$S$136:$T$140,2,0),$AH$23:$AR$29,MATCH(VALUE(RIGHT(O$5,4)),$AH$5:$AR$5,0),0)</f>
        <v>16.579000000000001</v>
      </c>
      <c r="P67" s="2175">
        <f t="shared" si="36"/>
        <v>23.276</v>
      </c>
      <c r="Q67" s="2175">
        <f t="shared" si="36"/>
        <v>24.262</v>
      </c>
      <c r="R67" s="2175">
        <f t="shared" si="36"/>
        <v>16.434999999999999</v>
      </c>
      <c r="S67" s="2175">
        <f t="shared" si="36"/>
        <v>9.1479999999999997</v>
      </c>
      <c r="T67" s="2175">
        <f t="shared" si="36"/>
        <v>3.8809999999999998</v>
      </c>
      <c r="U67" s="2175">
        <f t="shared" si="36"/>
        <v>1.113</v>
      </c>
      <c r="V67" s="2175">
        <f t="shared" si="36"/>
        <v>0.186</v>
      </c>
      <c r="W67" s="2175">
        <f t="shared" si="36"/>
        <v>1.6E-2</v>
      </c>
      <c r="X67" s="2175">
        <f t="shared" si="36"/>
        <v>1E-3</v>
      </c>
      <c r="Y67" s="765">
        <v>3.5E-4</v>
      </c>
      <c r="Z67" s="765"/>
      <c r="AA67" s="784">
        <f>H67*I67*L67*M67*O67</f>
        <v>20.625687495014855</v>
      </c>
      <c r="AB67" s="784"/>
      <c r="AF67" s="629"/>
      <c r="AG67" s="3055"/>
      <c r="AH67" s="697" t="s">
        <v>51</v>
      </c>
      <c r="AI67" s="2451">
        <f>AI59</f>
        <v>1.7189998335071497</v>
      </c>
      <c r="AJ67" s="625"/>
      <c r="AK67" s="625"/>
      <c r="AL67" s="625"/>
      <c r="AM67" s="625"/>
      <c r="AN67" s="625"/>
      <c r="AO67" s="625"/>
      <c r="AP67" s="625"/>
      <c r="AQ67" s="625"/>
      <c r="AR67" s="626"/>
      <c r="AS67" s="629"/>
      <c r="AY67" s="629"/>
      <c r="AZ67" s="715" t="s">
        <v>594</v>
      </c>
      <c r="BA67" s="716" t="s">
        <v>601</v>
      </c>
      <c r="BB67" s="716" t="s">
        <v>602</v>
      </c>
      <c r="BC67" s="716" t="s">
        <v>603</v>
      </c>
      <c r="BD67" s="716" t="s">
        <v>604</v>
      </c>
      <c r="BE67" s="668" t="s">
        <v>124</v>
      </c>
      <c r="BF67" s="629"/>
      <c r="BG67" s="674" t="str">
        <f>AZ57</f>
        <v>N-gas</v>
      </c>
      <c r="BH67" s="687">
        <f>Cars!BA57/SUM(Cars!$BA$54:$BA$61)</f>
        <v>5.760582327909148E-3</v>
      </c>
      <c r="BI67" s="687">
        <f>Cars!BB57/SUM(Cars!$BB$54:$BB$61)</f>
        <v>8.3033361495316784E-3</v>
      </c>
      <c r="BJ67" s="687">
        <f>Cars!BC57/SUM(Cars!$BC$54:$BC$61)</f>
        <v>8.9449043801550845E-3</v>
      </c>
      <c r="BK67" s="689">
        <f t="shared" si="35"/>
        <v>8.9449043801550845E-3</v>
      </c>
      <c r="BL67" s="689">
        <f t="shared" si="35"/>
        <v>8.9449043801550845E-3</v>
      </c>
      <c r="BM67" s="689">
        <f t="shared" si="35"/>
        <v>8.9449043801550845E-3</v>
      </c>
      <c r="BN67" s="689">
        <f t="shared" si="35"/>
        <v>8.9449043801550845E-3</v>
      </c>
      <c r="BO67" s="689">
        <f t="shared" si="35"/>
        <v>8.9449043801550845E-3</v>
      </c>
      <c r="BP67" s="689">
        <f t="shared" si="35"/>
        <v>8.9449043801550845E-3</v>
      </c>
      <c r="BQ67" s="689">
        <f t="shared" si="35"/>
        <v>8.9449043801550845E-3</v>
      </c>
      <c r="BR67" s="690">
        <f t="shared" si="35"/>
        <v>8.9449043801550845E-3</v>
      </c>
      <c r="BS67" s="629"/>
      <c r="DJ67" s="754"/>
      <c r="DK67" s="2479"/>
      <c r="DL67" s="234" t="str">
        <f>Commodities!$D$6</f>
        <v>TPCAX</v>
      </c>
      <c r="DM67" s="1682">
        <f t="shared" si="22"/>
        <v>512.98736831487065</v>
      </c>
      <c r="DN67" s="1682">
        <f>$DM$67*M67</f>
        <v>20.625687495014859</v>
      </c>
      <c r="DO67" s="234"/>
      <c r="DP67" s="605"/>
      <c r="DQ67" s="2494"/>
      <c r="DR67" s="754"/>
      <c r="DS67"/>
    </row>
    <row r="68" spans="1:123">
      <c r="B68" s="467" t="s">
        <v>603</v>
      </c>
      <c r="C68" s="542"/>
      <c r="D68" s="542"/>
      <c r="E68" s="754"/>
      <c r="F68" s="754" t="str">
        <f>Commodities!$D$7</f>
        <v>TPCAS</v>
      </c>
      <c r="G68" s="754" t="s">
        <v>3603</v>
      </c>
      <c r="H68" s="2347"/>
      <c r="I68" s="2470"/>
      <c r="J68" s="1109">
        <f>VLOOKUP(VLOOKUP($E67,$S$136:$T$141,2,0),$AH$142:$AR$147,MATCH(VALUE(RIGHT(J$5,4)),$AH$5:$AR$5,0),0)</f>
        <v>266.99961857177726</v>
      </c>
      <c r="K68" s="1109">
        <f>VLOOKUP(VLOOKUP($E67,$S$136:$T$141,2,0),$AH$142:$AR$147,MATCH(VALUE(RIGHT(K$5,4)),$AH$5:$AR$5,0),0)</f>
        <v>273.56881374949506</v>
      </c>
      <c r="L68" s="2019"/>
      <c r="M68" s="12">
        <f>$Z$136</f>
        <v>0.23254183648799168</v>
      </c>
      <c r="N68" s="604">
        <v>5</v>
      </c>
      <c r="O68" s="2353"/>
      <c r="P68" s="2080"/>
      <c r="Q68" s="2080"/>
      <c r="R68" s="2080"/>
      <c r="S68" s="2080"/>
      <c r="T68" s="2080"/>
      <c r="U68" s="2080"/>
      <c r="V68" s="2080"/>
      <c r="W68" s="2080"/>
      <c r="X68" s="2080"/>
      <c r="Y68" s="765"/>
      <c r="Z68" s="765"/>
      <c r="AA68" s="784">
        <f>H67*I67*L67*M68*O67</f>
        <v>119.29102472308182</v>
      </c>
      <c r="AB68" s="784"/>
      <c r="AF68" s="629"/>
      <c r="AG68" s="3055"/>
      <c r="AH68" s="697" t="s">
        <v>577</v>
      </c>
      <c r="AI68" s="2451">
        <f>AI60</f>
        <v>1.7189998335071497</v>
      </c>
      <c r="AJ68" s="625"/>
      <c r="AK68" s="625"/>
      <c r="AL68" s="625"/>
      <c r="AM68" s="625"/>
      <c r="AN68" s="625"/>
      <c r="AO68" s="625"/>
      <c r="AP68" s="625"/>
      <c r="AQ68" s="625"/>
      <c r="AR68" s="626"/>
      <c r="AS68" s="629"/>
      <c r="AY68" s="629"/>
      <c r="AZ68" s="2015" t="s">
        <v>340</v>
      </c>
      <c r="BA68" s="718">
        <f t="shared" ref="BA68:BD70" si="37">BA79*BA$73</f>
        <v>115.93935222664356</v>
      </c>
      <c r="BB68" s="718">
        <f t="shared" si="37"/>
        <v>228.2802467187087</v>
      </c>
      <c r="BC68" s="718">
        <f t="shared" si="37"/>
        <v>1674.047928868928</v>
      </c>
      <c r="BD68" s="718">
        <f t="shared" si="37"/>
        <v>496.87410364061856</v>
      </c>
      <c r="BE68" s="667">
        <f>SUM(BA68:BD68)</f>
        <v>2515.1416314548987</v>
      </c>
      <c r="BF68" s="629"/>
      <c r="BG68" s="674" t="str">
        <f>AZ58</f>
        <v>Electricity</v>
      </c>
      <c r="BH68" s="687">
        <f>Cars!BA58/SUM(Cars!$BA$54:$BA$61)</f>
        <v>4.3827759672555885E-5</v>
      </c>
      <c r="BI68" s="687">
        <f>Cars!BB58/SUM(Cars!$BB$54:$BB$61)</f>
        <v>6.8967941163254531E-3</v>
      </c>
      <c r="BJ68" s="687">
        <f>Cars!BC58/SUM(Cars!$BC$54:$BC$61)</f>
        <v>1.0731160458778033E-2</v>
      </c>
      <c r="BK68" s="689">
        <f t="shared" si="35"/>
        <v>1.0731160458778033E-2</v>
      </c>
      <c r="BL68" s="689">
        <f t="shared" si="35"/>
        <v>1.0731160458778033E-2</v>
      </c>
      <c r="BM68" s="689">
        <f t="shared" si="35"/>
        <v>1.0731160458778033E-2</v>
      </c>
      <c r="BN68" s="689">
        <f t="shared" si="35"/>
        <v>1.0731160458778033E-2</v>
      </c>
      <c r="BO68" s="689">
        <f t="shared" si="35"/>
        <v>1.0731160458778033E-2</v>
      </c>
      <c r="BP68" s="689">
        <f t="shared" si="35"/>
        <v>1.0731160458778033E-2</v>
      </c>
      <c r="BQ68" s="689">
        <f t="shared" si="35"/>
        <v>1.0731160458778033E-2</v>
      </c>
      <c r="BR68" s="690">
        <f t="shared" si="35"/>
        <v>1.0731160458778033E-2</v>
      </c>
      <c r="BS68" s="629"/>
      <c r="DK68" s="2479"/>
      <c r="DL68" s="234" t="str">
        <f>Commodities!$D$7</f>
        <v>TPCAS</v>
      </c>
      <c r="DM68" s="1682">
        <f t="shared" si="22"/>
        <v>0</v>
      </c>
      <c r="DN68" s="1682">
        <f>$DM$67*M68</f>
        <v>119.29102472308182</v>
      </c>
      <c r="DO68" s="234"/>
      <c r="DP68" s="605"/>
      <c r="DQ68" s="2494"/>
    </row>
    <row r="69" spans="1:123">
      <c r="B69" s="467" t="s">
        <v>603</v>
      </c>
      <c r="C69" s="542"/>
      <c r="D69" s="542"/>
      <c r="E69" s="754"/>
      <c r="F69" s="754" t="str">
        <f>Commodities!$D$8</f>
        <v>TPCAM</v>
      </c>
      <c r="G69" s="754" t="s">
        <v>3603</v>
      </c>
      <c r="H69" s="2347"/>
      <c r="I69" s="2470"/>
      <c r="J69" s="1109">
        <f>VLOOKUP(VLOOKUP($E67,$S$136:$T$141,2,0),$AH$167:$AR$172,MATCH(VALUE(RIGHT(J$5,4)),$AH$5:$AR$5,0),0)</f>
        <v>346.75275139191854</v>
      </c>
      <c r="K69" s="1109">
        <f>VLOOKUP(VLOOKUP($E67,$S$136:$T$141,2,0),$AH$167:$AR$172,MATCH(VALUE(RIGHT(K$5,4)),$AH$5:$AR$5,0),0)</f>
        <v>355.28417370064295</v>
      </c>
      <c r="L69" s="2019"/>
      <c r="M69" s="12">
        <f>$Z$137</f>
        <v>0.221833860855045</v>
      </c>
      <c r="N69" s="604">
        <v>5</v>
      </c>
      <c r="O69" s="2353"/>
      <c r="P69" s="2080"/>
      <c r="Q69" s="2080"/>
      <c r="R69" s="2080"/>
      <c r="S69" s="2080"/>
      <c r="T69" s="2080"/>
      <c r="U69" s="2080"/>
      <c r="V69" s="2080"/>
      <c r="W69" s="2080"/>
      <c r="X69" s="2080"/>
      <c r="Y69" s="765"/>
      <c r="Z69" s="765"/>
      <c r="AA69" s="784">
        <f>H67*I67*L67*M69*O67</f>
        <v>113.79796848315674</v>
      </c>
      <c r="AB69" s="784"/>
      <c r="AF69" s="629"/>
      <c r="AG69" s="3055"/>
      <c r="AH69" s="697" t="s">
        <v>49</v>
      </c>
      <c r="AI69" s="2451">
        <f>AI61</f>
        <v>1.7189998335071497</v>
      </c>
      <c r="AJ69" s="625"/>
      <c r="AK69" s="625"/>
      <c r="AL69" s="625"/>
      <c r="AM69" s="625"/>
      <c r="AN69" s="625"/>
      <c r="AO69" s="625"/>
      <c r="AP69" s="625"/>
      <c r="AQ69" s="625"/>
      <c r="AR69" s="626"/>
      <c r="AS69" s="629"/>
      <c r="AY69" s="629"/>
      <c r="AZ69" s="717" t="s">
        <v>599</v>
      </c>
      <c r="BA69" s="718">
        <f t="shared" si="37"/>
        <v>578.66667781351009</v>
      </c>
      <c r="BB69" s="718">
        <f t="shared" si="37"/>
        <v>1204.3149389944863</v>
      </c>
      <c r="BC69" s="718">
        <f t="shared" si="37"/>
        <v>9682.0478308222991</v>
      </c>
      <c r="BD69" s="718">
        <f t="shared" si="37"/>
        <v>3209.7498451409683</v>
      </c>
      <c r="BE69" s="667">
        <f>SUM(BA69:BD69)</f>
        <v>14674.779292771263</v>
      </c>
      <c r="BF69" s="629"/>
      <c r="BG69" s="674" t="str">
        <f>AZ59</f>
        <v>Kerosene</v>
      </c>
      <c r="BH69" s="687">
        <f>Cars!BA59/SUM(Cars!$BA$54:$BA$61)</f>
        <v>0</v>
      </c>
      <c r="BI69" s="687">
        <f>Cars!BB59/SUM(Cars!$BB$54:$BB$61)</f>
        <v>0</v>
      </c>
      <c r="BJ69" s="687">
        <f>Cars!BC59/SUM(Cars!$BC$54:$BC$61)</f>
        <v>0</v>
      </c>
      <c r="BK69" s="689">
        <f t="shared" si="35"/>
        <v>0</v>
      </c>
      <c r="BL69" s="689">
        <f t="shared" si="35"/>
        <v>0</v>
      </c>
      <c r="BM69" s="689">
        <f t="shared" si="35"/>
        <v>0</v>
      </c>
      <c r="BN69" s="689">
        <f t="shared" si="35"/>
        <v>0</v>
      </c>
      <c r="BO69" s="689">
        <f t="shared" si="35"/>
        <v>0</v>
      </c>
      <c r="BP69" s="689">
        <f t="shared" si="35"/>
        <v>0</v>
      </c>
      <c r="BQ69" s="689">
        <f t="shared" si="35"/>
        <v>0</v>
      </c>
      <c r="BR69" s="690">
        <f t="shared" si="35"/>
        <v>0</v>
      </c>
      <c r="BS69" s="629"/>
      <c r="DK69" s="2479"/>
      <c r="DL69" s="234" t="str">
        <f>Commodities!$D$8</f>
        <v>TPCAM</v>
      </c>
      <c r="DM69" s="1682">
        <f t="shared" si="22"/>
        <v>0</v>
      </c>
      <c r="DN69" s="1682">
        <f>$DM$67*M69</f>
        <v>113.79796848315674</v>
      </c>
      <c r="DO69" s="234"/>
      <c r="DP69" s="605"/>
      <c r="DQ69" s="2494"/>
      <c r="DR69" s="542"/>
      <c r="DS69" s="754"/>
    </row>
    <row r="70" spans="1:123" s="754" customFormat="1">
      <c r="A70" s="545"/>
      <c r="B70" s="467" t="s">
        <v>603</v>
      </c>
      <c r="F70" s="754" t="str">
        <f>Commodities!$D$9</f>
        <v>TPCAL</v>
      </c>
      <c r="G70" s="754" t="s">
        <v>3603</v>
      </c>
      <c r="H70" s="2347"/>
      <c r="I70" s="2470"/>
      <c r="J70" s="1109">
        <f>VLOOKUP(VLOOKUP($E67,$S$136:$T$140,2,0),$AH$192:$AR$197,MATCH(VALUE(RIGHT(J$5,4)),$AH$5:$AR$5,0),0)</f>
        <v>385.02617344706078</v>
      </c>
      <c r="K70" s="1109">
        <f>VLOOKUP(VLOOKUP($E67,$S$136:$T$140,2,0),$AH$192:$AR$197,MATCH(VALUE(RIGHT(K$5,4)),$AH$5:$AR$5,0),0)</f>
        <v>394.499265938478</v>
      </c>
      <c r="L70" s="2019"/>
      <c r="M70" s="12">
        <f>$Z$138</f>
        <v>0.50541729412424075</v>
      </c>
      <c r="N70" s="604">
        <v>5</v>
      </c>
      <c r="O70" s="2353"/>
      <c r="P70" s="2080"/>
      <c r="Q70" s="2080"/>
      <c r="R70" s="2080"/>
      <c r="S70" s="2080"/>
      <c r="T70" s="2080"/>
      <c r="U70" s="2080"/>
      <c r="V70" s="2080"/>
      <c r="W70" s="2080"/>
      <c r="X70" s="2080"/>
      <c r="Y70" s="765"/>
      <c r="Z70" s="765"/>
      <c r="AA70" s="784">
        <f>H67*I67*L67*M70*O67</f>
        <v>259.27268761361717</v>
      </c>
      <c r="AB70" s="784"/>
      <c r="AF70" s="629"/>
      <c r="AG70" s="1981"/>
      <c r="AH70" s="697"/>
      <c r="AI70" s="2451"/>
      <c r="AJ70" s="625"/>
      <c r="AK70" s="625"/>
      <c r="AL70" s="625"/>
      <c r="AM70" s="625"/>
      <c r="AN70" s="625"/>
      <c r="AO70" s="625"/>
      <c r="AP70" s="625"/>
      <c r="AQ70" s="625"/>
      <c r="AR70" s="626"/>
      <c r="AS70" s="629"/>
      <c r="AY70" s="629"/>
      <c r="AZ70" s="717" t="str">
        <f>'DK TransData'!AB19</f>
        <v>25-50 km</v>
      </c>
      <c r="BA70" s="718">
        <f t="shared" si="37"/>
        <v>446.56431054875162</v>
      </c>
      <c r="BB70" s="718">
        <f t="shared" si="37"/>
        <v>1044.9378739630647</v>
      </c>
      <c r="BC70" s="718">
        <f t="shared" si="37"/>
        <v>9236.2135077807197</v>
      </c>
      <c r="BD70" s="718">
        <f t="shared" si="37"/>
        <v>3223.3744212143711</v>
      </c>
      <c r="BE70" s="667">
        <f>SUM(BA70:BD70)</f>
        <v>13951.090113506907</v>
      </c>
      <c r="BF70" s="629"/>
      <c r="BG70" s="674"/>
      <c r="BH70" s="687"/>
      <c r="BI70" s="687"/>
      <c r="BJ70" s="687"/>
      <c r="BK70" s="689"/>
      <c r="BL70" s="689"/>
      <c r="BM70" s="689"/>
      <c r="BN70" s="689"/>
      <c r="BO70" s="689"/>
      <c r="BP70" s="689"/>
      <c r="BQ70" s="689"/>
      <c r="BR70" s="690"/>
      <c r="BS70" s="629"/>
      <c r="DK70" s="308"/>
      <c r="DL70" s="234" t="str">
        <f>Commodities!$D$9</f>
        <v>TPCAL</v>
      </c>
      <c r="DM70" s="543"/>
      <c r="DN70" s="1682">
        <f>$DM$67*M70</f>
        <v>259.27268761361722</v>
      </c>
      <c r="DO70" s="543"/>
      <c r="DP70" s="317"/>
      <c r="DQ70" s="2494"/>
      <c r="DR70"/>
      <c r="DS70" s="542"/>
    </row>
    <row r="71" spans="1:123">
      <c r="B71" s="467" t="s">
        <v>603</v>
      </c>
      <c r="C71" s="542" t="str">
        <f>Processes!$D$10</f>
        <v>TPCAELCX1E</v>
      </c>
      <c r="D71" s="542" t="str">
        <f>Processes!$E$10</f>
        <v>Transport Passengers Cars - Electricity BEV- Average size - Existing</v>
      </c>
      <c r="E71" s="304" t="str">
        <f>E47</f>
        <v>TRAELCEV</v>
      </c>
      <c r="F71" s="754" t="str">
        <f>Commodities!$D$6</f>
        <v>TPCAX</v>
      </c>
      <c r="G71" s="754" t="s">
        <v>3603</v>
      </c>
      <c r="H71" s="2175">
        <v>1E-3</v>
      </c>
      <c r="I71" s="2470">
        <f>VLOOKUP(VLOOKUP($E71,$S$136:$T$140,2,0),$AH$56:$AI$63,MATCH(VALUE(RIGHT(I$5,4)),$AH$5:$AR$5,0),0)</f>
        <v>1.7189998335071497</v>
      </c>
      <c r="J71" s="1109">
        <f>VLOOKUP(VLOOKUP($E71,$S$136:$T$141,2,0),$AH$117:$AR$122,MATCH(VALUE(RIGHT(J$5,4)),$AH$5:$AR$5,0),0)</f>
        <v>1431.7402692719502</v>
      </c>
      <c r="K71" s="1109">
        <f>VLOOKUP(VLOOKUP($E71,$S$136:$T$141,2,0),$AH$117:$AR$122,MATCH(VALUE(RIGHT(K$5,4)),$AH$5:$AR$5,0),0)</f>
        <v>1431.7402692719506</v>
      </c>
      <c r="L71" s="1109">
        <f>VLOOKUP(VLOOKUP($E71,$S$136:$T$140,2,0),$AH$89:$AI$96,MATCH(VALUE(RIGHT(L$5,4)),$AH$5:$AR$5,0),0)</f>
        <v>14000</v>
      </c>
      <c r="M71" s="1947">
        <f>AC135</f>
        <v>0.1</v>
      </c>
      <c r="N71" s="604">
        <v>5</v>
      </c>
      <c r="O71" s="2175">
        <f t="shared" ref="O71:X71" si="38">VLOOKUP(VLOOKUP($E71,$S$136:$T$140,2,0),$AH$23:$AR$29,MATCH(VALUE(RIGHT(O$5,4)),$AH$5:$AR$5,0),0)</f>
        <v>0.126</v>
      </c>
      <c r="P71" s="2175">
        <f t="shared" si="38"/>
        <v>19.332999999999998</v>
      </c>
      <c r="Q71" s="2175">
        <f t="shared" si="38"/>
        <v>29.106999999999999</v>
      </c>
      <c r="R71" s="2175">
        <f t="shared" si="38"/>
        <v>19.716999999999999</v>
      </c>
      <c r="S71" s="2175">
        <f t="shared" si="38"/>
        <v>10.975</v>
      </c>
      <c r="T71" s="2175">
        <f t="shared" si="38"/>
        <v>4.6559999999999997</v>
      </c>
      <c r="U71" s="2175">
        <f t="shared" si="38"/>
        <v>1.335</v>
      </c>
      <c r="V71" s="2175">
        <f t="shared" si="38"/>
        <v>0.224</v>
      </c>
      <c r="W71" s="2175">
        <f t="shared" si="38"/>
        <v>1.9E-2</v>
      </c>
      <c r="X71" s="2175">
        <f t="shared" si="38"/>
        <v>1E-3</v>
      </c>
      <c r="Y71" s="765">
        <v>3.5E-4</v>
      </c>
      <c r="Z71" s="765"/>
      <c r="AA71" s="784">
        <f>H71*I71*L71*M71*O71</f>
        <v>0.3032315706306612</v>
      </c>
      <c r="AB71" s="784"/>
      <c r="AC71" s="784"/>
      <c r="AD71" s="784"/>
      <c r="AE71" s="784"/>
      <c r="AF71" s="629"/>
      <c r="AG71" s="461"/>
      <c r="AH71" s="467" t="s">
        <v>607</v>
      </c>
      <c r="AI71" s="2453">
        <f>AI63</f>
        <v>1.7189998335071497</v>
      </c>
      <c r="AJ71" s="627"/>
      <c r="AK71" s="627"/>
      <c r="AL71" s="627"/>
      <c r="AM71" s="627"/>
      <c r="AN71" s="627"/>
      <c r="AO71" s="627"/>
      <c r="AP71" s="627"/>
      <c r="AQ71" s="627"/>
      <c r="AR71" s="628"/>
      <c r="AS71" s="629"/>
      <c r="AY71" s="629"/>
      <c r="AZ71" s="717"/>
      <c r="BA71" s="718"/>
      <c r="BB71" s="718"/>
      <c r="BC71" s="718"/>
      <c r="BD71" s="718"/>
      <c r="BE71" s="667"/>
      <c r="BF71" s="629"/>
      <c r="BG71" s="674" t="str">
        <f>AZ60</f>
        <v>Ethanol</v>
      </c>
      <c r="BH71" s="687">
        <f>Cars!BA60/SUM(Cars!$BA$54:$BA$61)</f>
        <v>5.1624948790722908E-2</v>
      </c>
      <c r="BI71" s="687">
        <f>Cars!BB60/SUM(Cars!$BB$54:$BB$61)</f>
        <v>5.0879539229020103E-2</v>
      </c>
      <c r="BJ71" s="687">
        <f>Cars!BC60/SUM(Cars!$BC$54:$BC$61)</f>
        <v>4.946631815210295E-2</v>
      </c>
      <c r="BK71" s="689">
        <f t="shared" si="35"/>
        <v>4.946631815210295E-2</v>
      </c>
      <c r="BL71" s="689">
        <f t="shared" si="35"/>
        <v>4.946631815210295E-2</v>
      </c>
      <c r="BM71" s="689">
        <f t="shared" si="35"/>
        <v>4.946631815210295E-2</v>
      </c>
      <c r="BN71" s="689">
        <f t="shared" si="35"/>
        <v>4.946631815210295E-2</v>
      </c>
      <c r="BO71" s="689">
        <f t="shared" si="35"/>
        <v>4.946631815210295E-2</v>
      </c>
      <c r="BP71" s="689">
        <f t="shared" si="35"/>
        <v>4.946631815210295E-2</v>
      </c>
      <c r="BQ71" s="689">
        <f t="shared" si="35"/>
        <v>4.946631815210295E-2</v>
      </c>
      <c r="BR71" s="690">
        <f t="shared" si="35"/>
        <v>4.946631815210295E-2</v>
      </c>
      <c r="BS71" s="629"/>
      <c r="DK71" s="2479"/>
      <c r="DL71" s="234" t="str">
        <f>Commodities!$D$6</f>
        <v>TPCAX</v>
      </c>
      <c r="DM71" s="1682">
        <f>O71*L71*I71*H71</f>
        <v>3.032315706306612</v>
      </c>
      <c r="DN71" s="1682">
        <f>$DM$71*M71</f>
        <v>0.3032315706306612</v>
      </c>
      <c r="DO71" s="234"/>
      <c r="DP71" s="605"/>
      <c r="DQ71" s="2494"/>
    </row>
    <row r="72" spans="1:123">
      <c r="B72" s="467" t="s">
        <v>603</v>
      </c>
      <c r="C72" s="542"/>
      <c r="D72" s="542"/>
      <c r="E72" s="754"/>
      <c r="F72" s="754" t="str">
        <f>Commodities!$D$7</f>
        <v>TPCAS</v>
      </c>
      <c r="G72" s="754" t="s">
        <v>3603</v>
      </c>
      <c r="H72" s="1538"/>
      <c r="I72" s="2470"/>
      <c r="J72" s="1109">
        <f>VLOOKUP(VLOOKUP($E71,$S$136:$T$141,2,0),$AH$142:$AR$147,MATCH(VALUE(RIGHT(J$5,4)),$AH$5:$AR$5,0),0)</f>
        <v>1431.7402692719502</v>
      </c>
      <c r="K72" s="1109">
        <f>VLOOKUP(VLOOKUP($E71,$S$136:$T$141,2,0),$AH$142:$AR$147,MATCH(VALUE(RIGHT(K$5,4)),$AH$5:$AR$5,0),0)</f>
        <v>1431.7402692719506</v>
      </c>
      <c r="L72" s="2019"/>
      <c r="M72" s="1947">
        <f t="shared" ref="M72:M74" si="39">AC136</f>
        <v>0.4</v>
      </c>
      <c r="N72" s="604">
        <v>5</v>
      </c>
      <c r="O72" s="2354"/>
      <c r="P72" s="2355"/>
      <c r="Q72" s="2355"/>
      <c r="R72" s="2355"/>
      <c r="S72" s="2355"/>
      <c r="T72" s="2355"/>
      <c r="U72" s="2355"/>
      <c r="V72" s="2355"/>
      <c r="W72" s="2355"/>
      <c r="X72" s="2355"/>
      <c r="Y72" s="765"/>
      <c r="Z72" s="765"/>
      <c r="AA72" s="784">
        <f>H71*I71*L71*M72*O71</f>
        <v>1.2129262825226448</v>
      </c>
      <c r="AB72" s="784"/>
      <c r="AC72" s="784"/>
      <c r="AD72" s="784"/>
      <c r="AE72" s="784"/>
      <c r="AF72" s="629"/>
      <c r="AG72" s="644" t="s">
        <v>583</v>
      </c>
      <c r="AH72" s="641"/>
      <c r="AI72" s="641"/>
      <c r="AJ72" s="641"/>
      <c r="AK72" s="641"/>
      <c r="AL72" s="641"/>
      <c r="AM72" s="641"/>
      <c r="AN72" s="641"/>
      <c r="AO72" s="641"/>
      <c r="AP72" s="641"/>
      <c r="AQ72" s="641"/>
      <c r="AR72" s="642"/>
      <c r="AS72" s="629"/>
      <c r="AY72" s="629"/>
      <c r="AZ72" s="719" t="str">
        <f>'DK TransData'!AB20</f>
        <v>&gt;50 km</v>
      </c>
      <c r="BA72" s="718">
        <f>BA82*BA$73</f>
        <v>1140.9327960033327</v>
      </c>
      <c r="BB72" s="718">
        <f>BB82*BB$73</f>
        <v>2961.6366134020059</v>
      </c>
      <c r="BC72" s="718">
        <f>BC82*BC$73</f>
        <v>21043.415198487852</v>
      </c>
      <c r="BD72" s="718">
        <f>BD82*BD$73</f>
        <v>6425.4462063737401</v>
      </c>
      <c r="BE72" s="667">
        <f>SUM(BA72:BD72)</f>
        <v>31571.430814266932</v>
      </c>
      <c r="BF72" s="629"/>
      <c r="BG72" s="677" t="str">
        <f>AZ61</f>
        <v>Other propellant</v>
      </c>
      <c r="BH72" s="691">
        <f>Cars!BA61/SUM(Cars!$BA$54:$BA$61)</f>
        <v>8.5348795151819365E-6</v>
      </c>
      <c r="BI72" s="687">
        <f>Cars!BB61/SUM(Cars!$BB$54:$BB$61)</f>
        <v>5.0940712573813984E-5</v>
      </c>
      <c r="BJ72" s="687">
        <f>Cars!BC61/SUM(Cars!$BC$54:$BC$61)</f>
        <v>5.7307247074465039E-5</v>
      </c>
      <c r="BK72" s="692">
        <f t="shared" si="35"/>
        <v>5.7307247074465039E-5</v>
      </c>
      <c r="BL72" s="692">
        <f t="shared" si="35"/>
        <v>5.7307247074465039E-5</v>
      </c>
      <c r="BM72" s="692">
        <f t="shared" si="35"/>
        <v>5.7307247074465039E-5</v>
      </c>
      <c r="BN72" s="692">
        <f t="shared" si="35"/>
        <v>5.7307247074465039E-5</v>
      </c>
      <c r="BO72" s="692">
        <f t="shared" si="35"/>
        <v>5.7307247074465039E-5</v>
      </c>
      <c r="BP72" s="692">
        <f t="shared" si="35"/>
        <v>5.7307247074465039E-5</v>
      </c>
      <c r="BQ72" s="692">
        <f t="shared" si="35"/>
        <v>5.7307247074465039E-5</v>
      </c>
      <c r="BR72" s="693">
        <f t="shared" si="35"/>
        <v>5.7307247074465039E-5</v>
      </c>
      <c r="BS72" s="629"/>
      <c r="DK72" s="2479"/>
      <c r="DL72" s="234" t="str">
        <f>Commodities!$D$7</f>
        <v>TPCAS</v>
      </c>
      <c r="DM72" s="1682">
        <f>O72*L72*I72*H72</f>
        <v>0</v>
      </c>
      <c r="DN72" s="1682">
        <f>$DM$71*M72</f>
        <v>1.2129262825226448</v>
      </c>
      <c r="DO72" s="234"/>
      <c r="DP72" s="605"/>
      <c r="DQ72" s="2494"/>
      <c r="DR72" s="754"/>
    </row>
    <row r="73" spans="1:123" ht="15.75" customHeight="1">
      <c r="B73" s="467" t="s">
        <v>603</v>
      </c>
      <c r="C73" s="543"/>
      <c r="D73" s="543"/>
      <c r="E73" s="754"/>
      <c r="F73" s="754" t="str">
        <f>Commodities!$D$8</f>
        <v>TPCAM</v>
      </c>
      <c r="G73" s="754" t="s">
        <v>3603</v>
      </c>
      <c r="H73" s="1538"/>
      <c r="I73" s="2470"/>
      <c r="J73" s="1109">
        <f>VLOOKUP(VLOOKUP($E71,$S$136:$T$141,2,0),$AH$167:$AR$172,MATCH(VALUE(RIGHT(J$5,4)),$AH$5:$AR$5,0),0)</f>
        <v>1431.7402692719502</v>
      </c>
      <c r="K73" s="1109">
        <f>VLOOKUP(VLOOKUP($E71,$S$136:$T$141,2,0),$AH$167:$AR$172,MATCH(VALUE(RIGHT(K$5,4)),$AH$5:$AR$5,0),0)</f>
        <v>1431.7402692719506</v>
      </c>
      <c r="L73" s="2019"/>
      <c r="M73" s="1947">
        <f t="shared" si="39"/>
        <v>0.4</v>
      </c>
      <c r="N73" s="604">
        <v>5</v>
      </c>
      <c r="O73" s="2354"/>
      <c r="P73" s="2354"/>
      <c r="Q73" s="2354"/>
      <c r="R73" s="2354"/>
      <c r="S73" s="2354"/>
      <c r="T73" s="2354"/>
      <c r="U73" s="2354"/>
      <c r="V73" s="2354"/>
      <c r="W73" s="2354"/>
      <c r="X73" s="2354"/>
      <c r="Y73" s="765"/>
      <c r="Z73" s="765"/>
      <c r="AA73" s="784">
        <f>H71*I71*L71*M73*O71</f>
        <v>1.2129262825226448</v>
      </c>
      <c r="AB73" s="784"/>
      <c r="AC73" s="784"/>
      <c r="AD73" s="784"/>
      <c r="AE73" s="784"/>
      <c r="AF73" s="629"/>
      <c r="AG73" s="2436" t="s">
        <v>601</v>
      </c>
      <c r="AH73" s="729" t="s">
        <v>184</v>
      </c>
      <c r="AI73" s="732">
        <f>BZ101</f>
        <v>12887.692725004867</v>
      </c>
      <c r="AJ73" s="623"/>
      <c r="AK73" s="623"/>
      <c r="AL73" s="623"/>
      <c r="AM73" s="623"/>
      <c r="AN73" s="623"/>
      <c r="AO73" s="623"/>
      <c r="AP73" s="623"/>
      <c r="AQ73" s="623"/>
      <c r="AR73" s="624"/>
      <c r="AS73" s="629"/>
      <c r="AY73" s="629"/>
      <c r="AZ73" s="2465" t="str">
        <f>'DK TransData'!AB21</f>
        <v>Total</v>
      </c>
      <c r="BA73" s="2466">
        <f>CarMoreData!$N$57*BH48</f>
        <v>2282.1031365922377</v>
      </c>
      <c r="BB73" s="2466">
        <f>CarMoreData!$N$57*BH49</f>
        <v>5439.169673078266</v>
      </c>
      <c r="BC73" s="2466">
        <f>CarMoreData!$N$57*BH51</f>
        <v>41635.7244659598</v>
      </c>
      <c r="BD73" s="2466">
        <f>CarMoreData!$N$57*BH52</f>
        <v>13355.4445763697</v>
      </c>
      <c r="BE73" s="2467">
        <f>CarMoreData!$N$57</f>
        <v>62712.441852000004</v>
      </c>
      <c r="BF73" s="629"/>
      <c r="BG73" s="629"/>
      <c r="BH73" s="695">
        <f>SUM(BH63:BH72)</f>
        <v>0.99999999999999989</v>
      </c>
      <c r="BI73" s="724">
        <f t="shared" ref="BI73:BR73" si="40">SUM(BI63:BI72)</f>
        <v>1</v>
      </c>
      <c r="BJ73" s="724">
        <f>SUM(BJ63:BJ72)</f>
        <v>1</v>
      </c>
      <c r="BK73" s="723">
        <f t="shared" si="40"/>
        <v>1</v>
      </c>
      <c r="BL73" s="723">
        <f t="shared" si="40"/>
        <v>1</v>
      </c>
      <c r="BM73" s="723">
        <f t="shared" si="40"/>
        <v>1</v>
      </c>
      <c r="BN73" s="723">
        <f t="shared" si="40"/>
        <v>1</v>
      </c>
      <c r="BO73" s="723">
        <f t="shared" si="40"/>
        <v>1</v>
      </c>
      <c r="BP73" s="723">
        <f t="shared" si="40"/>
        <v>1</v>
      </c>
      <c r="BQ73" s="723">
        <f t="shared" si="40"/>
        <v>1</v>
      </c>
      <c r="BR73" s="723">
        <f t="shared" si="40"/>
        <v>1</v>
      </c>
      <c r="BS73" s="629"/>
      <c r="DK73" s="2479"/>
      <c r="DL73" s="234" t="str">
        <f>Commodities!$D$8</f>
        <v>TPCAM</v>
      </c>
      <c r="DM73" s="1682">
        <f>O73*L73*I73*H73</f>
        <v>0</v>
      </c>
      <c r="DN73" s="1682">
        <f>$DM$71*M73</f>
        <v>1.2129262825226448</v>
      </c>
      <c r="DO73" s="234"/>
      <c r="DP73" s="605"/>
      <c r="DQ73" s="2494"/>
      <c r="DS73" s="754"/>
    </row>
    <row r="74" spans="1:123" s="754" customFormat="1" ht="15.75" customHeight="1">
      <c r="A74" s="545"/>
      <c r="B74" s="467" t="s">
        <v>603</v>
      </c>
      <c r="C74" s="543"/>
      <c r="D74" s="543"/>
      <c r="F74" s="754" t="str">
        <f>Commodities!$D$9</f>
        <v>TPCAL</v>
      </c>
      <c r="G74" s="754" t="s">
        <v>3603</v>
      </c>
      <c r="H74" s="1538"/>
      <c r="I74" s="2470"/>
      <c r="J74" s="1109">
        <f>VLOOKUP(VLOOKUP($E71,$S$136:$T$140,2,0),$AH$192:$AR$197,MATCH(VALUE(RIGHT(J$5,4)),$AH$5:$AR$5,0),0)</f>
        <v>1431.7402692719502</v>
      </c>
      <c r="K74" s="1109">
        <f>VLOOKUP(VLOOKUP($E71,$S$136:$T$140,2,0),$AH$192:$AR$197,MATCH(VALUE(RIGHT(K$5,4)),$AH$5:$AR$5,0),0)</f>
        <v>1431.7402692719506</v>
      </c>
      <c r="L74" s="2019"/>
      <c r="M74" s="1947">
        <f t="shared" si="39"/>
        <v>0.1</v>
      </c>
      <c r="N74" s="604">
        <v>5</v>
      </c>
      <c r="O74" s="2354"/>
      <c r="P74" s="2354"/>
      <c r="Q74" s="2354"/>
      <c r="R74" s="2354"/>
      <c r="S74" s="2354"/>
      <c r="T74" s="2354"/>
      <c r="U74" s="2354"/>
      <c r="V74" s="2354"/>
      <c r="W74" s="2354"/>
      <c r="X74" s="2354"/>
      <c r="Y74" s="765"/>
      <c r="Z74" s="765"/>
      <c r="AA74" s="784">
        <f>H71*I71*L71*M74*O71</f>
        <v>0.3032315706306612</v>
      </c>
      <c r="AB74" s="784"/>
      <c r="AC74" s="784"/>
      <c r="AD74" s="784"/>
      <c r="AE74" s="784"/>
      <c r="AF74" s="629"/>
      <c r="AG74" s="2437"/>
      <c r="AH74" s="697"/>
      <c r="AI74" s="732"/>
      <c r="AJ74" s="625"/>
      <c r="AK74" s="625"/>
      <c r="AL74" s="625"/>
      <c r="AM74" s="625"/>
      <c r="AN74" s="625"/>
      <c r="AO74" s="625"/>
      <c r="AP74" s="625"/>
      <c r="AQ74" s="625"/>
      <c r="AR74" s="626"/>
      <c r="AS74" s="629"/>
      <c r="AY74" s="629"/>
      <c r="AZ74" s="720"/>
      <c r="BA74" s="856"/>
      <c r="BB74" s="856"/>
      <c r="BC74" s="856"/>
      <c r="BD74" s="856"/>
      <c r="BE74" s="856"/>
      <c r="BF74" s="629"/>
      <c r="BG74" s="629"/>
      <c r="BH74" s="695"/>
      <c r="BI74" s="2000"/>
      <c r="BJ74" s="2000"/>
      <c r="BK74" s="723"/>
      <c r="BL74" s="723"/>
      <c r="BM74" s="723"/>
      <c r="BN74" s="723"/>
      <c r="BO74" s="723"/>
      <c r="BP74" s="723"/>
      <c r="BQ74" s="723"/>
      <c r="BR74" s="723"/>
      <c r="BS74" s="629"/>
      <c r="DK74" s="2479"/>
      <c r="DL74" s="234" t="str">
        <f>Commodities!$D$9</f>
        <v>TPCAL</v>
      </c>
      <c r="DM74" s="1682"/>
      <c r="DN74" s="1682">
        <f>$DM$71*M74</f>
        <v>0.3032315706306612</v>
      </c>
      <c r="DO74" s="234"/>
      <c r="DP74" s="605"/>
      <c r="DQ74" s="2494"/>
      <c r="DR74"/>
      <c r="DS74"/>
    </row>
    <row r="75" spans="1:123">
      <c r="B75" s="467" t="s">
        <v>603</v>
      </c>
      <c r="C75" s="542" t="str">
        <f>Processes!$D$11</f>
        <v>TPCAGSBX1E</v>
      </c>
      <c r="D75" s="542" t="str">
        <f>Processes!$E$11</f>
        <v>Transport Passengers Cars -Ethanol- Average size - Existing</v>
      </c>
      <c r="E75" s="865" t="str">
        <f>E51</f>
        <v>TRAGSBL5</v>
      </c>
      <c r="F75" s="754" t="str">
        <f>Commodities!$D$6</f>
        <v>TPCAX</v>
      </c>
      <c r="G75" s="754" t="s">
        <v>3603</v>
      </c>
      <c r="H75" s="2175">
        <v>1E-3</v>
      </c>
      <c r="I75" s="2470">
        <f>VLOOKUP(VLOOKUP($E75,$S$136:$T$141,2,0),$AH$56:$AI$63,MATCH(VALUE(RIGHT(I$5,4)),$AH$5:$AR$5,0),0)</f>
        <v>1.7189998335071497</v>
      </c>
      <c r="J75" s="1109">
        <f>VLOOKUP(VLOOKUP($E75,$S$136:$T$141,2,0),$AH$117:$AR$122,MATCH(VALUE(RIGHT(J$5,4)),$AH$5:$AR$5,0),0)</f>
        <v>211.5191783490703</v>
      </c>
      <c r="K75" s="1109">
        <f>VLOOKUP(VLOOKUP($E75,$S$136:$T$141,2,0),$AH$117:$AR$122,MATCH(VALUE(RIGHT(K$5,4)),$AH$5:$AR$5,0),0)</f>
        <v>216.72334595739218</v>
      </c>
      <c r="L75" s="1109">
        <f>VLOOKUP(VLOOKUP($E75,$S$136:$T$141,2,0),$AH$89:$AI$96,MATCH(VALUE(RIGHT(L$5,4)),$AH$5:$AR$5,0),0)</f>
        <v>12887.681364693466</v>
      </c>
      <c r="M75" s="12">
        <f>$Z$135</f>
        <v>4.0207008532722487E-2</v>
      </c>
      <c r="N75" s="604">
        <v>5</v>
      </c>
      <c r="O75" s="2175">
        <f t="shared" ref="O75:X75" si="41">VLOOKUP(VLOOKUP($E75,$S$136:$T$141,2,0),$AH$23:$AR$29,MATCH(VALUE(RIGHT(O$5,4)),$AH$5:$AR$5,0),0)</f>
        <v>148.58000000000001</v>
      </c>
      <c r="P75" s="2175">
        <f t="shared" si="41"/>
        <v>142.62700000000001</v>
      </c>
      <c r="Q75" s="2175">
        <f t="shared" si="41"/>
        <v>134.16999999999999</v>
      </c>
      <c r="R75" s="2175">
        <f t="shared" si="41"/>
        <v>90.89</v>
      </c>
      <c r="S75" s="2175">
        <f t="shared" si="41"/>
        <v>50.59</v>
      </c>
      <c r="T75" s="2175">
        <f t="shared" si="41"/>
        <v>21.460999999999999</v>
      </c>
      <c r="U75" s="2175">
        <f t="shared" si="41"/>
        <v>6.1550000000000002</v>
      </c>
      <c r="V75" s="2175">
        <f t="shared" si="41"/>
        <v>1.0309999999999999</v>
      </c>
      <c r="W75" s="2175">
        <f t="shared" si="41"/>
        <v>8.5999999999999993E-2</v>
      </c>
      <c r="X75" s="2175">
        <f t="shared" si="41"/>
        <v>3.0000000000000001E-3</v>
      </c>
      <c r="Y75" s="765">
        <v>3.5E-4</v>
      </c>
      <c r="Z75" s="765"/>
      <c r="AA75" s="784">
        <f>H75*I75*L75*M75*O75</f>
        <v>132.34658538930759</v>
      </c>
      <c r="AB75" s="784"/>
      <c r="AC75" s="784"/>
      <c r="AD75" s="784"/>
      <c r="AE75" s="784"/>
      <c r="AF75" s="629"/>
      <c r="AG75" s="2437"/>
      <c r="AH75" s="697" t="s">
        <v>61</v>
      </c>
      <c r="AI75" s="732">
        <f>BZ100</f>
        <v>21500.623745335757</v>
      </c>
      <c r="AJ75" s="625"/>
      <c r="AK75" s="625"/>
      <c r="AL75" s="625"/>
      <c r="AM75" s="625"/>
      <c r="AN75" s="625"/>
      <c r="AO75" s="625"/>
      <c r="AP75" s="625"/>
      <c r="AQ75" s="625"/>
      <c r="AR75" s="626"/>
      <c r="AS75" s="629"/>
      <c r="AY75" s="629"/>
      <c r="AZ75" s="704"/>
      <c r="BA75" s="704"/>
      <c r="BB75" s="704"/>
      <c r="BC75" s="704"/>
      <c r="BD75" s="629"/>
      <c r="BE75" s="629"/>
      <c r="BF75" s="629"/>
      <c r="BG75" s="629"/>
      <c r="BH75" s="629"/>
      <c r="BI75" s="629"/>
      <c r="BJ75" s="629"/>
      <c r="BK75" s="629"/>
      <c r="BL75" s="629"/>
      <c r="BM75" s="629"/>
      <c r="BN75" s="629"/>
      <c r="BO75" s="629"/>
      <c r="BP75" s="629"/>
      <c r="BQ75" s="629"/>
      <c r="BR75" s="629"/>
      <c r="BS75" s="629"/>
      <c r="DK75" s="2479"/>
      <c r="DL75" s="234" t="str">
        <f>DL71</f>
        <v>TPCAX</v>
      </c>
      <c r="DM75" s="1682">
        <f>O75*L75*I75*H75</f>
        <v>3291.629748619504</v>
      </c>
      <c r="DN75" s="1682">
        <f>$DM$75*M75</f>
        <v>132.34658538930756</v>
      </c>
      <c r="DO75" s="234" t="str">
        <f>Commodities!$D$6</f>
        <v>TPCAX</v>
      </c>
      <c r="DP75" s="605">
        <f>DN55+DN59+DN63+DN67+DN71+DN75</f>
        <v>2809.3583809458878</v>
      </c>
      <c r="DQ75" s="2494">
        <f>DP75*$DQ$6</f>
        <v>2781.264797136429</v>
      </c>
    </row>
    <row r="76" spans="1:123">
      <c r="B76" s="467" t="s">
        <v>603</v>
      </c>
      <c r="C76" s="542"/>
      <c r="D76" s="542"/>
      <c r="E76" s="754"/>
      <c r="F76" s="754" t="str">
        <f>Commodities!$D$7</f>
        <v>TPCAS</v>
      </c>
      <c r="G76" s="754" t="s">
        <v>3603</v>
      </c>
      <c r="H76" s="2348"/>
      <c r="I76" s="2470"/>
      <c r="J76" s="1109">
        <f>VLOOKUP(VLOOKUP($E75,$S$136:$T$141,2,0),$AH$142:$AR$147,MATCH(VALUE(RIGHT(J$5,4)),$AH$5:$AR$5,0),0)</f>
        <v>266.99961857177726</v>
      </c>
      <c r="K76" s="1109">
        <f>VLOOKUP(VLOOKUP($E75,$S$136:$T$141,2,0),$AH$142:$AR$147,MATCH(VALUE(RIGHT(K$5,4)),$AH$5:$AR$5,0),0)</f>
        <v>273.56881374949506</v>
      </c>
      <c r="L76" s="38"/>
      <c r="M76" s="12">
        <f>$Z$136</f>
        <v>0.23254183648799168</v>
      </c>
      <c r="N76" s="604">
        <v>5</v>
      </c>
      <c r="O76" s="2355"/>
      <c r="P76" s="2355"/>
      <c r="Q76" s="2355"/>
      <c r="R76" s="2355"/>
      <c r="S76" s="2355"/>
      <c r="T76" s="2355"/>
      <c r="U76" s="2355"/>
      <c r="V76" s="2355"/>
      <c r="W76" s="2355"/>
      <c r="X76" s="2355"/>
      <c r="Y76" s="765"/>
      <c r="Z76" s="765"/>
      <c r="AA76" s="784">
        <f>H75*I75*L75*M76*O75</f>
        <v>765.44162678248586</v>
      </c>
      <c r="AB76" s="784"/>
      <c r="AC76" s="784"/>
      <c r="AD76" s="784"/>
      <c r="AE76" s="784"/>
      <c r="AF76" s="629"/>
      <c r="AG76" s="2437"/>
      <c r="AH76" s="697" t="s">
        <v>51</v>
      </c>
      <c r="AI76" s="860">
        <v>18000</v>
      </c>
      <c r="AJ76" s="625"/>
      <c r="AK76" s="625"/>
      <c r="AL76" s="625"/>
      <c r="AM76" s="625"/>
      <c r="AN76" s="625"/>
      <c r="AO76" s="625"/>
      <c r="AP76" s="625"/>
      <c r="AQ76" s="625"/>
      <c r="AR76" s="626"/>
      <c r="AS76" s="629"/>
      <c r="AY76" s="629"/>
      <c r="AZ76" s="712" t="str">
        <f>LEFT(AZ65,LEN(AZ65)-3) &amp; "share"</f>
        <v>Transport work by trip length in 2010, m vehicleshare</v>
      </c>
      <c r="BA76" s="713"/>
      <c r="BB76" s="713"/>
      <c r="BC76" s="713"/>
      <c r="BD76" s="714"/>
      <c r="BE76" s="629"/>
      <c r="BF76" s="629"/>
      <c r="BG76" s="629"/>
      <c r="BH76" s="629"/>
      <c r="BI76" s="629"/>
      <c r="BJ76" s="629"/>
      <c r="BK76" s="629"/>
      <c r="BL76" s="629"/>
      <c r="BM76" s="629"/>
      <c r="BN76" s="629"/>
      <c r="BO76" s="629"/>
      <c r="BP76" s="629"/>
      <c r="BQ76" s="629"/>
      <c r="BR76" s="629"/>
      <c r="BS76" s="629"/>
      <c r="DK76" s="2479"/>
      <c r="DL76" s="234" t="str">
        <f>DL72</f>
        <v>TPCAS</v>
      </c>
      <c r="DM76" s="1682">
        <f>O76*L76*I76*H76</f>
        <v>0</v>
      </c>
      <c r="DN76" s="1682">
        <f>$DM$75*M76</f>
        <v>765.44162678248586</v>
      </c>
      <c r="DO76" s="234" t="str">
        <f>Commodities!$D$7</f>
        <v>TPCAS</v>
      </c>
      <c r="DP76" s="605">
        <f>DN56+DN60+DN64+DN68+DN72+DN76</f>
        <v>16247.704945208687</v>
      </c>
      <c r="DQ76" s="2494">
        <f>DP76*$DQ$6</f>
        <v>16085.2278957566</v>
      </c>
      <c r="DR76" s="754"/>
    </row>
    <row r="77" spans="1:123">
      <c r="B77" s="467" t="s">
        <v>603</v>
      </c>
      <c r="C77" s="543"/>
      <c r="D77" s="543"/>
      <c r="E77" s="543"/>
      <c r="F77" s="543" t="str">
        <f>Commodities!$D$8</f>
        <v>TPCAM</v>
      </c>
      <c r="G77" s="754" t="s">
        <v>3603</v>
      </c>
      <c r="H77" s="2348"/>
      <c r="I77" s="862"/>
      <c r="J77" s="1109">
        <f>VLOOKUP(VLOOKUP($E75,$S$136:$T$141,2,0),$AH$167:$AR$172,MATCH(VALUE(RIGHT(J$5,4)),$AH$5:$AR$5,0),0)</f>
        <v>346.75275139191854</v>
      </c>
      <c r="K77" s="1109">
        <f>VLOOKUP(VLOOKUP($E75,$S$136:$T$141,2,0),$AH$167:$AR$172,MATCH(VALUE(RIGHT(K$5,4)),$AH$5:$AR$5,0),0)</f>
        <v>355.28417370064295</v>
      </c>
      <c r="L77" s="2019"/>
      <c r="M77" s="277">
        <f>$Z$137</f>
        <v>0.221833860855045</v>
      </c>
      <c r="N77" s="604">
        <v>5</v>
      </c>
      <c r="O77" s="2354"/>
      <c r="P77" s="2354"/>
      <c r="Q77" s="2354"/>
      <c r="R77" s="2354"/>
      <c r="S77" s="2354"/>
      <c r="T77" s="2354"/>
      <c r="U77" s="2354"/>
      <c r="V77" s="2354"/>
      <c r="W77" s="2354"/>
      <c r="X77" s="2354"/>
      <c r="Y77" s="765"/>
      <c r="Z77" s="765"/>
      <c r="AA77" s="784">
        <f>H75*I75*L75*M77*O75</f>
        <v>730.19493564158597</v>
      </c>
      <c r="AB77" s="784"/>
      <c r="AC77" s="784"/>
      <c r="AD77" s="784"/>
      <c r="AE77" s="784"/>
      <c r="AF77" s="629"/>
      <c r="AG77" s="2437"/>
      <c r="AH77" s="697" t="s">
        <v>577</v>
      </c>
      <c r="AI77" s="860">
        <v>18000</v>
      </c>
      <c r="AJ77" s="625"/>
      <c r="AK77" s="625"/>
      <c r="AL77" s="625"/>
      <c r="AM77" s="625"/>
      <c r="AN77" s="625"/>
      <c r="AO77" s="625"/>
      <c r="AP77" s="625"/>
      <c r="AQ77" s="625"/>
      <c r="AR77" s="625"/>
      <c r="AS77" s="629"/>
      <c r="AY77" s="629"/>
      <c r="AZ77" s="715" t="str">
        <f>AZ67</f>
        <v>Trip length</v>
      </c>
      <c r="BA77" s="716" t="s">
        <v>601</v>
      </c>
      <c r="BB77" s="716" t="s">
        <v>602</v>
      </c>
      <c r="BC77" s="716" t="s">
        <v>603</v>
      </c>
      <c r="BD77" s="668" t="s">
        <v>604</v>
      </c>
      <c r="BE77" s="629"/>
      <c r="BF77" s="629"/>
      <c r="BG77" s="629"/>
      <c r="BH77" s="629"/>
      <c r="BI77" s="629"/>
      <c r="BJ77" s="629"/>
      <c r="BK77" s="629"/>
      <c r="BL77" s="629"/>
      <c r="BM77" s="629"/>
      <c r="BN77" s="629"/>
      <c r="BO77" s="629"/>
      <c r="BP77" s="629"/>
      <c r="BQ77" s="629"/>
      <c r="BR77" s="629"/>
      <c r="BS77" s="629"/>
      <c r="DK77" s="2479"/>
      <c r="DL77" s="234" t="str">
        <f>DL73</f>
        <v>TPCAM</v>
      </c>
      <c r="DM77" s="1682">
        <f>O77*L77*I77*H77</f>
        <v>0</v>
      </c>
      <c r="DN77" s="1682">
        <f>$DM$75*M77</f>
        <v>730.19493564158574</v>
      </c>
      <c r="DO77" s="234" t="str">
        <f>Commodities!$D$8</f>
        <v>TPCAM</v>
      </c>
      <c r="DP77" s="605">
        <f>DN57+DN61+DN65+DN69+DN73+DN77</f>
        <v>15499.594225490915</v>
      </c>
      <c r="DQ77" s="2494">
        <f>DP77*$DQ$6</f>
        <v>15344.598283236006</v>
      </c>
      <c r="DR77" s="12"/>
      <c r="DS77" s="754"/>
    </row>
    <row r="78" spans="1:123" s="754" customFormat="1" ht="13.8" thickBot="1">
      <c r="A78" s="545"/>
      <c r="B78" s="467" t="s">
        <v>603</v>
      </c>
      <c r="C78" s="543"/>
      <c r="D78" s="23"/>
      <c r="E78" s="23"/>
      <c r="F78" s="23" t="str">
        <f>Commodities!$D$9</f>
        <v>TPCAL</v>
      </c>
      <c r="G78" s="23" t="s">
        <v>3603</v>
      </c>
      <c r="H78" s="1556"/>
      <c r="I78" s="1614"/>
      <c r="J78" s="1109">
        <f>VLOOKUP(VLOOKUP($E75,$S$136:$T$141,2,0),$AH$192:$AR$197,MATCH(VALUE(RIGHT(J$5,4)),$AH$5:$AR$5,0),0)</f>
        <v>385.02617344706078</v>
      </c>
      <c r="K78" s="1109">
        <f>VLOOKUP(VLOOKUP($E75,$S$136:$T$141,2,0),$AH$192:$AR$197,MATCH(VALUE(RIGHT(K$5,4)),$AH$5:$AR$5,0),0)</f>
        <v>394.499265938478</v>
      </c>
      <c r="L78" s="2019"/>
      <c r="M78" s="277">
        <f>$Z$138</f>
        <v>0.50541729412424075</v>
      </c>
      <c r="N78" s="604">
        <v>5</v>
      </c>
      <c r="O78" s="2354"/>
      <c r="P78" s="2354"/>
      <c r="Q78" s="2354"/>
      <c r="R78" s="2354"/>
      <c r="S78" s="2354"/>
      <c r="T78" s="2354"/>
      <c r="U78" s="2354"/>
      <c r="V78" s="2354"/>
      <c r="W78" s="2354"/>
      <c r="X78" s="2354"/>
      <c r="Y78" s="734"/>
      <c r="Z78" s="765"/>
      <c r="AA78" s="784">
        <f>H75*I75*L75*M78*O75</f>
        <v>1663.6466008061245</v>
      </c>
      <c r="AB78" s="784"/>
      <c r="AC78" s="784"/>
      <c r="AD78" s="784"/>
      <c r="AE78" s="784"/>
      <c r="AF78" s="629"/>
      <c r="AG78" s="2437"/>
      <c r="AH78" s="697"/>
      <c r="AI78" s="858"/>
      <c r="AJ78" s="625"/>
      <c r="AK78" s="625"/>
      <c r="AL78" s="625"/>
      <c r="AM78" s="625"/>
      <c r="AN78" s="625"/>
      <c r="AO78" s="625"/>
      <c r="AP78" s="625"/>
      <c r="AQ78" s="625"/>
      <c r="AR78" s="625"/>
      <c r="AS78" s="629"/>
      <c r="AY78" s="629"/>
      <c r="AZ78" s="715"/>
      <c r="BA78" s="716"/>
      <c r="BB78" s="716"/>
      <c r="BC78" s="716"/>
      <c r="BD78" s="668"/>
      <c r="BE78" s="629"/>
      <c r="BF78" s="629"/>
      <c r="BG78" s="629"/>
      <c r="BH78" s="629"/>
      <c r="BI78" s="629"/>
      <c r="BJ78" s="629"/>
      <c r="BK78" s="629"/>
      <c r="BL78" s="629"/>
      <c r="BM78" s="629"/>
      <c r="BN78" s="629"/>
      <c r="BO78" s="629"/>
      <c r="BP78" s="629"/>
      <c r="BQ78" s="629"/>
      <c r="BR78" s="629"/>
      <c r="BS78" s="629"/>
      <c r="DK78" s="2487"/>
      <c r="DL78" s="2484" t="str">
        <f>Commodities!$D$9</f>
        <v>TPCAL</v>
      </c>
      <c r="DM78" s="2488"/>
      <c r="DN78" s="2488">
        <f>$DM$75*M78</f>
        <v>1663.6466008061245</v>
      </c>
      <c r="DO78" s="2484" t="str">
        <f>Commodities!$D$9</f>
        <v>TPCAL</v>
      </c>
      <c r="DP78" s="2489">
        <f>DN58+DN62+DN66+DN70+DN74+DN78</f>
        <v>35311.188185559367</v>
      </c>
      <c r="DQ78" s="2495">
        <f>DP78*$DQ$6</f>
        <v>34958.076303703776</v>
      </c>
      <c r="DR78" s="12"/>
      <c r="DS78"/>
    </row>
    <row r="79" spans="1:123">
      <c r="B79" s="725" t="s">
        <v>604</v>
      </c>
      <c r="C79" s="30" t="str">
        <f>Processes!$D$6</f>
        <v>TPCADSBL1E</v>
      </c>
      <c r="D79" s="543" t="str">
        <f>Processes!$E$6</f>
        <v>Transport Passengers Cars - Diesel Engine - Blending 1 - Average size - Existing</v>
      </c>
      <c r="E79" s="754" t="str">
        <f>E55</f>
        <v>TRADSBL1</v>
      </c>
      <c r="F79" s="754" t="str">
        <f>Commodities!$D$6</f>
        <v>TPCAX</v>
      </c>
      <c r="G79" s="754" t="s">
        <v>3603</v>
      </c>
      <c r="H79" s="2175">
        <v>1E-3</v>
      </c>
      <c r="I79" s="2471">
        <f>VLOOKUP(VLOOKUP($E79,$S$136:$T$141,2,0),$AH$64:$AI$71,MATCH(VALUE(RIGHT(I$5,4)),$AH$5:$AR$5,0),0)</f>
        <v>1.7189998335071497</v>
      </c>
      <c r="J79" s="2352">
        <f>VLOOKUP(VLOOKUP($E79,$S$136:$T$141,2,0),$AH$123:$AR$128,MATCH(VALUE(RIGHT(J$5,4)),$AH$5:$AR$5,0),0)</f>
        <v>210.09639756980272</v>
      </c>
      <c r="K79" s="2013">
        <f>VLOOKUP(VLOOKUP($E79,$S$136:$T$141,2,0),$AH$123:$AR$128,MATCH(VALUE(RIGHT(K$5,4)),$AH$5:$AR$5,0),0)</f>
        <v>213.73073170775214</v>
      </c>
      <c r="L79" s="2013">
        <f>VLOOKUP(VLOOKUP($E79,$S$136:$T$140,2,0),$AH$97:$AR$103,MATCH(VALUE(RIGHT(L$5,4)),$AH$5:$AR$5,0),0)</f>
        <v>21500.777683711131</v>
      </c>
      <c r="M79" s="2012">
        <f>$AA$135</f>
        <v>3.7203861002108228E-2</v>
      </c>
      <c r="N79" s="2013">
        <v>5</v>
      </c>
      <c r="O79" s="2350">
        <f t="shared" ref="O79:X79" si="42">VLOOKUP(VLOOKUP($E79,$S$136:$T$140,2,0),$AH$31:$AR$37,MATCH(VALUE(RIGHT(O$5,4)),$AH$5:$AR$5,0),0)</f>
        <v>129.16999999999999</v>
      </c>
      <c r="P79" s="2350">
        <f t="shared" si="42"/>
        <v>212.73099999999999</v>
      </c>
      <c r="Q79" s="2350">
        <f t="shared" si="42"/>
        <v>242.81399999999999</v>
      </c>
      <c r="R79" s="2350">
        <f t="shared" si="42"/>
        <v>164.48699999999999</v>
      </c>
      <c r="S79" s="2350">
        <f t="shared" si="42"/>
        <v>91.555999999999997</v>
      </c>
      <c r="T79" s="2350">
        <f t="shared" si="42"/>
        <v>38.838999999999999</v>
      </c>
      <c r="U79" s="2350">
        <f t="shared" si="42"/>
        <v>11.138</v>
      </c>
      <c r="V79" s="2350">
        <f t="shared" si="42"/>
        <v>1.8660000000000001</v>
      </c>
      <c r="W79" s="2350">
        <f t="shared" si="42"/>
        <v>0.155</v>
      </c>
      <c r="X79" s="2350">
        <f t="shared" si="42"/>
        <v>5.0000000000000001E-3</v>
      </c>
      <c r="Y79" s="765">
        <v>3.5E-4</v>
      </c>
      <c r="Z79" s="765"/>
      <c r="AA79" s="784">
        <f>H79*I79*L79*M79*O79</f>
        <v>177.61501464335248</v>
      </c>
      <c r="AB79" s="784" t="str">
        <f>AB55</f>
        <v>TPCAX</v>
      </c>
      <c r="AC79" s="784">
        <f>Dem!H5</f>
        <v>825.5134186684021</v>
      </c>
      <c r="AD79" s="784">
        <f>AA79+AA83+AA87+AA91+AA95+AA99</f>
        <v>833.85193804889093</v>
      </c>
      <c r="AE79" s="250">
        <f>AD79/AC79</f>
        <v>1.0101010101010099</v>
      </c>
      <c r="AF79" s="629"/>
      <c r="AG79" s="2437"/>
      <c r="AH79" s="697" t="s">
        <v>49</v>
      </c>
      <c r="AI79" s="858">
        <v>14000</v>
      </c>
      <c r="AJ79" s="625"/>
      <c r="AK79" s="625"/>
      <c r="AL79" s="625"/>
      <c r="AM79" s="625"/>
      <c r="AN79" s="625"/>
      <c r="AO79" s="625"/>
      <c r="AP79" s="625"/>
      <c r="AQ79" s="625"/>
      <c r="AR79" s="625"/>
      <c r="AS79" s="629"/>
      <c r="AY79" s="629"/>
      <c r="AZ79" s="717" t="s">
        <v>340</v>
      </c>
      <c r="BA79" s="721">
        <f>$X135</f>
        <v>5.0803730281783234E-2</v>
      </c>
      <c r="BB79" s="721">
        <f>$Y135</f>
        <v>4.1969686632245623E-2</v>
      </c>
      <c r="BC79" s="721">
        <f>$Z135</f>
        <v>4.0207008532722487E-2</v>
      </c>
      <c r="BD79" s="854">
        <f>$AA135</f>
        <v>3.7203861002108228E-2</v>
      </c>
      <c r="BE79" s="629"/>
      <c r="BF79" s="629"/>
      <c r="BG79" s="629"/>
      <c r="BH79" s="629"/>
      <c r="BI79" s="629"/>
      <c r="BJ79" s="629"/>
      <c r="BK79" s="629"/>
      <c r="BL79" s="629"/>
      <c r="BM79" s="629"/>
      <c r="BN79" s="629"/>
      <c r="BO79" s="629"/>
      <c r="BP79" s="629"/>
      <c r="BQ79" s="629"/>
      <c r="BR79" s="629"/>
      <c r="BS79" s="629"/>
      <c r="DK79" s="2476" t="str">
        <f>B79</f>
        <v>SE4</v>
      </c>
      <c r="DL79" s="2477" t="str">
        <f>Commodities!$D$6</f>
        <v>TPCAX</v>
      </c>
      <c r="DM79" s="2485">
        <f>O79*L79*I79*H79</f>
        <v>4774.1016620099608</v>
      </c>
      <c r="DN79" s="2485">
        <f>$DM$79*M79</f>
        <v>177.61501464335245</v>
      </c>
      <c r="DO79" s="2477"/>
      <c r="DP79" s="2486"/>
      <c r="DQ79" s="2493"/>
      <c r="DR79" s="12"/>
    </row>
    <row r="80" spans="1:123">
      <c r="B80" s="467" t="s">
        <v>604</v>
      </c>
      <c r="C80" s="543"/>
      <c r="D80" s="543"/>
      <c r="E80" s="754"/>
      <c r="F80" s="754" t="str">
        <f>Commodities!$D$7</f>
        <v>TPCAS</v>
      </c>
      <c r="G80" s="754" t="s">
        <v>3603</v>
      </c>
      <c r="H80" s="1538"/>
      <c r="I80" s="2470"/>
      <c r="J80" s="1109">
        <f>VLOOKUP(VLOOKUP($E79,$S$136:$T$141,2,0),$AH$148:$AR$153,MATCH(VALUE(RIGHT(J$5,4)),$AH$5:$AR$5,0),0)</f>
        <v>265.20364939139034</v>
      </c>
      <c r="K80" s="1109">
        <f>VLOOKUP(VLOOKUP($E79,$S$136:$T$140,2,0),$AH$148:$AR$153,MATCH(VALUE(RIGHT(K$5,4)),$AH$5:$AR$5,0),0)</f>
        <v>269.79125149994945</v>
      </c>
      <c r="L80" s="467"/>
      <c r="M80" s="12">
        <f>$AA$136</f>
        <v>0.24033268430615196</v>
      </c>
      <c r="N80" s="604">
        <v>5</v>
      </c>
      <c r="O80" s="467"/>
      <c r="P80" s="467"/>
      <c r="Q80" s="467"/>
      <c r="R80" s="467"/>
      <c r="S80" s="467"/>
      <c r="T80" s="467"/>
      <c r="U80" s="467"/>
      <c r="V80" s="467"/>
      <c r="W80" s="467"/>
      <c r="X80" s="467"/>
      <c r="Y80" s="765"/>
      <c r="Z80" s="765"/>
      <c r="AA80" s="784">
        <f>H79*I79*L79*M80*O79</f>
        <v>1147.3726675813152</v>
      </c>
      <c r="AB80" s="784" t="str">
        <f>AB56</f>
        <v>TPCAS</v>
      </c>
      <c r="AC80" s="784">
        <f>Dem!H6</f>
        <v>5332.4877789287557</v>
      </c>
      <c r="AD80" s="784">
        <f>AA80+AA84+AA88+AA92+AA96+AA100</f>
        <v>5386.351291847227</v>
      </c>
      <c r="AE80" s="250">
        <f>AD80/AC80</f>
        <v>1.0101010101010099</v>
      </c>
      <c r="AF80" s="629"/>
      <c r="AG80" s="2438"/>
      <c r="AH80" s="467" t="s">
        <v>607</v>
      </c>
      <c r="AI80" s="859">
        <f>AI73</f>
        <v>12887.692725004867</v>
      </c>
      <c r="AJ80" s="23"/>
      <c r="AK80" s="23"/>
      <c r="AL80" s="23"/>
      <c r="AM80" s="23"/>
      <c r="AN80" s="23"/>
      <c r="AO80" s="23"/>
      <c r="AP80" s="23"/>
      <c r="AQ80" s="23"/>
      <c r="AR80" s="426"/>
      <c r="AS80" s="629"/>
      <c r="AY80" s="629"/>
      <c r="AZ80" s="717" t="str">
        <f>AZ69</f>
        <v>&lt;25 km</v>
      </c>
      <c r="BA80" s="721">
        <f>$X136</f>
        <v>0.25356727683990965</v>
      </c>
      <c r="BB80" s="721">
        <f>$Y136</f>
        <v>0.22141521801670719</v>
      </c>
      <c r="BC80" s="721">
        <f>$Z136</f>
        <v>0.23254183648799168</v>
      </c>
      <c r="BD80" s="854">
        <f>$AA136</f>
        <v>0.24033268430615196</v>
      </c>
      <c r="BE80" s="629"/>
      <c r="BF80" s="629"/>
      <c r="BG80" s="629"/>
      <c r="BH80" s="629"/>
      <c r="BI80" s="629"/>
      <c r="BJ80" s="629"/>
      <c r="BK80" s="629"/>
      <c r="BL80" s="629"/>
      <c r="BM80" s="629"/>
      <c r="BN80" s="629"/>
      <c r="BO80" s="629"/>
      <c r="BP80" s="629"/>
      <c r="BQ80" s="629"/>
      <c r="BR80" s="629"/>
      <c r="BS80" s="629"/>
      <c r="DK80" s="2479"/>
      <c r="DL80" s="234" t="str">
        <f>Commodities!$D$7</f>
        <v>TPCAS</v>
      </c>
      <c r="DM80" s="1682">
        <f>O80*L80*I80*H80</f>
        <v>0</v>
      </c>
      <c r="DN80" s="1682">
        <f>$DM$79*M80</f>
        <v>1147.3726675813152</v>
      </c>
      <c r="DO80" s="234"/>
      <c r="DP80" s="605"/>
      <c r="DQ80" s="2494"/>
      <c r="DR80" s="12"/>
    </row>
    <row r="81" spans="1:123" ht="19.2">
      <c r="B81" s="467" t="s">
        <v>604</v>
      </c>
      <c r="C81" s="543"/>
      <c r="D81" s="543"/>
      <c r="E81" s="754"/>
      <c r="F81" s="754" t="str">
        <f>Commodities!$D$8</f>
        <v>TPCAM</v>
      </c>
      <c r="G81" s="754" t="s">
        <v>3603</v>
      </c>
      <c r="H81" s="1538"/>
      <c r="I81" s="2470"/>
      <c r="J81" s="1109">
        <f>VLOOKUP(VLOOKUP($E79,$S$135:$T$141,2,0),$AH$173:$AR$178,MATCH(VALUE(RIGHT(J$5,4)),$AH$5:$AR$5,0),0)</f>
        <v>344.42032388492248</v>
      </c>
      <c r="K81" s="1109">
        <f>VLOOKUP(VLOOKUP($E79,$S$136:$T$140,2,0),$AH$173:$AR$178,MATCH(VALUE(RIGHT(K$5,4)),$AH$5:$AR$5,0),0)</f>
        <v>350.37824870123302</v>
      </c>
      <c r="L81" s="467"/>
      <c r="M81" s="277">
        <f>$AA$137</f>
        <v>0.2413528357504183</v>
      </c>
      <c r="N81" s="604">
        <v>5</v>
      </c>
      <c r="O81" s="467"/>
      <c r="P81" s="467"/>
      <c r="Q81" s="467"/>
      <c r="R81" s="467"/>
      <c r="S81" s="467"/>
      <c r="T81" s="467"/>
      <c r="U81" s="467"/>
      <c r="V81" s="467"/>
      <c r="W81" s="467"/>
      <c r="X81" s="467"/>
      <c r="Y81" s="765"/>
      <c r="Z81" s="765"/>
      <c r="AA81" s="784">
        <f>H79*I79*L79*M81*O79</f>
        <v>1152.2429742868892</v>
      </c>
      <c r="AB81" s="784" t="str">
        <f>AB57</f>
        <v>TPCAM</v>
      </c>
      <c r="AC81" s="784">
        <f>Dem!H7</f>
        <v>5355.1212223893008</v>
      </c>
      <c r="AD81" s="784">
        <f>AA81+AA85+AA89+AA93+AA97+AA101</f>
        <v>5409.2133559487884</v>
      </c>
      <c r="AE81" s="250">
        <f>AD81/AC81</f>
        <v>1.0101010101010099</v>
      </c>
      <c r="AF81" s="629"/>
      <c r="AG81" s="2436" t="s">
        <v>602</v>
      </c>
      <c r="AH81" s="611" t="s">
        <v>184</v>
      </c>
      <c r="AI81" s="733">
        <f>CA101</f>
        <v>12887.702905772145</v>
      </c>
      <c r="AJ81" s="623"/>
      <c r="AK81" s="623"/>
      <c r="AL81" s="623"/>
      <c r="AM81" s="623"/>
      <c r="AN81" s="623"/>
      <c r="AO81" s="623"/>
      <c r="AP81" s="623"/>
      <c r="AQ81" s="623"/>
      <c r="AR81" s="624"/>
      <c r="AS81" s="629"/>
      <c r="AY81" s="629"/>
      <c r="AZ81" s="717" t="str">
        <f>AZ70</f>
        <v>25-50 km</v>
      </c>
      <c r="BA81" s="721">
        <f>$X137</f>
        <v>0.19568103798130093</v>
      </c>
      <c r="BB81" s="721">
        <f>$Y137</f>
        <v>0.19211349098651823</v>
      </c>
      <c r="BC81" s="721">
        <f>$Z137</f>
        <v>0.221833860855045</v>
      </c>
      <c r="BD81" s="854">
        <f>$AA137</f>
        <v>0.2413528357504183</v>
      </c>
      <c r="BE81" s="629"/>
      <c r="BF81" s="629"/>
      <c r="BG81" s="629"/>
      <c r="BH81" s="629"/>
      <c r="BI81" s="629"/>
      <c r="BJ81" s="629"/>
      <c r="BK81" s="629"/>
      <c r="BL81" s="629"/>
      <c r="BM81" s="629"/>
      <c r="BN81" s="629"/>
      <c r="BO81" s="629"/>
      <c r="BP81" s="629"/>
      <c r="BQ81" s="629"/>
      <c r="BR81" s="629"/>
      <c r="BS81" s="629"/>
      <c r="DK81" s="2479"/>
      <c r="DL81" s="234" t="str">
        <f>Commodities!$D8</f>
        <v>TPCAM</v>
      </c>
      <c r="DM81" s="1682">
        <f>O81*L81*I81*H81</f>
        <v>0</v>
      </c>
      <c r="DN81" s="1682">
        <f>$DM$79*M81</f>
        <v>1152.2429742868892</v>
      </c>
      <c r="DO81" s="234"/>
      <c r="DP81" s="605"/>
      <c r="DQ81" s="2494"/>
      <c r="DS81" s="754"/>
    </row>
    <row r="82" spans="1:123" s="754" customFormat="1">
      <c r="A82" s="545"/>
      <c r="B82" s="467" t="s">
        <v>604</v>
      </c>
      <c r="C82" s="543"/>
      <c r="D82" s="543"/>
      <c r="F82" s="754" t="str">
        <f>Commodities!$D$9</f>
        <v>TPCAL</v>
      </c>
      <c r="G82" s="754" t="s">
        <v>3603</v>
      </c>
      <c r="H82" s="1538"/>
      <c r="I82" s="2470"/>
      <c r="J82" s="1109">
        <f>VLOOKUP(VLOOKUP($E79,$S$136:$T$141,2,0),$AH$198:$AR$203,MATCH(VALUE(RIGHT(J$5,4)),$AH$5:$AR$5,0),0)</f>
        <v>382.43630030472383</v>
      </c>
      <c r="K82" s="1109">
        <f>VLOOKUP(VLOOKUP($E79,$S$136:$T$140,2,0),$AH$198:$AR$203,MATCH(VALUE(RIGHT(K$5,4)),$AH$5:$AR$5,0),0)</f>
        <v>389.05184116056722</v>
      </c>
      <c r="L82" s="467"/>
      <c r="M82" s="277">
        <f>$AA$138</f>
        <v>0.4811106189413214</v>
      </c>
      <c r="N82" s="604">
        <v>5</v>
      </c>
      <c r="O82" s="467"/>
      <c r="P82" s="467"/>
      <c r="Q82" s="467"/>
      <c r="R82" s="467"/>
      <c r="S82" s="467"/>
      <c r="T82" s="467"/>
      <c r="U82" s="467"/>
      <c r="V82" s="467"/>
      <c r="W82" s="467"/>
      <c r="X82" s="467"/>
      <c r="Y82" s="765"/>
      <c r="Z82" s="765"/>
      <c r="AA82" s="784">
        <f>H79*I79*L79*M82*O79</f>
        <v>2296.8710054984035</v>
      </c>
      <c r="AB82" s="784" t="str">
        <f>AB58</f>
        <v>TPCAL</v>
      </c>
      <c r="AC82" s="784">
        <f>Dem!H8</f>
        <v>10674.186930861022</v>
      </c>
      <c r="AD82" s="784">
        <f>AA82+AA86+AA90+AA94+AA98+AA102</f>
        <v>10782.00700086972</v>
      </c>
      <c r="AE82" s="250">
        <f>AD82/AC82</f>
        <v>1.0101010101010102</v>
      </c>
      <c r="AF82" s="629"/>
      <c r="AG82" s="2437"/>
      <c r="AH82" s="612"/>
      <c r="AI82" s="637"/>
      <c r="AJ82" s="625"/>
      <c r="AK82" s="625"/>
      <c r="AL82" s="625"/>
      <c r="AM82" s="625"/>
      <c r="AN82" s="625"/>
      <c r="AO82" s="625"/>
      <c r="AP82" s="625"/>
      <c r="AQ82" s="625"/>
      <c r="AR82" s="626"/>
      <c r="AS82" s="629"/>
      <c r="AY82" s="629"/>
      <c r="AZ82" s="719" t="str">
        <f>AZ72</f>
        <v>&gt;50 km</v>
      </c>
      <c r="BA82" s="722">
        <f>$X138</f>
        <v>0.49994795489700627</v>
      </c>
      <c r="BB82" s="722">
        <f>$Y138</f>
        <v>0.54450160436452888</v>
      </c>
      <c r="BC82" s="722">
        <f>$Z138</f>
        <v>0.50541729412424075</v>
      </c>
      <c r="BD82" s="855">
        <f>$AA138</f>
        <v>0.4811106189413214</v>
      </c>
      <c r="BE82" s="629"/>
      <c r="BF82" s="629"/>
      <c r="BG82" s="629"/>
      <c r="BH82" s="629"/>
      <c r="BI82" s="629"/>
      <c r="BJ82" s="629"/>
      <c r="BK82" s="629"/>
      <c r="BL82" s="629"/>
      <c r="BM82" s="629"/>
      <c r="BN82" s="629"/>
      <c r="BO82" s="629"/>
      <c r="BP82" s="629"/>
      <c r="BQ82" s="629"/>
      <c r="BR82" s="629"/>
      <c r="BS82" s="629"/>
      <c r="DK82" s="2479"/>
      <c r="DL82" s="234" t="str">
        <f>Commodities!$D$9</f>
        <v>TPCAL</v>
      </c>
      <c r="DM82" s="1682"/>
      <c r="DN82" s="1682">
        <f>$DM$79*M82</f>
        <v>2296.8710054984035</v>
      </c>
      <c r="DO82" s="234"/>
      <c r="DP82" s="605"/>
      <c r="DQ82" s="2494"/>
      <c r="DR82"/>
      <c r="DS82"/>
    </row>
    <row r="83" spans="1:123" s="542" customFormat="1">
      <c r="A83" s="545"/>
      <c r="B83" s="467" t="s">
        <v>604</v>
      </c>
      <c r="C83" s="543" t="str">
        <f>Processes!$D$7</f>
        <v>TPCAGSBL1E</v>
      </c>
      <c r="D83" s="543" t="str">
        <f>Processes!$E$7</f>
        <v>Transport Passengers Cars - Otto Engine - Blending 1 - Average size - Existing</v>
      </c>
      <c r="E83" s="754" t="str">
        <f>E59</f>
        <v>TRAGSBL1</v>
      </c>
      <c r="F83" s="754" t="str">
        <f>Commodities!$D$6</f>
        <v>TPCAX</v>
      </c>
      <c r="G83" s="754" t="s">
        <v>3603</v>
      </c>
      <c r="H83" s="2175">
        <v>1E-3</v>
      </c>
      <c r="I83" s="2471">
        <f>VLOOKUP(VLOOKUP($E83,$S$136:$T$141,2,0),$AH$64:$AI$71,MATCH(VALUE(RIGHT(I$5,4)),$AH$5:$AR$5,0),0)</f>
        <v>1.7189998335071497</v>
      </c>
      <c r="J83" s="1109">
        <f>VLOOKUP(VLOOKUP($E83,$S$136:$T$141,2,0),$AH$123:$AR$128,MATCH(VALUE(RIGHT(J$5,4)),$AH$5:$AR$5,0),0)</f>
        <v>211.5191783490703</v>
      </c>
      <c r="K83" s="1109">
        <f>VLOOKUP(VLOOKUP($E83,$S$136:$T$141,2,0),$AH$123:$AR$128,MATCH(VALUE(RIGHT(K$5,4)),$AH$5:$AR$5,0),0)</f>
        <v>216.72334595739218</v>
      </c>
      <c r="L83" s="1109">
        <f>VLOOKUP(VLOOKUP($E83,$S$136:$T$140,2,0),$AH$97:$AR$103,MATCH(VALUE(RIGHT(L$5,4)),$AH$5:$AR$5,0),0)</f>
        <v>12887.687483334254</v>
      </c>
      <c r="M83" s="12">
        <f>$AA$135</f>
        <v>3.7203861002108228E-2</v>
      </c>
      <c r="N83" s="604">
        <v>5</v>
      </c>
      <c r="O83" s="2175">
        <f t="shared" ref="O83:X83" si="43">VLOOKUP(VLOOKUP($E83,$S$136:$T$140,2,0),$AH$31:$AR$37,MATCH(VALUE(RIGHT(O$5,4)),$AH$5:$AR$5,0),0)</f>
        <v>740.995</v>
      </c>
      <c r="P83" s="2175">
        <f t="shared" si="43"/>
        <v>623.47400000000005</v>
      </c>
      <c r="Q83" s="2175">
        <f t="shared" si="43"/>
        <v>559.71299999999997</v>
      </c>
      <c r="R83" s="2175">
        <f t="shared" si="43"/>
        <v>379.16</v>
      </c>
      <c r="S83" s="2175">
        <f t="shared" si="43"/>
        <v>211.04499999999999</v>
      </c>
      <c r="T83" s="2175">
        <f t="shared" si="43"/>
        <v>89.527000000000001</v>
      </c>
      <c r="U83" s="2175">
        <f t="shared" si="43"/>
        <v>25.675000000000001</v>
      </c>
      <c r="V83" s="2175">
        <f t="shared" si="43"/>
        <v>4.3010000000000002</v>
      </c>
      <c r="W83" s="2175">
        <f t="shared" si="43"/>
        <v>0.35799999999999998</v>
      </c>
      <c r="X83" s="2175">
        <f t="shared" si="43"/>
        <v>1.2E-2</v>
      </c>
      <c r="Y83" s="467">
        <v>3.5E-4</v>
      </c>
      <c r="Z83" s="467"/>
      <c r="AA83" s="784">
        <f>H83*I83*L83*M83*O83</f>
        <v>610.73684535584812</v>
      </c>
      <c r="AB83" s="784"/>
      <c r="AC83" s="784"/>
      <c r="AD83" s="784"/>
      <c r="AE83" s="784"/>
      <c r="AF83" s="629"/>
      <c r="AG83" s="2437"/>
      <c r="AH83" s="612" t="s">
        <v>61</v>
      </c>
      <c r="AI83" s="637">
        <f>CA100</f>
        <v>21500.809182730438</v>
      </c>
      <c r="AJ83" s="625"/>
      <c r="AK83" s="625"/>
      <c r="AL83" s="625"/>
      <c r="AM83" s="625"/>
      <c r="AN83" s="625"/>
      <c r="AO83" s="625"/>
      <c r="AP83" s="625"/>
      <c r="AQ83" s="625"/>
      <c r="AR83" s="626"/>
      <c r="AS83" s="629"/>
      <c r="AY83" s="629"/>
      <c r="AZ83" s="629"/>
      <c r="BA83" s="629"/>
      <c r="BB83" s="629"/>
      <c r="BC83" s="629"/>
      <c r="BD83" s="629"/>
      <c r="BE83" s="629"/>
      <c r="BF83" s="629"/>
      <c r="BG83" s="629"/>
      <c r="BH83" s="629"/>
      <c r="BI83" s="629"/>
      <c r="BJ83" s="629"/>
      <c r="BK83" s="629"/>
      <c r="BL83" s="629"/>
      <c r="BM83" s="629"/>
      <c r="BN83" s="629"/>
      <c r="BO83" s="629"/>
      <c r="BP83" s="629"/>
      <c r="BQ83" s="629"/>
      <c r="BR83" s="629"/>
      <c r="BS83" s="629"/>
      <c r="DJ83" s="754"/>
      <c r="DK83" s="2479"/>
      <c r="DL83" s="234" t="str">
        <f>Commodities!$D$6</f>
        <v>TPCAX</v>
      </c>
      <c r="DM83" s="1682">
        <f>O83*L83*I83*H83</f>
        <v>16415.953315201335</v>
      </c>
      <c r="DN83" s="1682">
        <f>$DM$83*M83</f>
        <v>610.73684535584823</v>
      </c>
      <c r="DO83" s="234"/>
      <c r="DP83" s="605"/>
      <c r="DQ83" s="2494"/>
      <c r="DR83"/>
      <c r="DS83"/>
    </row>
    <row r="84" spans="1:123">
      <c r="A84"/>
      <c r="B84" s="467" t="s">
        <v>604</v>
      </c>
      <c r="C84" s="543"/>
      <c r="D84" s="543"/>
      <c r="E84" s="754"/>
      <c r="F84" s="754" t="str">
        <f>Commodities!$D$7</f>
        <v>TPCAS</v>
      </c>
      <c r="G84" s="754" t="s">
        <v>3603</v>
      </c>
      <c r="H84" s="1538"/>
      <c r="I84" s="2470"/>
      <c r="J84" s="1109">
        <f>VLOOKUP(VLOOKUP($E83,$S$136:$T$141,2,0),$AH$148:$AR$153,MATCH(VALUE(RIGHT(J$5,4)),$AH$5:$AR$5,0),0)</f>
        <v>266.99961857177726</v>
      </c>
      <c r="K84" s="1109">
        <f>VLOOKUP(VLOOKUP($E83,$S$136:$T$140,2,0),$AH$148:$AR$153,MATCH(VALUE(RIGHT(K$5,4)),$AH$5:$AR$5,0),0)</f>
        <v>273.56881374949506</v>
      </c>
      <c r="L84" s="467"/>
      <c r="M84" s="12">
        <f>$AA$136</f>
        <v>0.24033268430615196</v>
      </c>
      <c r="N84" s="604">
        <v>5</v>
      </c>
      <c r="O84" s="467"/>
      <c r="P84" s="467"/>
      <c r="Q84" s="467"/>
      <c r="R84" s="467"/>
      <c r="S84" s="467"/>
      <c r="T84" s="467"/>
      <c r="U84" s="467"/>
      <c r="V84" s="467"/>
      <c r="W84" s="467"/>
      <c r="X84" s="467"/>
      <c r="Y84" s="2019"/>
      <c r="Z84" s="2019"/>
      <c r="AA84" s="784">
        <f>H83*I83*L83*M84*O83</f>
        <v>3945.2901256868108</v>
      </c>
      <c r="AB84" s="784"/>
      <c r="AC84" s="784"/>
      <c r="AD84" s="784"/>
      <c r="AE84" s="784"/>
      <c r="AF84" s="629"/>
      <c r="AG84" s="2437"/>
      <c r="AH84" s="612" t="s">
        <v>51</v>
      </c>
      <c r="AI84" s="860">
        <v>18000</v>
      </c>
      <c r="AJ84" s="625"/>
      <c r="AK84" s="625"/>
      <c r="AL84" s="625"/>
      <c r="AM84" s="625"/>
      <c r="AN84" s="625"/>
      <c r="AO84" s="625"/>
      <c r="AP84" s="625"/>
      <c r="AQ84" s="625"/>
      <c r="AR84" s="626"/>
      <c r="AS84" s="629"/>
      <c r="AY84" s="629"/>
      <c r="AZ84" s="629"/>
      <c r="BA84" s="629"/>
      <c r="BB84" s="629"/>
      <c r="BC84" s="629"/>
      <c r="BD84" s="629"/>
      <c r="BE84" s="629"/>
      <c r="BF84" s="629"/>
      <c r="BG84" s="629"/>
      <c r="BH84" s="629"/>
      <c r="BI84" s="629"/>
      <c r="BJ84" s="629"/>
      <c r="BK84" s="629"/>
      <c r="BL84" s="629"/>
      <c r="BM84" s="629"/>
      <c r="BN84" s="629"/>
      <c r="BO84" s="629"/>
      <c r="BP84" s="629"/>
      <c r="BQ84" s="629"/>
      <c r="BR84" s="629"/>
      <c r="BS84" s="629"/>
      <c r="DK84" s="2479"/>
      <c r="DL84" s="234" t="str">
        <f>Commodities!$D$7</f>
        <v>TPCAS</v>
      </c>
      <c r="DM84" s="1682">
        <f>O84*L84*I84*H84</f>
        <v>0</v>
      </c>
      <c r="DN84" s="1682">
        <f>$DM$83*M84</f>
        <v>3945.2901256868113</v>
      </c>
      <c r="DO84" s="234"/>
      <c r="DP84" s="605"/>
      <c r="DQ84" s="2494"/>
      <c r="DR84" s="754"/>
    </row>
    <row r="85" spans="1:123">
      <c r="A85"/>
      <c r="B85" s="467" t="s">
        <v>604</v>
      </c>
      <c r="C85" s="543"/>
      <c r="D85" s="543"/>
      <c r="E85" s="754"/>
      <c r="F85" s="754" t="str">
        <f>Commodities!$D$8</f>
        <v>TPCAM</v>
      </c>
      <c r="G85" s="754" t="s">
        <v>3603</v>
      </c>
      <c r="H85" s="1538"/>
      <c r="I85" s="2470"/>
      <c r="J85" s="1109">
        <f>VLOOKUP(VLOOKUP($E83,$S$135:$T$141,2,0),$AH$173:$AR$178,MATCH(VALUE(RIGHT(J$5,4)),$AH$5:$AR$5,0),0)</f>
        <v>346.75275139191854</v>
      </c>
      <c r="K85" s="1109">
        <f>VLOOKUP(VLOOKUP($E83,$S$136:$T$140,2,0),$AH$173:$AR$178,MATCH(VALUE(RIGHT(K$5,4)),$AH$5:$AR$5,0),0)</f>
        <v>355.28417370064295</v>
      </c>
      <c r="L85" s="467"/>
      <c r="M85" s="277">
        <f>$AA$137</f>
        <v>0.2413528357504183</v>
      </c>
      <c r="N85" s="604">
        <v>5</v>
      </c>
      <c r="O85" s="467"/>
      <c r="P85" s="467"/>
      <c r="Q85" s="467"/>
      <c r="R85" s="467"/>
      <c r="S85" s="467"/>
      <c r="T85" s="467"/>
      <c r="U85" s="467"/>
      <c r="V85" s="467"/>
      <c r="W85" s="467"/>
      <c r="X85" s="467"/>
      <c r="Y85" s="2019"/>
      <c r="Z85" s="2019"/>
      <c r="AA85" s="784">
        <f>H83*I83*L83*M85*O83</f>
        <v>3962.0368841703225</v>
      </c>
      <c r="AB85" s="784"/>
      <c r="AC85" s="784"/>
      <c r="AD85" s="784"/>
      <c r="AE85" s="784"/>
      <c r="AF85" s="629"/>
      <c r="AG85" s="2437"/>
      <c r="AH85" s="612" t="s">
        <v>577</v>
      </c>
      <c r="AI85" s="860">
        <v>18000</v>
      </c>
      <c r="AJ85" s="625"/>
      <c r="AK85" s="625"/>
      <c r="AL85" s="625"/>
      <c r="AM85" s="625"/>
      <c r="AN85" s="625"/>
      <c r="AO85" s="625"/>
      <c r="AP85" s="625"/>
      <c r="AQ85" s="625"/>
      <c r="AR85" s="626"/>
      <c r="AS85" s="629"/>
      <c r="AY85" s="629"/>
      <c r="AZ85" s="629"/>
      <c r="BA85" s="629"/>
      <c r="BB85" s="629"/>
      <c r="BC85" s="629"/>
      <c r="BD85" s="629"/>
      <c r="BE85" s="629"/>
      <c r="BF85" s="629"/>
      <c r="BG85" s="629"/>
      <c r="BH85" s="629"/>
      <c r="BI85" s="629"/>
      <c r="BJ85" s="629"/>
      <c r="BK85" s="629"/>
      <c r="BL85" s="629"/>
      <c r="BM85" s="629"/>
      <c r="BN85" s="629"/>
      <c r="BO85" s="629"/>
      <c r="BP85" s="629"/>
      <c r="BQ85" s="629"/>
      <c r="BR85" s="629"/>
      <c r="BS85" s="629"/>
      <c r="DK85" s="2479"/>
      <c r="DL85" s="234" t="str">
        <f>Commodities!$D8</f>
        <v>TPCAM</v>
      </c>
      <c r="DM85" s="1682">
        <f>O85*L85*I85*H85</f>
        <v>0</v>
      </c>
      <c r="DN85" s="1682">
        <f>$DM$83*M85</f>
        <v>3962.0368841703225</v>
      </c>
      <c r="DO85" s="234"/>
      <c r="DP85" s="605"/>
      <c r="DQ85" s="2494"/>
      <c r="DR85" s="542"/>
      <c r="DS85" s="754"/>
    </row>
    <row r="86" spans="1:123" s="754" customFormat="1">
      <c r="B86" s="467" t="s">
        <v>604</v>
      </c>
      <c r="C86" s="543"/>
      <c r="D86" s="543"/>
      <c r="F86" s="754" t="str">
        <f>Commodities!$D$9</f>
        <v>TPCAL</v>
      </c>
      <c r="G86" s="754" t="s">
        <v>3603</v>
      </c>
      <c r="H86" s="1538"/>
      <c r="I86" s="2470"/>
      <c r="J86" s="1109">
        <f>VLOOKUP(VLOOKUP($E83,$S$136:$T$141,2,0),$AH$198:$AR$203,MATCH(VALUE(RIGHT(J$5,4)),$AH$5:$AR$5,0),0)</f>
        <v>385.02617344706078</v>
      </c>
      <c r="K86" s="1109">
        <f>VLOOKUP(VLOOKUP($E83,$S$136:$T$140,2,0),$AH$198:$AR$203,MATCH(VALUE(RIGHT(K$5,4)),$AH$5:$AR$5,0),0)</f>
        <v>394.499265938478</v>
      </c>
      <c r="L86" s="467"/>
      <c r="M86" s="277">
        <f>$AA$138</f>
        <v>0.4811106189413214</v>
      </c>
      <c r="N86" s="604">
        <v>5</v>
      </c>
      <c r="O86" s="467"/>
      <c r="P86" s="467"/>
      <c r="Q86" s="467"/>
      <c r="R86" s="467"/>
      <c r="S86" s="467"/>
      <c r="T86" s="467"/>
      <c r="U86" s="467"/>
      <c r="V86" s="467"/>
      <c r="W86" s="467"/>
      <c r="X86" s="467"/>
      <c r="Y86" s="2019"/>
      <c r="Z86" s="2019"/>
      <c r="AA86" s="784">
        <f>H83*I83*L83*M86*O83</f>
        <v>7897.8894599883515</v>
      </c>
      <c r="AB86" s="784"/>
      <c r="AC86" s="784"/>
      <c r="AD86" s="784"/>
      <c r="AE86" s="784"/>
      <c r="AF86" s="629"/>
      <c r="AG86" s="2437"/>
      <c r="AH86" s="612"/>
      <c r="AI86" s="860"/>
      <c r="AJ86" s="625"/>
      <c r="AK86" s="625"/>
      <c r="AL86" s="625"/>
      <c r="AM86" s="625"/>
      <c r="AN86" s="625"/>
      <c r="AO86" s="625"/>
      <c r="AP86" s="625"/>
      <c r="AQ86" s="625"/>
      <c r="AR86" s="626"/>
      <c r="AS86" s="629"/>
      <c r="AY86" s="629"/>
      <c r="AZ86" s="629"/>
      <c r="BA86" s="629"/>
      <c r="BB86" s="629"/>
      <c r="BC86" s="629"/>
      <c r="BD86" s="629"/>
      <c r="BE86" s="629"/>
      <c r="BF86" s="629"/>
      <c r="BG86" s="629"/>
      <c r="BH86" s="629"/>
      <c r="BI86" s="629"/>
      <c r="BJ86" s="629"/>
      <c r="BK86" s="629"/>
      <c r="BL86" s="629"/>
      <c r="BM86" s="629"/>
      <c r="BN86" s="629"/>
      <c r="BO86" s="629"/>
      <c r="BP86" s="629"/>
      <c r="BQ86" s="629"/>
      <c r="BR86" s="629"/>
      <c r="BS86" s="629"/>
      <c r="DK86" s="2479"/>
      <c r="DL86" s="234" t="str">
        <f>Commodities!$D9</f>
        <v>TPCAL</v>
      </c>
      <c r="DM86" s="1682"/>
      <c r="DN86" s="1682">
        <f>$DM$83*M86</f>
        <v>7897.8894599883515</v>
      </c>
      <c r="DO86" s="234"/>
      <c r="DP86" s="605"/>
      <c r="DQ86" s="2494"/>
      <c r="DR86"/>
      <c r="DS86" s="542"/>
    </row>
    <row r="87" spans="1:123">
      <c r="A87"/>
      <c r="B87" s="467" t="s">
        <v>604</v>
      </c>
      <c r="C87" s="543" t="str">
        <f>Processes!$D$8</f>
        <v>TPCALPGX1E</v>
      </c>
      <c r="D87" s="543" t="str">
        <f>Processes!$E$8</f>
        <v>Transport Passengers Cars - LPG - Average size - Existing</v>
      </c>
      <c r="E87" s="754" t="str">
        <f>E63</f>
        <v>TRALPG</v>
      </c>
      <c r="F87" s="754" t="str">
        <f>Commodities!$D$6</f>
        <v>TPCAX</v>
      </c>
      <c r="G87" s="754" t="s">
        <v>3603</v>
      </c>
      <c r="H87" s="2175">
        <v>1E-3</v>
      </c>
      <c r="I87" s="2471">
        <f>VLOOKUP(VLOOKUP($E87,$S$136:$T$141,2,0),$AH$64:$AI$71,MATCH(VALUE(RIGHT(I$5,4)),$AH$5:$AR$5,0),0)</f>
        <v>1.7189998335071497</v>
      </c>
      <c r="J87" s="1109">
        <f>VLOOKUP(VLOOKUP($E87,$S$136:$T$141,2,0),$AH$123:$AR$128,MATCH(VALUE(RIGHT(J$5,4)),$AH$5:$AR$5,0),0)</f>
        <v>211.5191783490703</v>
      </c>
      <c r="K87" s="1109">
        <f>VLOOKUP(VLOOKUP($E87,$S$136:$T$141,2,0),$AH$123:$AR$128,MATCH(VALUE(RIGHT(K$5,4)),$AH$5:$AR$5,0),0)</f>
        <v>216.72334595739218</v>
      </c>
      <c r="L87" s="1109">
        <f>VLOOKUP(VLOOKUP($E87,$S$136:$T$140,2,0),$AH$97:$AR$103,MATCH(VALUE(RIGHT(L$5,4)),$AH$5:$AR$5,0),0)</f>
        <v>18000</v>
      </c>
      <c r="M87" s="12">
        <f>$AA$135</f>
        <v>3.7203861002108228E-2</v>
      </c>
      <c r="N87" s="604">
        <v>5</v>
      </c>
      <c r="O87" s="2175">
        <f t="shared" ref="O87:X87" si="44">VLOOKUP(VLOOKUP($E87,$S$136:$T$140,2,0),$AH$31:$AR$37,MATCH(VALUE(RIGHT(O$5,4)),$AH$5:$AR$5,0),0)</f>
        <v>0</v>
      </c>
      <c r="P87" s="2175">
        <f t="shared" si="44"/>
        <v>0</v>
      </c>
      <c r="Q87" s="2175">
        <f t="shared" si="44"/>
        <v>0</v>
      </c>
      <c r="R87" s="2175">
        <f t="shared" si="44"/>
        <v>0</v>
      </c>
      <c r="S87" s="2175">
        <f t="shared" si="44"/>
        <v>0</v>
      </c>
      <c r="T87" s="2175">
        <f t="shared" si="44"/>
        <v>0</v>
      </c>
      <c r="U87" s="2175">
        <f t="shared" si="44"/>
        <v>0</v>
      </c>
      <c r="V87" s="2175">
        <f t="shared" si="44"/>
        <v>0</v>
      </c>
      <c r="W87" s="2175">
        <f t="shared" si="44"/>
        <v>0</v>
      </c>
      <c r="X87" s="2175">
        <f t="shared" si="44"/>
        <v>0</v>
      </c>
      <c r="Y87" s="765">
        <v>3.5E-4</v>
      </c>
      <c r="Z87" s="765"/>
      <c r="AA87" s="784">
        <f>H87*I87*L87*M87*O87</f>
        <v>0</v>
      </c>
      <c r="AB87" s="784"/>
      <c r="AC87" s="784"/>
      <c r="AD87" s="784"/>
      <c r="AE87" s="784"/>
      <c r="AF87" s="629"/>
      <c r="AG87" s="2437"/>
      <c r="AH87" s="612" t="s">
        <v>49</v>
      </c>
      <c r="AI87" s="860">
        <v>14000</v>
      </c>
      <c r="AJ87" s="625"/>
      <c r="AK87" s="625"/>
      <c r="AL87" s="625"/>
      <c r="AM87" s="625"/>
      <c r="AN87" s="625"/>
      <c r="AO87" s="625"/>
      <c r="AP87" s="625"/>
      <c r="AQ87" s="625"/>
      <c r="AR87" s="626"/>
      <c r="AS87" s="629"/>
      <c r="AY87" s="629"/>
      <c r="AZ87" s="629"/>
      <c r="BA87" s="629"/>
      <c r="BB87" s="629"/>
      <c r="BC87" s="629"/>
      <c r="BD87" s="629"/>
      <c r="BE87" s="629"/>
      <c r="BF87" s="629"/>
      <c r="BG87" s="629"/>
      <c r="BH87" s="629"/>
      <c r="BI87" s="629"/>
      <c r="BJ87" s="629"/>
      <c r="BK87" s="629"/>
      <c r="BL87" s="629"/>
      <c r="BM87" s="629"/>
      <c r="BN87" s="629"/>
      <c r="BO87" s="629"/>
      <c r="BP87" s="629"/>
      <c r="BQ87" s="629"/>
      <c r="BR87" s="629"/>
      <c r="BS87" s="629"/>
      <c r="DK87" s="308"/>
      <c r="DL87" s="234" t="str">
        <f>Commodities!$D$6</f>
        <v>TPCAX</v>
      </c>
      <c r="DM87" s="1682">
        <f>O87*L87*I87*H87</f>
        <v>0</v>
      </c>
      <c r="DN87" s="1682">
        <f>$DM$87*M87</f>
        <v>0</v>
      </c>
      <c r="DO87" s="234"/>
      <c r="DP87" s="605"/>
      <c r="DQ87" s="2494"/>
    </row>
    <row r="88" spans="1:123">
      <c r="A88"/>
      <c r="B88" s="467" t="s">
        <v>604</v>
      </c>
      <c r="C88" s="542"/>
      <c r="D88" s="542"/>
      <c r="E88" s="754"/>
      <c r="F88" s="754" t="str">
        <f>Commodities!$D$7</f>
        <v>TPCAS</v>
      </c>
      <c r="G88" s="754" t="s">
        <v>3603</v>
      </c>
      <c r="H88" s="2347"/>
      <c r="I88" s="2470"/>
      <c r="J88" s="1109">
        <f>VLOOKUP(VLOOKUP($E87,$S$136:$T$141,2,0),$AH$148:$AR$153,MATCH(VALUE(RIGHT(J$5,4)),$AH$5:$AR$5,0),0)</f>
        <v>266.99961857177726</v>
      </c>
      <c r="K88" s="1109">
        <f>VLOOKUP(VLOOKUP($E87,$S$136:$T$140,2,0),$AH$148:$AR$153,MATCH(VALUE(RIGHT(K$5,4)),$AH$5:$AR$5,0),0)</f>
        <v>273.56881374949506</v>
      </c>
      <c r="L88" s="467"/>
      <c r="M88" s="12">
        <f>$AA$136</f>
        <v>0.24033268430615196</v>
      </c>
      <c r="N88" s="604">
        <v>5</v>
      </c>
      <c r="O88" s="467"/>
      <c r="P88" s="765"/>
      <c r="Q88" s="765"/>
      <c r="R88" s="765"/>
      <c r="S88" s="765"/>
      <c r="T88" s="765"/>
      <c r="U88" s="765"/>
      <c r="V88" s="765"/>
      <c r="W88" s="765"/>
      <c r="X88" s="765"/>
      <c r="Y88" s="765"/>
      <c r="Z88" s="765"/>
      <c r="AA88" s="784">
        <f>H87*I87*L87*M88*O87</f>
        <v>0</v>
      </c>
      <c r="AB88" s="784"/>
      <c r="AC88" s="784"/>
      <c r="AD88" s="784"/>
      <c r="AE88" s="784"/>
      <c r="AF88" s="629"/>
      <c r="AG88" s="2455"/>
      <c r="AH88" s="467" t="s">
        <v>607</v>
      </c>
      <c r="AI88" s="861">
        <f>AI81</f>
        <v>12887.702905772145</v>
      </c>
      <c r="AJ88" s="23"/>
      <c r="AK88" s="23"/>
      <c r="AL88" s="23"/>
      <c r="AM88" s="23"/>
      <c r="AN88" s="23"/>
      <c r="AO88" s="23"/>
      <c r="AP88" s="23"/>
      <c r="AQ88" s="23"/>
      <c r="AR88" s="426"/>
      <c r="AS88" s="629"/>
      <c r="AY88" s="629"/>
      <c r="AZ88" s="629"/>
      <c r="BA88" s="629"/>
      <c r="BB88" s="629"/>
      <c r="BC88" s="629"/>
      <c r="BD88" s="629"/>
      <c r="BE88" s="629"/>
      <c r="BF88" s="629"/>
      <c r="BG88" s="629"/>
      <c r="BH88" s="629"/>
      <c r="BI88" s="629"/>
      <c r="BJ88" s="629"/>
      <c r="BK88" s="629"/>
      <c r="BL88" s="629"/>
      <c r="BM88" s="629"/>
      <c r="BN88" s="629"/>
      <c r="BO88" s="629"/>
      <c r="BP88" s="629"/>
      <c r="BQ88" s="629"/>
      <c r="BR88" s="629"/>
      <c r="BS88" s="629"/>
      <c r="DK88" s="2479"/>
      <c r="DL88" s="234" t="str">
        <f>Commodities!$D$7</f>
        <v>TPCAS</v>
      </c>
      <c r="DM88" s="1682">
        <f>O88*L88*I88*H88</f>
        <v>0</v>
      </c>
      <c r="DN88" s="1682">
        <f>$DM$87*M88</f>
        <v>0</v>
      </c>
      <c r="DO88" s="234"/>
      <c r="DP88" s="605"/>
      <c r="DQ88" s="2494"/>
      <c r="DR88" s="754"/>
    </row>
    <row r="89" spans="1:123" ht="19.2">
      <c r="A89"/>
      <c r="B89" s="467" t="s">
        <v>604</v>
      </c>
      <c r="C89" s="542"/>
      <c r="D89" s="542"/>
      <c r="E89" s="754"/>
      <c r="F89" s="754" t="str">
        <f>Commodities!$D$8</f>
        <v>TPCAM</v>
      </c>
      <c r="G89" s="754" t="s">
        <v>3603</v>
      </c>
      <c r="H89" s="2347"/>
      <c r="I89" s="2470"/>
      <c r="J89" s="1109">
        <f>VLOOKUP(VLOOKUP($E87,$S$135:$T$141,2,0),$AH$173:$AR$178,MATCH(VALUE(RIGHT(J$5,4)),$AH$5:$AR$5,0),0)</f>
        <v>346.75275139191854</v>
      </c>
      <c r="K89" s="1109">
        <f>VLOOKUP(VLOOKUP($E87,$S$136:$T$140,2,0),$AH$173:$AR$178,MATCH(VALUE(RIGHT(K$5,4)),$AH$5:$AR$5,0),0)</f>
        <v>355.28417370064295</v>
      </c>
      <c r="L89" s="467"/>
      <c r="M89" s="277">
        <f>$AA$137</f>
        <v>0.2413528357504183</v>
      </c>
      <c r="N89" s="604">
        <v>5</v>
      </c>
      <c r="O89" s="467"/>
      <c r="P89" s="765"/>
      <c r="Q89" s="765"/>
      <c r="R89" s="765"/>
      <c r="S89" s="765"/>
      <c r="T89" s="765"/>
      <c r="U89" s="765"/>
      <c r="V89" s="765"/>
      <c r="W89" s="765"/>
      <c r="X89" s="765"/>
      <c r="Y89" s="765"/>
      <c r="Z89" s="765"/>
      <c r="AA89" s="784">
        <f>H87*I87*L87*M89*O87</f>
        <v>0</v>
      </c>
      <c r="AB89" s="784"/>
      <c r="AC89" s="784"/>
      <c r="AD89" s="784"/>
      <c r="AE89" s="784"/>
      <c r="AF89" s="629"/>
      <c r="AG89" s="2436" t="s">
        <v>603</v>
      </c>
      <c r="AH89" s="611" t="s">
        <v>184</v>
      </c>
      <c r="AI89" s="857">
        <f>CB101</f>
        <v>12887.681364693466</v>
      </c>
      <c r="AJ89" s="623"/>
      <c r="AK89" s="623"/>
      <c r="AL89" s="623"/>
      <c r="AM89" s="623"/>
      <c r="AN89" s="623"/>
      <c r="AO89" s="623"/>
      <c r="AP89" s="623"/>
      <c r="AQ89" s="623"/>
      <c r="AR89" s="624"/>
      <c r="AS89" s="629"/>
      <c r="AY89" s="629"/>
      <c r="AZ89" s="629"/>
      <c r="BA89" s="629"/>
      <c r="BB89" s="629"/>
      <c r="BC89" s="629"/>
      <c r="BD89" s="629"/>
      <c r="BE89" s="629"/>
      <c r="BF89" s="629"/>
      <c r="BG89" s="629"/>
      <c r="BH89" s="629"/>
      <c r="BI89" s="629"/>
      <c r="BJ89" s="629"/>
      <c r="BK89" s="629"/>
      <c r="BL89" s="629"/>
      <c r="BM89" s="629"/>
      <c r="BN89" s="629"/>
      <c r="BO89" s="629"/>
      <c r="BP89" s="629"/>
      <c r="BQ89" s="629"/>
      <c r="BR89" s="629"/>
      <c r="BS89" s="629"/>
      <c r="DK89" s="2479"/>
      <c r="DL89" s="234" t="str">
        <f>Commodities!$D8</f>
        <v>TPCAM</v>
      </c>
      <c r="DM89" s="1682">
        <f>O89*L89*I89*H89</f>
        <v>0</v>
      </c>
      <c r="DN89" s="1682">
        <f>$DM$87*M89</f>
        <v>0</v>
      </c>
      <c r="DO89" s="234"/>
      <c r="DP89" s="605"/>
      <c r="DQ89" s="2494"/>
      <c r="DS89" s="754"/>
    </row>
    <row r="90" spans="1:123" s="754" customFormat="1">
      <c r="B90" s="467" t="s">
        <v>604</v>
      </c>
      <c r="F90" s="754" t="str">
        <f>Commodities!$D$9</f>
        <v>TPCAL</v>
      </c>
      <c r="G90" s="754" t="s">
        <v>3603</v>
      </c>
      <c r="H90" s="2347"/>
      <c r="I90" s="2470"/>
      <c r="J90" s="1109">
        <f>VLOOKUP(VLOOKUP($E87,$S$136:$T$141,2,0),$AH$198:$AR$203,MATCH(VALUE(RIGHT(J$5,4)),$AH$5:$AR$5,0),0)</f>
        <v>385.02617344706078</v>
      </c>
      <c r="K90" s="1109">
        <f>VLOOKUP(VLOOKUP($E87,$S$136:$T$140,2,0),$AH$198:$AR$203,MATCH(VALUE(RIGHT(K$5,4)),$AH$5:$AR$5,0),0)</f>
        <v>394.499265938478</v>
      </c>
      <c r="L90" s="467"/>
      <c r="M90" s="277">
        <f>$AA$138</f>
        <v>0.4811106189413214</v>
      </c>
      <c r="N90" s="604">
        <v>5</v>
      </c>
      <c r="O90" s="467"/>
      <c r="P90" s="765"/>
      <c r="Q90" s="765"/>
      <c r="R90" s="765"/>
      <c r="S90" s="765"/>
      <c r="T90" s="765"/>
      <c r="U90" s="765"/>
      <c r="V90" s="765"/>
      <c r="W90" s="765"/>
      <c r="X90" s="765"/>
      <c r="Y90" s="765"/>
      <c r="Z90" s="765"/>
      <c r="AA90" s="784">
        <f>H87*I87*L87*M90*O87</f>
        <v>0</v>
      </c>
      <c r="AB90" s="784"/>
      <c r="AC90" s="784"/>
      <c r="AD90" s="784"/>
      <c r="AE90" s="784"/>
      <c r="AF90" s="629"/>
      <c r="AG90" s="2437"/>
      <c r="AH90" s="612"/>
      <c r="AI90" s="2003"/>
      <c r="AJ90" s="625"/>
      <c r="AK90" s="625"/>
      <c r="AL90" s="625"/>
      <c r="AM90" s="625"/>
      <c r="AN90" s="625"/>
      <c r="AO90" s="625"/>
      <c r="AP90" s="625"/>
      <c r="AQ90" s="625"/>
      <c r="AR90" s="626"/>
      <c r="AS90" s="629"/>
      <c r="AY90" s="629"/>
      <c r="AZ90" s="629"/>
      <c r="BA90" s="629"/>
      <c r="BB90" s="629"/>
      <c r="BC90" s="629"/>
      <c r="BD90" s="629"/>
      <c r="BE90" s="629"/>
      <c r="BF90" s="629"/>
      <c r="BG90" s="629"/>
      <c r="BH90" s="629"/>
      <c r="BI90" s="629"/>
      <c r="BJ90" s="629"/>
      <c r="BK90" s="629"/>
      <c r="BL90" s="629"/>
      <c r="BM90" s="629"/>
      <c r="BN90" s="629"/>
      <c r="BO90" s="629"/>
      <c r="BP90" s="629"/>
      <c r="BQ90" s="629"/>
      <c r="BR90" s="629"/>
      <c r="BS90" s="629"/>
      <c r="DK90" s="2479"/>
      <c r="DL90" s="234" t="str">
        <f>Commodities!$D9</f>
        <v>TPCAL</v>
      </c>
      <c r="DM90" s="1682"/>
      <c r="DN90" s="1682">
        <f>$DM$87*M90</f>
        <v>0</v>
      </c>
      <c r="DO90" s="234"/>
      <c r="DP90" s="605"/>
      <c r="DQ90" s="2494"/>
      <c r="DR90"/>
      <c r="DS90"/>
    </row>
    <row r="91" spans="1:123">
      <c r="A91"/>
      <c r="B91" s="467" t="s">
        <v>604</v>
      </c>
      <c r="C91" s="542" t="str">
        <f>Processes!$D$9</f>
        <v>TPCANGBL1E</v>
      </c>
      <c r="D91" s="542" t="str">
        <f>Processes!$E$9</f>
        <v>Transport Passengers Cars - Gas Engine - Blending 1 - Average size - Existing</v>
      </c>
      <c r="E91" s="754" t="str">
        <f>E67</f>
        <v>TRANGBL1</v>
      </c>
      <c r="F91" s="754" t="str">
        <f>Commodities!$D$6</f>
        <v>TPCAX</v>
      </c>
      <c r="G91" s="754" t="s">
        <v>3603</v>
      </c>
      <c r="H91" s="610">
        <v>1E-3</v>
      </c>
      <c r="I91" s="2471">
        <f>VLOOKUP(VLOOKUP($E91,$S$136:$T$141,2,0),$AH$64:$AI$71,MATCH(VALUE(RIGHT(I$5,4)),$AH$5:$AR$5,0),0)</f>
        <v>1.7189998335071497</v>
      </c>
      <c r="J91" s="1109">
        <f>VLOOKUP(VLOOKUP($E91,$S$136:$T$141,2,0),$AH$123:$AR$128,MATCH(VALUE(RIGHT(J$5,4)),$AH$5:$AR$5,0),0)</f>
        <v>211.5191783490703</v>
      </c>
      <c r="K91" s="1109">
        <f>VLOOKUP(VLOOKUP($E91,$S$136:$T$141,2,0),$AH$123:$AR$128,MATCH(VALUE(RIGHT(K$5,4)),$AH$5:$AR$5,0),0)</f>
        <v>216.72334595739218</v>
      </c>
      <c r="L91" s="1109">
        <f>VLOOKUP(VLOOKUP($E91,$S$136:$T$140,2,0),$AH$97:$AR$103,MATCH(VALUE(RIGHT(L$5,4)),$AH$5:$AR$5,0),0)</f>
        <v>18000</v>
      </c>
      <c r="M91" s="12">
        <f>$AA$135</f>
        <v>3.7203861002108228E-2</v>
      </c>
      <c r="N91" s="604">
        <v>5</v>
      </c>
      <c r="O91" s="2175">
        <f t="shared" ref="O91:X91" si="45">VLOOKUP(VLOOKUP($E91,$S$136:$T$140,2,0),$AH$31:$AR$37,MATCH(VALUE(RIGHT(O$5,4)),$AH$5:$AR$5,0),0)</f>
        <v>5.3179999999999996</v>
      </c>
      <c r="P91" s="2175">
        <f t="shared" si="45"/>
        <v>7.4349999999999996</v>
      </c>
      <c r="Q91" s="2175">
        <f t="shared" si="45"/>
        <v>7.7119999999999997</v>
      </c>
      <c r="R91" s="2175">
        <f t="shared" si="45"/>
        <v>5.2240000000000002</v>
      </c>
      <c r="S91" s="2175">
        <f t="shared" si="45"/>
        <v>2.9079999999999999</v>
      </c>
      <c r="T91" s="2175">
        <f t="shared" si="45"/>
        <v>1.234</v>
      </c>
      <c r="U91" s="2175">
        <f t="shared" si="45"/>
        <v>0.35399999999999998</v>
      </c>
      <c r="V91" s="2175">
        <f t="shared" si="45"/>
        <v>5.8999999999999997E-2</v>
      </c>
      <c r="W91" s="2175">
        <f t="shared" si="45"/>
        <v>5.0000000000000001E-3</v>
      </c>
      <c r="X91" s="2175">
        <f t="shared" si="45"/>
        <v>0</v>
      </c>
      <c r="Y91" s="765">
        <v>3.5E-4</v>
      </c>
      <c r="Z91" s="765"/>
      <c r="AA91" s="784">
        <f>H91*I91*L91*M91*O91</f>
        <v>6.1218782164512371</v>
      </c>
      <c r="AB91" s="784"/>
      <c r="AC91" s="784"/>
      <c r="AD91" s="784"/>
      <c r="AE91" s="784"/>
      <c r="AF91" s="629"/>
      <c r="AG91" s="2437"/>
      <c r="AH91" s="612" t="s">
        <v>61</v>
      </c>
      <c r="AI91" s="637">
        <f>CB100</f>
        <v>21500.868112010729</v>
      </c>
      <c r="AJ91" s="625"/>
      <c r="AK91" s="625"/>
      <c r="AL91" s="625"/>
      <c r="AM91" s="625"/>
      <c r="AN91" s="625"/>
      <c r="AO91" s="625"/>
      <c r="AP91" s="625"/>
      <c r="AQ91" s="625"/>
      <c r="AR91" s="626"/>
      <c r="AS91" s="629"/>
      <c r="AW91" s="765"/>
      <c r="AY91" s="629"/>
      <c r="AZ91" s="629"/>
      <c r="BA91" s="629"/>
      <c r="BB91" s="629"/>
      <c r="BC91" s="629"/>
      <c r="BD91" s="629"/>
      <c r="BE91" s="629"/>
      <c r="BF91" s="629"/>
      <c r="BG91" s="629"/>
      <c r="BH91" s="629"/>
      <c r="BI91" s="629"/>
      <c r="BJ91" s="629"/>
      <c r="BK91" s="629"/>
      <c r="BL91" s="629"/>
      <c r="BM91" s="629"/>
      <c r="BN91" s="629"/>
      <c r="BO91" s="629"/>
      <c r="BP91" s="629"/>
      <c r="BQ91" s="629"/>
      <c r="BR91" s="629"/>
      <c r="BS91" s="629"/>
      <c r="DK91" s="2479"/>
      <c r="DL91" s="234" t="str">
        <f>Commodities!$D$6</f>
        <v>TPCAX</v>
      </c>
      <c r="DM91" s="1682">
        <f>O91*L91*I91*H91</f>
        <v>164.54954006263841</v>
      </c>
      <c r="DN91" s="1682">
        <f>$DM$91*M91</f>
        <v>6.1218782164512389</v>
      </c>
      <c r="DO91" s="234"/>
      <c r="DP91" s="605"/>
      <c r="DQ91" s="2494"/>
    </row>
    <row r="92" spans="1:123">
      <c r="A92"/>
      <c r="B92" s="467" t="s">
        <v>604</v>
      </c>
      <c r="C92" s="542"/>
      <c r="D92" s="542"/>
      <c r="E92" s="754"/>
      <c r="F92" s="754" t="str">
        <f>Commodities!$D$7</f>
        <v>TPCAS</v>
      </c>
      <c r="G92" s="754" t="s">
        <v>3603</v>
      </c>
      <c r="H92" s="2347"/>
      <c r="I92" s="2470"/>
      <c r="J92" s="1109">
        <f>VLOOKUP(VLOOKUP($E91,$S$136:$T$141,2,0),$AH$148:$AR$153,MATCH(VALUE(RIGHT(J$5,4)),$AH$5:$AR$5,0),0)</f>
        <v>266.99961857177726</v>
      </c>
      <c r="K92" s="1109">
        <f>VLOOKUP(VLOOKUP($E91,$S$136:$T$140,2,0),$AH$148:$AR$153,MATCH(VALUE(RIGHT(K$5,4)),$AH$5:$AR$5,0),0)</f>
        <v>273.56881374949506</v>
      </c>
      <c r="L92" s="467"/>
      <c r="M92" s="12">
        <f>$AA$136</f>
        <v>0.24033268430615196</v>
      </c>
      <c r="N92" s="604">
        <v>5</v>
      </c>
      <c r="O92" s="467"/>
      <c r="P92" s="765"/>
      <c r="Q92" s="765"/>
      <c r="R92" s="765"/>
      <c r="S92" s="765"/>
      <c r="T92" s="765"/>
      <c r="U92" s="765"/>
      <c r="V92" s="765"/>
      <c r="W92" s="765"/>
      <c r="X92" s="765"/>
      <c r="Y92" s="765"/>
      <c r="Z92" s="765"/>
      <c r="AA92" s="784">
        <f>H91*I91*L91*M92*O91</f>
        <v>39.546632664596572</v>
      </c>
      <c r="AB92" s="784"/>
      <c r="AC92" s="784"/>
      <c r="AD92" s="784"/>
      <c r="AE92" s="784"/>
      <c r="AF92" s="629"/>
      <c r="AG92" s="2437"/>
      <c r="AH92" s="612" t="s">
        <v>51</v>
      </c>
      <c r="AI92" s="860">
        <v>18000</v>
      </c>
      <c r="AJ92" s="625"/>
      <c r="AK92" s="625"/>
      <c r="AL92" s="625"/>
      <c r="AM92" s="625"/>
      <c r="AN92" s="625"/>
      <c r="AO92" s="625"/>
      <c r="AP92" s="625"/>
      <c r="AQ92" s="625"/>
      <c r="AR92" s="626"/>
      <c r="AS92" s="629"/>
      <c r="AW92" s="765"/>
      <c r="AY92" s="629"/>
      <c r="AZ92" s="629"/>
      <c r="BA92" s="629"/>
      <c r="BB92" s="629"/>
      <c r="BC92" s="629"/>
      <c r="BD92" s="629"/>
      <c r="BE92" s="629"/>
      <c r="BF92" s="629"/>
      <c r="BG92" s="629"/>
      <c r="BH92" s="629"/>
      <c r="BI92" s="629"/>
      <c r="BJ92" s="629"/>
      <c r="BK92" s="629"/>
      <c r="BL92" s="629"/>
      <c r="BM92" s="629"/>
      <c r="BN92" s="629"/>
      <c r="BO92" s="629"/>
      <c r="BP92" s="629"/>
      <c r="BQ92" s="629"/>
      <c r="BR92" s="629"/>
      <c r="BS92" s="629"/>
      <c r="DK92" s="308"/>
      <c r="DL92" s="234" t="str">
        <f>Commodities!$D$7</f>
        <v>TPCAS</v>
      </c>
      <c r="DM92" s="1682">
        <f>O92*L92*I92*H92</f>
        <v>0</v>
      </c>
      <c r="DN92" s="1682">
        <f>$DM$91*M92</f>
        <v>39.546632664596579</v>
      </c>
      <c r="DO92" s="234"/>
      <c r="DP92" s="605"/>
      <c r="DQ92" s="2494"/>
      <c r="DR92" s="754"/>
    </row>
    <row r="93" spans="1:123" ht="18">
      <c r="A93"/>
      <c r="B93" s="467" t="s">
        <v>604</v>
      </c>
      <c r="C93" s="542"/>
      <c r="D93" s="542"/>
      <c r="E93" s="754"/>
      <c r="F93" s="754" t="str">
        <f>Commodities!$D$8</f>
        <v>TPCAM</v>
      </c>
      <c r="G93" s="754" t="s">
        <v>3603</v>
      </c>
      <c r="H93" s="2347"/>
      <c r="I93" s="2470"/>
      <c r="J93" s="1109">
        <f>VLOOKUP(VLOOKUP($E91,$S$135:$T$141,2,0),$AH$173:$AR$178,MATCH(VALUE(RIGHT(J$5,4)),$AH$5:$AR$5,0),0)</f>
        <v>346.75275139191854</v>
      </c>
      <c r="K93" s="1109">
        <f>VLOOKUP(VLOOKUP($E91,$S$136:$T$140,2,0),$AH$173:$AR$178,MATCH(VALUE(RIGHT(K$5,4)),$AH$5:$AR$5,0),0)</f>
        <v>355.28417370064295</v>
      </c>
      <c r="L93" s="467"/>
      <c r="M93" s="277">
        <f>$AA$137</f>
        <v>0.2413528357504183</v>
      </c>
      <c r="N93" s="604">
        <v>5</v>
      </c>
      <c r="O93" s="467"/>
      <c r="P93" s="765"/>
      <c r="Q93" s="765"/>
      <c r="R93" s="765"/>
      <c r="S93" s="765"/>
      <c r="T93" s="765"/>
      <c r="U93" s="765"/>
      <c r="V93" s="765"/>
      <c r="W93" s="765"/>
      <c r="X93" s="765"/>
      <c r="Y93" s="765"/>
      <c r="Z93" s="765"/>
      <c r="AA93" s="784">
        <f>H91*I91*L91*M93*O91</f>
        <v>39.714498115544835</v>
      </c>
      <c r="AB93" s="784"/>
      <c r="AC93" s="784"/>
      <c r="AD93" s="784"/>
      <c r="AE93" s="784"/>
      <c r="AF93" s="629"/>
      <c r="AG93" s="2437"/>
      <c r="AH93" s="697" t="s">
        <v>577</v>
      </c>
      <c r="AI93" s="860">
        <v>18000</v>
      </c>
      <c r="AJ93" s="625"/>
      <c r="AK93" s="625"/>
      <c r="AL93" s="625"/>
      <c r="AM93" s="625"/>
      <c r="AN93" s="625"/>
      <c r="AO93" s="625"/>
      <c r="AP93" s="625"/>
      <c r="AQ93" s="625"/>
      <c r="AR93" s="625"/>
      <c r="AS93" s="629"/>
      <c r="AY93" s="629"/>
      <c r="AZ93" s="629"/>
      <c r="BA93" s="629"/>
      <c r="BB93" s="629"/>
      <c r="BC93" s="629"/>
      <c r="BD93" s="629"/>
      <c r="BE93" s="629"/>
      <c r="BF93" s="629"/>
      <c r="BG93" s="629"/>
      <c r="BH93" s="629"/>
      <c r="BI93" s="629"/>
      <c r="BJ93" s="629"/>
      <c r="BK93" s="629"/>
      <c r="BL93" s="629"/>
      <c r="BM93" s="629"/>
      <c r="BN93" s="629"/>
      <c r="BO93" s="629"/>
      <c r="BP93" s="629"/>
      <c r="BQ93" s="629"/>
      <c r="BR93" s="629"/>
      <c r="BS93" s="629"/>
      <c r="BT93" s="555" t="s">
        <v>540</v>
      </c>
      <c r="BU93" s="475"/>
      <c r="BV93" s="475"/>
      <c r="BW93" s="475"/>
      <c r="BX93" s="475"/>
      <c r="BY93" s="475"/>
      <c r="BZ93" s="475"/>
      <c r="CA93" s="475"/>
      <c r="CB93" s="475"/>
      <c r="CC93" s="475"/>
      <c r="CD93" s="542"/>
      <c r="CE93" s="542"/>
      <c r="CF93" s="542"/>
      <c r="CG93" s="475"/>
      <c r="DK93" s="2479"/>
      <c r="DL93" s="234" t="str">
        <f>Commodities!$D$8</f>
        <v>TPCAM</v>
      </c>
      <c r="DM93" s="1682">
        <f>O93*L93*I93*H93</f>
        <v>0</v>
      </c>
      <c r="DN93" s="1682">
        <f>$DM$91*M93</f>
        <v>39.714498115544842</v>
      </c>
      <c r="DO93" s="234"/>
      <c r="DP93" s="605"/>
      <c r="DQ93" s="2494"/>
      <c r="DS93" s="754"/>
    </row>
    <row r="94" spans="1:123" s="754" customFormat="1" ht="18">
      <c r="B94" s="467" t="s">
        <v>604</v>
      </c>
      <c r="F94" s="754" t="str">
        <f>Commodities!$D$9</f>
        <v>TPCAL</v>
      </c>
      <c r="G94" s="754" t="s">
        <v>3603</v>
      </c>
      <c r="H94" s="2347"/>
      <c r="I94" s="2470"/>
      <c r="J94" s="1109">
        <f>VLOOKUP(VLOOKUP($E91,$S$136:$T$141,2,0),$AH$198:$AR$203,MATCH(VALUE(RIGHT(J$5,4)),$AH$5:$AR$5,0),0)</f>
        <v>385.02617344706078</v>
      </c>
      <c r="K94" s="1109">
        <f>VLOOKUP(VLOOKUP($E91,$S$136:$T$140,2,0),$AH$198:$AR$203,MATCH(VALUE(RIGHT(K$5,4)),$AH$5:$AR$5,0),0)</f>
        <v>394.499265938478</v>
      </c>
      <c r="L94" s="467"/>
      <c r="M94" s="277">
        <f>$AA$138</f>
        <v>0.4811106189413214</v>
      </c>
      <c r="N94" s="604">
        <v>5</v>
      </c>
      <c r="O94" s="467"/>
      <c r="P94" s="765"/>
      <c r="Q94" s="765"/>
      <c r="R94" s="765"/>
      <c r="S94" s="765"/>
      <c r="T94" s="765"/>
      <c r="U94" s="765"/>
      <c r="V94" s="765"/>
      <c r="W94" s="765"/>
      <c r="X94" s="765"/>
      <c r="Y94" s="765"/>
      <c r="Z94" s="765"/>
      <c r="AA94" s="784">
        <f>H91*I91*L91*M94*O91</f>
        <v>79.166531066045707</v>
      </c>
      <c r="AB94" s="784"/>
      <c r="AC94" s="784"/>
      <c r="AD94" s="784"/>
      <c r="AE94" s="784"/>
      <c r="AF94" s="629"/>
      <c r="AG94" s="2437"/>
      <c r="AH94" s="697"/>
      <c r="AI94" s="858"/>
      <c r="AJ94" s="625"/>
      <c r="AK94" s="625"/>
      <c r="AL94" s="625"/>
      <c r="AM94" s="625"/>
      <c r="AN94" s="625"/>
      <c r="AO94" s="625"/>
      <c r="AP94" s="625"/>
      <c r="AQ94" s="625"/>
      <c r="AR94" s="625"/>
      <c r="AS94" s="629"/>
      <c r="AY94" s="629"/>
      <c r="AZ94" s="629"/>
      <c r="BA94" s="629"/>
      <c r="BB94" s="629"/>
      <c r="BC94" s="629"/>
      <c r="BD94" s="629"/>
      <c r="BE94" s="629"/>
      <c r="BF94" s="629"/>
      <c r="BG94" s="629"/>
      <c r="BH94" s="629"/>
      <c r="BI94" s="629"/>
      <c r="BJ94" s="629"/>
      <c r="BK94" s="629"/>
      <c r="BL94" s="629"/>
      <c r="BM94" s="629"/>
      <c r="BN94" s="629"/>
      <c r="BO94" s="629"/>
      <c r="BP94" s="629"/>
      <c r="BQ94" s="629"/>
      <c r="BR94" s="629"/>
      <c r="BS94" s="629"/>
      <c r="BT94" s="555"/>
      <c r="DK94" s="2479"/>
      <c r="DL94" s="234" t="str">
        <f>Commodities!$D$9</f>
        <v>TPCAL</v>
      </c>
      <c r="DM94" s="1682"/>
      <c r="DN94" s="1682">
        <f>$DM$91*M94</f>
        <v>79.166531066045735</v>
      </c>
      <c r="DO94" s="234"/>
      <c r="DP94" s="605"/>
      <c r="DQ94" s="2494"/>
      <c r="DR94"/>
      <c r="DS94"/>
    </row>
    <row r="95" spans="1:123">
      <c r="A95"/>
      <c r="B95" s="467" t="s">
        <v>604</v>
      </c>
      <c r="C95" s="543" t="str">
        <f>Processes!$D$10</f>
        <v>TPCAELCX1E</v>
      </c>
      <c r="D95" s="543" t="str">
        <f>Processes!$E$10</f>
        <v>Transport Passengers Cars - Electricity BEV- Average size - Existing</v>
      </c>
      <c r="E95" s="873" t="str">
        <f>E71</f>
        <v>TRAELCEV</v>
      </c>
      <c r="F95" s="543" t="str">
        <f>Commodities!$D$6</f>
        <v>TPCAX</v>
      </c>
      <c r="G95" s="754" t="s">
        <v>3603</v>
      </c>
      <c r="H95" s="2175">
        <v>1E-3</v>
      </c>
      <c r="I95" s="2471">
        <f>VLOOKUP(VLOOKUP($E95,$S$136:$T$141,2,0),$AH$64:$AI$71,MATCH(VALUE(RIGHT(I$5,4)),$AH$5:$AR$5,0),0)</f>
        <v>1.7189998335071497</v>
      </c>
      <c r="J95" s="1109">
        <f>VLOOKUP(VLOOKUP($E95,$S$136:$T$141,2,0),$AH$123:$AR$128,MATCH(VALUE(RIGHT(J$5,4)),$AH$5:$AR$5,0),0)</f>
        <v>1431.7402692719502</v>
      </c>
      <c r="K95" s="1109">
        <f>VLOOKUP(VLOOKUP($E95,$S$136:$T$141,2,0),$AH$123:$AR$128,MATCH(VALUE(RIGHT(K$5,4)),$AH$5:$AR$5,0),0)</f>
        <v>1431.7402692719506</v>
      </c>
      <c r="L95" s="1109">
        <f>VLOOKUP(VLOOKUP($E95,$S$136:$T$140,2,0),$AH$97:$AR$103,MATCH(VALUE(RIGHT(L$5,4)),$AH$5:$AR$5,0),0)</f>
        <v>14000</v>
      </c>
      <c r="M95" s="1947">
        <f>AC135</f>
        <v>0.1</v>
      </c>
      <c r="N95" s="1109">
        <v>5</v>
      </c>
      <c r="O95" s="2175">
        <f t="shared" ref="O95:X95" si="46">VLOOKUP(VLOOKUP($E95,$S$136:$T$140,2,0),$AH$31:$AR$37,MATCH(VALUE(RIGHT(O$5,4)),$AH$5:$AR$5,0),0)</f>
        <v>0.04</v>
      </c>
      <c r="P95" s="2175">
        <f t="shared" si="46"/>
        <v>6.1760000000000002</v>
      </c>
      <c r="Q95" s="2175">
        <f t="shared" si="46"/>
        <v>9.2520000000000007</v>
      </c>
      <c r="R95" s="2175">
        <f t="shared" si="46"/>
        <v>6.2679999999999998</v>
      </c>
      <c r="S95" s="2175">
        <f t="shared" si="46"/>
        <v>3.4889999999999999</v>
      </c>
      <c r="T95" s="2175">
        <f t="shared" si="46"/>
        <v>1.48</v>
      </c>
      <c r="U95" s="2175">
        <f t="shared" si="46"/>
        <v>0.42399999999999999</v>
      </c>
      <c r="V95" s="2175">
        <f t="shared" si="46"/>
        <v>7.0999999999999994E-2</v>
      </c>
      <c r="W95" s="2175">
        <f t="shared" si="46"/>
        <v>6.0000000000000001E-3</v>
      </c>
      <c r="X95" s="2175">
        <f t="shared" si="46"/>
        <v>0</v>
      </c>
      <c r="Y95" s="467">
        <v>3.5E-4</v>
      </c>
      <c r="Z95" s="765"/>
      <c r="AA95" s="784">
        <f>H95*I95*L95*M95*O95</f>
        <v>9.6263990676400388E-2</v>
      </c>
      <c r="AB95" s="784"/>
      <c r="AC95" s="784"/>
      <c r="AD95" s="784"/>
      <c r="AE95" s="784"/>
      <c r="AF95" s="629"/>
      <c r="AG95" s="2437"/>
      <c r="AH95" s="697" t="s">
        <v>49</v>
      </c>
      <c r="AI95" s="858">
        <v>14000</v>
      </c>
      <c r="AJ95" s="625"/>
      <c r="AK95" s="625"/>
      <c r="AL95" s="625"/>
      <c r="AM95" s="625"/>
      <c r="AN95" s="625"/>
      <c r="AO95" s="625"/>
      <c r="AP95" s="625"/>
      <c r="AQ95" s="625"/>
      <c r="AR95" s="625"/>
      <c r="AS95" s="629"/>
      <c r="AZ95" s="603"/>
      <c r="BT95" s="475"/>
      <c r="BU95" s="475"/>
      <c r="BV95" s="475"/>
      <c r="BW95" s="475"/>
      <c r="BX95" s="475"/>
      <c r="BY95" s="475"/>
      <c r="BZ95" s="475"/>
      <c r="CA95" s="475"/>
      <c r="CB95" s="475"/>
      <c r="CC95" s="475"/>
      <c r="CD95" s="546"/>
      <c r="CE95" s="546"/>
      <c r="CF95" s="546"/>
      <c r="CG95" s="468"/>
      <c r="DK95" s="2479"/>
      <c r="DL95" s="234" t="str">
        <f>Commodities!$D$6</f>
        <v>TPCAX</v>
      </c>
      <c r="DM95" s="1682">
        <f>O95*L95*I95*H95</f>
        <v>0.96263990676400391</v>
      </c>
      <c r="DN95" s="1682">
        <f>$DM$95*M95</f>
        <v>9.6263990676400402E-2</v>
      </c>
      <c r="DO95" s="234"/>
      <c r="DP95" s="605"/>
      <c r="DQ95" s="2494"/>
    </row>
    <row r="96" spans="1:123" ht="14.4">
      <c r="A96"/>
      <c r="B96" s="467" t="s">
        <v>604</v>
      </c>
      <c r="C96" s="543"/>
      <c r="D96" s="543"/>
      <c r="E96" s="543"/>
      <c r="F96" s="543" t="str">
        <f>Commodities!$D$7</f>
        <v>TPCAS</v>
      </c>
      <c r="G96" s="754" t="s">
        <v>3603</v>
      </c>
      <c r="H96" s="1538"/>
      <c r="I96" s="2470"/>
      <c r="J96" s="1109">
        <f>VLOOKUP(VLOOKUP($E95,$S$136:$T$141,2,0),$AH$148:$AR$153,MATCH(VALUE(RIGHT(J$5,4)),$AH$5:$AR$5,0),0)</f>
        <v>1431.7402692719502</v>
      </c>
      <c r="K96" s="1109">
        <f>VLOOKUP(VLOOKUP($E95,$S$136:$T$140,2,0),$AH$148:$AR$153,MATCH(VALUE(RIGHT(K$5,4)),$AH$5:$AR$5,0),0)</f>
        <v>1431.7402692719506</v>
      </c>
      <c r="L96" s="467"/>
      <c r="M96" s="1947">
        <f t="shared" ref="M96:M98" si="47">AC136</f>
        <v>0.4</v>
      </c>
      <c r="N96" s="1109">
        <v>5</v>
      </c>
      <c r="O96" s="467"/>
      <c r="P96" s="467"/>
      <c r="Q96" s="467"/>
      <c r="R96" s="467"/>
      <c r="S96" s="467"/>
      <c r="T96" s="467"/>
      <c r="U96" s="467"/>
      <c r="V96" s="467"/>
      <c r="W96" s="467"/>
      <c r="X96" s="467"/>
      <c r="Y96" s="467"/>
      <c r="Z96" s="765"/>
      <c r="AA96" s="784">
        <f>H95*I95*L95*M96*O95</f>
        <v>0.38505596270560155</v>
      </c>
      <c r="AB96" s="784"/>
      <c r="AC96" s="784"/>
      <c r="AD96" s="784"/>
      <c r="AE96" s="784"/>
      <c r="AF96" s="629"/>
      <c r="AG96" s="2438"/>
      <c r="AH96" s="467" t="s">
        <v>607</v>
      </c>
      <c r="AI96" s="861">
        <f>AI89</f>
        <v>12887.681364693466</v>
      </c>
      <c r="AJ96" s="23"/>
      <c r="AK96" s="23"/>
      <c r="AL96" s="23"/>
      <c r="AM96" s="23"/>
      <c r="AN96" s="23"/>
      <c r="AO96" s="23"/>
      <c r="AP96" s="23"/>
      <c r="AQ96" s="23"/>
      <c r="AR96" s="426"/>
      <c r="AS96" s="629"/>
      <c r="BT96" s="567" t="s">
        <v>548</v>
      </c>
      <c r="BU96" s="475"/>
      <c r="BV96" s="475"/>
      <c r="BW96" s="475"/>
      <c r="BX96" s="475"/>
      <c r="BY96" s="475"/>
      <c r="BZ96" s="475"/>
      <c r="CA96" s="475"/>
      <c r="CB96" s="475"/>
      <c r="CC96" s="475"/>
      <c r="CD96" s="542"/>
      <c r="CE96" s="542"/>
      <c r="CF96" s="542"/>
      <c r="CG96" s="232"/>
      <c r="DK96" s="2479"/>
      <c r="DL96" s="234" t="str">
        <f>Commodities!$D$7</f>
        <v>TPCAS</v>
      </c>
      <c r="DM96" s="1682">
        <f>O96*L96*I96*H96</f>
        <v>0</v>
      </c>
      <c r="DN96" s="1682">
        <f>$DM$95*M96</f>
        <v>0.38505596270560161</v>
      </c>
      <c r="DO96" s="234"/>
      <c r="DP96" s="605"/>
      <c r="DQ96" s="2494"/>
      <c r="DR96" s="754"/>
    </row>
    <row r="97" spans="1:123" ht="19.2">
      <c r="A97"/>
      <c r="B97" s="467" t="s">
        <v>604</v>
      </c>
      <c r="C97" s="543"/>
      <c r="D97" s="543"/>
      <c r="E97" s="543"/>
      <c r="F97" s="543" t="str">
        <f>Commodities!$D$8</f>
        <v>TPCAM</v>
      </c>
      <c r="G97" s="754" t="s">
        <v>3603</v>
      </c>
      <c r="H97" s="1538"/>
      <c r="I97" s="2470"/>
      <c r="J97" s="1109">
        <f>VLOOKUP(VLOOKUP($E95,$S$135:$T$141,2,0),$AH$173:$AR$178,MATCH(VALUE(RIGHT(J$5,4)),$AH$5:$AR$5,0),0)</f>
        <v>1431.7402692719502</v>
      </c>
      <c r="K97" s="1109">
        <f>VLOOKUP(VLOOKUP($E95,$S$136:$T$140,2,0),$AH$173:$AR$178,MATCH(VALUE(RIGHT(K$5,4)),$AH$5:$AR$5,0),0)</f>
        <v>1431.7402692719506</v>
      </c>
      <c r="L97" s="467"/>
      <c r="M97" s="1947">
        <f t="shared" si="47"/>
        <v>0.4</v>
      </c>
      <c r="N97" s="1109">
        <v>5</v>
      </c>
      <c r="O97" s="467"/>
      <c r="P97" s="467"/>
      <c r="Q97" s="467"/>
      <c r="R97" s="467"/>
      <c r="S97" s="467"/>
      <c r="T97" s="467"/>
      <c r="U97" s="467"/>
      <c r="V97" s="467"/>
      <c r="W97" s="467"/>
      <c r="X97" s="467"/>
      <c r="Y97" s="467"/>
      <c r="Z97" s="765"/>
      <c r="AA97" s="784">
        <f>H95*I95*L95*M97*O95</f>
        <v>0.38505596270560155</v>
      </c>
      <c r="AB97" s="784"/>
      <c r="AC97" s="784"/>
      <c r="AD97" s="784"/>
      <c r="AE97" s="784"/>
      <c r="AF97" s="629"/>
      <c r="AG97" s="2454" t="s">
        <v>604</v>
      </c>
      <c r="AH97" s="611" t="s">
        <v>184</v>
      </c>
      <c r="AI97" s="636">
        <f>CC101</f>
        <v>12887.687483334254</v>
      </c>
      <c r="AJ97" s="623"/>
      <c r="AK97" s="623"/>
      <c r="AL97" s="623"/>
      <c r="AM97" s="623"/>
      <c r="AN97" s="623"/>
      <c r="AO97" s="623"/>
      <c r="AP97" s="623"/>
      <c r="AQ97" s="623"/>
      <c r="AR97" s="624"/>
      <c r="AS97" s="629"/>
      <c r="BT97" s="475"/>
      <c r="BU97" s="475"/>
      <c r="BV97" s="475"/>
      <c r="BW97" s="475"/>
      <c r="BX97" s="475"/>
      <c r="BY97" s="475"/>
      <c r="BZ97" s="475"/>
      <c r="CA97" s="475"/>
      <c r="CB97" s="475"/>
      <c r="CC97" s="475"/>
      <c r="CD97" s="542"/>
      <c r="CE97" s="542"/>
      <c r="CF97" s="542"/>
      <c r="CG97" s="232"/>
      <c r="DK97" s="308"/>
      <c r="DL97" s="234" t="str">
        <f>Commodities!$D$8</f>
        <v>TPCAM</v>
      </c>
      <c r="DM97" s="1682">
        <f>O97*L97*I97*H97</f>
        <v>0</v>
      </c>
      <c r="DN97" s="1682">
        <f>$DM$95*M97</f>
        <v>0.38505596270560161</v>
      </c>
      <c r="DO97" s="234"/>
      <c r="DP97" s="605"/>
      <c r="DQ97" s="2494"/>
      <c r="DS97" s="754"/>
    </row>
    <row r="98" spans="1:123" s="754" customFormat="1">
      <c r="B98" s="467" t="s">
        <v>604</v>
      </c>
      <c r="C98" s="543"/>
      <c r="D98" s="543"/>
      <c r="E98" s="543"/>
      <c r="F98" s="543" t="str">
        <f>Commodities!$D$9</f>
        <v>TPCAL</v>
      </c>
      <c r="G98" s="754" t="s">
        <v>3603</v>
      </c>
      <c r="H98" s="1538"/>
      <c r="I98" s="2470"/>
      <c r="J98" s="1109">
        <f>VLOOKUP(VLOOKUP($E95,$S$136:$T$141,2,0),$AH$198:$AR$203,MATCH(VALUE(RIGHT(J$5,4)),$AH$5:$AR$5,0),0)</f>
        <v>1431.7402692719502</v>
      </c>
      <c r="K98" s="1109">
        <f>VLOOKUP(VLOOKUP($E95,$S$136:$T$140,2,0),$AH$198:$AR$203,MATCH(VALUE(RIGHT(K$5,4)),$AH$5:$AR$5,0),0)</f>
        <v>1431.7402692719506</v>
      </c>
      <c r="L98" s="467"/>
      <c r="M98" s="1947">
        <f t="shared" si="47"/>
        <v>0.1</v>
      </c>
      <c r="N98" s="1109">
        <v>5</v>
      </c>
      <c r="O98" s="467"/>
      <c r="P98" s="467"/>
      <c r="Q98" s="467"/>
      <c r="R98" s="467"/>
      <c r="S98" s="467"/>
      <c r="T98" s="467"/>
      <c r="U98" s="467"/>
      <c r="V98" s="467"/>
      <c r="W98" s="467"/>
      <c r="X98" s="467"/>
      <c r="Y98" s="467"/>
      <c r="Z98" s="765"/>
      <c r="AA98" s="784">
        <f>H95*I95*L95*M98*O95</f>
        <v>9.6263990676400388E-2</v>
      </c>
      <c r="AB98" s="784"/>
      <c r="AC98" s="784"/>
      <c r="AD98" s="784"/>
      <c r="AE98" s="784"/>
      <c r="AF98" s="629"/>
      <c r="AG98" s="2437"/>
      <c r="AH98" s="612"/>
      <c r="AI98" s="637"/>
      <c r="AJ98" s="625"/>
      <c r="AK98" s="625"/>
      <c r="AL98" s="625"/>
      <c r="AM98" s="625"/>
      <c r="AN98" s="625"/>
      <c r="AO98" s="625"/>
      <c r="AP98" s="625"/>
      <c r="AQ98" s="625"/>
      <c r="AR98" s="626"/>
      <c r="AS98" s="629"/>
      <c r="CG98" s="548"/>
      <c r="DK98" s="2479"/>
      <c r="DL98" s="234" t="str">
        <f>Commodities!$D$9</f>
        <v>TPCAL</v>
      </c>
      <c r="DM98" s="543"/>
      <c r="DN98" s="1682">
        <f>$DM$95*M98</f>
        <v>9.6263990676400402E-2</v>
      </c>
      <c r="DO98" s="543"/>
      <c r="DP98" s="317"/>
      <c r="DQ98" s="2494"/>
      <c r="DR98"/>
      <c r="DS98"/>
    </row>
    <row r="99" spans="1:123">
      <c r="A99"/>
      <c r="B99" s="467" t="s">
        <v>604</v>
      </c>
      <c r="C99" s="543" t="str">
        <f>Processes!$D$11</f>
        <v>TPCAGSBX1E</v>
      </c>
      <c r="D99" s="543" t="str">
        <f>Processes!$E$11</f>
        <v>Transport Passengers Cars -Ethanol- Average size - Existing</v>
      </c>
      <c r="E99" s="865" t="str">
        <f>E75</f>
        <v>TRAGSBL5</v>
      </c>
      <c r="F99" s="543" t="str">
        <f>Commodities!$D$6</f>
        <v>TPCAX</v>
      </c>
      <c r="G99" s="754" t="s">
        <v>3603</v>
      </c>
      <c r="H99" s="2175">
        <v>1E-3</v>
      </c>
      <c r="I99" s="2471">
        <f>VLOOKUP(VLOOKUP($E99,$S$136:$T$141,2,0),$AH$64:$AI$71,MATCH(VALUE(RIGHT(I$5,4)),$AH$5:$AR$5,0),0)</f>
        <v>1.7189998335071497</v>
      </c>
      <c r="J99" s="1109">
        <f>VLOOKUP(VLOOKUP($E99,$S$136:$T$141,2,0),$AH$123:$AR$128,MATCH(VALUE(RIGHT(J$5,4)),$AH$5:$AR$5,0),0)</f>
        <v>211.5191783490703</v>
      </c>
      <c r="K99" s="1109">
        <f>VLOOKUP(VLOOKUP($E99,$S$136:$T$141,2,0),$AH$123:$AR$128,MATCH(VALUE(RIGHT(K$5,4)),$AH$5:$AR$5,0),0)</f>
        <v>216.72334595739218</v>
      </c>
      <c r="L99" s="1109">
        <f>VLOOKUP(VLOOKUP($E99,$S$136:$T$141,2,0),$AH$97:$AR$103,MATCH(VALUE(RIGHT(L$5,4)),$AH$5:$AR$5,0),0)</f>
        <v>12887.687483334254</v>
      </c>
      <c r="M99" s="277">
        <f>$AA$135</f>
        <v>3.7203861002108228E-2</v>
      </c>
      <c r="N99" s="1109">
        <v>5</v>
      </c>
      <c r="O99" s="2175">
        <f t="shared" ref="O99:X99" si="48">VLOOKUP(VLOOKUP($E99,$S$136:$T$141,2,0),$AH$31:$AR$37,MATCH(VALUE(RIGHT(O$5,4)),$AH$5:$AR$5,0),0)</f>
        <v>47.66</v>
      </c>
      <c r="P99" s="2175">
        <f t="shared" si="48"/>
        <v>45.558999999999997</v>
      </c>
      <c r="Q99" s="2175">
        <f t="shared" si="48"/>
        <v>42.649000000000001</v>
      </c>
      <c r="R99" s="2175">
        <f t="shared" si="48"/>
        <v>28.891999999999999</v>
      </c>
      <c r="S99" s="2175">
        <f t="shared" si="48"/>
        <v>16.081</v>
      </c>
      <c r="T99" s="2175">
        <f t="shared" si="48"/>
        <v>6.8220000000000001</v>
      </c>
      <c r="U99" s="2175">
        <f t="shared" si="48"/>
        <v>1.956</v>
      </c>
      <c r="V99" s="2175">
        <f t="shared" si="48"/>
        <v>0.32800000000000001</v>
      </c>
      <c r="W99" s="2175">
        <f t="shared" si="48"/>
        <v>2.7E-2</v>
      </c>
      <c r="X99" s="2175">
        <f t="shared" si="48"/>
        <v>1E-3</v>
      </c>
      <c r="Y99" s="467">
        <v>3.5E-4</v>
      </c>
      <c r="Z99" s="765"/>
      <c r="AA99" s="784">
        <f>H99*I99*L99*M99*O99</f>
        <v>39.28193584256266</v>
      </c>
      <c r="AB99" s="784"/>
      <c r="AC99" s="784"/>
      <c r="AD99" s="784"/>
      <c r="AE99" s="784"/>
      <c r="AF99" s="629"/>
      <c r="AG99" s="2437"/>
      <c r="AH99" s="612" t="s">
        <v>61</v>
      </c>
      <c r="AI99" s="637">
        <f>CC100</f>
        <v>21500.777683711131</v>
      </c>
      <c r="AJ99" s="625"/>
      <c r="AK99" s="625"/>
      <c r="AL99" s="625"/>
      <c r="AM99" s="625"/>
      <c r="AN99" s="625"/>
      <c r="AO99" s="625"/>
      <c r="AP99" s="625"/>
      <c r="AQ99" s="625"/>
      <c r="AR99" s="626"/>
      <c r="AS99" s="629"/>
      <c r="AW99" s="569"/>
      <c r="AX99" s="569"/>
      <c r="AY99" s="569"/>
      <c r="BB99" s="542"/>
      <c r="BC99" s="542"/>
      <c r="BT99" s="550" t="s">
        <v>559</v>
      </c>
      <c r="BU99" s="544"/>
      <c r="BV99" s="544"/>
      <c r="BW99" s="549"/>
      <c r="BX99" s="544"/>
      <c r="BY99" s="544"/>
      <c r="BZ99" s="552" t="s">
        <v>601</v>
      </c>
      <c r="CA99" s="552" t="s">
        <v>602</v>
      </c>
      <c r="CB99" s="31" t="s">
        <v>603</v>
      </c>
      <c r="CC99" s="31" t="s">
        <v>604</v>
      </c>
      <c r="CE99" s="557" t="s">
        <v>546</v>
      </c>
      <c r="CF99" s="558"/>
      <c r="CG99" s="559"/>
      <c r="CH99" s="2456"/>
      <c r="CI99" s="2457"/>
      <c r="DK99" s="2479"/>
      <c r="DL99" s="234" t="str">
        <f>DL95</f>
        <v>TPCAX</v>
      </c>
      <c r="DM99" s="1682">
        <f>O99*L99*I99*H99</f>
        <v>1055.8564295339315</v>
      </c>
      <c r="DN99" s="1682">
        <f>$DM$99*M99</f>
        <v>39.281935842562667</v>
      </c>
      <c r="DO99" s="234" t="str">
        <f>Commodities!$D$6</f>
        <v>TPCAX</v>
      </c>
      <c r="DP99" s="605">
        <f>DN79+DN83+DN87+DN91+DN95+DN99</f>
        <v>833.85193804889104</v>
      </c>
      <c r="DQ99" s="2494">
        <f>DP99*$DQ$6</f>
        <v>825.5134186684021</v>
      </c>
    </row>
    <row r="100" spans="1:123" ht="12.75" customHeight="1">
      <c r="A100"/>
      <c r="B100" s="467" t="s">
        <v>604</v>
      </c>
      <c r="C100" s="543"/>
      <c r="D100" s="543"/>
      <c r="E100" s="543"/>
      <c r="F100" s="543" t="str">
        <f>Commodities!$D$7</f>
        <v>TPCAS</v>
      </c>
      <c r="G100" s="754" t="s">
        <v>3603</v>
      </c>
      <c r="H100" s="2348"/>
      <c r="I100" s="2470"/>
      <c r="J100" s="1109">
        <f>VLOOKUP(VLOOKUP($E99,$S$136:$T$141,2,0),$AH$148:$AR$153,MATCH(VALUE(RIGHT(J$5,4)),$AH$5:$AR$5,0),0)</f>
        <v>266.99961857177726</v>
      </c>
      <c r="K100" s="1109">
        <f>VLOOKUP(VLOOKUP($E99,$S$136:$T$141,2,0),$AH$148:$AR$153,MATCH(VALUE(RIGHT(K$5,4)),$AH$5:$AR$5,0),0)</f>
        <v>273.56881374949506</v>
      </c>
      <c r="L100" s="2019"/>
      <c r="M100" s="277">
        <f>$AA$136</f>
        <v>0.24033268430615196</v>
      </c>
      <c r="N100" s="1109">
        <v>5</v>
      </c>
      <c r="O100" s="2019"/>
      <c r="P100" s="2019"/>
      <c r="Q100" s="2019"/>
      <c r="R100" s="2019"/>
      <c r="S100" s="2019"/>
      <c r="T100" s="2019"/>
      <c r="U100" s="2019"/>
      <c r="V100" s="2019"/>
      <c r="W100" s="2019"/>
      <c r="X100" s="2019"/>
      <c r="Y100" s="467"/>
      <c r="Z100" s="765"/>
      <c r="AA100" s="784">
        <f>H99*I99*L99*M100*O99</f>
        <v>253.75680995179911</v>
      </c>
      <c r="AB100" s="784"/>
      <c r="AC100" s="784"/>
      <c r="AD100" s="784"/>
      <c r="AE100" s="784"/>
      <c r="AF100" s="629"/>
      <c r="AG100" s="2437"/>
      <c r="AH100" s="612" t="s">
        <v>51</v>
      </c>
      <c r="AI100" s="860">
        <v>18000</v>
      </c>
      <c r="AJ100" s="625"/>
      <c r="AK100" s="625"/>
      <c r="AL100" s="625"/>
      <c r="AM100" s="625"/>
      <c r="AN100" s="625"/>
      <c r="AO100" s="625"/>
      <c r="AP100" s="625"/>
      <c r="AQ100" s="625"/>
      <c r="AR100" s="626"/>
      <c r="AS100" s="629"/>
      <c r="AW100" s="696"/>
      <c r="AX100" s="696"/>
      <c r="AY100" s="2148"/>
      <c r="AZ100" s="754"/>
      <c r="BA100" s="754"/>
      <c r="BB100" s="754"/>
      <c r="BC100" s="754"/>
      <c r="BD100" s="754"/>
      <c r="BE100" s="754"/>
      <c r="BT100" s="3051" t="str">
        <f>Processes!$E$6</f>
        <v>Transport Passengers Cars - Diesel Engine - Blending 1 - Average size - Existing</v>
      </c>
      <c r="BU100" s="3051"/>
      <c r="BV100" s="3051"/>
      <c r="BW100" s="3051"/>
      <c r="BX100" s="3051"/>
      <c r="BY100" s="3051"/>
      <c r="BZ100" s="554">
        <f>CF106/CF101*1000</f>
        <v>21500.623745335757</v>
      </c>
      <c r="CA100" s="554">
        <f>CG106/CG101*1000</f>
        <v>21500.809182730438</v>
      </c>
      <c r="CB100" s="554">
        <f>CH106/CH101*1000</f>
        <v>21500.868112010729</v>
      </c>
      <c r="CC100" s="554">
        <f>CI106/CI101*1000</f>
        <v>21500.777683711131</v>
      </c>
      <c r="CD100" s="475" t="s">
        <v>547</v>
      </c>
      <c r="CE100" s="560" t="s">
        <v>569</v>
      </c>
      <c r="CF100" s="561" t="s">
        <v>601</v>
      </c>
      <c r="CG100" s="562" t="s">
        <v>602</v>
      </c>
      <c r="CH100" s="561" t="s">
        <v>603</v>
      </c>
      <c r="CI100" s="562" t="s">
        <v>604</v>
      </c>
      <c r="DK100" s="2479"/>
      <c r="DL100" s="234" t="str">
        <f>DL96</f>
        <v>TPCAS</v>
      </c>
      <c r="DM100" s="1682">
        <f>O100*L100*I100*H100</f>
        <v>0</v>
      </c>
      <c r="DN100" s="1682">
        <f>$DM$99*M100</f>
        <v>253.75680995179914</v>
      </c>
      <c r="DO100" s="234" t="str">
        <f>Commodities!$D$7</f>
        <v>TPCAS</v>
      </c>
      <c r="DP100" s="605">
        <f>DN80+DN84+DN88+DN92+DN96+DN100</f>
        <v>5386.3512918472279</v>
      </c>
      <c r="DQ100" s="2494">
        <f>DP100*$DQ$6</f>
        <v>5332.4877789287557</v>
      </c>
      <c r="DR100" s="754"/>
    </row>
    <row r="101" spans="1:123" ht="14.4">
      <c r="A101"/>
      <c r="B101" s="467" t="s">
        <v>604</v>
      </c>
      <c r="C101" s="543"/>
      <c r="D101" s="543"/>
      <c r="E101" s="543"/>
      <c r="F101" s="543" t="str">
        <f>Commodities!$D$8</f>
        <v>TPCAM</v>
      </c>
      <c r="G101" s="754" t="s">
        <v>3603</v>
      </c>
      <c r="H101" s="2348"/>
      <c r="I101" s="2348"/>
      <c r="J101" s="1109">
        <f>VLOOKUP(VLOOKUP($E99,$S$135:$T$141,2,0),$AH$173:$AR$178,MATCH(VALUE(RIGHT(J$5,4)),$AH$5:$AR$5,0),0)</f>
        <v>346.75275139191854</v>
      </c>
      <c r="K101" s="1109">
        <f>VLOOKUP(VLOOKUP($E99,$S$136:$T$141,2,0),$AH$173:$AR$178,MATCH(VALUE(RIGHT(K$5,4)),$AH$5:$AR$5,0),0)</f>
        <v>355.28417370064295</v>
      </c>
      <c r="L101" s="2019"/>
      <c r="M101" s="277">
        <f>$AA$137</f>
        <v>0.2413528357504183</v>
      </c>
      <c r="N101" s="1109">
        <v>5</v>
      </c>
      <c r="O101" s="2019"/>
      <c r="P101" s="2019"/>
      <c r="Q101" s="2019"/>
      <c r="R101" s="2019"/>
      <c r="S101" s="2019"/>
      <c r="T101" s="2019"/>
      <c r="U101" s="2019"/>
      <c r="V101" s="467"/>
      <c r="W101" s="467"/>
      <c r="X101" s="467"/>
      <c r="Y101" s="467"/>
      <c r="Z101" s="765"/>
      <c r="AA101" s="784">
        <f>H99*I99*L99*M101*O99</f>
        <v>254.83394341332607</v>
      </c>
      <c r="AB101" s="784"/>
      <c r="AC101" s="784"/>
      <c r="AD101" s="784"/>
      <c r="AE101" s="784"/>
      <c r="AF101" s="629"/>
      <c r="AG101" s="2437"/>
      <c r="AH101" s="612" t="s">
        <v>577</v>
      </c>
      <c r="AI101" s="860">
        <v>18000</v>
      </c>
      <c r="AJ101" s="625"/>
      <c r="AK101" s="625"/>
      <c r="AL101" s="625"/>
      <c r="AM101" s="625"/>
      <c r="AN101" s="625"/>
      <c r="AO101" s="625"/>
      <c r="AP101" s="625"/>
      <c r="AQ101" s="625"/>
      <c r="AR101" s="626"/>
      <c r="AS101" s="629"/>
      <c r="AW101" s="696"/>
      <c r="AX101" s="696"/>
      <c r="AY101" s="2148"/>
      <c r="AZ101" s="754"/>
      <c r="BA101" s="754"/>
      <c r="BB101" s="754"/>
      <c r="BC101" s="754"/>
      <c r="BD101" s="754"/>
      <c r="BE101" s="754"/>
      <c r="BT101" s="3051" t="str">
        <f>Processes!$E$7</f>
        <v>Transport Passengers Cars - Otto Engine - Blending 1 - Average size - Existing</v>
      </c>
      <c r="BU101" s="3051"/>
      <c r="BV101" s="3051"/>
      <c r="BW101" s="3051"/>
      <c r="BX101" s="3051"/>
      <c r="BY101" s="3051"/>
      <c r="BZ101" s="554">
        <f>CF107/CF103*1000</f>
        <v>12887.692725004867</v>
      </c>
      <c r="CA101" s="554">
        <f>CG107/CG103*1000</f>
        <v>12887.702905772145</v>
      </c>
      <c r="CB101" s="554">
        <f>CH107/CH103*1000</f>
        <v>12887.681364693466</v>
      </c>
      <c r="CC101" s="554">
        <f>CI107/CI103*1000</f>
        <v>12887.687483334254</v>
      </c>
      <c r="CD101" s="542" t="s">
        <v>547</v>
      </c>
      <c r="CE101" s="563" t="s">
        <v>61</v>
      </c>
      <c r="CF101" s="744">
        <f>AI8</f>
        <v>22.071999999999999</v>
      </c>
      <c r="CG101" s="749">
        <f>AI16</f>
        <v>52.606000000000002</v>
      </c>
      <c r="CH101" s="744">
        <f>AI24</f>
        <v>402.68700000000001</v>
      </c>
      <c r="CI101" s="749">
        <f>AI32</f>
        <v>129.16999999999999</v>
      </c>
      <c r="DK101" s="308"/>
      <c r="DL101" s="234" t="str">
        <f>DL97</f>
        <v>TPCAM</v>
      </c>
      <c r="DM101" s="1682">
        <f>O101*L101*I101*H101</f>
        <v>0</v>
      </c>
      <c r="DN101" s="1682">
        <f>$DM$99*M101</f>
        <v>254.8339434133261</v>
      </c>
      <c r="DO101" s="234" t="str">
        <f>Commodities!$D$8</f>
        <v>TPCAM</v>
      </c>
      <c r="DP101" s="605">
        <f>DN81+DN85+DN89+DN93+DN97+DN101</f>
        <v>5409.2133559487884</v>
      </c>
      <c r="DQ101" s="2494">
        <f>DP101*$DQ$6</f>
        <v>5355.1212223893008</v>
      </c>
      <c r="DR101" s="12"/>
      <c r="DS101" s="754"/>
    </row>
    <row r="102" spans="1:123" s="754" customFormat="1" ht="15" thickBot="1">
      <c r="B102" s="734" t="s">
        <v>604</v>
      </c>
      <c r="C102" s="23"/>
      <c r="D102" s="23"/>
      <c r="E102" s="23"/>
      <c r="F102" s="23" t="str">
        <f>Commodities!$D$9</f>
        <v>TPCAL</v>
      </c>
      <c r="G102" s="23" t="s">
        <v>3603</v>
      </c>
      <c r="H102" s="2359"/>
      <c r="I102" s="1556"/>
      <c r="J102" s="2356">
        <f>VLOOKUP(VLOOKUP($E99,$S$136:$T$141,2,0),$AH$198:$AR$203,MATCH(VALUE(RIGHT(J$5,4)),$AH$5:$AR$5,0),0)</f>
        <v>385.02617344706078</v>
      </c>
      <c r="K102" s="2357">
        <f>VLOOKUP(VLOOKUP($E99,$S$136:$T$141,2,0),$AH$198:$AR$203,MATCH(VALUE(RIGHT(K$5,4)),$AH$5:$AR$5,0),0)</f>
        <v>394.499265938478</v>
      </c>
      <c r="L102" s="2358"/>
      <c r="M102" s="33">
        <f>$AA$138</f>
        <v>0.4811106189413214</v>
      </c>
      <c r="N102" s="2357">
        <v>5</v>
      </c>
      <c r="O102" s="2358"/>
      <c r="P102" s="2358"/>
      <c r="Q102" s="2358"/>
      <c r="R102" s="2358"/>
      <c r="S102" s="2358"/>
      <c r="T102" s="2358"/>
      <c r="U102" s="2358"/>
      <c r="V102" s="734"/>
      <c r="W102" s="734"/>
      <c r="X102" s="734"/>
      <c r="Y102" s="734"/>
      <c r="Z102" s="765"/>
      <c r="AA102" s="784">
        <f>H99*I99*L99*M102*O99</f>
        <v>507.98374032624349</v>
      </c>
      <c r="AB102" s="784"/>
      <c r="AC102" s="784"/>
      <c r="AD102" s="784"/>
      <c r="AE102" s="784"/>
      <c r="AF102" s="629"/>
      <c r="AG102" s="2437"/>
      <c r="AH102" s="612" t="s">
        <v>49</v>
      </c>
      <c r="AI102" s="860">
        <v>14000</v>
      </c>
      <c r="AJ102" s="625"/>
      <c r="AK102" s="625"/>
      <c r="AL102" s="625"/>
      <c r="AM102" s="625"/>
      <c r="AN102" s="625"/>
      <c r="AO102" s="625"/>
      <c r="AP102" s="625"/>
      <c r="AQ102" s="625"/>
      <c r="AR102" s="626"/>
      <c r="AS102" s="629"/>
      <c r="AW102" s="696"/>
      <c r="AX102" s="696"/>
      <c r="AY102" s="2148"/>
      <c r="BT102" s="1982"/>
      <c r="BU102" s="1982"/>
      <c r="BV102" s="1982"/>
      <c r="BW102" s="1982"/>
      <c r="BX102" s="1982"/>
      <c r="BY102" s="2435"/>
      <c r="BZ102" s="2435"/>
      <c r="CA102" s="2435"/>
      <c r="CB102" s="2435"/>
      <c r="CC102" s="2435"/>
      <c r="CE102" s="563"/>
      <c r="CF102" s="744"/>
      <c r="CG102" s="749"/>
      <c r="CH102" s="744"/>
      <c r="CI102" s="749"/>
      <c r="DK102" s="2487"/>
      <c r="DL102" s="2484" t="str">
        <f>DL98</f>
        <v>TPCAL</v>
      </c>
      <c r="DM102" s="390"/>
      <c r="DN102" s="2488">
        <f>$DM$99*M102</f>
        <v>507.98374032624349</v>
      </c>
      <c r="DO102" s="2484" t="str">
        <f>Commodities!$D$9</f>
        <v>TPCAL</v>
      </c>
      <c r="DP102" s="2489">
        <f>DN82+DN86+DN90+DN94+DN98+DN102</f>
        <v>10782.00700086972</v>
      </c>
      <c r="DQ102" s="2495">
        <f>DP102*$DQ$6</f>
        <v>10674.186930861022</v>
      </c>
      <c r="DR102" s="12"/>
      <c r="DS102"/>
    </row>
    <row r="103" spans="1:123" ht="14.4">
      <c r="A103"/>
      <c r="B103" s="542"/>
      <c r="Y103" s="38"/>
      <c r="Z103" s="38"/>
      <c r="AF103" s="629"/>
      <c r="AG103" s="2455"/>
      <c r="AH103" s="467" t="s">
        <v>607</v>
      </c>
      <c r="AI103" s="861">
        <f>AI97</f>
        <v>12887.687483334254</v>
      </c>
      <c r="AJ103" s="23"/>
      <c r="AK103" s="23"/>
      <c r="AL103" s="23"/>
      <c r="AM103" s="23"/>
      <c r="AN103" s="23"/>
      <c r="AO103" s="23"/>
      <c r="AP103" s="23"/>
      <c r="AQ103" s="23"/>
      <c r="AR103" s="426"/>
      <c r="AS103" s="629"/>
      <c r="AW103" s="542"/>
      <c r="AX103" s="542"/>
      <c r="AY103" s="2148"/>
      <c r="AZ103" s="754"/>
      <c r="BA103" s="754"/>
      <c r="BB103" s="754"/>
      <c r="BC103" s="754"/>
      <c r="BD103" s="754"/>
      <c r="BE103" s="754"/>
      <c r="BT103" s="475"/>
      <c r="BU103" s="475"/>
      <c r="BV103" s="475"/>
      <c r="BW103" s="475"/>
      <c r="BX103" s="475"/>
      <c r="BY103" s="475"/>
      <c r="BZ103" s="475"/>
      <c r="CA103" s="475"/>
      <c r="CB103" s="475"/>
      <c r="CC103" s="475"/>
      <c r="CE103" s="563" t="s">
        <v>326</v>
      </c>
      <c r="CF103" s="744">
        <f>AI7</f>
        <v>126.617</v>
      </c>
      <c r="CG103" s="749">
        <f>AI15</f>
        <v>301.779</v>
      </c>
      <c r="CH103" s="744">
        <f>AI23</f>
        <v>2310.06</v>
      </c>
      <c r="CI103" s="749">
        <f>AI31</f>
        <v>740.995</v>
      </c>
      <c r="DK103" s="2479"/>
      <c r="DL103" s="234"/>
      <c r="DM103" s="1682"/>
      <c r="DN103" s="1682"/>
      <c r="DO103" s="234"/>
      <c r="DP103" s="234"/>
      <c r="DQ103" s="2481"/>
      <c r="DR103" s="12"/>
    </row>
    <row r="104" spans="1:123">
      <c r="A104"/>
      <c r="B104" s="542"/>
      <c r="AF104" s="629"/>
      <c r="AG104" s="730" t="s">
        <v>2296</v>
      </c>
      <c r="AH104" s="731"/>
      <c r="AI104" s="643"/>
      <c r="AJ104" s="643"/>
      <c r="AK104" s="641"/>
      <c r="AL104" s="641"/>
      <c r="AM104" s="641"/>
      <c r="AN104" s="641"/>
      <c r="AO104" s="641"/>
      <c r="AP104" s="641"/>
      <c r="AQ104" s="641"/>
      <c r="AR104" s="642"/>
      <c r="AS104" s="629"/>
      <c r="AW104" s="542"/>
      <c r="AX104" s="542"/>
      <c r="AY104" s="2148"/>
      <c r="AZ104" s="754"/>
      <c r="BA104" s="754"/>
      <c r="BB104" s="754"/>
      <c r="BC104" s="754"/>
      <c r="BD104" s="754"/>
      <c r="BE104" s="754"/>
      <c r="BT104" s="475"/>
      <c r="BU104" s="475"/>
      <c r="BV104" s="475"/>
      <c r="BW104" s="475"/>
      <c r="BX104" s="475"/>
      <c r="BY104" s="475"/>
      <c r="BZ104" s="475"/>
      <c r="CA104" s="475"/>
      <c r="CB104" s="475"/>
      <c r="CC104" s="475"/>
      <c r="CE104" s="22"/>
      <c r="CF104" s="436"/>
      <c r="CG104" s="436"/>
      <c r="CH104" s="436"/>
      <c r="CI104" s="711"/>
      <c r="DK104" s="2479"/>
      <c r="DL104" s="234"/>
      <c r="DM104" s="234"/>
      <c r="DN104" s="234"/>
      <c r="DO104" s="234"/>
      <c r="DP104" s="234"/>
      <c r="DQ104" s="2481"/>
      <c r="DR104" s="12"/>
      <c r="DS104" s="754"/>
    </row>
    <row r="105" spans="1:123" ht="18">
      <c r="A105"/>
      <c r="B105" s="542"/>
      <c r="AF105" s="629"/>
      <c r="AG105" s="2436" t="s">
        <v>609</v>
      </c>
      <c r="AH105" s="2446" t="s">
        <v>184</v>
      </c>
      <c r="AI105" s="2447">
        <f>1/CarMoreData!$F$18*10^3*$BU$114</f>
        <v>211.5191783490703</v>
      </c>
      <c r="AJ105" s="406">
        <f>1/CarMoreData!$H$18*10^3*$BU$114</f>
        <v>216.72334595739218</v>
      </c>
      <c r="AK105" s="2444"/>
      <c r="AL105" s="2444"/>
      <c r="AM105" s="2444"/>
      <c r="AN105" s="2444"/>
      <c r="AO105" s="2444"/>
      <c r="AP105" s="2444"/>
      <c r="AQ105" s="2444"/>
      <c r="AR105" s="2445"/>
      <c r="AY105" s="2148"/>
      <c r="AZ105" s="754"/>
      <c r="BA105" s="754"/>
      <c r="BB105" s="754"/>
      <c r="BC105" s="754"/>
      <c r="BD105" s="754"/>
      <c r="BE105" s="754"/>
      <c r="BZ105" s="866" t="s">
        <v>2052</v>
      </c>
      <c r="CA105" s="304"/>
      <c r="CB105" s="304"/>
      <c r="CC105" s="304"/>
      <c r="CE105" s="560" t="s">
        <v>545</v>
      </c>
      <c r="CF105" s="743" t="str">
        <f>CF100</f>
        <v>SE1</v>
      </c>
      <c r="CG105" s="743" t="str">
        <f>CG100</f>
        <v>SE2</v>
      </c>
      <c r="CH105" s="743" t="str">
        <f>CH100</f>
        <v>SE3</v>
      </c>
      <c r="CI105" s="2458" t="str">
        <f>CI100</f>
        <v>SE4</v>
      </c>
      <c r="DK105" s="2479"/>
      <c r="DL105" s="234"/>
      <c r="DM105" s="234"/>
      <c r="DN105" s="2482">
        <f>SUM(DN7:DN104)</f>
        <v>105236.14823419963</v>
      </c>
      <c r="DO105" s="1676"/>
      <c r="DP105" s="1676">
        <f>SUM(DP7:DP104)</f>
        <v>105236.14823419965</v>
      </c>
      <c r="DQ105" s="2480">
        <f>SUM(DQ7:DQ104)</f>
        <v>104183.78675185764</v>
      </c>
      <c r="DS105" s="754"/>
    </row>
    <row r="106" spans="1:123" ht="15" customHeight="1" thickBot="1">
      <c r="A106"/>
      <c r="B106" s="542"/>
      <c r="AF106" s="629"/>
      <c r="AG106" s="2437"/>
      <c r="AH106" s="697" t="s">
        <v>61</v>
      </c>
      <c r="AI106" s="639">
        <f>1/CarMoreData!$F$30*10^3*$BU$114</f>
        <v>210.09639756980272</v>
      </c>
      <c r="AJ106" s="406">
        <f>1/CarMoreData!$H$30*10^3*$BU$114</f>
        <v>213.73073170775214</v>
      </c>
      <c r="AK106" s="625"/>
      <c r="AL106" s="625"/>
      <c r="AM106" s="625"/>
      <c r="AN106" s="625"/>
      <c r="AO106" s="625"/>
      <c r="AP106" s="625"/>
      <c r="AQ106" s="625"/>
      <c r="AR106" s="626"/>
      <c r="AY106" s="2148"/>
      <c r="AZ106" s="754"/>
      <c r="BA106" s="754"/>
      <c r="BB106" s="754"/>
      <c r="BC106" s="754"/>
      <c r="BD106" s="754"/>
      <c r="BE106" s="754"/>
      <c r="BZ106" s="866" t="s">
        <v>2054</v>
      </c>
      <c r="CA106" s="304"/>
      <c r="CB106" s="304"/>
      <c r="CC106" s="304"/>
      <c r="CE106" s="563" t="s">
        <v>61</v>
      </c>
      <c r="CF106" s="744">
        <f>SUM(CarMoreData!N59,CarMoreData!N64)*BA73/$BE$73</f>
        <v>474.56176730705084</v>
      </c>
      <c r="CG106" s="744">
        <f>SUM(CarMoreData!N59,CarMoreData!N64)*BB73/$BE$73</f>
        <v>1131.0715678667175</v>
      </c>
      <c r="CH106" s="744">
        <f>SUM(CarMoreData!N59,CarMoreData!N64)*BC73/$BE$73</f>
        <v>8658.1200774212648</v>
      </c>
      <c r="CI106" s="749">
        <f>SUM(CarMoreData!N59,CarMoreData!N64)*BD73/$BE$73</f>
        <v>2777.2554534049664</v>
      </c>
      <c r="DK106" s="308"/>
      <c r="DL106" s="234"/>
      <c r="DM106" s="234"/>
      <c r="DN106" s="234"/>
      <c r="DO106" s="234"/>
      <c r="DP106" s="234"/>
      <c r="DQ106" s="2483">
        <f>DQ105/DQ108</f>
        <v>0.96511132422076096</v>
      </c>
    </row>
    <row r="107" spans="1:123" ht="14.4">
      <c r="A107"/>
      <c r="AF107" s="629"/>
      <c r="AG107" s="2437"/>
      <c r="AH107" s="697" t="s">
        <v>51</v>
      </c>
      <c r="AI107" s="639">
        <f>1/CarMoreData!$F$18*10^3*$BU$114</f>
        <v>211.5191783490703</v>
      </c>
      <c r="AJ107" s="406">
        <f>1/CarMoreData!$H$18*10^3*$BU$114</f>
        <v>216.72334595739218</v>
      </c>
      <c r="AK107" s="625"/>
      <c r="AL107" s="625"/>
      <c r="AM107" s="625"/>
      <c r="AN107" s="625"/>
      <c r="AO107" s="625"/>
      <c r="AP107" s="625"/>
      <c r="AQ107" s="625"/>
      <c r="AR107" s="626"/>
      <c r="AY107" s="2148"/>
      <c r="AZ107" s="754"/>
      <c r="BA107" s="754"/>
      <c r="BB107" s="754"/>
      <c r="BC107" s="754"/>
      <c r="BD107" s="754"/>
      <c r="BE107" s="754"/>
      <c r="BZ107" s="866" t="s">
        <v>2053</v>
      </c>
      <c r="CA107" s="304"/>
      <c r="CB107" s="304"/>
      <c r="CC107" s="304"/>
      <c r="CE107" s="564" t="s">
        <v>72</v>
      </c>
      <c r="CF107" s="2459">
        <f>CarMoreData!N58*BA73/$BE$73</f>
        <v>1631.8009897619413</v>
      </c>
      <c r="CG107" s="2459">
        <f>CarMoreData!N58*BB73/$BE$73</f>
        <v>3889.2380952010121</v>
      </c>
      <c r="CH107" s="2459">
        <f>CarMoreData!N58*BC73/$BE$73</f>
        <v>29771.317213323786</v>
      </c>
      <c r="CI107" s="2460">
        <f>CarMoreData!N58*BD73/$BE$73</f>
        <v>9549.711986713266</v>
      </c>
      <c r="DK107" s="2479"/>
      <c r="DL107" s="234"/>
      <c r="DM107" s="234"/>
      <c r="DN107" s="234"/>
      <c r="DO107" s="234"/>
      <c r="DP107" s="1976" t="s">
        <v>345</v>
      </c>
      <c r="DQ107" s="1124"/>
    </row>
    <row r="108" spans="1:123" ht="13.8" thickBot="1">
      <c r="A108"/>
      <c r="AF108" s="629"/>
      <c r="AG108" s="2437"/>
      <c r="AH108" s="697" t="s">
        <v>577</v>
      </c>
      <c r="AI108" s="639">
        <f>1/CarMoreData!$F$18*10^3*$BU$114</f>
        <v>211.5191783490703</v>
      </c>
      <c r="AJ108" s="406">
        <f>1/CarMoreData!$H$18*10^3*$BU$114</f>
        <v>216.72334595739218</v>
      </c>
      <c r="AK108" s="625"/>
      <c r="AL108" s="625"/>
      <c r="AM108" s="625"/>
      <c r="AN108" s="625"/>
      <c r="AO108" s="625"/>
      <c r="AP108" s="625"/>
      <c r="AQ108" s="625"/>
      <c r="AR108" s="626"/>
      <c r="AY108" s="2148"/>
      <c r="AZ108" s="754"/>
      <c r="BA108" s="754"/>
      <c r="BB108" s="754"/>
      <c r="BC108" s="754"/>
      <c r="BD108" s="754"/>
      <c r="BE108" s="754"/>
      <c r="BT108" s="784">
        <f>SUM(BA108:BD108)</f>
        <v>0</v>
      </c>
      <c r="BZ108" s="866" t="s">
        <v>2055</v>
      </c>
      <c r="CA108" s="304"/>
      <c r="CB108" s="304"/>
      <c r="CC108" s="304"/>
      <c r="CD108" s="546"/>
      <c r="CE108" s="542"/>
      <c r="CF108" s="542"/>
      <c r="CG108" s="475"/>
      <c r="DK108" s="427"/>
      <c r="DL108" s="2484"/>
      <c r="DM108" s="2484"/>
      <c r="DN108" s="2484"/>
      <c r="DO108" s="2484"/>
      <c r="DP108" s="1977" t="s">
        <v>2192</v>
      </c>
      <c r="DQ108" s="1130">
        <v>107950.02</v>
      </c>
    </row>
    <row r="109" spans="1:123">
      <c r="A109"/>
      <c r="AF109" s="629"/>
      <c r="AG109" s="2437"/>
      <c r="AH109" s="697" t="s">
        <v>49</v>
      </c>
      <c r="AI109" s="639">
        <f>1/CarMoreData!$F$39*10^3*$BU$116</f>
        <v>1431.7402692719502</v>
      </c>
      <c r="AJ109" s="406">
        <f>1/CarMoreData!$H$39*10^3*$BU$116</f>
        <v>1431.7402692719506</v>
      </c>
      <c r="AK109" s="625"/>
      <c r="AL109" s="625"/>
      <c r="AM109" s="625"/>
      <c r="AN109" s="625"/>
      <c r="AO109" s="625"/>
      <c r="AP109" s="625"/>
      <c r="AQ109" s="625"/>
      <c r="AR109" s="626"/>
      <c r="AY109" s="2148"/>
      <c r="AZ109" s="754"/>
      <c r="BA109" s="754"/>
      <c r="BB109" s="754"/>
      <c r="BC109" s="754"/>
      <c r="BD109" s="754"/>
      <c r="BE109" s="754"/>
      <c r="BT109" s="542"/>
      <c r="BU109" s="542"/>
      <c r="BV109" s="542"/>
      <c r="BW109" s="542"/>
      <c r="BX109" s="542"/>
      <c r="BY109" s="542"/>
      <c r="BZ109" s="542"/>
      <c r="CA109" s="542"/>
      <c r="CB109" s="542"/>
      <c r="CC109" s="542"/>
      <c r="CD109" s="542"/>
      <c r="CE109" s="548"/>
      <c r="CF109" s="548"/>
      <c r="CG109" s="475"/>
    </row>
    <row r="110" spans="1:123" ht="14.4">
      <c r="A110"/>
      <c r="AF110" s="629"/>
      <c r="AG110" s="461"/>
      <c r="AH110" s="467" t="s">
        <v>607</v>
      </c>
      <c r="AI110" s="2449">
        <f>AI108</f>
        <v>211.5191783490703</v>
      </c>
      <c r="AJ110" s="2442">
        <f>AJ108</f>
        <v>216.72334595739218</v>
      </c>
      <c r="AK110" s="627"/>
      <c r="AL110" s="627"/>
      <c r="AM110" s="627"/>
      <c r="AN110" s="627"/>
      <c r="AO110" s="627"/>
      <c r="AP110" s="627"/>
      <c r="AQ110" s="627"/>
      <c r="AR110" s="628"/>
      <c r="AY110" s="2148"/>
      <c r="AZ110" s="754"/>
      <c r="BA110" s="754"/>
      <c r="BB110" s="754"/>
      <c r="BC110" s="754"/>
      <c r="BD110" s="754"/>
      <c r="BE110" s="754"/>
      <c r="BT110" s="567" t="s">
        <v>542</v>
      </c>
      <c r="BU110" s="542"/>
      <c r="BV110" s="542"/>
      <c r="BW110" s="542"/>
      <c r="BX110" s="542"/>
      <c r="BY110" s="542"/>
      <c r="BZ110" s="542"/>
      <c r="CA110" s="542"/>
      <c r="CB110" s="542"/>
      <c r="CC110" s="542"/>
      <c r="CD110" s="542"/>
      <c r="CG110" s="475"/>
    </row>
    <row r="111" spans="1:123" ht="19.2">
      <c r="A111"/>
      <c r="AF111" s="629"/>
      <c r="AG111" s="2436" t="s">
        <v>602</v>
      </c>
      <c r="AH111" s="2446" t="s">
        <v>184</v>
      </c>
      <c r="AI111" s="2447">
        <f>1/CarMoreData!$F$18*10^3*$BU$114</f>
        <v>211.5191783490703</v>
      </c>
      <c r="AJ111" s="638">
        <f>1/CarMoreData!$H$18*10^3*$BU$114</f>
        <v>216.72334595739218</v>
      </c>
      <c r="AK111" s="2444"/>
      <c r="AL111" s="2444"/>
      <c r="AM111" s="2444"/>
      <c r="AN111" s="2444"/>
      <c r="AO111" s="2444"/>
      <c r="AP111" s="2444"/>
      <c r="AQ111" s="2444"/>
      <c r="AR111" s="2445"/>
      <c r="AY111" s="2148"/>
      <c r="AZ111" s="754"/>
      <c r="BA111" s="754"/>
      <c r="BB111" s="754"/>
      <c r="BC111" s="754"/>
      <c r="BD111" s="754"/>
      <c r="BE111" s="754"/>
      <c r="BT111" s="542"/>
      <c r="BU111" s="542"/>
      <c r="BV111" s="542"/>
      <c r="BW111" s="542"/>
      <c r="BX111" s="542"/>
      <c r="BY111" s="542"/>
      <c r="BZ111" s="542"/>
      <c r="CA111" s="542"/>
      <c r="CB111" s="542"/>
      <c r="CC111" s="542"/>
      <c r="CD111" s="542"/>
      <c r="CG111" s="475"/>
    </row>
    <row r="112" spans="1:123" ht="12.75" customHeight="1">
      <c r="A112"/>
      <c r="AF112" s="629"/>
      <c r="AG112" s="2437"/>
      <c r="AH112" s="697" t="s">
        <v>61</v>
      </c>
      <c r="AI112" s="639">
        <f>1/CarMoreData!$F$30*10^3*$BU$114</f>
        <v>210.09639756980272</v>
      </c>
      <c r="AJ112" s="640">
        <f>1/CarMoreData!$H$30*10^3*$BU$114</f>
        <v>213.73073170775214</v>
      </c>
      <c r="AK112" s="625"/>
      <c r="AL112" s="625"/>
      <c r="AM112" s="625"/>
      <c r="AN112" s="625"/>
      <c r="AO112" s="625"/>
      <c r="AP112" s="625"/>
      <c r="AQ112" s="625"/>
      <c r="AR112" s="626"/>
      <c r="BT112" s="542"/>
      <c r="BU112" s="3052" t="s">
        <v>529</v>
      </c>
      <c r="BV112" s="3052" t="s">
        <v>530</v>
      </c>
      <c r="BW112" s="3052" t="s">
        <v>531</v>
      </c>
      <c r="CG112" s="475"/>
    </row>
    <row r="113" spans="1:75">
      <c r="A113"/>
      <c r="AF113" s="629"/>
      <c r="AG113" s="2437"/>
      <c r="AH113" s="697" t="s">
        <v>51</v>
      </c>
      <c r="AI113" s="639">
        <f>1/CarMoreData!$F$18*10^3*$BU$114</f>
        <v>211.5191783490703</v>
      </c>
      <c r="AJ113" s="640">
        <f>1/CarMoreData!$H$18*10^3*$BU$114</f>
        <v>216.72334595739218</v>
      </c>
      <c r="AK113" s="625"/>
      <c r="AL113" s="625"/>
      <c r="AM113" s="625"/>
      <c r="AN113" s="625"/>
      <c r="AO113" s="625"/>
      <c r="AP113" s="625"/>
      <c r="AQ113" s="625"/>
      <c r="AR113" s="626"/>
      <c r="BT113" s="546"/>
      <c r="BU113" s="3053"/>
      <c r="BV113" s="3053"/>
      <c r="BW113" s="3053"/>
    </row>
    <row r="114" spans="1:75" ht="14.4">
      <c r="A114"/>
      <c r="AF114" s="629"/>
      <c r="AG114" s="2437"/>
      <c r="AH114" s="697" t="s">
        <v>577</v>
      </c>
      <c r="AI114" s="639">
        <f>1/CarMoreData!$F$18*10^3*$BU$114</f>
        <v>211.5191783490703</v>
      </c>
      <c r="AJ114" s="640">
        <f>1/CarMoreData!$H$18*10^3*$BU$114</f>
        <v>216.72334595739218</v>
      </c>
      <c r="AK114" s="625"/>
      <c r="AL114" s="625"/>
      <c r="AM114" s="625"/>
      <c r="AN114" s="625"/>
      <c r="AO114" s="625"/>
      <c r="AP114" s="625"/>
      <c r="AQ114" s="625"/>
      <c r="AR114" s="626"/>
      <c r="BT114" s="2007" t="s">
        <v>2287</v>
      </c>
      <c r="BU114" s="745">
        <v>0.61</v>
      </c>
      <c r="BV114" s="745">
        <v>6.288371580065058E-2</v>
      </c>
      <c r="BW114" s="745">
        <v>3.8359066638396853E-2</v>
      </c>
    </row>
    <row r="115" spans="1:75" ht="14.4">
      <c r="A115"/>
      <c r="AF115" s="629"/>
      <c r="AG115" s="2437"/>
      <c r="AH115" s="697" t="s">
        <v>49</v>
      </c>
      <c r="AI115" s="639">
        <f>1/CarMoreData!$F$39*10^3*$BU$116</f>
        <v>1431.7402692719502</v>
      </c>
      <c r="AJ115" s="640">
        <f>1/CarMoreData!$H$39*10^3*$BU$116</f>
        <v>1431.7402692719506</v>
      </c>
      <c r="AK115" s="625"/>
      <c r="AL115" s="625"/>
      <c r="AM115" s="625"/>
      <c r="AN115" s="625"/>
      <c r="AO115" s="625"/>
      <c r="AP115" s="625"/>
      <c r="AQ115" s="625"/>
      <c r="AR115" s="626"/>
      <c r="AW115" s="475"/>
      <c r="BT115" s="2007" t="s">
        <v>81</v>
      </c>
      <c r="BU115" s="745">
        <v>0.77</v>
      </c>
      <c r="BV115" s="746">
        <f>SUM(BE69:BE69)/$BE$73</f>
        <v>0.2340010827102447</v>
      </c>
      <c r="BW115" s="746">
        <f>BU115*BV115</f>
        <v>0.18018083368688842</v>
      </c>
    </row>
    <row r="116" spans="1:75" ht="14.4">
      <c r="A116"/>
      <c r="AF116" s="629"/>
      <c r="AG116" s="461"/>
      <c r="AH116" s="467" t="s">
        <v>607</v>
      </c>
      <c r="AI116" s="2449">
        <f>AI114</f>
        <v>211.5191783490703</v>
      </c>
      <c r="AJ116" s="2442">
        <f>AJ114</f>
        <v>216.72334595739218</v>
      </c>
      <c r="AK116" s="627"/>
      <c r="AL116" s="627"/>
      <c r="AM116" s="627"/>
      <c r="AN116" s="627"/>
      <c r="AO116" s="627"/>
      <c r="AP116" s="627"/>
      <c r="AQ116" s="627"/>
      <c r="AR116" s="628"/>
      <c r="AW116" s="475"/>
      <c r="AX116" s="542"/>
      <c r="AY116" s="542"/>
      <c r="AZ116" s="542"/>
      <c r="BA116" s="543"/>
      <c r="BB116" s="543"/>
      <c r="BC116" s="543"/>
      <c r="BD116"/>
      <c r="BK116" s="543"/>
      <c r="BL116" s="543"/>
      <c r="BT116" s="445" t="s">
        <v>82</v>
      </c>
      <c r="BU116" s="745">
        <v>1</v>
      </c>
      <c r="BV116" s="746">
        <f>BE70/$BE$73</f>
        <v>0.22246128043349317</v>
      </c>
      <c r="BW116" s="746">
        <f>BU116*BV116</f>
        <v>0.22246128043349317</v>
      </c>
    </row>
    <row r="117" spans="1:75" ht="12.75" customHeight="1">
      <c r="A117"/>
      <c r="AF117" s="629"/>
      <c r="AG117" s="2436" t="s">
        <v>603</v>
      </c>
      <c r="AH117" s="2446" t="s">
        <v>184</v>
      </c>
      <c r="AI117" s="639">
        <f>1/CarMoreData!$F$18*10^3*$BU$114</f>
        <v>211.5191783490703</v>
      </c>
      <c r="AJ117" s="406">
        <f>1/CarMoreData!$H$18*10^3*$BU$114</f>
        <v>216.72334595739218</v>
      </c>
      <c r="AK117" s="2444"/>
      <c r="AL117" s="2444"/>
      <c r="AM117" s="2444"/>
      <c r="AN117" s="2444"/>
      <c r="AO117" s="2444"/>
      <c r="AP117" s="2444"/>
      <c r="AQ117" s="2444"/>
      <c r="AR117" s="2445"/>
      <c r="AX117" s="542"/>
      <c r="AY117" s="542"/>
      <c r="BD117"/>
      <c r="BK117" s="543"/>
      <c r="BL117" s="543"/>
      <c r="BM117" s="542"/>
      <c r="BN117" s="542"/>
      <c r="BO117" s="542"/>
      <c r="BP117" s="542"/>
      <c r="BQ117" s="542"/>
      <c r="BT117" s="445" t="s">
        <v>83</v>
      </c>
      <c r="BU117" s="2009">
        <f>(1-BV115*BU115-BU116*BV116-BU114*BV114)/BV117</f>
        <v>1.1103766931956758</v>
      </c>
      <c r="BV117" s="746">
        <f>BE72/$BE$73</f>
        <v>0.50343169364661033</v>
      </c>
      <c r="BW117" s="746">
        <f>BU117*BV117</f>
        <v>0.55899881924122163</v>
      </c>
    </row>
    <row r="118" spans="1:75" ht="12.75" customHeight="1">
      <c r="A118"/>
      <c r="AF118" s="629"/>
      <c r="AG118" s="2437"/>
      <c r="AH118" s="697" t="s">
        <v>61</v>
      </c>
      <c r="AI118" s="639">
        <f>1/CarMoreData!$F$30*10^3*$BU$114</f>
        <v>210.09639756980272</v>
      </c>
      <c r="AJ118" s="406">
        <f>1/CarMoreData!$H$30*10^3*$BU$114</f>
        <v>213.73073170775214</v>
      </c>
      <c r="AK118" s="625"/>
      <c r="AL118" s="625"/>
      <c r="AM118" s="625"/>
      <c r="AN118" s="625"/>
      <c r="AO118" s="625"/>
      <c r="AP118" s="625"/>
      <c r="AQ118" s="625"/>
      <c r="AR118" s="626"/>
      <c r="AX118" s="542"/>
      <c r="AY118" s="542"/>
      <c r="BD118"/>
      <c r="BK118" s="543"/>
      <c r="BL118" s="543"/>
      <c r="BM118" s="542"/>
      <c r="BN118" s="542"/>
      <c r="BO118" s="542"/>
      <c r="BP118" s="542"/>
      <c r="BQ118" s="542"/>
      <c r="BT118" s="475"/>
    </row>
    <row r="119" spans="1:75" ht="12.75" customHeight="1">
      <c r="A119"/>
      <c r="AF119" s="629"/>
      <c r="AG119" s="2437"/>
      <c r="AH119" s="697" t="s">
        <v>51</v>
      </c>
      <c r="AI119" s="639">
        <f>1/CarMoreData!$F$18*10^3*$BU$114</f>
        <v>211.5191783490703</v>
      </c>
      <c r="AJ119" s="406">
        <f>1/CarMoreData!$H$18*10^3*$BU$114</f>
        <v>216.72334595739218</v>
      </c>
      <c r="AK119" s="625"/>
      <c r="AL119" s="625"/>
      <c r="AM119" s="625"/>
      <c r="AN119" s="625"/>
      <c r="AO119" s="625"/>
      <c r="AP119" s="625"/>
      <c r="AQ119" s="625"/>
      <c r="AR119" s="626"/>
      <c r="AV119" s="2325"/>
      <c r="AX119" s="542"/>
      <c r="AY119" s="542"/>
      <c r="BD119"/>
      <c r="BK119" s="542"/>
      <c r="BL119" s="542"/>
      <c r="BM119" s="542"/>
      <c r="BN119" s="542"/>
      <c r="BO119" s="542"/>
      <c r="BP119" s="542"/>
      <c r="BQ119" s="542"/>
      <c r="BT119" s="231"/>
      <c r="BU119" s="231"/>
    </row>
    <row r="120" spans="1:75" ht="15" customHeight="1">
      <c r="A120"/>
      <c r="AF120" s="629"/>
      <c r="AG120" s="2437"/>
      <c r="AH120" s="697" t="s">
        <v>577</v>
      </c>
      <c r="AI120" s="639">
        <f>1/CarMoreData!$F$18*10^3*$BU$114</f>
        <v>211.5191783490703</v>
      </c>
      <c r="AJ120" s="406">
        <f>1/CarMoreData!$H$18*10^3*$BU$114</f>
        <v>216.72334595739218</v>
      </c>
      <c r="AK120" s="625"/>
      <c r="AL120" s="625"/>
      <c r="AM120" s="625"/>
      <c r="AN120" s="625"/>
      <c r="AO120" s="625"/>
      <c r="AP120" s="625"/>
      <c r="AQ120" s="625"/>
      <c r="AR120" s="626"/>
      <c r="AX120" s="542"/>
      <c r="AY120" s="542"/>
      <c r="BD120"/>
      <c r="BK120" s="542"/>
      <c r="BL120" s="542"/>
      <c r="BM120" s="542"/>
      <c r="BN120" s="542"/>
      <c r="BO120" s="542"/>
      <c r="BP120" s="542"/>
      <c r="BQ120" s="542"/>
      <c r="BR120" s="542"/>
      <c r="BS120" s="475"/>
      <c r="BT120" s="546"/>
    </row>
    <row r="121" spans="1:75">
      <c r="A121"/>
      <c r="AF121" s="629"/>
      <c r="AG121" s="2437"/>
      <c r="AH121" s="697" t="s">
        <v>49</v>
      </c>
      <c r="AI121" s="639">
        <f>1/CarMoreData!$F$39*10^3*$BU$116</f>
        <v>1431.7402692719502</v>
      </c>
      <c r="AJ121" s="406">
        <f>1/CarMoreData!$H$39*10^3*$BU$116</f>
        <v>1431.7402692719506</v>
      </c>
      <c r="AK121" s="625"/>
      <c r="AL121" s="625"/>
      <c r="AM121" s="625"/>
      <c r="AN121" s="625"/>
      <c r="AO121" s="625"/>
      <c r="AP121" s="625"/>
      <c r="AQ121" s="625"/>
      <c r="AR121" s="626"/>
      <c r="AX121" s="542"/>
      <c r="AY121" s="542"/>
      <c r="BD121"/>
      <c r="BK121" s="542"/>
      <c r="BL121" s="542"/>
      <c r="BM121" s="542"/>
      <c r="BN121" s="542"/>
      <c r="BO121" s="542"/>
      <c r="BP121" s="542"/>
      <c r="BQ121" s="542"/>
      <c r="BR121" s="542"/>
      <c r="BS121" s="542"/>
      <c r="BT121" s="475"/>
    </row>
    <row r="122" spans="1:75">
      <c r="A122"/>
      <c r="AF122" s="629"/>
      <c r="AG122" s="461"/>
      <c r="AH122" s="467" t="s">
        <v>607</v>
      </c>
      <c r="AI122" s="2449">
        <f>AI120</f>
        <v>211.5191783490703</v>
      </c>
      <c r="AJ122" s="2442">
        <f>AJ120</f>
        <v>216.72334595739218</v>
      </c>
      <c r="AK122" s="627"/>
      <c r="AL122" s="627"/>
      <c r="AM122" s="627"/>
      <c r="AN122" s="627"/>
      <c r="AO122" s="627"/>
      <c r="AP122" s="627"/>
      <c r="AQ122" s="627"/>
      <c r="AR122" s="628"/>
      <c r="AX122" s="542"/>
      <c r="AY122" s="542"/>
      <c r="BD122"/>
      <c r="BK122" s="542"/>
      <c r="BL122" s="542"/>
      <c r="BM122" s="542"/>
      <c r="BN122" s="542"/>
      <c r="BO122" s="542"/>
      <c r="BP122" s="542"/>
      <c r="BQ122" s="542"/>
      <c r="BT122" s="475"/>
    </row>
    <row r="123" spans="1:75" ht="19.2">
      <c r="A123"/>
      <c r="AF123" s="629"/>
      <c r="AG123" s="2436" t="s">
        <v>604</v>
      </c>
      <c r="AH123" s="2446" t="s">
        <v>184</v>
      </c>
      <c r="AI123" s="2447">
        <f>1/CarMoreData!$F$18*10^3*$BU$114</f>
        <v>211.5191783490703</v>
      </c>
      <c r="AJ123" s="638">
        <f>1/CarMoreData!$H$18*10^3*$BU$114</f>
        <v>216.72334595739218</v>
      </c>
      <c r="AK123" s="2444"/>
      <c r="AL123" s="2444"/>
      <c r="AM123" s="2444"/>
      <c r="AN123" s="2444"/>
      <c r="AO123" s="2444"/>
      <c r="AP123" s="2444"/>
      <c r="AQ123" s="2444"/>
      <c r="AR123" s="2445"/>
      <c r="AX123" s="542"/>
      <c r="AY123" s="542"/>
      <c r="BD123"/>
      <c r="BG123"/>
    </row>
    <row r="124" spans="1:75" ht="12.75" customHeight="1">
      <c r="A124"/>
      <c r="AF124" s="629"/>
      <c r="AG124" s="2437"/>
      <c r="AH124" s="697" t="s">
        <v>61</v>
      </c>
      <c r="AI124" s="639">
        <f>1/CarMoreData!$F$30*10^3*$BU$114</f>
        <v>210.09639756980272</v>
      </c>
      <c r="AJ124" s="640">
        <f>1/CarMoreData!$H$30*10^3*$BU$114</f>
        <v>213.73073170775214</v>
      </c>
      <c r="AK124" s="625"/>
      <c r="AL124" s="625"/>
      <c r="AM124" s="625"/>
      <c r="AN124" s="625"/>
      <c r="AO124" s="625"/>
      <c r="AP124" s="625"/>
      <c r="AQ124" s="625"/>
      <c r="AR124" s="626"/>
      <c r="AX124" s="542"/>
      <c r="AY124" s="542"/>
      <c r="BD124"/>
      <c r="BG124"/>
    </row>
    <row r="125" spans="1:75" ht="15" customHeight="1">
      <c r="A125"/>
      <c r="AF125" s="629"/>
      <c r="AG125" s="2437"/>
      <c r="AH125" s="697" t="s">
        <v>51</v>
      </c>
      <c r="AI125" s="639">
        <f>1/CarMoreData!$F$18*10^3*$BU$114</f>
        <v>211.5191783490703</v>
      </c>
      <c r="AJ125" s="640">
        <f>1/CarMoreData!$H$18*10^3*$BU$114</f>
        <v>216.72334595739218</v>
      </c>
      <c r="AK125" s="625"/>
      <c r="AL125" s="625"/>
      <c r="AM125" s="625"/>
      <c r="AN125" s="625"/>
      <c r="AO125" s="625"/>
      <c r="AP125" s="625"/>
      <c r="AQ125" s="625"/>
      <c r="AR125" s="626"/>
      <c r="AX125" s="542"/>
      <c r="AY125" s="542"/>
      <c r="BD125"/>
      <c r="BG125"/>
    </row>
    <row r="126" spans="1:75">
      <c r="A126"/>
      <c r="AF126" s="629"/>
      <c r="AG126" s="2437"/>
      <c r="AH126" s="697" t="s">
        <v>577</v>
      </c>
      <c r="AI126" s="639">
        <f>1/CarMoreData!$F$18*10^3*$BU$114</f>
        <v>211.5191783490703</v>
      </c>
      <c r="AJ126" s="640">
        <f>1/CarMoreData!$H$18*10^3*$BU$114</f>
        <v>216.72334595739218</v>
      </c>
      <c r="AK126" s="625"/>
      <c r="AL126" s="625"/>
      <c r="AM126" s="625"/>
      <c r="AN126" s="625"/>
      <c r="AO126" s="625"/>
      <c r="AP126" s="625"/>
      <c r="AQ126" s="625"/>
      <c r="AR126" s="626"/>
      <c r="AX126" s="542"/>
      <c r="AY126" s="542"/>
      <c r="BD126"/>
      <c r="BG126"/>
    </row>
    <row r="127" spans="1:75">
      <c r="A127"/>
      <c r="AF127" s="629"/>
      <c r="AG127" s="2437"/>
      <c r="AH127" s="697" t="s">
        <v>49</v>
      </c>
      <c r="AI127" s="639">
        <f>1/CarMoreData!$F$39*10^3*$BU$116</f>
        <v>1431.7402692719502</v>
      </c>
      <c r="AJ127" s="640">
        <f>1/CarMoreData!$H$39*10^3*$BU$116</f>
        <v>1431.7402692719506</v>
      </c>
      <c r="AK127" s="625"/>
      <c r="AL127" s="625"/>
      <c r="AM127" s="625"/>
      <c r="AN127" s="625"/>
      <c r="AO127" s="625"/>
      <c r="AP127" s="625"/>
      <c r="AQ127" s="625"/>
      <c r="AR127" s="626"/>
      <c r="AX127" s="542"/>
      <c r="AY127" s="542"/>
      <c r="BD127"/>
      <c r="BG127"/>
    </row>
    <row r="128" spans="1:75">
      <c r="A128"/>
      <c r="AF128" s="629"/>
      <c r="AG128" s="461"/>
      <c r="AH128" s="467" t="s">
        <v>607</v>
      </c>
      <c r="AI128" s="2449">
        <f>AI126</f>
        <v>211.5191783490703</v>
      </c>
      <c r="AJ128" s="2442">
        <f>AJ126</f>
        <v>216.72334595739218</v>
      </c>
      <c r="AK128" s="627"/>
      <c r="AL128" s="627"/>
      <c r="AM128" s="627"/>
      <c r="AN128" s="627"/>
      <c r="AO128" s="627"/>
      <c r="AP128" s="627"/>
      <c r="AQ128" s="627"/>
      <c r="AR128" s="628"/>
      <c r="AX128" s="542"/>
      <c r="AY128" s="542"/>
      <c r="BD128"/>
      <c r="BG128"/>
    </row>
    <row r="129" spans="1:59">
      <c r="A129"/>
      <c r="AF129" s="629"/>
      <c r="AG129" s="730" t="s">
        <v>585</v>
      </c>
      <c r="AH129" s="731"/>
      <c r="AI129" s="643"/>
      <c r="AJ129" s="643"/>
      <c r="AK129" s="641"/>
      <c r="AL129" s="641"/>
      <c r="AM129" s="641"/>
      <c r="AN129" s="641"/>
      <c r="AO129" s="641"/>
      <c r="AP129" s="641"/>
      <c r="AQ129" s="641"/>
      <c r="AR129" s="642"/>
      <c r="AX129" s="542"/>
      <c r="AY129" s="542"/>
      <c r="BD129"/>
      <c r="BG129"/>
    </row>
    <row r="130" spans="1:59" ht="19.2">
      <c r="A130"/>
      <c r="B130" s="754"/>
      <c r="C130" s="754"/>
      <c r="D130" s="754"/>
      <c r="E130" s="754"/>
      <c r="F130" s="754"/>
      <c r="H130" s="754"/>
      <c r="AF130"/>
      <c r="AG130" s="2436" t="s">
        <v>601</v>
      </c>
      <c r="AH130" s="2446" t="s">
        <v>184</v>
      </c>
      <c r="AI130" s="2447">
        <f>1/CarMoreData!$F$18*10^3*$BU$115</f>
        <v>266.99961857177726</v>
      </c>
      <c r="AJ130" s="406">
        <f>1/CarMoreData!$H$18*10^3*$BU$115</f>
        <v>273.56881374949506</v>
      </c>
      <c r="AK130" s="2444"/>
      <c r="AL130" s="2444"/>
      <c r="AM130" s="2444"/>
      <c r="AN130" s="2444"/>
      <c r="AO130" s="2444"/>
      <c r="AP130" s="2444"/>
      <c r="AQ130" s="2444"/>
      <c r="AR130" s="2445"/>
      <c r="AT130"/>
      <c r="AU130"/>
      <c r="AV130"/>
      <c r="AX130" s="542"/>
      <c r="AY130" s="542"/>
      <c r="BD130"/>
      <c r="BG130"/>
    </row>
    <row r="131" spans="1:59" ht="12.75" customHeight="1">
      <c r="A131"/>
      <c r="B131" s="754"/>
      <c r="C131" s="754"/>
      <c r="D131" s="754"/>
      <c r="E131" s="754"/>
      <c r="F131" s="754"/>
      <c r="H131" s="754"/>
      <c r="AF131"/>
      <c r="AG131" s="2437"/>
      <c r="AH131" s="697" t="s">
        <v>61</v>
      </c>
      <c r="AI131" s="639">
        <f>1/CarMoreData!$F$30*10^3*$BU$115</f>
        <v>265.20364939139034</v>
      </c>
      <c r="AJ131" s="406">
        <f>1/CarMoreData!$H$30*10^3*$BU$115</f>
        <v>269.79125149994945</v>
      </c>
      <c r="AK131" s="625"/>
      <c r="AL131" s="625"/>
      <c r="AM131" s="625"/>
      <c r="AN131" s="625"/>
      <c r="AO131" s="625"/>
      <c r="AP131" s="625"/>
      <c r="AQ131" s="625"/>
      <c r="AR131" s="626"/>
      <c r="AT131"/>
      <c r="AU131"/>
      <c r="AV131"/>
      <c r="AX131" s="542"/>
      <c r="AY131" s="542"/>
      <c r="BD131"/>
      <c r="BG131"/>
    </row>
    <row r="132" spans="1:59">
      <c r="A132"/>
      <c r="B132" s="754"/>
      <c r="C132" s="754"/>
      <c r="D132" s="754"/>
      <c r="E132" s="754"/>
      <c r="F132" s="754"/>
      <c r="H132" s="754"/>
      <c r="I132" s="38"/>
      <c r="J132" s="38"/>
      <c r="K132" s="38"/>
      <c r="L132" s="38"/>
      <c r="M132" s="38"/>
      <c r="N132" s="38"/>
      <c r="O132" s="38"/>
      <c r="P132" s="38"/>
      <c r="Q132" s="38"/>
      <c r="R132" s="38"/>
      <c r="S132" s="38"/>
      <c r="T132" s="38"/>
      <c r="U132" s="38"/>
      <c r="V132" s="2691" t="s">
        <v>3180</v>
      </c>
      <c r="AF132"/>
      <c r="AG132" s="2437"/>
      <c r="AH132" s="697" t="s">
        <v>51</v>
      </c>
      <c r="AI132" s="639">
        <f>1/CarMoreData!$F$18*10^3*$BU$115</f>
        <v>266.99961857177726</v>
      </c>
      <c r="AJ132" s="406">
        <f>1/CarMoreData!$H$18*10^3*$BU$115</f>
        <v>273.56881374949506</v>
      </c>
      <c r="AK132" s="625"/>
      <c r="AL132" s="625"/>
      <c r="AM132" s="625"/>
      <c r="AN132" s="625"/>
      <c r="AO132" s="625"/>
      <c r="AP132" s="625"/>
      <c r="AQ132" s="625"/>
      <c r="AR132" s="626"/>
      <c r="AT132"/>
      <c r="AU132"/>
      <c r="AV132"/>
      <c r="AX132" s="542"/>
      <c r="AY132" s="542"/>
      <c r="BD132"/>
      <c r="BG132"/>
    </row>
    <row r="133" spans="1:59">
      <c r="A133"/>
      <c r="B133" s="754"/>
      <c r="C133" s="754"/>
      <c r="D133" s="754"/>
      <c r="E133" s="754"/>
      <c r="F133" s="754"/>
      <c r="H133" s="754"/>
      <c r="R133" s="542"/>
      <c r="S133" s="542"/>
      <c r="T133" s="542"/>
      <c r="U133" s="542"/>
      <c r="V133" s="2691"/>
      <c r="W133" s="748"/>
      <c r="X133" s="748"/>
      <c r="AF133"/>
      <c r="AG133" s="2437"/>
      <c r="AH133" s="697" t="s">
        <v>577</v>
      </c>
      <c r="AI133" s="639">
        <f>1/CarMoreData!$F$18*10^3*$BU$115</f>
        <v>266.99961857177726</v>
      </c>
      <c r="AJ133" s="406">
        <f>1/CarMoreData!$H$18*10^3*$BU$115</f>
        <v>273.56881374949506</v>
      </c>
      <c r="AK133" s="625"/>
      <c r="AL133" s="625"/>
      <c r="AM133" s="625"/>
      <c r="AN133" s="625"/>
      <c r="AO133" s="625"/>
      <c r="AP133" s="625"/>
      <c r="AQ133" s="625"/>
      <c r="AR133" s="626"/>
      <c r="AT133"/>
      <c r="AU133"/>
      <c r="AV133"/>
      <c r="AX133" s="542"/>
      <c r="AY133" s="542"/>
      <c r="BD133"/>
      <c r="BG133"/>
    </row>
    <row r="134" spans="1:59">
      <c r="A134"/>
      <c r="B134" s="754"/>
      <c r="C134" s="754"/>
      <c r="D134" s="754"/>
      <c r="E134" s="754"/>
      <c r="F134" s="754"/>
      <c r="H134" s="754"/>
      <c r="I134" s="598" t="s">
        <v>600</v>
      </c>
      <c r="J134" s="23"/>
      <c r="K134" s="23"/>
      <c r="L134" s="23"/>
      <c r="M134" s="23"/>
      <c r="N134" s="23"/>
      <c r="O134" s="23"/>
      <c r="Q134" s="23"/>
      <c r="R134" s="23"/>
      <c r="S134" s="542"/>
      <c r="T134" s="542"/>
      <c r="U134" s="542"/>
      <c r="V134" s="2691" t="s">
        <v>2289</v>
      </c>
      <c r="W134" s="748"/>
      <c r="X134" s="561" t="s">
        <v>601</v>
      </c>
      <c r="Y134" s="31" t="s">
        <v>602</v>
      </c>
      <c r="Z134" s="444" t="s">
        <v>603</v>
      </c>
      <c r="AA134" s="444" t="s">
        <v>604</v>
      </c>
      <c r="AC134" s="444" t="s">
        <v>567</v>
      </c>
      <c r="AF134"/>
      <c r="AG134" s="2437"/>
      <c r="AH134" s="697" t="s">
        <v>49</v>
      </c>
      <c r="AI134" s="639">
        <f>1/CarMoreData!$F$39*10^3*$BU$116</f>
        <v>1431.7402692719502</v>
      </c>
      <c r="AJ134" s="406">
        <f>1/CarMoreData!$H$39*10^3*$BU$116</f>
        <v>1431.7402692719506</v>
      </c>
      <c r="AK134" s="625"/>
      <c r="AL134" s="625"/>
      <c r="AM134" s="625"/>
      <c r="AN134" s="625"/>
      <c r="AO134" s="625"/>
      <c r="AP134" s="625"/>
      <c r="AQ134" s="625"/>
      <c r="AR134" s="626"/>
      <c r="AT134"/>
      <c r="AU134"/>
      <c r="AV134"/>
      <c r="AX134" s="542"/>
      <c r="AY134" s="542"/>
      <c r="BD134"/>
      <c r="BG134"/>
    </row>
    <row r="135" spans="1:59" ht="14.4">
      <c r="A135"/>
      <c r="B135" s="754"/>
      <c r="C135" s="754"/>
      <c r="D135" s="754"/>
      <c r="E135" s="754"/>
      <c r="F135" s="754"/>
      <c r="H135" s="754"/>
      <c r="I135" s="540"/>
      <c r="J135" s="539"/>
      <c r="K135" s="707" t="s">
        <v>344</v>
      </c>
      <c r="L135" s="707"/>
      <c r="M135" s="707"/>
      <c r="N135" s="707"/>
      <c r="O135" s="707"/>
      <c r="P135" s="707"/>
      <c r="Q135" s="707"/>
      <c r="R135" s="597"/>
      <c r="S135" s="565" t="s">
        <v>579</v>
      </c>
      <c r="T135" s="610" t="s">
        <v>578</v>
      </c>
      <c r="U135" s="542"/>
      <c r="V135" s="1615" t="s">
        <v>2290</v>
      </c>
      <c r="W135" s="725"/>
      <c r="X135" s="2751">
        <f>'SE Driving patterns'!C7</f>
        <v>5.0803730281783234E-2</v>
      </c>
      <c r="Y135" s="2751">
        <f>'SE Driving patterns'!C22</f>
        <v>4.1969686632245623E-2</v>
      </c>
      <c r="Z135" s="2751">
        <f>'SE Driving patterns'!C37</f>
        <v>4.0207008532722487E-2</v>
      </c>
      <c r="AA135" s="2751">
        <f>'SE Driving patterns'!C52</f>
        <v>3.7203861002108228E-2</v>
      </c>
      <c r="AC135" s="12">
        <v>0.1</v>
      </c>
      <c r="AF135"/>
      <c r="AG135" s="461"/>
      <c r="AH135" s="467" t="s">
        <v>607</v>
      </c>
      <c r="AI135" s="2449">
        <f>AI133</f>
        <v>266.99961857177726</v>
      </c>
      <c r="AJ135" s="2442">
        <f>AJ133</f>
        <v>273.56881374949506</v>
      </c>
      <c r="AK135" s="627"/>
      <c r="AL135" s="627"/>
      <c r="AM135" s="627"/>
      <c r="AN135" s="627"/>
      <c r="AO135" s="627"/>
      <c r="AP135" s="627"/>
      <c r="AQ135" s="627"/>
      <c r="AR135" s="628"/>
      <c r="AT135"/>
      <c r="AU135"/>
      <c r="AV135"/>
      <c r="AX135" s="542"/>
      <c r="AY135" s="542"/>
      <c r="BD135"/>
      <c r="BG135"/>
    </row>
    <row r="136" spans="1:59" ht="19.2">
      <c r="A136"/>
      <c r="B136" s="754"/>
      <c r="C136" s="754"/>
      <c r="D136" s="754"/>
      <c r="E136" s="754"/>
      <c r="F136" s="754"/>
      <c r="H136" s="754"/>
      <c r="I136" s="541"/>
      <c r="J136" s="538"/>
      <c r="K136" s="556" t="s">
        <v>61</v>
      </c>
      <c r="L136" s="556" t="s">
        <v>72</v>
      </c>
      <c r="M136" s="556" t="s">
        <v>51</v>
      </c>
      <c r="N136" s="556" t="s">
        <v>566</v>
      </c>
      <c r="O136" s="556" t="s">
        <v>567</v>
      </c>
      <c r="P136" s="556" t="s">
        <v>607</v>
      </c>
      <c r="Q136" s="556" t="s">
        <v>124</v>
      </c>
      <c r="R136" s="2360"/>
      <c r="S136" s="542" t="str">
        <f>Commodities!$D$80</f>
        <v>TRADSBL1</v>
      </c>
      <c r="T136" s="250" t="s">
        <v>61</v>
      </c>
      <c r="U136" s="542"/>
      <c r="V136" s="2008" t="s">
        <v>2291</v>
      </c>
      <c r="W136" s="467"/>
      <c r="X136" s="2751">
        <f>'SE Driving patterns'!D7</f>
        <v>0.25356727683990965</v>
      </c>
      <c r="Y136" s="2751">
        <f>'SE Driving patterns'!D22</f>
        <v>0.22141521801670719</v>
      </c>
      <c r="Z136" s="2751">
        <f>'SE Driving patterns'!D37</f>
        <v>0.23254183648799168</v>
      </c>
      <c r="AA136" s="2751">
        <f>'SE Driving patterns'!D52</f>
        <v>0.24033268430615196</v>
      </c>
      <c r="AC136" s="12">
        <v>0.4</v>
      </c>
      <c r="AF136"/>
      <c r="AG136" s="2436" t="s">
        <v>602</v>
      </c>
      <c r="AH136" s="2446" t="s">
        <v>184</v>
      </c>
      <c r="AI136" s="2447">
        <f>1/CarMoreData!$F$18*10^3*$BU$115</f>
        <v>266.99961857177726</v>
      </c>
      <c r="AJ136" s="638">
        <f>1/CarMoreData!$H$18*10^3*$BU$115</f>
        <v>273.56881374949506</v>
      </c>
      <c r="AK136" s="2444"/>
      <c r="AL136" s="2444"/>
      <c r="AM136" s="2444"/>
      <c r="AN136" s="2444"/>
      <c r="AO136" s="2444"/>
      <c r="AP136" s="2444"/>
      <c r="AQ136" s="2444"/>
      <c r="AR136" s="2445"/>
      <c r="AT136"/>
      <c r="AU136"/>
      <c r="AV136"/>
      <c r="AX136" s="542"/>
      <c r="AY136" s="542"/>
      <c r="BD136"/>
      <c r="BG136"/>
    </row>
    <row r="137" spans="1:59" ht="15" customHeight="1">
      <c r="A137"/>
      <c r="B137" s="754"/>
      <c r="C137" s="754"/>
      <c r="D137" s="754"/>
      <c r="E137" s="754"/>
      <c r="F137" s="754"/>
      <c r="H137" s="754"/>
      <c r="I137" s="541" t="str">
        <f>Commodities!D6</f>
        <v>TPCAX</v>
      </c>
      <c r="J137" s="538" t="s">
        <v>601</v>
      </c>
      <c r="K137" s="595">
        <f>M7*$L$7*$H$7*$O$7/J7</f>
        <v>0.11475450463306307</v>
      </c>
      <c r="L137" s="595">
        <f>M11*$L$11*$H$11*$O$11/J11</f>
        <v>0.39193409318468531</v>
      </c>
      <c r="M137" s="595">
        <f>M15*$L$15*$H$15*$O$15/J15</f>
        <v>0</v>
      </c>
      <c r="N137" s="595">
        <f>M19*$L$19*$H$19*$O$19/J19</f>
        <v>3.9299066938446765E-3</v>
      </c>
      <c r="O137" s="595">
        <f>M23*$L$23*$H$23*$O$23/J23</f>
        <v>6.8448169059206315E-6</v>
      </c>
      <c r="P137" s="595">
        <f>M27*$L$27*$H$27*$O$27/J27</f>
        <v>2.5209184034498348E-2</v>
      </c>
      <c r="Q137" s="595">
        <f t="shared" ref="Q137:Q152" si="49">SUM(K137:P137)</f>
        <v>0.53583453336299725</v>
      </c>
      <c r="R137" s="2360"/>
      <c r="S137" s="542" t="str">
        <f>Commodities!$D$85</f>
        <v>TRAGSBL1</v>
      </c>
      <c r="T137" s="542" t="s">
        <v>184</v>
      </c>
      <c r="U137" s="542"/>
      <c r="V137" s="2008" t="s">
        <v>2292</v>
      </c>
      <c r="W137" s="467"/>
      <c r="X137" s="2751">
        <f>'SE Driving patterns'!E7</f>
        <v>0.19568103798130093</v>
      </c>
      <c r="Y137" s="2751">
        <f>'SE Driving patterns'!E22</f>
        <v>0.19211349098651823</v>
      </c>
      <c r="Z137" s="2751">
        <f>'SE Driving patterns'!E37</f>
        <v>0.221833860855045</v>
      </c>
      <c r="AA137" s="2751">
        <f>'SE Driving patterns'!E52</f>
        <v>0.2413528357504183</v>
      </c>
      <c r="AC137" s="12">
        <v>0.4</v>
      </c>
      <c r="AF137"/>
      <c r="AG137" s="2437"/>
      <c r="AH137" s="697" t="s">
        <v>61</v>
      </c>
      <c r="AI137" s="639">
        <f>1/CarMoreData!$F$30*10^3*$BU$115</f>
        <v>265.20364939139034</v>
      </c>
      <c r="AJ137" s="640">
        <f>1/CarMoreData!$H$30*10^3*$BU$115</f>
        <v>269.79125149994945</v>
      </c>
      <c r="AK137" s="625"/>
      <c r="AL137" s="625"/>
      <c r="AM137" s="625"/>
      <c r="AN137" s="625"/>
      <c r="AO137" s="625"/>
      <c r="AP137" s="625"/>
      <c r="AQ137" s="625"/>
      <c r="AR137" s="626"/>
      <c r="AT137"/>
      <c r="AU137"/>
      <c r="AV137"/>
      <c r="AX137" s="542"/>
      <c r="AY137" s="542"/>
      <c r="BD137"/>
      <c r="BG137"/>
    </row>
    <row r="138" spans="1:59" ht="14.4">
      <c r="A138"/>
      <c r="B138" s="754"/>
      <c r="C138" s="754"/>
      <c r="D138" s="754"/>
      <c r="E138" s="754"/>
      <c r="F138" s="754"/>
      <c r="H138" s="754"/>
      <c r="I138" s="541" t="str">
        <f>Commodities!D7</f>
        <v>TPCAS</v>
      </c>
      <c r="J138" s="538" t="s">
        <v>601</v>
      </c>
      <c r="K138" s="595">
        <f>M8*$L$7*$H$7*$O$7/J8</f>
        <v>0.45373936333279685</v>
      </c>
      <c r="L138" s="595">
        <f>M12*$L$11*$H$11*$O$11/J12</f>
        <v>1.5497075821004254</v>
      </c>
      <c r="M138" s="595">
        <f>M16*$L$15*$H$15*$O$15/J16</f>
        <v>0</v>
      </c>
      <c r="N138" s="595">
        <f>M20*$L$19*$H$19*$O$19/J20</f>
        <v>1.5538852848732685E-2</v>
      </c>
      <c r="O138" s="595">
        <f>M24*$L$23*$H$23*$O$23/J24</f>
        <v>2.7379267623682526E-5</v>
      </c>
      <c r="P138" s="595">
        <f>M28*$L$27*$H$27*$O$27/J28</f>
        <v>9.9677125098729738E-2</v>
      </c>
      <c r="Q138" s="595">
        <f t="shared" si="49"/>
        <v>2.1186903026483086</v>
      </c>
      <c r="R138" s="2360"/>
      <c r="S138" s="542" t="str">
        <f>Commodities!$D$56</f>
        <v>TRALPG</v>
      </c>
      <c r="T138" s="250" t="s">
        <v>51</v>
      </c>
      <c r="U138" s="542"/>
      <c r="V138" s="2010" t="s">
        <v>2293</v>
      </c>
      <c r="W138" s="734"/>
      <c r="X138" s="2751">
        <f>'SE Driving patterns'!F7</f>
        <v>0.49994795489700627</v>
      </c>
      <c r="Y138" s="2751">
        <f>'SE Driving patterns'!F22</f>
        <v>0.54450160436452888</v>
      </c>
      <c r="Z138" s="2751">
        <f>'SE Driving patterns'!F37</f>
        <v>0.50541729412424075</v>
      </c>
      <c r="AA138" s="2751">
        <f>'SE Driving patterns'!F52</f>
        <v>0.4811106189413214</v>
      </c>
      <c r="AC138" s="12">
        <v>0.1</v>
      </c>
      <c r="AF138"/>
      <c r="AG138" s="2437"/>
      <c r="AH138" s="697" t="s">
        <v>51</v>
      </c>
      <c r="AI138" s="639">
        <f>1/CarMoreData!$F$18*10^3*$BU$115</f>
        <v>266.99961857177726</v>
      </c>
      <c r="AJ138" s="640">
        <f>1/CarMoreData!$H$18*10^3*$BU$115</f>
        <v>273.56881374949506</v>
      </c>
      <c r="AK138" s="625"/>
      <c r="AL138" s="625"/>
      <c r="AM138" s="625"/>
      <c r="AN138" s="625"/>
      <c r="AO138" s="625"/>
      <c r="AP138" s="625"/>
      <c r="AQ138" s="625"/>
      <c r="AR138" s="626"/>
      <c r="AT138"/>
      <c r="AU138"/>
      <c r="AV138"/>
      <c r="AX138" s="542"/>
      <c r="AY138" s="542"/>
      <c r="BD138"/>
      <c r="BG138"/>
    </row>
    <row r="139" spans="1:59" ht="14.4">
      <c r="A139"/>
      <c r="B139" s="754"/>
      <c r="C139" s="754"/>
      <c r="D139" s="754"/>
      <c r="E139" s="754"/>
      <c r="F139" s="754"/>
      <c r="H139" s="754"/>
      <c r="I139" s="541" t="str">
        <f>Commodities!D8</f>
        <v>TPCAM</v>
      </c>
      <c r="J139" s="538" t="s">
        <v>601</v>
      </c>
      <c r="K139" s="595">
        <f>M9*$L$7*$H$7*$O$7/J9</f>
        <v>0.26962038176327696</v>
      </c>
      <c r="L139" s="595">
        <f>M13*$L$11*$H$11*$O$11/J13</f>
        <v>0.92086511260188042</v>
      </c>
      <c r="M139" s="595">
        <f>M17*$L$15*$H$15*$O$15/J17</f>
        <v>0</v>
      </c>
      <c r="N139" s="595">
        <f>M21*$L$19*$H$19*$O$19/J21</f>
        <v>9.2334758141003927E-3</v>
      </c>
      <c r="O139" s="595">
        <f>M25*$L$23*$H$23*$O$23/J25</f>
        <v>2.7379267623682526E-5</v>
      </c>
      <c r="P139" s="595">
        <f>M29*$L$27*$H$27*$O$27/J29</f>
        <v>5.9230004478306342E-2</v>
      </c>
      <c r="Q139" s="595">
        <f t="shared" si="49"/>
        <v>1.2589763539251879</v>
      </c>
      <c r="R139" s="2360"/>
      <c r="S139" s="542" t="str">
        <f>Commodities!$D$100</f>
        <v>TRANGBL1</v>
      </c>
      <c r="T139" s="542" t="s">
        <v>577</v>
      </c>
      <c r="U139" s="542"/>
      <c r="V139" s="542"/>
      <c r="W139" s="542"/>
      <c r="X139" s="2092">
        <f>SUM(X135:X138)</f>
        <v>1</v>
      </c>
      <c r="Y139" s="2092">
        <f>SUM(Y135:Y138)</f>
        <v>0.99999999999999989</v>
      </c>
      <c r="Z139" s="2092">
        <f>SUM(Z135:Z138)</f>
        <v>0.99999999999999989</v>
      </c>
      <c r="AA139" s="2092">
        <f>SUM(AA135:AA138)</f>
        <v>0.99999999999999978</v>
      </c>
      <c r="AB139" s="2092"/>
      <c r="AF139"/>
      <c r="AG139" s="2437"/>
      <c r="AH139" s="697" t="s">
        <v>577</v>
      </c>
      <c r="AI139" s="639">
        <f>1/CarMoreData!$F$18*10^3*$BU$115</f>
        <v>266.99961857177726</v>
      </c>
      <c r="AJ139" s="640">
        <f>1/CarMoreData!$H$18*10^3*$BU$115</f>
        <v>273.56881374949506</v>
      </c>
      <c r="AK139" s="625"/>
      <c r="AL139" s="625"/>
      <c r="AM139" s="625"/>
      <c r="AN139" s="625"/>
      <c r="AO139" s="625"/>
      <c r="AP139" s="625"/>
      <c r="AQ139" s="625"/>
      <c r="AR139" s="626"/>
      <c r="AT139"/>
      <c r="AU139"/>
      <c r="AV139"/>
      <c r="AX139" s="542"/>
      <c r="AY139" s="542"/>
      <c r="BD139"/>
      <c r="BG139"/>
    </row>
    <row r="140" spans="1:59" ht="14.4">
      <c r="A140"/>
      <c r="B140" s="754"/>
      <c r="C140" s="754"/>
      <c r="D140" s="754"/>
      <c r="E140" s="754"/>
      <c r="F140" s="754"/>
      <c r="H140" s="754"/>
      <c r="I140" s="541" t="str">
        <f>Commodities!D9</f>
        <v>TPCAL</v>
      </c>
      <c r="J140" s="538" t="s">
        <v>601</v>
      </c>
      <c r="K140" s="595">
        <f>M10*$L$7*$H$7*$O$7/J10</f>
        <v>0.62038092317184379</v>
      </c>
      <c r="L140" s="595">
        <f>M14*$L$11*$H$11*$O$11/J14</f>
        <v>2.1188574281238153</v>
      </c>
      <c r="M140" s="595">
        <f>M18*$L$15*$H$15*$O$15/J18</f>
        <v>0</v>
      </c>
      <c r="N140" s="595">
        <f>M22*$L$19*$H$19*$O$19/J22</f>
        <v>2.1245694454456475E-2</v>
      </c>
      <c r="O140" s="595">
        <f>M26*$L$23*$H$23*$O$23/J26</f>
        <v>6.8448169059206315E-6</v>
      </c>
      <c r="P140" s="595">
        <f>M30*$L$27*$H$27*$O$27/J30</f>
        <v>0.13628481874187787</v>
      </c>
      <c r="Q140" s="595">
        <f t="shared" si="49"/>
        <v>2.896775709308899</v>
      </c>
      <c r="R140" s="2360"/>
      <c r="S140" s="542" t="str">
        <f>Commodities!$D$61</f>
        <v>TRAELCEV</v>
      </c>
      <c r="T140" s="610" t="s">
        <v>49</v>
      </c>
      <c r="U140" s="542"/>
      <c r="V140" s="542"/>
      <c r="W140" s="542"/>
      <c r="X140" s="765" t="s">
        <v>2766</v>
      </c>
      <c r="AF140"/>
      <c r="AG140" s="2437"/>
      <c r="AH140" s="697" t="s">
        <v>49</v>
      </c>
      <c r="AI140" s="639">
        <f>1/CarMoreData!$F$39*10^3*$BU$116</f>
        <v>1431.7402692719502</v>
      </c>
      <c r="AJ140" s="640">
        <f>1/CarMoreData!$H$39*10^3*$BU$116</f>
        <v>1431.7402692719506</v>
      </c>
      <c r="AK140" s="625"/>
      <c r="AL140" s="625"/>
      <c r="AM140" s="625"/>
      <c r="AN140" s="625"/>
      <c r="AO140" s="625"/>
      <c r="AP140" s="625"/>
      <c r="AQ140" s="625"/>
      <c r="AR140" s="626"/>
      <c r="AT140"/>
      <c r="AU140"/>
      <c r="AV140"/>
      <c r="AX140" s="542"/>
      <c r="AY140" s="542"/>
      <c r="BD140"/>
      <c r="BG140"/>
    </row>
    <row r="141" spans="1:59" ht="14.4">
      <c r="A141"/>
      <c r="B141" s="754"/>
      <c r="C141" s="754"/>
      <c r="D141" s="754"/>
      <c r="E141" s="754"/>
      <c r="F141" s="754"/>
      <c r="H141" s="754"/>
      <c r="I141" s="541" t="str">
        <f>Commodities!D6</f>
        <v>TPCAX</v>
      </c>
      <c r="J141" s="538" t="s">
        <v>602</v>
      </c>
      <c r="K141" s="595">
        <f>M31*$L$31*$H$31*$O$31/J31</f>
        <v>0.22594732613745619</v>
      </c>
      <c r="L141" s="595">
        <f>M35*$L$35*$H$35*$O$35/J35</f>
        <v>0.77170356545352858</v>
      </c>
      <c r="M141" s="595">
        <f>M39*$L$39*$H$39*$O$39/J39</f>
        <v>0</v>
      </c>
      <c r="N141" s="595">
        <f>M43*$L$43*$H$43*$O$43/J43</f>
        <v>7.7360084092118657E-3</v>
      </c>
      <c r="O141" s="595">
        <f>M47*$L$47*$H$47*$O$47/J47</f>
        <v>1.5645295784961442E-5</v>
      </c>
      <c r="P141" s="595">
        <f>M51*$L$51*$H$51*$O$51/J51</f>
        <v>4.9634885811978273E-2</v>
      </c>
      <c r="Q141" s="595">
        <f t="shared" si="49"/>
        <v>1.0550374311079598</v>
      </c>
      <c r="R141" s="2360"/>
      <c r="S141" s="38" t="str">
        <f>Commodities!$D$89</f>
        <v>TRAGSBL5</v>
      </c>
      <c r="T141" s="38" t="s">
        <v>607</v>
      </c>
      <c r="U141" s="542"/>
      <c r="V141" s="542"/>
      <c r="W141" s="542"/>
      <c r="X141" s="542"/>
      <c r="AF141"/>
      <c r="AG141" s="461"/>
      <c r="AH141" s="467" t="s">
        <v>607</v>
      </c>
      <c r="AI141" s="2449">
        <f>AI139</f>
        <v>266.99961857177726</v>
      </c>
      <c r="AJ141" s="2442">
        <f>AJ139</f>
        <v>273.56881374949506</v>
      </c>
      <c r="AK141" s="627"/>
      <c r="AL141" s="627"/>
      <c r="AM141" s="627"/>
      <c r="AN141" s="627"/>
      <c r="AO141" s="627"/>
      <c r="AP141" s="627"/>
      <c r="AQ141" s="627"/>
      <c r="AR141" s="628"/>
      <c r="AT141"/>
      <c r="AU141"/>
      <c r="AV141"/>
      <c r="AX141" s="542"/>
      <c r="AY141" s="542"/>
      <c r="BD141"/>
      <c r="BG141"/>
    </row>
    <row r="142" spans="1:59" ht="19.2">
      <c r="A142"/>
      <c r="B142" s="754"/>
      <c r="C142" s="754"/>
      <c r="D142" s="754"/>
      <c r="E142" s="754"/>
      <c r="F142" s="754"/>
      <c r="H142" s="754"/>
      <c r="I142" s="541" t="str">
        <f>Commodities!D7</f>
        <v>TPCAS</v>
      </c>
      <c r="J142" s="538" t="s">
        <v>602</v>
      </c>
      <c r="K142" s="595">
        <f>M32*$L$31*$H$31*$O$31/J32</f>
        <v>0.94431753999776724</v>
      </c>
      <c r="L142" s="595">
        <f>M36*$L$35*$H$35*$O$35/J36</f>
        <v>3.2252349474286484</v>
      </c>
      <c r="M142" s="595">
        <f>M40*$L$39*$H$39*$O$39/J40</f>
        <v>0</v>
      </c>
      <c r="N142" s="595">
        <f>M44*$L$43*$H$43*$O$43/J44</f>
        <v>3.2331643641336151E-2</v>
      </c>
      <c r="O142" s="595">
        <f>M48*$L$47*$H$47*$O$47/J48</f>
        <v>6.2581183139845766E-5</v>
      </c>
      <c r="P142" s="595">
        <f>M52*$L$51*$H$51*$O$51/J52</f>
        <v>0.2074425666782316</v>
      </c>
      <c r="Q142" s="595">
        <f t="shared" si="49"/>
        <v>4.4093892789291225</v>
      </c>
      <c r="R142" s="2360"/>
      <c r="U142" s="542"/>
      <c r="V142" s="542"/>
      <c r="W142" s="542"/>
      <c r="X142" s="542"/>
      <c r="AF142"/>
      <c r="AG142" s="2436" t="s">
        <v>603</v>
      </c>
      <c r="AH142" s="2446" t="s">
        <v>184</v>
      </c>
      <c r="AI142" s="639">
        <f>1/CarMoreData!$F$18*10^3*$BU$115</f>
        <v>266.99961857177726</v>
      </c>
      <c r="AJ142" s="406">
        <f>1/CarMoreData!$H$18*10^3*$BU$115</f>
        <v>273.56881374949506</v>
      </c>
      <c r="AK142" s="2444"/>
      <c r="AL142" s="2444"/>
      <c r="AM142" s="2444"/>
      <c r="AN142" s="2444"/>
      <c r="AO142" s="2444"/>
      <c r="AP142" s="2444"/>
      <c r="AQ142" s="2444"/>
      <c r="AR142" s="2445"/>
      <c r="AT142"/>
      <c r="AU142"/>
      <c r="AV142"/>
      <c r="AX142" s="542"/>
      <c r="AY142" s="542"/>
      <c r="BD142"/>
      <c r="BG142"/>
    </row>
    <row r="143" spans="1:59" ht="15" customHeight="1">
      <c r="A143"/>
      <c r="B143" s="754"/>
      <c r="C143" s="754"/>
      <c r="D143" s="754"/>
      <c r="E143" s="754"/>
      <c r="F143" s="754"/>
      <c r="H143" s="754"/>
      <c r="I143" s="541" t="str">
        <f>Commodities!D8</f>
        <v>TPCAM</v>
      </c>
      <c r="J143" s="538" t="s">
        <v>602</v>
      </c>
      <c r="K143" s="595">
        <f>M33*$L$31*$H$31*$O$31/J33</f>
        <v>0.63089804053221854</v>
      </c>
      <c r="L143" s="595">
        <f>M37*$L$35*$H$35*$O$35/J37</f>
        <v>2.1547777335509175</v>
      </c>
      <c r="M143" s="595">
        <f>M41*$L$39*$H$39*$O$39/J41</f>
        <v>0</v>
      </c>
      <c r="N143" s="595">
        <f>M45*$L$43*$H$43*$O$43/J45</f>
        <v>2.1600753725863408E-2</v>
      </c>
      <c r="O143" s="595">
        <f>M49*$L$47*$H$47*$O$47/J49</f>
        <v>6.2581183139845766E-5</v>
      </c>
      <c r="P143" s="595">
        <f>M53*$L$51*$H$51*$O$51/J53</f>
        <v>0.13859226721615256</v>
      </c>
      <c r="Q143" s="595">
        <f t="shared" si="49"/>
        <v>2.9459313762082919</v>
      </c>
      <c r="R143" s="2360"/>
      <c r="U143" s="542"/>
      <c r="V143" s="542"/>
      <c r="W143" s="542"/>
      <c r="X143" s="542"/>
      <c r="AF143"/>
      <c r="AG143" s="2437"/>
      <c r="AH143" s="697" t="s">
        <v>61</v>
      </c>
      <c r="AI143" s="639">
        <f>1/CarMoreData!$F$30*10^3*$BU$115</f>
        <v>265.20364939139034</v>
      </c>
      <c r="AJ143" s="406">
        <f>1/CarMoreData!$H$30*10^3*$BU$115</f>
        <v>269.79125149994945</v>
      </c>
      <c r="AK143" s="625"/>
      <c r="AL143" s="625"/>
      <c r="AM143" s="625"/>
      <c r="AN143" s="625"/>
      <c r="AO143" s="625"/>
      <c r="AP143" s="625"/>
      <c r="AQ143" s="625"/>
      <c r="AR143" s="626"/>
      <c r="AT143"/>
      <c r="AU143"/>
      <c r="AV143"/>
      <c r="AX143" s="542"/>
      <c r="AY143" s="542"/>
      <c r="BD143"/>
      <c r="BG143"/>
    </row>
    <row r="144" spans="1:59" ht="19.2">
      <c r="A144"/>
      <c r="B144" s="754"/>
      <c r="C144" s="754"/>
      <c r="D144" s="754"/>
      <c r="E144" s="754"/>
      <c r="F144" s="754"/>
      <c r="H144" s="754"/>
      <c r="I144" s="541" t="str">
        <f>Commodities!D9</f>
        <v>TPCAL</v>
      </c>
      <c r="J144" s="538" t="s">
        <v>602</v>
      </c>
      <c r="K144" s="595">
        <f>M34*$L$31*$H$31*$O$31/J34</f>
        <v>1.6103865738263017</v>
      </c>
      <c r="L144" s="595">
        <f>M38*$L$35*$H$35*$O$35/J38</f>
        <v>5.5001361690123343</v>
      </c>
      <c r="M144" s="595">
        <f>M42*$L$39*$H$39*$O$39/J42</f>
        <v>0</v>
      </c>
      <c r="N144" s="595">
        <f>M46*$L$43*$H$43*$O$43/J46</f>
        <v>5.5136585549250029E-2</v>
      </c>
      <c r="O144" s="595">
        <f>M50*$L$47*$H$47*$O$47/J50</f>
        <v>1.5645295784961442E-5</v>
      </c>
      <c r="P144" s="595">
        <f>M54*$L$51*$H$51*$O$51/J54</f>
        <v>0.35376100736144467</v>
      </c>
      <c r="Q144" s="595">
        <f t="shared" si="49"/>
        <v>7.5194359810451159</v>
      </c>
      <c r="R144" s="2360"/>
      <c r="U144" s="542"/>
      <c r="V144" s="542"/>
      <c r="W144" s="2541" t="s">
        <v>2763</v>
      </c>
      <c r="X144" s="2542"/>
      <c r="Y144" s="2542"/>
      <c r="AF144"/>
      <c r="AG144" s="2437"/>
      <c r="AH144" s="697" t="s">
        <v>51</v>
      </c>
      <c r="AI144" s="639">
        <f>1/CarMoreData!$F$18*10^3*$BU$115</f>
        <v>266.99961857177726</v>
      </c>
      <c r="AJ144" s="406">
        <f>1/CarMoreData!$H$18*10^3*$BU$115</f>
        <v>273.56881374949506</v>
      </c>
      <c r="AK144" s="625"/>
      <c r="AL144" s="625"/>
      <c r="AM144" s="625"/>
      <c r="AN144" s="625"/>
      <c r="AO144" s="625"/>
      <c r="AP144" s="625"/>
      <c r="AQ144" s="625"/>
      <c r="AR144" s="626"/>
      <c r="AT144"/>
      <c r="AU144"/>
      <c r="AV144"/>
      <c r="AX144" s="542"/>
      <c r="AY144" s="542"/>
      <c r="BD144"/>
      <c r="BG144"/>
    </row>
    <row r="145" spans="1:59" ht="31.2">
      <c r="A145"/>
      <c r="B145" s="754"/>
      <c r="C145" s="754"/>
      <c r="D145" s="754"/>
      <c r="E145" s="754"/>
      <c r="F145" s="754"/>
      <c r="H145" s="754"/>
      <c r="I145" s="541" t="str">
        <f>Commodities!D6</f>
        <v>TPCAX</v>
      </c>
      <c r="J145" s="538" t="s">
        <v>603</v>
      </c>
      <c r="K145" s="595">
        <f>M55*$L$55*$H$55*$O$55/J55</f>
        <v>1.6569399183275086</v>
      </c>
      <c r="L145" s="595">
        <f>M59*$L$59*$H$59*$O$59/J59</f>
        <v>5.6591350938923455</v>
      </c>
      <c r="M145" s="595">
        <f>M63*$L$63*$H$63*$O$63/J63</f>
        <v>0</v>
      </c>
      <c r="N145" s="595">
        <f>M67*$L$67*$H$67*$O$67/J67</f>
        <v>5.6726089775891234E-2</v>
      </c>
      <c r="O145" s="595">
        <f>M71*$L$71*$H$71*$O$71/J71</f>
        <v>1.2320670430657137E-4</v>
      </c>
      <c r="P145" s="595">
        <f>M75*$L$75*$H$75*$O$75/J75</f>
        <v>0.36398807487707013</v>
      </c>
      <c r="Q145" s="595">
        <f t="shared" si="49"/>
        <v>7.7369123835771214</v>
      </c>
      <c r="R145" s="2360"/>
      <c r="S145" s="754"/>
      <c r="T145" s="754"/>
      <c r="U145" s="754"/>
      <c r="V145" s="754"/>
      <c r="W145" s="2543" t="s">
        <v>2289</v>
      </c>
      <c r="X145" s="2543" t="s">
        <v>314</v>
      </c>
      <c r="Y145" s="2543" t="s">
        <v>644</v>
      </c>
      <c r="AF145"/>
      <c r="AG145" s="2437"/>
      <c r="AH145" s="697" t="s">
        <v>577</v>
      </c>
      <c r="AI145" s="639">
        <f>1/CarMoreData!$F$18*10^3*$BU$115</f>
        <v>266.99961857177726</v>
      </c>
      <c r="AJ145" s="406">
        <f>1/CarMoreData!$H$18*10^3*$BU$115</f>
        <v>273.56881374949506</v>
      </c>
      <c r="AK145" s="625"/>
      <c r="AL145" s="625"/>
      <c r="AM145" s="625"/>
      <c r="AN145" s="625"/>
      <c r="AO145" s="625"/>
      <c r="AP145" s="625"/>
      <c r="AQ145" s="625"/>
      <c r="AR145" s="626"/>
      <c r="AT145"/>
      <c r="AU145"/>
      <c r="AV145"/>
      <c r="AX145" s="542"/>
      <c r="AY145" s="542"/>
      <c r="BD145"/>
      <c r="BG145"/>
    </row>
    <row r="146" spans="1:59" ht="15.6">
      <c r="A146"/>
      <c r="B146" s="754"/>
      <c r="C146" s="754"/>
      <c r="D146" s="754"/>
      <c r="E146" s="754"/>
      <c r="F146" s="754"/>
      <c r="H146" s="754"/>
      <c r="I146" s="541" t="str">
        <f>Commodities!D7</f>
        <v>TPCAS</v>
      </c>
      <c r="J146" s="538" t="s">
        <v>603</v>
      </c>
      <c r="K146" s="595">
        <f>M56*$L$55*$H$55*$O$55/J56</f>
        <v>7.5918078350638885</v>
      </c>
      <c r="L146" s="595">
        <f>M60*$L$59*$H$59*$O$59/J60</f>
        <v>25.929163556433128</v>
      </c>
      <c r="M146" s="595">
        <f>M64*$L$63*$H$63*$O$63/J64</f>
        <v>0</v>
      </c>
      <c r="N146" s="595">
        <f>M68*$L$67*$H$67*$O$67/J68</f>
        <v>0.25990898526232875</v>
      </c>
      <c r="O146" s="595">
        <f>M72*$L$71*$H$71*$O$71/J72</f>
        <v>4.9282681722628548E-4</v>
      </c>
      <c r="P146" s="595">
        <f>M76*$L$75*$H$75*$O$75/J76</f>
        <v>1.6677294620983156</v>
      </c>
      <c r="Q146" s="595">
        <f t="shared" si="49"/>
        <v>35.449102665674886</v>
      </c>
      <c r="R146" s="2360"/>
      <c r="S146" s="754"/>
      <c r="T146" s="754"/>
      <c r="U146" s="754"/>
      <c r="V146" s="754"/>
      <c r="W146" s="2543" t="s">
        <v>2764</v>
      </c>
      <c r="X146" s="2543"/>
      <c r="Y146" s="2543"/>
      <c r="AF146"/>
      <c r="AG146" s="2437"/>
      <c r="AH146" s="697" t="s">
        <v>49</v>
      </c>
      <c r="AI146" s="639">
        <f>1/CarMoreData!$F$39*10^3*$BU$116</f>
        <v>1431.7402692719502</v>
      </c>
      <c r="AJ146" s="406">
        <f>1/CarMoreData!$H$39*10^3*$BU$116</f>
        <v>1431.7402692719506</v>
      </c>
      <c r="AK146" s="625"/>
      <c r="AL146" s="625"/>
      <c r="AM146" s="625"/>
      <c r="AN146" s="625"/>
      <c r="AO146" s="625"/>
      <c r="AP146" s="625"/>
      <c r="AQ146" s="625"/>
      <c r="AR146" s="626"/>
      <c r="AT146"/>
      <c r="AU146"/>
      <c r="AV146"/>
      <c r="AX146" s="542"/>
      <c r="AY146" s="542"/>
      <c r="BD146"/>
      <c r="BG146"/>
    </row>
    <row r="147" spans="1:59" ht="15">
      <c r="A147"/>
      <c r="B147" s="754"/>
      <c r="C147" s="754"/>
      <c r="D147" s="754"/>
      <c r="E147" s="754"/>
      <c r="F147" s="754"/>
      <c r="H147" s="754"/>
      <c r="I147" s="541" t="str">
        <f>Commodities!D8</f>
        <v>TPCAM</v>
      </c>
      <c r="J147" s="538" t="s">
        <v>603</v>
      </c>
      <c r="K147" s="595">
        <f>M57*$L$55*$H$55*$O$55/J57</f>
        <v>5.5765123929291454</v>
      </c>
      <c r="L147" s="595">
        <f>M61*$L$59*$H$59*$O$59/J61</f>
        <v>19.046096141014775</v>
      </c>
      <c r="M147" s="595">
        <f>M65*$L$63*$H$63*$O$63/J65</f>
        <v>0</v>
      </c>
      <c r="N147" s="595">
        <f>M69*$L$67*$H$67*$O$67/J69</f>
        <v>0.19091443156066365</v>
      </c>
      <c r="O147" s="595">
        <f>M73*$L$71*$H$71*$O$71/J73</f>
        <v>4.9282681722628548E-4</v>
      </c>
      <c r="P147" s="595">
        <f>M77*$L$75*$H$75*$O$75/J77</f>
        <v>1.2250196811476655</v>
      </c>
      <c r="Q147" s="595">
        <f t="shared" si="49"/>
        <v>26.039035473469475</v>
      </c>
      <c r="R147" s="2360"/>
      <c r="S147" s="754"/>
      <c r="T147" s="754"/>
      <c r="U147" s="754"/>
      <c r="V147" s="754"/>
      <c r="W147" s="2544" t="s">
        <v>2290</v>
      </c>
      <c r="X147" s="2545">
        <v>41418.545082042692</v>
      </c>
      <c r="Y147" s="2546">
        <v>7.2314399537270216E-2</v>
      </c>
      <c r="AF147"/>
      <c r="AG147" s="461"/>
      <c r="AH147" s="467" t="s">
        <v>607</v>
      </c>
      <c r="AI147" s="2449">
        <f>AI145</f>
        <v>266.99961857177726</v>
      </c>
      <c r="AJ147" s="2442">
        <f>AJ145</f>
        <v>273.56881374949506</v>
      </c>
      <c r="AK147" s="627"/>
      <c r="AL147" s="627"/>
      <c r="AM147" s="627"/>
      <c r="AN147" s="627"/>
      <c r="AO147" s="627"/>
      <c r="AP147" s="627"/>
      <c r="AQ147" s="627"/>
      <c r="AR147" s="628"/>
      <c r="AT147"/>
      <c r="AU147"/>
      <c r="AV147"/>
      <c r="AX147" s="542"/>
      <c r="AY147" s="542"/>
      <c r="BD147"/>
      <c r="BG147"/>
    </row>
    <row r="148" spans="1:59" ht="12.75" customHeight="1">
      <c r="A148"/>
      <c r="B148" s="754"/>
      <c r="C148" s="754"/>
      <c r="D148" s="754"/>
      <c r="E148" s="754"/>
      <c r="F148" s="754"/>
      <c r="H148" s="754"/>
      <c r="I148" s="541" t="str">
        <f>Commodities!D9</f>
        <v>TPCAL</v>
      </c>
      <c r="J148" s="538" t="s">
        <v>603</v>
      </c>
      <c r="K148" s="595">
        <f>M58*$L$55*$H$55*$O$55/J58</f>
        <v>11.442333319944433</v>
      </c>
      <c r="L148" s="595">
        <f>M62*$L$59*$H$59*$O$59/J62</f>
        <v>39.080300577387682</v>
      </c>
      <c r="M148" s="595">
        <f>M66*$L$63*$H$63*$O$63/J66</f>
        <v>0</v>
      </c>
      <c r="N148" s="595">
        <f>M70*$L$67*$H$67*$O$67/J70</f>
        <v>0.39173347203078457</v>
      </c>
      <c r="O148" s="595">
        <f>M74*$L$71*$H$71*$O$71/J74</f>
        <v>1.2320670430657137E-4</v>
      </c>
      <c r="P148" s="595">
        <f>M78*$L$75*$H$75*$O$75/J78</f>
        <v>2.5135931793062789</v>
      </c>
      <c r="Q148" s="595">
        <f t="shared" si="49"/>
        <v>53.428083755373486</v>
      </c>
      <c r="R148" s="2360"/>
      <c r="S148" s="754"/>
      <c r="T148" s="754"/>
      <c r="U148" s="754"/>
      <c r="V148" s="754"/>
      <c r="W148" s="2544" t="s">
        <v>2291</v>
      </c>
      <c r="X148" s="2545">
        <v>181463.81742358647</v>
      </c>
      <c r="Y148" s="2546">
        <v>0.31682539714358099</v>
      </c>
      <c r="AF148"/>
      <c r="AG148" s="2436" t="s">
        <v>604</v>
      </c>
      <c r="AH148" s="2446" t="s">
        <v>184</v>
      </c>
      <c r="AI148" s="2447">
        <f>1/CarMoreData!$F$18*10^3*$BU$115</f>
        <v>266.99961857177726</v>
      </c>
      <c r="AJ148" s="638">
        <f>1/CarMoreData!$H$18*10^3*$BU$115</f>
        <v>273.56881374949506</v>
      </c>
      <c r="AK148" s="2444"/>
      <c r="AL148" s="2444"/>
      <c r="AM148" s="2444"/>
      <c r="AN148" s="2444"/>
      <c r="AO148" s="2444"/>
      <c r="AP148" s="2444"/>
      <c r="AQ148" s="2444"/>
      <c r="AR148" s="2445"/>
      <c r="AT148"/>
      <c r="AU148"/>
      <c r="AV148"/>
      <c r="AX148" s="542"/>
      <c r="AY148" s="542"/>
      <c r="BD148"/>
      <c r="BG148"/>
    </row>
    <row r="149" spans="1:59" ht="15" customHeight="1">
      <c r="A149"/>
      <c r="B149" s="754"/>
      <c r="C149" s="754"/>
      <c r="D149" s="754"/>
      <c r="E149" s="754"/>
      <c r="F149" s="754"/>
      <c r="H149" s="754"/>
      <c r="I149" s="541" t="str">
        <f>Commodities!D6</f>
        <v>TPCAX</v>
      </c>
      <c r="J149" s="538" t="s">
        <v>604</v>
      </c>
      <c r="K149" s="595">
        <f>M79*$L$79*$H$79*$O$79/J79</f>
        <v>0.49179627566672929</v>
      </c>
      <c r="L149" s="595">
        <f>M83*$L$83*$H$83*$O$83/J83</f>
        <v>1.679687677197375</v>
      </c>
      <c r="M149" s="595">
        <f>M87*$L$87*$H$87*$O$87/J87</f>
        <v>0</v>
      </c>
      <c r="N149" s="595">
        <f>M91*$L$91*$H$91*$O$91/J91</f>
        <v>1.6836782453308261E-2</v>
      </c>
      <c r="O149" s="595">
        <f>M95*$L$95*$H$95*$O$95/J95</f>
        <v>3.9113239462403604E-5</v>
      </c>
      <c r="P149" s="595">
        <f>M99*$L$99*$H$99*$O$99/J99</f>
        <v>0.10803570158398758</v>
      </c>
      <c r="Q149" s="595">
        <f t="shared" si="49"/>
        <v>2.2963955501408626</v>
      </c>
      <c r="R149" s="2360"/>
      <c r="S149" s="754"/>
      <c r="T149" s="754"/>
      <c r="U149" s="754"/>
      <c r="V149" s="754"/>
      <c r="W149" s="573" t="s">
        <v>2292</v>
      </c>
      <c r="X149" s="2545">
        <v>110177.53320726761</v>
      </c>
      <c r="Y149" s="2546">
        <v>0.19236364147024421</v>
      </c>
      <c r="AF149"/>
      <c r="AG149" s="2437"/>
      <c r="AH149" s="697" t="s">
        <v>61</v>
      </c>
      <c r="AI149" s="639">
        <f>1/CarMoreData!$F$30*10^3*$BU$115</f>
        <v>265.20364939139034</v>
      </c>
      <c r="AJ149" s="640">
        <f>1/CarMoreData!$H$30*10^3*$BU$115</f>
        <v>269.79125149994945</v>
      </c>
      <c r="AK149" s="625"/>
      <c r="AL149" s="625"/>
      <c r="AM149" s="625"/>
      <c r="AN149" s="625"/>
      <c r="AO149" s="625"/>
      <c r="AP149" s="625"/>
      <c r="AQ149" s="625"/>
      <c r="AR149" s="626"/>
      <c r="AT149"/>
      <c r="AU149"/>
      <c r="AV149"/>
      <c r="AX149" s="542"/>
      <c r="AY149" s="542"/>
      <c r="BD149"/>
      <c r="BG149"/>
    </row>
    <row r="150" spans="1:59" ht="15">
      <c r="A150"/>
      <c r="B150" s="754"/>
      <c r="C150" s="754"/>
      <c r="D150" s="754"/>
      <c r="E150" s="754"/>
      <c r="F150" s="754"/>
      <c r="H150" s="754"/>
      <c r="I150" s="541" t="str">
        <f>Commodities!D7</f>
        <v>TPCAS</v>
      </c>
      <c r="J150" s="538" t="s">
        <v>604</v>
      </c>
      <c r="K150" s="595">
        <f>M80*$L$79*$H$79*$O$79/J80</f>
        <v>2.5168026897535727</v>
      </c>
      <c r="L150" s="595">
        <f>M84*$L$83*$H$83*$O$83/J84</f>
        <v>8.595922078070096</v>
      </c>
      <c r="M150" s="595">
        <f>M88*$L$87*$H$87*$O$87/J88</f>
        <v>0</v>
      </c>
      <c r="N150" s="595">
        <f>M92*$L$91*$H$91*$O$91/J92</f>
        <v>8.6163440965131996E-2</v>
      </c>
      <c r="O150" s="595">
        <f>M96*$L$95*$H$95*$O$95/J96</f>
        <v>1.5645295784961442E-4</v>
      </c>
      <c r="P150" s="595">
        <f>M100*$L$99*$H$99*$O$99/J100</f>
        <v>0.55288044621194576</v>
      </c>
      <c r="Q150" s="595">
        <f t="shared" si="49"/>
        <v>11.751925107958595</v>
      </c>
      <c r="R150" s="2360"/>
      <c r="S150" s="754"/>
      <c r="T150" s="754"/>
      <c r="U150" s="754"/>
      <c r="V150" s="754"/>
      <c r="W150" s="573" t="s">
        <v>2293</v>
      </c>
      <c r="X150" s="2545">
        <v>239696.64167210818</v>
      </c>
      <c r="Y150" s="2546">
        <v>0.41849656184890466</v>
      </c>
      <c r="AF150"/>
      <c r="AG150" s="2437"/>
      <c r="AH150" s="697" t="s">
        <v>51</v>
      </c>
      <c r="AI150" s="639">
        <f>1/CarMoreData!$F$18*10^3*$BU$115</f>
        <v>266.99961857177726</v>
      </c>
      <c r="AJ150" s="640">
        <f>1/CarMoreData!$H$18*10^3*$BU$115</f>
        <v>273.56881374949506</v>
      </c>
      <c r="AK150" s="625"/>
      <c r="AL150" s="625"/>
      <c r="AM150" s="625"/>
      <c r="AN150" s="625"/>
      <c r="AO150" s="625"/>
      <c r="AP150" s="625"/>
      <c r="AQ150" s="625"/>
      <c r="AR150" s="626"/>
      <c r="AT150"/>
      <c r="AU150"/>
      <c r="AV150"/>
      <c r="AX150" s="542"/>
      <c r="AY150" s="542"/>
      <c r="BD150"/>
      <c r="BG150"/>
    </row>
    <row r="151" spans="1:59" ht="15.6">
      <c r="A151"/>
      <c r="B151" s="754"/>
      <c r="C151" s="754"/>
      <c r="D151" s="754"/>
      <c r="E151" s="754"/>
      <c r="F151" s="754"/>
      <c r="H151" s="754"/>
      <c r="I151" s="541" t="str">
        <f>Commodities!D8</f>
        <v>TPCAM</v>
      </c>
      <c r="J151" s="538" t="s">
        <v>604</v>
      </c>
      <c r="K151" s="595">
        <f>M81*$L$79*$H$79*$O$79/J81</f>
        <v>1.9461641279524551</v>
      </c>
      <c r="L151" s="595">
        <f>M85*$L$83*$H$83*$O$83/J85</f>
        <v>6.6469553863408066</v>
      </c>
      <c r="M151" s="595">
        <f>M89*$L$87*$H$87*$O$87/J89</f>
        <v>0</v>
      </c>
      <c r="N151" s="595">
        <f>M93*$L$91*$H$91*$O$91/J93</f>
        <v>6.6627470889944002E-2</v>
      </c>
      <c r="O151" s="595">
        <f>M97*$L$95*$H$95*$O$95/J97</f>
        <v>1.5645295784961442E-4</v>
      </c>
      <c r="P151" s="595">
        <f>M101*$L$99*$H$99*$O$99/J101</f>
        <v>0.42752500855336784</v>
      </c>
      <c r="Q151" s="595">
        <f t="shared" si="49"/>
        <v>9.0874284466944228</v>
      </c>
      <c r="R151" s="2360"/>
      <c r="S151" s="754"/>
      <c r="T151" s="754"/>
      <c r="U151" s="754"/>
      <c r="V151" s="754"/>
      <c r="W151" s="2547" t="s">
        <v>2765</v>
      </c>
      <c r="X151" s="2545"/>
      <c r="Y151" s="2546"/>
      <c r="AF151"/>
      <c r="AG151" s="2437"/>
      <c r="AH151" s="697" t="s">
        <v>577</v>
      </c>
      <c r="AI151" s="639">
        <f>1/CarMoreData!$F$18*10^3*$BU$115</f>
        <v>266.99961857177726</v>
      </c>
      <c r="AJ151" s="640">
        <f>1/CarMoreData!$H$18*10^3*$BU$115</f>
        <v>273.56881374949506</v>
      </c>
      <c r="AK151" s="625"/>
      <c r="AL151" s="625"/>
      <c r="AM151" s="625"/>
      <c r="AN151" s="625"/>
      <c r="AO151" s="625"/>
      <c r="AP151" s="625"/>
      <c r="AQ151" s="625"/>
      <c r="AR151" s="626"/>
      <c r="AT151"/>
      <c r="AU151"/>
      <c r="AV151"/>
      <c r="AX151" s="542"/>
      <c r="AY151" s="542"/>
      <c r="BD151"/>
      <c r="BG151"/>
    </row>
    <row r="152" spans="1:59" ht="15">
      <c r="A152"/>
      <c r="B152" s="754"/>
      <c r="C152" s="754"/>
      <c r="D152" s="754"/>
      <c r="E152" s="754"/>
      <c r="F152" s="754"/>
      <c r="H152" s="754"/>
      <c r="I152" s="541" t="str">
        <f>Commodities!D9</f>
        <v>TPCAL</v>
      </c>
      <c r="J152" s="538" t="s">
        <v>604</v>
      </c>
      <c r="K152" s="595">
        <f>M82*$L$79*$H$79*$O$79/J82</f>
        <v>3.4938291398624313</v>
      </c>
      <c r="L152" s="595">
        <f>M86*$L$83*$H$83*$O$83/J86</f>
        <v>11.932871481192153</v>
      </c>
      <c r="M152" s="595">
        <f>M90*$L$87*$H$87*$O$87/J90</f>
        <v>0</v>
      </c>
      <c r="N152" s="595">
        <f>M94*$L$91*$H$91*$O$91/J94</f>
        <v>0.11961221356779066</v>
      </c>
      <c r="O152" s="595">
        <f>M98*$L$95*$H$95*$O$95/J98</f>
        <v>3.9113239462403604E-5</v>
      </c>
      <c r="P152" s="595">
        <f>M102*$L$99*$H$99*$O$99/J102</f>
        <v>0.76750943635735458</v>
      </c>
      <c r="Q152" s="595">
        <f t="shared" si="49"/>
        <v>16.313861384219194</v>
      </c>
      <c r="R152" s="2360"/>
      <c r="S152" s="754"/>
      <c r="T152" s="754"/>
      <c r="U152" s="754"/>
      <c r="V152" s="754"/>
      <c r="W152" s="2544" t="s">
        <v>2290</v>
      </c>
      <c r="X152" s="2545">
        <v>13975.195071787624</v>
      </c>
      <c r="Y152" s="2546">
        <v>6.87905395757442E-2</v>
      </c>
      <c r="AF152"/>
      <c r="AG152" s="2437"/>
      <c r="AH152" s="697" t="s">
        <v>49</v>
      </c>
      <c r="AI152" s="639">
        <f>1/CarMoreData!$F$39*10^3*$BU$116</f>
        <v>1431.7402692719502</v>
      </c>
      <c r="AJ152" s="640">
        <f>1/CarMoreData!$H$39*10^3*$BU$116</f>
        <v>1431.7402692719506</v>
      </c>
      <c r="AK152" s="625"/>
      <c r="AL152" s="625"/>
      <c r="AM152" s="625"/>
      <c r="AN152" s="625"/>
      <c r="AO152" s="625"/>
      <c r="AP152" s="625"/>
      <c r="AQ152" s="625"/>
      <c r="AR152" s="626"/>
      <c r="AT152"/>
      <c r="AU152"/>
      <c r="AV152"/>
      <c r="AX152" s="542"/>
      <c r="AY152" s="542"/>
      <c r="BD152"/>
      <c r="BG152"/>
    </row>
    <row r="153" spans="1:59" ht="15">
      <c r="A153"/>
      <c r="B153" s="754"/>
      <c r="C153" s="754"/>
      <c r="D153" s="754"/>
      <c r="E153" s="754"/>
      <c r="F153" s="754"/>
      <c r="H153" s="754"/>
      <c r="I153" s="536" t="s">
        <v>124</v>
      </c>
      <c r="J153" s="2361"/>
      <c r="K153" s="2362">
        <f>SUM(K137:K152)</f>
        <v>39.586230352894894</v>
      </c>
      <c r="L153" s="2806">
        <f>SUM(L137:L152)+SUM(P137:P152)*(1-TRA_Fuel!H44)</f>
        <v>143.89946147254182</v>
      </c>
      <c r="M153" s="2362">
        <f>SUM(M137:M152)</f>
        <v>0</v>
      </c>
      <c r="N153" s="2362">
        <f>SUM(N137:N152)</f>
        <v>1.3552758076426386</v>
      </c>
      <c r="O153" s="2362">
        <f>SUM(O137:O152)</f>
        <v>1.8481005645985705E-3</v>
      </c>
      <c r="P153" s="2806">
        <f>SUM(P137:P152)*TRA_Fuel!H44</f>
        <v>0</v>
      </c>
      <c r="Q153" s="2362">
        <f>SUM(Q137:Q152)</f>
        <v>184.8428157336439</v>
      </c>
      <c r="R153" s="2360"/>
      <c r="S153" s="542"/>
      <c r="T153" s="542"/>
      <c r="U153" s="542"/>
      <c r="V153" s="542"/>
      <c r="W153" s="2544" t="s">
        <v>2291</v>
      </c>
      <c r="X153" s="2545">
        <v>55160.796897152242</v>
      </c>
      <c r="Y153" s="2546">
        <v>0.27151971493001592</v>
      </c>
      <c r="AF153"/>
      <c r="AG153" s="461"/>
      <c r="AH153" s="467" t="s">
        <v>607</v>
      </c>
      <c r="AI153" s="2449">
        <f>AI151</f>
        <v>266.99961857177726</v>
      </c>
      <c r="AJ153" s="2442">
        <f>AJ151</f>
        <v>273.56881374949506</v>
      </c>
      <c r="AK153" s="627"/>
      <c r="AL153" s="627"/>
      <c r="AM153" s="627"/>
      <c r="AN153" s="627"/>
      <c r="AO153" s="627"/>
      <c r="AP153" s="627"/>
      <c r="AQ153" s="627"/>
      <c r="AR153" s="628"/>
      <c r="AT153"/>
      <c r="AU153"/>
      <c r="AV153"/>
      <c r="AX153" s="542"/>
      <c r="AY153" s="542"/>
      <c r="BD153"/>
      <c r="BG153"/>
    </row>
    <row r="154" spans="1:59" ht="15">
      <c r="A154"/>
      <c r="B154" s="754"/>
      <c r="C154" s="754"/>
      <c r="D154" s="754"/>
      <c r="E154" s="754"/>
      <c r="F154" s="754"/>
      <c r="H154" s="754"/>
      <c r="I154" s="535" t="s">
        <v>345</v>
      </c>
      <c r="J154" s="537"/>
      <c r="K154" s="596"/>
      <c r="L154" s="596"/>
      <c r="M154" s="596"/>
      <c r="N154" s="596"/>
      <c r="O154" s="596"/>
      <c r="P154" s="596"/>
      <c r="Q154" s="596"/>
      <c r="R154" s="2363"/>
      <c r="S154" s="542"/>
      <c r="T154" s="542"/>
      <c r="U154" s="542"/>
      <c r="V154" s="542"/>
      <c r="W154" s="573" t="s">
        <v>2292</v>
      </c>
      <c r="X154" s="2545">
        <v>38027.031755332828</v>
      </c>
      <c r="Y154" s="2546">
        <v>0.1871816471595551</v>
      </c>
      <c r="AF154"/>
      <c r="AG154" s="644" t="s">
        <v>586</v>
      </c>
      <c r="AH154" s="641"/>
      <c r="AI154" s="641"/>
      <c r="AJ154" s="641"/>
      <c r="AK154" s="641"/>
      <c r="AL154" s="641"/>
      <c r="AM154" s="641"/>
      <c r="AN154" s="641"/>
      <c r="AO154" s="641"/>
      <c r="AP154" s="641"/>
      <c r="AQ154" s="641"/>
      <c r="AR154" s="642"/>
      <c r="AT154"/>
      <c r="AU154"/>
      <c r="AV154"/>
      <c r="AX154" s="542"/>
      <c r="AY154" s="542"/>
      <c r="BD154"/>
      <c r="BG154"/>
    </row>
    <row r="155" spans="1:59" ht="19.2">
      <c r="A155"/>
      <c r="B155" s="754"/>
      <c r="C155" s="754"/>
      <c r="D155" s="754"/>
      <c r="E155" s="754"/>
      <c r="F155" s="754"/>
      <c r="H155" s="754"/>
      <c r="I155" s="599" t="s">
        <v>568</v>
      </c>
      <c r="J155" s="600"/>
      <c r="K155" s="601">
        <f t="shared" ref="K155:Q155" si="50">K153-K154</f>
        <v>39.586230352894894</v>
      </c>
      <c r="L155" s="601">
        <f t="shared" si="50"/>
        <v>143.89946147254182</v>
      </c>
      <c r="M155" s="601">
        <f t="shared" si="50"/>
        <v>0</v>
      </c>
      <c r="N155" s="601">
        <f t="shared" si="50"/>
        <v>1.3552758076426386</v>
      </c>
      <c r="O155" s="601">
        <f t="shared" si="50"/>
        <v>1.8481005645985705E-3</v>
      </c>
      <c r="P155" s="601">
        <f t="shared" si="50"/>
        <v>0</v>
      </c>
      <c r="Q155" s="601">
        <f t="shared" si="50"/>
        <v>184.8428157336439</v>
      </c>
      <c r="R155" s="2364"/>
      <c r="S155" s="542"/>
      <c r="T155" s="542"/>
      <c r="U155" s="542"/>
      <c r="V155" s="542"/>
      <c r="W155" s="573" t="s">
        <v>2293</v>
      </c>
      <c r="X155" s="2545">
        <v>95992.746792685561</v>
      </c>
      <c r="Y155" s="2546">
        <v>0.47250809833468471</v>
      </c>
      <c r="AF155"/>
      <c r="AG155" s="2436" t="s">
        <v>601</v>
      </c>
      <c r="AH155" s="2446" t="s">
        <v>184</v>
      </c>
      <c r="AI155" s="2447">
        <f>1/CarMoreData!$F$18*10^3*$BU$116</f>
        <v>346.75275139191854</v>
      </c>
      <c r="AJ155" s="638">
        <f>1/CarMoreData!$H$18*10^3*$BU$116</f>
        <v>355.28417370064295</v>
      </c>
      <c r="AK155" s="2444"/>
      <c r="AL155" s="2444"/>
      <c r="AM155" s="2444"/>
      <c r="AN155" s="2444"/>
      <c r="AO155" s="2444"/>
      <c r="AP155" s="2444"/>
      <c r="AQ155" s="2444"/>
      <c r="AR155" s="2445"/>
      <c r="AT155"/>
      <c r="AU155"/>
      <c r="AV155"/>
      <c r="AX155" s="542"/>
      <c r="AY155" s="542"/>
      <c r="BD155"/>
      <c r="BG155"/>
    </row>
    <row r="156" spans="1:59" ht="13.5" customHeight="1" thickBot="1">
      <c r="A156"/>
      <c r="B156" s="754"/>
      <c r="C156" s="754"/>
      <c r="D156" s="754"/>
      <c r="E156" s="754"/>
      <c r="F156" s="754"/>
      <c r="H156" s="754"/>
      <c r="I156" s="754"/>
      <c r="J156" s="754"/>
      <c r="K156" s="754"/>
      <c r="L156" s="754"/>
      <c r="M156" s="754"/>
      <c r="N156" s="754"/>
      <c r="O156" s="754"/>
      <c r="P156" s="754"/>
      <c r="Q156" s="754"/>
      <c r="R156" s="754"/>
      <c r="S156" s="542"/>
      <c r="T156" s="542"/>
      <c r="U156" s="542"/>
      <c r="V156" s="542"/>
      <c r="W156" s="542"/>
      <c r="X156" s="542"/>
      <c r="AF156"/>
      <c r="AG156" s="2437"/>
      <c r="AH156" s="697" t="s">
        <v>61</v>
      </c>
      <c r="AI156" s="639">
        <f>1/CarMoreData!$F$30*10^3*$BU$116</f>
        <v>344.42032388492248</v>
      </c>
      <c r="AJ156" s="640">
        <f>1/CarMoreData!$H$30*10^3*$BU$116</f>
        <v>350.37824870123302</v>
      </c>
      <c r="AK156" s="625"/>
      <c r="AL156" s="625"/>
      <c r="AM156" s="625"/>
      <c r="AN156" s="625"/>
      <c r="AO156" s="625"/>
      <c r="AP156" s="625"/>
      <c r="AQ156" s="625"/>
      <c r="AR156" s="626"/>
      <c r="AT156"/>
      <c r="AU156"/>
      <c r="AV156"/>
      <c r="AX156" s="542"/>
      <c r="AY156" s="542"/>
      <c r="BD156"/>
      <c r="BG156"/>
    </row>
    <row r="157" spans="1:59" ht="15.6" thickTop="1" thickBot="1">
      <c r="A157"/>
      <c r="B157" s="754"/>
      <c r="C157" s="754"/>
      <c r="D157" s="754"/>
      <c r="E157" s="754"/>
      <c r="F157" s="754"/>
      <c r="H157" s="754"/>
      <c r="I157" s="708" t="s">
        <v>541</v>
      </c>
      <c r="J157" s="709"/>
      <c r="K157" s="551" t="str">
        <f t="shared" ref="K157:Q157" si="51">IF(SUMPRODUCT(K155)=0,"OK!","FAIL!")</f>
        <v>FAIL!</v>
      </c>
      <c r="L157" s="551" t="str">
        <f t="shared" si="51"/>
        <v>FAIL!</v>
      </c>
      <c r="M157" s="551" t="str">
        <f t="shared" si="51"/>
        <v>OK!</v>
      </c>
      <c r="N157" s="551" t="str">
        <f t="shared" si="51"/>
        <v>FAIL!</v>
      </c>
      <c r="O157" s="551" t="str">
        <f t="shared" si="51"/>
        <v>FAIL!</v>
      </c>
      <c r="P157" s="551" t="str">
        <f t="shared" si="51"/>
        <v>OK!</v>
      </c>
      <c r="Q157" s="551" t="str">
        <f t="shared" si="51"/>
        <v>FAIL!</v>
      </c>
      <c r="R157" s="754"/>
      <c r="S157" s="542"/>
      <c r="T157" s="542"/>
      <c r="U157" s="542"/>
      <c r="V157" s="542"/>
      <c r="W157" s="542"/>
      <c r="X157" s="542"/>
      <c r="AF157"/>
      <c r="AG157" s="2437"/>
      <c r="AH157" s="697" t="s">
        <v>51</v>
      </c>
      <c r="AI157" s="639">
        <f>1/CarMoreData!$F$18*10^3*$BU$116</f>
        <v>346.75275139191854</v>
      </c>
      <c r="AJ157" s="640">
        <f>1/CarMoreData!$H$18*10^3*$BU$116</f>
        <v>355.28417370064295</v>
      </c>
      <c r="AK157" s="625"/>
      <c r="AL157" s="625"/>
      <c r="AM157" s="625"/>
      <c r="AN157" s="625"/>
      <c r="AO157" s="625"/>
      <c r="AP157" s="625"/>
      <c r="AQ157" s="625"/>
      <c r="AR157" s="626"/>
      <c r="AT157"/>
      <c r="AU157"/>
      <c r="AV157"/>
      <c r="AX157" s="542"/>
      <c r="AY157" s="542"/>
      <c r="BD157"/>
      <c r="BG157"/>
    </row>
    <row r="158" spans="1:59" ht="13.8" thickTop="1">
      <c r="A158"/>
      <c r="B158" s="754"/>
      <c r="C158" s="754"/>
      <c r="D158" s="754"/>
      <c r="E158" s="754"/>
      <c r="F158" s="754"/>
      <c r="H158" s="754"/>
      <c r="N158" s="542"/>
      <c r="O158" s="542"/>
      <c r="P158" s="542"/>
      <c r="Q158" s="542"/>
      <c r="R158" s="542"/>
      <c r="S158" s="542"/>
      <c r="T158" s="542"/>
      <c r="U158" s="542"/>
      <c r="V158" s="542"/>
      <c r="W158" s="542"/>
      <c r="X158" s="542"/>
      <c r="Y158" s="747"/>
      <c r="Z158" s="747"/>
      <c r="AF158"/>
      <c r="AG158" s="2437"/>
      <c r="AH158" s="697" t="s">
        <v>577</v>
      </c>
      <c r="AI158" s="639">
        <f>1/CarMoreData!$F$18*10^3*$BU$116</f>
        <v>346.75275139191854</v>
      </c>
      <c r="AJ158" s="640">
        <f>1/CarMoreData!$H$18*10^3*$BU$116</f>
        <v>355.28417370064295</v>
      </c>
      <c r="AK158" s="625"/>
      <c r="AL158" s="625"/>
      <c r="AM158" s="625"/>
      <c r="AN158" s="625"/>
      <c r="AO158" s="625"/>
      <c r="AP158" s="625"/>
      <c r="AQ158" s="625"/>
      <c r="AR158" s="626"/>
      <c r="AT158"/>
      <c r="AU158"/>
      <c r="AV158"/>
      <c r="AX158" s="542"/>
      <c r="AY158" s="542"/>
      <c r="BD158"/>
      <c r="BG158"/>
    </row>
    <row r="159" spans="1:59">
      <c r="A159"/>
      <c r="H159"/>
      <c r="N159" s="542"/>
      <c r="O159" s="542"/>
      <c r="P159" s="542"/>
      <c r="Q159" s="542"/>
      <c r="R159" s="542"/>
      <c r="S159" s="542"/>
      <c r="T159" s="542"/>
      <c r="U159" s="542"/>
      <c r="V159" s="542"/>
      <c r="W159" s="542"/>
      <c r="X159" s="542"/>
      <c r="AF159"/>
      <c r="AG159" s="2437"/>
      <c r="AH159" s="697" t="s">
        <v>49</v>
      </c>
      <c r="AI159" s="639">
        <f>1/CarMoreData!$F$39*10^3*$BU$116</f>
        <v>1431.7402692719502</v>
      </c>
      <c r="AJ159" s="640">
        <f>1/CarMoreData!$H$39*10^3*$BU$116</f>
        <v>1431.7402692719506</v>
      </c>
      <c r="AK159" s="625"/>
      <c r="AL159" s="625"/>
      <c r="AM159" s="625"/>
      <c r="AN159" s="625"/>
      <c r="AO159" s="625"/>
      <c r="AP159" s="625"/>
      <c r="AQ159" s="625"/>
      <c r="AR159" s="626"/>
      <c r="AT159"/>
      <c r="AU159"/>
      <c r="AV159"/>
      <c r="AX159" s="542"/>
      <c r="AY159" s="542"/>
      <c r="BD159"/>
      <c r="BG159"/>
    </row>
    <row r="160" spans="1:59">
      <c r="A160"/>
      <c r="H160"/>
      <c r="N160" s="542"/>
      <c r="O160" s="542"/>
      <c r="P160" s="542"/>
      <c r="Q160" s="542"/>
      <c r="R160" s="542"/>
      <c r="S160" s="542"/>
      <c r="T160" s="542"/>
      <c r="U160" s="542"/>
      <c r="V160" s="542"/>
      <c r="W160" s="542"/>
      <c r="X160" s="542"/>
      <c r="AF160"/>
      <c r="AG160" s="461"/>
      <c r="AH160" s="734" t="s">
        <v>607</v>
      </c>
      <c r="AI160" s="2449">
        <f>AI158</f>
        <v>346.75275139191854</v>
      </c>
      <c r="AJ160" s="2442">
        <f>AJ158</f>
        <v>355.28417370064295</v>
      </c>
      <c r="AK160" s="627"/>
      <c r="AL160" s="627"/>
      <c r="AM160" s="627"/>
      <c r="AN160" s="627"/>
      <c r="AO160" s="627"/>
      <c r="AP160" s="627"/>
      <c r="AQ160" s="627"/>
      <c r="AR160" s="628"/>
      <c r="AT160"/>
      <c r="AU160"/>
      <c r="AV160"/>
      <c r="AX160" s="542"/>
      <c r="AY160" s="542"/>
      <c r="BD160"/>
      <c r="BG160"/>
    </row>
    <row r="161" spans="1:59" ht="19.2">
      <c r="A161"/>
      <c r="H161"/>
      <c r="N161" s="542"/>
      <c r="O161" s="542"/>
      <c r="P161" s="542"/>
      <c r="Q161" s="542"/>
      <c r="R161" s="542"/>
      <c r="S161" s="542"/>
      <c r="T161" s="542"/>
      <c r="U161" s="542"/>
      <c r="V161" s="542"/>
      <c r="W161" s="542"/>
      <c r="X161" s="542"/>
      <c r="AF161"/>
      <c r="AG161" s="2437" t="s">
        <v>602</v>
      </c>
      <c r="AH161" s="2446" t="s">
        <v>184</v>
      </c>
      <c r="AI161" s="639">
        <f>1/CarMoreData!$F$18*10^3*$BU$116</f>
        <v>346.75275139191854</v>
      </c>
      <c r="AJ161" s="406">
        <f>1/CarMoreData!$H$18*10^3*$BU$116</f>
        <v>355.28417370064295</v>
      </c>
      <c r="AK161" s="2444"/>
      <c r="AL161" s="2444"/>
      <c r="AM161" s="2444"/>
      <c r="AN161" s="2444"/>
      <c r="AO161" s="2444"/>
      <c r="AP161" s="2444"/>
      <c r="AQ161" s="2444"/>
      <c r="AR161" s="2445"/>
      <c r="AT161"/>
      <c r="AU161"/>
      <c r="AV161"/>
      <c r="AX161" s="542"/>
      <c r="AY161" s="542"/>
      <c r="BD161"/>
      <c r="BG161"/>
    </row>
    <row r="162" spans="1:59" ht="12.75" customHeight="1">
      <c r="A162"/>
      <c r="H162"/>
      <c r="N162" s="542"/>
      <c r="O162" s="542"/>
      <c r="P162" s="542"/>
      <c r="AF162"/>
      <c r="AG162" s="2437"/>
      <c r="AH162" s="697" t="s">
        <v>61</v>
      </c>
      <c r="AI162" s="639">
        <f>1/CarMoreData!$F$30*10^3*$BU$116</f>
        <v>344.42032388492248</v>
      </c>
      <c r="AJ162" s="406">
        <f>1/CarMoreData!$H$30*10^3*$BU$116</f>
        <v>350.37824870123302</v>
      </c>
      <c r="AK162" s="625"/>
      <c r="AL162" s="625"/>
      <c r="AM162" s="625"/>
      <c r="AN162" s="625"/>
      <c r="AO162" s="625"/>
      <c r="AP162" s="625"/>
      <c r="AQ162" s="625"/>
      <c r="AR162" s="626"/>
      <c r="AX162" s="542"/>
      <c r="AY162" s="542"/>
      <c r="BD162"/>
      <c r="BG162"/>
    </row>
    <row r="163" spans="1:59">
      <c r="A163"/>
      <c r="H163"/>
      <c r="AF163"/>
      <c r="AG163" s="2437"/>
      <c r="AH163" s="697" t="s">
        <v>51</v>
      </c>
      <c r="AI163" s="639">
        <f>1/CarMoreData!$F$18*10^3*$BU$116</f>
        <v>346.75275139191854</v>
      </c>
      <c r="AJ163" s="406">
        <f>1/CarMoreData!$H$18*10^3*$BU$116</f>
        <v>355.28417370064295</v>
      </c>
      <c r="AK163" s="625"/>
      <c r="AL163" s="625"/>
      <c r="AM163" s="625"/>
      <c r="AN163" s="625"/>
      <c r="AO163" s="625"/>
      <c r="AP163" s="625"/>
      <c r="AQ163" s="625"/>
      <c r="AR163" s="626"/>
      <c r="AX163" s="542"/>
      <c r="AY163" s="542"/>
      <c r="BD163"/>
      <c r="BG163"/>
    </row>
    <row r="164" spans="1:59">
      <c r="T164" s="754"/>
      <c r="U164" s="754"/>
      <c r="AG164" s="2437"/>
      <c r="AH164" s="697" t="s">
        <v>577</v>
      </c>
      <c r="AI164" s="639">
        <f>1/CarMoreData!$F$18*10^3*$BU$116</f>
        <v>346.75275139191854</v>
      </c>
      <c r="AJ164" s="406">
        <f>1/CarMoreData!$H$18*10^3*$BU$116</f>
        <v>355.28417370064295</v>
      </c>
      <c r="AK164" s="625"/>
      <c r="AL164" s="625"/>
      <c r="AM164" s="625"/>
      <c r="AN164" s="625"/>
      <c r="AO164" s="625"/>
      <c r="AP164" s="625"/>
      <c r="AQ164" s="625"/>
      <c r="AR164" s="626"/>
    </row>
    <row r="165" spans="1:59">
      <c r="T165" s="754"/>
      <c r="U165" s="754"/>
      <c r="AG165" s="2437"/>
      <c r="AH165" s="697" t="s">
        <v>49</v>
      </c>
      <c r="AI165" s="639">
        <f>1/CarMoreData!$F$39*10^3*$BU$116</f>
        <v>1431.7402692719502</v>
      </c>
      <c r="AJ165" s="406">
        <f>1/CarMoreData!$H$39*10^3*$BU$116</f>
        <v>1431.7402692719506</v>
      </c>
      <c r="AK165" s="625"/>
      <c r="AL165" s="625"/>
      <c r="AM165" s="625"/>
      <c r="AN165" s="625"/>
      <c r="AO165" s="625"/>
      <c r="AP165" s="625"/>
      <c r="AQ165" s="625"/>
      <c r="AR165" s="626"/>
    </row>
    <row r="166" spans="1:59">
      <c r="T166" s="754"/>
      <c r="U166" s="754"/>
      <c r="AG166" s="461"/>
      <c r="AH166" s="734" t="s">
        <v>607</v>
      </c>
      <c r="AI166" s="2449">
        <f>AI164</f>
        <v>346.75275139191854</v>
      </c>
      <c r="AJ166" s="2442">
        <f>AJ164</f>
        <v>355.28417370064295</v>
      </c>
      <c r="AK166" s="627"/>
      <c r="AL166" s="627"/>
      <c r="AM166" s="627"/>
      <c r="AN166" s="627"/>
      <c r="AO166" s="627"/>
      <c r="AP166" s="627"/>
      <c r="AQ166" s="627"/>
      <c r="AR166" s="628"/>
    </row>
    <row r="167" spans="1:59" ht="19.8" thickBot="1">
      <c r="A167"/>
      <c r="H167"/>
      <c r="I167" s="754"/>
      <c r="J167" s="754"/>
      <c r="K167" s="754"/>
      <c r="L167" s="754"/>
      <c r="M167" s="754"/>
      <c r="T167" s="754"/>
      <c r="U167" s="754"/>
      <c r="W167" s="2988" t="s">
        <v>3465</v>
      </c>
      <c r="X167" s="2026"/>
      <c r="Y167" s="784"/>
      <c r="AF167"/>
      <c r="AG167" s="2436" t="s">
        <v>603</v>
      </c>
      <c r="AH167" s="2446" t="s">
        <v>184</v>
      </c>
      <c r="AI167" s="2447">
        <f>1/CarMoreData!$F$18*10^3*$BU$116</f>
        <v>346.75275139191854</v>
      </c>
      <c r="AJ167" s="638">
        <f>1/CarMoreData!$H$18*10^3*$BU$116</f>
        <v>355.28417370064295</v>
      </c>
      <c r="AK167" s="2444"/>
      <c r="AL167" s="2444"/>
      <c r="AM167" s="2444"/>
      <c r="AN167" s="2444"/>
      <c r="AO167" s="2444"/>
      <c r="AP167" s="2444"/>
      <c r="AQ167" s="2444"/>
      <c r="AR167" s="2445"/>
    </row>
    <row r="168" spans="1:59" ht="12.75" customHeight="1">
      <c r="A168"/>
      <c r="H168"/>
      <c r="I168" s="754"/>
      <c r="J168" s="754"/>
      <c r="K168" s="754"/>
      <c r="L168" s="754"/>
      <c r="M168" s="754"/>
      <c r="S168" s="754"/>
      <c r="W168" s="2989" t="s">
        <v>626</v>
      </c>
      <c r="X168" s="2990">
        <v>1121.4694544968002</v>
      </c>
      <c r="Y168" s="12">
        <f>AI73/(X168*10)</f>
        <v>1.1491791125766804</v>
      </c>
      <c r="AF168"/>
      <c r="AG168" s="2437"/>
      <c r="AH168" s="697" t="s">
        <v>61</v>
      </c>
      <c r="AI168" s="639">
        <f>1/CarMoreData!$F$30*10^3*$BU$116</f>
        <v>344.42032388492248</v>
      </c>
      <c r="AJ168" s="640">
        <f>1/CarMoreData!$H$30*10^3*$BU$116</f>
        <v>350.37824870123302</v>
      </c>
      <c r="AK168" s="625"/>
      <c r="AL168" s="625"/>
      <c r="AM168" s="625"/>
      <c r="AN168" s="625"/>
      <c r="AO168" s="625"/>
      <c r="AP168" s="625"/>
      <c r="AQ168" s="625"/>
      <c r="AR168" s="626"/>
    </row>
    <row r="169" spans="1:59">
      <c r="A169"/>
      <c r="H169"/>
      <c r="J169"/>
      <c r="K169"/>
      <c r="M169"/>
      <c r="W169" s="2991" t="s">
        <v>61</v>
      </c>
      <c r="X169" s="2992">
        <v>1938.7193349993531</v>
      </c>
      <c r="Y169" s="12">
        <f>AI75/(X169*10)</f>
        <v>1.10901167369556</v>
      </c>
      <c r="AF169"/>
      <c r="AG169" s="2437"/>
      <c r="AH169" s="697" t="s">
        <v>51</v>
      </c>
      <c r="AI169" s="639">
        <f>1/CarMoreData!$F$18*10^3*$BU$116</f>
        <v>346.75275139191854</v>
      </c>
      <c r="AJ169" s="640">
        <f>1/CarMoreData!$H$18*10^3*$BU$116</f>
        <v>355.28417370064295</v>
      </c>
      <c r="AK169" s="625"/>
      <c r="AL169" s="625"/>
      <c r="AM169" s="625"/>
      <c r="AN169" s="625"/>
      <c r="AO169" s="625"/>
      <c r="AP169" s="625"/>
      <c r="AQ169" s="625"/>
      <c r="AR169" s="626"/>
    </row>
    <row r="170" spans="1:59">
      <c r="A170"/>
      <c r="H170"/>
      <c r="J170"/>
      <c r="K170"/>
      <c r="M170"/>
      <c r="W170" s="2991" t="s">
        <v>627</v>
      </c>
      <c r="X170" s="2992">
        <v>670.58508771929826</v>
      </c>
      <c r="Y170" s="784"/>
      <c r="AF170"/>
      <c r="AG170" s="2437"/>
      <c r="AH170" s="697" t="s">
        <v>577</v>
      </c>
      <c r="AI170" s="639">
        <f>1/CarMoreData!$F$18*10^3*$BU$116</f>
        <v>346.75275139191854</v>
      </c>
      <c r="AJ170" s="640">
        <f>1/CarMoreData!$H$18*10^3*$BU$116</f>
        <v>355.28417370064295</v>
      </c>
      <c r="AK170" s="625"/>
      <c r="AL170" s="625"/>
      <c r="AM170" s="625"/>
      <c r="AN170" s="625"/>
      <c r="AO170" s="625"/>
      <c r="AP170" s="625"/>
      <c r="AQ170" s="625"/>
      <c r="AR170" s="626"/>
    </row>
    <row r="171" spans="1:59">
      <c r="A171"/>
      <c r="H171"/>
      <c r="J171"/>
      <c r="K171"/>
      <c r="M171"/>
      <c r="W171" s="2991" t="s">
        <v>637</v>
      </c>
      <c r="X171" s="2992">
        <v>1779.6826286548221</v>
      </c>
      <c r="Y171" s="784"/>
      <c r="AF171"/>
      <c r="AG171" s="2437"/>
      <c r="AH171" s="697" t="s">
        <v>49</v>
      </c>
      <c r="AI171" s="639">
        <f>1/CarMoreData!$F$39*10^3*$BU$116</f>
        <v>1431.7402692719502</v>
      </c>
      <c r="AJ171" s="640">
        <f>1/CarMoreData!$H$39*10^3*$BU$116</f>
        <v>1431.7402692719506</v>
      </c>
      <c r="AK171" s="625"/>
      <c r="AL171" s="625"/>
      <c r="AM171" s="625"/>
      <c r="AN171" s="625"/>
      <c r="AO171" s="625"/>
      <c r="AP171" s="625"/>
      <c r="AQ171" s="625"/>
      <c r="AR171" s="626"/>
    </row>
    <row r="172" spans="1:59">
      <c r="A172"/>
      <c r="H172"/>
      <c r="J172"/>
      <c r="K172"/>
      <c r="M172"/>
      <c r="W172" s="2991" t="s">
        <v>638</v>
      </c>
      <c r="X172" s="2992">
        <v>1885.1531090121998</v>
      </c>
      <c r="Y172" s="784"/>
      <c r="AF172"/>
      <c r="AG172" s="461"/>
      <c r="AH172" s="734" t="s">
        <v>607</v>
      </c>
      <c r="AI172" s="2449">
        <f>AI170</f>
        <v>346.75275139191854</v>
      </c>
      <c r="AJ172" s="2442">
        <f>AJ170</f>
        <v>355.28417370064295</v>
      </c>
      <c r="AK172" s="627"/>
      <c r="AL172" s="627"/>
      <c r="AM172" s="627"/>
      <c r="AN172" s="627"/>
      <c r="AO172" s="627"/>
      <c r="AP172" s="627"/>
      <c r="AQ172" s="627"/>
      <c r="AR172" s="628"/>
    </row>
    <row r="173" spans="1:59" ht="19.2">
      <c r="A173"/>
      <c r="H173"/>
      <c r="J173"/>
      <c r="K173"/>
      <c r="M173"/>
      <c r="W173" s="2991" t="s">
        <v>205</v>
      </c>
      <c r="X173" s="2992">
        <v>2269.8523027710335</v>
      </c>
      <c r="Y173" s="784"/>
      <c r="AF173"/>
      <c r="AG173" s="2436" t="s">
        <v>604</v>
      </c>
      <c r="AH173" s="2446" t="s">
        <v>184</v>
      </c>
      <c r="AI173" s="2447">
        <f>1/CarMoreData!$F$18*10^3*$BU$116</f>
        <v>346.75275139191854</v>
      </c>
      <c r="AJ173" s="638">
        <f>1/CarMoreData!$H$18*10^3*$BU$116</f>
        <v>355.28417370064295</v>
      </c>
      <c r="AK173" s="2444"/>
      <c r="AL173" s="2444"/>
      <c r="AM173" s="2444"/>
      <c r="AN173" s="2444"/>
      <c r="AO173" s="2444"/>
      <c r="AP173" s="2444"/>
      <c r="AQ173" s="2444"/>
      <c r="AR173" s="2445"/>
    </row>
    <row r="174" spans="1:59" ht="12.75" customHeight="1">
      <c r="A174"/>
      <c r="H174"/>
      <c r="J174"/>
      <c r="K174"/>
      <c r="M174"/>
      <c r="W174" s="2991" t="s">
        <v>632</v>
      </c>
      <c r="X174" s="2992">
        <v>874.69959016393443</v>
      </c>
      <c r="Y174" s="784"/>
      <c r="AF174"/>
      <c r="AG174" s="2437"/>
      <c r="AH174" s="697" t="s">
        <v>61</v>
      </c>
      <c r="AI174" s="639">
        <f>1/CarMoreData!$F$30*10^3*$BU$116</f>
        <v>344.42032388492248</v>
      </c>
      <c r="AJ174" s="640">
        <f>1/CarMoreData!$H$30*10^3*$BU$116</f>
        <v>350.37824870123302</v>
      </c>
      <c r="AK174" s="625"/>
      <c r="AL174" s="625"/>
      <c r="AM174" s="625"/>
      <c r="AN174" s="625"/>
      <c r="AO174" s="625"/>
      <c r="AP174" s="625"/>
      <c r="AQ174" s="625"/>
      <c r="AR174" s="626"/>
    </row>
    <row r="175" spans="1:59" ht="13.8" thickBot="1">
      <c r="A175"/>
      <c r="H175"/>
      <c r="J175"/>
      <c r="K175"/>
      <c r="M175"/>
      <c r="W175" s="3000" t="s">
        <v>625</v>
      </c>
      <c r="X175" s="3001">
        <v>1270.9112460220972</v>
      </c>
      <c r="Y175" s="784"/>
      <c r="AF175"/>
      <c r="AG175" s="2437"/>
      <c r="AH175" s="697" t="s">
        <v>51</v>
      </c>
      <c r="AI175" s="639">
        <f>1/CarMoreData!$F$18*10^3*$BU$116</f>
        <v>346.75275139191854</v>
      </c>
      <c r="AJ175" s="640">
        <f>1/CarMoreData!$H$18*10^3*$BU$116</f>
        <v>355.28417370064295</v>
      </c>
      <c r="AK175" s="625"/>
      <c r="AL175" s="625"/>
      <c r="AM175" s="625"/>
      <c r="AN175" s="625"/>
      <c r="AO175" s="625"/>
      <c r="AP175" s="625"/>
      <c r="AQ175" s="625"/>
      <c r="AR175" s="626"/>
    </row>
    <row r="176" spans="1:59">
      <c r="A176"/>
      <c r="H176"/>
      <c r="J176"/>
      <c r="K176"/>
      <c r="M176"/>
      <c r="W176" s="784"/>
      <c r="X176" s="784"/>
      <c r="Y176" s="784"/>
      <c r="AF176"/>
      <c r="AG176" s="2437"/>
      <c r="AH176" s="697" t="s">
        <v>577</v>
      </c>
      <c r="AI176" s="639">
        <f>1/CarMoreData!$F$18*10^3*$BU$116</f>
        <v>346.75275139191854</v>
      </c>
      <c r="AJ176" s="640">
        <f>1/CarMoreData!$H$18*10^3*$BU$116</f>
        <v>355.28417370064295</v>
      </c>
      <c r="AK176" s="625"/>
      <c r="AL176" s="625"/>
      <c r="AM176" s="625"/>
      <c r="AN176" s="625"/>
      <c r="AO176" s="625"/>
      <c r="AP176" s="625"/>
      <c r="AQ176" s="625"/>
      <c r="AR176" s="626"/>
    </row>
    <row r="177" spans="1:59">
      <c r="A177"/>
      <c r="H177"/>
      <c r="J177"/>
      <c r="K177"/>
      <c r="M177"/>
      <c r="AF177"/>
      <c r="AG177" s="2437"/>
      <c r="AH177" s="697" t="s">
        <v>49</v>
      </c>
      <c r="AI177" s="639">
        <f>1/CarMoreData!$F$39*10^3*$BU$116</f>
        <v>1431.7402692719502</v>
      </c>
      <c r="AJ177" s="640">
        <f>1/CarMoreData!$H$39*10^3*$BU$116</f>
        <v>1431.7402692719506</v>
      </c>
      <c r="AK177" s="625"/>
      <c r="AL177" s="625"/>
      <c r="AM177" s="625"/>
      <c r="AN177" s="625"/>
      <c r="AO177" s="625"/>
      <c r="AP177" s="625"/>
      <c r="AQ177" s="625"/>
      <c r="AR177" s="626"/>
    </row>
    <row r="178" spans="1:59">
      <c r="A178"/>
      <c r="H178"/>
      <c r="J178"/>
      <c r="K178"/>
      <c r="M178"/>
      <c r="AF178"/>
      <c r="AG178" s="461"/>
      <c r="AH178" s="734" t="s">
        <v>607</v>
      </c>
      <c r="AI178" s="2449">
        <f>AI176</f>
        <v>346.75275139191854</v>
      </c>
      <c r="AJ178" s="2442">
        <f>AJ176</f>
        <v>355.28417370064295</v>
      </c>
      <c r="AK178" s="627"/>
      <c r="AL178" s="627"/>
      <c r="AM178" s="627"/>
      <c r="AN178" s="627"/>
      <c r="AO178" s="627"/>
      <c r="AP178" s="627"/>
      <c r="AQ178" s="627"/>
      <c r="AR178" s="628"/>
      <c r="AT178"/>
      <c r="AU178"/>
      <c r="AV178"/>
      <c r="BD178"/>
      <c r="BE178"/>
      <c r="BG178"/>
    </row>
    <row r="179" spans="1:59">
      <c r="A179"/>
      <c r="H179"/>
      <c r="J179"/>
      <c r="K179"/>
      <c r="M179"/>
      <c r="AF179"/>
      <c r="AG179" s="644" t="s">
        <v>587</v>
      </c>
      <c r="AH179" s="641"/>
      <c r="AI179" s="643"/>
      <c r="AJ179" s="643"/>
      <c r="AK179" s="641"/>
      <c r="AL179" s="641"/>
      <c r="AM179" s="641"/>
      <c r="AN179" s="641"/>
      <c r="AO179" s="641"/>
      <c r="AP179" s="641"/>
      <c r="AQ179" s="641"/>
      <c r="AR179" s="642"/>
      <c r="AT179"/>
      <c r="AU179"/>
      <c r="AV179"/>
      <c r="BD179"/>
      <c r="BE179"/>
      <c r="BG179"/>
    </row>
    <row r="180" spans="1:59" ht="19.2">
      <c r="A180"/>
      <c r="H180"/>
      <c r="J180"/>
      <c r="K180"/>
      <c r="M180"/>
      <c r="AF180"/>
      <c r="AG180" s="2454" t="s">
        <v>601</v>
      </c>
      <c r="AH180" s="2446" t="s">
        <v>184</v>
      </c>
      <c r="AI180" s="2447">
        <f>1/CarMoreData!$F$18*10^3*$BU$117</f>
        <v>385.02617344706078</v>
      </c>
      <c r="AJ180" s="2443">
        <f>1/CarMoreData!$H$18*10^3*$BU$117</f>
        <v>394.499265938478</v>
      </c>
      <c r="AK180" s="2444"/>
      <c r="AL180" s="2444"/>
      <c r="AM180" s="2444"/>
      <c r="AN180" s="2444"/>
      <c r="AO180" s="2444"/>
      <c r="AP180" s="2444"/>
      <c r="AQ180" s="2444"/>
      <c r="AR180" s="2445"/>
      <c r="AT180"/>
      <c r="AU180"/>
      <c r="AV180"/>
      <c r="BD180"/>
      <c r="BE180"/>
      <c r="BG180"/>
    </row>
    <row r="181" spans="1:59" ht="12.75" customHeight="1">
      <c r="A181"/>
      <c r="H181"/>
      <c r="J181"/>
      <c r="K181"/>
      <c r="M181"/>
      <c r="AF181"/>
      <c r="AG181" s="2437"/>
      <c r="AH181" s="697" t="s">
        <v>61</v>
      </c>
      <c r="AI181" s="639">
        <f>1/CarMoreData!$F$30*10^3*$BU$117</f>
        <v>382.43630030472383</v>
      </c>
      <c r="AJ181" s="640">
        <f>1/CarMoreData!$H$30*10^3*$BU$117</f>
        <v>389.05184116056722</v>
      </c>
      <c r="AK181" s="625"/>
      <c r="AL181" s="625"/>
      <c r="AM181" s="625"/>
      <c r="AN181" s="625"/>
      <c r="AO181" s="625"/>
      <c r="AP181" s="625"/>
      <c r="AQ181" s="625"/>
      <c r="AR181" s="626"/>
      <c r="AT181"/>
      <c r="AU181"/>
      <c r="AV181"/>
      <c r="BD181"/>
      <c r="BE181"/>
      <c r="BG181"/>
    </row>
    <row r="182" spans="1:59">
      <c r="A182"/>
      <c r="H182"/>
      <c r="J182"/>
      <c r="K182"/>
      <c r="M182"/>
      <c r="AF182"/>
      <c r="AG182" s="2437"/>
      <c r="AH182" s="697" t="s">
        <v>51</v>
      </c>
      <c r="AI182" s="639">
        <f>1/CarMoreData!$F$18*10^3*$BU$117</f>
        <v>385.02617344706078</v>
      </c>
      <c r="AJ182" s="640">
        <f>1/CarMoreData!$H$18*10^3*$BU$117</f>
        <v>394.499265938478</v>
      </c>
      <c r="AK182" s="625"/>
      <c r="AL182" s="625"/>
      <c r="AM182" s="625"/>
      <c r="AN182" s="625"/>
      <c r="AO182" s="625"/>
      <c r="AP182" s="625"/>
      <c r="AQ182" s="625"/>
      <c r="AR182" s="626"/>
      <c r="AT182"/>
      <c r="AU182"/>
      <c r="AV182"/>
      <c r="BD182"/>
      <c r="BE182"/>
      <c r="BG182"/>
    </row>
    <row r="183" spans="1:59">
      <c r="A183"/>
      <c r="H183"/>
      <c r="J183"/>
      <c r="K183"/>
      <c r="M183"/>
      <c r="AF183"/>
      <c r="AG183" s="2437"/>
      <c r="AH183" s="697" t="s">
        <v>577</v>
      </c>
      <c r="AI183" s="639">
        <f>1/CarMoreData!$F$18*10^3*$BU$117</f>
        <v>385.02617344706078</v>
      </c>
      <c r="AJ183" s="640">
        <f>1/CarMoreData!$H$18*10^3*$BU$117</f>
        <v>394.499265938478</v>
      </c>
      <c r="AK183" s="625"/>
      <c r="AL183" s="625"/>
      <c r="AM183" s="625"/>
      <c r="AN183" s="625"/>
      <c r="AO183" s="625"/>
      <c r="AP183" s="625"/>
      <c r="AQ183" s="625"/>
      <c r="AR183" s="626"/>
      <c r="AT183"/>
      <c r="AU183"/>
      <c r="AV183"/>
      <c r="BD183"/>
      <c r="BE183"/>
      <c r="BG183"/>
    </row>
    <row r="184" spans="1:59">
      <c r="A184"/>
      <c r="H184"/>
      <c r="J184"/>
      <c r="K184"/>
      <c r="M184"/>
      <c r="AF184"/>
      <c r="AG184" s="2437"/>
      <c r="AH184" s="697" t="s">
        <v>49</v>
      </c>
      <c r="AI184" s="639">
        <f>1/CarMoreData!$F$39*10^3*$BU$116</f>
        <v>1431.7402692719502</v>
      </c>
      <c r="AJ184" s="640">
        <f>1/CarMoreData!$H$39*10^3*$BU$116</f>
        <v>1431.7402692719506</v>
      </c>
      <c r="AK184" s="625"/>
      <c r="AL184" s="625"/>
      <c r="AM184" s="625"/>
      <c r="AN184" s="625"/>
      <c r="AO184" s="625"/>
      <c r="AP184" s="625"/>
      <c r="AQ184" s="625"/>
      <c r="AR184" s="626"/>
      <c r="AT184"/>
      <c r="AU184"/>
      <c r="AV184"/>
      <c r="BD184"/>
      <c r="BE184"/>
      <c r="BG184"/>
    </row>
    <row r="185" spans="1:59">
      <c r="A185"/>
      <c r="H185"/>
      <c r="J185"/>
      <c r="K185"/>
      <c r="M185"/>
      <c r="AF185"/>
      <c r="AG185" s="461"/>
      <c r="AH185" s="736" t="s">
        <v>607</v>
      </c>
      <c r="AI185" s="2448">
        <f>AI183</f>
        <v>385.02617344706078</v>
      </c>
      <c r="AJ185" s="2442">
        <f>AJ183</f>
        <v>394.499265938478</v>
      </c>
      <c r="AK185" s="627"/>
      <c r="AL185" s="627"/>
      <c r="AM185" s="627"/>
      <c r="AN185" s="627"/>
      <c r="AO185" s="627"/>
      <c r="AP185" s="627"/>
      <c r="AQ185" s="627"/>
      <c r="AR185" s="628"/>
      <c r="AT185"/>
      <c r="AU185"/>
      <c r="AV185"/>
      <c r="BD185"/>
      <c r="BE185"/>
      <c r="BG185"/>
    </row>
    <row r="186" spans="1:59" ht="19.2">
      <c r="A186"/>
      <c r="H186"/>
      <c r="J186"/>
      <c r="K186"/>
      <c r="M186"/>
      <c r="AF186"/>
      <c r="AG186" s="2454" t="s">
        <v>602</v>
      </c>
      <c r="AH186" s="2446" t="s">
        <v>184</v>
      </c>
      <c r="AI186" s="2447">
        <f>1/CarMoreData!$F$18*10^3*$BU$117</f>
        <v>385.02617344706078</v>
      </c>
      <c r="AJ186" s="2443">
        <f>1/CarMoreData!$H$18*10^3*$BU$117</f>
        <v>394.499265938478</v>
      </c>
      <c r="AK186" s="2444"/>
      <c r="AL186" s="2444"/>
      <c r="AM186" s="2444"/>
      <c r="AN186" s="2444"/>
      <c r="AO186" s="2444"/>
      <c r="AP186" s="2444"/>
      <c r="AQ186" s="2444"/>
      <c r="AR186" s="2445"/>
      <c r="AT186"/>
      <c r="AU186"/>
      <c r="AV186"/>
      <c r="BD186"/>
      <c r="BE186"/>
      <c r="BG186"/>
    </row>
    <row r="187" spans="1:59" ht="12.75" customHeight="1">
      <c r="A187"/>
      <c r="H187"/>
      <c r="J187"/>
      <c r="K187"/>
      <c r="M187"/>
      <c r="AF187"/>
      <c r="AG187" s="2437"/>
      <c r="AH187" s="697" t="s">
        <v>61</v>
      </c>
      <c r="AI187" s="639">
        <f>1/CarMoreData!$F$30*10^3*$BU$117</f>
        <v>382.43630030472383</v>
      </c>
      <c r="AJ187" s="640">
        <f>1/CarMoreData!$H$30*10^3*$BU$117</f>
        <v>389.05184116056722</v>
      </c>
      <c r="AK187" s="625"/>
      <c r="AL187" s="625"/>
      <c r="AM187" s="625"/>
      <c r="AN187" s="625"/>
      <c r="AO187" s="625"/>
      <c r="AP187" s="625"/>
      <c r="AQ187" s="625"/>
      <c r="AR187" s="626"/>
      <c r="AT187"/>
      <c r="AU187"/>
      <c r="AV187"/>
      <c r="BD187"/>
      <c r="BE187"/>
      <c r="BG187"/>
    </row>
    <row r="188" spans="1:59">
      <c r="A188"/>
      <c r="H188"/>
      <c r="J188"/>
      <c r="K188"/>
      <c r="M188"/>
      <c r="AF188"/>
      <c r="AG188" s="2437"/>
      <c r="AH188" s="697" t="s">
        <v>51</v>
      </c>
      <c r="AI188" s="639">
        <f>1/CarMoreData!$F$18*10^3*$BU$117</f>
        <v>385.02617344706078</v>
      </c>
      <c r="AJ188" s="640">
        <f>1/CarMoreData!$H$18*10^3*$BU$117</f>
        <v>394.499265938478</v>
      </c>
      <c r="AK188" s="625"/>
      <c r="AL188" s="625"/>
      <c r="AM188" s="625"/>
      <c r="AN188" s="625"/>
      <c r="AO188" s="625"/>
      <c r="AP188" s="625"/>
      <c r="AQ188" s="625"/>
      <c r="AR188" s="626"/>
      <c r="AT188"/>
      <c r="AU188"/>
      <c r="AV188"/>
      <c r="BD188"/>
      <c r="BE188"/>
      <c r="BG188"/>
    </row>
    <row r="189" spans="1:59">
      <c r="A189"/>
      <c r="H189"/>
      <c r="J189"/>
      <c r="K189"/>
      <c r="M189"/>
      <c r="AF189"/>
      <c r="AG189" s="2437"/>
      <c r="AH189" s="697" t="s">
        <v>577</v>
      </c>
      <c r="AI189" s="639">
        <f>1/CarMoreData!$F$18*10^3*$BU$117</f>
        <v>385.02617344706078</v>
      </c>
      <c r="AJ189" s="640">
        <f>1/CarMoreData!$H$18*10^3*$BU$117</f>
        <v>394.499265938478</v>
      </c>
      <c r="AK189" s="625"/>
      <c r="AL189" s="625"/>
      <c r="AM189" s="625"/>
      <c r="AN189" s="625"/>
      <c r="AO189" s="625"/>
      <c r="AP189" s="625"/>
      <c r="AQ189" s="625"/>
      <c r="AR189" s="626"/>
      <c r="AT189"/>
      <c r="AU189"/>
      <c r="AV189"/>
      <c r="BD189"/>
      <c r="BE189"/>
      <c r="BG189"/>
    </row>
    <row r="190" spans="1:59">
      <c r="A190"/>
      <c r="H190"/>
      <c r="J190"/>
      <c r="K190"/>
      <c r="M190"/>
      <c r="AF190"/>
      <c r="AG190" s="2437"/>
      <c r="AH190" s="697" t="s">
        <v>49</v>
      </c>
      <c r="AI190" s="639">
        <f>1/CarMoreData!$F$39*10^3*$BU$116</f>
        <v>1431.7402692719502</v>
      </c>
      <c r="AJ190" s="640">
        <f>1/CarMoreData!$H$39*10^3*$BU$116</f>
        <v>1431.7402692719506</v>
      </c>
      <c r="AK190" s="625"/>
      <c r="AL190" s="625"/>
      <c r="AM190" s="625"/>
      <c r="AN190" s="625"/>
      <c r="AO190" s="625"/>
      <c r="AP190" s="625"/>
      <c r="AQ190" s="625"/>
      <c r="AR190" s="626"/>
      <c r="AT190"/>
      <c r="AU190"/>
      <c r="AV190"/>
      <c r="BD190"/>
      <c r="BE190"/>
      <c r="BG190"/>
    </row>
    <row r="191" spans="1:59">
      <c r="A191"/>
      <c r="H191"/>
      <c r="J191"/>
      <c r="K191"/>
      <c r="M191"/>
      <c r="AF191"/>
      <c r="AG191" s="461"/>
      <c r="AH191" s="736" t="s">
        <v>607</v>
      </c>
      <c r="AI191" s="2449">
        <f>AI189</f>
        <v>385.02617344706078</v>
      </c>
      <c r="AJ191" s="2442">
        <f>AJ189</f>
        <v>394.499265938478</v>
      </c>
      <c r="AK191" s="627"/>
      <c r="AL191" s="627"/>
      <c r="AM191" s="627"/>
      <c r="AN191" s="627"/>
      <c r="AO191" s="627"/>
      <c r="AP191" s="627"/>
      <c r="AQ191" s="627"/>
      <c r="AR191" s="628"/>
      <c r="AT191"/>
      <c r="AU191"/>
      <c r="AV191"/>
      <c r="BD191"/>
      <c r="BE191"/>
      <c r="BG191"/>
    </row>
    <row r="192" spans="1:59" ht="19.2">
      <c r="A192"/>
      <c r="H192"/>
      <c r="J192"/>
      <c r="K192"/>
      <c r="M192"/>
      <c r="AF192"/>
      <c r="AG192" s="2454" t="s">
        <v>603</v>
      </c>
      <c r="AH192" s="2446" t="s">
        <v>184</v>
      </c>
      <c r="AI192" s="2447">
        <f>1/CarMoreData!$F$18*10^3*$BU$117</f>
        <v>385.02617344706078</v>
      </c>
      <c r="AJ192" s="2443">
        <f>1/CarMoreData!$H$18*10^3*$BU$117</f>
        <v>394.499265938478</v>
      </c>
      <c r="AK192" s="2444"/>
      <c r="AL192" s="2444"/>
      <c r="AM192" s="2444"/>
      <c r="AN192" s="2444"/>
      <c r="AO192" s="2444"/>
      <c r="AP192" s="2444"/>
      <c r="AQ192" s="2444"/>
      <c r="AR192" s="2445"/>
      <c r="AT192"/>
      <c r="AU192"/>
      <c r="AV192"/>
      <c r="BD192"/>
      <c r="BE192"/>
      <c r="BG192"/>
    </row>
    <row r="193" spans="1:59" ht="12.75" customHeight="1">
      <c r="A193"/>
      <c r="H193"/>
      <c r="J193"/>
      <c r="K193"/>
      <c r="M193"/>
      <c r="AF193"/>
      <c r="AG193" s="2437"/>
      <c r="AH193" s="697" t="s">
        <v>61</v>
      </c>
      <c r="AI193" s="639">
        <f>1/CarMoreData!$F$30*10^3*$BU$117</f>
        <v>382.43630030472383</v>
      </c>
      <c r="AJ193" s="640">
        <f>1/CarMoreData!$H$30*10^3*$BU$117</f>
        <v>389.05184116056722</v>
      </c>
      <c r="AK193" s="625"/>
      <c r="AL193" s="625"/>
      <c r="AM193" s="625"/>
      <c r="AN193" s="625"/>
      <c r="AO193" s="625"/>
      <c r="AP193" s="625"/>
      <c r="AQ193" s="625"/>
      <c r="AR193" s="626"/>
      <c r="AT193"/>
      <c r="AU193"/>
      <c r="AV193"/>
      <c r="BD193"/>
      <c r="BE193"/>
      <c r="BG193"/>
    </row>
    <row r="194" spans="1:59">
      <c r="A194"/>
      <c r="H194"/>
      <c r="J194"/>
      <c r="K194"/>
      <c r="M194"/>
      <c r="AF194"/>
      <c r="AG194" s="2437"/>
      <c r="AH194" s="697" t="s">
        <v>51</v>
      </c>
      <c r="AI194" s="639">
        <f>1/CarMoreData!$F$18*10^3*$BU$117</f>
        <v>385.02617344706078</v>
      </c>
      <c r="AJ194" s="640">
        <f>1/CarMoreData!$H$18*10^3*$BU$117</f>
        <v>394.499265938478</v>
      </c>
      <c r="AK194" s="625"/>
      <c r="AL194" s="625"/>
      <c r="AM194" s="625"/>
      <c r="AN194" s="625"/>
      <c r="AO194" s="625"/>
      <c r="AP194" s="625"/>
      <c r="AQ194" s="625"/>
      <c r="AR194" s="626"/>
      <c r="AT194"/>
      <c r="AU194"/>
      <c r="AV194"/>
      <c r="BD194"/>
      <c r="BE194"/>
      <c r="BG194"/>
    </row>
    <row r="195" spans="1:59">
      <c r="A195"/>
      <c r="H195"/>
      <c r="J195"/>
      <c r="K195"/>
      <c r="M195"/>
      <c r="AF195"/>
      <c r="AG195" s="2437"/>
      <c r="AH195" s="697" t="s">
        <v>577</v>
      </c>
      <c r="AI195" s="639">
        <f>1/CarMoreData!$F$18*10^3*$BU$117</f>
        <v>385.02617344706078</v>
      </c>
      <c r="AJ195" s="640">
        <f>1/CarMoreData!$H$18*10^3*$BU$117</f>
        <v>394.499265938478</v>
      </c>
      <c r="AK195" s="625"/>
      <c r="AL195" s="625"/>
      <c r="AM195" s="625"/>
      <c r="AN195" s="625"/>
      <c r="AO195" s="625"/>
      <c r="AP195" s="625"/>
      <c r="AQ195" s="625"/>
      <c r="AR195" s="626"/>
      <c r="AT195"/>
      <c r="AU195"/>
      <c r="AV195"/>
      <c r="BD195"/>
      <c r="BE195"/>
      <c r="BG195"/>
    </row>
    <row r="196" spans="1:59">
      <c r="A196"/>
      <c r="H196"/>
      <c r="J196"/>
      <c r="K196"/>
      <c r="M196"/>
      <c r="AF196"/>
      <c r="AG196" s="2437"/>
      <c r="AH196" s="697" t="s">
        <v>49</v>
      </c>
      <c r="AI196" s="639">
        <f>1/CarMoreData!$F$39*10^3*$BU$116</f>
        <v>1431.7402692719502</v>
      </c>
      <c r="AJ196" s="640">
        <f>1/CarMoreData!$H$39*10^3*$BU$116</f>
        <v>1431.7402692719506</v>
      </c>
      <c r="AK196" s="625"/>
      <c r="AL196" s="625"/>
      <c r="AM196" s="625"/>
      <c r="AN196" s="625"/>
      <c r="AO196" s="625"/>
      <c r="AP196" s="625"/>
      <c r="AQ196" s="625"/>
      <c r="AR196" s="626"/>
      <c r="AT196"/>
      <c r="AU196"/>
      <c r="AV196"/>
      <c r="BD196"/>
      <c r="BE196"/>
      <c r="BG196"/>
    </row>
    <row r="197" spans="1:59">
      <c r="A197"/>
      <c r="H197"/>
      <c r="J197"/>
      <c r="K197"/>
      <c r="M197"/>
      <c r="AF197"/>
      <c r="AG197" s="461"/>
      <c r="AH197" s="736" t="s">
        <v>607</v>
      </c>
      <c r="AI197" s="2449">
        <f>AI195</f>
        <v>385.02617344706078</v>
      </c>
      <c r="AJ197" s="2442">
        <f>AJ195</f>
        <v>394.499265938478</v>
      </c>
      <c r="AK197" s="627"/>
      <c r="AL197" s="627"/>
      <c r="AM197" s="627"/>
      <c r="AN197" s="627"/>
      <c r="AO197" s="627"/>
      <c r="AP197" s="627"/>
      <c r="AQ197" s="627"/>
      <c r="AR197" s="628"/>
      <c r="AT197"/>
      <c r="AU197"/>
      <c r="AV197"/>
      <c r="BD197"/>
      <c r="BE197"/>
      <c r="BG197"/>
    </row>
    <row r="198" spans="1:59" ht="19.2">
      <c r="A198"/>
      <c r="H198"/>
      <c r="J198"/>
      <c r="K198"/>
      <c r="M198"/>
      <c r="AF198"/>
      <c r="AG198" s="2454" t="s">
        <v>604</v>
      </c>
      <c r="AH198" s="2446" t="s">
        <v>184</v>
      </c>
      <c r="AI198" s="2447">
        <f>1/CarMoreData!$F$18*10^3*$BU$117</f>
        <v>385.02617344706078</v>
      </c>
      <c r="AJ198" s="2443">
        <f>1/CarMoreData!$H$18*10^3*$BU$117</f>
        <v>394.499265938478</v>
      </c>
      <c r="AK198" s="2444"/>
      <c r="AL198" s="2444"/>
      <c r="AM198" s="2444"/>
      <c r="AN198" s="2444"/>
      <c r="AO198" s="2444"/>
      <c r="AP198" s="2444"/>
      <c r="AQ198" s="2444"/>
      <c r="AR198" s="2445"/>
      <c r="AT198"/>
      <c r="AU198"/>
      <c r="AV198"/>
      <c r="BD198"/>
      <c r="BE198"/>
      <c r="BG198"/>
    </row>
    <row r="199" spans="1:59" ht="12.75" customHeight="1">
      <c r="A199"/>
      <c r="H199"/>
      <c r="J199"/>
      <c r="K199"/>
      <c r="M199"/>
      <c r="AF199"/>
      <c r="AG199" s="2437"/>
      <c r="AH199" s="697" t="s">
        <v>61</v>
      </c>
      <c r="AI199" s="639">
        <f>1/CarMoreData!$F$30*10^3*$BU$117</f>
        <v>382.43630030472383</v>
      </c>
      <c r="AJ199" s="640">
        <f>1/CarMoreData!$H$30*10^3*$BU$117</f>
        <v>389.05184116056722</v>
      </c>
      <c r="AK199" s="625"/>
      <c r="AL199" s="625"/>
      <c r="AM199" s="625"/>
      <c r="AN199" s="625"/>
      <c r="AO199" s="625"/>
      <c r="AP199" s="625"/>
      <c r="AQ199" s="625"/>
      <c r="AR199" s="626"/>
      <c r="AT199"/>
      <c r="AU199"/>
      <c r="AV199"/>
      <c r="BD199"/>
      <c r="BE199"/>
      <c r="BG199"/>
    </row>
    <row r="200" spans="1:59">
      <c r="A200"/>
      <c r="H200"/>
      <c r="J200"/>
      <c r="K200"/>
      <c r="M200"/>
      <c r="AF200"/>
      <c r="AG200" s="2437"/>
      <c r="AH200" s="697" t="s">
        <v>51</v>
      </c>
      <c r="AI200" s="639">
        <f>1/CarMoreData!$F$18*10^3*$BU$117</f>
        <v>385.02617344706078</v>
      </c>
      <c r="AJ200" s="640">
        <f>1/CarMoreData!$H$18*10^3*$BU$117</f>
        <v>394.499265938478</v>
      </c>
      <c r="AK200" s="625"/>
      <c r="AL200" s="625"/>
      <c r="AM200" s="625"/>
      <c r="AN200" s="625"/>
      <c r="AO200" s="625"/>
      <c r="AP200" s="625"/>
      <c r="AQ200" s="625"/>
      <c r="AR200" s="626"/>
      <c r="AT200"/>
      <c r="AU200"/>
      <c r="AV200"/>
      <c r="BD200"/>
      <c r="BE200"/>
      <c r="BG200"/>
    </row>
    <row r="201" spans="1:59">
      <c r="A201"/>
      <c r="H201"/>
      <c r="J201"/>
      <c r="K201"/>
      <c r="M201"/>
      <c r="AF201"/>
      <c r="AG201" s="2437"/>
      <c r="AH201" s="697" t="s">
        <v>577</v>
      </c>
      <c r="AI201" s="639">
        <f>1/CarMoreData!$F$18*10^3*$BU$117</f>
        <v>385.02617344706078</v>
      </c>
      <c r="AJ201" s="640">
        <f>1/CarMoreData!$H$18*10^3*$BU$117</f>
        <v>394.499265938478</v>
      </c>
      <c r="AK201" s="625"/>
      <c r="AL201" s="625"/>
      <c r="AM201" s="625"/>
      <c r="AN201" s="625"/>
      <c r="AO201" s="625"/>
      <c r="AP201" s="625"/>
      <c r="AQ201" s="625"/>
      <c r="AR201" s="626"/>
      <c r="AT201"/>
      <c r="AU201"/>
      <c r="AV201"/>
      <c r="BD201"/>
      <c r="BE201"/>
      <c r="BG201"/>
    </row>
    <row r="202" spans="1:59">
      <c r="A202"/>
      <c r="H202"/>
      <c r="J202"/>
      <c r="K202"/>
      <c r="M202"/>
      <c r="AF202"/>
      <c r="AG202" s="2437"/>
      <c r="AH202" s="697" t="s">
        <v>49</v>
      </c>
      <c r="AI202" s="639">
        <f>1/CarMoreData!$F$39*10^3*$BU$116</f>
        <v>1431.7402692719502</v>
      </c>
      <c r="AJ202" s="640">
        <f>1/CarMoreData!$H$39*10^3*$BU$116</f>
        <v>1431.7402692719506</v>
      </c>
      <c r="AK202" s="625"/>
      <c r="AL202" s="625"/>
      <c r="AM202" s="625"/>
      <c r="AN202" s="625"/>
      <c r="AO202" s="625"/>
      <c r="AP202" s="625"/>
      <c r="AQ202" s="625"/>
      <c r="AR202" s="626"/>
      <c r="AT202"/>
      <c r="AU202"/>
      <c r="AV202"/>
      <c r="BD202"/>
      <c r="BE202"/>
      <c r="BG202"/>
    </row>
    <row r="203" spans="1:59">
      <c r="A203"/>
      <c r="H203"/>
      <c r="J203"/>
      <c r="K203"/>
      <c r="M203"/>
      <c r="AF203"/>
      <c r="AG203" s="461"/>
      <c r="AH203" s="736" t="s">
        <v>607</v>
      </c>
      <c r="AI203" s="2449">
        <f>AI201</f>
        <v>385.02617344706078</v>
      </c>
      <c r="AJ203" s="2442">
        <f>AJ201</f>
        <v>394.499265938478</v>
      </c>
      <c r="AK203" s="627"/>
      <c r="AL203" s="627"/>
      <c r="AM203" s="627"/>
      <c r="AN203" s="627"/>
      <c r="AO203" s="627"/>
      <c r="AP203" s="627"/>
      <c r="AQ203" s="627"/>
      <c r="AR203" s="628"/>
      <c r="AT203"/>
      <c r="AU203"/>
      <c r="AV203"/>
      <c r="BD203"/>
      <c r="BE203"/>
      <c r="BG203"/>
    </row>
    <row r="204" spans="1:59">
      <c r="A204"/>
      <c r="H204"/>
      <c r="J204"/>
      <c r="K204"/>
      <c r="M204"/>
      <c r="AF204"/>
      <c r="AT204"/>
      <c r="AU204"/>
      <c r="AV204"/>
      <c r="BD204"/>
      <c r="BE204"/>
      <c r="BG204"/>
    </row>
    <row r="205" spans="1:59" ht="13.8">
      <c r="A205"/>
      <c r="H205"/>
      <c r="J205"/>
      <c r="K205"/>
      <c r="M205"/>
      <c r="AF205"/>
      <c r="AG205" s="2014"/>
      <c r="AH205" s="2014"/>
      <c r="AI205" s="2014"/>
      <c r="AJ205" s="2014"/>
      <c r="AK205" s="2014"/>
      <c r="AL205" s="2014"/>
      <c r="AM205" s="2014"/>
      <c r="AN205" s="2014"/>
      <c r="AO205" s="2014"/>
      <c r="AP205" s="2014"/>
      <c r="AQ205" s="2014"/>
      <c r="AR205" s="2014"/>
      <c r="AS205" s="2014"/>
      <c r="AT205" s="2014"/>
      <c r="AU205"/>
      <c r="AV205"/>
      <c r="BD205"/>
      <c r="BE205"/>
      <c r="BG205"/>
    </row>
    <row r="206" spans="1:59" ht="13.8">
      <c r="A206"/>
      <c r="H206"/>
      <c r="J206"/>
      <c r="K206"/>
      <c r="M206"/>
      <c r="AF206"/>
      <c r="AG206" s="3059"/>
      <c r="AH206" s="2014"/>
      <c r="AI206" s="2014"/>
      <c r="AJ206" s="2014"/>
      <c r="AK206" s="2014"/>
      <c r="AL206" s="2014"/>
      <c r="AM206" s="2014"/>
      <c r="AN206" s="2014"/>
      <c r="AO206" s="2014"/>
      <c r="AP206" s="2014"/>
      <c r="AQ206" s="2014"/>
      <c r="AR206" s="2014"/>
      <c r="AS206" s="2014"/>
      <c r="AT206" s="2014"/>
      <c r="AU206"/>
      <c r="AV206"/>
      <c r="BD206"/>
      <c r="BE206"/>
      <c r="BG206"/>
    </row>
    <row r="207" spans="1:59" ht="13.8">
      <c r="A207"/>
      <c r="H207"/>
      <c r="J207"/>
      <c r="K207"/>
      <c r="M207"/>
      <c r="AF207"/>
      <c r="AG207" s="3059"/>
      <c r="AH207" s="2014"/>
      <c r="AI207" s="2014"/>
      <c r="AJ207" s="2014"/>
      <c r="AK207" s="2014"/>
      <c r="AL207" s="2014"/>
      <c r="AM207" s="2014"/>
      <c r="AN207" s="2014"/>
      <c r="AO207" s="2014"/>
      <c r="AP207" s="2014"/>
      <c r="AQ207" s="2014"/>
      <c r="AR207" s="2014"/>
      <c r="AS207" s="2014"/>
      <c r="AT207" s="2014"/>
      <c r="AU207"/>
      <c r="AV207"/>
      <c r="BD207"/>
      <c r="BE207"/>
      <c r="BG207"/>
    </row>
    <row r="208" spans="1:59" ht="13.8">
      <c r="A208"/>
      <c r="H208"/>
      <c r="J208"/>
      <c r="K208"/>
      <c r="M208"/>
      <c r="AF208"/>
      <c r="AG208" s="3059"/>
      <c r="AH208" s="2014"/>
      <c r="AI208" s="2014"/>
      <c r="AJ208" s="2014"/>
      <c r="AK208" s="2014"/>
      <c r="AL208" s="2014"/>
      <c r="AM208" s="2014"/>
      <c r="AN208" s="2014"/>
      <c r="AO208" s="2014"/>
      <c r="AP208" s="2014"/>
      <c r="AQ208" s="2014"/>
      <c r="AR208" s="2014"/>
      <c r="AS208" s="2014"/>
      <c r="AT208" s="2014"/>
      <c r="AU208"/>
      <c r="AV208"/>
      <c r="BD208"/>
      <c r="BE208"/>
      <c r="BG208"/>
    </row>
    <row r="209" spans="1:59" ht="13.8">
      <c r="A209"/>
      <c r="H209"/>
      <c r="J209"/>
      <c r="K209"/>
      <c r="M209"/>
      <c r="AF209"/>
      <c r="AG209" s="3059"/>
      <c r="AH209" s="2014"/>
      <c r="AI209" s="2014"/>
      <c r="AJ209" s="2014"/>
      <c r="AK209" s="2014"/>
      <c r="AL209" s="2014"/>
      <c r="AM209" s="2014"/>
      <c r="AN209" s="2014"/>
      <c r="AO209" s="2014"/>
      <c r="AP209" s="2014"/>
      <c r="AQ209" s="2014"/>
      <c r="AR209" s="2014"/>
      <c r="AS209" s="2014"/>
      <c r="AT209" s="2014"/>
      <c r="AU209"/>
      <c r="AV209"/>
      <c r="BD209"/>
      <c r="BE209"/>
      <c r="BG209"/>
    </row>
    <row r="210" spans="1:59" ht="13.8">
      <c r="A210"/>
      <c r="H210"/>
      <c r="J210"/>
      <c r="K210"/>
      <c r="M210"/>
      <c r="AF210"/>
      <c r="AG210" s="3059"/>
      <c r="AH210" s="2014"/>
      <c r="AI210" s="2014"/>
      <c r="AJ210" s="2014"/>
      <c r="AK210" s="2014"/>
      <c r="AL210" s="2014"/>
      <c r="AM210" s="2014"/>
      <c r="AN210" s="2014"/>
      <c r="AO210" s="2014"/>
      <c r="AP210" s="2014"/>
      <c r="AQ210" s="2014"/>
      <c r="AR210" s="2014"/>
      <c r="AS210" s="2014"/>
      <c r="AT210" s="2014"/>
      <c r="AU210"/>
      <c r="AV210"/>
      <c r="BD210"/>
      <c r="BE210"/>
      <c r="BG210"/>
    </row>
    <row r="211" spans="1:59" ht="13.8">
      <c r="A211"/>
      <c r="H211"/>
      <c r="J211"/>
      <c r="K211"/>
      <c r="M211"/>
      <c r="AF211"/>
      <c r="AG211" s="2014"/>
      <c r="AH211" s="2014"/>
      <c r="AI211" s="2014"/>
      <c r="AJ211" s="2014"/>
      <c r="AK211" s="2014"/>
      <c r="AL211" s="2014"/>
      <c r="AM211" s="2014"/>
      <c r="AN211" s="2014"/>
      <c r="AO211" s="2014"/>
      <c r="AP211" s="2014"/>
      <c r="AQ211" s="2014"/>
      <c r="AR211" s="2014"/>
      <c r="AS211" s="2014"/>
      <c r="AT211" s="2014"/>
      <c r="AU211"/>
      <c r="AV211"/>
      <c r="BD211"/>
      <c r="BE211"/>
      <c r="BG211"/>
    </row>
    <row r="212" spans="1:59" ht="13.8">
      <c r="A212"/>
      <c r="H212"/>
      <c r="J212"/>
      <c r="K212"/>
      <c r="M212"/>
      <c r="AF212"/>
      <c r="AG212" s="3059"/>
      <c r="AH212" s="2014"/>
      <c r="AI212" s="2014"/>
      <c r="AJ212" s="2014"/>
      <c r="AK212" s="2014"/>
      <c r="AL212" s="2014"/>
      <c r="AM212" s="2014"/>
      <c r="AN212" s="2014"/>
      <c r="AO212" s="2014"/>
      <c r="AP212" s="2014"/>
      <c r="AQ212" s="2014"/>
      <c r="AR212" s="2014"/>
      <c r="AS212" s="2014"/>
      <c r="AT212" s="2014"/>
      <c r="AU212"/>
      <c r="AV212"/>
      <c r="BD212"/>
      <c r="BE212"/>
      <c r="BG212"/>
    </row>
    <row r="213" spans="1:59" ht="13.8">
      <c r="A213"/>
      <c r="H213"/>
      <c r="J213"/>
      <c r="K213"/>
      <c r="M213"/>
      <c r="AF213"/>
      <c r="AG213" s="3059"/>
      <c r="AH213" s="2014"/>
      <c r="AI213" s="2014"/>
      <c r="AJ213" s="2014"/>
      <c r="AK213" s="2014"/>
      <c r="AL213" s="2014"/>
      <c r="AM213" s="2014"/>
      <c r="AN213" s="2014"/>
      <c r="AO213" s="2014"/>
      <c r="AP213" s="2014"/>
      <c r="AQ213" s="2014"/>
      <c r="AR213" s="2014"/>
      <c r="AS213" s="2014"/>
      <c r="AT213" s="2014"/>
      <c r="AU213"/>
      <c r="AV213"/>
      <c r="BD213"/>
      <c r="BE213"/>
      <c r="BG213"/>
    </row>
    <row r="214" spans="1:59" ht="13.8">
      <c r="A214"/>
      <c r="H214"/>
      <c r="J214"/>
      <c r="K214"/>
      <c r="M214"/>
      <c r="AF214"/>
      <c r="AG214" s="3059"/>
      <c r="AH214" s="2014"/>
      <c r="AI214" s="2014"/>
      <c r="AJ214" s="2014"/>
      <c r="AK214" s="2014"/>
      <c r="AL214" s="2014"/>
      <c r="AM214" s="2014"/>
      <c r="AN214" s="2014"/>
      <c r="AO214" s="2014"/>
      <c r="AP214" s="2014"/>
      <c r="AQ214" s="2014"/>
      <c r="AR214" s="2014"/>
      <c r="AS214" s="2014"/>
      <c r="AT214" s="2014"/>
      <c r="AU214"/>
      <c r="AV214"/>
      <c r="BD214"/>
      <c r="BE214"/>
      <c r="BG214"/>
    </row>
    <row r="215" spans="1:59" ht="13.8">
      <c r="A215"/>
      <c r="H215"/>
      <c r="J215"/>
      <c r="K215"/>
      <c r="M215"/>
      <c r="AF215"/>
      <c r="AG215" s="3059"/>
      <c r="AH215" s="2014"/>
      <c r="AI215" s="2014"/>
      <c r="AJ215" s="2014"/>
      <c r="AK215" s="2014"/>
      <c r="AL215" s="2014"/>
      <c r="AM215" s="2014"/>
      <c r="AN215" s="2014"/>
      <c r="AO215" s="2014"/>
      <c r="AP215" s="2014"/>
      <c r="AQ215" s="2014"/>
      <c r="AR215" s="2014"/>
      <c r="AS215" s="2014"/>
      <c r="AT215" s="2014"/>
      <c r="AU215"/>
      <c r="AV215"/>
      <c r="BD215"/>
      <c r="BE215"/>
      <c r="BG215"/>
    </row>
    <row r="216" spans="1:59" ht="13.8">
      <c r="A216"/>
      <c r="H216"/>
      <c r="J216"/>
      <c r="K216"/>
      <c r="M216"/>
      <c r="AF216"/>
      <c r="AG216" s="3059"/>
      <c r="AH216" s="2014"/>
      <c r="AI216" s="2014"/>
      <c r="AJ216" s="2014"/>
      <c r="AK216" s="2014"/>
      <c r="AL216" s="2014"/>
      <c r="AM216" s="2014"/>
      <c r="AN216" s="2014"/>
      <c r="AO216" s="2014"/>
      <c r="AP216" s="2014"/>
      <c r="AQ216" s="2014"/>
      <c r="AR216" s="2014"/>
      <c r="AS216" s="2014"/>
      <c r="AT216" s="2014"/>
    </row>
    <row r="217" spans="1:59" ht="13.8">
      <c r="A217"/>
      <c r="H217"/>
      <c r="J217"/>
      <c r="K217"/>
      <c r="M217"/>
      <c r="AF217"/>
      <c r="AG217" s="2014"/>
      <c r="AH217" s="2014"/>
      <c r="AI217" s="2014"/>
      <c r="AJ217" s="2014"/>
      <c r="AK217" s="2014"/>
      <c r="AL217" s="2014"/>
      <c r="AM217" s="2014"/>
      <c r="AN217" s="2014"/>
      <c r="AO217" s="2014"/>
      <c r="AP217" s="2014"/>
      <c r="AQ217" s="2014"/>
      <c r="AR217" s="2014"/>
      <c r="AS217" s="2014"/>
      <c r="AT217" s="2014"/>
    </row>
    <row r="218" spans="1:59" ht="13.8">
      <c r="A218"/>
      <c r="H218"/>
      <c r="J218"/>
      <c r="K218"/>
      <c r="M218"/>
      <c r="AF218"/>
      <c r="AG218" s="3059"/>
      <c r="AH218" s="2014"/>
      <c r="AI218" s="2014"/>
      <c r="AJ218" s="2014"/>
      <c r="AK218" s="2014"/>
      <c r="AL218" s="2014"/>
      <c r="AM218" s="2014"/>
      <c r="AN218" s="2014"/>
      <c r="AO218" s="2014"/>
      <c r="AP218" s="2014"/>
      <c r="AQ218" s="2014"/>
      <c r="AR218" s="2014"/>
      <c r="AS218" s="2014"/>
      <c r="AT218" s="2014"/>
    </row>
    <row r="219" spans="1:59" ht="13.8">
      <c r="A219"/>
      <c r="H219"/>
      <c r="J219"/>
      <c r="K219"/>
      <c r="M219"/>
      <c r="AF219"/>
      <c r="AG219" s="3059"/>
      <c r="AH219" s="2014"/>
      <c r="AI219" s="2014"/>
      <c r="AJ219" s="2014"/>
      <c r="AK219" s="2014"/>
      <c r="AL219" s="2014"/>
      <c r="AM219" s="2014"/>
      <c r="AN219" s="2014"/>
      <c r="AO219" s="2014"/>
      <c r="AP219" s="2014"/>
      <c r="AQ219" s="2014"/>
      <c r="AR219" s="2014"/>
      <c r="AS219" s="2014"/>
      <c r="AT219" s="2014"/>
    </row>
    <row r="220" spans="1:59" ht="13.8">
      <c r="A220"/>
      <c r="H220"/>
      <c r="J220"/>
      <c r="K220"/>
      <c r="M220"/>
      <c r="AF220"/>
      <c r="AG220" s="3059"/>
      <c r="AH220" s="2014"/>
      <c r="AI220" s="2014"/>
      <c r="AJ220" s="2014"/>
      <c r="AK220" s="2014"/>
      <c r="AL220" s="2014"/>
      <c r="AM220" s="2014"/>
      <c r="AN220" s="2014"/>
      <c r="AO220" s="2014"/>
      <c r="AP220" s="2014"/>
      <c r="AQ220" s="2014"/>
      <c r="AR220" s="2014"/>
      <c r="AS220" s="2014"/>
      <c r="AT220" s="2014"/>
    </row>
    <row r="221" spans="1:59" ht="13.8">
      <c r="A221"/>
      <c r="H221"/>
      <c r="J221"/>
      <c r="K221"/>
      <c r="M221"/>
      <c r="AF221"/>
      <c r="AG221" s="3059"/>
      <c r="AH221" s="2014"/>
      <c r="AI221" s="2014"/>
      <c r="AJ221" s="2014"/>
      <c r="AK221" s="2014"/>
      <c r="AL221" s="2014"/>
      <c r="AM221" s="2014"/>
      <c r="AN221" s="2014"/>
      <c r="AO221" s="2014"/>
      <c r="AP221" s="2014"/>
      <c r="AQ221" s="2014"/>
      <c r="AR221" s="2014"/>
      <c r="AS221" s="2014"/>
      <c r="AT221" s="2014"/>
    </row>
    <row r="222" spans="1:59" ht="13.8">
      <c r="AG222" s="3059"/>
      <c r="AH222" s="2014"/>
      <c r="AI222" s="2014"/>
      <c r="AJ222" s="2014"/>
      <c r="AK222" s="2014"/>
      <c r="AL222" s="2014"/>
      <c r="AM222" s="2014"/>
      <c r="AN222" s="2014"/>
      <c r="AO222" s="2014"/>
      <c r="AP222" s="2014"/>
      <c r="AQ222" s="2014"/>
      <c r="AR222" s="2014"/>
      <c r="AS222" s="2014"/>
      <c r="AT222" s="2014"/>
    </row>
    <row r="223" spans="1:59" ht="13.8">
      <c r="AG223" s="2014"/>
      <c r="AH223" s="2014"/>
      <c r="AI223" s="2014"/>
      <c r="AJ223" s="2014"/>
      <c r="AK223" s="2014"/>
      <c r="AL223" s="2014"/>
      <c r="AM223" s="2014"/>
      <c r="AN223" s="2014"/>
      <c r="AO223" s="2014"/>
      <c r="AP223" s="2014"/>
      <c r="AQ223" s="2014"/>
      <c r="AR223" s="2014"/>
      <c r="AS223" s="2014"/>
      <c r="AT223" s="2014"/>
    </row>
    <row r="224" spans="1:59" ht="12.75" customHeight="1">
      <c r="A224"/>
      <c r="H224"/>
      <c r="J224"/>
      <c r="K224"/>
      <c r="M224"/>
      <c r="AF224"/>
      <c r="AG224" s="3059"/>
      <c r="AH224" s="2014"/>
      <c r="AI224" s="2014"/>
      <c r="AJ224" s="2014"/>
      <c r="AK224" s="2014"/>
      <c r="AL224" s="2014"/>
      <c r="AM224" s="2014"/>
      <c r="AN224" s="2014"/>
      <c r="AO224" s="2014"/>
      <c r="AP224" s="2014"/>
      <c r="AQ224" s="2014"/>
      <c r="AR224" s="2014"/>
      <c r="AS224" s="2014"/>
      <c r="AT224" s="2014"/>
    </row>
    <row r="225" spans="33:46" ht="13.8">
      <c r="AG225" s="3059"/>
      <c r="AH225" s="2014"/>
      <c r="AI225" s="2014"/>
      <c r="AJ225" s="2014"/>
      <c r="AK225" s="2014"/>
      <c r="AL225" s="2014"/>
      <c r="AM225" s="2014"/>
      <c r="AN225" s="2014"/>
      <c r="AO225" s="2014"/>
      <c r="AP225" s="2014"/>
      <c r="AQ225" s="2014"/>
      <c r="AR225" s="2014"/>
      <c r="AS225" s="2014"/>
      <c r="AT225" s="2014"/>
    </row>
    <row r="226" spans="33:46" ht="13.8">
      <c r="AG226" s="3059"/>
      <c r="AH226" s="2014"/>
      <c r="AI226" s="2014"/>
      <c r="AJ226" s="2014"/>
      <c r="AK226" s="2014"/>
      <c r="AL226" s="2014"/>
      <c r="AM226" s="2014"/>
      <c r="AN226" s="2014"/>
      <c r="AO226" s="2014"/>
      <c r="AP226" s="2014"/>
      <c r="AQ226" s="2014"/>
      <c r="AR226" s="2014"/>
      <c r="AS226" s="2014"/>
      <c r="AT226" s="2014"/>
    </row>
    <row r="227" spans="33:46" ht="13.8">
      <c r="AG227" s="3059"/>
      <c r="AH227" s="2014"/>
      <c r="AI227" s="2014"/>
      <c r="AJ227" s="2014"/>
      <c r="AK227" s="2014"/>
      <c r="AL227" s="2014"/>
      <c r="AM227" s="2014"/>
      <c r="AN227" s="2014"/>
      <c r="AO227" s="2014"/>
      <c r="AP227" s="2014"/>
      <c r="AQ227" s="2014"/>
      <c r="AR227" s="2014"/>
      <c r="AS227" s="2014"/>
      <c r="AT227" s="2014"/>
    </row>
    <row r="228" spans="33:46" ht="13.8">
      <c r="AG228" s="3059"/>
      <c r="AH228" s="2014"/>
      <c r="AI228" s="2014"/>
      <c r="AJ228" s="2014"/>
      <c r="AK228" s="2014"/>
      <c r="AL228" s="2014"/>
      <c r="AM228" s="2014"/>
      <c r="AN228" s="2014"/>
      <c r="AO228" s="2014"/>
      <c r="AP228" s="2014"/>
      <c r="AQ228" s="2014"/>
      <c r="AR228" s="2014"/>
      <c r="AS228" s="2014"/>
      <c r="AT228" s="2014"/>
    </row>
    <row r="229" spans="33:46" ht="13.8">
      <c r="AG229" s="2014"/>
      <c r="AH229" s="2014"/>
      <c r="AI229" s="2014"/>
      <c r="AJ229" s="2014"/>
      <c r="AK229" s="2014"/>
      <c r="AL229" s="2014"/>
      <c r="AM229" s="2014"/>
      <c r="AN229" s="2014"/>
      <c r="AO229" s="2014"/>
      <c r="AP229" s="2014"/>
      <c r="AQ229" s="2014"/>
      <c r="AR229" s="2014"/>
      <c r="AS229" s="2014"/>
      <c r="AT229" s="2014"/>
    </row>
    <row r="230" spans="33:46" ht="12.75" customHeight="1">
      <c r="AG230" s="2014"/>
      <c r="AH230" s="2014"/>
      <c r="AI230" s="2014"/>
      <c r="AJ230" s="2014"/>
      <c r="AK230" s="2014"/>
      <c r="AL230" s="2014"/>
      <c r="AM230" s="2014"/>
      <c r="AN230" s="2014"/>
      <c r="AO230" s="2014"/>
      <c r="AP230" s="2014"/>
      <c r="AQ230" s="2014"/>
      <c r="AR230" s="2014"/>
      <c r="AS230" s="2014"/>
      <c r="AT230" s="2014"/>
    </row>
    <row r="231" spans="33:46" ht="13.8">
      <c r="AG231" s="3059"/>
      <c r="AH231" s="2014"/>
      <c r="AI231" s="2014"/>
      <c r="AJ231" s="2014"/>
      <c r="AK231" s="2014"/>
      <c r="AL231" s="2014"/>
      <c r="AM231" s="2014"/>
      <c r="AN231" s="2014"/>
      <c r="AO231" s="2014"/>
      <c r="AP231" s="2014"/>
      <c r="AQ231" s="2014"/>
      <c r="AR231" s="2014"/>
      <c r="AS231" s="2014"/>
      <c r="AT231" s="2014"/>
    </row>
    <row r="232" spans="33:46" ht="13.8">
      <c r="AG232" s="3059"/>
      <c r="AH232" s="2014"/>
      <c r="AI232" s="2014"/>
      <c r="AJ232" s="2014"/>
      <c r="AK232" s="2014"/>
      <c r="AL232" s="2014"/>
      <c r="AM232" s="2014"/>
      <c r="AN232" s="2014"/>
      <c r="AO232" s="2014"/>
      <c r="AP232" s="2014"/>
      <c r="AQ232" s="2014"/>
      <c r="AR232" s="2014"/>
      <c r="AS232" s="2014"/>
      <c r="AT232" s="2014"/>
    </row>
    <row r="233" spans="33:46" ht="13.8">
      <c r="AG233" s="3059"/>
      <c r="AH233" s="2014"/>
      <c r="AI233" s="2014"/>
      <c r="AJ233" s="2014"/>
      <c r="AK233" s="2014"/>
      <c r="AL233" s="2014"/>
      <c r="AM233" s="2014"/>
      <c r="AN233" s="2014"/>
      <c r="AO233" s="2014"/>
      <c r="AP233" s="2014"/>
      <c r="AQ233" s="2014"/>
      <c r="AR233" s="2014"/>
      <c r="AS233" s="2014"/>
      <c r="AT233" s="2014"/>
    </row>
    <row r="234" spans="33:46" ht="13.8">
      <c r="AG234" s="3059"/>
      <c r="AH234" s="2014"/>
      <c r="AI234" s="2014"/>
      <c r="AJ234" s="2014"/>
      <c r="AK234" s="2014"/>
      <c r="AL234" s="2014"/>
      <c r="AM234" s="2014"/>
      <c r="AN234" s="2014"/>
      <c r="AO234" s="2014"/>
      <c r="AP234" s="2014"/>
      <c r="AQ234" s="2014"/>
      <c r="AR234" s="2014"/>
      <c r="AS234" s="2014"/>
      <c r="AT234" s="2014"/>
    </row>
    <row r="235" spans="33:46" ht="13.8">
      <c r="AG235" s="3059"/>
      <c r="AH235" s="2014"/>
      <c r="AI235" s="2014"/>
      <c r="AJ235" s="2014"/>
      <c r="AK235" s="2014"/>
      <c r="AL235" s="2014"/>
      <c r="AM235" s="2014"/>
      <c r="AN235" s="2014"/>
      <c r="AO235" s="2014"/>
      <c r="AP235" s="2014"/>
      <c r="AQ235" s="2014"/>
      <c r="AR235" s="2014"/>
      <c r="AS235" s="2014"/>
      <c r="AT235" s="2014"/>
    </row>
    <row r="236" spans="33:46" ht="12.75" customHeight="1">
      <c r="AG236" s="2014"/>
      <c r="AH236" s="2014"/>
      <c r="AI236" s="2014"/>
      <c r="AJ236" s="2014"/>
      <c r="AK236" s="2014"/>
      <c r="AL236" s="2014"/>
      <c r="AM236" s="2014"/>
      <c r="AN236" s="2014"/>
      <c r="AO236" s="2014"/>
      <c r="AP236" s="2014"/>
      <c r="AQ236" s="2014"/>
      <c r="AR236" s="2014"/>
      <c r="AS236" s="2014"/>
      <c r="AT236" s="2014"/>
    </row>
    <row r="237" spans="33:46" ht="13.8">
      <c r="AG237" s="3059"/>
      <c r="AH237" s="2014"/>
      <c r="AI237" s="2014"/>
      <c r="AJ237" s="2014"/>
      <c r="AK237" s="2014"/>
      <c r="AL237" s="2014"/>
      <c r="AM237" s="2014"/>
      <c r="AN237" s="2014"/>
      <c r="AO237" s="2014"/>
      <c r="AP237" s="2014"/>
      <c r="AQ237" s="2014"/>
      <c r="AR237" s="2014"/>
      <c r="AS237" s="2014"/>
      <c r="AT237" s="2014"/>
    </row>
    <row r="238" spans="33:46" ht="13.8">
      <c r="AG238" s="3059"/>
      <c r="AH238" s="2014"/>
      <c r="AI238" s="2014"/>
      <c r="AJ238" s="2014"/>
      <c r="AK238" s="2014"/>
      <c r="AL238" s="2014"/>
      <c r="AM238" s="2014"/>
      <c r="AN238" s="2014"/>
      <c r="AO238" s="2014"/>
      <c r="AP238" s="2014"/>
      <c r="AQ238" s="2014"/>
      <c r="AR238" s="2014"/>
      <c r="AS238" s="2014"/>
      <c r="AT238" s="2014"/>
    </row>
    <row r="239" spans="33:46" ht="13.8">
      <c r="AG239" s="3059"/>
      <c r="AH239" s="2014"/>
      <c r="AI239" s="2014"/>
      <c r="AJ239" s="2014"/>
      <c r="AK239" s="2014"/>
      <c r="AL239" s="2014"/>
      <c r="AM239" s="2014"/>
      <c r="AN239" s="2014"/>
      <c r="AO239" s="2014"/>
      <c r="AP239" s="2014"/>
      <c r="AQ239" s="2014"/>
      <c r="AR239" s="2014"/>
      <c r="AS239" s="2014"/>
      <c r="AT239" s="2014"/>
    </row>
    <row r="240" spans="33:46" ht="13.8">
      <c r="AG240" s="3059"/>
      <c r="AH240" s="2014"/>
      <c r="AI240" s="2014"/>
      <c r="AJ240" s="2014"/>
      <c r="AK240" s="2014"/>
      <c r="AL240" s="2014"/>
      <c r="AM240" s="2014"/>
      <c r="AN240" s="2014"/>
      <c r="AO240" s="2014"/>
      <c r="AP240" s="2014"/>
      <c r="AQ240" s="2014"/>
      <c r="AR240" s="2014"/>
      <c r="AS240" s="2014"/>
      <c r="AT240" s="2014"/>
    </row>
    <row r="241" spans="33:46" ht="13.8">
      <c r="AG241" s="3059"/>
      <c r="AH241" s="2014"/>
      <c r="AI241" s="2014"/>
      <c r="AJ241" s="2014"/>
      <c r="AK241" s="2014"/>
      <c r="AL241" s="2014"/>
      <c r="AM241" s="2014"/>
      <c r="AN241" s="2014"/>
      <c r="AO241" s="2014"/>
      <c r="AP241" s="2014"/>
      <c r="AQ241" s="2014"/>
      <c r="AR241" s="2014"/>
      <c r="AS241" s="2014"/>
      <c r="AT241" s="2014"/>
    </row>
    <row r="242" spans="33:46" ht="12.75" customHeight="1">
      <c r="AG242" s="2014"/>
      <c r="AH242" s="2014"/>
      <c r="AI242" s="2014"/>
      <c r="AJ242" s="2014"/>
      <c r="AK242" s="2014"/>
      <c r="AL242" s="2014"/>
      <c r="AM242" s="2014"/>
      <c r="AN242" s="2014"/>
      <c r="AO242" s="2014"/>
      <c r="AP242" s="2014"/>
      <c r="AQ242" s="2014"/>
      <c r="AR242" s="2014"/>
      <c r="AS242" s="2014"/>
      <c r="AT242" s="2014"/>
    </row>
    <row r="243" spans="33:46" ht="13.8">
      <c r="AG243" s="3059"/>
      <c r="AH243" s="2014"/>
      <c r="AI243" s="2014"/>
      <c r="AJ243" s="2014"/>
      <c r="AK243" s="2014"/>
      <c r="AL243" s="2014"/>
      <c r="AM243" s="2014"/>
      <c r="AN243" s="2014"/>
      <c r="AO243" s="2014"/>
      <c r="AP243" s="2014"/>
      <c r="AQ243" s="2014"/>
      <c r="AR243" s="2014"/>
      <c r="AS243" s="2014"/>
      <c r="AT243" s="2014"/>
    </row>
    <row r="244" spans="33:46" ht="13.8">
      <c r="AG244" s="3059"/>
      <c r="AH244" s="2014"/>
      <c r="AI244" s="2014"/>
      <c r="AJ244" s="2014"/>
      <c r="AK244" s="2014"/>
      <c r="AL244" s="2014"/>
      <c r="AM244" s="2014"/>
      <c r="AN244" s="2014"/>
      <c r="AO244" s="2014"/>
      <c r="AP244" s="2014"/>
      <c r="AQ244" s="2014"/>
      <c r="AR244" s="2014"/>
      <c r="AS244" s="2014"/>
      <c r="AT244" s="2014"/>
    </row>
    <row r="245" spans="33:46" ht="13.8">
      <c r="AG245" s="3059"/>
      <c r="AH245" s="2014"/>
      <c r="AI245" s="2014"/>
      <c r="AJ245" s="2014"/>
      <c r="AK245" s="2014"/>
      <c r="AL245" s="2014"/>
      <c r="AM245" s="2014"/>
      <c r="AN245" s="2014"/>
      <c r="AO245" s="2014"/>
      <c r="AP245" s="2014"/>
      <c r="AQ245" s="2014"/>
      <c r="AR245" s="2014"/>
      <c r="AS245" s="2014"/>
      <c r="AT245" s="2014"/>
    </row>
    <row r="246" spans="33:46" ht="13.8">
      <c r="AG246" s="3059"/>
      <c r="AH246" s="2014"/>
      <c r="AI246" s="2014"/>
      <c r="AJ246" s="2014"/>
      <c r="AK246" s="2014"/>
      <c r="AL246" s="2014"/>
      <c r="AM246" s="2014"/>
      <c r="AN246" s="2014"/>
      <c r="AO246" s="2014"/>
      <c r="AP246" s="2014"/>
      <c r="AQ246" s="2014"/>
      <c r="AR246" s="2014"/>
      <c r="AS246" s="2014"/>
      <c r="AT246" s="2014"/>
    </row>
    <row r="247" spans="33:46" ht="13.8">
      <c r="AG247" s="3059"/>
      <c r="AH247" s="2014"/>
      <c r="AI247" s="2014"/>
      <c r="AJ247" s="2014"/>
      <c r="AK247" s="2014"/>
      <c r="AL247" s="2014"/>
      <c r="AM247" s="2014"/>
      <c r="AN247" s="2014"/>
      <c r="AO247" s="2014"/>
      <c r="AP247" s="2014"/>
      <c r="AQ247" s="2014"/>
      <c r="AR247" s="2014"/>
      <c r="AS247" s="2014"/>
      <c r="AT247" s="2014"/>
    </row>
    <row r="248" spans="33:46" ht="13.8">
      <c r="AG248" s="2014"/>
      <c r="AH248" s="2014"/>
      <c r="AI248" s="2014"/>
      <c r="AJ248" s="2014"/>
      <c r="AK248" s="2014"/>
      <c r="AL248" s="2014"/>
      <c r="AM248" s="2014"/>
      <c r="AN248" s="2014"/>
      <c r="AO248" s="2014"/>
      <c r="AP248" s="2014"/>
      <c r="AQ248" s="2014"/>
      <c r="AR248" s="2014"/>
      <c r="AS248" s="2014"/>
      <c r="AT248" s="2014"/>
    </row>
    <row r="249" spans="33:46" ht="13.8">
      <c r="AG249" s="3059"/>
      <c r="AH249" s="2014"/>
      <c r="AI249" s="2014"/>
      <c r="AJ249" s="2014"/>
      <c r="AK249" s="2014"/>
      <c r="AL249" s="2014"/>
      <c r="AM249" s="2014"/>
      <c r="AN249" s="2014"/>
      <c r="AO249" s="2014"/>
      <c r="AP249" s="2014"/>
      <c r="AQ249" s="2014"/>
      <c r="AR249" s="2014"/>
      <c r="AS249" s="2014"/>
      <c r="AT249" s="2014"/>
    </row>
    <row r="250" spans="33:46" ht="13.8">
      <c r="AG250" s="3059"/>
      <c r="AH250" s="2014"/>
      <c r="AI250" s="2014"/>
      <c r="AJ250" s="2014"/>
      <c r="AK250" s="2014"/>
      <c r="AL250" s="2014"/>
      <c r="AM250" s="2014"/>
      <c r="AN250" s="2014"/>
      <c r="AO250" s="2014"/>
      <c r="AP250" s="2014"/>
      <c r="AQ250" s="2014"/>
      <c r="AR250" s="2014"/>
      <c r="AS250" s="2014"/>
      <c r="AT250" s="2014"/>
    </row>
    <row r="251" spans="33:46" ht="13.8">
      <c r="AG251" s="3059"/>
      <c r="AH251" s="2014"/>
      <c r="AI251" s="2014"/>
      <c r="AJ251" s="2014"/>
      <c r="AK251" s="2014"/>
      <c r="AL251" s="2014"/>
      <c r="AM251" s="2014"/>
      <c r="AN251" s="2014"/>
      <c r="AO251" s="2014"/>
      <c r="AP251" s="2014"/>
      <c r="AQ251" s="2014"/>
      <c r="AR251" s="2014"/>
      <c r="AS251" s="2014"/>
      <c r="AT251" s="2014"/>
    </row>
    <row r="252" spans="33:46" ht="13.8">
      <c r="AG252" s="3059"/>
      <c r="AH252" s="2014"/>
      <c r="AI252" s="2014"/>
      <c r="AJ252" s="2014"/>
      <c r="AK252" s="2014"/>
      <c r="AL252" s="2014"/>
      <c r="AM252" s="2014"/>
      <c r="AN252" s="2014"/>
      <c r="AO252" s="2014"/>
      <c r="AP252" s="2014"/>
      <c r="AQ252" s="2014"/>
      <c r="AR252" s="2014"/>
      <c r="AS252" s="2014"/>
      <c r="AT252" s="2014"/>
    </row>
    <row r="253" spans="33:46" ht="13.8">
      <c r="AG253" s="3059"/>
      <c r="AH253" s="2014"/>
      <c r="AI253" s="2014"/>
      <c r="AJ253" s="2014"/>
      <c r="AK253" s="2014"/>
      <c r="AL253" s="2014"/>
      <c r="AM253" s="2014"/>
      <c r="AN253" s="2014"/>
      <c r="AO253" s="2014"/>
      <c r="AP253" s="2014"/>
      <c r="AQ253" s="2014"/>
      <c r="AR253" s="2014"/>
      <c r="AS253" s="2014"/>
      <c r="AT253" s="2014"/>
    </row>
    <row r="254" spans="33:46" ht="13.8">
      <c r="AG254" s="2014"/>
      <c r="AH254" s="2014"/>
      <c r="AI254" s="2014"/>
      <c r="AJ254" s="2014"/>
      <c r="AK254" s="2014"/>
      <c r="AL254" s="2014"/>
      <c r="AM254" s="2014"/>
      <c r="AN254" s="2014"/>
      <c r="AO254" s="2014"/>
      <c r="AP254" s="2014"/>
      <c r="AQ254" s="2014"/>
      <c r="AR254" s="2014"/>
      <c r="AS254" s="2014"/>
      <c r="AT254" s="2014"/>
    </row>
    <row r="255" spans="33:46" ht="13.8">
      <c r="AG255" s="2014"/>
      <c r="AH255" s="2014"/>
      <c r="AI255" s="2014"/>
      <c r="AJ255" s="2014"/>
      <c r="AK255" s="2014"/>
      <c r="AL255" s="2014"/>
      <c r="AM255" s="2014"/>
      <c r="AN255" s="2014"/>
      <c r="AO255" s="2014"/>
      <c r="AP255" s="2014"/>
      <c r="AQ255" s="2014"/>
      <c r="AR255" s="2014"/>
      <c r="AS255" s="2014"/>
      <c r="AT255" s="2014"/>
    </row>
    <row r="256" spans="33:46" ht="13.8">
      <c r="AG256" s="3059"/>
      <c r="AH256" s="2014"/>
      <c r="AI256" s="2014"/>
      <c r="AJ256" s="2014"/>
      <c r="AK256" s="2014"/>
      <c r="AL256" s="2014"/>
      <c r="AM256" s="2014"/>
      <c r="AN256" s="2014"/>
      <c r="AO256" s="2014"/>
      <c r="AP256" s="2014"/>
      <c r="AQ256" s="2014"/>
      <c r="AR256" s="2014"/>
      <c r="AS256" s="2014"/>
      <c r="AT256" s="2014"/>
    </row>
    <row r="257" spans="33:46" ht="13.8">
      <c r="AG257" s="3059"/>
      <c r="AH257" s="2014"/>
      <c r="AI257" s="2014"/>
      <c r="AJ257" s="2014"/>
      <c r="AK257" s="2014"/>
      <c r="AL257" s="2014"/>
      <c r="AM257" s="2014"/>
      <c r="AN257" s="2014"/>
      <c r="AO257" s="2014"/>
      <c r="AP257" s="2014"/>
      <c r="AQ257" s="2014"/>
      <c r="AR257" s="2014"/>
      <c r="AS257" s="2014"/>
      <c r="AT257" s="2014"/>
    </row>
    <row r="258" spans="33:46" ht="13.8">
      <c r="AG258" s="3059"/>
      <c r="AH258" s="2014"/>
      <c r="AI258" s="2014"/>
      <c r="AJ258" s="2014"/>
      <c r="AK258" s="2014"/>
      <c r="AL258" s="2014"/>
      <c r="AM258" s="2014"/>
      <c r="AN258" s="2014"/>
      <c r="AO258" s="2014"/>
      <c r="AP258" s="2014"/>
      <c r="AQ258" s="2014"/>
      <c r="AR258" s="2014"/>
      <c r="AS258" s="2014"/>
      <c r="AT258" s="2014"/>
    </row>
    <row r="259" spans="33:46" ht="13.8">
      <c r="AG259" s="3059"/>
      <c r="AH259" s="2014"/>
      <c r="AI259" s="2014"/>
      <c r="AJ259" s="2014"/>
      <c r="AK259" s="2014"/>
      <c r="AL259" s="2014"/>
      <c r="AM259" s="2014"/>
      <c r="AN259" s="2014"/>
      <c r="AO259" s="2014"/>
      <c r="AP259" s="2014"/>
      <c r="AQ259" s="2014"/>
      <c r="AR259" s="2014"/>
      <c r="AS259" s="2014"/>
      <c r="AT259" s="2014"/>
    </row>
    <row r="260" spans="33:46" ht="13.8">
      <c r="AG260" s="3059"/>
      <c r="AH260" s="2014"/>
      <c r="AI260" s="2014"/>
      <c r="AJ260" s="2014"/>
      <c r="AK260" s="2014"/>
      <c r="AL260" s="2014"/>
      <c r="AM260" s="2014"/>
      <c r="AN260" s="2014"/>
      <c r="AO260" s="2014"/>
      <c r="AP260" s="2014"/>
      <c r="AQ260" s="2014"/>
      <c r="AR260" s="2014"/>
      <c r="AS260" s="2014"/>
      <c r="AT260" s="2014"/>
    </row>
    <row r="261" spans="33:46" ht="13.8">
      <c r="AG261" s="3059"/>
      <c r="AH261" s="2014"/>
      <c r="AI261" s="2014"/>
      <c r="AJ261" s="2014"/>
      <c r="AK261" s="2014"/>
      <c r="AL261" s="2014"/>
      <c r="AM261" s="2014"/>
      <c r="AN261" s="2014"/>
      <c r="AO261" s="2014"/>
      <c r="AP261" s="2014"/>
      <c r="AQ261" s="2014"/>
      <c r="AR261" s="2014"/>
      <c r="AS261" s="2014"/>
      <c r="AT261" s="2014"/>
    </row>
    <row r="262" spans="33:46" ht="13.8">
      <c r="AG262" s="3059"/>
      <c r="AH262" s="2014"/>
      <c r="AI262" s="2014"/>
      <c r="AJ262" s="2014"/>
      <c r="AK262" s="2014"/>
      <c r="AL262" s="2014"/>
      <c r="AM262" s="2014"/>
      <c r="AN262" s="2014"/>
      <c r="AO262" s="2014"/>
      <c r="AP262" s="2014"/>
      <c r="AQ262" s="2014"/>
      <c r="AR262" s="2014"/>
      <c r="AS262" s="2014"/>
      <c r="AT262" s="2014"/>
    </row>
    <row r="263" spans="33:46" ht="13.8">
      <c r="AG263" s="3059"/>
      <c r="AH263" s="2014"/>
      <c r="AI263" s="2014"/>
      <c r="AJ263" s="2014"/>
      <c r="AK263" s="2014"/>
      <c r="AL263" s="2014"/>
      <c r="AM263" s="2014"/>
      <c r="AN263" s="2014"/>
      <c r="AO263" s="2014"/>
      <c r="AP263" s="2014"/>
      <c r="AQ263" s="2014"/>
      <c r="AR263" s="2014"/>
      <c r="AS263" s="2014"/>
      <c r="AT263" s="2014"/>
    </row>
    <row r="264" spans="33:46" ht="13.8">
      <c r="AG264" s="3059"/>
      <c r="AH264" s="2014"/>
      <c r="AI264" s="2014"/>
      <c r="AJ264" s="2014"/>
      <c r="AK264" s="2014"/>
      <c r="AL264" s="2014"/>
      <c r="AM264" s="2014"/>
      <c r="AN264" s="2014"/>
      <c r="AO264" s="2014"/>
      <c r="AP264" s="2014"/>
      <c r="AQ264" s="2014"/>
      <c r="AR264" s="2014"/>
      <c r="AS264" s="2014"/>
      <c r="AT264" s="2014"/>
    </row>
    <row r="265" spans="33:46" ht="13.8">
      <c r="AG265" s="3059"/>
      <c r="AH265" s="2014"/>
      <c r="AI265" s="2014"/>
      <c r="AJ265" s="2014"/>
      <c r="AK265" s="2014"/>
      <c r="AL265" s="2014"/>
      <c r="AM265" s="2014"/>
      <c r="AN265" s="2014"/>
      <c r="AO265" s="2014"/>
      <c r="AP265" s="2014"/>
      <c r="AQ265" s="2014"/>
      <c r="AR265" s="2014"/>
      <c r="AS265" s="2014"/>
      <c r="AT265" s="2014"/>
    </row>
    <row r="266" spans="33:46" ht="13.8">
      <c r="AG266" s="3059"/>
      <c r="AH266" s="2014"/>
      <c r="AI266" s="2014"/>
      <c r="AJ266" s="2014"/>
      <c r="AK266" s="2014"/>
      <c r="AL266" s="2014"/>
      <c r="AM266" s="2014"/>
      <c r="AN266" s="2014"/>
      <c r="AO266" s="2014"/>
      <c r="AP266" s="2014"/>
      <c r="AQ266" s="2014"/>
      <c r="AR266" s="2014"/>
      <c r="AS266" s="2014"/>
      <c r="AT266" s="2014"/>
    </row>
    <row r="267" spans="33:46" ht="13.8">
      <c r="AG267" s="3059"/>
      <c r="AH267" s="2014"/>
      <c r="AI267" s="2014"/>
      <c r="AJ267" s="2014"/>
      <c r="AK267" s="2014"/>
      <c r="AL267" s="2014"/>
      <c r="AM267" s="2014"/>
      <c r="AN267" s="2014"/>
      <c r="AO267" s="2014"/>
      <c r="AP267" s="2014"/>
      <c r="AQ267" s="2014"/>
      <c r="AR267" s="2014"/>
      <c r="AS267" s="2014"/>
      <c r="AT267" s="2014"/>
    </row>
    <row r="268" spans="33:46" ht="13.8">
      <c r="AG268" s="3059"/>
      <c r="AH268" s="2014"/>
      <c r="AI268" s="2014"/>
      <c r="AJ268" s="2014"/>
      <c r="AK268" s="2014"/>
      <c r="AL268" s="2014"/>
      <c r="AM268" s="2014"/>
      <c r="AN268" s="2014"/>
      <c r="AO268" s="2014"/>
      <c r="AP268" s="2014"/>
      <c r="AQ268" s="2014"/>
      <c r="AR268" s="2014"/>
      <c r="AS268" s="2014"/>
      <c r="AT268" s="2014"/>
    </row>
    <row r="269" spans="33:46" ht="13.8">
      <c r="AG269" s="3059"/>
      <c r="AH269" s="2014"/>
      <c r="AI269" s="2014"/>
      <c r="AJ269" s="2014"/>
      <c r="AK269" s="2014"/>
      <c r="AL269" s="2014"/>
      <c r="AM269" s="2014"/>
      <c r="AN269" s="2014"/>
      <c r="AO269" s="2014"/>
      <c r="AP269" s="2014"/>
      <c r="AQ269" s="2014"/>
      <c r="AR269" s="2014"/>
      <c r="AS269" s="2014"/>
      <c r="AT269" s="2014"/>
    </row>
    <row r="270" spans="33:46" ht="13.8">
      <c r="AG270" s="3059"/>
      <c r="AH270" s="2014"/>
      <c r="AI270" s="2014"/>
      <c r="AJ270" s="2014"/>
      <c r="AK270" s="2014"/>
      <c r="AL270" s="2014"/>
      <c r="AM270" s="2014"/>
      <c r="AN270" s="2014"/>
      <c r="AO270" s="2014"/>
      <c r="AP270" s="2014"/>
      <c r="AQ270" s="2014"/>
      <c r="AR270" s="2014"/>
      <c r="AS270" s="2014"/>
      <c r="AT270" s="2014"/>
    </row>
    <row r="271" spans="33:46" ht="13.8">
      <c r="AG271" s="3059"/>
      <c r="AH271" s="2014"/>
      <c r="AI271" s="2014"/>
      <c r="AJ271" s="2014"/>
      <c r="AK271" s="2014"/>
      <c r="AL271" s="2014"/>
      <c r="AM271" s="2014"/>
      <c r="AN271" s="2014"/>
      <c r="AO271" s="2014"/>
      <c r="AP271" s="2014"/>
      <c r="AQ271" s="2014"/>
      <c r="AR271" s="2014"/>
      <c r="AS271" s="2014"/>
      <c r="AT271" s="2014"/>
    </row>
    <row r="272" spans="33:46" ht="13.8">
      <c r="AG272" s="3059"/>
      <c r="AH272" s="2014"/>
      <c r="AI272" s="2014"/>
      <c r="AJ272" s="2014"/>
      <c r="AK272" s="2014"/>
      <c r="AL272" s="2014"/>
      <c r="AM272" s="2014"/>
      <c r="AN272" s="2014"/>
      <c r="AO272" s="2014"/>
      <c r="AP272" s="2014"/>
      <c r="AQ272" s="2014"/>
      <c r="AR272" s="2014"/>
      <c r="AS272" s="2014"/>
      <c r="AT272" s="2014"/>
    </row>
    <row r="273" spans="33:46" ht="13.8">
      <c r="AG273" s="3059"/>
      <c r="AH273" s="2014"/>
      <c r="AI273" s="2014"/>
      <c r="AJ273" s="2014"/>
      <c r="AK273" s="2014"/>
      <c r="AL273" s="2014"/>
      <c r="AM273" s="2014"/>
      <c r="AN273" s="2014"/>
      <c r="AO273" s="2014"/>
      <c r="AP273" s="2014"/>
      <c r="AQ273" s="2014"/>
      <c r="AR273" s="2014"/>
      <c r="AS273" s="2014"/>
      <c r="AT273" s="2014"/>
    </row>
    <row r="274" spans="33:46" ht="13.8">
      <c r="AG274" s="3059"/>
      <c r="AH274" s="2014"/>
      <c r="AI274" s="2014"/>
      <c r="AJ274" s="2014"/>
      <c r="AK274" s="2014"/>
      <c r="AL274" s="2014"/>
      <c r="AM274" s="2014"/>
      <c r="AN274" s="2014"/>
      <c r="AO274" s="2014"/>
      <c r="AP274" s="2014"/>
      <c r="AQ274" s="2014"/>
      <c r="AR274" s="2014"/>
      <c r="AS274" s="2014"/>
      <c r="AT274" s="2014"/>
    </row>
    <row r="275" spans="33:46" ht="13.8">
      <c r="AG275" s="3059"/>
      <c r="AH275" s="2014"/>
      <c r="AI275" s="2014"/>
      <c r="AJ275" s="2014"/>
      <c r="AK275" s="2014"/>
      <c r="AL275" s="2014"/>
      <c r="AM275" s="2014"/>
      <c r="AN275" s="2014"/>
      <c r="AO275" s="2014"/>
      <c r="AP275" s="2014"/>
      <c r="AQ275" s="2014"/>
      <c r="AR275" s="2014"/>
      <c r="AS275" s="2014"/>
      <c r="AT275" s="2014"/>
    </row>
    <row r="276" spans="33:46" ht="13.8">
      <c r="AG276" s="3059"/>
      <c r="AH276" s="2014"/>
      <c r="AI276" s="2014"/>
      <c r="AJ276" s="2014"/>
      <c r="AK276" s="2014"/>
      <c r="AL276" s="2014"/>
      <c r="AM276" s="2014"/>
      <c r="AN276" s="2014"/>
      <c r="AO276" s="2014"/>
      <c r="AP276" s="2014"/>
      <c r="AQ276" s="2014"/>
      <c r="AR276" s="2014"/>
      <c r="AS276" s="2014"/>
      <c r="AT276" s="2014"/>
    </row>
    <row r="277" spans="33:46" ht="13.8">
      <c r="AG277" s="3059"/>
      <c r="AH277" s="2014"/>
      <c r="AI277" s="2014"/>
      <c r="AJ277" s="2014"/>
      <c r="AK277" s="2014"/>
      <c r="AL277" s="2014"/>
      <c r="AM277" s="2014"/>
      <c r="AN277" s="2014"/>
      <c r="AO277" s="2014"/>
      <c r="AP277" s="2014"/>
      <c r="AQ277" s="2014"/>
      <c r="AR277" s="2014"/>
      <c r="AS277" s="2014"/>
      <c r="AT277" s="2014"/>
    </row>
    <row r="278" spans="33:46" ht="13.8">
      <c r="AG278" s="3059"/>
      <c r="AH278" s="2014"/>
      <c r="AI278" s="2014"/>
      <c r="AJ278" s="2014"/>
      <c r="AK278" s="2014"/>
      <c r="AL278" s="2014"/>
      <c r="AM278" s="2014"/>
      <c r="AN278" s="2014"/>
      <c r="AO278" s="2014"/>
      <c r="AP278" s="2014"/>
      <c r="AQ278" s="2014"/>
      <c r="AR278" s="2014"/>
      <c r="AS278" s="2014"/>
      <c r="AT278" s="2014"/>
    </row>
    <row r="279" spans="33:46" ht="13.8">
      <c r="AG279" s="3059"/>
      <c r="AH279" s="2014"/>
      <c r="AI279" s="2014"/>
      <c r="AJ279" s="2014"/>
      <c r="AK279" s="2014"/>
      <c r="AL279" s="2014"/>
      <c r="AM279" s="2014"/>
      <c r="AN279" s="2014"/>
      <c r="AO279" s="2014"/>
      <c r="AP279" s="2014"/>
      <c r="AQ279" s="2014"/>
      <c r="AR279" s="2014"/>
      <c r="AS279" s="2014"/>
      <c r="AT279" s="2014"/>
    </row>
    <row r="280" spans="33:46" ht="13.8">
      <c r="AG280" s="2014"/>
      <c r="AH280" s="2014"/>
      <c r="AI280" s="2014"/>
      <c r="AJ280" s="2014"/>
      <c r="AK280" s="2014"/>
      <c r="AL280" s="2014"/>
      <c r="AM280" s="2014"/>
      <c r="AN280" s="2014"/>
      <c r="AO280" s="2014"/>
      <c r="AP280" s="2014"/>
      <c r="AQ280" s="2014"/>
      <c r="AR280" s="2014"/>
      <c r="AS280" s="2014"/>
      <c r="AT280" s="2014"/>
    </row>
    <row r="281" spans="33:46" ht="13.8">
      <c r="AG281" s="2014"/>
      <c r="AH281" s="2014"/>
      <c r="AI281" s="2014"/>
      <c r="AJ281" s="2014"/>
      <c r="AK281" s="2014"/>
      <c r="AL281" s="2014"/>
      <c r="AM281" s="2014"/>
      <c r="AN281" s="2014"/>
      <c r="AO281" s="2014"/>
      <c r="AP281" s="2014"/>
      <c r="AQ281" s="2014"/>
      <c r="AR281" s="2014"/>
      <c r="AS281" s="2014"/>
      <c r="AT281" s="2014"/>
    </row>
    <row r="282" spans="33:46" ht="13.8">
      <c r="AG282" s="2014"/>
      <c r="AH282" s="2014"/>
      <c r="AI282" s="2014"/>
      <c r="AJ282" s="2014"/>
      <c r="AK282" s="2014"/>
      <c r="AL282" s="2014"/>
      <c r="AM282" s="2014"/>
      <c r="AN282" s="2014"/>
      <c r="AO282" s="2014"/>
      <c r="AP282" s="2014"/>
      <c r="AQ282" s="2014"/>
      <c r="AR282" s="2014"/>
      <c r="AS282" s="2014"/>
      <c r="AT282" s="2014"/>
    </row>
    <row r="283" spans="33:46" ht="13.8">
      <c r="AG283" s="2014"/>
      <c r="AH283" s="2014"/>
      <c r="AI283" s="2014"/>
      <c r="AJ283" s="2014"/>
      <c r="AK283" s="2014"/>
      <c r="AL283" s="2014"/>
      <c r="AM283" s="2014"/>
      <c r="AN283" s="2014"/>
      <c r="AO283" s="2014"/>
      <c r="AP283" s="2014"/>
      <c r="AQ283" s="2014"/>
      <c r="AR283" s="2014"/>
      <c r="AS283" s="2014"/>
      <c r="AT283" s="2014"/>
    </row>
    <row r="284" spans="33:46" ht="13.8">
      <c r="AG284" s="2014"/>
      <c r="AH284" s="2014"/>
      <c r="AI284" s="2014"/>
      <c r="AJ284" s="2014"/>
      <c r="AK284" s="2014"/>
      <c r="AL284" s="2014"/>
      <c r="AM284" s="2014"/>
      <c r="AN284" s="2014"/>
      <c r="AO284" s="2014"/>
      <c r="AP284" s="2014"/>
      <c r="AQ284" s="2014"/>
      <c r="AR284" s="2014"/>
      <c r="AS284" s="2014"/>
      <c r="AT284" s="2014"/>
    </row>
    <row r="285" spans="33:46" ht="13.8">
      <c r="AG285" s="2014"/>
      <c r="AH285" s="2014"/>
      <c r="AI285" s="2014"/>
      <c r="AJ285" s="2014"/>
      <c r="AK285" s="2014"/>
      <c r="AL285" s="2014"/>
      <c r="AM285" s="2014"/>
      <c r="AN285" s="2014"/>
      <c r="AO285" s="2014"/>
      <c r="AP285" s="2014"/>
      <c r="AQ285" s="2014"/>
      <c r="AR285" s="2014"/>
      <c r="AS285" s="2014"/>
      <c r="AT285" s="2014"/>
    </row>
    <row r="286" spans="33:46" ht="13.8">
      <c r="AG286" s="2014"/>
      <c r="AH286" s="2014"/>
      <c r="AI286" s="2014"/>
      <c r="AJ286" s="2014"/>
      <c r="AK286" s="2014"/>
      <c r="AL286" s="2014"/>
      <c r="AM286" s="2014"/>
      <c r="AN286" s="2014"/>
      <c r="AO286" s="2014"/>
      <c r="AP286" s="2014"/>
      <c r="AQ286" s="2014"/>
      <c r="AR286" s="2014"/>
      <c r="AS286" s="2014"/>
      <c r="AT286" s="2014"/>
    </row>
    <row r="287" spans="33:46" ht="13.8">
      <c r="AG287" s="2014"/>
      <c r="AH287" s="2014"/>
      <c r="AI287" s="2014"/>
      <c r="AJ287" s="2014"/>
      <c r="AK287" s="2014"/>
      <c r="AL287" s="2014"/>
      <c r="AM287" s="2014"/>
      <c r="AN287" s="2014"/>
      <c r="AO287" s="2014"/>
      <c r="AP287" s="2014"/>
      <c r="AQ287" s="2014"/>
      <c r="AR287" s="2014"/>
      <c r="AS287" s="2014"/>
      <c r="AT287" s="2014"/>
    </row>
    <row r="288" spans="33:46" ht="13.8">
      <c r="AG288" s="2014"/>
      <c r="AH288" s="2014"/>
      <c r="AI288" s="2014"/>
      <c r="AJ288" s="2014"/>
      <c r="AK288" s="2014"/>
      <c r="AL288" s="2014"/>
      <c r="AM288" s="2014"/>
      <c r="AN288" s="2014"/>
      <c r="AO288" s="2014"/>
      <c r="AP288" s="2014"/>
      <c r="AQ288" s="2014"/>
      <c r="AR288" s="2014"/>
      <c r="AS288" s="2014"/>
      <c r="AT288" s="2014"/>
    </row>
    <row r="289" spans="33:46" ht="13.8">
      <c r="AG289" s="2014"/>
      <c r="AH289" s="2014"/>
      <c r="AI289" s="2014"/>
      <c r="AJ289" s="2014"/>
      <c r="AK289" s="2014"/>
      <c r="AL289" s="2014"/>
      <c r="AM289" s="2014"/>
      <c r="AN289" s="2014"/>
      <c r="AO289" s="2014"/>
      <c r="AP289" s="2014"/>
      <c r="AQ289" s="2014"/>
      <c r="AR289" s="2014"/>
      <c r="AS289" s="2014"/>
      <c r="AT289" s="2014"/>
    </row>
    <row r="290" spans="33:46" ht="13.8">
      <c r="AG290" s="2014"/>
      <c r="AH290" s="2014"/>
      <c r="AI290" s="2014"/>
      <c r="AJ290" s="2014"/>
      <c r="AK290" s="2014"/>
      <c r="AL290" s="2014"/>
      <c r="AM290" s="2014"/>
      <c r="AN290" s="2014"/>
      <c r="AO290" s="2014"/>
      <c r="AP290" s="2014"/>
      <c r="AQ290" s="2014"/>
      <c r="AR290" s="2014"/>
      <c r="AS290" s="2014"/>
      <c r="AT290" s="2014"/>
    </row>
    <row r="291" spans="33:46">
      <c r="AS291"/>
    </row>
    <row r="292" spans="33:46">
      <c r="AS292"/>
    </row>
    <row r="293" spans="33:46">
      <c r="AS293"/>
    </row>
    <row r="294" spans="33:46">
      <c r="AS294"/>
    </row>
    <row r="295" spans="33:46">
      <c r="AS295"/>
    </row>
    <row r="296" spans="33:46">
      <c r="AS296"/>
    </row>
    <row r="297" spans="33:46">
      <c r="AS297"/>
    </row>
    <row r="298" spans="33:46">
      <c r="AS298"/>
    </row>
    <row r="299" spans="33:46">
      <c r="AS299"/>
    </row>
    <row r="300" spans="33:46">
      <c r="AS300"/>
    </row>
    <row r="301" spans="33:46">
      <c r="AS301"/>
    </row>
    <row r="302" spans="33:46">
      <c r="AS302"/>
    </row>
    <row r="303" spans="33:46">
      <c r="AS303"/>
    </row>
    <row r="304" spans="33:46">
      <c r="AS304"/>
    </row>
    <row r="305" spans="45:45">
      <c r="AS305"/>
    </row>
    <row r="306" spans="45:45">
      <c r="AS306"/>
    </row>
    <row r="307" spans="45:45">
      <c r="AS307"/>
    </row>
    <row r="308" spans="45:45">
      <c r="AS308"/>
    </row>
    <row r="309" spans="45:45">
      <c r="AS309"/>
    </row>
    <row r="310" spans="45:45">
      <c r="AS310"/>
    </row>
    <row r="311" spans="45:45">
      <c r="AS311"/>
    </row>
    <row r="312" spans="45:45">
      <c r="AS312"/>
    </row>
    <row r="313" spans="45:45">
      <c r="AS313"/>
    </row>
    <row r="314" spans="45:45">
      <c r="AS314"/>
    </row>
    <row r="331" spans="45:45">
      <c r="AS331"/>
    </row>
    <row r="332" spans="45:45">
      <c r="AS332"/>
    </row>
    <row r="333" spans="45:45">
      <c r="AS333"/>
    </row>
    <row r="334" spans="45:45">
      <c r="AS334"/>
    </row>
    <row r="335" spans="45:45">
      <c r="AS335"/>
    </row>
    <row r="336" spans="45:45">
      <c r="AS336"/>
    </row>
    <row r="337" spans="45:45">
      <c r="AS337"/>
    </row>
    <row r="338" spans="45:45">
      <c r="AS338"/>
    </row>
    <row r="339" spans="45:45">
      <c r="AS339"/>
    </row>
    <row r="340" spans="45:45">
      <c r="AS340"/>
    </row>
    <row r="341" spans="45:45">
      <c r="AS341"/>
    </row>
    <row r="342" spans="45:45">
      <c r="AS342"/>
    </row>
    <row r="343" spans="45:45">
      <c r="AS343"/>
    </row>
    <row r="344" spans="45:45">
      <c r="AS344"/>
    </row>
    <row r="345" spans="45:45">
      <c r="AS345"/>
    </row>
    <row r="346" spans="45:45">
      <c r="AS346"/>
    </row>
    <row r="347" spans="45:45">
      <c r="AS347"/>
    </row>
    <row r="348" spans="45:45">
      <c r="AS348"/>
    </row>
    <row r="349" spans="45:45">
      <c r="AS349"/>
    </row>
    <row r="350" spans="45:45">
      <c r="AS350"/>
    </row>
    <row r="351" spans="45:45">
      <c r="AS351"/>
    </row>
    <row r="352" spans="45:45">
      <c r="AS352"/>
    </row>
    <row r="353" spans="45:45">
      <c r="AS353"/>
    </row>
    <row r="354" spans="45:45">
      <c r="AS354"/>
    </row>
    <row r="355" spans="45:45">
      <c r="AS355"/>
    </row>
    <row r="356" spans="45:45">
      <c r="AS356"/>
    </row>
    <row r="357" spans="45:45">
      <c r="AS357"/>
    </row>
    <row r="358" spans="45:45">
      <c r="AS358"/>
    </row>
    <row r="359" spans="45:45">
      <c r="AS359"/>
    </row>
    <row r="360" spans="45:45">
      <c r="AS360"/>
    </row>
    <row r="361" spans="45:45">
      <c r="AS361"/>
    </row>
    <row r="362" spans="45:45">
      <c r="AS362"/>
    </row>
    <row r="363" spans="45:45">
      <c r="AS363"/>
    </row>
    <row r="364" spans="45:45">
      <c r="AS364"/>
    </row>
    <row r="365" spans="45:45">
      <c r="AS365"/>
    </row>
    <row r="366" spans="45:45">
      <c r="AS366"/>
    </row>
    <row r="367" spans="45:45">
      <c r="AS367"/>
    </row>
    <row r="368" spans="45:45">
      <c r="AS368"/>
    </row>
    <row r="369" spans="45:45">
      <c r="AS369"/>
    </row>
    <row r="370" spans="45:45">
      <c r="AS370"/>
    </row>
    <row r="371" spans="45:45">
      <c r="AS371"/>
    </row>
    <row r="372" spans="45:45">
      <c r="AS372"/>
    </row>
    <row r="373" spans="45:45">
      <c r="AS373"/>
    </row>
    <row r="374" spans="45:45">
      <c r="AS374"/>
    </row>
    <row r="377" spans="45:45">
      <c r="AS377"/>
    </row>
  </sheetData>
  <scenarios current="0">
    <scenario name="test" count="5" user="Kristoffer Steen Andersen" comment="Oprettet af Kristoffer Steen Andersen d. 6/18/2015">
      <inputCells r="BZ100" val="28000" numFmtId="1"/>
      <inputCells r="CA101" val="16905.8536508063" numFmtId="1"/>
      <inputCells r="CQ5" val="0.260173787105008" numFmtId="2"/>
      <inputCells r="CS6" val="0.466056886295445" numFmtId="2"/>
      <inputCells r="CS7" val="0.273769326599547" numFmtId="2"/>
    </scenario>
  </scenarios>
  <mergeCells count="28">
    <mergeCell ref="AG268:AG273"/>
    <mergeCell ref="AG274:AG279"/>
    <mergeCell ref="AG256:AG261"/>
    <mergeCell ref="AG262:AG267"/>
    <mergeCell ref="AG243:AG247"/>
    <mergeCell ref="AG249:AG253"/>
    <mergeCell ref="AG237:AG241"/>
    <mergeCell ref="AG218:AG222"/>
    <mergeCell ref="AG224:AG228"/>
    <mergeCell ref="AG206:AG210"/>
    <mergeCell ref="AG212:AG216"/>
    <mergeCell ref="AG231:AG235"/>
    <mergeCell ref="AG40:AG45"/>
    <mergeCell ref="AG48:AG53"/>
    <mergeCell ref="AG23:AG28"/>
    <mergeCell ref="AG31:AG36"/>
    <mergeCell ref="AG56:AG61"/>
    <mergeCell ref="AZ2:BC3"/>
    <mergeCell ref="BG2:BR3"/>
    <mergeCell ref="AG2:AR3"/>
    <mergeCell ref="AG7:AG12"/>
    <mergeCell ref="AG15:AG20"/>
    <mergeCell ref="BT101:BY101"/>
    <mergeCell ref="BV112:BV113"/>
    <mergeCell ref="BW112:BW113"/>
    <mergeCell ref="BU112:BU113"/>
    <mergeCell ref="AG64:AG69"/>
    <mergeCell ref="BT100:BY100"/>
  </mergeCells>
  <hyperlinks>
    <hyperlink ref="AZ35" location="CarData!A18" display="Source" xr:uid="{00000000-0004-0000-0500-000000000000}"/>
    <hyperlink ref="AZ48" location="CarData!A3" display="Source" xr:uid="{00000000-0004-0000-0500-000001000000}"/>
  </hyperlinks>
  <pageMargins left="0.7" right="0.7" top="0.75" bottom="0.75" header="0.3" footer="0.3"/>
  <pageSetup paperSize="9" orientation="portrait"/>
  <drawing r:id="rId1"/>
  <legacyDrawing r:id="rId2"/>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tabColor rgb="FF92D050"/>
  </sheetPr>
  <dimension ref="B3:AC83"/>
  <sheetViews>
    <sheetView zoomScale="85" zoomScaleNormal="85" workbookViewId="0">
      <selection activeCell="L6" sqref="L6"/>
    </sheetView>
  </sheetViews>
  <sheetFormatPr defaultColWidth="8.88671875" defaultRowHeight="13.2"/>
  <cols>
    <col min="1" max="1" width="8.88671875" style="754"/>
    <col min="2" max="2" width="37.88671875" style="754" customWidth="1"/>
    <col min="3" max="3" width="15.33203125" style="754" bestFit="1" customWidth="1"/>
    <col min="4" max="4" width="63" style="754" bestFit="1" customWidth="1"/>
    <col min="5" max="5" width="16.6640625" style="754" customWidth="1"/>
    <col min="6" max="6" width="8.33203125" style="754" bestFit="1" customWidth="1"/>
    <col min="7" max="7" width="8.33203125" style="754" customWidth="1"/>
    <col min="8" max="8" width="9.88671875" style="754" customWidth="1"/>
    <col min="9" max="9" width="8.88671875" style="754"/>
    <col min="10" max="10" width="12" style="754" bestFit="1" customWidth="1"/>
    <col min="11" max="11" width="12.44140625" style="754" customWidth="1"/>
    <col min="12" max="17" width="8.88671875" style="754"/>
    <col min="18" max="18" width="9.6640625" style="754" bestFit="1" customWidth="1"/>
    <col min="19" max="16384" width="8.88671875" style="754"/>
  </cols>
  <sheetData>
    <row r="3" spans="2:24">
      <c r="B3" s="545"/>
      <c r="E3" s="2016"/>
      <c r="G3" s="7" t="s">
        <v>8</v>
      </c>
      <c r="H3" s="7"/>
      <c r="I3" s="2367" t="s">
        <v>2711</v>
      </c>
      <c r="J3" s="7"/>
      <c r="K3" s="7"/>
      <c r="L3" s="7"/>
      <c r="M3" s="4"/>
      <c r="N3" s="4"/>
      <c r="O3" s="4"/>
      <c r="S3" s="765" t="s">
        <v>3182</v>
      </c>
    </row>
    <row r="4" spans="2:24" ht="41.4">
      <c r="B4" s="16" t="s">
        <v>1</v>
      </c>
      <c r="C4" s="16" t="s">
        <v>2</v>
      </c>
      <c r="D4" s="16" t="s">
        <v>26</v>
      </c>
      <c r="E4" s="16" t="s">
        <v>14</v>
      </c>
      <c r="F4" s="16" t="s">
        <v>15</v>
      </c>
      <c r="G4" s="2559" t="s">
        <v>2767</v>
      </c>
      <c r="H4" s="28" t="s">
        <v>188</v>
      </c>
      <c r="I4" s="66" t="s">
        <v>2288</v>
      </c>
      <c r="J4" s="29" t="s">
        <v>2297</v>
      </c>
      <c r="K4" s="67" t="s">
        <v>200</v>
      </c>
      <c r="L4" s="29" t="s">
        <v>199</v>
      </c>
      <c r="M4" s="16" t="s">
        <v>533</v>
      </c>
      <c r="N4" s="65" t="s">
        <v>0</v>
      </c>
      <c r="O4" s="65" t="s">
        <v>53</v>
      </c>
      <c r="P4" s="65" t="s">
        <v>2294</v>
      </c>
      <c r="R4" s="2017" t="s">
        <v>540</v>
      </c>
      <c r="S4" s="2017" t="s">
        <v>2299</v>
      </c>
    </row>
    <row r="5" spans="2:24" ht="21" thickBot="1">
      <c r="B5" s="15" t="s">
        <v>27</v>
      </c>
      <c r="C5" s="15"/>
      <c r="D5" s="15"/>
      <c r="E5" s="15"/>
      <c r="F5" s="15"/>
      <c r="G5" s="15"/>
      <c r="H5" s="15" t="s">
        <v>153</v>
      </c>
      <c r="I5" s="15" t="s">
        <v>85</v>
      </c>
      <c r="J5" s="15" t="s">
        <v>404</v>
      </c>
      <c r="K5" s="15" t="s">
        <v>2300</v>
      </c>
      <c r="L5" s="15" t="s">
        <v>394</v>
      </c>
      <c r="M5" s="15" t="s">
        <v>84</v>
      </c>
      <c r="N5" s="15"/>
      <c r="O5" s="15" t="s">
        <v>54</v>
      </c>
      <c r="P5" s="15" t="s">
        <v>2295</v>
      </c>
      <c r="V5" s="2018" t="s">
        <v>2301</v>
      </c>
    </row>
    <row r="6" spans="2:24">
      <c r="B6" s="565" t="s">
        <v>601</v>
      </c>
      <c r="C6" s="543" t="str">
        <f>Processes!D19</f>
        <v>TPMTGSBL1E</v>
      </c>
      <c r="D6" s="543" t="str">
        <f xml:space="preserve"> Processes!E19</f>
        <v>Transport Passengers Motorbikes - Gasoline Engine - Blending 1 - Existing</v>
      </c>
      <c r="E6" s="467" t="str">
        <f xml:space="preserve"> Commodities!$D$85</f>
        <v>TRAGSBL1</v>
      </c>
      <c r="F6" s="754" t="str">
        <f xml:space="preserve"> Commodities!$D$25</f>
        <v>TPMTS</v>
      </c>
      <c r="G6" s="754" t="s">
        <v>3603</v>
      </c>
      <c r="H6" s="2243">
        <f>'SE_Moto-Moped'!L57/1000</f>
        <v>7.3959999999999999</v>
      </c>
      <c r="I6" s="268">
        <f>I50</f>
        <v>0.15556441042742924</v>
      </c>
      <c r="J6" s="184">
        <v>5</v>
      </c>
      <c r="K6" s="2366">
        <f>C36/C37</f>
        <v>1.2213947491893615</v>
      </c>
      <c r="L6" s="2028">
        <f>$C$77</f>
        <v>762.19512195121956</v>
      </c>
      <c r="M6" s="2107">
        <f>V6*10^6/K6/H6/1000</f>
        <v>2697.7067062339624</v>
      </c>
      <c r="N6" s="1657">
        <v>1E-3</v>
      </c>
      <c r="O6" s="2089">
        <v>15</v>
      </c>
      <c r="P6" s="2089">
        <f>0.06/1000</f>
        <v>5.9999999999999995E-5</v>
      </c>
      <c r="R6" s="548">
        <f>H6*I6*K6*M6*N6</f>
        <v>3.7910361877358087</v>
      </c>
      <c r="S6" s="548">
        <f>$V$6*I6</f>
        <v>3.7910361877358092</v>
      </c>
      <c r="T6" s="2375">
        <f>R6/S6</f>
        <v>0.99999999999999989</v>
      </c>
      <c r="U6" s="2375"/>
      <c r="V6" s="784">
        <f>C36*(D44)/SUM($D$44:$D$47)</f>
        <v>24.369559704045074</v>
      </c>
    </row>
    <row r="7" spans="2:24">
      <c r="B7" s="565" t="s">
        <v>601</v>
      </c>
      <c r="F7" s="754" t="str">
        <f xml:space="preserve"> Commodities!$D$26</f>
        <v>TPMTM</v>
      </c>
      <c r="G7" s="754" t="s">
        <v>3603</v>
      </c>
      <c r="H7" s="184"/>
      <c r="I7" s="268">
        <f>I51</f>
        <v>0.25524775897812579</v>
      </c>
      <c r="J7" s="184">
        <v>5</v>
      </c>
      <c r="K7" s="184"/>
      <c r="L7" s="2029">
        <f>$D$77</f>
        <v>781.8608287724785</v>
      </c>
      <c r="M7" s="184"/>
      <c r="N7" s="184"/>
      <c r="O7" s="184"/>
      <c r="P7" s="184"/>
      <c r="R7" s="548">
        <f>H6*I7*K6*M6*N6</f>
        <v>6.2202755017411429</v>
      </c>
      <c r="S7" s="548">
        <f>$V$6*I7</f>
        <v>6.2202755017411437</v>
      </c>
      <c r="T7" s="2375">
        <f t="shared" ref="T7:T33" si="0">R7/S7</f>
        <v>0.99999999999999989</v>
      </c>
      <c r="U7" s="2375"/>
      <c r="V7" s="784">
        <f>C39*(D48)/SUM($D$48:$D$51)</f>
        <v>3.3977858759281379</v>
      </c>
      <c r="X7" s="12"/>
    </row>
    <row r="8" spans="2:24">
      <c r="B8" s="565" t="s">
        <v>601</v>
      </c>
      <c r="F8" s="754" t="str">
        <f xml:space="preserve"> Commodities!$D$27</f>
        <v>TPMTL</v>
      </c>
      <c r="G8" s="754" t="s">
        <v>3603</v>
      </c>
      <c r="H8" s="184"/>
      <c r="I8" s="268">
        <f>I52</f>
        <v>0.58918783059444491</v>
      </c>
      <c r="J8" s="2089">
        <v>5</v>
      </c>
      <c r="K8" s="184"/>
      <c r="L8" s="2029">
        <f>$E$77</f>
        <v>641.02564102564099</v>
      </c>
      <c r="M8" s="184"/>
      <c r="N8" s="184"/>
      <c r="O8" s="184"/>
      <c r="P8" s="184"/>
      <c r="R8" s="548">
        <f>H6*I8*K6*M6*N6</f>
        <v>14.358248014568119</v>
      </c>
      <c r="S8" s="548">
        <f>$V$6*I8</f>
        <v>14.358248014568121</v>
      </c>
      <c r="T8" s="2375">
        <f t="shared" si="0"/>
        <v>0.99999999999999989</v>
      </c>
      <c r="U8" s="2375"/>
      <c r="V8" s="784">
        <f>C36*((D45)/SUM(D44:D47))</f>
        <v>80.854482377720558</v>
      </c>
      <c r="X8" s="12"/>
    </row>
    <row r="9" spans="2:24">
      <c r="B9" s="565" t="s">
        <v>601</v>
      </c>
      <c r="C9" s="543" t="str">
        <f xml:space="preserve"> Processes!D20</f>
        <v>TPMPGSBL1E</v>
      </c>
      <c r="D9" s="543" t="str">
        <f xml:space="preserve"> Processes!E20</f>
        <v>Transport Passengers Mopeds - Gasoline Engine - Blending 1 - Existing</v>
      </c>
      <c r="E9" s="467" t="str">
        <f xml:space="preserve"> Commodities!$D$85</f>
        <v>TRAGSBL1</v>
      </c>
      <c r="F9" s="754" t="str">
        <f xml:space="preserve"> Commodities!$D$28</f>
        <v>TPMPX</v>
      </c>
      <c r="G9" s="754" t="s">
        <v>3603</v>
      </c>
      <c r="H9" s="2244">
        <f>'SE_Moto-Moped'!R57/1000</f>
        <v>2.1092</v>
      </c>
      <c r="I9" s="1658">
        <f>I43</f>
        <v>0.19949722919973487</v>
      </c>
      <c r="J9" s="2089">
        <v>5</v>
      </c>
      <c r="K9" s="2366">
        <f>K6</f>
        <v>1.2213947491893615</v>
      </c>
      <c r="L9" s="2029">
        <f>$C$74</f>
        <v>1265.8227848101264</v>
      </c>
      <c r="M9" s="2107">
        <f>V7*10^6/K9/H9/1000</f>
        <v>1318.9313627820093</v>
      </c>
      <c r="N9" s="1657">
        <v>1E-3</v>
      </c>
      <c r="O9" s="2089">
        <v>10</v>
      </c>
      <c r="P9" s="184">
        <f>0.05/1000</f>
        <v>5.0000000000000002E-5</v>
      </c>
      <c r="R9" s="548">
        <f>H9*I9*K9*M9*N9</f>
        <v>0.67784886766165764</v>
      </c>
      <c r="S9" s="548">
        <f>$V$7*I9</f>
        <v>0.67784886766165764</v>
      </c>
      <c r="T9" s="2375">
        <f t="shared" si="0"/>
        <v>1</v>
      </c>
      <c r="U9" s="2375"/>
      <c r="V9" s="784">
        <f>C39*(D49)/SUM($D$48:$D$51)</f>
        <v>10.190780130438746</v>
      </c>
    </row>
    <row r="10" spans="2:24">
      <c r="B10" s="565" t="s">
        <v>601</v>
      </c>
      <c r="F10" s="754" t="str">
        <f xml:space="preserve"> Commodities!$D$29</f>
        <v>TPMPS</v>
      </c>
      <c r="G10" s="754" t="s">
        <v>3603</v>
      </c>
      <c r="H10" s="184"/>
      <c r="I10" s="1658">
        <f>I44</f>
        <v>0.72302809993538231</v>
      </c>
      <c r="J10" s="2089">
        <v>5</v>
      </c>
      <c r="K10" s="184"/>
      <c r="L10" s="2029">
        <f>$D$74</f>
        <v>1265.8227848101264</v>
      </c>
      <c r="M10" s="184"/>
      <c r="N10" s="184"/>
      <c r="O10" s="184"/>
      <c r="P10" s="184"/>
      <c r="R10" s="548">
        <f>H9*I10*K9*M9*N9</f>
        <v>2.4566946658596005</v>
      </c>
      <c r="S10" s="548">
        <f>$V$7*I10</f>
        <v>2.4566946658596001</v>
      </c>
      <c r="T10" s="2375">
        <f t="shared" si="0"/>
        <v>1.0000000000000002</v>
      </c>
      <c r="U10" s="2375"/>
      <c r="V10" s="784">
        <f>C36*((D46)/SUM(D44:D47))</f>
        <v>603.81119707645507</v>
      </c>
    </row>
    <row r="11" spans="2:24">
      <c r="B11" s="565" t="s">
        <v>601</v>
      </c>
      <c r="F11" s="754" t="str">
        <f xml:space="preserve"> Commodities!$D$30</f>
        <v>TPMPM</v>
      </c>
      <c r="G11" s="754" t="s">
        <v>3603</v>
      </c>
      <c r="H11" s="2244"/>
      <c r="I11" s="1658">
        <f>I45</f>
        <v>6.8710901324592483E-2</v>
      </c>
      <c r="J11" s="249">
        <v>5</v>
      </c>
      <c r="K11" s="184"/>
      <c r="L11" s="2029">
        <f>$D$74</f>
        <v>1265.8227848101264</v>
      </c>
      <c r="M11" s="184"/>
      <c r="N11" s="184"/>
      <c r="O11" s="184"/>
      <c r="P11" s="184"/>
      <c r="R11" s="548">
        <f>H9*I11*K9*M9*N9</f>
        <v>0.23346493004299232</v>
      </c>
      <c r="S11" s="548">
        <f>$V$7*I11</f>
        <v>0.23346493004299232</v>
      </c>
      <c r="T11" s="2375">
        <f t="shared" si="0"/>
        <v>1</v>
      </c>
      <c r="U11" s="2375"/>
      <c r="V11" s="784">
        <f>C39*(D50)/SUM($D$48:$D$51)</f>
        <v>84.08456825267055</v>
      </c>
    </row>
    <row r="12" spans="2:24">
      <c r="B12" s="565" t="s">
        <v>601</v>
      </c>
      <c r="F12" s="754" t="str">
        <f xml:space="preserve"> Commodities!$D$31</f>
        <v>TPMPL</v>
      </c>
      <c r="G12" s="23" t="s">
        <v>3603</v>
      </c>
      <c r="H12" s="2245"/>
      <c r="I12" s="2371">
        <f>I46</f>
        <v>8.7637695402902841E-3</v>
      </c>
      <c r="J12" s="454">
        <v>5</v>
      </c>
      <c r="K12" s="2254"/>
      <c r="L12" s="2030">
        <f>$D$74</f>
        <v>1265.8227848101264</v>
      </c>
      <c r="M12" s="2254"/>
      <c r="N12" s="2254"/>
      <c r="O12" s="184"/>
      <c r="P12" s="184"/>
      <c r="R12" s="548">
        <f>H9*I12*K9*M9*N9</f>
        <v>2.9777412363887559E-2</v>
      </c>
      <c r="S12" s="548">
        <f>$V$7*I12</f>
        <v>2.9777412363887559E-2</v>
      </c>
      <c r="T12" s="2375">
        <f t="shared" si="0"/>
        <v>1</v>
      </c>
      <c r="U12" s="2375"/>
      <c r="V12" s="784">
        <f>C36*((D47)/SUM(D44:D47))</f>
        <v>206.12476084177933</v>
      </c>
    </row>
    <row r="13" spans="2:24">
      <c r="B13" s="2020" t="s">
        <v>602</v>
      </c>
      <c r="C13" s="30" t="str">
        <f>Processes!$D$19</f>
        <v>TPMTGSBL1E</v>
      </c>
      <c r="D13" s="30" t="str">
        <f xml:space="preserve"> Processes!$E$19</f>
        <v>Transport Passengers Motorbikes - Gasoline Engine - Blending 1 - Existing</v>
      </c>
      <c r="E13" s="725" t="str">
        <f xml:space="preserve"> Commodities!$D$85</f>
        <v>TRAGSBL1</v>
      </c>
      <c r="F13" s="30" t="str">
        <f xml:space="preserve"> Commodities!$D$25</f>
        <v>TPMTS</v>
      </c>
      <c r="G13" s="754" t="s">
        <v>3603</v>
      </c>
      <c r="H13" s="2243">
        <f>'SE_Moto-Moped'!M57/1000</f>
        <v>24.538799999999998</v>
      </c>
      <c r="I13" s="1658">
        <f>J50</f>
        <v>0.15556441042742924</v>
      </c>
      <c r="J13" s="249">
        <v>5</v>
      </c>
      <c r="K13" s="2366">
        <f>C36/C37</f>
        <v>1.2213947491893615</v>
      </c>
      <c r="L13" s="2028">
        <f>$C$77</f>
        <v>762.19512195121956</v>
      </c>
      <c r="M13" s="2107">
        <f>V8*10^6/K13/H13/1000</f>
        <v>2697.7067062339634</v>
      </c>
      <c r="N13" s="1657">
        <v>1E-3</v>
      </c>
      <c r="O13" s="194">
        <v>15</v>
      </c>
      <c r="P13" s="194">
        <f>P6</f>
        <v>5.9999999999999995E-5</v>
      </c>
      <c r="R13" s="548">
        <f>H13*I13*K13*M13*N13</f>
        <v>12.578079881505069</v>
      </c>
      <c r="S13" s="1599">
        <f>$V$8*I13</f>
        <v>12.578079881505067</v>
      </c>
      <c r="T13" s="2375">
        <f t="shared" si="0"/>
        <v>1.0000000000000002</v>
      </c>
      <c r="U13" s="2375"/>
      <c r="V13" s="784">
        <f>C39*(D51)/SUM($D$48:$D$51)</f>
        <v>28.540467015008563</v>
      </c>
    </row>
    <row r="14" spans="2:24">
      <c r="B14" s="565" t="s">
        <v>602</v>
      </c>
      <c r="C14" s="543"/>
      <c r="F14" s="754" t="str">
        <f xml:space="preserve"> Commodities!$D$26</f>
        <v>TPMTM</v>
      </c>
      <c r="G14" s="754" t="s">
        <v>3603</v>
      </c>
      <c r="H14" s="2089"/>
      <c r="I14" s="1658">
        <f>J51</f>
        <v>0.25524775897812579</v>
      </c>
      <c r="J14" s="249">
        <v>5</v>
      </c>
      <c r="K14" s="2089"/>
      <c r="L14" s="2028">
        <f>$D$77</f>
        <v>781.8608287724785</v>
      </c>
      <c r="M14" s="184"/>
      <c r="N14" s="184"/>
      <c r="O14" s="184"/>
      <c r="P14" s="184"/>
      <c r="R14" s="548">
        <f>H13*I14*K13*M13*N13</f>
        <v>20.637925430249538</v>
      </c>
      <c r="S14" s="548">
        <f>$V$8*I14</f>
        <v>20.637925430249535</v>
      </c>
      <c r="T14" s="2375">
        <f t="shared" si="0"/>
        <v>1.0000000000000002</v>
      </c>
      <c r="U14" s="2375"/>
    </row>
    <row r="15" spans="2:24">
      <c r="B15" s="565" t="s">
        <v>602</v>
      </c>
      <c r="C15" s="543"/>
      <c r="D15" s="543"/>
      <c r="E15" s="543"/>
      <c r="F15" s="754" t="str">
        <f xml:space="preserve"> Commodities!$D$27</f>
        <v>TPMTL</v>
      </c>
      <c r="G15" s="754" t="s">
        <v>3603</v>
      </c>
      <c r="H15" s="2089"/>
      <c r="I15" s="1658">
        <f>J52</f>
        <v>0.58918783059444491</v>
      </c>
      <c r="J15" s="249">
        <v>5</v>
      </c>
      <c r="K15" s="2089"/>
      <c r="L15" s="2028">
        <f>$E$77</f>
        <v>641.02564102564099</v>
      </c>
      <c r="M15" s="2089"/>
      <c r="N15" s="2089"/>
      <c r="O15" s="2089"/>
      <c r="P15" s="2089"/>
      <c r="R15" s="548">
        <f>H13*I15*K13*M13*N13</f>
        <v>47.638477065965958</v>
      </c>
      <c r="S15" s="548">
        <f>$V$8*I15</f>
        <v>47.638477065965951</v>
      </c>
      <c r="T15" s="2375">
        <f t="shared" si="0"/>
        <v>1.0000000000000002</v>
      </c>
      <c r="U15" s="2375"/>
    </row>
    <row r="16" spans="2:24">
      <c r="B16" s="565" t="s">
        <v>602</v>
      </c>
      <c r="C16" s="543" t="str">
        <f xml:space="preserve"> Processes!$D$20</f>
        <v>TPMPGSBL1E</v>
      </c>
      <c r="D16" s="543" t="str">
        <f xml:space="preserve"> Processes!$E$20</f>
        <v>Transport Passengers Mopeds - Gasoline Engine - Blending 1 - Existing</v>
      </c>
      <c r="E16" s="467" t="str">
        <f xml:space="preserve"> Commodities!$D$85</f>
        <v>TRAGSBL1</v>
      </c>
      <c r="F16" s="754" t="str">
        <f xml:space="preserve"> Commodities!$D$28</f>
        <v>TPMPX</v>
      </c>
      <c r="G16" s="754" t="s">
        <v>3603</v>
      </c>
      <c r="H16" s="2244">
        <f>'SE_Moto-Moped'!S57/1000</f>
        <v>6.3259999999999996</v>
      </c>
      <c r="I16" s="1658">
        <f>J43</f>
        <v>0.19949722919973487</v>
      </c>
      <c r="J16" s="249">
        <v>5</v>
      </c>
      <c r="K16" s="2366">
        <f>K13</f>
        <v>1.2213947491893615</v>
      </c>
      <c r="L16" s="2028">
        <f>$C$74</f>
        <v>1265.8227848101264</v>
      </c>
      <c r="M16" s="2107">
        <f>V9*10^6/K16/H16/1000</f>
        <v>1318.9313627820097</v>
      </c>
      <c r="N16" s="1657">
        <v>1E-3</v>
      </c>
      <c r="O16" s="2089">
        <v>10</v>
      </c>
      <c r="P16" s="2089">
        <f>P9</f>
        <v>5.0000000000000002E-5</v>
      </c>
      <c r="R16" s="548">
        <f>H16*I16*K16*M16*N16</f>
        <v>2.0330323994062431</v>
      </c>
      <c r="S16" s="548">
        <f>$V$9*I16</f>
        <v>2.0330323994062427</v>
      </c>
      <c r="T16" s="2375">
        <f t="shared" si="0"/>
        <v>1.0000000000000002</v>
      </c>
      <c r="U16" s="2375"/>
      <c r="V16" s="31" t="s">
        <v>540</v>
      </c>
    </row>
    <row r="17" spans="2:29">
      <c r="B17" s="565" t="s">
        <v>602</v>
      </c>
      <c r="F17" s="754" t="str">
        <f xml:space="preserve"> Commodities!$D$29</f>
        <v>TPMPS</v>
      </c>
      <c r="G17" s="754" t="s">
        <v>3603</v>
      </c>
      <c r="H17" s="184"/>
      <c r="I17" s="1658">
        <f>J44</f>
        <v>0.72302809993538231</v>
      </c>
      <c r="J17" s="249">
        <v>5</v>
      </c>
      <c r="K17" s="184"/>
      <c r="L17" s="2028">
        <f>$C$74</f>
        <v>1265.8227848101264</v>
      </c>
      <c r="M17" s="184"/>
      <c r="N17" s="184"/>
      <c r="O17" s="184"/>
      <c r="P17" s="184"/>
      <c r="R17" s="548">
        <f>H16*I17*K16*M16*N16</f>
        <v>7.3682203945703773</v>
      </c>
      <c r="S17" s="548">
        <f>$V$9*I17</f>
        <v>7.3682203945703737</v>
      </c>
      <c r="T17" s="2375">
        <f t="shared" si="0"/>
        <v>1.0000000000000004</v>
      </c>
      <c r="U17" s="2375"/>
      <c r="V17" s="754">
        <f>H6*K6*M6*N6+H13*K13*M13*N13+H20*K20*M20*N20+H27*K27*M27*N27</f>
        <v>915.1600000000002</v>
      </c>
      <c r="W17" s="765" t="s">
        <v>2302</v>
      </c>
    </row>
    <row r="18" spans="2:29">
      <c r="B18" s="565" t="s">
        <v>602</v>
      </c>
      <c r="F18" s="754" t="str">
        <f xml:space="preserve"> Commodities!$D$30</f>
        <v>TPMPM</v>
      </c>
      <c r="G18" s="754" t="s">
        <v>3603</v>
      </c>
      <c r="H18" s="2244"/>
      <c r="I18" s="1658">
        <f>J45</f>
        <v>6.8710901324592483E-2</v>
      </c>
      <c r="J18" s="249">
        <v>5</v>
      </c>
      <c r="K18" s="184"/>
      <c r="L18" s="2029">
        <f>$D$74</f>
        <v>1265.8227848101264</v>
      </c>
      <c r="M18" s="184"/>
      <c r="N18" s="184"/>
      <c r="O18" s="184"/>
      <c r="P18" s="184"/>
      <c r="R18" s="548">
        <f>H16*I18*K16*M16*N16</f>
        <v>0.7002176879631945</v>
      </c>
      <c r="S18" s="548">
        <f>$V$9*I18</f>
        <v>0.70021768796319439</v>
      </c>
      <c r="T18" s="2375">
        <f t="shared" si="0"/>
        <v>1.0000000000000002</v>
      </c>
      <c r="U18" s="2375"/>
      <c r="W18" s="765"/>
    </row>
    <row r="19" spans="2:29">
      <c r="B19" s="565" t="s">
        <v>602</v>
      </c>
      <c r="F19" s="754" t="str">
        <f xml:space="preserve"> Commodities!$D$31</f>
        <v>TPMPL</v>
      </c>
      <c r="G19" s="23" t="s">
        <v>3603</v>
      </c>
      <c r="H19" s="2244"/>
      <c r="I19" s="1658">
        <f>J46</f>
        <v>8.7637695402902841E-3</v>
      </c>
      <c r="J19" s="249">
        <v>5</v>
      </c>
      <c r="K19" s="184"/>
      <c r="L19" s="2029">
        <f>$D$74</f>
        <v>1265.8227848101264</v>
      </c>
      <c r="M19" s="184"/>
      <c r="N19" s="184"/>
      <c r="O19" s="184"/>
      <c r="P19" s="184"/>
      <c r="R19" s="548">
        <f>H16*I19*K16*M16*N16</f>
        <v>8.9309648498934566E-2</v>
      </c>
      <c r="S19" s="548">
        <f>$V$9*I19</f>
        <v>8.9309648498934538E-2</v>
      </c>
      <c r="T19" s="2375">
        <f t="shared" si="0"/>
        <v>1.0000000000000002</v>
      </c>
      <c r="U19" s="2375"/>
      <c r="V19" s="754">
        <f>H9*K9*M9*N9+H16*K16*M16*N16+H23*K23*M23*N23+H30*K30*M30*N30</f>
        <v>126.21360127404601</v>
      </c>
      <c r="W19" s="765" t="s">
        <v>2303</v>
      </c>
      <c r="Z19" s="765" t="s">
        <v>601</v>
      </c>
      <c r="AA19" s="765" t="s">
        <v>602</v>
      </c>
      <c r="AB19" s="765" t="s">
        <v>603</v>
      </c>
      <c r="AC19" s="765" t="s">
        <v>604</v>
      </c>
    </row>
    <row r="20" spans="2:29">
      <c r="B20" s="2020" t="s">
        <v>603</v>
      </c>
      <c r="C20" s="30" t="str">
        <f>Processes!$D$19</f>
        <v>TPMTGSBL1E</v>
      </c>
      <c r="D20" s="30" t="str">
        <f xml:space="preserve"> Processes!$E$19</f>
        <v>Transport Passengers Motorbikes - Gasoline Engine - Blending 1 - Existing</v>
      </c>
      <c r="E20" s="725" t="str">
        <f xml:space="preserve"> Commodities!$D$85</f>
        <v>TRAGSBL1</v>
      </c>
      <c r="F20" s="30" t="str">
        <f xml:space="preserve"> Commodities!$D$25</f>
        <v>TPMTS</v>
      </c>
      <c r="G20" s="754" t="s">
        <v>3603</v>
      </c>
      <c r="H20" s="2248">
        <f>'SE_Moto-Moped'!N57/1000</f>
        <v>183.2527</v>
      </c>
      <c r="I20" s="268">
        <f>K50</f>
        <v>0.15556441042742924</v>
      </c>
      <c r="J20" s="2256">
        <f t="shared" ref="J20:P20" si="1">J6</f>
        <v>5</v>
      </c>
      <c r="K20" s="2248">
        <f t="shared" si="1"/>
        <v>1.2213947491893615</v>
      </c>
      <c r="L20" s="2193">
        <f t="shared" si="1"/>
        <v>762.19512195121956</v>
      </c>
      <c r="M20" s="2255">
        <f>V10*10^6/K20/H20/1000</f>
        <v>2697.7067062339638</v>
      </c>
      <c r="N20" s="2326">
        <f t="shared" si="1"/>
        <v>1E-3</v>
      </c>
      <c r="O20" s="2256">
        <f t="shared" si="1"/>
        <v>15</v>
      </c>
      <c r="P20" s="2089">
        <f t="shared" si="1"/>
        <v>5.9999999999999995E-5</v>
      </c>
      <c r="R20" s="548">
        <f>H20*I20*K20*M20*N20</f>
        <v>93.931532882679051</v>
      </c>
      <c r="S20" s="1599">
        <f>$V$10*I20</f>
        <v>93.931532882679022</v>
      </c>
      <c r="T20" s="2375">
        <f t="shared" si="0"/>
        <v>1.0000000000000002</v>
      </c>
      <c r="U20" s="2375"/>
      <c r="V20" s="304">
        <f>SUM(Z20:AC20)</f>
        <v>1.0768174815005889</v>
      </c>
      <c r="W20" s="765" t="s">
        <v>2304</v>
      </c>
      <c r="X20" s="866" t="s">
        <v>3181</v>
      </c>
      <c r="Z20" s="754">
        <f>(H6)*1/(I6*L6+I7*L7+I8*L8)*M6*N6</f>
        <v>2.8674295102264137E-2</v>
      </c>
      <c r="AA20" s="754">
        <f>(H13)*1/(I13*L13+I14*L14+I15*L15)*M13*N13</f>
        <v>9.5136937892839307E-2</v>
      </c>
      <c r="AB20" s="754">
        <f>(H20)*1/(I20*L20+I21*L21+I22*L22)*M20*N20</f>
        <v>0.71047079476564112</v>
      </c>
      <c r="AC20" s="754">
        <f>(H27)*1/(I27*L27+I28*L28+I29*L29)*M27*N27</f>
        <v>0.24253545373984442</v>
      </c>
    </row>
    <row r="21" spans="2:29">
      <c r="B21" s="565" t="s">
        <v>603</v>
      </c>
      <c r="C21" s="543"/>
      <c r="D21" s="543"/>
      <c r="E21" s="543"/>
      <c r="F21" s="543" t="str">
        <f xml:space="preserve"> Commodities!$D$26</f>
        <v>TPMTM</v>
      </c>
      <c r="G21" s="754" t="s">
        <v>3603</v>
      </c>
      <c r="H21" s="2246"/>
      <c r="I21" s="268">
        <f>K51</f>
        <v>0.25524775897812579</v>
      </c>
      <c r="J21" s="2246">
        <f>J7</f>
        <v>5</v>
      </c>
      <c r="K21" s="2246"/>
      <c r="L21" s="2192">
        <f>L7</f>
        <v>781.8608287724785</v>
      </c>
      <c r="M21" s="2246"/>
      <c r="N21" s="1657"/>
      <c r="O21" s="2246"/>
      <c r="P21" s="2246"/>
      <c r="R21" s="548">
        <f>H20*I21*K20*M20*N20</f>
        <v>154.12145489966466</v>
      </c>
      <c r="S21" s="73">
        <f>$V$10*I21</f>
        <v>154.12145489966463</v>
      </c>
      <c r="T21" s="2375">
        <f t="shared" si="0"/>
        <v>1.0000000000000002</v>
      </c>
      <c r="U21" s="2375"/>
      <c r="V21" s="304">
        <f>SUM(Z21:AC21)</f>
        <v>8.1635151184883459E-2</v>
      </c>
      <c r="W21" s="765" t="s">
        <v>2305</v>
      </c>
      <c r="X21" s="866" t="s">
        <v>3181</v>
      </c>
      <c r="Z21" s="754">
        <f>(H9)*1/(I9*L9+I10*L10+I11*L11+I12*L12)*M9*N9</f>
        <v>2.197693124000053E-3</v>
      </c>
      <c r="AA21" s="754">
        <f>(H16)*1/(I16*L16+I17*L17+I18*L18+I19*L19)*M16*N16</f>
        <v>6.5914122427576053E-3</v>
      </c>
      <c r="AB21" s="754">
        <f>(H23)*1/(I23*L23+I24*L24+I25*L25+I26*L26)*M23*N23</f>
        <v>5.4386027910875788E-2</v>
      </c>
      <c r="AC21" s="754">
        <f>(H30)*1/(I30*L30+I31*L31+I32*L32+I33*L33)*M30*N30</f>
        <v>1.8460017907250027E-2</v>
      </c>
    </row>
    <row r="22" spans="2:29">
      <c r="B22" s="565" t="s">
        <v>603</v>
      </c>
      <c r="C22" s="543"/>
      <c r="D22" s="543"/>
      <c r="E22" s="543"/>
      <c r="F22" s="754" t="str">
        <f xml:space="preserve"> Commodities!$D$27</f>
        <v>TPMTL</v>
      </c>
      <c r="G22" s="754" t="s">
        <v>3603</v>
      </c>
      <c r="H22" s="2246"/>
      <c r="I22" s="268">
        <f>K52</f>
        <v>0.58918783059444491</v>
      </c>
      <c r="J22" s="2247">
        <f>J8</f>
        <v>5</v>
      </c>
      <c r="K22" s="2247"/>
      <c r="L22" s="266">
        <f>L8</f>
        <v>641.02564102564099</v>
      </c>
      <c r="M22" s="2247"/>
      <c r="N22" s="1657"/>
      <c r="O22" s="2247"/>
      <c r="P22" s="2247"/>
      <c r="R22" s="548">
        <f>H20*I22*K20*M20*N20</f>
        <v>355.75820929411151</v>
      </c>
      <c r="S22" s="73">
        <f>$V$10*I22</f>
        <v>355.7582092941114</v>
      </c>
      <c r="T22" s="2375">
        <f t="shared" si="0"/>
        <v>1.0000000000000002</v>
      </c>
      <c r="U22" s="2375"/>
      <c r="W22" s="765"/>
    </row>
    <row r="23" spans="2:29">
      <c r="B23" s="565" t="s">
        <v>603</v>
      </c>
      <c r="C23" s="543" t="str">
        <f xml:space="preserve"> Processes!$D$20</f>
        <v>TPMPGSBL1E</v>
      </c>
      <c r="D23" s="543" t="str">
        <f xml:space="preserve"> Processes!$E$20</f>
        <v>Transport Passengers Mopeds - Gasoline Engine - Blending 1 - Existing</v>
      </c>
      <c r="E23" s="467" t="str">
        <f xml:space="preserve"> Commodities!$D$85</f>
        <v>TRAGSBL1</v>
      </c>
      <c r="F23" s="754" t="str">
        <f xml:space="preserve"> Commodities!$D$28</f>
        <v>TPMPX</v>
      </c>
      <c r="G23" s="754" t="s">
        <v>3603</v>
      </c>
      <c r="H23" s="2243">
        <f>'SE_Moto-Moped'!T57/1000</f>
        <v>52.196100000000008</v>
      </c>
      <c r="I23" s="1658">
        <f>K43</f>
        <v>0.19949722919973487</v>
      </c>
      <c r="J23" s="2247">
        <f t="shared" ref="J23:P23" si="2">J9</f>
        <v>5</v>
      </c>
      <c r="K23" s="2244">
        <f t="shared" si="2"/>
        <v>1.2213947491893615</v>
      </c>
      <c r="L23" s="266">
        <f t="shared" si="2"/>
        <v>1265.8227848101264</v>
      </c>
      <c r="M23" s="2107">
        <f>V11*10^6/K23/H23/1000</f>
        <v>1318.9313627820095</v>
      </c>
      <c r="N23" s="1657">
        <f t="shared" si="2"/>
        <v>1E-3</v>
      </c>
      <c r="O23" s="2247">
        <f t="shared" si="2"/>
        <v>10</v>
      </c>
      <c r="P23" s="2089">
        <f t="shared" si="2"/>
        <v>5.0000000000000002E-5</v>
      </c>
      <c r="R23" s="548">
        <f>H23*I23*K23*M23*N23</f>
        <v>16.774638384863771</v>
      </c>
      <c r="S23" s="548">
        <f>$V$11*I23</f>
        <v>16.774638384863767</v>
      </c>
      <c r="T23" s="2375">
        <f t="shared" si="0"/>
        <v>1.0000000000000002</v>
      </c>
      <c r="U23" s="2375"/>
      <c r="W23" s="765"/>
    </row>
    <row r="24" spans="2:29">
      <c r="B24" s="565" t="s">
        <v>603</v>
      </c>
      <c r="F24" s="754" t="str">
        <f xml:space="preserve"> Commodities!$D$29</f>
        <v>TPMPS</v>
      </c>
      <c r="G24" s="754" t="s">
        <v>3603</v>
      </c>
      <c r="H24" s="2246"/>
      <c r="I24" s="1658">
        <f>K44</f>
        <v>0.72302809993538231</v>
      </c>
      <c r="J24" s="2247">
        <f>J10</f>
        <v>5</v>
      </c>
      <c r="K24" s="2247"/>
      <c r="L24" s="266">
        <f>L10</f>
        <v>1265.8227848101264</v>
      </c>
      <c r="M24" s="2247"/>
      <c r="N24" s="1657"/>
      <c r="O24" s="2247"/>
      <c r="P24" s="2247"/>
      <c r="R24" s="548">
        <f>H23*I24*K23*M23*N23</f>
        <v>60.795505617615369</v>
      </c>
      <c r="S24" s="548">
        <f>$V$11*I24</f>
        <v>60.795505617615355</v>
      </c>
      <c r="T24" s="2375">
        <f t="shared" si="0"/>
        <v>1.0000000000000002</v>
      </c>
      <c r="U24" s="2375"/>
      <c r="W24" s="765"/>
    </row>
    <row r="25" spans="2:29">
      <c r="B25" s="565" t="s">
        <v>603</v>
      </c>
      <c r="F25" s="754" t="str">
        <f xml:space="preserve"> Commodities!$D$30</f>
        <v>TPMPM</v>
      </c>
      <c r="G25" s="754" t="s">
        <v>3603</v>
      </c>
      <c r="H25" s="2246"/>
      <c r="I25" s="1658">
        <f>K45</f>
        <v>6.8710901324592483E-2</v>
      </c>
      <c r="J25" s="2247">
        <f>J11</f>
        <v>5</v>
      </c>
      <c r="K25" s="2247"/>
      <c r="L25" s="266">
        <f>L11</f>
        <v>1265.8227848101264</v>
      </c>
      <c r="M25" s="2247"/>
      <c r="N25" s="1657"/>
      <c r="O25" s="2247"/>
      <c r="P25" s="2247"/>
      <c r="R25" s="548">
        <f>H23*I25*K23*M23*N23</f>
        <v>5.7775264721302086</v>
      </c>
      <c r="S25" s="548">
        <f>$V$11*I25</f>
        <v>5.7775264721302078</v>
      </c>
      <c r="T25" s="2375">
        <f t="shared" si="0"/>
        <v>1.0000000000000002</v>
      </c>
      <c r="U25" s="2375"/>
    </row>
    <row r="26" spans="2:29">
      <c r="B26" s="565" t="s">
        <v>603</v>
      </c>
      <c r="F26" s="754" t="str">
        <f xml:space="preserve"> Commodities!$D$31</f>
        <v>TPMPL</v>
      </c>
      <c r="G26" s="23" t="s">
        <v>3603</v>
      </c>
      <c r="H26" s="2249"/>
      <c r="I26" s="2371">
        <f>K46</f>
        <v>8.7637695402902841E-3</v>
      </c>
      <c r="J26" s="2247">
        <f>J12</f>
        <v>5</v>
      </c>
      <c r="K26" s="2247"/>
      <c r="L26" s="266">
        <f>L12</f>
        <v>1265.8227848101264</v>
      </c>
      <c r="M26" s="2247"/>
      <c r="N26" s="1657"/>
      <c r="O26" s="2247"/>
      <c r="P26" s="2247"/>
      <c r="R26" s="548">
        <f>H23*I26*K23*M23*N23</f>
        <v>0.73689777806121382</v>
      </c>
      <c r="S26" s="548">
        <f>$V$11*I26</f>
        <v>0.73689777806121359</v>
      </c>
      <c r="T26" s="2375">
        <f t="shared" si="0"/>
        <v>1.0000000000000002</v>
      </c>
      <c r="U26" s="2375"/>
    </row>
    <row r="27" spans="2:29">
      <c r="B27" s="2020" t="s">
        <v>604</v>
      </c>
      <c r="C27" s="30" t="str">
        <f>Processes!$D$19</f>
        <v>TPMTGSBL1E</v>
      </c>
      <c r="D27" s="30" t="str">
        <f xml:space="preserve"> Processes!$E$19</f>
        <v>Transport Passengers Motorbikes - Gasoline Engine - Blending 1 - Existing</v>
      </c>
      <c r="E27" s="725" t="str">
        <f xml:space="preserve"> Commodities!$D$85</f>
        <v>TRAGSBL1</v>
      </c>
      <c r="F27" s="30" t="str">
        <f xml:space="preserve"> Commodities!$D$25</f>
        <v>TPMTS</v>
      </c>
      <c r="G27" s="754" t="s">
        <v>3603</v>
      </c>
      <c r="H27" s="2243">
        <f>'SE_Moto-Moped'!O57/1000</f>
        <v>62.557499999999997</v>
      </c>
      <c r="I27" s="268">
        <f>L50</f>
        <v>0.15556441042742924</v>
      </c>
      <c r="J27" s="2256">
        <f t="shared" ref="J27:P27" si="3">J13</f>
        <v>5</v>
      </c>
      <c r="K27" s="2248">
        <f t="shared" si="3"/>
        <v>1.2213947491893615</v>
      </c>
      <c r="L27" s="2193">
        <f t="shared" si="3"/>
        <v>762.19512195121956</v>
      </c>
      <c r="M27" s="2255">
        <f>V12*10^6/K27/H27/1000</f>
        <v>2697.7067062339634</v>
      </c>
      <c r="N27" s="2326">
        <f t="shared" si="3"/>
        <v>1E-3</v>
      </c>
      <c r="O27" s="2256">
        <f t="shared" si="3"/>
        <v>15</v>
      </c>
      <c r="P27" s="2758">
        <f t="shared" si="3"/>
        <v>5.9999999999999995E-5</v>
      </c>
      <c r="R27" s="548">
        <f>H27*I27*K27*M27*N27</f>
        <v>32.065676894846263</v>
      </c>
      <c r="S27" s="1599">
        <f>$V$12*I27</f>
        <v>32.065676894846256</v>
      </c>
      <c r="T27" s="2375">
        <f t="shared" si="0"/>
        <v>1.0000000000000002</v>
      </c>
      <c r="U27" s="2375"/>
    </row>
    <row r="28" spans="2:29">
      <c r="B28" s="565" t="s">
        <v>604</v>
      </c>
      <c r="C28" s="543"/>
      <c r="F28" s="754" t="str">
        <f xml:space="preserve"> Commodities!$D$26</f>
        <v>TPMTM</v>
      </c>
      <c r="G28" s="754" t="s">
        <v>3603</v>
      </c>
      <c r="H28" s="2246"/>
      <c r="I28" s="268">
        <f>L51</f>
        <v>0.25524775897812579</v>
      </c>
      <c r="J28" s="2246">
        <f>J14</f>
        <v>5</v>
      </c>
      <c r="K28" s="2246"/>
      <c r="L28" s="2192">
        <f>L14</f>
        <v>781.8608287724785</v>
      </c>
      <c r="M28" s="2246"/>
      <c r="N28" s="2246"/>
      <c r="O28" s="2246"/>
      <c r="P28" s="2759"/>
      <c r="R28" s="548">
        <f>H27*I28*K27*M27*N27</f>
        <v>52.612883274766311</v>
      </c>
      <c r="S28" s="73">
        <f>$V$12*I28</f>
        <v>52.612883274766311</v>
      </c>
      <c r="T28" s="2375">
        <f t="shared" si="0"/>
        <v>1</v>
      </c>
      <c r="U28" s="2375"/>
    </row>
    <row r="29" spans="2:29">
      <c r="B29" s="565" t="s">
        <v>604</v>
      </c>
      <c r="C29" s="543"/>
      <c r="D29" s="543"/>
      <c r="E29" s="543"/>
      <c r="F29" s="543" t="str">
        <f xml:space="preserve"> Commodities!$D$27</f>
        <v>TPMTL</v>
      </c>
      <c r="G29" s="754" t="s">
        <v>3603</v>
      </c>
      <c r="H29" s="2246"/>
      <c r="I29" s="268">
        <f>L52</f>
        <v>0.58918783059444491</v>
      </c>
      <c r="J29" s="2246">
        <f>J15</f>
        <v>5</v>
      </c>
      <c r="K29" s="2246"/>
      <c r="L29" s="2192">
        <f>L15</f>
        <v>641.02564102564099</v>
      </c>
      <c r="M29" s="2246"/>
      <c r="N29" s="2246"/>
      <c r="O29" s="2246"/>
      <c r="P29" s="2759"/>
      <c r="R29" s="548">
        <f>H27*I29*K27*M27*N27</f>
        <v>121.44620067216677</v>
      </c>
      <c r="S29" s="73">
        <f>$V$12*I29</f>
        <v>121.44620067216675</v>
      </c>
      <c r="T29" s="2375">
        <f t="shared" si="0"/>
        <v>1.0000000000000002</v>
      </c>
      <c r="U29" s="2375"/>
    </row>
    <row r="30" spans="2:29">
      <c r="B30" s="565" t="s">
        <v>604</v>
      </c>
      <c r="C30" s="543" t="str">
        <f xml:space="preserve"> Processes!$D$20</f>
        <v>TPMPGSBL1E</v>
      </c>
      <c r="D30" s="543" t="str">
        <f xml:space="preserve"> Processes!$E$20</f>
        <v>Transport Passengers Mopeds - Gasoline Engine - Blending 1 - Existing</v>
      </c>
      <c r="E30" s="467" t="str">
        <f xml:space="preserve"> Commodities!$D$85</f>
        <v>TRAGSBL1</v>
      </c>
      <c r="F30" s="543" t="str">
        <f xml:space="preserve"> Commodities!$D$28</f>
        <v>TPMPX</v>
      </c>
      <c r="G30" s="754" t="s">
        <v>3603</v>
      </c>
      <c r="H30" s="2243">
        <f>'SE_Moto-Moped'!U57/1000</f>
        <v>17.716699999999999</v>
      </c>
      <c r="I30" s="1658">
        <f>L43</f>
        <v>0.19949722919973487</v>
      </c>
      <c r="J30" s="2246">
        <f t="shared" ref="J30:P30" si="4">J16</f>
        <v>5</v>
      </c>
      <c r="K30" s="2243">
        <f t="shared" si="4"/>
        <v>1.2213947491893615</v>
      </c>
      <c r="L30" s="2192">
        <f t="shared" si="4"/>
        <v>1265.8227848101264</v>
      </c>
      <c r="M30" s="2107">
        <f>V13*10^6/K30/H30/1000</f>
        <v>1318.9313627820097</v>
      </c>
      <c r="N30" s="1657">
        <f t="shared" si="4"/>
        <v>1E-3</v>
      </c>
      <c r="O30" s="2246">
        <f t="shared" si="4"/>
        <v>10</v>
      </c>
      <c r="P30" s="2760">
        <f t="shared" si="4"/>
        <v>5.0000000000000002E-5</v>
      </c>
      <c r="R30" s="548">
        <f>H30*I30*K30*M30*N30</f>
        <v>5.6937440895606359</v>
      </c>
      <c r="S30" s="548">
        <f>$V$13*I30</f>
        <v>5.6937440895606359</v>
      </c>
      <c r="T30" s="2375">
        <f t="shared" si="0"/>
        <v>1</v>
      </c>
      <c r="U30" s="2375"/>
    </row>
    <row r="31" spans="2:29">
      <c r="B31" s="565" t="s">
        <v>604</v>
      </c>
      <c r="C31" s="543"/>
      <c r="D31" s="543"/>
      <c r="E31" s="543"/>
      <c r="F31" s="543" t="str">
        <f xml:space="preserve"> Commodities!$D$29</f>
        <v>TPMPS</v>
      </c>
      <c r="G31" s="754" t="s">
        <v>3603</v>
      </c>
      <c r="H31" s="2246"/>
      <c r="I31" s="1658">
        <f>L44</f>
        <v>0.72302809993538231</v>
      </c>
      <c r="J31" s="2246">
        <f>J17</f>
        <v>5</v>
      </c>
      <c r="K31" s="2246"/>
      <c r="L31" s="2192">
        <f>L17</f>
        <v>1265.8227848101264</v>
      </c>
      <c r="M31" s="2246"/>
      <c r="N31" s="2246"/>
      <c r="O31" s="2192"/>
      <c r="P31" s="2250"/>
      <c r="R31" s="548">
        <f>H30*I31*K30*M30*N30</f>
        <v>20.635559637130097</v>
      </c>
      <c r="S31" s="548">
        <f>$V$13*I31</f>
        <v>20.635559637130093</v>
      </c>
      <c r="T31" s="2375">
        <f t="shared" si="0"/>
        <v>1.0000000000000002</v>
      </c>
      <c r="U31" s="2375"/>
    </row>
    <row r="32" spans="2:29">
      <c r="B32" s="565" t="s">
        <v>604</v>
      </c>
      <c r="C32" s="543"/>
      <c r="D32" s="543"/>
      <c r="E32" s="543"/>
      <c r="F32" s="543" t="str">
        <f xml:space="preserve"> Commodities!$D$30</f>
        <v>TPMPM</v>
      </c>
      <c r="G32" s="754" t="s">
        <v>3603</v>
      </c>
      <c r="H32" s="2246"/>
      <c r="I32" s="1658">
        <f>L45</f>
        <v>6.8710901324592483E-2</v>
      </c>
      <c r="J32" s="2246">
        <f>J18</f>
        <v>5</v>
      </c>
      <c r="K32" s="2246"/>
      <c r="L32" s="2192">
        <f>L18</f>
        <v>1265.8227848101264</v>
      </c>
      <c r="M32" s="2192"/>
      <c r="N32" s="2246"/>
      <c r="O32" s="2192"/>
      <c r="P32" s="2192"/>
      <c r="R32" s="548">
        <f>H30*I32*K30*M30*N30</f>
        <v>1.9610412128260402</v>
      </c>
      <c r="S32" s="548">
        <f>$V$13*I32</f>
        <v>1.9610412128260399</v>
      </c>
      <c r="T32" s="2375">
        <f t="shared" si="0"/>
        <v>1.0000000000000002</v>
      </c>
      <c r="U32" s="2375"/>
    </row>
    <row r="33" spans="2:21">
      <c r="B33" s="577" t="s">
        <v>604</v>
      </c>
      <c r="C33" s="23"/>
      <c r="D33" s="23"/>
      <c r="E33" s="23"/>
      <c r="F33" s="23" t="str">
        <f xml:space="preserve"> Commodities!$D$31</f>
        <v>TPMPL</v>
      </c>
      <c r="G33" s="23" t="s">
        <v>3603</v>
      </c>
      <c r="H33" s="2249"/>
      <c r="I33" s="2371">
        <f>L46</f>
        <v>8.7637695402902841E-3</v>
      </c>
      <c r="J33" s="2249">
        <f>J19</f>
        <v>5</v>
      </c>
      <c r="K33" s="2249"/>
      <c r="L33" s="2365">
        <f>L19</f>
        <v>1265.8227848101264</v>
      </c>
      <c r="M33" s="2365"/>
      <c r="N33" s="2249"/>
      <c r="O33" s="2365"/>
      <c r="P33" s="2365"/>
      <c r="R33" s="548">
        <f>H30*I33*K30*M30*N30</f>
        <v>0.25012207549179161</v>
      </c>
      <c r="S33" s="548">
        <f>$V$13*I33</f>
        <v>0.25012207549179161</v>
      </c>
      <c r="T33" s="2375">
        <f t="shared" si="0"/>
        <v>1</v>
      </c>
      <c r="U33" s="2375"/>
    </row>
    <row r="34" spans="2:21">
      <c r="B34" s="565"/>
      <c r="C34" s="2022"/>
      <c r="D34" s="2022"/>
      <c r="E34" s="2022"/>
      <c r="F34" s="2022"/>
      <c r="G34" s="2022"/>
      <c r="K34" s="2023"/>
    </row>
    <row r="35" spans="2:21" ht="14.4">
      <c r="B35" s="2024" t="s">
        <v>2310</v>
      </c>
      <c r="C35" s="2022" t="s">
        <v>386</v>
      </c>
      <c r="D35" s="2022"/>
      <c r="E35" s="2022"/>
      <c r="F35" s="2022"/>
      <c r="G35" s="2022"/>
      <c r="K35" s="2023"/>
      <c r="S35" s="548"/>
    </row>
    <row r="36" spans="2:21">
      <c r="B36" s="2022" t="s">
        <v>2311</v>
      </c>
      <c r="C36" s="2253">
        <f>0.91516*1000</f>
        <v>915.16</v>
      </c>
      <c r="D36" s="2251" t="s">
        <v>2578</v>
      </c>
      <c r="E36" s="2023"/>
      <c r="F36" s="2023"/>
      <c r="G36" s="2023"/>
    </row>
    <row r="37" spans="2:21">
      <c r="B37" s="2022" t="s">
        <v>2312</v>
      </c>
      <c r="C37" s="2252">
        <v>749.27454912295207</v>
      </c>
      <c r="D37" s="2023"/>
      <c r="E37" s="2023"/>
      <c r="F37" s="2023"/>
      <c r="G37" s="2023"/>
      <c r="H37" s="1028"/>
      <c r="K37" s="545"/>
      <c r="M37" s="2247"/>
    </row>
    <row r="38" spans="2:21">
      <c r="B38" s="2022"/>
      <c r="C38" s="2252"/>
      <c r="D38" s="2023"/>
      <c r="E38" s="2023"/>
      <c r="F38" s="2023"/>
      <c r="G38" s="2023"/>
      <c r="H38" s="1028"/>
      <c r="K38" s="545"/>
      <c r="M38" s="2247"/>
    </row>
    <row r="39" spans="2:21">
      <c r="B39" s="2022" t="s">
        <v>2314</v>
      </c>
      <c r="C39" s="2252">
        <f>'SE Bicycle - Walk'!L13</f>
        <v>126.21360127404598</v>
      </c>
      <c r="D39" s="2023"/>
      <c r="E39" s="2252"/>
      <c r="F39" s="2023"/>
      <c r="G39" s="2023"/>
      <c r="H39" s="2027"/>
      <c r="K39" s="545"/>
    </row>
    <row r="40" spans="2:21">
      <c r="B40" s="2022"/>
      <c r="C40" s="2252"/>
      <c r="D40" s="2023"/>
      <c r="E40" s="2023"/>
      <c r="F40" s="2023"/>
      <c r="G40" s="2023"/>
      <c r="K40" s="545"/>
    </row>
    <row r="41" spans="2:21">
      <c r="H41" s="389" t="s">
        <v>2306</v>
      </c>
      <c r="I41" s="2693" t="s">
        <v>2307</v>
      </c>
      <c r="J41" s="2692"/>
      <c r="K41" s="2697"/>
      <c r="L41" s="2692"/>
    </row>
    <row r="42" spans="2:21">
      <c r="H42" s="2692"/>
      <c r="I42" s="2694" t="s">
        <v>601</v>
      </c>
      <c r="J42" s="2694" t="s">
        <v>602</v>
      </c>
      <c r="K42" s="2694" t="s">
        <v>603</v>
      </c>
      <c r="L42" s="2694" t="s">
        <v>604</v>
      </c>
    </row>
    <row r="43" spans="2:21">
      <c r="B43" s="2022" t="s">
        <v>2315</v>
      </c>
      <c r="C43" s="921"/>
      <c r="D43" s="2022" t="s">
        <v>386</v>
      </c>
      <c r="E43" s="2022"/>
      <c r="F43" s="2022"/>
      <c r="G43" s="2022"/>
      <c r="H43" s="389" t="s">
        <v>2308</v>
      </c>
      <c r="I43" s="2021">
        <f>'SE Driving patterns'!C9</f>
        <v>0.19949722919973487</v>
      </c>
      <c r="J43" s="2021">
        <f>'SE Driving patterns'!C24</f>
        <v>0.19949722919973487</v>
      </c>
      <c r="K43" s="2699">
        <f>'SE Driving patterns'!C39</f>
        <v>0.19949722919973487</v>
      </c>
      <c r="L43" s="2699">
        <f>'SE Driving patterns'!C54</f>
        <v>0.19949722919973487</v>
      </c>
    </row>
    <row r="44" spans="2:21">
      <c r="B44" s="2022" t="s">
        <v>2316</v>
      </c>
      <c r="C44" s="2022" t="s">
        <v>601</v>
      </c>
      <c r="D44" s="2023">
        <v>7396</v>
      </c>
      <c r="E44" s="2023"/>
      <c r="F44" s="2023"/>
      <c r="G44" s="2023"/>
      <c r="H44" s="389" t="s">
        <v>399</v>
      </c>
      <c r="I44" s="2021">
        <f>'SE Driving patterns'!D9</f>
        <v>0.72302809993538231</v>
      </c>
      <c r="J44" s="2021">
        <f>'SE Driving patterns'!D24</f>
        <v>0.72302809993538231</v>
      </c>
      <c r="K44" s="2699">
        <f>'SE Driving patterns'!D39</f>
        <v>0.72302809993538231</v>
      </c>
      <c r="L44" s="2699">
        <f>'SE Driving patterns'!D54</f>
        <v>0.72302809993538231</v>
      </c>
    </row>
    <row r="45" spans="2:21">
      <c r="B45" s="921"/>
      <c r="C45" s="2022" t="s">
        <v>602</v>
      </c>
      <c r="D45" s="2023">
        <v>24538.799999999999</v>
      </c>
      <c r="E45" s="2023"/>
      <c r="F45" s="2023"/>
      <c r="G45" s="2023"/>
      <c r="H45" s="389" t="s">
        <v>2309</v>
      </c>
      <c r="I45" s="2021">
        <f>'SE Driving patterns'!E9</f>
        <v>6.8710901324592483E-2</v>
      </c>
      <c r="J45" s="2021">
        <f>'SE Driving patterns'!E24</f>
        <v>6.8710901324592483E-2</v>
      </c>
      <c r="K45" s="2699">
        <f>'SE Driving patterns'!E39</f>
        <v>6.8710901324592483E-2</v>
      </c>
      <c r="L45" s="2699">
        <f>'SE Driving patterns'!E54</f>
        <v>6.8710901324592483E-2</v>
      </c>
    </row>
    <row r="46" spans="2:21">
      <c r="B46" s="921"/>
      <c r="C46" s="2022" t="s">
        <v>603</v>
      </c>
      <c r="D46" s="2023">
        <v>183252.7</v>
      </c>
      <c r="E46" s="2023"/>
      <c r="F46" s="2023"/>
      <c r="G46" s="2023"/>
      <c r="H46" s="389" t="s">
        <v>397</v>
      </c>
      <c r="I46" s="2021">
        <f>'SE Driving patterns'!F9</f>
        <v>8.7637695402902841E-3</v>
      </c>
      <c r="J46" s="2021">
        <f>'SE Driving patterns'!F24</f>
        <v>8.7637695402902841E-3</v>
      </c>
      <c r="K46" s="2699">
        <f>'SE Driving patterns'!F39</f>
        <v>8.7637695402902841E-3</v>
      </c>
      <c r="L46" s="2699">
        <f>'SE Driving patterns'!F54</f>
        <v>8.7637695402902841E-3</v>
      </c>
    </row>
    <row r="47" spans="2:21">
      <c r="B47" s="921"/>
      <c r="C47" s="2022" t="s">
        <v>604</v>
      </c>
      <c r="D47" s="2023">
        <v>62557.5</v>
      </c>
      <c r="E47" s="2023"/>
      <c r="F47" s="2023"/>
      <c r="G47" s="2023"/>
      <c r="I47" s="2698">
        <f>SUM(I43:I46)</f>
        <v>0.99999999999999989</v>
      </c>
    </row>
    <row r="48" spans="2:21">
      <c r="B48" s="2022" t="s">
        <v>2317</v>
      </c>
      <c r="C48" s="2022" t="s">
        <v>601</v>
      </c>
      <c r="D48" s="2023">
        <v>2109.1999999999998</v>
      </c>
      <c r="E48" s="2023"/>
      <c r="F48" s="2023"/>
      <c r="G48" s="2023"/>
      <c r="H48" s="389" t="s">
        <v>2313</v>
      </c>
      <c r="I48" s="2695" t="s">
        <v>2307</v>
      </c>
      <c r="J48" s="2692"/>
      <c r="K48" s="2692"/>
      <c r="L48" s="2692"/>
    </row>
    <row r="49" spans="2:13">
      <c r="B49" s="921"/>
      <c r="C49" s="2022" t="s">
        <v>602</v>
      </c>
      <c r="D49" s="2023">
        <v>6326</v>
      </c>
      <c r="E49" s="2023"/>
      <c r="F49" s="2023"/>
      <c r="G49" s="2023"/>
      <c r="H49" s="2692"/>
      <c r="I49" s="2696" t="s">
        <v>601</v>
      </c>
      <c r="J49" s="2694" t="s">
        <v>602</v>
      </c>
      <c r="K49" s="2694" t="s">
        <v>603</v>
      </c>
      <c r="L49" s="2694" t="s">
        <v>604</v>
      </c>
    </row>
    <row r="50" spans="2:13">
      <c r="B50" s="921"/>
      <c r="C50" s="2022" t="s">
        <v>603</v>
      </c>
      <c r="D50" s="2023">
        <v>52196.100000000006</v>
      </c>
      <c r="E50" s="2023"/>
      <c r="F50" s="2023"/>
      <c r="G50" s="2023"/>
      <c r="H50" s="389" t="s">
        <v>399</v>
      </c>
      <c r="I50" s="2025">
        <f>'SE Driving patterns'!D8</f>
        <v>0.15556441042742924</v>
      </c>
      <c r="J50" s="2025">
        <f>'SE Driving patterns'!D23</f>
        <v>0.15556441042742924</v>
      </c>
      <c r="K50" s="2699">
        <f>'SE Driving patterns'!D38</f>
        <v>0.15556441042742924</v>
      </c>
      <c r="L50" s="2699">
        <f>'SE Driving patterns'!D68</f>
        <v>0.15556441042742924</v>
      </c>
    </row>
    <row r="51" spans="2:13">
      <c r="C51" s="2022" t="s">
        <v>604</v>
      </c>
      <c r="D51" s="2023">
        <v>17716.7</v>
      </c>
      <c r="E51" s="2023"/>
      <c r="F51" s="2023"/>
      <c r="G51" s="2023"/>
      <c r="H51" s="389" t="s">
        <v>2309</v>
      </c>
      <c r="I51" s="2025">
        <f>'SE Driving patterns'!E8</f>
        <v>0.25524775897812579</v>
      </c>
      <c r="J51" s="2025">
        <f>'SE Driving patterns'!E23</f>
        <v>0.25524775897812579</v>
      </c>
      <c r="K51" s="2699">
        <f>'SE Driving patterns'!E38</f>
        <v>0.25524775897812579</v>
      </c>
      <c r="L51" s="2699">
        <f>'SE Driving patterns'!E68</f>
        <v>0.25524775897812579</v>
      </c>
    </row>
    <row r="52" spans="2:13">
      <c r="B52" s="921"/>
      <c r="C52" s="2022"/>
      <c r="D52" s="2023"/>
      <c r="E52" s="2023"/>
      <c r="F52" s="2023"/>
      <c r="G52" s="2023"/>
      <c r="H52" s="389" t="s">
        <v>397</v>
      </c>
      <c r="I52" s="2025">
        <f>'SE Driving patterns'!F8</f>
        <v>0.58918783059444491</v>
      </c>
      <c r="J52" s="2025">
        <f>'SE Driving patterns'!F23</f>
        <v>0.58918783059444491</v>
      </c>
      <c r="K52" s="2699">
        <f>'SE Driving patterns'!F38</f>
        <v>0.58918783059444491</v>
      </c>
      <c r="L52" s="2699">
        <f>'SE Driving patterns'!F68</f>
        <v>0.58918783059444491</v>
      </c>
      <c r="M52" s="2023"/>
    </row>
    <row r="53" spans="2:13">
      <c r="B53" s="921"/>
      <c r="C53" s="2022"/>
      <c r="D53" s="2023"/>
      <c r="E53" s="2023"/>
      <c r="F53" s="2023"/>
      <c r="G53" s="2023"/>
      <c r="H53" s="543"/>
      <c r="I53" s="103">
        <f>SUM(I50:I52)</f>
        <v>1</v>
      </c>
      <c r="J53" s="103">
        <f>SUM(J50:J52)</f>
        <v>1</v>
      </c>
      <c r="K53" s="103">
        <f>SUM(K50:K52)</f>
        <v>1</v>
      </c>
      <c r="L53" s="103">
        <f>SUM(L50:L52)</f>
        <v>1</v>
      </c>
    </row>
    <row r="54" spans="2:13">
      <c r="B54" s="921"/>
      <c r="C54" s="2022"/>
      <c r="D54" s="2023"/>
      <c r="E54" s="2023"/>
      <c r="F54" s="2023"/>
      <c r="G54" s="2023"/>
      <c r="I54" s="545"/>
      <c r="J54" s="545"/>
      <c r="K54" s="2023"/>
    </row>
    <row r="55" spans="2:13">
      <c r="B55" s="921"/>
      <c r="C55" s="2022"/>
      <c r="D55" s="2023"/>
      <c r="E55" s="2023"/>
      <c r="F55" s="2023"/>
      <c r="G55" s="2023"/>
      <c r="K55" s="2023"/>
    </row>
    <row r="56" spans="2:13">
      <c r="B56" s="921"/>
      <c r="C56" s="2022"/>
      <c r="D56" s="2023"/>
      <c r="E56" s="2023"/>
      <c r="F56" s="2023"/>
      <c r="G56" s="2023"/>
      <c r="K56" s="2023"/>
    </row>
    <row r="57" spans="2:13">
      <c r="B57" s="921"/>
      <c r="C57" s="2022"/>
      <c r="D57" s="2023"/>
      <c r="E57" s="2023"/>
      <c r="F57" s="2023"/>
      <c r="G57" s="2023"/>
      <c r="K57" s="2023"/>
    </row>
    <row r="60" spans="2:13" ht="14.4">
      <c r="B60" s="290" t="s">
        <v>50</v>
      </c>
      <c r="C60" s="291"/>
      <c r="D60" s="292">
        <v>2010</v>
      </c>
      <c r="E60" s="292">
        <v>2011</v>
      </c>
      <c r="F60" s="292">
        <v>2012</v>
      </c>
      <c r="G60" s="2560"/>
    </row>
    <row r="61" spans="2:13" ht="14.4">
      <c r="B61" s="295" t="s">
        <v>334</v>
      </c>
      <c r="C61" s="296"/>
      <c r="D61" s="297">
        <v>190</v>
      </c>
      <c r="E61" s="297">
        <v>195</v>
      </c>
      <c r="F61" s="297">
        <v>197</v>
      </c>
      <c r="G61" s="2561"/>
      <c r="H61" s="2023"/>
      <c r="I61" s="2023"/>
      <c r="J61" s="2023"/>
    </row>
    <row r="62" spans="2:13" ht="14.4">
      <c r="B62" s="293"/>
      <c r="C62" s="289" t="s">
        <v>326</v>
      </c>
      <c r="D62" s="294">
        <v>187</v>
      </c>
      <c r="E62" s="294">
        <v>189</v>
      </c>
      <c r="F62" s="294">
        <v>190</v>
      </c>
      <c r="G62" s="2562"/>
      <c r="H62" s="2023"/>
      <c r="I62" s="2023"/>
      <c r="J62" s="2023"/>
    </row>
    <row r="63" spans="2:13" ht="14.4">
      <c r="B63" s="293"/>
      <c r="C63" s="289" t="s">
        <v>330</v>
      </c>
      <c r="D63" s="294">
        <v>3</v>
      </c>
      <c r="E63" s="294">
        <v>6</v>
      </c>
      <c r="F63" s="294">
        <v>6</v>
      </c>
      <c r="G63" s="2562"/>
      <c r="H63" s="2023"/>
      <c r="I63" s="2023"/>
      <c r="J63" s="2023"/>
    </row>
    <row r="64" spans="2:13" ht="14.4">
      <c r="B64" s="295" t="s">
        <v>335</v>
      </c>
      <c r="C64" s="296"/>
      <c r="D64" s="297">
        <v>616</v>
      </c>
      <c r="E64" s="297">
        <v>597</v>
      </c>
      <c r="F64" s="297">
        <v>596</v>
      </c>
      <c r="G64" s="2561"/>
      <c r="H64" s="2023"/>
      <c r="I64" s="2023"/>
      <c r="J64" s="2023"/>
    </row>
    <row r="65" spans="2:10" ht="14.4">
      <c r="B65" s="293"/>
      <c r="C65" s="289" t="s">
        <v>326</v>
      </c>
      <c r="D65" s="294">
        <v>606</v>
      </c>
      <c r="E65" s="294">
        <v>578</v>
      </c>
      <c r="F65" s="294">
        <v>576</v>
      </c>
      <c r="G65" s="2562"/>
      <c r="H65" s="2023"/>
      <c r="I65" s="2023"/>
      <c r="J65" s="2023"/>
    </row>
    <row r="66" spans="2:10" ht="14.4">
      <c r="B66" s="293"/>
      <c r="C66" s="289" t="s">
        <v>330</v>
      </c>
      <c r="D66" s="294">
        <v>10</v>
      </c>
      <c r="E66" s="294">
        <v>20</v>
      </c>
      <c r="F66" s="294">
        <v>19</v>
      </c>
      <c r="G66" s="2562"/>
      <c r="H66" s="2023"/>
      <c r="I66" s="2023"/>
      <c r="J66" s="2023"/>
    </row>
    <row r="67" spans="2:10">
      <c r="H67" s="2023"/>
      <c r="I67" s="2023"/>
      <c r="J67" s="2023"/>
    </row>
    <row r="68" spans="2:10">
      <c r="H68" s="2023"/>
      <c r="I68" s="2023"/>
      <c r="J68" s="2023"/>
    </row>
    <row r="69" spans="2:10">
      <c r="B69" s="754" t="s">
        <v>2318</v>
      </c>
    </row>
    <row r="70" spans="2:10">
      <c r="B70" s="754" t="s">
        <v>2319</v>
      </c>
    </row>
    <row r="72" spans="2:10">
      <c r="C72" s="754" t="s">
        <v>2320</v>
      </c>
      <c r="D72" s="754" t="s">
        <v>2321</v>
      </c>
      <c r="E72" s="754" t="s">
        <v>2322</v>
      </c>
    </row>
    <row r="73" spans="2:10">
      <c r="B73" s="754" t="s">
        <v>2323</v>
      </c>
      <c r="C73" s="754">
        <v>0.79</v>
      </c>
      <c r="D73" s="754">
        <v>0.79</v>
      </c>
    </row>
    <row r="74" spans="2:10">
      <c r="B74" s="754" t="s">
        <v>2324</v>
      </c>
      <c r="C74" s="784">
        <f>1/C73*10^3</f>
        <v>1265.8227848101264</v>
      </c>
      <c r="D74" s="784">
        <f>1/D73*10^3</f>
        <v>1265.8227848101264</v>
      </c>
    </row>
    <row r="76" spans="2:10">
      <c r="B76" s="754" t="s">
        <v>2325</v>
      </c>
      <c r="C76" s="754">
        <v>1.3120000000000001</v>
      </c>
      <c r="D76" s="754">
        <v>1.2789999999999999</v>
      </c>
      <c r="E76" s="754">
        <v>1.56</v>
      </c>
    </row>
    <row r="77" spans="2:10">
      <c r="B77" s="754" t="s">
        <v>2326</v>
      </c>
      <c r="C77" s="784">
        <f>1/C76*10^3</f>
        <v>762.19512195121956</v>
      </c>
      <c r="D77" s="784">
        <f>1/D76*10^3</f>
        <v>781.8608287724785</v>
      </c>
      <c r="E77" s="784">
        <f>1/E76*10^3</f>
        <v>641.02564102564099</v>
      </c>
      <c r="H77" s="12"/>
    </row>
    <row r="78" spans="2:10">
      <c r="B78" s="754" t="s">
        <v>2327</v>
      </c>
      <c r="D78" s="2026">
        <f>C77*I50+D77*I51+E77*I52</f>
        <v>695.82316594527015</v>
      </c>
      <c r="H78" s="12"/>
    </row>
    <row r="79" spans="2:10">
      <c r="H79" s="12"/>
    </row>
    <row r="81" spans="2:4">
      <c r="B81" s="754" t="s">
        <v>2328</v>
      </c>
    </row>
    <row r="82" spans="2:4">
      <c r="B82" s="754" t="s">
        <v>2313</v>
      </c>
      <c r="C82" s="548">
        <f>D44/1000000*M6/(D64/1000)</f>
        <v>32.389998050822058</v>
      </c>
      <c r="D82" s="754" t="s">
        <v>2329</v>
      </c>
    </row>
    <row r="83" spans="2:4">
      <c r="B83" s="754" t="s">
        <v>2306</v>
      </c>
      <c r="C83" s="548">
        <f>D51/1000000*M9/(D61/1000)</f>
        <v>122.98479618421067</v>
      </c>
      <c r="D83" s="754" t="s">
        <v>2329</v>
      </c>
    </row>
  </sheetData>
  <pageMargins left="0.7" right="0.7" top="0.75" bottom="0.75" header="0.3" footer="0.3"/>
  <legacyDrawing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tabColor rgb="FF92D050"/>
  </sheetPr>
  <dimension ref="B4:AF34"/>
  <sheetViews>
    <sheetView zoomScaleNormal="100" workbookViewId="0">
      <selection activeCell="F17" sqref="F17"/>
    </sheetView>
  </sheetViews>
  <sheetFormatPr defaultColWidth="8.88671875" defaultRowHeight="13.2"/>
  <cols>
    <col min="1" max="2" width="8.88671875" style="754"/>
    <col min="3" max="3" width="15.33203125" style="754" customWidth="1"/>
    <col min="4" max="4" width="33.33203125" style="754" bestFit="1" customWidth="1"/>
    <col min="5" max="5" width="11.109375" style="754" bestFit="1" customWidth="1"/>
    <col min="6" max="7" width="8.88671875" style="754"/>
    <col min="8" max="8" width="7.6640625" style="754" customWidth="1"/>
    <col min="9" max="9" width="15.88671875" style="754" customWidth="1"/>
    <col min="10" max="10" width="15.33203125" style="754" bestFit="1" customWidth="1"/>
    <col min="11" max="11" width="12.6640625" style="754" customWidth="1"/>
    <col min="12" max="12" width="7.44140625" style="754" bestFit="1" customWidth="1"/>
    <col min="13" max="13" width="8.6640625" style="754" bestFit="1" customWidth="1"/>
    <col min="14" max="14" width="4.6640625" style="754" customWidth="1"/>
    <col min="15" max="15" width="11.5546875" style="754" bestFit="1" customWidth="1"/>
    <col min="16" max="16" width="12.109375" style="754" customWidth="1"/>
    <col min="17" max="17" width="8.88671875" style="754"/>
    <col min="18" max="18" width="12.33203125" style="754" customWidth="1"/>
    <col min="19" max="16384" width="8.88671875" style="754"/>
  </cols>
  <sheetData>
    <row r="4" spans="2:32">
      <c r="B4" s="545"/>
      <c r="E4" s="2016"/>
      <c r="G4" s="7" t="s">
        <v>8</v>
      </c>
      <c r="H4" s="7"/>
      <c r="I4" s="7"/>
      <c r="J4" s="7"/>
      <c r="K4" s="4"/>
      <c r="L4" s="4"/>
      <c r="M4" s="5"/>
    </row>
    <row r="5" spans="2:32" ht="27.6">
      <c r="B5" s="16" t="s">
        <v>1</v>
      </c>
      <c r="C5" s="16" t="s">
        <v>2</v>
      </c>
      <c r="D5" s="16" t="s">
        <v>26</v>
      </c>
      <c r="E5" s="16" t="s">
        <v>14</v>
      </c>
      <c r="F5" s="16" t="s">
        <v>15</v>
      </c>
      <c r="G5" s="2559" t="s">
        <v>2767</v>
      </c>
      <c r="H5" s="28" t="s">
        <v>188</v>
      </c>
      <c r="I5" s="67" t="s">
        <v>200</v>
      </c>
      <c r="J5" s="2034" t="s">
        <v>2288</v>
      </c>
      <c r="K5" s="2034" t="s">
        <v>2297</v>
      </c>
      <c r="L5" s="16" t="s">
        <v>533</v>
      </c>
      <c r="M5" s="29" t="s">
        <v>16</v>
      </c>
      <c r="N5" s="29" t="s">
        <v>53</v>
      </c>
      <c r="O5" s="65" t="s">
        <v>2294</v>
      </c>
      <c r="P5" s="65" t="s">
        <v>0</v>
      </c>
      <c r="R5" s="65" t="s">
        <v>540</v>
      </c>
      <c r="T5" s="65" t="s">
        <v>2299</v>
      </c>
      <c r="U5" s="11" t="s">
        <v>2497</v>
      </c>
    </row>
    <row r="6" spans="2:32" ht="21" thickBot="1">
      <c r="B6" s="15" t="s">
        <v>27</v>
      </c>
      <c r="C6" s="15"/>
      <c r="D6" s="15"/>
      <c r="E6" s="15"/>
      <c r="F6" s="15"/>
      <c r="G6" s="15"/>
      <c r="H6" s="15" t="s">
        <v>153</v>
      </c>
      <c r="I6" s="15" t="s">
        <v>2300</v>
      </c>
      <c r="J6" s="15" t="s">
        <v>2330</v>
      </c>
      <c r="K6" s="15" t="s">
        <v>2331</v>
      </c>
      <c r="L6" s="15" t="s">
        <v>84</v>
      </c>
      <c r="M6" s="15" t="s">
        <v>394</v>
      </c>
      <c r="N6" s="15" t="s">
        <v>2333</v>
      </c>
      <c r="O6" s="15" t="s">
        <v>2295</v>
      </c>
      <c r="P6" s="15"/>
      <c r="R6" s="15"/>
    </row>
    <row r="7" spans="2:32">
      <c r="B7" s="2098" t="s">
        <v>601</v>
      </c>
      <c r="C7" s="69" t="str">
        <f>Processes!$D$28</f>
        <v>TPWALKXX1E</v>
      </c>
      <c r="D7" s="69" t="str">
        <f>Processes!$E$28</f>
        <v>Transport Passengers - Walk - Existing</v>
      </c>
      <c r="E7" s="2389"/>
      <c r="F7" s="1118" t="str">
        <f>Commodities!$D$40</f>
        <v>TPWAX</v>
      </c>
      <c r="G7" s="543" t="s">
        <v>3603</v>
      </c>
      <c r="H7" s="2390">
        <f>F26*10^6/(L7*I7)/1000</f>
        <v>300.46620000000001</v>
      </c>
      <c r="I7" s="1118">
        <v>1</v>
      </c>
      <c r="J7" s="2704">
        <f>I26</f>
        <v>0.58729416117152888</v>
      </c>
      <c r="K7" s="1118">
        <v>5</v>
      </c>
      <c r="L7" s="2390">
        <f>'SE Bicycle - Walk'!N11</f>
        <v>343.19010077382592</v>
      </c>
      <c r="M7" s="2391"/>
      <c r="N7" s="1118">
        <v>50</v>
      </c>
      <c r="O7" s="1118">
        <f>BIKE!P7/2</f>
        <v>5.0000000000000004E-6</v>
      </c>
      <c r="P7" s="1118">
        <v>1E-3</v>
      </c>
      <c r="Q7" s="38"/>
      <c r="R7" s="2320">
        <f>H7*I7*J7*L7*P7</f>
        <v>60.560026968347501</v>
      </c>
      <c r="T7" s="2433">
        <f>'SE Bicycle - Walk'!S23</f>
        <v>60.560026968347493</v>
      </c>
      <c r="U7" s="250">
        <f>R7/T7</f>
        <v>1.0000000000000002</v>
      </c>
      <c r="W7" s="12"/>
    </row>
    <row r="8" spans="2:32" ht="13.8" thickBot="1">
      <c r="B8" s="577" t="s">
        <v>601</v>
      </c>
      <c r="C8" s="23"/>
      <c r="D8" s="23"/>
      <c r="E8" s="23"/>
      <c r="F8" s="734" t="str">
        <f>Commodities!$D$41</f>
        <v>TPWAS</v>
      </c>
      <c r="G8" s="734" t="s">
        <v>3603</v>
      </c>
      <c r="H8" s="734"/>
      <c r="I8" s="734"/>
      <c r="J8" s="1556">
        <f>J26</f>
        <v>0.41270583882847112</v>
      </c>
      <c r="K8" s="734">
        <v>5</v>
      </c>
      <c r="L8" s="734"/>
      <c r="M8" s="2358"/>
      <c r="N8" s="734"/>
      <c r="O8" s="734"/>
      <c r="P8" s="734"/>
      <c r="Q8" s="38"/>
      <c r="R8" s="2320">
        <f>H7*I7*J8*L7*P7</f>
        <v>42.556998488781041</v>
      </c>
      <c r="T8" s="2433">
        <f>'SE Bicycle - Walk'!S24</f>
        <v>42.556998488781041</v>
      </c>
      <c r="U8" s="250">
        <f t="shared" ref="U8:U14" si="0">R8/T8</f>
        <v>1</v>
      </c>
      <c r="W8" s="12"/>
    </row>
    <row r="9" spans="2:32">
      <c r="B9" s="2020" t="s">
        <v>602</v>
      </c>
      <c r="C9" s="30" t="str">
        <f>Processes!$D$28</f>
        <v>TPWALKXX1E</v>
      </c>
      <c r="D9" s="30" t="str">
        <f>D7</f>
        <v>Transport Passengers - Walk - Existing</v>
      </c>
      <c r="E9" s="2392"/>
      <c r="F9" s="725" t="str">
        <f>Commodities!$D$40</f>
        <v>TPWAX</v>
      </c>
      <c r="G9" s="467" t="s">
        <v>3603</v>
      </c>
      <c r="H9" s="2013">
        <f>F27*10^6/(L9*I9)/1000</f>
        <v>742.64960000000019</v>
      </c>
      <c r="I9" s="725">
        <v>1</v>
      </c>
      <c r="J9" s="2705">
        <f>I27</f>
        <v>0.62127540622270594</v>
      </c>
      <c r="K9" s="725">
        <v>5</v>
      </c>
      <c r="L9" s="2013">
        <f>'SE Bicycle - Walk'!N11</f>
        <v>343.19010077382592</v>
      </c>
      <c r="M9" s="2393"/>
      <c r="N9" s="725">
        <v>50</v>
      </c>
      <c r="O9" s="3017">
        <f>O7</f>
        <v>5.0000000000000004E-6</v>
      </c>
      <c r="P9" s="725">
        <v>1E-3</v>
      </c>
      <c r="Q9" s="38"/>
      <c r="R9" s="2320">
        <f>H9*I9*J9*L9*P9</f>
        <v>158.34445723204135</v>
      </c>
      <c r="T9" s="2433">
        <f>'SE Bicycle - Walk'!S26</f>
        <v>158.34445723204135</v>
      </c>
      <c r="U9" s="250">
        <f t="shared" si="0"/>
        <v>1</v>
      </c>
      <c r="W9" s="12"/>
    </row>
    <row r="10" spans="2:32">
      <c r="B10" s="577" t="s">
        <v>602</v>
      </c>
      <c r="C10" s="23"/>
      <c r="D10" s="23"/>
      <c r="E10" s="23"/>
      <c r="F10" s="734" t="str">
        <f>Commodities!$D$41</f>
        <v>TPWAS</v>
      </c>
      <c r="G10" s="734" t="s">
        <v>3603</v>
      </c>
      <c r="H10" s="734"/>
      <c r="I10" s="734"/>
      <c r="J10" s="1556">
        <f>J27</f>
        <v>0.37872459377729412</v>
      </c>
      <c r="K10" s="734">
        <v>5</v>
      </c>
      <c r="L10" s="734"/>
      <c r="M10" s="2358"/>
      <c r="N10" s="734"/>
      <c r="O10" s="734"/>
      <c r="P10" s="734"/>
      <c r="Q10" s="38"/>
      <c r="R10" s="2320">
        <f>H9*I9*J10*L9*P9</f>
        <v>96.525533831600242</v>
      </c>
      <c r="T10" s="2433">
        <f>'SE Bicycle - Walk'!S27</f>
        <v>96.525533831600242</v>
      </c>
      <c r="U10" s="250">
        <f t="shared" si="0"/>
        <v>1</v>
      </c>
      <c r="W10" s="12"/>
      <c r="Z10" s="754" t="s">
        <v>2257</v>
      </c>
      <c r="AA10" s="754" t="s">
        <v>2258</v>
      </c>
      <c r="AB10" s="754" t="s">
        <v>79</v>
      </c>
    </row>
    <row r="11" spans="2:32">
      <c r="B11" s="2020" t="s">
        <v>603</v>
      </c>
      <c r="C11" s="30" t="str">
        <f>Processes!$D$28</f>
        <v>TPWALKXX1E</v>
      </c>
      <c r="D11" s="30" t="str">
        <f>Processes!$E$28</f>
        <v>Transport Passengers - Walk - Existing</v>
      </c>
      <c r="E11" s="2392"/>
      <c r="F11" s="725" t="str">
        <f>Commodities!$D$40</f>
        <v>TPWAX</v>
      </c>
      <c r="G11" s="467" t="s">
        <v>3603</v>
      </c>
      <c r="H11" s="2013">
        <f>F28*10^6/(L11*I11)/1000</f>
        <v>6436.6964000000007</v>
      </c>
      <c r="I11" s="725">
        <v>1</v>
      </c>
      <c r="J11" s="2705">
        <f>I28</f>
        <v>0.67479483015296249</v>
      </c>
      <c r="K11" s="725">
        <v>5</v>
      </c>
      <c r="L11" s="2013">
        <f>'SE Bicycle - Walk'!N11</f>
        <v>343.19010077382592</v>
      </c>
      <c r="M11" s="2393"/>
      <c r="N11" s="725">
        <v>50</v>
      </c>
      <c r="O11" s="3018">
        <f>O9</f>
        <v>5.0000000000000004E-6</v>
      </c>
      <c r="P11" s="725">
        <v>1E-3</v>
      </c>
      <c r="Q11" s="38"/>
      <c r="R11" s="2320">
        <f>H11*I11*J11*L11*P11</f>
        <v>1490.6288558188517</v>
      </c>
      <c r="T11" s="2433">
        <f>'SE Bicycle - Walk'!S29</f>
        <v>1490.6288558188517</v>
      </c>
      <c r="U11" s="250">
        <f t="shared" si="0"/>
        <v>1</v>
      </c>
      <c r="W11" s="12"/>
      <c r="Z11" s="754" t="s">
        <v>2259</v>
      </c>
      <c r="AA11" s="754" t="s">
        <v>2260</v>
      </c>
      <c r="AB11" s="754" t="s">
        <v>79</v>
      </c>
    </row>
    <row r="12" spans="2:32">
      <c r="B12" s="577" t="s">
        <v>603</v>
      </c>
      <c r="C12" s="23"/>
      <c r="D12" s="23"/>
      <c r="E12" s="23"/>
      <c r="F12" s="734" t="str">
        <f>Commodities!$D$41</f>
        <v>TPWAS</v>
      </c>
      <c r="G12" s="734" t="s">
        <v>3603</v>
      </c>
      <c r="H12" s="734"/>
      <c r="I12" s="734"/>
      <c r="J12" s="1556">
        <f>J28</f>
        <v>0.32520516984703751</v>
      </c>
      <c r="K12" s="734">
        <v>5</v>
      </c>
      <c r="L12" s="734"/>
      <c r="M12" s="2358"/>
      <c r="N12" s="734"/>
      <c r="O12" s="734"/>
      <c r="P12" s="734"/>
      <c r="Q12" s="38"/>
      <c r="R12" s="2320">
        <f>H11*I11*J12*L11*P11</f>
        <v>718.38163034767092</v>
      </c>
      <c r="T12" s="2433">
        <f>'SE Bicycle - Walk'!S30</f>
        <v>718.38163034767092</v>
      </c>
      <c r="U12" s="250">
        <f t="shared" si="0"/>
        <v>1</v>
      </c>
      <c r="W12" s="12"/>
      <c r="AF12" s="784"/>
    </row>
    <row r="13" spans="2:32">
      <c r="B13" s="2020" t="s">
        <v>604</v>
      </c>
      <c r="C13" s="30" t="str">
        <f>Processes!$D$28</f>
        <v>TPWALKXX1E</v>
      </c>
      <c r="D13" s="30" t="str">
        <f>D11</f>
        <v>Transport Passengers - Walk - Existing</v>
      </c>
      <c r="E13" s="2392"/>
      <c r="F13" s="725" t="str">
        <f>Commodities!$D$40</f>
        <v>TPWAX</v>
      </c>
      <c r="G13" s="467" t="s">
        <v>3603</v>
      </c>
      <c r="H13" s="2013">
        <f>F29*10^6/(L13*I13)/1000</f>
        <v>1935.7577999999999</v>
      </c>
      <c r="I13" s="725">
        <v>1</v>
      </c>
      <c r="J13" s="2705">
        <f>I29</f>
        <v>0.66024360362895063</v>
      </c>
      <c r="K13" s="725">
        <v>5</v>
      </c>
      <c r="L13" s="2013">
        <f>'SE Bicycle - Walk'!N11</f>
        <v>343.19010077382592</v>
      </c>
      <c r="M13" s="2393"/>
      <c r="N13" s="725">
        <v>50</v>
      </c>
      <c r="O13" s="3018">
        <f>O11</f>
        <v>5.0000000000000004E-6</v>
      </c>
      <c r="P13" s="725">
        <v>1E-3</v>
      </c>
      <c r="Q13" s="38"/>
      <c r="R13" s="2320">
        <f>H13*I13*J13*L13*P13</f>
        <v>438.6215574495676</v>
      </c>
      <c r="T13" s="2433">
        <f>'SE Bicycle - Walk'!S32</f>
        <v>438.62155744956766</v>
      </c>
      <c r="U13" s="250">
        <f t="shared" si="0"/>
        <v>0.99999999999999989</v>
      </c>
      <c r="W13" s="12"/>
    </row>
    <row r="14" spans="2:32">
      <c r="B14" s="577" t="s">
        <v>604</v>
      </c>
      <c r="C14" s="23"/>
      <c r="D14" s="23"/>
      <c r="E14" s="23"/>
      <c r="F14" s="734" t="str">
        <f>Commodities!$D$41</f>
        <v>TPWAS</v>
      </c>
      <c r="G14" s="734" t="s">
        <v>3603</v>
      </c>
      <c r="H14" s="2358"/>
      <c r="I14" s="734"/>
      <c r="J14" s="1556">
        <f>J29</f>
        <v>0.33975639637104932</v>
      </c>
      <c r="K14" s="734">
        <v>5</v>
      </c>
      <c r="L14" s="2358"/>
      <c r="M14" s="2358"/>
      <c r="N14" s="734"/>
      <c r="O14" s="734"/>
      <c r="P14" s="734"/>
      <c r="Q14" s="38"/>
      <c r="R14" s="2320">
        <f>H13*I13*J14*L13*P13</f>
        <v>225.71135700615184</v>
      </c>
      <c r="T14" s="2433">
        <f>'SE Bicycle - Walk'!S33</f>
        <v>225.71135700615184</v>
      </c>
      <c r="U14" s="250">
        <f t="shared" si="0"/>
        <v>1</v>
      </c>
      <c r="W14" s="12"/>
    </row>
    <row r="15" spans="2:32">
      <c r="U15" s="250"/>
    </row>
    <row r="16" spans="2:32">
      <c r="R16" s="548">
        <f>SUM(R7:R14)</f>
        <v>3231.3304171430123</v>
      </c>
      <c r="S16" s="548"/>
      <c r="T16" s="548">
        <f>SUM(T7:T14)</f>
        <v>3231.3304171430123</v>
      </c>
      <c r="U16" s="250">
        <f>R16/T16</f>
        <v>1</v>
      </c>
    </row>
    <row r="17" spans="5:13">
      <c r="H17" s="12"/>
    </row>
    <row r="19" spans="5:13">
      <c r="H19" s="784">
        <f>SUM(H7:H13)</f>
        <v>9415.5700000000015</v>
      </c>
    </row>
    <row r="24" spans="5:13">
      <c r="E24" s="193"/>
      <c r="F24" s="30"/>
      <c r="G24" s="2549"/>
      <c r="H24" s="315"/>
      <c r="I24" s="2700"/>
      <c r="J24" s="2549"/>
      <c r="K24" s="2549"/>
      <c r="L24" s="2549"/>
      <c r="M24" s="2457"/>
    </row>
    <row r="25" spans="5:13">
      <c r="E25" s="22"/>
      <c r="F25" s="5" t="s">
        <v>2299</v>
      </c>
      <c r="G25" s="5"/>
      <c r="H25" s="2426"/>
      <c r="I25" s="22" t="str">
        <f>'SE Driving patterns'!C21</f>
        <v>X short</v>
      </c>
      <c r="J25" s="543" t="str">
        <f>'SE Driving patterns'!D21</f>
        <v>Short</v>
      </c>
      <c r="K25" s="543" t="str">
        <f>'SE Driving patterns'!E21</f>
        <v>Medium</v>
      </c>
      <c r="L25" s="543" t="str">
        <f>'SE Driving patterns'!F21</f>
        <v>Long</v>
      </c>
      <c r="M25" s="35"/>
    </row>
    <row r="26" spans="5:13">
      <c r="E26" s="2008" t="s">
        <v>601</v>
      </c>
      <c r="F26" s="73">
        <f>T7+T8</f>
        <v>103.11702545712853</v>
      </c>
      <c r="G26" s="73"/>
      <c r="H26" s="316"/>
      <c r="I26" s="2701">
        <f>'SE Driving patterns'!C11</f>
        <v>0.58729416117152888</v>
      </c>
      <c r="J26" s="272">
        <f>'SE Driving patterns'!D11</f>
        <v>0.41270583882847112</v>
      </c>
      <c r="K26" s="543" t="str">
        <f>'SE Driving patterns'!E11</f>
        <v>n/a</v>
      </c>
      <c r="L26" s="543" t="str">
        <f>'SE Driving patterns'!F11</f>
        <v>n/a</v>
      </c>
      <c r="M26" s="35"/>
    </row>
    <row r="27" spans="5:13">
      <c r="E27" s="2008" t="s">
        <v>602</v>
      </c>
      <c r="F27" s="317">
        <f>T9+T10</f>
        <v>254.86999106364158</v>
      </c>
      <c r="G27" s="317"/>
      <c r="H27" s="35"/>
      <c r="I27" s="2701">
        <f>'SE Driving patterns'!C26</f>
        <v>0.62127540622270594</v>
      </c>
      <c r="J27" s="272">
        <f>'SE Driving patterns'!D26</f>
        <v>0.37872459377729412</v>
      </c>
      <c r="K27" s="543" t="str">
        <f>'SE Driving patterns'!E26</f>
        <v>n/a</v>
      </c>
      <c r="L27" s="543" t="str">
        <f>'SE Driving patterns'!F26</f>
        <v>n/a</v>
      </c>
      <c r="M27" s="35"/>
    </row>
    <row r="28" spans="5:13">
      <c r="E28" s="2008" t="s">
        <v>603</v>
      </c>
      <c r="F28" s="317">
        <f>T11+T12</f>
        <v>2209.0104861665227</v>
      </c>
      <c r="G28" s="317"/>
      <c r="H28" s="35"/>
      <c r="I28" s="2701">
        <f>'SE Driving patterns'!C41</f>
        <v>0.67479483015296249</v>
      </c>
      <c r="J28" s="272">
        <f>'SE Driving patterns'!D41</f>
        <v>0.32520516984703751</v>
      </c>
      <c r="K28" s="543" t="str">
        <f>'SE Driving patterns'!E41</f>
        <v>n/a</v>
      </c>
      <c r="L28" s="543" t="str">
        <f>'SE Driving patterns'!F41</f>
        <v>n/a</v>
      </c>
      <c r="M28" s="35"/>
    </row>
    <row r="29" spans="5:13">
      <c r="E29" s="2008" t="s">
        <v>604</v>
      </c>
      <c r="F29" s="317">
        <f>T13+T14</f>
        <v>664.33291445571945</v>
      </c>
      <c r="G29" s="317"/>
      <c r="H29" s="35"/>
      <c r="I29" s="2701">
        <f>'SE Driving patterns'!C56</f>
        <v>0.66024360362895063</v>
      </c>
      <c r="J29" s="272">
        <f>'SE Driving patterns'!D56</f>
        <v>0.33975639637104932</v>
      </c>
      <c r="K29" s="543" t="str">
        <f>'SE Driving patterns'!E56</f>
        <v>n/a</v>
      </c>
      <c r="L29" s="543" t="str">
        <f>'SE Driving patterns'!F56</f>
        <v>n/a</v>
      </c>
      <c r="M29" s="35"/>
    </row>
    <row r="30" spans="5:13">
      <c r="E30" s="22"/>
      <c r="F30" s="317"/>
      <c r="G30" s="317"/>
      <c r="H30" s="35"/>
      <c r="I30" s="22"/>
      <c r="J30" s="543"/>
      <c r="K30" s="543"/>
      <c r="L30" s="543"/>
      <c r="M30" s="35"/>
    </row>
    <row r="31" spans="5:13">
      <c r="E31" s="22"/>
      <c r="F31" s="317">
        <f>SUM(F26:F29)</f>
        <v>3231.3304171430118</v>
      </c>
      <c r="G31" s="317"/>
      <c r="H31" s="35"/>
      <c r="I31" s="22"/>
      <c r="J31" s="543"/>
      <c r="K31" s="543"/>
      <c r="L31" s="543"/>
      <c r="M31" s="35"/>
    </row>
    <row r="32" spans="5:13">
      <c r="E32" s="461"/>
      <c r="F32" s="23"/>
      <c r="G32" s="23"/>
      <c r="H32" s="426"/>
      <c r="I32" s="461"/>
      <c r="J32" s="23"/>
      <c r="K32" s="23"/>
      <c r="L32" s="23"/>
      <c r="M32" s="426"/>
    </row>
    <row r="33" spans="6:7">
      <c r="F33" s="784"/>
      <c r="G33" s="784"/>
    </row>
    <row r="34" spans="6:7">
      <c r="F34" s="784"/>
      <c r="G34" s="784"/>
    </row>
  </sheetData>
  <pageMargins left="0.7" right="0.7" top="0.75" bottom="0.75" header="0.3" footer="0.3"/>
  <pageSetup paperSize="9" orientation="portrait"/>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tabColor rgb="FF92D050"/>
  </sheetPr>
  <dimension ref="B3:AD35"/>
  <sheetViews>
    <sheetView zoomScale="85" zoomScaleNormal="85" workbookViewId="0">
      <selection activeCell="P7" sqref="P7"/>
    </sheetView>
  </sheetViews>
  <sheetFormatPr defaultColWidth="8.88671875" defaultRowHeight="13.2"/>
  <cols>
    <col min="1" max="2" width="8.88671875" style="754"/>
    <col min="3" max="3" width="16.109375" style="754" customWidth="1"/>
    <col min="4" max="4" width="51.5546875" style="754" bestFit="1" customWidth="1"/>
    <col min="5" max="5" width="7.6640625" style="754" bestFit="1" customWidth="1"/>
    <col min="6" max="7" width="10" style="754" customWidth="1"/>
    <col min="8" max="8" width="13.5546875" style="754" customWidth="1"/>
    <col min="9" max="9" width="12.6640625" style="754" customWidth="1"/>
    <col min="10" max="11" width="9.88671875" style="754" bestFit="1" customWidth="1"/>
    <col min="12" max="12" width="8.6640625" style="754" bestFit="1" customWidth="1"/>
    <col min="13" max="13" width="7.44140625" style="754" bestFit="1" customWidth="1"/>
    <col min="14" max="14" width="7.33203125" style="754" bestFit="1" customWidth="1"/>
    <col min="15" max="15" width="6.33203125" style="754" customWidth="1"/>
    <col min="16" max="16" width="11.33203125" style="754" bestFit="1" customWidth="1"/>
    <col min="17" max="17" width="12.5546875" style="754" customWidth="1"/>
    <col min="18" max="19" width="8.88671875" style="754"/>
    <col min="20" max="20" width="21.109375" style="754" bestFit="1" customWidth="1"/>
    <col min="21" max="21" width="18.88671875" style="754" bestFit="1" customWidth="1"/>
    <col min="22" max="22" width="19.44140625" style="754" bestFit="1" customWidth="1"/>
    <col min="23" max="23" width="18.88671875" style="754" bestFit="1" customWidth="1"/>
    <col min="24" max="24" width="19.44140625" style="754" bestFit="1" customWidth="1"/>
    <col min="25" max="16384" width="8.88671875" style="754"/>
  </cols>
  <sheetData>
    <row r="3" spans="2:30">
      <c r="H3" s="38"/>
    </row>
    <row r="4" spans="2:30">
      <c r="B4" s="545"/>
      <c r="E4" s="2016"/>
      <c r="G4" s="7" t="s">
        <v>8</v>
      </c>
      <c r="H4" s="7"/>
      <c r="I4" s="7"/>
      <c r="J4" s="4"/>
      <c r="K4" s="5"/>
      <c r="T4" s="765" t="s">
        <v>3206</v>
      </c>
    </row>
    <row r="5" spans="2:30" ht="41.4">
      <c r="B5" s="16" t="s">
        <v>1</v>
      </c>
      <c r="C5" s="16" t="s">
        <v>2</v>
      </c>
      <c r="D5" s="16" t="s">
        <v>26</v>
      </c>
      <c r="E5" s="16" t="s">
        <v>14</v>
      </c>
      <c r="F5" s="16" t="s">
        <v>15</v>
      </c>
      <c r="G5" s="2559" t="s">
        <v>2767</v>
      </c>
      <c r="H5" s="28" t="s">
        <v>188</v>
      </c>
      <c r="I5" s="67" t="s">
        <v>200</v>
      </c>
      <c r="J5" s="16" t="s">
        <v>2288</v>
      </c>
      <c r="K5" s="16" t="s">
        <v>2297</v>
      </c>
      <c r="L5" s="29" t="s">
        <v>16</v>
      </c>
      <c r="M5" s="16" t="s">
        <v>533</v>
      </c>
      <c r="N5" s="65" t="s">
        <v>0</v>
      </c>
      <c r="O5" s="65" t="s">
        <v>53</v>
      </c>
      <c r="P5" s="65" t="s">
        <v>2294</v>
      </c>
      <c r="R5" s="65" t="s">
        <v>540</v>
      </c>
      <c r="T5" s="65" t="s">
        <v>2299</v>
      </c>
      <c r="U5" s="11" t="s">
        <v>2497</v>
      </c>
    </row>
    <row r="6" spans="2:30" ht="31.2" thickBot="1">
      <c r="B6" s="2706" t="s">
        <v>27</v>
      </c>
      <c r="C6" s="2706"/>
      <c r="D6" s="2706"/>
      <c r="E6" s="2706"/>
      <c r="F6" s="2706"/>
      <c r="G6" s="2706"/>
      <c r="H6" s="2706" t="s">
        <v>153</v>
      </c>
      <c r="I6" s="2706" t="s">
        <v>2300</v>
      </c>
      <c r="J6" s="2706" t="s">
        <v>2330</v>
      </c>
      <c r="K6" s="2706" t="s">
        <v>2331</v>
      </c>
      <c r="L6" s="2706" t="s">
        <v>394</v>
      </c>
      <c r="M6" s="2706" t="s">
        <v>84</v>
      </c>
      <c r="N6" s="2706"/>
      <c r="O6" s="2706" t="s">
        <v>54</v>
      </c>
      <c r="P6" s="2706" t="s">
        <v>2295</v>
      </c>
      <c r="R6" s="15"/>
      <c r="T6" s="15"/>
    </row>
    <row r="7" spans="2:30">
      <c r="B7" s="565" t="s">
        <v>601</v>
      </c>
      <c r="C7" s="543" t="str">
        <f>Processes!$D$27</f>
        <v>TPBIKINGX1E</v>
      </c>
      <c r="D7" s="543" t="str">
        <f>Processes!E27</f>
        <v>Transport Passengers - Bike - Existing</v>
      </c>
      <c r="E7" s="573"/>
      <c r="F7" s="543" t="str">
        <f>Commodities!D37</f>
        <v>TPBIX</v>
      </c>
      <c r="G7" s="543" t="s">
        <v>3603</v>
      </c>
      <c r="H7" s="1109">
        <f>Z13/(I7*M7*N7)</f>
        <v>135.20979</v>
      </c>
      <c r="I7" s="467">
        <v>1</v>
      </c>
      <c r="J7" s="1538">
        <f>I32</f>
        <v>0.537801676346359</v>
      </c>
      <c r="K7" s="467">
        <v>5</v>
      </c>
      <c r="L7" s="2019"/>
      <c r="M7" s="2432">
        <f>'SE Bicycle - Walk'!N13</f>
        <v>435.44492593602047</v>
      </c>
      <c r="N7" s="2019">
        <v>1E-3</v>
      </c>
      <c r="O7" s="2019">
        <v>8</v>
      </c>
      <c r="P7" s="2019">
        <f>0.01/1000</f>
        <v>1.0000000000000001E-5</v>
      </c>
      <c r="R7" s="548">
        <f>H7*I7*J7*M7*N7</f>
        <v>31.663835755766467</v>
      </c>
      <c r="T7" s="2434">
        <f>'SE Bicycle - Walk'!S4</f>
        <v>31.66383575576647</v>
      </c>
      <c r="U7" s="250">
        <f>T7/R7</f>
        <v>1.0000000000000002</v>
      </c>
      <c r="Z7" s="765" t="s">
        <v>2641</v>
      </c>
      <c r="AA7" s="765" t="s">
        <v>2642</v>
      </c>
      <c r="AB7" s="765" t="s">
        <v>2643</v>
      </c>
      <c r="AC7" s="765" t="s">
        <v>2644</v>
      </c>
      <c r="AD7" s="765" t="s">
        <v>124</v>
      </c>
    </row>
    <row r="8" spans="2:30">
      <c r="B8" s="565" t="s">
        <v>601</v>
      </c>
      <c r="C8" s="543"/>
      <c r="D8" s="543"/>
      <c r="E8" s="543"/>
      <c r="F8" s="543" t="str">
        <f>Commodities!D38</f>
        <v>TPBIS</v>
      </c>
      <c r="G8" s="467" t="s">
        <v>3603</v>
      </c>
      <c r="H8" s="467"/>
      <c r="I8" s="467"/>
      <c r="J8" s="1538">
        <f>J32+K32</f>
        <v>0.462198323653641</v>
      </c>
      <c r="K8" s="467">
        <v>5</v>
      </c>
      <c r="L8" s="2019"/>
      <c r="M8" s="2019"/>
      <c r="N8" s="2019"/>
      <c r="O8" s="2019"/>
      <c r="P8" s="2019"/>
      <c r="R8" s="548">
        <f>H7*I7*J8*M7*N7</f>
        <v>27.212581236608415</v>
      </c>
      <c r="T8" s="2434">
        <f>'SE Bicycle - Walk'!S5</f>
        <v>27.212581236608411</v>
      </c>
      <c r="U8" s="250">
        <f t="shared" ref="U8:U18" si="0">T8/R8</f>
        <v>0.99999999999999989</v>
      </c>
      <c r="Y8" s="10" t="s">
        <v>2253</v>
      </c>
      <c r="Z8" s="2031">
        <f>'SE Bicycle - Walk'!S4</f>
        <v>31.66383575576647</v>
      </c>
      <c r="AA8" s="2031">
        <f>'SE Bicycle - Walk'!S7</f>
        <v>78.262163792418818</v>
      </c>
      <c r="AB8" s="2031">
        <f>'SE Bicycle - Walk'!S10</f>
        <v>589.89383956147833</v>
      </c>
      <c r="AC8" s="2031">
        <f>'SE Bicycle - Walk'!S13</f>
        <v>223.2865321520263</v>
      </c>
      <c r="AD8" s="784">
        <f>SUM(Z8:AC8)</f>
        <v>923.1063712616899</v>
      </c>
    </row>
    <row r="9" spans="2:30">
      <c r="B9" s="577" t="s">
        <v>601</v>
      </c>
      <c r="C9" s="23"/>
      <c r="D9" s="23"/>
      <c r="E9" s="23"/>
      <c r="F9" s="23" t="str">
        <f>Commodities!D39</f>
        <v>TPBIM</v>
      </c>
      <c r="G9" s="734" t="s">
        <v>3603</v>
      </c>
      <c r="H9" s="734"/>
      <c r="I9" s="734"/>
      <c r="J9" s="1556"/>
      <c r="K9" s="734">
        <v>5</v>
      </c>
      <c r="L9" s="2358"/>
      <c r="M9" s="2358"/>
      <c r="N9" s="2358"/>
      <c r="O9" s="2358"/>
      <c r="P9" s="2358"/>
      <c r="R9" s="548">
        <f>H7*I7*J9*M7*N7</f>
        <v>0</v>
      </c>
      <c r="T9" s="2434">
        <f>'SE Bicycle - Walk'!S6</f>
        <v>0</v>
      </c>
      <c r="U9" s="250" t="e">
        <f t="shared" si="0"/>
        <v>#DIV/0!</v>
      </c>
      <c r="Y9" s="10"/>
      <c r="Z9" s="2031"/>
      <c r="AA9" s="2031"/>
      <c r="AB9" s="2031"/>
      <c r="AC9" s="2031"/>
      <c r="AD9" s="784"/>
    </row>
    <row r="10" spans="2:30">
      <c r="B10" s="565" t="s">
        <v>602</v>
      </c>
      <c r="C10" s="543" t="str">
        <f>Processes!$D$27</f>
        <v>TPBIKINGX1E</v>
      </c>
      <c r="D10" s="543" t="str">
        <f>Processes!E27</f>
        <v>Transport Passengers - Bike - Existing</v>
      </c>
      <c r="E10" s="573"/>
      <c r="F10" s="543" t="str">
        <f>Commodities!D37</f>
        <v>TPBIX</v>
      </c>
      <c r="G10" s="467" t="s">
        <v>3603</v>
      </c>
      <c r="H10" s="1109">
        <f>AA13/(I10*M10*N10)</f>
        <v>334.19232000000005</v>
      </c>
      <c r="I10" s="467">
        <v>1</v>
      </c>
      <c r="J10" s="1538">
        <f>I33</f>
        <v>0.537801676346359</v>
      </c>
      <c r="K10" s="467">
        <v>5</v>
      </c>
      <c r="L10" s="2019"/>
      <c r="M10" s="2432">
        <f>'SE Bicycle - Walk'!N13</f>
        <v>435.44492593602047</v>
      </c>
      <c r="N10" s="2019">
        <v>1E-3</v>
      </c>
      <c r="O10" s="2019">
        <v>8</v>
      </c>
      <c r="P10" s="2019">
        <f>0.01/1000</f>
        <v>1.0000000000000001E-5</v>
      </c>
      <c r="R10" s="548">
        <f>H10*I10*J10*M10*N10</f>
        <v>78.262163792418818</v>
      </c>
      <c r="T10" s="2434">
        <f>'SE Bicycle - Walk'!S7</f>
        <v>78.262163792418818</v>
      </c>
      <c r="U10" s="250">
        <f t="shared" si="0"/>
        <v>1</v>
      </c>
      <c r="Y10" s="10" t="s">
        <v>2255</v>
      </c>
      <c r="Z10" s="2031">
        <f>'SE Bicycle - Walk'!S5</f>
        <v>27.212581236608411</v>
      </c>
      <c r="AA10" s="2031">
        <f>'SE Bicycle - Walk'!S8</f>
        <v>67.260186238368064</v>
      </c>
      <c r="AB10" s="2031">
        <f>'SE Bicycle - Walk'!S11</f>
        <v>671.37821466531386</v>
      </c>
      <c r="AC10" s="2031">
        <f>'SE Bicycle - Walk'!S14</f>
        <v>156.02562818095697</v>
      </c>
      <c r="AD10" s="784">
        <f>SUM(Z10:AC10)</f>
        <v>921.87661032124743</v>
      </c>
    </row>
    <row r="11" spans="2:30">
      <c r="B11" s="565" t="s">
        <v>602</v>
      </c>
      <c r="C11" s="543"/>
      <c r="D11" s="543"/>
      <c r="E11" s="573"/>
      <c r="F11" s="543" t="str">
        <f>Commodities!D38</f>
        <v>TPBIS</v>
      </c>
      <c r="G11" s="467" t="s">
        <v>3603</v>
      </c>
      <c r="H11" s="467"/>
      <c r="I11" s="467"/>
      <c r="J11" s="1538">
        <f>J33+K33</f>
        <v>0.462198323653641</v>
      </c>
      <c r="K11" s="467">
        <v>5</v>
      </c>
      <c r="L11" s="2019"/>
      <c r="M11" s="2019"/>
      <c r="N11" s="2019"/>
      <c r="O11" s="2019"/>
      <c r="P11" s="2019"/>
      <c r="R11" s="548">
        <f>H10*I10*J11*M10*N10</f>
        <v>67.260186238368064</v>
      </c>
      <c r="T11" s="2434">
        <f>'SE Bicycle - Walk'!S8</f>
        <v>67.260186238368064</v>
      </c>
      <c r="U11" s="250">
        <f t="shared" si="0"/>
        <v>1</v>
      </c>
      <c r="Y11" s="2032" t="s">
        <v>2332</v>
      </c>
      <c r="Z11" s="2031">
        <f>'SE Bicycle - Walk'!S6</f>
        <v>0</v>
      </c>
      <c r="AA11" s="2031">
        <f>'SE Bicycle - Walk'!S9</f>
        <v>0</v>
      </c>
      <c r="AB11" s="2031">
        <f>'SE Bicycle - Walk'!S12</f>
        <v>0</v>
      </c>
      <c r="AC11" s="2031">
        <f>'SE Bicycle - Walk'!S15</f>
        <v>0</v>
      </c>
      <c r="AD11" s="784">
        <f>SUM(Z11:AC11)</f>
        <v>0</v>
      </c>
    </row>
    <row r="12" spans="2:30">
      <c r="B12" s="577" t="s">
        <v>602</v>
      </c>
      <c r="C12" s="23"/>
      <c r="D12" s="23"/>
      <c r="E12" s="572"/>
      <c r="F12" s="23" t="str">
        <f>Commodities!D39</f>
        <v>TPBIM</v>
      </c>
      <c r="G12" s="734" t="s">
        <v>3603</v>
      </c>
      <c r="H12" s="734"/>
      <c r="I12" s="734"/>
      <c r="J12" s="1556"/>
      <c r="K12" s="734">
        <v>5</v>
      </c>
      <c r="L12" s="2358"/>
      <c r="M12" s="2358"/>
      <c r="N12" s="2358"/>
      <c r="O12" s="2358"/>
      <c r="P12" s="2358"/>
      <c r="R12" s="548">
        <f>H10*I10*J12*M10*N10</f>
        <v>0</v>
      </c>
      <c r="T12" s="2434">
        <f>'SE Bicycle - Walk'!S9</f>
        <v>0</v>
      </c>
      <c r="U12" s="250" t="e">
        <f t="shared" si="0"/>
        <v>#DIV/0!</v>
      </c>
      <c r="Y12" s="10"/>
      <c r="Z12" s="2031"/>
      <c r="AA12" s="2031"/>
      <c r="AB12" s="2031"/>
      <c r="AC12" s="2031"/>
      <c r="AD12" s="784"/>
    </row>
    <row r="13" spans="2:30">
      <c r="B13" s="565" t="s">
        <v>603</v>
      </c>
      <c r="C13" s="543" t="str">
        <f>Processes!$D$27</f>
        <v>TPBIKINGX1E</v>
      </c>
      <c r="D13" s="543" t="str">
        <f>Processes!E27</f>
        <v>Transport Passengers - Bike - Existing</v>
      </c>
      <c r="E13" s="543"/>
      <c r="F13" s="543" t="str">
        <f t="shared" ref="F13:F18" si="1">F7</f>
        <v>TPBIX</v>
      </c>
      <c r="G13" s="467" t="s">
        <v>3603</v>
      </c>
      <c r="H13" s="1109">
        <f>AB13/(I13*M13*N13)</f>
        <v>2896.5133799999994</v>
      </c>
      <c r="I13" s="467">
        <f t="shared" ref="I13:P13" si="2">I7</f>
        <v>1</v>
      </c>
      <c r="J13" s="2175">
        <f>I34</f>
        <v>0.4676975420050084</v>
      </c>
      <c r="K13" s="467">
        <f t="shared" si="2"/>
        <v>5</v>
      </c>
      <c r="L13" s="2019"/>
      <c r="M13" s="2432">
        <f t="shared" si="2"/>
        <v>435.44492593602047</v>
      </c>
      <c r="N13" s="2019">
        <f t="shared" si="2"/>
        <v>1E-3</v>
      </c>
      <c r="O13" s="2019">
        <f t="shared" si="2"/>
        <v>8</v>
      </c>
      <c r="P13" s="2019">
        <f t="shared" si="2"/>
        <v>1.0000000000000001E-5</v>
      </c>
      <c r="R13" s="548">
        <f>H13*I13*J13*M13*N13</f>
        <v>589.89383956147822</v>
      </c>
      <c r="T13" s="2434">
        <f>'SE Bicycle - Walk'!S10</f>
        <v>589.89383956147833</v>
      </c>
      <c r="U13" s="250">
        <f t="shared" si="0"/>
        <v>1.0000000000000002</v>
      </c>
      <c r="Y13" s="2033" t="s">
        <v>124</v>
      </c>
      <c r="Z13" s="784">
        <f>SUM(Z8:Z11)</f>
        <v>58.876416992374885</v>
      </c>
      <c r="AA13" s="784">
        <f>SUM(AA8:AA11)</f>
        <v>145.52235003078687</v>
      </c>
      <c r="AB13" s="784">
        <f>SUM(AB8:AB11)</f>
        <v>1261.2720542267921</v>
      </c>
      <c r="AC13" s="784">
        <f>SUM(AC8:AC11)</f>
        <v>379.31216033298324</v>
      </c>
      <c r="AD13" s="250">
        <f>SUM(AD8:AD11)</f>
        <v>1844.9829815829373</v>
      </c>
    </row>
    <row r="14" spans="2:30">
      <c r="B14" s="565" t="s">
        <v>603</v>
      </c>
      <c r="C14" s="543"/>
      <c r="D14" s="543"/>
      <c r="E14" s="543"/>
      <c r="F14" s="543" t="str">
        <f t="shared" si="1"/>
        <v>TPBIS</v>
      </c>
      <c r="G14" s="467" t="s">
        <v>3603</v>
      </c>
      <c r="H14" s="1109"/>
      <c r="I14" s="467"/>
      <c r="J14" s="2175">
        <f>J34+K34</f>
        <v>0.53230245799499154</v>
      </c>
      <c r="K14" s="467">
        <f>K8</f>
        <v>5</v>
      </c>
      <c r="L14" s="2019"/>
      <c r="M14" s="2019"/>
      <c r="N14" s="2019"/>
      <c r="O14" s="2019"/>
      <c r="P14" s="2019"/>
      <c r="R14" s="548">
        <f>H13*I13*J14*M13*N13</f>
        <v>671.37821466531375</v>
      </c>
      <c r="T14" s="2434">
        <f>'SE Bicycle - Walk'!S11</f>
        <v>671.37821466531386</v>
      </c>
      <c r="U14" s="250">
        <f t="shared" si="0"/>
        <v>1.0000000000000002</v>
      </c>
    </row>
    <row r="15" spans="2:30">
      <c r="B15" s="577" t="s">
        <v>603</v>
      </c>
      <c r="C15" s="23"/>
      <c r="D15" s="23"/>
      <c r="E15" s="23"/>
      <c r="F15" s="23" t="str">
        <f t="shared" si="1"/>
        <v>TPBIM</v>
      </c>
      <c r="G15" s="734" t="s">
        <v>3603</v>
      </c>
      <c r="H15" s="2357"/>
      <c r="I15" s="734"/>
      <c r="J15" s="2752"/>
      <c r="K15" s="734">
        <v>5</v>
      </c>
      <c r="L15" s="2358"/>
      <c r="M15" s="2358"/>
      <c r="N15" s="2358"/>
      <c r="O15" s="2358"/>
      <c r="P15" s="2358"/>
      <c r="R15" s="548">
        <f>H13*I13*J15*M13*N13</f>
        <v>0</v>
      </c>
      <c r="T15" s="2434">
        <f>'SE Bicycle - Walk'!S12</f>
        <v>0</v>
      </c>
      <c r="U15" s="250" t="e">
        <f t="shared" si="0"/>
        <v>#DIV/0!</v>
      </c>
    </row>
    <row r="16" spans="2:30">
      <c r="B16" s="565" t="s">
        <v>604</v>
      </c>
      <c r="C16" s="543" t="str">
        <f>Processes!$D$27</f>
        <v>TPBIKINGX1E</v>
      </c>
      <c r="D16" s="543" t="str">
        <f>Processes!E27</f>
        <v>Transport Passengers - Bike - Existing</v>
      </c>
      <c r="E16" s="543"/>
      <c r="F16" s="543" t="str">
        <f t="shared" si="1"/>
        <v>TPBIX</v>
      </c>
      <c r="G16" s="467" t="s">
        <v>3603</v>
      </c>
      <c r="H16" s="1109">
        <f>AC13/(I16*M16*N16)</f>
        <v>871.09100999999998</v>
      </c>
      <c r="I16" s="467">
        <f>I10</f>
        <v>1</v>
      </c>
      <c r="J16" s="2175">
        <f>I35</f>
        <v>0.58866167632488187</v>
      </c>
      <c r="K16" s="467">
        <f>K10</f>
        <v>5</v>
      </c>
      <c r="L16" s="2019"/>
      <c r="M16" s="2432">
        <f>M10</f>
        <v>435.44492593602047</v>
      </c>
      <c r="N16" s="2019">
        <f>N10</f>
        <v>1E-3</v>
      </c>
      <c r="O16" s="2019">
        <f>O10</f>
        <v>8</v>
      </c>
      <c r="P16" s="2019">
        <f>P10</f>
        <v>1.0000000000000001E-5</v>
      </c>
      <c r="R16" s="548">
        <f>H16*I16*J16*M16*N16</f>
        <v>223.28653215202627</v>
      </c>
      <c r="T16" s="2434">
        <f>'SE Bicycle - Walk'!S13</f>
        <v>223.2865321520263</v>
      </c>
      <c r="U16" s="250">
        <f t="shared" si="0"/>
        <v>1.0000000000000002</v>
      </c>
    </row>
    <row r="17" spans="2:30">
      <c r="B17" s="565" t="s">
        <v>604</v>
      </c>
      <c r="C17" s="543"/>
      <c r="D17" s="543"/>
      <c r="E17" s="543"/>
      <c r="F17" s="543" t="str">
        <f t="shared" si="1"/>
        <v>TPBIS</v>
      </c>
      <c r="G17" s="467" t="s">
        <v>3603</v>
      </c>
      <c r="H17" s="543"/>
      <c r="I17" s="543"/>
      <c r="J17" s="2175">
        <f>J35+K35</f>
        <v>0.41133832367511813</v>
      </c>
      <c r="K17" s="467">
        <f>K11</f>
        <v>5</v>
      </c>
      <c r="L17" s="543"/>
      <c r="M17" s="543"/>
      <c r="N17" s="543"/>
      <c r="O17" s="543"/>
      <c r="P17" s="543"/>
      <c r="R17" s="548">
        <f>H16*I16*J17*M16*N16</f>
        <v>156.02562818095697</v>
      </c>
      <c r="T17" s="2434">
        <f>'SE Bicycle - Walk'!S14</f>
        <v>156.02562818095697</v>
      </c>
      <c r="U17" s="250">
        <f t="shared" si="0"/>
        <v>1</v>
      </c>
    </row>
    <row r="18" spans="2:30">
      <c r="B18" s="577" t="s">
        <v>604</v>
      </c>
      <c r="C18" s="23"/>
      <c r="D18" s="23"/>
      <c r="E18" s="23"/>
      <c r="F18" s="23" t="str">
        <f t="shared" si="1"/>
        <v>TPBIM</v>
      </c>
      <c r="G18" s="734" t="s">
        <v>3603</v>
      </c>
      <c r="H18" s="23"/>
      <c r="I18" s="23"/>
      <c r="J18" s="2428"/>
      <c r="K18" s="734">
        <v>5</v>
      </c>
      <c r="L18" s="23"/>
      <c r="M18" s="23"/>
      <c r="N18" s="23"/>
      <c r="O18" s="23"/>
      <c r="P18" s="23"/>
      <c r="R18" s="548">
        <f>H16*I16*J18*M16*N16</f>
        <v>0</v>
      </c>
      <c r="T18" s="2434">
        <f>'SE Bicycle - Walk'!S15</f>
        <v>0</v>
      </c>
      <c r="U18" s="250" t="e">
        <f t="shared" si="0"/>
        <v>#DIV/0!</v>
      </c>
    </row>
    <row r="19" spans="2:30">
      <c r="U19" s="250"/>
    </row>
    <row r="20" spans="2:30">
      <c r="R20" s="548">
        <f>SUM(R7:R18)</f>
        <v>1844.9829815829371</v>
      </c>
      <c r="T20" s="754">
        <f>SUM(T7:T19)</f>
        <v>1844.9829815829371</v>
      </c>
      <c r="U20" s="250">
        <f>T20/R20</f>
        <v>1</v>
      </c>
      <c r="AD20" s="784"/>
    </row>
    <row r="21" spans="2:30">
      <c r="AD21" s="784"/>
    </row>
    <row r="22" spans="2:30">
      <c r="H22" s="784"/>
      <c r="AD22" s="784"/>
    </row>
    <row r="23" spans="2:30">
      <c r="H23" s="12"/>
      <c r="AD23" s="784"/>
    </row>
    <row r="24" spans="2:30">
      <c r="H24" s="784"/>
      <c r="K24" s="38" t="s">
        <v>3184</v>
      </c>
    </row>
    <row r="25" spans="2:30">
      <c r="H25" s="784">
        <f>SUM(H7:H18)</f>
        <v>4237.0064999999995</v>
      </c>
    </row>
    <row r="31" spans="2:30">
      <c r="H31" s="2426"/>
      <c r="I31" s="2755" t="str">
        <f>'SE Driving patterns'!C6</f>
        <v>X short</v>
      </c>
      <c r="J31" s="2755" t="str">
        <f>'SE Driving patterns'!D6</f>
        <v>Short</v>
      </c>
      <c r="K31" s="2755" t="str">
        <f>'SE Driving patterns'!E6</f>
        <v>Medium</v>
      </c>
      <c r="L31" s="2755" t="str">
        <f>'SE Driving patterns'!F6</f>
        <v>Long</v>
      </c>
    </row>
    <row r="32" spans="2:30">
      <c r="H32" s="2754" t="s">
        <v>601</v>
      </c>
      <c r="I32" s="2753">
        <f>'SE Driving patterns'!C10</f>
        <v>0.537801676346359</v>
      </c>
      <c r="J32" s="2753">
        <f>'SE Driving patterns'!D10</f>
        <v>0.37551509299743746</v>
      </c>
      <c r="K32" s="2753">
        <f>'SE Driving patterns'!E10</f>
        <v>8.6683230656203536E-2</v>
      </c>
      <c r="L32" s="2753" t="str">
        <f>'SE Driving patterns'!F10</f>
        <v>n/a</v>
      </c>
    </row>
    <row r="33" spans="8:12">
      <c r="H33" s="2703" t="s">
        <v>602</v>
      </c>
      <c r="I33" s="2753">
        <f>'SE Driving patterns'!C25</f>
        <v>0.537801676346359</v>
      </c>
      <c r="J33" s="2753">
        <f>'SE Driving patterns'!D25</f>
        <v>0.37551509299743746</v>
      </c>
      <c r="K33" s="2753">
        <f>'SE Driving patterns'!E25</f>
        <v>8.6683230656203536E-2</v>
      </c>
      <c r="L33" s="2753" t="str">
        <f>'SE Driving patterns'!F25</f>
        <v>n/a</v>
      </c>
    </row>
    <row r="34" spans="8:12">
      <c r="H34" s="2703" t="s">
        <v>603</v>
      </c>
      <c r="I34" s="2753">
        <f>'SE Driving patterns'!C40</f>
        <v>0.4676975420050084</v>
      </c>
      <c r="J34" s="2753">
        <f>'SE Driving patterns'!D40</f>
        <v>0.40188633586653472</v>
      </c>
      <c r="K34" s="2753">
        <f>'SE Driving patterns'!E40</f>
        <v>0.13041612212845688</v>
      </c>
      <c r="L34" s="2753" t="str">
        <f>'SE Driving patterns'!F40</f>
        <v>n/a</v>
      </c>
    </row>
    <row r="35" spans="8:12">
      <c r="H35" s="2703" t="s">
        <v>604</v>
      </c>
      <c r="I35" s="2753">
        <f>'SE Driving patterns'!C55</f>
        <v>0.58866167632488187</v>
      </c>
      <c r="J35" s="2753">
        <f>'SE Driving patterns'!D55</f>
        <v>0.38125139840093725</v>
      </c>
      <c r="K35" s="2753">
        <f>'SE Driving patterns'!E55</f>
        <v>3.0086925274180887E-2</v>
      </c>
      <c r="L35" s="2753" t="str">
        <f>'SE Driving patterns'!F55</f>
        <v>n/a</v>
      </c>
    </row>
  </sheetData>
  <pageMargins left="0.7" right="0.7" top="0.75" bottom="0.75" header="0.3" footer="0.3"/>
  <pageSetup paperSize="9" orientation="portrait"/>
  <legacyDrawing r:id="rId1"/>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sheetPr codeName="Sheet8">
    <tabColor rgb="FF92D050"/>
  </sheetPr>
  <dimension ref="A1:BE84"/>
  <sheetViews>
    <sheetView topLeftCell="A4" zoomScale="70" zoomScaleNormal="70" workbookViewId="0">
      <selection activeCell="J58" sqref="J58"/>
    </sheetView>
  </sheetViews>
  <sheetFormatPr defaultRowHeight="13.2"/>
  <cols>
    <col min="1" max="1" width="2.33203125" style="9" customWidth="1"/>
    <col min="2" max="2" width="11.88671875" style="545" customWidth="1"/>
    <col min="3" max="3" width="24.88671875" customWidth="1"/>
    <col min="4" max="4" width="73.44140625" bestFit="1" customWidth="1"/>
    <col min="5" max="5" width="17.109375" bestFit="1" customWidth="1"/>
    <col min="6" max="6" width="10.5546875" bestFit="1" customWidth="1"/>
    <col min="7" max="7" width="10.5546875" style="754" customWidth="1"/>
    <col min="8" max="8" width="12.88671875" bestFit="1" customWidth="1"/>
    <col min="9" max="9" width="26.33203125" bestFit="1" customWidth="1"/>
    <col min="10" max="10" width="17.44140625" bestFit="1" customWidth="1"/>
    <col min="11" max="11" width="18.33203125" bestFit="1" customWidth="1"/>
    <col min="12" max="13" width="12" bestFit="1" customWidth="1"/>
    <col min="14" max="14" width="10.33203125" customWidth="1"/>
    <col min="15" max="15" width="10" bestFit="1" customWidth="1"/>
    <col min="16" max="16" width="9" customWidth="1"/>
    <col min="17" max="17" width="4.33203125" customWidth="1"/>
    <col min="18" max="18" width="18.109375" bestFit="1" customWidth="1"/>
    <col min="19" max="19" width="5.5546875" bestFit="1" customWidth="1"/>
    <col min="20" max="28" width="18.44140625" style="754" customWidth="1"/>
    <col min="29" max="32" width="22.33203125" customWidth="1"/>
    <col min="33" max="33" width="20.109375" bestFit="1" customWidth="1"/>
    <col min="34" max="34" width="14.5546875" customWidth="1"/>
    <col min="35" max="35" width="14.44140625" customWidth="1"/>
    <col min="36" max="36" width="16.5546875" customWidth="1"/>
    <col min="37" max="37" width="14.88671875" bestFit="1" customWidth="1"/>
    <col min="38" max="38" width="15.109375" bestFit="1" customWidth="1"/>
    <col min="39" max="39" width="14.88671875" bestFit="1" customWidth="1"/>
    <col min="40" max="40" width="15.109375" bestFit="1" customWidth="1"/>
    <col min="41" max="41" width="16.33203125" bestFit="1" customWidth="1"/>
    <col min="42" max="42" width="15.88671875" bestFit="1" customWidth="1"/>
    <col min="43" max="43" width="17.33203125" bestFit="1" customWidth="1"/>
    <col min="44" max="44" width="17.6640625" bestFit="1" customWidth="1"/>
    <col min="45" max="45" width="11.5546875" customWidth="1"/>
    <col min="46" max="46" width="21.6640625" customWidth="1"/>
    <col min="47" max="47" width="10.109375" bestFit="1" customWidth="1"/>
  </cols>
  <sheetData>
    <row r="1" spans="1:57">
      <c r="D1" t="s">
        <v>229</v>
      </c>
      <c r="AI1" s="14"/>
      <c r="AJ1" s="14"/>
      <c r="AK1" s="14"/>
      <c r="AL1" s="306"/>
    </row>
    <row r="2" spans="1:57">
      <c r="AI2" s="14"/>
      <c r="AJ2" s="305"/>
      <c r="AK2" s="304"/>
      <c r="AL2" s="14"/>
    </row>
    <row r="3" spans="1:57">
      <c r="E3" s="6"/>
      <c r="G3" s="7" t="s">
        <v>8</v>
      </c>
      <c r="H3" s="7"/>
      <c r="I3" s="7"/>
      <c r="J3" s="7"/>
      <c r="K3" s="7"/>
      <c r="L3" s="4"/>
      <c r="M3" s="5"/>
      <c r="Q3" s="9"/>
      <c r="S3" s="754"/>
      <c r="AC3" s="754"/>
      <c r="AD3" s="754"/>
      <c r="AE3" s="754"/>
      <c r="AF3" s="754"/>
      <c r="AG3" s="754"/>
      <c r="AI3" s="14"/>
      <c r="AJ3" s="304"/>
      <c r="AK3" s="304"/>
    </row>
    <row r="4" spans="1:57" ht="31.5" customHeight="1">
      <c r="B4" s="16" t="s">
        <v>1</v>
      </c>
      <c r="C4" s="16" t="s">
        <v>2</v>
      </c>
      <c r="D4" s="16" t="s">
        <v>26</v>
      </c>
      <c r="E4" s="16" t="s">
        <v>14</v>
      </c>
      <c r="F4" s="16" t="s">
        <v>15</v>
      </c>
      <c r="G4" s="2559" t="s">
        <v>2767</v>
      </c>
      <c r="H4" s="28" t="s">
        <v>188</v>
      </c>
      <c r="I4" s="67" t="s">
        <v>200</v>
      </c>
      <c r="J4" s="2081" t="s">
        <v>2288</v>
      </c>
      <c r="K4" s="29" t="s">
        <v>2297</v>
      </c>
      <c r="L4" s="29" t="s">
        <v>199</v>
      </c>
      <c r="M4" s="16" t="s">
        <v>533</v>
      </c>
      <c r="N4" s="65" t="s">
        <v>0</v>
      </c>
      <c r="O4" s="65" t="s">
        <v>53</v>
      </c>
      <c r="P4" s="65" t="s">
        <v>2294</v>
      </c>
      <c r="S4" s="754"/>
      <c r="U4" s="2017" t="s">
        <v>2299</v>
      </c>
      <c r="V4" s="2017" t="s">
        <v>540</v>
      </c>
      <c r="Z4" s="2548" t="s">
        <v>44</v>
      </c>
      <c r="AA4" s="2549"/>
      <c r="AB4" s="2549"/>
      <c r="AC4" s="2457"/>
      <c r="AD4" s="754"/>
      <c r="AE4" s="754"/>
      <c r="AF4" s="754"/>
      <c r="AG4" s="754"/>
    </row>
    <row r="5" spans="1:57" ht="21" thickBot="1">
      <c r="B5" s="15" t="s">
        <v>27</v>
      </c>
      <c r="C5" s="15"/>
      <c r="D5" s="15"/>
      <c r="E5" s="15"/>
      <c r="F5" s="15"/>
      <c r="G5" s="15"/>
      <c r="H5" s="15" t="s">
        <v>153</v>
      </c>
      <c r="I5" s="15" t="s">
        <v>395</v>
      </c>
      <c r="J5" s="15" t="s">
        <v>85</v>
      </c>
      <c r="K5" s="15" t="s">
        <v>404</v>
      </c>
      <c r="L5" s="15" t="s">
        <v>394</v>
      </c>
      <c r="M5" s="15" t="s">
        <v>84</v>
      </c>
      <c r="N5" s="15"/>
      <c r="O5" s="15" t="s">
        <v>54</v>
      </c>
      <c r="P5" s="15" t="s">
        <v>2295</v>
      </c>
      <c r="S5" s="754"/>
      <c r="X5" s="765" t="s">
        <v>2497</v>
      </c>
      <c r="Y5" s="765"/>
      <c r="Z5" s="2008" t="s">
        <v>61</v>
      </c>
      <c r="AA5" s="467" t="s">
        <v>205</v>
      </c>
      <c r="AB5" s="543"/>
      <c r="AC5" s="35"/>
      <c r="AD5" s="754"/>
      <c r="AE5" s="754"/>
      <c r="AF5" s="754"/>
      <c r="AG5" s="754"/>
      <c r="AM5" s="318"/>
      <c r="AN5" s="318"/>
      <c r="AQ5" t="s">
        <v>348</v>
      </c>
    </row>
    <row r="6" spans="1:57">
      <c r="B6" s="2020" t="s">
        <v>601</v>
      </c>
      <c r="C6" s="30" t="str">
        <f>Processes!$D$16</f>
        <v>TPBUDSBL1E</v>
      </c>
      <c r="D6" s="30" t="str">
        <f>Processes!$E$16</f>
        <v>Transport Passengers Public Buses - Diesel Engine - Blending 1 - Existing</v>
      </c>
      <c r="E6" s="30" t="str">
        <f>Commodities!$D$80</f>
        <v>TRADSBL1</v>
      </c>
      <c r="F6" s="543" t="str">
        <f>Commodities!$D$10</f>
        <v>TPBUX</v>
      </c>
      <c r="G6" s="754" t="s">
        <v>3603</v>
      </c>
      <c r="H6" s="1659">
        <f>'SE BUS data'!I88</f>
        <v>0.47842433027753017</v>
      </c>
      <c r="I6" s="2372">
        <f>'SE BUS data'!C$101</f>
        <v>9.1327129396134676</v>
      </c>
      <c r="J6" s="1538">
        <f>$D$73</f>
        <v>6.9109102242079751E-2</v>
      </c>
      <c r="K6" s="30">
        <v>5</v>
      </c>
      <c r="L6" s="2372">
        <f>E58*L54</f>
        <v>65.082980800520659</v>
      </c>
      <c r="M6" s="2090">
        <f>'SE BUS data'!C$112</f>
        <v>55271.847598728804</v>
      </c>
      <c r="N6" s="30">
        <v>1E-3</v>
      </c>
      <c r="O6" s="30">
        <v>8</v>
      </c>
      <c r="P6" s="543">
        <f>1.8/1000</f>
        <v>1.8E-3</v>
      </c>
      <c r="S6" s="754"/>
      <c r="T6" s="754" t="str">
        <f>Dem!B21</f>
        <v>TPBUX</v>
      </c>
      <c r="U6" s="12">
        <f>'SE BUS data'!R66*BUS!J6</f>
        <v>19.138552648256521</v>
      </c>
      <c r="V6" s="12">
        <f>W6+W10</f>
        <v>19.138552648256518</v>
      </c>
      <c r="W6" s="12">
        <f>$H$6*$I$6*J6*$M$6*$N$6</f>
        <v>16.689844801048164</v>
      </c>
      <c r="X6" s="2712">
        <f>V6/U6</f>
        <v>0.99999999999999978</v>
      </c>
      <c r="Y6" s="2375"/>
      <c r="Z6" s="2550">
        <f>1/L6*H6*J6*M6*N6</f>
        <v>2.8079221044580275E-2</v>
      </c>
      <c r="AA6" s="272"/>
      <c r="AB6" s="272"/>
      <c r="AC6" s="35" t="str">
        <f>B6</f>
        <v>SE1</v>
      </c>
      <c r="AD6" s="754"/>
      <c r="AE6" s="754"/>
      <c r="AF6" s="754"/>
      <c r="AG6" s="754"/>
      <c r="AM6" s="3"/>
      <c r="AN6" s="3"/>
    </row>
    <row r="7" spans="1:57">
      <c r="B7" s="565" t="s">
        <v>601</v>
      </c>
      <c r="C7" s="543"/>
      <c r="D7" s="543"/>
      <c r="E7" s="543"/>
      <c r="F7" s="543" t="str">
        <f>Commodities!$D$11</f>
        <v>TPBUS</v>
      </c>
      <c r="G7" s="754" t="s">
        <v>3603</v>
      </c>
      <c r="H7" s="272"/>
      <c r="I7" s="2088"/>
      <c r="J7" s="1538">
        <f>$D$74</f>
        <v>0.38972685309304844</v>
      </c>
      <c r="K7" s="543">
        <v>5</v>
      </c>
      <c r="L7" s="2108">
        <f>E58*L54</f>
        <v>65.082980800520659</v>
      </c>
      <c r="M7" s="317"/>
      <c r="N7" s="543"/>
      <c r="O7" s="543"/>
      <c r="P7" s="543"/>
      <c r="S7" s="754"/>
      <c r="T7" s="754" t="str">
        <f>Dem!B22</f>
        <v>TPBUS</v>
      </c>
      <c r="U7" s="12">
        <f>'SE BUS data'!R66*BUS!J7</f>
        <v>107.9280102674964</v>
      </c>
      <c r="V7" s="12">
        <f>W7+W11</f>
        <v>107.92801026749639</v>
      </c>
      <c r="W7" s="12">
        <f>$H$6*$I$6*J7*$M$6*$N$6</f>
        <v>94.119015902414233</v>
      </c>
      <c r="X7" s="2712">
        <f>V7/U7</f>
        <v>0.99999999999999989</v>
      </c>
      <c r="Y7" s="2375"/>
      <c r="Z7" s="2550">
        <f>1/L7*H6*J7*M6*N6</f>
        <v>0.1583471076888793</v>
      </c>
      <c r="AA7" s="543"/>
      <c r="AB7" s="272"/>
      <c r="AC7" s="35" t="str">
        <f t="shared" ref="AC7:AC49" si="0">B7</f>
        <v>SE1</v>
      </c>
      <c r="AD7" s="754"/>
      <c r="AE7" s="754"/>
      <c r="AF7" s="754"/>
      <c r="AG7" s="754"/>
      <c r="AM7" s="1"/>
      <c r="AN7" s="1"/>
      <c r="AV7" s="12"/>
    </row>
    <row r="8" spans="1:57" s="542" customFormat="1">
      <c r="A8" s="545"/>
      <c r="B8" s="565" t="s">
        <v>601</v>
      </c>
      <c r="C8" s="543"/>
      <c r="D8" s="543"/>
      <c r="E8" s="543"/>
      <c r="F8" s="543" t="str">
        <f>Commodities!$D$12</f>
        <v>TPBUM</v>
      </c>
      <c r="G8" s="754" t="s">
        <v>3603</v>
      </c>
      <c r="H8" s="250"/>
      <c r="I8" s="2108"/>
      <c r="J8" s="1538">
        <f>$D$75</f>
        <v>0.16212357371665626</v>
      </c>
      <c r="K8" s="543">
        <v>5</v>
      </c>
      <c r="L8" s="2108">
        <f>F58*L54</f>
        <v>82.279131955157879</v>
      </c>
      <c r="M8" s="317"/>
      <c r="N8" s="543"/>
      <c r="O8" s="543"/>
      <c r="P8" s="543"/>
      <c r="S8" s="754"/>
      <c r="T8" s="754" t="str">
        <f>Dem!B23</f>
        <v>TPBUM</v>
      </c>
      <c r="U8" s="12">
        <f>'SE BUS data'!R66*BUS!J8</f>
        <v>44.897277644137255</v>
      </c>
      <c r="V8" s="12">
        <f>W8+W12</f>
        <v>44.897277644137255</v>
      </c>
      <c r="W8" s="12">
        <f>$H$6*$I$6*J8*$M$6*$N$6</f>
        <v>39.152835098974023</v>
      </c>
      <c r="X8" s="2712">
        <f>V8/U8</f>
        <v>1</v>
      </c>
      <c r="Y8" s="2375"/>
      <c r="Z8" s="2550">
        <f>1/L8*H6*J8*M6*N6</f>
        <v>5.2104316946186141E-2</v>
      </c>
      <c r="AA8" s="543"/>
      <c r="AB8" s="272"/>
      <c r="AC8" s="35" t="str">
        <f t="shared" si="0"/>
        <v>SE1</v>
      </c>
      <c r="AD8" s="754"/>
      <c r="AE8" s="754"/>
      <c r="AF8" s="754"/>
      <c r="AG8" s="754"/>
      <c r="AM8" s="1"/>
      <c r="AN8" s="1"/>
      <c r="AO8"/>
      <c r="AP8"/>
      <c r="AQ8"/>
      <c r="AR8"/>
      <c r="AS8"/>
      <c r="AT8"/>
      <c r="AU8"/>
      <c r="AV8"/>
      <c r="AW8"/>
      <c r="AX8"/>
      <c r="AY8"/>
      <c r="AZ8"/>
      <c r="BA8"/>
      <c r="BB8"/>
      <c r="BC8"/>
      <c r="BD8"/>
      <c r="BE8"/>
    </row>
    <row r="9" spans="1:57" s="542" customFormat="1">
      <c r="A9" s="545"/>
      <c r="B9" s="565" t="s">
        <v>601</v>
      </c>
      <c r="C9" s="543"/>
      <c r="D9" s="543"/>
      <c r="E9" s="543"/>
      <c r="F9" s="543" t="str">
        <f>Commodities!$D$13</f>
        <v>TPBUL</v>
      </c>
      <c r="G9" s="754" t="s">
        <v>3603</v>
      </c>
      <c r="H9" s="272"/>
      <c r="I9" s="2108"/>
      <c r="J9" s="1538">
        <f>$D$76</f>
        <v>0.37904047094821547</v>
      </c>
      <c r="K9" s="543">
        <v>5</v>
      </c>
      <c r="L9" s="2108">
        <f>H58*L54</f>
        <v>92.240285944886423</v>
      </c>
      <c r="M9" s="317"/>
      <c r="N9" s="543"/>
      <c r="O9" s="543"/>
      <c r="P9" s="543"/>
      <c r="S9" s="754"/>
      <c r="T9" s="754" t="str">
        <f>Dem!B24</f>
        <v>TPBUL</v>
      </c>
      <c r="U9" s="12">
        <f>'SE BUS data'!R66*BUS!J9</f>
        <v>104.96860433306736</v>
      </c>
      <c r="V9" s="12">
        <f>W9+W13</f>
        <v>104.96860433306735</v>
      </c>
      <c r="W9" s="277">
        <f>$H$6*$I$6*J9*$M$6*$N$6</f>
        <v>91.538255138698844</v>
      </c>
      <c r="X9" s="2712">
        <f>V9/U9</f>
        <v>0.99999999999999989</v>
      </c>
      <c r="Y9" s="2375"/>
      <c r="Z9" s="2550">
        <f>1/L9*H6*J9*M6*N6</f>
        <v>0.10866312289504863</v>
      </c>
      <c r="AA9" s="543"/>
      <c r="AB9" s="543"/>
      <c r="AC9" s="35" t="str">
        <f t="shared" si="0"/>
        <v>SE1</v>
      </c>
      <c r="AD9" s="754"/>
      <c r="AE9" s="754"/>
      <c r="AF9" s="754"/>
      <c r="AG9" s="754"/>
      <c r="AM9" s="1"/>
      <c r="AN9" s="1"/>
      <c r="AO9"/>
      <c r="AP9"/>
      <c r="AQ9"/>
      <c r="AR9"/>
      <c r="AS9"/>
      <c r="AT9"/>
      <c r="AU9"/>
      <c r="AV9"/>
      <c r="AW9"/>
      <c r="AX9"/>
      <c r="AY9"/>
      <c r="AZ9"/>
      <c r="BA9"/>
      <c r="BB9"/>
      <c r="BC9"/>
      <c r="BD9"/>
      <c r="BE9"/>
    </row>
    <row r="10" spans="1:57" s="542" customFormat="1">
      <c r="A10" s="545"/>
      <c r="B10" s="565" t="s">
        <v>601</v>
      </c>
      <c r="C10" s="543" t="str">
        <f>Processes!$D$18</f>
        <v>TPBUNGBL2E</v>
      </c>
      <c r="D10" s="543" t="str">
        <f>Processes!$E$18</f>
        <v>Transport Passengers Public Buses - Gas Engine -Blending 2 -  Existing</v>
      </c>
      <c r="E10" s="3" t="str">
        <f>Commodities!$D$100</f>
        <v>TRANGBL1</v>
      </c>
      <c r="F10" s="543" t="str">
        <f>Commodities!$D$10</f>
        <v>TPBUX</v>
      </c>
      <c r="G10" s="754" t="s">
        <v>3603</v>
      </c>
      <c r="H10" s="272">
        <f>'SE BUS data'!J88</f>
        <v>7.0193667215672106E-2</v>
      </c>
      <c r="I10" s="2108">
        <f>'SE BUS data'!C$101</f>
        <v>9.1327129396134676</v>
      </c>
      <c r="J10" s="1538">
        <f>$D$73</f>
        <v>6.9109102242079751E-2</v>
      </c>
      <c r="K10" s="543">
        <v>5</v>
      </c>
      <c r="L10" s="1150">
        <f>L6/E$69</f>
        <v>38.240177019404328</v>
      </c>
      <c r="M10" s="317">
        <f>'SE BUS data'!C$112</f>
        <v>55271.847598728804</v>
      </c>
      <c r="N10" s="543">
        <v>1E-3</v>
      </c>
      <c r="O10" s="543">
        <v>8</v>
      </c>
      <c r="P10" s="543">
        <f>1.8/1000</f>
        <v>1.8E-3</v>
      </c>
      <c r="U10" s="12"/>
      <c r="W10" s="277">
        <f>$H$10*$I$10*J10*$M$10*$N$10</f>
        <v>2.4487078472083552</v>
      </c>
      <c r="X10" s="2712"/>
      <c r="Y10" s="2375"/>
      <c r="Z10" s="22"/>
      <c r="AA10" s="437">
        <f>1/L10*H10*J10*M10*N10</f>
        <v>7.011602252830703E-3</v>
      </c>
      <c r="AB10" s="543"/>
      <c r="AC10" s="35" t="str">
        <f t="shared" si="0"/>
        <v>SE1</v>
      </c>
      <c r="AD10" s="754"/>
      <c r="AE10" s="754"/>
      <c r="AF10" s="754"/>
      <c r="AG10" s="270"/>
      <c r="AM10"/>
      <c r="AN10"/>
      <c r="AO10"/>
      <c r="AP10"/>
      <c r="AQ10"/>
      <c r="AR10"/>
      <c r="AS10"/>
      <c r="AT10"/>
      <c r="AU10"/>
      <c r="AV10"/>
      <c r="AW10"/>
      <c r="AX10"/>
      <c r="AY10"/>
      <c r="AZ10"/>
      <c r="BA10"/>
      <c r="BB10"/>
      <c r="BC10"/>
      <c r="BD10"/>
      <c r="BE10"/>
    </row>
    <row r="11" spans="1:57" s="754" customFormat="1">
      <c r="A11" s="545"/>
      <c r="B11" s="565" t="s">
        <v>601</v>
      </c>
      <c r="E11" s="543"/>
      <c r="F11" s="543" t="str">
        <f>Commodities!$D$11</f>
        <v>TPBUS</v>
      </c>
      <c r="G11" s="754" t="s">
        <v>3603</v>
      </c>
      <c r="H11" s="272"/>
      <c r="I11" s="2108"/>
      <c r="J11" s="1538">
        <f>$D$74</f>
        <v>0.38972685309304844</v>
      </c>
      <c r="K11" s="543">
        <v>5</v>
      </c>
      <c r="L11" s="1150">
        <f>L7/E$69</f>
        <v>38.240177019404328</v>
      </c>
      <c r="M11" s="784"/>
      <c r="Q11" s="271"/>
      <c r="U11" s="12"/>
      <c r="W11" s="277">
        <f>$H$10*$I$10*J11*$M$10*$N$10</f>
        <v>13.808994365082151</v>
      </c>
      <c r="X11" s="2712"/>
      <c r="Y11" s="2375"/>
      <c r="Z11" s="22"/>
      <c r="AA11" s="437">
        <f>1/L11*H10*J11*M10*N10</f>
        <v>3.9540517710154599E-2</v>
      </c>
      <c r="AB11" s="543"/>
      <c r="AC11" s="35" t="str">
        <f t="shared" si="0"/>
        <v>SE1</v>
      </c>
      <c r="AG11" s="270"/>
    </row>
    <row r="12" spans="1:57" s="754" customFormat="1">
      <c r="A12" s="545"/>
      <c r="B12" s="565" t="s">
        <v>601</v>
      </c>
      <c r="E12" s="543"/>
      <c r="F12" s="543" t="str">
        <f>Commodities!$D$12</f>
        <v>TPBUM</v>
      </c>
      <c r="G12" s="754" t="s">
        <v>3603</v>
      </c>
      <c r="H12" s="250"/>
      <c r="I12" s="2088"/>
      <c r="J12" s="1538">
        <f>$D$75</f>
        <v>0.16212357371665626</v>
      </c>
      <c r="K12" s="543">
        <v>5</v>
      </c>
      <c r="L12" s="1150">
        <f>L8/E$69</f>
        <v>48.343953092925851</v>
      </c>
      <c r="M12" s="784"/>
      <c r="Q12" s="271"/>
      <c r="U12" s="12"/>
      <c r="W12" s="277">
        <f>$H$10*$I$10*J12*$M$10*$N$10</f>
        <v>5.7444425451632295</v>
      </c>
      <c r="X12" s="2712"/>
      <c r="Y12" s="2375"/>
      <c r="Z12" s="22"/>
      <c r="AA12" s="437">
        <f>1/L12*H10*J12*M10*N10</f>
        <v>1.3010857584049648E-2</v>
      </c>
      <c r="AB12" s="543"/>
      <c r="AC12" s="35" t="str">
        <f t="shared" si="0"/>
        <v>SE1</v>
      </c>
      <c r="AG12" s="270"/>
    </row>
    <row r="13" spans="1:57" s="754" customFormat="1">
      <c r="A13" s="545"/>
      <c r="B13" s="565" t="s">
        <v>601</v>
      </c>
      <c r="E13" s="543"/>
      <c r="F13" s="543" t="str">
        <f>Commodities!$D$13</f>
        <v>TPBUL</v>
      </c>
      <c r="G13" s="754" t="s">
        <v>3603</v>
      </c>
      <c r="H13" s="272"/>
      <c r="I13" s="2088"/>
      <c r="J13" s="1538">
        <f>$D$76</f>
        <v>0.37904047094821547</v>
      </c>
      <c r="K13" s="543">
        <v>5</v>
      </c>
      <c r="L13" s="1150">
        <f>L9/E$69</f>
        <v>54.196731917735271</v>
      </c>
      <c r="M13" s="784"/>
      <c r="U13" s="12"/>
      <c r="W13" s="277">
        <f>$H$10*$I$10*J13*$M$10*$N$10</f>
        <v>13.430349194368498</v>
      </c>
      <c r="X13" s="2712"/>
      <c r="Y13" s="2375"/>
      <c r="Z13" s="22"/>
      <c r="AA13" s="437">
        <f>1/L13*H10*J13*M10*N10</f>
        <v>2.7134036093127357E-2</v>
      </c>
      <c r="AB13" s="543"/>
      <c r="AC13" s="35" t="str">
        <f t="shared" si="0"/>
        <v>SE1</v>
      </c>
      <c r="AG13" s="270"/>
    </row>
    <row r="14" spans="1:57" s="754" customFormat="1">
      <c r="A14" s="545"/>
      <c r="B14" s="565" t="s">
        <v>601</v>
      </c>
      <c r="C14" s="543" t="str">
        <f>Processes!$D$17</f>
        <v>TPCODSBL1E</v>
      </c>
      <c r="D14" s="543" t="str">
        <f>Processes!$E$17</f>
        <v>Transport Passengers Coaches - Diesel Engine - Blending 1 - Existing</v>
      </c>
      <c r="E14" s="543" t="str">
        <f>Commodities!$D$80</f>
        <v>TRADSBL1</v>
      </c>
      <c r="F14" s="543" t="str">
        <f>Commodities!$D$14</f>
        <v>TPCOS</v>
      </c>
      <c r="G14" s="754" t="s">
        <v>3603</v>
      </c>
      <c r="H14" s="272">
        <f>'SE BUS data'!I89</f>
        <v>0.19587492703509971</v>
      </c>
      <c r="I14" s="2108">
        <f>'SE BUS data'!C$101</f>
        <v>9.1327129396134676</v>
      </c>
      <c r="J14" s="1538">
        <f>$D$79</f>
        <v>7.2860027831733482E-2</v>
      </c>
      <c r="K14" s="543">
        <v>5</v>
      </c>
      <c r="L14" s="2108">
        <f>E58*L54</f>
        <v>65.082980800520659</v>
      </c>
      <c r="M14" s="317">
        <f>'SE BUS data'!C$112</f>
        <v>55271.847598728804</v>
      </c>
      <c r="N14" s="543">
        <v>1E-3</v>
      </c>
      <c r="O14" s="543">
        <v>8</v>
      </c>
      <c r="P14" s="543">
        <f>1.8/1000</f>
        <v>1.8E-3</v>
      </c>
      <c r="T14" s="754" t="str">
        <f>Dem!B25</f>
        <v>TPCOS</v>
      </c>
      <c r="U14" s="12">
        <f>'SE BUS data'!R67*BUS!J14</f>
        <v>7.2039712304937806</v>
      </c>
      <c r="V14" s="12">
        <f>$H$14*$I$14*J14*$M$14*$N$14</f>
        <v>7.2039712304937797</v>
      </c>
      <c r="W14" s="543"/>
      <c r="X14" s="2712">
        <f t="shared" ref="X14:X20" si="1">V14/U14</f>
        <v>0.99999999999999989</v>
      </c>
      <c r="Y14" s="2375"/>
      <c r="Z14" s="2550">
        <f>1/L14*H14*J14*M14*N14</f>
        <v>1.2120058813676206E-2</v>
      </c>
      <c r="AA14" s="543"/>
      <c r="AB14" s="543"/>
      <c r="AC14" s="35" t="str">
        <f t="shared" si="0"/>
        <v>SE1</v>
      </c>
      <c r="AG14" s="270"/>
    </row>
    <row r="15" spans="1:57" s="754" customFormat="1">
      <c r="A15" s="545"/>
      <c r="B15" s="565" t="s">
        <v>601</v>
      </c>
      <c r="C15" s="543"/>
      <c r="D15" s="543"/>
      <c r="E15" s="543"/>
      <c r="F15" s="543" t="str">
        <f>Commodities!$D$15</f>
        <v>TPCOM</v>
      </c>
      <c r="G15" s="754" t="s">
        <v>3603</v>
      </c>
      <c r="H15" s="272"/>
      <c r="I15" s="3"/>
      <c r="J15" s="1538">
        <f>$D$80</f>
        <v>0.12943870614909181</v>
      </c>
      <c r="K15" s="543">
        <v>5</v>
      </c>
      <c r="L15" s="2108">
        <f>F58*L54</f>
        <v>82.279131955157879</v>
      </c>
      <c r="M15" s="317"/>
      <c r="N15" s="543"/>
      <c r="O15" s="543"/>
      <c r="P15" s="543"/>
      <c r="T15" s="543" t="str">
        <f>Dem!B26</f>
        <v>TPCOM</v>
      </c>
      <c r="U15" s="12">
        <f>'SE BUS data'!R67*BUS!J15</f>
        <v>12.798138334010714</v>
      </c>
      <c r="V15" s="277">
        <f>$H$14*$I$14*J15*$M$14*$N$14</f>
        <v>12.798138334010712</v>
      </c>
      <c r="W15" s="543"/>
      <c r="X15" s="2712">
        <f t="shared" si="1"/>
        <v>0.99999999999999989</v>
      </c>
      <c r="Y15" s="2375"/>
      <c r="Z15" s="2550">
        <f>1/L15*H14*J15*M14*N14</f>
        <v>1.7031672275857827E-2</v>
      </c>
      <c r="AA15" s="543"/>
      <c r="AB15" s="543"/>
      <c r="AC15" s="35" t="str">
        <f t="shared" si="0"/>
        <v>SE1</v>
      </c>
      <c r="AG15" s="270"/>
    </row>
    <row r="16" spans="1:57" s="754" customFormat="1">
      <c r="A16" s="545"/>
      <c r="B16" s="565" t="s">
        <v>601</v>
      </c>
      <c r="F16" s="543" t="str">
        <f>Commodities!$D$16</f>
        <v>TPCOL</v>
      </c>
      <c r="G16" s="23" t="s">
        <v>3603</v>
      </c>
      <c r="H16" s="250"/>
      <c r="I16" s="545"/>
      <c r="J16" s="1538">
        <f>$D$81</f>
        <v>0.79770126601917479</v>
      </c>
      <c r="K16" s="754">
        <v>5</v>
      </c>
      <c r="L16" s="2373">
        <f>H58*L54</f>
        <v>92.240285944886423</v>
      </c>
      <c r="M16" s="784"/>
      <c r="P16" s="23"/>
      <c r="T16" s="23" t="str">
        <f>Dem!B27</f>
        <v>TPCOL</v>
      </c>
      <c r="U16" s="33">
        <f>'SE BUS data'!R67*BUS!J16</f>
        <v>78.872011745618877</v>
      </c>
      <c r="V16" s="33">
        <f>$H$14*$I$14*J16*$M$14*$N$14</f>
        <v>78.872011745618863</v>
      </c>
      <c r="W16" s="543"/>
      <c r="X16" s="2712">
        <f t="shared" si="1"/>
        <v>0.99999999999999978</v>
      </c>
      <c r="Y16" s="2375"/>
      <c r="Z16" s="2551">
        <f>1/L16*H14*J16*M14*N14</f>
        <v>9.3627293772509682E-2</v>
      </c>
      <c r="AA16" s="23"/>
      <c r="AB16" s="543"/>
      <c r="AC16" s="35" t="str">
        <f t="shared" si="0"/>
        <v>SE1</v>
      </c>
      <c r="AG16" s="270"/>
    </row>
    <row r="17" spans="1:33" s="754" customFormat="1">
      <c r="A17" s="545"/>
      <c r="B17" s="2020" t="s">
        <v>602</v>
      </c>
      <c r="C17" s="30" t="str">
        <f>Processes!$D$16</f>
        <v>TPBUDSBL1E</v>
      </c>
      <c r="D17" s="30" t="str">
        <f>Processes!$E$16</f>
        <v>Transport Passengers Public Buses - Diesel Engine - Blending 1 - Existing</v>
      </c>
      <c r="E17" s="30" t="str">
        <f>Commodities!$D$80</f>
        <v>TRADSBL1</v>
      </c>
      <c r="F17" s="30" t="str">
        <f>Commodities!$D$10</f>
        <v>TPBUX</v>
      </c>
      <c r="G17" s="754" t="s">
        <v>3603</v>
      </c>
      <c r="H17" s="1659">
        <f>'SE BUS data'!I90</f>
        <v>1.1092531270145689</v>
      </c>
      <c r="I17" s="2372">
        <f>'SE BUS data'!C$101</f>
        <v>9.1327129396134676</v>
      </c>
      <c r="J17" s="2705">
        <f>$E$73</f>
        <v>6.9109102242079751E-2</v>
      </c>
      <c r="K17" s="30">
        <v>5</v>
      </c>
      <c r="L17" s="2108">
        <f>L6</f>
        <v>65.082980800520659</v>
      </c>
      <c r="M17" s="2090">
        <f>'SE BUS data'!C$112</f>
        <v>55271.847598728804</v>
      </c>
      <c r="N17" s="30">
        <v>1E-3</v>
      </c>
      <c r="O17" s="30">
        <v>8</v>
      </c>
      <c r="P17" s="543">
        <f>1.8/1000</f>
        <v>1.8E-3</v>
      </c>
      <c r="Q17" s="271"/>
      <c r="T17" s="754" t="str">
        <f>T6</f>
        <v>TPBUX</v>
      </c>
      <c r="U17" s="12">
        <f>'SE BUS data'!R68*BUS!J17</f>
        <v>44.37378709250936</v>
      </c>
      <c r="V17" s="12">
        <f>W17+W21</f>
        <v>44.373787092509367</v>
      </c>
      <c r="W17" s="277">
        <f>$H$17*$I$17*J17*$M$17*$N$17</f>
        <v>38.696323249720862</v>
      </c>
      <c r="X17" s="2712">
        <f t="shared" si="1"/>
        <v>1.0000000000000002</v>
      </c>
      <c r="Y17" s="2375"/>
      <c r="Z17" s="2550">
        <f>1/L17*H17*J17*M17*N17</f>
        <v>6.5103218579552286E-2</v>
      </c>
      <c r="AA17" s="272"/>
      <c r="AB17" s="543"/>
      <c r="AC17" s="35" t="str">
        <f t="shared" si="0"/>
        <v>SE2</v>
      </c>
      <c r="AG17" s="270"/>
    </row>
    <row r="18" spans="1:33" s="754" customFormat="1">
      <c r="A18" s="545"/>
      <c r="B18" s="565" t="s">
        <v>602</v>
      </c>
      <c r="C18" s="543"/>
      <c r="D18" s="543"/>
      <c r="E18" s="543"/>
      <c r="F18" s="543" t="str">
        <f>Commodities!$D$11</f>
        <v>TPBUS</v>
      </c>
      <c r="G18" s="754" t="s">
        <v>3603</v>
      </c>
      <c r="H18" s="250"/>
      <c r="I18" s="2108"/>
      <c r="J18" s="1538">
        <f>$E$74</f>
        <v>0.38972685309304844</v>
      </c>
      <c r="K18" s="3">
        <v>5</v>
      </c>
      <c r="L18" s="2108">
        <f t="shared" ref="L18:L27" si="2">L7</f>
        <v>65.082980800520659</v>
      </c>
      <c r="M18" s="317"/>
      <c r="N18" s="543"/>
      <c r="O18" s="543"/>
      <c r="P18" s="543"/>
      <c r="T18" s="754" t="str">
        <f>T7</f>
        <v>TPBUS</v>
      </c>
      <c r="U18" s="12">
        <f>'SE BUS data'!R68*BUS!J18</f>
        <v>250.23702873186355</v>
      </c>
      <c r="V18" s="12">
        <f>W18+W22</f>
        <v>250.23702873186352</v>
      </c>
      <c r="W18" s="277">
        <f>$H$17*$I$17*J18*$M$17*$N$17</f>
        <v>218.22011568835615</v>
      </c>
      <c r="X18" s="2712">
        <f t="shared" si="1"/>
        <v>0.99999999999999989</v>
      </c>
      <c r="Y18" s="2375"/>
      <c r="Z18" s="2550">
        <f>1/L18*H17*J18*M17*N17</f>
        <v>0.36713647956764778</v>
      </c>
      <c r="AA18" s="543"/>
      <c r="AB18" s="543"/>
      <c r="AC18" s="35" t="str">
        <f t="shared" si="0"/>
        <v>SE2</v>
      </c>
      <c r="AG18" s="270"/>
    </row>
    <row r="19" spans="1:33" s="754" customFormat="1">
      <c r="A19" s="545"/>
      <c r="B19" s="565" t="s">
        <v>602</v>
      </c>
      <c r="C19" s="543"/>
      <c r="D19" s="543"/>
      <c r="E19" s="543"/>
      <c r="F19" s="543" t="str">
        <f>Commodities!$D$12</f>
        <v>TPBUM</v>
      </c>
      <c r="G19" s="754" t="s">
        <v>3603</v>
      </c>
      <c r="H19" s="272"/>
      <c r="I19" s="2108"/>
      <c r="J19" s="1538">
        <f>$E$75</f>
        <v>0.16212357371665626</v>
      </c>
      <c r="K19" s="3">
        <v>5</v>
      </c>
      <c r="L19" s="2108">
        <f t="shared" si="2"/>
        <v>82.279131955157879</v>
      </c>
      <c r="M19" s="317"/>
      <c r="N19" s="543"/>
      <c r="O19" s="543"/>
      <c r="P19" s="543"/>
      <c r="T19" s="754" t="str">
        <f>T8</f>
        <v>TPBUM</v>
      </c>
      <c r="U19" s="12">
        <f>'SE BUS data'!R68*BUS!J19</f>
        <v>104.09680793681738</v>
      </c>
      <c r="V19" s="12">
        <f>W19+W23</f>
        <v>104.09680793681738</v>
      </c>
      <c r="W19" s="277">
        <f>$H$17*$I$17*J19*$M$17*$N$17</f>
        <v>90.778001904353545</v>
      </c>
      <c r="X19" s="2712">
        <f t="shared" si="1"/>
        <v>1</v>
      </c>
      <c r="Y19" s="2375"/>
      <c r="Z19" s="2550">
        <f>1/L19*H17*J19*M17*N17</f>
        <v>0.12080672500495045</v>
      </c>
      <c r="AA19" s="543"/>
      <c r="AB19" s="543"/>
      <c r="AC19" s="35" t="str">
        <f t="shared" si="0"/>
        <v>SE2</v>
      </c>
      <c r="AG19" s="270"/>
    </row>
    <row r="20" spans="1:33" s="754" customFormat="1">
      <c r="A20" s="545"/>
      <c r="B20" s="565" t="s">
        <v>602</v>
      </c>
      <c r="C20" s="543"/>
      <c r="D20" s="543"/>
      <c r="E20" s="543"/>
      <c r="F20" s="543" t="str">
        <f>Commodities!$D$13</f>
        <v>TPBUL</v>
      </c>
      <c r="G20" s="754" t="s">
        <v>3603</v>
      </c>
      <c r="H20" s="272"/>
      <c r="I20" s="2108"/>
      <c r="J20" s="1538">
        <f>$E$76</f>
        <v>0.37904047094821547</v>
      </c>
      <c r="K20" s="3">
        <v>5</v>
      </c>
      <c r="L20" s="2108">
        <f t="shared" si="2"/>
        <v>92.240285944886423</v>
      </c>
      <c r="M20" s="317"/>
      <c r="N20" s="543"/>
      <c r="O20" s="543"/>
      <c r="P20" s="543"/>
      <c r="Q20" s="271"/>
      <c r="T20" s="754" t="str">
        <f>T9</f>
        <v>TPBUL</v>
      </c>
      <c r="U20" s="12">
        <f>'SE BUS data'!R68*BUS!J20</f>
        <v>243.37548328126616</v>
      </c>
      <c r="V20" s="12">
        <f>W20+W24</f>
        <v>243.37548328126616</v>
      </c>
      <c r="W20" s="277">
        <f>$H$17*$I$17*J20*$M$17*$N$17</f>
        <v>212.23647989465152</v>
      </c>
      <c r="X20" s="2712">
        <f t="shared" si="1"/>
        <v>1</v>
      </c>
      <c r="Y20" s="2375"/>
      <c r="Z20" s="2550">
        <f>1/L20*H17*J20*M17*N17</f>
        <v>0.25194142779607326</v>
      </c>
      <c r="AA20" s="543"/>
      <c r="AB20" s="543"/>
      <c r="AC20" s="35" t="str">
        <f t="shared" si="0"/>
        <v>SE2</v>
      </c>
      <c r="AG20" s="270"/>
    </row>
    <row r="21" spans="1:33" s="754" customFormat="1">
      <c r="A21" s="545"/>
      <c r="B21" s="565" t="s">
        <v>602</v>
      </c>
      <c r="C21" s="543" t="str">
        <f>Processes!$D$18</f>
        <v>TPBUNGBL2E</v>
      </c>
      <c r="D21" s="543" t="str">
        <f>Processes!$E$18</f>
        <v>Transport Passengers Public Buses - Gas Engine -Blending 2 -  Existing</v>
      </c>
      <c r="E21" s="3" t="str">
        <f>Commodities!$D$100</f>
        <v>TRANGBL1</v>
      </c>
      <c r="F21" s="543" t="str">
        <f>Commodities!$D$10</f>
        <v>TPBUX</v>
      </c>
      <c r="G21" s="754" t="s">
        <v>3603</v>
      </c>
      <c r="H21" s="272">
        <f>'SE BUS data'!J90</f>
        <v>0.16274787866753532</v>
      </c>
      <c r="I21" s="2108">
        <f>'SE BUS data'!C$101</f>
        <v>9.1327129396134676</v>
      </c>
      <c r="J21" s="1538">
        <f>$E$73</f>
        <v>6.9109102242079751E-2</v>
      </c>
      <c r="K21" s="543">
        <v>5</v>
      </c>
      <c r="L21" s="2108">
        <f t="shared" si="2"/>
        <v>38.240177019404328</v>
      </c>
      <c r="M21" s="317">
        <f>'SE BUS data'!C$112</f>
        <v>55271.847598728804</v>
      </c>
      <c r="N21" s="543">
        <v>1E-3</v>
      </c>
      <c r="O21" s="754">
        <v>8</v>
      </c>
      <c r="P21" s="543">
        <f>1.8/1000</f>
        <v>1.8E-3</v>
      </c>
      <c r="Q21" s="271"/>
      <c r="U21" s="12"/>
      <c r="W21" s="277">
        <f>$H$21*$I$21*J21*$M$21*$N$21</f>
        <v>5.6774638427885025</v>
      </c>
      <c r="X21" s="2712"/>
      <c r="Y21" s="2375"/>
      <c r="Z21" s="22"/>
      <c r="AA21" s="437">
        <f>1/L21*H21*J21*M21*N21</f>
        <v>1.6256785518878408E-2</v>
      </c>
      <c r="AB21" s="543"/>
      <c r="AC21" s="35" t="str">
        <f t="shared" si="0"/>
        <v>SE2</v>
      </c>
      <c r="AG21" s="270"/>
    </row>
    <row r="22" spans="1:33" s="754" customFormat="1">
      <c r="A22" s="545"/>
      <c r="B22" s="565" t="s">
        <v>602</v>
      </c>
      <c r="E22" s="543"/>
      <c r="F22" s="543" t="str">
        <f>Commodities!$D$11</f>
        <v>TPBUS</v>
      </c>
      <c r="G22" s="754" t="s">
        <v>3603</v>
      </c>
      <c r="H22" s="272"/>
      <c r="I22" s="2108"/>
      <c r="J22" s="1538">
        <f>$E$74</f>
        <v>0.38972685309304844</v>
      </c>
      <c r="K22" s="543">
        <v>5</v>
      </c>
      <c r="L22" s="2108">
        <f t="shared" si="2"/>
        <v>38.240177019404328</v>
      </c>
      <c r="M22" s="784"/>
      <c r="N22" s="543"/>
      <c r="Q22" s="271"/>
      <c r="U22" s="12"/>
      <c r="W22" s="277">
        <f>$H$21*$I$21*J22*$M$21*$N$21</f>
        <v>32.016913043507387</v>
      </c>
      <c r="X22" s="2712"/>
      <c r="Y22" s="2375"/>
      <c r="Z22" s="22"/>
      <c r="AA22" s="437">
        <f>1/L22*H21*J22*M21*N21</f>
        <v>9.1676865364102272E-2</v>
      </c>
      <c r="AB22" s="543"/>
      <c r="AC22" s="35" t="str">
        <f t="shared" si="0"/>
        <v>SE2</v>
      </c>
      <c r="AG22" s="270"/>
    </row>
    <row r="23" spans="1:33" s="754" customFormat="1">
      <c r="A23" s="545"/>
      <c r="B23" s="565" t="s">
        <v>602</v>
      </c>
      <c r="E23" s="543"/>
      <c r="F23" s="543" t="str">
        <f>Commodities!$D$12</f>
        <v>TPBUM</v>
      </c>
      <c r="G23" s="754" t="s">
        <v>3603</v>
      </c>
      <c r="H23" s="250"/>
      <c r="I23" s="2088"/>
      <c r="J23" s="1538">
        <f>$E$75</f>
        <v>0.16212357371665626</v>
      </c>
      <c r="K23" s="543">
        <v>5</v>
      </c>
      <c r="L23" s="2108">
        <f t="shared" si="2"/>
        <v>48.343953092925851</v>
      </c>
      <c r="M23" s="784"/>
      <c r="Q23" s="271"/>
      <c r="U23" s="12"/>
      <c r="W23" s="277">
        <f>$H$21*$I$21*J23*$M$21*$N$21</f>
        <v>13.318806032463842</v>
      </c>
      <c r="X23" s="2712"/>
      <c r="Y23" s="2375"/>
      <c r="Z23" s="22"/>
      <c r="AA23" s="437">
        <f>1/L23*H21*J23*M21*N21</f>
        <v>3.0166389012607722E-2</v>
      </c>
      <c r="AB23" s="543"/>
      <c r="AC23" s="35" t="str">
        <f t="shared" si="0"/>
        <v>SE2</v>
      </c>
      <c r="AG23" s="270"/>
    </row>
    <row r="24" spans="1:33" s="754" customFormat="1">
      <c r="A24" s="545"/>
      <c r="B24" s="565" t="s">
        <v>602</v>
      </c>
      <c r="E24" s="543"/>
      <c r="F24" s="543" t="str">
        <f>Commodities!$D$13</f>
        <v>TPBUL</v>
      </c>
      <c r="G24" s="754" t="s">
        <v>3603</v>
      </c>
      <c r="H24" s="272"/>
      <c r="I24" s="2088"/>
      <c r="J24" s="1538">
        <f>$E$76</f>
        <v>0.37904047094821547</v>
      </c>
      <c r="K24" s="543">
        <v>5</v>
      </c>
      <c r="L24" s="2108">
        <f t="shared" si="2"/>
        <v>54.196731917735271</v>
      </c>
      <c r="M24" s="784"/>
      <c r="Q24" s="271"/>
      <c r="U24" s="12"/>
      <c r="W24" s="277">
        <f>$H$21*$I$21*J24*$M$21*$N$21</f>
        <v>31.139003386614636</v>
      </c>
      <c r="X24" s="2712"/>
      <c r="Y24" s="2375"/>
      <c r="Z24" s="22"/>
      <c r="AA24" s="437">
        <f>1/L24*H21*J24*M21*N21</f>
        <v>6.2911755276676237E-2</v>
      </c>
      <c r="AB24" s="543"/>
      <c r="AC24" s="35" t="str">
        <f t="shared" si="0"/>
        <v>SE2</v>
      </c>
      <c r="AG24" s="270"/>
    </row>
    <row r="25" spans="1:33" s="754" customFormat="1">
      <c r="A25" s="545"/>
      <c r="B25" s="565" t="s">
        <v>602</v>
      </c>
      <c r="C25" s="543" t="str">
        <f>Processes!$D$17</f>
        <v>TPCODSBL1E</v>
      </c>
      <c r="D25" s="543" t="str">
        <f>Processes!$E$17</f>
        <v>Transport Passengers Coaches - Diesel Engine - Blending 1 - Existing</v>
      </c>
      <c r="E25" s="543" t="str">
        <f>Commodities!$D$80</f>
        <v>TRADSBL1</v>
      </c>
      <c r="F25" s="543" t="str">
        <f>Commodities!$D$14</f>
        <v>TPCOS</v>
      </c>
      <c r="G25" s="754" t="s">
        <v>3603</v>
      </c>
      <c r="H25" s="272">
        <f>'SE BUS data'!I91</f>
        <v>0.45414679306003414</v>
      </c>
      <c r="I25" s="2108">
        <f>'SE BUS data'!C$101</f>
        <v>9.1327129396134676</v>
      </c>
      <c r="J25" s="1538">
        <f>$E$79</f>
        <v>7.2860027831733482E-2</v>
      </c>
      <c r="K25" s="543">
        <v>5</v>
      </c>
      <c r="L25" s="2108">
        <f t="shared" si="2"/>
        <v>65.082980800520659</v>
      </c>
      <c r="M25" s="317">
        <f>'SE BUS data'!C$112</f>
        <v>55271.847598728804</v>
      </c>
      <c r="N25" s="543">
        <v>1E-3</v>
      </c>
      <c r="O25" s="543">
        <v>8</v>
      </c>
      <c r="P25" s="543">
        <f>1.8/1000</f>
        <v>1.8E-3</v>
      </c>
      <c r="Q25" s="271"/>
      <c r="T25" s="754" t="str">
        <f t="shared" ref="T25:T31" si="3">T14</f>
        <v>TPCOS</v>
      </c>
      <c r="U25" s="12">
        <f>'SE BUS data'!R69*BUS!J25</f>
        <v>16.702803575463413</v>
      </c>
      <c r="V25" s="12">
        <f>$H$25*$I$25*J25*$M$25*$N$25</f>
        <v>16.702803575463413</v>
      </c>
      <c r="W25" s="543"/>
      <c r="X25" s="2712">
        <f t="shared" ref="X25:X51" si="4">V25/U25</f>
        <v>1</v>
      </c>
      <c r="Y25" s="2375"/>
      <c r="Z25" s="2550">
        <f>1/L25*H25*J25*M25*N25</f>
        <v>2.8101023062250912E-2</v>
      </c>
      <c r="AA25" s="543"/>
      <c r="AB25" s="543"/>
      <c r="AC25" s="35" t="str">
        <f t="shared" si="0"/>
        <v>SE2</v>
      </c>
      <c r="AG25" s="270"/>
    </row>
    <row r="26" spans="1:33" s="754" customFormat="1">
      <c r="A26" s="545"/>
      <c r="B26" s="565" t="s">
        <v>602</v>
      </c>
      <c r="C26" s="543"/>
      <c r="D26" s="543"/>
      <c r="E26" s="543"/>
      <c r="F26" s="543" t="str">
        <f>Commodities!$D$15</f>
        <v>TPCOM</v>
      </c>
      <c r="G26" s="754" t="s">
        <v>3603</v>
      </c>
      <c r="H26" s="250"/>
      <c r="I26" s="3"/>
      <c r="J26" s="1538">
        <f>$E$80</f>
        <v>0.12943870614909181</v>
      </c>
      <c r="K26" s="3">
        <v>5</v>
      </c>
      <c r="L26" s="2108">
        <f t="shared" si="2"/>
        <v>82.279131955157879</v>
      </c>
      <c r="M26" s="543"/>
      <c r="N26" s="543"/>
      <c r="O26" s="543"/>
      <c r="P26" s="543"/>
      <c r="Q26" s="271"/>
      <c r="T26" s="754" t="str">
        <f t="shared" si="3"/>
        <v>TPCOM</v>
      </c>
      <c r="U26" s="12">
        <f>'SE BUS data'!R69*BUS!J26</f>
        <v>29.673187730087239</v>
      </c>
      <c r="V26" s="12">
        <f>$H$25*$I$25*J26*$M$25*$N$25</f>
        <v>29.673187730087232</v>
      </c>
      <c r="W26" s="543"/>
      <c r="X26" s="2712">
        <f t="shared" si="4"/>
        <v>0.99999999999999978</v>
      </c>
      <c r="Y26" s="2375"/>
      <c r="Z26" s="2550">
        <f>1/L26*H25*J26*M25*N25</f>
        <v>3.948886905338464E-2</v>
      </c>
      <c r="AA26" s="543"/>
      <c r="AB26" s="543"/>
      <c r="AC26" s="35" t="str">
        <f t="shared" si="0"/>
        <v>SE2</v>
      </c>
      <c r="AG26" s="270"/>
    </row>
    <row r="27" spans="1:33" s="754" customFormat="1">
      <c r="A27" s="545"/>
      <c r="B27" s="565" t="s">
        <v>602</v>
      </c>
      <c r="F27" s="543" t="str">
        <f>Commodities!$D$16</f>
        <v>TPCOL</v>
      </c>
      <c r="G27" s="23" t="s">
        <v>3603</v>
      </c>
      <c r="H27" s="250"/>
      <c r="I27" s="545"/>
      <c r="J27" s="1538">
        <f>$E$81</f>
        <v>0.79770126601917479</v>
      </c>
      <c r="K27" s="3">
        <v>5</v>
      </c>
      <c r="L27" s="2373">
        <f t="shared" si="2"/>
        <v>92.240285944886423</v>
      </c>
      <c r="P27" s="23"/>
      <c r="Q27" s="271"/>
      <c r="T27" s="23" t="str">
        <f t="shared" si="3"/>
        <v>TPCOL</v>
      </c>
      <c r="U27" s="33">
        <f>'SE BUS data'!R69*BUS!J27</f>
        <v>182.86909784041683</v>
      </c>
      <c r="V27" s="33">
        <f>$H$25*$I$25*J27*$M$25*$N$25</f>
        <v>182.8690978404168</v>
      </c>
      <c r="W27" s="543"/>
      <c r="X27" s="2712">
        <f t="shared" si="4"/>
        <v>0.99999999999999989</v>
      </c>
      <c r="Y27" s="2375"/>
      <c r="Z27" s="2551">
        <f>1/L27*H25*J27*M25*N25</f>
        <v>0.21708003088141817</v>
      </c>
      <c r="AA27" s="23"/>
      <c r="AB27" s="543"/>
      <c r="AC27" s="35" t="str">
        <f t="shared" si="0"/>
        <v>SE2</v>
      </c>
      <c r="AG27" s="270"/>
    </row>
    <row r="28" spans="1:33" s="754" customFormat="1">
      <c r="A28" s="545"/>
      <c r="B28" s="2020" t="s">
        <v>603</v>
      </c>
      <c r="C28" s="30" t="str">
        <f>Processes!$D$16</f>
        <v>TPBUDSBL1E</v>
      </c>
      <c r="D28" s="30" t="str">
        <f>Processes!$E$16</f>
        <v>Transport Passengers Public Buses - Diesel Engine - Blending 1 - Existing</v>
      </c>
      <c r="E28" s="30" t="str">
        <f>Commodities!$D$80</f>
        <v>TRADSBL1</v>
      </c>
      <c r="F28" s="30" t="str">
        <f>Commodities!$D$10</f>
        <v>TPBUX</v>
      </c>
      <c r="G28" s="754" t="s">
        <v>3603</v>
      </c>
      <c r="H28" s="1659">
        <f>'SE BUS data'!I92</f>
        <v>7.1292295521651656</v>
      </c>
      <c r="I28" s="2372">
        <f>'SE BUS data'!C$101</f>
        <v>9.1327129396134676</v>
      </c>
      <c r="J28" s="2705">
        <f>$F$73</f>
        <v>9.8096698305323235E-2</v>
      </c>
      <c r="K28" s="30">
        <v>5</v>
      </c>
      <c r="L28" s="2108">
        <f>L6</f>
        <v>65.082980800520659</v>
      </c>
      <c r="M28" s="2090">
        <f>'SE BUS data'!C$112</f>
        <v>55271.847598728804</v>
      </c>
      <c r="N28" s="1659">
        <v>1E-3</v>
      </c>
      <c r="O28" s="30">
        <v>8</v>
      </c>
      <c r="P28" s="543">
        <f>1.8/1000</f>
        <v>1.8E-3</v>
      </c>
      <c r="Q28" s="271"/>
      <c r="T28" s="754" t="str">
        <f t="shared" si="3"/>
        <v>TPBUX</v>
      </c>
      <c r="U28" s="12">
        <f>'SE BUS data'!R70*BUS!J28</f>
        <v>404.81590864680061</v>
      </c>
      <c r="V28" s="12">
        <f>W28+W32</f>
        <v>404.81590864680055</v>
      </c>
      <c r="W28" s="277">
        <f>$H$28*$I$28*J28*$M$28*$N$28</f>
        <v>353.02119300676992</v>
      </c>
      <c r="X28" s="2712">
        <f t="shared" si="4"/>
        <v>0.99999999999999989</v>
      </c>
      <c r="Y28" s="2375"/>
      <c r="Z28" s="2550">
        <f>1/L28*H28*J28*M28*N28</f>
        <v>0.5939276386342428</v>
      </c>
      <c r="AA28" s="272"/>
      <c r="AB28" s="543"/>
      <c r="AC28" s="35" t="str">
        <f t="shared" si="0"/>
        <v>SE3</v>
      </c>
      <c r="AG28" s="270"/>
    </row>
    <row r="29" spans="1:33" s="754" customFormat="1">
      <c r="A29" s="545"/>
      <c r="B29" s="565" t="s">
        <v>603</v>
      </c>
      <c r="C29" s="543"/>
      <c r="D29" s="543"/>
      <c r="E29" s="543"/>
      <c r="F29" s="543" t="str">
        <f>Commodities!$D$11</f>
        <v>TPBUS</v>
      </c>
      <c r="G29" s="754" t="s">
        <v>3603</v>
      </c>
      <c r="H29" s="250"/>
      <c r="I29" s="2108"/>
      <c r="J29" s="1538">
        <f>$F$74</f>
        <v>0.45493921093088957</v>
      </c>
      <c r="K29" s="3">
        <v>5</v>
      </c>
      <c r="L29" s="2108">
        <f t="shared" ref="L29:L38" si="5">L7</f>
        <v>65.082980800520659</v>
      </c>
      <c r="M29" s="317"/>
      <c r="N29" s="543"/>
      <c r="O29" s="543"/>
      <c r="P29" s="543"/>
      <c r="Q29" s="271"/>
      <c r="T29" s="754" t="str">
        <f t="shared" si="3"/>
        <v>TPBUS</v>
      </c>
      <c r="U29" s="12">
        <f>'SE BUS data'!R70*BUS!J29</f>
        <v>1877.3988649325693</v>
      </c>
      <c r="V29" s="12">
        <f>W29+W33</f>
        <v>1877.3988649325693</v>
      </c>
      <c r="W29" s="277">
        <f>$H$28*$I$28*J29*$M$28*$N$28</f>
        <v>1637.1925433056704</v>
      </c>
      <c r="X29" s="2712">
        <f t="shared" si="4"/>
        <v>1</v>
      </c>
      <c r="Y29" s="2375"/>
      <c r="Z29" s="2550">
        <f>1/L29*H28*J29*M28*N28</f>
        <v>2.7544349191989723</v>
      </c>
      <c r="AA29" s="543"/>
      <c r="AB29" s="543"/>
      <c r="AC29" s="35" t="str">
        <f t="shared" si="0"/>
        <v>SE3</v>
      </c>
      <c r="AG29" s="270"/>
    </row>
    <row r="30" spans="1:33" s="754" customFormat="1">
      <c r="A30" s="545"/>
      <c r="B30" s="565" t="s">
        <v>603</v>
      </c>
      <c r="C30" s="543"/>
      <c r="D30" s="543"/>
      <c r="E30" s="543"/>
      <c r="F30" s="543" t="str">
        <f>Commodities!$D$12</f>
        <v>TPBUM</v>
      </c>
      <c r="G30" s="754" t="s">
        <v>3603</v>
      </c>
      <c r="H30" s="272"/>
      <c r="I30" s="2108"/>
      <c r="J30" s="1538">
        <f>$F$75</f>
        <v>0.27241669321599721</v>
      </c>
      <c r="K30" s="3">
        <v>5</v>
      </c>
      <c r="L30" s="2108">
        <f t="shared" si="5"/>
        <v>82.279131955157879</v>
      </c>
      <c r="M30" s="317"/>
      <c r="N30" s="543"/>
      <c r="O30" s="543"/>
      <c r="P30" s="543"/>
      <c r="Q30" s="271"/>
      <c r="T30" s="754" t="str">
        <f t="shared" si="3"/>
        <v>TPBUM</v>
      </c>
      <c r="U30" s="12">
        <f>'SE BUS data'!R70*BUS!J30</f>
        <v>1124.1827003346384</v>
      </c>
      <c r="V30" s="12">
        <f>W30+W34</f>
        <v>1124.1827003346384</v>
      </c>
      <c r="W30" s="277">
        <f>$H$28*$I$28*J30*$M$28*$N$28</f>
        <v>980.34763346211378</v>
      </c>
      <c r="X30" s="2712">
        <f t="shared" si="4"/>
        <v>1</v>
      </c>
      <c r="Y30" s="2375"/>
      <c r="Z30" s="2550">
        <f>1/L30*H28*J30*M28*N28</f>
        <v>1.3046397197604738</v>
      </c>
      <c r="AA30" s="543"/>
      <c r="AB30" s="543"/>
      <c r="AC30" s="35" t="str">
        <f t="shared" si="0"/>
        <v>SE3</v>
      </c>
      <c r="AG30" s="270"/>
    </row>
    <row r="31" spans="1:33" s="754" customFormat="1">
      <c r="A31" s="545"/>
      <c r="B31" s="565" t="s">
        <v>603</v>
      </c>
      <c r="C31" s="543"/>
      <c r="D31" s="543"/>
      <c r="E31" s="543"/>
      <c r="F31" s="543" t="str">
        <f>Commodities!$D$13</f>
        <v>TPBUL</v>
      </c>
      <c r="G31" s="754" t="s">
        <v>3603</v>
      </c>
      <c r="H31" s="272"/>
      <c r="I31" s="2108"/>
      <c r="J31" s="1538">
        <f>$F$76</f>
        <v>0.17454739754778992</v>
      </c>
      <c r="K31" s="3">
        <v>5</v>
      </c>
      <c r="L31" s="2108">
        <f t="shared" si="5"/>
        <v>92.240285944886423</v>
      </c>
      <c r="M31" s="317"/>
      <c r="N31" s="543"/>
      <c r="O31" s="543"/>
      <c r="P31" s="543"/>
      <c r="Q31" s="271"/>
      <c r="T31" s="754" t="str">
        <f t="shared" si="3"/>
        <v>TPBUL</v>
      </c>
      <c r="U31" s="12">
        <f>'SE BUS data'!R70*BUS!J31</f>
        <v>720.30521476183628</v>
      </c>
      <c r="V31" s="12">
        <f>W31+W35</f>
        <v>720.30521476183628</v>
      </c>
      <c r="W31" s="277">
        <f>$H$28*$I$28*J31*$M$28*$N$28</f>
        <v>628.14479572758455</v>
      </c>
      <c r="X31" s="2712">
        <f t="shared" si="4"/>
        <v>1</v>
      </c>
      <c r="Y31" s="2375"/>
      <c r="Z31" s="2550">
        <f>1/L31*H28*J31*M28*N28</f>
        <v>0.74565737604032223</v>
      </c>
      <c r="AA31" s="543"/>
      <c r="AB31" s="543"/>
      <c r="AC31" s="35" t="str">
        <f t="shared" si="0"/>
        <v>SE3</v>
      </c>
      <c r="AG31" s="270"/>
    </row>
    <row r="32" spans="1:33" s="754" customFormat="1">
      <c r="A32" s="545"/>
      <c r="B32" s="565" t="s">
        <v>603</v>
      </c>
      <c r="C32" s="543" t="str">
        <f>Processes!$D$18</f>
        <v>TPBUNGBL2E</v>
      </c>
      <c r="D32" s="543" t="str">
        <f>Processes!$E$18</f>
        <v>Transport Passengers Public Buses - Gas Engine -Blending 2 -  Existing</v>
      </c>
      <c r="E32" s="3" t="str">
        <f>Commodities!$D$100</f>
        <v>TRANGBL1</v>
      </c>
      <c r="F32" s="543" t="str">
        <f>Commodities!$D$10</f>
        <v>TPBUX</v>
      </c>
      <c r="G32" s="754" t="s">
        <v>3603</v>
      </c>
      <c r="H32" s="272">
        <f>'SE BUS data'!J92</f>
        <v>1.0459893759970842</v>
      </c>
      <c r="I32" s="2108">
        <f>'SE BUS data'!C$101</f>
        <v>9.1327129396134676</v>
      </c>
      <c r="J32" s="1538">
        <f>$F$73</f>
        <v>9.8096698305323235E-2</v>
      </c>
      <c r="K32" s="543">
        <v>5</v>
      </c>
      <c r="L32" s="2108">
        <f t="shared" si="5"/>
        <v>38.240177019404328</v>
      </c>
      <c r="M32" s="317">
        <f>'SE BUS data'!C$112</f>
        <v>55271.847598728804</v>
      </c>
      <c r="N32" s="543">
        <v>1E-3</v>
      </c>
      <c r="O32" s="754">
        <v>8</v>
      </c>
      <c r="P32" s="543">
        <f>1.8/1000</f>
        <v>1.8E-3</v>
      </c>
      <c r="Q32" s="271"/>
      <c r="U32" s="12"/>
      <c r="V32" s="548"/>
      <c r="W32" s="277">
        <f>$H$32*$I$32*J32*$M$32*$N$32</f>
        <v>51.794715640030617</v>
      </c>
      <c r="X32" s="2712"/>
      <c r="Y32" s="2375"/>
      <c r="Z32" s="22"/>
      <c r="AA32" s="437">
        <f>1/L32*H32*J32*M32*N32</f>
        <v>0.14830840080836455</v>
      </c>
      <c r="AB32" s="543"/>
      <c r="AC32" s="35" t="str">
        <f t="shared" si="0"/>
        <v>SE3</v>
      </c>
      <c r="AG32" s="270"/>
    </row>
    <row r="33" spans="1:38" s="754" customFormat="1">
      <c r="A33" s="545"/>
      <c r="B33" s="565" t="s">
        <v>603</v>
      </c>
      <c r="E33" s="543"/>
      <c r="F33" s="543" t="str">
        <f>Commodities!$D$11</f>
        <v>TPBUS</v>
      </c>
      <c r="G33" s="754" t="s">
        <v>3603</v>
      </c>
      <c r="H33" s="272"/>
      <c r="I33" s="2108"/>
      <c r="J33" s="1538">
        <f>$F$74</f>
        <v>0.45493921093088957</v>
      </c>
      <c r="K33" s="543">
        <v>5</v>
      </c>
      <c r="L33" s="2108">
        <f t="shared" si="5"/>
        <v>38.240177019404328</v>
      </c>
      <c r="M33" s="784"/>
      <c r="N33" s="543"/>
      <c r="Q33" s="271"/>
      <c r="U33" s="12"/>
      <c r="V33" s="548"/>
      <c r="W33" s="277">
        <f>$H$32*$I$32*J33*$M$32*$N$32</f>
        <v>240.20632162689881</v>
      </c>
      <c r="X33" s="2712"/>
      <c r="Y33" s="2375"/>
      <c r="Z33" s="22"/>
      <c r="AA33" s="437">
        <f>1/L33*H32*J33*M32*N32</f>
        <v>0.68780405460922767</v>
      </c>
      <c r="AB33" s="543"/>
      <c r="AC33" s="35" t="str">
        <f t="shared" si="0"/>
        <v>SE3</v>
      </c>
      <c r="AG33" s="270"/>
    </row>
    <row r="34" spans="1:38" s="754" customFormat="1">
      <c r="A34" s="545"/>
      <c r="B34" s="565" t="s">
        <v>603</v>
      </c>
      <c r="E34" s="543"/>
      <c r="F34" s="543" t="str">
        <f>Commodities!$D$12</f>
        <v>TPBUM</v>
      </c>
      <c r="G34" s="754" t="s">
        <v>3603</v>
      </c>
      <c r="H34" s="250"/>
      <c r="I34" s="2088"/>
      <c r="J34" s="1538">
        <f>$F$75</f>
        <v>0.27241669321599721</v>
      </c>
      <c r="K34" s="543">
        <v>5</v>
      </c>
      <c r="L34" s="2108">
        <f t="shared" si="5"/>
        <v>48.343953092925851</v>
      </c>
      <c r="M34" s="784"/>
      <c r="Q34" s="271"/>
      <c r="U34" s="12"/>
      <c r="V34" s="548"/>
      <c r="W34" s="277">
        <f>$H$32*$I$32*J34*$M$32*$N$32</f>
        <v>143.83506687252455</v>
      </c>
      <c r="X34" s="2712"/>
      <c r="Y34" s="2375"/>
      <c r="Z34" s="22"/>
      <c r="AA34" s="437">
        <f>1/L34*H32*J34*M32*N32</f>
        <v>0.3257787950627849</v>
      </c>
      <c r="AB34" s="543"/>
      <c r="AC34" s="35" t="str">
        <f t="shared" si="0"/>
        <v>SE3</v>
      </c>
      <c r="AG34" s="270"/>
    </row>
    <row r="35" spans="1:38" s="754" customFormat="1">
      <c r="A35" s="545"/>
      <c r="B35" s="565" t="s">
        <v>603</v>
      </c>
      <c r="E35" s="543"/>
      <c r="F35" s="543" t="str">
        <f>Commodities!$D$13</f>
        <v>TPBUL</v>
      </c>
      <c r="G35" s="754" t="s">
        <v>3603</v>
      </c>
      <c r="H35" s="272"/>
      <c r="I35" s="2088"/>
      <c r="J35" s="1538">
        <f>$F$76</f>
        <v>0.17454739754778992</v>
      </c>
      <c r="K35" s="543">
        <v>5</v>
      </c>
      <c r="L35" s="2108">
        <f t="shared" si="5"/>
        <v>54.196731917735271</v>
      </c>
      <c r="M35" s="784"/>
      <c r="Q35" s="271"/>
      <c r="U35" s="12"/>
      <c r="W35" s="277">
        <f>$H$32*$I$32*J35*$M$32*$N$32</f>
        <v>92.160419034251689</v>
      </c>
      <c r="X35" s="2712"/>
      <c r="Y35" s="2375"/>
      <c r="Z35" s="22"/>
      <c r="AA35" s="437">
        <f>1/L35*H32*J35*M32*N32</f>
        <v>0.18619650913333607</v>
      </c>
      <c r="AB35" s="543"/>
      <c r="AC35" s="35" t="str">
        <f t="shared" si="0"/>
        <v>SE3</v>
      </c>
      <c r="AG35" s="270"/>
    </row>
    <row r="36" spans="1:38" s="754" customFormat="1">
      <c r="A36" s="545"/>
      <c r="B36" s="565" t="s">
        <v>603</v>
      </c>
      <c r="C36" s="543" t="str">
        <f>Processes!$D$17</f>
        <v>TPCODSBL1E</v>
      </c>
      <c r="D36" s="543" t="str">
        <f>Processes!$E$17</f>
        <v>Transport Passengers Coaches - Diesel Engine - Blending 1 - Existing</v>
      </c>
      <c r="E36" s="543" t="str">
        <f>Commodities!$D$80</f>
        <v>TRADSBL1</v>
      </c>
      <c r="F36" s="543" t="str">
        <f>Commodities!$D$14</f>
        <v>TPCOS</v>
      </c>
      <c r="G36" s="754" t="s">
        <v>3603</v>
      </c>
      <c r="H36" s="272">
        <f>'SE BUS data'!I93</f>
        <v>2.9188258831585054</v>
      </c>
      <c r="I36" s="2108">
        <f>'SE BUS data'!C$101</f>
        <v>9.1327129396134676</v>
      </c>
      <c r="J36" s="1538">
        <f>$F$79</f>
        <v>7.7087750523142498E-2</v>
      </c>
      <c r="K36" s="543">
        <v>5</v>
      </c>
      <c r="L36" s="2108">
        <f t="shared" si="5"/>
        <v>65.082980800520659</v>
      </c>
      <c r="M36" s="317">
        <f>'SE BUS data'!C$112</f>
        <v>55271.847598728804</v>
      </c>
      <c r="N36" s="543">
        <v>1E-3</v>
      </c>
      <c r="O36" s="543">
        <v>8</v>
      </c>
      <c r="P36" s="543">
        <f>1.8/1000</f>
        <v>1.8E-3</v>
      </c>
      <c r="Q36" s="271"/>
      <c r="T36" s="754" t="str">
        <f t="shared" ref="T36:T42" si="6">T25</f>
        <v>TPCOS</v>
      </c>
      <c r="U36" s="12">
        <f>'SE BUS data'!R71*BUS!J36</f>
        <v>113.57881960673838</v>
      </c>
      <c r="V36" s="12">
        <f>$H$36*$I$36*J36*$M$36*$N$36</f>
        <v>113.57881960673841</v>
      </c>
      <c r="W36" s="543"/>
      <c r="X36" s="2712">
        <f t="shared" si="4"/>
        <v>1.0000000000000002</v>
      </c>
      <c r="Y36" s="2375"/>
      <c r="Z36" s="2550">
        <f>1/L36*H36*J36*M36*N36</f>
        <v>0.19108654512592141</v>
      </c>
      <c r="AA36" s="543"/>
      <c r="AB36" s="543"/>
      <c r="AC36" s="35" t="str">
        <f t="shared" si="0"/>
        <v>SE3</v>
      </c>
      <c r="AG36" s="270"/>
    </row>
    <row r="37" spans="1:38" s="754" customFormat="1">
      <c r="A37" s="545"/>
      <c r="B37" s="565" t="s">
        <v>603</v>
      </c>
      <c r="C37" s="543"/>
      <c r="D37" s="543"/>
      <c r="E37" s="543"/>
      <c r="F37" s="543" t="str">
        <f>Commodities!$D$15</f>
        <v>TPCOM</v>
      </c>
      <c r="G37" s="754" t="s">
        <v>3603</v>
      </c>
      <c r="H37" s="250"/>
      <c r="I37" s="3"/>
      <c r="J37" s="1538">
        <f>$F$80</f>
        <v>0.1480164582878904</v>
      </c>
      <c r="K37" s="3">
        <v>5</v>
      </c>
      <c r="L37" s="2108">
        <f t="shared" si="5"/>
        <v>82.279131955157879</v>
      </c>
      <c r="M37" s="543"/>
      <c r="N37" s="543"/>
      <c r="O37" s="543"/>
      <c r="P37" s="543"/>
      <c r="Q37" s="271"/>
      <c r="T37" s="543" t="str">
        <f t="shared" si="6"/>
        <v>TPCOM</v>
      </c>
      <c r="U37" s="12">
        <f>'SE BUS data'!R71*BUS!J37</f>
        <v>218.08308713926775</v>
      </c>
      <c r="V37" s="12">
        <f>$H$36*$I$36*J37*$M$36*$N$36</f>
        <v>218.08308713926775</v>
      </c>
      <c r="W37" s="543"/>
      <c r="X37" s="2712">
        <f t="shared" si="4"/>
        <v>1</v>
      </c>
      <c r="Y37" s="2375"/>
      <c r="Z37" s="2550">
        <f>1/L37*H36*J37*M36*N36</f>
        <v>0.29022343501262571</v>
      </c>
      <c r="AA37" s="543"/>
      <c r="AB37" s="543"/>
      <c r="AC37" s="35" t="str">
        <f t="shared" si="0"/>
        <v>SE3</v>
      </c>
      <c r="AG37" s="270"/>
    </row>
    <row r="38" spans="1:38" s="754" customFormat="1">
      <c r="A38" s="545"/>
      <c r="B38" s="565" t="s">
        <v>603</v>
      </c>
      <c r="F38" s="543" t="str">
        <f>Commodities!$D$16</f>
        <v>TPCOL</v>
      </c>
      <c r="G38" s="23" t="s">
        <v>3603</v>
      </c>
      <c r="H38" s="250"/>
      <c r="I38" s="27"/>
      <c r="J38" s="1538">
        <f>$F$81</f>
        <v>0.77489579118896701</v>
      </c>
      <c r="K38" s="3">
        <v>5</v>
      </c>
      <c r="L38" s="2373">
        <f t="shared" si="5"/>
        <v>92.240285944886423</v>
      </c>
      <c r="P38" s="23"/>
      <c r="Q38" s="271"/>
      <c r="T38" s="23" t="str">
        <f t="shared" si="6"/>
        <v>TPCOL</v>
      </c>
      <c r="U38" s="33">
        <f>'SE BUS data'!R71*BUS!J38</f>
        <v>1141.7086201659304</v>
      </c>
      <c r="V38" s="33">
        <f>$H$36*$I$36*J38*$M$36*$N$36</f>
        <v>1141.7086201659304</v>
      </c>
      <c r="W38" s="543"/>
      <c r="X38" s="2712">
        <f t="shared" si="4"/>
        <v>1</v>
      </c>
      <c r="Y38" s="2375"/>
      <c r="Z38" s="2551">
        <f>1/L38*H36*J38*M36*N36</f>
        <v>1.3552981091397096</v>
      </c>
      <c r="AA38" s="23"/>
      <c r="AB38" s="543"/>
      <c r="AC38" s="35" t="str">
        <f t="shared" si="0"/>
        <v>SE3</v>
      </c>
      <c r="AG38" s="270"/>
    </row>
    <row r="39" spans="1:38" s="754" customFormat="1">
      <c r="A39" s="545"/>
      <c r="B39" s="2020" t="s">
        <v>604</v>
      </c>
      <c r="C39" s="30" t="str">
        <f>Processes!$D$16</f>
        <v>TPBUDSBL1E</v>
      </c>
      <c r="D39" s="30" t="str">
        <f>Processes!$E$16</f>
        <v>Transport Passengers Public Buses - Diesel Engine - Blending 1 - Existing</v>
      </c>
      <c r="E39" s="30" t="str">
        <f>Commodities!$D$80</f>
        <v>TRADSBL1</v>
      </c>
      <c r="F39" s="30" t="str">
        <f>Commodities!$D$10</f>
        <v>TPBUX</v>
      </c>
      <c r="G39" s="754" t="s">
        <v>3603</v>
      </c>
      <c r="H39" s="1659">
        <f>'SE BUS data'!I94</f>
        <v>2.1815835224642055</v>
      </c>
      <c r="I39" s="2717">
        <f>'SE BUS data'!C$101</f>
        <v>9.1327129396134676</v>
      </c>
      <c r="J39" s="2705">
        <f>$G$73</f>
        <v>6.6645177081780999E-2</v>
      </c>
      <c r="K39" s="30">
        <v>5</v>
      </c>
      <c r="L39" s="1658">
        <f>L6</f>
        <v>65.082980800520659</v>
      </c>
      <c r="M39" s="2255">
        <f>'SE BUS data'!C$112</f>
        <v>55271.847598728804</v>
      </c>
      <c r="N39" s="1659">
        <v>1E-3</v>
      </c>
      <c r="O39" s="194">
        <v>8</v>
      </c>
      <c r="P39" s="543">
        <f>1.8/1000</f>
        <v>1.8E-3</v>
      </c>
      <c r="Q39" s="271"/>
      <c r="T39" s="754" t="str">
        <f t="shared" si="6"/>
        <v>TPBUX</v>
      </c>
      <c r="U39" s="12">
        <f>'SE BUS data'!R72*BUS!J39</f>
        <v>84.159113712230564</v>
      </c>
      <c r="V39" s="12">
        <f>W39+W43</f>
        <v>84.159113712230564</v>
      </c>
      <c r="W39" s="277">
        <f>$H$39*$I$39*J39*$M$39*$N$39</f>
        <v>73.391262770272689</v>
      </c>
      <c r="X39" s="2712">
        <f t="shared" si="4"/>
        <v>1</v>
      </c>
      <c r="Y39" s="2375"/>
      <c r="Z39" s="2550">
        <f>1/L39*H39*J39*M39*N39</f>
        <v>0.1234744549534661</v>
      </c>
      <c r="AA39" s="272"/>
      <c r="AB39" s="543"/>
      <c r="AC39" s="35" t="str">
        <f t="shared" si="0"/>
        <v>SE4</v>
      </c>
      <c r="AG39" s="270"/>
    </row>
    <row r="40" spans="1:38" s="754" customFormat="1">
      <c r="A40" s="545"/>
      <c r="B40" s="565" t="s">
        <v>604</v>
      </c>
      <c r="C40" s="543"/>
      <c r="D40" s="543"/>
      <c r="E40" s="543"/>
      <c r="F40" s="543" t="str">
        <f>Commodities!$D$11</f>
        <v>TPBUS</v>
      </c>
      <c r="G40" s="754" t="s">
        <v>3603</v>
      </c>
      <c r="H40" s="250"/>
      <c r="I40" s="2717"/>
      <c r="J40" s="1538">
        <f>$G$74</f>
        <v>0.43255100982605327</v>
      </c>
      <c r="K40" s="3">
        <v>5</v>
      </c>
      <c r="L40" s="1658">
        <f t="shared" ref="L40:L48" si="7">L7</f>
        <v>65.082980800520659</v>
      </c>
      <c r="M40" s="2107"/>
      <c r="N40" s="272"/>
      <c r="O40" s="2089"/>
      <c r="P40" s="543"/>
      <c r="Q40" s="271"/>
      <c r="T40" s="754" t="str">
        <f t="shared" si="6"/>
        <v>TPBUS</v>
      </c>
      <c r="U40" s="12">
        <f>'SE BUS data'!R72*BUS!J40</f>
        <v>546.22271582563792</v>
      </c>
      <c r="V40" s="12">
        <f>W40+W44</f>
        <v>546.22271582563792</v>
      </c>
      <c r="W40" s="277">
        <f>$H$39*$I$39*J40*$M$39*$N$39</f>
        <v>476.33551614298341</v>
      </c>
      <c r="X40" s="2712">
        <f t="shared" si="4"/>
        <v>1</v>
      </c>
      <c r="Y40" s="2375"/>
      <c r="Z40" s="2550">
        <f>1/L40*H39*J40*M39*N39</f>
        <v>0.80139332681650066</v>
      </c>
      <c r="AA40" s="543"/>
      <c r="AB40" s="543"/>
      <c r="AC40" s="35" t="str">
        <f t="shared" si="0"/>
        <v>SE4</v>
      </c>
      <c r="AJ40" s="1656"/>
      <c r="AK40" s="1656"/>
      <c r="AL40" s="1653"/>
    </row>
    <row r="41" spans="1:38" s="754" customFormat="1">
      <c r="A41" s="545"/>
      <c r="B41" s="565" t="s">
        <v>604</v>
      </c>
      <c r="C41" s="543"/>
      <c r="D41" s="543"/>
      <c r="E41" s="543"/>
      <c r="F41" s="543" t="str">
        <f>Commodities!$D$12</f>
        <v>TPBUM</v>
      </c>
      <c r="G41" s="754" t="s">
        <v>3603</v>
      </c>
      <c r="H41" s="1657"/>
      <c r="I41" s="2717"/>
      <c r="J41" s="1538">
        <f>$G$75</f>
        <v>0.36382407988124427</v>
      </c>
      <c r="K41" s="3">
        <v>5</v>
      </c>
      <c r="L41" s="1658">
        <f t="shared" si="7"/>
        <v>82.279131955157879</v>
      </c>
      <c r="M41" s="2107"/>
      <c r="N41" s="272"/>
      <c r="O41" s="2089"/>
      <c r="P41" s="543"/>
      <c r="Q41" s="271"/>
      <c r="T41" s="754" t="str">
        <f t="shared" si="6"/>
        <v>TPBUM</v>
      </c>
      <c r="U41" s="12">
        <f>'SE BUS data'!R72*BUS!J41</f>
        <v>459.43477758938593</v>
      </c>
      <c r="V41" s="12">
        <f>W41+W45</f>
        <v>459.43477758938593</v>
      </c>
      <c r="W41" s="277">
        <f>$H$39*$I$39*J41*$M$39*$N$39</f>
        <v>400.65177733643623</v>
      </c>
      <c r="X41" s="2712">
        <f t="shared" si="4"/>
        <v>1</v>
      </c>
      <c r="Y41" s="2375"/>
      <c r="Z41" s="2550">
        <f>1/L41*H39*J41*M39*N39</f>
        <v>0.53318456092947164</v>
      </c>
      <c r="AA41" s="543"/>
      <c r="AB41" s="543"/>
      <c r="AC41" s="35" t="str">
        <f t="shared" si="0"/>
        <v>SE4</v>
      </c>
      <c r="AJ41" s="1656"/>
      <c r="AK41" s="1656"/>
      <c r="AL41" s="1653"/>
    </row>
    <row r="42" spans="1:38" s="754" customFormat="1">
      <c r="A42" s="545"/>
      <c r="B42" s="565" t="s">
        <v>604</v>
      </c>
      <c r="C42" s="543"/>
      <c r="D42" s="543"/>
      <c r="E42" s="543"/>
      <c r="F42" s="543" t="str">
        <f>Commodities!$D$13</f>
        <v>TPBUL</v>
      </c>
      <c r="G42" s="754" t="s">
        <v>3603</v>
      </c>
      <c r="H42" s="1657"/>
      <c r="I42" s="2717"/>
      <c r="J42" s="1538">
        <f>$G$76</f>
        <v>0.13697973321092158</v>
      </c>
      <c r="K42" s="3">
        <v>5</v>
      </c>
      <c r="L42" s="1658">
        <f t="shared" si="7"/>
        <v>92.240285944886423</v>
      </c>
      <c r="M42" s="2107"/>
      <c r="N42" s="272"/>
      <c r="O42" s="2089"/>
      <c r="P42" s="543"/>
      <c r="Q42" s="271"/>
      <c r="T42" s="754" t="str">
        <f t="shared" si="6"/>
        <v>TPBUL</v>
      </c>
      <c r="U42" s="12">
        <f>'SE BUS data'!R72*BUS!J42</f>
        <v>172.9771522614864</v>
      </c>
      <c r="V42" s="12">
        <f>W42+W46</f>
        <v>172.9771522614864</v>
      </c>
      <c r="W42" s="277">
        <f>$H$39*$I$39*J42*$M$39*$N$39</f>
        <v>150.84535797614149</v>
      </c>
      <c r="X42" s="2712">
        <f t="shared" si="4"/>
        <v>1</v>
      </c>
      <c r="Y42" s="2375"/>
      <c r="Z42" s="2550">
        <f>1/L42*H39*J42*M39*N39</f>
        <v>0.17906532790113716</v>
      </c>
      <c r="AA42" s="543"/>
      <c r="AB42" s="543"/>
      <c r="AC42" s="35" t="str">
        <f t="shared" si="0"/>
        <v>SE4</v>
      </c>
      <c r="AJ42" s="1656"/>
      <c r="AK42" s="1656"/>
      <c r="AL42" s="1653"/>
    </row>
    <row r="43" spans="1:38" s="754" customFormat="1">
      <c r="A43" s="545"/>
      <c r="B43" s="565" t="s">
        <v>604</v>
      </c>
      <c r="C43" s="543" t="str">
        <f>Processes!$D$18</f>
        <v>TPBUNGBL2E</v>
      </c>
      <c r="D43" s="543" t="str">
        <f>Processes!$E$18</f>
        <v>Transport Passengers Public Buses - Gas Engine -Blending 2 -  Existing</v>
      </c>
      <c r="E43" s="3" t="str">
        <f>Commodities!$D$100</f>
        <v>TRANGBL1</v>
      </c>
      <c r="F43" s="543" t="str">
        <f>Commodities!$D$10</f>
        <v>TPBUX</v>
      </c>
      <c r="G43" s="754" t="s">
        <v>3603</v>
      </c>
      <c r="H43" s="272">
        <f>'SE BUS data'!J94</f>
        <v>0.32007851208197274</v>
      </c>
      <c r="I43" s="2108">
        <f>'SE BUS data'!C$101</f>
        <v>9.1327129396134676</v>
      </c>
      <c r="J43" s="1538">
        <f>$G$73</f>
        <v>6.6645177081780999E-2</v>
      </c>
      <c r="K43" s="543">
        <v>5</v>
      </c>
      <c r="L43" s="1658">
        <f t="shared" si="7"/>
        <v>38.240177019404328</v>
      </c>
      <c r="M43" s="2097">
        <f>'SE BUS data'!C$112</f>
        <v>55271.847598728804</v>
      </c>
      <c r="N43" s="272">
        <v>1E-3</v>
      </c>
      <c r="O43" s="184">
        <v>8</v>
      </c>
      <c r="P43" s="543">
        <f>1.8/1000</f>
        <v>1.8E-3</v>
      </c>
      <c r="Q43" s="271"/>
      <c r="U43" s="12"/>
      <c r="V43" s="548"/>
      <c r="W43" s="277">
        <f>$H$43*$I$43*J43*$M$43*$N$43</f>
        <v>10.767850941957871</v>
      </c>
      <c r="X43" s="2712"/>
      <c r="Y43" s="2375"/>
      <c r="Z43" s="22"/>
      <c r="AA43" s="437">
        <f>1/L43*H43*J43*M43*N43</f>
        <v>3.0832542154365417E-2</v>
      </c>
      <c r="AB43" s="543"/>
      <c r="AC43" s="35" t="str">
        <f t="shared" si="0"/>
        <v>SE4</v>
      </c>
      <c r="AJ43" s="1656"/>
      <c r="AK43" s="1656"/>
      <c r="AL43" s="1653"/>
    </row>
    <row r="44" spans="1:38" s="754" customFormat="1">
      <c r="A44" s="545"/>
      <c r="B44" s="565" t="s">
        <v>604</v>
      </c>
      <c r="E44" s="543"/>
      <c r="F44" s="543" t="str">
        <f>Commodities!$D$11</f>
        <v>TPBUS</v>
      </c>
      <c r="G44" s="754" t="s">
        <v>3603</v>
      </c>
      <c r="H44" s="272"/>
      <c r="I44" s="3"/>
      <c r="J44" s="1538">
        <f>$G$74</f>
        <v>0.43255100982605327</v>
      </c>
      <c r="K44" s="543">
        <v>5</v>
      </c>
      <c r="L44" s="1658">
        <f t="shared" si="7"/>
        <v>38.240177019404328</v>
      </c>
      <c r="M44" s="545"/>
      <c r="O44" s="184"/>
      <c r="Q44" s="271"/>
      <c r="U44" s="12"/>
      <c r="V44" s="548"/>
      <c r="W44" s="277">
        <f>$H$43*$I$43*J44*$M$43*$N$43</f>
        <v>69.887199682654469</v>
      </c>
      <c r="X44" s="2712"/>
      <c r="Y44" s="2375"/>
      <c r="Z44" s="22"/>
      <c r="AA44" s="437">
        <f>1/L44*H43*J44*M43*N43</f>
        <v>0.20011421423653175</v>
      </c>
      <c r="AB44" s="543"/>
      <c r="AC44" s="35" t="str">
        <f t="shared" si="0"/>
        <v>SE4</v>
      </c>
      <c r="AJ44" s="1656"/>
      <c r="AK44" s="1656"/>
      <c r="AL44" s="1653"/>
    </row>
    <row r="45" spans="1:38" s="754" customFormat="1">
      <c r="A45" s="545"/>
      <c r="B45" s="565" t="s">
        <v>604</v>
      </c>
      <c r="E45" s="543"/>
      <c r="F45" s="543" t="str">
        <f>Commodities!$D$12</f>
        <v>TPBUM</v>
      </c>
      <c r="G45" s="754" t="s">
        <v>3603</v>
      </c>
      <c r="H45" s="272"/>
      <c r="I45" s="545"/>
      <c r="J45" s="1538">
        <f>$G$75</f>
        <v>0.36382407988124427</v>
      </c>
      <c r="K45" s="543">
        <v>5</v>
      </c>
      <c r="L45" s="1658">
        <f t="shared" si="7"/>
        <v>48.343953092925851</v>
      </c>
      <c r="M45" s="545"/>
      <c r="O45" s="184"/>
      <c r="Q45" s="271"/>
      <c r="U45" s="12"/>
      <c r="V45" s="548"/>
      <c r="W45" s="277">
        <f>$H$43*$I$43*J45*$M$43*$N$43</f>
        <v>58.783000252949734</v>
      </c>
      <c r="X45" s="2712"/>
      <c r="Y45" s="2375"/>
      <c r="Z45" s="22"/>
      <c r="AA45" s="437">
        <f>1/L45*H43*J45*M43*N43</f>
        <v>0.13314037674521662</v>
      </c>
      <c r="AB45" s="543"/>
      <c r="AC45" s="35" t="str">
        <f t="shared" si="0"/>
        <v>SE4</v>
      </c>
      <c r="AJ45" s="1656"/>
      <c r="AK45" s="1656"/>
      <c r="AL45" s="1653"/>
    </row>
    <row r="46" spans="1:38" s="754" customFormat="1">
      <c r="A46" s="545"/>
      <c r="B46" s="565" t="s">
        <v>604</v>
      </c>
      <c r="E46" s="543"/>
      <c r="F46" s="543" t="str">
        <f>Commodities!$D$13</f>
        <v>TPBUL</v>
      </c>
      <c r="G46" s="754" t="s">
        <v>3603</v>
      </c>
      <c r="H46" s="272"/>
      <c r="I46" s="545"/>
      <c r="J46" s="1538">
        <f>$G$76</f>
        <v>0.13697973321092158</v>
      </c>
      <c r="K46" s="543">
        <v>5</v>
      </c>
      <c r="L46" s="1658">
        <f t="shared" si="7"/>
        <v>54.196731917735271</v>
      </c>
      <c r="M46" s="545"/>
      <c r="O46" s="184"/>
      <c r="Q46" s="271"/>
      <c r="U46" s="12"/>
      <c r="W46" s="277">
        <f>$H$43*$I$43*J46*$M$43*$N$43</f>
        <v>22.131794285344903</v>
      </c>
      <c r="X46" s="2712"/>
      <c r="Y46" s="2375"/>
      <c r="Z46" s="22"/>
      <c r="AA46" s="437">
        <f>1/L46*H43*J46*M43*N43</f>
        <v>4.4714020183185217E-2</v>
      </c>
      <c r="AB46" s="543"/>
      <c r="AC46" s="35" t="str">
        <f t="shared" si="0"/>
        <v>SE4</v>
      </c>
      <c r="AJ46" s="1656"/>
      <c r="AK46" s="1656"/>
      <c r="AL46" s="1653"/>
    </row>
    <row r="47" spans="1:38" s="754" customFormat="1">
      <c r="A47" s="545"/>
      <c r="B47" s="565" t="s">
        <v>604</v>
      </c>
      <c r="C47" s="543" t="str">
        <f>Processes!$D$17</f>
        <v>TPCODSBL1E</v>
      </c>
      <c r="D47" s="543" t="str">
        <f>Processes!$E$17</f>
        <v>Transport Passengers Coaches - Diesel Engine - Blending 1 - Existing</v>
      </c>
      <c r="E47" s="543" t="str">
        <f>Commodities!$D$80</f>
        <v>TRADSBL1</v>
      </c>
      <c r="F47" s="543" t="str">
        <f>Commodities!$D$14</f>
        <v>TPCOS</v>
      </c>
      <c r="G47" s="754" t="s">
        <v>3603</v>
      </c>
      <c r="H47" s="272">
        <f>'SE BUS data'!I95</f>
        <v>0.89317680193180948</v>
      </c>
      <c r="I47" s="2717">
        <f>'SE BUS data'!C$101</f>
        <v>9.1327129396134676</v>
      </c>
      <c r="J47" s="1538">
        <f>$G$79</f>
        <v>7.7087750523142498E-2</v>
      </c>
      <c r="K47" s="754">
        <v>5</v>
      </c>
      <c r="L47" s="1658">
        <f t="shared" si="7"/>
        <v>65.082980800520659</v>
      </c>
      <c r="M47" s="2107">
        <f>'SE BUS data'!C$112</f>
        <v>55271.847598728804</v>
      </c>
      <c r="N47" s="272">
        <v>1E-3</v>
      </c>
      <c r="O47" s="2089">
        <v>8</v>
      </c>
      <c r="P47" s="543">
        <f>1.8/1000</f>
        <v>1.8E-3</v>
      </c>
      <c r="Q47" s="271"/>
      <c r="T47" s="754" t="str">
        <f>T36</f>
        <v>TPCOS</v>
      </c>
      <c r="U47" s="12">
        <f>'SE BUS data'!R73*BUS!J47</f>
        <v>34.755744578282368</v>
      </c>
      <c r="V47" s="12">
        <f>$H$47*$I$47*J47*$M$47*$N$47</f>
        <v>34.755744578282375</v>
      </c>
      <c r="W47" s="543"/>
      <c r="X47" s="2712">
        <f t="shared" si="4"/>
        <v>1.0000000000000002</v>
      </c>
      <c r="Y47" s="2375"/>
      <c r="Z47" s="2550">
        <f>1/L47*H47*J47*M47*N47</f>
        <v>5.8473535626962413E-2</v>
      </c>
      <c r="AA47" s="543"/>
      <c r="AB47" s="543"/>
      <c r="AC47" s="35" t="str">
        <f t="shared" si="0"/>
        <v>SE4</v>
      </c>
      <c r="AG47" s="270"/>
      <c r="AI47" s="422"/>
      <c r="AJ47" s="1656"/>
      <c r="AK47" s="1656"/>
      <c r="AL47" s="1653"/>
    </row>
    <row r="48" spans="1:38" s="754" customFormat="1">
      <c r="A48" s="545"/>
      <c r="B48" s="565" t="s">
        <v>604</v>
      </c>
      <c r="C48" s="543"/>
      <c r="D48" s="543"/>
      <c r="E48" s="543"/>
      <c r="F48" s="543" t="str">
        <f>Commodities!$D$15</f>
        <v>TPCOM</v>
      </c>
      <c r="G48" s="754" t="s">
        <v>3603</v>
      </c>
      <c r="H48" s="543"/>
      <c r="I48" s="3"/>
      <c r="J48" s="1538">
        <f>$G$80</f>
        <v>0.1480164582878904</v>
      </c>
      <c r="K48" s="543">
        <v>5</v>
      </c>
      <c r="L48" s="1658">
        <f t="shared" si="7"/>
        <v>82.279131955157879</v>
      </c>
      <c r="M48" s="3"/>
      <c r="N48" s="543"/>
      <c r="O48" s="543"/>
      <c r="P48" s="272"/>
      <c r="Q48" s="271"/>
      <c r="T48" s="754" t="str">
        <f>T37</f>
        <v>TPCOM</v>
      </c>
      <c r="U48" s="12">
        <f>'SE BUS data'!R73*BUS!J48</f>
        <v>66.7346262243247</v>
      </c>
      <c r="V48" s="12">
        <f>$H$47*$I$47*J48*$M$47*$N$47</f>
        <v>66.7346262243247</v>
      </c>
      <c r="W48" s="543"/>
      <c r="X48" s="2712">
        <f t="shared" si="4"/>
        <v>1</v>
      </c>
      <c r="Y48" s="2375"/>
      <c r="Z48" s="2550">
        <f>1/L48*H47*J48*M47*N47</f>
        <v>8.8809970141053643E-2</v>
      </c>
      <c r="AA48" s="543"/>
      <c r="AB48" s="543"/>
      <c r="AC48" s="35" t="str">
        <f t="shared" si="0"/>
        <v>SE4</v>
      </c>
      <c r="AG48" s="270"/>
      <c r="AI48" s="422"/>
      <c r="AJ48" s="1656"/>
      <c r="AK48" s="1656"/>
      <c r="AL48" s="1653"/>
    </row>
    <row r="49" spans="1:38" s="754" customFormat="1">
      <c r="A49" s="545"/>
      <c r="B49" s="577" t="s">
        <v>604</v>
      </c>
      <c r="C49" s="23"/>
      <c r="D49" s="23"/>
      <c r="E49" s="23"/>
      <c r="F49" s="23" t="str">
        <f>Commodities!$D$16</f>
        <v>TPCOL</v>
      </c>
      <c r="G49" s="23" t="s">
        <v>3603</v>
      </c>
      <c r="H49" s="23"/>
      <c r="I49" s="2718"/>
      <c r="J49" s="1556">
        <f>$G$81</f>
        <v>0.77489579118896701</v>
      </c>
      <c r="K49" s="454">
        <v>5</v>
      </c>
      <c r="L49" s="2371">
        <f>L16</f>
        <v>92.240285944886423</v>
      </c>
      <c r="M49" s="2371"/>
      <c r="N49" s="23"/>
      <c r="O49" s="23"/>
      <c r="P49" s="269"/>
      <c r="Q49" s="271"/>
      <c r="T49" s="23" t="str">
        <f>T38</f>
        <v>TPCOL</v>
      </c>
      <c r="U49" s="33">
        <f>'SE BUS data'!R73*BUS!J49</f>
        <v>349.36912817639546</v>
      </c>
      <c r="V49" s="33">
        <f>$H$47*$I$47*J49*$M$47*$N$47</f>
        <v>349.36912817639552</v>
      </c>
      <c r="W49" s="543"/>
      <c r="X49" s="2712">
        <f t="shared" si="4"/>
        <v>1.0000000000000002</v>
      </c>
      <c r="Y49" s="2375"/>
      <c r="Z49" s="2551">
        <f>1/L49*H47*J49*M47*N47</f>
        <v>0.41472868860396417</v>
      </c>
      <c r="AA49" s="23"/>
      <c r="AB49" s="543"/>
      <c r="AC49" s="35" t="str">
        <f t="shared" si="0"/>
        <v>SE4</v>
      </c>
      <c r="AG49" s="270"/>
      <c r="AI49" s="422"/>
      <c r="AJ49" s="1656"/>
      <c r="AK49" s="1656"/>
      <c r="AL49" s="1653"/>
    </row>
    <row r="50" spans="1:38" s="754" customFormat="1">
      <c r="A50" s="545"/>
      <c r="Q50" s="271"/>
      <c r="W50" s="543"/>
      <c r="X50" s="2712"/>
      <c r="Y50" s="2375"/>
      <c r="Z50" s="22"/>
      <c r="AA50" s="543"/>
      <c r="AB50" s="543"/>
      <c r="AC50" s="35"/>
      <c r="AG50" s="270"/>
      <c r="AI50" s="422"/>
      <c r="AJ50" s="1656"/>
      <c r="AK50" s="1656"/>
      <c r="AL50" s="1653"/>
    </row>
    <row r="51" spans="1:38" s="754" customFormat="1">
      <c r="A51" s="545"/>
      <c r="B51" s="545"/>
      <c r="P51" s="250"/>
      <c r="Q51" s="271"/>
      <c r="U51" s="548">
        <f>SUM(U6:U50)</f>
        <v>8560.8612363470293</v>
      </c>
      <c r="V51" s="548">
        <f>SUM(V6:V50)</f>
        <v>8560.8612363470293</v>
      </c>
      <c r="W51" s="543"/>
      <c r="X51" s="2712">
        <f t="shared" si="4"/>
        <v>1</v>
      </c>
      <c r="Y51" s="2375"/>
      <c r="Z51" s="2551">
        <f>SUM(Z6:Z50)</f>
        <v>10.994028175266839</v>
      </c>
      <c r="AA51" s="2376">
        <f>SUM(AA6:AA50)</f>
        <v>2.044597721745439</v>
      </c>
      <c r="AB51" s="23"/>
      <c r="AC51" s="426"/>
      <c r="AG51" s="270"/>
      <c r="AI51" s="422"/>
      <c r="AJ51" s="1656"/>
      <c r="AK51" s="1656"/>
      <c r="AL51" s="1653"/>
    </row>
    <row r="52" spans="1:38" s="754" customFormat="1">
      <c r="A52" s="545"/>
      <c r="B52" s="545"/>
      <c r="H52" s="250">
        <f>SUM(H6:H51)*1000</f>
        <v>16959.524371069183</v>
      </c>
      <c r="P52" s="250"/>
      <c r="Q52" s="271"/>
      <c r="AG52" s="270"/>
      <c r="AI52" s="422"/>
      <c r="AJ52" s="1656"/>
      <c r="AK52" s="1656"/>
      <c r="AL52" s="1653"/>
    </row>
    <row r="53" spans="1:38" s="754" customFormat="1">
      <c r="A53" s="545"/>
      <c r="B53" s="545"/>
      <c r="I53" s="866" t="s">
        <v>3274</v>
      </c>
      <c r="J53" s="304"/>
      <c r="K53" s="304"/>
      <c r="L53" s="304"/>
      <c r="P53" s="250"/>
      <c r="Q53" s="271"/>
      <c r="AG53" s="270"/>
      <c r="AI53" s="422"/>
      <c r="AJ53" s="1656"/>
      <c r="AK53" s="1656"/>
      <c r="AL53" s="1653"/>
    </row>
    <row r="54" spans="1:38" s="754" customFormat="1" ht="13.8" thickBot="1">
      <c r="A54" s="545"/>
      <c r="B54" s="545"/>
      <c r="C54" s="38" t="s">
        <v>2664</v>
      </c>
      <c r="I54" s="304"/>
      <c r="J54" s="304"/>
      <c r="K54" s="866" t="s">
        <v>3278</v>
      </c>
      <c r="L54" s="304">
        <v>0.8</v>
      </c>
      <c r="P54" s="250"/>
      <c r="Q54" s="271"/>
      <c r="AG54" s="270"/>
      <c r="AI54" s="422"/>
      <c r="AJ54" s="1656"/>
      <c r="AK54" s="1656"/>
      <c r="AL54" s="1653"/>
    </row>
    <row r="55" spans="1:38" s="754" customFormat="1">
      <c r="A55" s="545"/>
      <c r="B55" s="545"/>
      <c r="C55" s="429" t="s">
        <v>2319</v>
      </c>
      <c r="D55" s="69"/>
      <c r="E55" s="69"/>
      <c r="F55" s="69"/>
      <c r="G55" s="69"/>
      <c r="H55" s="95"/>
      <c r="I55" s="304"/>
      <c r="J55" s="866"/>
      <c r="K55" s="866"/>
      <c r="L55" s="304"/>
      <c r="P55" s="250"/>
      <c r="Q55" s="271"/>
      <c r="AG55" s="270"/>
      <c r="AI55" s="422"/>
      <c r="AJ55" s="1656"/>
      <c r="AK55" s="1656"/>
      <c r="AL55" s="1653"/>
    </row>
    <row r="56" spans="1:38" s="754" customFormat="1">
      <c r="A56" s="545"/>
      <c r="B56" s="545"/>
      <c r="C56" s="308"/>
      <c r="D56" s="543"/>
      <c r="E56" s="543" t="s">
        <v>2320</v>
      </c>
      <c r="F56" s="543" t="s">
        <v>2321</v>
      </c>
      <c r="G56" s="543"/>
      <c r="H56" s="547" t="s">
        <v>2322</v>
      </c>
      <c r="I56" s="866" t="s">
        <v>3279</v>
      </c>
      <c r="J56" s="866"/>
      <c r="K56" s="866"/>
      <c r="L56" s="304"/>
      <c r="P56" s="250"/>
      <c r="Q56" s="271"/>
      <c r="AF56" s="270"/>
      <c r="AG56" s="270"/>
      <c r="AI56" s="422"/>
      <c r="AJ56" s="1656"/>
      <c r="AK56" s="1656"/>
      <c r="AL56" s="1653"/>
    </row>
    <row r="57" spans="1:38" s="754" customFormat="1">
      <c r="A57" s="545"/>
      <c r="B57" s="545"/>
      <c r="C57" s="308" t="s">
        <v>2662</v>
      </c>
      <c r="D57" s="543"/>
      <c r="E57" s="272">
        <v>12.292</v>
      </c>
      <c r="F57" s="543">
        <v>9.7230000000000008</v>
      </c>
      <c r="G57" s="543"/>
      <c r="H57" s="547">
        <v>8.673</v>
      </c>
      <c r="P57" s="250"/>
      <c r="Q57" s="271"/>
      <c r="AF57" s="270"/>
      <c r="AG57" s="270"/>
      <c r="AI57" s="422"/>
      <c r="AJ57" s="1656"/>
      <c r="AK57" s="1656"/>
      <c r="AL57" s="1653"/>
    </row>
    <row r="58" spans="1:38" s="754" customFormat="1">
      <c r="A58" s="545"/>
      <c r="B58" s="545"/>
      <c r="C58" s="308" t="s">
        <v>2663</v>
      </c>
      <c r="D58" s="543"/>
      <c r="E58" s="543">
        <f>1/E57*10^3</f>
        <v>81.353726000650823</v>
      </c>
      <c r="F58" s="543">
        <f>1/F57*10^3</f>
        <v>102.84891494394734</v>
      </c>
      <c r="G58" s="543"/>
      <c r="H58" s="547">
        <f>1/H57*10^3</f>
        <v>115.30035743110803</v>
      </c>
      <c r="P58" s="250"/>
      <c r="Q58" s="271"/>
      <c r="AF58" s="270"/>
      <c r="AG58" s="270"/>
      <c r="AI58" s="422"/>
      <c r="AJ58" s="1656"/>
      <c r="AK58" s="1656"/>
      <c r="AL58" s="1653"/>
    </row>
    <row r="59" spans="1:38" s="754" customFormat="1">
      <c r="A59" s="545"/>
      <c r="B59" s="545"/>
      <c r="C59" s="308"/>
      <c r="D59" s="543"/>
      <c r="E59" s="543"/>
      <c r="F59" s="543"/>
      <c r="G59" s="543"/>
      <c r="H59" s="547"/>
      <c r="P59" s="250"/>
      <c r="Q59" s="271"/>
      <c r="AF59" s="270"/>
      <c r="AG59" s="270"/>
      <c r="AI59" s="422"/>
      <c r="AJ59" s="1656"/>
      <c r="AK59" s="1656"/>
      <c r="AL59" s="1653"/>
    </row>
    <row r="60" spans="1:38" s="754" customFormat="1" ht="13.8" thickBot="1">
      <c r="A60" s="545"/>
      <c r="B60" s="545"/>
      <c r="C60" s="427"/>
      <c r="D60" s="390"/>
      <c r="E60" s="390"/>
      <c r="F60" s="1655"/>
      <c r="G60" s="1655"/>
      <c r="H60" s="428"/>
      <c r="P60" s="250"/>
      <c r="Q60" s="271"/>
      <c r="AF60" s="270"/>
      <c r="AG60" s="270"/>
      <c r="AI60" s="422"/>
      <c r="AJ60" s="1656"/>
      <c r="AK60" s="1656"/>
      <c r="AL60" s="1653"/>
    </row>
    <row r="61" spans="1:38" s="754" customFormat="1">
      <c r="A61" s="545"/>
      <c r="B61" s="545"/>
      <c r="P61" s="250"/>
      <c r="Q61" s="271"/>
      <c r="AF61" s="270"/>
      <c r="AG61" s="270"/>
      <c r="AI61" s="422"/>
      <c r="AJ61" s="1656"/>
      <c r="AK61" s="1656"/>
      <c r="AL61" s="1653"/>
    </row>
    <row r="62" spans="1:38" s="754" customFormat="1">
      <c r="A62" s="545"/>
      <c r="B62" s="545"/>
      <c r="P62" s="250"/>
      <c r="Q62" s="271"/>
      <c r="AF62" s="270"/>
      <c r="AG62" s="270"/>
      <c r="AI62" s="422"/>
      <c r="AJ62" s="1656"/>
      <c r="AK62" s="1656"/>
      <c r="AL62" s="1653"/>
    </row>
    <row r="63" spans="1:38" s="754" customFormat="1" ht="13.8" thickBot="1">
      <c r="A63" s="545"/>
      <c r="B63" s="545"/>
      <c r="C63" s="38" t="s">
        <v>2664</v>
      </c>
      <c r="P63" s="250"/>
      <c r="Q63" s="271"/>
      <c r="AF63" s="270"/>
      <c r="AG63" s="270"/>
      <c r="AI63" s="422"/>
      <c r="AJ63" s="1656"/>
      <c r="AK63" s="1656"/>
      <c r="AL63" s="1653"/>
    </row>
    <row r="64" spans="1:38" s="754" customFormat="1">
      <c r="A64" s="545"/>
      <c r="B64" s="545"/>
      <c r="C64" s="332" t="s">
        <v>352</v>
      </c>
      <c r="D64" s="333" t="s">
        <v>353</v>
      </c>
      <c r="E64" s="334"/>
      <c r="F64" s="334"/>
      <c r="G64" s="334"/>
      <c r="H64" s="334"/>
      <c r="I64" s="334"/>
      <c r="J64" s="334"/>
      <c r="K64" s="334"/>
      <c r="L64" s="334"/>
      <c r="M64" s="334"/>
      <c r="N64" s="334"/>
      <c r="O64" s="336"/>
      <c r="P64" s="250"/>
      <c r="Q64" s="271"/>
      <c r="AF64" s="270"/>
      <c r="AG64" s="270"/>
      <c r="AI64" s="422"/>
      <c r="AJ64" s="1656"/>
      <c r="AK64" s="1656"/>
      <c r="AL64" s="1653"/>
    </row>
    <row r="65" spans="1:38" s="754" customFormat="1">
      <c r="A65" s="545"/>
      <c r="B65" s="545"/>
      <c r="C65" s="337" t="s">
        <v>354</v>
      </c>
      <c r="D65" s="338" t="s">
        <v>355</v>
      </c>
      <c r="E65" s="339">
        <v>2007</v>
      </c>
      <c r="F65" s="339">
        <v>2008</v>
      </c>
      <c r="G65" s="339"/>
      <c r="H65" s="339">
        <v>2009</v>
      </c>
      <c r="I65" s="339">
        <v>2010</v>
      </c>
      <c r="J65"/>
      <c r="K65" s="339"/>
      <c r="L65" s="339"/>
      <c r="M65" s="339"/>
      <c r="N65" s="339"/>
      <c r="O65" s="340"/>
      <c r="P65" s="250"/>
      <c r="Q65" s="271"/>
      <c r="AF65" s="270"/>
      <c r="AG65" s="270"/>
      <c r="AI65" s="422"/>
      <c r="AJ65" s="1656"/>
      <c r="AK65" s="1656"/>
      <c r="AL65" s="1653"/>
    </row>
    <row r="66" spans="1:38" s="754" customFormat="1">
      <c r="A66" s="545"/>
      <c r="B66" s="545"/>
      <c r="C66" s="341" t="s">
        <v>333</v>
      </c>
      <c r="D66" s="342" t="s">
        <v>51</v>
      </c>
      <c r="E66" s="343"/>
      <c r="F66" s="343"/>
      <c r="G66" s="343"/>
      <c r="H66" s="343"/>
      <c r="I66" s="343"/>
      <c r="J66"/>
      <c r="K66" s="339"/>
      <c r="L66" s="343"/>
      <c r="M66" s="343"/>
      <c r="N66" s="343"/>
      <c r="O66" s="344"/>
      <c r="P66" s="250"/>
      <c r="Q66" s="271"/>
      <c r="AF66" s="270"/>
      <c r="AG66" s="270"/>
      <c r="AI66" s="422"/>
      <c r="AJ66" s="1656"/>
      <c r="AK66" s="1656"/>
      <c r="AL66" s="1653"/>
    </row>
    <row r="67" spans="1:38" s="754" customFormat="1">
      <c r="A67" s="545"/>
      <c r="B67" s="545"/>
      <c r="C67" s="345"/>
      <c r="D67" s="342" t="s">
        <v>327</v>
      </c>
      <c r="E67" s="346">
        <v>11.622705780979492</v>
      </c>
      <c r="F67" s="346">
        <v>11.542468058856731</v>
      </c>
      <c r="G67" s="346"/>
      <c r="H67" s="346">
        <v>11.47402336171136</v>
      </c>
      <c r="I67" s="872">
        <v>11.444856390083132</v>
      </c>
      <c r="J67"/>
      <c r="K67" s="343"/>
      <c r="L67" s="310"/>
      <c r="M67" s="310"/>
      <c r="N67" s="310"/>
      <c r="O67" s="347"/>
      <c r="P67" s="250"/>
      <c r="Q67" s="271"/>
      <c r="AF67" s="270"/>
      <c r="AG67" s="270"/>
      <c r="AI67" s="422"/>
      <c r="AJ67" s="1656"/>
      <c r="AK67" s="1656"/>
      <c r="AL67" s="1653"/>
    </row>
    <row r="68" spans="1:38" s="754" customFormat="1">
      <c r="A68" s="545"/>
      <c r="B68" s="545"/>
      <c r="D68" s="765" t="s">
        <v>2403</v>
      </c>
      <c r="E68" s="754">
        <v>19.781298</v>
      </c>
      <c r="Q68" s="271"/>
      <c r="AF68" s="270"/>
      <c r="AG68" s="270"/>
      <c r="AI68" s="422"/>
      <c r="AJ68" s="1656"/>
      <c r="AK68" s="1656"/>
      <c r="AL68" s="1653"/>
    </row>
    <row r="69" spans="1:38" s="754" customFormat="1">
      <c r="A69" s="545"/>
      <c r="B69" s="545"/>
      <c r="E69" s="754">
        <f>E68/E67</f>
        <v>1.7019529163658267</v>
      </c>
      <c r="Q69" s="271"/>
      <c r="AF69" s="270"/>
      <c r="AG69" s="270"/>
      <c r="AI69" s="422"/>
      <c r="AJ69" s="1656"/>
      <c r="AK69" s="1656"/>
      <c r="AL69" s="1653"/>
    </row>
    <row r="70" spans="1:38" s="545" customFormat="1">
      <c r="AE70" s="2374"/>
      <c r="AG70" s="3"/>
    </row>
    <row r="71" spans="1:38" s="754" customFormat="1">
      <c r="A71" s="545"/>
      <c r="B71" s="545"/>
      <c r="C71" s="38"/>
      <c r="H71" s="446"/>
      <c r="I71" s="446"/>
      <c r="J71" s="407"/>
      <c r="K71" s="407"/>
      <c r="L71" s="268"/>
      <c r="M71" s="268"/>
      <c r="P71" s="250"/>
      <c r="Q71" s="271"/>
      <c r="AF71" s="270"/>
      <c r="AG71" s="270"/>
      <c r="AI71" s="422"/>
      <c r="AJ71" s="1656"/>
      <c r="AK71" s="1656"/>
      <c r="AL71" s="1653"/>
    </row>
    <row r="72" spans="1:38" s="754" customFormat="1">
      <c r="A72" s="545"/>
      <c r="B72" s="754" t="s">
        <v>2289</v>
      </c>
      <c r="D72" s="2694" t="s">
        <v>601</v>
      </c>
      <c r="E72" s="2694" t="s">
        <v>602</v>
      </c>
      <c r="F72" s="2694" t="s">
        <v>603</v>
      </c>
      <c r="G72" s="2694" t="s">
        <v>604</v>
      </c>
      <c r="H72" s="446"/>
      <c r="I72" s="446"/>
      <c r="J72" s="407"/>
      <c r="K72" s="407"/>
      <c r="L72" s="268"/>
      <c r="M72" s="268"/>
      <c r="P72" s="250"/>
      <c r="Q72" s="271"/>
      <c r="AF72" s="270"/>
      <c r="AG72" s="270"/>
      <c r="AI72" s="422"/>
      <c r="AJ72" s="1656"/>
      <c r="AK72" s="1656"/>
      <c r="AL72" s="1653"/>
    </row>
    <row r="73" spans="1:38" s="754" customFormat="1">
      <c r="A73" s="545"/>
      <c r="B73" s="2709" t="s">
        <v>3171</v>
      </c>
      <c r="C73" s="2710" t="s">
        <v>2290</v>
      </c>
      <c r="D73" s="2708">
        <f>'SE Driving patterns'!C12</f>
        <v>6.9109102242079751E-2</v>
      </c>
      <c r="E73" s="2708">
        <f>'SE Driving patterns'!C27</f>
        <v>6.9109102242079751E-2</v>
      </c>
      <c r="F73" s="2708">
        <f>'SE Driving patterns'!C42</f>
        <v>9.8096698305323235E-2</v>
      </c>
      <c r="G73" s="2708">
        <f>'SE Driving patterns'!C57</f>
        <v>6.6645177081780999E-2</v>
      </c>
      <c r="K73" s="407"/>
      <c r="L73" s="268"/>
      <c r="M73" s="268"/>
      <c r="P73" s="250"/>
      <c r="Q73" s="271"/>
      <c r="AF73" s="270"/>
      <c r="AG73" s="270"/>
      <c r="AI73" s="422"/>
      <c r="AJ73" s="1656"/>
      <c r="AK73" s="1656"/>
      <c r="AL73" s="1653"/>
    </row>
    <row r="74" spans="1:38" s="754" customFormat="1">
      <c r="A74" s="545"/>
      <c r="B74" s="2710"/>
      <c r="C74" s="2710" t="s">
        <v>2291</v>
      </c>
      <c r="D74" s="2708">
        <f>'SE Driving patterns'!D12</f>
        <v>0.38972685309304844</v>
      </c>
      <c r="E74" s="2708">
        <f>'SE Driving patterns'!D27</f>
        <v>0.38972685309304844</v>
      </c>
      <c r="F74" s="2708">
        <f>'SE Driving patterns'!D42</f>
        <v>0.45493921093088957</v>
      </c>
      <c r="G74" s="2708">
        <f>'SE Driving patterns'!D57</f>
        <v>0.43255100982605327</v>
      </c>
      <c r="J74" s="407"/>
      <c r="K74" s="407"/>
      <c r="L74" s="268"/>
      <c r="M74" s="268"/>
      <c r="P74" s="250"/>
      <c r="Q74" s="271"/>
      <c r="AF74" s="270"/>
      <c r="AG74" s="270"/>
      <c r="AI74" s="422"/>
      <c r="AJ74" s="1656"/>
      <c r="AK74" s="1656"/>
      <c r="AL74" s="1653"/>
    </row>
    <row r="75" spans="1:38" s="754" customFormat="1">
      <c r="A75" s="545"/>
      <c r="B75" s="2710"/>
      <c r="C75" s="2710" t="s">
        <v>2292</v>
      </c>
      <c r="D75" s="2708">
        <f>'SE Driving patterns'!E12</f>
        <v>0.16212357371665626</v>
      </c>
      <c r="E75" s="2708">
        <f>'SE Driving patterns'!E27</f>
        <v>0.16212357371665626</v>
      </c>
      <c r="F75" s="2708">
        <f>'SE Driving patterns'!E42</f>
        <v>0.27241669321599721</v>
      </c>
      <c r="G75" s="2708">
        <f>'SE Driving patterns'!E57</f>
        <v>0.36382407988124427</v>
      </c>
      <c r="I75" s="446"/>
      <c r="J75" s="407"/>
      <c r="K75" s="407"/>
      <c r="L75" s="268"/>
      <c r="M75" s="268"/>
      <c r="P75" s="250"/>
      <c r="Q75" s="271"/>
      <c r="AF75" s="270"/>
      <c r="AG75" s="270"/>
      <c r="AI75" s="422"/>
      <c r="AJ75" s="1656"/>
      <c r="AK75" s="1656"/>
      <c r="AL75" s="1653"/>
    </row>
    <row r="76" spans="1:38" s="754" customFormat="1">
      <c r="A76" s="545"/>
      <c r="B76" s="2710"/>
      <c r="C76" s="2710" t="s">
        <v>2293</v>
      </c>
      <c r="D76" s="2708">
        <f>'SE Driving patterns'!F12</f>
        <v>0.37904047094821547</v>
      </c>
      <c r="E76" s="2708">
        <f>'SE Driving patterns'!F27</f>
        <v>0.37904047094821547</v>
      </c>
      <c r="F76" s="2708">
        <f>'SE Driving patterns'!F42</f>
        <v>0.17454739754778992</v>
      </c>
      <c r="G76" s="2708">
        <f>'SE Driving patterns'!F57</f>
        <v>0.13697973321092158</v>
      </c>
      <c r="H76" s="446"/>
      <c r="I76" s="446"/>
      <c r="J76" s="407"/>
      <c r="K76" s="407"/>
      <c r="L76" s="268"/>
      <c r="M76" s="268"/>
      <c r="P76" s="250"/>
      <c r="Q76" s="271"/>
      <c r="AF76" s="270"/>
      <c r="AG76" s="270"/>
      <c r="AI76" s="422"/>
      <c r="AJ76" s="1656"/>
      <c r="AK76" s="1656"/>
      <c r="AL76" s="1653"/>
    </row>
    <row r="77" spans="1:38" s="754" customFormat="1">
      <c r="A77" s="545"/>
      <c r="B77" s="545"/>
      <c r="H77" s="446"/>
      <c r="I77" s="446"/>
      <c r="J77" s="407"/>
      <c r="K77" s="407"/>
      <c r="L77" s="268"/>
      <c r="M77" s="268"/>
      <c r="P77" s="250"/>
      <c r="Q77" s="271"/>
      <c r="AF77" s="270"/>
      <c r="AG77" s="270"/>
      <c r="AI77" s="422"/>
      <c r="AJ77" s="1656"/>
      <c r="AK77" s="1656"/>
      <c r="AL77" s="1653"/>
    </row>
    <row r="78" spans="1:38" s="754" customFormat="1">
      <c r="A78" s="545"/>
      <c r="B78" s="754" t="s">
        <v>2289</v>
      </c>
      <c r="D78" s="2694" t="s">
        <v>601</v>
      </c>
      <c r="E78" s="2694" t="s">
        <v>602</v>
      </c>
      <c r="F78" s="2694" t="s">
        <v>603</v>
      </c>
      <c r="G78" s="2694" t="s">
        <v>604</v>
      </c>
      <c r="H78" s="446"/>
      <c r="I78" s="446"/>
      <c r="J78" s="407"/>
      <c r="K78" s="407"/>
      <c r="L78" s="268"/>
      <c r="M78" s="268"/>
      <c r="P78" s="250"/>
      <c r="Q78" s="271"/>
      <c r="AF78" s="270"/>
      <c r="AG78" s="270"/>
      <c r="AI78" s="422"/>
      <c r="AJ78" s="1656"/>
      <c r="AK78" s="1656"/>
      <c r="AL78" s="1653"/>
    </row>
    <row r="79" spans="1:38" s="754" customFormat="1">
      <c r="A79" s="545"/>
      <c r="B79" s="2709" t="s">
        <v>3172</v>
      </c>
      <c r="C79" s="2710" t="s">
        <v>2291</v>
      </c>
      <c r="D79" s="2708">
        <f>'SE Driving patterns'!D13</f>
        <v>7.2860027831733482E-2</v>
      </c>
      <c r="E79" s="2708">
        <f>'SE Driving patterns'!D28</f>
        <v>7.2860027831733482E-2</v>
      </c>
      <c r="F79" s="2699">
        <f>'SE Driving patterns'!D43</f>
        <v>7.7087750523142498E-2</v>
      </c>
      <c r="G79" s="2699">
        <f>'SE Driving patterns'!D58</f>
        <v>7.7087750523142498E-2</v>
      </c>
      <c r="J79" s="407"/>
      <c r="K79" s="407"/>
      <c r="L79" s="268"/>
      <c r="M79" s="268"/>
      <c r="P79" s="250"/>
      <c r="Q79" s="271"/>
      <c r="AF79" s="270"/>
      <c r="AG79" s="270"/>
      <c r="AI79" s="422"/>
      <c r="AJ79" s="1656"/>
      <c r="AK79" s="1656"/>
      <c r="AL79" s="1653"/>
    </row>
    <row r="80" spans="1:38" s="754" customFormat="1">
      <c r="A80" s="545"/>
      <c r="B80" s="2710"/>
      <c r="C80" s="2710" t="s">
        <v>2292</v>
      </c>
      <c r="D80" s="2708">
        <f>'SE Driving patterns'!E13</f>
        <v>0.12943870614909181</v>
      </c>
      <c r="E80" s="2708">
        <f>'SE Driving patterns'!E28</f>
        <v>0.12943870614909181</v>
      </c>
      <c r="F80" s="2699">
        <f>'SE Driving patterns'!E43</f>
        <v>0.1480164582878904</v>
      </c>
      <c r="G80" s="2699">
        <f>'SE Driving patterns'!E58</f>
        <v>0.1480164582878904</v>
      </c>
      <c r="I80" s="446"/>
      <c r="J80" s="407"/>
      <c r="K80" s="407"/>
      <c r="L80" s="268"/>
      <c r="M80" s="268"/>
      <c r="P80" s="250"/>
      <c r="Q80" s="271"/>
      <c r="AF80" s="270"/>
      <c r="AG80" s="270"/>
      <c r="AI80" s="422"/>
      <c r="AJ80" s="1656"/>
      <c r="AK80" s="1656"/>
      <c r="AL80" s="1653"/>
    </row>
    <row r="81" spans="1:38" s="754" customFormat="1">
      <c r="A81" s="545"/>
      <c r="B81" s="2710"/>
      <c r="C81" s="2710" t="s">
        <v>2293</v>
      </c>
      <c r="D81" s="2708">
        <f>'SE Driving patterns'!F13</f>
        <v>0.79770126601917479</v>
      </c>
      <c r="E81" s="2708">
        <f>'SE Driving patterns'!F28</f>
        <v>0.79770126601917479</v>
      </c>
      <c r="F81" s="2699">
        <f>'SE Driving patterns'!F43</f>
        <v>0.77489579118896701</v>
      </c>
      <c r="G81" s="2699">
        <f>'SE Driving patterns'!F58</f>
        <v>0.77489579118896701</v>
      </c>
      <c r="H81" s="446"/>
      <c r="I81" s="446"/>
      <c r="J81" s="407"/>
      <c r="K81" s="407"/>
      <c r="L81" s="268"/>
      <c r="M81" s="268"/>
      <c r="P81" s="250"/>
      <c r="Q81" s="271"/>
      <c r="AF81" s="270"/>
      <c r="AG81" s="270"/>
      <c r="AI81" s="422"/>
      <c r="AJ81" s="1656"/>
      <c r="AK81" s="1656"/>
      <c r="AL81" s="1653"/>
    </row>
    <row r="82" spans="1:38" s="754" customFormat="1">
      <c r="A82" s="545"/>
      <c r="B82" s="545"/>
      <c r="H82" s="446"/>
      <c r="I82" s="446"/>
      <c r="J82" s="407"/>
      <c r="K82" s="407"/>
      <c r="L82" s="268"/>
      <c r="M82" s="268"/>
      <c r="P82" s="250"/>
      <c r="Q82" s="271"/>
      <c r="AF82" s="270"/>
      <c r="AG82" s="270"/>
      <c r="AI82" s="422"/>
      <c r="AJ82" s="1656"/>
      <c r="AK82" s="1656"/>
      <c r="AL82" s="1653"/>
    </row>
    <row r="84" spans="1:38">
      <c r="K84" s="346"/>
    </row>
  </sheetData>
  <pageMargins left="0.7" right="0.7" top="0.75" bottom="0.75" header="0.3" footer="0.3"/>
  <pageSetup paperSize="9" orientation="portrait"/>
  <legacyDrawing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sheetPr codeName="Sheet9">
    <tabColor rgb="FF92D050"/>
  </sheetPr>
  <dimension ref="B4:AA96"/>
  <sheetViews>
    <sheetView topLeftCell="E1" zoomScale="85" zoomScaleNormal="85" workbookViewId="0">
      <selection activeCell="N26" sqref="N26"/>
    </sheetView>
  </sheetViews>
  <sheetFormatPr defaultColWidth="8.88671875" defaultRowHeight="13.2"/>
  <cols>
    <col min="1" max="2" width="8.88671875" style="754"/>
    <col min="3" max="3" width="14.6640625" style="754" customWidth="1"/>
    <col min="4" max="4" width="57.5546875" style="754" customWidth="1"/>
    <col min="5" max="5" width="15.44140625" style="754" customWidth="1"/>
    <col min="6" max="7" width="9.44140625" style="754" customWidth="1"/>
    <col min="8" max="8" width="15" style="754" bestFit="1" customWidth="1"/>
    <col min="9" max="9" width="19.109375" style="754" customWidth="1"/>
    <col min="10" max="10" width="40.6640625" style="754" customWidth="1"/>
    <col min="11" max="11" width="12.109375" style="754" customWidth="1"/>
    <col min="12" max="12" width="10.44140625" style="754" bestFit="1" customWidth="1"/>
    <col min="13" max="13" width="13.109375" style="754" customWidth="1"/>
    <col min="14" max="14" width="15.33203125" style="754" customWidth="1"/>
    <col min="15" max="15" width="9.5546875" style="754" bestFit="1" customWidth="1"/>
    <col min="16" max="16" width="10.5546875" style="754" bestFit="1" customWidth="1"/>
    <col min="17" max="17" width="8.88671875" style="754"/>
    <col min="18" max="19" width="10.5546875" style="754" bestFit="1" customWidth="1"/>
    <col min="20" max="20" width="10.88671875" style="754" customWidth="1"/>
    <col min="21" max="21" width="10.5546875" style="754" customWidth="1"/>
    <col min="22" max="22" width="21.6640625" style="754" bestFit="1" customWidth="1"/>
    <col min="23" max="23" width="12.109375" style="754" customWidth="1"/>
    <col min="24" max="25" width="9.5546875" style="754" bestFit="1" customWidth="1"/>
    <col min="26" max="16384" width="8.88671875" style="754"/>
  </cols>
  <sheetData>
    <row r="4" spans="2:27">
      <c r="E4" s="2084"/>
      <c r="F4" s="7"/>
      <c r="G4" s="7" t="s">
        <v>8</v>
      </c>
      <c r="H4" s="7"/>
      <c r="I4" s="7"/>
      <c r="J4" s="7"/>
      <c r="K4" s="7"/>
      <c r="L4" s="2085"/>
      <c r="O4" s="545"/>
      <c r="Q4" s="3"/>
      <c r="V4" s="765" t="s">
        <v>3206</v>
      </c>
    </row>
    <row r="5" spans="2:27" ht="27.6">
      <c r="B5" s="16" t="s">
        <v>1</v>
      </c>
      <c r="C5" s="16" t="s">
        <v>2</v>
      </c>
      <c r="D5" s="16" t="s">
        <v>26</v>
      </c>
      <c r="E5" s="16" t="s">
        <v>14</v>
      </c>
      <c r="F5" s="16" t="s">
        <v>15</v>
      </c>
      <c r="G5" s="2559" t="s">
        <v>2767</v>
      </c>
      <c r="H5" s="28" t="s">
        <v>188</v>
      </c>
      <c r="I5" s="2091" t="s">
        <v>2288</v>
      </c>
      <c r="J5" s="29" t="s">
        <v>2297</v>
      </c>
      <c r="K5" s="67" t="s">
        <v>200</v>
      </c>
      <c r="L5" s="29" t="s">
        <v>16</v>
      </c>
      <c r="M5" s="16" t="s">
        <v>533</v>
      </c>
      <c r="N5" s="65" t="s">
        <v>0</v>
      </c>
      <c r="O5" s="65" t="s">
        <v>53</v>
      </c>
      <c r="P5" s="65" t="s">
        <v>2294</v>
      </c>
      <c r="V5" s="2746" t="s">
        <v>2299</v>
      </c>
      <c r="W5" s="2017" t="s">
        <v>540</v>
      </c>
      <c r="X5" s="765" t="s">
        <v>2497</v>
      </c>
      <c r="Z5" s="765" t="s">
        <v>44</v>
      </c>
    </row>
    <row r="6" spans="2:27" ht="31.2" thickBot="1">
      <c r="B6" s="15" t="s">
        <v>27</v>
      </c>
      <c r="C6" s="15" t="s">
        <v>27</v>
      </c>
      <c r="D6" s="15"/>
      <c r="E6" s="15"/>
      <c r="F6" s="15"/>
      <c r="G6" s="15"/>
      <c r="H6" s="15" t="s">
        <v>153</v>
      </c>
      <c r="I6" s="15" t="s">
        <v>85</v>
      </c>
      <c r="J6" s="15" t="s">
        <v>404</v>
      </c>
      <c r="K6" s="15" t="s">
        <v>395</v>
      </c>
      <c r="L6" s="15" t="s">
        <v>2404</v>
      </c>
      <c r="M6" s="15" t="s">
        <v>84</v>
      </c>
      <c r="N6" s="15"/>
      <c r="O6" s="15" t="s">
        <v>54</v>
      </c>
      <c r="P6" s="15" t="s">
        <v>2295</v>
      </c>
      <c r="S6" s="543"/>
      <c r="T6" s="543"/>
      <c r="U6" s="543"/>
      <c r="V6" s="303"/>
      <c r="W6" s="543"/>
      <c r="X6" s="543"/>
      <c r="Y6" s="543"/>
      <c r="Z6" s="765" t="s">
        <v>49</v>
      </c>
      <c r="AA6" s="765" t="s">
        <v>61</v>
      </c>
    </row>
    <row r="7" spans="2:27">
      <c r="B7" s="2098" t="s">
        <v>601</v>
      </c>
      <c r="C7" s="765" t="str">
        <f>Processes!$D$12</f>
        <v>TPRSELCX1E</v>
      </c>
      <c r="D7" s="765" t="str">
        <f>Processes!$E$12</f>
        <v>Transport Passengers Rail S-train - Electric - Existing</v>
      </c>
      <c r="E7" s="754" t="str">
        <f>Commodities!$D$60</f>
        <v>TRAELC</v>
      </c>
      <c r="F7" s="754" t="str">
        <f>Commodities!$D$19</f>
        <v>TPRSX</v>
      </c>
      <c r="G7" s="754" t="s">
        <v>3603</v>
      </c>
      <c r="H7" s="250">
        <f>'SE Rail data'!P472/1000</f>
        <v>0</v>
      </c>
      <c r="I7" s="2347">
        <f>M56</f>
        <v>0.29439367314102788</v>
      </c>
      <c r="J7" s="784">
        <v>5</v>
      </c>
      <c r="K7" s="2427">
        <f>'SE Rail data'!J457*'SE Rail data'!N457</f>
        <v>33.566090897954183</v>
      </c>
      <c r="L7" s="784">
        <f>'SE Rail data'!W449</f>
        <v>20.946431665176139</v>
      </c>
      <c r="M7" s="784">
        <f>'SE Rail data'!S457</f>
        <v>33318.367346938772</v>
      </c>
      <c r="N7" s="754">
        <v>1E-3</v>
      </c>
      <c r="O7" s="754">
        <v>30</v>
      </c>
      <c r="P7" s="2264">
        <f>29.3/1000</f>
        <v>2.93E-2</v>
      </c>
      <c r="S7" s="317">
        <f>H7*I7*K7*M7*N7</f>
        <v>0</v>
      </c>
      <c r="T7" s="543"/>
      <c r="U7" s="543" t="str">
        <f>Dem!B28</f>
        <v>TPRMX</v>
      </c>
      <c r="V7" s="2747">
        <f>'SE Rail data'!M473*TRAIN!I10</f>
        <v>0</v>
      </c>
      <c r="W7" s="317">
        <f>S10</f>
        <v>0</v>
      </c>
      <c r="X7" s="543" t="e">
        <f>W7/V7</f>
        <v>#DIV/0!</v>
      </c>
      <c r="Y7" s="543"/>
      <c r="Z7" s="12">
        <f>H7*1/L7*M7*N7*I7</f>
        <v>0</v>
      </c>
    </row>
    <row r="8" spans="2:27">
      <c r="B8" s="565" t="s">
        <v>601</v>
      </c>
      <c r="F8" s="754" t="str">
        <f>Commodities!$D$20</f>
        <v>TPRSS</v>
      </c>
      <c r="G8" s="754" t="s">
        <v>3603</v>
      </c>
      <c r="I8" s="2347">
        <f t="shared" ref="I8:I17" si="0">M57</f>
        <v>0.69807965885077528</v>
      </c>
      <c r="J8" s="784">
        <v>5</v>
      </c>
      <c r="K8" s="2427"/>
      <c r="L8" s="784"/>
      <c r="M8" s="784"/>
      <c r="P8" s="2264"/>
      <c r="S8" s="317">
        <f>H7*I8*K7*M7*N7</f>
        <v>0</v>
      </c>
      <c r="T8" s="543"/>
      <c r="U8" s="23" t="str">
        <f>Dem!B29</f>
        <v>TPRMS</v>
      </c>
      <c r="V8" s="2748">
        <f>'SE Rail data'!M473*TRAIN!I11</f>
        <v>0</v>
      </c>
      <c r="W8" s="317">
        <f>S11</f>
        <v>0</v>
      </c>
      <c r="X8" s="543" t="e">
        <f t="shared" ref="X8:X47" si="1">W8/V8</f>
        <v>#DIV/0!</v>
      </c>
      <c r="Y8" s="543"/>
      <c r="Z8" s="12">
        <f>H7*1/L7*M7*N7*I8</f>
        <v>0</v>
      </c>
    </row>
    <row r="9" spans="2:27">
      <c r="B9" s="565" t="s">
        <v>601</v>
      </c>
      <c r="F9" s="754" t="str">
        <f>Commodities!$D$21</f>
        <v>TPRSM</v>
      </c>
      <c r="G9" s="754" t="s">
        <v>3603</v>
      </c>
      <c r="I9" s="2347">
        <f t="shared" si="0"/>
        <v>7.526668008196802E-3</v>
      </c>
      <c r="J9" s="784">
        <v>5</v>
      </c>
      <c r="K9" s="2110"/>
      <c r="P9" s="38"/>
      <c r="S9" s="317">
        <f>H7*I9*K7*M7*N7</f>
        <v>0</v>
      </c>
      <c r="T9" s="543"/>
      <c r="U9" s="543" t="str">
        <f>Dem!B30</f>
        <v>TPRSX</v>
      </c>
      <c r="V9" s="2747">
        <f>'SE Rail data'!$M$472*TRAIN!I7</f>
        <v>0</v>
      </c>
      <c r="W9" s="317">
        <f>S7</f>
        <v>0</v>
      </c>
      <c r="X9" s="543" t="e">
        <f t="shared" si="1"/>
        <v>#DIV/0!</v>
      </c>
      <c r="Y9" s="543"/>
      <c r="Z9" s="12">
        <f>H7*1/L7*M7*N7*I9</f>
        <v>0</v>
      </c>
    </row>
    <row r="10" spans="2:27">
      <c r="B10" s="565" t="s">
        <v>601</v>
      </c>
      <c r="C10" s="765" t="str">
        <f>Processes!$D$13</f>
        <v>TPRMELCX1E</v>
      </c>
      <c r="D10" s="765" t="str">
        <f>Processes!$E$13</f>
        <v>Transport Passengers Rail Metro - Electric  - Existing</v>
      </c>
      <c r="E10" s="765" t="str">
        <f>Commodities!$D$60</f>
        <v>TRAELC</v>
      </c>
      <c r="F10" s="754" t="str">
        <f>Commodities!$D$17</f>
        <v>TPRMX</v>
      </c>
      <c r="G10" s="754" t="s">
        <v>3603</v>
      </c>
      <c r="H10" s="250">
        <f>'SE Rail data'!P473/1000</f>
        <v>0</v>
      </c>
      <c r="I10" s="2347">
        <f t="shared" si="0"/>
        <v>0.15948731937145566</v>
      </c>
      <c r="J10" s="784">
        <v>5</v>
      </c>
      <c r="K10" s="2427">
        <f>'SE Rail data'!N454*'SE Rail data'!J454</f>
        <v>137.4900714853058</v>
      </c>
      <c r="L10" s="784">
        <f>L7</f>
        <v>20.946431665176139</v>
      </c>
      <c r="M10" s="581">
        <f>'SE Rail data'!S454</f>
        <v>24541.910331384017</v>
      </c>
      <c r="N10" s="754">
        <v>1E-3</v>
      </c>
      <c r="O10" s="581">
        <v>30</v>
      </c>
      <c r="P10" s="2265">
        <f>P7</f>
        <v>2.93E-2</v>
      </c>
      <c r="S10" s="317">
        <f>H10*I10*K10*M10*N10</f>
        <v>0</v>
      </c>
      <c r="T10" s="543"/>
      <c r="U10" s="543" t="str">
        <f>Dem!B31</f>
        <v>TPRSS</v>
      </c>
      <c r="V10" s="2747">
        <f>'SE Rail data'!$M$472*TRAIN!I8</f>
        <v>0</v>
      </c>
      <c r="W10" s="317">
        <f>S8</f>
        <v>0</v>
      </c>
      <c r="X10" s="543" t="e">
        <f t="shared" si="1"/>
        <v>#DIV/0!</v>
      </c>
      <c r="Y10" s="543"/>
      <c r="Z10" s="12">
        <f>H10*1/L10*M10*N10*I10</f>
        <v>0</v>
      </c>
    </row>
    <row r="11" spans="2:27">
      <c r="B11" s="565" t="s">
        <v>601</v>
      </c>
      <c r="F11" s="754" t="str">
        <f>Commodities!$D$18</f>
        <v>TPRMS</v>
      </c>
      <c r="G11" s="754" t="s">
        <v>3603</v>
      </c>
      <c r="I11" s="2347">
        <f t="shared" si="0"/>
        <v>0.84051268062854445</v>
      </c>
      <c r="J11" s="784">
        <v>5</v>
      </c>
      <c r="K11" s="2427"/>
      <c r="P11" s="38"/>
      <c r="S11" s="317">
        <f>H10*I11*K10*M10*N10</f>
        <v>0</v>
      </c>
      <c r="T11" s="543"/>
      <c r="U11" s="23" t="str">
        <f>Dem!B32</f>
        <v>TPRSM</v>
      </c>
      <c r="V11" s="2748">
        <f>'SE Rail data'!$M$472*TRAIN!I9</f>
        <v>0</v>
      </c>
      <c r="W11" s="317">
        <f>S9</f>
        <v>0</v>
      </c>
      <c r="X11" s="543" t="e">
        <f t="shared" si="1"/>
        <v>#DIV/0!</v>
      </c>
      <c r="Y11" s="543"/>
      <c r="Z11" s="12">
        <f>H10*1/L10*M10*N10*I11</f>
        <v>0</v>
      </c>
    </row>
    <row r="12" spans="2:27">
      <c r="B12" s="565" t="s">
        <v>601</v>
      </c>
      <c r="C12" s="765" t="str">
        <f>Processes!$D$14</f>
        <v>TPROELCX1E</v>
      </c>
      <c r="D12" s="765" t="str">
        <f>Processes!$E$14</f>
        <v>Transport Passengers Rail Other train - Electric - Existing</v>
      </c>
      <c r="E12" s="765" t="str">
        <f>Commodities!$D$60</f>
        <v>TRAELC</v>
      </c>
      <c r="F12" s="754" t="str">
        <f>Commodities!$D$22</f>
        <v>TPROS</v>
      </c>
      <c r="G12" s="754" t="s">
        <v>3603</v>
      </c>
      <c r="H12" s="250">
        <f>'SE Rail data'!P474/1000</f>
        <v>2.4950682382158001E-2</v>
      </c>
      <c r="I12" s="2347">
        <f t="shared" si="0"/>
        <v>8.8795498605321391E-2</v>
      </c>
      <c r="J12" s="784">
        <v>5</v>
      </c>
      <c r="K12" s="2427">
        <f>'SE Rail data'!J449*'SE Rail data'!N451</f>
        <v>118.94914248999402</v>
      </c>
      <c r="L12" s="784">
        <f>L10</f>
        <v>20.946431665176139</v>
      </c>
      <c r="M12" s="784">
        <f>'SE Rail data'!S449</f>
        <v>71642.710581490217</v>
      </c>
      <c r="N12" s="754">
        <v>1E-3</v>
      </c>
      <c r="O12" s="754">
        <v>30</v>
      </c>
      <c r="P12" s="2264">
        <f>29.3/1000</f>
        <v>2.93E-2</v>
      </c>
      <c r="S12" s="317">
        <f>H12*I12*K12*M12*N12</f>
        <v>18.880204864406409</v>
      </c>
      <c r="T12" s="543"/>
      <c r="U12" s="543" t="str">
        <f>Dem!B33</f>
        <v>TPROS</v>
      </c>
      <c r="V12" s="2747">
        <f>('SE Rail data'!$M$474+'SE Rail data'!$M$475)*TRAIN!I12</f>
        <v>19.384254635293942</v>
      </c>
      <c r="W12" s="317">
        <f>S12+S15</f>
        <v>19.384254635293946</v>
      </c>
      <c r="X12" s="543">
        <f t="shared" si="1"/>
        <v>1.0000000000000002</v>
      </c>
      <c r="Y12" s="543"/>
      <c r="Z12" s="12">
        <f>H12*1/L12*M12*N12*I12</f>
        <v>7.5776638820000217E-3</v>
      </c>
    </row>
    <row r="13" spans="2:27">
      <c r="B13" s="565" t="s">
        <v>601</v>
      </c>
      <c r="C13" s="765"/>
      <c r="D13" s="765"/>
      <c r="F13" s="754" t="str">
        <f>Commodities!$D$23</f>
        <v>TPROM</v>
      </c>
      <c r="G13" s="754" t="s">
        <v>3603</v>
      </c>
      <c r="I13" s="2347">
        <f t="shared" si="0"/>
        <v>0.12906262723093936</v>
      </c>
      <c r="J13" s="784">
        <v>5</v>
      </c>
      <c r="K13" s="2427"/>
      <c r="M13" s="784"/>
      <c r="P13" s="2264"/>
      <c r="S13" s="317">
        <f>H12*I13*K12*M12*N12</f>
        <v>27.442031192250354</v>
      </c>
      <c r="T13" s="543"/>
      <c r="U13" s="543" t="str">
        <f>Dem!B34</f>
        <v>TPROM</v>
      </c>
      <c r="V13" s="2747">
        <f>('SE Rail data'!$M$474+'SE Rail data'!$M$475)*TRAIN!I13</f>
        <v>28.174658281547416</v>
      </c>
      <c r="W13" s="317">
        <f>S13+S16</f>
        <v>28.174658281547423</v>
      </c>
      <c r="X13" s="543">
        <f t="shared" si="1"/>
        <v>1.0000000000000002</v>
      </c>
      <c r="Y13" s="543"/>
      <c r="Z13" s="12">
        <f>H12*1/L12*M12*N12*I13</f>
        <v>1.1013995351621484E-2</v>
      </c>
    </row>
    <row r="14" spans="2:27">
      <c r="B14" s="565" t="s">
        <v>601</v>
      </c>
      <c r="C14" s="765"/>
      <c r="D14" s="765"/>
      <c r="F14" s="754" t="str">
        <f>Commodities!$D$24</f>
        <v>TPROL</v>
      </c>
      <c r="G14" s="754" t="s">
        <v>3603</v>
      </c>
      <c r="H14" s="250"/>
      <c r="I14" s="2347">
        <f t="shared" si="0"/>
        <v>0.78214187416373926</v>
      </c>
      <c r="J14" s="784">
        <v>5</v>
      </c>
      <c r="K14" s="2427"/>
      <c r="L14" s="784"/>
      <c r="M14" s="784"/>
      <c r="P14" s="2264"/>
      <c r="S14" s="317">
        <f>H12*I14*K12*M12*N12</f>
        <v>166.30346187793359</v>
      </c>
      <c r="T14" s="543"/>
      <c r="U14" s="543" t="str">
        <f>Dem!B35</f>
        <v>TPROL</v>
      </c>
      <c r="V14" s="2747">
        <f>('SE Rail data'!$M$474+'SE Rail data'!$M$475)*TRAIN!I14</f>
        <v>170.7433089272316</v>
      </c>
      <c r="W14" s="317">
        <f>S14+S17</f>
        <v>170.7433089272316</v>
      </c>
      <c r="X14" s="543">
        <f t="shared" si="1"/>
        <v>1</v>
      </c>
      <c r="Y14" s="543"/>
      <c r="Z14" s="12">
        <f>H12*1/L12*M12*N12*I14</f>
        <v>6.6746719411913832E-2</v>
      </c>
    </row>
    <row r="15" spans="2:27">
      <c r="B15" s="565" t="s">
        <v>601</v>
      </c>
      <c r="C15" s="765" t="str">
        <f>Processes!$D$15</f>
        <v>TPRODSBL1E</v>
      </c>
      <c r="D15" s="765" t="str">
        <f>Processes!$E$15</f>
        <v>Transport Passengers Rail Other train - Diesel - Existing</v>
      </c>
      <c r="E15" s="765" t="str">
        <f>Commodities!$D$80</f>
        <v>TRADSBL1</v>
      </c>
      <c r="F15" s="754" t="str">
        <f>Commodities!$D$22</f>
        <v>TPROS</v>
      </c>
      <c r="G15" s="754" t="s">
        <v>3603</v>
      </c>
      <c r="H15" s="250">
        <f>'SE Rail data'!P475/1000</f>
        <v>1.9569162652672942E-3</v>
      </c>
      <c r="I15" s="2347">
        <f t="shared" si="0"/>
        <v>8.8795498605321391E-2</v>
      </c>
      <c r="J15" s="784">
        <v>5</v>
      </c>
      <c r="K15" s="2427">
        <f>'SE Rail data'!J450*'SE Rail data'!N451</f>
        <v>42.71882980767807</v>
      </c>
      <c r="L15" s="784">
        <f>'SE Rail data'!W450</f>
        <v>29.162955120126984</v>
      </c>
      <c r="M15" s="784">
        <f>'SE Rail data'!S450</f>
        <v>67903.3</v>
      </c>
      <c r="N15" s="754">
        <v>1E-3</v>
      </c>
      <c r="O15" s="754">
        <v>30</v>
      </c>
      <c r="P15" s="2264">
        <f>29.3/1000</f>
        <v>2.93E-2</v>
      </c>
      <c r="S15" s="317">
        <f>H15*I15*K15*M15*N15</f>
        <v>0.50404977088753666</v>
      </c>
      <c r="T15" s="543"/>
      <c r="U15" s="543"/>
      <c r="V15" s="1569"/>
      <c r="W15" s="543"/>
      <c r="X15" s="543" t="e">
        <f t="shared" si="1"/>
        <v>#DIV/0!</v>
      </c>
      <c r="Y15" s="543"/>
      <c r="AA15" s="12">
        <f>H15*1/L15*M15*N15*I15</f>
        <v>4.0459689409877631E-4</v>
      </c>
    </row>
    <row r="16" spans="2:27">
      <c r="B16" s="565" t="s">
        <v>601</v>
      </c>
      <c r="C16" s="765"/>
      <c r="D16" s="765"/>
      <c r="F16" s="754" t="str">
        <f>Commodities!$D$23</f>
        <v>TPROM</v>
      </c>
      <c r="G16" s="754" t="s">
        <v>3603</v>
      </c>
      <c r="I16" s="2347">
        <f t="shared" si="0"/>
        <v>0.12906262723093936</v>
      </c>
      <c r="J16" s="784">
        <v>5</v>
      </c>
      <c r="K16" s="2427"/>
      <c r="L16" s="784"/>
      <c r="M16" s="784"/>
      <c r="P16" s="2264"/>
      <c r="S16" s="317">
        <f>H15*I16*K15*M15*N15</f>
        <v>0.73262708929706866</v>
      </c>
      <c r="T16" s="543"/>
      <c r="U16" s="543"/>
      <c r="V16" s="1569"/>
      <c r="W16" s="543"/>
      <c r="X16" s="543" t="e">
        <f t="shared" si="1"/>
        <v>#DIV/0!</v>
      </c>
      <c r="Y16" s="543"/>
      <c r="AA16" s="12">
        <f>H15*1/L15*M15*N15*I16</f>
        <v>5.880741585107429E-4</v>
      </c>
    </row>
    <row r="17" spans="2:27">
      <c r="B17" s="565" t="s">
        <v>601</v>
      </c>
      <c r="C17" s="765"/>
      <c r="D17" s="765"/>
      <c r="F17" s="754" t="str">
        <f>Commodities!$D$24</f>
        <v>TPROL</v>
      </c>
      <c r="G17" s="23" t="s">
        <v>3603</v>
      </c>
      <c r="H17" s="250"/>
      <c r="I17" s="2347">
        <f t="shared" si="0"/>
        <v>0.78214187416373926</v>
      </c>
      <c r="J17" s="784">
        <v>5</v>
      </c>
      <c r="K17" s="2427"/>
      <c r="L17" s="784"/>
      <c r="M17" s="784"/>
      <c r="P17" s="2264"/>
      <c r="S17" s="317">
        <f>H15*I17*K15*M15*N15</f>
        <v>4.4398470492980051</v>
      </c>
      <c r="T17" s="543"/>
      <c r="U17" s="543"/>
      <c r="V17" s="1569"/>
      <c r="W17" s="543"/>
      <c r="X17" s="543" t="e">
        <f t="shared" si="1"/>
        <v>#DIV/0!</v>
      </c>
      <c r="Y17" s="543"/>
      <c r="AA17" s="12">
        <f>H15*1/L15*M15*N15*I17</f>
        <v>3.5638312527283933E-3</v>
      </c>
    </row>
    <row r="18" spans="2:27">
      <c r="B18" s="2020" t="s">
        <v>602</v>
      </c>
      <c r="C18" s="725" t="str">
        <f>Processes!$D$12</f>
        <v>TPRSELCX1E</v>
      </c>
      <c r="D18" s="725" t="str">
        <f>Processes!$E$12</f>
        <v>Transport Passengers Rail S-train - Electric - Existing</v>
      </c>
      <c r="E18" s="30" t="str">
        <f>Commodities!$D$60</f>
        <v>TRAELC</v>
      </c>
      <c r="F18" s="30" t="str">
        <f>Commodities!$D$19</f>
        <v>TPRSX</v>
      </c>
      <c r="G18" s="754" t="s">
        <v>3603</v>
      </c>
      <c r="H18" s="2012">
        <f>'SE Rail data'!P476/1000</f>
        <v>0</v>
      </c>
      <c r="I18" s="2705">
        <f t="shared" ref="I18:I23" si="2">N56</f>
        <v>0.29439367314102788</v>
      </c>
      <c r="J18" s="2090">
        <v>5</v>
      </c>
      <c r="K18" s="2761">
        <f>K7</f>
        <v>33.566090897954183</v>
      </c>
      <c r="L18" s="2090">
        <f>L7</f>
        <v>20.946431665176139</v>
      </c>
      <c r="M18" s="2090">
        <f>M7</f>
        <v>33318.367346938772</v>
      </c>
      <c r="N18" s="30">
        <v>1E-3</v>
      </c>
      <c r="O18" s="30">
        <v>30</v>
      </c>
      <c r="P18" s="2266">
        <f>P7</f>
        <v>2.93E-2</v>
      </c>
      <c r="S18" s="317">
        <f>H18*I18*K18*M18*N18</f>
        <v>0</v>
      </c>
      <c r="T18" s="543"/>
      <c r="U18" s="543" t="str">
        <f t="shared" ref="U18:U25" si="3">U7</f>
        <v>TPRMX</v>
      </c>
      <c r="V18" s="2747">
        <f>'SE Rail data'!M477*TRAIN!I21</f>
        <v>0</v>
      </c>
      <c r="W18" s="317">
        <f>S21</f>
        <v>0</v>
      </c>
      <c r="X18" s="543" t="e">
        <f t="shared" si="1"/>
        <v>#DIV/0!</v>
      </c>
      <c r="Y18" s="543"/>
      <c r="Z18" s="12">
        <f>H18*1/L18*M18*N18*I18</f>
        <v>0</v>
      </c>
    </row>
    <row r="19" spans="2:27">
      <c r="B19" s="565" t="s">
        <v>602</v>
      </c>
      <c r="C19" s="543"/>
      <c r="D19" s="543"/>
      <c r="E19" s="543"/>
      <c r="F19" s="543" t="str">
        <f>Commodities!$D$20</f>
        <v>TPRSS</v>
      </c>
      <c r="G19" s="754" t="s">
        <v>3603</v>
      </c>
      <c r="H19" s="277"/>
      <c r="I19" s="1538">
        <f t="shared" si="2"/>
        <v>0.69807965885077528</v>
      </c>
      <c r="J19" s="784">
        <v>5</v>
      </c>
      <c r="K19" s="2172"/>
      <c r="L19" s="317"/>
      <c r="M19" s="317"/>
      <c r="N19" s="543"/>
      <c r="O19" s="543"/>
      <c r="P19" s="2083"/>
      <c r="S19" s="317">
        <f>H18*I19*K18*M18*N18</f>
        <v>0</v>
      </c>
      <c r="T19" s="543"/>
      <c r="U19" s="23" t="str">
        <f t="shared" si="3"/>
        <v>TPRMS</v>
      </c>
      <c r="V19" s="2748">
        <f>'SE Rail data'!M477*TRAIN!I22</f>
        <v>0</v>
      </c>
      <c r="W19" s="317">
        <f>S22</f>
        <v>0</v>
      </c>
      <c r="X19" s="543" t="e">
        <f t="shared" si="1"/>
        <v>#DIV/0!</v>
      </c>
      <c r="Y19" s="543"/>
      <c r="Z19" s="12">
        <f>H18*1/L18*M18*N18*I19</f>
        <v>0</v>
      </c>
    </row>
    <row r="20" spans="2:27">
      <c r="B20" s="565" t="s">
        <v>602</v>
      </c>
      <c r="F20" s="754" t="str">
        <f>Commodities!$D$21</f>
        <v>TPRSM</v>
      </c>
      <c r="G20" s="754" t="s">
        <v>3603</v>
      </c>
      <c r="H20" s="277"/>
      <c r="I20" s="1538">
        <f t="shared" si="2"/>
        <v>7.526668008196802E-3</v>
      </c>
      <c r="J20" s="784">
        <v>5</v>
      </c>
      <c r="K20" s="2172"/>
      <c r="L20" s="317"/>
      <c r="M20" s="317"/>
      <c r="N20" s="543"/>
      <c r="O20" s="543"/>
      <c r="P20" s="2083"/>
      <c r="S20" s="317">
        <f>H18*I20*K18*M18*N18</f>
        <v>0</v>
      </c>
      <c r="T20" s="543"/>
      <c r="U20" s="543" t="str">
        <f t="shared" si="3"/>
        <v>TPRSX</v>
      </c>
      <c r="V20" s="2747">
        <f>'SE Rail data'!$M$476*TRAIN!I18</f>
        <v>0</v>
      </c>
      <c r="W20" s="317">
        <f>S18</f>
        <v>0</v>
      </c>
      <c r="X20" s="543" t="e">
        <f t="shared" si="1"/>
        <v>#DIV/0!</v>
      </c>
      <c r="Y20" s="543"/>
      <c r="Z20" s="12">
        <f>H18*1/L18*M18*N18*I20</f>
        <v>0</v>
      </c>
    </row>
    <row r="21" spans="2:27">
      <c r="B21" s="565" t="s">
        <v>602</v>
      </c>
      <c r="C21" s="765" t="str">
        <f>Processes!$D$13</f>
        <v>TPRMELCX1E</v>
      </c>
      <c r="D21" s="765" t="str">
        <f>Processes!$E$13</f>
        <v>Transport Passengers Rail Metro - Electric  - Existing</v>
      </c>
      <c r="E21" s="765" t="str">
        <f>Commodities!$D$60</f>
        <v>TRAELC</v>
      </c>
      <c r="F21" s="754" t="str">
        <f>Commodities!$D$17</f>
        <v>TPRMX</v>
      </c>
      <c r="G21" s="754" t="s">
        <v>3603</v>
      </c>
      <c r="H21" s="12">
        <f>'SE Rail data'!P477/1000</f>
        <v>0</v>
      </c>
      <c r="I21" s="1538">
        <f t="shared" si="2"/>
        <v>0.15948731937145566</v>
      </c>
      <c r="J21" s="784">
        <v>5</v>
      </c>
      <c r="K21" s="2427">
        <f>K10</f>
        <v>137.4900714853058</v>
      </c>
      <c r="L21" s="784">
        <f>L10</f>
        <v>20.946431665176139</v>
      </c>
      <c r="M21" s="581">
        <f t="shared" ref="M21:M26" si="4">M10</f>
        <v>24541.910331384017</v>
      </c>
      <c r="N21" s="1620">
        <v>1E-3</v>
      </c>
      <c r="O21" s="581">
        <v>30</v>
      </c>
      <c r="P21" s="2265">
        <f>P10</f>
        <v>2.93E-2</v>
      </c>
      <c r="S21" s="317">
        <f>H21*I21*K21*M21*N21</f>
        <v>0</v>
      </c>
      <c r="T21" s="543"/>
      <c r="U21" s="543" t="str">
        <f t="shared" si="3"/>
        <v>TPRSS</v>
      </c>
      <c r="V21" s="2747">
        <f>'SE Rail data'!$M$476*TRAIN!I19</f>
        <v>0</v>
      </c>
      <c r="W21" s="317">
        <f>S19</f>
        <v>0</v>
      </c>
      <c r="X21" s="543" t="e">
        <f t="shared" si="1"/>
        <v>#DIV/0!</v>
      </c>
      <c r="Y21" s="543"/>
      <c r="Z21" s="12">
        <f>H21*1/L21*M21*N21*I21</f>
        <v>0</v>
      </c>
    </row>
    <row r="22" spans="2:27">
      <c r="B22" s="565" t="s">
        <v>602</v>
      </c>
      <c r="F22" s="754" t="str">
        <f>Commodities!$D$18</f>
        <v>TPRMS</v>
      </c>
      <c r="G22" s="754" t="s">
        <v>3603</v>
      </c>
      <c r="H22" s="277"/>
      <c r="I22" s="1538">
        <f t="shared" si="2"/>
        <v>0.84051268062854445</v>
      </c>
      <c r="J22" s="784">
        <v>5</v>
      </c>
      <c r="K22" s="2427"/>
      <c r="L22" s="784"/>
      <c r="M22" s="317"/>
      <c r="N22" s="543"/>
      <c r="O22" s="543"/>
      <c r="P22" s="2265"/>
      <c r="S22" s="317">
        <f>H21*I22*K21*M21*N21</f>
        <v>0</v>
      </c>
      <c r="T22" s="543"/>
      <c r="U22" s="23" t="str">
        <f t="shared" si="3"/>
        <v>TPRSM</v>
      </c>
      <c r="V22" s="2748">
        <f>'SE Rail data'!$M$476*TRAIN!I20</f>
        <v>0</v>
      </c>
      <c r="W22" s="317">
        <f>S20</f>
        <v>0</v>
      </c>
      <c r="X22" s="543" t="e">
        <f t="shared" si="1"/>
        <v>#DIV/0!</v>
      </c>
      <c r="Y22" s="543"/>
      <c r="Z22" s="12">
        <f>H21*1/L21*M21*N21*I22</f>
        <v>0</v>
      </c>
    </row>
    <row r="23" spans="2:27">
      <c r="B23" s="565" t="s">
        <v>602</v>
      </c>
      <c r="C23" s="765" t="str">
        <f>Processes!$D$14</f>
        <v>TPROELCX1E</v>
      </c>
      <c r="D23" s="765" t="str">
        <f>Processes!$E$14</f>
        <v>Transport Passengers Rail Other train - Electric - Existing</v>
      </c>
      <c r="E23" s="765" t="str">
        <f>Commodities!$D$60</f>
        <v>TRAELC</v>
      </c>
      <c r="F23" s="754" t="str">
        <f>Commodities!$D$22</f>
        <v>TPROS</v>
      </c>
      <c r="G23" s="754" t="s">
        <v>3603</v>
      </c>
      <c r="H23" s="277">
        <f>'SE Rail data'!P478/1000</f>
        <v>6.0207669176900971E-2</v>
      </c>
      <c r="I23" s="1538">
        <f t="shared" si="2"/>
        <v>8.8795498605321391E-2</v>
      </c>
      <c r="J23" s="784">
        <v>5</v>
      </c>
      <c r="K23" s="2427">
        <f>K12</f>
        <v>118.94914248999402</v>
      </c>
      <c r="L23" s="784">
        <f>L12</f>
        <v>20.946431665176139</v>
      </c>
      <c r="M23" s="317">
        <f t="shared" si="4"/>
        <v>71642.710581490217</v>
      </c>
      <c r="N23" s="1620">
        <v>1E-3</v>
      </c>
      <c r="O23" s="581">
        <v>30</v>
      </c>
      <c r="P23" s="2265">
        <f>P12</f>
        <v>2.93E-2</v>
      </c>
      <c r="S23" s="317">
        <f>H23*I23*K23*M23*N23</f>
        <v>45.559199987298328</v>
      </c>
      <c r="T23" s="543"/>
      <c r="U23" s="543" t="str">
        <f t="shared" si="3"/>
        <v>TPROS</v>
      </c>
      <c r="V23" s="2747">
        <f>('SE Rail data'!$M$478+'SE Rail data'!$M$479)*TRAIN!I23</f>
        <v>46.775505873825537</v>
      </c>
      <c r="W23" s="317">
        <f>S23+S26</f>
        <v>46.775505873825537</v>
      </c>
      <c r="X23" s="543">
        <f t="shared" si="1"/>
        <v>1</v>
      </c>
      <c r="Y23" s="543"/>
      <c r="Z23" s="12">
        <f>H23*1/L23*M23*N23*I23</f>
        <v>1.8285410921965676E-2</v>
      </c>
    </row>
    <row r="24" spans="2:27">
      <c r="B24" s="565" t="s">
        <v>602</v>
      </c>
      <c r="C24" s="765"/>
      <c r="D24" s="765"/>
      <c r="F24" s="754" t="str">
        <f>Commodities!$D$23</f>
        <v>TPROM</v>
      </c>
      <c r="G24" s="754" t="s">
        <v>3603</v>
      </c>
      <c r="H24" s="277"/>
      <c r="I24" s="1538">
        <f>N62</f>
        <v>0.12906262723093936</v>
      </c>
      <c r="J24" s="784">
        <v>5</v>
      </c>
      <c r="K24" s="2110"/>
      <c r="L24" s="784"/>
      <c r="M24" s="317"/>
      <c r="N24" s="543"/>
      <c r="O24" s="543"/>
      <c r="P24" s="2265"/>
      <c r="S24" s="317">
        <f>H23*I24*K23*M23*N23</f>
        <v>66.219460865194378</v>
      </c>
      <c r="T24" s="543"/>
      <c r="U24" s="543" t="str">
        <f t="shared" si="3"/>
        <v>TPROM</v>
      </c>
      <c r="V24" s="2747">
        <f>('SE Rail data'!$M$478+'SE Rail data'!$M$479)*TRAIN!I24</f>
        <v>67.987339143905345</v>
      </c>
      <c r="W24" s="317">
        <f>S24+S27</f>
        <v>67.987339143905359</v>
      </c>
      <c r="X24" s="543">
        <f t="shared" si="1"/>
        <v>1.0000000000000002</v>
      </c>
      <c r="Y24" s="543"/>
      <c r="Z24" s="12">
        <f>H23*1/L23*M23*N23*I24</f>
        <v>2.6577509115363808E-2</v>
      </c>
    </row>
    <row r="25" spans="2:27">
      <c r="B25" s="565" t="s">
        <v>602</v>
      </c>
      <c r="C25" s="765"/>
      <c r="D25" s="765"/>
      <c r="F25" s="754" t="str">
        <f>Commodities!$D$24</f>
        <v>TPROL</v>
      </c>
      <c r="G25" s="754" t="s">
        <v>3603</v>
      </c>
      <c r="H25" s="277"/>
      <c r="I25" s="1538">
        <f>N63</f>
        <v>0.78214187416373926</v>
      </c>
      <c r="J25" s="784">
        <v>5</v>
      </c>
      <c r="K25" s="2427"/>
      <c r="L25" s="784"/>
      <c r="M25" s="317"/>
      <c r="N25" s="543"/>
      <c r="O25" s="543"/>
      <c r="P25" s="2265"/>
      <c r="S25" s="317">
        <f>H23*I25*K23*M23*N23</f>
        <v>401.30140179572845</v>
      </c>
      <c r="T25" s="543"/>
      <c r="U25" s="543" t="str">
        <f t="shared" si="3"/>
        <v>TPROL</v>
      </c>
      <c r="V25" s="2747">
        <f>('SE Rail data'!$M$478+'SE Rail data'!$M$479)*TRAIN!I25</f>
        <v>412.01505035434764</v>
      </c>
      <c r="W25" s="317">
        <f>S25+S28</f>
        <v>412.01505035434769</v>
      </c>
      <c r="X25" s="543">
        <f t="shared" si="1"/>
        <v>1.0000000000000002</v>
      </c>
      <c r="Y25" s="543"/>
      <c r="Z25" s="12">
        <f>H23*1/L23*M23*N23*I25</f>
        <v>0.16106430836014538</v>
      </c>
    </row>
    <row r="26" spans="2:27">
      <c r="B26" s="565" t="s">
        <v>602</v>
      </c>
      <c r="C26" s="765" t="str">
        <f>Processes!$D$15</f>
        <v>TPRODSBL1E</v>
      </c>
      <c r="D26" s="765" t="str">
        <f>Processes!$E$15</f>
        <v>Transport Passengers Rail Other train - Diesel - Existing</v>
      </c>
      <c r="E26" s="765" t="str">
        <f>Commodities!$D$80</f>
        <v>TRADSBL1</v>
      </c>
      <c r="F26" s="754" t="str">
        <f>Commodities!$D$22</f>
        <v>TPROS</v>
      </c>
      <c r="G26" s="754" t="s">
        <v>3603</v>
      </c>
      <c r="H26" s="277">
        <f>'SE Rail data'!P479/1000</f>
        <v>4.7221701315216446E-3</v>
      </c>
      <c r="I26" s="1538">
        <f>N64</f>
        <v>8.8795498605321391E-2</v>
      </c>
      <c r="J26" s="784">
        <v>5</v>
      </c>
      <c r="K26" s="2427">
        <f>K15</f>
        <v>42.71882980767807</v>
      </c>
      <c r="L26" s="784">
        <f>L15</f>
        <v>29.162955120126984</v>
      </c>
      <c r="M26" s="317">
        <f t="shared" si="4"/>
        <v>67903.3</v>
      </c>
      <c r="N26" s="1620">
        <v>1E-3</v>
      </c>
      <c r="O26" s="581">
        <v>30</v>
      </c>
      <c r="P26" s="2265">
        <f>P15</f>
        <v>2.93E-2</v>
      </c>
      <c r="S26" s="317">
        <f>H26*I26*K26*M26*N26</f>
        <v>1.2163058865272103</v>
      </c>
      <c r="T26" s="543"/>
      <c r="U26" s="543"/>
      <c r="V26" s="1569"/>
      <c r="W26" s="543"/>
      <c r="X26" s="543" t="e">
        <f t="shared" si="1"/>
        <v>#DIV/0!</v>
      </c>
      <c r="Y26" s="543"/>
      <c r="AA26" s="12">
        <f>H26*1/L26*M26*N26*I26</f>
        <v>9.7631942793357227E-4</v>
      </c>
    </row>
    <row r="27" spans="2:27">
      <c r="B27" s="565" t="s">
        <v>602</v>
      </c>
      <c r="C27" s="765"/>
      <c r="D27" s="765"/>
      <c r="F27" s="754" t="str">
        <f>Commodities!$D$23</f>
        <v>TPROM</v>
      </c>
      <c r="G27" s="754" t="s">
        <v>3603</v>
      </c>
      <c r="H27" s="277"/>
      <c r="I27" s="1538">
        <f>N65</f>
        <v>0.12906262723093936</v>
      </c>
      <c r="J27" s="784">
        <v>5</v>
      </c>
      <c r="K27" s="2172"/>
      <c r="L27" s="784"/>
      <c r="M27" s="543"/>
      <c r="N27" s="543"/>
      <c r="O27" s="543"/>
      <c r="P27" s="2083"/>
      <c r="S27" s="317">
        <f>H26*I27*K26*M26*N26</f>
        <v>1.7678782787109775</v>
      </c>
      <c r="T27" s="543"/>
      <c r="U27" s="543"/>
      <c r="V27" s="1569"/>
      <c r="W27" s="543"/>
      <c r="X27" s="543" t="e">
        <f t="shared" si="1"/>
        <v>#DIV/0!</v>
      </c>
      <c r="Y27" s="543"/>
      <c r="AA27" s="12">
        <f>H26*1/L26*M26*N26*I27</f>
        <v>1.4190623665033761E-3</v>
      </c>
    </row>
    <row r="28" spans="2:27">
      <c r="B28" s="565" t="s">
        <v>602</v>
      </c>
      <c r="C28" s="765"/>
      <c r="D28" s="765"/>
      <c r="F28" s="754" t="str">
        <f>Commodities!$D$24</f>
        <v>TPROL</v>
      </c>
      <c r="G28" s="23" t="s">
        <v>3603</v>
      </c>
      <c r="H28" s="12"/>
      <c r="I28" s="1556">
        <f>N66</f>
        <v>0.78214187416373926</v>
      </c>
      <c r="J28" s="784">
        <v>5</v>
      </c>
      <c r="K28" s="2427"/>
      <c r="L28" s="784"/>
      <c r="P28" s="2264"/>
      <c r="S28" s="317">
        <f>H26*I28*K26*M26*N26</f>
        <v>10.713648558619267</v>
      </c>
      <c r="T28" s="543"/>
      <c r="U28" s="543"/>
      <c r="V28" s="1569"/>
      <c r="W28" s="543"/>
      <c r="X28" s="543" t="e">
        <f t="shared" si="1"/>
        <v>#DIV/0!</v>
      </c>
      <c r="Y28" s="543"/>
      <c r="AA28" s="12">
        <f>H26*1/L26*M26*N26*I28</f>
        <v>8.5997637170840916E-3</v>
      </c>
    </row>
    <row r="29" spans="2:27">
      <c r="B29" s="2020" t="s">
        <v>603</v>
      </c>
      <c r="C29" s="725" t="str">
        <f>Processes!$D$12</f>
        <v>TPRSELCX1E</v>
      </c>
      <c r="D29" s="725" t="str">
        <f>Processes!$E$12</f>
        <v>Transport Passengers Rail S-train - Electric - Existing</v>
      </c>
      <c r="E29" s="30" t="str">
        <f>Commodities!$D$60</f>
        <v>TRAELC</v>
      </c>
      <c r="F29" s="30" t="str">
        <f>Commodities!$D$19</f>
        <v>TPRSX</v>
      </c>
      <c r="G29" s="754" t="s">
        <v>3603</v>
      </c>
      <c r="H29" s="2012">
        <f>'SE Rail data'!P480/1000</f>
        <v>0.49</v>
      </c>
      <c r="I29" s="2347">
        <f t="shared" ref="I29:I34" si="5">O56</f>
        <v>0.29439367314102788</v>
      </c>
      <c r="J29" s="2090">
        <v>5</v>
      </c>
      <c r="K29" s="2761">
        <f>K18</f>
        <v>33.566090897954183</v>
      </c>
      <c r="L29" s="2090">
        <f>L18</f>
        <v>20.946431665176139</v>
      </c>
      <c r="M29" s="2090">
        <f>M18</f>
        <v>33318.367346938772</v>
      </c>
      <c r="N29" s="2263">
        <v>1E-3</v>
      </c>
      <c r="O29" s="2096">
        <v>30</v>
      </c>
      <c r="P29" s="2266">
        <f>P18</f>
        <v>2.93E-2</v>
      </c>
      <c r="S29" s="317">
        <f>H29*I29*K29*M29*N29</f>
        <v>161.32773288128328</v>
      </c>
      <c r="T29" s="543"/>
      <c r="U29" s="543" t="str">
        <f t="shared" ref="U29:U36" si="6">U18</f>
        <v>TPRMX</v>
      </c>
      <c r="V29" s="2747">
        <f>'SE Rail data'!M481*TRAIN!I32</f>
        <v>276.07254983198976</v>
      </c>
      <c r="W29" s="317">
        <f>S32</f>
        <v>276.07254983198976</v>
      </c>
      <c r="X29" s="543">
        <f t="shared" si="1"/>
        <v>1</v>
      </c>
      <c r="Y29" s="543"/>
      <c r="Z29" s="12">
        <f>H29*1/L29*M29*N29*I29</f>
        <v>0.22945536426096588</v>
      </c>
    </row>
    <row r="30" spans="2:27">
      <c r="B30" s="565" t="s">
        <v>603</v>
      </c>
      <c r="C30" s="543"/>
      <c r="D30" s="543"/>
      <c r="E30" s="543"/>
      <c r="F30" s="543" t="str">
        <f>Commodities!$D$20</f>
        <v>TPRSS</v>
      </c>
      <c r="G30" s="754" t="s">
        <v>3603</v>
      </c>
      <c r="H30" s="277"/>
      <c r="I30" s="2347">
        <f t="shared" si="5"/>
        <v>0.69807965885077528</v>
      </c>
      <c r="J30" s="784">
        <v>5</v>
      </c>
      <c r="K30" s="2172"/>
      <c r="L30" s="317"/>
      <c r="M30" s="317"/>
      <c r="N30" s="543"/>
      <c r="O30" s="543"/>
      <c r="P30" s="2083"/>
      <c r="S30" s="317">
        <f>H29*I30*K29*M29*N29</f>
        <v>382.54765305022482</v>
      </c>
      <c r="T30" s="543"/>
      <c r="U30" s="23" t="str">
        <f t="shared" si="6"/>
        <v>TPRMS</v>
      </c>
      <c r="V30" s="2748">
        <f>'SE Rail data'!M481*TRAIN!I33</f>
        <v>1454.9274501680104</v>
      </c>
      <c r="W30" s="317">
        <f>S33</f>
        <v>1454.9274501680106</v>
      </c>
      <c r="X30" s="543">
        <f t="shared" si="1"/>
        <v>1.0000000000000002</v>
      </c>
      <c r="Y30" s="543"/>
      <c r="Z30" s="12">
        <f>H29*1/L29*M29*N29*I30</f>
        <v>0.54409498918831345</v>
      </c>
    </row>
    <row r="31" spans="2:27">
      <c r="B31" s="565" t="s">
        <v>603</v>
      </c>
      <c r="C31" s="543"/>
      <c r="D31" s="543"/>
      <c r="E31" s="543"/>
      <c r="F31" s="543" t="str">
        <f>Commodities!$D$21</f>
        <v>TPRSM</v>
      </c>
      <c r="G31" s="754" t="s">
        <v>3603</v>
      </c>
      <c r="H31" s="12"/>
      <c r="I31" s="2347">
        <f t="shared" si="5"/>
        <v>7.526668008196802E-3</v>
      </c>
      <c r="J31" s="784">
        <v>5</v>
      </c>
      <c r="K31" s="2427"/>
      <c r="L31" s="317"/>
      <c r="M31" s="784"/>
      <c r="P31" s="2264"/>
      <c r="S31" s="317">
        <f>H29*I31*K29*M29*N29</f>
        <v>4.1246140684918462</v>
      </c>
      <c r="T31" s="543"/>
      <c r="U31" s="543" t="str">
        <f t="shared" si="6"/>
        <v>TPRSX</v>
      </c>
      <c r="V31" s="2747">
        <f>'SE Rail data'!$M$480*TRAIN!I29</f>
        <v>161.32773288128328</v>
      </c>
      <c r="W31" s="317">
        <f>S29</f>
        <v>161.32773288128328</v>
      </c>
      <c r="X31" s="543">
        <f t="shared" si="1"/>
        <v>1</v>
      </c>
      <c r="Y31" s="543"/>
      <c r="Z31" s="12">
        <f>H29*1/L29*M29*N29*I31</f>
        <v>5.8664112277468277E-3</v>
      </c>
    </row>
    <row r="32" spans="2:27">
      <c r="B32" s="565" t="s">
        <v>603</v>
      </c>
      <c r="C32" s="467" t="str">
        <f>Processes!$D$13</f>
        <v>TPRMELCX1E</v>
      </c>
      <c r="D32" s="467" t="str">
        <f>Processes!$E$13</f>
        <v>Transport Passengers Rail Metro - Electric  - Existing</v>
      </c>
      <c r="E32" s="467" t="str">
        <f>Commodities!$D$60</f>
        <v>TRAELC</v>
      </c>
      <c r="F32" s="543" t="str">
        <f>Commodities!$D$17</f>
        <v>TPRMX</v>
      </c>
      <c r="G32" s="754" t="s">
        <v>3603</v>
      </c>
      <c r="H32" s="12">
        <f>'SE Rail data'!P481/1000</f>
        <v>0.51300000000000001</v>
      </c>
      <c r="I32" s="2347">
        <f t="shared" si="5"/>
        <v>0.15948731937145566</v>
      </c>
      <c r="J32" s="784">
        <v>5</v>
      </c>
      <c r="K32" s="2427">
        <f>K21</f>
        <v>137.4900714853058</v>
      </c>
      <c r="L32" s="317">
        <f t="shared" ref="L32:L37" si="7">L21</f>
        <v>20.946431665176139</v>
      </c>
      <c r="M32" s="581">
        <f t="shared" ref="M32:M37" si="8">M21</f>
        <v>24541.910331384017</v>
      </c>
      <c r="N32" s="1620">
        <v>1E-3</v>
      </c>
      <c r="O32" s="581">
        <v>30</v>
      </c>
      <c r="P32" s="2265">
        <f>P21</f>
        <v>2.93E-2</v>
      </c>
      <c r="S32" s="317">
        <f>H32*I32*K32*M32*N32</f>
        <v>276.07254983198976</v>
      </c>
      <c r="T32" s="543"/>
      <c r="U32" s="543" t="str">
        <f t="shared" si="6"/>
        <v>TPRSS</v>
      </c>
      <c r="V32" s="2747">
        <f>'SE Rail data'!$M$480*TRAIN!I30</f>
        <v>382.54765305022482</v>
      </c>
      <c r="W32" s="317">
        <f>S30</f>
        <v>382.54765305022482</v>
      </c>
      <c r="X32" s="543">
        <f t="shared" si="1"/>
        <v>1</v>
      </c>
      <c r="Y32" s="543"/>
      <c r="Z32" s="12">
        <f>H32*1/L32*M32*N32*I32</f>
        <v>9.5860974460145229E-2</v>
      </c>
    </row>
    <row r="33" spans="2:27">
      <c r="B33" s="565" t="s">
        <v>603</v>
      </c>
      <c r="C33" s="543"/>
      <c r="D33" s="543"/>
      <c r="E33" s="543"/>
      <c r="F33" s="543" t="str">
        <f>Commodities!$D$18</f>
        <v>TPRMS</v>
      </c>
      <c r="G33" s="754" t="s">
        <v>3603</v>
      </c>
      <c r="H33" s="12"/>
      <c r="I33" s="2347">
        <f t="shared" si="5"/>
        <v>0.84051268062854445</v>
      </c>
      <c r="J33" s="784">
        <v>5</v>
      </c>
      <c r="K33" s="2427"/>
      <c r="L33" s="317"/>
      <c r="M33" s="784"/>
      <c r="P33" s="2265"/>
      <c r="S33" s="317">
        <f>H32*I33*K32*M32*N32</f>
        <v>1454.9274501680106</v>
      </c>
      <c r="T33" s="543"/>
      <c r="U33" s="23" t="str">
        <f t="shared" si="6"/>
        <v>TPRSM</v>
      </c>
      <c r="V33" s="2748">
        <f>'SE Rail data'!$M$480*TRAIN!I31</f>
        <v>4.1246140684918471</v>
      </c>
      <c r="W33" s="317">
        <f>S31</f>
        <v>4.1246140684918462</v>
      </c>
      <c r="X33" s="543">
        <f t="shared" si="1"/>
        <v>0.99999999999999978</v>
      </c>
      <c r="Y33" s="543"/>
      <c r="Z33" s="12">
        <f>H32*1/L32*M32*N32*I33</f>
        <v>0.50519605526445122</v>
      </c>
    </row>
    <row r="34" spans="2:27">
      <c r="B34" s="565" t="s">
        <v>603</v>
      </c>
      <c r="C34" s="467" t="str">
        <f>Processes!$D$14</f>
        <v>TPROELCX1E</v>
      </c>
      <c r="D34" s="467" t="str">
        <f>Processes!$E$14</f>
        <v>Transport Passengers Rail Other train - Electric - Existing</v>
      </c>
      <c r="E34" s="467" t="str">
        <f>Commodities!$D$60</f>
        <v>TRAELC</v>
      </c>
      <c r="F34" s="543" t="str">
        <f>Commodities!$D$22</f>
        <v>TPROS</v>
      </c>
      <c r="G34" s="754" t="s">
        <v>3603</v>
      </c>
      <c r="H34" s="12">
        <f>'SE Rail data'!P482/1000</f>
        <v>0.93939817491727895</v>
      </c>
      <c r="I34" s="1538">
        <f t="shared" si="5"/>
        <v>9.4035084270749067E-2</v>
      </c>
      <c r="J34" s="784">
        <v>5</v>
      </c>
      <c r="K34" s="2427">
        <f>K23</f>
        <v>118.94914248999402</v>
      </c>
      <c r="L34" s="317">
        <f t="shared" si="7"/>
        <v>20.946431665176139</v>
      </c>
      <c r="M34" s="784">
        <f t="shared" si="8"/>
        <v>71642.710581490217</v>
      </c>
      <c r="N34" s="1620">
        <v>1E-3</v>
      </c>
      <c r="O34" s="581">
        <v>30</v>
      </c>
      <c r="P34" s="2265">
        <f>P23</f>
        <v>2.93E-2</v>
      </c>
      <c r="S34" s="317">
        <f>H34*I34*K34*M34*N34</f>
        <v>752.78846301102749</v>
      </c>
      <c r="T34" s="543"/>
      <c r="U34" s="543" t="str">
        <f t="shared" si="6"/>
        <v>TPROS</v>
      </c>
      <c r="V34" s="2747">
        <f>('SE Rail data'!$M$482+'SE Rail data'!$M$483)*TRAIN!I34</f>
        <v>772.88585363960215</v>
      </c>
      <c r="W34" s="317">
        <f>S34+S37</f>
        <v>772.88585363960203</v>
      </c>
      <c r="X34" s="543">
        <f t="shared" si="1"/>
        <v>0.99999999999999989</v>
      </c>
      <c r="Y34" s="543"/>
      <c r="Z34" s="12">
        <f>H34*1/L34*M34*N34*I34</f>
        <v>0.30213538401265205</v>
      </c>
    </row>
    <row r="35" spans="2:27">
      <c r="B35" s="565" t="s">
        <v>603</v>
      </c>
      <c r="C35" s="467"/>
      <c r="D35" s="467"/>
      <c r="E35" s="543"/>
      <c r="F35" s="543" t="str">
        <f>Commodities!$D$23</f>
        <v>TPROM</v>
      </c>
      <c r="G35" s="754" t="s">
        <v>3603</v>
      </c>
      <c r="H35" s="12"/>
      <c r="I35" s="1538">
        <f>O62</f>
        <v>0.13987375201870414</v>
      </c>
      <c r="J35" s="784">
        <v>5</v>
      </c>
      <c r="K35" s="2110"/>
      <c r="L35" s="317"/>
      <c r="M35" s="784"/>
      <c r="P35" s="2265"/>
      <c r="S35" s="317">
        <f>H34*I35*K34*M34*N34</f>
        <v>1119.745333503141</v>
      </c>
      <c r="T35" s="543"/>
      <c r="U35" s="543" t="str">
        <f t="shared" si="6"/>
        <v>TPROM</v>
      </c>
      <c r="V35" s="2747">
        <f>('SE Rail data'!$M$482+'SE Rail data'!$M$483)*TRAIN!I35</f>
        <v>1149.6394677489345</v>
      </c>
      <c r="W35" s="317">
        <f>S35+S38</f>
        <v>1149.6394677489343</v>
      </c>
      <c r="X35" s="543">
        <f t="shared" si="1"/>
        <v>0.99999999999999978</v>
      </c>
      <c r="Y35" s="543"/>
      <c r="Z35" s="12">
        <f>H34*1/L34*M34*N34*I35</f>
        <v>0.44941534436001418</v>
      </c>
    </row>
    <row r="36" spans="2:27">
      <c r="B36" s="565" t="s">
        <v>603</v>
      </c>
      <c r="C36" s="467"/>
      <c r="D36" s="467"/>
      <c r="E36" s="543"/>
      <c r="F36" s="543" t="str">
        <f>Commodities!$D$24</f>
        <v>TPROL</v>
      </c>
      <c r="G36" s="754" t="s">
        <v>3603</v>
      </c>
      <c r="H36" s="12"/>
      <c r="I36" s="1538">
        <f>O63</f>
        <v>0.76609116371054675</v>
      </c>
      <c r="J36" s="784">
        <v>5</v>
      </c>
      <c r="K36" s="2427"/>
      <c r="L36" s="317"/>
      <c r="M36" s="784"/>
      <c r="P36" s="2265"/>
      <c r="S36" s="317">
        <f>H34*I36*K34*M34*N34</f>
        <v>6132.8661969986006</v>
      </c>
      <c r="T36" s="543"/>
      <c r="U36" s="543" t="str">
        <f t="shared" si="6"/>
        <v>TPROL</v>
      </c>
      <c r="V36" s="2747">
        <f>('SE Rail data'!$M$482+'SE Rail data'!$M$483)*TRAIN!I36</f>
        <v>6296.5969310495257</v>
      </c>
      <c r="W36" s="317">
        <f>S36+S39</f>
        <v>6296.5969310495229</v>
      </c>
      <c r="X36" s="543">
        <f t="shared" si="1"/>
        <v>0.99999999999999956</v>
      </c>
      <c r="Y36" s="543"/>
      <c r="Z36" s="12">
        <f>H34*1/L34*M34*N34*I36</f>
        <v>2.4614562716820516</v>
      </c>
    </row>
    <row r="37" spans="2:27">
      <c r="B37" s="565" t="s">
        <v>603</v>
      </c>
      <c r="C37" s="467" t="str">
        <f>Processes!$D$15</f>
        <v>TPRODSBL1E</v>
      </c>
      <c r="D37" s="467" t="str">
        <f>Processes!$E$15</f>
        <v>Transport Passengers Rail Other train - Diesel - Existing</v>
      </c>
      <c r="E37" s="467" t="str">
        <f>Commodities!$D$80</f>
        <v>TRADSBL1</v>
      </c>
      <c r="F37" s="543" t="str">
        <f>Commodities!$D$22</f>
        <v>TPROS</v>
      </c>
      <c r="G37" s="754" t="s">
        <v>3603</v>
      </c>
      <c r="H37" s="12">
        <f>'SE Rail data'!P483/1000</f>
        <v>7.3678288228806191E-2</v>
      </c>
      <c r="I37" s="1538">
        <f>O64</f>
        <v>9.4035084270749067E-2</v>
      </c>
      <c r="J37" s="784">
        <v>5</v>
      </c>
      <c r="K37" s="2427">
        <f>K26</f>
        <v>42.71882980767807</v>
      </c>
      <c r="L37" s="317">
        <f t="shared" si="7"/>
        <v>29.162955120126984</v>
      </c>
      <c r="M37" s="784">
        <f t="shared" si="8"/>
        <v>67903.3</v>
      </c>
      <c r="N37" s="1620">
        <v>1E-3</v>
      </c>
      <c r="O37" s="581">
        <v>30</v>
      </c>
      <c r="P37" s="2265">
        <f>P26</f>
        <v>2.93E-2</v>
      </c>
      <c r="S37" s="317">
        <f>H37*I37*K37*M37*N37</f>
        <v>20.097390628574562</v>
      </c>
      <c r="T37" s="543"/>
      <c r="U37" s="543"/>
      <c r="V37" s="1569"/>
      <c r="W37" s="543"/>
      <c r="X37" s="543" t="e">
        <f t="shared" si="1"/>
        <v>#DIV/0!</v>
      </c>
      <c r="Y37" s="543"/>
      <c r="AA37" s="12">
        <f>H37*1/L37*M37*N37*I37</f>
        <v>1.6132021672172092E-2</v>
      </c>
    </row>
    <row r="38" spans="2:27">
      <c r="B38" s="565" t="s">
        <v>603</v>
      </c>
      <c r="C38" s="467"/>
      <c r="D38" s="467"/>
      <c r="E38" s="543"/>
      <c r="F38" s="543" t="str">
        <f>Commodities!$D$23</f>
        <v>TPROM</v>
      </c>
      <c r="G38" s="754" t="s">
        <v>3603</v>
      </c>
      <c r="H38" s="12"/>
      <c r="I38" s="1538">
        <f>O65</f>
        <v>0.13987375201870414</v>
      </c>
      <c r="J38" s="784">
        <v>5</v>
      </c>
      <c r="K38" s="2427"/>
      <c r="L38" s="784"/>
      <c r="M38" s="784"/>
      <c r="P38" s="2264"/>
      <c r="S38" s="317">
        <f>H37*I38*K37*M37*N37</f>
        <v>29.894134245793392</v>
      </c>
      <c r="T38" s="543"/>
      <c r="U38" s="543"/>
      <c r="V38" s="1569"/>
      <c r="W38" s="543"/>
      <c r="X38" s="543" t="e">
        <f t="shared" si="1"/>
        <v>#DIV/0!</v>
      </c>
      <c r="Y38" s="543"/>
      <c r="AA38" s="12">
        <f>H37*1/L37*M37*N37*I38</f>
        <v>2.3995792808957576E-2</v>
      </c>
    </row>
    <row r="39" spans="2:27">
      <c r="B39" s="565" t="s">
        <v>603</v>
      </c>
      <c r="C39" s="734"/>
      <c r="D39" s="734"/>
      <c r="E39" s="23"/>
      <c r="F39" s="23" t="str">
        <f>Commodities!$D$24</f>
        <v>TPROL</v>
      </c>
      <c r="G39" s="23" t="s">
        <v>3603</v>
      </c>
      <c r="H39" s="12"/>
      <c r="I39" s="1556">
        <f>O66</f>
        <v>0.76609116371054675</v>
      </c>
      <c r="J39" s="784">
        <v>5</v>
      </c>
      <c r="K39" s="2427"/>
      <c r="L39" s="784"/>
      <c r="P39" s="2264"/>
      <c r="S39" s="317">
        <f>H37*I39*K37*M37*N37</f>
        <v>163.73073405092271</v>
      </c>
      <c r="T39" s="543"/>
      <c r="U39" s="543"/>
      <c r="V39" s="1569"/>
      <c r="W39" s="543"/>
      <c r="X39" s="543" t="e">
        <f t="shared" si="1"/>
        <v>#DIV/0!</v>
      </c>
      <c r="Y39" s="543"/>
      <c r="AA39" s="12">
        <f>H37*1/L37*M37*N37*I39</f>
        <v>0.13142540735386352</v>
      </c>
    </row>
    <row r="40" spans="2:27">
      <c r="B40" s="2020" t="s">
        <v>604</v>
      </c>
      <c r="C40" s="725" t="str">
        <f>Processes!$D$12</f>
        <v>TPRSELCX1E</v>
      </c>
      <c r="D40" s="725" t="str">
        <f>Processes!$E$12</f>
        <v>Transport Passengers Rail S-train - Electric - Existing</v>
      </c>
      <c r="E40" s="30" t="str">
        <f>Commodities!$D$60</f>
        <v>TRAELC</v>
      </c>
      <c r="F40" s="30" t="str">
        <f>Commodities!$D$19</f>
        <v>TPRSX</v>
      </c>
      <c r="G40" s="754" t="s">
        <v>3603</v>
      </c>
      <c r="H40" s="1659">
        <f>'SE Rail data'!P484/1000</f>
        <v>0</v>
      </c>
      <c r="I40" s="2705">
        <f t="shared" ref="I40:I45" si="9">P56</f>
        <v>0.29439367314102788</v>
      </c>
      <c r="J40" s="2090">
        <v>5</v>
      </c>
      <c r="K40" s="2761">
        <f>K29</f>
        <v>33.566090897954183</v>
      </c>
      <c r="L40" s="2090">
        <f>L29</f>
        <v>20.946431665176139</v>
      </c>
      <c r="M40" s="2090">
        <f>M29</f>
        <v>33318.367346938772</v>
      </c>
      <c r="N40" s="30">
        <v>1E-3</v>
      </c>
      <c r="O40" s="30">
        <v>30</v>
      </c>
      <c r="P40" s="2266">
        <f>29.3/1000</f>
        <v>2.93E-2</v>
      </c>
      <c r="S40" s="317">
        <f>H40*I40*K40*M40*N40</f>
        <v>0</v>
      </c>
      <c r="T40" s="543"/>
      <c r="U40" s="543" t="str">
        <f t="shared" ref="U40:U47" si="10">U29</f>
        <v>TPRMX</v>
      </c>
      <c r="V40" s="2747">
        <f>'SE Rail data'!M485*TRAIN!I43</f>
        <v>0</v>
      </c>
      <c r="W40" s="317">
        <f>S43</f>
        <v>0</v>
      </c>
      <c r="X40" s="543" t="e">
        <f t="shared" si="1"/>
        <v>#DIV/0!</v>
      </c>
      <c r="Y40" s="543"/>
      <c r="Z40" s="12">
        <f>H40*1/L40*M40*N40*I40</f>
        <v>0</v>
      </c>
    </row>
    <row r="41" spans="2:27">
      <c r="B41" s="565" t="s">
        <v>604</v>
      </c>
      <c r="C41" s="543"/>
      <c r="D41" s="543"/>
      <c r="E41" s="543"/>
      <c r="F41" s="543" t="str">
        <f>Commodities!$D$20</f>
        <v>TPRSS</v>
      </c>
      <c r="G41" s="754" t="s">
        <v>3603</v>
      </c>
      <c r="H41" s="543"/>
      <c r="I41" s="1538">
        <f t="shared" si="9"/>
        <v>0.69807965885077528</v>
      </c>
      <c r="J41" s="317">
        <v>5</v>
      </c>
      <c r="K41" s="2172"/>
      <c r="L41" s="543"/>
      <c r="M41" s="543"/>
      <c r="N41" s="543"/>
      <c r="O41" s="543"/>
      <c r="P41" s="2019"/>
      <c r="Q41" s="543"/>
      <c r="R41" s="543"/>
      <c r="S41" s="317">
        <f>H40*I41*K40*M40*N40</f>
        <v>0</v>
      </c>
      <c r="T41" s="543"/>
      <c r="U41" s="543" t="str">
        <f t="shared" si="10"/>
        <v>TPRMS</v>
      </c>
      <c r="V41" s="2747">
        <f>'SE Rail data'!M485*TRAIN!I44</f>
        <v>0</v>
      </c>
      <c r="W41" s="317">
        <f>S44</f>
        <v>0</v>
      </c>
      <c r="X41" s="543" t="e">
        <f t="shared" si="1"/>
        <v>#DIV/0!</v>
      </c>
      <c r="Y41" s="543"/>
      <c r="Z41" s="12">
        <f>H40*1/L40*M40*N40*I41</f>
        <v>0</v>
      </c>
    </row>
    <row r="42" spans="2:27">
      <c r="B42" s="565" t="s">
        <v>604</v>
      </c>
      <c r="C42" s="543"/>
      <c r="D42" s="543"/>
      <c r="E42" s="543"/>
      <c r="F42" s="543" t="str">
        <f>Commodities!$D$21</f>
        <v>TPRSM</v>
      </c>
      <c r="G42" s="754" t="s">
        <v>3603</v>
      </c>
      <c r="H42" s="272"/>
      <c r="I42" s="1538">
        <f t="shared" si="9"/>
        <v>7.526668008196802E-3</v>
      </c>
      <c r="J42" s="317">
        <v>5</v>
      </c>
      <c r="K42" s="2427"/>
      <c r="L42" s="317"/>
      <c r="M42" s="317"/>
      <c r="N42" s="543"/>
      <c r="O42" s="543"/>
      <c r="P42" s="2083"/>
      <c r="Q42" s="543"/>
      <c r="R42" s="543"/>
      <c r="S42" s="317">
        <f>H40*I42*K40*M40*N40</f>
        <v>0</v>
      </c>
      <c r="T42" s="543"/>
      <c r="U42" s="543" t="str">
        <f t="shared" si="10"/>
        <v>TPRSX</v>
      </c>
      <c r="V42" s="2747">
        <f>'SE Rail data'!$M$484*TRAIN!I40</f>
        <v>0</v>
      </c>
      <c r="W42" s="317">
        <f>S40</f>
        <v>0</v>
      </c>
      <c r="X42" s="543" t="e">
        <f t="shared" si="1"/>
        <v>#DIV/0!</v>
      </c>
      <c r="Y42" s="543"/>
      <c r="Z42" s="12">
        <f>H40*1/L40*M40*N40*I42</f>
        <v>0</v>
      </c>
    </row>
    <row r="43" spans="2:27">
      <c r="B43" s="565" t="s">
        <v>604</v>
      </c>
      <c r="C43" s="467" t="str">
        <f>Processes!$D$13</f>
        <v>TPRMELCX1E</v>
      </c>
      <c r="D43" s="467" t="str">
        <f>Processes!$E$13</f>
        <v>Transport Passengers Rail Metro - Electric  - Existing</v>
      </c>
      <c r="E43" s="467" t="str">
        <f>Commodities!$D$60</f>
        <v>TRAELC</v>
      </c>
      <c r="F43" s="543" t="str">
        <f>Commodities!$D$17</f>
        <v>TPRMX</v>
      </c>
      <c r="G43" s="754" t="s">
        <v>3603</v>
      </c>
      <c r="H43" s="272">
        <f>'SE Rail data'!P485/1000</f>
        <v>0</v>
      </c>
      <c r="I43" s="1538">
        <f t="shared" si="9"/>
        <v>0.15948731937145566</v>
      </c>
      <c r="J43" s="317">
        <v>5</v>
      </c>
      <c r="K43" s="2427">
        <f>K32</f>
        <v>137.4900714853058</v>
      </c>
      <c r="L43" s="317">
        <f>L32</f>
        <v>20.946431665176139</v>
      </c>
      <c r="M43" s="317">
        <f t="shared" ref="M43:M48" si="11">M32</f>
        <v>24541.910331384017</v>
      </c>
      <c r="N43" s="543">
        <v>1E-3</v>
      </c>
      <c r="O43" s="543">
        <v>30</v>
      </c>
      <c r="P43" s="2083">
        <f>29.3/1000</f>
        <v>2.93E-2</v>
      </c>
      <c r="Q43" s="543"/>
      <c r="R43" s="543"/>
      <c r="S43" s="317">
        <f>H43*I43*K43*M43*N43</f>
        <v>0</v>
      </c>
      <c r="T43" s="543"/>
      <c r="U43" s="543" t="str">
        <f t="shared" si="10"/>
        <v>TPRSS</v>
      </c>
      <c r="V43" s="2747">
        <f>'SE Rail data'!$M$484*TRAIN!I41</f>
        <v>0</v>
      </c>
      <c r="W43" s="317">
        <f>S41</f>
        <v>0</v>
      </c>
      <c r="X43" s="543" t="e">
        <f t="shared" si="1"/>
        <v>#DIV/0!</v>
      </c>
      <c r="Y43" s="543"/>
      <c r="Z43" s="12">
        <f>H43*1/L43*M43*N43*I43</f>
        <v>0</v>
      </c>
    </row>
    <row r="44" spans="2:27">
      <c r="B44" s="565" t="s">
        <v>604</v>
      </c>
      <c r="C44" s="543"/>
      <c r="D44" s="543"/>
      <c r="E44" s="543"/>
      <c r="F44" s="543" t="str">
        <f>Commodities!$D$18</f>
        <v>TPRMS</v>
      </c>
      <c r="G44" s="754" t="s">
        <v>3603</v>
      </c>
      <c r="H44" s="543"/>
      <c r="I44" s="1538">
        <f t="shared" si="9"/>
        <v>0.84051268062854445</v>
      </c>
      <c r="J44" s="317">
        <v>5</v>
      </c>
      <c r="K44" s="2427"/>
      <c r="L44" s="317"/>
      <c r="M44" s="543"/>
      <c r="N44" s="543"/>
      <c r="O44" s="543"/>
      <c r="P44" s="2019"/>
      <c r="Q44" s="543"/>
      <c r="R44" s="543"/>
      <c r="S44" s="317">
        <f>H43*I44*K43*M43*N43</f>
        <v>0</v>
      </c>
      <c r="T44" s="543"/>
      <c r="U44" s="543" t="str">
        <f t="shared" si="10"/>
        <v>TPRSM</v>
      </c>
      <c r="V44" s="2747">
        <f>'SE Rail data'!$M$484*TRAIN!I42</f>
        <v>0</v>
      </c>
      <c r="W44" s="317">
        <f>S42</f>
        <v>0</v>
      </c>
      <c r="X44" s="543" t="e">
        <f t="shared" si="1"/>
        <v>#DIV/0!</v>
      </c>
      <c r="Y44" s="543"/>
      <c r="Z44" s="12">
        <f>H43*1/L43*M43*N43*I44</f>
        <v>0</v>
      </c>
    </row>
    <row r="45" spans="2:27">
      <c r="B45" s="565" t="s">
        <v>604</v>
      </c>
      <c r="C45" s="467" t="str">
        <f>Processes!$D$14</f>
        <v>TPROELCX1E</v>
      </c>
      <c r="D45" s="467" t="str">
        <f>Processes!$E$14</f>
        <v>Transport Passengers Rail Other train - Electric - Existing</v>
      </c>
      <c r="E45" s="467" t="str">
        <f>Commodities!$D$60</f>
        <v>TRAELC</v>
      </c>
      <c r="F45" s="543" t="str">
        <f>Commodities!$D$22</f>
        <v>TPROS</v>
      </c>
      <c r="G45" s="754" t="s">
        <v>3603</v>
      </c>
      <c r="H45" s="272">
        <f>'SE Rail data'!P486/1000</f>
        <v>0.25044347352366203</v>
      </c>
      <c r="I45" s="1538">
        <f t="shared" si="9"/>
        <v>0.1237635340027764</v>
      </c>
      <c r="J45" s="317">
        <v>5</v>
      </c>
      <c r="K45" s="2427">
        <f>K34</f>
        <v>118.94914248999402</v>
      </c>
      <c r="L45" s="317">
        <f>L34</f>
        <v>20.946431665176139</v>
      </c>
      <c r="M45" s="317">
        <f t="shared" si="11"/>
        <v>71642.710581490217</v>
      </c>
      <c r="N45" s="543">
        <v>1E-3</v>
      </c>
      <c r="O45" s="543">
        <v>30</v>
      </c>
      <c r="P45" s="2083">
        <f>29.3/1000</f>
        <v>2.93E-2</v>
      </c>
      <c r="Q45" s="543"/>
      <c r="R45" s="543"/>
      <c r="S45" s="317">
        <f>H45*I45*K45*M45*N45</f>
        <v>264.14095576140897</v>
      </c>
      <c r="T45" s="543"/>
      <c r="U45" s="543" t="str">
        <f t="shared" si="10"/>
        <v>TPROS</v>
      </c>
      <c r="V45" s="2747">
        <f>('SE Rail data'!$M$486+'SE Rail data'!$M$487)*TRAIN!I45</f>
        <v>271.19279599247307</v>
      </c>
      <c r="W45" s="317">
        <f>S45+S48</f>
        <v>271.19279599247307</v>
      </c>
      <c r="X45" s="543">
        <f t="shared" si="1"/>
        <v>1</v>
      </c>
      <c r="Y45" s="543"/>
      <c r="Z45" s="12">
        <f>H45*1/L45*M45*N45*I45</f>
        <v>0.10601428292780994</v>
      </c>
    </row>
    <row r="46" spans="2:27">
      <c r="B46" s="565" t="s">
        <v>604</v>
      </c>
      <c r="C46" s="467"/>
      <c r="D46" s="467"/>
      <c r="E46" s="543"/>
      <c r="F46" s="543" t="str">
        <f>Commodities!$D$23</f>
        <v>TPROM</v>
      </c>
      <c r="G46" s="754" t="s">
        <v>3603</v>
      </c>
      <c r="H46" s="543"/>
      <c r="I46" s="1538">
        <f>P62</f>
        <v>0.15854808984417432</v>
      </c>
      <c r="J46" s="317">
        <v>5</v>
      </c>
      <c r="K46" s="2110"/>
      <c r="L46" s="317"/>
      <c r="M46" s="317"/>
      <c r="N46" s="543"/>
      <c r="O46" s="543"/>
      <c r="P46" s="2083"/>
      <c r="Q46" s="543"/>
      <c r="R46" s="543"/>
      <c r="S46" s="317">
        <f>H45*I46*K45*M45*N45</f>
        <v>338.37950995037414</v>
      </c>
      <c r="T46" s="543"/>
      <c r="U46" s="543" t="str">
        <f t="shared" si="10"/>
        <v>TPROM</v>
      </c>
      <c r="V46" s="2747">
        <f>('SE Rail data'!$M$486+'SE Rail data'!$M$487)*TRAIN!I46</f>
        <v>347.41331629349645</v>
      </c>
      <c r="W46" s="317">
        <f>S46+S49</f>
        <v>347.41331629349645</v>
      </c>
      <c r="X46" s="543">
        <f t="shared" si="1"/>
        <v>1</v>
      </c>
      <c r="Y46" s="543"/>
      <c r="Z46" s="12">
        <f>H45*1/L45*M45*N45*I46</f>
        <v>0.1358102949292565</v>
      </c>
    </row>
    <row r="47" spans="2:27">
      <c r="B47" s="565" t="s">
        <v>604</v>
      </c>
      <c r="C47" s="467"/>
      <c r="D47" s="467"/>
      <c r="E47" s="543"/>
      <c r="F47" s="543" t="str">
        <f>Commodities!$D$24</f>
        <v>TPROL</v>
      </c>
      <c r="G47" s="754" t="s">
        <v>3603</v>
      </c>
      <c r="H47" s="272"/>
      <c r="I47" s="1538">
        <f>P63</f>
        <v>0.71768837615304915</v>
      </c>
      <c r="J47" s="317">
        <v>5</v>
      </c>
      <c r="K47" s="2427"/>
      <c r="L47" s="317"/>
      <c r="M47" s="317"/>
      <c r="N47" s="543"/>
      <c r="O47" s="543"/>
      <c r="P47" s="2083"/>
      <c r="Q47" s="543"/>
      <c r="R47" s="543"/>
      <c r="S47" s="317">
        <f>H45*I47*K45*M45*N45</f>
        <v>1531.7184915846644</v>
      </c>
      <c r="T47" s="543"/>
      <c r="U47" s="543" t="str">
        <f t="shared" si="10"/>
        <v>TPROL</v>
      </c>
      <c r="V47" s="2747">
        <f>('SE Rail data'!$M$486+'SE Rail data'!$M$487)*TRAIN!I47</f>
        <v>1572.6111810598179</v>
      </c>
      <c r="W47" s="317">
        <f>S47+S50</f>
        <v>1572.6111810598179</v>
      </c>
      <c r="X47" s="543">
        <f t="shared" si="1"/>
        <v>1</v>
      </c>
      <c r="Y47" s="543"/>
      <c r="Z47" s="12">
        <f>H45*1/L45*M45*N45*I47</f>
        <v>0.61476281504520558</v>
      </c>
    </row>
    <row r="48" spans="2:27">
      <c r="B48" s="565" t="s">
        <v>604</v>
      </c>
      <c r="C48" s="467" t="str">
        <f>Processes!$D$15</f>
        <v>TPRODSBL1E</v>
      </c>
      <c r="D48" s="467" t="str">
        <f>Processes!$E$15</f>
        <v>Transport Passengers Rail Other train - Diesel - Existing</v>
      </c>
      <c r="E48" s="467" t="str">
        <f>Commodities!$D$80</f>
        <v>TRADSBL1</v>
      </c>
      <c r="F48" s="543" t="str">
        <f>Commodities!$D$22</f>
        <v>TPROS</v>
      </c>
      <c r="G48" s="754" t="s">
        <v>3603</v>
      </c>
      <c r="H48" s="272">
        <f>'SE Rail data'!P487/1000</f>
        <v>1.9642625374404865E-2</v>
      </c>
      <c r="I48" s="1538">
        <f>P64</f>
        <v>0.1237635340027764</v>
      </c>
      <c r="J48" s="317">
        <v>5</v>
      </c>
      <c r="K48" s="2427">
        <f>K37</f>
        <v>42.71882980767807</v>
      </c>
      <c r="L48" s="317">
        <f>L37</f>
        <v>29.162955120126984</v>
      </c>
      <c r="M48" s="317">
        <f t="shared" si="11"/>
        <v>67903.3</v>
      </c>
      <c r="N48" s="543">
        <v>1E-3</v>
      </c>
      <c r="O48" s="543">
        <v>30</v>
      </c>
      <c r="P48" s="2083">
        <f>29.3/1000</f>
        <v>2.93E-2</v>
      </c>
      <c r="Q48" s="543"/>
      <c r="R48" s="543"/>
      <c r="S48" s="317">
        <f>H48*I48*K48*M48*N48</f>
        <v>7.0518402310640953</v>
      </c>
      <c r="T48" s="543"/>
      <c r="U48" s="543"/>
      <c r="V48" s="303"/>
      <c r="W48" s="543"/>
      <c r="X48" s="543"/>
      <c r="Y48" s="543"/>
      <c r="AA48" s="12">
        <f>H48*1/L48*M48*N48*I48</f>
        <v>5.6604581927405025E-3</v>
      </c>
    </row>
    <row r="49" spans="2:27">
      <c r="B49" s="565" t="s">
        <v>604</v>
      </c>
      <c r="C49" s="467"/>
      <c r="D49" s="467"/>
      <c r="E49" s="543"/>
      <c r="F49" s="543" t="str">
        <f>Commodities!$D$23</f>
        <v>TPROM</v>
      </c>
      <c r="G49" s="754" t="s">
        <v>3603</v>
      </c>
      <c r="H49" s="272"/>
      <c r="I49" s="1538">
        <f>P65</f>
        <v>0.15854808984417432</v>
      </c>
      <c r="J49" s="317">
        <v>5</v>
      </c>
      <c r="K49" s="2427"/>
      <c r="L49" s="317"/>
      <c r="M49" s="317"/>
      <c r="N49" s="543"/>
      <c r="O49" s="543"/>
      <c r="P49" s="543"/>
      <c r="Q49" s="543"/>
      <c r="R49" s="543"/>
      <c r="S49" s="317">
        <f>H48*I49*K48*M48*N48</f>
        <v>9.0338063431222952</v>
      </c>
      <c r="T49" s="543"/>
      <c r="U49" s="543"/>
      <c r="V49" s="303"/>
      <c r="W49" s="543"/>
      <c r="X49" s="543"/>
      <c r="Y49" s="543"/>
      <c r="AA49" s="12">
        <f>H48*1/L48*M48*N48*I49</f>
        <v>7.2513672248699776E-3</v>
      </c>
    </row>
    <row r="50" spans="2:27">
      <c r="B50" s="577" t="s">
        <v>604</v>
      </c>
      <c r="C50" s="734"/>
      <c r="D50" s="734"/>
      <c r="E50" s="23"/>
      <c r="F50" s="23" t="str">
        <f>Commodities!$D$24</f>
        <v>TPROL</v>
      </c>
      <c r="G50" s="23" t="s">
        <v>3603</v>
      </c>
      <c r="H50" s="269"/>
      <c r="I50" s="1556">
        <f>P66</f>
        <v>0.71768837615304915</v>
      </c>
      <c r="J50" s="2116">
        <v>5</v>
      </c>
      <c r="K50" s="2762"/>
      <c r="L50" s="2116"/>
      <c r="M50" s="23"/>
      <c r="N50" s="23"/>
      <c r="O50" s="23"/>
      <c r="P50" s="23"/>
      <c r="Q50" s="543"/>
      <c r="R50" s="543"/>
      <c r="S50" s="317">
        <f>H48*I50*K48*M48*N48</f>
        <v>40.892689475153482</v>
      </c>
      <c r="T50" s="543"/>
      <c r="U50" s="543"/>
      <c r="V50" s="192"/>
      <c r="W50" s="543"/>
      <c r="X50" s="543"/>
      <c r="Y50" s="543"/>
      <c r="AA50" s="12">
        <f>H48*1/L48*M48*N48*I50</f>
        <v>3.2824248930537335E-2</v>
      </c>
    </row>
    <row r="51" spans="2:27">
      <c r="S51" s="543"/>
      <c r="T51" s="543"/>
      <c r="U51" s="543"/>
      <c r="V51" s="543"/>
      <c r="W51" s="543"/>
      <c r="X51" s="543"/>
      <c r="Y51" s="543"/>
    </row>
    <row r="52" spans="2:27">
      <c r="F52" s="765"/>
      <c r="G52" s="765"/>
      <c r="V52" s="754">
        <f>SUM(V7:V51)</f>
        <v>13434.419662999999</v>
      </c>
      <c r="W52" s="754">
        <f>SUM(W7:W51)</f>
        <v>13434.419662999997</v>
      </c>
      <c r="X52" s="272">
        <f>W52/V52</f>
        <v>0.99999999999999989</v>
      </c>
      <c r="Z52" s="1532">
        <f>SUM(Z7:Z51)</f>
        <v>5.7413337944016227</v>
      </c>
      <c r="AA52" s="1532">
        <f>SUM(AA7:AA51)</f>
        <v>0.23284094399999994</v>
      </c>
    </row>
    <row r="53" spans="2:27">
      <c r="F53" s="765" t="s">
        <v>2069</v>
      </c>
      <c r="G53" s="765"/>
      <c r="H53" s="754">
        <f>SUM(H7:H50)*1000</f>
        <v>2378</v>
      </c>
      <c r="R53" s="784"/>
      <c r="S53" s="784"/>
      <c r="T53" s="784"/>
    </row>
    <row r="54" spans="2:27">
      <c r="E54" s="765"/>
      <c r="R54" s="784"/>
      <c r="S54" s="784"/>
      <c r="T54" s="784"/>
    </row>
    <row r="55" spans="2:27">
      <c r="E55" s="765"/>
      <c r="J55" s="38" t="s">
        <v>2459</v>
      </c>
      <c r="M55" s="2743" t="s">
        <v>601</v>
      </c>
      <c r="N55" s="2743" t="s">
        <v>602</v>
      </c>
      <c r="O55" s="2743" t="s">
        <v>603</v>
      </c>
      <c r="P55" s="2743" t="s">
        <v>604</v>
      </c>
    </row>
    <row r="56" spans="2:27">
      <c r="E56" s="765"/>
      <c r="H56" s="866" t="s">
        <v>3205</v>
      </c>
      <c r="I56" s="304"/>
      <c r="J56" s="1615" t="s">
        <v>2582</v>
      </c>
      <c r="K56" s="2012" t="s">
        <v>71</v>
      </c>
      <c r="L56" s="30" t="s">
        <v>2222</v>
      </c>
      <c r="M56" s="2744">
        <f>'SE Driving patterns'!C75</f>
        <v>0.29439367314102788</v>
      </c>
      <c r="N56" s="2744">
        <f>'SE Driving patterns'!C75</f>
        <v>0.29439367314102788</v>
      </c>
      <c r="O56" s="2744">
        <f>'SE Driving patterns'!C75</f>
        <v>0.29439367314102788</v>
      </c>
      <c r="P56" s="2744">
        <f>'SE Driving patterns'!C75</f>
        <v>0.29439367314102788</v>
      </c>
    </row>
    <row r="57" spans="2:27">
      <c r="B57" s="765"/>
      <c r="E57" s="765"/>
      <c r="H57" s="304"/>
      <c r="I57" s="304"/>
      <c r="J57" s="22"/>
      <c r="K57" s="277"/>
      <c r="L57" s="543" t="s">
        <v>2224</v>
      </c>
      <c r="M57" s="2744">
        <f>'SE Driving patterns'!D75</f>
        <v>0.69807965885077528</v>
      </c>
      <c r="N57" s="2744">
        <f>'SE Driving patterns'!D75</f>
        <v>0.69807965885077528</v>
      </c>
      <c r="O57" s="2744">
        <f>'SE Driving patterns'!D75</f>
        <v>0.69807965885077528</v>
      </c>
      <c r="P57" s="2744">
        <f>'SE Driving patterns'!D75</f>
        <v>0.69807965885077528</v>
      </c>
    </row>
    <row r="58" spans="2:27">
      <c r="E58" s="765"/>
      <c r="H58" s="304"/>
      <c r="I58" s="304"/>
      <c r="J58" s="22"/>
      <c r="K58" s="277"/>
      <c r="L58" s="543" t="s">
        <v>2226</v>
      </c>
      <c r="M58" s="2744">
        <f>'SE Driving patterns'!E75</f>
        <v>7.526668008196802E-3</v>
      </c>
      <c r="N58" s="2744">
        <f>'SE Driving patterns'!E75</f>
        <v>7.526668008196802E-3</v>
      </c>
      <c r="O58" s="2744">
        <f>'SE Driving patterns'!E75</f>
        <v>7.526668008196802E-3</v>
      </c>
      <c r="P58" s="2744">
        <f>'SE Driving patterns'!E75</f>
        <v>7.526668008196802E-3</v>
      </c>
    </row>
    <row r="59" spans="2:27" ht="13.8">
      <c r="E59" s="765"/>
      <c r="J59" s="2008" t="s">
        <v>2583</v>
      </c>
      <c r="K59" s="277" t="s">
        <v>71</v>
      </c>
      <c r="L59" s="543" t="s">
        <v>2218</v>
      </c>
      <c r="M59" s="2744">
        <f>'SE Driving patterns'!C74</f>
        <v>0.15948731937145566</v>
      </c>
      <c r="N59" s="2744">
        <f>'SE Driving patterns'!C74</f>
        <v>0.15948731937145566</v>
      </c>
      <c r="O59" s="2744">
        <f>'SE Driving patterns'!C74</f>
        <v>0.15948731937145566</v>
      </c>
      <c r="P59" s="2744">
        <f>'SE Driving patterns'!C74</f>
        <v>0.15948731937145566</v>
      </c>
      <c r="Q59" s="765"/>
      <c r="U59" s="2093"/>
      <c r="V59" s="2094"/>
    </row>
    <row r="60" spans="2:27">
      <c r="E60" s="765"/>
      <c r="J60" s="22"/>
      <c r="K60" s="543"/>
      <c r="L60" s="543" t="s">
        <v>2220</v>
      </c>
      <c r="M60" s="2744">
        <f>'SE Driving patterns'!D74</f>
        <v>0.84051268062854445</v>
      </c>
      <c r="N60" s="2744">
        <f>'SE Driving patterns'!D74</f>
        <v>0.84051268062854445</v>
      </c>
      <c r="O60" s="2744">
        <f>'SE Driving patterns'!D74</f>
        <v>0.84051268062854445</v>
      </c>
      <c r="P60" s="2744">
        <f>'SE Driving patterns'!D74</f>
        <v>0.84051268062854445</v>
      </c>
    </row>
    <row r="61" spans="2:27">
      <c r="E61" s="765"/>
      <c r="J61" s="2008" t="s">
        <v>2584</v>
      </c>
      <c r="K61" s="543" t="s">
        <v>71</v>
      </c>
      <c r="L61" s="543" t="s">
        <v>2228</v>
      </c>
      <c r="M61" s="2744">
        <f>'SE Driving patterns'!D16</f>
        <v>8.8795498605321391E-2</v>
      </c>
      <c r="N61" s="2744">
        <v>8.8795498605321391E-2</v>
      </c>
      <c r="O61" s="2744">
        <f>'SE Driving patterns'!D46</f>
        <v>9.4035084270749067E-2</v>
      </c>
      <c r="P61" s="2744">
        <f>'SE Driving patterns'!D61</f>
        <v>0.1237635340027764</v>
      </c>
    </row>
    <row r="62" spans="2:27">
      <c r="E62" s="765"/>
      <c r="J62" s="22"/>
      <c r="K62" s="543"/>
      <c r="L62" s="543" t="s">
        <v>2230</v>
      </c>
      <c r="M62" s="2744">
        <f>'SE Driving patterns'!E16</f>
        <v>0.12906262723093936</v>
      </c>
      <c r="N62" s="2744">
        <v>0.12906262723093936</v>
      </c>
      <c r="O62" s="2744">
        <f>'SE Driving patterns'!E46</f>
        <v>0.13987375201870414</v>
      </c>
      <c r="P62" s="2744">
        <f>'SE Driving patterns'!E61</f>
        <v>0.15854808984417432</v>
      </c>
      <c r="T62" s="765"/>
    </row>
    <row r="63" spans="2:27">
      <c r="E63" s="765"/>
      <c r="J63" s="22"/>
      <c r="K63" s="543"/>
      <c r="L63" s="543" t="s">
        <v>2232</v>
      </c>
      <c r="M63" s="2744">
        <f>'SE Driving patterns'!F16</f>
        <v>0.78214187416373926</v>
      </c>
      <c r="N63" s="2744">
        <v>0.78214187416373926</v>
      </c>
      <c r="O63" s="2744">
        <f>'SE Driving patterns'!F46</f>
        <v>0.76609116371054675</v>
      </c>
      <c r="P63" s="2744">
        <f>'SE Driving patterns'!F61</f>
        <v>0.71768837615304915</v>
      </c>
    </row>
    <row r="64" spans="2:27">
      <c r="E64" s="765"/>
      <c r="J64" s="2008" t="s">
        <v>2585</v>
      </c>
      <c r="K64" s="543" t="s">
        <v>430</v>
      </c>
      <c r="L64" s="543" t="s">
        <v>2228</v>
      </c>
      <c r="M64" s="2745">
        <f>M61</f>
        <v>8.8795498605321391E-2</v>
      </c>
      <c r="N64" s="2745">
        <f>N61</f>
        <v>8.8795498605321391E-2</v>
      </c>
      <c r="O64" s="2745">
        <f>O61</f>
        <v>9.4035084270749067E-2</v>
      </c>
      <c r="P64" s="2745">
        <f>P61</f>
        <v>0.1237635340027764</v>
      </c>
    </row>
    <row r="65" spans="5:16">
      <c r="E65" s="765"/>
      <c r="J65" s="22"/>
      <c r="K65" s="543"/>
      <c r="L65" s="543" t="s">
        <v>2230</v>
      </c>
      <c r="M65" s="2745">
        <f t="shared" ref="M65:P66" si="12">M62</f>
        <v>0.12906262723093936</v>
      </c>
      <c r="N65" s="2745">
        <f t="shared" si="12"/>
        <v>0.12906262723093936</v>
      </c>
      <c r="O65" s="2745">
        <f t="shared" si="12"/>
        <v>0.13987375201870414</v>
      </c>
      <c r="P65" s="2745">
        <f t="shared" si="12"/>
        <v>0.15854808984417432</v>
      </c>
    </row>
    <row r="66" spans="5:16">
      <c r="E66" s="765"/>
      <c r="J66" s="461"/>
      <c r="K66" s="23"/>
      <c r="L66" s="23" t="s">
        <v>2232</v>
      </c>
      <c r="M66" s="2745">
        <f t="shared" si="12"/>
        <v>0.78214187416373926</v>
      </c>
      <c r="N66" s="2745">
        <f t="shared" si="12"/>
        <v>0.78214187416373926</v>
      </c>
      <c r="O66" s="2745">
        <f t="shared" si="12"/>
        <v>0.76609116371054675</v>
      </c>
      <c r="P66" s="2745">
        <f t="shared" si="12"/>
        <v>0.71768837615304915</v>
      </c>
    </row>
    <row r="68" spans="5:16">
      <c r="E68" s="765"/>
      <c r="H68" s="765"/>
      <c r="K68" s="765"/>
    </row>
    <row r="69" spans="5:16">
      <c r="F69" s="548"/>
      <c r="G69" s="548"/>
      <c r="H69" s="11"/>
    </row>
    <row r="70" spans="5:16">
      <c r="I70" s="765"/>
      <c r="M70" s="2258">
        <v>7.1468868249054004E-2</v>
      </c>
    </row>
    <row r="71" spans="5:16">
      <c r="E71" s="765"/>
      <c r="H71" s="765"/>
      <c r="K71" s="765"/>
      <c r="M71" s="2258">
        <v>0.60348125214998283</v>
      </c>
    </row>
    <row r="72" spans="5:16">
      <c r="F72" s="548"/>
      <c r="G72" s="548"/>
      <c r="H72" s="11"/>
      <c r="M72" s="2258">
        <v>0.32504987960096349</v>
      </c>
    </row>
    <row r="73" spans="5:16">
      <c r="I73" s="765"/>
      <c r="M73" s="2258">
        <v>0.36997054859353357</v>
      </c>
    </row>
    <row r="74" spans="5:16">
      <c r="E74" s="765"/>
      <c r="H74" s="765"/>
      <c r="K74" s="765"/>
      <c r="M74" s="2258">
        <v>0.6300294514064666</v>
      </c>
    </row>
    <row r="75" spans="5:16">
      <c r="F75" s="548"/>
      <c r="G75" s="548"/>
      <c r="H75" s="11"/>
      <c r="M75" s="2258">
        <v>9.09062495659059E-2</v>
      </c>
    </row>
    <row r="76" spans="5:16">
      <c r="I76" s="765"/>
      <c r="M76" s="2258">
        <v>0.20298240008890248</v>
      </c>
    </row>
    <row r="77" spans="5:16">
      <c r="E77" s="765"/>
      <c r="H77" s="765"/>
      <c r="K77" s="765"/>
      <c r="M77" s="2258">
        <v>0.70611135034519168</v>
      </c>
    </row>
    <row r="78" spans="5:16">
      <c r="F78" s="548"/>
      <c r="G78" s="548"/>
      <c r="H78" s="11"/>
      <c r="M78" s="2258">
        <v>9.09062495659059E-2</v>
      </c>
    </row>
    <row r="79" spans="5:16">
      <c r="I79" s="765"/>
      <c r="M79" s="2258">
        <v>0.20298240008890248</v>
      </c>
    </row>
    <row r="80" spans="5:16">
      <c r="E80" s="765"/>
      <c r="H80" s="765"/>
      <c r="K80" s="765"/>
      <c r="M80" s="2262">
        <v>0.70611135034519168</v>
      </c>
    </row>
    <row r="81" spans="5:11">
      <c r="F81" s="548"/>
      <c r="G81" s="548"/>
      <c r="H81" s="11"/>
    </row>
    <row r="82" spans="5:11">
      <c r="I82" s="765"/>
    </row>
    <row r="83" spans="5:11">
      <c r="E83" s="765"/>
      <c r="H83" s="765"/>
      <c r="K83" s="765"/>
    </row>
    <row r="84" spans="5:11">
      <c r="F84" s="548"/>
      <c r="G84" s="548"/>
      <c r="H84" s="11"/>
    </row>
    <row r="85" spans="5:11">
      <c r="I85" s="765"/>
    </row>
    <row r="86" spans="5:11">
      <c r="E86" s="765"/>
      <c r="H86" s="765"/>
      <c r="K86" s="765"/>
    </row>
    <row r="87" spans="5:11">
      <c r="F87" s="548"/>
      <c r="G87" s="548"/>
      <c r="H87" s="11"/>
    </row>
    <row r="88" spans="5:11">
      <c r="I88" s="765"/>
    </row>
    <row r="89" spans="5:11">
      <c r="E89" s="765"/>
      <c r="H89" s="765"/>
      <c r="K89" s="765"/>
    </row>
    <row r="90" spans="5:11">
      <c r="F90" s="548"/>
      <c r="G90" s="548"/>
      <c r="H90" s="11"/>
    </row>
    <row r="91" spans="5:11">
      <c r="I91" s="765"/>
    </row>
    <row r="92" spans="5:11">
      <c r="E92" s="765"/>
      <c r="H92" s="765"/>
      <c r="K92" s="765"/>
    </row>
    <row r="93" spans="5:11">
      <c r="F93" s="548"/>
      <c r="G93" s="548"/>
      <c r="H93" s="11"/>
    </row>
    <row r="94" spans="5:11">
      <c r="I94" s="765"/>
    </row>
    <row r="95" spans="5:11">
      <c r="E95" s="765"/>
      <c r="H95" s="765"/>
      <c r="K95" s="765"/>
    </row>
    <row r="96" spans="5:11">
      <c r="F96" s="548"/>
      <c r="G96" s="548"/>
      <c r="H96" s="11"/>
    </row>
  </sheetData>
  <pageMargins left="0.7" right="0.7" top="0.75" bottom="0.75" header="0.3" footer="0.3"/>
  <pageSetup paperSize="9" orientation="portrait"/>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sheetPr codeName="Sheet10">
    <tabColor rgb="FF92D050"/>
  </sheetPr>
  <dimension ref="A1:AJ182"/>
  <sheetViews>
    <sheetView zoomScale="85" zoomScaleNormal="85" workbookViewId="0">
      <selection activeCell="E30" sqref="E30"/>
    </sheetView>
  </sheetViews>
  <sheetFormatPr defaultColWidth="9.109375" defaultRowHeight="13.2"/>
  <cols>
    <col min="1" max="1" width="2.5546875" style="545" customWidth="1"/>
    <col min="2" max="2" width="30.5546875" style="754" bestFit="1" customWidth="1"/>
    <col min="3" max="3" width="43.88671875" style="754" bestFit="1" customWidth="1"/>
    <col min="4" max="4" width="57.33203125" style="754" customWidth="1"/>
    <col min="5" max="5" width="16.33203125" style="754" bestFit="1" customWidth="1"/>
    <col min="6" max="7" width="16.33203125" style="754" customWidth="1"/>
    <col min="8" max="8" width="13.109375" style="754" customWidth="1"/>
    <col min="9" max="9" width="13.6640625" style="754" customWidth="1"/>
    <col min="10" max="10" width="30.109375" style="754" customWidth="1"/>
    <col min="11" max="11" width="14.33203125" style="754" bestFit="1" customWidth="1"/>
    <col min="12" max="15" width="13.33203125" style="754" customWidth="1"/>
    <col min="16" max="16" width="8.6640625" style="754" bestFit="1" customWidth="1"/>
    <col min="17" max="17" width="19" style="754" customWidth="1"/>
    <col min="18" max="18" width="8.5546875" style="754" bestFit="1" customWidth="1"/>
    <col min="19" max="19" width="13.6640625" style="754" bestFit="1" customWidth="1"/>
    <col min="20" max="20" width="13.33203125" style="754" bestFit="1" customWidth="1"/>
    <col min="21" max="21" width="12" style="754" bestFit="1" customWidth="1"/>
    <col min="22" max="22" width="23.44140625" style="754" bestFit="1" customWidth="1"/>
    <col min="23" max="23" width="12.5546875" style="754" customWidth="1"/>
    <col min="24" max="24" width="23.109375" style="754" customWidth="1"/>
    <col min="25" max="25" width="25" style="754" customWidth="1"/>
    <col min="26" max="26" width="12.5546875" style="754" bestFit="1" customWidth="1"/>
    <col min="27" max="27" width="11.5546875" style="754" bestFit="1" customWidth="1"/>
    <col min="28" max="28" width="34.5546875" style="754" customWidth="1"/>
    <col min="29" max="29" width="8.77734375" style="754" bestFit="1" customWidth="1"/>
    <col min="30" max="30" width="8.44140625" style="754" bestFit="1" customWidth="1"/>
    <col min="31" max="32" width="25.33203125" style="754" bestFit="1" customWidth="1"/>
    <col min="33" max="33" width="12.109375" style="754" customWidth="1"/>
    <col min="34" max="34" width="14.33203125" style="754" customWidth="1"/>
    <col min="35" max="35" width="14.33203125" style="754" bestFit="1" customWidth="1"/>
    <col min="36" max="36" width="17" style="754" bestFit="1" customWidth="1"/>
    <col min="37" max="37" width="24.88671875" style="754" bestFit="1" customWidth="1"/>
    <col min="38" max="16384" width="9.109375" style="754"/>
  </cols>
  <sheetData>
    <row r="1" spans="2:36">
      <c r="J1" s="2779" t="s">
        <v>3216</v>
      </c>
      <c r="K1" s="2780" t="s">
        <v>3211</v>
      </c>
      <c r="L1" s="2781"/>
      <c r="V1" s="3"/>
      <c r="W1" s="3"/>
      <c r="X1" s="3"/>
      <c r="Y1" s="3"/>
      <c r="Z1" s="3"/>
      <c r="AA1" s="3"/>
      <c r="AB1" s="3"/>
      <c r="AC1" s="3"/>
      <c r="AD1" s="3"/>
    </row>
    <row r="2" spans="2:36">
      <c r="J2" s="242"/>
      <c r="K2" s="2765" t="s">
        <v>3212</v>
      </c>
      <c r="L2" s="2782"/>
      <c r="V2" s="3"/>
      <c r="W2" s="3"/>
      <c r="X2" s="3"/>
      <c r="Y2" s="3"/>
      <c r="Z2" s="3"/>
      <c r="AA2" s="3"/>
      <c r="AB2" s="3"/>
      <c r="AC2" s="3"/>
      <c r="AD2" s="3"/>
    </row>
    <row r="3" spans="2:36">
      <c r="V3" s="3"/>
      <c r="W3" s="3"/>
      <c r="X3" s="3"/>
      <c r="Y3" s="3"/>
      <c r="Z3" s="3"/>
      <c r="AA3" s="3"/>
      <c r="AB3" s="3"/>
      <c r="AC3" s="3"/>
      <c r="AD3" s="3"/>
    </row>
    <row r="4" spans="2:36" ht="14.4">
      <c r="B4" s="545"/>
      <c r="E4" s="2099"/>
      <c r="G4" s="7" t="s">
        <v>8</v>
      </c>
      <c r="H4" s="7"/>
      <c r="I4" s="7"/>
      <c r="J4" s="7"/>
      <c r="K4" s="7"/>
      <c r="L4" s="7"/>
      <c r="M4" s="2100"/>
      <c r="N4" s="2100"/>
      <c r="O4" s="5"/>
      <c r="V4" s="3"/>
      <c r="W4" s="3"/>
      <c r="X4" s="3"/>
      <c r="Y4" s="3"/>
      <c r="Z4" s="3"/>
      <c r="AA4" s="3"/>
      <c r="AB4" s="3"/>
      <c r="AC4" s="3"/>
      <c r="AD4" s="3"/>
      <c r="AF4" s="2101"/>
      <c r="AG4" s="2102"/>
    </row>
    <row r="5" spans="2:36" ht="27.6">
      <c r="B5" s="16" t="s">
        <v>1</v>
      </c>
      <c r="C5" s="16" t="s">
        <v>2</v>
      </c>
      <c r="D5" s="16" t="s">
        <v>26</v>
      </c>
      <c r="E5" s="16" t="s">
        <v>14</v>
      </c>
      <c r="F5" s="16" t="s">
        <v>15</v>
      </c>
      <c r="G5" s="2559" t="s">
        <v>2767</v>
      </c>
      <c r="H5" s="28" t="s">
        <v>563</v>
      </c>
      <c r="I5" s="67" t="s">
        <v>200</v>
      </c>
      <c r="J5" s="29" t="s">
        <v>16</v>
      </c>
      <c r="K5" s="16" t="s">
        <v>533</v>
      </c>
      <c r="L5" s="66" t="s">
        <v>2410</v>
      </c>
      <c r="M5" s="66" t="s">
        <v>2411</v>
      </c>
      <c r="N5" s="66" t="s">
        <v>2412</v>
      </c>
      <c r="O5" s="66" t="s">
        <v>2413</v>
      </c>
      <c r="P5" s="65" t="s">
        <v>0</v>
      </c>
      <c r="Q5" s="65" t="s">
        <v>53</v>
      </c>
      <c r="R5" s="65" t="s">
        <v>2294</v>
      </c>
      <c r="V5" s="2083"/>
      <c r="W5" s="65" t="s">
        <v>2414</v>
      </c>
      <c r="X5" s="3"/>
      <c r="Y5" s="3"/>
      <c r="Z5" s="3"/>
      <c r="AA5" s="3"/>
      <c r="AB5" s="3"/>
      <c r="AC5" s="3"/>
      <c r="AD5" s="3"/>
      <c r="AF5" s="2101"/>
      <c r="AG5" s="2102"/>
    </row>
    <row r="6" spans="2:36" ht="21" thickBot="1">
      <c r="B6" s="15" t="s">
        <v>27</v>
      </c>
      <c r="C6" s="15"/>
      <c r="D6" s="15"/>
      <c r="E6" s="15"/>
      <c r="F6" s="15"/>
      <c r="G6" s="15"/>
      <c r="H6" s="2346" t="s">
        <v>153</v>
      </c>
      <c r="I6" s="2346" t="s">
        <v>2300</v>
      </c>
      <c r="J6" s="2346" t="s">
        <v>394</v>
      </c>
      <c r="K6" s="2346" t="s">
        <v>84</v>
      </c>
      <c r="L6" s="2346" t="s">
        <v>85</v>
      </c>
      <c r="M6" s="2346" t="s">
        <v>85</v>
      </c>
      <c r="N6" s="2346" t="s">
        <v>404</v>
      </c>
      <c r="O6" s="2346" t="s">
        <v>404</v>
      </c>
      <c r="P6" s="2346"/>
      <c r="Q6" s="2346" t="s">
        <v>54</v>
      </c>
      <c r="R6" s="15" t="s">
        <v>2295</v>
      </c>
      <c r="T6" s="784"/>
      <c r="V6" s="2178"/>
      <c r="W6" s="2184" t="str">
        <f>Dem!D36</f>
        <v>Mpass-km</v>
      </c>
      <c r="X6" s="2179"/>
      <c r="Y6" s="2179"/>
      <c r="Z6" s="2179"/>
      <c r="AA6" s="2179"/>
      <c r="AB6" s="2179"/>
      <c r="AC6" s="2179"/>
      <c r="AD6" s="2180"/>
      <c r="AE6" s="765" t="s">
        <v>3599</v>
      </c>
      <c r="AF6" s="2103"/>
      <c r="AG6" s="2102"/>
      <c r="AJ6" s="439"/>
    </row>
    <row r="7" spans="2:36" ht="14.4">
      <c r="B7" s="697" t="s">
        <v>601</v>
      </c>
      <c r="C7" s="234" t="str">
        <f>Processes!$D$23</f>
        <v>TPANKENA1E</v>
      </c>
      <c r="D7" s="234" t="str">
        <f>Processes!E23</f>
        <v>Transport Passengers Air National - Blending 1 - Existing</v>
      </c>
      <c r="E7" s="697" t="str">
        <f>Commodities!$D$90</f>
        <v>TRAKENA1</v>
      </c>
      <c r="F7" s="234" t="str">
        <f>Commodities!$D$34</f>
        <v>TPANV</v>
      </c>
      <c r="G7" s="629" t="s">
        <v>3603</v>
      </c>
      <c r="H7" s="2767">
        <f>T7/(K7*I7*1000)/M7</f>
        <v>1.3582737413098968E-3</v>
      </c>
      <c r="I7" s="1826">
        <v>120</v>
      </c>
      <c r="J7" s="1627">
        <f>2.1*J41</f>
        <v>3.6750000000000003</v>
      </c>
      <c r="K7" s="2757">
        <f>$C$58</f>
        <v>1750000</v>
      </c>
      <c r="L7" s="629"/>
      <c r="M7" s="629">
        <v>1</v>
      </c>
      <c r="N7" s="234"/>
      <c r="O7" s="234"/>
      <c r="P7" s="2757">
        <v>1E-3</v>
      </c>
      <c r="Q7" s="1037">
        <v>30</v>
      </c>
      <c r="R7" s="1037">
        <v>4.0971295478940781E-2</v>
      </c>
      <c r="T7" s="2382">
        <f>W7*0.95*1000000</f>
        <v>285237485.67507833</v>
      </c>
      <c r="V7" s="2378" t="str">
        <f>Dem!B38</f>
        <v>TPANV</v>
      </c>
      <c r="W7" s="3048">
        <f>Dem!E38</f>
        <v>300.24998492113514</v>
      </c>
      <c r="X7" s="12">
        <f>H7*P7*M7*K7*I7</f>
        <v>285.23748567507835</v>
      </c>
      <c r="Y7" s="250">
        <f>H7*1/J7*P7*M7*K7</f>
        <v>0.64679701967137937</v>
      </c>
      <c r="AB7" s="2378" t="str">
        <f>Dem!C38</f>
        <v>Transport Passengers Air National</v>
      </c>
      <c r="AC7" s="2108">
        <f>X7+X10+X15+X18+X23+X26+X31+X34</f>
        <v>2979.23</v>
      </c>
      <c r="AD7" s="2108">
        <f>Y7+Y10+Y15+Y18+Y23+Y26+Y31+Y34</f>
        <v>7.0068522754219433</v>
      </c>
      <c r="AE7" s="12">
        <f>SUM(Dem!E38:H38)/1000</f>
        <v>2.9792299999999998</v>
      </c>
      <c r="AF7" s="2101" t="b">
        <f>AC7=AE7*1000</f>
        <v>1</v>
      </c>
      <c r="AG7" s="2102"/>
      <c r="AH7" s="2105"/>
    </row>
    <row r="8" spans="2:36" ht="14.4">
      <c r="B8" s="697" t="s">
        <v>601</v>
      </c>
      <c r="C8" s="234" t="str">
        <f>Processes!$D$25</f>
        <v>TPAIKENA1E</v>
      </c>
      <c r="D8" s="234" t="str">
        <f>Processes!E25</f>
        <v>Transport Passengers Air International - Blending 1 - Short distance Existing</v>
      </c>
      <c r="E8" s="697" t="str">
        <f>Commodities!$D$95</f>
        <v>TRAKEIN1</v>
      </c>
      <c r="F8" s="234" t="str">
        <f>Commodities!$D$35</f>
        <v>TPAIS</v>
      </c>
      <c r="G8" s="629" t="s">
        <v>3603</v>
      </c>
      <c r="H8" s="2767">
        <f>T8/(K8*I8*1000)/M8</f>
        <v>1.1836871185794202E-4</v>
      </c>
      <c r="I8" s="1826">
        <v>120</v>
      </c>
      <c r="J8" s="2764">
        <v>8.8000000000000007</v>
      </c>
      <c r="K8" s="2757">
        <f>$C$59</f>
        <v>2800000</v>
      </c>
      <c r="L8" s="629"/>
      <c r="M8" s="629">
        <v>1</v>
      </c>
      <c r="N8" s="234"/>
      <c r="O8" s="234"/>
      <c r="P8" s="2757">
        <v>1E-3</v>
      </c>
      <c r="Q8" s="1037">
        <v>30</v>
      </c>
      <c r="R8" s="1037">
        <v>4.0971295478940781E-2</v>
      </c>
      <c r="T8" s="2382">
        <f>W8*1000000</f>
        <v>39771887.184268519</v>
      </c>
      <c r="V8" s="2378" t="str">
        <f>Dem!B39</f>
        <v>TPAIS</v>
      </c>
      <c r="W8" s="3048">
        <f>Dem!E39</f>
        <v>39.771887184268522</v>
      </c>
      <c r="X8" s="12">
        <f>H8*P8*M8*K8*I8</f>
        <v>39.771887184268522</v>
      </c>
      <c r="Y8" s="250">
        <f>H8*1/J8*P8*M8*K8</f>
        <v>3.766277195479973E-2</v>
      </c>
      <c r="Z8" s="2106"/>
      <c r="AB8" s="2378" t="str">
        <f>Dem!C39</f>
        <v>Transport Passengers Air International Short distance</v>
      </c>
      <c r="AC8" s="12">
        <f>X8+X16+X24+X32</f>
        <v>9384.5744999999988</v>
      </c>
      <c r="AD8" s="12">
        <f>Y8+Y16+Y24+Y32</f>
        <v>8.8869076704545442</v>
      </c>
      <c r="AE8" s="12">
        <f>SUM(Dem!E39:H39)/1000</f>
        <v>9.3845744999999994</v>
      </c>
      <c r="AF8" s="2101" t="b">
        <f>AC8=AE8*1000</f>
        <v>1</v>
      </c>
    </row>
    <row r="9" spans="2:36" ht="14.4">
      <c r="B9" s="697" t="s">
        <v>601</v>
      </c>
      <c r="C9" s="234" t="str">
        <f>Processes!$D$26</f>
        <v>TPAIKENA2E</v>
      </c>
      <c r="D9" s="234" t="str">
        <f>Processes!$E$26</f>
        <v>Transport Passengers Air International - Blending 1 - Long distance Existing</v>
      </c>
      <c r="E9" s="697" t="str">
        <f>Commodities!$D$95</f>
        <v>TRAKEIN1</v>
      </c>
      <c r="F9" s="234" t="str">
        <f>Commodities!$D$36</f>
        <v>TPAIL</v>
      </c>
      <c r="G9" s="629" t="s">
        <v>3603</v>
      </c>
      <c r="H9" s="2767">
        <f>T9/(K9*I9*1000)/M9</f>
        <v>2.7619366100186478E-4</v>
      </c>
      <c r="I9" s="1826">
        <v>120</v>
      </c>
      <c r="J9" s="2764">
        <v>8.8000000000000007</v>
      </c>
      <c r="K9" s="2757">
        <f>$C$59</f>
        <v>2800000</v>
      </c>
      <c r="L9" s="629"/>
      <c r="M9" s="629">
        <v>1</v>
      </c>
      <c r="N9" s="234"/>
      <c r="O9" s="234"/>
      <c r="P9" s="2757">
        <v>1E-3</v>
      </c>
      <c r="Q9" s="1037">
        <v>30</v>
      </c>
      <c r="R9" s="1037">
        <v>4.0971295478940781E-2</v>
      </c>
      <c r="T9" s="2382">
        <f>W9*1000000</f>
        <v>92801070.096626565</v>
      </c>
      <c r="V9" s="2378" t="str">
        <f>Dem!B40</f>
        <v>TPAIL</v>
      </c>
      <c r="W9" s="3048">
        <f>Dem!E40</f>
        <v>92.80107009662656</v>
      </c>
      <c r="X9" s="12">
        <f t="shared" ref="X9" si="0">H9*P9*M9*K9*I9</f>
        <v>92.80107009662656</v>
      </c>
      <c r="Y9" s="250">
        <f>H9*1/J9*P9*M9*K9</f>
        <v>8.7879801227866053E-2</v>
      </c>
      <c r="Z9" s="2106"/>
      <c r="AB9" s="2378" t="str">
        <f>Dem!C40</f>
        <v>Transport Passengers Air International Long distance</v>
      </c>
      <c r="AC9" s="12">
        <f>X9+X17+X25+X33</f>
        <v>21897.340499999998</v>
      </c>
      <c r="AD9" s="12">
        <f>Y9+Y17+Y25+Y33</f>
        <v>20.736117897727272</v>
      </c>
      <c r="AE9" s="12">
        <f>SUM(Dem!E40:H40)/1000</f>
        <v>21.897340499999999</v>
      </c>
      <c r="AF9" s="2101" t="b">
        <f>AC9=AE9*1000</f>
        <v>1</v>
      </c>
    </row>
    <row r="10" spans="2:36">
      <c r="B10" s="697" t="s">
        <v>601</v>
      </c>
      <c r="C10" s="234" t="str">
        <f>Processes!$D$24</f>
        <v>TPANAGSL1E</v>
      </c>
      <c r="D10" s="234" t="str">
        <f>Processes!E24</f>
        <v>Transport Passengers Air National - Aviation gasoline - Existing</v>
      </c>
      <c r="E10" s="629" t="str">
        <f>Commodities!$D$69</f>
        <v>TRAAGSL</v>
      </c>
      <c r="F10" s="234" t="str">
        <f>Commodities!$D$34</f>
        <v>TPANV</v>
      </c>
      <c r="G10" s="629" t="s">
        <v>3603</v>
      </c>
      <c r="H10" s="2767">
        <f>T10/(K10*I10*1000)/M10</f>
        <v>0.8140735040024405</v>
      </c>
      <c r="I10" s="2763">
        <v>2.2641140000000002</v>
      </c>
      <c r="J10" s="2764">
        <v>111.7</v>
      </c>
      <c r="K10" s="2757">
        <v>8145</v>
      </c>
      <c r="L10" s="629"/>
      <c r="M10" s="629">
        <v>1</v>
      </c>
      <c r="N10" s="234"/>
      <c r="O10" s="234"/>
      <c r="P10" s="2757">
        <v>1E-3</v>
      </c>
      <c r="Q10" s="1037">
        <v>30</v>
      </c>
      <c r="R10" s="1037">
        <v>1.0242823869735195E-3</v>
      </c>
      <c r="T10" s="2382">
        <f>W7*1000000-T7</f>
        <v>15012499.246056795</v>
      </c>
      <c r="X10" s="12">
        <f>H10*P10*M10*K10*I10</f>
        <v>15.012499246056795</v>
      </c>
      <c r="Y10" s="250">
        <f>H10*1/J10*P10*M10*K10</f>
        <v>5.9361044674126034E-2</v>
      </c>
      <c r="Z10" s="2106"/>
    </row>
    <row r="11" spans="2:36">
      <c r="B11" s="697" t="s">
        <v>601</v>
      </c>
      <c r="C11" s="234" t="str">
        <f>Processes!$D$22</f>
        <v>TPSIHFOX1E</v>
      </c>
      <c r="D11" s="234" t="str">
        <f>Processes!E22</f>
        <v>Transport Passengers Sea International - Existing</v>
      </c>
      <c r="E11" s="697" t="str">
        <f>Commodities!D105</f>
        <v>TRAOILBL1N</v>
      </c>
      <c r="F11" s="234" t="str">
        <f>Commodities!$D$33</f>
        <v>TPSIH</v>
      </c>
      <c r="G11" s="629" t="s">
        <v>3603</v>
      </c>
      <c r="H11" s="2767">
        <f>T11/(K11*I11*1000)/M11</f>
        <v>2.2603776781402818E-3</v>
      </c>
      <c r="I11" s="2763">
        <v>325.74299999999999</v>
      </c>
      <c r="J11" s="2764">
        <v>13.3647790198218</v>
      </c>
      <c r="K11" s="2772">
        <v>220565.192042371</v>
      </c>
      <c r="L11" s="2773">
        <f>'SE NAVI Data'!R313</f>
        <v>0.5</v>
      </c>
      <c r="M11" s="2774">
        <v>1</v>
      </c>
      <c r="N11" s="234">
        <v>5</v>
      </c>
      <c r="O11" s="234">
        <v>5</v>
      </c>
      <c r="P11" s="2757">
        <v>1E-3</v>
      </c>
      <c r="Q11" s="1037">
        <v>28</v>
      </c>
      <c r="R11" s="1037">
        <v>3.7164522307877547E-3</v>
      </c>
      <c r="T11" s="2382">
        <f>W11*1000000</f>
        <v>162402637.46991628</v>
      </c>
      <c r="V11" s="2378" t="str">
        <f>Dem!B37</f>
        <v>TPSIH</v>
      </c>
      <c r="W11" s="3048">
        <f>Dem!E37</f>
        <v>162.40263746991627</v>
      </c>
      <c r="X11" s="12">
        <f>H11*P11*M11*K11*I11</f>
        <v>162.40263746991627</v>
      </c>
      <c r="Y11" s="250">
        <f>H11*1/J11*P11*M11*K11</f>
        <v>3.7304068846021783E-2</v>
      </c>
      <c r="Z11" s="2106"/>
      <c r="AB11" s="2378" t="str">
        <f>Dem!C37</f>
        <v>Transport Passengers Sea International</v>
      </c>
      <c r="AC11" s="2108">
        <f>X11+X27+X35</f>
        <v>10390.549362530084</v>
      </c>
      <c r="AD11" s="2108">
        <f>Y11+Y27+Y35</f>
        <v>2.3867208981726762</v>
      </c>
    </row>
    <row r="12" spans="2:36" ht="13.8">
      <c r="B12" s="697" t="s">
        <v>601</v>
      </c>
      <c r="C12" s="234"/>
      <c r="D12" s="234"/>
      <c r="E12" s="697" t="str">
        <f>Commodities!D73</f>
        <v>TRAHFON</v>
      </c>
      <c r="F12" s="2768" t="str">
        <f>Commodities!$D$50</f>
        <v>TFSIH</v>
      </c>
      <c r="G12" s="629" t="s">
        <v>3603</v>
      </c>
      <c r="H12" s="2769"/>
      <c r="I12" s="2763"/>
      <c r="J12" s="2764"/>
      <c r="K12" s="2757"/>
      <c r="L12" s="2773">
        <f>'SE NAVI Data'!R314+'SE NAVI Data'!R315</f>
        <v>0.5</v>
      </c>
      <c r="M12" s="2775">
        <f>1-M11</f>
        <v>0</v>
      </c>
      <c r="N12" s="234">
        <v>5</v>
      </c>
      <c r="O12" s="234">
        <v>5</v>
      </c>
      <c r="P12" s="2757"/>
      <c r="Q12" s="1037"/>
      <c r="R12" s="1037"/>
      <c r="T12" s="2383"/>
      <c r="V12" s="2177"/>
      <c r="W12" s="2106"/>
      <c r="X12" s="12"/>
      <c r="Y12" s="250"/>
      <c r="Z12" s="2106"/>
      <c r="AB12" s="2177"/>
      <c r="AC12" s="2097"/>
      <c r="AD12" s="2097"/>
    </row>
    <row r="13" spans="2:36">
      <c r="B13" s="697" t="s">
        <v>601</v>
      </c>
      <c r="C13" s="234" t="str">
        <f>Processes!$D$21</f>
        <v>TPSNDSBL1E</v>
      </c>
      <c r="D13" s="234" t="str">
        <f>Processes!E21</f>
        <v>Transport Passengers Sea National - Existing</v>
      </c>
      <c r="E13" s="697" t="str">
        <f>E11</f>
        <v>TRAOILBL1N</v>
      </c>
      <c r="F13" s="234" t="str">
        <f>Commodities!$D$32</f>
        <v>TPSNH</v>
      </c>
      <c r="G13" s="629" t="s">
        <v>3603</v>
      </c>
      <c r="H13" s="2767">
        <f>T13/(K13*I13*1000)/M13</f>
        <v>1.1811893700848794E-3</v>
      </c>
      <c r="I13" s="2763">
        <v>30.0229</v>
      </c>
      <c r="J13" s="1627">
        <f>50.1179213243319*J42</f>
        <v>8.3529868873886493</v>
      </c>
      <c r="K13" s="2757">
        <v>99555</v>
      </c>
      <c r="L13" s="2773">
        <f>L29</f>
        <v>0.16666666666666666</v>
      </c>
      <c r="M13" s="2776">
        <v>1</v>
      </c>
      <c r="N13" s="234">
        <v>5</v>
      </c>
      <c r="O13" s="234">
        <v>5</v>
      </c>
      <c r="P13" s="2757">
        <v>1E-3</v>
      </c>
      <c r="Q13" s="1037">
        <v>28</v>
      </c>
      <c r="R13" s="1037">
        <v>2.1516302388771211E-3</v>
      </c>
      <c r="T13" s="2382">
        <f>W13*1000000</f>
        <v>3530492.1189112235</v>
      </c>
      <c r="V13" s="2378" t="str">
        <f>Dem!B36</f>
        <v>TPSNH</v>
      </c>
      <c r="W13" s="2183">
        <f>Dem!E36</f>
        <v>3.5304921189112233</v>
      </c>
      <c r="X13" s="12">
        <f>H13*P13*M13*K13*I13</f>
        <v>3.5304921189112242</v>
      </c>
      <c r="Y13" s="250">
        <f>H13*1/J13*P13*M13*K13</f>
        <v>1.4077995012340163E-2</v>
      </c>
      <c r="Z13" s="2106"/>
      <c r="AB13" s="2378" t="str">
        <f>Dem!C36</f>
        <v>Transport Passengers Sea National</v>
      </c>
      <c r="AC13" s="2108">
        <f>X13+X21+X29+X37</f>
        <v>229.41200000000001</v>
      </c>
      <c r="AD13" s="2108">
        <f>Y13+Y21+Y29+Y37</f>
        <v>0.91479059660583062</v>
      </c>
    </row>
    <row r="14" spans="2:36" ht="13.8">
      <c r="B14" s="736" t="s">
        <v>601</v>
      </c>
      <c r="C14" s="404"/>
      <c r="D14" s="404"/>
      <c r="E14" s="697" t="str">
        <f>E12</f>
        <v>TRAHFON</v>
      </c>
      <c r="F14" s="2770" t="str">
        <f>Commodities!$D$49</f>
        <v>TFSNH</v>
      </c>
      <c r="G14" s="404" t="s">
        <v>3603</v>
      </c>
      <c r="H14" s="2771"/>
      <c r="I14" s="2783"/>
      <c r="J14" s="2431"/>
      <c r="K14" s="2766"/>
      <c r="L14" s="2777">
        <f>L30</f>
        <v>0.83333333333333337</v>
      </c>
      <c r="M14" s="2778">
        <f>1-M13</f>
        <v>0</v>
      </c>
      <c r="N14" s="404">
        <v>5</v>
      </c>
      <c r="O14" s="404">
        <v>5</v>
      </c>
      <c r="P14" s="2766"/>
      <c r="Q14" s="2765"/>
      <c r="R14" s="2765"/>
      <c r="T14" s="2383"/>
      <c r="V14" s="2379"/>
      <c r="W14" s="2380"/>
      <c r="X14" s="12"/>
      <c r="Y14" s="269"/>
      <c r="Z14" s="2106"/>
      <c r="AB14" s="2379"/>
      <c r="AC14" s="2097"/>
      <c r="AD14" s="2097"/>
    </row>
    <row r="15" spans="2:36">
      <c r="B15" s="697" t="s">
        <v>602</v>
      </c>
      <c r="C15" s="234" t="str">
        <f>Processes!$D$23</f>
        <v>TPANKENA1E</v>
      </c>
      <c r="D15" s="234" t="str">
        <f>Processes!E23</f>
        <v>Transport Passengers Air National - Blending 1 - Existing</v>
      </c>
      <c r="E15" s="697" t="str">
        <f>Commodities!$D$90</f>
        <v>TRAKENA1</v>
      </c>
      <c r="F15" s="234" t="str">
        <f>Commodities!$D$34</f>
        <v>TPANV</v>
      </c>
      <c r="G15" s="629" t="s">
        <v>3603</v>
      </c>
      <c r="H15" s="2767">
        <f>T15/(K15*I15*1000)/M15</f>
        <v>1.8654758658949815E-3</v>
      </c>
      <c r="I15" s="1826">
        <f t="shared" ref="I15:K16" si="1">I7</f>
        <v>120</v>
      </c>
      <c r="J15" s="1627">
        <f t="shared" si="1"/>
        <v>3.6750000000000003</v>
      </c>
      <c r="K15" s="2757">
        <f t="shared" si="1"/>
        <v>1750000</v>
      </c>
      <c r="L15" s="629"/>
      <c r="M15" s="629">
        <v>1</v>
      </c>
      <c r="N15" s="234"/>
      <c r="O15" s="234"/>
      <c r="P15" s="2757">
        <v>1E-3</v>
      </c>
      <c r="Q15" s="1037">
        <v>30</v>
      </c>
      <c r="R15" s="1037">
        <v>4.0971295478940781E-2</v>
      </c>
      <c r="T15" s="2382">
        <f>W15*0.95*1000000</f>
        <v>391749931.83794612</v>
      </c>
      <c r="V15" s="2378" t="str">
        <f>V7</f>
        <v>TPANV</v>
      </c>
      <c r="W15" s="2188">
        <f>Dem!F38</f>
        <v>412.36834930310118</v>
      </c>
      <c r="X15" s="12">
        <f>H15*P15*M15*K15*I15</f>
        <v>391.74993183794612</v>
      </c>
      <c r="Y15" s="250">
        <f>H15*1/J15*P15*M15*K15</f>
        <v>0.88832184090237221</v>
      </c>
      <c r="AA15" s="2106"/>
      <c r="AB15" s="2106"/>
      <c r="AC15" s="2097"/>
      <c r="AD15" s="2097"/>
    </row>
    <row r="16" spans="2:36">
      <c r="B16" s="697" t="s">
        <v>602</v>
      </c>
      <c r="C16" s="234" t="str">
        <f>Processes!$D$25</f>
        <v>TPAIKENA1E</v>
      </c>
      <c r="D16" s="234" t="str">
        <f>Processes!E25</f>
        <v>Transport Passengers Air International - Blending 1 - Short distance Existing</v>
      </c>
      <c r="E16" s="697" t="str">
        <f>Commodities!$D$90</f>
        <v>TRAKENA1</v>
      </c>
      <c r="F16" s="234" t="str">
        <f>Commodities!$D$35</f>
        <v>TPAIS</v>
      </c>
      <c r="G16" s="629" t="s">
        <v>3603</v>
      </c>
      <c r="H16" s="2767">
        <f>T16/(K16*I16*1000)/M16</f>
        <v>2.3150428066532239E-4</v>
      </c>
      <c r="I16" s="1826">
        <f t="shared" si="1"/>
        <v>120</v>
      </c>
      <c r="J16" s="2764">
        <f t="shared" si="1"/>
        <v>8.8000000000000007</v>
      </c>
      <c r="K16" s="2757">
        <f t="shared" si="1"/>
        <v>2800000</v>
      </c>
      <c r="L16" s="234"/>
      <c r="M16" s="234">
        <v>1</v>
      </c>
      <c r="N16" s="234"/>
      <c r="O16" s="234"/>
      <c r="P16" s="2757">
        <v>1E-3</v>
      </c>
      <c r="Q16" s="1037">
        <v>30</v>
      </c>
      <c r="R16" s="1037">
        <v>4.0971295478940781E-2</v>
      </c>
      <c r="T16" s="2382">
        <f>W16*1000000</f>
        <v>77785438.303548321</v>
      </c>
      <c r="V16" s="2378" t="str">
        <f>V8</f>
        <v>TPAIS</v>
      </c>
      <c r="W16" s="2188">
        <f>Dem!F39</f>
        <v>77.785438303548318</v>
      </c>
      <c r="X16" s="12">
        <f t="shared" ref="X16:X35" si="2">H16*P16*M16*K16*I16</f>
        <v>77.785438303548332</v>
      </c>
      <c r="Y16" s="250">
        <f>H16*1/J16*P16*M16*K16</f>
        <v>7.3660452938966212E-2</v>
      </c>
      <c r="AA16" s="2106"/>
      <c r="AB16" s="2106"/>
      <c r="AC16" s="2097"/>
      <c r="AD16" s="2097"/>
    </row>
    <row r="17" spans="1:31">
      <c r="B17" s="697" t="str">
        <f>B16</f>
        <v>SE2</v>
      </c>
      <c r="C17" s="234" t="str">
        <f>Processes!$D$26</f>
        <v>TPAIKENA2E</v>
      </c>
      <c r="D17" s="234" t="str">
        <f>Processes!$E$26</f>
        <v>Transport Passengers Air International - Blending 1 - Long distance Existing</v>
      </c>
      <c r="E17" s="697" t="str">
        <f>Commodities!$D$95</f>
        <v>TRAKEIN1</v>
      </c>
      <c r="F17" s="234" t="str">
        <f>Commodities!$D$36</f>
        <v>TPAIL</v>
      </c>
      <c r="G17" s="629" t="s">
        <v>3603</v>
      </c>
      <c r="H17" s="2767">
        <f>T17/(K17*I17*1000)/M17</f>
        <v>5.4017665488575225E-4</v>
      </c>
      <c r="I17" s="1826">
        <v>120</v>
      </c>
      <c r="J17" s="2764">
        <v>8.8000000000000007</v>
      </c>
      <c r="K17" s="2757">
        <f>$C$59</f>
        <v>2800000</v>
      </c>
      <c r="L17" s="629"/>
      <c r="M17" s="629">
        <v>1</v>
      </c>
      <c r="N17" s="234"/>
      <c r="O17" s="234"/>
      <c r="P17" s="2757">
        <v>1E-3</v>
      </c>
      <c r="Q17" s="1037">
        <v>30</v>
      </c>
      <c r="R17" s="1037">
        <v>4.0971295478940781E-2</v>
      </c>
      <c r="T17" s="2382">
        <f>W17*1000000</f>
        <v>181499356.04161274</v>
      </c>
      <c r="V17" s="2378" t="str">
        <f>V9</f>
        <v>TPAIL</v>
      </c>
      <c r="W17" s="3048">
        <f>Dem!F40</f>
        <v>181.49935604161274</v>
      </c>
      <c r="X17" s="12">
        <f>H17*P17*M17*K17*I17</f>
        <v>181.49935604161277</v>
      </c>
      <c r="Y17" s="250">
        <f>H17*1/J17*P17*M17*K17</f>
        <v>0.17187439019092116</v>
      </c>
      <c r="Z17" s="2106"/>
      <c r="AB17" s="2378" t="str">
        <f>Dem!C48</f>
        <v>Transport Freight Sea National</v>
      </c>
      <c r="AC17" s="12">
        <f>X17+X27+X35+X42</f>
        <v>10409.646081101782</v>
      </c>
      <c r="AD17" s="12">
        <f>Y17+Y27+Y35+Y42</f>
        <v>2.5212912195175754</v>
      </c>
    </row>
    <row r="18" spans="1:31" ht="15.6">
      <c r="B18" s="697" t="s">
        <v>602</v>
      </c>
      <c r="C18" s="234" t="str">
        <f>Processes!$D$24</f>
        <v>TPANAGSL1E</v>
      </c>
      <c r="D18" s="234" t="str">
        <f>Processes!E24</f>
        <v>Transport Passengers Air National - Aviation gasoline - Existing</v>
      </c>
      <c r="E18" s="629" t="str">
        <f>Commodities!$D$69</f>
        <v>TRAAGSL</v>
      </c>
      <c r="F18" s="234" t="str">
        <f>Commodities!$D$34</f>
        <v>TPANV</v>
      </c>
      <c r="G18" s="629" t="s">
        <v>3603</v>
      </c>
      <c r="H18" s="2767">
        <f>T18/(K18*I18*1000)/M18</f>
        <v>1.118062161252241</v>
      </c>
      <c r="I18" s="1147">
        <f t="shared" ref="I18:K18" si="3">I10</f>
        <v>2.2641140000000002</v>
      </c>
      <c r="J18" s="2764">
        <f t="shared" si="3"/>
        <v>111.7</v>
      </c>
      <c r="K18" s="2757">
        <f t="shared" si="3"/>
        <v>8145</v>
      </c>
      <c r="L18" s="629"/>
      <c r="M18" s="629">
        <v>1</v>
      </c>
      <c r="N18" s="234"/>
      <c r="O18" s="234"/>
      <c r="P18" s="2757">
        <v>1E-3</v>
      </c>
      <c r="Q18" s="1037">
        <v>30</v>
      </c>
      <c r="R18" s="1037">
        <v>1.0242823869735195E-3</v>
      </c>
      <c r="T18" s="2382">
        <f>W15*1000000-T15</f>
        <v>20618417.465155065</v>
      </c>
      <c r="X18" s="12">
        <f t="shared" si="2"/>
        <v>20.618417465155066</v>
      </c>
      <c r="Y18" s="250">
        <f>H18*1/J18*P18*M18*K18</f>
        <v>8.1527451239028673E-2</v>
      </c>
      <c r="AA18" s="2106"/>
      <c r="AB18" s="2106"/>
      <c r="AC18" s="2106"/>
      <c r="AD18" s="2097"/>
      <c r="AE18" s="393"/>
    </row>
    <row r="19" spans="1:31">
      <c r="B19" s="697" t="s">
        <v>602</v>
      </c>
      <c r="C19" s="234" t="str">
        <f>Processes!$D$22</f>
        <v>TPSIHFOX1E</v>
      </c>
      <c r="D19" s="234" t="str">
        <f>Processes!E22</f>
        <v>Transport Passengers Sea International - Existing</v>
      </c>
      <c r="E19" s="697" t="str">
        <f>E11</f>
        <v>TRAOILBL1N</v>
      </c>
      <c r="F19" s="234" t="str">
        <f>Commodities!$D$33</f>
        <v>TPSIH</v>
      </c>
      <c r="G19" s="629" t="s">
        <v>3603</v>
      </c>
      <c r="H19" s="2767">
        <f>T19/(K19*I19*1000)/M19</f>
        <v>2.2603776781402797E-3</v>
      </c>
      <c r="I19" s="1147">
        <f>I11</f>
        <v>325.74299999999999</v>
      </c>
      <c r="J19" s="2764">
        <v>13.3647790198218</v>
      </c>
      <c r="K19" s="2772">
        <v>220565.19204237123</v>
      </c>
      <c r="L19" s="2773">
        <f>L11</f>
        <v>0.5</v>
      </c>
      <c r="M19" s="2774">
        <v>1</v>
      </c>
      <c r="N19" s="234">
        <v>5</v>
      </c>
      <c r="O19" s="234">
        <v>5</v>
      </c>
      <c r="P19" s="2757">
        <v>1E-3</v>
      </c>
      <c r="Q19" s="1037">
        <v>28</v>
      </c>
      <c r="R19" s="1037">
        <v>3.7164522307877547E-3</v>
      </c>
      <c r="T19" s="2382">
        <f>W19*1000000</f>
        <v>162402637.46991628</v>
      </c>
      <c r="V19" s="2378" t="str">
        <f>V11</f>
        <v>TPSIH</v>
      </c>
      <c r="W19" s="2188">
        <f>Dem!F37</f>
        <v>162.40263746991627</v>
      </c>
      <c r="X19" s="12">
        <f t="shared" si="2"/>
        <v>162.4026374699163</v>
      </c>
      <c r="Y19" s="250">
        <f>H19*1/J19*P19*M19*K19</f>
        <v>3.7304068846021783E-2</v>
      </c>
      <c r="AA19" s="2104"/>
      <c r="AB19" s="2104"/>
      <c r="AC19" s="2104"/>
      <c r="AD19" s="3"/>
    </row>
    <row r="20" spans="1:31">
      <c r="B20" s="697" t="s">
        <v>602</v>
      </c>
      <c r="C20" s="234"/>
      <c r="D20" s="234"/>
      <c r="E20" s="697" t="str">
        <f>E12</f>
        <v>TRAHFON</v>
      </c>
      <c r="F20" s="2768" t="str">
        <f>Commodities!$D$50</f>
        <v>TFSIH</v>
      </c>
      <c r="G20" s="629" t="s">
        <v>3603</v>
      </c>
      <c r="H20" s="2769"/>
      <c r="I20" s="1147"/>
      <c r="J20" s="2764"/>
      <c r="K20" s="2757"/>
      <c r="L20" s="2773">
        <f>L12</f>
        <v>0.5</v>
      </c>
      <c r="M20" s="2775">
        <f>1-M19</f>
        <v>0</v>
      </c>
      <c r="N20" s="234">
        <v>5</v>
      </c>
      <c r="O20" s="234">
        <v>5</v>
      </c>
      <c r="P20" s="2757"/>
      <c r="Q20" s="1037"/>
      <c r="R20" s="1037"/>
      <c r="T20" s="2383"/>
      <c r="X20" s="12"/>
      <c r="Y20" s="250"/>
      <c r="Z20" s="2111"/>
      <c r="AA20" s="2111"/>
      <c r="AB20" s="2111"/>
      <c r="AC20" s="2111"/>
      <c r="AD20" s="3"/>
      <c r="AE20" s="765"/>
    </row>
    <row r="21" spans="1:31">
      <c r="B21" s="697" t="s">
        <v>602</v>
      </c>
      <c r="C21" s="234" t="str">
        <f>Processes!$D$21</f>
        <v>TPSNDSBL1E</v>
      </c>
      <c r="D21" s="234" t="str">
        <f>Processes!E21</f>
        <v>Transport Passengers Sea National - Existing</v>
      </c>
      <c r="E21" s="697" t="str">
        <f>E13</f>
        <v>TRAOILBL1N</v>
      </c>
      <c r="F21" s="234" t="str">
        <f>Commodities!$D$32</f>
        <v>TPSNH</v>
      </c>
      <c r="G21" s="629" t="s">
        <v>3603</v>
      </c>
      <c r="H21" s="2767">
        <f>T21/(K21*I21*1000)/M21</f>
        <v>1.1811893700848794E-3</v>
      </c>
      <c r="I21" s="1147">
        <f>I13</f>
        <v>30.0229</v>
      </c>
      <c r="J21" s="1627">
        <f>J13</f>
        <v>8.3529868873886493</v>
      </c>
      <c r="K21" s="2757">
        <v>99555</v>
      </c>
      <c r="L21" s="2773">
        <f>L13</f>
        <v>0.16666666666666666</v>
      </c>
      <c r="M21" s="2776">
        <v>1</v>
      </c>
      <c r="N21" s="234">
        <v>5</v>
      </c>
      <c r="O21" s="234">
        <v>5</v>
      </c>
      <c r="P21" s="2757">
        <v>1E-3</v>
      </c>
      <c r="Q21" s="1037">
        <v>28</v>
      </c>
      <c r="R21" s="1037">
        <v>2.1516302388771211E-3</v>
      </c>
      <c r="T21" s="2382">
        <f>W21*1000000</f>
        <v>3530492.1189112235</v>
      </c>
      <c r="V21" s="2378" t="str">
        <f>V13</f>
        <v>TPSNH</v>
      </c>
      <c r="W21" s="2183">
        <f>Dem!F36</f>
        <v>3.5304921189112233</v>
      </c>
      <c r="X21" s="12">
        <f>H21*P21*M21*K21*I21</f>
        <v>3.5304921189112242</v>
      </c>
      <c r="Y21" s="250">
        <f>H21*1/J21*P21*M21*K21</f>
        <v>1.4077995012340163E-2</v>
      </c>
      <c r="Z21" s="2111"/>
      <c r="AA21" s="2111"/>
      <c r="AB21" s="2111"/>
      <c r="AC21" s="2111"/>
      <c r="AD21" s="3"/>
    </row>
    <row r="22" spans="1:31">
      <c r="B22" s="736" t="s">
        <v>602</v>
      </c>
      <c r="C22" s="404"/>
      <c r="D22" s="404"/>
      <c r="E22" s="697" t="str">
        <f>E14</f>
        <v>TRAHFON</v>
      </c>
      <c r="F22" s="2770" t="str">
        <f>Commodities!$D$49</f>
        <v>TFSNH</v>
      </c>
      <c r="G22" s="404" t="s">
        <v>3603</v>
      </c>
      <c r="H22" s="2771"/>
      <c r="I22" s="2784"/>
      <c r="J22" s="2431"/>
      <c r="K22" s="2766"/>
      <c r="L22" s="2777">
        <f>L14</f>
        <v>0.83333333333333337</v>
      </c>
      <c r="M22" s="2778">
        <f>1-M21</f>
        <v>0</v>
      </c>
      <c r="N22" s="404">
        <v>5</v>
      </c>
      <c r="O22" s="404">
        <v>5</v>
      </c>
      <c r="P22" s="2766"/>
      <c r="Q22" s="2765"/>
      <c r="R22" s="2765"/>
      <c r="T22" s="2383"/>
      <c r="V22" s="23"/>
      <c r="W22" s="23"/>
      <c r="X22" s="12"/>
      <c r="Y22" s="269"/>
      <c r="Z22" s="2111"/>
      <c r="AA22" s="2111"/>
      <c r="AB22" s="2111"/>
      <c r="AC22" s="2111"/>
      <c r="AD22" s="3"/>
    </row>
    <row r="23" spans="1:31">
      <c r="B23" s="697" t="s">
        <v>603</v>
      </c>
      <c r="C23" s="234" t="str">
        <f>Processes!$D$23</f>
        <v>TPANKENA1E</v>
      </c>
      <c r="D23" s="234" t="str">
        <f>Processes!$E$23</f>
        <v>Transport Passengers Air National - Blending 1 - Existing</v>
      </c>
      <c r="E23" s="697" t="str">
        <f>Commodities!$D$90</f>
        <v>TRAKENA1</v>
      </c>
      <c r="F23" s="234" t="str">
        <f>Commodities!$D$34</f>
        <v>TPANV</v>
      </c>
      <c r="G23" s="629" t="s">
        <v>3603</v>
      </c>
      <c r="H23" s="2767">
        <f>T23/(K23*I23*1000)/M23</f>
        <v>8.3955553711000195E-3</v>
      </c>
      <c r="I23" s="1826">
        <f>I7</f>
        <v>120</v>
      </c>
      <c r="J23" s="1627">
        <f>J15</f>
        <v>3.6750000000000003</v>
      </c>
      <c r="K23" s="2757">
        <f>K15</f>
        <v>1750000</v>
      </c>
      <c r="L23" s="629"/>
      <c r="M23" s="629">
        <v>1</v>
      </c>
      <c r="N23" s="234"/>
      <c r="O23" s="234"/>
      <c r="P23" s="2757">
        <v>1E-3</v>
      </c>
      <c r="Q23" s="1037">
        <v>30</v>
      </c>
      <c r="R23" s="1037">
        <v>4.0971295478940781E-2</v>
      </c>
      <c r="T23" s="2382">
        <f>W23*0.95*1000000</f>
        <v>1763066627.931004</v>
      </c>
      <c r="V23" s="2378" t="str">
        <f>V15</f>
        <v>TPANV</v>
      </c>
      <c r="W23" s="2188">
        <f>Dem!G38</f>
        <v>1855.8596083484254</v>
      </c>
      <c r="X23" s="12">
        <f>H23*P23*M23*K23*I23</f>
        <v>1763.0666279310042</v>
      </c>
      <c r="Y23" s="250">
        <f>H23*1/J23*P23*M23*K23</f>
        <v>3.9978835100476275</v>
      </c>
      <c r="AA23" s="2111"/>
      <c r="AB23" s="2111"/>
      <c r="AC23" s="2111"/>
      <c r="AD23" s="3"/>
    </row>
    <row r="24" spans="1:31">
      <c r="B24" s="697" t="s">
        <v>603</v>
      </c>
      <c r="C24" s="234" t="str">
        <f>Processes!$D$25</f>
        <v>TPAIKENA1E</v>
      </c>
      <c r="D24" s="234" t="str">
        <f>Processes!$E$25</f>
        <v>Transport Passengers Air International - Blending 1 - Short distance Existing</v>
      </c>
      <c r="E24" s="697" t="str">
        <f>Commodities!$D$90</f>
        <v>TRAKENA1</v>
      </c>
      <c r="F24" s="234" t="str">
        <f>Commodities!$D$35</f>
        <v>TPAIS</v>
      </c>
      <c r="G24" s="629" t="s">
        <v>3603</v>
      </c>
      <c r="H24" s="2767">
        <f>T24/(K24*I24*1000)/M24</f>
        <v>2.6205088424331505E-2</v>
      </c>
      <c r="I24" s="1826">
        <f>I8</f>
        <v>120</v>
      </c>
      <c r="J24" s="2764">
        <f>J16</f>
        <v>8.8000000000000007</v>
      </c>
      <c r="K24" s="2757">
        <f>K16</f>
        <v>2800000</v>
      </c>
      <c r="L24" s="629"/>
      <c r="M24" s="629">
        <v>1</v>
      </c>
      <c r="N24" s="234"/>
      <c r="O24" s="234"/>
      <c r="P24" s="2757">
        <v>1E-3</v>
      </c>
      <c r="Q24" s="1037">
        <v>30</v>
      </c>
      <c r="R24" s="1037">
        <v>4.0971295478940781E-2</v>
      </c>
      <c r="T24" s="2382">
        <f>W24*1000000</f>
        <v>8804909710.575386</v>
      </c>
      <c r="V24" s="2378" t="str">
        <f>V16</f>
        <v>TPAIS</v>
      </c>
      <c r="W24" s="2188">
        <f>Dem!G39</f>
        <v>8804.9097105753863</v>
      </c>
      <c r="X24" s="12">
        <f t="shared" si="2"/>
        <v>8804.9097105753863</v>
      </c>
      <c r="Y24" s="250">
        <f>H24*1/J24*P24*M24*K24</f>
        <v>8.3379826804691159</v>
      </c>
      <c r="AA24" s="2111"/>
      <c r="AB24" s="2111"/>
      <c r="AC24" s="2111"/>
      <c r="AD24" s="3"/>
    </row>
    <row r="25" spans="1:31">
      <c r="B25" s="697" t="str">
        <f>B24</f>
        <v>SE3</v>
      </c>
      <c r="C25" s="234" t="str">
        <f>Processes!$D$26</f>
        <v>TPAIKENA2E</v>
      </c>
      <c r="D25" s="234" t="str">
        <f>Processes!$E$26</f>
        <v>Transport Passengers Air International - Blending 1 - Long distance Existing</v>
      </c>
      <c r="E25" s="697" t="str">
        <f>Commodities!$D$95</f>
        <v>TRAKEIN1</v>
      </c>
      <c r="F25" s="234" t="str">
        <f>Commodities!$D$36</f>
        <v>TPAIL</v>
      </c>
      <c r="G25" s="629" t="s">
        <v>3603</v>
      </c>
      <c r="H25" s="2767">
        <f>T25/(K25*I25*1000)/M25</f>
        <v>6.1145206323440192E-2</v>
      </c>
      <c r="I25" s="1826">
        <v>120</v>
      </c>
      <c r="J25" s="2764">
        <v>8.8000000000000007</v>
      </c>
      <c r="K25" s="2757">
        <f>$C$59</f>
        <v>2800000</v>
      </c>
      <c r="L25" s="629"/>
      <c r="M25" s="629">
        <v>1</v>
      </c>
      <c r="N25" s="234"/>
      <c r="O25" s="234"/>
      <c r="P25" s="2757">
        <v>1E-3</v>
      </c>
      <c r="Q25" s="1037">
        <v>30</v>
      </c>
      <c r="R25" s="1037">
        <v>4.0971295478940781E-2</v>
      </c>
      <c r="T25" s="2382">
        <f>W25*1000000</f>
        <v>20544789324.675903</v>
      </c>
      <c r="V25" s="2378" t="str">
        <f>V17</f>
        <v>TPAIL</v>
      </c>
      <c r="W25" s="2188">
        <f>Dem!G40</f>
        <v>20544.789324675905</v>
      </c>
      <c r="X25" s="12">
        <f t="shared" ref="X25" si="4">H25*P25*M25*K25*I25</f>
        <v>20544.789324675905</v>
      </c>
      <c r="Y25" s="250">
        <f>H25*1/J25*P25*M25*K25</f>
        <v>19.455292921094607</v>
      </c>
      <c r="Z25" s="2106"/>
      <c r="AB25" s="2378">
        <f>Dem!C56</f>
        <v>0</v>
      </c>
      <c r="AC25" s="2378"/>
      <c r="AD25" s="12" t="e">
        <f>Y25+Y36+Y43+Y50</f>
        <v>#VALUE!</v>
      </c>
    </row>
    <row r="26" spans="1:31">
      <c r="B26" s="697" t="s">
        <v>603</v>
      </c>
      <c r="C26" s="234" t="str">
        <f>Processes!$D$24</f>
        <v>TPANAGSL1E</v>
      </c>
      <c r="D26" s="234" t="str">
        <f>Processes!$E$24</f>
        <v>Transport Passengers Air National - Aviation gasoline - Existing</v>
      </c>
      <c r="E26" s="629" t="str">
        <f>Commodities!$D$69</f>
        <v>TRAAGSL</v>
      </c>
      <c r="F26" s="234" t="str">
        <f>Commodities!$D$34</f>
        <v>TPANV</v>
      </c>
      <c r="G26" s="629" t="s">
        <v>3603</v>
      </c>
      <c r="H26" s="2767">
        <f>T26/(K26*I26*1000)/M26</f>
        <v>5.0318275110043089</v>
      </c>
      <c r="I26" s="1147">
        <f>I10</f>
        <v>2.2641140000000002</v>
      </c>
      <c r="J26" s="2764">
        <f t="shared" ref="J26:K26" si="5">J18</f>
        <v>111.7</v>
      </c>
      <c r="K26" s="2757">
        <f t="shared" si="5"/>
        <v>8145</v>
      </c>
      <c r="L26" s="629"/>
      <c r="M26" s="629">
        <v>1</v>
      </c>
      <c r="N26" s="234"/>
      <c r="O26" s="234"/>
      <c r="P26" s="2757">
        <v>1E-3</v>
      </c>
      <c r="Q26" s="1037">
        <v>30</v>
      </c>
      <c r="R26" s="1037">
        <v>1.0242823869735195E-3</v>
      </c>
      <c r="T26" s="2382">
        <f>W23*1000000-T23</f>
        <v>92792980.417421341</v>
      </c>
      <c r="X26" s="12">
        <f t="shared" si="2"/>
        <v>92.792980417421347</v>
      </c>
      <c r="Y26" s="250">
        <f>H26*1/J26*P26*M26*K26</f>
        <v>0.36691347428048426</v>
      </c>
      <c r="AA26" s="3"/>
      <c r="AB26" s="3"/>
      <c r="AC26" s="3"/>
      <c r="AD26" s="3"/>
    </row>
    <row r="27" spans="1:31">
      <c r="B27" s="697" t="s">
        <v>603</v>
      </c>
      <c r="C27" s="234" t="str">
        <f>Processes!$D$22</f>
        <v>TPSIHFOX1E</v>
      </c>
      <c r="D27" s="234" t="str">
        <f>Processes!$E$22</f>
        <v>Transport Passengers Sea International - Existing</v>
      </c>
      <c r="E27" s="697" t="str">
        <f>E19</f>
        <v>TRAOILBL1N</v>
      </c>
      <c r="F27" s="234" t="str">
        <f>Commodities!$D$33</f>
        <v>TPSIH</v>
      </c>
      <c r="G27" s="629" t="s">
        <v>3603</v>
      </c>
      <c r="H27" s="2767">
        <f>T27/(K27*I27*1000)/M27</f>
        <v>8.3509503954728975E-2</v>
      </c>
      <c r="I27" s="1826">
        <f>I11</f>
        <v>325.74299999999999</v>
      </c>
      <c r="J27" s="2764">
        <v>13.3647790198218</v>
      </c>
      <c r="K27" s="2772">
        <f>K11</f>
        <v>220565.192042371</v>
      </c>
      <c r="L27" s="1681">
        <f>'SE NAVI Data'!R313</f>
        <v>0.5</v>
      </c>
      <c r="M27" s="2774">
        <v>1</v>
      </c>
      <c r="N27" s="234">
        <v>5</v>
      </c>
      <c r="O27" s="234">
        <v>5</v>
      </c>
      <c r="P27" s="2757">
        <v>1E-3</v>
      </c>
      <c r="Q27" s="1037">
        <v>28</v>
      </c>
      <c r="R27" s="1037">
        <v>3.7164522307877547E-3</v>
      </c>
      <c r="T27" s="2382">
        <f>W27*1000000</f>
        <v>5999954709.8742428</v>
      </c>
      <c r="V27" s="2378" t="str">
        <f>V19</f>
        <v>TPSIH</v>
      </c>
      <c r="W27" s="2188">
        <f>Dem!G37</f>
        <v>5999.9547098742423</v>
      </c>
      <c r="X27" s="12">
        <f t="shared" si="2"/>
        <v>5999.9547098742432</v>
      </c>
      <c r="Y27" s="250">
        <f>H27*1/J27*P27*M27*K27</f>
        <v>1.3781963584896995</v>
      </c>
      <c r="AA27" s="2104"/>
      <c r="AB27" s="2104"/>
      <c r="AC27" s="2104"/>
      <c r="AD27" s="3"/>
    </row>
    <row r="28" spans="1:31" ht="13.8">
      <c r="B28" s="697" t="s">
        <v>603</v>
      </c>
      <c r="C28" s="234"/>
      <c r="D28" s="234"/>
      <c r="E28" s="697" t="str">
        <f>E20</f>
        <v>TRAHFON</v>
      </c>
      <c r="F28" s="2768" t="str">
        <f>Commodities!$D$50</f>
        <v>TFSIH</v>
      </c>
      <c r="G28" s="629" t="s">
        <v>3603</v>
      </c>
      <c r="H28" s="2769"/>
      <c r="I28" s="1826"/>
      <c r="J28" s="2764"/>
      <c r="K28" s="2772"/>
      <c r="L28" s="1681">
        <f>'SE NAVI Data'!R314+'SE NAVI Data'!R315</f>
        <v>0.5</v>
      </c>
      <c r="M28" s="2775">
        <f>1-M27</f>
        <v>0</v>
      </c>
      <c r="N28" s="234">
        <v>5</v>
      </c>
      <c r="O28" s="234">
        <v>5</v>
      </c>
      <c r="P28" s="2757"/>
      <c r="Q28" s="1037"/>
      <c r="R28" s="1037"/>
      <c r="T28" s="2383"/>
      <c r="X28" s="12"/>
      <c r="Y28" s="250"/>
      <c r="Z28" s="2106"/>
      <c r="AA28" s="2106"/>
      <c r="AB28" s="2106"/>
      <c r="AC28" s="2106"/>
      <c r="AD28" s="3"/>
      <c r="AE28" s="2177"/>
    </row>
    <row r="29" spans="1:31">
      <c r="A29" s="754"/>
      <c r="B29" s="697" t="s">
        <v>603</v>
      </c>
      <c r="C29" s="234" t="str">
        <f>Processes!$D$21</f>
        <v>TPSNDSBL1E</v>
      </c>
      <c r="D29" s="234" t="str">
        <f>Processes!$E$21</f>
        <v>Transport Passengers Sea National - Existing</v>
      </c>
      <c r="E29" s="697" t="str">
        <f>E21</f>
        <v>TRAOILBL1N</v>
      </c>
      <c r="F29" s="234" t="str">
        <f>Commodities!$D$32</f>
        <v>TPSNH</v>
      </c>
      <c r="G29" s="629" t="s">
        <v>3603</v>
      </c>
      <c r="H29" s="2767">
        <f>T29/(K29*I29*1000)/M29</f>
        <v>4.3638963225624855E-2</v>
      </c>
      <c r="I29" s="1826">
        <f>I13</f>
        <v>30.0229</v>
      </c>
      <c r="J29" s="1627">
        <f>J21</f>
        <v>8.3529868873886493</v>
      </c>
      <c r="K29" s="2772">
        <v>99555</v>
      </c>
      <c r="L29" s="2773">
        <f>'SE NAVI Data'!R307</f>
        <v>0.16666666666666666</v>
      </c>
      <c r="M29" s="2776">
        <v>1</v>
      </c>
      <c r="N29" s="234">
        <v>5</v>
      </c>
      <c r="O29" s="234">
        <v>5</v>
      </c>
      <c r="P29" s="1155">
        <v>1E-3</v>
      </c>
      <c r="Q29" s="2400">
        <v>28</v>
      </c>
      <c r="R29" s="1037">
        <v>2.1516302388771211E-3</v>
      </c>
      <c r="T29" s="2382">
        <f>W29*1000000</f>
        <v>130433798.04074439</v>
      </c>
      <c r="V29" s="2378" t="str">
        <f>V21</f>
        <v>TPSNH</v>
      </c>
      <c r="W29" s="2183">
        <f>Dem!G36</f>
        <v>130.43379804074439</v>
      </c>
      <c r="X29" s="12">
        <f>H29*P29*M29*K29*I29</f>
        <v>130.43379804074439</v>
      </c>
      <c r="Y29" s="250">
        <f>H29*1/J29*P29*M29*K29</f>
        <v>0.52011059546691973</v>
      </c>
      <c r="AB29" s="2106"/>
      <c r="AC29" s="2106"/>
      <c r="AD29" s="2181"/>
    </row>
    <row r="30" spans="1:31">
      <c r="A30" s="754"/>
      <c r="B30" s="736" t="s">
        <v>603</v>
      </c>
      <c r="C30" s="404"/>
      <c r="D30" s="404"/>
      <c r="E30" s="697" t="str">
        <f>E22</f>
        <v>TRAHFON</v>
      </c>
      <c r="F30" s="2770" t="str">
        <f>Commodities!$D$49</f>
        <v>TFSNH</v>
      </c>
      <c r="G30" s="404" t="s">
        <v>3603</v>
      </c>
      <c r="H30" s="2771"/>
      <c r="I30" s="1147"/>
      <c r="J30" s="2431"/>
      <c r="K30" s="2786"/>
      <c r="L30" s="2777">
        <f>'SE NAVI Data'!R308+'SE NAVI Data'!R309</f>
        <v>0.83333333333333337</v>
      </c>
      <c r="M30" s="2778">
        <f>1-M29</f>
        <v>0</v>
      </c>
      <c r="N30" s="404">
        <v>5</v>
      </c>
      <c r="O30" s="404">
        <v>5</v>
      </c>
      <c r="P30" s="2766"/>
      <c r="Q30" s="2765"/>
      <c r="R30" s="2765"/>
      <c r="T30" s="2383"/>
      <c r="V30" s="23"/>
      <c r="W30" s="23"/>
      <c r="X30" s="12"/>
      <c r="Y30" s="269"/>
      <c r="AB30" s="3"/>
      <c r="AC30" s="3"/>
      <c r="AD30" s="3"/>
    </row>
    <row r="31" spans="1:31">
      <c r="A31" s="754"/>
      <c r="B31" s="697" t="s">
        <v>604</v>
      </c>
      <c r="C31" s="234" t="str">
        <f>Processes!$D$23</f>
        <v>TPANKENA1E</v>
      </c>
      <c r="D31" s="234" t="str">
        <f>Processes!$E$23</f>
        <v>Transport Passengers Air National - Blending 1 - Existing</v>
      </c>
      <c r="E31" s="697" t="str">
        <f>Commodities!$D$90</f>
        <v>TRAKENA1</v>
      </c>
      <c r="F31" s="234" t="str">
        <f>Commodities!$D$34</f>
        <v>TPANV</v>
      </c>
      <c r="G31" s="629" t="s">
        <v>3603</v>
      </c>
      <c r="H31" s="2767">
        <f>T31/(K31*I31*1000)/M31</f>
        <v>1.8581640693141491E-3</v>
      </c>
      <c r="I31" s="1826">
        <f>I7</f>
        <v>120</v>
      </c>
      <c r="J31" s="1627">
        <f>J23</f>
        <v>3.6750000000000003</v>
      </c>
      <c r="K31" s="2772">
        <f>K23</f>
        <v>1750000</v>
      </c>
      <c r="L31" s="629"/>
      <c r="M31" s="629">
        <v>1</v>
      </c>
      <c r="N31" s="234"/>
      <c r="O31" s="234"/>
      <c r="P31" s="1155">
        <v>1E-3</v>
      </c>
      <c r="Q31" s="1037">
        <v>30</v>
      </c>
      <c r="R31" s="1037">
        <v>4.0971295478940781E-2</v>
      </c>
      <c r="T31" s="2382">
        <f>W31*0.95*1000000</f>
        <v>390214454.55597132</v>
      </c>
      <c r="V31" s="2378" t="str">
        <f>V23</f>
        <v>TPANV</v>
      </c>
      <c r="W31" s="2188">
        <f>Dem!H38</f>
        <v>410.75205742733823</v>
      </c>
      <c r="X31" s="12">
        <f>H31*P31*M31*K31*I31</f>
        <v>390.21445455597132</v>
      </c>
      <c r="Y31" s="250">
        <f>H31*1/J31*P31*M31*K31</f>
        <v>0.88484003300673753</v>
      </c>
      <c r="AB31" s="3"/>
      <c r="AC31" s="3"/>
      <c r="AD31" s="3"/>
    </row>
    <row r="32" spans="1:31">
      <c r="A32" s="754"/>
      <c r="B32" s="697" t="s">
        <v>604</v>
      </c>
      <c r="C32" s="234" t="str">
        <f>Processes!$D$25</f>
        <v>TPAIKENA1E</v>
      </c>
      <c r="D32" s="234" t="str">
        <f>Processes!$E$25</f>
        <v>Transport Passengers Air International - Blending 1 - Short distance Existing</v>
      </c>
      <c r="E32" s="697" t="str">
        <f>Commodities!$D$90</f>
        <v>TRAKENA1</v>
      </c>
      <c r="F32" s="234" t="str">
        <f>Commodities!$D$35</f>
        <v>TPAIS</v>
      </c>
      <c r="G32" s="629" t="s">
        <v>3603</v>
      </c>
      <c r="H32" s="2767">
        <f>T32/(K32*I32*1000)/M32</f>
        <v>1.3753198331452254E-3</v>
      </c>
      <c r="I32" s="1826">
        <f>I8</f>
        <v>120</v>
      </c>
      <c r="J32" s="2764">
        <f>J24</f>
        <v>8.8000000000000007</v>
      </c>
      <c r="K32" s="2772">
        <f>K24</f>
        <v>2800000</v>
      </c>
      <c r="L32" s="234"/>
      <c r="M32" s="234">
        <v>1</v>
      </c>
      <c r="N32" s="234"/>
      <c r="O32" s="234"/>
      <c r="P32" s="2757">
        <v>1E-3</v>
      </c>
      <c r="Q32" s="1037">
        <v>30</v>
      </c>
      <c r="R32" s="1037">
        <v>4.0971295478940781E-2</v>
      </c>
      <c r="T32" s="2382">
        <f>W32*1000000</f>
        <v>462107463.93679571</v>
      </c>
      <c r="V32" s="2378" t="str">
        <f>V24</f>
        <v>TPAIS</v>
      </c>
      <c r="W32" s="2188">
        <f>Dem!H39</f>
        <v>462.10746393679568</v>
      </c>
      <c r="X32" s="12">
        <f t="shared" si="2"/>
        <v>462.1074639367958</v>
      </c>
      <c r="Y32" s="250">
        <f>H32*1/J32*P32*M32*K32</f>
        <v>0.43760176509166265</v>
      </c>
      <c r="AB32" s="3"/>
      <c r="AC32" s="3"/>
      <c r="AD32" s="3"/>
    </row>
    <row r="33" spans="1:30">
      <c r="B33" s="697" t="str">
        <f>B32</f>
        <v>SE4</v>
      </c>
      <c r="C33" s="234" t="str">
        <f>Processes!$D$26</f>
        <v>TPAIKENA2E</v>
      </c>
      <c r="D33" s="234" t="str">
        <f>Processes!$E$26</f>
        <v>Transport Passengers Air International - Blending 1 - Long distance Existing</v>
      </c>
      <c r="E33" s="697" t="str">
        <f>Commodities!$D$95</f>
        <v>TRAKEIN1</v>
      </c>
      <c r="F33" s="234" t="str">
        <f>Commodities!$D$36</f>
        <v>TPAIL</v>
      </c>
      <c r="G33" s="629" t="s">
        <v>3603</v>
      </c>
      <c r="H33" s="2767">
        <f>T33/(K33*I33*1000)/M33</f>
        <v>3.2090796106721922E-3</v>
      </c>
      <c r="I33" s="1826">
        <v>120</v>
      </c>
      <c r="J33" s="2764">
        <v>8.8000000000000007</v>
      </c>
      <c r="K33" s="2757">
        <f>$C$59</f>
        <v>2800000</v>
      </c>
      <c r="L33" s="629"/>
      <c r="M33" s="629">
        <v>1</v>
      </c>
      <c r="N33" s="234"/>
      <c r="O33" s="234"/>
      <c r="P33" s="2757">
        <v>1E-3</v>
      </c>
      <c r="Q33" s="1037">
        <v>30</v>
      </c>
      <c r="R33" s="1037">
        <v>4.0971295478940781E-2</v>
      </c>
      <c r="T33" s="2382">
        <f>W33*1000000</f>
        <v>1078250749.1858566</v>
      </c>
      <c r="V33" s="2378" t="str">
        <f>V25</f>
        <v>TPAIL</v>
      </c>
      <c r="W33" s="2188">
        <f>Dem!H40</f>
        <v>1078.2507491858566</v>
      </c>
      <c r="X33" s="12">
        <f t="shared" si="2"/>
        <v>1078.2507491858564</v>
      </c>
      <c r="Y33" s="250">
        <f>H33*1/J33*P33*M33*K33</f>
        <v>1.0210707852138792</v>
      </c>
      <c r="Z33" s="2106"/>
      <c r="AB33" s="2378">
        <f>Dem!C64</f>
        <v>0</v>
      </c>
      <c r="AC33" s="2378"/>
      <c r="AD33" s="12">
        <f>Y33+Y44+Y51+Y58</f>
        <v>17.727044559991175</v>
      </c>
    </row>
    <row r="34" spans="1:30">
      <c r="A34" s="754"/>
      <c r="B34" s="697" t="s">
        <v>604</v>
      </c>
      <c r="C34" s="234" t="str">
        <f>Processes!$D$24</f>
        <v>TPANAGSL1E</v>
      </c>
      <c r="D34" s="234" t="str">
        <f>Processes!$E$24</f>
        <v>Transport Passengers Air National - Aviation gasoline - Existing</v>
      </c>
      <c r="E34" s="629" t="str">
        <f>Commodities!$D$69</f>
        <v>TRAAGSL</v>
      </c>
      <c r="F34" s="234" t="str">
        <f>Commodities!$D$34</f>
        <v>TPANV</v>
      </c>
      <c r="G34" s="629" t="s">
        <v>3603</v>
      </c>
      <c r="H34" s="2767">
        <f>T34/(K34*I34*1000)/M34</f>
        <v>1.1136798782984596</v>
      </c>
      <c r="I34" s="1147">
        <f>I10</f>
        <v>2.2641140000000002</v>
      </c>
      <c r="J34" s="2764">
        <f t="shared" ref="J34:K34" si="6">J26</f>
        <v>111.7</v>
      </c>
      <c r="K34" s="2772">
        <f t="shared" si="6"/>
        <v>8145</v>
      </c>
      <c r="L34" s="629"/>
      <c r="M34" s="629">
        <v>1</v>
      </c>
      <c r="N34" s="234"/>
      <c r="O34" s="234"/>
      <c r="P34" s="2757">
        <v>1E-3</v>
      </c>
      <c r="Q34" s="1037">
        <v>30</v>
      </c>
      <c r="R34" s="1037">
        <v>1.0242823869735195E-3</v>
      </c>
      <c r="T34" s="2382">
        <f>W31*1000000-T31</f>
        <v>20537602.871366918</v>
      </c>
      <c r="X34" s="12">
        <f t="shared" si="2"/>
        <v>20.537602871366918</v>
      </c>
      <c r="Y34" s="250">
        <f>H34*1/J34*P34*M34*K34</f>
        <v>8.1207901600187579E-2</v>
      </c>
      <c r="AB34" s="3"/>
      <c r="AC34" s="3"/>
      <c r="AD34" s="3"/>
    </row>
    <row r="35" spans="1:30">
      <c r="A35" s="754"/>
      <c r="B35" s="697" t="s">
        <v>604</v>
      </c>
      <c r="C35" s="234" t="str">
        <f>Processes!$D$22</f>
        <v>TPSIHFOX1E</v>
      </c>
      <c r="D35" s="234" t="str">
        <f>Processes!$E$22</f>
        <v>Transport Passengers Sea International - Existing</v>
      </c>
      <c r="E35" s="697" t="str">
        <f>E27</f>
        <v>TRAOILBL1N</v>
      </c>
      <c r="F35" s="234" t="str">
        <f>Commodities!$D$33</f>
        <v>TPSIH</v>
      </c>
      <c r="G35" s="629" t="s">
        <v>3603</v>
      </c>
      <c r="H35" s="2767">
        <f>T35/(K35*I35*1000)/M35</f>
        <v>5.884948051898261E-2</v>
      </c>
      <c r="I35" s="1826">
        <f>I11</f>
        <v>325.74299999999999</v>
      </c>
      <c r="J35" s="2764">
        <v>13.3647790198218</v>
      </c>
      <c r="K35" s="2772">
        <f>K19</f>
        <v>220565.19204237123</v>
      </c>
      <c r="L35" s="2773">
        <f>L27</f>
        <v>0.5</v>
      </c>
      <c r="M35" s="2774">
        <v>1</v>
      </c>
      <c r="N35" s="234">
        <v>5</v>
      </c>
      <c r="O35" s="234">
        <v>5</v>
      </c>
      <c r="P35" s="2757">
        <v>1E-3</v>
      </c>
      <c r="Q35" s="1037">
        <v>28</v>
      </c>
      <c r="R35" s="1037">
        <v>3.7164522307877547E-3</v>
      </c>
      <c r="T35" s="2382">
        <f>W35*1000000</f>
        <v>4228192015.185926</v>
      </c>
      <c r="V35" s="2378" t="str">
        <f>V27</f>
        <v>TPSIH</v>
      </c>
      <c r="W35" s="2188">
        <f>Dem!H37</f>
        <v>4228.1920151859258</v>
      </c>
      <c r="X35" s="12">
        <f t="shared" si="2"/>
        <v>4228.1920151859258</v>
      </c>
      <c r="Y35" s="250">
        <f>H35*1/J35*P35*M35*K35</f>
        <v>0.97122047083695484</v>
      </c>
      <c r="AB35" s="3"/>
      <c r="AC35" s="3"/>
      <c r="AD35" s="3"/>
    </row>
    <row r="36" spans="1:30">
      <c r="A36" s="754"/>
      <c r="B36" s="697" t="s">
        <v>604</v>
      </c>
      <c r="C36" s="234"/>
      <c r="D36" s="234"/>
      <c r="E36" s="697" t="str">
        <f>E28</f>
        <v>TRAHFON</v>
      </c>
      <c r="F36" s="2768" t="str">
        <f>Commodities!$D$50</f>
        <v>TFSIH</v>
      </c>
      <c r="G36" s="629" t="s">
        <v>3603</v>
      </c>
      <c r="H36" s="2769"/>
      <c r="I36" s="1826"/>
      <c r="J36" s="2764"/>
      <c r="K36" s="2772"/>
      <c r="L36" s="2773">
        <f>L28</f>
        <v>0.5</v>
      </c>
      <c r="M36" s="2775">
        <f>1-M35</f>
        <v>0</v>
      </c>
      <c r="N36" s="234">
        <v>5</v>
      </c>
      <c r="O36" s="234">
        <v>5</v>
      </c>
      <c r="P36" s="2757"/>
      <c r="Q36" s="1037"/>
      <c r="R36" s="1037"/>
      <c r="T36" s="2383"/>
      <c r="V36" s="2378"/>
      <c r="X36" s="12"/>
      <c r="Y36" s="250"/>
      <c r="AB36" s="3"/>
      <c r="AC36" s="3"/>
      <c r="AD36" s="3"/>
    </row>
    <row r="37" spans="1:30">
      <c r="A37" s="754"/>
      <c r="B37" s="697" t="s">
        <v>604</v>
      </c>
      <c r="C37" s="234" t="str">
        <f>Processes!$D$21</f>
        <v>TPSNDSBL1E</v>
      </c>
      <c r="D37" s="234" t="str">
        <f>Processes!$E$21</f>
        <v>Transport Passengers Sea National - Existing</v>
      </c>
      <c r="E37" s="697" t="str">
        <f>E29</f>
        <v>TRAOILBL1N</v>
      </c>
      <c r="F37" s="234" t="str">
        <f>Commodities!$D$32</f>
        <v>TPSNH</v>
      </c>
      <c r="G37" s="629" t="s">
        <v>3603</v>
      </c>
      <c r="H37" s="2767">
        <f>T37/(K37*I37*1000)/M37</f>
        <v>3.0752551441416903E-2</v>
      </c>
      <c r="I37" s="1826">
        <f>I13</f>
        <v>30.0229</v>
      </c>
      <c r="J37" s="1627">
        <f>J29</f>
        <v>8.3529868873886493</v>
      </c>
      <c r="K37" s="2772">
        <v>99555</v>
      </c>
      <c r="L37" s="2773">
        <f>L29</f>
        <v>0.16666666666666666</v>
      </c>
      <c r="M37" s="2776">
        <v>1</v>
      </c>
      <c r="N37" s="234">
        <v>5</v>
      </c>
      <c r="O37" s="234">
        <v>5</v>
      </c>
      <c r="P37" s="2757">
        <v>1E-3</v>
      </c>
      <c r="Q37" s="1037">
        <v>28</v>
      </c>
      <c r="R37" s="1037">
        <v>2.1516302388771211E-3</v>
      </c>
      <c r="T37" s="2382">
        <f>W37*1000000</f>
        <v>91917217.721433178</v>
      </c>
      <c r="V37" s="2378" t="str">
        <f>V29</f>
        <v>TPSNH</v>
      </c>
      <c r="W37" s="2183">
        <f>Dem!H36</f>
        <v>91.917217721433175</v>
      </c>
      <c r="X37" s="12">
        <f>H37*P37*M37*K37*I37</f>
        <v>91.917217721433161</v>
      </c>
      <c r="Y37" s="250">
        <f>H37*1/J37*P37*M37*K37</f>
        <v>0.36652401111423061</v>
      </c>
      <c r="AB37" s="3"/>
      <c r="AC37" s="3"/>
      <c r="AD37" s="3"/>
    </row>
    <row r="38" spans="1:30">
      <c r="A38" s="754"/>
      <c r="B38" s="736" t="s">
        <v>604</v>
      </c>
      <c r="C38" s="404"/>
      <c r="D38" s="404"/>
      <c r="E38" s="697" t="str">
        <f>E30</f>
        <v>TRAHFON</v>
      </c>
      <c r="F38" s="2770" t="str">
        <f>Commodities!$D$49</f>
        <v>TFSNH</v>
      </c>
      <c r="G38" s="404" t="s">
        <v>3603</v>
      </c>
      <c r="H38" s="404"/>
      <c r="I38" s="2785"/>
      <c r="J38" s="2431"/>
      <c r="K38" s="2786"/>
      <c r="L38" s="2777">
        <f>L30</f>
        <v>0.83333333333333337</v>
      </c>
      <c r="M38" s="2778">
        <f>1-M37</f>
        <v>0</v>
      </c>
      <c r="N38" s="404">
        <v>5</v>
      </c>
      <c r="O38" s="404">
        <v>5</v>
      </c>
      <c r="P38" s="2766"/>
      <c r="Q38" s="2765"/>
      <c r="R38" s="2765"/>
      <c r="T38" s="2383"/>
      <c r="V38" s="2381"/>
      <c r="W38" s="23"/>
      <c r="X38" s="12"/>
      <c r="Y38" s="33"/>
      <c r="AB38" s="3"/>
      <c r="AC38" s="3"/>
      <c r="AD38" s="3"/>
    </row>
    <row r="39" spans="1:30">
      <c r="A39" s="754"/>
      <c r="AB39" s="3"/>
      <c r="AC39" s="3"/>
      <c r="AD39" s="3"/>
    </row>
    <row r="40" spans="1:30">
      <c r="A40" s="754"/>
      <c r="F40" s="866" t="s">
        <v>3214</v>
      </c>
      <c r="G40" s="304"/>
      <c r="H40" s="304"/>
      <c r="I40" s="304"/>
      <c r="J40" s="304"/>
      <c r="T40" s="784">
        <f>SUM(T7:T39)</f>
        <v>45043509000.000008</v>
      </c>
      <c r="W40" s="754">
        <f>SUM(W7:W39)</f>
        <v>45043.508999999991</v>
      </c>
      <c r="X40" s="754">
        <f>SUM(X7:X39)</f>
        <v>45043.508999999991</v>
      </c>
      <c r="AB40" s="3"/>
      <c r="AC40" s="3"/>
      <c r="AD40" s="3"/>
    </row>
    <row r="41" spans="1:30">
      <c r="A41" s="754"/>
      <c r="F41" s="304"/>
      <c r="G41" s="304"/>
      <c r="H41" s="304"/>
      <c r="I41" s="866" t="s">
        <v>3272</v>
      </c>
      <c r="J41" s="304">
        <v>1.75</v>
      </c>
      <c r="AB41" s="3"/>
      <c r="AC41" s="3"/>
      <c r="AD41" s="3"/>
    </row>
    <row r="42" spans="1:30">
      <c r="A42" s="754"/>
      <c r="F42" s="304"/>
      <c r="G42" s="304"/>
      <c r="H42" s="304"/>
      <c r="I42" s="866" t="s">
        <v>3273</v>
      </c>
      <c r="J42" s="1101">
        <f>'Freight NAVI_AVI'!I32</f>
        <v>0.16666666666666666</v>
      </c>
      <c r="AB42" s="3"/>
      <c r="AC42" s="3"/>
      <c r="AD42" s="3"/>
    </row>
    <row r="43" spans="1:30">
      <c r="A43" s="754"/>
      <c r="F43" s="866" t="s">
        <v>3215</v>
      </c>
      <c r="G43" s="304"/>
      <c r="H43" s="304"/>
      <c r="I43" s="304"/>
      <c r="J43" s="304"/>
      <c r="AB43" s="3"/>
      <c r="AC43" s="3"/>
      <c r="AD43" s="3"/>
    </row>
    <row r="44" spans="1:30">
      <c r="A44" s="754"/>
      <c r="AB44" s="3"/>
      <c r="AC44" s="3"/>
      <c r="AD44" s="3"/>
    </row>
    <row r="45" spans="1:30">
      <c r="A45" s="754"/>
      <c r="AB45" s="3"/>
      <c r="AC45" s="3"/>
      <c r="AD45" s="3"/>
    </row>
    <row r="46" spans="1:30">
      <c r="A46" s="754"/>
      <c r="F46" s="38" t="s">
        <v>2689</v>
      </c>
      <c r="G46" s="38"/>
      <c r="AB46" s="3"/>
      <c r="AC46" s="3"/>
      <c r="AD46" s="3"/>
    </row>
    <row r="47" spans="1:30">
      <c r="A47" s="754"/>
      <c r="AB47" s="3"/>
      <c r="AC47" s="3"/>
      <c r="AD47" s="3"/>
    </row>
    <row r="48" spans="1:30">
      <c r="A48" s="754"/>
      <c r="V48" s="565" t="s">
        <v>2459</v>
      </c>
      <c r="W48" s="3"/>
      <c r="X48" s="3"/>
      <c r="Y48" s="3"/>
      <c r="Z48" s="3"/>
      <c r="AA48" s="3"/>
      <c r="AB48" s="3"/>
      <c r="AC48" s="3"/>
      <c r="AD48" s="3"/>
    </row>
    <row r="49" spans="1:30" ht="13.8">
      <c r="A49" s="754"/>
      <c r="G49" s="754" t="s">
        <v>3220</v>
      </c>
      <c r="H49" s="2375">
        <f>SUM(H11:H14)+SUM(H19:H22)+SUM(H27:H30)+SUM(H35:H38)</f>
        <v>0.22363363323720367</v>
      </c>
      <c r="I49" s="754">
        <f>H49*1000</f>
        <v>223.63363323720367</v>
      </c>
      <c r="V49" s="2112" t="s">
        <v>2415</v>
      </c>
      <c r="Z49" s="3"/>
      <c r="AA49" s="3"/>
      <c r="AB49" s="3"/>
      <c r="AC49" s="3"/>
      <c r="AD49" s="3"/>
    </row>
    <row r="50" spans="1:30" ht="13.8">
      <c r="A50" s="754"/>
      <c r="V50" s="2113" t="s">
        <v>2416</v>
      </c>
      <c r="W50" s="30" t="s">
        <v>2417</v>
      </c>
      <c r="X50" s="30" t="s">
        <v>2418</v>
      </c>
      <c r="Y50" s="2114" t="s">
        <v>2419</v>
      </c>
      <c r="Z50" s="3"/>
      <c r="AA50" s="3"/>
      <c r="AB50" s="3"/>
      <c r="AC50" s="3"/>
      <c r="AD50" s="3"/>
    </row>
    <row r="51" spans="1:30" ht="12.75" customHeight="1">
      <c r="A51" s="754"/>
      <c r="E51" s="543"/>
      <c r="F51" s="543"/>
      <c r="G51" s="543"/>
      <c r="H51" s="543"/>
      <c r="V51" s="22" t="s">
        <v>2420</v>
      </c>
      <c r="W51" s="317">
        <v>184.45600000000002</v>
      </c>
      <c r="X51" s="73">
        <v>6.1438434191449121</v>
      </c>
      <c r="Y51" s="1610">
        <v>16.705973774777295</v>
      </c>
      <c r="Z51" s="3"/>
      <c r="AA51" s="3"/>
      <c r="AB51" s="3"/>
      <c r="AC51" s="3"/>
      <c r="AD51" s="3"/>
    </row>
    <row r="52" spans="1:30">
      <c r="A52" s="754"/>
      <c r="E52" s="543"/>
      <c r="F52" s="543"/>
      <c r="G52" s="543"/>
      <c r="H52" s="543"/>
      <c r="V52" s="22" t="s">
        <v>2267</v>
      </c>
      <c r="W52" s="317">
        <v>1949</v>
      </c>
      <c r="X52" s="73">
        <v>14.634585936213885</v>
      </c>
      <c r="Y52" s="35"/>
      <c r="Z52" s="3"/>
      <c r="AA52" s="3"/>
      <c r="AB52" s="3"/>
      <c r="AC52" s="3"/>
      <c r="AD52" s="3"/>
    </row>
    <row r="53" spans="1:30">
      <c r="A53" s="754"/>
      <c r="B53" s="38" t="s">
        <v>2459</v>
      </c>
      <c r="E53" s="543"/>
      <c r="F53" s="467"/>
      <c r="G53" s="467"/>
      <c r="H53" s="543"/>
      <c r="V53" s="22" t="s">
        <v>2421</v>
      </c>
      <c r="W53" s="317">
        <v>1481.4</v>
      </c>
      <c r="X53" s="73">
        <v>4.547759637848948</v>
      </c>
      <c r="Y53" s="1610"/>
      <c r="Z53" s="3"/>
      <c r="AA53" s="3"/>
      <c r="AB53" s="3"/>
      <c r="AC53" s="3"/>
      <c r="AD53" s="3"/>
    </row>
    <row r="54" spans="1:30">
      <c r="A54" s="754"/>
      <c r="B54" s="1602" t="s">
        <v>2450</v>
      </c>
      <c r="C54" s="30"/>
      <c r="D54" s="30"/>
      <c r="E54" s="543"/>
      <c r="F54" s="467"/>
      <c r="G54" s="467"/>
      <c r="H54" s="467"/>
      <c r="V54" s="22" t="s">
        <v>2268</v>
      </c>
      <c r="W54" s="317">
        <v>48140.793353094996</v>
      </c>
      <c r="X54" s="73">
        <v>83.814772976101068</v>
      </c>
      <c r="Y54" s="35"/>
      <c r="Z54" s="3"/>
      <c r="AA54" s="3"/>
      <c r="AB54" s="3"/>
      <c r="AC54" s="3"/>
      <c r="AD54" s="3"/>
    </row>
    <row r="55" spans="1:30">
      <c r="A55" s="754"/>
      <c r="B55" s="2008" t="s">
        <v>2451</v>
      </c>
      <c r="C55" s="543">
        <v>3500</v>
      </c>
      <c r="D55" s="467" t="s">
        <v>2452</v>
      </c>
      <c r="E55" s="467"/>
      <c r="F55" s="543"/>
      <c r="G55" s="543"/>
      <c r="H55" s="543"/>
      <c r="V55" s="22" t="s">
        <v>2422</v>
      </c>
      <c r="W55" s="317">
        <v>454.72050255193255</v>
      </c>
      <c r="X55" s="73">
        <v>18.946687606330524</v>
      </c>
      <c r="Y55" s="1610">
        <v>10.536825612205124</v>
      </c>
      <c r="Z55" s="3"/>
      <c r="AA55" s="3"/>
      <c r="AB55" s="3"/>
      <c r="AC55" s="3"/>
      <c r="AD55" s="3"/>
    </row>
    <row r="56" spans="1:30">
      <c r="A56" s="754"/>
      <c r="B56" s="2008" t="s">
        <v>2453</v>
      </c>
      <c r="C56" s="543">
        <v>500</v>
      </c>
      <c r="D56" s="467" t="s">
        <v>2454</v>
      </c>
      <c r="E56" s="467"/>
      <c r="F56" s="543"/>
      <c r="G56" s="543"/>
      <c r="H56" s="543"/>
      <c r="V56" s="3" t="s">
        <v>2423</v>
      </c>
      <c r="W56" s="784">
        <v>16.834475544107885</v>
      </c>
      <c r="X56" s="73">
        <v>7.4353487229702369</v>
      </c>
      <c r="Y56" s="1610">
        <v>111.69218451209609</v>
      </c>
      <c r="Z56" s="3"/>
      <c r="AA56" s="3"/>
      <c r="AB56" s="3"/>
      <c r="AC56" s="3"/>
      <c r="AD56" s="3"/>
    </row>
    <row r="57" spans="1:30">
      <c r="A57" s="754"/>
      <c r="B57" s="2008" t="s">
        <v>2455</v>
      </c>
      <c r="C57" s="543">
        <v>800</v>
      </c>
      <c r="D57" s="467" t="s">
        <v>2454</v>
      </c>
      <c r="E57" s="2108"/>
      <c r="F57" s="2108"/>
      <c r="G57" s="2108"/>
      <c r="H57" s="543"/>
      <c r="V57" s="22" t="s">
        <v>2424</v>
      </c>
      <c r="W57" s="317">
        <v>36388</v>
      </c>
      <c r="X57" s="73">
        <v>425.47658713933816</v>
      </c>
      <c r="Y57" s="1610">
        <v>12.536942336309584</v>
      </c>
      <c r="Z57" s="3"/>
      <c r="AA57" s="3"/>
      <c r="AB57" s="3"/>
      <c r="AC57" s="3"/>
      <c r="AD57" s="3"/>
    </row>
    <row r="58" spans="1:30">
      <c r="A58" s="754"/>
      <c r="B58" s="1554" t="s">
        <v>2456</v>
      </c>
      <c r="C58" s="543">
        <f>C55*C56</f>
        <v>1750000</v>
      </c>
      <c r="D58" s="565" t="s">
        <v>2457</v>
      </c>
      <c r="E58" s="2108"/>
      <c r="F58" s="467"/>
      <c r="G58" s="467"/>
      <c r="H58" s="543"/>
      <c r="S58" s="765"/>
      <c r="V58" s="461" t="s">
        <v>2269</v>
      </c>
      <c r="W58" s="317">
        <v>631.8048</v>
      </c>
      <c r="X58" s="1606">
        <v>7.8975600000000004</v>
      </c>
      <c r="Y58" s="426"/>
      <c r="Z58" s="3"/>
      <c r="AA58" s="3"/>
      <c r="AB58" s="3"/>
      <c r="AC58" s="3"/>
      <c r="AD58" s="3"/>
    </row>
    <row r="59" spans="1:30">
      <c r="A59" s="754"/>
      <c r="B59" s="1555" t="s">
        <v>2458</v>
      </c>
      <c r="C59" s="23">
        <f>C55*C57</f>
        <v>2800000</v>
      </c>
      <c r="D59" s="577" t="s">
        <v>2457</v>
      </c>
      <c r="E59" s="543"/>
      <c r="F59" s="467"/>
      <c r="G59" s="467"/>
      <c r="H59" s="467"/>
      <c r="V59" s="3"/>
      <c r="W59" s="2097"/>
      <c r="X59" s="1329"/>
      <c r="Y59" s="3"/>
      <c r="Z59" s="3"/>
      <c r="AA59" s="3"/>
      <c r="AB59" s="3"/>
      <c r="AC59" s="3"/>
      <c r="AD59" s="3"/>
    </row>
    <row r="60" spans="1:30" ht="13.8" thickBot="1">
      <c r="A60" s="754"/>
      <c r="B60" s="1554" t="s">
        <v>2459</v>
      </c>
      <c r="E60" s="467"/>
      <c r="F60" s="543"/>
      <c r="G60" s="543"/>
      <c r="H60" s="543"/>
      <c r="V60" s="3"/>
      <c r="W60" s="3"/>
      <c r="X60" s="3"/>
      <c r="Y60" s="3"/>
      <c r="Z60" s="3"/>
      <c r="AA60" s="3"/>
      <c r="AB60" s="3"/>
      <c r="AC60" s="3"/>
      <c r="AD60" s="3"/>
    </row>
    <row r="61" spans="1:30">
      <c r="A61" s="754"/>
      <c r="B61" s="1533" t="s">
        <v>2495</v>
      </c>
      <c r="C61" s="1118"/>
      <c r="D61" s="1118"/>
      <c r="E61" s="467"/>
      <c r="F61" s="543"/>
      <c r="G61" s="543"/>
      <c r="H61" s="543"/>
      <c r="V61" s="193"/>
      <c r="W61" s="30" t="s">
        <v>188</v>
      </c>
      <c r="X61" s="30" t="s">
        <v>200</v>
      </c>
      <c r="Y61" s="30" t="s">
        <v>16</v>
      </c>
      <c r="Z61" s="30" t="s">
        <v>533</v>
      </c>
      <c r="AA61" s="2114" t="s">
        <v>44</v>
      </c>
      <c r="AB61" s="3"/>
      <c r="AC61" s="3"/>
      <c r="AD61" s="3"/>
    </row>
    <row r="62" spans="1:30">
      <c r="B62" s="1108" t="s">
        <v>2496</v>
      </c>
      <c r="C62" s="467" t="s">
        <v>2497</v>
      </c>
      <c r="D62" s="467">
        <v>0.62655553476850034</v>
      </c>
      <c r="E62" s="543"/>
      <c r="F62" s="543"/>
      <c r="G62" s="543"/>
      <c r="H62" s="543"/>
      <c r="V62" s="22"/>
      <c r="W62" s="543" t="s">
        <v>153</v>
      </c>
      <c r="X62" s="543" t="s">
        <v>2425</v>
      </c>
      <c r="Y62" s="543" t="s">
        <v>2426</v>
      </c>
      <c r="Z62" s="543" t="s">
        <v>84</v>
      </c>
      <c r="AA62" s="2115">
        <f>SUM(AA63:AA70)</f>
        <v>6.7726680587035979</v>
      </c>
      <c r="AB62" s="3"/>
      <c r="AC62" s="3"/>
      <c r="AD62" s="3"/>
    </row>
    <row r="63" spans="1:30" ht="15.6">
      <c r="B63" s="2173" t="s">
        <v>2498</v>
      </c>
      <c r="C63" s="467" t="s">
        <v>2499</v>
      </c>
      <c r="D63" s="467">
        <v>22</v>
      </c>
      <c r="E63" s="543"/>
      <c r="F63" s="543"/>
      <c r="G63" s="543"/>
      <c r="H63" s="543"/>
      <c r="I63" s="543"/>
      <c r="J63" s="2174"/>
      <c r="K63" s="272"/>
      <c r="L63" s="272"/>
      <c r="M63" s="543"/>
      <c r="V63" s="22" t="s">
        <v>2427</v>
      </c>
      <c r="W63" s="272">
        <v>5.9440582849868825E-3</v>
      </c>
      <c r="X63" s="317">
        <v>325.74280920015593</v>
      </c>
      <c r="Y63" s="277">
        <f>Y51*1.04</f>
        <v>17.374212725768388</v>
      </c>
      <c r="Z63" s="317">
        <v>220565.19204237123</v>
      </c>
      <c r="AA63" s="1610">
        <f t="shared" ref="AA63:AA70" si="7">W63*1/Y63*Z63*0.001</f>
        <v>7.5459669904622814E-2</v>
      </c>
      <c r="AB63" s="3"/>
      <c r="AC63" s="3"/>
      <c r="AD63" s="3"/>
    </row>
    <row r="64" spans="1:30">
      <c r="B64" s="1108" t="s">
        <v>2500</v>
      </c>
      <c r="C64" s="467" t="s">
        <v>2501</v>
      </c>
      <c r="D64" s="467">
        <v>1.8520000000000001</v>
      </c>
      <c r="E64" s="543"/>
      <c r="F64" s="543"/>
      <c r="G64" s="543"/>
      <c r="H64" s="543"/>
      <c r="I64" s="543"/>
      <c r="J64" s="543"/>
      <c r="K64" s="543"/>
      <c r="L64" s="543"/>
      <c r="M64" s="543"/>
      <c r="V64" s="22" t="s">
        <v>2427</v>
      </c>
      <c r="W64" s="272">
        <v>2.8653208812827763E-2</v>
      </c>
      <c r="X64" s="317">
        <v>325.74280920015593</v>
      </c>
      <c r="Y64" s="277">
        <f>Y51</f>
        <v>16.705973774777295</v>
      </c>
      <c r="Z64" s="317">
        <v>220565.19204237123</v>
      </c>
      <c r="AA64" s="1610">
        <f t="shared" si="7"/>
        <v>0.3783018332025227</v>
      </c>
      <c r="AB64" s="3"/>
      <c r="AC64" s="3"/>
      <c r="AD64" s="3"/>
    </row>
    <row r="65" spans="1:30" ht="13.8" thickBot="1">
      <c r="B65" s="1654" t="s">
        <v>84</v>
      </c>
      <c r="C65" s="2176" t="s">
        <v>314</v>
      </c>
      <c r="D65" s="2176">
        <v>220565.19204237123</v>
      </c>
      <c r="E65" s="543"/>
      <c r="F65" s="543"/>
      <c r="G65" s="543"/>
      <c r="H65" s="543"/>
      <c r="I65" s="543"/>
      <c r="J65" s="543"/>
      <c r="K65" s="543"/>
      <c r="L65" s="543"/>
      <c r="M65" s="543"/>
      <c r="V65" s="22" t="s">
        <v>2428</v>
      </c>
      <c r="W65" s="272">
        <v>4.2016402285639937E-2</v>
      </c>
      <c r="X65" s="317">
        <v>30.022900555247588</v>
      </c>
      <c r="Y65" s="277">
        <f>Y51</f>
        <v>16.705973774777295</v>
      </c>
      <c r="Z65" s="317">
        <v>99555.006368801944</v>
      </c>
      <c r="AA65" s="1610">
        <f t="shared" si="7"/>
        <v>0.25038607467805579</v>
      </c>
      <c r="AB65" s="3"/>
      <c r="AC65" s="3"/>
      <c r="AD65" s="3"/>
    </row>
    <row r="66" spans="1:30">
      <c r="V66" s="22" t="s">
        <v>2428</v>
      </c>
      <c r="W66" s="272">
        <v>4.4983597714360064E-2</v>
      </c>
      <c r="X66" s="317">
        <v>30.022900555247588</v>
      </c>
      <c r="Y66" s="277">
        <f>Y51*1.04</f>
        <v>17.374212725768388</v>
      </c>
      <c r="Z66" s="317">
        <v>99555.006368801958</v>
      </c>
      <c r="AA66" s="1610">
        <f t="shared" si="7"/>
        <v>0.25775800190950432</v>
      </c>
      <c r="AB66" s="3"/>
      <c r="AC66" s="3"/>
      <c r="AD66" s="3"/>
    </row>
    <row r="67" spans="1:30" ht="17.399999999999999">
      <c r="A67" s="3"/>
      <c r="B67" s="3"/>
      <c r="C67" s="3"/>
      <c r="D67" s="3"/>
      <c r="E67" s="3"/>
      <c r="F67" s="3"/>
      <c r="G67" s="3"/>
      <c r="H67" s="2182"/>
      <c r="I67" s="2183"/>
      <c r="J67" s="2183"/>
      <c r="K67" s="2183"/>
      <c r="L67" s="2183"/>
      <c r="M67" s="3"/>
      <c r="N67" s="2182"/>
      <c r="O67" s="2182"/>
      <c r="P67" s="2182"/>
      <c r="Q67" s="2182"/>
      <c r="R67" s="2182"/>
      <c r="S67" s="2182"/>
      <c r="T67" s="2182"/>
      <c r="V67" s="22" t="s">
        <v>2429</v>
      </c>
      <c r="W67" s="272">
        <v>9.0329673135852898E-2</v>
      </c>
      <c r="X67" s="317">
        <v>133.17766614613396</v>
      </c>
      <c r="Y67" s="277">
        <f>16.7059737747773*3</f>
        <v>50.117921324331896</v>
      </c>
      <c r="Z67" s="317">
        <v>99555.006368801944</v>
      </c>
      <c r="AA67" s="1610">
        <f t="shared" si="7"/>
        <v>0.17943224592528553</v>
      </c>
      <c r="AB67" s="3"/>
      <c r="AC67" s="3"/>
      <c r="AD67" s="3"/>
    </row>
    <row r="68" spans="1:30" ht="14.4">
      <c r="A68" s="3"/>
      <c r="B68" s="2184"/>
      <c r="C68" s="2184"/>
      <c r="D68" s="2184"/>
      <c r="E68" s="2184"/>
      <c r="F68" s="2184"/>
      <c r="G68" s="2184"/>
      <c r="H68" s="2183"/>
      <c r="I68" s="2184"/>
      <c r="J68" s="2184"/>
      <c r="K68" s="2184"/>
      <c r="L68" s="2184"/>
      <c r="M68" s="3"/>
      <c r="N68" s="2185"/>
      <c r="O68" s="3"/>
      <c r="P68" s="2186"/>
      <c r="Q68" s="2186"/>
      <c r="R68" s="2187"/>
      <c r="S68" s="2187"/>
      <c r="T68" s="2187"/>
      <c r="V68" s="22" t="s">
        <v>2430</v>
      </c>
      <c r="W68" s="272">
        <v>0.12304792288505004</v>
      </c>
      <c r="X68" s="317">
        <v>574.37121934127117</v>
      </c>
      <c r="Y68" s="277">
        <f>16.7059737747773/1.1</f>
        <v>15.187248886161179</v>
      </c>
      <c r="Z68" s="317">
        <v>220565.19204237123</v>
      </c>
      <c r="AA68" s="1610">
        <f t="shared" si="7"/>
        <v>1.7870312750511617</v>
      </c>
      <c r="AB68" s="3"/>
      <c r="AC68" s="3"/>
      <c r="AD68" s="3"/>
    </row>
    <row r="69" spans="1:30" ht="14.4">
      <c r="A69" s="3"/>
      <c r="B69" s="2184"/>
      <c r="C69" s="2184"/>
      <c r="D69" s="2184"/>
      <c r="M69" s="3"/>
      <c r="N69" s="2185"/>
      <c r="O69" s="3"/>
      <c r="P69" s="2186"/>
      <c r="Q69" s="2186"/>
      <c r="R69" s="2187"/>
      <c r="S69" s="2187"/>
      <c r="T69" s="2187"/>
      <c r="V69" s="22" t="s">
        <v>2429</v>
      </c>
      <c r="W69" s="272">
        <v>5.6670326864147087E-2</v>
      </c>
      <c r="X69" s="317">
        <v>133.17766614613396</v>
      </c>
      <c r="Y69" s="277">
        <f>16.7059737747773*3</f>
        <v>50.117921324331896</v>
      </c>
      <c r="Z69" s="317">
        <v>99555.006368801958</v>
      </c>
      <c r="AA69" s="1610">
        <f t="shared" si="7"/>
        <v>0.11257080506934733</v>
      </c>
      <c r="AB69" s="3"/>
      <c r="AC69" s="3"/>
      <c r="AD69" s="3"/>
    </row>
    <row r="70" spans="1:30" ht="14.4">
      <c r="A70" s="3"/>
      <c r="B70" s="2188"/>
      <c r="C70" s="2188"/>
      <c r="D70" s="2188"/>
      <c r="H70" s="2184"/>
      <c r="M70" s="3"/>
      <c r="N70" s="2186"/>
      <c r="O70" s="2186"/>
      <c r="P70" s="2189"/>
      <c r="Q70" s="2189"/>
      <c r="R70" s="2190"/>
      <c r="S70" s="2190"/>
      <c r="T70" s="2190"/>
      <c r="V70" s="461" t="s">
        <v>2430</v>
      </c>
      <c r="W70" s="269">
        <v>0.25695207711494994</v>
      </c>
      <c r="X70" s="2116">
        <v>574.37121934127128</v>
      </c>
      <c r="Y70" s="33">
        <f>16.7059737747773/1.1</f>
        <v>15.187248886161179</v>
      </c>
      <c r="Z70" s="2116">
        <v>220565.19204237123</v>
      </c>
      <c r="AA70" s="2095">
        <f t="shared" si="7"/>
        <v>3.7317281529630977</v>
      </c>
      <c r="AB70" s="3"/>
      <c r="AC70" s="3"/>
      <c r="AD70" s="3"/>
    </row>
    <row r="71" spans="1:30" ht="17.399999999999999">
      <c r="A71" s="2182"/>
      <c r="B71" s="2188"/>
      <c r="C71" s="2188"/>
      <c r="D71" s="2188"/>
      <c r="H71" s="2184"/>
      <c r="M71" s="3"/>
      <c r="N71" s="2191"/>
      <c r="O71" s="2186"/>
      <c r="P71" s="2189"/>
      <c r="Q71" s="2189"/>
      <c r="R71" s="2190"/>
      <c r="S71" s="2190"/>
      <c r="T71" s="2190"/>
      <c r="AA71" s="250"/>
      <c r="AB71" s="3"/>
      <c r="AC71" s="3"/>
      <c r="AD71" s="3"/>
    </row>
    <row r="72" spans="1:30" ht="14.4">
      <c r="A72" s="2183"/>
      <c r="B72" s="2188"/>
      <c r="C72" s="2188"/>
      <c r="D72" s="2188"/>
      <c r="H72" s="2184"/>
      <c r="M72" s="3"/>
      <c r="N72" s="2191"/>
      <c r="O72" s="2186"/>
      <c r="P72" s="2189"/>
      <c r="Q72" s="2189"/>
      <c r="R72" s="2190"/>
      <c r="S72" s="2190"/>
      <c r="T72" s="2190"/>
      <c r="AA72" s="548">
        <f>SUM(AA73:AA76)</f>
        <v>33.935213649033322</v>
      </c>
      <c r="AB72" s="3"/>
      <c r="AC72" s="3"/>
      <c r="AD72" s="3"/>
    </row>
    <row r="73" spans="1:30" ht="14.4">
      <c r="A73" s="2184"/>
      <c r="B73" s="2188"/>
      <c r="C73" s="2188"/>
      <c r="D73" s="2188"/>
      <c r="E73" s="2188"/>
      <c r="F73" s="2188"/>
      <c r="G73" s="2188"/>
      <c r="H73" s="2184"/>
      <c r="I73" s="2188"/>
      <c r="J73" s="2188"/>
      <c r="K73" s="2188"/>
      <c r="L73" s="2188"/>
      <c r="M73" s="3"/>
      <c r="N73" s="2191"/>
      <c r="O73" s="2186"/>
      <c r="P73" s="2189"/>
      <c r="Q73" s="2189"/>
      <c r="R73" s="2190"/>
      <c r="S73" s="2190"/>
      <c r="T73" s="2190"/>
      <c r="V73" s="193" t="s">
        <v>2431</v>
      </c>
      <c r="W73" s="1659">
        <v>0.13195626006097516</v>
      </c>
      <c r="X73" s="2090">
        <v>85.52291970905415</v>
      </c>
      <c r="Y73" s="1599">
        <f>Y$55*1.212</f>
        <v>12.770632641992611</v>
      </c>
      <c r="Z73" s="2090">
        <v>2800000</v>
      </c>
      <c r="AA73" s="2117">
        <f>W73*1/Y73*Z73*0.001</f>
        <v>28.9318108607876</v>
      </c>
      <c r="AB73" s="3"/>
      <c r="AC73" s="3"/>
      <c r="AD73" s="3"/>
    </row>
    <row r="74" spans="1:30" ht="14.4">
      <c r="A74" s="2184"/>
      <c r="B74" s="2188"/>
      <c r="C74" s="2188"/>
      <c r="D74" s="2188"/>
      <c r="E74" s="2188"/>
      <c r="F74" s="2188"/>
      <c r="G74" s="2188"/>
      <c r="H74" s="2184"/>
      <c r="I74" s="2188"/>
      <c r="J74" s="2188"/>
      <c r="K74" s="2188"/>
      <c r="L74" s="2188"/>
      <c r="M74" s="3"/>
      <c r="N74" s="2191"/>
      <c r="O74" s="2186"/>
      <c r="P74" s="2189"/>
      <c r="Q74" s="2189"/>
      <c r="R74" s="2190"/>
      <c r="S74" s="2190"/>
      <c r="T74" s="2190"/>
      <c r="V74" s="22" t="s">
        <v>2431</v>
      </c>
      <c r="W74" s="2109">
        <v>1.9999663917359887E-2</v>
      </c>
      <c r="X74" s="2097">
        <v>85.52291970905415</v>
      </c>
      <c r="Y74" s="1599">
        <f>Y$55*1.212</f>
        <v>12.770632641992611</v>
      </c>
      <c r="Z74" s="2097">
        <v>2800000</v>
      </c>
      <c r="AA74" s="316">
        <f>W74*1/Y74*Z74*0.001</f>
        <v>4.3849870666916395</v>
      </c>
      <c r="AB74" s="3"/>
      <c r="AC74" s="3"/>
      <c r="AD74" s="3"/>
    </row>
    <row r="75" spans="1:30" ht="14.4">
      <c r="A75" s="2184"/>
      <c r="B75" s="2188"/>
      <c r="C75" s="2188"/>
      <c r="D75" s="2188"/>
      <c r="E75" s="2188"/>
      <c r="F75" s="2188"/>
      <c r="G75" s="2188"/>
      <c r="H75" s="2184"/>
      <c r="I75" s="2188"/>
      <c r="J75" s="2188"/>
      <c r="K75" s="2188"/>
      <c r="L75" s="2188"/>
      <c r="M75" s="3"/>
      <c r="N75" s="2191"/>
      <c r="O75" s="2186"/>
      <c r="P75" s="2189"/>
      <c r="Q75" s="2189"/>
      <c r="R75" s="2190"/>
      <c r="S75" s="2190"/>
      <c r="T75" s="2190"/>
      <c r="V75" s="34" t="s">
        <v>2432</v>
      </c>
      <c r="W75" s="2109">
        <v>2.5866292221035248E-3</v>
      </c>
      <c r="X75" s="2097">
        <v>80</v>
      </c>
      <c r="Y75" s="1599">
        <f>Y$55*1.212</f>
        <v>12.770632641992611</v>
      </c>
      <c r="Z75" s="2097">
        <v>2800000</v>
      </c>
      <c r="AA75" s="316">
        <f>W75*1/Y75*Z75*0.001</f>
        <v>0.56712631432798044</v>
      </c>
      <c r="AB75" s="3"/>
      <c r="AC75" s="3"/>
      <c r="AD75" s="3"/>
    </row>
    <row r="76" spans="1:30" ht="14.4">
      <c r="A76" s="2184"/>
      <c r="B76" s="2188"/>
      <c r="C76" s="2188"/>
      <c r="D76" s="2188"/>
      <c r="E76" s="2188"/>
      <c r="F76" s="2188"/>
      <c r="G76" s="2188"/>
      <c r="H76" s="2184"/>
      <c r="I76" s="2188"/>
      <c r="J76" s="2188"/>
      <c r="K76" s="2188"/>
      <c r="L76" s="2188"/>
      <c r="M76" s="3"/>
      <c r="N76" s="2191"/>
      <c r="O76" s="2186"/>
      <c r="P76" s="2189"/>
      <c r="Q76" s="2189"/>
      <c r="R76" s="2190"/>
      <c r="S76" s="2190"/>
      <c r="T76" s="2190"/>
      <c r="V76" s="2118" t="s">
        <v>2432</v>
      </c>
      <c r="W76" s="275">
        <v>2.339279207536176E-4</v>
      </c>
      <c r="X76" s="2119">
        <v>80</v>
      </c>
      <c r="Y76" s="1599">
        <f>Y$55*1.212</f>
        <v>12.770632641992611</v>
      </c>
      <c r="Z76" s="2119">
        <v>2800000</v>
      </c>
      <c r="AA76" s="2120">
        <f>W76*1/Y76*Z76*0.001</f>
        <v>5.128940722610352E-2</v>
      </c>
      <c r="AB76" s="3"/>
      <c r="AC76" s="3"/>
      <c r="AD76" s="3"/>
    </row>
    <row r="77" spans="1:30" ht="14.4">
      <c r="A77" s="2184"/>
      <c r="B77" s="2188"/>
      <c r="C77" s="2188"/>
      <c r="D77" s="2188"/>
      <c r="E77" s="2188"/>
      <c r="F77" s="2188"/>
      <c r="G77" s="2188"/>
      <c r="H77" s="2184"/>
      <c r="I77" s="2188"/>
      <c r="J77" s="2188"/>
      <c r="K77" s="2188"/>
      <c r="L77" s="2188"/>
      <c r="M77" s="3"/>
      <c r="N77" s="2191"/>
      <c r="O77" s="2186"/>
      <c r="P77" s="2189"/>
      <c r="Q77" s="2189"/>
      <c r="R77" s="2190"/>
      <c r="S77" s="2190"/>
      <c r="T77" s="2190"/>
      <c r="V77" s="3"/>
      <c r="W77" s="3"/>
      <c r="X77" s="3"/>
      <c r="Y77" s="3"/>
      <c r="Z77" s="3"/>
      <c r="AA77" s="3"/>
      <c r="AB77" s="3"/>
      <c r="AC77" s="3"/>
      <c r="AD77" s="3"/>
    </row>
    <row r="78" spans="1:30" ht="14.4">
      <c r="A78" s="2184"/>
      <c r="B78" s="2188"/>
      <c r="C78" s="2188"/>
      <c r="D78" s="2188"/>
      <c r="E78" s="2188"/>
      <c r="F78" s="2188"/>
      <c r="G78" s="2188"/>
      <c r="H78" s="2184"/>
      <c r="I78" s="2188"/>
      <c r="J78" s="2188"/>
      <c r="K78" s="2188"/>
      <c r="L78" s="2188"/>
      <c r="M78" s="3"/>
      <c r="N78" s="2191"/>
      <c r="O78" s="2186"/>
      <c r="P78" s="2189"/>
      <c r="Q78" s="2189"/>
      <c r="R78" s="2190"/>
      <c r="S78" s="2190"/>
      <c r="T78" s="2190"/>
      <c r="V78" s="3"/>
      <c r="W78" s="3"/>
      <c r="X78" s="3"/>
      <c r="Y78" s="3"/>
      <c r="Z78" s="3"/>
      <c r="AA78" s="3"/>
      <c r="AB78" s="3"/>
      <c r="AC78" s="3"/>
      <c r="AD78" s="3"/>
    </row>
    <row r="79" spans="1:30" ht="14.4">
      <c r="A79" s="2184"/>
      <c r="B79" s="2188"/>
      <c r="C79" s="2188"/>
      <c r="D79" s="2188"/>
      <c r="E79" s="2188"/>
      <c r="F79" s="2188"/>
      <c r="G79" s="2188"/>
      <c r="H79" s="2184"/>
      <c r="I79" s="2188"/>
      <c r="J79" s="2188"/>
      <c r="K79" s="2188"/>
      <c r="L79" s="2188"/>
      <c r="M79" s="3"/>
      <c r="N79" s="2191"/>
      <c r="O79" s="2186"/>
      <c r="P79" s="2189"/>
      <c r="Q79" s="2189"/>
      <c r="R79" s="2190"/>
      <c r="S79" s="2190"/>
      <c r="T79" s="2190"/>
      <c r="V79" s="3"/>
      <c r="W79" s="3"/>
      <c r="X79" s="3"/>
      <c r="Y79" s="3"/>
      <c r="Z79" s="3"/>
      <c r="AA79" s="3"/>
      <c r="AB79" s="3"/>
      <c r="AC79" s="3"/>
      <c r="AD79" s="3"/>
    </row>
    <row r="80" spans="1:30" ht="14.4">
      <c r="A80" s="2184"/>
      <c r="B80" s="2188"/>
      <c r="C80" s="2188"/>
      <c r="D80" s="2188"/>
      <c r="E80" s="2188"/>
      <c r="F80" s="2188"/>
      <c r="G80" s="2188"/>
      <c r="H80" s="2184"/>
      <c r="I80" s="2188"/>
      <c r="J80" s="2188"/>
      <c r="K80" s="2188"/>
      <c r="L80" s="2188"/>
      <c r="M80" s="3"/>
      <c r="N80" s="2191"/>
      <c r="O80" s="2186"/>
      <c r="P80" s="2189"/>
      <c r="Q80" s="2189"/>
      <c r="R80" s="2190"/>
      <c r="S80" s="2190"/>
      <c r="T80" s="2190"/>
      <c r="V80" s="3"/>
      <c r="AB80" s="3"/>
      <c r="AC80" s="3"/>
      <c r="AD80" s="3"/>
    </row>
    <row r="81" spans="1:30" ht="14.4">
      <c r="A81" s="2184"/>
      <c r="B81" s="2188"/>
      <c r="C81" s="2188"/>
      <c r="D81" s="2188"/>
      <c r="E81" s="2188"/>
      <c r="F81" s="2188"/>
      <c r="G81" s="2188"/>
      <c r="H81" s="2184"/>
      <c r="I81" s="2188"/>
      <c r="J81" s="2188"/>
      <c r="K81" s="2188"/>
      <c r="L81" s="2188"/>
      <c r="M81" s="3"/>
      <c r="N81" s="2191"/>
      <c r="O81" s="2186"/>
      <c r="P81" s="2189"/>
      <c r="Q81" s="2189"/>
      <c r="R81" s="2190"/>
      <c r="S81" s="2190"/>
      <c r="T81" s="2190"/>
      <c r="V81" s="3"/>
      <c r="AB81" s="3"/>
      <c r="AC81" s="3"/>
      <c r="AD81" s="3"/>
    </row>
    <row r="82" spans="1:30">
      <c r="A82" s="2184"/>
      <c r="B82" s="2188"/>
      <c r="C82" s="2188"/>
      <c r="D82" s="2188"/>
      <c r="E82" s="2188"/>
      <c r="F82" s="2188"/>
      <c r="G82" s="2188"/>
      <c r="H82" s="2184"/>
      <c r="I82" s="2188"/>
      <c r="J82" s="2188"/>
      <c r="K82" s="2188"/>
      <c r="L82" s="2188"/>
      <c r="M82" s="3"/>
      <c r="N82" s="3"/>
      <c r="O82" s="3"/>
      <c r="P82" s="3"/>
      <c r="Q82" s="3"/>
      <c r="R82" s="3"/>
      <c r="S82" s="3"/>
      <c r="T82" s="3"/>
      <c r="V82" s="3"/>
      <c r="Z82" s="3"/>
      <c r="AA82" s="3"/>
      <c r="AB82" s="3"/>
      <c r="AC82" s="3"/>
      <c r="AD82" s="3"/>
    </row>
    <row r="83" spans="1:30" ht="14.4">
      <c r="A83" s="2184"/>
      <c r="B83" s="2188"/>
      <c r="C83" s="2188"/>
      <c r="D83" s="2188"/>
      <c r="E83" s="2188"/>
      <c r="F83" s="2188"/>
      <c r="G83" s="2188"/>
      <c r="H83" s="2184"/>
      <c r="I83" s="2188"/>
      <c r="J83" s="2188"/>
      <c r="K83" s="2188"/>
      <c r="L83" s="2188"/>
      <c r="M83" s="3"/>
      <c r="N83" s="2186"/>
      <c r="O83" s="2186"/>
      <c r="P83" s="2189"/>
      <c r="Q83" s="2189"/>
      <c r="R83" s="2190"/>
      <c r="S83" s="2190"/>
      <c r="T83" s="2190"/>
      <c r="V83" s="3"/>
      <c r="W83" s="3"/>
      <c r="X83" s="3"/>
      <c r="Y83" s="3"/>
      <c r="Z83" s="3"/>
      <c r="AA83" s="3"/>
      <c r="AB83" s="3"/>
      <c r="AC83" s="3"/>
      <c r="AD83" s="3"/>
    </row>
    <row r="84" spans="1:30" ht="14.4">
      <c r="A84" s="2184"/>
      <c r="B84" s="2188"/>
      <c r="C84" s="2188"/>
      <c r="D84" s="2188"/>
      <c r="E84" s="2188"/>
      <c r="F84" s="2188"/>
      <c r="G84" s="2188"/>
      <c r="H84" s="2184"/>
      <c r="I84" s="2188"/>
      <c r="J84" s="2188"/>
      <c r="K84" s="2188"/>
      <c r="L84" s="2188"/>
      <c r="M84" s="3"/>
      <c r="N84" s="2191"/>
      <c r="O84" s="2186"/>
      <c r="P84" s="2189"/>
      <c r="Q84" s="2189"/>
      <c r="R84" s="2190"/>
      <c r="S84" s="2190"/>
      <c r="T84" s="2190"/>
      <c r="V84" s="3"/>
      <c r="W84" s="3"/>
      <c r="X84" s="3"/>
      <c r="Y84" s="3"/>
      <c r="Z84" s="3"/>
      <c r="AA84" s="3"/>
      <c r="AB84" s="3"/>
      <c r="AC84" s="3"/>
      <c r="AD84" s="3"/>
    </row>
    <row r="85" spans="1:30" ht="14.4">
      <c r="A85" s="2184"/>
      <c r="B85" s="2188"/>
      <c r="C85" s="2188"/>
      <c r="D85" s="2188"/>
      <c r="E85" s="2188"/>
      <c r="F85" s="2188"/>
      <c r="G85" s="2188"/>
      <c r="H85" s="2184"/>
      <c r="I85" s="2188"/>
      <c r="J85" s="2188"/>
      <c r="K85" s="2188"/>
      <c r="L85" s="2188"/>
      <c r="M85" s="3"/>
      <c r="N85" s="2191"/>
      <c r="O85" s="2186"/>
      <c r="P85" s="2189"/>
      <c r="Q85" s="2189"/>
      <c r="R85" s="2190"/>
      <c r="S85" s="2190"/>
      <c r="T85" s="2190"/>
      <c r="V85" s="3"/>
      <c r="W85" s="3"/>
      <c r="X85" s="3"/>
      <c r="Y85" s="3"/>
      <c r="Z85" s="3"/>
      <c r="AA85" s="3"/>
      <c r="AB85" s="3"/>
      <c r="AC85" s="3"/>
      <c r="AD85" s="3"/>
    </row>
    <row r="86" spans="1:30" ht="14.4">
      <c r="A86" s="2184"/>
      <c r="B86" s="2188"/>
      <c r="C86" s="2188"/>
      <c r="D86" s="2188"/>
      <c r="E86" s="2188"/>
      <c r="F86" s="2188"/>
      <c r="G86" s="2188"/>
      <c r="H86" s="2184"/>
      <c r="I86" s="2188"/>
      <c r="J86" s="2188"/>
      <c r="K86" s="2188"/>
      <c r="L86" s="2188"/>
      <c r="M86" s="3"/>
      <c r="N86" s="2191"/>
      <c r="O86" s="2186"/>
      <c r="P86" s="2189"/>
      <c r="Q86" s="2189"/>
      <c r="R86" s="2190"/>
      <c r="S86" s="2190"/>
      <c r="T86" s="2190"/>
      <c r="V86" s="3"/>
      <c r="W86" s="3"/>
      <c r="X86" s="3"/>
      <c r="Y86" s="3"/>
      <c r="Z86" s="3"/>
      <c r="AA86" s="3"/>
      <c r="AB86" s="3"/>
      <c r="AC86" s="3"/>
      <c r="AD86" s="3"/>
    </row>
    <row r="87" spans="1:30" ht="14.4">
      <c r="A87" s="2184"/>
      <c r="B87" s="2188"/>
      <c r="C87" s="2188"/>
      <c r="D87" s="2188"/>
      <c r="E87" s="2188"/>
      <c r="F87" s="2188"/>
      <c r="G87" s="2188"/>
      <c r="H87" s="2184"/>
      <c r="I87" s="2188"/>
      <c r="J87" s="2188"/>
      <c r="K87" s="2188"/>
      <c r="L87" s="2188"/>
      <c r="M87" s="3"/>
      <c r="N87" s="2191"/>
      <c r="O87" s="2186"/>
      <c r="P87" s="2189"/>
      <c r="Q87" s="2189"/>
      <c r="R87" s="2190"/>
      <c r="S87" s="2190"/>
      <c r="T87" s="2190"/>
      <c r="V87" s="3"/>
      <c r="W87" s="3"/>
      <c r="X87" s="3"/>
      <c r="Y87" s="3"/>
      <c r="Z87" s="3"/>
      <c r="AA87" s="3"/>
      <c r="AB87" s="3"/>
      <c r="AC87" s="3"/>
      <c r="AD87" s="3"/>
    </row>
    <row r="88" spans="1:30" ht="14.4">
      <c r="A88" s="2184"/>
      <c r="B88" s="2188"/>
      <c r="C88" s="2188"/>
      <c r="D88" s="2188"/>
      <c r="E88" s="2188"/>
      <c r="F88" s="2188"/>
      <c r="G88" s="2188"/>
      <c r="H88" s="2184"/>
      <c r="I88" s="2188"/>
      <c r="J88" s="2188"/>
      <c r="K88" s="2188"/>
      <c r="L88" s="2188"/>
      <c r="M88" s="3"/>
      <c r="N88" s="2191"/>
      <c r="O88" s="2186"/>
      <c r="P88" s="2189"/>
      <c r="Q88" s="2189"/>
      <c r="R88" s="2190"/>
      <c r="S88" s="2190"/>
      <c r="T88" s="2190"/>
      <c r="V88" s="3"/>
      <c r="W88" s="3"/>
      <c r="X88" s="3"/>
      <c r="Y88" s="3"/>
      <c r="Z88" s="3"/>
      <c r="AA88" s="3"/>
      <c r="AB88" s="3"/>
      <c r="AC88" s="3"/>
      <c r="AD88" s="3"/>
    </row>
    <row r="89" spans="1:30" ht="14.4">
      <c r="A89" s="2184"/>
      <c r="B89" s="2188"/>
      <c r="C89" s="2188"/>
      <c r="D89" s="2188"/>
      <c r="E89" s="2188"/>
      <c r="F89" s="2188"/>
      <c r="G89" s="2188"/>
      <c r="H89" s="2184"/>
      <c r="I89" s="2188"/>
      <c r="J89" s="2188"/>
      <c r="K89" s="2188"/>
      <c r="L89" s="2188"/>
      <c r="M89" s="3"/>
      <c r="N89" s="2191"/>
      <c r="O89" s="2186"/>
      <c r="P89" s="2189"/>
      <c r="Q89" s="2189"/>
      <c r="R89" s="2190"/>
      <c r="S89" s="2190"/>
      <c r="T89" s="2190"/>
      <c r="V89" s="3"/>
      <c r="W89" s="3"/>
      <c r="X89" s="3"/>
      <c r="Y89" s="3"/>
      <c r="Z89" s="3"/>
      <c r="AA89" s="3"/>
      <c r="AB89" s="3"/>
      <c r="AC89" s="3"/>
      <c r="AD89" s="3"/>
    </row>
    <row r="90" spans="1:30" ht="14.4">
      <c r="A90" s="2184"/>
      <c r="B90" s="2188"/>
      <c r="C90" s="2188"/>
      <c r="D90" s="2188"/>
      <c r="E90" s="2188"/>
      <c r="F90" s="2188"/>
      <c r="G90" s="2188"/>
      <c r="H90" s="2184"/>
      <c r="I90" s="2188"/>
      <c r="J90" s="2188"/>
      <c r="K90" s="2188"/>
      <c r="L90" s="2188"/>
      <c r="M90" s="3"/>
      <c r="N90" s="2191"/>
      <c r="O90" s="2186"/>
      <c r="P90" s="2189"/>
      <c r="Q90" s="2189"/>
      <c r="R90" s="2190"/>
      <c r="S90" s="2190"/>
      <c r="T90" s="2190"/>
      <c r="V90" s="3"/>
      <c r="W90" s="3"/>
      <c r="X90" s="3"/>
      <c r="Y90" s="3"/>
      <c r="Z90" s="3"/>
      <c r="AA90" s="3"/>
      <c r="AB90" s="3"/>
      <c r="AC90" s="3"/>
      <c r="AD90" s="3"/>
    </row>
    <row r="91" spans="1:30" ht="14.4">
      <c r="A91" s="2184"/>
      <c r="B91" s="2188"/>
      <c r="C91" s="2188"/>
      <c r="D91" s="2188"/>
      <c r="E91" s="2188"/>
      <c r="F91" s="2188"/>
      <c r="G91" s="2188"/>
      <c r="H91" s="2184"/>
      <c r="I91" s="2188"/>
      <c r="J91" s="2188"/>
      <c r="K91" s="2188"/>
      <c r="L91" s="2188"/>
      <c r="M91" s="3"/>
      <c r="N91" s="2191"/>
      <c r="O91" s="2186"/>
      <c r="P91" s="2189"/>
      <c r="Q91" s="2189"/>
      <c r="R91" s="2190"/>
      <c r="S91" s="2190"/>
      <c r="T91" s="2190"/>
      <c r="V91" s="3"/>
      <c r="W91" s="3"/>
      <c r="X91" s="3"/>
      <c r="Y91" s="3"/>
      <c r="Z91" s="3"/>
      <c r="AA91" s="3"/>
      <c r="AB91" s="3"/>
      <c r="AC91" s="3"/>
      <c r="AD91" s="3"/>
    </row>
    <row r="92" spans="1:30" ht="14.4">
      <c r="A92" s="2184"/>
      <c r="B92" s="2188"/>
      <c r="C92" s="2188"/>
      <c r="D92" s="2188"/>
      <c r="E92" s="2188"/>
      <c r="F92" s="2188"/>
      <c r="G92" s="2188"/>
      <c r="H92" s="2184"/>
      <c r="I92" s="2188"/>
      <c r="J92" s="2188"/>
      <c r="K92" s="2188"/>
      <c r="L92" s="2188"/>
      <c r="M92" s="3"/>
      <c r="N92" s="2191"/>
      <c r="O92" s="2186"/>
      <c r="P92" s="2189"/>
      <c r="Q92" s="2189"/>
      <c r="R92" s="2190"/>
      <c r="S92" s="2190"/>
      <c r="T92" s="2190"/>
      <c r="V92" s="3"/>
      <c r="W92" s="3"/>
      <c r="X92" s="3"/>
      <c r="Y92" s="3"/>
      <c r="Z92" s="3"/>
      <c r="AA92" s="3"/>
      <c r="AB92" s="3"/>
      <c r="AC92" s="3"/>
      <c r="AD92" s="3"/>
    </row>
    <row r="93" spans="1:30" ht="14.4">
      <c r="A93" s="2184"/>
      <c r="B93" s="2188"/>
      <c r="C93" s="2188"/>
      <c r="D93" s="2188"/>
      <c r="E93" s="2188"/>
      <c r="F93" s="2188"/>
      <c r="G93" s="2188"/>
      <c r="H93" s="2184"/>
      <c r="I93" s="2188"/>
      <c r="J93" s="2188"/>
      <c r="K93" s="2188"/>
      <c r="L93" s="2188"/>
      <c r="M93" s="3"/>
      <c r="N93" s="2191"/>
      <c r="O93" s="2186"/>
      <c r="P93" s="2189"/>
      <c r="Q93" s="2189"/>
      <c r="R93" s="2190"/>
      <c r="S93" s="2190"/>
      <c r="T93" s="2190"/>
      <c r="V93" s="3"/>
      <c r="W93" s="3"/>
      <c r="X93" s="3"/>
      <c r="Y93" s="3"/>
      <c r="Z93" s="3"/>
      <c r="AA93" s="3"/>
      <c r="AB93" s="3"/>
      <c r="AC93" s="3"/>
      <c r="AD93" s="3"/>
    </row>
    <row r="94" spans="1:30" ht="14.4">
      <c r="A94" s="2184"/>
      <c r="B94" s="2188"/>
      <c r="C94" s="2188"/>
      <c r="D94" s="2188"/>
      <c r="E94" s="2188"/>
      <c r="F94" s="2188"/>
      <c r="G94" s="2188"/>
      <c r="H94" s="2184"/>
      <c r="I94" s="2188"/>
      <c r="J94" s="2188"/>
      <c r="K94" s="2188"/>
      <c r="L94" s="2188"/>
      <c r="M94" s="3"/>
      <c r="N94" s="2191"/>
      <c r="O94" s="2186"/>
      <c r="P94" s="2189"/>
      <c r="Q94" s="2189"/>
      <c r="R94" s="2190"/>
      <c r="S94" s="2190"/>
      <c r="T94" s="2190"/>
      <c r="V94" s="3"/>
      <c r="W94" s="3"/>
      <c r="X94" s="3"/>
      <c r="Y94" s="3"/>
      <c r="Z94" s="3"/>
      <c r="AA94" s="3"/>
      <c r="AB94" s="3"/>
      <c r="AC94" s="3"/>
      <c r="AD94" s="3"/>
    </row>
    <row r="95" spans="1:30" ht="14.4">
      <c r="A95" s="2184"/>
      <c r="B95" s="2188"/>
      <c r="C95" s="2188"/>
      <c r="D95" s="2188"/>
      <c r="E95" s="2188"/>
      <c r="F95" s="2188"/>
      <c r="G95" s="2188"/>
      <c r="H95" s="2184"/>
      <c r="I95" s="2188"/>
      <c r="J95" s="2188"/>
      <c r="K95" s="2188"/>
      <c r="L95" s="2188"/>
      <c r="M95" s="3"/>
      <c r="N95" s="2191"/>
      <c r="O95" s="2191"/>
      <c r="P95" s="2191"/>
      <c r="Q95" s="2191"/>
      <c r="R95" s="3"/>
      <c r="S95" s="3"/>
      <c r="T95" s="3"/>
      <c r="V95" s="3"/>
      <c r="W95" s="3"/>
      <c r="X95" s="3"/>
      <c r="Y95" s="3"/>
      <c r="Z95" s="3"/>
      <c r="AA95" s="3"/>
      <c r="AB95" s="3"/>
      <c r="AC95" s="3"/>
      <c r="AD95" s="3"/>
    </row>
    <row r="96" spans="1:30">
      <c r="A96" s="2184"/>
      <c r="B96" s="2188"/>
      <c r="C96" s="2188"/>
      <c r="D96" s="2188"/>
      <c r="E96" s="2188"/>
      <c r="F96" s="2188"/>
      <c r="G96" s="2188"/>
      <c r="H96" s="2184"/>
      <c r="I96" s="2188"/>
      <c r="J96" s="2188"/>
      <c r="K96" s="2188"/>
      <c r="L96" s="2188"/>
      <c r="M96" s="3"/>
      <c r="N96" s="3"/>
      <c r="O96" s="3"/>
      <c r="P96" s="3"/>
      <c r="Q96" s="3"/>
      <c r="R96" s="3"/>
      <c r="S96" s="3"/>
      <c r="T96" s="3"/>
      <c r="U96" s="3"/>
      <c r="V96" s="3"/>
    </row>
    <row r="97" spans="1:22">
      <c r="A97" s="2184"/>
      <c r="B97" s="2188"/>
      <c r="C97" s="2188"/>
      <c r="D97" s="2188"/>
      <c r="E97" s="2188"/>
      <c r="F97" s="2188"/>
      <c r="G97" s="2188"/>
      <c r="H97" s="2184"/>
      <c r="I97" s="2188"/>
      <c r="J97" s="2188"/>
      <c r="K97" s="2188"/>
      <c r="L97" s="2188"/>
      <c r="M97" s="3"/>
      <c r="N97" s="3"/>
      <c r="O97" s="3"/>
      <c r="P97" s="3"/>
      <c r="Q97" s="3"/>
      <c r="R97" s="3"/>
      <c r="S97" s="3"/>
      <c r="T97" s="3"/>
      <c r="U97" s="3"/>
      <c r="V97" s="3"/>
    </row>
    <row r="98" spans="1:22">
      <c r="A98" s="2184"/>
      <c r="B98" s="2188"/>
      <c r="C98" s="2188"/>
      <c r="D98" s="2188"/>
      <c r="E98" s="2188"/>
      <c r="F98" s="2188"/>
      <c r="G98" s="2188"/>
      <c r="H98" s="2184"/>
      <c r="I98" s="2188"/>
      <c r="J98" s="2188"/>
      <c r="K98" s="2188"/>
      <c r="L98" s="2188"/>
      <c r="M98" s="3"/>
      <c r="N98" s="3"/>
      <c r="O98" s="3"/>
      <c r="P98" s="3"/>
      <c r="Q98" s="3"/>
      <c r="R98" s="3"/>
      <c r="S98" s="3"/>
      <c r="T98" s="3"/>
      <c r="U98" s="3"/>
      <c r="V98" s="3"/>
    </row>
    <row r="99" spans="1:22">
      <c r="A99" s="2184"/>
      <c r="B99" s="2188"/>
      <c r="C99" s="2188"/>
      <c r="D99" s="2188"/>
      <c r="E99" s="2188"/>
      <c r="F99" s="2188"/>
      <c r="G99" s="2188"/>
      <c r="H99" s="2184"/>
      <c r="I99" s="2188"/>
      <c r="J99" s="2188"/>
      <c r="K99" s="2188"/>
      <c r="L99" s="2188"/>
      <c r="M99" s="3"/>
      <c r="N99" s="3"/>
      <c r="O99" s="3"/>
      <c r="P99" s="3"/>
      <c r="Q99" s="3"/>
      <c r="R99" s="3"/>
      <c r="S99" s="3"/>
      <c r="T99" s="3"/>
      <c r="U99" s="3"/>
      <c r="V99" s="3"/>
    </row>
    <row r="100" spans="1:22">
      <c r="A100" s="2184"/>
      <c r="B100" s="2188"/>
      <c r="C100" s="2188"/>
      <c r="D100" s="2188"/>
      <c r="E100" s="2188"/>
      <c r="F100" s="2188"/>
      <c r="G100" s="2188"/>
      <c r="H100" s="2184"/>
      <c r="I100" s="2188"/>
      <c r="J100" s="2188"/>
      <c r="K100" s="2188"/>
      <c r="L100" s="2188"/>
      <c r="M100" s="3"/>
      <c r="N100" s="3"/>
      <c r="O100" s="3"/>
      <c r="P100" s="3"/>
      <c r="Q100" s="3"/>
      <c r="R100" s="3"/>
      <c r="S100" s="3"/>
      <c r="T100" s="3"/>
      <c r="U100" s="3"/>
      <c r="V100" s="3"/>
    </row>
    <row r="101" spans="1:22">
      <c r="A101" s="2184"/>
      <c r="B101" s="2188"/>
      <c r="C101" s="2188"/>
      <c r="D101" s="2188"/>
      <c r="E101" s="2188"/>
      <c r="F101" s="2188"/>
      <c r="G101" s="2188"/>
      <c r="H101" s="2184"/>
      <c r="I101" s="2188"/>
      <c r="J101" s="2188"/>
      <c r="K101" s="2188"/>
      <c r="L101" s="2188"/>
      <c r="M101" s="3"/>
      <c r="N101" s="3"/>
      <c r="O101" s="3"/>
      <c r="P101" s="3"/>
      <c r="Q101" s="3"/>
      <c r="R101" s="3"/>
      <c r="S101" s="3"/>
      <c r="T101" s="3"/>
      <c r="U101" s="3"/>
      <c r="V101" s="3"/>
    </row>
    <row r="102" spans="1:22">
      <c r="A102" s="2184"/>
      <c r="B102" s="2188"/>
      <c r="C102" s="2188"/>
      <c r="D102" s="2188"/>
      <c r="E102" s="2188"/>
      <c r="F102" s="2188"/>
      <c r="G102" s="2188"/>
      <c r="H102" s="2184"/>
      <c r="I102" s="2188"/>
      <c r="J102" s="2188"/>
      <c r="K102" s="2188"/>
      <c r="L102" s="2188"/>
      <c r="M102" s="3"/>
      <c r="N102" s="3"/>
      <c r="O102" s="3"/>
      <c r="P102" s="3"/>
      <c r="Q102" s="3"/>
      <c r="R102" s="3"/>
      <c r="S102" s="3"/>
      <c r="T102" s="3"/>
      <c r="U102" s="3"/>
      <c r="V102" s="3"/>
    </row>
    <row r="103" spans="1:22">
      <c r="A103" s="2184"/>
      <c r="B103" s="2188"/>
      <c r="C103" s="2188"/>
      <c r="D103" s="2188"/>
      <c r="E103" s="2188"/>
      <c r="F103" s="2188"/>
      <c r="G103" s="2188"/>
      <c r="H103" s="2184"/>
      <c r="I103" s="2188"/>
      <c r="J103" s="2188"/>
      <c r="K103" s="2188"/>
      <c r="L103" s="2188"/>
      <c r="M103" s="3"/>
      <c r="N103" s="3"/>
      <c r="O103" s="3"/>
      <c r="P103" s="3"/>
      <c r="Q103" s="3"/>
      <c r="R103" s="3"/>
      <c r="S103" s="3"/>
      <c r="T103" s="3"/>
      <c r="U103" s="3"/>
      <c r="V103" s="3"/>
    </row>
    <row r="104" spans="1:22">
      <c r="A104" s="2184"/>
      <c r="B104" s="2188"/>
      <c r="C104" s="2188"/>
      <c r="D104" s="2188"/>
      <c r="E104" s="2188"/>
      <c r="F104" s="2188"/>
      <c r="G104" s="2188"/>
      <c r="H104" s="2184"/>
      <c r="I104" s="2188"/>
      <c r="J104" s="2188"/>
      <c r="K104" s="2188"/>
      <c r="L104" s="2188"/>
      <c r="M104" s="3"/>
      <c r="N104" s="3"/>
      <c r="O104" s="3"/>
      <c r="P104" s="3"/>
      <c r="Q104" s="3"/>
      <c r="R104" s="3"/>
      <c r="S104" s="3"/>
      <c r="T104" s="3"/>
      <c r="U104" s="3"/>
      <c r="V104" s="3"/>
    </row>
    <row r="105" spans="1:22">
      <c r="A105" s="2184"/>
      <c r="B105" s="2188"/>
      <c r="C105" s="2188"/>
      <c r="D105" s="2188"/>
      <c r="E105" s="2188"/>
      <c r="F105" s="2188"/>
      <c r="G105" s="2188"/>
      <c r="H105" s="2184"/>
      <c r="I105" s="2188"/>
      <c r="J105" s="2188"/>
      <c r="K105" s="2188"/>
      <c r="L105" s="2188"/>
      <c r="M105" s="3"/>
      <c r="N105" s="3"/>
      <c r="O105" s="3"/>
      <c r="P105" s="3"/>
      <c r="Q105" s="3"/>
      <c r="R105" s="3"/>
      <c r="S105" s="3"/>
      <c r="T105" s="3"/>
      <c r="U105" s="3"/>
      <c r="V105" s="3"/>
    </row>
    <row r="106" spans="1:22">
      <c r="A106" s="2184"/>
      <c r="B106" s="2188"/>
      <c r="C106" s="2188"/>
      <c r="D106" s="2188"/>
      <c r="E106" s="2188"/>
      <c r="F106" s="2188"/>
      <c r="G106" s="2188"/>
      <c r="H106" s="2184"/>
      <c r="I106" s="2188"/>
      <c r="J106" s="2188"/>
      <c r="K106" s="2188"/>
      <c r="L106" s="2188"/>
      <c r="M106" s="3"/>
      <c r="N106" s="3"/>
      <c r="O106" s="3"/>
      <c r="P106" s="3"/>
      <c r="Q106" s="3"/>
      <c r="R106" s="3"/>
      <c r="S106" s="3"/>
      <c r="T106" s="3"/>
      <c r="U106" s="3"/>
      <c r="V106" s="3"/>
    </row>
    <row r="107" spans="1:22">
      <c r="A107" s="2184"/>
      <c r="B107" s="2188"/>
      <c r="C107" s="2188"/>
      <c r="D107" s="2188"/>
      <c r="E107" s="2188"/>
      <c r="F107" s="2188"/>
      <c r="G107" s="2188"/>
      <c r="H107" s="2184"/>
      <c r="I107" s="2188"/>
      <c r="J107" s="2188"/>
      <c r="K107" s="2188"/>
      <c r="L107" s="2188"/>
      <c r="M107" s="3"/>
      <c r="N107" s="3"/>
      <c r="O107" s="3"/>
      <c r="P107" s="3"/>
      <c r="Q107" s="3"/>
      <c r="R107" s="3"/>
      <c r="S107" s="3"/>
      <c r="T107" s="3"/>
      <c r="U107" s="3"/>
      <c r="V107" s="3"/>
    </row>
    <row r="108" spans="1:22">
      <c r="A108" s="2184"/>
      <c r="B108" s="2188"/>
      <c r="C108" s="2188"/>
      <c r="D108" s="2188"/>
      <c r="E108" s="2188"/>
      <c r="F108" s="2188"/>
      <c r="G108" s="2188"/>
      <c r="H108" s="2184"/>
      <c r="I108" s="2188"/>
      <c r="J108" s="2188"/>
      <c r="K108" s="2188"/>
      <c r="L108" s="2188"/>
      <c r="M108" s="3"/>
      <c r="N108" s="3"/>
      <c r="O108" s="3"/>
      <c r="P108" s="3"/>
      <c r="Q108" s="3"/>
      <c r="R108" s="3"/>
      <c r="S108" s="3"/>
      <c r="T108" s="3"/>
      <c r="U108" s="3"/>
      <c r="V108" s="3"/>
    </row>
    <row r="109" spans="1:22">
      <c r="A109" s="2184"/>
      <c r="B109" s="2188"/>
      <c r="C109" s="2188"/>
      <c r="D109" s="2188"/>
      <c r="E109" s="2188"/>
      <c r="F109" s="2188"/>
      <c r="G109" s="2188"/>
      <c r="H109" s="2184"/>
      <c r="I109" s="2188"/>
      <c r="J109" s="2188"/>
      <c r="K109" s="2188"/>
      <c r="L109" s="2188"/>
      <c r="M109" s="3"/>
      <c r="N109" s="3"/>
      <c r="O109" s="3"/>
      <c r="P109" s="3"/>
      <c r="Q109" s="3"/>
      <c r="R109" s="3"/>
      <c r="S109" s="3"/>
      <c r="T109" s="3"/>
      <c r="U109" s="3"/>
      <c r="V109" s="3"/>
    </row>
    <row r="110" spans="1:22">
      <c r="A110" s="2184"/>
      <c r="B110" s="2188"/>
      <c r="C110" s="2188"/>
      <c r="D110" s="2188"/>
      <c r="E110" s="2188"/>
      <c r="F110" s="2188"/>
      <c r="G110" s="2188"/>
      <c r="H110" s="2184"/>
      <c r="I110" s="2188"/>
      <c r="J110" s="2188"/>
      <c r="K110" s="2188"/>
      <c r="L110" s="2188"/>
      <c r="M110" s="3"/>
      <c r="N110" s="3"/>
      <c r="O110" s="3"/>
      <c r="P110" s="3"/>
      <c r="Q110" s="3"/>
      <c r="R110" s="3"/>
      <c r="S110" s="3"/>
      <c r="T110" s="3"/>
      <c r="U110" s="3"/>
      <c r="V110" s="3"/>
    </row>
    <row r="111" spans="1:22">
      <c r="A111" s="2184"/>
      <c r="B111" s="2188"/>
      <c r="C111" s="2188"/>
      <c r="D111" s="2188"/>
      <c r="E111" s="2188"/>
      <c r="F111" s="2188"/>
      <c r="G111" s="2188"/>
      <c r="H111" s="2184"/>
      <c r="I111" s="2188"/>
      <c r="J111" s="2188"/>
      <c r="K111" s="2188"/>
      <c r="L111" s="2188"/>
      <c r="M111" s="3"/>
      <c r="N111" s="3"/>
      <c r="O111" s="3"/>
      <c r="P111" s="3"/>
      <c r="Q111" s="3"/>
      <c r="R111" s="3"/>
      <c r="S111" s="3"/>
      <c r="T111" s="3"/>
      <c r="U111" s="3"/>
      <c r="V111" s="3"/>
    </row>
    <row r="112" spans="1:22">
      <c r="A112" s="2184"/>
      <c r="B112" s="2188"/>
      <c r="C112" s="2188"/>
      <c r="D112" s="2188"/>
      <c r="E112" s="2188"/>
      <c r="F112" s="2188"/>
      <c r="G112" s="2188"/>
      <c r="H112" s="2184"/>
      <c r="I112" s="2188"/>
      <c r="J112" s="2188"/>
      <c r="K112" s="2188"/>
      <c r="L112" s="2188"/>
      <c r="M112" s="3"/>
      <c r="N112" s="3"/>
      <c r="O112" s="3"/>
      <c r="P112" s="3"/>
      <c r="Q112" s="3"/>
      <c r="R112" s="3"/>
      <c r="S112" s="3"/>
      <c r="T112" s="3"/>
      <c r="U112" s="3"/>
      <c r="V112" s="3"/>
    </row>
    <row r="113" spans="1:22">
      <c r="A113" s="2184"/>
      <c r="B113" s="2188"/>
      <c r="C113" s="2188"/>
      <c r="D113" s="2188"/>
      <c r="E113" s="2188"/>
      <c r="F113" s="2188"/>
      <c r="G113" s="2188"/>
      <c r="H113" s="2184"/>
      <c r="I113" s="2188"/>
      <c r="J113" s="2188"/>
      <c r="K113" s="2188"/>
      <c r="L113" s="2188"/>
      <c r="M113" s="3"/>
      <c r="N113" s="3"/>
      <c r="O113" s="3"/>
      <c r="P113" s="3"/>
      <c r="Q113" s="3"/>
      <c r="R113" s="3"/>
      <c r="S113" s="3"/>
      <c r="T113" s="3"/>
      <c r="U113" s="3"/>
      <c r="V113" s="3"/>
    </row>
    <row r="114" spans="1:22">
      <c r="A114" s="2184"/>
      <c r="B114" s="2188"/>
      <c r="C114" s="2188"/>
      <c r="D114" s="2188"/>
      <c r="E114" s="2188"/>
      <c r="F114" s="2188"/>
      <c r="G114" s="2188"/>
      <c r="H114" s="2184"/>
      <c r="I114" s="2188"/>
      <c r="J114" s="2188"/>
      <c r="K114" s="2188"/>
      <c r="L114" s="2188"/>
      <c r="M114" s="3"/>
      <c r="N114" s="3"/>
      <c r="O114" s="3"/>
      <c r="P114" s="3"/>
      <c r="Q114" s="3"/>
      <c r="R114" s="3"/>
      <c r="S114" s="3"/>
      <c r="T114" s="3"/>
      <c r="U114" s="3"/>
      <c r="V114" s="3"/>
    </row>
    <row r="115" spans="1:22">
      <c r="A115" s="2184"/>
      <c r="B115" s="2188"/>
      <c r="C115" s="2188"/>
      <c r="D115" s="2188"/>
      <c r="E115" s="2188"/>
      <c r="F115" s="2188"/>
      <c r="G115" s="2188"/>
      <c r="H115" s="2184"/>
      <c r="I115" s="2188"/>
      <c r="J115" s="2188"/>
      <c r="K115" s="2188"/>
      <c r="L115" s="2188"/>
      <c r="M115" s="3"/>
      <c r="N115" s="3"/>
      <c r="O115" s="3"/>
      <c r="P115" s="3"/>
      <c r="Q115" s="3"/>
      <c r="R115" s="3"/>
      <c r="S115" s="3"/>
      <c r="T115" s="3"/>
      <c r="U115" s="3"/>
      <c r="V115" s="3"/>
    </row>
    <row r="116" spans="1:22">
      <c r="A116" s="2184"/>
      <c r="B116" s="2188"/>
      <c r="C116" s="2188"/>
      <c r="D116" s="2188"/>
      <c r="E116" s="2188"/>
      <c r="F116" s="2188"/>
      <c r="G116" s="2188"/>
      <c r="H116" s="2184"/>
      <c r="I116" s="2188"/>
      <c r="J116" s="2188"/>
      <c r="K116" s="2188"/>
      <c r="L116" s="2188"/>
      <c r="M116" s="3"/>
      <c r="N116" s="3"/>
      <c r="O116" s="3"/>
      <c r="P116" s="3"/>
      <c r="Q116" s="3"/>
      <c r="R116" s="3"/>
      <c r="S116" s="3"/>
      <c r="T116" s="3"/>
      <c r="U116" s="3"/>
      <c r="V116" s="3"/>
    </row>
    <row r="117" spans="1:22">
      <c r="A117" s="2184"/>
      <c r="B117" s="2188"/>
      <c r="C117" s="2188"/>
      <c r="D117" s="2188"/>
      <c r="E117" s="2188"/>
      <c r="F117" s="2188"/>
      <c r="G117" s="2188"/>
      <c r="H117" s="2184"/>
      <c r="I117" s="2188"/>
      <c r="J117" s="2188"/>
      <c r="K117" s="2188"/>
      <c r="L117" s="2188"/>
      <c r="M117" s="3"/>
      <c r="N117" s="3"/>
      <c r="O117" s="3"/>
      <c r="P117" s="3"/>
      <c r="Q117" s="3"/>
      <c r="R117" s="3"/>
      <c r="S117" s="3"/>
      <c r="T117" s="3"/>
      <c r="U117" s="3"/>
      <c r="V117" s="3"/>
    </row>
    <row r="118" spans="1:22">
      <c r="A118" s="2184"/>
      <c r="B118" s="2188"/>
      <c r="C118" s="2188"/>
      <c r="D118" s="2188"/>
      <c r="E118" s="2188"/>
      <c r="F118" s="2188"/>
      <c r="G118" s="2188"/>
      <c r="H118" s="2184"/>
      <c r="I118" s="2188"/>
      <c r="J118" s="2188"/>
      <c r="K118" s="2188"/>
      <c r="L118" s="2188"/>
      <c r="M118" s="3"/>
      <c r="N118" s="3"/>
      <c r="O118" s="3"/>
      <c r="P118" s="3"/>
      <c r="Q118" s="3"/>
      <c r="R118" s="3"/>
      <c r="S118" s="3"/>
      <c r="T118" s="3"/>
      <c r="U118" s="3"/>
      <c r="V118" s="3"/>
    </row>
    <row r="119" spans="1:22">
      <c r="A119" s="2184"/>
      <c r="B119" s="2188"/>
      <c r="C119" s="2188"/>
      <c r="D119" s="2188"/>
      <c r="E119" s="2188"/>
      <c r="F119" s="2188"/>
      <c r="G119" s="2188"/>
      <c r="H119" s="2184"/>
      <c r="I119" s="2188"/>
      <c r="J119" s="2188"/>
      <c r="K119" s="2188"/>
      <c r="L119" s="2188"/>
      <c r="M119" s="3"/>
      <c r="N119" s="3"/>
      <c r="O119" s="3"/>
      <c r="P119" s="3"/>
      <c r="Q119" s="3"/>
      <c r="R119" s="3"/>
      <c r="S119" s="3"/>
      <c r="T119" s="3"/>
      <c r="U119" s="3"/>
      <c r="V119" s="3"/>
    </row>
    <row r="120" spans="1:22">
      <c r="A120" s="2184"/>
      <c r="B120" s="2188"/>
      <c r="C120" s="2188"/>
      <c r="D120" s="2188"/>
      <c r="E120" s="2188"/>
      <c r="F120" s="2188"/>
      <c r="G120" s="2188"/>
      <c r="H120" s="2184"/>
      <c r="I120" s="2188"/>
      <c r="J120" s="2188"/>
      <c r="K120" s="2188"/>
      <c r="L120" s="2188"/>
      <c r="M120" s="3"/>
      <c r="N120" s="3"/>
      <c r="O120" s="3"/>
      <c r="P120" s="3"/>
      <c r="Q120" s="3"/>
      <c r="R120" s="3"/>
      <c r="S120" s="3"/>
      <c r="T120" s="3"/>
      <c r="U120" s="3"/>
      <c r="V120" s="3"/>
    </row>
    <row r="121" spans="1:22">
      <c r="A121" s="2184"/>
      <c r="B121" s="2188"/>
      <c r="C121" s="2188"/>
      <c r="D121" s="2188"/>
      <c r="E121" s="2188"/>
      <c r="F121" s="2188"/>
      <c r="G121" s="2188"/>
      <c r="H121" s="2184"/>
      <c r="I121" s="2188"/>
      <c r="J121" s="2188"/>
      <c r="K121" s="2188"/>
      <c r="L121" s="2188"/>
      <c r="M121" s="3"/>
      <c r="N121" s="3"/>
      <c r="O121" s="3"/>
      <c r="P121" s="3"/>
      <c r="Q121" s="3"/>
      <c r="R121" s="3"/>
      <c r="S121" s="3"/>
      <c r="T121" s="3"/>
      <c r="U121" s="3"/>
      <c r="V121" s="3"/>
    </row>
    <row r="122" spans="1:22">
      <c r="A122" s="2184"/>
      <c r="B122" s="3"/>
      <c r="C122" s="3"/>
      <c r="D122" s="3"/>
      <c r="E122" s="3"/>
      <c r="F122" s="3"/>
      <c r="G122" s="3"/>
      <c r="H122" s="2184"/>
      <c r="I122" s="2188"/>
      <c r="J122" s="2188"/>
      <c r="K122" s="2188"/>
      <c r="L122" s="2188"/>
      <c r="M122" s="3"/>
      <c r="N122" s="3"/>
      <c r="O122" s="3"/>
      <c r="P122" s="3"/>
      <c r="Q122" s="3"/>
      <c r="R122" s="3"/>
      <c r="S122" s="3"/>
      <c r="T122" s="3"/>
      <c r="U122" s="3"/>
      <c r="V122" s="3"/>
    </row>
    <row r="123" spans="1:22">
      <c r="A123" s="2184"/>
      <c r="B123" s="3"/>
      <c r="C123" s="3"/>
      <c r="D123" s="3"/>
      <c r="E123" s="3"/>
      <c r="F123" s="3"/>
      <c r="G123" s="3"/>
      <c r="H123" s="2184"/>
      <c r="I123" s="2188"/>
      <c r="J123" s="2188"/>
      <c r="K123" s="2188"/>
      <c r="L123" s="2188"/>
      <c r="M123" s="3"/>
      <c r="N123" s="3"/>
      <c r="O123" s="3"/>
      <c r="P123" s="3"/>
      <c r="Q123" s="3"/>
      <c r="R123" s="3"/>
      <c r="S123" s="3"/>
      <c r="T123" s="3"/>
      <c r="U123" s="3"/>
      <c r="V123" s="3"/>
    </row>
    <row r="124" spans="1:22">
      <c r="A124" s="2184"/>
      <c r="B124" s="3"/>
      <c r="C124" s="3"/>
      <c r="D124" s="3"/>
      <c r="E124" s="3"/>
      <c r="F124" s="3"/>
      <c r="G124" s="3"/>
      <c r="H124" s="2184"/>
      <c r="I124" s="2188"/>
      <c r="J124" s="2188"/>
      <c r="K124" s="2188"/>
      <c r="L124" s="2188"/>
      <c r="M124" s="3"/>
      <c r="N124" s="3"/>
      <c r="O124" s="3"/>
      <c r="P124" s="3"/>
      <c r="Q124" s="3"/>
      <c r="R124" s="3"/>
      <c r="S124" s="3"/>
      <c r="T124" s="3"/>
      <c r="U124" s="3"/>
      <c r="V124" s="3"/>
    </row>
    <row r="125" spans="1:22">
      <c r="A125" s="2184"/>
      <c r="B125" s="3"/>
      <c r="C125" s="3"/>
      <c r="D125" s="3"/>
      <c r="E125" s="3"/>
      <c r="F125" s="3"/>
      <c r="G125" s="3"/>
      <c r="H125" s="2184"/>
      <c r="I125" s="2188"/>
      <c r="J125" s="2188"/>
      <c r="K125" s="2188"/>
      <c r="L125" s="2188"/>
      <c r="M125" s="3"/>
      <c r="N125" s="3"/>
      <c r="O125" s="3"/>
      <c r="P125" s="3"/>
      <c r="Q125" s="3"/>
      <c r="R125" s="3"/>
      <c r="S125" s="3"/>
      <c r="T125" s="3"/>
      <c r="U125" s="3"/>
      <c r="V125" s="3"/>
    </row>
    <row r="126" spans="1:22">
      <c r="A126" s="3"/>
      <c r="B126" s="3"/>
      <c r="C126" s="3"/>
      <c r="D126" s="3"/>
      <c r="E126" s="3"/>
      <c r="F126" s="3"/>
      <c r="G126" s="3"/>
      <c r="H126" s="3"/>
      <c r="I126" s="3"/>
      <c r="J126" s="3"/>
      <c r="K126" s="3"/>
      <c r="L126" s="3"/>
      <c r="M126" s="3"/>
      <c r="N126" s="3"/>
      <c r="O126" s="3"/>
      <c r="P126" s="3"/>
      <c r="Q126" s="3"/>
      <c r="R126" s="3"/>
      <c r="S126" s="3"/>
      <c r="T126" s="3"/>
      <c r="U126" s="3"/>
      <c r="V126" s="3"/>
    </row>
    <row r="127" spans="1:22">
      <c r="A127" s="3"/>
      <c r="B127" s="3"/>
      <c r="C127" s="3"/>
      <c r="D127" s="3"/>
      <c r="E127" s="3"/>
      <c r="F127" s="3"/>
      <c r="G127" s="3"/>
      <c r="H127" s="3"/>
      <c r="I127" s="3"/>
      <c r="J127" s="3"/>
      <c r="K127" s="3"/>
      <c r="L127" s="3"/>
      <c r="M127" s="3"/>
      <c r="N127" s="3"/>
      <c r="O127" s="3"/>
      <c r="P127" s="3"/>
      <c r="Q127" s="3"/>
      <c r="R127" s="3"/>
      <c r="S127" s="3"/>
      <c r="T127" s="3"/>
      <c r="U127" s="3"/>
      <c r="V127" s="3"/>
    </row>
    <row r="128" spans="1:22">
      <c r="A128" s="3"/>
      <c r="B128" s="3"/>
      <c r="C128" s="3"/>
      <c r="D128" s="3"/>
      <c r="E128" s="3"/>
      <c r="F128" s="3"/>
      <c r="G128" s="3"/>
      <c r="H128" s="3"/>
      <c r="I128" s="3"/>
      <c r="J128" s="3"/>
      <c r="K128" s="3"/>
      <c r="L128" s="3"/>
      <c r="M128" s="3"/>
      <c r="N128" s="3"/>
      <c r="O128" s="3"/>
      <c r="P128" s="3"/>
      <c r="Q128" s="3"/>
      <c r="R128" s="3"/>
      <c r="S128" s="3"/>
      <c r="T128" s="3"/>
      <c r="U128" s="3"/>
      <c r="V128" s="3"/>
    </row>
    <row r="129" spans="1:22">
      <c r="A129" s="3"/>
      <c r="B129" s="3"/>
      <c r="C129" s="3"/>
      <c r="D129" s="3"/>
      <c r="E129" s="3"/>
      <c r="F129" s="3"/>
      <c r="G129" s="3"/>
      <c r="H129" s="3"/>
      <c r="I129" s="3"/>
      <c r="J129" s="3"/>
      <c r="K129" s="3"/>
      <c r="L129" s="3"/>
      <c r="M129" s="3"/>
      <c r="N129" s="3"/>
      <c r="O129" s="3"/>
      <c r="P129" s="3"/>
      <c r="Q129" s="3"/>
      <c r="R129" s="3"/>
      <c r="S129" s="3"/>
      <c r="T129" s="3"/>
      <c r="U129" s="3"/>
      <c r="V129" s="3"/>
    </row>
    <row r="130" spans="1:22">
      <c r="A130" s="3"/>
      <c r="B130" s="3"/>
      <c r="C130" s="3"/>
      <c r="D130" s="3"/>
      <c r="E130" s="3"/>
      <c r="F130" s="3"/>
      <c r="G130" s="3"/>
      <c r="H130" s="3"/>
      <c r="I130" s="3"/>
      <c r="J130" s="3"/>
      <c r="K130" s="3"/>
      <c r="L130" s="3"/>
      <c r="M130" s="3"/>
      <c r="N130" s="3"/>
      <c r="O130" s="3"/>
      <c r="P130" s="3"/>
      <c r="Q130" s="3"/>
      <c r="R130" s="3"/>
      <c r="S130" s="3"/>
      <c r="T130" s="3"/>
      <c r="U130" s="3"/>
      <c r="V130" s="3"/>
    </row>
    <row r="131" spans="1:22">
      <c r="A131" s="3"/>
      <c r="B131" s="3"/>
      <c r="C131" s="3"/>
      <c r="D131" s="3"/>
      <c r="E131" s="3"/>
      <c r="F131" s="3"/>
      <c r="G131" s="3"/>
      <c r="H131" s="3"/>
      <c r="I131" s="3"/>
      <c r="J131" s="3"/>
      <c r="K131" s="3"/>
      <c r="L131" s="3"/>
      <c r="M131" s="3"/>
      <c r="N131" s="3"/>
      <c r="O131" s="3"/>
      <c r="P131" s="3"/>
      <c r="Q131" s="3"/>
      <c r="R131" s="3"/>
      <c r="S131" s="3"/>
      <c r="T131" s="3"/>
      <c r="U131" s="3"/>
      <c r="V131" s="3"/>
    </row>
    <row r="132" spans="1:22">
      <c r="A132" s="3"/>
      <c r="B132" s="3"/>
      <c r="C132" s="3"/>
      <c r="D132" s="3"/>
      <c r="E132" s="3"/>
      <c r="F132" s="3"/>
      <c r="G132" s="3"/>
      <c r="H132" s="3"/>
      <c r="I132" s="3"/>
      <c r="J132" s="3"/>
      <c r="K132" s="3"/>
      <c r="L132" s="3"/>
      <c r="M132" s="3"/>
      <c r="N132" s="3"/>
      <c r="O132" s="3"/>
      <c r="P132" s="3"/>
      <c r="Q132" s="3"/>
      <c r="R132" s="3"/>
      <c r="S132" s="3"/>
      <c r="T132" s="3"/>
      <c r="U132" s="3"/>
      <c r="V132" s="3"/>
    </row>
    <row r="133" spans="1:22">
      <c r="A133" s="3"/>
      <c r="B133" s="3"/>
      <c r="C133" s="3"/>
      <c r="D133" s="3"/>
      <c r="E133" s="3"/>
      <c r="F133" s="3"/>
      <c r="G133" s="3"/>
      <c r="H133" s="3"/>
      <c r="I133" s="3"/>
      <c r="J133" s="3"/>
      <c r="K133" s="3"/>
      <c r="L133" s="3"/>
      <c r="M133" s="3"/>
      <c r="N133" s="3"/>
      <c r="O133" s="3"/>
      <c r="P133" s="3"/>
      <c r="Q133" s="3"/>
      <c r="R133" s="3"/>
      <c r="S133" s="3"/>
      <c r="T133" s="3"/>
      <c r="U133" s="3"/>
      <c r="V133" s="3"/>
    </row>
    <row r="134" spans="1:22">
      <c r="A134" s="3"/>
      <c r="B134" s="3"/>
      <c r="C134" s="3"/>
      <c r="D134" s="3"/>
      <c r="E134" s="3"/>
      <c r="F134" s="3"/>
      <c r="G134" s="3"/>
      <c r="H134" s="3"/>
      <c r="I134" s="3"/>
      <c r="J134" s="3"/>
      <c r="K134" s="3"/>
      <c r="L134" s="3"/>
      <c r="M134" s="3"/>
      <c r="N134" s="3"/>
      <c r="O134" s="3"/>
      <c r="P134" s="3"/>
      <c r="Q134" s="3"/>
      <c r="R134" s="3"/>
      <c r="S134" s="3"/>
      <c r="T134" s="3"/>
      <c r="U134" s="3"/>
      <c r="V134" s="3"/>
    </row>
    <row r="135" spans="1:22">
      <c r="A135" s="3"/>
      <c r="B135" s="3"/>
      <c r="C135" s="3"/>
      <c r="D135" s="3"/>
      <c r="E135" s="3"/>
      <c r="F135" s="3"/>
      <c r="G135" s="3"/>
      <c r="H135" s="3"/>
      <c r="I135" s="3"/>
      <c r="J135" s="3"/>
      <c r="K135" s="3"/>
      <c r="L135" s="3"/>
      <c r="M135" s="3"/>
      <c r="N135" s="3"/>
      <c r="O135" s="3"/>
      <c r="P135" s="3"/>
      <c r="Q135" s="3"/>
      <c r="R135" s="3"/>
      <c r="S135" s="3"/>
      <c r="T135" s="3"/>
      <c r="U135" s="3"/>
      <c r="V135" s="3"/>
    </row>
    <row r="136" spans="1:22">
      <c r="A136" s="3"/>
      <c r="B136" s="3"/>
      <c r="C136" s="3"/>
      <c r="D136" s="3"/>
      <c r="E136" s="3"/>
      <c r="F136" s="3"/>
      <c r="G136" s="3"/>
      <c r="H136" s="3"/>
      <c r="I136" s="3"/>
      <c r="J136" s="3"/>
      <c r="K136" s="3"/>
      <c r="L136" s="3"/>
      <c r="M136" s="3"/>
      <c r="N136" s="3"/>
      <c r="O136" s="3"/>
      <c r="P136" s="3"/>
      <c r="Q136" s="3"/>
      <c r="R136" s="3"/>
      <c r="S136" s="3"/>
      <c r="T136" s="3"/>
      <c r="U136" s="3"/>
      <c r="V136" s="3"/>
    </row>
    <row r="137" spans="1:22">
      <c r="A137" s="3"/>
      <c r="B137" s="3"/>
      <c r="C137" s="3"/>
      <c r="D137" s="3"/>
      <c r="E137" s="3"/>
      <c r="F137" s="3"/>
      <c r="G137" s="3"/>
      <c r="H137" s="3"/>
      <c r="I137" s="3"/>
      <c r="J137" s="3"/>
      <c r="K137" s="3"/>
      <c r="L137" s="3"/>
      <c r="M137" s="3"/>
      <c r="N137" s="3"/>
      <c r="O137" s="3"/>
      <c r="P137" s="3"/>
      <c r="Q137" s="3"/>
      <c r="R137" s="3"/>
      <c r="S137" s="3"/>
      <c r="T137" s="3"/>
      <c r="U137" s="3"/>
      <c r="V137" s="3"/>
    </row>
    <row r="138" spans="1:22">
      <c r="A138" s="3"/>
      <c r="B138" s="3"/>
      <c r="C138" s="3"/>
      <c r="D138" s="3"/>
      <c r="E138" s="3"/>
      <c r="F138" s="3"/>
      <c r="G138" s="3"/>
      <c r="H138" s="3"/>
      <c r="I138" s="3"/>
      <c r="J138" s="3"/>
      <c r="K138" s="3"/>
      <c r="L138" s="3"/>
      <c r="M138" s="3"/>
      <c r="N138" s="3"/>
      <c r="O138" s="3"/>
      <c r="P138" s="3"/>
      <c r="Q138" s="3"/>
      <c r="R138" s="3"/>
      <c r="S138" s="3"/>
      <c r="T138" s="3"/>
      <c r="U138" s="3"/>
      <c r="V138" s="3"/>
    </row>
    <row r="139" spans="1:22">
      <c r="A139" s="3"/>
      <c r="B139" s="3"/>
      <c r="C139" s="3"/>
      <c r="D139" s="3"/>
      <c r="E139" s="3"/>
      <c r="F139" s="3"/>
      <c r="G139" s="3"/>
      <c r="H139" s="3"/>
      <c r="I139" s="3"/>
      <c r="J139" s="3"/>
      <c r="K139" s="3"/>
      <c r="L139" s="3"/>
      <c r="M139" s="3"/>
      <c r="N139" s="3"/>
      <c r="O139" s="3"/>
      <c r="P139" s="3"/>
      <c r="Q139" s="3"/>
      <c r="R139" s="3"/>
      <c r="S139" s="3"/>
      <c r="T139" s="3"/>
      <c r="U139" s="3"/>
      <c r="V139" s="3"/>
    </row>
    <row r="140" spans="1:22">
      <c r="A140" s="3"/>
      <c r="B140" s="3"/>
      <c r="C140" s="3"/>
      <c r="D140" s="3"/>
      <c r="E140" s="3"/>
      <c r="F140" s="3"/>
      <c r="G140" s="3"/>
      <c r="H140" s="3"/>
      <c r="I140" s="3"/>
      <c r="J140" s="3"/>
      <c r="K140" s="3"/>
      <c r="L140" s="3"/>
      <c r="M140" s="3"/>
      <c r="N140" s="3"/>
      <c r="O140" s="3"/>
      <c r="P140" s="3"/>
      <c r="Q140" s="3"/>
      <c r="R140" s="3"/>
      <c r="S140" s="3"/>
      <c r="T140" s="3"/>
      <c r="U140" s="3"/>
      <c r="V140" s="3"/>
    </row>
    <row r="141" spans="1:22">
      <c r="A141" s="3"/>
      <c r="B141" s="3"/>
      <c r="C141" s="3"/>
      <c r="D141" s="3"/>
      <c r="E141" s="3"/>
      <c r="F141" s="3"/>
      <c r="G141" s="3"/>
      <c r="H141" s="3"/>
      <c r="I141" s="3"/>
      <c r="J141" s="3"/>
      <c r="K141" s="3"/>
      <c r="L141" s="3"/>
      <c r="M141" s="3"/>
      <c r="N141" s="3"/>
      <c r="O141" s="3"/>
      <c r="P141" s="3"/>
      <c r="Q141" s="3"/>
      <c r="R141" s="3"/>
      <c r="S141" s="3"/>
      <c r="T141" s="3"/>
      <c r="U141" s="3"/>
      <c r="V141" s="3"/>
    </row>
    <row r="142" spans="1:22">
      <c r="A142" s="3"/>
      <c r="B142" s="3"/>
      <c r="C142" s="3"/>
      <c r="D142" s="3"/>
      <c r="E142" s="3"/>
      <c r="F142" s="3"/>
      <c r="G142" s="3"/>
      <c r="H142" s="3"/>
      <c r="I142" s="3"/>
      <c r="J142" s="3"/>
      <c r="K142" s="3"/>
      <c r="L142" s="3"/>
      <c r="M142" s="3"/>
      <c r="N142" s="3"/>
      <c r="O142" s="3"/>
      <c r="P142" s="3"/>
      <c r="Q142" s="3"/>
      <c r="R142" s="3"/>
      <c r="S142" s="3"/>
      <c r="T142" s="3"/>
      <c r="U142" s="3"/>
      <c r="V142" s="3"/>
    </row>
    <row r="143" spans="1:22">
      <c r="A143" s="3"/>
      <c r="B143" s="3"/>
      <c r="C143" s="3"/>
      <c r="D143" s="3"/>
      <c r="E143" s="3"/>
      <c r="F143" s="3"/>
      <c r="G143" s="3"/>
      <c r="H143" s="3"/>
      <c r="I143" s="3"/>
      <c r="J143" s="3"/>
      <c r="K143" s="3"/>
      <c r="L143" s="3"/>
      <c r="M143" s="3"/>
      <c r="N143" s="3"/>
      <c r="O143" s="3"/>
      <c r="P143" s="3"/>
      <c r="Q143" s="3"/>
      <c r="R143" s="3"/>
      <c r="S143" s="3"/>
      <c r="T143" s="3"/>
      <c r="U143" s="3"/>
      <c r="V143" s="3"/>
    </row>
    <row r="144" spans="1:22">
      <c r="A144" s="3"/>
      <c r="B144" s="3"/>
      <c r="C144" s="3"/>
      <c r="D144" s="3"/>
      <c r="E144" s="3"/>
      <c r="F144" s="3"/>
      <c r="G144" s="3"/>
      <c r="H144" s="3"/>
      <c r="I144" s="3"/>
      <c r="J144" s="3"/>
      <c r="K144" s="3"/>
      <c r="L144" s="3"/>
      <c r="M144" s="3"/>
      <c r="N144" s="3"/>
      <c r="O144" s="3"/>
      <c r="P144" s="3"/>
      <c r="Q144" s="3"/>
      <c r="R144" s="3"/>
      <c r="S144" s="3"/>
      <c r="T144" s="3"/>
      <c r="U144" s="3"/>
      <c r="V144" s="3"/>
    </row>
    <row r="145" spans="1:22">
      <c r="A145" s="3"/>
      <c r="B145" s="3"/>
      <c r="C145" s="3"/>
      <c r="D145" s="3"/>
      <c r="E145" s="3"/>
      <c r="F145" s="3"/>
      <c r="G145" s="3"/>
      <c r="H145" s="3"/>
      <c r="I145" s="3"/>
      <c r="J145" s="3"/>
      <c r="K145" s="3"/>
      <c r="L145" s="3"/>
      <c r="M145" s="3"/>
      <c r="N145" s="3"/>
      <c r="O145" s="3"/>
      <c r="P145" s="3"/>
      <c r="Q145" s="3"/>
      <c r="R145" s="3"/>
      <c r="S145" s="3"/>
      <c r="T145" s="3"/>
      <c r="U145" s="3"/>
      <c r="V145" s="3"/>
    </row>
    <row r="146" spans="1:22">
      <c r="A146" s="3"/>
      <c r="B146" s="3"/>
      <c r="C146" s="3"/>
      <c r="D146" s="3"/>
      <c r="E146" s="3"/>
      <c r="F146" s="3"/>
      <c r="G146" s="3"/>
      <c r="H146" s="3"/>
      <c r="I146" s="3"/>
      <c r="J146" s="3"/>
      <c r="K146" s="3"/>
      <c r="L146" s="3"/>
      <c r="M146" s="3"/>
      <c r="N146" s="3"/>
      <c r="O146" s="3"/>
      <c r="P146" s="3"/>
      <c r="Q146" s="3"/>
      <c r="R146" s="3"/>
      <c r="S146" s="3"/>
      <c r="T146" s="3"/>
      <c r="U146" s="3"/>
      <c r="V146" s="3"/>
    </row>
    <row r="147" spans="1:22">
      <c r="A147" s="3"/>
      <c r="B147" s="3"/>
      <c r="C147" s="3"/>
      <c r="D147" s="3"/>
      <c r="E147" s="3"/>
      <c r="F147" s="3"/>
      <c r="G147" s="3"/>
      <c r="H147" s="3"/>
      <c r="I147" s="3"/>
      <c r="J147" s="3"/>
      <c r="K147" s="3"/>
      <c r="L147" s="3"/>
      <c r="M147" s="3"/>
      <c r="N147" s="3"/>
      <c r="O147" s="3"/>
      <c r="P147" s="3"/>
      <c r="Q147" s="3"/>
      <c r="R147" s="3"/>
      <c r="S147" s="3"/>
      <c r="T147" s="3"/>
      <c r="U147" s="3"/>
      <c r="V147" s="3"/>
    </row>
    <row r="148" spans="1:22">
      <c r="A148" s="3"/>
      <c r="B148" s="3"/>
      <c r="C148" s="3"/>
      <c r="D148" s="3"/>
      <c r="E148" s="3"/>
      <c r="F148" s="3"/>
      <c r="G148" s="3"/>
      <c r="H148" s="3"/>
      <c r="I148" s="3"/>
      <c r="J148" s="3"/>
      <c r="K148" s="3"/>
      <c r="L148" s="3"/>
      <c r="M148" s="3"/>
      <c r="N148" s="3"/>
      <c r="O148" s="3"/>
      <c r="P148" s="3"/>
      <c r="Q148" s="3"/>
      <c r="R148" s="3"/>
      <c r="S148" s="3"/>
      <c r="T148" s="3"/>
      <c r="U148" s="3"/>
      <c r="V148" s="3"/>
    </row>
    <row r="149" spans="1:22">
      <c r="A149" s="3"/>
      <c r="B149" s="3"/>
      <c r="C149" s="3"/>
      <c r="D149" s="3"/>
      <c r="E149" s="3"/>
      <c r="F149" s="3"/>
      <c r="G149" s="3"/>
      <c r="H149" s="3"/>
      <c r="I149" s="3"/>
      <c r="J149" s="3"/>
      <c r="K149" s="3"/>
      <c r="L149" s="3"/>
      <c r="M149" s="3"/>
      <c r="N149" s="3"/>
      <c r="O149" s="3"/>
      <c r="P149" s="3"/>
      <c r="Q149" s="3"/>
      <c r="R149" s="3"/>
      <c r="S149" s="3"/>
      <c r="T149" s="3"/>
      <c r="U149" s="3"/>
      <c r="V149" s="3"/>
    </row>
    <row r="150" spans="1:22">
      <c r="A150" s="3"/>
      <c r="B150" s="3"/>
      <c r="C150" s="3"/>
      <c r="D150" s="3"/>
      <c r="E150" s="3"/>
      <c r="F150" s="3"/>
      <c r="G150" s="3"/>
      <c r="H150" s="3"/>
      <c r="I150" s="3"/>
      <c r="J150" s="3"/>
      <c r="K150" s="3"/>
      <c r="L150" s="3"/>
      <c r="M150" s="3"/>
      <c r="N150" s="3"/>
      <c r="O150" s="3"/>
      <c r="P150" s="3"/>
      <c r="Q150" s="3"/>
      <c r="R150" s="3"/>
      <c r="S150" s="3"/>
      <c r="T150" s="3"/>
      <c r="U150" s="3"/>
      <c r="V150" s="3"/>
    </row>
    <row r="151" spans="1:22">
      <c r="A151" s="3"/>
      <c r="B151" s="3"/>
      <c r="C151" s="3"/>
      <c r="D151" s="3"/>
      <c r="E151" s="3"/>
      <c r="F151" s="3"/>
      <c r="G151" s="3"/>
      <c r="H151" s="3"/>
      <c r="I151" s="3"/>
      <c r="J151" s="3"/>
      <c r="K151" s="3"/>
      <c r="L151" s="3"/>
      <c r="M151" s="3"/>
      <c r="N151" s="3"/>
      <c r="O151" s="3"/>
      <c r="P151" s="3"/>
      <c r="Q151" s="3"/>
      <c r="R151" s="3"/>
      <c r="S151" s="3"/>
      <c r="T151" s="3"/>
      <c r="U151" s="3"/>
      <c r="V151" s="3"/>
    </row>
    <row r="152" spans="1:22">
      <c r="A152" s="3"/>
      <c r="B152" s="3"/>
      <c r="C152" s="3"/>
      <c r="D152" s="3"/>
      <c r="E152" s="3"/>
      <c r="F152" s="3"/>
      <c r="G152" s="3"/>
      <c r="H152" s="3"/>
      <c r="I152" s="3"/>
      <c r="J152" s="3"/>
      <c r="K152" s="3"/>
      <c r="L152" s="3"/>
      <c r="M152" s="3"/>
      <c r="N152" s="3"/>
      <c r="O152" s="3"/>
      <c r="P152" s="3"/>
      <c r="Q152" s="3"/>
      <c r="R152" s="3"/>
      <c r="S152" s="3"/>
      <c r="T152" s="3"/>
      <c r="U152" s="3"/>
      <c r="V152" s="3"/>
    </row>
    <row r="153" spans="1:22">
      <c r="A153" s="3"/>
      <c r="B153" s="3"/>
      <c r="C153" s="3"/>
      <c r="D153" s="3"/>
      <c r="E153" s="3"/>
      <c r="F153" s="3"/>
      <c r="G153" s="3"/>
      <c r="H153" s="3"/>
      <c r="I153" s="3"/>
      <c r="J153" s="3"/>
      <c r="K153" s="3"/>
      <c r="L153" s="3"/>
      <c r="M153" s="3"/>
      <c r="N153" s="3"/>
      <c r="O153" s="3"/>
      <c r="P153" s="3"/>
      <c r="Q153" s="3"/>
      <c r="R153" s="3"/>
      <c r="S153" s="3"/>
      <c r="T153" s="3"/>
      <c r="U153" s="3"/>
      <c r="V153" s="3"/>
    </row>
    <row r="154" spans="1:22">
      <c r="A154" s="3"/>
      <c r="B154" s="3"/>
      <c r="C154" s="3"/>
      <c r="D154" s="3"/>
      <c r="E154" s="3"/>
      <c r="F154" s="3"/>
      <c r="G154" s="3"/>
      <c r="H154" s="3"/>
      <c r="I154" s="3"/>
      <c r="J154" s="3"/>
      <c r="K154" s="3"/>
      <c r="L154" s="3"/>
      <c r="M154" s="3"/>
      <c r="N154" s="3"/>
      <c r="O154" s="3"/>
      <c r="P154" s="3"/>
      <c r="Q154" s="3"/>
      <c r="R154" s="3"/>
      <c r="S154" s="3"/>
      <c r="T154" s="3"/>
      <c r="U154" s="3"/>
      <c r="V154" s="3"/>
    </row>
    <row r="155" spans="1:22">
      <c r="A155" s="3"/>
      <c r="B155" s="3"/>
      <c r="C155" s="3"/>
      <c r="D155" s="3"/>
      <c r="E155" s="3"/>
      <c r="F155" s="3"/>
      <c r="G155" s="3"/>
      <c r="H155" s="3"/>
      <c r="I155" s="3"/>
      <c r="J155" s="3"/>
      <c r="K155" s="3"/>
      <c r="L155" s="3"/>
      <c r="M155" s="3"/>
      <c r="N155" s="3"/>
      <c r="O155" s="3"/>
      <c r="P155" s="3"/>
      <c r="Q155" s="3"/>
      <c r="R155" s="3"/>
      <c r="S155" s="3"/>
      <c r="T155" s="3"/>
      <c r="U155" s="3"/>
      <c r="V155" s="3"/>
    </row>
    <row r="156" spans="1:22">
      <c r="A156" s="3"/>
      <c r="B156" s="3"/>
      <c r="C156" s="3"/>
      <c r="D156" s="3"/>
      <c r="E156" s="3"/>
      <c r="F156" s="3"/>
      <c r="G156" s="3"/>
      <c r="H156" s="3"/>
      <c r="I156" s="3"/>
      <c r="J156" s="3"/>
      <c r="K156" s="3"/>
      <c r="L156" s="3"/>
      <c r="M156" s="3"/>
      <c r="N156" s="3"/>
      <c r="O156" s="3"/>
      <c r="P156" s="3"/>
      <c r="Q156" s="3"/>
      <c r="R156" s="3"/>
      <c r="S156" s="3"/>
      <c r="T156" s="3"/>
      <c r="U156" s="3"/>
      <c r="V156" s="3"/>
    </row>
    <row r="157" spans="1:22">
      <c r="A157" s="3"/>
      <c r="B157" s="3"/>
      <c r="C157" s="3"/>
      <c r="D157" s="3"/>
      <c r="E157" s="3"/>
      <c r="F157" s="3"/>
      <c r="G157" s="3"/>
      <c r="H157" s="3"/>
      <c r="I157" s="3"/>
      <c r="J157" s="3"/>
      <c r="K157" s="3"/>
      <c r="L157" s="3"/>
      <c r="M157" s="3"/>
      <c r="N157" s="3"/>
      <c r="O157" s="3"/>
      <c r="P157" s="3"/>
      <c r="Q157" s="3"/>
      <c r="R157" s="3"/>
      <c r="S157" s="3"/>
      <c r="T157" s="3"/>
      <c r="U157" s="3"/>
      <c r="V157" s="3"/>
    </row>
    <row r="158" spans="1:22">
      <c r="A158" s="3"/>
      <c r="B158" s="3"/>
      <c r="C158" s="3"/>
      <c r="D158" s="3"/>
      <c r="E158" s="3"/>
      <c r="F158" s="3"/>
      <c r="G158" s="3"/>
      <c r="H158" s="3"/>
      <c r="I158" s="3"/>
      <c r="J158" s="3"/>
      <c r="K158" s="3"/>
      <c r="L158" s="3"/>
      <c r="M158" s="3"/>
      <c r="N158" s="3"/>
      <c r="O158" s="3"/>
      <c r="P158" s="3"/>
      <c r="Q158" s="3"/>
      <c r="R158" s="3"/>
      <c r="S158" s="3"/>
      <c r="T158" s="3"/>
      <c r="U158" s="3"/>
      <c r="V158" s="3"/>
    </row>
    <row r="159" spans="1:22">
      <c r="A159" s="3"/>
      <c r="B159" s="3"/>
      <c r="C159" s="3"/>
      <c r="D159" s="3"/>
      <c r="E159" s="3"/>
      <c r="F159" s="3"/>
      <c r="G159" s="3"/>
      <c r="H159" s="3"/>
      <c r="I159" s="3"/>
      <c r="J159" s="3"/>
      <c r="K159" s="3"/>
      <c r="L159" s="3"/>
      <c r="M159" s="3"/>
      <c r="N159" s="3"/>
      <c r="O159" s="3"/>
      <c r="P159" s="3"/>
      <c r="Q159" s="3"/>
      <c r="R159" s="3"/>
      <c r="S159" s="3"/>
      <c r="T159" s="3"/>
      <c r="U159" s="3"/>
      <c r="V159" s="3"/>
    </row>
    <row r="160" spans="1:22">
      <c r="A160" s="3"/>
      <c r="B160" s="3"/>
      <c r="C160" s="3"/>
      <c r="D160" s="3"/>
      <c r="E160" s="3"/>
      <c r="F160" s="3"/>
      <c r="G160" s="3"/>
      <c r="H160" s="3"/>
      <c r="I160" s="3"/>
      <c r="J160" s="3"/>
      <c r="K160" s="3"/>
      <c r="L160" s="3"/>
      <c r="M160" s="3"/>
      <c r="N160" s="3"/>
      <c r="O160" s="3"/>
      <c r="P160" s="3"/>
      <c r="Q160" s="3"/>
      <c r="R160" s="3"/>
      <c r="S160" s="3"/>
      <c r="T160" s="3"/>
      <c r="U160" s="3"/>
      <c r="V160" s="3"/>
    </row>
    <row r="161" spans="1:22">
      <c r="A161" s="3"/>
      <c r="B161" s="3"/>
      <c r="C161" s="3"/>
      <c r="D161" s="3"/>
      <c r="E161" s="3"/>
      <c r="F161" s="3"/>
      <c r="G161" s="3"/>
      <c r="H161" s="3"/>
      <c r="I161" s="3"/>
      <c r="J161" s="3"/>
      <c r="K161" s="3"/>
      <c r="L161" s="3"/>
      <c r="M161" s="3"/>
      <c r="N161" s="3"/>
      <c r="O161" s="3"/>
      <c r="P161" s="3"/>
      <c r="Q161" s="3"/>
      <c r="R161" s="3"/>
      <c r="S161" s="3"/>
      <c r="T161" s="3"/>
      <c r="U161" s="3"/>
      <c r="V161" s="3"/>
    </row>
    <row r="162" spans="1:22">
      <c r="A162" s="3"/>
      <c r="B162" s="3"/>
      <c r="C162" s="3"/>
      <c r="D162" s="3"/>
      <c r="E162" s="3"/>
      <c r="F162" s="3"/>
      <c r="G162" s="3"/>
      <c r="H162" s="3"/>
      <c r="I162" s="3"/>
      <c r="J162" s="3"/>
      <c r="K162" s="3"/>
      <c r="L162" s="3"/>
      <c r="M162" s="3"/>
      <c r="N162" s="3"/>
      <c r="O162" s="3"/>
      <c r="P162" s="3"/>
      <c r="Q162" s="3"/>
      <c r="R162" s="3"/>
      <c r="S162" s="3"/>
      <c r="T162" s="3"/>
      <c r="U162" s="3"/>
      <c r="V162" s="3"/>
    </row>
    <row r="163" spans="1:22">
      <c r="A163" s="3"/>
      <c r="B163" s="3"/>
      <c r="C163" s="3"/>
      <c r="D163" s="3"/>
      <c r="E163" s="3"/>
      <c r="F163" s="3"/>
      <c r="G163" s="3"/>
      <c r="H163" s="3"/>
      <c r="I163" s="3"/>
      <c r="J163" s="3"/>
      <c r="K163" s="3"/>
      <c r="L163" s="3"/>
      <c r="M163" s="3"/>
      <c r="N163" s="3"/>
      <c r="O163" s="3"/>
      <c r="P163" s="3"/>
      <c r="Q163" s="3"/>
      <c r="R163" s="3"/>
      <c r="S163" s="3"/>
      <c r="T163" s="3"/>
      <c r="U163" s="3"/>
      <c r="V163" s="3"/>
    </row>
    <row r="164" spans="1:22">
      <c r="A164" s="3"/>
      <c r="B164" s="3"/>
      <c r="C164" s="3"/>
      <c r="D164" s="3"/>
      <c r="E164" s="3"/>
      <c r="F164" s="3"/>
      <c r="G164" s="3"/>
      <c r="H164" s="3"/>
      <c r="I164" s="3"/>
      <c r="J164" s="3"/>
      <c r="K164" s="3"/>
      <c r="L164" s="3"/>
      <c r="M164" s="3"/>
      <c r="N164" s="3"/>
      <c r="O164" s="3"/>
      <c r="P164" s="3"/>
      <c r="Q164" s="3"/>
      <c r="R164" s="3"/>
      <c r="S164" s="3"/>
      <c r="T164" s="3"/>
      <c r="U164" s="3"/>
      <c r="V164" s="3"/>
    </row>
    <row r="165" spans="1:22">
      <c r="A165" s="3"/>
      <c r="B165" s="3"/>
      <c r="C165" s="3"/>
      <c r="D165" s="3"/>
      <c r="E165" s="3"/>
      <c r="F165" s="3"/>
      <c r="G165" s="3"/>
      <c r="H165" s="3"/>
      <c r="I165" s="3"/>
      <c r="J165" s="3"/>
      <c r="K165" s="3"/>
      <c r="L165" s="3"/>
      <c r="M165" s="3"/>
      <c r="N165" s="3"/>
      <c r="O165" s="3"/>
      <c r="P165" s="3"/>
      <c r="Q165" s="3"/>
      <c r="R165" s="3"/>
      <c r="S165" s="3"/>
      <c r="T165" s="3"/>
      <c r="U165" s="3"/>
      <c r="V165" s="3"/>
    </row>
    <row r="166" spans="1:22">
      <c r="A166" s="3"/>
      <c r="B166" s="3"/>
      <c r="C166" s="3"/>
      <c r="D166" s="3"/>
      <c r="E166" s="3"/>
      <c r="F166" s="3"/>
      <c r="G166" s="3"/>
      <c r="H166" s="3"/>
      <c r="I166" s="3"/>
      <c r="J166" s="3"/>
      <c r="K166" s="3"/>
      <c r="L166" s="3"/>
      <c r="M166" s="3"/>
      <c r="N166" s="3"/>
      <c r="O166" s="3"/>
      <c r="P166" s="3"/>
      <c r="Q166" s="3"/>
      <c r="R166" s="3"/>
      <c r="S166" s="3"/>
      <c r="T166" s="3"/>
      <c r="U166" s="3"/>
      <c r="V166" s="3"/>
    </row>
    <row r="167" spans="1:22">
      <c r="A167" s="3"/>
      <c r="B167" s="3"/>
      <c r="C167" s="3"/>
      <c r="D167" s="3"/>
      <c r="E167" s="3"/>
      <c r="F167" s="3"/>
      <c r="G167" s="3"/>
      <c r="H167" s="3"/>
      <c r="I167" s="3"/>
      <c r="J167" s="3"/>
      <c r="K167" s="3"/>
      <c r="L167" s="3"/>
      <c r="M167" s="3"/>
      <c r="N167" s="3"/>
      <c r="O167" s="3"/>
      <c r="P167" s="3"/>
      <c r="Q167" s="3"/>
      <c r="R167" s="3"/>
      <c r="S167" s="3"/>
      <c r="T167" s="3"/>
      <c r="U167" s="3"/>
      <c r="V167" s="3"/>
    </row>
    <row r="168" spans="1:22">
      <c r="A168" s="754"/>
    </row>
    <row r="169" spans="1:22">
      <c r="A169" s="754"/>
    </row>
    <row r="170" spans="1:22">
      <c r="A170" s="754"/>
    </row>
    <row r="171" spans="1:22">
      <c r="A171" s="754"/>
    </row>
    <row r="172" spans="1:22">
      <c r="A172" s="754"/>
    </row>
    <row r="173" spans="1:22">
      <c r="A173" s="754"/>
    </row>
    <row r="174" spans="1:22">
      <c r="A174" s="754"/>
    </row>
    <row r="175" spans="1:22">
      <c r="A175" s="754"/>
    </row>
    <row r="176" spans="1:22">
      <c r="A176" s="754"/>
    </row>
    <row r="177" spans="1:1">
      <c r="A177" s="754"/>
    </row>
    <row r="178" spans="1:1">
      <c r="A178" s="754"/>
    </row>
    <row r="179" spans="1:1">
      <c r="A179" s="754"/>
    </row>
    <row r="180" spans="1:1">
      <c r="A180" s="754"/>
    </row>
    <row r="181" spans="1:1">
      <c r="A181" s="754"/>
    </row>
    <row r="182" spans="1:1">
      <c r="A182" s="754"/>
    </row>
  </sheetData>
  <pageMargins left="0.7" right="0.7" top="0.75" bottom="0.75" header="0.3" footer="0.3"/>
  <pageSetup paperSize="9" orientation="portrait"/>
  <drawing r:id="rId1"/>
  <legacyDrawing r:id="rId2"/>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sheetPr>
    <tabColor rgb="FF92D050"/>
  </sheetPr>
  <dimension ref="B1:AT73"/>
  <sheetViews>
    <sheetView zoomScale="80" zoomScaleNormal="80" workbookViewId="0">
      <selection activeCell="E19" sqref="E19"/>
    </sheetView>
  </sheetViews>
  <sheetFormatPr defaultColWidth="9.109375" defaultRowHeight="13.2"/>
  <cols>
    <col min="1" max="1" width="2.33203125" style="754" customWidth="1"/>
    <col min="2" max="2" width="21.88671875" style="754" customWidth="1"/>
    <col min="3" max="3" width="13.5546875" style="754" customWidth="1"/>
    <col min="4" max="4" width="47.5546875" style="754" bestFit="1" customWidth="1"/>
    <col min="5" max="5" width="15.88671875" style="754" bestFit="1" customWidth="1"/>
    <col min="6" max="7" width="15.88671875" style="754" customWidth="1"/>
    <col min="8" max="8" width="14" style="754" customWidth="1"/>
    <col min="9" max="9" width="23.33203125" style="754" customWidth="1"/>
    <col min="10" max="10" width="12" style="754" bestFit="1" customWidth="1"/>
    <col min="11" max="11" width="20" style="754" bestFit="1" customWidth="1"/>
    <col min="12" max="12" width="17.88671875" style="754" customWidth="1"/>
    <col min="13" max="13" width="10.88671875" style="754" customWidth="1"/>
    <col min="14" max="14" width="9.33203125" style="754" bestFit="1" customWidth="1"/>
    <col min="15" max="15" width="11" style="754" bestFit="1" customWidth="1"/>
    <col min="16" max="16" width="16.6640625" style="754" customWidth="1"/>
    <col min="17" max="17" width="9.6640625" style="754" customWidth="1"/>
    <col min="18" max="18" width="14" style="754" customWidth="1"/>
    <col min="19" max="19" width="15" style="754" bestFit="1" customWidth="1"/>
    <col min="20" max="20" width="27.88671875" style="754" customWidth="1"/>
    <col min="21" max="23" width="13.44140625" style="754" customWidth="1"/>
    <col min="24" max="24" width="15" style="754" customWidth="1"/>
    <col min="25" max="25" width="12.5546875" style="754" bestFit="1" customWidth="1"/>
    <col min="26" max="26" width="14.44140625" style="754" customWidth="1"/>
    <col min="27" max="27" width="12.6640625" style="754" customWidth="1"/>
    <col min="28" max="28" width="13.44140625" style="754" bestFit="1" customWidth="1"/>
    <col min="29" max="29" width="16.88671875" style="754" customWidth="1"/>
    <col min="30" max="30" width="13.44140625" style="754" bestFit="1" customWidth="1"/>
    <col min="31" max="37" width="9.109375" style="754"/>
    <col min="38" max="38" width="20.5546875" style="754" bestFit="1" customWidth="1"/>
    <col min="39" max="16384" width="9.109375" style="754"/>
  </cols>
  <sheetData>
    <row r="1" spans="2:46">
      <c r="I1" s="2779" t="s">
        <v>3216</v>
      </c>
      <c r="J1" s="2780" t="s">
        <v>3211</v>
      </c>
      <c r="K1" s="2781"/>
    </row>
    <row r="2" spans="2:46">
      <c r="I2" s="242"/>
      <c r="J2" s="2765" t="s">
        <v>3212</v>
      </c>
      <c r="K2" s="2782"/>
    </row>
    <row r="4" spans="2:46">
      <c r="G4" s="7" t="s">
        <v>8</v>
      </c>
    </row>
    <row r="5" spans="2:46" ht="38.4" customHeight="1" thickBot="1">
      <c r="B5" s="16" t="s">
        <v>1</v>
      </c>
      <c r="C5" s="16" t="s">
        <v>2</v>
      </c>
      <c r="D5" s="16" t="s">
        <v>26</v>
      </c>
      <c r="E5" s="16" t="s">
        <v>14</v>
      </c>
      <c r="F5" s="16" t="s">
        <v>15</v>
      </c>
      <c r="G5" s="2559" t="s">
        <v>2767</v>
      </c>
      <c r="H5" s="28" t="s">
        <v>563</v>
      </c>
      <c r="I5" s="67" t="s">
        <v>200</v>
      </c>
      <c r="J5" s="29" t="s">
        <v>16</v>
      </c>
      <c r="K5" s="16" t="s">
        <v>533</v>
      </c>
      <c r="L5" s="66" t="s">
        <v>2647</v>
      </c>
      <c r="M5" s="66" t="s">
        <v>2412</v>
      </c>
      <c r="N5" s="65" t="s">
        <v>0</v>
      </c>
      <c r="O5" s="65" t="s">
        <v>53</v>
      </c>
      <c r="P5" s="65" t="s">
        <v>2294</v>
      </c>
      <c r="R5" s="65" t="s">
        <v>2648</v>
      </c>
      <c r="V5" s="765" t="s">
        <v>2299</v>
      </c>
      <c r="W5" s="765" t="s">
        <v>540</v>
      </c>
      <c r="X5" s="765" t="s">
        <v>2678</v>
      </c>
      <c r="Z5" s="31" t="s">
        <v>2682</v>
      </c>
      <c r="AA5" s="31"/>
      <c r="AB5" s="31"/>
      <c r="AC5" s="31"/>
      <c r="AD5" s="31"/>
    </row>
    <row r="6" spans="2:46" ht="31.8" thickTop="1" thickBot="1">
      <c r="B6" s="15" t="s">
        <v>27</v>
      </c>
      <c r="C6" s="15" t="s">
        <v>27</v>
      </c>
      <c r="D6" s="15"/>
      <c r="E6" s="15"/>
      <c r="F6" s="15"/>
      <c r="G6" s="15"/>
      <c r="H6" s="15" t="s">
        <v>153</v>
      </c>
      <c r="I6" s="15" t="s">
        <v>2425</v>
      </c>
      <c r="J6" s="15" t="s">
        <v>2426</v>
      </c>
      <c r="K6" s="15" t="s">
        <v>84</v>
      </c>
      <c r="L6" s="15" t="s">
        <v>85</v>
      </c>
      <c r="M6" s="2346" t="s">
        <v>404</v>
      </c>
      <c r="N6" s="15"/>
      <c r="O6" s="15" t="s">
        <v>54</v>
      </c>
      <c r="P6" s="15" t="s">
        <v>2295</v>
      </c>
      <c r="Z6" s="31" t="s">
        <v>2683</v>
      </c>
      <c r="AA6" s="31" t="s">
        <v>2684</v>
      </c>
      <c r="AB6" s="31" t="s">
        <v>2686</v>
      </c>
      <c r="AC6" s="31" t="s">
        <v>2687</v>
      </c>
      <c r="AD6" s="31" t="s">
        <v>2685</v>
      </c>
      <c r="AM6" s="388" t="s">
        <v>385</v>
      </c>
      <c r="AN6" s="82"/>
      <c r="AO6" s="82"/>
      <c r="AP6" s="319"/>
    </row>
    <row r="7" spans="2:46" ht="13.8">
      <c r="B7" s="697" t="s">
        <v>601</v>
      </c>
      <c r="C7" s="234" t="str">
        <f>Processes!D$34</f>
        <v>TFSNDSBL1E</v>
      </c>
      <c r="D7" s="234" t="str">
        <f>Processes!E$34</f>
        <v>Transport Freight Sea National - Existing</v>
      </c>
      <c r="E7" s="234" t="str">
        <f>Commodities!D105</f>
        <v>TRAOILBL1N</v>
      </c>
      <c r="F7" s="234" t="str">
        <f>Commodities!$D$49</f>
        <v>TFSNH</v>
      </c>
      <c r="G7" s="629" t="s">
        <v>3603</v>
      </c>
      <c r="H7" s="2789">
        <f>R7/(K7*I7*1000)</f>
        <v>8.2956961833733578E-2</v>
      </c>
      <c r="I7" s="2763">
        <v>133.17766614613399</v>
      </c>
      <c r="J7" s="2805">
        <f>50.1179213243319*I32</f>
        <v>8.3529868873886493</v>
      </c>
      <c r="K7" s="2796">
        <v>99555.0063688019</v>
      </c>
      <c r="L7" s="2776">
        <v>0.23682628731717087</v>
      </c>
      <c r="M7" s="1034">
        <v>5</v>
      </c>
      <c r="N7" s="1155">
        <v>1E-3</v>
      </c>
      <c r="O7" s="2400">
        <v>28</v>
      </c>
      <c r="P7" s="2400">
        <v>3.7164522307877547E-3</v>
      </c>
      <c r="R7" s="784">
        <f>Dem!E$48*10^6</f>
        <v>1099885160.6390934</v>
      </c>
      <c r="U7" s="3" t="str">
        <f>Dem!B48</f>
        <v>TFSNH</v>
      </c>
      <c r="V7" s="2265">
        <f>Dem!E48</f>
        <v>1099.8851606390933</v>
      </c>
      <c r="W7" s="548">
        <f>H7*K7*N7*I7</f>
        <v>1099.8851606390933</v>
      </c>
      <c r="X7" s="12">
        <f>W7/V7</f>
        <v>1</v>
      </c>
      <c r="Z7" s="754">
        <f>H7*1/J7*K7*L7*N7</f>
        <v>0.234155331031073</v>
      </c>
      <c r="AM7" s="2327" t="s">
        <v>368</v>
      </c>
      <c r="AN7" s="2328">
        <v>2009</v>
      </c>
      <c r="AO7" s="2328">
        <v>2010</v>
      </c>
      <c r="AP7" s="2329">
        <v>2011</v>
      </c>
      <c r="AR7" s="565" t="s">
        <v>601</v>
      </c>
      <c r="AS7" s="3" t="s">
        <v>2267</v>
      </c>
      <c r="AT7" s="765" t="s">
        <v>2649</v>
      </c>
    </row>
    <row r="8" spans="2:46" ht="13.8">
      <c r="B8" s="697" t="s">
        <v>601</v>
      </c>
      <c r="C8" s="629"/>
      <c r="D8" s="629"/>
      <c r="E8" s="629" t="str">
        <f>Commodities!D73</f>
        <v>TRAHFON</v>
      </c>
      <c r="F8" s="629"/>
      <c r="G8" s="234" t="s">
        <v>3603</v>
      </c>
      <c r="H8" s="2790"/>
      <c r="I8" s="1037"/>
      <c r="J8" s="2763"/>
      <c r="K8" s="1155"/>
      <c r="L8" s="2776">
        <v>0.76317371268282908</v>
      </c>
      <c r="M8" s="697">
        <v>5</v>
      </c>
      <c r="N8" s="1155"/>
      <c r="O8" s="2400"/>
      <c r="P8" s="2400"/>
      <c r="W8" s="548"/>
      <c r="X8" s="12"/>
      <c r="AA8" s="754">
        <f>H7*1/J7*K7*L8*N7</f>
        <v>0.75456654475241725</v>
      </c>
      <c r="AM8" s="2330" t="s">
        <v>374</v>
      </c>
      <c r="AN8" s="2331">
        <v>7534.5078779999994</v>
      </c>
      <c r="AO8" s="2331">
        <v>6533.0511479999996</v>
      </c>
      <c r="AP8" s="2332">
        <v>6385.4748</v>
      </c>
      <c r="AR8" s="565" t="s">
        <v>601</v>
      </c>
      <c r="AT8"/>
    </row>
    <row r="9" spans="2:46" ht="13.8">
      <c r="B9" s="697" t="s">
        <v>601</v>
      </c>
      <c r="C9" s="234" t="str">
        <f>Processes!D$35</f>
        <v>TFSIHFOX1E</v>
      </c>
      <c r="D9" s="234" t="str">
        <f>Processes!E$35</f>
        <v>Transport Freight Sea International - Existing</v>
      </c>
      <c r="E9" s="234" t="str">
        <f t="shared" ref="E9:E22" si="0">E7</f>
        <v>TRAOILBL1N</v>
      </c>
      <c r="F9" s="234" t="str">
        <f>Commodities!$D$50</f>
        <v>TFSIH</v>
      </c>
      <c r="G9" s="629" t="s">
        <v>3603</v>
      </c>
      <c r="H9" s="2789">
        <f>R9/(K9*I9*1000)</f>
        <v>1.4727074075908606E-3</v>
      </c>
      <c r="I9" s="2797">
        <v>90000</v>
      </c>
      <c r="J9" s="2797">
        <v>0.1</v>
      </c>
      <c r="K9" s="2796">
        <v>220565.192042371</v>
      </c>
      <c r="L9" s="2776">
        <v>9.0293144883762777E-2</v>
      </c>
      <c r="M9" s="697">
        <v>5</v>
      </c>
      <c r="N9" s="1155">
        <v>1E-3</v>
      </c>
      <c r="O9" s="2400">
        <v>28</v>
      </c>
      <c r="P9" s="2400">
        <v>3.7164522307877547E-3</v>
      </c>
      <c r="R9" s="754">
        <f>Dem!E$49*10^6</f>
        <v>29234519295.975048</v>
      </c>
      <c r="U9" s="3" t="str">
        <f>Dem!B49</f>
        <v>TFSIH</v>
      </c>
      <c r="V9" s="2265">
        <f>Dem!E49</f>
        <v>29234.519295975049</v>
      </c>
      <c r="W9" s="548">
        <f>H9*K9*N9*I9</f>
        <v>29234.519295975046</v>
      </c>
      <c r="X9" s="12">
        <f t="shared" ref="X9:X26" si="1">W9/V9</f>
        <v>0.99999999999999989</v>
      </c>
      <c r="AB9" s="754">
        <f>H9*1/J9*K9*L9*N9</f>
        <v>0.29329740959984818</v>
      </c>
      <c r="AM9" s="2333" t="s">
        <v>51</v>
      </c>
      <c r="AN9" s="2334">
        <v>0</v>
      </c>
      <c r="AO9" s="2334">
        <v>0</v>
      </c>
      <c r="AP9" s="2335">
        <v>0</v>
      </c>
      <c r="AR9" s="565" t="s">
        <v>601</v>
      </c>
      <c r="AS9" s="3" t="s">
        <v>2268</v>
      </c>
      <c r="AT9" s="765" t="s">
        <v>2650</v>
      </c>
    </row>
    <row r="10" spans="2:46" ht="13.8">
      <c r="B10" s="736" t="s">
        <v>601</v>
      </c>
      <c r="C10" s="404"/>
      <c r="D10" s="404"/>
      <c r="E10" s="234" t="str">
        <f t="shared" si="0"/>
        <v>TRAHFON</v>
      </c>
      <c r="F10" s="404"/>
      <c r="G10" s="404" t="s">
        <v>3603</v>
      </c>
      <c r="H10" s="2791"/>
      <c r="I10" s="2765"/>
      <c r="J10" s="2783"/>
      <c r="K10" s="2766"/>
      <c r="L10" s="2794">
        <v>0.90970685511623728</v>
      </c>
      <c r="M10" s="736">
        <v>5</v>
      </c>
      <c r="N10" s="2766"/>
      <c r="O10" s="2765"/>
      <c r="P10" s="2765"/>
      <c r="U10" s="23"/>
      <c r="V10" s="23"/>
      <c r="W10" s="548"/>
      <c r="X10" s="12"/>
      <c r="Z10" s="23"/>
      <c r="AA10" s="23"/>
      <c r="AB10" s="23"/>
      <c r="AC10" s="23">
        <f>H9*1/J9*K9*L10*N9</f>
        <v>2.9549825121751572</v>
      </c>
      <c r="AD10" s="23"/>
      <c r="AM10" s="2333" t="s">
        <v>365</v>
      </c>
      <c r="AN10" s="2334">
        <v>0</v>
      </c>
      <c r="AO10" s="2334">
        <v>0</v>
      </c>
      <c r="AP10" s="2335">
        <v>0</v>
      </c>
      <c r="AR10" s="565" t="s">
        <v>601</v>
      </c>
      <c r="AT10"/>
    </row>
    <row r="11" spans="2:46" ht="13.8">
      <c r="B11" s="697" t="s">
        <v>602</v>
      </c>
      <c r="C11" s="234" t="str">
        <f>Processes!D$34</f>
        <v>TFSNDSBL1E</v>
      </c>
      <c r="D11" s="234" t="str">
        <f>Processes!E$34</f>
        <v>Transport Freight Sea National - Existing</v>
      </c>
      <c r="E11" s="234" t="str">
        <f t="shared" si="0"/>
        <v>TRAOILBL1N</v>
      </c>
      <c r="F11" s="234" t="str">
        <f>Commodities!D49</f>
        <v>TFSNH</v>
      </c>
      <c r="G11" s="234" t="s">
        <v>3603</v>
      </c>
      <c r="H11" s="2789">
        <f>R11/(K11*I11*1000)</f>
        <v>3.9886185474707112E-2</v>
      </c>
      <c r="I11" s="2763">
        <f>I7</f>
        <v>133.17766614613399</v>
      </c>
      <c r="J11" s="2805">
        <f>J7</f>
        <v>8.3529868873886493</v>
      </c>
      <c r="K11" s="2796">
        <v>99555.006368801958</v>
      </c>
      <c r="L11" s="2776">
        <v>0.23682628731717087</v>
      </c>
      <c r="M11" s="697">
        <v>5</v>
      </c>
      <c r="N11" s="1155">
        <v>1E-3</v>
      </c>
      <c r="O11" s="2400">
        <v>28</v>
      </c>
      <c r="P11" s="2400">
        <v>3.7164522307877547E-3</v>
      </c>
      <c r="R11" s="784">
        <f>Dem!F$48*10^6</f>
        <v>528831125.78370208</v>
      </c>
      <c r="U11" s="754" t="str">
        <f>U7</f>
        <v>TFSNH</v>
      </c>
      <c r="V11" s="2147">
        <f>Dem!F48</f>
        <v>528.83112578370208</v>
      </c>
      <c r="W11" s="548">
        <f>H11*K11*N11*I11</f>
        <v>528.83112578370208</v>
      </c>
      <c r="X11" s="12">
        <f t="shared" si="1"/>
        <v>1</v>
      </c>
      <c r="Z11" s="754">
        <f>H11*1/J11*K11*L11*N11</f>
        <v>0.11258323300358607</v>
      </c>
      <c r="AM11" s="2333" t="s">
        <v>366</v>
      </c>
      <c r="AN11" s="2334">
        <v>6489.2744279999997</v>
      </c>
      <c r="AO11" s="2334">
        <v>5664.8484479999997</v>
      </c>
      <c r="AP11" s="2335">
        <v>5653.6935000000003</v>
      </c>
      <c r="AR11" s="565" t="s">
        <v>602</v>
      </c>
      <c r="AS11" s="3" t="s">
        <v>2267</v>
      </c>
      <c r="AT11" s="765" t="s">
        <v>2652</v>
      </c>
    </row>
    <row r="12" spans="2:46" ht="13.8">
      <c r="B12" s="697" t="s">
        <v>602</v>
      </c>
      <c r="C12" s="629"/>
      <c r="D12" s="629"/>
      <c r="E12" s="234" t="str">
        <f t="shared" si="0"/>
        <v>TRAHFON</v>
      </c>
      <c r="F12" s="629"/>
      <c r="G12" s="234" t="s">
        <v>3603</v>
      </c>
      <c r="H12" s="2790"/>
      <c r="I12" s="1037"/>
      <c r="J12" s="2763"/>
      <c r="K12" s="1155"/>
      <c r="L12" s="2776">
        <v>0.76317371268282908</v>
      </c>
      <c r="M12" s="697">
        <v>5</v>
      </c>
      <c r="N12" s="1155"/>
      <c r="O12" s="2400"/>
      <c r="P12" s="2400"/>
      <c r="W12" s="548"/>
      <c r="X12" s="12"/>
      <c r="AA12" s="754">
        <f>H11*1/J11*K11*L12*N11</f>
        <v>0.36279994459446646</v>
      </c>
      <c r="AM12" s="2333" t="s">
        <v>372</v>
      </c>
      <c r="AN12" s="2334">
        <v>1045.2334499999999</v>
      </c>
      <c r="AO12" s="2334">
        <v>868.20269999999994</v>
      </c>
      <c r="AP12" s="2335">
        <v>731.78129999999987</v>
      </c>
      <c r="AR12" s="565" t="s">
        <v>602</v>
      </c>
      <c r="AT12"/>
    </row>
    <row r="13" spans="2:46" ht="13.8">
      <c r="B13" s="697" t="s">
        <v>602</v>
      </c>
      <c r="C13" s="234" t="str">
        <f>Processes!D$35</f>
        <v>TFSIHFOX1E</v>
      </c>
      <c r="D13" s="234" t="str">
        <f>Processes!E$35</f>
        <v>Transport Freight Sea International - Existing</v>
      </c>
      <c r="E13" s="234" t="str">
        <f t="shared" si="0"/>
        <v>TRAOILBL1N</v>
      </c>
      <c r="F13" s="234" t="str">
        <f>Commodities!D50</f>
        <v>TFSIH</v>
      </c>
      <c r="G13" s="234" t="s">
        <v>3603</v>
      </c>
      <c r="H13" s="2789">
        <f>R13/(K13*I13*1000)</f>
        <v>3.7747413345282075E-3</v>
      </c>
      <c r="I13" s="2797">
        <f>I9</f>
        <v>90000</v>
      </c>
      <c r="J13" s="2797">
        <v>0.1</v>
      </c>
      <c r="K13" s="2796">
        <v>220565.19204237123</v>
      </c>
      <c r="L13" s="2776">
        <v>9.0293144883762777E-2</v>
      </c>
      <c r="M13" s="697">
        <v>5</v>
      </c>
      <c r="N13" s="1155">
        <v>1E-3</v>
      </c>
      <c r="O13" s="2400">
        <v>28</v>
      </c>
      <c r="P13" s="2400">
        <v>3.7164522307877547E-3</v>
      </c>
      <c r="R13" s="754">
        <f>Dem!F$49*10^6</f>
        <v>74931889262.444168</v>
      </c>
      <c r="U13" s="754" t="str">
        <f>U9</f>
        <v>TFSIH</v>
      </c>
      <c r="V13" s="2147">
        <f>Dem!F49</f>
        <v>74931.889262444165</v>
      </c>
      <c r="W13" s="548">
        <f>H13*K13*N13*I13</f>
        <v>74931.88926244418</v>
      </c>
      <c r="X13" s="12">
        <f t="shared" si="1"/>
        <v>1.0000000000000002</v>
      </c>
      <c r="AB13" s="754">
        <f>H13*1/J13*K13*L13*N13</f>
        <v>0.75175954817643775</v>
      </c>
      <c r="AM13" s="2333"/>
      <c r="AN13" s="2334"/>
      <c r="AO13" s="2334"/>
      <c r="AP13" s="2335"/>
      <c r="AR13" s="565" t="s">
        <v>602</v>
      </c>
      <c r="AS13" s="3" t="s">
        <v>2268</v>
      </c>
      <c r="AT13" s="765" t="s">
        <v>2655</v>
      </c>
    </row>
    <row r="14" spans="2:46" ht="13.8">
      <c r="B14" s="736" t="s">
        <v>602</v>
      </c>
      <c r="C14" s="404"/>
      <c r="D14" s="404"/>
      <c r="E14" s="234" t="str">
        <f t="shared" si="0"/>
        <v>TRAHFON</v>
      </c>
      <c r="F14" s="404"/>
      <c r="G14" s="404" t="s">
        <v>3603</v>
      </c>
      <c r="H14" s="2791"/>
      <c r="I14" s="2765"/>
      <c r="J14" s="2783"/>
      <c r="K14" s="2766"/>
      <c r="L14" s="2794">
        <v>0.90970685511623728</v>
      </c>
      <c r="M14" s="736">
        <v>5</v>
      </c>
      <c r="N14" s="2766"/>
      <c r="O14" s="2765"/>
      <c r="P14" s="2765"/>
      <c r="U14" s="23"/>
      <c r="V14" s="23"/>
      <c r="W14" s="548"/>
      <c r="X14" s="12"/>
      <c r="Z14" s="23"/>
      <c r="AA14" s="23"/>
      <c r="AB14" s="23"/>
      <c r="AC14" s="23">
        <f>H13*1/J13*K13*L14*N13</f>
        <v>7.5740059254284704</v>
      </c>
      <c r="AD14" s="23"/>
      <c r="AM14" s="2330" t="s">
        <v>375</v>
      </c>
      <c r="AN14" s="2336">
        <v>1468.6020028872301</v>
      </c>
      <c r="AO14" s="2336">
        <v>1555.9109170194001</v>
      </c>
      <c r="AP14" s="2337">
        <v>1469.6110494839199</v>
      </c>
      <c r="AR14" s="565" t="s">
        <v>602</v>
      </c>
      <c r="AS14" s="543"/>
      <c r="AT14"/>
    </row>
    <row r="15" spans="2:46" ht="13.8">
      <c r="B15" s="697" t="s">
        <v>603</v>
      </c>
      <c r="C15" s="234" t="str">
        <f>Processes!D$34</f>
        <v>TFSNDSBL1E</v>
      </c>
      <c r="D15" s="234" t="str">
        <f>Processes!E$34</f>
        <v>Transport Freight Sea National - Existing</v>
      </c>
      <c r="E15" s="234" t="str">
        <f t="shared" si="0"/>
        <v>TRAOILBL1N</v>
      </c>
      <c r="F15" s="234" t="str">
        <f>Commodities!$D$49</f>
        <v>TFSNH</v>
      </c>
      <c r="G15" s="234" t="s">
        <v>3603</v>
      </c>
      <c r="H15" s="2789">
        <f>R15/(K15*I15*1000)</f>
        <v>0.23244099171576751</v>
      </c>
      <c r="I15" s="2763">
        <f>I11</f>
        <v>133.17766614613399</v>
      </c>
      <c r="J15" s="2805">
        <f>J7</f>
        <v>8.3529868873886493</v>
      </c>
      <c r="K15" s="2796">
        <v>99555.0063688019</v>
      </c>
      <c r="L15" s="2776">
        <v>0.23682628731717087</v>
      </c>
      <c r="M15" s="697">
        <v>5</v>
      </c>
      <c r="N15" s="1155">
        <v>1E-3</v>
      </c>
      <c r="O15" s="2400">
        <v>28</v>
      </c>
      <c r="P15" s="2400">
        <v>3.7164522307877547E-3</v>
      </c>
      <c r="R15" s="784">
        <f>Dem!G$48*10^6</f>
        <v>3081819679.2791214</v>
      </c>
      <c r="U15" s="754" t="str">
        <f>U11</f>
        <v>TFSNH</v>
      </c>
      <c r="V15" s="581">
        <f>Dem!G48</f>
        <v>3081.8196792791214</v>
      </c>
      <c r="W15" s="548">
        <f>H15*K15*N15*I15</f>
        <v>3081.8196792791209</v>
      </c>
      <c r="X15" s="12">
        <f t="shared" si="1"/>
        <v>0.99999999999999989</v>
      </c>
      <c r="Z15" s="754">
        <f>H15*1/J15*K15*L15*N15</f>
        <v>0.6560907747499517</v>
      </c>
      <c r="AM15" s="2333" t="s">
        <v>51</v>
      </c>
      <c r="AN15" s="2338">
        <v>0</v>
      </c>
      <c r="AO15" s="2338">
        <v>0</v>
      </c>
      <c r="AP15" s="2339">
        <v>0</v>
      </c>
      <c r="AR15" s="565" t="s">
        <v>601</v>
      </c>
      <c r="AS15" s="3" t="s">
        <v>2269</v>
      </c>
      <c r="AT15" s="765" t="s">
        <v>2651</v>
      </c>
    </row>
    <row r="16" spans="2:46" ht="13.8">
      <c r="B16" s="697" t="s">
        <v>603</v>
      </c>
      <c r="C16" s="629"/>
      <c r="D16" s="629"/>
      <c r="E16" s="234" t="str">
        <f t="shared" si="0"/>
        <v>TRAHFON</v>
      </c>
      <c r="F16" s="629"/>
      <c r="G16" s="234" t="s">
        <v>3603</v>
      </c>
      <c r="H16" s="2790"/>
      <c r="I16" s="1037"/>
      <c r="J16" s="2763"/>
      <c r="K16" s="1155"/>
      <c r="L16" s="2776">
        <v>0.76317371268282908</v>
      </c>
      <c r="M16" s="697">
        <v>5</v>
      </c>
      <c r="N16" s="1155"/>
      <c r="O16" s="2400"/>
      <c r="P16" s="2400"/>
      <c r="W16" s="548"/>
      <c r="X16" s="12"/>
      <c r="AA16" s="754">
        <f>H15*1/J15*K15*L16*N15</f>
        <v>2.1142552969734068</v>
      </c>
      <c r="AM16" s="2333" t="s">
        <v>370</v>
      </c>
      <c r="AN16" s="2338">
        <v>73.391279999999995</v>
      </c>
      <c r="AO16" s="2338">
        <v>65.678976000000006</v>
      </c>
      <c r="AP16" s="2339">
        <v>57.438005999999994</v>
      </c>
      <c r="AR16" s="577" t="s">
        <v>602</v>
      </c>
      <c r="AS16" s="27" t="s">
        <v>2269</v>
      </c>
      <c r="AT16" s="765" t="s">
        <v>2658</v>
      </c>
    </row>
    <row r="17" spans="2:46" ht="13.8">
      <c r="B17" s="697" t="s">
        <v>603</v>
      </c>
      <c r="C17" s="234" t="str">
        <f>Processes!D$35</f>
        <v>TFSIHFOX1E</v>
      </c>
      <c r="D17" s="234" t="str">
        <f>Processes!E$35</f>
        <v>Transport Freight Sea International - Existing</v>
      </c>
      <c r="E17" s="234" t="str">
        <f t="shared" si="0"/>
        <v>TRAOILBL1N</v>
      </c>
      <c r="F17" s="234" t="str">
        <f>Commodities!$D$50</f>
        <v>TFSIH</v>
      </c>
      <c r="G17" s="234" t="s">
        <v>3603</v>
      </c>
      <c r="H17" s="2789">
        <f>R17/(K17*I17*1000)</f>
        <v>1.9392823652449126E-2</v>
      </c>
      <c r="I17" s="2797">
        <f>I13</f>
        <v>90000</v>
      </c>
      <c r="J17" s="2797">
        <v>0.1</v>
      </c>
      <c r="K17" s="2796">
        <v>220565.19204237123</v>
      </c>
      <c r="L17" s="2776">
        <v>9.0293144883762777E-2</v>
      </c>
      <c r="M17" s="697">
        <v>5</v>
      </c>
      <c r="N17" s="1155">
        <v>1E-3</v>
      </c>
      <c r="O17" s="2400">
        <v>28</v>
      </c>
      <c r="P17" s="2400">
        <v>3.7164522307877547E-3</v>
      </c>
      <c r="R17" s="754">
        <f>Dem!G$49*10^6</f>
        <v>384964368583.16522</v>
      </c>
      <c r="U17" s="754" t="str">
        <f>U13</f>
        <v>TFSIH</v>
      </c>
      <c r="V17" s="581">
        <f>Dem!G49</f>
        <v>384964.36858316523</v>
      </c>
      <c r="W17" s="548">
        <f>H17*K17*N17*I17</f>
        <v>384964.36858316528</v>
      </c>
      <c r="X17" s="12">
        <f t="shared" si="1"/>
        <v>1.0000000000000002</v>
      </c>
      <c r="AB17" s="754">
        <f>H17*1/J17*K17*L17*N17</f>
        <v>3.8621826119517779</v>
      </c>
      <c r="AM17" s="2333" t="s">
        <v>364</v>
      </c>
      <c r="AN17" s="2338">
        <v>1.2811499999999998</v>
      </c>
      <c r="AO17" s="2338">
        <v>0.88694999999999991</v>
      </c>
      <c r="AP17" s="2339">
        <v>1.0511999999999997</v>
      </c>
      <c r="AR17" s="565" t="s">
        <v>603</v>
      </c>
      <c r="AS17" s="3" t="s">
        <v>2267</v>
      </c>
      <c r="AT17" s="765" t="s">
        <v>2653</v>
      </c>
    </row>
    <row r="18" spans="2:46" ht="13.8">
      <c r="B18" s="736" t="s">
        <v>603</v>
      </c>
      <c r="C18" s="404"/>
      <c r="D18" s="404"/>
      <c r="E18" s="234" t="str">
        <f t="shared" si="0"/>
        <v>TRAHFON</v>
      </c>
      <c r="F18" s="404"/>
      <c r="G18" s="404" t="s">
        <v>3603</v>
      </c>
      <c r="H18" s="2791"/>
      <c r="I18" s="2765"/>
      <c r="J18" s="2783"/>
      <c r="K18" s="2766"/>
      <c r="L18" s="2794">
        <v>0.90970685511623728</v>
      </c>
      <c r="M18" s="736">
        <v>5</v>
      </c>
      <c r="N18" s="2766"/>
      <c r="O18" s="2765"/>
      <c r="P18" s="2765"/>
      <c r="U18" s="23"/>
      <c r="V18" s="23"/>
      <c r="W18" s="548"/>
      <c r="X18" s="12"/>
      <c r="Z18" s="23"/>
      <c r="AA18" s="23"/>
      <c r="AB18" s="23"/>
      <c r="AC18" s="23">
        <f>H17*1/J17*K17*L18*N17</f>
        <v>38.911636119511037</v>
      </c>
      <c r="AD18" s="23"/>
      <c r="AM18" s="2333" t="s">
        <v>365</v>
      </c>
      <c r="AN18" s="2338">
        <v>0</v>
      </c>
      <c r="AO18" s="2338">
        <v>0</v>
      </c>
      <c r="AP18" s="2339">
        <v>0</v>
      </c>
      <c r="AR18" s="565" t="s">
        <v>603</v>
      </c>
    </row>
    <row r="19" spans="2:46" ht="13.8">
      <c r="B19" s="697" t="s">
        <v>604</v>
      </c>
      <c r="C19" s="234" t="str">
        <f>Processes!D$34</f>
        <v>TFSNDSBL1E</v>
      </c>
      <c r="D19" s="234" t="str">
        <f>Processes!E$34</f>
        <v>Transport Freight Sea National - Existing</v>
      </c>
      <c r="E19" s="234" t="str">
        <f t="shared" si="0"/>
        <v>TRAOILBL1N</v>
      </c>
      <c r="F19" s="234" t="str">
        <f>Commodities!D49</f>
        <v>TFSNH</v>
      </c>
      <c r="G19" s="234" t="s">
        <v>3603</v>
      </c>
      <c r="H19" s="2789">
        <f>R19/(K19*I19*1000)</f>
        <v>0.23690072244321078</v>
      </c>
      <c r="I19" s="2763">
        <f>I15</f>
        <v>133.17766614613399</v>
      </c>
      <c r="J19" s="2805">
        <f>J7</f>
        <v>8.3529868873886493</v>
      </c>
      <c r="K19" s="2796">
        <v>99555.006368801958</v>
      </c>
      <c r="L19" s="2776">
        <v>0.23682628731717087</v>
      </c>
      <c r="M19" s="697">
        <v>5</v>
      </c>
      <c r="N19" s="1155">
        <v>1E-3</v>
      </c>
      <c r="O19" s="2400">
        <v>28</v>
      </c>
      <c r="P19" s="2400">
        <v>3.7164522307877547E-3</v>
      </c>
      <c r="R19" s="784">
        <f>Dem!H$48*10^6</f>
        <v>3140949034.2980824</v>
      </c>
      <c r="U19" s="754" t="str">
        <f>U15</f>
        <v>TFSNH</v>
      </c>
      <c r="V19" s="581">
        <f>Dem!H48</f>
        <v>3140.9490342980826</v>
      </c>
      <c r="W19" s="548">
        <f>H19*K19*N19*I19</f>
        <v>3140.9490342980821</v>
      </c>
      <c r="X19" s="12">
        <f t="shared" si="1"/>
        <v>0.99999999999999989</v>
      </c>
      <c r="Z19" s="754">
        <f>H19*1/J19*K19*L19*N19</f>
        <v>0.66867886502846186</v>
      </c>
      <c r="AM19" s="2333" t="s">
        <v>371</v>
      </c>
      <c r="AN19" s="2338">
        <v>1393.9295728872301</v>
      </c>
      <c r="AO19" s="2338">
        <v>1489.3449910194001</v>
      </c>
      <c r="AP19" s="2339">
        <v>1411.12184348392</v>
      </c>
      <c r="AR19" s="565" t="s">
        <v>603</v>
      </c>
      <c r="AS19" s="3" t="s">
        <v>2268</v>
      </c>
      <c r="AT19" s="765" t="s">
        <v>2656</v>
      </c>
    </row>
    <row r="20" spans="2:46" ht="13.8">
      <c r="B20" s="697" t="s">
        <v>604</v>
      </c>
      <c r="C20" s="629"/>
      <c r="D20" s="629"/>
      <c r="E20" s="234" t="str">
        <f t="shared" si="0"/>
        <v>TRAHFON</v>
      </c>
      <c r="F20" s="629"/>
      <c r="G20" s="234" t="s">
        <v>3603</v>
      </c>
      <c r="H20" s="2790"/>
      <c r="I20" s="1037"/>
      <c r="J20" s="2763"/>
      <c r="K20" s="1155"/>
      <c r="L20" s="2776">
        <v>0.76317371268282908</v>
      </c>
      <c r="M20" s="697">
        <v>5</v>
      </c>
      <c r="N20" s="1155"/>
      <c r="O20" s="2400"/>
      <c r="P20" s="2400"/>
      <c r="W20" s="548"/>
      <c r="X20" s="12"/>
      <c r="AA20" s="754">
        <f>H19*1/J19*K19*L20*N19</f>
        <v>2.1548204711450181</v>
      </c>
      <c r="AM20" s="2333"/>
      <c r="AN20" s="2334"/>
      <c r="AO20" s="2334"/>
      <c r="AP20" s="2335"/>
      <c r="AR20" s="565" t="s">
        <v>603</v>
      </c>
    </row>
    <row r="21" spans="2:46" ht="13.8">
      <c r="B21" s="697" t="s">
        <v>604</v>
      </c>
      <c r="C21" s="234" t="str">
        <f>Processes!D$35</f>
        <v>TFSIHFOX1E</v>
      </c>
      <c r="D21" s="234" t="str">
        <f>Processes!E$35</f>
        <v>Transport Freight Sea International - Existing</v>
      </c>
      <c r="E21" s="234" t="str">
        <f t="shared" si="0"/>
        <v>TRAOILBL1N</v>
      </c>
      <c r="F21" s="234" t="str">
        <f>Commodities!D50</f>
        <v>TFSIH</v>
      </c>
      <c r="G21" s="234" t="s">
        <v>3603</v>
      </c>
      <c r="H21" s="2789">
        <f>R21/(K21*I21*1000)</f>
        <v>1.1747891894303973E-2</v>
      </c>
      <c r="I21" s="2797">
        <f>I17</f>
        <v>90000</v>
      </c>
      <c r="J21" s="2797">
        <v>0.1</v>
      </c>
      <c r="K21" s="2796">
        <v>220565.19204237123</v>
      </c>
      <c r="L21" s="2776">
        <v>9.0293144883762777E-2</v>
      </c>
      <c r="M21" s="697">
        <v>5</v>
      </c>
      <c r="N21" s="1155">
        <v>1E-3</v>
      </c>
      <c r="O21" s="2400">
        <v>28</v>
      </c>
      <c r="P21" s="2400">
        <v>3.7164522307877547E-3</v>
      </c>
      <c r="R21" s="754">
        <f>Dem!H$49*10^6</f>
        <v>233205842858.41547</v>
      </c>
      <c r="U21" s="754" t="str">
        <f>U17</f>
        <v>TFSIH</v>
      </c>
      <c r="V21" s="581">
        <f>Dem!H49</f>
        <v>233205.84285841548</v>
      </c>
      <c r="W21" s="548">
        <f>H21*K21*N21*I21</f>
        <v>233205.8428584155</v>
      </c>
      <c r="X21" s="12">
        <f t="shared" si="1"/>
        <v>1.0000000000000002</v>
      </c>
      <c r="AB21" s="754">
        <f>H21*1/J21*K21*L21*N21</f>
        <v>2.3396543285505467</v>
      </c>
      <c r="AM21" s="2330" t="s">
        <v>376</v>
      </c>
      <c r="AN21" s="2336">
        <v>32828.418579112767</v>
      </c>
      <c r="AO21" s="2336">
        <v>34238.729560980595</v>
      </c>
      <c r="AP21" s="2337">
        <v>35167.18630851608</v>
      </c>
      <c r="AR21" s="565" t="s">
        <v>604</v>
      </c>
      <c r="AS21" s="3" t="s">
        <v>2267</v>
      </c>
      <c r="AT21" s="765" t="s">
        <v>2654</v>
      </c>
    </row>
    <row r="22" spans="2:46" ht="13.8">
      <c r="B22" s="736" t="s">
        <v>604</v>
      </c>
      <c r="C22" s="404"/>
      <c r="D22" s="404"/>
      <c r="E22" s="234" t="str">
        <f t="shared" si="0"/>
        <v>TRAHFON</v>
      </c>
      <c r="F22" s="404"/>
      <c r="G22" s="736" t="s">
        <v>3603</v>
      </c>
      <c r="H22" s="2791"/>
      <c r="I22" s="2765"/>
      <c r="J22" s="2783"/>
      <c r="K22" s="2766"/>
      <c r="L22" s="2794">
        <v>0.90970685511623728</v>
      </c>
      <c r="M22" s="736">
        <v>5</v>
      </c>
      <c r="N22" s="2766"/>
      <c r="O22" s="2765"/>
      <c r="P22" s="2765"/>
      <c r="U22" s="23"/>
      <c r="V22" s="23"/>
      <c r="W22" s="548"/>
      <c r="X22" s="12"/>
      <c r="Z22" s="23"/>
      <c r="AA22" s="23"/>
      <c r="AB22" s="23"/>
      <c r="AC22" s="23">
        <f>H21*1/J21*K21*L22*N21</f>
        <v>23.57210598905117</v>
      </c>
      <c r="AD22" s="23"/>
      <c r="AM22" s="2333" t="s">
        <v>370</v>
      </c>
      <c r="AN22" s="2334">
        <v>3.8561519999999994</v>
      </c>
      <c r="AO22" s="2334">
        <v>3.8561519999999994</v>
      </c>
      <c r="AP22" s="2335">
        <v>3.8561519999999994</v>
      </c>
      <c r="AR22" s="565" t="s">
        <v>604</v>
      </c>
      <c r="AT22"/>
    </row>
    <row r="23" spans="2:46" ht="14.4" thickBot="1">
      <c r="B23" s="615" t="s">
        <v>601</v>
      </c>
      <c r="C23" s="2792" t="str">
        <f>Processes!D$36</f>
        <v>TFAIKENA1E</v>
      </c>
      <c r="D23" s="2792" t="str">
        <f>Processes!E$36</f>
        <v>Transport Freight Air International - Blending 1 - Existing</v>
      </c>
      <c r="E23" s="2792" t="str">
        <f>Commodities!D90</f>
        <v>TRAKENA1</v>
      </c>
      <c r="F23" s="2792" t="str">
        <f>Commodities!$D$51</f>
        <v>TFAIV</v>
      </c>
      <c r="G23" s="2793" t="s">
        <v>3603</v>
      </c>
      <c r="H23" s="2791">
        <f>R23/(K23*I23*1000)</f>
        <v>1.3268271105272084E-6</v>
      </c>
      <c r="I23" s="2765">
        <v>80</v>
      </c>
      <c r="J23" s="2765">
        <v>37.6</v>
      </c>
      <c r="K23" s="2766">
        <v>2800000</v>
      </c>
      <c r="L23" s="2777"/>
      <c r="M23" s="404"/>
      <c r="N23" s="1155">
        <v>1E-3</v>
      </c>
      <c r="O23" s="2765">
        <v>30</v>
      </c>
      <c r="P23" s="2765">
        <v>4.0971295478940781E-2</v>
      </c>
      <c r="R23" s="784">
        <f>Dem!E$50*10^6</f>
        <v>297209.27275809465</v>
      </c>
      <c r="U23" s="27" t="str">
        <f>Dem!B50</f>
        <v>TFAIV</v>
      </c>
      <c r="V23" s="2344">
        <f>Dem!E50</f>
        <v>0.29720927275809467</v>
      </c>
      <c r="W23" s="548">
        <f>H23*K23*N23*I23</f>
        <v>0.29720927275809472</v>
      </c>
      <c r="X23" s="12">
        <f t="shared" si="1"/>
        <v>1.0000000000000002</v>
      </c>
      <c r="Z23" s="23"/>
      <c r="AA23" s="23"/>
      <c r="AB23" s="23"/>
      <c r="AC23" s="23"/>
      <c r="AD23" s="23">
        <f>H23*1/J23*K23*N23</f>
        <v>9.880627418819636E-5</v>
      </c>
      <c r="AM23" s="2341" t="s">
        <v>371</v>
      </c>
      <c r="AN23" s="2342">
        <v>32824.562427112767</v>
      </c>
      <c r="AO23" s="2342">
        <v>34234.873408980595</v>
      </c>
      <c r="AP23" s="2343">
        <v>35163.33015651608</v>
      </c>
      <c r="AR23" s="565" t="s">
        <v>604</v>
      </c>
      <c r="AS23" s="3" t="s">
        <v>2268</v>
      </c>
      <c r="AT23" s="765" t="s">
        <v>2657</v>
      </c>
    </row>
    <row r="24" spans="2:46" ht="13.8" thickTop="1">
      <c r="B24" s="736" t="s">
        <v>602</v>
      </c>
      <c r="C24" s="404" t="str">
        <f>Processes!D$36</f>
        <v>TFAIKENA1E</v>
      </c>
      <c r="D24" s="404" t="str">
        <f>Processes!E$36</f>
        <v>Transport Freight Air International - Blending 1 - Existing</v>
      </c>
      <c r="E24" s="404" t="str">
        <f>Commodities!D90</f>
        <v>TRAKENA1</v>
      </c>
      <c r="F24" s="404" t="str">
        <f>Commodities!D51</f>
        <v>TFAIV</v>
      </c>
      <c r="G24" s="736" t="s">
        <v>3603</v>
      </c>
      <c r="H24" s="2791">
        <f>R24/(K24*I24*1000)</f>
        <v>2.5949944961679502E-6</v>
      </c>
      <c r="I24" s="2765">
        <v>80</v>
      </c>
      <c r="J24" s="2765">
        <v>37.6</v>
      </c>
      <c r="K24" s="2766">
        <v>2800000</v>
      </c>
      <c r="L24" s="2777"/>
      <c r="M24" s="404"/>
      <c r="N24" s="2766">
        <v>1E-3</v>
      </c>
      <c r="O24" s="2765">
        <v>30</v>
      </c>
      <c r="P24" s="2765">
        <v>4.0971295478940781E-2</v>
      </c>
      <c r="R24" s="784">
        <f>Dem!F$50*10^6</f>
        <v>581278.76714162086</v>
      </c>
      <c r="U24" s="23" t="str">
        <f>U23</f>
        <v>TFAIV</v>
      </c>
      <c r="V24" s="2345">
        <f>Dem!F50</f>
        <v>0.58127876714162086</v>
      </c>
      <c r="W24" s="548">
        <f>H24*K24*N24*I24</f>
        <v>0.58127876714162086</v>
      </c>
      <c r="X24" s="12">
        <f t="shared" si="1"/>
        <v>1</v>
      </c>
      <c r="Z24" s="23"/>
      <c r="AA24" s="23"/>
      <c r="AB24" s="23"/>
      <c r="AC24" s="23"/>
      <c r="AD24" s="23">
        <f>H24*1/J24*K24*N24</f>
        <v>1.9324427099123035E-4</v>
      </c>
      <c r="AR24" s="565" t="s">
        <v>604</v>
      </c>
      <c r="AS24" s="543"/>
      <c r="AT24"/>
    </row>
    <row r="25" spans="2:46">
      <c r="B25" s="615" t="s">
        <v>603</v>
      </c>
      <c r="C25" s="2792" t="str">
        <f>Processes!D$36</f>
        <v>TFAIKENA1E</v>
      </c>
      <c r="D25" s="2792" t="str">
        <f>Processes!E$36</f>
        <v>Transport Freight Air International - Blending 1 - Existing</v>
      </c>
      <c r="E25" s="2792" t="str">
        <f>Commodities!D90</f>
        <v>TRAKENA1</v>
      </c>
      <c r="F25" s="2792" t="str">
        <f>Commodities!$D$51</f>
        <v>TFAIV</v>
      </c>
      <c r="G25" s="2793" t="s">
        <v>3603</v>
      </c>
      <c r="H25" s="2791">
        <f>R25/(K25*I25*1000)</f>
        <v>2.9373996902909503E-4</v>
      </c>
      <c r="I25" s="2765">
        <v>80</v>
      </c>
      <c r="J25" s="2765">
        <v>37.6</v>
      </c>
      <c r="K25" s="2766">
        <v>2800000</v>
      </c>
      <c r="L25" s="2795"/>
      <c r="M25" s="2792"/>
      <c r="N25" s="1155">
        <v>1E-3</v>
      </c>
      <c r="O25" s="2400">
        <v>30</v>
      </c>
      <c r="P25" s="2400">
        <v>4.0971295478940781E-2</v>
      </c>
      <c r="R25" s="784">
        <f>Dem!G$50*10^6</f>
        <v>65797753.062517285</v>
      </c>
      <c r="U25" s="23" t="str">
        <f>U24</f>
        <v>TFAIV</v>
      </c>
      <c r="V25" s="2119">
        <f>Dem!G50</f>
        <v>65.797753062517288</v>
      </c>
      <c r="W25" s="548">
        <f>H25*K25*N25*I25</f>
        <v>65.797753062517288</v>
      </c>
      <c r="X25" s="12">
        <f t="shared" si="1"/>
        <v>1</v>
      </c>
      <c r="Z25" s="23"/>
      <c r="AA25" s="23"/>
      <c r="AB25" s="23"/>
      <c r="AC25" s="23"/>
      <c r="AD25" s="23">
        <f>H25*1/J25*K25*N25</f>
        <v>2.1874253012804951E-2</v>
      </c>
      <c r="AR25" s="565" t="s">
        <v>603</v>
      </c>
      <c r="AS25" s="3" t="s">
        <v>2269</v>
      </c>
      <c r="AT25" s="765" t="s">
        <v>2659</v>
      </c>
    </row>
    <row r="26" spans="2:46">
      <c r="B26" s="736" t="s">
        <v>604</v>
      </c>
      <c r="C26" s="404" t="str">
        <f>Processes!D$36</f>
        <v>TFAIKENA1E</v>
      </c>
      <c r="D26" s="404" t="str">
        <f>Processes!E$36</f>
        <v>Transport Freight Air International - Blending 1 - Existing</v>
      </c>
      <c r="E26" s="404" t="str">
        <f>Commodities!D90</f>
        <v>TRAKENA1</v>
      </c>
      <c r="F26" s="404" t="str">
        <f>Commodities!D51</f>
        <v>TFAIV</v>
      </c>
      <c r="G26" s="736" t="s">
        <v>3603</v>
      </c>
      <c r="H26" s="2791">
        <f>R26/(K26*I26*1000)</f>
        <v>1.5416334364209812E-5</v>
      </c>
      <c r="I26" s="2765">
        <v>80</v>
      </c>
      <c r="J26" s="2765">
        <v>37.6</v>
      </c>
      <c r="K26" s="2766">
        <v>2800000</v>
      </c>
      <c r="L26" s="2777"/>
      <c r="M26" s="404"/>
      <c r="N26" s="2766">
        <v>1E-3</v>
      </c>
      <c r="O26" s="2765">
        <v>30</v>
      </c>
      <c r="P26" s="2765">
        <v>4.0971295478940781E-2</v>
      </c>
      <c r="R26" s="784">
        <f>Dem!H$50*10^6</f>
        <v>3453258.897582998</v>
      </c>
      <c r="U26" s="23" t="str">
        <f>U25</f>
        <v>TFAIV</v>
      </c>
      <c r="V26" s="2119">
        <f>Dem!H50</f>
        <v>3.4532588975829981</v>
      </c>
      <c r="W26" s="548">
        <f>H26*K26*N26*I26</f>
        <v>3.4532588975829976</v>
      </c>
      <c r="X26" s="12">
        <f t="shared" si="1"/>
        <v>0.99999999999999989</v>
      </c>
      <c r="Z26" s="23"/>
      <c r="AA26" s="23"/>
      <c r="AB26" s="23"/>
      <c r="AC26" s="23"/>
      <c r="AD26" s="23">
        <f>H26*1/J26*K26*N26</f>
        <v>1.1480248994624328E-3</v>
      </c>
      <c r="AR26" s="577" t="s">
        <v>604</v>
      </c>
      <c r="AS26" s="27" t="s">
        <v>2269</v>
      </c>
      <c r="AT26" s="765" t="s">
        <v>2660</v>
      </c>
    </row>
    <row r="27" spans="2:46">
      <c r="B27" s="565"/>
      <c r="C27" s="3"/>
      <c r="D27" s="3"/>
      <c r="E27" s="3"/>
      <c r="F27" s="3"/>
      <c r="G27" s="3"/>
      <c r="H27" s="2265"/>
      <c r="I27" s="2147"/>
      <c r="J27" s="581"/>
      <c r="K27" s="581"/>
      <c r="L27" s="277"/>
      <c r="M27" s="3"/>
      <c r="N27" s="272"/>
      <c r="O27" s="545"/>
      <c r="P27" s="2340"/>
      <c r="R27" s="784"/>
    </row>
    <row r="28" spans="2:46">
      <c r="B28" s="565"/>
      <c r="C28" s="3"/>
      <c r="D28" s="3"/>
      <c r="E28" s="3"/>
      <c r="F28" s="3"/>
      <c r="G28" s="3"/>
      <c r="H28" s="2265"/>
      <c r="I28" s="2147"/>
      <c r="J28" s="581"/>
      <c r="K28" s="581"/>
      <c r="L28" s="277"/>
      <c r="M28" s="3"/>
      <c r="N28" s="272"/>
      <c r="O28" s="545"/>
      <c r="P28" s="2340"/>
      <c r="R28" s="784"/>
      <c r="Z28" s="2242">
        <f>SUM(Z7:Z27)</f>
        <v>1.6715082038130726</v>
      </c>
      <c r="AA28" s="1532">
        <f>SUM(AA7:AA27)</f>
        <v>5.3864422574653084</v>
      </c>
      <c r="AB28" s="2242">
        <f>SUM(AB7:AB27)</f>
        <v>7.2468938982786106</v>
      </c>
      <c r="AC28" s="2242">
        <f>SUM(AC7:AC27)</f>
        <v>73.012730546165841</v>
      </c>
      <c r="AD28" s="2242">
        <f>SUM(AD7:AD27)</f>
        <v>2.3314328457446812E-2</v>
      </c>
    </row>
    <row r="29" spans="2:46">
      <c r="G29" s="754" t="s">
        <v>3220</v>
      </c>
      <c r="H29" s="2375">
        <f>SUM(H7:H18)</f>
        <v>0.37992441141877642</v>
      </c>
      <c r="I29" s="754">
        <f>H29*1000</f>
        <v>379.9244114187764</v>
      </c>
      <c r="J29" s="2083"/>
      <c r="AA29" s="12"/>
    </row>
    <row r="30" spans="2:46">
      <c r="H30" s="2375"/>
      <c r="J30" s="2083"/>
    </row>
    <row r="32" spans="2:46">
      <c r="B32" s="565"/>
      <c r="C32" s="3"/>
      <c r="D32" s="3"/>
      <c r="E32" s="866" t="s">
        <v>3214</v>
      </c>
      <c r="F32" s="304"/>
      <c r="G32" s="304"/>
      <c r="H32" s="304"/>
      <c r="I32" s="304">
        <f>1/6</f>
        <v>0.16666666666666666</v>
      </c>
      <c r="L32" s="277"/>
      <c r="M32" s="3"/>
      <c r="N32" s="272"/>
      <c r="O32" s="545"/>
      <c r="P32" s="2340"/>
      <c r="R32" s="784"/>
    </row>
    <row r="33" spans="2:18">
      <c r="B33" s="565"/>
      <c r="C33" s="3"/>
      <c r="D33" s="3"/>
      <c r="E33" s="866" t="s">
        <v>3215</v>
      </c>
      <c r="F33" s="304"/>
      <c r="G33" s="304"/>
      <c r="H33" s="304"/>
      <c r="I33" s="304"/>
      <c r="L33" s="277"/>
      <c r="M33" s="3"/>
      <c r="N33" s="272"/>
      <c r="O33" s="545"/>
      <c r="P33" s="2340"/>
      <c r="R33" s="784"/>
    </row>
    <row r="34" spans="2:18">
      <c r="B34" s="565"/>
      <c r="C34" s="3"/>
      <c r="D34" s="3"/>
      <c r="E34" s="3"/>
      <c r="F34" s="3"/>
      <c r="G34" s="3"/>
      <c r="H34" s="3"/>
      <c r="I34" s="3"/>
      <c r="K34" s="3"/>
      <c r="M34" s="3"/>
      <c r="N34" s="272"/>
      <c r="O34" s="545"/>
      <c r="P34" s="2340"/>
      <c r="R34" s="784"/>
    </row>
    <row r="35" spans="2:18">
      <c r="B35" s="565"/>
      <c r="C35" s="3"/>
      <c r="D35" s="3"/>
      <c r="E35" s="3"/>
      <c r="F35" s="3"/>
      <c r="G35" s="3"/>
      <c r="H35" s="3"/>
      <c r="I35" s="3"/>
      <c r="L35" s="2804"/>
      <c r="M35" s="3"/>
      <c r="N35" s="272"/>
      <c r="O35" s="545"/>
      <c r="P35" s="2340"/>
      <c r="R35" s="784"/>
    </row>
    <row r="36" spans="2:18">
      <c r="B36" s="565"/>
      <c r="C36" s="3"/>
      <c r="D36" s="3"/>
      <c r="E36" s="3"/>
      <c r="F36" s="3"/>
      <c r="G36" s="3"/>
      <c r="H36" s="3"/>
      <c r="I36" s="3"/>
      <c r="J36" s="3"/>
      <c r="L36" s="277"/>
      <c r="M36" s="3"/>
      <c r="N36" s="272"/>
      <c r="O36" s="545"/>
      <c r="P36" s="2340"/>
      <c r="R36" s="784"/>
    </row>
    <row r="37" spans="2:18">
      <c r="B37" s="565"/>
      <c r="C37" s="3"/>
      <c r="D37" s="3"/>
      <c r="E37" s="3"/>
      <c r="F37" s="3"/>
      <c r="G37" s="3"/>
      <c r="H37" s="3"/>
      <c r="I37" s="3"/>
      <c r="J37" s="3"/>
      <c r="L37" s="2804"/>
      <c r="M37" s="3"/>
      <c r="N37" s="272"/>
      <c r="O37" s="545"/>
      <c r="P37" s="2340"/>
      <c r="R37" s="784"/>
    </row>
    <row r="38" spans="2:18">
      <c r="B38" s="565"/>
      <c r="C38" s="3"/>
      <c r="D38" s="3"/>
      <c r="E38" s="3"/>
      <c r="F38" s="3"/>
      <c r="G38" s="3"/>
      <c r="H38" s="3"/>
      <c r="I38" s="3"/>
      <c r="J38" s="3"/>
      <c r="L38" s="277"/>
      <c r="M38" s="3"/>
      <c r="N38" s="272"/>
      <c r="O38" s="545"/>
      <c r="P38" s="2340"/>
      <c r="R38" s="784"/>
    </row>
    <row r="39" spans="2:18">
      <c r="B39" s="565"/>
      <c r="C39" s="3"/>
      <c r="D39" s="3"/>
      <c r="E39" s="3"/>
      <c r="F39" s="3"/>
      <c r="G39" s="3"/>
      <c r="H39" s="3"/>
      <c r="I39" s="3"/>
      <c r="J39" s="3"/>
      <c r="L39" s="277"/>
      <c r="M39" s="3"/>
      <c r="N39" s="272"/>
      <c r="O39" s="545"/>
      <c r="P39" s="2340"/>
      <c r="R39" s="784"/>
    </row>
    <row r="40" spans="2:18">
      <c r="B40" s="565"/>
      <c r="C40" s="3"/>
      <c r="D40" s="3"/>
      <c r="E40" s="3"/>
      <c r="F40" s="3"/>
      <c r="G40" s="3"/>
      <c r="H40" s="3"/>
      <c r="I40" s="3"/>
      <c r="J40" s="3"/>
      <c r="L40" s="277"/>
      <c r="M40" s="3"/>
      <c r="N40" s="272"/>
      <c r="O40" s="545"/>
      <c r="P40" s="2340"/>
      <c r="R40" s="784"/>
    </row>
    <row r="41" spans="2:18">
      <c r="B41" s="565"/>
      <c r="C41" s="3"/>
      <c r="E41" s="3"/>
      <c r="F41" s="3"/>
      <c r="G41" s="3"/>
      <c r="L41" s="277"/>
      <c r="M41" s="3"/>
      <c r="N41" s="272"/>
      <c r="O41" s="545"/>
      <c r="P41" s="2340"/>
      <c r="R41" s="784"/>
    </row>
    <row r="42" spans="2:18">
      <c r="B42" s="565"/>
      <c r="C42" s="3"/>
      <c r="E42" s="3"/>
      <c r="F42" s="3">
        <v>6550</v>
      </c>
      <c r="G42" s="3" t="s">
        <v>393</v>
      </c>
      <c r="J42" s="38"/>
      <c r="L42" s="277"/>
      <c r="M42" s="3"/>
      <c r="N42" s="272"/>
      <c r="O42" s="545"/>
      <c r="P42" s="2340"/>
      <c r="R42" s="784"/>
    </row>
    <row r="43" spans="2:18">
      <c r="B43" s="565"/>
      <c r="C43" s="3"/>
      <c r="E43" s="3"/>
      <c r="F43" s="3">
        <f>F42/1000^3</f>
        <v>6.55E-6</v>
      </c>
      <c r="G43" s="3" t="s">
        <v>3221</v>
      </c>
      <c r="L43" s="277"/>
      <c r="M43" s="3"/>
      <c r="N43" s="272"/>
      <c r="O43" s="545"/>
      <c r="P43" s="2340"/>
      <c r="R43" s="784"/>
    </row>
    <row r="44" spans="2:18">
      <c r="B44" s="565"/>
      <c r="C44" s="3"/>
      <c r="D44" s="3"/>
      <c r="E44" s="3"/>
      <c r="F44" s="3">
        <f>F43*1000^2</f>
        <v>6.55</v>
      </c>
      <c r="G44" s="3" t="s">
        <v>3222</v>
      </c>
      <c r="H44" s="2265"/>
      <c r="I44" s="2147"/>
      <c r="J44" s="2147"/>
      <c r="K44" s="581"/>
      <c r="L44" s="277"/>
      <c r="M44" s="3"/>
      <c r="N44" s="272"/>
      <c r="O44" s="545"/>
      <c r="P44" s="2340"/>
      <c r="R44" s="784"/>
    </row>
    <row r="45" spans="2:18">
      <c r="B45" s="565"/>
      <c r="C45" s="3"/>
      <c r="D45" s="3"/>
      <c r="E45" s="3"/>
      <c r="F45" s="3">
        <f>1/F44</f>
        <v>0.15267175572519084</v>
      </c>
      <c r="G45" s="3" t="s">
        <v>3223</v>
      </c>
      <c r="H45" s="2265"/>
      <c r="I45" s="2147"/>
      <c r="J45" s="581"/>
      <c r="K45" s="581"/>
      <c r="L45" s="277"/>
      <c r="M45" s="3"/>
      <c r="N45" s="272"/>
      <c r="O45" s="545"/>
      <c r="P45" s="2340"/>
      <c r="R45" s="784"/>
    </row>
    <row r="46" spans="2:18">
      <c r="B46" s="565"/>
      <c r="C46" s="3"/>
      <c r="D46" s="3"/>
      <c r="E46" s="3"/>
      <c r="G46" s="3"/>
      <c r="H46" s="2265"/>
      <c r="I46" s="2147"/>
      <c r="J46" s="2147"/>
      <c r="K46" s="581"/>
      <c r="L46" s="277"/>
      <c r="M46" s="3"/>
      <c r="N46" s="272"/>
      <c r="O46" s="545"/>
      <c r="P46" s="2340"/>
      <c r="R46" s="784"/>
    </row>
    <row r="47" spans="2:18">
      <c r="B47" s="565"/>
      <c r="C47" s="3"/>
      <c r="D47" s="3"/>
      <c r="E47" s="3"/>
      <c r="G47" s="3"/>
      <c r="H47" s="2265"/>
      <c r="I47" s="2147"/>
      <c r="J47" s="581"/>
      <c r="K47" s="581"/>
      <c r="L47" s="277"/>
      <c r="M47" s="3"/>
      <c r="N47" s="272"/>
      <c r="O47" s="545"/>
      <c r="P47" s="2340"/>
      <c r="R47" s="784"/>
    </row>
    <row r="48" spans="2:18">
      <c r="B48" s="565"/>
      <c r="C48" s="3"/>
      <c r="D48" s="3"/>
      <c r="E48" s="3"/>
      <c r="G48" s="3"/>
      <c r="H48" s="2265"/>
      <c r="I48" s="2147"/>
      <c r="J48" s="581"/>
      <c r="K48" s="581"/>
      <c r="L48" s="277"/>
      <c r="M48" s="3"/>
      <c r="N48" s="272"/>
      <c r="O48" s="545"/>
      <c r="P48" s="2340"/>
      <c r="R48" s="784"/>
    </row>
    <row r="49" spans="2:18">
      <c r="B49" s="565"/>
      <c r="C49" s="3"/>
      <c r="D49" s="3"/>
      <c r="E49" s="3"/>
      <c r="G49" s="3"/>
      <c r="H49" s="2265"/>
      <c r="I49" s="2147"/>
      <c r="J49" s="2147"/>
      <c r="K49" s="2147"/>
      <c r="L49" s="2147"/>
      <c r="M49" s="2147"/>
      <c r="N49" s="2147"/>
      <c r="O49" s="545"/>
      <c r="P49" s="2340"/>
      <c r="R49" s="784"/>
    </row>
    <row r="50" spans="2:18">
      <c r="B50" s="565"/>
      <c r="C50" s="3"/>
      <c r="D50" s="3"/>
      <c r="E50" s="3"/>
      <c r="G50" s="3"/>
      <c r="H50" s="2265"/>
      <c r="I50" s="2147"/>
      <c r="J50" s="2147"/>
      <c r="K50" s="2147"/>
      <c r="L50" s="2147"/>
      <c r="M50" s="2147"/>
      <c r="N50" s="2147"/>
      <c r="O50" s="545"/>
      <c r="P50" s="2340"/>
      <c r="R50" s="784"/>
    </row>
    <row r="51" spans="2:18">
      <c r="B51" s="565"/>
      <c r="C51" s="3"/>
      <c r="D51" s="3"/>
      <c r="E51" s="3"/>
      <c r="F51" s="3"/>
      <c r="G51" s="3"/>
      <c r="H51" s="2265"/>
      <c r="I51" s="2147"/>
      <c r="J51" s="2147"/>
      <c r="K51" s="2147"/>
      <c r="L51" s="2147"/>
      <c r="M51" s="2147"/>
      <c r="N51" s="2147"/>
      <c r="O51" s="545"/>
      <c r="P51" s="2340"/>
      <c r="R51" s="784"/>
    </row>
    <row r="52" spans="2:18">
      <c r="B52" s="565"/>
      <c r="C52" s="3"/>
      <c r="D52" s="3"/>
      <c r="E52" s="3"/>
      <c r="F52" s="3"/>
      <c r="G52" s="3"/>
      <c r="H52" s="2265"/>
      <c r="I52" s="2147"/>
      <c r="J52" s="2147"/>
      <c r="K52" s="2147"/>
      <c r="L52" s="2147"/>
      <c r="M52" s="2147"/>
      <c r="N52" s="2147"/>
      <c r="O52" s="545"/>
      <c r="P52" s="2340"/>
      <c r="R52" s="784"/>
    </row>
    <row r="53" spans="2:18">
      <c r="B53" s="565"/>
      <c r="C53" s="3"/>
      <c r="D53" s="3"/>
      <c r="E53" s="3"/>
      <c r="F53" s="3"/>
      <c r="G53" s="3"/>
      <c r="H53" s="2265"/>
      <c r="I53" s="2147"/>
      <c r="J53" s="581"/>
      <c r="K53" s="581"/>
      <c r="L53" s="277"/>
      <c r="M53" s="3"/>
      <c r="N53" s="272"/>
      <c r="O53" s="545"/>
      <c r="P53" s="2340"/>
      <c r="R53" s="784"/>
    </row>
    <row r="54" spans="2:18">
      <c r="B54" s="565"/>
      <c r="C54" s="3"/>
      <c r="D54" s="3"/>
      <c r="E54" s="3"/>
      <c r="F54" s="3"/>
      <c r="G54" s="3"/>
      <c r="H54" s="2265"/>
      <c r="I54" s="2147"/>
      <c r="J54" s="581"/>
      <c r="K54" s="581"/>
      <c r="L54" s="277"/>
      <c r="M54" s="3"/>
      <c r="N54" s="272"/>
      <c r="O54" s="545"/>
      <c r="P54" s="2340"/>
      <c r="R54" s="784"/>
    </row>
    <row r="55" spans="2:18">
      <c r="B55" s="565"/>
      <c r="C55" s="3"/>
      <c r="D55" s="3"/>
      <c r="E55" s="3"/>
      <c r="F55" s="3"/>
      <c r="G55" s="3"/>
      <c r="H55" s="2265"/>
      <c r="I55" s="2147"/>
      <c r="J55" s="581"/>
      <c r="K55" s="581"/>
      <c r="L55" s="277"/>
      <c r="M55" s="3"/>
      <c r="N55" s="272"/>
      <c r="O55" s="545"/>
      <c r="P55" s="2340"/>
      <c r="R55" s="784"/>
    </row>
    <row r="56" spans="2:18">
      <c r="B56" s="565"/>
      <c r="C56" s="3"/>
      <c r="D56" s="3"/>
      <c r="E56" s="3"/>
      <c r="F56" s="3"/>
      <c r="G56" s="3"/>
      <c r="H56" s="2265"/>
      <c r="I56" s="2147"/>
      <c r="J56" s="581"/>
      <c r="K56" s="581"/>
      <c r="L56" s="277"/>
      <c r="M56" s="3"/>
      <c r="N56" s="272"/>
      <c r="O56" s="545"/>
      <c r="P56" s="2340"/>
      <c r="R56" s="784"/>
    </row>
    <row r="57" spans="2:18">
      <c r="B57" s="565"/>
      <c r="C57" s="3"/>
      <c r="D57" s="3"/>
      <c r="E57" s="3"/>
      <c r="F57" s="3"/>
      <c r="G57" s="3"/>
      <c r="H57" s="2265"/>
      <c r="I57" s="2147"/>
      <c r="J57" s="581"/>
      <c r="K57" s="581"/>
      <c r="L57" s="277"/>
      <c r="M57" s="3"/>
      <c r="N57" s="272"/>
      <c r="O57" s="545"/>
      <c r="P57" s="2340"/>
      <c r="R57" s="784"/>
    </row>
    <row r="58" spans="2:18">
      <c r="B58" s="565"/>
      <c r="C58" s="3"/>
      <c r="D58" s="3"/>
      <c r="E58" s="3"/>
      <c r="F58" s="3"/>
      <c r="G58" s="3"/>
      <c r="H58" s="2265"/>
      <c r="I58" s="2147"/>
      <c r="J58" s="581"/>
      <c r="K58" s="581"/>
      <c r="L58" s="277"/>
      <c r="M58" s="3"/>
      <c r="N58" s="272"/>
      <c r="O58" s="545"/>
      <c r="P58" s="2340"/>
      <c r="R58" s="784"/>
    </row>
    <row r="59" spans="2:18">
      <c r="B59" s="565"/>
      <c r="C59" s="3"/>
      <c r="D59" s="3"/>
      <c r="E59" s="3"/>
      <c r="F59" s="3"/>
      <c r="G59" s="3"/>
      <c r="H59" s="2265"/>
      <c r="I59" s="2147"/>
      <c r="J59" s="581"/>
      <c r="K59" s="581"/>
      <c r="L59" s="277"/>
      <c r="M59" s="3"/>
      <c r="N59" s="272"/>
      <c r="O59" s="545"/>
      <c r="P59" s="2340"/>
      <c r="R59" s="784"/>
    </row>
    <row r="60" spans="2:18">
      <c r="B60" s="565"/>
      <c r="C60" s="3"/>
      <c r="D60" s="3"/>
      <c r="E60" s="3"/>
      <c r="F60" s="3"/>
      <c r="G60" s="3"/>
      <c r="H60" s="2265"/>
      <c r="I60" s="2147"/>
      <c r="J60" s="581"/>
      <c r="K60" s="581"/>
      <c r="L60" s="277"/>
      <c r="M60" s="3"/>
      <c r="N60" s="272"/>
      <c r="O60" s="545"/>
      <c r="P60" s="2340"/>
      <c r="R60" s="784"/>
    </row>
    <row r="61" spans="2:18">
      <c r="B61" s="565"/>
      <c r="C61" s="3"/>
      <c r="D61" s="3"/>
      <c r="E61" s="3"/>
      <c r="F61" s="3"/>
      <c r="G61" s="3"/>
      <c r="H61" s="2265"/>
      <c r="I61" s="2147"/>
      <c r="J61" s="581"/>
      <c r="K61" s="581"/>
      <c r="L61" s="277"/>
      <c r="M61" s="3"/>
      <c r="N61" s="272"/>
      <c r="O61" s="545"/>
      <c r="P61" s="2340"/>
      <c r="R61" s="784"/>
    </row>
    <row r="62" spans="2:18">
      <c r="B62" s="565"/>
      <c r="C62" s="3"/>
      <c r="D62" s="3"/>
      <c r="E62" s="3"/>
      <c r="F62" s="3"/>
      <c r="G62" s="3"/>
      <c r="H62" s="2265"/>
      <c r="I62" s="2147"/>
      <c r="J62" s="581"/>
      <c r="K62" s="581"/>
      <c r="L62" s="277"/>
      <c r="M62" s="3"/>
      <c r="N62" s="272"/>
      <c r="O62" s="545"/>
      <c r="P62" s="2340"/>
      <c r="R62" s="784"/>
    </row>
    <row r="63" spans="2:18">
      <c r="B63" s="565"/>
      <c r="C63" s="3"/>
      <c r="D63" s="3"/>
      <c r="E63" s="3"/>
      <c r="F63" s="3"/>
      <c r="G63" s="3"/>
      <c r="H63" s="2265"/>
      <c r="I63" s="2147"/>
      <c r="J63" s="581"/>
      <c r="K63" s="581"/>
      <c r="L63" s="277"/>
      <c r="M63" s="3"/>
      <c r="N63" s="272"/>
      <c r="O63" s="545"/>
      <c r="P63" s="2340"/>
      <c r="R63" s="784"/>
    </row>
    <row r="64" spans="2:18">
      <c r="B64" s="565"/>
      <c r="C64" s="3"/>
      <c r="D64" s="3"/>
      <c r="E64" s="3"/>
      <c r="F64" s="3"/>
      <c r="G64" s="3"/>
      <c r="H64" s="2265"/>
      <c r="I64" s="2147"/>
      <c r="J64" s="581"/>
      <c r="K64" s="581"/>
      <c r="L64" s="277"/>
      <c r="M64" s="3"/>
      <c r="N64" s="272"/>
      <c r="O64" s="545"/>
      <c r="P64" s="2340"/>
      <c r="R64" s="784"/>
    </row>
    <row r="65" spans="2:18">
      <c r="B65" s="565"/>
      <c r="C65" s="3"/>
      <c r="D65" s="3"/>
      <c r="E65" s="3"/>
      <c r="F65" s="3"/>
      <c r="G65" s="3"/>
      <c r="H65" s="2265"/>
      <c r="I65" s="2147"/>
      <c r="J65" s="581"/>
      <c r="K65" s="581"/>
      <c r="L65" s="277"/>
      <c r="M65" s="3"/>
      <c r="N65" s="272"/>
      <c r="O65" s="545"/>
      <c r="P65" s="2340"/>
      <c r="R65" s="784"/>
    </row>
    <row r="66" spans="2:18">
      <c r="B66" s="565"/>
      <c r="C66" s="3"/>
      <c r="D66" s="3"/>
      <c r="E66" s="3"/>
      <c r="F66" s="3"/>
      <c r="G66" s="3"/>
      <c r="H66" s="2265"/>
      <c r="I66" s="2147"/>
      <c r="J66" s="581"/>
      <c r="K66" s="581"/>
      <c r="L66" s="277"/>
      <c r="M66" s="3"/>
      <c r="N66" s="272"/>
      <c r="O66" s="545"/>
      <c r="P66" s="2340"/>
      <c r="R66" s="784"/>
    </row>
    <row r="67" spans="2:18">
      <c r="B67" s="565"/>
      <c r="C67" s="3"/>
      <c r="D67" s="3"/>
      <c r="E67" s="3"/>
      <c r="F67" s="3"/>
      <c r="G67" s="3"/>
      <c r="H67" s="2265"/>
      <c r="I67" s="2147"/>
      <c r="J67" s="581"/>
      <c r="K67" s="581"/>
      <c r="L67" s="277"/>
      <c r="M67" s="3"/>
      <c r="N67" s="272"/>
      <c r="O67" s="545"/>
      <c r="P67" s="2340"/>
      <c r="R67" s="784"/>
    </row>
    <row r="68" spans="2:18">
      <c r="B68" s="565"/>
      <c r="C68" s="3"/>
      <c r="D68" s="3"/>
      <c r="E68" s="3"/>
      <c r="F68" s="3"/>
      <c r="G68" s="3"/>
      <c r="H68" s="2265"/>
      <c r="I68" s="2147"/>
      <c r="J68" s="581"/>
      <c r="K68" s="581"/>
      <c r="L68" s="277"/>
      <c r="M68" s="3"/>
      <c r="N68" s="272"/>
      <c r="O68" s="545"/>
      <c r="P68" s="2340"/>
      <c r="R68" s="784"/>
    </row>
    <row r="69" spans="2:18">
      <c r="B69" s="565"/>
      <c r="C69" s="3"/>
      <c r="D69" s="3"/>
      <c r="E69" s="3"/>
      <c r="F69" s="3"/>
      <c r="G69" s="3"/>
      <c r="H69" s="2265"/>
      <c r="I69" s="2147"/>
      <c r="J69" s="581"/>
      <c r="K69" s="581"/>
      <c r="L69" s="277"/>
      <c r="M69" s="3"/>
      <c r="N69" s="272"/>
      <c r="O69" s="545"/>
      <c r="P69" s="2340"/>
      <c r="R69" s="784"/>
    </row>
    <row r="70" spans="2:18">
      <c r="B70" s="565"/>
      <c r="C70" s="3"/>
      <c r="D70" s="3"/>
      <c r="E70" s="3"/>
      <c r="F70" s="3"/>
      <c r="G70" s="3"/>
      <c r="H70" s="2265"/>
      <c r="I70" s="2147"/>
      <c r="J70" s="581"/>
      <c r="K70" s="581"/>
      <c r="L70" s="277"/>
      <c r="M70" s="3"/>
      <c r="N70" s="272"/>
      <c r="O70" s="545"/>
      <c r="P70" s="2340"/>
      <c r="R70" s="784"/>
    </row>
    <row r="71" spans="2:18">
      <c r="B71" s="565"/>
      <c r="C71" s="3"/>
      <c r="D71" s="3"/>
      <c r="E71" s="3"/>
      <c r="F71" s="3"/>
      <c r="G71" s="3"/>
      <c r="H71" s="2265"/>
      <c r="I71" s="2147"/>
      <c r="J71" s="581"/>
      <c r="K71" s="581"/>
      <c r="L71" s="277"/>
      <c r="M71" s="3"/>
      <c r="N71" s="272"/>
      <c r="O71" s="545"/>
      <c r="P71" s="2340"/>
      <c r="R71" s="784"/>
    </row>
    <row r="72" spans="2:18">
      <c r="B72" s="565"/>
      <c r="C72" s="3"/>
      <c r="D72" s="3"/>
      <c r="E72" s="3"/>
      <c r="F72" s="3"/>
      <c r="G72" s="3"/>
      <c r="H72" s="2265"/>
      <c r="I72" s="2147"/>
      <c r="J72" s="581"/>
      <c r="K72" s="581"/>
      <c r="L72" s="277"/>
      <c r="M72" s="3"/>
      <c r="N72" s="272"/>
      <c r="O72" s="545"/>
      <c r="P72" s="2340"/>
      <c r="R72" s="784"/>
    </row>
    <row r="73" spans="2:18">
      <c r="B73" s="565"/>
      <c r="C73" s="3"/>
      <c r="D73" s="3"/>
      <c r="E73" s="3"/>
      <c r="F73" s="3"/>
      <c r="G73" s="3"/>
      <c r="H73" s="2265"/>
      <c r="I73" s="2147"/>
      <c r="J73" s="581"/>
      <c r="K73" s="581"/>
      <c r="L73" s="277"/>
      <c r="M73" s="3"/>
      <c r="N73" s="272"/>
      <c r="O73" s="545"/>
      <c r="P73" s="2340"/>
      <c r="R73" s="784"/>
    </row>
  </sheetData>
  <pageMargins left="0.7" right="0.7" top="0.75" bottom="0.75" header="0.3" footer="0.3"/>
  <legacyDrawing r:id="rId1"/>
</worksheet>
</file>

<file path=xl/worksheets/sheet1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sheetPr codeName="Sheet11">
    <tabColor rgb="FF92D050"/>
  </sheetPr>
  <dimension ref="A1:BR127"/>
  <sheetViews>
    <sheetView topLeftCell="F1" zoomScale="70" zoomScaleNormal="70" workbookViewId="0">
      <selection activeCell="P24" sqref="P24"/>
    </sheetView>
  </sheetViews>
  <sheetFormatPr defaultRowHeight="13.2"/>
  <cols>
    <col min="1" max="1" width="2.33203125" style="9" customWidth="1"/>
    <col min="2" max="2" width="10.5546875" style="545" customWidth="1"/>
    <col min="3" max="3" width="15.109375" customWidth="1"/>
    <col min="4" max="4" width="55.5546875" bestFit="1" customWidth="1"/>
    <col min="5" max="5" width="17.109375" bestFit="1" customWidth="1"/>
    <col min="6" max="6" width="9.6640625" bestFit="1" customWidth="1"/>
    <col min="7" max="7" width="9.6640625" style="754" customWidth="1"/>
    <col min="8" max="8" width="10" customWidth="1"/>
    <col min="9" max="9" width="10.44140625" customWidth="1"/>
    <col min="10" max="11" width="10.6640625" customWidth="1"/>
    <col min="12" max="14" width="14.5546875" customWidth="1"/>
    <col min="15" max="15" width="12.109375" customWidth="1"/>
    <col min="16" max="16" width="16.44140625" bestFit="1" customWidth="1"/>
    <col min="17" max="17" width="17.44140625" customWidth="1"/>
    <col min="18" max="18" width="12" bestFit="1" customWidth="1"/>
    <col min="19" max="19" width="11.88671875" customWidth="1"/>
    <col min="20" max="20" width="12.109375" bestFit="1" customWidth="1"/>
    <col min="21" max="21" width="15" customWidth="1"/>
    <col min="22" max="22" width="8.109375" customWidth="1"/>
    <col min="23" max="23" width="9" bestFit="1" customWidth="1"/>
    <col min="24" max="24" width="12.44140625" customWidth="1"/>
    <col min="25" max="25" width="17.33203125" customWidth="1"/>
    <col min="26" max="26" width="10" customWidth="1"/>
    <col min="27" max="27" width="17.33203125" customWidth="1"/>
    <col min="28" max="28" width="17.33203125" style="754" customWidth="1"/>
    <col min="29" max="29" width="19.88671875" customWidth="1"/>
    <col min="30" max="30" width="19" style="754" customWidth="1"/>
    <col min="31" max="31" width="21.44140625" customWidth="1"/>
    <col min="32" max="32" width="16.44140625" bestFit="1" customWidth="1"/>
    <col min="33" max="33" width="12" bestFit="1" customWidth="1"/>
    <col min="34" max="34" width="16.44140625" bestFit="1" customWidth="1"/>
    <col min="35" max="35" width="54.109375" customWidth="1"/>
    <col min="36" max="36" width="10.5546875" bestFit="1" customWidth="1"/>
    <col min="37" max="40" width="15.88671875" customWidth="1"/>
    <col min="41" max="41" width="49.109375" bestFit="1" customWidth="1"/>
    <col min="43" max="43" width="19.5546875" bestFit="1" customWidth="1"/>
    <col min="44" max="44" width="15.44140625" bestFit="1" customWidth="1"/>
    <col min="45" max="45" width="18.6640625" bestFit="1" customWidth="1"/>
    <col min="47" max="47" width="18.33203125" bestFit="1" customWidth="1"/>
    <col min="54" max="54" width="9.5546875" bestFit="1" customWidth="1"/>
    <col min="56" max="56" width="31.5546875" bestFit="1" customWidth="1"/>
    <col min="57" max="57" width="24.33203125" bestFit="1" customWidth="1"/>
    <col min="58" max="58" width="33.44140625" bestFit="1" customWidth="1"/>
    <col min="59" max="60" width="34.5546875" bestFit="1" customWidth="1"/>
    <col min="61" max="61" width="33.88671875" bestFit="1" customWidth="1"/>
  </cols>
  <sheetData>
    <row r="1" spans="1:61">
      <c r="H1" s="463" t="s">
        <v>490</v>
      </c>
      <c r="J1" s="463"/>
      <c r="K1" s="14" t="s">
        <v>391</v>
      </c>
      <c r="M1">
        <v>2025</v>
      </c>
      <c r="N1" s="439">
        <v>0.9</v>
      </c>
      <c r="R1" s="38" t="s">
        <v>2670</v>
      </c>
      <c r="AB1"/>
      <c r="AD1"/>
      <c r="AJ1" s="754"/>
      <c r="AL1" s="754"/>
    </row>
    <row r="2" spans="1:61">
      <c r="H2" s="120">
        <v>0.2</v>
      </c>
      <c r="K2" s="120"/>
      <c r="M2">
        <v>2020</v>
      </c>
      <c r="N2" s="439">
        <v>0.1</v>
      </c>
      <c r="AB2"/>
      <c r="AK2" s="754"/>
      <c r="AM2" s="754"/>
    </row>
    <row r="3" spans="1:61">
      <c r="E3" s="6"/>
      <c r="G3" s="7" t="s">
        <v>8</v>
      </c>
      <c r="H3" s="7"/>
      <c r="I3" s="7"/>
      <c r="J3" s="7"/>
      <c r="K3" s="7"/>
      <c r="L3" s="7"/>
      <c r="M3" s="7"/>
      <c r="N3" s="7"/>
      <c r="O3" s="7"/>
      <c r="Q3" s="7"/>
      <c r="R3" s="7"/>
      <c r="S3" s="7"/>
      <c r="V3" s="7"/>
      <c r="W3" s="4"/>
      <c r="AB3"/>
      <c r="AC3" s="765" t="s">
        <v>2673</v>
      </c>
      <c r="AD3"/>
      <c r="AF3" s="754"/>
      <c r="AK3" s="9"/>
      <c r="AL3" s="9"/>
      <c r="AN3" s="754"/>
      <c r="AO3" s="260"/>
      <c r="AP3" s="400"/>
      <c r="AQ3" s="400"/>
      <c r="AR3" s="400"/>
      <c r="AS3" s="400"/>
      <c r="AT3" s="401"/>
      <c r="BF3" s="14"/>
      <c r="BG3" s="14"/>
    </row>
    <row r="4" spans="1:61" ht="27.6">
      <c r="B4" s="16" t="s">
        <v>1</v>
      </c>
      <c r="C4" s="16" t="s">
        <v>2</v>
      </c>
      <c r="D4" s="16" t="s">
        <v>26</v>
      </c>
      <c r="E4" s="16" t="s">
        <v>14</v>
      </c>
      <c r="F4" s="16" t="s">
        <v>15</v>
      </c>
      <c r="G4" s="2559" t="s">
        <v>2767</v>
      </c>
      <c r="H4" s="29" t="s">
        <v>500</v>
      </c>
      <c r="I4" s="29" t="s">
        <v>403</v>
      </c>
      <c r="J4" s="28" t="s">
        <v>188</v>
      </c>
      <c r="K4" s="28" t="s">
        <v>190</v>
      </c>
      <c r="L4" s="28" t="s">
        <v>191</v>
      </c>
      <c r="M4" s="28" t="s">
        <v>192</v>
      </c>
      <c r="N4" s="67" t="s">
        <v>200</v>
      </c>
      <c r="O4" s="29" t="s">
        <v>199</v>
      </c>
      <c r="P4" s="16" t="s">
        <v>533</v>
      </c>
      <c r="Q4" s="65" t="s">
        <v>0</v>
      </c>
      <c r="R4" s="65" t="s">
        <v>53</v>
      </c>
      <c r="S4" s="16" t="s">
        <v>2294</v>
      </c>
      <c r="T4" s="754"/>
      <c r="Y4" s="2394" t="s">
        <v>2299</v>
      </c>
      <c r="Z4" s="2394" t="s">
        <v>540</v>
      </c>
      <c r="AA4" s="765" t="s">
        <v>2497</v>
      </c>
      <c r="AB4"/>
      <c r="AC4" s="2394" t="s">
        <v>44</v>
      </c>
      <c r="AD4" s="2394"/>
      <c r="AE4" s="2394"/>
      <c r="AF4" s="2394"/>
      <c r="AI4" s="184"/>
      <c r="AJ4" s="449" t="s">
        <v>400</v>
      </c>
      <c r="AK4" s="450" t="s">
        <v>401</v>
      </c>
      <c r="AL4" s="451" t="s">
        <v>400</v>
      </c>
      <c r="AM4" s="450" t="s">
        <v>401</v>
      </c>
      <c r="AN4" s="754"/>
      <c r="AO4" s="471" t="s">
        <v>2172</v>
      </c>
      <c r="AP4" s="234"/>
      <c r="AQ4" s="234"/>
      <c r="AR4" s="234"/>
      <c r="AS4" s="234"/>
      <c r="AT4" s="235"/>
      <c r="AX4" s="415"/>
      <c r="AY4" s="418"/>
      <c r="AZ4" s="415"/>
      <c r="BA4" s="418"/>
    </row>
    <row r="5" spans="1:61" ht="31.2" thickBot="1">
      <c r="B5" s="15" t="s">
        <v>27</v>
      </c>
      <c r="C5" s="15"/>
      <c r="D5" s="15"/>
      <c r="E5" s="15"/>
      <c r="F5" s="15"/>
      <c r="G5" s="15"/>
      <c r="H5" s="15"/>
      <c r="I5" s="15" t="s">
        <v>404</v>
      </c>
      <c r="J5" s="15" t="str">
        <f>Processes!G6</f>
        <v>kvehicles</v>
      </c>
      <c r="K5" s="15" t="s">
        <v>153</v>
      </c>
      <c r="L5" s="15" t="s">
        <v>153</v>
      </c>
      <c r="M5" s="15" t="s">
        <v>153</v>
      </c>
      <c r="N5" s="15" t="s">
        <v>257</v>
      </c>
      <c r="O5" s="15" t="s">
        <v>394</v>
      </c>
      <c r="P5" s="15" t="s">
        <v>84</v>
      </c>
      <c r="Q5" s="15"/>
      <c r="R5" s="15" t="s">
        <v>54</v>
      </c>
      <c r="S5" s="15" t="s">
        <v>2295</v>
      </c>
      <c r="T5" s="754"/>
      <c r="AB5"/>
      <c r="AC5" s="765" t="s">
        <v>2675</v>
      </c>
      <c r="AD5" s="184" t="s">
        <v>2674</v>
      </c>
      <c r="AE5" s="765" t="s">
        <v>2676</v>
      </c>
      <c r="AF5" s="765" t="s">
        <v>2677</v>
      </c>
      <c r="AI5" s="184"/>
      <c r="AJ5" s="447" t="s">
        <v>601</v>
      </c>
      <c r="AK5" s="447" t="s">
        <v>601</v>
      </c>
      <c r="AL5" s="448" t="s">
        <v>602</v>
      </c>
      <c r="AM5" s="447" t="s">
        <v>602</v>
      </c>
      <c r="AN5" s="754"/>
      <c r="AO5" s="233"/>
      <c r="AP5" s="234"/>
      <c r="AQ5" s="1938" t="s">
        <v>367</v>
      </c>
      <c r="AR5" s="1938" t="s">
        <v>388</v>
      </c>
      <c r="AS5" s="234"/>
      <c r="AT5" s="235"/>
      <c r="AW5" s="415"/>
      <c r="AX5" s="14"/>
      <c r="AY5" s="418"/>
      <c r="AZ5" s="14"/>
      <c r="BA5" s="415"/>
      <c r="BB5" s="415"/>
      <c r="BC5" s="415"/>
      <c r="BD5" s="415"/>
      <c r="BE5" s="415"/>
    </row>
    <row r="6" spans="1:61" ht="14.4">
      <c r="B6" s="866" t="s">
        <v>601</v>
      </c>
      <c r="C6" t="str">
        <f>Processes!$D$29</f>
        <v>TFVADSBL1E</v>
      </c>
      <c r="D6" t="str">
        <f>Processes!$E$29</f>
        <v>Transport Freight Van - Diesel Engine - Blending 1 - Existing</v>
      </c>
      <c r="E6" t="str">
        <f>Commodities!$D$80</f>
        <v>TRADSBL1</v>
      </c>
      <c r="F6" t="str">
        <f>Commodities!$D42</f>
        <v>TFVAS</v>
      </c>
      <c r="G6" s="754" t="s">
        <v>3603</v>
      </c>
      <c r="H6" s="443">
        <v>0.34</v>
      </c>
      <c r="I6">
        <v>5</v>
      </c>
      <c r="J6" s="423">
        <f>O46*(1-'SE Roadfreight data'!M206)/1000</f>
        <v>19.861222596829357</v>
      </c>
      <c r="K6" s="423">
        <f>J6</f>
        <v>19.861222596829357</v>
      </c>
      <c r="L6" s="423">
        <f>J6*(1-$N$2)</f>
        <v>17.875100337146421</v>
      </c>
      <c r="M6" s="423">
        <f>J6*(1-$N$1)</f>
        <v>1.9861222596829353</v>
      </c>
      <c r="N6" s="309">
        <f>'SE Assumptions'!U36</f>
        <v>0.4</v>
      </c>
      <c r="O6" s="2874">
        <f>(1/$BM$78*10^3*$V$54)*O38</f>
        <v>244.3053530526509</v>
      </c>
      <c r="P6" s="1623">
        <f>'SE Assumptions'!U24</f>
        <v>14470.400544999373</v>
      </c>
      <c r="Q6" s="250">
        <f>10^-3</f>
        <v>1E-3</v>
      </c>
      <c r="R6" s="271">
        <v>50</v>
      </c>
      <c r="T6" s="754"/>
      <c r="V6" s="2397">
        <f>J6*H6*N6*Q6*P6</f>
        <v>39.086379095373829</v>
      </c>
      <c r="X6" s="304" t="str">
        <f>Dem!B41</f>
        <v>TFVAS</v>
      </c>
      <c r="Y6" s="548">
        <f>Dem!E41</f>
        <v>48.974879956780214</v>
      </c>
      <c r="Z6" s="2395">
        <f>V6+V8</f>
        <v>48.974879956780285</v>
      </c>
      <c r="AA6" s="2395">
        <f>Z6/Y6</f>
        <v>1.0000000000000016</v>
      </c>
      <c r="AB6"/>
      <c r="AC6" s="250">
        <f>J6*1/O6*P6*Q6*H6</f>
        <v>0.39997464860041582</v>
      </c>
      <c r="AD6" s="270"/>
      <c r="AF6" s="754"/>
      <c r="AI6" s="409" t="s">
        <v>232</v>
      </c>
      <c r="AJ6" s="270">
        <f>BIKE!T7</f>
        <v>31.66383575576647</v>
      </c>
      <c r="AK6" s="438">
        <f>J6*Q6*P6*N6*H6+Q8*P8*N8*J8*H8</f>
        <v>48.974879956780285</v>
      </c>
      <c r="AL6" s="270">
        <f>BIKE!T10</f>
        <v>78.262163792418818</v>
      </c>
      <c r="AM6" s="452">
        <f>J13*Q6*P13*N13*H13+Q8*P15*N15*J15*H15</f>
        <v>100.84826851121905</v>
      </c>
      <c r="AN6" s="754"/>
      <c r="AO6" s="471" t="s">
        <v>2167</v>
      </c>
      <c r="AP6" s="697" t="s">
        <v>61</v>
      </c>
      <c r="AQ6" s="1939" t="s">
        <v>2084</v>
      </c>
      <c r="AR6" s="1940">
        <f>1/SUMPRODUCT(O6:O7,H6:H7)*J6*P6*Q6+1/SUMPRODUCT(O6:O7,H13:H14)*J13*P13*Q6</f>
        <v>2.6780810324374826</v>
      </c>
      <c r="AS6" s="1941" t="e">
        <f>(AQ6-AR6)/AQ6</f>
        <v>#VALUE!</v>
      </c>
      <c r="AT6" s="235"/>
      <c r="AX6" s="415"/>
      <c r="AY6" s="418"/>
      <c r="AZ6" s="421"/>
      <c r="BA6" s="415"/>
      <c r="BB6" s="415"/>
      <c r="BC6" s="415"/>
      <c r="BD6" s="415"/>
      <c r="BE6" s="415"/>
    </row>
    <row r="7" spans="1:61" ht="14.4">
      <c r="B7" s="304"/>
      <c r="F7" s="754" t="str">
        <f>Commodities!$D43</f>
        <v>TFVAL</v>
      </c>
      <c r="G7" s="754" t="s">
        <v>3603</v>
      </c>
      <c r="H7" s="443">
        <v>0.66</v>
      </c>
      <c r="I7">
        <v>5</v>
      </c>
      <c r="J7" s="423"/>
      <c r="K7" s="423"/>
      <c r="L7" s="423"/>
      <c r="M7" s="423"/>
      <c r="N7" s="407"/>
      <c r="O7" s="2874">
        <f>1/$BM$78*10^3*$V$55*O38</f>
        <v>371.56707688616109</v>
      </c>
      <c r="P7" s="1623"/>
      <c r="Q7" s="250"/>
      <c r="R7" s="271"/>
      <c r="V7" s="2398">
        <f>J6*H7*N6*Q6*P6</f>
        <v>75.873559420431548</v>
      </c>
      <c r="X7" s="1038" t="str">
        <f>Dem!B42</f>
        <v>TFVAL</v>
      </c>
      <c r="Y7" s="548">
        <f>Dem!E42</f>
        <v>95.068884621985106</v>
      </c>
      <c r="Z7" s="2395">
        <f>V7+V9</f>
        <v>95.068884621985248</v>
      </c>
      <c r="AA7" s="2395">
        <f>Z7/Y7</f>
        <v>1.0000000000000016</v>
      </c>
      <c r="AB7"/>
      <c r="AC7" s="250">
        <f>J6*1/O6*P6*Q6*H7</f>
        <v>0.77642137669492473</v>
      </c>
      <c r="AD7"/>
      <c r="AF7" s="754"/>
      <c r="AI7" s="409" t="s">
        <v>86</v>
      </c>
      <c r="AJ7" s="270">
        <f>BIKE!T8</f>
        <v>27.212581236608411</v>
      </c>
      <c r="AK7" s="438">
        <f>J6*Q6*P6*N6*H7+Q8*P8*N8*J8*H9</f>
        <v>95.068884621985248</v>
      </c>
      <c r="AL7" s="270">
        <f>BIKE!T11</f>
        <v>67.260186238368064</v>
      </c>
      <c r="AM7" s="452">
        <f>J13*Q6*P13*N13*H14+Q8*P15*N15*J15*H16</f>
        <v>195.76428593354285</v>
      </c>
      <c r="AN7" s="754"/>
      <c r="AO7" s="233"/>
      <c r="AP7" s="234"/>
      <c r="AQ7" s="1942"/>
      <c r="AR7" s="1940"/>
      <c r="AS7" s="1942"/>
      <c r="AT7" s="235"/>
      <c r="AX7" s="415"/>
      <c r="AY7" s="418"/>
      <c r="AZ7" s="415"/>
      <c r="BA7" s="415"/>
      <c r="BB7" s="415"/>
      <c r="BC7" s="415"/>
      <c r="BD7" s="415"/>
      <c r="BE7" s="415"/>
    </row>
    <row r="8" spans="1:61" s="1" customFormat="1" ht="14.4">
      <c r="A8" s="3"/>
      <c r="B8" s="865" t="s">
        <v>601</v>
      </c>
      <c r="C8" t="str">
        <f>Processes!$D$30</f>
        <v>TFVAGSBL1E</v>
      </c>
      <c r="D8" t="str">
        <f>Processes!$E$30</f>
        <v>Transport Freight Van - Otto Engine - Blending 1 - Existing</v>
      </c>
      <c r="E8" t="str">
        <f>Commodities!$D$85</f>
        <v>TRAGSBL1</v>
      </c>
      <c r="F8" s="754" t="str">
        <f>Commodities!$D42</f>
        <v>TFVAS</v>
      </c>
      <c r="G8" s="754" t="s">
        <v>3603</v>
      </c>
      <c r="H8" s="441">
        <v>0.34</v>
      </c>
      <c r="I8">
        <v>5</v>
      </c>
      <c r="J8" s="423">
        <f>O46*'SE Roadfreight data'!M206/1000</f>
        <v>5.0247099194864431</v>
      </c>
      <c r="K8" s="423">
        <f>J8</f>
        <v>5.0247099194864431</v>
      </c>
      <c r="L8" s="423">
        <f>J8*(1-$N$2)</f>
        <v>4.5222389275377992</v>
      </c>
      <c r="M8" s="423">
        <f>J8*(1-$N$1)</f>
        <v>0.5024709919486442</v>
      </c>
      <c r="N8" s="309">
        <f>'SE Assumptions'!U36</f>
        <v>0.4</v>
      </c>
      <c r="O8" s="2874">
        <f>1/$BM$77*10^3*V54*O37</f>
        <v>206.88727799390273</v>
      </c>
      <c r="P8" s="1623">
        <f>'SE Assumptions'!U24</f>
        <v>14470.400544999373</v>
      </c>
      <c r="Q8" s="250">
        <f>10^-3</f>
        <v>1E-3</v>
      </c>
      <c r="R8" s="271">
        <v>50</v>
      </c>
      <c r="V8" s="2397">
        <f>J8*H8*N8*Q8*P8</f>
        <v>9.8885008614064542</v>
      </c>
      <c r="AD8" s="250">
        <f>J8*1/O8*P8*Q8*H8</f>
        <v>0.11949140804223206</v>
      </c>
      <c r="AI8" s="270"/>
      <c r="AJ8" s="270"/>
      <c r="AK8" s="270"/>
      <c r="AM8" s="270"/>
      <c r="AN8" s="754"/>
      <c r="AO8" s="471" t="s">
        <v>2167</v>
      </c>
      <c r="AP8" s="697" t="s">
        <v>72</v>
      </c>
      <c r="AQ8" s="1939" t="s">
        <v>2084</v>
      </c>
      <c r="AR8" s="1940">
        <f>1/SUMPRODUCT(O8:O9,H8:H9)*J8*P8*Q8+1/SUMPRODUCT(O8:O9,H15:H16)*J15*P15*Q8</f>
        <v>0.80006989077161417</v>
      </c>
      <c r="AS8" s="1941" t="e">
        <f>(AQ8-AR8)/AQ8</f>
        <v>#VALUE!</v>
      </c>
      <c r="AT8" s="235"/>
      <c r="AW8"/>
      <c r="AX8"/>
      <c r="AY8"/>
      <c r="AZ8"/>
      <c r="BA8"/>
      <c r="BB8"/>
      <c r="BC8"/>
      <c r="BD8"/>
      <c r="BE8"/>
    </row>
    <row r="9" spans="1:61" s="1" customFormat="1" ht="14.4">
      <c r="A9" s="3"/>
      <c r="B9" s="873"/>
      <c r="C9"/>
      <c r="D9"/>
      <c r="E9" s="23"/>
      <c r="F9" s="754" t="str">
        <f>Commodities!$D43</f>
        <v>TFVAL</v>
      </c>
      <c r="G9" s="23" t="s">
        <v>3603</v>
      </c>
      <c r="H9" s="442">
        <v>0.66</v>
      </c>
      <c r="I9" s="23">
        <v>5</v>
      </c>
      <c r="J9" s="453"/>
      <c r="K9" s="453"/>
      <c r="L9" s="453"/>
      <c r="M9" s="453"/>
      <c r="N9" s="454"/>
      <c r="O9" s="2875">
        <f>1/$BM$77*10^3*V55*O37</f>
        <v>314.65745702494712</v>
      </c>
      <c r="P9" s="399"/>
      <c r="Q9" s="269"/>
      <c r="R9" s="273"/>
      <c r="V9" s="2398">
        <f>J8*H9*N8*Q8*P8</f>
        <v>19.195325201553704</v>
      </c>
      <c r="AD9" s="250">
        <f>J8*1/O8*P8*Q8*H9</f>
        <v>0.2319539097290387</v>
      </c>
      <c r="AI9"/>
      <c r="AJ9"/>
      <c r="AK9" s="438"/>
      <c r="AM9" s="438"/>
      <c r="AN9" s="754"/>
      <c r="AO9" s="233"/>
      <c r="AP9" s="234"/>
      <c r="AQ9" s="1942"/>
      <c r="AR9" s="1940"/>
      <c r="AS9" s="1942"/>
      <c r="AT9" s="235"/>
      <c r="AW9"/>
      <c r="AX9"/>
      <c r="AY9"/>
      <c r="AZ9"/>
      <c r="BA9"/>
      <c r="BB9"/>
      <c r="BC9"/>
      <c r="BD9"/>
      <c r="BE9"/>
    </row>
    <row r="10" spans="1:61" ht="14.4">
      <c r="B10" s="865" t="s">
        <v>601</v>
      </c>
      <c r="C10" s="30" t="str">
        <f>Processes!$D$31</f>
        <v>TFTRDSBL1E</v>
      </c>
      <c r="D10" s="30" t="str">
        <f>Processes!$E$31</f>
        <v>Transport Freight Truck - Diesel Engine - Blending 1 - Existing</v>
      </c>
      <c r="E10" s="754" t="str">
        <f>Commodities!$D$80</f>
        <v>TRADSBL1</v>
      </c>
      <c r="F10" s="30" t="str">
        <f>Commodities!$D44</f>
        <v>TFTRS</v>
      </c>
      <c r="G10" s="754" t="s">
        <v>3603</v>
      </c>
      <c r="H10" s="2108">
        <f>'SE Assumptions'!P13</f>
        <v>7.9905611718773667E-2</v>
      </c>
      <c r="I10" s="3">
        <v>5</v>
      </c>
      <c r="J10" s="423">
        <f>O47/1000</f>
        <v>4.8128739816956605</v>
      </c>
      <c r="K10" s="423">
        <f>J10</f>
        <v>4.8128739816956605</v>
      </c>
      <c r="L10" s="423">
        <f>J10*(1-$N$2)</f>
        <v>4.3315865835260947</v>
      </c>
      <c r="M10" s="423">
        <f>J10*(1-$N$1)</f>
        <v>0.48128739816956595</v>
      </c>
      <c r="N10" s="640">
        <f>'SE Assumptions'!O47</f>
        <v>7.7858414799701858</v>
      </c>
      <c r="O10" s="443">
        <f>1/$BL$93*10^3*O36</f>
        <v>63.379936680953222</v>
      </c>
      <c r="P10" s="1628">
        <f>'SE Assumptions'!O52</f>
        <v>59030.449941094368</v>
      </c>
      <c r="Q10" s="272">
        <f>10^-3</f>
        <v>1E-3</v>
      </c>
      <c r="R10" s="274">
        <v>6</v>
      </c>
      <c r="S10" s="38">
        <v>4.2000000000000002E-4</v>
      </c>
      <c r="V10" s="2396">
        <f>J10*H10*N10*Q10*P10</f>
        <v>176.751627649965</v>
      </c>
      <c r="X10" s="754" t="str">
        <f>Dem!B43</f>
        <v>TFTRS</v>
      </c>
      <c r="Y10" s="548">
        <f>Dem!E43</f>
        <v>144.40723385707031</v>
      </c>
      <c r="Z10" s="2396">
        <f>V10</f>
        <v>176.751627649965</v>
      </c>
      <c r="AA10" s="2395">
        <f>Z10/Y10</f>
        <v>1.2239804262500322</v>
      </c>
      <c r="AB10"/>
      <c r="AD10" s="270"/>
      <c r="AE10" s="250">
        <f>J10*1/O10*P10*Q10*H10</f>
        <v>0.35818390223681518</v>
      </c>
      <c r="AF10" s="754"/>
      <c r="AI10" s="30" t="str">
        <f>Commodities!$D$19</f>
        <v>TPRSX</v>
      </c>
      <c r="AJ10" s="270">
        <f>BIKE!T9</f>
        <v>0</v>
      </c>
      <c r="AK10" s="438">
        <f>Q10*P10*N10*J10*H10</f>
        <v>176.751627649965</v>
      </c>
      <c r="AL10" s="270">
        <f>BIKE!T12</f>
        <v>0</v>
      </c>
      <c r="AM10" s="438">
        <f>Q10*P17*N17*J17*H17</f>
        <v>374.40597830532914</v>
      </c>
      <c r="AN10" s="754"/>
      <c r="AO10" s="233"/>
      <c r="AP10" s="234"/>
      <c r="AQ10" s="1939" t="s">
        <v>2084</v>
      </c>
      <c r="AR10" s="1940"/>
      <c r="AS10" s="1942"/>
      <c r="AT10" s="235"/>
      <c r="AW10" s="415"/>
      <c r="AX10" s="415"/>
      <c r="AY10" s="418"/>
      <c r="AZ10" s="415"/>
      <c r="BA10" s="416"/>
      <c r="BB10" s="416"/>
      <c r="BC10" s="416"/>
      <c r="BD10" s="416"/>
      <c r="BE10" s="416"/>
    </row>
    <row r="11" spans="1:61" ht="14.4">
      <c r="B11" s="304"/>
      <c r="C11" s="1"/>
      <c r="D11" s="1"/>
      <c r="F11" s="754" t="str">
        <f>Commodities!$D45</f>
        <v>TFTRN</v>
      </c>
      <c r="G11" s="754" t="s">
        <v>3603</v>
      </c>
      <c r="H11" s="2108">
        <f>'SE Assumptions'!P14</f>
        <v>0.82262672163515338</v>
      </c>
      <c r="I11" s="3">
        <v>5</v>
      </c>
      <c r="J11" s="424"/>
      <c r="K11" s="424"/>
      <c r="L11" s="424"/>
      <c r="M11" s="424"/>
      <c r="N11" s="307"/>
      <c r="O11" s="443">
        <f>O10</f>
        <v>63.379936680953222</v>
      </c>
      <c r="P11" s="440"/>
      <c r="Q11" s="272"/>
      <c r="R11" s="274"/>
      <c r="V11" s="2396">
        <f>J10*H11*N10*Q10*P10</f>
        <v>1819.6545758150608</v>
      </c>
      <c r="X11" s="754" t="str">
        <f>Dem!B44</f>
        <v>TFTRN</v>
      </c>
      <c r="Y11" s="548">
        <f>Dem!E44</f>
        <v>1486.669669538772</v>
      </c>
      <c r="Z11" s="2396">
        <f>V11</f>
        <v>1819.6545758150608</v>
      </c>
      <c r="AA11" s="2395">
        <f>Z11/Y11</f>
        <v>1.2239804262500322</v>
      </c>
      <c r="AB11"/>
      <c r="AD11"/>
      <c r="AE11" s="250">
        <f>J10*1/O10*P10*Q10*H11</f>
        <v>3.6874963209915546</v>
      </c>
      <c r="AF11" s="754"/>
      <c r="AI11" s="1" t="str">
        <f>Commodities!$D$20</f>
        <v>TPRSS</v>
      </c>
      <c r="AJ11" s="270">
        <f>WALK!T7</f>
        <v>60.560026968347493</v>
      </c>
      <c r="AK11" s="438">
        <f>Q10*P10*N10*J10*H11</f>
        <v>1819.6545758150608</v>
      </c>
      <c r="AL11" s="270">
        <f>WALK!T9</f>
        <v>158.34445723204135</v>
      </c>
      <c r="AM11" s="438">
        <f>Q10*P17*N17*J17*H18</f>
        <v>3854.5022792379441</v>
      </c>
      <c r="AN11" s="754"/>
      <c r="AO11" s="233"/>
      <c r="AP11" s="234"/>
      <c r="AQ11" s="1942"/>
      <c r="AR11" s="1940"/>
      <c r="AS11" s="1942"/>
      <c r="AT11" s="235"/>
      <c r="AW11" s="416"/>
      <c r="AX11" s="416"/>
      <c r="AY11" s="419"/>
      <c r="AZ11" s="416"/>
      <c r="BA11" s="417"/>
      <c r="BB11" s="417"/>
      <c r="BC11" s="417"/>
      <c r="BD11" s="417"/>
      <c r="BE11" s="417"/>
      <c r="BG11" s="14"/>
      <c r="BH11" s="14"/>
      <c r="BI11" s="14"/>
    </row>
    <row r="12" spans="1:61" ht="15" thickBot="1">
      <c r="B12" s="874"/>
      <c r="C12" s="390"/>
      <c r="D12" s="390"/>
      <c r="E12" s="390"/>
      <c r="F12" s="390" t="str">
        <f>Commodities!$D46</f>
        <v>TFTRI</v>
      </c>
      <c r="G12" s="390" t="s">
        <v>3603</v>
      </c>
      <c r="H12" s="3015">
        <f>'SE Assumptions'!P15</f>
        <v>9.7467666646072926E-2</v>
      </c>
      <c r="I12" s="583">
        <v>5</v>
      </c>
      <c r="J12" s="585"/>
      <c r="K12" s="585"/>
      <c r="L12" s="585"/>
      <c r="M12" s="585"/>
      <c r="N12" s="586"/>
      <c r="O12" s="584">
        <f>O11</f>
        <v>63.379936680953222</v>
      </c>
      <c r="P12" s="587"/>
      <c r="Q12" s="588"/>
      <c r="R12" s="589"/>
      <c r="V12" s="2396">
        <f>J10*H12*N10*Q10*P10</f>
        <v>215.59898425619605</v>
      </c>
      <c r="X12" s="23" t="str">
        <f>Dem!B45</f>
        <v>TFTRI</v>
      </c>
      <c r="Y12" s="2245">
        <f>Dem!E45</f>
        <v>176.14577785098817</v>
      </c>
      <c r="Z12" s="2399">
        <f>V12</f>
        <v>215.59898425619605</v>
      </c>
      <c r="AA12" s="2395">
        <f>Z12/Y12</f>
        <v>1.2239804262500327</v>
      </c>
      <c r="AB12"/>
      <c r="AC12" s="23"/>
      <c r="AD12" s="2194"/>
      <c r="AE12" s="23"/>
      <c r="AF12" s="269">
        <f>J10*1/O10*P10*Q10*H12</f>
        <v>0.43690735143956255</v>
      </c>
      <c r="AI12" s="23" t="str">
        <f>Commodities!$D$21</f>
        <v>TPRSM</v>
      </c>
      <c r="AJ12" s="270">
        <f>WALK!T8</f>
        <v>42.556998488781041</v>
      </c>
      <c r="AK12" s="438">
        <f>Q10*P10*N10*J10*H12</f>
        <v>215.59898425619602</v>
      </c>
      <c r="AL12" s="270">
        <f>WALK!T10</f>
        <v>96.525533831600242</v>
      </c>
      <c r="AM12" s="438">
        <f>Q10*P17*N17*J17*H19</f>
        <v>456.69479650810052</v>
      </c>
      <c r="AN12" s="754"/>
      <c r="AO12" s="471" t="s">
        <v>2168</v>
      </c>
      <c r="AP12" s="697" t="s">
        <v>61</v>
      </c>
      <c r="AQ12" s="1939" t="s">
        <v>2084</v>
      </c>
      <c r="AR12" s="1940">
        <f>1/SUMPRODUCT(O10:O12,H10:H12)*J10*P10*Q10+1/SUMPRODUCT(O10:O12,H17:H19)*J17*P17*Q10</f>
        <v>13.977875445829962</v>
      </c>
      <c r="AS12" s="1941" t="e">
        <f>(AQ12-AR12)/AQ12</f>
        <v>#VALUE!</v>
      </c>
      <c r="AT12" s="235"/>
      <c r="AU12" s="1937">
        <v>7.4230100783764357</v>
      </c>
      <c r="BB12" s="417"/>
      <c r="BC12" s="417"/>
      <c r="BD12" s="417"/>
      <c r="BE12" s="417"/>
      <c r="BG12" s="14"/>
    </row>
    <row r="13" spans="1:61" ht="14.4">
      <c r="B13" s="866" t="s">
        <v>602</v>
      </c>
      <c r="C13" s="754" t="str">
        <f>Processes!$D$29</f>
        <v>TFVADSBL1E</v>
      </c>
      <c r="D13" s="754" t="str">
        <f>Processes!$E$29</f>
        <v>Transport Freight Van - Diesel Engine - Blending 1 - Existing</v>
      </c>
      <c r="E13" s="754" t="str">
        <f>Commodities!$D$80</f>
        <v>TRADSBL1</v>
      </c>
      <c r="F13" s="754" t="str">
        <f>Commodities!$D42</f>
        <v>TFVAS</v>
      </c>
      <c r="G13" s="754" t="s">
        <v>3603</v>
      </c>
      <c r="H13" s="441">
        <v>0.34</v>
      </c>
      <c r="I13" s="542">
        <v>5</v>
      </c>
      <c r="J13" s="423">
        <f>P46*(1-'SE Roadfreight data'!M206)/1000</f>
        <v>40.897903398103971</v>
      </c>
      <c r="K13" s="423">
        <f>J13</f>
        <v>40.897903398103971</v>
      </c>
      <c r="L13" s="423">
        <f>J13*(1-$N$2)</f>
        <v>36.808113058293571</v>
      </c>
      <c r="M13" s="423">
        <f>J13*(1-$N$1)</f>
        <v>4.0897903398103965</v>
      </c>
      <c r="N13" s="309">
        <f>'SE Assumptions'!U36</f>
        <v>0.4</v>
      </c>
      <c r="O13" s="443">
        <f>O6</f>
        <v>244.3053530526509</v>
      </c>
      <c r="P13" s="1623">
        <f>'SE Assumptions'!U24</f>
        <v>14470.400544999373</v>
      </c>
      <c r="Q13" s="250">
        <f>10^-3</f>
        <v>1E-3</v>
      </c>
      <c r="R13" s="271">
        <v>50</v>
      </c>
      <c r="V13" s="2397">
        <f>J13*H13*N13*Q13*P13</f>
        <v>80.486029932490752</v>
      </c>
      <c r="X13" s="873" t="str">
        <f>X6</f>
        <v>TFVAS</v>
      </c>
      <c r="Y13" s="548">
        <f>Dem!F41</f>
        <v>100.84826851121909</v>
      </c>
      <c r="Z13" s="2395">
        <f>V13+V15</f>
        <v>100.84826851121906</v>
      </c>
      <c r="AA13" s="2395">
        <f>Z13/Y13</f>
        <v>0.99999999999999967</v>
      </c>
      <c r="AB13"/>
      <c r="AC13" s="250">
        <f>J13*1/O13*P13*Q13*H13</f>
        <v>0.82362122776680402</v>
      </c>
      <c r="AD13" s="270"/>
      <c r="AF13" s="754"/>
      <c r="AI13" s="270"/>
      <c r="AJ13" s="270"/>
      <c r="AK13" s="270"/>
      <c r="AL13" s="270"/>
      <c r="AM13" s="270"/>
      <c r="AN13" s="754"/>
      <c r="AO13" s="471" t="s">
        <v>2169</v>
      </c>
      <c r="AP13" s="234"/>
      <c r="AQ13" s="234"/>
      <c r="AR13" s="1940">
        <f>AR12*(H12+H19)/2</f>
        <v>1.3623909043744828</v>
      </c>
      <c r="AS13" s="234"/>
      <c r="AT13" s="235"/>
      <c r="BB13" s="417"/>
      <c r="BC13" s="417"/>
      <c r="BD13" s="417"/>
      <c r="BE13" s="417"/>
      <c r="BG13" s="14"/>
    </row>
    <row r="14" spans="1:61" ht="14.4">
      <c r="B14" s="304"/>
      <c r="C14" s="754"/>
      <c r="D14" s="754"/>
      <c r="E14" s="754"/>
      <c r="F14" s="754" t="str">
        <f>Commodities!$D43</f>
        <v>TFVAL</v>
      </c>
      <c r="G14" s="754" t="s">
        <v>3603</v>
      </c>
      <c r="H14" s="441">
        <v>0.66</v>
      </c>
      <c r="I14" s="542">
        <v>5</v>
      </c>
      <c r="J14" s="423"/>
      <c r="K14" s="423"/>
      <c r="L14" s="423"/>
      <c r="M14" s="423"/>
      <c r="N14" s="407"/>
      <c r="O14" s="443">
        <f>O7</f>
        <v>371.56707688616109</v>
      </c>
      <c r="P14" s="1623"/>
      <c r="Q14" s="250"/>
      <c r="R14" s="271"/>
      <c r="V14" s="2398">
        <f>J13*H14*N13*Q13*P13</f>
        <v>156.23758751601144</v>
      </c>
      <c r="X14" s="869" t="str">
        <f>X7</f>
        <v>TFVAL</v>
      </c>
      <c r="Y14" s="548">
        <f>Dem!F42</f>
        <v>195.76428593354291</v>
      </c>
      <c r="Z14" s="2395">
        <f>V14+V16</f>
        <v>195.76428593354285</v>
      </c>
      <c r="AA14" s="2395">
        <f>Z14/Y14</f>
        <v>0.99999999999999967</v>
      </c>
      <c r="AB14"/>
      <c r="AC14" s="250">
        <f>J13*1/O13*P13*Q13*H14</f>
        <v>1.5987941480179138</v>
      </c>
      <c r="AD14"/>
      <c r="AF14" s="754"/>
      <c r="AJ14" s="12"/>
      <c r="AL14" s="12"/>
      <c r="AN14" s="754"/>
      <c r="AO14" s="471" t="s">
        <v>2170</v>
      </c>
      <c r="AP14" s="234"/>
      <c r="AQ14" s="234"/>
      <c r="AR14" s="1940">
        <f>AR12*(H10+H11+H18+H17)/2</f>
        <v>12.61548454145548</v>
      </c>
      <c r="AS14" s="234"/>
      <c r="AT14" s="394"/>
      <c r="AZ14" s="417"/>
      <c r="BA14" s="417"/>
      <c r="BB14" s="417"/>
      <c r="BC14" s="417"/>
    </row>
    <row r="15" spans="1:61" ht="14.4">
      <c r="B15" s="865" t="s">
        <v>602</v>
      </c>
      <c r="C15" s="754" t="str">
        <f>Processes!$D$30</f>
        <v>TFVAGSBL1E</v>
      </c>
      <c r="D15" s="754" t="str">
        <f>Processes!$E$30</f>
        <v>Transport Freight Van - Otto Engine - Blending 1 - Existing</v>
      </c>
      <c r="E15" s="754" t="str">
        <f>Commodities!$D$85</f>
        <v>TRAGSBL1</v>
      </c>
      <c r="F15" s="754" t="str">
        <f>Commodities!$D42</f>
        <v>TFVAS</v>
      </c>
      <c r="G15" s="754" t="s">
        <v>3603</v>
      </c>
      <c r="H15" s="441">
        <v>0.34</v>
      </c>
      <c r="I15" s="542">
        <v>5</v>
      </c>
      <c r="J15" s="423">
        <f>P46*'SE Roadfreight data'!M206/1000</f>
        <v>10.346800147311038</v>
      </c>
      <c r="K15" s="423">
        <f>J15</f>
        <v>10.346800147311038</v>
      </c>
      <c r="L15" s="423">
        <f>J15*(1-$N$2)</f>
        <v>9.3121201325799348</v>
      </c>
      <c r="M15" s="423">
        <f>J15*(1-$N$1)</f>
        <v>1.0346800147311035</v>
      </c>
      <c r="N15" s="309">
        <f>'SE Assumptions'!U36</f>
        <v>0.4</v>
      </c>
      <c r="O15" s="443">
        <f>O8</f>
        <v>206.88727799390273</v>
      </c>
      <c r="P15" s="1623">
        <f>'SE Assumptions'!U24</f>
        <v>14470.400544999373</v>
      </c>
      <c r="Q15" s="250">
        <f>10^-3</f>
        <v>1E-3</v>
      </c>
      <c r="R15" s="271">
        <v>50</v>
      </c>
      <c r="V15" s="2397">
        <f>J15*H15*N15*Q15*P15</f>
        <v>20.362238578728302</v>
      </c>
      <c r="AA15" s="2395"/>
      <c r="AB15"/>
      <c r="AD15" s="250">
        <f>J15*1/O15*P15*Q15*H15</f>
        <v>0.24605474507872355</v>
      </c>
      <c r="AF15" s="754"/>
      <c r="AJ15" s="12"/>
      <c r="AL15" s="12"/>
      <c r="AN15" s="754"/>
      <c r="AO15" s="233"/>
      <c r="AP15" s="234"/>
      <c r="AQ15" s="234"/>
      <c r="AR15" s="1943"/>
      <c r="AS15" s="234"/>
      <c r="AT15" s="394"/>
      <c r="AZ15" s="417"/>
      <c r="BA15" s="417"/>
      <c r="BB15" s="417"/>
      <c r="BC15" s="417"/>
    </row>
    <row r="16" spans="1:61" ht="14.4">
      <c r="B16" s="873"/>
      <c r="C16" s="754"/>
      <c r="D16" s="754"/>
      <c r="E16" s="23"/>
      <c r="F16" s="23" t="str">
        <f>Commodities!$D43</f>
        <v>TFVAL</v>
      </c>
      <c r="G16" s="23" t="s">
        <v>3603</v>
      </c>
      <c r="H16" s="442">
        <v>0.66</v>
      </c>
      <c r="I16" s="23">
        <v>5</v>
      </c>
      <c r="J16" s="453"/>
      <c r="K16" s="453"/>
      <c r="L16" s="453"/>
      <c r="M16" s="453"/>
      <c r="N16" s="454"/>
      <c r="O16" s="443">
        <f>O9</f>
        <v>314.65745702494712</v>
      </c>
      <c r="P16" s="399"/>
      <c r="Q16" s="269"/>
      <c r="R16" s="273"/>
      <c r="V16" s="2398">
        <f>J15*H16*N15*Q15*P15</f>
        <v>39.526698417531406</v>
      </c>
      <c r="AB16"/>
      <c r="AD16" s="250">
        <f>J15*1/O15*P15*Q15*H16</f>
        <v>0.47763568162340453</v>
      </c>
      <c r="AF16" s="754"/>
      <c r="AN16" s="754"/>
      <c r="AO16" s="233"/>
      <c r="AP16" s="234"/>
      <c r="AQ16" s="234"/>
      <c r="AR16" s="233"/>
      <c r="AS16" s="234"/>
      <c r="AT16" s="235"/>
      <c r="AV16" s="415"/>
      <c r="AW16" s="417"/>
      <c r="AX16" s="417"/>
      <c r="AY16" s="417"/>
      <c r="AZ16" s="417"/>
    </row>
    <row r="17" spans="1:61" ht="14.4">
      <c r="B17" s="865" t="s">
        <v>602</v>
      </c>
      <c r="C17" s="30" t="str">
        <f>Processes!$D$31</f>
        <v>TFTRDSBL1E</v>
      </c>
      <c r="D17" s="30" t="str">
        <f>Processes!$E$31</f>
        <v>Transport Freight Truck - Diesel Engine - Blending 1 - Existing</v>
      </c>
      <c r="E17" s="754" t="str">
        <f>Commodities!$D$80</f>
        <v>TRADSBL1</v>
      </c>
      <c r="F17" s="754" t="str">
        <f>Commodities!$D44</f>
        <v>TFTRS</v>
      </c>
      <c r="G17" s="754" t="s">
        <v>3603</v>
      </c>
      <c r="H17" s="423">
        <f>H10</f>
        <v>7.9905611718773667E-2</v>
      </c>
      <c r="I17" s="3">
        <v>5</v>
      </c>
      <c r="J17" s="423">
        <f>P47/1000</f>
        <v>10.194920496831902</v>
      </c>
      <c r="K17" s="423">
        <f>J17</f>
        <v>10.194920496831902</v>
      </c>
      <c r="L17" s="423">
        <f>J17*(1-$N$2)</f>
        <v>9.1754284471487111</v>
      </c>
      <c r="M17" s="423">
        <f>J17*(1-$N$1)</f>
        <v>1.0194920496831898</v>
      </c>
      <c r="N17" s="640">
        <f>'SE Assumptions'!O47</f>
        <v>7.7858414799701858</v>
      </c>
      <c r="O17" s="443">
        <f>O10</f>
        <v>63.379936680953222</v>
      </c>
      <c r="P17" s="1628">
        <f>'SE Assumptions'!O52</f>
        <v>59030.449941094368</v>
      </c>
      <c r="Q17" s="272">
        <f>10^-3</f>
        <v>1E-3</v>
      </c>
      <c r="R17" s="274">
        <v>6</v>
      </c>
      <c r="S17" s="38">
        <v>4.2000000000000002E-4</v>
      </c>
      <c r="V17" s="2396">
        <f>J17*H17*N17*Q17*P17</f>
        <v>374.40597830532914</v>
      </c>
      <c r="X17" s="543" t="str">
        <f>X10</f>
        <v>TFTRS</v>
      </c>
      <c r="Y17" s="548">
        <f>Dem!F43</f>
        <v>305.89212889001521</v>
      </c>
      <c r="Z17" s="2396">
        <f>V17</f>
        <v>374.40597830532914</v>
      </c>
      <c r="AA17" s="2395">
        <f>Z17/Y17</f>
        <v>1.2239804262500273</v>
      </c>
      <c r="AB17"/>
      <c r="AD17"/>
      <c r="AE17" s="250">
        <f>J17*1/O17*P17*Q17*H17</f>
        <v>0.75872678579105413</v>
      </c>
      <c r="AF17" s="754"/>
      <c r="AN17" s="754"/>
      <c r="AO17" s="233"/>
      <c r="AP17" s="234"/>
      <c r="AQ17" s="234"/>
      <c r="AR17" s="233"/>
      <c r="AS17" s="234"/>
      <c r="AT17" s="235"/>
      <c r="AW17" s="417"/>
      <c r="AX17" s="417"/>
      <c r="AY17" s="417"/>
      <c r="AZ17" s="417"/>
    </row>
    <row r="18" spans="1:61" ht="14.4">
      <c r="B18" s="304"/>
      <c r="C18" s="543"/>
      <c r="D18" s="543"/>
      <c r="E18" s="542"/>
      <c r="F18" s="754" t="str">
        <f>Commodities!$D45</f>
        <v>TFTRN</v>
      </c>
      <c r="G18" s="754" t="s">
        <v>3603</v>
      </c>
      <c r="H18" s="423">
        <f>H11</f>
        <v>0.82262672163515338</v>
      </c>
      <c r="I18" s="3">
        <v>5</v>
      </c>
      <c r="J18" s="424"/>
      <c r="K18" s="424"/>
      <c r="L18" s="424"/>
      <c r="M18" s="424"/>
      <c r="N18" s="307"/>
      <c r="O18" s="443">
        <f>O17</f>
        <v>63.379936680953222</v>
      </c>
      <c r="P18" s="440"/>
      <c r="Q18" s="272"/>
      <c r="R18" s="274"/>
      <c r="V18" s="2396">
        <f>J17*H18*N17*Q17*P17</f>
        <v>3854.502279237945</v>
      </c>
      <c r="X18" s="543" t="str">
        <f>X11</f>
        <v>TFTRN</v>
      </c>
      <c r="Y18" s="548">
        <f>Dem!F44</f>
        <v>3149.1535293968573</v>
      </c>
      <c r="Z18" s="2396">
        <f>V18</f>
        <v>3854.502279237945</v>
      </c>
      <c r="AA18" s="2395">
        <f>Z18/Y18</f>
        <v>1.2239804262500278</v>
      </c>
      <c r="AB18"/>
      <c r="AD18"/>
      <c r="AE18" s="250">
        <f>J17*1/O17*P17*Q17*H18</f>
        <v>7.8110775324360544</v>
      </c>
      <c r="AF18" s="754"/>
      <c r="AI18" s="184"/>
      <c r="AJ18" s="449" t="s">
        <v>400</v>
      </c>
      <c r="AK18" s="450" t="s">
        <v>401</v>
      </c>
      <c r="AL18" s="451" t="s">
        <v>400</v>
      </c>
      <c r="AM18" s="450" t="s">
        <v>401</v>
      </c>
      <c r="AN18" s="754"/>
      <c r="AO18" s="471" t="s">
        <v>2171</v>
      </c>
      <c r="AP18" s="234"/>
      <c r="AQ18" s="234"/>
      <c r="AR18" s="233"/>
      <c r="AS18" s="234"/>
      <c r="AT18" s="235"/>
      <c r="AV18" s="418"/>
      <c r="AW18" s="420"/>
      <c r="AX18" s="417"/>
      <c r="AY18" s="417"/>
      <c r="AZ18" s="417"/>
    </row>
    <row r="19" spans="1:61" ht="15" thickBot="1">
      <c r="B19" s="874"/>
      <c r="C19" s="390"/>
      <c r="D19" s="390"/>
      <c r="E19" s="390"/>
      <c r="F19" s="390" t="str">
        <f>Commodities!$D46</f>
        <v>TFTRI</v>
      </c>
      <c r="G19" s="390" t="s">
        <v>3603</v>
      </c>
      <c r="H19" s="2311">
        <f>H12</f>
        <v>9.7467666646072926E-2</v>
      </c>
      <c r="I19" s="583">
        <v>5</v>
      </c>
      <c r="J19" s="585"/>
      <c r="K19" s="585"/>
      <c r="L19" s="585"/>
      <c r="M19" s="585"/>
      <c r="N19" s="586"/>
      <c r="O19" s="584">
        <f>O18</f>
        <v>63.379936680953222</v>
      </c>
      <c r="P19" s="587"/>
      <c r="Q19" s="588"/>
      <c r="R19" s="589"/>
      <c r="V19" s="2396">
        <f>J17*H19*N17*Q17*P17</f>
        <v>456.69479650810058</v>
      </c>
      <c r="X19" s="23" t="str">
        <f>X12</f>
        <v>TFTRI</v>
      </c>
      <c r="Y19" s="2245">
        <f>Dem!F45</f>
        <v>373.12263065129241</v>
      </c>
      <c r="Z19" s="2399">
        <f>V19</f>
        <v>456.69479650810058</v>
      </c>
      <c r="AA19" s="2395">
        <f>Z19/Y19</f>
        <v>1.2239804262500278</v>
      </c>
      <c r="AB19"/>
      <c r="AC19" s="23"/>
      <c r="AD19" s="23"/>
      <c r="AE19" s="23"/>
      <c r="AF19" s="269">
        <f>J17*1/O17*P17*Q17*H19</f>
        <v>0.92548355293492013</v>
      </c>
      <c r="AI19" s="184"/>
      <c r="AJ19" s="447" t="s">
        <v>603</v>
      </c>
      <c r="AK19" s="447" t="s">
        <v>603</v>
      </c>
      <c r="AL19" s="448" t="s">
        <v>604</v>
      </c>
      <c r="AM19" s="447" t="s">
        <v>604</v>
      </c>
      <c r="AN19" s="754"/>
      <c r="AO19" s="233"/>
      <c r="AP19" s="234"/>
      <c r="AQ19" s="1938" t="s">
        <v>367</v>
      </c>
      <c r="AR19" s="1944"/>
      <c r="AS19" s="234"/>
      <c r="AT19" s="235"/>
      <c r="AV19" s="418"/>
      <c r="AW19" s="420"/>
      <c r="AX19" s="417"/>
      <c r="AY19" s="417"/>
      <c r="AZ19" s="417"/>
    </row>
    <row r="20" spans="1:61" ht="14.4">
      <c r="A20" s="545"/>
      <c r="B20" s="866" t="s">
        <v>603</v>
      </c>
      <c r="C20" s="754" t="str">
        <f>Processes!$D$29</f>
        <v>TFVADSBL1E</v>
      </c>
      <c r="D20" s="754" t="str">
        <f>Processes!$E$29</f>
        <v>Transport Freight Van - Diesel Engine - Blending 1 - Existing</v>
      </c>
      <c r="E20" s="754" t="str">
        <f>Commodities!$D$80</f>
        <v>TRADSBL1</v>
      </c>
      <c r="F20" s="754" t="str">
        <f>Commodities!$D42</f>
        <v>TFVAS</v>
      </c>
      <c r="G20" s="754" t="s">
        <v>3603</v>
      </c>
      <c r="H20" s="441">
        <f>H6</f>
        <v>0.34</v>
      </c>
      <c r="I20" s="754">
        <v>5</v>
      </c>
      <c r="J20" s="423">
        <f>Freight_Road!Q46*(1-'SE Roadfreight data'!M206)/1000</f>
        <v>282.20628744003665</v>
      </c>
      <c r="K20" s="423">
        <f>J20</f>
        <v>282.20628744003665</v>
      </c>
      <c r="L20" s="423">
        <f>J20*(1-$N$2)</f>
        <v>253.985658696033</v>
      </c>
      <c r="M20" s="423">
        <f>J20*(1-$N$1)</f>
        <v>28.220628744003658</v>
      </c>
      <c r="N20" s="309">
        <f>'SE Assumptions'!U36</f>
        <v>0.4</v>
      </c>
      <c r="O20" s="443">
        <f>O6</f>
        <v>244.3053530526509</v>
      </c>
      <c r="P20" s="1623">
        <f>'SE Assumptions'!U24</f>
        <v>14470.400544999373</v>
      </c>
      <c r="Q20" s="250">
        <f>10^-3</f>
        <v>1E-3</v>
      </c>
      <c r="R20" s="271">
        <v>50</v>
      </c>
      <c r="V20" s="2397">
        <f>J20*H20*N20*Q20*P20</f>
        <v>555.37477011813962</v>
      </c>
      <c r="X20" s="873" t="str">
        <f>X13</f>
        <v>TFVAS</v>
      </c>
      <c r="Y20" s="548">
        <f>Dem!G41</f>
        <v>695.8795705069449</v>
      </c>
      <c r="Z20" s="2395">
        <f>V20+V22</f>
        <v>695.87957050694399</v>
      </c>
      <c r="AA20" s="2395">
        <f>Z20/Y20</f>
        <v>0.99999999999999867</v>
      </c>
      <c r="AB20"/>
      <c r="AC20" s="250">
        <f>J20*1/O20*P20*Q20*H20</f>
        <v>5.6832030405658918</v>
      </c>
      <c r="AD20"/>
      <c r="AF20" s="754"/>
      <c r="AI20" s="409" t="s">
        <v>232</v>
      </c>
      <c r="AJ20" s="270">
        <f>BIKE!T13</f>
        <v>589.89383956147833</v>
      </c>
      <c r="AK20" s="438">
        <f>Freight_Road!J20*Freight_Road!Q20*Freight_Road!P20*Freight_Road!N20*Freight_Road!H20+Freight_Road!Q22*Freight_Road!P22*Freight_Road!N22*Freight_Road!J22*Freight_Road!H22</f>
        <v>695.87957050694411</v>
      </c>
      <c r="AL20" s="270">
        <f>BIKE!T16</f>
        <v>223.2865321520263</v>
      </c>
      <c r="AM20" s="452">
        <f>Freight_Road!J27*Freight_Road!Q20*Freight_Road!P27*Freight_Road!N27*Freight_Road!H27+Freight_Road!Q22*Freight_Road!P29*Freight_Road!N29*Freight_Road!J29*Freight_Road!H29</f>
        <v>186.21245966899505</v>
      </c>
      <c r="AN20" s="754"/>
      <c r="AO20" s="471" t="s">
        <v>2167</v>
      </c>
      <c r="AP20" s="697" t="s">
        <v>61</v>
      </c>
      <c r="AQ20" s="1939" t="s">
        <v>2084</v>
      </c>
      <c r="AR20" s="1940">
        <f>1/SUMPRODUCT(Freight_Road!O20:O21,Freight_Road!H20:H21)*Freight_Road!J20*Freight_Road!P20*Freight_Road!Q20+1/SUMPRODUCT(Freight_Road!O20:O21,Freight_Road!H27:H28)*Freight_Road!J27*Freight_Road!P27*Freight_Road!Q20</f>
        <v>15.767349431873807</v>
      </c>
      <c r="AS20" s="1941" t="e">
        <f>(AQ20-AR20)/AQ20</f>
        <v>#VALUE!</v>
      </c>
      <c r="AT20" s="235"/>
      <c r="AX20" s="415"/>
      <c r="AY20" s="415"/>
      <c r="BF20" s="417"/>
      <c r="BG20" s="417"/>
      <c r="BH20" s="417"/>
    </row>
    <row r="21" spans="1:61" ht="14.4">
      <c r="A21" s="545"/>
      <c r="B21" s="304"/>
      <c r="C21" s="754"/>
      <c r="D21" s="754"/>
      <c r="E21" s="754"/>
      <c r="F21" s="754" t="str">
        <f>Commodities!$D43</f>
        <v>TFVAL</v>
      </c>
      <c r="G21" s="754" t="s">
        <v>3603</v>
      </c>
      <c r="H21" s="441">
        <f t="shared" ref="H21:H30" si="0">H7</f>
        <v>0.66</v>
      </c>
      <c r="I21" s="754">
        <v>5</v>
      </c>
      <c r="J21" s="423"/>
      <c r="K21" s="423"/>
      <c r="L21" s="423"/>
      <c r="M21" s="423"/>
      <c r="N21" s="407"/>
      <c r="O21" s="443">
        <f>O7</f>
        <v>371.56707688616109</v>
      </c>
      <c r="P21" s="1623"/>
      <c r="Q21" s="250"/>
      <c r="R21" s="271"/>
      <c r="V21" s="2398">
        <f>J20*H21*N20*Q20*P20</f>
        <v>1078.080436111683</v>
      </c>
      <c r="X21" s="869" t="str">
        <f>X14</f>
        <v>TFVAL</v>
      </c>
      <c r="Y21" s="548">
        <f>Dem!G42</f>
        <v>1350.8250486311281</v>
      </c>
      <c r="Z21" s="2395">
        <f>V21+V23</f>
        <v>1350.8250486311267</v>
      </c>
      <c r="AA21" s="2395">
        <f>Z21/Y21</f>
        <v>0.999999999999999</v>
      </c>
      <c r="AB21"/>
      <c r="AC21" s="250">
        <f>J20*1/O20*P20*Q20*H21</f>
        <v>11.032100019922025</v>
      </c>
      <c r="AD21"/>
      <c r="AF21" s="754"/>
      <c r="AI21" s="409" t="s">
        <v>86</v>
      </c>
      <c r="AJ21" s="270">
        <f>BIKE!T14</f>
        <v>671.37821466531386</v>
      </c>
      <c r="AK21" s="438">
        <f>Freight_Road!J20*Freight_Road!Q20*Freight_Road!P20*Freight_Road!N20*Freight_Road!H21+Freight_Road!Q22*Freight_Road!P22*Freight_Road!N22*Freight_Road!J22*Freight_Road!H23</f>
        <v>1350.8250486311267</v>
      </c>
      <c r="AL21" s="270">
        <f>BIKE!T17</f>
        <v>156.02562818095697</v>
      </c>
      <c r="AM21" s="452">
        <f>Freight_Road!J27*Freight_Road!Q20*Freight_Road!P27*Freight_Road!N27*Freight_Road!H28+Freight_Road!Q22*Freight_Road!P29*Freight_Road!N29*Freight_Road!J29*Freight_Road!H30</f>
        <v>361.47124523981392</v>
      </c>
      <c r="AN21" s="754"/>
      <c r="AO21" s="233"/>
      <c r="AP21" s="234"/>
      <c r="AQ21" s="1942"/>
      <c r="AR21" s="1940"/>
      <c r="AS21" s="1942"/>
      <c r="AT21" s="235"/>
      <c r="AW21" s="418"/>
      <c r="AX21" s="419"/>
      <c r="AY21" s="420"/>
      <c r="AZ21" s="420"/>
      <c r="BF21" s="417"/>
      <c r="BG21" s="417"/>
      <c r="BH21" s="417"/>
    </row>
    <row r="22" spans="1:61" ht="14.4">
      <c r="A22" s="3"/>
      <c r="B22" s="865" t="s">
        <v>603</v>
      </c>
      <c r="C22" s="754" t="str">
        <f>Processes!$D$30</f>
        <v>TFVAGSBL1E</v>
      </c>
      <c r="D22" s="754" t="str">
        <f>Processes!$E$30</f>
        <v>Transport Freight Van - Otto Engine - Blending 1 - Existing</v>
      </c>
      <c r="E22" s="754" t="str">
        <f>Commodities!$D$85</f>
        <v>TRAGSBL1</v>
      </c>
      <c r="F22" s="754" t="str">
        <f>Commodities!$D42</f>
        <v>TFVAS</v>
      </c>
      <c r="G22" s="754" t="s">
        <v>3603</v>
      </c>
      <c r="H22" s="441">
        <f t="shared" si="0"/>
        <v>0.34</v>
      </c>
      <c r="I22" s="754">
        <v>5</v>
      </c>
      <c r="J22" s="423">
        <f>Freight_Road!Q46*'SE Roadfreight data'!M206/1000</f>
        <v>71.395641679569337</v>
      </c>
      <c r="K22" s="423">
        <f>J22</f>
        <v>71.395641679569337</v>
      </c>
      <c r="L22" s="423">
        <f>J22*(1-$N$2)</f>
        <v>64.256077511612403</v>
      </c>
      <c r="M22" s="423">
        <f>J22*(1-$N$1)</f>
        <v>7.1395641679569319</v>
      </c>
      <c r="N22" s="309">
        <f>'SE Assumptions'!U36</f>
        <v>0.4</v>
      </c>
      <c r="O22" s="443">
        <f>O8</f>
        <v>206.88727799390273</v>
      </c>
      <c r="P22" s="1623">
        <f>'SE Assumptions'!U24</f>
        <v>14470.400544999373</v>
      </c>
      <c r="Q22" s="250">
        <f>10^-3</f>
        <v>1E-3</v>
      </c>
      <c r="R22" s="271">
        <v>50</v>
      </c>
      <c r="V22" s="2397">
        <f>J22*H22*N22*Q22*P22</f>
        <v>140.50480038880434</v>
      </c>
      <c r="AB22"/>
      <c r="AD22" s="250">
        <f>J22*1/O22*P22*Q22*H22</f>
        <v>1.6978424404731307</v>
      </c>
      <c r="AF22" s="754"/>
      <c r="AI22" s="270"/>
      <c r="AJ22" s="270"/>
      <c r="AK22" s="270"/>
      <c r="AL22" s="543"/>
      <c r="AM22" s="270"/>
      <c r="AN22" s="754"/>
      <c r="AO22" s="471" t="s">
        <v>2167</v>
      </c>
      <c r="AP22" s="697" t="s">
        <v>72</v>
      </c>
      <c r="AQ22" s="1939" t="s">
        <v>2084</v>
      </c>
      <c r="AR22" s="1940">
        <f>1/SUMPRODUCT(Freight_Road!O22:O23,Freight_Road!H22:H23)*Freight_Road!J22*Freight_Road!P22*Freight_Road!Q22+1/SUMPRODUCT(Freight_Road!O22:O23,Freight_Road!H29:H30)*Freight_Road!J29*Freight_Road!P29*Freight_Road!Q22</f>
        <v>4.7104555033704463</v>
      </c>
      <c r="AS22" s="1941" t="e">
        <f>(AQ22-AR22)/AQ22</f>
        <v>#VALUE!</v>
      </c>
      <c r="AT22" s="235"/>
      <c r="AW22" s="418"/>
      <c r="AX22" s="419"/>
      <c r="AY22" s="420"/>
      <c r="AZ22" s="420"/>
    </row>
    <row r="23" spans="1:61" ht="14.4">
      <c r="A23" s="3"/>
      <c r="B23" s="873"/>
      <c r="C23" s="754"/>
      <c r="D23" s="754"/>
      <c r="E23" s="23"/>
      <c r="F23" s="23" t="str">
        <f>Commodities!$D43</f>
        <v>TFVAL</v>
      </c>
      <c r="G23" s="23" t="s">
        <v>3603</v>
      </c>
      <c r="H23" s="442">
        <f t="shared" si="0"/>
        <v>0.66</v>
      </c>
      <c r="I23" s="23">
        <v>5</v>
      </c>
      <c r="J23" s="453"/>
      <c r="K23" s="453"/>
      <c r="L23" s="453"/>
      <c r="M23" s="453"/>
      <c r="N23" s="454"/>
      <c r="O23" s="443">
        <f>O9</f>
        <v>314.65745702494712</v>
      </c>
      <c r="P23" s="1629"/>
      <c r="Q23" s="269"/>
      <c r="R23" s="273"/>
      <c r="V23" s="2398">
        <f>J22*H23*N22*Q22*P22</f>
        <v>272.74461251944376</v>
      </c>
      <c r="AB23"/>
      <c r="AD23" s="250">
        <f>J22*1/O22*P22*Q22*H23</f>
        <v>3.2958117962125479</v>
      </c>
      <c r="AF23" s="754"/>
      <c r="AI23" s="754"/>
      <c r="AJ23" s="754"/>
      <c r="AK23" s="438"/>
      <c r="AL23" s="543"/>
      <c r="AM23" s="438"/>
      <c r="AN23" s="754"/>
      <c r="AO23" s="233"/>
      <c r="AP23" s="234"/>
      <c r="AQ23" s="1942"/>
      <c r="AR23" s="1940"/>
      <c r="AS23" s="1942"/>
      <c r="AT23" s="235"/>
      <c r="AX23" s="231"/>
      <c r="AY23" s="231"/>
    </row>
    <row r="24" spans="1:61" ht="14.4">
      <c r="A24" s="545"/>
      <c r="B24" s="865" t="s">
        <v>603</v>
      </c>
      <c r="C24" s="30" t="str">
        <f>Processes!$D$31</f>
        <v>TFTRDSBL1E</v>
      </c>
      <c r="D24" s="30" t="str">
        <f>Processes!$E$31</f>
        <v>Transport Freight Truck - Diesel Engine - Blending 1 - Existing</v>
      </c>
      <c r="E24" s="754" t="str">
        <f>Commodities!$D$80</f>
        <v>TRADSBL1</v>
      </c>
      <c r="F24" s="754" t="str">
        <f>Commodities!$D44</f>
        <v>TFTRS</v>
      </c>
      <c r="G24" s="754" t="s">
        <v>3603</v>
      </c>
      <c r="H24" s="423">
        <f t="shared" si="0"/>
        <v>7.9905611718773667E-2</v>
      </c>
      <c r="I24" s="3">
        <v>5</v>
      </c>
      <c r="J24" s="423">
        <f>Freight_Road!Q47/1000</f>
        <v>60.925941617218101</v>
      </c>
      <c r="K24" s="423">
        <f>J24</f>
        <v>60.925941617218101</v>
      </c>
      <c r="L24" s="423">
        <f>J24*(1-$N$2)</f>
        <v>54.833347455496295</v>
      </c>
      <c r="M24" s="423">
        <f>J24*(1-$N$1)</f>
        <v>6.0925941617218085</v>
      </c>
      <c r="N24" s="640">
        <f>'SE Assumptions'!O47</f>
        <v>7.7858414799701858</v>
      </c>
      <c r="O24" s="443">
        <f>O17</f>
        <v>63.379936680953222</v>
      </c>
      <c r="P24" s="1628">
        <f>'SE Assumptions'!O52</f>
        <v>59030.449941094368</v>
      </c>
      <c r="Q24" s="272">
        <f>10^-3</f>
        <v>1E-3</v>
      </c>
      <c r="R24" s="274">
        <v>6</v>
      </c>
      <c r="S24" s="38">
        <v>4.2000000000000002E-4</v>
      </c>
      <c r="V24" s="2396">
        <f>J24*H24*N24*Q24*P24</f>
        <v>2237.4904034275205</v>
      </c>
      <c r="X24" s="543" t="str">
        <f>X17</f>
        <v>TFTRS</v>
      </c>
      <c r="Y24" s="548">
        <f>Dem!G43</f>
        <v>1828.0442688798785</v>
      </c>
      <c r="Z24" s="2396">
        <f>V24</f>
        <v>2237.4904034275205</v>
      </c>
      <c r="AA24" s="2395">
        <f>Z24/Y24</f>
        <v>1.2239804262500313</v>
      </c>
      <c r="AB24"/>
      <c r="AD24"/>
      <c r="AE24" s="250">
        <f>J24*1/O24*P24*Q24*H24</f>
        <v>4.53423289263415</v>
      </c>
      <c r="AF24" s="754"/>
      <c r="AI24" s="30" t="str">
        <f>Commodities!$D$19</f>
        <v>TPRSX</v>
      </c>
      <c r="AJ24" s="270">
        <f>BIKE!T15</f>
        <v>0</v>
      </c>
      <c r="AK24" s="438">
        <f>Freight_Road!Q24*Freight_Road!P24*Freight_Road!N24*Freight_Road!J24*Freight_Road!H24</f>
        <v>2237.4904034275205</v>
      </c>
      <c r="AL24" s="270">
        <f>BIKE!T18</f>
        <v>0</v>
      </c>
      <c r="AM24" s="438">
        <f>Freight_Road!Q24*Freight_Road!P31*Freight_Road!N31*Freight_Road!J31*Freight_Road!H31</f>
        <v>758.9711295122122</v>
      </c>
      <c r="AN24" s="754"/>
      <c r="AO24" s="233"/>
      <c r="AP24" s="234"/>
      <c r="AQ24" s="1939" t="s">
        <v>2084</v>
      </c>
      <c r="AR24" s="1940"/>
      <c r="AS24" s="1942"/>
      <c r="AT24" s="235"/>
      <c r="AX24" s="545"/>
      <c r="AY24" s="581"/>
      <c r="AZ24" s="581"/>
      <c r="BA24" s="582"/>
      <c r="BB24" s="415"/>
      <c r="BC24" s="418"/>
      <c r="BD24" s="415"/>
      <c r="BE24" s="415"/>
      <c r="BF24" s="415"/>
      <c r="BG24" s="415"/>
      <c r="BH24" s="415"/>
      <c r="BI24" s="415"/>
    </row>
    <row r="25" spans="1:61" ht="14.4">
      <c r="A25" s="545"/>
      <c r="B25" s="304"/>
      <c r="C25" s="543"/>
      <c r="D25" s="543"/>
      <c r="E25" s="754"/>
      <c r="F25" s="754" t="str">
        <f>Commodities!$D45</f>
        <v>TFTRN</v>
      </c>
      <c r="G25" s="754" t="s">
        <v>3603</v>
      </c>
      <c r="H25" s="423">
        <f t="shared" si="0"/>
        <v>0.82262672163515338</v>
      </c>
      <c r="I25" s="3">
        <v>5</v>
      </c>
      <c r="J25" s="424"/>
      <c r="K25" s="424"/>
      <c r="L25" s="424"/>
      <c r="M25" s="424"/>
      <c r="N25" s="307"/>
      <c r="O25" s="443">
        <f>O24</f>
        <v>63.379936680953222</v>
      </c>
      <c r="P25" s="1628"/>
      <c r="Q25" s="272"/>
      <c r="R25" s="274"/>
      <c r="V25" s="2396">
        <f>J24*H25*N24*Q24*P24</f>
        <v>23034.920272429979</v>
      </c>
      <c r="X25" s="543" t="str">
        <f>X18</f>
        <v>TFTRN</v>
      </c>
      <c r="Y25" s="548">
        <f>Dem!G44</f>
        <v>18819.68026482514</v>
      </c>
      <c r="Z25" s="2396">
        <f>V25</f>
        <v>23034.920272429979</v>
      </c>
      <c r="AA25" s="2395">
        <f>Z25/Y25</f>
        <v>1.2239804262500316</v>
      </c>
      <c r="AB25"/>
      <c r="AC25" s="543"/>
      <c r="AD25"/>
      <c r="AE25" s="250">
        <f>J24*1/O24*P24*Q24*H25</f>
        <v>46.679839617841978</v>
      </c>
      <c r="AF25" s="754"/>
      <c r="AI25" s="543" t="str">
        <f>Commodities!$D$20</f>
        <v>TPRSS</v>
      </c>
      <c r="AJ25" s="270">
        <f>WALK!T11</f>
        <v>1490.6288558188517</v>
      </c>
      <c r="AK25" s="438">
        <f>Freight_Road!Q24*Freight_Road!P24*Freight_Road!N24*Freight_Road!J24*Freight_Road!H25</f>
        <v>23034.920272429979</v>
      </c>
      <c r="AL25" s="270">
        <f>WALK!T13</f>
        <v>438.62155744956766</v>
      </c>
      <c r="AM25" s="438">
        <f>Freight_Road!Q24*Freight_Road!P31*Freight_Road!N31*Freight_Road!J31*Freight_Road!H32</f>
        <v>7813.5930463025379</v>
      </c>
      <c r="AN25" s="754"/>
      <c r="AO25" s="233"/>
      <c r="AP25" s="234"/>
      <c r="AQ25" s="1942"/>
      <c r="AR25" s="1940"/>
      <c r="AS25" s="1942"/>
      <c r="AT25" s="235"/>
      <c r="AX25" s="545"/>
      <c r="AY25" s="408"/>
      <c r="AZ25" s="582"/>
      <c r="BA25" s="582"/>
      <c r="BB25" s="415"/>
      <c r="BC25" s="418"/>
      <c r="BD25" s="415"/>
      <c r="BE25" s="415"/>
      <c r="BF25" s="415"/>
      <c r="BG25" s="415"/>
      <c r="BH25" s="415"/>
      <c r="BI25" s="415"/>
    </row>
    <row r="26" spans="1:61" s="754" customFormat="1" ht="15" thickBot="1">
      <c r="A26" s="545"/>
      <c r="B26" s="874"/>
      <c r="C26" s="390"/>
      <c r="D26" s="390"/>
      <c r="E26" s="390"/>
      <c r="F26" s="390" t="str">
        <f>Commodities!$D46</f>
        <v>TFTRI</v>
      </c>
      <c r="G26" s="390" t="s">
        <v>3603</v>
      </c>
      <c r="H26" s="2311">
        <f t="shared" si="0"/>
        <v>9.7467666646072926E-2</v>
      </c>
      <c r="I26" s="583">
        <v>5</v>
      </c>
      <c r="J26" s="585"/>
      <c r="K26" s="585"/>
      <c r="L26" s="585"/>
      <c r="M26" s="585"/>
      <c r="N26" s="586"/>
      <c r="O26" s="584">
        <f>O25</f>
        <v>63.379936680953222</v>
      </c>
      <c r="P26" s="1630"/>
      <c r="Q26" s="588"/>
      <c r="R26" s="589"/>
      <c r="V26" s="2396">
        <f>J24*H26*N24*Q24*P24</f>
        <v>2729.2572333042117</v>
      </c>
      <c r="X26" s="23" t="str">
        <f>X19</f>
        <v>TFTRI</v>
      </c>
      <c r="Y26" s="2245">
        <f>Dem!G45</f>
        <v>2229.8209797896607</v>
      </c>
      <c r="Z26" s="2399">
        <f>V26</f>
        <v>2729.2572333042117</v>
      </c>
      <c r="AA26" s="2395">
        <f>Z26/Y26</f>
        <v>1.2239804262500316</v>
      </c>
      <c r="AC26" s="23"/>
      <c r="AD26" s="273"/>
      <c r="AE26" s="23"/>
      <c r="AF26" s="269">
        <f>J24*1/O24*P24*Q24*H26</f>
        <v>5.5307892721017886</v>
      </c>
      <c r="AI26" s="23" t="str">
        <f>Commodities!$D$21</f>
        <v>TPRSM</v>
      </c>
      <c r="AJ26" s="270">
        <f>WALK!T12</f>
        <v>718.38163034767092</v>
      </c>
      <c r="AK26" s="438">
        <f>Freight_Road!Q24*Freight_Road!P24*Freight_Road!N24*Freight_Road!J24*Freight_Road!H26</f>
        <v>2729.2572333042117</v>
      </c>
      <c r="AL26" s="270">
        <f>WALK!T14</f>
        <v>225.71135700615184</v>
      </c>
      <c r="AM26" s="438">
        <f>Freight_Road!Q24*Freight_Road!P31*Freight_Road!N31*Freight_Road!J31*Freight_Road!H33</f>
        <v>925.78159974100322</v>
      </c>
      <c r="AO26" s="471" t="s">
        <v>2168</v>
      </c>
      <c r="AP26" s="697" t="s">
        <v>61</v>
      </c>
      <c r="AQ26" s="1939" t="s">
        <v>2084</v>
      </c>
      <c r="AR26" s="1940">
        <f>1/SUMPRODUCT(Freight_Road!O24:O26,Freight_Road!H24:H26)*Freight_Road!J24*Freight_Road!P24*Freight_Road!Q24+1/SUMPRODUCT(Freight_Road!O24:O26,Freight_Road!H31:H33)*Freight_Road!J31*Freight_Road!P31*Freight_Road!Q24</f>
        <v>75.993083707983217</v>
      </c>
      <c r="AS26" s="1941" t="e">
        <f>(AQ26-AR26)/AQ26</f>
        <v>#VALUE!</v>
      </c>
      <c r="AT26" s="235"/>
      <c r="AX26" s="545"/>
      <c r="AY26" s="408"/>
      <c r="AZ26" s="582"/>
      <c r="BA26" s="582"/>
      <c r="BB26" s="418"/>
      <c r="BC26" s="418"/>
      <c r="BD26" s="418"/>
      <c r="BE26" s="418"/>
      <c r="BF26" s="418"/>
      <c r="BG26" s="418"/>
      <c r="BH26" s="418"/>
      <c r="BI26" s="418"/>
    </row>
    <row r="27" spans="1:61" s="754" customFormat="1" ht="14.4">
      <c r="A27" s="545"/>
      <c r="B27" s="866" t="s">
        <v>604</v>
      </c>
      <c r="C27" s="754" t="str">
        <f>Processes!$D$29</f>
        <v>TFVADSBL1E</v>
      </c>
      <c r="D27" s="754" t="str">
        <f>Processes!$E$29</f>
        <v>Transport Freight Van - Diesel Engine - Blending 1 - Existing</v>
      </c>
      <c r="E27" s="754" t="str">
        <f>Commodities!$D$80</f>
        <v>TRADSBL1</v>
      </c>
      <c r="F27" s="754" t="str">
        <f>Commodities!$D42</f>
        <v>TFVAS</v>
      </c>
      <c r="G27" s="754" t="s">
        <v>3603</v>
      </c>
      <c r="H27" s="441">
        <f t="shared" si="0"/>
        <v>0.34</v>
      </c>
      <c r="I27" s="754">
        <v>5</v>
      </c>
      <c r="J27" s="423">
        <f>Freight_Road!R46*(1-'SE Roadfreight data'!M206)/1000</f>
        <v>75.516409944298346</v>
      </c>
      <c r="K27" s="423">
        <f>J27</f>
        <v>75.516409944298346</v>
      </c>
      <c r="L27" s="423">
        <f>J27*(1-$N$2)</f>
        <v>67.964768949868514</v>
      </c>
      <c r="M27" s="423">
        <f>J27*(1-$N$1)</f>
        <v>7.5516409944298326</v>
      </c>
      <c r="N27" s="406">
        <f>'SE Assumptions'!U36</f>
        <v>0.4</v>
      </c>
      <c r="O27" s="443">
        <f>O6</f>
        <v>244.3053530526509</v>
      </c>
      <c r="P27" s="1623">
        <f>'SE Assumptions'!U24</f>
        <v>14470.400544999373</v>
      </c>
      <c r="Q27" s="250">
        <f>10^-3</f>
        <v>1E-3</v>
      </c>
      <c r="R27" s="271">
        <v>50</v>
      </c>
      <c r="V27" s="2397">
        <f>J27*H27*N27*Q27*P27</f>
        <v>148.61436714755447</v>
      </c>
      <c r="X27" s="873" t="str">
        <f>X20</f>
        <v>TFVAS</v>
      </c>
      <c r="Y27" s="548">
        <f>Dem!H41</f>
        <v>186.21245966899502</v>
      </c>
      <c r="Z27" s="2395">
        <f>V27+V29</f>
        <v>186.21245966899508</v>
      </c>
      <c r="AA27" s="2395">
        <f>Z27/Y27</f>
        <v>1.0000000000000002</v>
      </c>
      <c r="AC27" s="250">
        <f>J27*1/O27*P27*Q27*H27</f>
        <v>1.5207850062491897</v>
      </c>
      <c r="AD27" s="274"/>
      <c r="AI27" s="274"/>
      <c r="AO27" s="471" t="s">
        <v>2169</v>
      </c>
      <c r="AP27" s="697" t="s">
        <v>61</v>
      </c>
      <c r="AQ27" s="234"/>
      <c r="AR27" s="1940">
        <f>AR26*(H26+H33)/2</f>
        <v>7.4068685502568234</v>
      </c>
      <c r="AS27" s="234"/>
      <c r="AT27" s="235"/>
      <c r="AX27" s="545"/>
      <c r="AY27" s="408"/>
      <c r="AZ27" s="582"/>
      <c r="BA27" s="582"/>
      <c r="BB27" s="418"/>
      <c r="BC27" s="418"/>
      <c r="BD27" s="418"/>
      <c r="BE27" s="418"/>
      <c r="BF27" s="418"/>
      <c r="BG27" s="418"/>
      <c r="BH27" s="418"/>
      <c r="BI27" s="418"/>
    </row>
    <row r="28" spans="1:61" s="754" customFormat="1" ht="14.4">
      <c r="A28" s="545"/>
      <c r="B28" s="304"/>
      <c r="F28" s="754" t="str">
        <f>Commodities!$D43</f>
        <v>TFVAL</v>
      </c>
      <c r="G28" s="754" t="s">
        <v>3603</v>
      </c>
      <c r="H28" s="441">
        <f t="shared" si="0"/>
        <v>0.66</v>
      </c>
      <c r="I28" s="754">
        <v>5</v>
      </c>
      <c r="J28" s="423"/>
      <c r="K28" s="423"/>
      <c r="L28" s="423"/>
      <c r="M28" s="423"/>
      <c r="N28" s="407"/>
      <c r="O28" s="443">
        <f>O7</f>
        <v>371.56707688616109</v>
      </c>
      <c r="P28" s="1623"/>
      <c r="Q28" s="250"/>
      <c r="R28" s="271"/>
      <c r="V28" s="2398">
        <f>J27*H28*N27*Q27*P27</f>
        <v>288.48671269819397</v>
      </c>
      <c r="X28" s="869" t="str">
        <f>X21</f>
        <v>TFVAL</v>
      </c>
      <c r="Y28" s="548">
        <f>Dem!H42</f>
        <v>361.47124523981381</v>
      </c>
      <c r="Z28" s="2395">
        <f>V28+V30</f>
        <v>361.47124523981392</v>
      </c>
      <c r="AA28" s="2395">
        <f>Z28/Y28</f>
        <v>1.0000000000000002</v>
      </c>
      <c r="AC28" s="250">
        <f>J27*1/O27*P27*Q27*H28</f>
        <v>2.9521120709543092</v>
      </c>
      <c r="AD28" s="274"/>
      <c r="AI28" s="274"/>
      <c r="AO28" s="1688" t="s">
        <v>2170</v>
      </c>
      <c r="AP28" s="736" t="s">
        <v>61</v>
      </c>
      <c r="AQ28" s="404"/>
      <c r="AR28" s="1945">
        <f>AR26*(H24+H25+H32+H31)/2</f>
        <v>68.5862151577264</v>
      </c>
      <c r="AS28" s="404"/>
      <c r="AT28" s="405"/>
      <c r="AX28" s="545"/>
      <c r="AY28" s="408"/>
      <c r="AZ28" s="582"/>
      <c r="BA28" s="582"/>
      <c r="BB28" s="418"/>
      <c r="BC28" s="418"/>
      <c r="BD28" s="418"/>
      <c r="BE28" s="418"/>
      <c r="BF28" s="418"/>
      <c r="BG28" s="418"/>
      <c r="BH28" s="418"/>
      <c r="BI28" s="418"/>
    </row>
    <row r="29" spans="1:61" s="754" customFormat="1" ht="14.4">
      <c r="A29" s="545"/>
      <c r="B29" s="865" t="s">
        <v>604</v>
      </c>
      <c r="C29" s="754" t="str">
        <f>Processes!$D$30</f>
        <v>TFVAGSBL1E</v>
      </c>
      <c r="D29" s="754" t="str">
        <f>Processes!$E$30</f>
        <v>Transport Freight Van - Otto Engine - Blending 1 - Existing</v>
      </c>
      <c r="E29" s="754" t="str">
        <f>Commodities!$D$85</f>
        <v>TRAGSBL1</v>
      </c>
      <c r="F29" s="754" t="str">
        <f>Commodities!$D42</f>
        <v>TFVAS</v>
      </c>
      <c r="G29" s="754" t="s">
        <v>3603</v>
      </c>
      <c r="H29" s="441">
        <f t="shared" si="0"/>
        <v>0.34</v>
      </c>
      <c r="I29" s="754">
        <v>5</v>
      </c>
      <c r="J29" s="423">
        <f>Freight_Road!R46*'SE Roadfreight data'!M206/1000</f>
        <v>19.104969610062955</v>
      </c>
      <c r="K29" s="423">
        <f>J29</f>
        <v>19.104969610062955</v>
      </c>
      <c r="L29" s="423">
        <f>J29*(1-$N$2)</f>
        <v>17.19447264905666</v>
      </c>
      <c r="M29" s="423">
        <f>J29*(1-$N$1)</f>
        <v>1.9104969610062952</v>
      </c>
      <c r="N29" s="309">
        <f>'SE Assumptions'!U36</f>
        <v>0.4</v>
      </c>
      <c r="O29" s="443">
        <f>O8</f>
        <v>206.88727799390273</v>
      </c>
      <c r="P29" s="1623">
        <f>'SE Assumptions'!U24</f>
        <v>14470.400544999373</v>
      </c>
      <c r="Q29" s="250">
        <f>10^-3</f>
        <v>1E-3</v>
      </c>
      <c r="R29" s="271">
        <v>50</v>
      </c>
      <c r="V29" s="2397">
        <f>J29*H29*N29*Q29*P29</f>
        <v>37.598092521440599</v>
      </c>
      <c r="AD29" s="250">
        <f>J29*1/O29*P29*Q29*H29</f>
        <v>0.45433064911014814</v>
      </c>
      <c r="AO29" s="233"/>
      <c r="AP29" s="234"/>
      <c r="AQ29" s="234"/>
      <c r="AR29" s="1943"/>
      <c r="AS29" s="234"/>
      <c r="AT29" s="235"/>
      <c r="AX29" s="545"/>
      <c r="AY29" s="408"/>
      <c r="AZ29" s="582"/>
      <c r="BA29" s="582"/>
      <c r="BB29" s="418"/>
      <c r="BC29" s="418"/>
      <c r="BD29" s="418"/>
      <c r="BE29" s="418"/>
      <c r="BF29" s="418"/>
      <c r="BG29" s="418"/>
      <c r="BH29" s="418"/>
      <c r="BI29" s="418"/>
    </row>
    <row r="30" spans="1:61" s="754" customFormat="1" ht="14.4">
      <c r="A30" s="545"/>
      <c r="B30" s="873"/>
      <c r="E30" s="23"/>
      <c r="F30" s="23" t="str">
        <f>Commodities!$D43</f>
        <v>TFVAL</v>
      </c>
      <c r="G30" s="23" t="s">
        <v>3603</v>
      </c>
      <c r="H30" s="442">
        <f t="shared" si="0"/>
        <v>0.66</v>
      </c>
      <c r="I30" s="23">
        <v>5</v>
      </c>
      <c r="J30" s="453"/>
      <c r="K30" s="453"/>
      <c r="L30" s="453"/>
      <c r="M30" s="453"/>
      <c r="N30" s="454"/>
      <c r="O30" s="443">
        <f>O9</f>
        <v>314.65745702494712</v>
      </c>
      <c r="P30" s="1629"/>
      <c r="Q30" s="269"/>
      <c r="R30" s="273"/>
      <c r="V30" s="2398">
        <f>J29*H30*N29*Q29*P29</f>
        <v>72.984532541619984</v>
      </c>
      <c r="AD30" s="250">
        <f>J29*1/O29*P29*Q29*H30</f>
        <v>0.88193596591969936</v>
      </c>
      <c r="AO30" s="471" t="s">
        <v>2167</v>
      </c>
      <c r="AP30" s="697" t="s">
        <v>61</v>
      </c>
      <c r="AQ30" s="234"/>
      <c r="AR30" s="1940">
        <f>AR6+AR20</f>
        <v>18.44543046431129</v>
      </c>
      <c r="AS30" s="234"/>
      <c r="AT30" s="235"/>
      <c r="AX30" s="545"/>
      <c r="AY30" s="408"/>
      <c r="AZ30" s="582"/>
      <c r="BA30" s="582"/>
      <c r="BB30" s="418"/>
      <c r="BC30" s="418"/>
      <c r="BD30" s="418"/>
      <c r="BE30" s="418"/>
      <c r="BF30" s="418"/>
      <c r="BG30" s="418"/>
      <c r="BH30" s="418"/>
      <c r="BI30" s="418"/>
    </row>
    <row r="31" spans="1:61" s="754" customFormat="1" ht="14.4">
      <c r="A31" s="545"/>
      <c r="B31" s="865" t="s">
        <v>604</v>
      </c>
      <c r="C31" s="30" t="str">
        <f>Processes!$D$31</f>
        <v>TFTRDSBL1E</v>
      </c>
      <c r="D31" s="30" t="str">
        <f>Processes!$E$31</f>
        <v>Transport Freight Truck - Diesel Engine - Blending 1 - Existing</v>
      </c>
      <c r="E31" s="754" t="str">
        <f>Commodities!$D$80</f>
        <v>TRADSBL1</v>
      </c>
      <c r="F31" s="754" t="str">
        <f>Commodities!$D44</f>
        <v>TFTRS</v>
      </c>
      <c r="G31" s="754" t="s">
        <v>3603</v>
      </c>
      <c r="H31" s="423">
        <f>H24</f>
        <v>7.9905611718773667E-2</v>
      </c>
      <c r="I31" s="3">
        <v>5</v>
      </c>
      <c r="J31" s="423">
        <f>Freight_Road!R47/1000</f>
        <v>20.666471085185599</v>
      </c>
      <c r="K31" s="423">
        <f>J31</f>
        <v>20.666471085185599</v>
      </c>
      <c r="L31" s="423">
        <f>J31*(1-$N$2)</f>
        <v>18.599823976667039</v>
      </c>
      <c r="M31" s="423">
        <f>J31*(1-$N$1)</f>
        <v>2.0666471085185596</v>
      </c>
      <c r="N31" s="640">
        <f>'SE Assumptions'!O47</f>
        <v>7.7858414799701858</v>
      </c>
      <c r="O31" s="443">
        <f>O24</f>
        <v>63.379936680953222</v>
      </c>
      <c r="P31" s="1628">
        <f>'SE Assumptions'!O52</f>
        <v>59030.449941094368</v>
      </c>
      <c r="Q31" s="272">
        <f>10^-3</f>
        <v>1E-3</v>
      </c>
      <c r="R31" s="274">
        <v>6</v>
      </c>
      <c r="S31" s="38">
        <v>4.2000000000000002E-4</v>
      </c>
      <c r="V31" s="2396">
        <f>J31*H31*N31*Q31*P31</f>
        <v>758.9711295122122</v>
      </c>
      <c r="X31" s="543" t="str">
        <f>X24</f>
        <v>TFTRS</v>
      </c>
      <c r="Y31" s="548">
        <f>Dem!H43</f>
        <v>620.084368373036</v>
      </c>
      <c r="Z31" s="2396">
        <f>V31</f>
        <v>758.9711295122122</v>
      </c>
      <c r="AA31" s="2395">
        <f>Z31/Y31</f>
        <v>1.2239804262500349</v>
      </c>
      <c r="AD31" s="274"/>
      <c r="AE31" s="250">
        <f>J31*1/O31*P31*Q31*H31</f>
        <v>1.5380409474482211</v>
      </c>
      <c r="AO31" s="471" t="s">
        <v>2167</v>
      </c>
      <c r="AP31" s="697" t="s">
        <v>72</v>
      </c>
      <c r="AQ31" s="234"/>
      <c r="AR31" s="1943">
        <f>AR8+AR22</f>
        <v>5.5105253941420607</v>
      </c>
      <c r="AS31" s="234"/>
      <c r="AT31" s="235"/>
      <c r="AX31" s="545"/>
      <c r="AY31" s="408"/>
      <c r="AZ31" s="582"/>
      <c r="BA31" s="582"/>
      <c r="BB31" s="418"/>
      <c r="BC31" s="418"/>
      <c r="BD31" s="418"/>
      <c r="BE31" s="418"/>
      <c r="BF31" s="418"/>
      <c r="BG31" s="418"/>
      <c r="BH31" s="418"/>
      <c r="BI31" s="418"/>
    </row>
    <row r="32" spans="1:61" s="754" customFormat="1" ht="14.4">
      <c r="A32" s="545"/>
      <c r="B32" s="304"/>
      <c r="C32" s="543"/>
      <c r="D32" s="543"/>
      <c r="F32" s="754" t="str">
        <f>Commodities!$D45</f>
        <v>TFTRN</v>
      </c>
      <c r="G32" s="754" t="s">
        <v>3603</v>
      </c>
      <c r="H32" s="423">
        <f>H25</f>
        <v>0.82262672163515338</v>
      </c>
      <c r="I32" s="3">
        <v>5</v>
      </c>
      <c r="J32" s="424"/>
      <c r="K32" s="424"/>
      <c r="L32" s="424"/>
      <c r="M32" s="424"/>
      <c r="N32" s="307"/>
      <c r="O32" s="443">
        <f>O31</f>
        <v>63.379936680953222</v>
      </c>
      <c r="P32" s="440"/>
      <c r="Q32" s="272"/>
      <c r="R32" s="274"/>
      <c r="V32" s="2396">
        <f>J31*H32*N31*Q31*P31</f>
        <v>7813.5930463025379</v>
      </c>
      <c r="X32" s="543" t="str">
        <f>X25</f>
        <v>TFTRN</v>
      </c>
      <c r="Y32" s="548">
        <f>Dem!H44</f>
        <v>6383.7565362392297</v>
      </c>
      <c r="Z32" s="2396">
        <f>V32</f>
        <v>7813.5930463025379</v>
      </c>
      <c r="AA32" s="2395">
        <f>Z32/Y32</f>
        <v>1.2239804262500347</v>
      </c>
      <c r="AD32" s="274"/>
      <c r="AE32" s="250">
        <f>J31*1/O31*P31*Q31*H32</f>
        <v>15.834101699802034</v>
      </c>
      <c r="AO32" s="471"/>
      <c r="AP32" s="697"/>
      <c r="AQ32" s="234"/>
      <c r="AR32" s="233"/>
      <c r="AS32" s="234"/>
      <c r="AT32" s="235"/>
      <c r="AX32" s="545"/>
      <c r="AY32" s="408"/>
      <c r="AZ32" s="582"/>
      <c r="BA32" s="582"/>
      <c r="BB32" s="418"/>
      <c r="BC32" s="418"/>
      <c r="BD32" s="418"/>
      <c r="BE32" s="418"/>
      <c r="BF32" s="418"/>
      <c r="BG32" s="418"/>
      <c r="BH32" s="418"/>
      <c r="BI32" s="418"/>
    </row>
    <row r="33" spans="1:61" s="754" customFormat="1" ht="15" thickBot="1">
      <c r="A33" s="545"/>
      <c r="B33" s="874"/>
      <c r="C33" s="390"/>
      <c r="D33" s="390"/>
      <c r="E33" s="390"/>
      <c r="F33" s="390" t="str">
        <f>Commodities!$D46</f>
        <v>TFTRI</v>
      </c>
      <c r="G33" s="390" t="s">
        <v>3603</v>
      </c>
      <c r="H33" s="2311">
        <f>H26</f>
        <v>9.7467666646072926E-2</v>
      </c>
      <c r="I33" s="583">
        <v>5</v>
      </c>
      <c r="J33" s="585"/>
      <c r="K33" s="585"/>
      <c r="L33" s="585"/>
      <c r="M33" s="585"/>
      <c r="N33" s="586"/>
      <c r="O33" s="584">
        <f>O32</f>
        <v>63.379936680953222</v>
      </c>
      <c r="P33" s="587"/>
      <c r="Q33" s="588"/>
      <c r="R33" s="589"/>
      <c r="V33" s="2396">
        <f>J31*H33*N31*Q31*P31</f>
        <v>925.78159974100333</v>
      </c>
      <c r="X33" s="23" t="str">
        <f>X26</f>
        <v>TFTRI</v>
      </c>
      <c r="Y33" s="2245">
        <f>Dem!H45</f>
        <v>756.36961170805876</v>
      </c>
      <c r="Z33" s="2399">
        <f>V33</f>
        <v>925.78159974100333</v>
      </c>
      <c r="AA33" s="2395">
        <f>Z33/Y33</f>
        <v>1.2239804262500351</v>
      </c>
      <c r="AC33" s="23"/>
      <c r="AD33" s="273"/>
      <c r="AE33" s="23"/>
      <c r="AF33" s="269">
        <f>J31*1/O31*P31*Q31*H33</f>
        <v>1.8760792781550346</v>
      </c>
      <c r="AO33" s="471" t="s">
        <v>2169</v>
      </c>
      <c r="AP33" s="697" t="s">
        <v>61</v>
      </c>
      <c r="AQ33" s="234"/>
      <c r="AR33" s="1943">
        <f>AR13+AR27</f>
        <v>8.7692594546313067</v>
      </c>
      <c r="AS33" s="234"/>
      <c r="AT33" s="235"/>
      <c r="AX33" s="545"/>
      <c r="AY33" s="408"/>
      <c r="AZ33" s="582"/>
      <c r="BA33" s="582"/>
      <c r="BB33" s="418"/>
      <c r="BC33" s="418"/>
      <c r="BD33" s="418"/>
      <c r="BE33" s="418"/>
      <c r="BF33" s="418"/>
      <c r="BG33" s="418"/>
      <c r="BH33" s="418"/>
      <c r="BI33" s="418"/>
    </row>
    <row r="34" spans="1:61" s="754" customFormat="1" ht="14.4">
      <c r="V34" s="543"/>
      <c r="W34" s="543"/>
      <c r="AA34" s="2395"/>
      <c r="AD34" s="274"/>
      <c r="AO34" s="1688" t="s">
        <v>2170</v>
      </c>
      <c r="AP34" s="736" t="s">
        <v>61</v>
      </c>
      <c r="AQ34" s="234"/>
      <c r="AR34" s="1943">
        <f>AR14+AR28</f>
        <v>81.201699699181887</v>
      </c>
      <c r="AS34" s="234"/>
      <c r="AT34" s="235"/>
      <c r="AX34" s="545"/>
      <c r="AY34" s="408"/>
      <c r="AZ34" s="582"/>
      <c r="BA34" s="582"/>
      <c r="BB34" s="418"/>
      <c r="BC34" s="418"/>
      <c r="BD34" s="418"/>
      <c r="BE34" s="418"/>
      <c r="BF34" s="418"/>
      <c r="BG34" s="418"/>
      <c r="BH34" s="418"/>
      <c r="BI34" s="418"/>
    </row>
    <row r="35" spans="1:61" s="754" customFormat="1" ht="14.4">
      <c r="L35" s="866" t="s">
        <v>3274</v>
      </c>
      <c r="M35" s="304"/>
      <c r="N35" s="304"/>
      <c r="O35" s="304"/>
      <c r="P35" s="304"/>
      <c r="Q35" s="304">
        <f>1/(N10/P92)</f>
        <v>0.77062961215374959</v>
      </c>
      <c r="Y35" s="548">
        <f>SUM(Y6:Y34)</f>
        <v>39308.191643070408</v>
      </c>
      <c r="Z35" s="548">
        <f>SUM(Z6:Z34)</f>
        <v>47432.666569560468</v>
      </c>
      <c r="AA35" s="2395">
        <f>Z35/Y35</f>
        <v>1.2066865604061008</v>
      </c>
      <c r="AC35" s="548">
        <f>SUM(AC6:AC34)</f>
        <v>24.787011538771477</v>
      </c>
      <c r="AD35" s="548">
        <f>SUM(AD6:AD34)</f>
        <v>7.405056596188925</v>
      </c>
      <c r="AE35" s="548">
        <f>SUM(AE6:AE34)</f>
        <v>81.201699699181859</v>
      </c>
      <c r="AF35" s="548">
        <f>SUM(AF6:AF34)</f>
        <v>8.769259454631305</v>
      </c>
      <c r="AO35" s="233"/>
      <c r="AP35" s="234"/>
      <c r="AQ35" s="234"/>
      <c r="AR35" s="233"/>
      <c r="AS35" s="234"/>
      <c r="AT35" s="235"/>
      <c r="AX35" s="545"/>
      <c r="AY35" s="408"/>
      <c r="AZ35" s="582"/>
      <c r="BA35" s="582"/>
      <c r="BB35" s="418"/>
      <c r="BC35" s="418"/>
      <c r="BD35" s="418"/>
      <c r="BE35" s="418"/>
      <c r="BF35" s="418"/>
      <c r="BG35" s="418"/>
      <c r="BH35" s="418"/>
      <c r="BI35" s="418"/>
    </row>
    <row r="36" spans="1:61" s="754" customFormat="1" ht="14.4">
      <c r="J36" s="2395"/>
      <c r="L36" s="304"/>
      <c r="M36" s="304"/>
      <c r="N36" s="866" t="s">
        <v>3275</v>
      </c>
      <c r="O36" s="304">
        <v>0.65</v>
      </c>
      <c r="P36" s="304"/>
      <c r="Q36" s="304"/>
      <c r="AD36" s="274"/>
      <c r="AO36" s="233"/>
      <c r="AP36" s="234"/>
      <c r="AQ36" s="234"/>
      <c r="AR36" s="234"/>
      <c r="AS36" s="234"/>
      <c r="AT36" s="235"/>
      <c r="AX36" s="545"/>
      <c r="AY36" s="408"/>
      <c r="AZ36" s="582"/>
      <c r="BA36" s="582"/>
      <c r="BB36" s="418"/>
      <c r="BC36" s="418"/>
      <c r="BD36" s="418"/>
      <c r="BE36" s="418"/>
      <c r="BF36" s="418"/>
      <c r="BG36" s="418"/>
      <c r="BH36" s="418"/>
      <c r="BI36" s="418"/>
    </row>
    <row r="37" spans="1:61" s="754" customFormat="1" ht="14.4">
      <c r="J37" s="2395"/>
      <c r="L37" s="304"/>
      <c r="M37" s="866"/>
      <c r="N37" s="866" t="s">
        <v>3277</v>
      </c>
      <c r="O37" s="304">
        <v>1.1000000000000001</v>
      </c>
      <c r="P37" s="304"/>
      <c r="Q37" s="304">
        <f>BM58</f>
        <v>1.1314063213935963</v>
      </c>
      <c r="AB37" s="274"/>
      <c r="AO37" s="233"/>
      <c r="AP37" s="234"/>
      <c r="AQ37" s="234"/>
      <c r="AR37" s="234"/>
      <c r="AS37" s="234"/>
      <c r="AT37" s="235"/>
      <c r="AX37" s="545"/>
      <c r="AY37" s="408"/>
      <c r="AZ37" s="582"/>
      <c r="BA37" s="582"/>
      <c r="BB37" s="418"/>
      <c r="BC37" s="418"/>
      <c r="BD37" s="418"/>
      <c r="BE37" s="418"/>
      <c r="BF37" s="418"/>
      <c r="BG37" s="418"/>
      <c r="BH37" s="418"/>
      <c r="BI37" s="418"/>
    </row>
    <row r="38" spans="1:61" s="754" customFormat="1" ht="14.4">
      <c r="J38" s="2395"/>
      <c r="L38" s="304"/>
      <c r="M38" s="866"/>
      <c r="N38" s="866" t="s">
        <v>3276</v>
      </c>
      <c r="O38" s="304">
        <v>1.2</v>
      </c>
      <c r="P38" s="304"/>
      <c r="Q38" s="304">
        <f>BM59</f>
        <v>1.2285081738687893</v>
      </c>
      <c r="AB38" s="274"/>
      <c r="AO38" s="233"/>
      <c r="AP38" s="234"/>
      <c r="AQ38" s="234"/>
      <c r="AR38" s="234"/>
      <c r="AS38" s="234"/>
      <c r="AT38" s="235"/>
      <c r="AX38" s="545"/>
      <c r="AY38" s="408"/>
      <c r="AZ38" s="582"/>
      <c r="BA38" s="582"/>
      <c r="BB38" s="418"/>
      <c r="BC38" s="418"/>
      <c r="BD38" s="418"/>
      <c r="BE38" s="418"/>
      <c r="BF38" s="418"/>
      <c r="BG38" s="418"/>
      <c r="BH38" s="418"/>
      <c r="BI38" s="418"/>
    </row>
    <row r="39" spans="1:61" s="754" customFormat="1" ht="14.4">
      <c r="J39" s="2395"/>
      <c r="L39" s="304"/>
      <c r="M39" s="866"/>
      <c r="N39" s="304"/>
      <c r="O39" s="304"/>
      <c r="P39" s="304"/>
      <c r="Q39" s="304"/>
      <c r="AB39" s="274"/>
      <c r="AO39" s="233"/>
      <c r="AP39" s="234"/>
      <c r="AQ39" s="234"/>
      <c r="AR39" s="234"/>
      <c r="AS39" s="234"/>
      <c r="AT39" s="235"/>
      <c r="AX39" s="545"/>
      <c r="AY39" s="408"/>
      <c r="AZ39" s="582"/>
      <c r="BA39" s="582"/>
      <c r="BB39" s="418"/>
      <c r="BC39" s="418"/>
      <c r="BD39" s="418"/>
      <c r="BE39" s="418"/>
      <c r="BF39" s="418"/>
      <c r="BG39" s="418"/>
      <c r="BH39" s="418"/>
      <c r="BI39" s="418"/>
    </row>
    <row r="40" spans="1:61" s="754" customFormat="1" ht="14.4">
      <c r="J40" s="2395"/>
      <c r="L40" s="866" t="s">
        <v>3215</v>
      </c>
      <c r="M40" s="866"/>
      <c r="N40" s="304"/>
      <c r="O40" s="304"/>
      <c r="P40" s="304"/>
      <c r="Q40" s="304"/>
      <c r="AB40" s="274"/>
      <c r="AO40" s="233"/>
      <c r="AP40" s="234"/>
      <c r="AQ40" s="234"/>
      <c r="AR40" s="234"/>
      <c r="AS40" s="234"/>
      <c r="AT40" s="235"/>
      <c r="AX40" s="545"/>
      <c r="AY40" s="408"/>
      <c r="AZ40" s="582"/>
      <c r="BA40" s="582"/>
      <c r="BB40" s="418"/>
      <c r="BC40" s="418"/>
      <c r="BD40" s="418"/>
      <c r="BE40" s="418"/>
      <c r="BF40" s="418"/>
      <c r="BG40" s="418"/>
      <c r="BH40" s="418"/>
      <c r="BI40" s="418"/>
    </row>
    <row r="41" spans="1:61" s="754" customFormat="1" ht="14.4">
      <c r="J41" s="2395"/>
      <c r="L41" s="304"/>
      <c r="M41" s="866"/>
      <c r="N41" s="304"/>
      <c r="O41" s="304"/>
      <c r="P41" s="304"/>
      <c r="Q41" s="304"/>
      <c r="AB41" s="274"/>
      <c r="AO41" s="233"/>
      <c r="AP41" s="234"/>
      <c r="AQ41" s="234"/>
      <c r="AR41" s="234"/>
      <c r="AS41" s="234"/>
      <c r="AT41" s="235"/>
      <c r="AX41" s="545"/>
      <c r="AY41" s="408"/>
      <c r="AZ41" s="582"/>
      <c r="BA41" s="582"/>
      <c r="BB41" s="418"/>
      <c r="BC41" s="418"/>
      <c r="BD41" s="418"/>
      <c r="BE41" s="418"/>
      <c r="BF41" s="418"/>
      <c r="BG41" s="418"/>
      <c r="BH41" s="418"/>
      <c r="BI41" s="418"/>
    </row>
    <row r="42" spans="1:61" s="754" customFormat="1" ht="14.4">
      <c r="J42" s="2395"/>
      <c r="L42" s="304"/>
      <c r="M42" s="866"/>
      <c r="N42" s="304"/>
      <c r="O42" s="304"/>
      <c r="P42" s="304"/>
      <c r="Q42" s="304"/>
      <c r="AB42" s="274"/>
      <c r="AO42" s="233"/>
      <c r="AP42" s="234"/>
      <c r="AQ42" s="234"/>
      <c r="AR42" s="234"/>
      <c r="AS42" s="234"/>
      <c r="AT42" s="235"/>
      <c r="AX42" s="545"/>
      <c r="AY42" s="408"/>
      <c r="AZ42" s="582"/>
      <c r="BA42" s="582"/>
      <c r="BB42" s="418"/>
      <c r="BC42" s="418"/>
      <c r="BD42" s="418"/>
      <c r="BE42" s="418"/>
      <c r="BF42" s="418"/>
      <c r="BG42" s="418"/>
      <c r="BH42" s="418"/>
      <c r="BI42" s="418"/>
    </row>
    <row r="43" spans="1:61" s="754" customFormat="1" ht="14.4">
      <c r="N43" s="1625" t="s">
        <v>2085</v>
      </c>
      <c r="O43" s="543"/>
      <c r="P43" s="271"/>
      <c r="Q43" s="271"/>
      <c r="R43" s="271"/>
      <c r="S43" s="271"/>
      <c r="AB43" s="274"/>
      <c r="AO43" s="242"/>
      <c r="AP43" s="404"/>
      <c r="AQ43" s="404"/>
      <c r="AR43" s="404"/>
      <c r="AS43" s="404"/>
      <c r="AT43" s="405"/>
      <c r="AX43" s="545"/>
      <c r="AY43" s="408"/>
      <c r="AZ43" s="582"/>
      <c r="BA43" s="582"/>
      <c r="BB43" s="418"/>
      <c r="BC43" s="418"/>
      <c r="BD43" s="418"/>
      <c r="BE43" s="418"/>
      <c r="BF43" s="418"/>
      <c r="BG43" s="418"/>
      <c r="BH43" s="418"/>
      <c r="BI43" s="418"/>
    </row>
    <row r="44" spans="1:61" s="754" customFormat="1" ht="14.4">
      <c r="N44" s="543"/>
      <c r="O44" s="543"/>
      <c r="P44" s="271"/>
      <c r="Q44" s="271"/>
      <c r="R44" s="271"/>
      <c r="S44" s="271"/>
      <c r="AB44" s="274"/>
      <c r="AC44" s="270"/>
      <c r="AE44" s="270"/>
      <c r="AI44" s="270"/>
      <c r="AJ44" s="270"/>
      <c r="AK44" s="270"/>
      <c r="AL44" s="270"/>
      <c r="AX44" s="545"/>
      <c r="AY44" s="408"/>
      <c r="AZ44" s="582"/>
      <c r="BA44" s="582"/>
      <c r="BB44" s="418"/>
      <c r="BC44" s="418"/>
      <c r="BD44" s="418"/>
      <c r="BE44" s="418"/>
      <c r="BF44" s="418"/>
      <c r="BG44" s="418"/>
      <c r="BH44" s="418"/>
      <c r="BI44" s="418"/>
    </row>
    <row r="45" spans="1:61" s="754" customFormat="1" ht="14.4">
      <c r="N45" s="1624" t="s">
        <v>188</v>
      </c>
      <c r="O45" s="1621" t="s">
        <v>601</v>
      </c>
      <c r="P45" s="1621" t="s">
        <v>602</v>
      </c>
      <c r="Q45" s="1621" t="s">
        <v>603</v>
      </c>
      <c r="R45" s="1621" t="s">
        <v>604</v>
      </c>
      <c r="S45" s="271"/>
      <c r="AB45" s="274"/>
      <c r="AE45" s="12"/>
      <c r="AG45" s="12"/>
      <c r="AX45" s="545"/>
      <c r="AY45" s="408"/>
      <c r="AZ45" s="582"/>
      <c r="BA45" s="582"/>
      <c r="BB45" s="418"/>
      <c r="BC45" s="418"/>
      <c r="BD45" s="418"/>
      <c r="BE45" s="418"/>
      <c r="BF45" s="418"/>
      <c r="BG45" s="418"/>
      <c r="BH45" s="418"/>
      <c r="BI45" s="418"/>
    </row>
    <row r="46" spans="1:61" s="754" customFormat="1" ht="14.4">
      <c r="N46" s="467" t="s">
        <v>2083</v>
      </c>
      <c r="O46" s="873">
        <v>24885.932516315799</v>
      </c>
      <c r="P46" s="873">
        <v>51244.703545415003</v>
      </c>
      <c r="Q46" s="873">
        <v>353601.92911960598</v>
      </c>
      <c r="R46" s="873">
        <v>94621.379554361294</v>
      </c>
      <c r="S46" s="271"/>
      <c r="AB46" s="274"/>
      <c r="AC46" s="274"/>
      <c r="AX46" s="545"/>
      <c r="AY46" s="408"/>
      <c r="AZ46" s="582"/>
      <c r="BA46" s="582"/>
      <c r="BB46" s="418"/>
      <c r="BC46" s="418"/>
      <c r="BD46" s="418"/>
      <c r="BE46" s="418"/>
      <c r="BF46" s="418"/>
      <c r="BG46" s="418"/>
      <c r="BH46" s="418"/>
      <c r="BI46" s="418"/>
    </row>
    <row r="47" spans="1:61" s="754" customFormat="1" ht="14.4">
      <c r="N47" s="765" t="s">
        <v>1388</v>
      </c>
      <c r="O47" s="873">
        <v>4812.8739816956604</v>
      </c>
      <c r="P47" s="873">
        <v>10194.920496831901</v>
      </c>
      <c r="Q47" s="873">
        <v>60925.941617218101</v>
      </c>
      <c r="R47" s="873">
        <v>20666.4710851856</v>
      </c>
      <c r="S47" s="271"/>
      <c r="AB47" s="274"/>
      <c r="AC47" s="274"/>
      <c r="AX47" s="545"/>
      <c r="AY47" s="408"/>
      <c r="AZ47" s="582"/>
      <c r="BA47" s="582"/>
      <c r="BB47" s="418"/>
      <c r="BC47" s="418"/>
      <c r="BD47" s="418"/>
      <c r="BE47" s="418"/>
      <c r="BF47" s="418"/>
      <c r="BG47" s="418"/>
      <c r="BH47" s="418"/>
      <c r="BI47" s="418"/>
    </row>
    <row r="48" spans="1:61" s="754" customFormat="1" ht="14.4">
      <c r="N48" s="1"/>
      <c r="O48" s="1"/>
      <c r="P48" s="1"/>
      <c r="Q48" s="1"/>
      <c r="R48" s="1"/>
      <c r="S48" s="271"/>
      <c r="V48" s="274"/>
      <c r="W48" s="274"/>
      <c r="AX48" s="545"/>
      <c r="AY48" s="408"/>
      <c r="AZ48" s="582"/>
      <c r="BA48" s="582"/>
      <c r="BB48" s="418"/>
      <c r="BC48" s="418"/>
      <c r="BD48" s="418"/>
      <c r="BE48" s="418"/>
      <c r="BF48" s="418"/>
      <c r="BG48" s="418"/>
      <c r="BH48" s="418"/>
      <c r="BI48" s="418"/>
    </row>
    <row r="49" spans="1:70" s="754" customFormat="1" ht="14.4">
      <c r="V49" s="274"/>
      <c r="W49" s="274"/>
      <c r="AX49" s="545"/>
      <c r="AY49" s="408"/>
      <c r="AZ49" s="582"/>
      <c r="BA49" s="582"/>
      <c r="BB49" s="418"/>
      <c r="BC49" s="418"/>
      <c r="BD49" s="418"/>
      <c r="BE49" s="418"/>
      <c r="BF49" s="418"/>
      <c r="BG49" s="418"/>
      <c r="BH49" s="418"/>
      <c r="BI49" s="418"/>
    </row>
    <row r="50" spans="1:70" s="754" customFormat="1" ht="14.4">
      <c r="V50" s="274"/>
      <c r="W50" s="274"/>
      <c r="AX50" s="545"/>
      <c r="AY50" s="408"/>
      <c r="AZ50" s="582"/>
      <c r="BA50" s="582"/>
      <c r="BB50" s="418"/>
      <c r="BC50" s="418"/>
      <c r="BD50" s="418"/>
      <c r="BE50" s="418"/>
      <c r="BF50" s="418"/>
      <c r="BG50" s="418"/>
      <c r="BH50" s="418"/>
      <c r="BI50" s="418"/>
    </row>
    <row r="51" spans="1:70" s="754" customFormat="1" ht="14.4">
      <c r="A51" s="545"/>
      <c r="V51" s="274"/>
      <c r="W51" s="274"/>
      <c r="AX51" s="545"/>
      <c r="AY51" s="408"/>
      <c r="AZ51" s="582"/>
      <c r="BA51" s="582"/>
      <c r="BB51" s="418"/>
      <c r="BC51" s="418"/>
      <c r="BD51" s="418"/>
      <c r="BE51" s="418"/>
      <c r="BF51" s="418"/>
      <c r="BG51" s="418"/>
      <c r="BH51" s="418"/>
      <c r="BI51" s="418"/>
    </row>
    <row r="52" spans="1:70" s="754" customFormat="1" ht="14.4">
      <c r="A52" s="545"/>
      <c r="V52" s="274"/>
      <c r="W52" s="274"/>
      <c r="AX52" s="545"/>
      <c r="AY52" s="408"/>
      <c r="AZ52" s="582"/>
      <c r="BA52" s="582"/>
      <c r="BB52" s="418"/>
      <c r="BC52" s="418"/>
      <c r="BD52" s="418"/>
      <c r="BE52" s="418"/>
      <c r="BF52" s="418"/>
      <c r="BG52" s="418"/>
      <c r="BH52" s="418"/>
      <c r="BI52" s="418"/>
    </row>
    <row r="53" spans="1:70" s="754" customFormat="1" ht="14.4">
      <c r="A53" s="545"/>
      <c r="B53" s="545"/>
      <c r="U53" s="3060" t="s">
        <v>398</v>
      </c>
      <c r="V53" s="3060"/>
      <c r="W53" s="274"/>
      <c r="AX53" s="545"/>
      <c r="AY53" s="408"/>
      <c r="AZ53" s="582"/>
      <c r="BA53" s="582"/>
      <c r="BB53" s="418"/>
      <c r="BC53" s="418"/>
      <c r="BD53" s="418"/>
      <c r="BE53" s="418"/>
      <c r="BF53" s="418"/>
      <c r="BG53" s="418"/>
      <c r="BH53" s="418"/>
      <c r="BI53" s="418"/>
    </row>
    <row r="54" spans="1:70" s="754" customFormat="1" ht="14.4">
      <c r="A54" s="545"/>
      <c r="B54" s="545"/>
      <c r="C54" s="543"/>
      <c r="E54" s="543"/>
      <c r="F54" s="543"/>
      <c r="G54" s="543"/>
      <c r="S54" s="422"/>
      <c r="T54" s="1622"/>
      <c r="U54" s="445" t="s">
        <v>399</v>
      </c>
      <c r="V54" s="2866">
        <v>0.78900000000000003</v>
      </c>
      <c r="W54" s="274"/>
      <c r="AX54" s="545"/>
      <c r="AY54" s="408"/>
      <c r="AZ54" s="582"/>
      <c r="BA54" s="582"/>
      <c r="BB54" s="418"/>
      <c r="BC54" s="418"/>
      <c r="BD54" s="418"/>
      <c r="BE54" s="418"/>
      <c r="BF54" s="418"/>
      <c r="BG54" s="418"/>
      <c r="BH54" s="418"/>
      <c r="BI54" s="418"/>
    </row>
    <row r="55" spans="1:70" s="754" customFormat="1" ht="14.4">
      <c r="A55" s="545"/>
      <c r="B55" s="545"/>
      <c r="C55" s="543"/>
      <c r="D55" s="543"/>
      <c r="E55" s="543"/>
      <c r="F55" s="543"/>
      <c r="G55" s="543"/>
      <c r="H55" s="271"/>
      <c r="I55" s="271"/>
      <c r="J55" s="271"/>
      <c r="K55" s="271"/>
      <c r="L55" s="271"/>
      <c r="M55" s="271"/>
      <c r="N55" s="271"/>
      <c r="O55" s="271"/>
      <c r="P55" s="271"/>
      <c r="Q55" s="271"/>
      <c r="R55" s="271"/>
      <c r="S55" s="422"/>
      <c r="T55" s="1622"/>
      <c r="U55" s="445" t="s">
        <v>397</v>
      </c>
      <c r="V55" s="2866">
        <v>1.2</v>
      </c>
      <c r="W55" s="274"/>
      <c r="AX55" s="545"/>
      <c r="AY55" s="408"/>
      <c r="AZ55" s="582"/>
      <c r="BA55" s="582"/>
      <c r="BB55" s="418"/>
      <c r="BC55" s="418"/>
      <c r="BD55" s="418"/>
      <c r="BE55" s="418"/>
      <c r="BF55" s="418"/>
      <c r="BG55" s="418"/>
      <c r="BH55" s="418"/>
      <c r="BI55" s="418"/>
    </row>
    <row r="56" spans="1:70" s="754" customFormat="1" ht="14.4">
      <c r="A56" s="545"/>
      <c r="B56" s="545"/>
      <c r="C56" s="543"/>
      <c r="D56" s="543"/>
      <c r="E56" s="543"/>
      <c r="F56" s="543"/>
      <c r="G56" s="543"/>
      <c r="H56" s="271"/>
      <c r="I56" s="271"/>
      <c r="J56" s="271"/>
      <c r="K56" s="271"/>
      <c r="L56" s="271"/>
      <c r="M56" s="271"/>
      <c r="N56" s="271"/>
      <c r="O56" s="271"/>
      <c r="P56" s="271"/>
      <c r="Q56" s="271"/>
      <c r="R56" s="271"/>
      <c r="S56" s="422"/>
      <c r="T56" s="1622"/>
      <c r="V56" s="274"/>
      <c r="W56" s="274"/>
      <c r="AX56" s="545"/>
      <c r="AY56" s="408"/>
      <c r="AZ56" s="582"/>
      <c r="BA56" s="582"/>
      <c r="BB56" s="418"/>
      <c r="BC56" s="418"/>
      <c r="BD56" s="418"/>
      <c r="BE56" s="418"/>
      <c r="BF56" s="418"/>
      <c r="BG56" s="418"/>
      <c r="BH56" s="418"/>
      <c r="BI56" s="418"/>
    </row>
    <row r="57" spans="1:70" s="754" customFormat="1" ht="14.4">
      <c r="A57" s="545"/>
      <c r="B57" s="545"/>
      <c r="C57" s="543"/>
      <c r="D57" s="543"/>
      <c r="E57" s="543"/>
      <c r="F57" s="543"/>
      <c r="G57" s="543"/>
      <c r="H57" s="271"/>
      <c r="I57" s="271"/>
      <c r="J57" s="271"/>
      <c r="K57" s="271"/>
      <c r="L57" s="271"/>
      <c r="M57" s="271"/>
      <c r="N57" s="271"/>
      <c r="O57" s="271"/>
      <c r="P57" s="271"/>
      <c r="Q57" s="271"/>
      <c r="R57" s="271"/>
      <c r="S57" s="422"/>
      <c r="T57" s="1622"/>
      <c r="AX57" s="545"/>
      <c r="AY57" s="408"/>
      <c r="AZ57" s="582"/>
      <c r="BA57" s="582"/>
      <c r="BB57" s="418"/>
      <c r="BC57" s="418"/>
      <c r="BD57" s="418"/>
      <c r="BE57" s="418"/>
      <c r="BF57" s="418"/>
      <c r="BG57" s="418"/>
      <c r="BH57" s="418"/>
      <c r="BI57" s="418"/>
    </row>
    <row r="58" spans="1:70" s="754" customFormat="1" ht="14.4">
      <c r="A58" s="545"/>
      <c r="B58" s="545"/>
      <c r="C58" s="543"/>
      <c r="D58" s="543"/>
      <c r="E58" s="543"/>
      <c r="F58" s="543"/>
      <c r="G58" s="543"/>
      <c r="H58" s="271"/>
      <c r="I58" s="271"/>
      <c r="J58" s="271"/>
      <c r="K58" s="271"/>
      <c r="L58" s="271"/>
      <c r="M58" s="271"/>
      <c r="N58" s="271"/>
      <c r="O58" s="271"/>
      <c r="P58" s="271"/>
      <c r="Q58" s="271"/>
      <c r="R58" s="271"/>
      <c r="S58" s="422"/>
      <c r="T58" s="1622"/>
      <c r="AX58" s="545"/>
      <c r="AY58" s="408"/>
      <c r="AZ58" s="582"/>
      <c r="BA58" s="582"/>
      <c r="BB58" s="418"/>
      <c r="BC58" s="418"/>
      <c r="BD58" s="418"/>
      <c r="BE58" s="418"/>
      <c r="BF58" s="418"/>
      <c r="BG58" s="418"/>
      <c r="BH58" s="418"/>
      <c r="BI58" s="418"/>
      <c r="BM58" s="304">
        <f>BM77/BM68</f>
        <v>1.1314063213935963</v>
      </c>
    </row>
    <row r="59" spans="1:70" s="754" customFormat="1" ht="14.4">
      <c r="A59" s="545"/>
      <c r="B59" s="545"/>
      <c r="C59" s="543"/>
      <c r="D59" s="543"/>
      <c r="E59" s="543"/>
      <c r="F59" s="543"/>
      <c r="G59" s="543"/>
      <c r="H59" s="271"/>
      <c r="I59" s="271"/>
      <c r="J59" s="271"/>
      <c r="K59" s="271"/>
      <c r="L59" s="271"/>
      <c r="O59" s="271"/>
      <c r="P59" s="274"/>
      <c r="Q59" s="274"/>
      <c r="R59" s="270"/>
      <c r="S59" s="422"/>
      <c r="T59" s="1622"/>
      <c r="AX59" s="545"/>
      <c r="AY59" s="408"/>
      <c r="AZ59" s="582"/>
      <c r="BA59" s="582"/>
      <c r="BB59" s="418"/>
      <c r="BC59" s="418"/>
      <c r="BD59" s="418"/>
      <c r="BE59" s="418"/>
      <c r="BF59" s="418"/>
      <c r="BG59" s="418"/>
      <c r="BH59" s="418"/>
      <c r="BI59" s="418"/>
      <c r="BM59" s="304">
        <f>BM78/BM69</f>
        <v>1.2285081738687893</v>
      </c>
    </row>
    <row r="60" spans="1:70" s="754" customFormat="1" ht="14.4">
      <c r="A60" s="545"/>
      <c r="B60" s="545"/>
      <c r="C60" s="543"/>
      <c r="D60" s="543"/>
      <c r="L60" s="271"/>
      <c r="O60" s="271"/>
      <c r="P60" s="274"/>
      <c r="Q60" s="274"/>
      <c r="R60" s="270"/>
      <c r="S60" s="422"/>
      <c r="T60" s="1622"/>
      <c r="V60" s="274"/>
      <c r="W60" s="274"/>
      <c r="AX60" s="545"/>
      <c r="AY60" s="408"/>
      <c r="AZ60" s="582"/>
      <c r="BA60" s="582"/>
      <c r="BB60" s="418"/>
      <c r="BC60" s="418"/>
      <c r="BD60" s="418"/>
      <c r="BE60" s="418"/>
      <c r="BF60" s="418"/>
      <c r="BG60" s="418"/>
      <c r="BH60" s="418"/>
      <c r="BI60" s="418"/>
    </row>
    <row r="61" spans="1:70" s="754" customFormat="1">
      <c r="A61" s="545"/>
      <c r="B61" s="545"/>
      <c r="C61" s="543"/>
      <c r="D61" s="543"/>
      <c r="L61" s="271"/>
      <c r="O61" s="271"/>
      <c r="P61" s="274"/>
      <c r="Q61"/>
      <c r="R61"/>
      <c r="S61"/>
      <c r="T61"/>
      <c r="U61"/>
      <c r="V61"/>
      <c r="W61"/>
      <c r="X61"/>
      <c r="Y61"/>
      <c r="Z61"/>
      <c r="AA61"/>
      <c r="AC61"/>
      <c r="AE61"/>
      <c r="AF61"/>
      <c r="AG61"/>
      <c r="AH61"/>
      <c r="AI61"/>
      <c r="AJ61"/>
      <c r="AK61"/>
      <c r="AL61"/>
      <c r="AM61"/>
      <c r="AN61"/>
      <c r="AO61"/>
      <c r="AP61"/>
      <c r="AQ61"/>
      <c r="AR61"/>
      <c r="AS61"/>
      <c r="AT61"/>
      <c r="AU61"/>
      <c r="AV61"/>
      <c r="AW61"/>
      <c r="AX61"/>
      <c r="AY61"/>
      <c r="AZ61"/>
      <c r="BA61"/>
      <c r="BB61"/>
      <c r="BC61"/>
      <c r="BD61"/>
      <c r="BE61"/>
      <c r="BF61"/>
      <c r="BG61"/>
      <c r="BH61"/>
      <c r="BI61"/>
      <c r="BJ61"/>
      <c r="BK61"/>
      <c r="BL61"/>
      <c r="BM61"/>
      <c r="BN61"/>
      <c r="BO61"/>
      <c r="BP61"/>
      <c r="BQ61"/>
      <c r="BR61"/>
    </row>
    <row r="62" spans="1:70" s="754" customFormat="1" ht="21">
      <c r="A62" s="545"/>
      <c r="B62" s="545"/>
      <c r="C62" s="543"/>
      <c r="D62" s="543"/>
      <c r="L62" s="271"/>
      <c r="O62" s="271"/>
      <c r="P62" s="274"/>
      <c r="Q62" s="322" t="s">
        <v>377</v>
      </c>
      <c r="R62" s="321"/>
      <c r="S62" s="322"/>
      <c r="T62" s="322"/>
      <c r="U62" s="321"/>
      <c r="V62" s="321"/>
      <c r="W62" s="321"/>
      <c r="X62" s="321"/>
      <c r="Y62" s="321"/>
      <c r="Z62" s="321"/>
      <c r="AA62" s="321"/>
      <c r="AB62" s="321"/>
      <c r="AC62" s="321"/>
      <c r="AD62" s="321"/>
      <c r="AE62" s="321"/>
      <c r="AF62" s="321"/>
      <c r="AG62" s="321"/>
      <c r="AH62" s="321"/>
      <c r="AI62" s="321"/>
      <c r="AJ62" s="321"/>
      <c r="AK62" s="321"/>
      <c r="AL62" s="321"/>
      <c r="AM62" s="321"/>
      <c r="AN62" s="321"/>
      <c r="AO62" s="321"/>
      <c r="AP62" s="321"/>
      <c r="AQ62" s="321"/>
      <c r="AR62" s="321"/>
      <c r="AS62" s="321"/>
      <c r="AT62" s="321"/>
      <c r="AU62" s="321"/>
      <c r="AV62" s="321"/>
      <c r="AW62" s="321"/>
      <c r="AX62" s="321"/>
      <c r="AY62" s="321"/>
      <c r="AZ62" s="321"/>
      <c r="BA62" s="321"/>
      <c r="BB62" s="321"/>
      <c r="BC62" s="321"/>
      <c r="BD62" s="321"/>
      <c r="BE62" s="321"/>
      <c r="BF62" s="321"/>
      <c r="BG62" s="321"/>
      <c r="BH62" s="321"/>
      <c r="BI62" s="321"/>
      <c r="BJ62" s="321"/>
      <c r="BK62" s="321"/>
      <c r="BL62" s="321"/>
      <c r="BM62" s="321"/>
      <c r="BN62" s="321"/>
      <c r="BO62" s="321"/>
      <c r="BP62" s="321"/>
      <c r="BQ62" s="321"/>
      <c r="BR62" s="321"/>
    </row>
    <row r="63" spans="1:70" s="754" customFormat="1">
      <c r="A63" s="545"/>
      <c r="B63" s="545"/>
      <c r="C63" s="543"/>
      <c r="D63" s="543"/>
      <c r="L63" s="271"/>
      <c r="O63" s="271"/>
      <c r="P63" s="274"/>
      <c r="Q63" s="323"/>
      <c r="R63" s="323"/>
      <c r="S63" s="323"/>
      <c r="T63" s="323"/>
      <c r="U63" s="323"/>
      <c r="V63" s="324"/>
      <c r="W63" s="324"/>
      <c r="X63" s="324"/>
      <c r="Y63" s="324"/>
      <c r="Z63" s="324"/>
      <c r="AA63" s="324"/>
      <c r="AB63" s="324"/>
      <c r="AC63" s="324"/>
      <c r="AD63" s="324"/>
      <c r="AE63" s="324"/>
      <c r="AF63" s="324"/>
      <c r="AG63" s="324"/>
      <c r="AH63" s="324"/>
      <c r="AI63" s="324"/>
      <c r="AJ63" s="324"/>
      <c r="AK63" s="324"/>
      <c r="AL63" s="324"/>
      <c r="AM63" s="324"/>
      <c r="AN63" s="324"/>
      <c r="AO63" s="324"/>
      <c r="AP63" s="324"/>
      <c r="AQ63" s="324"/>
      <c r="AR63" s="324"/>
      <c r="AS63" s="324"/>
      <c r="AT63" s="324"/>
      <c r="AU63" s="324"/>
      <c r="AV63" s="324"/>
      <c r="AW63" s="324"/>
      <c r="AX63" s="324"/>
      <c r="AY63" s="324"/>
      <c r="AZ63" s="324"/>
      <c r="BA63" s="324"/>
      <c r="BB63" s="324"/>
      <c r="BC63" s="324"/>
      <c r="BD63" s="324"/>
      <c r="BE63" s="324"/>
      <c r="BF63" s="324"/>
      <c r="BG63" s="324"/>
      <c r="BH63" s="324"/>
      <c r="BI63" s="324"/>
      <c r="BJ63" s="325"/>
      <c r="BK63" s="323"/>
      <c r="BL63" s="323"/>
      <c r="BM63" s="323"/>
      <c r="BN63" s="323"/>
      <c r="BO63" s="323"/>
      <c r="BP63" s="323"/>
      <c r="BQ63" s="323"/>
      <c r="BR63" s="323"/>
    </row>
    <row r="64" spans="1:70" s="754" customFormat="1" ht="18" thickBot="1">
      <c r="A64" s="545"/>
      <c r="B64" s="545"/>
      <c r="C64" s="543"/>
      <c r="D64" s="543"/>
      <c r="L64" s="271"/>
      <c r="O64" s="271"/>
      <c r="P64" s="274"/>
      <c r="Q64" s="326" t="s">
        <v>378</v>
      </c>
      <c r="R64" s="323"/>
      <c r="S64" s="323"/>
      <c r="T64" s="323"/>
      <c r="U64" s="323"/>
      <c r="V64" s="327"/>
      <c r="W64" s="327"/>
      <c r="X64" s="327"/>
      <c r="Y64" s="327"/>
      <c r="Z64" s="327"/>
      <c r="AA64" s="327"/>
      <c r="AB64" s="327"/>
      <c r="AC64" s="327"/>
      <c r="AD64" s="327"/>
      <c r="AE64" s="327"/>
      <c r="AF64" s="327"/>
      <c r="AG64" s="327"/>
      <c r="AH64" s="327"/>
      <c r="AI64" s="327"/>
      <c r="AJ64" s="327"/>
      <c r="AK64" s="327"/>
      <c r="AL64" s="327"/>
      <c r="AM64" s="327"/>
      <c r="AN64" s="327"/>
      <c r="AO64" s="327"/>
      <c r="AP64" s="327"/>
      <c r="AQ64" s="327"/>
      <c r="AR64" s="327"/>
      <c r="AS64" s="327"/>
      <c r="AT64" s="327"/>
      <c r="AU64" s="327"/>
      <c r="AV64" s="327"/>
      <c r="AW64" s="327"/>
      <c r="AX64" s="328"/>
      <c r="AY64" s="328"/>
      <c r="AZ64" s="328"/>
      <c r="BA64" s="328"/>
      <c r="BB64" s="328"/>
      <c r="BC64" s="328"/>
      <c r="BD64" s="328"/>
      <c r="BE64" s="328"/>
      <c r="BF64" s="329"/>
      <c r="BG64" s="328"/>
      <c r="BH64" s="328"/>
      <c r="BI64" s="328"/>
      <c r="BJ64" s="330"/>
      <c r="BK64" s="331"/>
      <c r="BL64" s="323"/>
      <c r="BM64" s="323"/>
      <c r="BN64" s="323"/>
      <c r="BO64" s="323"/>
      <c r="BP64" s="323"/>
      <c r="BQ64" s="323"/>
      <c r="BR64" s="323"/>
    </row>
    <row r="65" spans="1:70" s="754" customFormat="1">
      <c r="A65" s="545"/>
      <c r="B65" s="545"/>
      <c r="C65" s="543"/>
      <c r="D65" s="543"/>
      <c r="L65" s="271"/>
      <c r="M65" s="271"/>
      <c r="N65" s="271"/>
      <c r="O65" s="271"/>
      <c r="P65" s="274"/>
      <c r="Q65" s="332" t="s">
        <v>352</v>
      </c>
      <c r="R65" s="333" t="s">
        <v>353</v>
      </c>
      <c r="S65" s="334"/>
      <c r="T65" s="334"/>
      <c r="U65" s="334"/>
      <c r="V65" s="334"/>
      <c r="W65" s="334"/>
      <c r="X65" s="334"/>
      <c r="Y65" s="334"/>
      <c r="Z65" s="334"/>
      <c r="AA65" s="334"/>
      <c r="AB65" s="334"/>
      <c r="AC65" s="334"/>
      <c r="AD65" s="334"/>
      <c r="AE65" s="334"/>
      <c r="AF65" s="334"/>
      <c r="AG65" s="334"/>
      <c r="AH65" s="334"/>
      <c r="AI65" s="334"/>
      <c r="AJ65" s="334"/>
      <c r="AK65" s="334"/>
      <c r="AL65" s="334"/>
      <c r="AM65" s="334"/>
      <c r="AN65" s="334"/>
      <c r="AO65" s="334"/>
      <c r="AP65" s="334"/>
      <c r="AQ65" s="334"/>
      <c r="AR65" s="334"/>
      <c r="AS65" s="334"/>
      <c r="AT65" s="334"/>
      <c r="AU65" s="334"/>
      <c r="AV65" s="334"/>
      <c r="AW65" s="334"/>
      <c r="AX65" s="334"/>
      <c r="AY65" s="334"/>
      <c r="AZ65" s="334"/>
      <c r="BA65" s="334"/>
      <c r="BB65" s="334"/>
      <c r="BC65" s="334"/>
      <c r="BD65" s="334"/>
      <c r="BE65" s="334"/>
      <c r="BF65" s="334"/>
      <c r="BG65" s="335"/>
      <c r="BH65" s="335"/>
      <c r="BI65" s="334"/>
      <c r="BJ65" s="334"/>
      <c r="BK65" s="334"/>
      <c r="BL65" s="334"/>
      <c r="BM65" s="334"/>
      <c r="BN65" s="334"/>
      <c r="BO65" s="334"/>
      <c r="BP65" s="334"/>
      <c r="BQ65" s="334"/>
      <c r="BR65" s="336"/>
    </row>
    <row r="66" spans="1:70" s="754" customFormat="1">
      <c r="A66" s="545"/>
      <c r="B66" s="545"/>
      <c r="C66" s="543"/>
      <c r="D66" s="543"/>
      <c r="E66" s="543"/>
      <c r="F66" s="543"/>
      <c r="G66" s="543"/>
      <c r="H66" s="271"/>
      <c r="I66" s="271"/>
      <c r="J66" s="271"/>
      <c r="K66" s="271"/>
      <c r="L66" s="271"/>
      <c r="M66" s="271"/>
      <c r="N66" s="271"/>
      <c r="O66" s="271"/>
      <c r="P66" s="274"/>
      <c r="Q66" s="337" t="s">
        <v>354</v>
      </c>
      <c r="R66" s="338" t="s">
        <v>355</v>
      </c>
      <c r="S66" s="339">
        <v>1972</v>
      </c>
      <c r="T66" s="339">
        <v>1973</v>
      </c>
      <c r="U66" s="339">
        <v>1974</v>
      </c>
      <c r="V66" s="339">
        <v>1975</v>
      </c>
      <c r="W66" s="339">
        <v>1976</v>
      </c>
      <c r="X66" s="339">
        <v>1977</v>
      </c>
      <c r="Y66" s="339">
        <v>1978</v>
      </c>
      <c r="Z66" s="339">
        <v>1979</v>
      </c>
      <c r="AA66" s="339">
        <v>1980</v>
      </c>
      <c r="AB66" s="339"/>
      <c r="AC66" s="339"/>
      <c r="AD66" s="339"/>
      <c r="AE66" s="339"/>
      <c r="AF66" s="339"/>
      <c r="AG66" s="339"/>
      <c r="AH66" s="339">
        <v>1981</v>
      </c>
      <c r="AI66" s="339">
        <v>1982</v>
      </c>
      <c r="AJ66" s="339">
        <v>1983</v>
      </c>
      <c r="AK66" s="339">
        <v>1984</v>
      </c>
      <c r="AL66" s="339">
        <v>1985</v>
      </c>
      <c r="AM66" s="339">
        <v>1986</v>
      </c>
      <c r="AN66" s="339">
        <v>1987</v>
      </c>
      <c r="AO66" s="339">
        <v>1988</v>
      </c>
      <c r="AP66" s="339">
        <v>1989</v>
      </c>
      <c r="AQ66" s="339">
        <v>1990</v>
      </c>
      <c r="AR66" s="339">
        <v>1991</v>
      </c>
      <c r="AS66" s="339">
        <v>1992</v>
      </c>
      <c r="AT66" s="339">
        <v>1993</v>
      </c>
      <c r="AU66" s="339">
        <v>1994</v>
      </c>
      <c r="AV66" s="339">
        <v>1995</v>
      </c>
      <c r="AW66" s="339">
        <v>1996</v>
      </c>
      <c r="AX66" s="339">
        <v>1997</v>
      </c>
      <c r="AY66" s="339">
        <v>1998</v>
      </c>
      <c r="AZ66" s="339">
        <v>1999</v>
      </c>
      <c r="BA66" s="339">
        <v>2000</v>
      </c>
      <c r="BB66" s="339">
        <v>2001</v>
      </c>
      <c r="BC66" s="339"/>
      <c r="BD66" s="339">
        <v>2002</v>
      </c>
      <c r="BE66" s="339">
        <v>2003</v>
      </c>
      <c r="BF66" s="339">
        <v>2004</v>
      </c>
      <c r="BG66" s="339">
        <v>2005</v>
      </c>
      <c r="BH66" s="339">
        <v>2006</v>
      </c>
      <c r="BI66" s="339">
        <v>2007</v>
      </c>
      <c r="BJ66" s="339">
        <v>2008</v>
      </c>
      <c r="BK66" s="339">
        <v>2009</v>
      </c>
      <c r="BL66" s="339">
        <v>2010</v>
      </c>
      <c r="BM66" s="339">
        <v>2011</v>
      </c>
      <c r="BN66" s="339">
        <v>2012</v>
      </c>
      <c r="BO66" s="339">
        <v>2013</v>
      </c>
      <c r="BP66" s="339">
        <v>2014</v>
      </c>
      <c r="BQ66" s="339">
        <v>2015</v>
      </c>
      <c r="BR66" s="340">
        <v>2016</v>
      </c>
    </row>
    <row r="67" spans="1:70" s="754" customFormat="1">
      <c r="A67" s="545"/>
      <c r="B67" s="545"/>
      <c r="C67" s="543"/>
      <c r="D67" s="543"/>
      <c r="E67" s="543"/>
      <c r="F67" s="543"/>
      <c r="G67" s="543"/>
      <c r="H67" s="271"/>
      <c r="I67" s="271"/>
      <c r="J67" s="271"/>
      <c r="K67" s="271"/>
      <c r="L67" s="271"/>
      <c r="M67" s="271"/>
      <c r="N67" s="271"/>
      <c r="O67" s="271"/>
      <c r="P67" s="274"/>
      <c r="Q67" s="360" t="s">
        <v>336</v>
      </c>
      <c r="R67" s="342" t="s">
        <v>51</v>
      </c>
      <c r="S67" s="343" t="e">
        <v>#NULL!</v>
      </c>
      <c r="T67" s="343" t="e">
        <v>#NULL!</v>
      </c>
      <c r="U67" s="343" t="e">
        <v>#NULL!</v>
      </c>
      <c r="V67" s="343" t="e">
        <v>#NULL!</v>
      </c>
      <c r="W67" s="343" t="e">
        <v>#NULL!</v>
      </c>
      <c r="X67" s="343" t="e">
        <v>#NULL!</v>
      </c>
      <c r="Y67" s="343" t="e">
        <v>#NULL!</v>
      </c>
      <c r="Z67" s="343" t="e">
        <v>#NULL!</v>
      </c>
      <c r="AA67" s="343" t="e">
        <v>#NULL!</v>
      </c>
      <c r="AB67" s="343"/>
      <c r="AC67" s="343"/>
      <c r="AD67" s="343"/>
      <c r="AE67" s="343"/>
      <c r="AF67" s="343"/>
      <c r="AG67" s="343"/>
      <c r="AH67" s="343" t="e">
        <v>#NULL!</v>
      </c>
      <c r="AI67" s="343" t="e">
        <v>#NULL!</v>
      </c>
      <c r="AJ67" s="343" t="e">
        <v>#NULL!</v>
      </c>
      <c r="AK67" s="343" t="e">
        <v>#NULL!</v>
      </c>
      <c r="AL67" s="343" t="e">
        <v>#NULL!</v>
      </c>
      <c r="AM67" s="343" t="e">
        <v>#NULL!</v>
      </c>
      <c r="AN67" s="343" t="e">
        <v>#NULL!</v>
      </c>
      <c r="AO67" s="343" t="e">
        <v>#NULL!</v>
      </c>
      <c r="AP67" s="343" t="e">
        <v>#NULL!</v>
      </c>
      <c r="AQ67" s="343" t="e">
        <v>#NULL!</v>
      </c>
      <c r="AR67" s="343" t="e">
        <v>#NULL!</v>
      </c>
      <c r="AS67" s="343" t="e">
        <v>#NULL!</v>
      </c>
      <c r="AT67" s="343" t="e">
        <v>#NULL!</v>
      </c>
      <c r="AU67" s="343" t="e">
        <v>#NULL!</v>
      </c>
      <c r="AV67" s="343" t="e">
        <v>#NULL!</v>
      </c>
      <c r="AW67" s="343" t="e">
        <v>#NULL!</v>
      </c>
      <c r="AX67" s="343" t="e">
        <v>#NULL!</v>
      </c>
      <c r="AY67" s="343" t="e">
        <v>#NULL!</v>
      </c>
      <c r="AZ67" s="343" t="e">
        <v>#NULL!</v>
      </c>
      <c r="BA67" s="343" t="e">
        <v>#NULL!</v>
      </c>
      <c r="BB67" s="343" t="e">
        <v>#NULL!</v>
      </c>
      <c r="BC67" s="343"/>
      <c r="BD67" s="343" t="e">
        <v>#NULL!</v>
      </c>
      <c r="BE67" s="343" t="e">
        <v>#NULL!</v>
      </c>
      <c r="BF67" s="343" t="e">
        <v>#NULL!</v>
      </c>
      <c r="BG67" s="343" t="e">
        <v>#NULL!</v>
      </c>
      <c r="BH67" s="343" t="e">
        <v>#NULL!</v>
      </c>
      <c r="BI67" s="343" t="e">
        <v>#NULL!</v>
      </c>
      <c r="BJ67" s="343" t="e">
        <v>#NULL!</v>
      </c>
      <c r="BK67" s="343" t="e">
        <v>#NULL!</v>
      </c>
      <c r="BL67" s="2871" t="e">
        <v>#NULL!</v>
      </c>
      <c r="BM67" s="343" t="e">
        <v>#NULL!</v>
      </c>
      <c r="BN67" s="343" t="e">
        <v>#NULL!</v>
      </c>
      <c r="BO67" s="343" t="e">
        <v>#NULL!</v>
      </c>
      <c r="BP67" s="343" t="e">
        <v>#NULL!</v>
      </c>
      <c r="BQ67" s="343" t="e">
        <v>#NULL!</v>
      </c>
      <c r="BR67" s="344" t="e">
        <v>#NULL!</v>
      </c>
    </row>
    <row r="68" spans="1:70" s="754" customFormat="1">
      <c r="A68" s="545"/>
      <c r="B68" s="545"/>
      <c r="C68" s="543"/>
      <c r="D68" s="543"/>
      <c r="E68" s="543"/>
      <c r="F68" s="543"/>
      <c r="G68" s="543"/>
      <c r="H68" s="271"/>
      <c r="I68" s="271"/>
      <c r="J68" s="271"/>
      <c r="K68" s="271"/>
      <c r="L68" s="271"/>
      <c r="M68" s="271"/>
      <c r="N68" s="271"/>
      <c r="O68" s="271"/>
      <c r="P68" s="274"/>
      <c r="Q68" s="361"/>
      <c r="R68" s="342" t="s">
        <v>326</v>
      </c>
      <c r="S68" s="346">
        <v>3.9785890992953599</v>
      </c>
      <c r="T68" s="346">
        <v>3.9686934806278695</v>
      </c>
      <c r="U68" s="346">
        <v>3.9587978619603752</v>
      </c>
      <c r="V68" s="346">
        <v>3.9489022432928849</v>
      </c>
      <c r="W68" s="346">
        <v>3.9390066246253905</v>
      </c>
      <c r="X68" s="346">
        <v>3.9291110059578993</v>
      </c>
      <c r="Y68" s="346">
        <v>3.919215387290405</v>
      </c>
      <c r="Z68" s="346">
        <v>3.9093197686229146</v>
      </c>
      <c r="AA68" s="346">
        <v>3.8994241499554203</v>
      </c>
      <c r="AB68" s="346"/>
      <c r="AC68" s="346"/>
      <c r="AD68" s="346"/>
      <c r="AE68" s="346"/>
      <c r="AF68" s="346"/>
      <c r="AG68" s="346"/>
      <c r="AH68" s="346">
        <v>3.88952853128793</v>
      </c>
      <c r="AI68" s="346">
        <v>3.8796329126204347</v>
      </c>
      <c r="AJ68" s="346">
        <v>3.8697372939529444</v>
      </c>
      <c r="AK68" s="346">
        <v>3.8598416752854501</v>
      </c>
      <c r="AL68" s="346">
        <v>3.8270256362628738</v>
      </c>
      <c r="AM68" s="346">
        <v>3.8215167266266707</v>
      </c>
      <c r="AN68" s="346">
        <v>3.8265164093217132</v>
      </c>
      <c r="AO68" s="346">
        <v>3.8036011969694394</v>
      </c>
      <c r="AP68" s="346">
        <v>3.7963794330766016</v>
      </c>
      <c r="AQ68" s="346">
        <v>3.7947360188573982</v>
      </c>
      <c r="AR68" s="346">
        <v>3.8101285604879656</v>
      </c>
      <c r="AS68" s="346">
        <v>3.8015642892047916</v>
      </c>
      <c r="AT68" s="346">
        <v>3.8169105374770731</v>
      </c>
      <c r="AU68" s="346">
        <v>3.8061936250335342</v>
      </c>
      <c r="AV68" s="346">
        <v>3.7921204441141585</v>
      </c>
      <c r="AW68" s="346">
        <v>3.7699922188527712</v>
      </c>
      <c r="AX68" s="346">
        <v>3.7118940542020562</v>
      </c>
      <c r="AY68" s="346">
        <v>3.682868118555843</v>
      </c>
      <c r="AZ68" s="346">
        <v>3.6487036201397256</v>
      </c>
      <c r="BA68" s="346">
        <v>3.6203952315469667</v>
      </c>
      <c r="BB68" s="346">
        <v>3.5860842670098716</v>
      </c>
      <c r="BC68" s="346"/>
      <c r="BD68" s="346">
        <v>3.5539903247238414</v>
      </c>
      <c r="BE68" s="346">
        <v>3.5244515376952066</v>
      </c>
      <c r="BF68" s="346">
        <v>3.4970709435518348</v>
      </c>
      <c r="BG68" s="346">
        <v>3.5382999072594834</v>
      </c>
      <c r="BH68" s="346">
        <v>3.5831889316689947</v>
      </c>
      <c r="BI68" s="346">
        <v>3.6268912165608995</v>
      </c>
      <c r="BJ68" s="346">
        <v>3.6617091648197642</v>
      </c>
      <c r="BK68" s="346">
        <v>3.6837022080998669</v>
      </c>
      <c r="BL68" s="2865">
        <v>3.6959895320082317</v>
      </c>
      <c r="BM68" s="346">
        <v>3.7078085520560391</v>
      </c>
      <c r="BN68" s="2867">
        <v>3.7239730562483446</v>
      </c>
      <c r="BO68" s="310">
        <v>3.7239730562483446</v>
      </c>
      <c r="BP68" s="310" t="e">
        <v>#NULL!</v>
      </c>
      <c r="BQ68" s="310" t="e">
        <v>#NULL!</v>
      </c>
      <c r="BR68" s="347" t="e">
        <v>#NULL!</v>
      </c>
    </row>
    <row r="69" spans="1:70" s="754" customFormat="1">
      <c r="A69" s="545"/>
      <c r="B69" s="545"/>
      <c r="C69" s="543"/>
      <c r="D69" s="543"/>
      <c r="E69" s="543"/>
      <c r="F69" s="543"/>
      <c r="G69" s="543"/>
      <c r="H69" s="271"/>
      <c r="I69" s="271"/>
      <c r="J69" s="271"/>
      <c r="K69" s="271"/>
      <c r="L69" s="271"/>
      <c r="M69" s="271"/>
      <c r="N69" s="271"/>
      <c r="O69" s="271"/>
      <c r="P69" s="274"/>
      <c r="Q69" s="361"/>
      <c r="R69" s="342" t="s">
        <v>327</v>
      </c>
      <c r="S69" s="346">
        <v>3.3405700886202738</v>
      </c>
      <c r="T69" s="346">
        <v>3.3322613623597848</v>
      </c>
      <c r="U69" s="346">
        <v>3.3239526360992926</v>
      </c>
      <c r="V69" s="346">
        <v>3.3156439098388035</v>
      </c>
      <c r="W69" s="346">
        <v>3.3073351835783109</v>
      </c>
      <c r="X69" s="346">
        <v>3.2990264573178214</v>
      </c>
      <c r="Y69" s="346">
        <v>3.2907177310573292</v>
      </c>
      <c r="Z69" s="346">
        <v>3.2824090047968402</v>
      </c>
      <c r="AA69" s="346">
        <v>3.2741002785363476</v>
      </c>
      <c r="AB69" s="346"/>
      <c r="AC69" s="346"/>
      <c r="AD69" s="346"/>
      <c r="AE69" s="346"/>
      <c r="AF69" s="346"/>
      <c r="AG69" s="346"/>
      <c r="AH69" s="346">
        <v>3.2657915522758585</v>
      </c>
      <c r="AI69" s="346">
        <v>3.2574828260153654</v>
      </c>
      <c r="AJ69" s="346">
        <v>3.2491740997548764</v>
      </c>
      <c r="AK69" s="346">
        <v>3.2408653734943842</v>
      </c>
      <c r="AL69" s="346">
        <v>3.2133118172839104</v>
      </c>
      <c r="AM69" s="346">
        <v>3.208686333653326</v>
      </c>
      <c r="AN69" s="346">
        <v>3.2128842515701597</v>
      </c>
      <c r="AO69" s="346">
        <v>3.1936437944513418</v>
      </c>
      <c r="AP69" s="346">
        <v>3.187580135238139</v>
      </c>
      <c r="AQ69" s="346">
        <v>3.1862002640710316</v>
      </c>
      <c r="AR69" s="346">
        <v>3.1991244095094289</v>
      </c>
      <c r="AS69" s="346">
        <v>3.1919335315963351</v>
      </c>
      <c r="AT69" s="346">
        <v>3.2048188074243922</v>
      </c>
      <c r="AU69" s="346">
        <v>3.1958204926304399</v>
      </c>
      <c r="AV69" s="346">
        <v>3.1840041310867622</v>
      </c>
      <c r="AW69" s="346">
        <v>3.1654244573437427</v>
      </c>
      <c r="AX69" s="346">
        <v>3.1166430963657299</v>
      </c>
      <c r="AY69" s="346">
        <v>3.092271850681894</v>
      </c>
      <c r="AZ69" s="346">
        <v>3.0635860782502022</v>
      </c>
      <c r="BA69" s="346">
        <v>3.0398173115266527</v>
      </c>
      <c r="BB69" s="346">
        <v>3.0598193722970604</v>
      </c>
      <c r="BC69" s="346"/>
      <c r="BD69" s="346">
        <v>3.0792638212402546</v>
      </c>
      <c r="BE69" s="346">
        <v>3.0952220675800048</v>
      </c>
      <c r="BF69" s="346">
        <v>3.1080663237364767</v>
      </c>
      <c r="BG69" s="346">
        <v>3.120437115100632</v>
      </c>
      <c r="BH69" s="346">
        <v>3.1316533673783447</v>
      </c>
      <c r="BI69" s="346">
        <v>3.1399041335357207</v>
      </c>
      <c r="BJ69" s="346">
        <v>3.1455861705878672</v>
      </c>
      <c r="BK69" s="346">
        <v>3.1493436076641985</v>
      </c>
      <c r="BL69" s="2865">
        <v>3.1523120586358502</v>
      </c>
      <c r="BM69" s="346">
        <v>3.1546211871613234</v>
      </c>
      <c r="BN69" s="2867">
        <v>3.1566675888938711</v>
      </c>
      <c r="BO69" s="310">
        <v>3.1566675888938711</v>
      </c>
      <c r="BP69" s="310" t="e">
        <v>#NULL!</v>
      </c>
      <c r="BQ69" s="310" t="e">
        <v>#NULL!</v>
      </c>
      <c r="BR69" s="347" t="e">
        <v>#NULL!</v>
      </c>
    </row>
    <row r="70" spans="1:70" s="754" customFormat="1">
      <c r="A70" s="545"/>
      <c r="B70" s="545"/>
      <c r="C70" s="543"/>
      <c r="D70" s="543"/>
      <c r="E70" s="543"/>
      <c r="F70" s="543"/>
      <c r="G70" s="543"/>
      <c r="H70" s="271"/>
      <c r="I70" s="271"/>
      <c r="J70" s="271"/>
      <c r="K70" s="271"/>
      <c r="L70" s="271"/>
      <c r="M70" s="271"/>
      <c r="N70" s="271"/>
      <c r="O70" s="271"/>
      <c r="P70" s="274"/>
      <c r="Q70" s="361"/>
      <c r="R70" s="342" t="s">
        <v>328</v>
      </c>
      <c r="S70" s="343"/>
      <c r="T70" s="343"/>
      <c r="U70" s="343"/>
      <c r="V70" s="343"/>
      <c r="W70" s="343"/>
      <c r="X70" s="343"/>
      <c r="Y70" s="343"/>
      <c r="Z70" s="343"/>
      <c r="AA70" s="343"/>
      <c r="AB70" s="343"/>
      <c r="AC70" s="343"/>
      <c r="AD70" s="343"/>
      <c r="AE70" s="343"/>
      <c r="AF70" s="343"/>
      <c r="AG70" s="343"/>
      <c r="AH70" s="343"/>
      <c r="AI70" s="343"/>
      <c r="AJ70" s="343"/>
      <c r="AK70" s="343"/>
      <c r="AL70" s="343"/>
      <c r="AM70" s="343"/>
      <c r="AN70" s="343"/>
      <c r="AO70" s="343"/>
      <c r="AP70" s="343"/>
      <c r="AQ70" s="343"/>
      <c r="AR70" s="343"/>
      <c r="AS70" s="343"/>
      <c r="AT70" s="343"/>
      <c r="AU70" s="343"/>
      <c r="AV70" s="343"/>
      <c r="AW70" s="343"/>
      <c r="AX70" s="343"/>
      <c r="AY70" s="343"/>
      <c r="AZ70" s="343"/>
      <c r="BA70" s="343"/>
      <c r="BB70" s="343"/>
      <c r="BC70" s="343"/>
      <c r="BD70" s="343"/>
      <c r="BE70" s="343"/>
      <c r="BF70" s="343"/>
      <c r="BG70" s="343"/>
      <c r="BH70" s="343"/>
      <c r="BI70" s="343"/>
      <c r="BJ70" s="343"/>
      <c r="BK70" s="343"/>
      <c r="BL70" s="2871"/>
      <c r="BM70" s="343"/>
      <c r="BN70" s="2868"/>
      <c r="BO70" s="343"/>
      <c r="BP70" s="343"/>
      <c r="BQ70" s="343"/>
      <c r="BR70" s="344"/>
    </row>
    <row r="71" spans="1:70" s="754" customFormat="1">
      <c r="A71" s="545"/>
      <c r="B71" s="545"/>
      <c r="C71" s="543"/>
      <c r="D71" s="543"/>
      <c r="E71" s="543"/>
      <c r="F71" s="543"/>
      <c r="G71" s="543"/>
      <c r="H71" s="271"/>
      <c r="I71" s="271"/>
      <c r="J71" s="271"/>
      <c r="K71" s="271"/>
      <c r="L71" s="271"/>
      <c r="M71" s="271"/>
      <c r="N71" s="271"/>
      <c r="O71" s="271"/>
      <c r="P71" s="274"/>
      <c r="Q71" s="361"/>
      <c r="R71" s="342" t="s">
        <v>329</v>
      </c>
      <c r="S71" s="343"/>
      <c r="T71" s="343"/>
      <c r="U71" s="343"/>
      <c r="V71" s="343"/>
      <c r="W71" s="343"/>
      <c r="X71" s="343"/>
      <c r="Y71" s="343"/>
      <c r="Z71" s="343"/>
      <c r="AA71" s="343"/>
      <c r="AB71" s="343"/>
      <c r="AC71" s="343"/>
      <c r="AD71" s="343"/>
      <c r="AE71" s="343"/>
      <c r="AF71" s="343"/>
      <c r="AG71" s="343"/>
      <c r="AH71" s="343"/>
      <c r="AI71" s="343"/>
      <c r="AJ71" s="343"/>
      <c r="AK71" s="343"/>
      <c r="AL71" s="343"/>
      <c r="AM71" s="343"/>
      <c r="AN71" s="343"/>
      <c r="AO71" s="343"/>
      <c r="AP71" s="343"/>
      <c r="AQ71" s="343"/>
      <c r="AR71" s="343"/>
      <c r="AS71" s="343"/>
      <c r="AT71" s="343"/>
      <c r="AU71" s="343"/>
      <c r="AV71" s="343"/>
      <c r="AW71" s="343"/>
      <c r="AX71" s="343"/>
      <c r="AY71" s="343"/>
      <c r="AZ71" s="343"/>
      <c r="BA71" s="343"/>
      <c r="BB71" s="343"/>
      <c r="BC71" s="343"/>
      <c r="BD71" s="343"/>
      <c r="BE71" s="343"/>
      <c r="BF71" s="343"/>
      <c r="BG71" s="343"/>
      <c r="BH71" s="343"/>
      <c r="BI71" s="343"/>
      <c r="BJ71" s="343"/>
      <c r="BK71" s="343"/>
      <c r="BL71" s="2871"/>
      <c r="BM71" s="343"/>
      <c r="BN71" s="2868"/>
      <c r="BO71" s="343"/>
      <c r="BP71" s="343"/>
      <c r="BQ71" s="343"/>
      <c r="BR71" s="344"/>
    </row>
    <row r="72" spans="1:70" s="754" customFormat="1">
      <c r="A72" s="545"/>
      <c r="B72" s="545"/>
      <c r="C72" s="543"/>
      <c r="D72" s="543"/>
      <c r="E72" s="543"/>
      <c r="F72" s="543"/>
      <c r="G72" s="543"/>
      <c r="H72" s="271"/>
      <c r="I72" s="271"/>
      <c r="J72" s="271"/>
      <c r="K72" s="271"/>
      <c r="L72" s="271"/>
      <c r="M72" s="271"/>
      <c r="N72" s="271"/>
      <c r="O72" s="271"/>
      <c r="P72" s="274"/>
      <c r="Q72" s="361"/>
      <c r="R72" s="342" t="s">
        <v>330</v>
      </c>
      <c r="S72" s="343"/>
      <c r="T72" s="343"/>
      <c r="U72" s="343"/>
      <c r="V72" s="343"/>
      <c r="W72" s="343"/>
      <c r="X72" s="343"/>
      <c r="Y72" s="343"/>
      <c r="Z72" s="343"/>
      <c r="AA72" s="343"/>
      <c r="AB72" s="343"/>
      <c r="AC72" s="343"/>
      <c r="AD72" s="343"/>
      <c r="AE72" s="343"/>
      <c r="AF72" s="343"/>
      <c r="AG72" s="343"/>
      <c r="AH72" s="343"/>
      <c r="AI72" s="343"/>
      <c r="AJ72" s="343"/>
      <c r="AK72" s="343"/>
      <c r="AL72" s="343"/>
      <c r="AM72" s="343"/>
      <c r="AN72" s="343"/>
      <c r="AO72" s="343"/>
      <c r="AP72" s="343"/>
      <c r="AQ72" s="343"/>
      <c r="AR72" s="343"/>
      <c r="AS72" s="343"/>
      <c r="AT72" s="343"/>
      <c r="AU72" s="343"/>
      <c r="AV72" s="343"/>
      <c r="AW72" s="343"/>
      <c r="AX72" s="343"/>
      <c r="AY72" s="343"/>
      <c r="AZ72" s="343"/>
      <c r="BA72" s="343"/>
      <c r="BB72" s="343"/>
      <c r="BC72" s="343"/>
      <c r="BD72" s="343"/>
      <c r="BE72" s="343"/>
      <c r="BF72" s="343"/>
      <c r="BG72" s="343"/>
      <c r="BH72" s="343"/>
      <c r="BI72" s="343"/>
      <c r="BJ72" s="343"/>
      <c r="BK72" s="343"/>
      <c r="BL72" s="2871"/>
      <c r="BM72" s="343"/>
      <c r="BN72" s="2868"/>
      <c r="BO72" s="343"/>
      <c r="BP72" s="343"/>
      <c r="BQ72" s="343"/>
      <c r="BR72" s="344"/>
    </row>
    <row r="73" spans="1:70" s="754" customFormat="1">
      <c r="A73" s="545"/>
      <c r="B73" s="545"/>
      <c r="C73" s="543"/>
      <c r="D73" s="543"/>
      <c r="E73" s="543"/>
      <c r="F73" s="543"/>
      <c r="G73" s="543"/>
      <c r="H73" s="271"/>
      <c r="I73" s="271"/>
      <c r="J73" s="271"/>
      <c r="K73" s="271"/>
      <c r="L73" s="271"/>
      <c r="M73" s="271"/>
      <c r="N73" s="271"/>
      <c r="O73" s="271"/>
      <c r="P73" s="274"/>
      <c r="Q73" s="361"/>
      <c r="R73" s="342" t="s">
        <v>52</v>
      </c>
      <c r="S73" s="343"/>
      <c r="T73" s="343"/>
      <c r="U73" s="343"/>
      <c r="V73" s="343"/>
      <c r="W73" s="343"/>
      <c r="X73" s="343"/>
      <c r="Y73" s="343"/>
      <c r="Z73" s="343"/>
      <c r="AA73" s="343"/>
      <c r="AB73" s="343"/>
      <c r="AC73" s="343"/>
      <c r="AD73" s="343"/>
      <c r="AE73" s="343"/>
      <c r="AF73" s="343"/>
      <c r="AG73" s="343"/>
      <c r="AH73" s="343"/>
      <c r="AI73" s="343"/>
      <c r="AJ73" s="343"/>
      <c r="AK73" s="343"/>
      <c r="AL73" s="343"/>
      <c r="AM73" s="343"/>
      <c r="AN73" s="343"/>
      <c r="AO73" s="343"/>
      <c r="AP73" s="343"/>
      <c r="AQ73" s="343"/>
      <c r="AR73" s="343"/>
      <c r="AS73" s="343"/>
      <c r="AT73" s="343"/>
      <c r="AU73" s="343"/>
      <c r="AV73" s="343"/>
      <c r="AW73" s="343"/>
      <c r="AX73" s="343"/>
      <c r="AY73" s="343"/>
      <c r="AZ73" s="343"/>
      <c r="BA73" s="343"/>
      <c r="BB73" s="343"/>
      <c r="BC73" s="343"/>
      <c r="BD73" s="343"/>
      <c r="BE73" s="343"/>
      <c r="BF73" s="343"/>
      <c r="BG73" s="343"/>
      <c r="BH73" s="343"/>
      <c r="BI73" s="343"/>
      <c r="BJ73" s="343"/>
      <c r="BK73" s="343"/>
      <c r="BL73" s="2871"/>
      <c r="BM73" s="343"/>
      <c r="BN73" s="2868"/>
      <c r="BO73" s="343"/>
      <c r="BP73" s="343"/>
      <c r="BQ73" s="343"/>
      <c r="BR73" s="344"/>
    </row>
    <row r="74" spans="1:70" s="754" customFormat="1">
      <c r="A74" s="545"/>
      <c r="B74" s="545"/>
      <c r="C74" s="543"/>
      <c r="D74" s="543"/>
      <c r="E74" s="543"/>
      <c r="F74" s="543"/>
      <c r="G74" s="543"/>
      <c r="H74" s="271"/>
      <c r="I74" s="271"/>
      <c r="J74" s="271"/>
      <c r="K74" s="271"/>
      <c r="L74" s="271"/>
      <c r="M74" s="271"/>
      <c r="N74" s="271"/>
      <c r="O74" s="271"/>
      <c r="P74" s="274"/>
      <c r="Q74" s="361"/>
      <c r="R74" s="342" t="s">
        <v>331</v>
      </c>
      <c r="S74" s="343"/>
      <c r="T74" s="343"/>
      <c r="U74" s="343"/>
      <c r="V74" s="343"/>
      <c r="W74" s="343"/>
      <c r="X74" s="343"/>
      <c r="Y74" s="343"/>
      <c r="Z74" s="343"/>
      <c r="AA74" s="343"/>
      <c r="AB74" s="343"/>
      <c r="AC74" s="343"/>
      <c r="AD74" s="343"/>
      <c r="AE74" s="343"/>
      <c r="AF74" s="343"/>
      <c r="AG74" s="343"/>
      <c r="AH74" s="343"/>
      <c r="AI74" s="343"/>
      <c r="AJ74" s="343"/>
      <c r="AK74" s="343"/>
      <c r="AL74" s="343"/>
      <c r="AM74" s="343"/>
      <c r="AN74" s="343"/>
      <c r="AO74" s="343"/>
      <c r="AP74" s="343"/>
      <c r="AQ74" s="343"/>
      <c r="AR74" s="343"/>
      <c r="AS74" s="343"/>
      <c r="AT74" s="343"/>
      <c r="AU74" s="343"/>
      <c r="AV74" s="343"/>
      <c r="AW74" s="343"/>
      <c r="AX74" s="343"/>
      <c r="AY74" s="343"/>
      <c r="AZ74" s="343"/>
      <c r="BA74" s="343"/>
      <c r="BB74" s="343"/>
      <c r="BC74" s="343"/>
      <c r="BD74" s="343"/>
      <c r="BE74" s="343"/>
      <c r="BF74" s="343"/>
      <c r="BG74" s="343"/>
      <c r="BH74" s="343"/>
      <c r="BI74" s="343"/>
      <c r="BJ74" s="343"/>
      <c r="BK74" s="343"/>
      <c r="BL74" s="2871"/>
      <c r="BM74" s="343"/>
      <c r="BN74" s="2868"/>
      <c r="BO74" s="343"/>
      <c r="BP74" s="343"/>
      <c r="BQ74" s="343"/>
      <c r="BR74" s="344"/>
    </row>
    <row r="75" spans="1:70" s="754" customFormat="1">
      <c r="A75" s="545"/>
      <c r="B75" s="545"/>
      <c r="C75" s="543"/>
      <c r="D75" s="543"/>
      <c r="E75" s="543"/>
      <c r="F75" s="543"/>
      <c r="G75" s="543"/>
      <c r="H75" s="271"/>
      <c r="I75" s="271"/>
      <c r="J75" s="271"/>
      <c r="K75" s="271"/>
      <c r="L75" s="271"/>
      <c r="M75" s="271"/>
      <c r="N75" s="271"/>
      <c r="O75" s="271"/>
      <c r="P75" s="274"/>
      <c r="Q75" s="362"/>
      <c r="R75" s="349" t="s">
        <v>332</v>
      </c>
      <c r="S75" s="350"/>
      <c r="T75" s="350"/>
      <c r="U75" s="350"/>
      <c r="V75" s="350"/>
      <c r="W75" s="350"/>
      <c r="X75" s="350"/>
      <c r="Y75" s="350"/>
      <c r="Z75" s="350"/>
      <c r="AA75" s="350"/>
      <c r="AB75" s="350"/>
      <c r="AC75" s="350"/>
      <c r="AD75" s="350"/>
      <c r="AE75" s="350"/>
      <c r="AF75" s="350"/>
      <c r="AG75" s="350"/>
      <c r="AH75" s="350"/>
      <c r="AI75" s="350"/>
      <c r="AJ75" s="350"/>
      <c r="AK75" s="350"/>
      <c r="AL75" s="350"/>
      <c r="AM75" s="350"/>
      <c r="AN75" s="350"/>
      <c r="AO75" s="350"/>
      <c r="AP75" s="350"/>
      <c r="AQ75" s="350"/>
      <c r="AR75" s="350"/>
      <c r="AS75" s="350"/>
      <c r="AT75" s="350"/>
      <c r="AU75" s="350"/>
      <c r="AV75" s="350"/>
      <c r="AW75" s="350"/>
      <c r="AX75" s="350"/>
      <c r="AY75" s="350"/>
      <c r="AZ75" s="350"/>
      <c r="BA75" s="350"/>
      <c r="BB75" s="350"/>
      <c r="BC75" s="350"/>
      <c r="BD75" s="350"/>
      <c r="BE75" s="350"/>
      <c r="BF75" s="350"/>
      <c r="BG75" s="350"/>
      <c r="BH75" s="350"/>
      <c r="BI75" s="350"/>
      <c r="BJ75" s="350"/>
      <c r="BK75" s="350"/>
      <c r="BL75" s="2872"/>
      <c r="BM75" s="350"/>
      <c r="BN75" s="2869"/>
      <c r="BO75" s="350"/>
      <c r="BP75" s="350"/>
      <c r="BQ75" s="350"/>
      <c r="BR75" s="351"/>
    </row>
    <row r="76" spans="1:70" s="754" customFormat="1">
      <c r="A76" s="545"/>
      <c r="B76" s="545"/>
      <c r="C76" s="543"/>
      <c r="D76" s="543"/>
      <c r="E76" s="543"/>
      <c r="F76" s="543"/>
      <c r="G76" s="543"/>
      <c r="H76" s="271"/>
      <c r="I76" s="271"/>
      <c r="J76" s="271"/>
      <c r="K76" s="271"/>
      <c r="L76" s="271"/>
      <c r="M76" s="271"/>
      <c r="N76" s="271"/>
      <c r="O76" s="271"/>
      <c r="P76" s="274"/>
      <c r="Q76" s="360" t="s">
        <v>337</v>
      </c>
      <c r="R76" s="342" t="s">
        <v>51</v>
      </c>
      <c r="S76" s="343" t="e">
        <v>#NULL!</v>
      </c>
      <c r="T76" s="343" t="e">
        <v>#NULL!</v>
      </c>
      <c r="U76" s="343" t="e">
        <v>#NULL!</v>
      </c>
      <c r="V76" s="343" t="e">
        <v>#NULL!</v>
      </c>
      <c r="W76" s="343" t="e">
        <v>#NULL!</v>
      </c>
      <c r="X76" s="343" t="e">
        <v>#NULL!</v>
      </c>
      <c r="Y76" s="343" t="e">
        <v>#NULL!</v>
      </c>
      <c r="Z76" s="343" t="e">
        <v>#NULL!</v>
      </c>
      <c r="AA76" s="343" t="e">
        <v>#NULL!</v>
      </c>
      <c r="AB76" s="343"/>
      <c r="AC76" s="343"/>
      <c r="AD76" s="343"/>
      <c r="AE76" s="343"/>
      <c r="AF76" s="343"/>
      <c r="AG76" s="343"/>
      <c r="AH76" s="343" t="e">
        <v>#NULL!</v>
      </c>
      <c r="AI76" s="343" t="e">
        <v>#NULL!</v>
      </c>
      <c r="AJ76" s="343" t="e">
        <v>#NULL!</v>
      </c>
      <c r="AK76" s="343" t="e">
        <v>#NULL!</v>
      </c>
      <c r="AL76" s="343" t="e">
        <v>#NULL!</v>
      </c>
      <c r="AM76" s="343" t="e">
        <v>#NULL!</v>
      </c>
      <c r="AN76" s="343" t="e">
        <v>#NULL!</v>
      </c>
      <c r="AO76" s="343" t="e">
        <v>#NULL!</v>
      </c>
      <c r="AP76" s="343" t="e">
        <v>#NULL!</v>
      </c>
      <c r="AQ76" s="343" t="e">
        <v>#NULL!</v>
      </c>
      <c r="AR76" s="343" t="e">
        <v>#NULL!</v>
      </c>
      <c r="AS76" s="343" t="e">
        <v>#NULL!</v>
      </c>
      <c r="AT76" s="343" t="e">
        <v>#NULL!</v>
      </c>
      <c r="AU76" s="343" t="e">
        <v>#NULL!</v>
      </c>
      <c r="AV76" s="343" t="e">
        <v>#NULL!</v>
      </c>
      <c r="AW76" s="343" t="e">
        <v>#NULL!</v>
      </c>
      <c r="AX76" s="343" t="e">
        <v>#NULL!</v>
      </c>
      <c r="AY76" s="343" t="e">
        <v>#NULL!</v>
      </c>
      <c r="AZ76" s="343" t="e">
        <v>#NULL!</v>
      </c>
      <c r="BA76" s="343" t="e">
        <v>#NULL!</v>
      </c>
      <c r="BB76" s="343" t="e">
        <v>#NULL!</v>
      </c>
      <c r="BC76" s="343"/>
      <c r="BD76" s="343" t="e">
        <v>#NULL!</v>
      </c>
      <c r="BE76" s="343" t="e">
        <v>#NULL!</v>
      </c>
      <c r="BF76" s="343" t="e">
        <v>#NULL!</v>
      </c>
      <c r="BG76" s="343" t="e">
        <v>#NULL!</v>
      </c>
      <c r="BH76" s="343" t="e">
        <v>#NULL!</v>
      </c>
      <c r="BI76" s="343" t="e">
        <v>#NULL!</v>
      </c>
      <c r="BJ76" s="343" t="e">
        <v>#NULL!</v>
      </c>
      <c r="BK76" s="343" t="e">
        <v>#NULL!</v>
      </c>
      <c r="BL76" s="2871" t="e">
        <v>#NULL!</v>
      </c>
      <c r="BM76" s="343" t="e">
        <v>#NULL!</v>
      </c>
      <c r="BN76" s="2868" t="e">
        <v>#NULL!</v>
      </c>
      <c r="BO76" s="343" t="e">
        <v>#NULL!</v>
      </c>
      <c r="BP76" s="343" t="e">
        <v>#NULL!</v>
      </c>
      <c r="BQ76" s="343" t="e">
        <v>#NULL!</v>
      </c>
      <c r="BR76" s="344" t="e">
        <v>#NULL!</v>
      </c>
    </row>
    <row r="77" spans="1:70" s="754" customFormat="1">
      <c r="A77" s="545"/>
      <c r="B77" s="545"/>
      <c r="C77" s="543"/>
      <c r="D77" s="543"/>
      <c r="E77" s="543"/>
      <c r="F77" s="543"/>
      <c r="G77" s="543"/>
      <c r="H77" s="271"/>
      <c r="I77" s="271"/>
      <c r="J77" s="271"/>
      <c r="K77" s="271"/>
      <c r="L77" s="271"/>
      <c r="M77" s="271"/>
      <c r="N77" s="271"/>
      <c r="O77" s="271"/>
      <c r="P77" s="274"/>
      <c r="Q77" s="361"/>
      <c r="R77" s="342" t="s">
        <v>326</v>
      </c>
      <c r="S77" s="346">
        <v>4.3846212625398344</v>
      </c>
      <c r="T77" s="346">
        <v>4.3737157533423279</v>
      </c>
      <c r="U77" s="346">
        <v>4.3628102441448169</v>
      </c>
      <c r="V77" s="346">
        <v>4.3519047349473103</v>
      </c>
      <c r="W77" s="346">
        <v>4.3409992257498002</v>
      </c>
      <c r="X77" s="346">
        <v>4.3300937165522928</v>
      </c>
      <c r="Y77" s="346">
        <v>4.3191882073547818</v>
      </c>
      <c r="Z77" s="346">
        <v>4.3082826981572753</v>
      </c>
      <c r="AA77" s="346">
        <v>4.2973771889597643</v>
      </c>
      <c r="AB77" s="346"/>
      <c r="AC77" s="346"/>
      <c r="AD77" s="346"/>
      <c r="AE77" s="346"/>
      <c r="AF77" s="346"/>
      <c r="AG77" s="346"/>
      <c r="AH77" s="346">
        <v>4.2864716797622577</v>
      </c>
      <c r="AI77" s="346">
        <v>4.2755661705647467</v>
      </c>
      <c r="AJ77" s="346">
        <v>4.2646606613672402</v>
      </c>
      <c r="AK77" s="346">
        <v>4.2537551521697292</v>
      </c>
      <c r="AL77" s="346">
        <v>4.2175900949447431</v>
      </c>
      <c r="AM77" s="346">
        <v>4.2115189773396136</v>
      </c>
      <c r="AN77" s="346">
        <v>4.2170288991997316</v>
      </c>
      <c r="AO77" s="346">
        <v>4.1917750906741942</v>
      </c>
      <c r="AP77" s="346">
        <v>4.1838163146540248</v>
      </c>
      <c r="AQ77" s="346">
        <v>4.1820051829314862</v>
      </c>
      <c r="AR77" s="346">
        <v>4.1989685997693469</v>
      </c>
      <c r="AS77" s="346">
        <v>4.1895303076941453</v>
      </c>
      <c r="AT77" s="346">
        <v>4.2064427067370058</v>
      </c>
      <c r="AU77" s="346">
        <v>4.194632087194254</v>
      </c>
      <c r="AV77" s="346">
        <v>4.1791226775139245</v>
      </c>
      <c r="AW77" s="346">
        <v>4.1547361715034059</v>
      </c>
      <c r="AX77" s="346">
        <v>4.0907088387770427</v>
      </c>
      <c r="AY77" s="346">
        <v>4.058720681311363</v>
      </c>
      <c r="AZ77" s="346">
        <v>4.0210695486005612</v>
      </c>
      <c r="BA77" s="346">
        <v>3.9898721669573973</v>
      </c>
      <c r="BB77" s="346">
        <v>4.0256178255789568</v>
      </c>
      <c r="BC77" s="346"/>
      <c r="BD77" s="346">
        <v>4.0603669767782211</v>
      </c>
      <c r="BE77" s="346">
        <v>4.0888859395194705</v>
      </c>
      <c r="BF77" s="346">
        <v>4.1118398941688028</v>
      </c>
      <c r="BG77" s="346">
        <v>4.1339477204601742</v>
      </c>
      <c r="BH77" s="346">
        <v>4.1539922713459303</v>
      </c>
      <c r="BI77" s="346">
        <v>4.1687372055711176</v>
      </c>
      <c r="BJ77" s="346">
        <v>4.178891567117784</v>
      </c>
      <c r="BK77" s="346">
        <v>4.1856064783743898</v>
      </c>
      <c r="BL77" s="2865">
        <v>4.1909113935171582</v>
      </c>
      <c r="BM77" s="346">
        <v>4.1950380343134404</v>
      </c>
      <c r="BN77" s="2867">
        <v>4.1986951563757033</v>
      </c>
      <c r="BO77" s="310">
        <v>4.1986951563757033</v>
      </c>
      <c r="BP77" s="310" t="e">
        <v>#NULL!</v>
      </c>
      <c r="BQ77" s="310" t="e">
        <v>#NULL!</v>
      </c>
      <c r="BR77" s="347" t="e">
        <v>#NULL!</v>
      </c>
    </row>
    <row r="78" spans="1:70" s="754" customFormat="1">
      <c r="A78" s="545"/>
      <c r="B78" s="545"/>
      <c r="C78" s="543"/>
      <c r="D78" s="543"/>
      <c r="E78" s="543"/>
      <c r="F78" s="543"/>
      <c r="G78" s="543"/>
      <c r="H78" s="271"/>
      <c r="I78" s="271"/>
      <c r="J78" s="271"/>
      <c r="K78" s="271"/>
      <c r="L78" s="271"/>
      <c r="M78" s="271"/>
      <c r="N78" s="271"/>
      <c r="O78" s="271"/>
      <c r="P78" s="274"/>
      <c r="Q78" s="361"/>
      <c r="R78" s="342" t="s">
        <v>327</v>
      </c>
      <c r="S78" s="346">
        <v>4.4156194081566991</v>
      </c>
      <c r="T78" s="346">
        <v>4.4046367998115379</v>
      </c>
      <c r="U78" s="346">
        <v>4.3936541914663723</v>
      </c>
      <c r="V78" s="346">
        <v>4.382671583121212</v>
      </c>
      <c r="W78" s="346">
        <v>4.3716889747760463</v>
      </c>
      <c r="X78" s="346">
        <v>4.3607063664308843</v>
      </c>
      <c r="Y78" s="346">
        <v>4.3497237580857187</v>
      </c>
      <c r="Z78" s="346">
        <v>4.3387411497405575</v>
      </c>
      <c r="AA78" s="346">
        <v>4.3277585413953918</v>
      </c>
      <c r="AB78" s="346"/>
      <c r="AC78" s="346"/>
      <c r="AD78" s="346"/>
      <c r="AE78" s="346"/>
      <c r="AF78" s="346"/>
      <c r="AG78" s="346"/>
      <c r="AH78" s="346">
        <v>4.3167759330502307</v>
      </c>
      <c r="AI78" s="346">
        <v>4.3057933247050642</v>
      </c>
      <c r="AJ78" s="346">
        <v>4.294810716359903</v>
      </c>
      <c r="AK78" s="346">
        <v>4.2838281080147373</v>
      </c>
      <c r="AL78" s="346">
        <v>4.247407373128449</v>
      </c>
      <c r="AM78" s="346">
        <v>4.241293334281937</v>
      </c>
      <c r="AN78" s="346">
        <v>4.2468422098737308</v>
      </c>
      <c r="AO78" s="346">
        <v>4.2214098634113491</v>
      </c>
      <c r="AP78" s="346">
        <v>4.2133948208898717</v>
      </c>
      <c r="AQ78" s="346">
        <v>4.2115708849314588</v>
      </c>
      <c r="AR78" s="346">
        <v>4.2286542287672999</v>
      </c>
      <c r="AS78" s="346">
        <v>4.2191492103924695</v>
      </c>
      <c r="AT78" s="346">
        <v>4.2361811757506107</v>
      </c>
      <c r="AU78" s="346">
        <v>4.2242870581626484</v>
      </c>
      <c r="AV78" s="346">
        <v>4.2086680009413078</v>
      </c>
      <c r="AW78" s="346">
        <v>4.1841090885998566</v>
      </c>
      <c r="AX78" s="346">
        <v>4.119629099084122</v>
      </c>
      <c r="AY78" s="346">
        <v>4.0874147935651068</v>
      </c>
      <c r="AZ78" s="346">
        <v>4.0494974770211929</v>
      </c>
      <c r="BA78" s="346">
        <v>4.0180795379065541</v>
      </c>
      <c r="BB78" s="346">
        <v>3.9932343283365599</v>
      </c>
      <c r="BC78" s="346"/>
      <c r="BD78" s="346">
        <v>3.969081746534517</v>
      </c>
      <c r="BE78" s="346">
        <v>3.9492594902564404</v>
      </c>
      <c r="BF78" s="346">
        <v>3.9333052223616858</v>
      </c>
      <c r="BG78" s="346">
        <v>3.9179390604688158</v>
      </c>
      <c r="BH78" s="346">
        <v>3.9040069890873519</v>
      </c>
      <c r="BI78" s="346">
        <v>3.8937584443675854</v>
      </c>
      <c r="BJ78" s="346">
        <v>3.8867006015300145</v>
      </c>
      <c r="BK78" s="346">
        <v>3.8820333668545945</v>
      </c>
      <c r="BL78" s="2865">
        <v>3.878346157454748</v>
      </c>
      <c r="BM78" s="346">
        <v>3.8754779138873494</v>
      </c>
      <c r="BN78" s="2867">
        <v>3.8729360118057028</v>
      </c>
      <c r="BO78" s="310">
        <v>3.8729360118057028</v>
      </c>
      <c r="BP78" s="310" t="e">
        <v>#NULL!</v>
      </c>
      <c r="BQ78" s="310" t="e">
        <v>#NULL!</v>
      </c>
      <c r="BR78" s="347" t="e">
        <v>#NULL!</v>
      </c>
    </row>
    <row r="79" spans="1:70" s="754" customFormat="1">
      <c r="A79" s="545"/>
      <c r="B79" s="545"/>
      <c r="C79" s="543"/>
      <c r="D79" s="543"/>
      <c r="E79" s="543"/>
      <c r="F79" s="543"/>
      <c r="G79" s="543"/>
      <c r="H79" s="271"/>
      <c r="I79" s="271"/>
      <c r="J79" s="271"/>
      <c r="K79" s="271"/>
      <c r="L79" s="271"/>
      <c r="M79" s="271"/>
      <c r="N79" s="271"/>
      <c r="O79" s="271"/>
      <c r="P79" s="274"/>
      <c r="Q79" s="361"/>
      <c r="R79" s="342" t="s">
        <v>328</v>
      </c>
      <c r="S79" s="343"/>
      <c r="T79" s="343"/>
      <c r="U79" s="343"/>
      <c r="V79" s="343"/>
      <c r="W79" s="343"/>
      <c r="X79" s="343"/>
      <c r="Y79" s="343"/>
      <c r="Z79" s="343"/>
      <c r="AA79" s="343"/>
      <c r="AB79" s="343"/>
      <c r="AC79" s="343"/>
      <c r="AD79" s="343"/>
      <c r="AE79" s="343"/>
      <c r="AF79" s="343"/>
      <c r="AG79" s="343"/>
      <c r="AH79" s="343"/>
      <c r="AI79" s="343"/>
      <c r="AJ79" s="343"/>
      <c r="AK79" s="343"/>
      <c r="AL79" s="343"/>
      <c r="AM79" s="343"/>
      <c r="AN79" s="343"/>
      <c r="AO79" s="343"/>
      <c r="AP79" s="343"/>
      <c r="AQ79" s="343"/>
      <c r="AR79" s="343"/>
      <c r="AS79" s="343"/>
      <c r="AT79" s="343"/>
      <c r="AU79" s="343"/>
      <c r="AV79" s="343"/>
      <c r="AW79" s="343"/>
      <c r="AX79" s="343"/>
      <c r="AY79" s="343"/>
      <c r="AZ79" s="343"/>
      <c r="BA79" s="343"/>
      <c r="BB79" s="343"/>
      <c r="BC79" s="343"/>
      <c r="BD79" s="343"/>
      <c r="BE79" s="343"/>
      <c r="BF79" s="343"/>
      <c r="BG79" s="343"/>
      <c r="BH79" s="343"/>
      <c r="BI79" s="343"/>
      <c r="BJ79" s="343"/>
      <c r="BK79" s="343"/>
      <c r="BL79" s="2871"/>
      <c r="BM79" s="343"/>
      <c r="BN79" s="2868"/>
      <c r="BO79" s="343"/>
      <c r="BP79" s="343"/>
      <c r="BQ79" s="343"/>
      <c r="BR79" s="344"/>
    </row>
    <row r="80" spans="1:70" s="754" customFormat="1">
      <c r="A80" s="545"/>
      <c r="B80" s="545"/>
      <c r="C80" s="543"/>
      <c r="D80" s="543"/>
      <c r="E80" s="543"/>
      <c r="F80" s="543"/>
      <c r="G80" s="543"/>
      <c r="H80" s="271"/>
      <c r="I80" s="271"/>
      <c r="J80" s="271"/>
      <c r="K80" s="271"/>
      <c r="L80" s="271"/>
      <c r="M80" s="271"/>
      <c r="N80" s="271"/>
      <c r="O80" s="271"/>
      <c r="P80" s="274"/>
      <c r="Q80" s="361"/>
      <c r="R80" s="342" t="s">
        <v>329</v>
      </c>
      <c r="S80" s="343"/>
      <c r="T80" s="343"/>
      <c r="U80" s="343"/>
      <c r="V80" s="343"/>
      <c r="W80" s="343"/>
      <c r="X80" s="343"/>
      <c r="Y80" s="343"/>
      <c r="Z80" s="343"/>
      <c r="AA80" s="343"/>
      <c r="AB80" s="343"/>
      <c r="AC80" s="343"/>
      <c r="AD80" s="343"/>
      <c r="AE80" s="343"/>
      <c r="AF80" s="343"/>
      <c r="AG80" s="343"/>
      <c r="AH80" s="343"/>
      <c r="AI80" s="343"/>
      <c r="AJ80" s="343"/>
      <c r="AK80" s="343"/>
      <c r="AL80" s="343"/>
      <c r="AM80" s="343"/>
      <c r="AN80" s="343"/>
      <c r="AO80" s="343"/>
      <c r="AP80" s="343"/>
      <c r="AQ80" s="343"/>
      <c r="AR80" s="343"/>
      <c r="AS80" s="343"/>
      <c r="AT80" s="343"/>
      <c r="AU80" s="343"/>
      <c r="AV80" s="343"/>
      <c r="AW80" s="343"/>
      <c r="AX80" s="343"/>
      <c r="AY80" s="343"/>
      <c r="AZ80" s="343"/>
      <c r="BA80" s="343"/>
      <c r="BB80" s="343"/>
      <c r="BC80" s="343"/>
      <c r="BD80" s="343"/>
      <c r="BE80" s="343"/>
      <c r="BF80" s="343"/>
      <c r="BG80" s="343"/>
      <c r="BH80" s="343"/>
      <c r="BI80" s="343"/>
      <c r="BJ80" s="343"/>
      <c r="BK80" s="343"/>
      <c r="BL80" s="2871"/>
      <c r="BM80" s="343"/>
      <c r="BN80" s="2868"/>
      <c r="BO80" s="343"/>
      <c r="BP80" s="343"/>
      <c r="BQ80" s="343"/>
      <c r="BR80" s="344"/>
    </row>
    <row r="81" spans="1:70" s="754" customFormat="1">
      <c r="A81" s="545"/>
      <c r="B81" s="545"/>
      <c r="C81" s="543"/>
      <c r="D81" s="543"/>
      <c r="E81" s="543"/>
      <c r="F81" s="543"/>
      <c r="G81" s="543"/>
      <c r="H81" s="271"/>
      <c r="I81" s="271"/>
      <c r="J81" s="271"/>
      <c r="K81" s="271"/>
      <c r="L81" s="271"/>
      <c r="M81" s="271"/>
      <c r="N81" s="271"/>
      <c r="O81" s="271"/>
      <c r="P81" s="274"/>
      <c r="Q81" s="361"/>
      <c r="R81" s="342" t="s">
        <v>330</v>
      </c>
      <c r="S81" s="343"/>
      <c r="T81" s="343"/>
      <c r="U81" s="343"/>
      <c r="V81" s="343"/>
      <c r="W81" s="343"/>
      <c r="X81" s="343"/>
      <c r="Y81" s="343"/>
      <c r="Z81" s="343"/>
      <c r="AA81" s="343"/>
      <c r="AB81" s="343"/>
      <c r="AC81" s="343"/>
      <c r="AD81" s="343"/>
      <c r="AE81" s="343"/>
      <c r="AF81" s="343"/>
      <c r="AG81" s="343"/>
      <c r="AH81" s="343"/>
      <c r="AI81" s="343"/>
      <c r="AJ81" s="343"/>
      <c r="AK81" s="343"/>
      <c r="AL81" s="343"/>
      <c r="AM81" s="343"/>
      <c r="AN81" s="343"/>
      <c r="AO81" s="343"/>
      <c r="AP81" s="343"/>
      <c r="AQ81" s="343"/>
      <c r="AR81" s="343"/>
      <c r="AS81" s="343"/>
      <c r="AT81" s="343"/>
      <c r="AU81" s="343"/>
      <c r="AV81" s="343"/>
      <c r="AW81" s="343"/>
      <c r="AX81" s="343"/>
      <c r="AY81" s="343"/>
      <c r="AZ81" s="343"/>
      <c r="BA81" s="343"/>
      <c r="BB81" s="343"/>
      <c r="BC81" s="343"/>
      <c r="BD81" s="343"/>
      <c r="BE81" s="343"/>
      <c r="BF81" s="343"/>
      <c r="BG81" s="343"/>
      <c r="BH81" s="343"/>
      <c r="BI81" s="343"/>
      <c r="BJ81" s="343"/>
      <c r="BK81" s="343"/>
      <c r="BL81" s="2871"/>
      <c r="BM81" s="343"/>
      <c r="BN81" s="2868"/>
      <c r="BO81" s="343"/>
      <c r="BP81" s="343"/>
      <c r="BQ81" s="343"/>
      <c r="BR81" s="344"/>
    </row>
    <row r="82" spans="1:70" s="754" customFormat="1">
      <c r="A82" s="545"/>
      <c r="B82" s="545"/>
      <c r="C82" s="543"/>
      <c r="D82" s="543"/>
      <c r="E82" s="543"/>
      <c r="F82" s="543"/>
      <c r="G82" s="543"/>
      <c r="H82" s="271"/>
      <c r="I82" s="271"/>
      <c r="J82" s="271"/>
      <c r="K82" s="271"/>
      <c r="L82" s="271"/>
      <c r="M82" s="271"/>
      <c r="N82" s="271"/>
      <c r="O82" s="271"/>
      <c r="P82" s="274"/>
      <c r="Q82" s="361"/>
      <c r="R82" s="342" t="s">
        <v>52</v>
      </c>
      <c r="S82" s="343"/>
      <c r="T82" s="343"/>
      <c r="U82" s="343"/>
      <c r="V82" s="343"/>
      <c r="W82" s="343"/>
      <c r="X82" s="343"/>
      <c r="Y82" s="343"/>
      <c r="Z82" s="343"/>
      <c r="AA82" s="343"/>
      <c r="AB82" s="343"/>
      <c r="AC82" s="343"/>
      <c r="AD82" s="343"/>
      <c r="AE82" s="343"/>
      <c r="AF82" s="343"/>
      <c r="AG82" s="343"/>
      <c r="AH82" s="343"/>
      <c r="AI82" s="343"/>
      <c r="AJ82" s="343"/>
      <c r="AK82" s="343"/>
      <c r="AL82" s="343"/>
      <c r="AM82" s="343"/>
      <c r="AN82" s="343"/>
      <c r="AO82" s="343"/>
      <c r="AP82" s="343"/>
      <c r="AQ82" s="343"/>
      <c r="AR82" s="343"/>
      <c r="AS82" s="343"/>
      <c r="AT82" s="343"/>
      <c r="AU82" s="343"/>
      <c r="AV82" s="343"/>
      <c r="AW82" s="343"/>
      <c r="AX82" s="343"/>
      <c r="AY82" s="343"/>
      <c r="AZ82" s="343"/>
      <c r="BA82" s="343"/>
      <c r="BB82" s="343"/>
      <c r="BC82" s="343"/>
      <c r="BD82" s="343"/>
      <c r="BE82" s="343"/>
      <c r="BF82" s="343"/>
      <c r="BG82" s="343"/>
      <c r="BH82" s="343"/>
      <c r="BI82" s="343"/>
      <c r="BJ82" s="343"/>
      <c r="BK82" s="343"/>
      <c r="BL82" s="2871"/>
      <c r="BM82" s="343"/>
      <c r="BN82" s="2868"/>
      <c r="BO82" s="343"/>
      <c r="BP82" s="343"/>
      <c r="BQ82" s="343"/>
      <c r="BR82" s="344"/>
    </row>
    <row r="83" spans="1:70" s="754" customFormat="1">
      <c r="A83" s="545"/>
      <c r="B83" s="545"/>
      <c r="C83" s="543"/>
      <c r="D83" s="543"/>
      <c r="E83" s="543"/>
      <c r="F83" s="543"/>
      <c r="G83" s="543"/>
      <c r="H83" s="271"/>
      <c r="I83" s="271"/>
      <c r="J83" s="271"/>
      <c r="K83" s="271"/>
      <c r="L83" s="271"/>
      <c r="M83" s="271"/>
      <c r="N83" s="271"/>
      <c r="O83" s="271"/>
      <c r="P83" s="274"/>
      <c r="Q83" s="361"/>
      <c r="R83" s="342" t="s">
        <v>331</v>
      </c>
      <c r="S83" s="343"/>
      <c r="T83" s="343"/>
      <c r="U83" s="343"/>
      <c r="V83" s="343"/>
      <c r="W83" s="343"/>
      <c r="X83" s="343"/>
      <c r="Y83" s="343"/>
      <c r="Z83" s="343"/>
      <c r="AA83" s="343"/>
      <c r="AB83" s="343"/>
      <c r="AC83" s="343"/>
      <c r="AD83" s="343"/>
      <c r="AE83" s="343"/>
      <c r="AF83" s="343"/>
      <c r="AG83" s="343"/>
      <c r="AH83" s="343"/>
      <c r="AI83" s="343"/>
      <c r="AJ83" s="343"/>
      <c r="AK83" s="343"/>
      <c r="AL83" s="343"/>
      <c r="AM83" s="343"/>
      <c r="AN83" s="343"/>
      <c r="AO83" s="343"/>
      <c r="AP83" s="343"/>
      <c r="AQ83" s="343"/>
      <c r="AR83" s="343"/>
      <c r="AS83" s="343"/>
      <c r="AT83" s="343"/>
      <c r="AU83" s="343"/>
      <c r="AV83" s="343"/>
      <c r="AW83" s="343"/>
      <c r="AX83" s="343"/>
      <c r="AY83" s="343"/>
      <c r="AZ83" s="343"/>
      <c r="BA83" s="343"/>
      <c r="BB83" s="343"/>
      <c r="BC83" s="343"/>
      <c r="BD83" s="343"/>
      <c r="BE83" s="343"/>
      <c r="BF83" s="343"/>
      <c r="BG83" s="343"/>
      <c r="BH83" s="343"/>
      <c r="BI83" s="343"/>
      <c r="BJ83" s="343"/>
      <c r="BK83" s="343"/>
      <c r="BL83" s="2871"/>
      <c r="BM83" s="343"/>
      <c r="BN83" s="2868"/>
      <c r="BO83" s="343"/>
      <c r="BP83" s="343"/>
      <c r="BQ83" s="343"/>
      <c r="BR83" s="344"/>
    </row>
    <row r="84" spans="1:70" s="754" customFormat="1">
      <c r="A84" s="545"/>
      <c r="B84" s="545"/>
      <c r="C84" s="543"/>
      <c r="D84" s="543"/>
      <c r="E84" s="543"/>
      <c r="F84" s="543"/>
      <c r="G84" s="543"/>
      <c r="H84" s="271"/>
      <c r="I84" s="271"/>
      <c r="J84" s="271"/>
      <c r="K84" s="271"/>
      <c r="L84" s="271"/>
      <c r="M84" s="271"/>
      <c r="N84" s="271"/>
      <c r="O84" s="271"/>
      <c r="P84" s="274"/>
      <c r="Q84" s="362"/>
      <c r="R84" s="349" t="s">
        <v>332</v>
      </c>
      <c r="S84" s="350"/>
      <c r="T84" s="350"/>
      <c r="U84" s="350"/>
      <c r="V84" s="350"/>
      <c r="W84" s="350"/>
      <c r="X84" s="350"/>
      <c r="Y84" s="350"/>
      <c r="Z84" s="350"/>
      <c r="AA84" s="350"/>
      <c r="AB84" s="350"/>
      <c r="AC84" s="350"/>
      <c r="AD84" s="350"/>
      <c r="AE84" s="350"/>
      <c r="AF84" s="350"/>
      <c r="AG84" s="350"/>
      <c r="AH84" s="350"/>
      <c r="AI84" s="350"/>
      <c r="AJ84" s="350"/>
      <c r="AK84" s="350"/>
      <c r="AL84" s="350"/>
      <c r="AM84" s="350"/>
      <c r="AN84" s="350"/>
      <c r="AO84" s="350"/>
      <c r="AP84" s="350"/>
      <c r="AQ84" s="350"/>
      <c r="AR84" s="350"/>
      <c r="AS84" s="350"/>
      <c r="AT84" s="350"/>
      <c r="AU84" s="350"/>
      <c r="AV84" s="350"/>
      <c r="AW84" s="350"/>
      <c r="AX84" s="350"/>
      <c r="AY84" s="350"/>
      <c r="AZ84" s="350"/>
      <c r="BA84" s="350"/>
      <c r="BB84" s="350"/>
      <c r="BC84" s="350"/>
      <c r="BD84" s="350"/>
      <c r="BE84" s="350"/>
      <c r="BF84" s="350"/>
      <c r="BG84" s="350"/>
      <c r="BH84" s="350"/>
      <c r="BI84" s="350"/>
      <c r="BJ84" s="350"/>
      <c r="BK84" s="350"/>
      <c r="BL84" s="2872"/>
      <c r="BM84" s="350"/>
      <c r="BN84" s="2869"/>
      <c r="BO84" s="350"/>
      <c r="BP84" s="350"/>
      <c r="BQ84" s="350"/>
      <c r="BR84" s="351"/>
    </row>
    <row r="85" spans="1:70" s="754" customFormat="1">
      <c r="A85" s="545"/>
      <c r="B85" s="545"/>
      <c r="C85" s="543"/>
      <c r="D85" s="543"/>
      <c r="E85" s="543"/>
      <c r="F85" s="543"/>
      <c r="G85" s="543"/>
      <c r="H85" s="271"/>
      <c r="I85" s="271"/>
      <c r="J85" s="271"/>
      <c r="K85" s="271"/>
      <c r="L85" s="271"/>
      <c r="M85" s="271"/>
      <c r="N85" s="271"/>
      <c r="O85" s="271"/>
      <c r="P85" s="274"/>
      <c r="Q85" s="360" t="s">
        <v>338</v>
      </c>
      <c r="R85" s="342" t="s">
        <v>51</v>
      </c>
      <c r="S85" s="343" t="e">
        <v>#NULL!</v>
      </c>
      <c r="T85" s="343" t="e">
        <v>#NULL!</v>
      </c>
      <c r="U85" s="343" t="e">
        <v>#NULL!</v>
      </c>
      <c r="V85" s="343" t="e">
        <v>#NULL!</v>
      </c>
      <c r="W85" s="343" t="e">
        <v>#NULL!</v>
      </c>
      <c r="X85" s="343" t="e">
        <v>#NULL!</v>
      </c>
      <c r="Y85" s="343" t="e">
        <v>#NULL!</v>
      </c>
      <c r="Z85" s="343" t="e">
        <v>#NULL!</v>
      </c>
      <c r="AA85" s="343" t="e">
        <v>#NULL!</v>
      </c>
      <c r="AB85" s="343"/>
      <c r="AC85" s="343"/>
      <c r="AD85" s="343"/>
      <c r="AE85" s="343"/>
      <c r="AF85" s="343"/>
      <c r="AG85" s="343"/>
      <c r="AH85" s="343" t="e">
        <v>#NULL!</v>
      </c>
      <c r="AI85" s="343" t="e">
        <v>#NULL!</v>
      </c>
      <c r="AJ85" s="343" t="e">
        <v>#NULL!</v>
      </c>
      <c r="AK85" s="343" t="e">
        <v>#NULL!</v>
      </c>
      <c r="AL85" s="343" t="e">
        <v>#NULL!</v>
      </c>
      <c r="AM85" s="343" t="e">
        <v>#NULL!</v>
      </c>
      <c r="AN85" s="343" t="e">
        <v>#NULL!</v>
      </c>
      <c r="AO85" s="343" t="e">
        <v>#NULL!</v>
      </c>
      <c r="AP85" s="343" t="e">
        <v>#NULL!</v>
      </c>
      <c r="AQ85" s="343" t="e">
        <v>#NULL!</v>
      </c>
      <c r="AR85" s="343" t="e">
        <v>#NULL!</v>
      </c>
      <c r="AS85" s="343" t="e">
        <v>#NULL!</v>
      </c>
      <c r="AT85" s="343" t="e">
        <v>#NULL!</v>
      </c>
      <c r="AU85" s="343" t="e">
        <v>#NULL!</v>
      </c>
      <c r="AV85" s="343" t="e">
        <v>#NULL!</v>
      </c>
      <c r="AW85" s="343" t="e">
        <v>#NULL!</v>
      </c>
      <c r="AX85" s="343" t="e">
        <v>#NULL!</v>
      </c>
      <c r="AY85" s="343" t="e">
        <v>#NULL!</v>
      </c>
      <c r="AZ85" s="343" t="e">
        <v>#NULL!</v>
      </c>
      <c r="BA85" s="343" t="e">
        <v>#NULL!</v>
      </c>
      <c r="BB85" s="343" t="e">
        <v>#NULL!</v>
      </c>
      <c r="BC85" s="343"/>
      <c r="BD85" s="343" t="e">
        <v>#NULL!</v>
      </c>
      <c r="BE85" s="343" t="e">
        <v>#NULL!</v>
      </c>
      <c r="BF85" s="343" t="e">
        <v>#NULL!</v>
      </c>
      <c r="BG85" s="343" t="e">
        <v>#NULL!</v>
      </c>
      <c r="BH85" s="343" t="e">
        <v>#NULL!</v>
      </c>
      <c r="BI85" s="343" t="e">
        <v>#NULL!</v>
      </c>
      <c r="BJ85" s="343" t="e">
        <v>#NULL!</v>
      </c>
      <c r="BK85" s="343" t="e">
        <v>#NULL!</v>
      </c>
      <c r="BL85" s="2871" t="e">
        <v>#NULL!</v>
      </c>
      <c r="BM85" s="343" t="e">
        <v>#NULL!</v>
      </c>
      <c r="BN85" s="2868" t="e">
        <v>#NULL!</v>
      </c>
      <c r="BO85" s="343" t="e">
        <v>#NULL!</v>
      </c>
      <c r="BP85" s="343" t="e">
        <v>#NULL!</v>
      </c>
      <c r="BQ85" s="343" t="e">
        <v>#NULL!</v>
      </c>
      <c r="BR85" s="344" t="e">
        <v>#NULL!</v>
      </c>
    </row>
    <row r="86" spans="1:70" s="754" customFormat="1">
      <c r="A86" s="545"/>
      <c r="B86" s="545"/>
      <c r="C86" s="543"/>
      <c r="D86" s="543"/>
      <c r="E86" s="543"/>
      <c r="F86" s="543"/>
      <c r="G86" s="543"/>
      <c r="H86" s="271"/>
      <c r="I86" s="271"/>
      <c r="J86" s="271"/>
      <c r="K86" s="271"/>
      <c r="L86" s="271"/>
      <c r="M86" s="271"/>
      <c r="N86" s="271"/>
      <c r="O86" s="271"/>
      <c r="P86" s="274"/>
      <c r="Q86" s="361"/>
      <c r="R86" s="342" t="s">
        <v>327</v>
      </c>
      <c r="S86" s="346">
        <v>4.2749895198841106</v>
      </c>
      <c r="T86" s="346">
        <v>4.2799354878902021</v>
      </c>
      <c r="U86" s="346">
        <v>4.2848814558962935</v>
      </c>
      <c r="V86" s="346">
        <v>4.2898274239023859</v>
      </c>
      <c r="W86" s="346">
        <v>4.2947733919084774</v>
      </c>
      <c r="X86" s="346">
        <v>4.2997193599145689</v>
      </c>
      <c r="Y86" s="346">
        <v>4.3046653279206621</v>
      </c>
      <c r="Z86" s="346">
        <v>4.3096112959267545</v>
      </c>
      <c r="AA86" s="346">
        <v>4.314557263932846</v>
      </c>
      <c r="AB86" s="346"/>
      <c r="AC86" s="346"/>
      <c r="AD86" s="346"/>
      <c r="AE86" s="346"/>
      <c r="AF86" s="346"/>
      <c r="AG86" s="346"/>
      <c r="AH86" s="346">
        <v>4.3195032319389393</v>
      </c>
      <c r="AI86" s="346">
        <v>4.3244491999450299</v>
      </c>
      <c r="AJ86" s="346">
        <v>4.3293951679511222</v>
      </c>
      <c r="AK86" s="346">
        <v>4.3343411359572137</v>
      </c>
      <c r="AL86" s="346">
        <v>4.2409209800327377</v>
      </c>
      <c r="AM86" s="346">
        <v>4.2683035819583237</v>
      </c>
      <c r="AN86" s="346">
        <v>4.2903919441329128</v>
      </c>
      <c r="AO86" s="346">
        <v>4.3356502002445358</v>
      </c>
      <c r="AP86" s="346">
        <v>4.3511562061870137</v>
      </c>
      <c r="AQ86" s="346">
        <v>4.4307682858091244</v>
      </c>
      <c r="AR86" s="346">
        <v>4.426344942421145</v>
      </c>
      <c r="AS86" s="346">
        <v>4.4692173475661745</v>
      </c>
      <c r="AT86" s="346">
        <v>4.5335786141335772</v>
      </c>
      <c r="AU86" s="346">
        <v>4.5219572110382362</v>
      </c>
      <c r="AV86" s="346">
        <v>4.424530237441461</v>
      </c>
      <c r="AW86" s="346">
        <v>4.409024231498984</v>
      </c>
      <c r="AX86" s="346">
        <v>4.3619553210884359</v>
      </c>
      <c r="AY86" s="346">
        <v>4.2937459078007212</v>
      </c>
      <c r="AZ86" s="346">
        <v>4.2510881887358769</v>
      </c>
      <c r="BA86" s="346">
        <v>4.2612918535658402</v>
      </c>
      <c r="BB86" s="346">
        <v>4.2342092305694488</v>
      </c>
      <c r="BC86" s="346"/>
      <c r="BD86" s="346">
        <v>4.2123168459793678</v>
      </c>
      <c r="BE86" s="346">
        <v>4.1943402416579119</v>
      </c>
      <c r="BF86" s="346">
        <v>4.1824902471859637</v>
      </c>
      <c r="BG86" s="346">
        <v>4.1481153528774293</v>
      </c>
      <c r="BH86" s="346">
        <v>4.111043045768894</v>
      </c>
      <c r="BI86" s="346">
        <v>4.0796569076945755</v>
      </c>
      <c r="BJ86" s="346">
        <v>4.0479883206615845</v>
      </c>
      <c r="BK86" s="346">
        <v>4.0244962252582646</v>
      </c>
      <c r="BL86" s="2865">
        <v>4.0092533672535398</v>
      </c>
      <c r="BM86" s="346">
        <v>3.9969448698120145</v>
      </c>
      <c r="BN86" s="2867">
        <v>3.9885264792517141</v>
      </c>
      <c r="BO86" s="310">
        <v>3.9885264792517141</v>
      </c>
      <c r="BP86" s="310" t="e">
        <v>#NULL!</v>
      </c>
      <c r="BQ86" s="310" t="e">
        <v>#NULL!</v>
      </c>
      <c r="BR86" s="347" t="e">
        <v>#NULL!</v>
      </c>
    </row>
    <row r="87" spans="1:70" s="754" customFormat="1">
      <c r="A87" s="545"/>
      <c r="B87" s="545"/>
      <c r="C87" s="543"/>
      <c r="D87" s="543"/>
      <c r="E87" s="543"/>
      <c r="F87" s="543"/>
      <c r="G87" s="543"/>
      <c r="H87" s="271"/>
      <c r="I87" s="271"/>
      <c r="J87" s="271"/>
      <c r="K87" s="271"/>
      <c r="L87" s="271"/>
      <c r="M87" s="271"/>
      <c r="N87" s="271"/>
      <c r="O87" s="271"/>
      <c r="P87" s="274"/>
      <c r="Q87" s="361"/>
      <c r="R87" s="342" t="s">
        <v>328</v>
      </c>
      <c r="S87" s="343"/>
      <c r="T87" s="343"/>
      <c r="U87" s="343"/>
      <c r="V87" s="343"/>
      <c r="W87" s="343"/>
      <c r="X87" s="343"/>
      <c r="Y87" s="343"/>
      <c r="Z87" s="343"/>
      <c r="AA87" s="343"/>
      <c r="AB87" s="343"/>
      <c r="AC87" s="343"/>
      <c r="AD87" s="343"/>
      <c r="AE87" s="343"/>
      <c r="AF87" s="343"/>
      <c r="AG87" s="343"/>
      <c r="AH87" s="343"/>
      <c r="AI87" s="343"/>
      <c r="AJ87" s="343"/>
      <c r="AK87" s="343"/>
      <c r="AL87" s="343"/>
      <c r="AM87" s="343"/>
      <c r="AN87" s="343"/>
      <c r="AO87" s="343"/>
      <c r="AP87" s="343"/>
      <c r="AQ87" s="343"/>
      <c r="AR87" s="343"/>
      <c r="AS87" s="343"/>
      <c r="AT87" s="343"/>
      <c r="AU87" s="343"/>
      <c r="AV87" s="343"/>
      <c r="AW87" s="343"/>
      <c r="AX87" s="343"/>
      <c r="AY87" s="343"/>
      <c r="AZ87" s="343"/>
      <c r="BA87" s="343"/>
      <c r="BB87" s="343"/>
      <c r="BC87" s="343"/>
      <c r="BD87" s="343"/>
      <c r="BE87" s="343"/>
      <c r="BF87" s="343"/>
      <c r="BG87" s="343"/>
      <c r="BH87" s="343"/>
      <c r="BI87" s="343"/>
      <c r="BJ87" s="343"/>
      <c r="BK87" s="343"/>
      <c r="BL87" s="2871"/>
      <c r="BM87" s="343"/>
      <c r="BN87" s="2868"/>
      <c r="BO87" s="343"/>
      <c r="BP87" s="343"/>
      <c r="BQ87" s="343"/>
      <c r="BR87" s="344"/>
    </row>
    <row r="88" spans="1:70" s="754" customFormat="1">
      <c r="A88" s="545"/>
      <c r="B88" s="545"/>
      <c r="C88" s="543"/>
      <c r="D88" s="543"/>
      <c r="E88" s="543"/>
      <c r="F88" s="543"/>
      <c r="G88" s="543"/>
      <c r="H88" s="271"/>
      <c r="I88" s="271"/>
      <c r="J88" s="271"/>
      <c r="K88" s="271"/>
      <c r="L88" s="271"/>
      <c r="M88" s="271"/>
      <c r="N88" s="271"/>
      <c r="O88" s="271"/>
      <c r="P88" s="274"/>
      <c r="Q88" s="361"/>
      <c r="R88" s="342" t="s">
        <v>329</v>
      </c>
      <c r="S88" s="343"/>
      <c r="T88" s="343"/>
      <c r="U88" s="343"/>
      <c r="V88" s="343"/>
      <c r="W88" s="343"/>
      <c r="X88" s="343"/>
      <c r="Y88" s="343"/>
      <c r="Z88" s="343"/>
      <c r="AA88" s="343"/>
      <c r="AB88" s="343"/>
      <c r="AC88" s="343"/>
      <c r="AD88" s="343"/>
      <c r="AE88" s="343"/>
      <c r="AF88" s="343"/>
      <c r="AG88" s="343"/>
      <c r="AH88" s="343"/>
      <c r="AI88" s="343"/>
      <c r="AJ88" s="343"/>
      <c r="AK88" s="343"/>
      <c r="AL88" s="343"/>
      <c r="AM88" s="343"/>
      <c r="AN88" s="343"/>
      <c r="AO88" s="343"/>
      <c r="AP88" s="343"/>
      <c r="AQ88" s="343"/>
      <c r="AR88" s="343"/>
      <c r="AS88" s="343"/>
      <c r="AT88" s="343"/>
      <c r="AU88" s="343"/>
      <c r="AV88" s="343"/>
      <c r="AW88" s="343"/>
      <c r="AX88" s="343"/>
      <c r="AY88" s="343"/>
      <c r="AZ88" s="343"/>
      <c r="BA88" s="343"/>
      <c r="BB88" s="343"/>
      <c r="BC88" s="343"/>
      <c r="BD88" s="343"/>
      <c r="BE88" s="343"/>
      <c r="BF88" s="343"/>
      <c r="BG88" s="343"/>
      <c r="BH88" s="343"/>
      <c r="BI88" s="343"/>
      <c r="BJ88" s="343"/>
      <c r="BK88" s="343"/>
      <c r="BL88" s="2871"/>
      <c r="BM88" s="343"/>
      <c r="BN88" s="2868"/>
      <c r="BO88" s="343"/>
      <c r="BP88" s="343"/>
      <c r="BQ88" s="343"/>
      <c r="BR88" s="344"/>
    </row>
    <row r="89" spans="1:70" s="754" customFormat="1">
      <c r="A89" s="545"/>
      <c r="B89" s="545"/>
      <c r="C89" s="543"/>
      <c r="D89" s="543"/>
      <c r="E89" s="543"/>
      <c r="F89" s="543"/>
      <c r="G89" s="543"/>
      <c r="H89" s="271"/>
      <c r="I89" s="271"/>
      <c r="J89" s="271"/>
      <c r="K89" s="271"/>
      <c r="L89" s="271"/>
      <c r="M89" s="271"/>
      <c r="N89" s="271"/>
      <c r="O89" s="271"/>
      <c r="P89" s="274"/>
      <c r="Q89" s="361"/>
      <c r="R89" s="342" t="s">
        <v>52</v>
      </c>
      <c r="S89" s="343"/>
      <c r="T89" s="343"/>
      <c r="U89" s="343"/>
      <c r="V89" s="343"/>
      <c r="W89" s="343"/>
      <c r="X89" s="343"/>
      <c r="Y89" s="343"/>
      <c r="Z89" s="343"/>
      <c r="AA89" s="343"/>
      <c r="AB89" s="343"/>
      <c r="AC89" s="343"/>
      <c r="AD89" s="343"/>
      <c r="AE89" s="343"/>
      <c r="AF89" s="343"/>
      <c r="AG89" s="343"/>
      <c r="AH89" s="343"/>
      <c r="AI89" s="343"/>
      <c r="AJ89" s="343"/>
      <c r="AK89" s="343"/>
      <c r="AL89" s="343"/>
      <c r="AM89" s="343"/>
      <c r="AN89" s="343"/>
      <c r="AO89" s="343"/>
      <c r="AP89" s="343"/>
      <c r="AQ89" s="343"/>
      <c r="AR89" s="343"/>
      <c r="AS89" s="343"/>
      <c r="AT89" s="343"/>
      <c r="AU89" s="343"/>
      <c r="AV89" s="343"/>
      <c r="AW89" s="343"/>
      <c r="AX89" s="343"/>
      <c r="AY89" s="343"/>
      <c r="AZ89" s="343"/>
      <c r="BA89" s="343"/>
      <c r="BB89" s="343"/>
      <c r="BC89" s="343"/>
      <c r="BD89" s="343"/>
      <c r="BE89" s="343"/>
      <c r="BF89" s="343"/>
      <c r="BG89" s="343"/>
      <c r="BH89" s="343"/>
      <c r="BI89" s="343"/>
      <c r="BJ89" s="343"/>
      <c r="BK89" s="343"/>
      <c r="BL89" s="2871"/>
      <c r="BM89" s="343"/>
      <c r="BN89" s="2868"/>
      <c r="BO89" s="343"/>
      <c r="BP89" s="343"/>
      <c r="BQ89" s="343"/>
      <c r="BR89" s="344"/>
    </row>
    <row r="90" spans="1:70" s="754" customFormat="1">
      <c r="A90" s="545"/>
      <c r="B90" s="545"/>
      <c r="C90" s="543"/>
      <c r="D90" s="543"/>
      <c r="E90" s="543"/>
      <c r="F90" s="543"/>
      <c r="G90" s="543"/>
      <c r="H90" s="271"/>
      <c r="I90" s="271"/>
      <c r="J90" s="271"/>
      <c r="K90" s="271"/>
      <c r="L90" s="271"/>
      <c r="M90" s="271"/>
      <c r="N90" s="271"/>
      <c r="O90" s="271"/>
      <c r="P90" s="274"/>
      <c r="Q90" s="361"/>
      <c r="R90" s="342" t="s">
        <v>331</v>
      </c>
      <c r="S90" s="343"/>
      <c r="T90" s="343"/>
      <c r="U90" s="343"/>
      <c r="V90" s="343"/>
      <c r="W90" s="343"/>
      <c r="X90" s="343"/>
      <c r="Y90" s="343"/>
      <c r="Z90" s="343"/>
      <c r="AA90" s="343"/>
      <c r="AB90" s="343"/>
      <c r="AC90" s="343"/>
      <c r="AD90" s="343"/>
      <c r="AE90" s="343"/>
      <c r="AF90" s="343"/>
      <c r="AG90" s="343"/>
      <c r="AH90" s="343"/>
      <c r="AI90" s="343"/>
      <c r="AJ90" s="343"/>
      <c r="AK90" s="343"/>
      <c r="AL90" s="343"/>
      <c r="AM90" s="343"/>
      <c r="AN90" s="343"/>
      <c r="AO90" s="343"/>
      <c r="AP90" s="343"/>
      <c r="AQ90" s="343"/>
      <c r="AR90" s="343"/>
      <c r="AS90" s="343"/>
      <c r="AT90" s="343"/>
      <c r="AU90" s="343"/>
      <c r="AV90" s="343"/>
      <c r="AW90" s="343"/>
      <c r="AX90" s="343"/>
      <c r="AY90" s="343"/>
      <c r="AZ90" s="343"/>
      <c r="BA90" s="343"/>
      <c r="BB90" s="343"/>
      <c r="BC90" s="343"/>
      <c r="BD90" s="343"/>
      <c r="BE90" s="343"/>
      <c r="BF90" s="343"/>
      <c r="BG90" s="343"/>
      <c r="BH90" s="343"/>
      <c r="BI90" s="343"/>
      <c r="BJ90" s="343"/>
      <c r="BK90" s="343"/>
      <c r="BL90" s="2871"/>
      <c r="BM90" s="343"/>
      <c r="BN90" s="2868"/>
      <c r="BO90" s="343"/>
      <c r="BP90" s="343"/>
      <c r="BQ90" s="343"/>
      <c r="BR90" s="344"/>
    </row>
    <row r="91" spans="1:70" s="754" customFormat="1">
      <c r="A91" s="545"/>
      <c r="B91" s="545"/>
      <c r="C91" s="543"/>
      <c r="D91" s="543"/>
      <c r="E91" s="543"/>
      <c r="F91" s="543"/>
      <c r="G91" s="543"/>
      <c r="H91" s="271"/>
      <c r="I91" s="271"/>
      <c r="J91" s="271"/>
      <c r="K91" s="271"/>
      <c r="L91" s="271"/>
      <c r="M91" s="271"/>
      <c r="N91" s="271"/>
      <c r="O91" s="271"/>
      <c r="P91" s="274"/>
      <c r="Q91" s="362"/>
      <c r="R91" s="349" t="s">
        <v>332</v>
      </c>
      <c r="S91" s="350"/>
      <c r="T91" s="350"/>
      <c r="U91" s="350"/>
      <c r="V91" s="350"/>
      <c r="W91" s="350"/>
      <c r="X91" s="350"/>
      <c r="Y91" s="350"/>
      <c r="Z91" s="350"/>
      <c r="AA91" s="350"/>
      <c r="AB91" s="350"/>
      <c r="AC91" s="350"/>
      <c r="AD91" s="350"/>
      <c r="AE91" s="350"/>
      <c r="AF91" s="350"/>
      <c r="AG91" s="350"/>
      <c r="AH91" s="350"/>
      <c r="AI91" s="350"/>
      <c r="AJ91" s="350"/>
      <c r="AK91" s="350"/>
      <c r="AL91" s="350"/>
      <c r="AM91" s="350"/>
      <c r="AN91" s="350"/>
      <c r="AO91" s="350"/>
      <c r="AP91" s="350"/>
      <c r="AQ91" s="350"/>
      <c r="AR91" s="350"/>
      <c r="AS91" s="350"/>
      <c r="AT91" s="350"/>
      <c r="AU91" s="350"/>
      <c r="AV91" s="350"/>
      <c r="AW91" s="350"/>
      <c r="AX91" s="350"/>
      <c r="AY91" s="350"/>
      <c r="AZ91" s="350"/>
      <c r="BA91" s="350"/>
      <c r="BB91" s="350"/>
      <c r="BC91" s="350"/>
      <c r="BD91" s="350"/>
      <c r="BE91" s="350"/>
      <c r="BF91" s="350"/>
      <c r="BG91" s="350"/>
      <c r="BH91" s="350"/>
      <c r="BI91" s="350"/>
      <c r="BJ91" s="350"/>
      <c r="BK91" s="350"/>
      <c r="BL91" s="2872"/>
      <c r="BM91" s="350"/>
      <c r="BN91" s="2869"/>
      <c r="BO91" s="350"/>
      <c r="BP91" s="350"/>
      <c r="BQ91" s="350"/>
      <c r="BR91" s="351"/>
    </row>
    <row r="92" spans="1:70" s="754" customFormat="1">
      <c r="A92" s="545"/>
      <c r="B92" s="545"/>
      <c r="C92" s="543"/>
      <c r="D92" s="543"/>
      <c r="E92" s="543"/>
      <c r="F92" s="543"/>
      <c r="G92" s="543"/>
      <c r="H92" s="271"/>
      <c r="I92" s="271"/>
      <c r="J92" s="271"/>
      <c r="K92" s="271"/>
      <c r="L92" s="271"/>
      <c r="M92" s="271"/>
      <c r="N92" s="271"/>
      <c r="O92" s="271" t="s">
        <v>1829</v>
      </c>
      <c r="P92" s="274">
        <v>6</v>
      </c>
      <c r="Q92" s="360" t="s">
        <v>339</v>
      </c>
      <c r="R92" s="342" t="s">
        <v>51</v>
      </c>
      <c r="S92" s="343" t="e">
        <v>#NULL!</v>
      </c>
      <c r="T92" s="343" t="e">
        <v>#NULL!</v>
      </c>
      <c r="U92" s="343" t="e">
        <v>#NULL!</v>
      </c>
      <c r="V92" s="343" t="e">
        <v>#NULL!</v>
      </c>
      <c r="W92" s="343" t="e">
        <v>#NULL!</v>
      </c>
      <c r="X92" s="343" t="e">
        <v>#NULL!</v>
      </c>
      <c r="Y92" s="343" t="e">
        <v>#NULL!</v>
      </c>
      <c r="Z92" s="343" t="e">
        <v>#NULL!</v>
      </c>
      <c r="AA92" s="343" t="e">
        <v>#NULL!</v>
      </c>
      <c r="AB92" s="343"/>
      <c r="AC92" s="343"/>
      <c r="AD92" s="343"/>
      <c r="AE92" s="343"/>
      <c r="AF92" s="343"/>
      <c r="AG92" s="343"/>
      <c r="AH92" s="343" t="e">
        <v>#NULL!</v>
      </c>
      <c r="AI92" s="343" t="e">
        <v>#NULL!</v>
      </c>
      <c r="AJ92" s="343" t="e">
        <v>#NULL!</v>
      </c>
      <c r="AK92" s="343" t="e">
        <v>#NULL!</v>
      </c>
      <c r="AL92" s="343" t="e">
        <v>#NULL!</v>
      </c>
      <c r="AM92" s="343" t="e">
        <v>#NULL!</v>
      </c>
      <c r="AN92" s="343" t="e">
        <v>#NULL!</v>
      </c>
      <c r="AO92" s="343" t="e">
        <v>#NULL!</v>
      </c>
      <c r="AP92" s="343" t="e">
        <v>#NULL!</v>
      </c>
      <c r="AQ92" s="343" t="e">
        <v>#NULL!</v>
      </c>
      <c r="AR92" s="343" t="e">
        <v>#NULL!</v>
      </c>
      <c r="AS92" s="343" t="e">
        <v>#NULL!</v>
      </c>
      <c r="AT92" s="343" t="e">
        <v>#NULL!</v>
      </c>
      <c r="AU92" s="343" t="e">
        <v>#NULL!</v>
      </c>
      <c r="AV92" s="343" t="e">
        <v>#NULL!</v>
      </c>
      <c r="AW92" s="343" t="e">
        <v>#NULL!</v>
      </c>
      <c r="AX92" s="343" t="e">
        <v>#NULL!</v>
      </c>
      <c r="AY92" s="343" t="e">
        <v>#NULL!</v>
      </c>
      <c r="AZ92" s="343" t="e">
        <v>#NULL!</v>
      </c>
      <c r="BA92" s="343" t="e">
        <v>#NULL!</v>
      </c>
      <c r="BB92" s="343" t="e">
        <v>#NULL!</v>
      </c>
      <c r="BC92" s="343"/>
      <c r="BD92" s="343" t="e">
        <v>#NULL!</v>
      </c>
      <c r="BE92" s="343" t="e">
        <v>#NULL!</v>
      </c>
      <c r="BF92" s="343" t="e">
        <v>#NULL!</v>
      </c>
      <c r="BG92" s="343" t="e">
        <v>#NULL!</v>
      </c>
      <c r="BH92" s="343" t="e">
        <v>#NULL!</v>
      </c>
      <c r="BI92" s="343" t="e">
        <v>#NULL!</v>
      </c>
      <c r="BJ92" s="343" t="e">
        <v>#NULL!</v>
      </c>
      <c r="BK92" s="343" t="e">
        <v>#NULL!</v>
      </c>
      <c r="BL92" s="2871" t="e">
        <v>#NULL!</v>
      </c>
      <c r="BM92" s="343" t="e">
        <v>#NULL!</v>
      </c>
      <c r="BN92" s="2868" t="e">
        <v>#NULL!</v>
      </c>
      <c r="BO92" s="343" t="e">
        <v>#NULL!</v>
      </c>
      <c r="BP92" s="343" t="e">
        <v>#NULL!</v>
      </c>
      <c r="BQ92" s="343" t="e">
        <v>#NULL!</v>
      </c>
      <c r="BR92" s="344" t="e">
        <v>#NULL!</v>
      </c>
    </row>
    <row r="93" spans="1:70" s="754" customFormat="1">
      <c r="A93" s="545"/>
      <c r="B93" s="545"/>
      <c r="C93" s="543"/>
      <c r="D93" s="543"/>
      <c r="E93" s="543"/>
      <c r="F93" s="543"/>
      <c r="G93" s="543"/>
      <c r="H93" s="271"/>
      <c r="I93" s="271"/>
      <c r="J93" s="271"/>
      <c r="K93" s="271"/>
      <c r="L93" s="271"/>
      <c r="M93" s="271"/>
      <c r="N93" s="271"/>
      <c r="O93" s="271"/>
      <c r="P93" s="274"/>
      <c r="Q93" s="360"/>
      <c r="R93" s="342" t="s">
        <v>327</v>
      </c>
      <c r="S93" s="363">
        <v>10.544078417387906</v>
      </c>
      <c r="T93" s="363">
        <v>10.556277435482231</v>
      </c>
      <c r="U93" s="363">
        <v>10.568476453576558</v>
      </c>
      <c r="V93" s="363">
        <v>10.580675471670885</v>
      </c>
      <c r="W93" s="363">
        <v>10.592874489765213</v>
      </c>
      <c r="X93" s="363">
        <v>10.605073507859538</v>
      </c>
      <c r="Y93" s="363">
        <v>10.617272525953867</v>
      </c>
      <c r="Z93" s="363">
        <v>10.629471544048197</v>
      </c>
      <c r="AA93" s="363">
        <v>10.641670562142522</v>
      </c>
      <c r="AB93" s="363"/>
      <c r="AC93" s="363"/>
      <c r="AD93" s="363"/>
      <c r="AE93" s="363"/>
      <c r="AF93" s="363"/>
      <c r="AG93" s="363"/>
      <c r="AH93" s="363">
        <v>10.653869580236851</v>
      </c>
      <c r="AI93" s="363">
        <v>10.666068598331176</v>
      </c>
      <c r="AJ93" s="363">
        <v>10.678267616425504</v>
      </c>
      <c r="AK93" s="363">
        <v>10.690466634519831</v>
      </c>
      <c r="AL93" s="363">
        <v>10.460049824080729</v>
      </c>
      <c r="AM93" s="363">
        <v>10.527587838064756</v>
      </c>
      <c r="AN93" s="363">
        <v>10.582067836623173</v>
      </c>
      <c r="AO93" s="363">
        <v>10.693695385475763</v>
      </c>
      <c r="AP93" s="363">
        <v>10.731940284518791</v>
      </c>
      <c r="AQ93" s="363">
        <v>10.928300066596016</v>
      </c>
      <c r="AR93" s="363">
        <v>10.917390079721674</v>
      </c>
      <c r="AS93" s="363">
        <v>11.023133029426839</v>
      </c>
      <c r="AT93" s="363">
        <v>11.181877334780713</v>
      </c>
      <c r="AU93" s="363">
        <v>11.153213642159386</v>
      </c>
      <c r="AV93" s="363">
        <v>10.91291418767066</v>
      </c>
      <c r="AW93" s="363">
        <v>10.874669288627635</v>
      </c>
      <c r="AX93" s="363">
        <v>10.758575838554503</v>
      </c>
      <c r="AY93" s="363">
        <v>10.590340244253168</v>
      </c>
      <c r="AZ93" s="363">
        <v>10.485126808562963</v>
      </c>
      <c r="BA93" s="363">
        <v>10.510293710519438</v>
      </c>
      <c r="BB93" s="363">
        <v>10.275025760168333</v>
      </c>
      <c r="BC93" s="363"/>
      <c r="BD93" s="363">
        <v>10.484040295492044</v>
      </c>
      <c r="BE93" s="363">
        <v>10.427828013348474</v>
      </c>
      <c r="BF93" s="363">
        <v>10.39462965105783</v>
      </c>
      <c r="BG93" s="363">
        <v>10.290192343901257</v>
      </c>
      <c r="BH93" s="363">
        <v>10.078666485119003</v>
      </c>
      <c r="BI93" s="363">
        <v>10.202909620353303</v>
      </c>
      <c r="BJ93" s="346">
        <v>10.300322142250486</v>
      </c>
      <c r="BK93" s="346">
        <v>9.8490166666123322</v>
      </c>
      <c r="BL93" s="2865">
        <v>10.2556113817535</v>
      </c>
      <c r="BM93" s="346">
        <v>10.321493772557584</v>
      </c>
      <c r="BN93" s="2870">
        <v>10.321493772557584</v>
      </c>
      <c r="BO93" s="310">
        <v>10.321493772557584</v>
      </c>
      <c r="BP93" s="310" t="e">
        <v>#NULL!</v>
      </c>
      <c r="BQ93" s="310" t="e">
        <v>#NULL!</v>
      </c>
      <c r="BR93" s="347" t="e">
        <v>#NULL!</v>
      </c>
    </row>
    <row r="94" spans="1:70" s="754" customFormat="1">
      <c r="A94" s="545"/>
      <c r="B94" s="545"/>
      <c r="C94" s="543"/>
      <c r="D94" s="543"/>
      <c r="E94" s="543"/>
      <c r="F94" s="543"/>
      <c r="G94" s="543"/>
      <c r="H94" s="271"/>
      <c r="I94" s="271"/>
      <c r="J94" s="271"/>
      <c r="K94" s="271"/>
      <c r="L94" s="271"/>
      <c r="M94" s="271"/>
      <c r="N94" s="271"/>
      <c r="O94" s="271"/>
      <c r="P94" s="274"/>
      <c r="Q94" s="360"/>
      <c r="R94" s="342" t="s">
        <v>328</v>
      </c>
      <c r="S94" s="343"/>
      <c r="T94" s="343"/>
      <c r="U94" s="343"/>
      <c r="V94" s="343"/>
      <c r="W94" s="343"/>
      <c r="X94" s="343"/>
      <c r="Y94" s="343"/>
      <c r="Z94" s="343"/>
      <c r="AA94" s="343"/>
      <c r="AB94" s="343"/>
      <c r="AC94" s="343"/>
      <c r="AD94" s="343"/>
      <c r="AE94" s="343"/>
      <c r="AF94" s="343"/>
      <c r="AG94" s="343"/>
      <c r="AH94" s="343"/>
      <c r="AI94" s="343"/>
      <c r="AJ94" s="343"/>
      <c r="AK94" s="343"/>
      <c r="AL94" s="343"/>
      <c r="AM94" s="343"/>
      <c r="AN94" s="343"/>
      <c r="AO94" s="343"/>
      <c r="AP94" s="343"/>
      <c r="AQ94" s="343"/>
      <c r="AR94" s="343"/>
      <c r="AS94" s="343"/>
      <c r="AT94" s="343"/>
      <c r="AU94" s="343"/>
      <c r="AV94" s="343"/>
      <c r="AW94" s="343"/>
      <c r="AX94" s="343"/>
      <c r="AY94" s="343"/>
      <c r="AZ94" s="343"/>
      <c r="BA94" s="343"/>
      <c r="BB94" s="343"/>
      <c r="BC94" s="343"/>
      <c r="BD94" s="343"/>
      <c r="BE94" s="343"/>
      <c r="BF94" s="343"/>
      <c r="BG94" s="343"/>
      <c r="BH94" s="343"/>
      <c r="BI94" s="343"/>
      <c r="BJ94" s="310"/>
      <c r="BK94" s="310"/>
      <c r="BL94" s="364"/>
      <c r="BM94" s="310"/>
      <c r="BN94" s="310"/>
      <c r="BO94" s="310"/>
      <c r="BP94" s="310"/>
      <c r="BQ94" s="310"/>
      <c r="BR94" s="347"/>
    </row>
    <row r="95" spans="1:70" s="754" customFormat="1">
      <c r="A95" s="545"/>
      <c r="B95" s="545"/>
      <c r="C95" s="543"/>
      <c r="D95" s="543"/>
      <c r="E95" s="543"/>
      <c r="F95" s="543"/>
      <c r="G95" s="543"/>
      <c r="H95" s="271"/>
      <c r="I95" s="271"/>
      <c r="J95" s="271"/>
      <c r="K95" s="271"/>
      <c r="L95" s="271"/>
      <c r="M95" s="271"/>
      <c r="N95" s="271"/>
      <c r="O95" s="271"/>
      <c r="P95" s="274"/>
      <c r="Q95" s="360"/>
      <c r="R95" s="342" t="s">
        <v>329</v>
      </c>
      <c r="S95" s="343"/>
      <c r="T95" s="343"/>
      <c r="U95" s="343"/>
      <c r="V95" s="343"/>
      <c r="W95" s="343"/>
      <c r="X95" s="343"/>
      <c r="Y95" s="343"/>
      <c r="Z95" s="343"/>
      <c r="AA95" s="343"/>
      <c r="AB95" s="343"/>
      <c r="AC95" s="343"/>
      <c r="AD95" s="343"/>
      <c r="AE95" s="343"/>
      <c r="AF95" s="343"/>
      <c r="AG95" s="343"/>
      <c r="AH95" s="343"/>
      <c r="AI95" s="343"/>
      <c r="AJ95" s="343"/>
      <c r="AK95" s="343"/>
      <c r="AL95" s="343"/>
      <c r="AM95" s="343"/>
      <c r="AN95" s="343"/>
      <c r="AO95" s="343"/>
      <c r="AP95" s="343"/>
      <c r="AQ95" s="343"/>
      <c r="AR95" s="343"/>
      <c r="AS95" s="343"/>
      <c r="AT95" s="343"/>
      <c r="AU95" s="343"/>
      <c r="AV95" s="343"/>
      <c r="AW95" s="343"/>
      <c r="AX95" s="343"/>
      <c r="AY95" s="343"/>
      <c r="AZ95" s="343"/>
      <c r="BA95" s="343"/>
      <c r="BB95" s="343"/>
      <c r="BC95" s="343"/>
      <c r="BD95" s="343"/>
      <c r="BE95" s="343"/>
      <c r="BF95" s="343"/>
      <c r="BG95" s="343"/>
      <c r="BH95" s="343"/>
      <c r="BI95" s="343"/>
      <c r="BJ95" s="310"/>
      <c r="BK95" s="310"/>
      <c r="BL95" s="364"/>
      <c r="BM95" s="310"/>
      <c r="BN95" s="310"/>
      <c r="BO95" s="310"/>
      <c r="BP95" s="310"/>
      <c r="BQ95" s="310"/>
      <c r="BR95" s="347"/>
    </row>
    <row r="96" spans="1:70" s="754" customFormat="1">
      <c r="A96" s="545"/>
      <c r="B96" s="545"/>
      <c r="C96" s="543"/>
      <c r="D96" s="543"/>
      <c r="E96" s="543"/>
      <c r="F96" s="543"/>
      <c r="G96" s="543"/>
      <c r="H96" s="271"/>
      <c r="I96" s="271"/>
      <c r="J96" s="271"/>
      <c r="K96" s="271"/>
      <c r="L96" s="271"/>
      <c r="M96" s="271"/>
      <c r="N96" s="271"/>
      <c r="O96" s="271"/>
      <c r="P96" s="274"/>
      <c r="Q96" s="360"/>
      <c r="R96" s="342" t="s">
        <v>52</v>
      </c>
      <c r="S96" s="343"/>
      <c r="T96" s="343"/>
      <c r="U96" s="343"/>
      <c r="V96" s="343"/>
      <c r="W96" s="343"/>
      <c r="X96" s="343"/>
      <c r="Y96" s="343"/>
      <c r="Z96" s="343"/>
      <c r="AA96" s="343"/>
      <c r="AB96" s="343"/>
      <c r="AC96" s="343"/>
      <c r="AD96" s="343"/>
      <c r="AE96" s="343"/>
      <c r="AF96" s="343"/>
      <c r="AG96" s="343"/>
      <c r="AH96" s="343"/>
      <c r="AI96" s="343"/>
      <c r="AJ96" s="343"/>
      <c r="AK96" s="343"/>
      <c r="AL96" s="343"/>
      <c r="AM96" s="343"/>
      <c r="AN96" s="343"/>
      <c r="AO96" s="343"/>
      <c r="AP96" s="343"/>
      <c r="AQ96" s="343"/>
      <c r="AR96" s="343"/>
      <c r="AS96" s="343"/>
      <c r="AT96" s="343"/>
      <c r="AU96" s="343"/>
      <c r="AV96" s="343"/>
      <c r="AW96" s="343"/>
      <c r="AX96" s="343"/>
      <c r="AY96" s="343"/>
      <c r="AZ96" s="343"/>
      <c r="BA96" s="343"/>
      <c r="BB96" s="343"/>
      <c r="BC96" s="343"/>
      <c r="BD96" s="343"/>
      <c r="BE96" s="343"/>
      <c r="BF96" s="343"/>
      <c r="BG96" s="343"/>
      <c r="BH96" s="343"/>
      <c r="BI96" s="343"/>
      <c r="BJ96" s="310"/>
      <c r="BK96" s="310"/>
      <c r="BL96" s="364"/>
      <c r="BM96" s="310"/>
      <c r="BN96" s="310"/>
      <c r="BO96" s="310"/>
      <c r="BP96" s="310"/>
      <c r="BQ96" s="310"/>
      <c r="BR96" s="347"/>
    </row>
    <row r="97" spans="1:70" s="754" customFormat="1">
      <c r="A97" s="545"/>
      <c r="B97" s="545"/>
      <c r="C97" s="543"/>
      <c r="D97" s="543"/>
      <c r="E97" s="543"/>
      <c r="F97" s="543"/>
      <c r="G97" s="543"/>
      <c r="H97" s="271"/>
      <c r="I97" s="271"/>
      <c r="J97" s="271"/>
      <c r="K97" s="271"/>
      <c r="L97" s="271"/>
      <c r="M97" s="271"/>
      <c r="N97" s="271"/>
      <c r="O97" s="271"/>
      <c r="P97" s="274"/>
      <c r="Q97" s="360"/>
      <c r="R97" s="342" t="s">
        <v>331</v>
      </c>
      <c r="S97" s="343"/>
      <c r="T97" s="343"/>
      <c r="U97" s="343"/>
      <c r="V97" s="343"/>
      <c r="W97" s="343"/>
      <c r="X97" s="343"/>
      <c r="Y97" s="343"/>
      <c r="Z97" s="343"/>
      <c r="AA97" s="343"/>
      <c r="AB97" s="343"/>
      <c r="AC97" s="343"/>
      <c r="AD97" s="343"/>
      <c r="AE97" s="343"/>
      <c r="AF97" s="343"/>
      <c r="AG97" s="343"/>
      <c r="AH97" s="343"/>
      <c r="AI97" s="343"/>
      <c r="AJ97" s="343"/>
      <c r="AK97" s="343"/>
      <c r="AL97" s="343"/>
      <c r="AM97" s="343"/>
      <c r="AN97" s="343"/>
      <c r="AO97" s="343"/>
      <c r="AP97" s="343"/>
      <c r="AQ97" s="343"/>
      <c r="AR97" s="343"/>
      <c r="AS97" s="343"/>
      <c r="AT97" s="343"/>
      <c r="AU97" s="343"/>
      <c r="AV97" s="343"/>
      <c r="AW97" s="343"/>
      <c r="AX97" s="343"/>
      <c r="AY97" s="343"/>
      <c r="AZ97" s="343"/>
      <c r="BA97" s="343"/>
      <c r="BB97" s="343"/>
      <c r="BC97" s="343"/>
      <c r="BD97" s="343"/>
      <c r="BE97" s="343"/>
      <c r="BF97" s="343"/>
      <c r="BG97" s="343"/>
      <c r="BH97" s="343"/>
      <c r="BI97" s="343"/>
      <c r="BJ97" s="310"/>
      <c r="BK97" s="310"/>
      <c r="BL97" s="364"/>
      <c r="BM97" s="310"/>
      <c r="BN97" s="310"/>
      <c r="BO97" s="310"/>
      <c r="BP97" s="310"/>
      <c r="BQ97" s="310"/>
      <c r="BR97" s="347"/>
    </row>
    <row r="98" spans="1:70" s="754" customFormat="1">
      <c r="A98" s="545"/>
      <c r="B98" s="545"/>
      <c r="C98" s="543"/>
      <c r="D98" s="543"/>
      <c r="E98" s="543"/>
      <c r="F98" s="543"/>
      <c r="G98" s="543"/>
      <c r="H98" s="271"/>
      <c r="I98" s="271"/>
      <c r="J98" s="271"/>
      <c r="K98" s="271"/>
      <c r="L98" s="271"/>
      <c r="M98" s="271"/>
      <c r="N98" s="271"/>
      <c r="O98" s="271"/>
      <c r="P98" s="274"/>
      <c r="Q98" s="365"/>
      <c r="R98" s="349" t="s">
        <v>332</v>
      </c>
      <c r="S98" s="350"/>
      <c r="T98" s="350"/>
      <c r="U98" s="350"/>
      <c r="V98" s="350"/>
      <c r="W98" s="350"/>
      <c r="X98" s="350"/>
      <c r="Y98" s="350"/>
      <c r="Z98" s="350"/>
      <c r="AA98" s="350"/>
      <c r="AB98" s="350"/>
      <c r="AC98" s="350"/>
      <c r="AD98" s="350"/>
      <c r="AE98" s="350"/>
      <c r="AF98" s="350"/>
      <c r="AG98" s="350"/>
      <c r="AH98" s="350"/>
      <c r="AI98" s="350"/>
      <c r="AJ98" s="350"/>
      <c r="AK98" s="350"/>
      <c r="AL98" s="350"/>
      <c r="AM98" s="350"/>
      <c r="AN98" s="350"/>
      <c r="AO98" s="350"/>
      <c r="AP98" s="350"/>
      <c r="AQ98" s="350"/>
      <c r="AR98" s="350"/>
      <c r="AS98" s="350"/>
      <c r="AT98" s="350"/>
      <c r="AU98" s="350"/>
      <c r="AV98" s="350"/>
      <c r="AW98" s="350"/>
      <c r="AX98" s="350"/>
      <c r="AY98" s="350"/>
      <c r="AZ98" s="350"/>
      <c r="BA98" s="350"/>
      <c r="BB98" s="350"/>
      <c r="BC98" s="350"/>
      <c r="BD98" s="350"/>
      <c r="BE98" s="350"/>
      <c r="BF98" s="350"/>
      <c r="BG98" s="350"/>
      <c r="BH98" s="350"/>
      <c r="BI98" s="350"/>
      <c r="BJ98" s="311"/>
      <c r="BK98" s="311"/>
      <c r="BL98" s="2873"/>
      <c r="BM98" s="311"/>
      <c r="BN98" s="311"/>
      <c r="BO98" s="311"/>
      <c r="BP98" s="311"/>
      <c r="BQ98" s="311"/>
      <c r="BR98" s="352"/>
    </row>
    <row r="99" spans="1:70" s="754" customFormat="1">
      <c r="A99" s="545"/>
      <c r="B99" s="545"/>
      <c r="C99" s="543"/>
      <c r="D99" s="543"/>
      <c r="E99" s="543"/>
      <c r="F99" s="543"/>
      <c r="G99" s="543"/>
      <c r="H99" s="271"/>
      <c r="I99" s="271"/>
      <c r="J99" s="271"/>
      <c r="K99" s="271"/>
      <c r="L99" s="271"/>
      <c r="M99" s="271"/>
      <c r="N99" s="271"/>
      <c r="O99" s="271"/>
      <c r="P99" s="274"/>
      <c r="Q99"/>
      <c r="R99"/>
      <c r="S99"/>
      <c r="T99"/>
      <c r="U99"/>
      <c r="V99"/>
      <c r="W99"/>
      <c r="X99"/>
      <c r="Y99"/>
      <c r="Z99"/>
      <c r="AA99"/>
      <c r="AC99"/>
      <c r="AE99"/>
      <c r="AF99"/>
      <c r="AG99"/>
      <c r="AH99"/>
      <c r="AI99"/>
      <c r="AJ99"/>
      <c r="AK99"/>
      <c r="AL99"/>
      <c r="AM99"/>
      <c r="AN99"/>
      <c r="AO99"/>
      <c r="AP99"/>
      <c r="AQ99"/>
      <c r="AR99"/>
      <c r="AS99"/>
      <c r="AT99"/>
      <c r="AU99"/>
      <c r="AV99"/>
      <c r="AW99"/>
      <c r="AX99"/>
      <c r="AY99"/>
      <c r="AZ99"/>
      <c r="BA99"/>
      <c r="BB99"/>
      <c r="BC99"/>
      <c r="BD99"/>
      <c r="BE99"/>
      <c r="BF99"/>
      <c r="BG99"/>
      <c r="BH99"/>
      <c r="BI99"/>
      <c r="BJ99"/>
      <c r="BK99"/>
      <c r="BL99"/>
      <c r="BM99"/>
      <c r="BN99"/>
      <c r="BO99"/>
      <c r="BP99"/>
      <c r="BQ99"/>
      <c r="BR99"/>
    </row>
    <row r="100" spans="1:70" s="754" customFormat="1">
      <c r="A100" s="545"/>
      <c r="B100" s="545"/>
      <c r="C100" s="543"/>
      <c r="D100" s="543"/>
      <c r="E100" s="543"/>
      <c r="F100" s="543"/>
      <c r="G100" s="543"/>
      <c r="H100" s="271"/>
      <c r="I100" s="271"/>
      <c r="J100" s="271"/>
      <c r="K100" s="271"/>
      <c r="L100" s="271"/>
      <c r="M100" s="271"/>
      <c r="N100" s="271"/>
      <c r="O100" s="271"/>
      <c r="P100" s="274"/>
      <c r="Q100"/>
      <c r="R100"/>
      <c r="S100"/>
      <c r="T100"/>
      <c r="U100"/>
      <c r="V100"/>
      <c r="W100"/>
      <c r="X100"/>
      <c r="Y100"/>
      <c r="Z100"/>
      <c r="AA100"/>
      <c r="AC100"/>
      <c r="AE100"/>
      <c r="AF100"/>
      <c r="AG100"/>
      <c r="AH100"/>
      <c r="AI100"/>
      <c r="AJ100"/>
      <c r="AK100"/>
      <c r="AL100"/>
      <c r="AM100"/>
      <c r="AN100"/>
      <c r="AO100"/>
      <c r="AP100"/>
      <c r="AQ100"/>
      <c r="AR100"/>
      <c r="AS100"/>
      <c r="AT100"/>
      <c r="AU100"/>
      <c r="AV100"/>
      <c r="AW100"/>
      <c r="AX100"/>
      <c r="AY100"/>
      <c r="AZ100"/>
      <c r="BA100"/>
      <c r="BB100"/>
      <c r="BC100"/>
      <c r="BD100"/>
      <c r="BE100"/>
      <c r="BF100"/>
      <c r="BG100"/>
      <c r="BH100"/>
      <c r="BI100"/>
      <c r="BJ100"/>
      <c r="BK100"/>
      <c r="BL100"/>
      <c r="BM100"/>
      <c r="BN100">
        <f>BN93/O36</f>
        <v>15.87922118855013</v>
      </c>
      <c r="BO100"/>
      <c r="BP100"/>
      <c r="BQ100"/>
      <c r="BR100"/>
    </row>
    <row r="101" spans="1:70" s="754" customFormat="1" ht="14.4">
      <c r="A101" s="545"/>
      <c r="B101" s="545"/>
      <c r="C101" s="543"/>
      <c r="D101" s="543"/>
      <c r="E101" s="543"/>
      <c r="F101" s="543"/>
      <c r="G101" s="543"/>
      <c r="H101" s="271"/>
      <c r="I101" s="271"/>
      <c r="J101" s="271"/>
      <c r="K101" s="271"/>
      <c r="L101" s="271"/>
      <c r="M101" s="271"/>
      <c r="N101" s="271"/>
      <c r="O101" s="271"/>
      <c r="P101" s="274"/>
      <c r="Q101" s="274"/>
      <c r="R101" s="270"/>
      <c r="S101" s="422"/>
      <c r="T101" s="1622"/>
      <c r="V101" s="274"/>
      <c r="W101" s="274"/>
      <c r="AX101" s="545"/>
      <c r="AY101" s="408"/>
      <c r="AZ101" s="582"/>
      <c r="BA101" s="582"/>
      <c r="BB101" s="418"/>
      <c r="BC101" s="418"/>
      <c r="BD101" s="418"/>
      <c r="BE101" s="418"/>
      <c r="BF101" s="418"/>
      <c r="BG101" s="418"/>
      <c r="BH101" s="418"/>
      <c r="BI101" s="418"/>
    </row>
    <row r="102" spans="1:70" s="754" customFormat="1" ht="14.4">
      <c r="A102" s="545"/>
      <c r="B102" s="545"/>
      <c r="C102" s="543"/>
      <c r="D102" s="543"/>
      <c r="E102" s="543"/>
      <c r="F102" s="543"/>
      <c r="G102" s="543"/>
      <c r="H102" s="271"/>
      <c r="I102" s="271"/>
      <c r="J102" s="271"/>
      <c r="K102" s="271"/>
      <c r="L102" s="271"/>
      <c r="M102" s="271"/>
      <c r="N102" s="271"/>
      <c r="O102" s="271"/>
      <c r="P102" s="274"/>
      <c r="Q102" s="274"/>
      <c r="R102" s="270"/>
      <c r="S102" s="422"/>
      <c r="T102" s="1622"/>
      <c r="V102" s="274"/>
      <c r="W102" s="274"/>
      <c r="AX102" s="545"/>
      <c r="AY102" s="408"/>
      <c r="AZ102" s="582"/>
      <c r="BA102" s="582"/>
      <c r="BB102" s="418"/>
      <c r="BC102" s="418"/>
      <c r="BD102" s="418"/>
      <c r="BE102" s="418"/>
      <c r="BF102" s="418"/>
      <c r="BG102" s="418"/>
      <c r="BH102" s="418"/>
      <c r="BI102" s="418"/>
    </row>
    <row r="103" spans="1:70" s="754" customFormat="1" ht="14.4">
      <c r="A103" s="545"/>
      <c r="B103" s="545"/>
      <c r="C103" s="543"/>
      <c r="D103" s="543"/>
      <c r="E103" s="543"/>
      <c r="F103" s="543"/>
      <c r="G103" s="543"/>
      <c r="H103" s="271"/>
      <c r="I103" s="271"/>
      <c r="J103" s="271"/>
      <c r="K103" s="271"/>
      <c r="L103" s="271"/>
      <c r="M103" s="271"/>
      <c r="N103" s="271"/>
      <c r="O103" s="271"/>
      <c r="P103" s="274"/>
      <c r="Q103" s="274"/>
      <c r="R103" s="270"/>
      <c r="S103" s="422"/>
      <c r="T103" s="1622"/>
      <c r="V103" s="274"/>
      <c r="W103" s="274"/>
      <c r="AX103" s="545"/>
      <c r="AY103" s="408"/>
      <c r="AZ103" s="582"/>
      <c r="BA103" s="582"/>
      <c r="BB103" s="418"/>
      <c r="BC103" s="418"/>
      <c r="BD103" s="418"/>
      <c r="BE103" s="418"/>
      <c r="BF103" s="418"/>
      <c r="BG103" s="418"/>
      <c r="BH103" s="418"/>
      <c r="BI103" s="418"/>
    </row>
    <row r="104" spans="1:70" s="754" customFormat="1" ht="14.4">
      <c r="A104" s="545"/>
      <c r="B104" s="545"/>
      <c r="C104" s="543"/>
      <c r="D104" s="543"/>
      <c r="E104" s="543"/>
      <c r="F104" s="543"/>
      <c r="G104" s="543"/>
      <c r="H104" s="271"/>
      <c r="I104" s="271"/>
      <c r="J104" s="271"/>
      <c r="K104" s="271"/>
      <c r="L104" s="271"/>
      <c r="M104" s="271"/>
      <c r="N104" s="271"/>
      <c r="O104" s="271"/>
      <c r="P104" s="274"/>
      <c r="Q104" s="274"/>
      <c r="R104" s="270"/>
      <c r="S104" s="422"/>
      <c r="T104" s="1622"/>
      <c r="V104" s="274"/>
      <c r="W104" s="274"/>
      <c r="AX104" s="545"/>
      <c r="AY104" s="408"/>
      <c r="AZ104" s="582"/>
      <c r="BA104" s="582"/>
      <c r="BB104" s="418"/>
      <c r="BC104" s="418"/>
      <c r="BD104" s="418"/>
      <c r="BE104" s="418"/>
      <c r="BF104" s="418"/>
      <c r="BG104" s="418"/>
      <c r="BH104" s="418"/>
      <c r="BI104" s="418"/>
    </row>
    <row r="105" spans="1:70" s="754" customFormat="1" ht="14.4">
      <c r="A105" s="545"/>
      <c r="B105" s="545"/>
      <c r="C105" s="543"/>
      <c r="D105" s="543"/>
      <c r="E105" s="543"/>
      <c r="F105" s="543"/>
      <c r="G105" s="543"/>
      <c r="H105" s="271"/>
      <c r="I105" s="271"/>
      <c r="J105" s="271"/>
      <c r="K105" s="271"/>
      <c r="L105" s="271"/>
      <c r="M105" s="271"/>
      <c r="N105" s="271"/>
      <c r="O105" s="271"/>
      <c r="P105" s="274"/>
      <c r="Q105" s="274"/>
      <c r="R105" s="270"/>
      <c r="S105" s="422"/>
      <c r="T105" s="1622"/>
      <c r="V105" s="274"/>
      <c r="W105" s="274"/>
      <c r="AX105" s="545"/>
      <c r="AY105" s="408"/>
      <c r="AZ105" s="582"/>
      <c r="BA105" s="582"/>
      <c r="BB105" s="418"/>
      <c r="BC105" s="418"/>
      <c r="BD105" s="418"/>
      <c r="BE105" s="418"/>
      <c r="BF105" s="418"/>
      <c r="BG105" s="418"/>
      <c r="BH105" s="418"/>
      <c r="BI105" s="418"/>
    </row>
    <row r="106" spans="1:70" s="754" customFormat="1" ht="14.4">
      <c r="A106" s="545"/>
      <c r="B106" s="545"/>
      <c r="C106" s="543"/>
      <c r="D106" s="543"/>
      <c r="E106" s="543"/>
      <c r="F106" s="543"/>
      <c r="G106" s="543"/>
      <c r="H106" s="271"/>
      <c r="I106" s="271"/>
      <c r="J106" s="271"/>
      <c r="K106" s="271"/>
      <c r="L106" s="271"/>
      <c r="M106" s="271"/>
      <c r="N106" s="271"/>
      <c r="O106" s="271"/>
      <c r="P106" s="274"/>
      <c r="Q106" s="274"/>
      <c r="R106" s="270"/>
      <c r="S106" s="422"/>
      <c r="T106" s="1622"/>
      <c r="V106" s="274"/>
      <c r="W106" s="274"/>
      <c r="AX106" s="545"/>
      <c r="AY106" s="408"/>
      <c r="AZ106" s="582"/>
      <c r="BA106" s="582"/>
      <c r="BB106" s="418"/>
      <c r="BC106" s="418"/>
      <c r="BD106" s="418"/>
      <c r="BE106" s="418"/>
      <c r="BF106" s="418"/>
      <c r="BG106" s="418"/>
      <c r="BH106" s="418"/>
      <c r="BI106" s="418"/>
    </row>
    <row r="107" spans="1:70" s="754" customFormat="1" ht="14.4">
      <c r="A107" s="545"/>
      <c r="B107" s="545"/>
      <c r="C107" s="543"/>
      <c r="D107" s="543"/>
      <c r="E107" s="543"/>
      <c r="F107" s="543"/>
      <c r="G107" s="543"/>
      <c r="H107" s="271"/>
      <c r="I107" s="271"/>
      <c r="J107" s="271"/>
      <c r="K107" s="271"/>
      <c r="L107" s="271"/>
      <c r="M107" s="271"/>
      <c r="N107" s="271"/>
      <c r="O107" s="271"/>
      <c r="P107" s="274"/>
      <c r="Q107" s="274"/>
      <c r="R107" s="270"/>
      <c r="S107" s="422"/>
      <c r="T107" s="1622"/>
      <c r="V107" s="274"/>
      <c r="W107" s="274"/>
      <c r="AX107" s="545"/>
      <c r="AY107" s="408"/>
      <c r="AZ107" s="582"/>
      <c r="BA107" s="582"/>
      <c r="BB107" s="418"/>
      <c r="BC107" s="418"/>
      <c r="BD107" s="418"/>
      <c r="BE107" s="418"/>
      <c r="BF107" s="418"/>
      <c r="BG107" s="418"/>
      <c r="BH107" s="418"/>
      <c r="BI107" s="418"/>
    </row>
    <row r="108" spans="1:70" s="754" customFormat="1" ht="14.4">
      <c r="A108" s="545"/>
      <c r="B108" s="545"/>
      <c r="C108" s="543"/>
      <c r="D108" s="543"/>
      <c r="E108" s="543"/>
      <c r="F108" s="543"/>
      <c r="G108" s="543"/>
      <c r="H108" s="271"/>
      <c r="I108" s="271"/>
      <c r="J108" s="271"/>
      <c r="K108" s="271"/>
      <c r="L108" s="271"/>
      <c r="M108" s="271"/>
      <c r="N108" s="271"/>
      <c r="O108" s="271"/>
      <c r="P108" s="274"/>
      <c r="Q108" s="274"/>
      <c r="R108" s="270"/>
      <c r="S108" s="422"/>
      <c r="T108" s="1622"/>
      <c r="V108" s="274"/>
      <c r="W108" s="274"/>
      <c r="AX108" s="545"/>
      <c r="AY108" s="408"/>
      <c r="AZ108" s="582"/>
      <c r="BA108" s="582"/>
      <c r="BB108" s="418"/>
      <c r="BC108" s="418"/>
      <c r="BD108" s="418"/>
      <c r="BE108" s="418"/>
      <c r="BF108" s="418"/>
      <c r="BG108" s="418"/>
      <c r="BH108" s="418"/>
      <c r="BI108" s="418"/>
    </row>
    <row r="109" spans="1:70" s="754" customFormat="1" ht="14.4">
      <c r="A109" s="545"/>
      <c r="B109" s="545"/>
      <c r="C109" s="543"/>
      <c r="D109" s="543"/>
      <c r="E109" s="543"/>
      <c r="F109" s="543"/>
      <c r="G109" s="543"/>
      <c r="H109" s="271"/>
      <c r="I109" s="271"/>
      <c r="J109" s="271"/>
      <c r="K109" s="271"/>
      <c r="L109" s="271"/>
      <c r="M109" s="271"/>
      <c r="N109" s="271"/>
      <c r="O109" s="271"/>
      <c r="P109" s="274"/>
      <c r="Q109" s="274"/>
      <c r="R109" s="270"/>
      <c r="S109" s="422"/>
      <c r="T109" s="1622"/>
      <c r="V109" s="274"/>
      <c r="W109" s="274"/>
      <c r="AX109" s="545"/>
      <c r="AY109" s="408"/>
      <c r="AZ109" s="582"/>
      <c r="BA109" s="582"/>
      <c r="BB109" s="418"/>
      <c r="BC109" s="418"/>
      <c r="BD109" s="418"/>
      <c r="BE109" s="418"/>
      <c r="BF109" s="418"/>
      <c r="BG109" s="418"/>
      <c r="BH109" s="418"/>
      <c r="BI109" s="418"/>
    </row>
    <row r="110" spans="1:70" s="754" customFormat="1" ht="14.4">
      <c r="A110" s="545"/>
      <c r="B110" s="545"/>
      <c r="C110" s="543"/>
      <c r="D110" s="543"/>
      <c r="E110" s="543"/>
      <c r="F110" s="543"/>
      <c r="G110" s="543"/>
      <c r="H110" s="271"/>
      <c r="I110" s="271"/>
      <c r="J110" s="271"/>
      <c r="K110" s="271"/>
      <c r="L110" s="271"/>
      <c r="M110" s="271"/>
      <c r="N110" s="271"/>
      <c r="O110" s="271"/>
      <c r="P110" s="274"/>
      <c r="Q110" s="274"/>
      <c r="R110" s="270"/>
      <c r="S110" s="422"/>
      <c r="T110" s="1622"/>
      <c r="V110" s="274"/>
      <c r="W110" s="274"/>
      <c r="AX110" s="545"/>
      <c r="AY110" s="408"/>
      <c r="AZ110" s="582"/>
      <c r="BA110" s="582"/>
      <c r="BB110" s="418"/>
      <c r="BC110" s="418"/>
      <c r="BD110" s="418"/>
      <c r="BE110" s="418"/>
      <c r="BF110" s="418"/>
      <c r="BG110" s="418"/>
      <c r="BH110" s="418"/>
      <c r="BI110" s="418"/>
    </row>
    <row r="111" spans="1:70" s="754" customFormat="1" ht="14.4">
      <c r="A111" s="545"/>
      <c r="B111" s="545"/>
      <c r="C111" s="543"/>
      <c r="D111" s="543"/>
      <c r="E111" s="543"/>
      <c r="F111" s="543"/>
      <c r="G111" s="543"/>
      <c r="H111" s="271"/>
      <c r="I111" s="271"/>
      <c r="J111" s="271"/>
      <c r="K111" s="271"/>
      <c r="L111" s="271"/>
      <c r="M111" s="271"/>
      <c r="N111" s="271"/>
      <c r="O111" s="271"/>
      <c r="P111" s="274"/>
      <c r="Q111" s="274"/>
      <c r="R111" s="270"/>
      <c r="S111" s="422"/>
      <c r="T111" s="1622"/>
      <c r="V111" s="274"/>
      <c r="W111" s="274"/>
      <c r="AX111" s="545"/>
      <c r="AY111" s="408"/>
      <c r="AZ111" s="582"/>
      <c r="BA111" s="582"/>
      <c r="BB111" s="418"/>
      <c r="BC111" s="418"/>
      <c r="BD111" s="418"/>
      <c r="BE111" s="418"/>
      <c r="BF111" s="418"/>
      <c r="BG111" s="418"/>
      <c r="BH111" s="418"/>
      <c r="BI111" s="418"/>
    </row>
    <row r="112" spans="1:70" s="754" customFormat="1" ht="14.4">
      <c r="A112" s="545"/>
      <c r="B112" s="545"/>
      <c r="C112" s="543"/>
      <c r="D112" s="543"/>
      <c r="E112" s="543"/>
      <c r="F112" s="543"/>
      <c r="G112" s="543"/>
      <c r="H112" s="271"/>
      <c r="I112" s="271"/>
      <c r="J112" s="271"/>
      <c r="K112" s="271"/>
      <c r="L112" s="271"/>
      <c r="M112" s="271"/>
      <c r="N112" s="271"/>
      <c r="O112" s="271"/>
      <c r="P112" s="274"/>
      <c r="Q112" s="274"/>
      <c r="R112" s="270"/>
      <c r="S112" s="422"/>
      <c r="T112" s="1622"/>
      <c r="V112" s="274"/>
      <c r="W112" s="274"/>
      <c r="AX112" s="545"/>
      <c r="AY112" s="408"/>
      <c r="AZ112" s="582"/>
      <c r="BA112" s="582"/>
      <c r="BB112" s="418"/>
      <c r="BC112" s="418"/>
      <c r="BD112" s="418"/>
      <c r="BE112" s="418"/>
      <c r="BF112" s="418"/>
      <c r="BG112" s="418"/>
      <c r="BH112" s="418"/>
      <c r="BI112" s="418"/>
    </row>
    <row r="113" spans="1:61" s="754" customFormat="1" ht="14.4">
      <c r="A113" s="545"/>
      <c r="B113" s="545"/>
      <c r="C113" s="543"/>
      <c r="D113" s="543"/>
      <c r="E113" s="543"/>
      <c r="F113" s="543"/>
      <c r="G113" s="543"/>
      <c r="H113" s="271"/>
      <c r="I113" s="271"/>
      <c r="J113" s="271"/>
      <c r="K113" s="271"/>
      <c r="L113" s="271"/>
      <c r="M113" s="271"/>
      <c r="N113" s="271"/>
      <c r="O113" s="271"/>
      <c r="P113" s="274"/>
      <c r="Q113" s="274"/>
      <c r="R113" s="270"/>
      <c r="S113" s="422"/>
      <c r="T113" s="1622"/>
      <c r="V113" s="274"/>
      <c r="W113" s="274"/>
      <c r="AX113" s="545"/>
      <c r="AY113" s="408"/>
      <c r="AZ113" s="582"/>
      <c r="BA113" s="582"/>
      <c r="BB113" s="418"/>
      <c r="BC113" s="418"/>
      <c r="BD113" s="418"/>
      <c r="BE113" s="418"/>
      <c r="BF113" s="418"/>
      <c r="BG113" s="418"/>
      <c r="BH113" s="418"/>
      <c r="BI113" s="418"/>
    </row>
    <row r="114" spans="1:61" s="754" customFormat="1" ht="14.4">
      <c r="A114" s="545"/>
      <c r="B114" s="545"/>
      <c r="C114" s="543"/>
      <c r="D114" s="543"/>
      <c r="E114" s="543"/>
      <c r="F114" s="543"/>
      <c r="G114" s="543"/>
      <c r="H114" s="271"/>
      <c r="I114" s="271"/>
      <c r="J114" s="271"/>
      <c r="K114" s="271"/>
      <c r="L114" s="271"/>
      <c r="M114" s="271"/>
      <c r="N114" s="271"/>
      <c r="O114" s="271"/>
      <c r="P114" s="274"/>
      <c r="Q114" s="274"/>
      <c r="R114" s="270"/>
      <c r="S114" s="422"/>
      <c r="T114" s="1622"/>
      <c r="V114" s="274"/>
      <c r="W114" s="274"/>
      <c r="AX114" s="545"/>
      <c r="AY114" s="408"/>
      <c r="AZ114" s="582"/>
      <c r="BA114" s="582"/>
      <c r="BB114" s="418"/>
      <c r="BC114" s="418"/>
      <c r="BD114" s="418"/>
      <c r="BE114" s="418"/>
      <c r="BF114" s="418"/>
      <c r="BG114" s="418"/>
      <c r="BH114" s="418"/>
      <c r="BI114" s="418"/>
    </row>
    <row r="115" spans="1:61" s="754" customFormat="1" ht="14.4">
      <c r="A115" s="545"/>
      <c r="B115" s="545"/>
      <c r="C115" s="543"/>
      <c r="D115" s="543"/>
      <c r="E115" s="543"/>
      <c r="F115" s="543"/>
      <c r="G115" s="543"/>
      <c r="H115" s="271"/>
      <c r="I115" s="271"/>
      <c r="J115" s="271"/>
      <c r="K115" s="271"/>
      <c r="L115" s="271"/>
      <c r="M115" s="271"/>
      <c r="N115" s="271"/>
      <c r="O115" s="271"/>
      <c r="P115" s="274"/>
      <c r="Q115" s="274"/>
      <c r="R115" s="270"/>
      <c r="S115" s="422"/>
      <c r="T115" s="1622"/>
      <c r="V115" s="274"/>
      <c r="W115" s="274"/>
      <c r="AX115" s="545"/>
      <c r="AY115" s="408"/>
      <c r="AZ115" s="582"/>
      <c r="BA115" s="582"/>
      <c r="BB115" s="418"/>
      <c r="BC115" s="418"/>
      <c r="BD115" s="418"/>
      <c r="BE115" s="418"/>
      <c r="BF115" s="418"/>
      <c r="BG115" s="418"/>
      <c r="BH115" s="418"/>
      <c r="BI115" s="418"/>
    </row>
    <row r="116" spans="1:61">
      <c r="A116"/>
      <c r="B116"/>
    </row>
    <row r="117" spans="1:61">
      <c r="A117"/>
      <c r="B117"/>
    </row>
    <row r="118" spans="1:61">
      <c r="A118"/>
      <c r="B118"/>
    </row>
    <row r="119" spans="1:61">
      <c r="A119"/>
      <c r="B119"/>
    </row>
    <row r="120" spans="1:61">
      <c r="A120"/>
      <c r="B120"/>
    </row>
    <row r="121" spans="1:61">
      <c r="A121"/>
      <c r="B121"/>
    </row>
    <row r="122" spans="1:61">
      <c r="A122"/>
      <c r="B122"/>
    </row>
    <row r="123" spans="1:61">
      <c r="A123"/>
      <c r="B123"/>
    </row>
    <row r="124" spans="1:61">
      <c r="A124"/>
      <c r="B124"/>
    </row>
    <row r="125" spans="1:61">
      <c r="A125"/>
      <c r="B125"/>
    </row>
    <row r="126" spans="1:61">
      <c r="A126"/>
      <c r="B126"/>
    </row>
    <row r="127" spans="1:61">
      <c r="A127"/>
      <c r="B127"/>
    </row>
  </sheetData>
  <mergeCells count="1">
    <mergeCell ref="U53:V53"/>
  </mergeCells>
  <pageMargins left="0.7" right="0.7" top="0.75" bottom="0.75" header="0.3" footer="0.3"/>
  <pageSetup paperSize="9" orientation="portrait" horizontalDpi="4294967293" verticalDpi="0"/>
  <legacyDrawing r:id="rId1"/>
</worksheet>
</file>

<file path=xl/worksheets/sheet1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sheetPr codeName="Sheet12">
    <tabColor rgb="FF92D050"/>
  </sheetPr>
  <dimension ref="B3:AC58"/>
  <sheetViews>
    <sheetView zoomScale="70" zoomScaleNormal="70" workbookViewId="0">
      <selection activeCell="I52" sqref="I52"/>
    </sheetView>
  </sheetViews>
  <sheetFormatPr defaultColWidth="8.88671875" defaultRowHeight="13.2"/>
  <cols>
    <col min="1" max="1" width="2.33203125" style="754" customWidth="1"/>
    <col min="2" max="2" width="8.88671875" style="754" customWidth="1"/>
    <col min="3" max="3" width="14" style="754" bestFit="1" customWidth="1"/>
    <col min="4" max="4" width="53.109375" style="754" customWidth="1"/>
    <col min="5" max="5" width="17.109375" style="754" bestFit="1" customWidth="1"/>
    <col min="6" max="6" width="9.6640625" style="754" bestFit="1" customWidth="1"/>
    <col min="7" max="7" width="9.6640625" style="754" customWidth="1"/>
    <col min="8" max="8" width="13.33203125" style="754" customWidth="1"/>
    <col min="9" max="9" width="18" style="754" bestFit="1" customWidth="1"/>
    <col min="10" max="10" width="12.109375" style="754" customWidth="1"/>
    <col min="11" max="11" width="11.109375" style="754" customWidth="1"/>
    <col min="12" max="12" width="14.44140625" style="754" customWidth="1"/>
    <col min="13" max="15" width="12.109375" style="754" customWidth="1"/>
    <col min="16" max="16" width="14.109375" style="754" customWidth="1"/>
    <col min="17" max="17" width="12.109375" style="754" customWidth="1"/>
    <col min="18" max="18" width="9.6640625" style="754" bestFit="1" customWidth="1"/>
    <col min="19" max="16384" width="8.88671875" style="754"/>
  </cols>
  <sheetData>
    <row r="3" spans="2:29">
      <c r="E3" s="2148"/>
      <c r="F3" s="7"/>
      <c r="G3" s="7" t="s">
        <v>8</v>
      </c>
      <c r="H3" s="7"/>
      <c r="I3" s="7"/>
    </row>
    <row r="4" spans="2:29" ht="27.6">
      <c r="B4" s="16" t="s">
        <v>1</v>
      </c>
      <c r="C4" s="16" t="s">
        <v>2</v>
      </c>
      <c r="D4" s="16" t="s">
        <v>26</v>
      </c>
      <c r="E4" s="16" t="s">
        <v>14</v>
      </c>
      <c r="F4" s="16" t="s">
        <v>15</v>
      </c>
      <c r="G4" s="2559" t="s">
        <v>2767</v>
      </c>
      <c r="H4" s="29" t="s">
        <v>500</v>
      </c>
      <c r="I4" s="29" t="s">
        <v>403</v>
      </c>
      <c r="J4" s="28" t="s">
        <v>188</v>
      </c>
      <c r="K4" s="67" t="s">
        <v>200</v>
      </c>
      <c r="L4" s="29" t="s">
        <v>16</v>
      </c>
      <c r="M4" s="16" t="s">
        <v>533</v>
      </c>
      <c r="N4" s="65" t="s">
        <v>0</v>
      </c>
      <c r="O4" s="65" t="s">
        <v>53</v>
      </c>
      <c r="P4" s="16" t="s">
        <v>2294</v>
      </c>
      <c r="Q4" s="249"/>
      <c r="X4" s="765" t="s">
        <v>44</v>
      </c>
    </row>
    <row r="5" spans="2:29" ht="21" thickBot="1">
      <c r="B5" s="15" t="s">
        <v>27</v>
      </c>
      <c r="C5" s="15" t="s">
        <v>27</v>
      </c>
      <c r="D5" s="15"/>
      <c r="E5" s="15"/>
      <c r="F5" s="15"/>
      <c r="G5" s="15"/>
      <c r="H5" s="15"/>
      <c r="I5" s="15" t="s">
        <v>404</v>
      </c>
      <c r="J5" s="15" t="str">
        <f>Processes!G24</f>
        <v>kvehicles</v>
      </c>
      <c r="K5" s="15" t="s">
        <v>257</v>
      </c>
      <c r="L5" s="15" t="s">
        <v>396</v>
      </c>
      <c r="M5" s="15" t="s">
        <v>84</v>
      </c>
      <c r="N5" s="15"/>
      <c r="O5" s="15" t="s">
        <v>54</v>
      </c>
      <c r="P5" s="15" t="s">
        <v>2295</v>
      </c>
      <c r="Q5" s="249"/>
      <c r="R5" s="3013" t="s">
        <v>601</v>
      </c>
      <c r="S5" s="3013" t="s">
        <v>3472</v>
      </c>
      <c r="T5" s="3013" t="s">
        <v>3473</v>
      </c>
      <c r="X5" s="754" t="s">
        <v>601</v>
      </c>
      <c r="Y5" s="754" t="s">
        <v>602</v>
      </c>
      <c r="Z5" s="754" t="s">
        <v>603</v>
      </c>
      <c r="AA5" s="754" t="s">
        <v>604</v>
      </c>
      <c r="AB5" s="31" t="s">
        <v>1310</v>
      </c>
      <c r="AC5" s="31" t="s">
        <v>345</v>
      </c>
    </row>
    <row r="6" spans="2:29">
      <c r="B6" s="754" t="s">
        <v>601</v>
      </c>
      <c r="C6" s="754" t="str">
        <f>Processes!D32</f>
        <v>TFRLDSBL1E</v>
      </c>
      <c r="D6" s="754" t="str">
        <f>Processes!E32</f>
        <v>Transport Freight Train - Diesel Engine - Blending 1 - Existing</v>
      </c>
      <c r="E6" s="754" t="str">
        <f>Commodities!D80</f>
        <v>TRADSBL1</v>
      </c>
      <c r="F6" s="545" t="str">
        <f>Commodities!D47</f>
        <v>TFRN</v>
      </c>
      <c r="G6" s="754" t="s">
        <v>3603</v>
      </c>
      <c r="H6" s="250">
        <f>'SE Rail data'!I544</f>
        <v>0.57199022212337347</v>
      </c>
      <c r="I6" s="754">
        <v>5</v>
      </c>
      <c r="J6" s="1620">
        <f>$G37/1000*(S6/SUM(S6,S10,S14,S18))</f>
        <v>0.10975596608679473</v>
      </c>
      <c r="K6" s="2404">
        <f>$D$50</f>
        <v>552.77659760837014</v>
      </c>
      <c r="L6" s="406">
        <f>G56</f>
        <v>5.4419938128589704</v>
      </c>
      <c r="M6" s="2402">
        <f>$D46</f>
        <v>11885.13768115942</v>
      </c>
      <c r="N6" s="2109">
        <f>10^-3</f>
        <v>1E-3</v>
      </c>
      <c r="O6" s="407">
        <v>30</v>
      </c>
      <c r="P6" s="307">
        <v>2.3890000000000002E-2</v>
      </c>
      <c r="Q6" s="249"/>
      <c r="R6" s="754">
        <f>J6*K6*M6*N6</f>
        <v>721.07759630440296</v>
      </c>
      <c r="S6" s="784">
        <f>Dem!$E$46+Dem!$E$47</f>
        <v>9330.7601167158937</v>
      </c>
      <c r="T6" s="250">
        <f>SUM(R6:R7)-S6</f>
        <v>0</v>
      </c>
      <c r="U6" s="765"/>
      <c r="V6" s="1947"/>
      <c r="W6" s="765" t="s">
        <v>61</v>
      </c>
      <c r="X6" s="765">
        <f>J6*1/L6*M6*$N6</f>
        <v>0.23970346404802589</v>
      </c>
      <c r="Y6" s="765">
        <f>J10*1/L10*M10*$N6</f>
        <v>0.1210238563092479</v>
      </c>
      <c r="Z6" s="765">
        <f>J14*1/L14*M14*$N6</f>
        <v>0.1210238563092479</v>
      </c>
      <c r="AA6" s="765">
        <f>J18*1/L18*M18*$N6</f>
        <v>0.1210238563092479</v>
      </c>
      <c r="AB6" s="31">
        <f>SUM(X6:AA6)</f>
        <v>0.60277503297576962</v>
      </c>
      <c r="AC6" s="31">
        <f>E56</f>
        <v>0.60277503297576951</v>
      </c>
    </row>
    <row r="7" spans="2:29">
      <c r="B7" s="754" t="s">
        <v>601</v>
      </c>
      <c r="F7" s="545" t="str">
        <f>Commodities!D48</f>
        <v>TFRI</v>
      </c>
      <c r="H7" s="250">
        <f>'SE Rail data'!I545</f>
        <v>0.42800977787662653</v>
      </c>
      <c r="I7" s="754">
        <v>5</v>
      </c>
      <c r="P7" s="249"/>
      <c r="Q7" s="249"/>
      <c r="R7" s="754">
        <f>J8*K8*M8*N8</f>
        <v>8609.6825204114939</v>
      </c>
      <c r="T7" s="250"/>
      <c r="U7" s="765"/>
      <c r="W7" s="765" t="s">
        <v>627</v>
      </c>
      <c r="X7" s="765">
        <f>J8*1/L8*M8*$N8</f>
        <v>1.2696999636787714</v>
      </c>
      <c r="Y7" s="765">
        <f>J12*1/L12*M12*$N8</f>
        <v>0.64105867877374323</v>
      </c>
      <c r="Z7" s="765">
        <f>J16*1/L16*M16*$N8</f>
        <v>0.64105867877374323</v>
      </c>
      <c r="AA7" s="765">
        <f>J20*1/L20*M20*$N8</f>
        <v>0.64105867877374323</v>
      </c>
      <c r="AB7" s="31">
        <f>SUM(X7:AA7)</f>
        <v>3.1928760000000009</v>
      </c>
      <c r="AC7" s="31">
        <f>E55</f>
        <v>3.192876</v>
      </c>
    </row>
    <row r="8" spans="2:29">
      <c r="B8" s="754" t="s">
        <v>601</v>
      </c>
      <c r="C8" s="543" t="str">
        <f>Processes!D33</f>
        <v>TFRLELCX1E</v>
      </c>
      <c r="D8" s="543" t="str">
        <f>Processes!E33</f>
        <v>Transport Freight Train - Electric - Existing</v>
      </c>
      <c r="E8" s="543" t="str">
        <f>Commodities!D60</f>
        <v>TRAELC</v>
      </c>
      <c r="F8" s="3" t="str">
        <f>Commodities!D47</f>
        <v>TFRN</v>
      </c>
      <c r="G8" s="543" t="s">
        <v>3603</v>
      </c>
      <c r="H8" s="250">
        <f>H6</f>
        <v>0.57199022212337347</v>
      </c>
      <c r="I8" s="754">
        <v>5</v>
      </c>
      <c r="J8" s="2109">
        <f>$G36/1000*(S6/SUM(S6,S10,S14,S18))</f>
        <v>0.13282062562677335</v>
      </c>
      <c r="K8" s="2366">
        <f>$D$50</f>
        <v>552.77659760837014</v>
      </c>
      <c r="L8" s="640">
        <f>G55</f>
        <v>12.266943971516588</v>
      </c>
      <c r="M8" s="2107">
        <f>$D45</f>
        <v>117265.96107784432</v>
      </c>
      <c r="N8" s="2109">
        <f>10^-3</f>
        <v>1E-3</v>
      </c>
      <c r="O8" s="249">
        <v>30</v>
      </c>
      <c r="P8" s="307">
        <v>2.3890000000000002E-2</v>
      </c>
      <c r="Q8" s="249"/>
      <c r="T8" s="250"/>
    </row>
    <row r="9" spans="2:29">
      <c r="B9" s="754" t="s">
        <v>601</v>
      </c>
      <c r="C9" s="543"/>
      <c r="D9" s="543"/>
      <c r="E9" s="543"/>
      <c r="F9" s="3" t="str">
        <f>Commodities!D48</f>
        <v>TFRI</v>
      </c>
      <c r="G9" s="543"/>
      <c r="H9" s="250">
        <f>H7</f>
        <v>0.42800977787662653</v>
      </c>
      <c r="I9" s="754">
        <v>5</v>
      </c>
      <c r="J9" s="543"/>
      <c r="K9" s="543"/>
      <c r="L9" s="543"/>
      <c r="M9" s="543"/>
      <c r="N9" s="543"/>
      <c r="O9" s="543"/>
      <c r="P9" s="543"/>
      <c r="Q9" s="543"/>
      <c r="R9" s="754" t="s">
        <v>602</v>
      </c>
      <c r="T9" s="250"/>
    </row>
    <row r="10" spans="2:29">
      <c r="B10" s="2549" t="s">
        <v>602</v>
      </c>
      <c r="C10" s="2549" t="str">
        <f>Processes!D32</f>
        <v>TFRLDSBL1E</v>
      </c>
      <c r="D10" s="2549" t="str">
        <f>Processes!E32</f>
        <v>Transport Freight Train - Diesel Engine - Blending 1 - Existing</v>
      </c>
      <c r="E10" s="2549" t="str">
        <f>Commodities!D80</f>
        <v>TRADSBL1</v>
      </c>
      <c r="F10" s="2720" t="str">
        <f>Commodities!D47</f>
        <v>TFRN</v>
      </c>
      <c r="G10" s="2549" t="s">
        <v>3603</v>
      </c>
      <c r="H10" s="3014">
        <f>'SE Rail data'!I546</f>
        <v>0.6715578862769267</v>
      </c>
      <c r="I10" s="2549">
        <v>5</v>
      </c>
      <c r="J10" s="3006">
        <f>$G37/1000*(S10/SUM(S6,S10,S14,S18))</f>
        <v>5.5414677971068423E-2</v>
      </c>
      <c r="K10" s="3007">
        <f>$D$50</f>
        <v>552.77659760837014</v>
      </c>
      <c r="L10" s="3008">
        <f>L6</f>
        <v>5.4419938128589704</v>
      </c>
      <c r="M10" s="3009">
        <f>$D46</f>
        <v>11885.13768115942</v>
      </c>
      <c r="N10" s="3006">
        <f>10^-3</f>
        <v>1E-3</v>
      </c>
      <c r="O10" s="3010">
        <v>30</v>
      </c>
      <c r="P10" s="307">
        <v>2.3890000000000002E-2</v>
      </c>
      <c r="Q10" s="249"/>
      <c r="R10" s="754">
        <f>J10*K10*M10*N10</f>
        <v>364.06479042571283</v>
      </c>
      <c r="S10" s="784">
        <f>Dem!$F$46+Dem!$F$47</f>
        <v>4711.0064767158947</v>
      </c>
      <c r="T10" s="250">
        <f t="shared" ref="T10:T18" si="0">SUM(R10:R11)-S10</f>
        <v>0</v>
      </c>
    </row>
    <row r="11" spans="2:29">
      <c r="B11" s="3" t="s">
        <v>602</v>
      </c>
      <c r="F11" s="545" t="str">
        <f>Commodities!D48</f>
        <v>TFRI</v>
      </c>
      <c r="H11" s="250">
        <f>'SE Rail data'!I547</f>
        <v>0.3284421137230733</v>
      </c>
      <c r="I11" s="3">
        <v>5</v>
      </c>
      <c r="R11" s="754">
        <f>J12*K12*M12*N12</f>
        <v>4346.9416862901835</v>
      </c>
      <c r="T11" s="250"/>
    </row>
    <row r="12" spans="2:29">
      <c r="B12" s="754" t="s">
        <v>602</v>
      </c>
      <c r="C12" s="754" t="str">
        <f>Processes!D33</f>
        <v>TFRLELCX1E</v>
      </c>
      <c r="D12" s="754" t="str">
        <f>Processes!E33</f>
        <v>Transport Freight Train - Electric - Existing</v>
      </c>
      <c r="E12" s="754" t="str">
        <f>Commodities!D60</f>
        <v>TRAELC</v>
      </c>
      <c r="F12" s="545" t="str">
        <f>Commodities!D47</f>
        <v>TFRN</v>
      </c>
      <c r="G12" s="543" t="s">
        <v>3603</v>
      </c>
      <c r="H12" s="250">
        <f>H10</f>
        <v>0.6715578862769267</v>
      </c>
      <c r="I12" s="754">
        <v>5</v>
      </c>
      <c r="J12" s="2109">
        <f>$G36/1000*(S10/SUM(S6,S10,S14,S18))</f>
        <v>6.7059791457742227E-2</v>
      </c>
      <c r="K12" s="2366">
        <f>$D$50</f>
        <v>552.77659760837014</v>
      </c>
      <c r="L12" s="3002">
        <f>L8</f>
        <v>12.266943971516588</v>
      </c>
      <c r="M12" s="2107">
        <f>$D45</f>
        <v>117265.96107784432</v>
      </c>
      <c r="N12" s="2109">
        <f>10^-3</f>
        <v>1E-3</v>
      </c>
      <c r="O12" s="249">
        <v>30</v>
      </c>
      <c r="P12" s="307">
        <v>2.3890000000000002E-2</v>
      </c>
      <c r="Q12" s="249"/>
      <c r="T12" s="250"/>
    </row>
    <row r="13" spans="2:29">
      <c r="B13" s="754" t="s">
        <v>602</v>
      </c>
      <c r="F13" s="545" t="str">
        <f>Commodities!D48</f>
        <v>TFRI</v>
      </c>
      <c r="H13" s="250">
        <f>H11</f>
        <v>0.3284421137230733</v>
      </c>
      <c r="I13" s="754">
        <v>5</v>
      </c>
      <c r="K13" s="543"/>
      <c r="L13" s="543"/>
      <c r="M13" s="543"/>
      <c r="N13" s="543"/>
      <c r="O13" s="543"/>
      <c r="P13" s="543"/>
      <c r="Q13" s="543"/>
      <c r="R13" s="754" t="s">
        <v>603</v>
      </c>
      <c r="T13" s="250"/>
    </row>
    <row r="14" spans="2:29">
      <c r="B14" s="2549" t="s">
        <v>603</v>
      </c>
      <c r="C14" s="2549" t="str">
        <f>Processes!D32</f>
        <v>TFRLDSBL1E</v>
      </c>
      <c r="D14" s="2549" t="str">
        <f>Processes!E32</f>
        <v>Transport Freight Train - Diesel Engine - Blending 1 - Existing</v>
      </c>
      <c r="E14" s="2549" t="str">
        <f>Commodities!D80</f>
        <v>TRADSBL1</v>
      </c>
      <c r="F14" s="2720" t="str">
        <f>Commodities!D47</f>
        <v>TFRN</v>
      </c>
      <c r="G14" s="2549" t="s">
        <v>3603</v>
      </c>
      <c r="H14" s="3014">
        <f>'SE Rail data'!I548</f>
        <v>0.6715578862769267</v>
      </c>
      <c r="I14" s="2549">
        <v>5</v>
      </c>
      <c r="J14" s="3006">
        <f>$G37/1000*(S14/SUM(S6,S10,S14,S18))</f>
        <v>5.5414677971068423E-2</v>
      </c>
      <c r="K14" s="3007">
        <f>$D$50</f>
        <v>552.77659760837014</v>
      </c>
      <c r="L14" s="3008">
        <f>L10</f>
        <v>5.4419938128589704</v>
      </c>
      <c r="M14" s="3009">
        <f>$D46</f>
        <v>11885.13768115942</v>
      </c>
      <c r="N14" s="3006">
        <f>10^-3</f>
        <v>1E-3</v>
      </c>
      <c r="O14" s="3010">
        <v>30</v>
      </c>
      <c r="P14" s="307">
        <v>2.3890000000000002E-2</v>
      </c>
      <c r="Q14" s="249"/>
      <c r="R14" s="754">
        <f>J14*K14*M14*N14</f>
        <v>364.06479042571283</v>
      </c>
      <c r="S14" s="784">
        <f>Dem!$G$46+Dem!$G$47</f>
        <v>4711.0064767158947</v>
      </c>
      <c r="T14" s="250">
        <f t="shared" si="0"/>
        <v>0</v>
      </c>
    </row>
    <row r="15" spans="2:29">
      <c r="B15" s="3" t="s">
        <v>603</v>
      </c>
      <c r="F15" s="754" t="str">
        <f>Commodities!D48</f>
        <v>TFRI</v>
      </c>
      <c r="H15" s="250">
        <f>'SE Rail data'!I549</f>
        <v>0.3284421137230733</v>
      </c>
      <c r="I15" s="3">
        <v>5</v>
      </c>
      <c r="R15" s="754">
        <f>J16*K16*M16*N16</f>
        <v>4346.9416862901835</v>
      </c>
      <c r="T15" s="250"/>
    </row>
    <row r="16" spans="2:29">
      <c r="B16" s="754" t="s">
        <v>603</v>
      </c>
      <c r="C16" s="754" t="str">
        <f>Processes!D33</f>
        <v>TFRLELCX1E</v>
      </c>
      <c r="D16" s="754" t="str">
        <f>Processes!E33</f>
        <v>Transport Freight Train - Electric - Existing</v>
      </c>
      <c r="E16" s="754" t="str">
        <f>Commodities!D60</f>
        <v>TRAELC</v>
      </c>
      <c r="F16" s="754" t="str">
        <f>Commodities!D47</f>
        <v>TFRN</v>
      </c>
      <c r="G16" s="543" t="s">
        <v>3603</v>
      </c>
      <c r="H16" s="250">
        <f>H14</f>
        <v>0.6715578862769267</v>
      </c>
      <c r="I16" s="754">
        <v>5</v>
      </c>
      <c r="J16" s="2109">
        <f>$G36/1000*(S14/SUM(S6,S10,S14,S18))</f>
        <v>6.7059791457742227E-2</v>
      </c>
      <c r="K16" s="2366">
        <f>$D$50</f>
        <v>552.77659760837014</v>
      </c>
      <c r="L16" s="3002">
        <f>L12</f>
        <v>12.266943971516588</v>
      </c>
      <c r="M16" s="2107">
        <f>$D45</f>
        <v>117265.96107784432</v>
      </c>
      <c r="N16" s="2109">
        <f>10^-3</f>
        <v>1E-3</v>
      </c>
      <c r="O16" s="249">
        <v>30</v>
      </c>
      <c r="P16" s="307">
        <v>2.3890000000000002E-2</v>
      </c>
      <c r="Q16" s="249"/>
      <c r="T16" s="250"/>
    </row>
    <row r="17" spans="2:20">
      <c r="B17" s="754" t="s">
        <v>603</v>
      </c>
      <c r="F17" s="754" t="str">
        <f>Commodities!D48</f>
        <v>TFRI</v>
      </c>
      <c r="H17" s="250">
        <f>H15</f>
        <v>0.3284421137230733</v>
      </c>
      <c r="I17" s="754">
        <v>5</v>
      </c>
      <c r="J17" s="543"/>
      <c r="K17" s="543"/>
      <c r="L17" s="543"/>
      <c r="M17" s="543"/>
      <c r="N17" s="543"/>
      <c r="O17" s="543"/>
      <c r="P17" s="543"/>
      <c r="Q17" s="543"/>
      <c r="R17" s="754" t="s">
        <v>604</v>
      </c>
      <c r="T17" s="250"/>
    </row>
    <row r="18" spans="2:20">
      <c r="B18" s="2549" t="s">
        <v>604</v>
      </c>
      <c r="C18" s="2549" t="str">
        <f>Processes!D32</f>
        <v>TFRLDSBL1E</v>
      </c>
      <c r="D18" s="2549" t="str">
        <f>Processes!E32</f>
        <v>Transport Freight Train - Diesel Engine - Blending 1 - Existing</v>
      </c>
      <c r="E18" s="2549" t="str">
        <f>Commodities!D80</f>
        <v>TRADSBL1</v>
      </c>
      <c r="F18" s="2549" t="str">
        <f>Commodities!D47</f>
        <v>TFRN</v>
      </c>
      <c r="G18" s="2549" t="s">
        <v>3603</v>
      </c>
      <c r="H18" s="3014">
        <f>'SE Rail data'!I550</f>
        <v>0.6715578862769267</v>
      </c>
      <c r="I18" s="2549">
        <v>5</v>
      </c>
      <c r="J18" s="3006">
        <f>$G37/1000*(S18/SUM(S6,S10,S14,S18))</f>
        <v>5.5414677971068423E-2</v>
      </c>
      <c r="K18" s="3007">
        <f>$D$50</f>
        <v>552.77659760837014</v>
      </c>
      <c r="L18" s="3008">
        <f>L14</f>
        <v>5.4419938128589704</v>
      </c>
      <c r="M18" s="3009">
        <f>$D46</f>
        <v>11885.13768115942</v>
      </c>
      <c r="N18" s="3006">
        <f>10^-3</f>
        <v>1E-3</v>
      </c>
      <c r="O18" s="3010">
        <v>30</v>
      </c>
      <c r="P18" s="307">
        <v>2.3890000000000002E-2</v>
      </c>
      <c r="Q18" s="249"/>
      <c r="R18" s="754">
        <f>J18*K18*M18*N18</f>
        <v>364.06479042571283</v>
      </c>
      <c r="S18" s="784">
        <f>Dem!$H$46+Dem!$H$47</f>
        <v>4711.0064767158947</v>
      </c>
      <c r="T18" s="250">
        <f t="shared" si="0"/>
        <v>0</v>
      </c>
    </row>
    <row r="19" spans="2:20">
      <c r="B19" s="3" t="s">
        <v>604</v>
      </c>
      <c r="F19" s="754" t="str">
        <f>Commodities!D48</f>
        <v>TFRI</v>
      </c>
      <c r="H19" s="250">
        <f>'SE Rail data'!I551</f>
        <v>0.3284421137230733</v>
      </c>
      <c r="I19" s="3">
        <v>5</v>
      </c>
      <c r="R19" s="754">
        <f>J20*K20*M20*N20</f>
        <v>4346.9416862901835</v>
      </c>
      <c r="T19" s="250"/>
    </row>
    <row r="20" spans="2:20">
      <c r="B20" s="754" t="s">
        <v>604</v>
      </c>
      <c r="C20" s="754" t="str">
        <f>Processes!D33</f>
        <v>TFRLELCX1E</v>
      </c>
      <c r="D20" s="754" t="str">
        <f>Processes!E33</f>
        <v>Transport Freight Train - Electric - Existing</v>
      </c>
      <c r="E20" s="754" t="str">
        <f>Commodities!D60</f>
        <v>TRAELC</v>
      </c>
      <c r="F20" s="754" t="str">
        <f>Commodities!D47</f>
        <v>TFRN</v>
      </c>
      <c r="G20" s="543" t="s">
        <v>3603</v>
      </c>
      <c r="H20" s="250">
        <f>H18</f>
        <v>0.6715578862769267</v>
      </c>
      <c r="I20" s="754">
        <v>5</v>
      </c>
      <c r="J20" s="2109">
        <f>$G36/1000*(S18/SUM(S6,S10,S14,S18))</f>
        <v>6.7059791457742227E-2</v>
      </c>
      <c r="K20" s="2366">
        <f>$D$50</f>
        <v>552.77659760837014</v>
      </c>
      <c r="L20" s="3002">
        <f>L16</f>
        <v>12.266943971516588</v>
      </c>
      <c r="M20" s="2107">
        <f>$D45</f>
        <v>117265.96107784432</v>
      </c>
      <c r="N20" s="2109">
        <f>10^-3</f>
        <v>1E-3</v>
      </c>
      <c r="O20" s="249">
        <v>30</v>
      </c>
      <c r="P20" s="307">
        <v>2.3890000000000002E-2</v>
      </c>
      <c r="Q20" s="249"/>
    </row>
    <row r="21" spans="2:20">
      <c r="B21" s="754" t="s">
        <v>604</v>
      </c>
      <c r="F21" s="754" t="str">
        <f>Commodities!D48</f>
        <v>TFRI</v>
      </c>
      <c r="H21" s="250">
        <f>H19</f>
        <v>0.3284421137230733</v>
      </c>
      <c r="I21" s="543">
        <v>5</v>
      </c>
      <c r="J21" s="543"/>
      <c r="K21" s="543"/>
      <c r="L21" s="543"/>
      <c r="M21" s="543"/>
      <c r="N21" s="543"/>
      <c r="O21" s="543"/>
      <c r="P21" s="543"/>
      <c r="Q21" s="543"/>
    </row>
    <row r="24" spans="2:20" ht="13.8" thickBot="1"/>
    <row r="25" spans="2:20">
      <c r="B25" s="1526"/>
      <c r="C25" s="1527"/>
      <c r="D25" s="1527"/>
      <c r="E25" s="1527"/>
      <c r="F25" s="1527"/>
      <c r="G25" s="1527"/>
      <c r="H25" s="1528"/>
    </row>
    <row r="26" spans="2:20">
      <c r="B26" s="1529"/>
      <c r="C26" s="869"/>
      <c r="D26" s="869"/>
      <c r="E26" s="869"/>
      <c r="F26" s="869"/>
      <c r="G26" s="869"/>
      <c r="H26" s="1530"/>
    </row>
    <row r="27" spans="2:20">
      <c r="B27" s="1529"/>
      <c r="C27" s="869"/>
      <c r="D27" s="869">
        <v>2010</v>
      </c>
      <c r="E27" s="2400"/>
      <c r="F27" s="869"/>
      <c r="G27" s="2400"/>
      <c r="H27" s="1530"/>
    </row>
    <row r="28" spans="2:20">
      <c r="B28" s="1529"/>
      <c r="C28" s="1821" t="s">
        <v>1732</v>
      </c>
      <c r="D28" s="869"/>
      <c r="E28" s="869"/>
      <c r="F28" s="2400" t="s">
        <v>1390</v>
      </c>
      <c r="G28" s="869"/>
      <c r="H28" s="1530"/>
    </row>
    <row r="29" spans="2:20">
      <c r="B29" s="1529"/>
      <c r="C29" s="869" t="str">
        <f>'SE Rail data'!D229</f>
        <v>Godstrafik</v>
      </c>
      <c r="D29" s="869"/>
      <c r="E29" s="2400"/>
      <c r="F29" s="869"/>
      <c r="G29" s="869"/>
      <c r="H29" s="1530"/>
    </row>
    <row r="30" spans="2:20">
      <c r="B30" s="1529"/>
      <c r="C30" s="869" t="str">
        <f>'SE Rail data'!D230</f>
        <v>Med eldrift</v>
      </c>
      <c r="D30" s="2401">
        <f>'SE Rail data'!Y230</f>
        <v>39166.830999999998</v>
      </c>
      <c r="E30" s="869"/>
      <c r="F30" s="869">
        <f>D30/1000</f>
        <v>39.166830999999995</v>
      </c>
      <c r="G30" s="1826"/>
      <c r="H30" s="1530"/>
    </row>
    <row r="31" spans="2:20">
      <c r="B31" s="1529"/>
      <c r="C31" s="869" t="str">
        <f>'SE Rail data'!D231</f>
        <v>Med dieseldrift</v>
      </c>
      <c r="D31" s="2401">
        <f>'SE Rail data'!Y231</f>
        <v>3280.2979999999998</v>
      </c>
      <c r="E31" s="869"/>
      <c r="F31" s="869">
        <f>D31/1000</f>
        <v>3.2802979999999997</v>
      </c>
      <c r="G31" s="1826"/>
      <c r="H31" s="1530"/>
    </row>
    <row r="32" spans="2:20">
      <c r="B32" s="1529"/>
      <c r="C32" s="869" t="str">
        <f>'SE Rail data'!D232</f>
        <v>Summa</v>
      </c>
      <c r="D32" s="2401">
        <f>'SE Rail data'!Y232</f>
        <v>42447.129000000001</v>
      </c>
      <c r="E32" s="869"/>
      <c r="F32" s="869"/>
      <c r="G32" s="869"/>
      <c r="H32" s="1530"/>
    </row>
    <row r="33" spans="2:8">
      <c r="B33" s="1529"/>
      <c r="C33" s="869"/>
      <c r="D33" s="869"/>
      <c r="E33" s="869"/>
      <c r="F33" s="869"/>
      <c r="G33" s="869"/>
      <c r="H33" s="1530"/>
    </row>
    <row r="34" spans="2:8">
      <c r="B34" s="1529"/>
      <c r="C34" s="869"/>
      <c r="D34" s="869"/>
      <c r="E34" s="869"/>
      <c r="F34" s="869"/>
      <c r="G34" s="869"/>
      <c r="H34" s="1530"/>
    </row>
    <row r="35" spans="2:8">
      <c r="B35" s="1529"/>
      <c r="C35" s="1821" t="s">
        <v>2679</v>
      </c>
      <c r="D35" s="869"/>
      <c r="E35" s="869"/>
      <c r="F35" s="869"/>
      <c r="G35" s="869"/>
      <c r="H35" s="1530"/>
    </row>
    <row r="36" spans="2:8">
      <c r="B36" s="1529"/>
      <c r="C36" s="869" t="str">
        <f>'SE Rail data'!D145</f>
        <v>Ellok</v>
      </c>
      <c r="D36" s="2401">
        <f>'SE Rail data'!Y145</f>
        <v>334</v>
      </c>
      <c r="E36" s="869"/>
      <c r="F36" s="2400" t="s">
        <v>627</v>
      </c>
      <c r="G36" s="2401">
        <f>D36</f>
        <v>334</v>
      </c>
      <c r="H36" s="1530"/>
    </row>
    <row r="37" spans="2:8">
      <c r="B37" s="1529"/>
      <c r="C37" s="869" t="str">
        <f>'SE Rail data'!D146</f>
        <v>Diesellok</v>
      </c>
      <c r="D37" s="2401">
        <f>'SE Rail data'!Y146</f>
        <v>219</v>
      </c>
      <c r="E37" s="869"/>
      <c r="F37" s="2400" t="s">
        <v>61</v>
      </c>
      <c r="G37" s="2401">
        <f>D37+D39</f>
        <v>276</v>
      </c>
      <c r="H37" s="1530"/>
    </row>
    <row r="38" spans="2:8">
      <c r="B38" s="1529"/>
      <c r="C38" s="869" t="str">
        <f>'SE Rail data'!D147</f>
        <v>Ellokomotorer</v>
      </c>
      <c r="D38" s="2401" t="str">
        <f>'SE Rail data'!Y147</f>
        <v>–</v>
      </c>
      <c r="E38" s="869"/>
      <c r="F38" s="869"/>
      <c r="G38" s="869"/>
      <c r="H38" s="1530"/>
    </row>
    <row r="39" spans="2:8">
      <c r="B39" s="1529"/>
      <c r="C39" s="869" t="str">
        <f>'SE Rail data'!D148</f>
        <v>Diesellokomotorer</v>
      </c>
      <c r="D39" s="2401">
        <f>'SE Rail data'!Y148</f>
        <v>57</v>
      </c>
      <c r="E39" s="869"/>
      <c r="F39" s="869"/>
      <c r="G39" s="869"/>
      <c r="H39" s="1530"/>
    </row>
    <row r="40" spans="2:8">
      <c r="B40" s="1529"/>
      <c r="C40" s="869" t="str">
        <f>'SE Rail data'!D149</f>
        <v>Summa</v>
      </c>
      <c r="D40" s="2401">
        <f>'SE Rail data'!Y149</f>
        <v>610</v>
      </c>
      <c r="E40" s="869"/>
      <c r="F40" s="869"/>
      <c r="G40" s="2401">
        <f>SUM(G36:G39)</f>
        <v>610</v>
      </c>
      <c r="H40" s="1530"/>
    </row>
    <row r="41" spans="2:8">
      <c r="B41" s="1529"/>
      <c r="C41" s="869"/>
      <c r="D41" s="869"/>
      <c r="E41" s="869"/>
      <c r="F41" s="869"/>
      <c r="G41" s="869"/>
      <c r="H41" s="1530"/>
    </row>
    <row r="42" spans="2:8" ht="13.8" thickBot="1">
      <c r="B42" s="1531"/>
      <c r="C42" s="2005"/>
      <c r="D42" s="2005"/>
      <c r="E42" s="2005"/>
      <c r="F42" s="2005"/>
      <c r="G42" s="2005"/>
      <c r="H42" s="2006"/>
    </row>
    <row r="43" spans="2:8">
      <c r="B43" s="1526"/>
      <c r="C43" s="1527"/>
      <c r="D43" s="1527"/>
      <c r="E43" s="1527"/>
      <c r="F43" s="1527"/>
      <c r="G43" s="1527"/>
      <c r="H43" s="1528"/>
    </row>
    <row r="44" spans="2:8">
      <c r="B44" s="1529"/>
      <c r="C44" s="2400" t="s">
        <v>2680</v>
      </c>
      <c r="D44" s="869"/>
      <c r="E44" s="869"/>
      <c r="F44" s="869"/>
      <c r="G44" s="869"/>
      <c r="H44" s="1530"/>
    </row>
    <row r="45" spans="2:8">
      <c r="B45" s="1529"/>
      <c r="C45" s="2400" t="s">
        <v>627</v>
      </c>
      <c r="D45" s="1826">
        <f>D30*1000/G36</f>
        <v>117265.96107784432</v>
      </c>
      <c r="E45" s="869"/>
      <c r="F45" s="869"/>
      <c r="G45" s="869"/>
      <c r="H45" s="1530"/>
    </row>
    <row r="46" spans="2:8">
      <c r="B46" s="1529"/>
      <c r="C46" s="2400" t="s">
        <v>61</v>
      </c>
      <c r="D46" s="1826">
        <f>D31*1000/G37</f>
        <v>11885.13768115942</v>
      </c>
      <c r="E46" s="869"/>
      <c r="F46" s="869"/>
      <c r="G46" s="869"/>
      <c r="H46" s="1530"/>
    </row>
    <row r="47" spans="2:8">
      <c r="B47" s="1529"/>
      <c r="C47" s="869"/>
      <c r="D47" s="869"/>
      <c r="E47" s="869"/>
      <c r="F47" s="869"/>
      <c r="G47" s="869"/>
      <c r="H47" s="1530"/>
    </row>
    <row r="48" spans="2:8" ht="13.8" thickBot="1">
      <c r="B48" s="1531"/>
      <c r="C48" s="2005"/>
      <c r="D48" s="2005"/>
      <c r="E48" s="2005"/>
      <c r="F48" s="2005"/>
      <c r="G48" s="2005"/>
      <c r="H48" s="2006"/>
    </row>
    <row r="49" spans="2:9">
      <c r="B49" s="1526"/>
      <c r="C49" s="1527"/>
      <c r="D49" s="1527"/>
      <c r="E49" s="1527"/>
      <c r="F49" s="1527"/>
      <c r="G49" s="1527"/>
      <c r="H49" s="1528"/>
    </row>
    <row r="50" spans="2:9">
      <c r="B50" s="1529"/>
      <c r="C50" s="2400" t="s">
        <v>2681</v>
      </c>
      <c r="D50" s="1147">
        <f>(SUM(S6,S10,S14,S18)*1000000)/(D32*1000)</f>
        <v>552.77659760837014</v>
      </c>
      <c r="E50" s="869"/>
      <c r="F50" s="869"/>
      <c r="G50" s="869"/>
      <c r="H50" s="1530"/>
    </row>
    <row r="51" spans="2:9">
      <c r="B51" s="1529"/>
      <c r="C51" s="2400"/>
      <c r="D51" s="869"/>
      <c r="E51" s="869"/>
      <c r="F51" s="869"/>
      <c r="G51" s="869"/>
      <c r="H51" s="1530"/>
      <c r="I51" s="398"/>
    </row>
    <row r="52" spans="2:9" ht="13.8" thickBot="1">
      <c r="B52" s="1531"/>
      <c r="C52" s="2403"/>
      <c r="D52" s="2005"/>
      <c r="E52" s="2005"/>
      <c r="F52" s="2005"/>
      <c r="G52" s="2005"/>
      <c r="H52" s="2006"/>
      <c r="I52" s="397"/>
    </row>
    <row r="53" spans="2:9">
      <c r="B53" s="1526"/>
      <c r="C53" s="1527"/>
      <c r="D53" s="1527"/>
      <c r="E53" s="1527"/>
      <c r="F53" s="1527"/>
      <c r="G53" s="1527"/>
      <c r="H53" s="1528"/>
      <c r="I53" s="397"/>
    </row>
    <row r="54" spans="2:9">
      <c r="B54" s="1529"/>
      <c r="C54" s="869"/>
      <c r="D54" s="869"/>
      <c r="E54" s="2400" t="s">
        <v>44</v>
      </c>
      <c r="F54" s="869"/>
      <c r="G54" s="2400" t="s">
        <v>2066</v>
      </c>
      <c r="H54" s="1530"/>
      <c r="I54" s="397"/>
    </row>
    <row r="55" spans="2:9">
      <c r="B55" s="1529"/>
      <c r="C55" s="869" t="str">
        <f>'SE km&amp;fuel data'!H310</f>
        <v>JÄRNVÄG</v>
      </c>
      <c r="D55" s="869" t="str">
        <f>'SE km&amp;fuel data'!I310</f>
        <v>El för godstrafik</v>
      </c>
      <c r="E55" s="869">
        <f>'SE km&amp;fuel data'!J310</f>
        <v>3.192876</v>
      </c>
      <c r="F55" s="869"/>
      <c r="G55" s="869">
        <f>F30/E55</f>
        <v>12.266943971516588</v>
      </c>
      <c r="H55" s="1530"/>
      <c r="I55" s="396"/>
    </row>
    <row r="56" spans="2:9">
      <c r="B56" s="1529"/>
      <c r="C56" s="869" t="str">
        <f>'SE km&amp;fuel data'!H315</f>
        <v>JÄRNVÄG</v>
      </c>
      <c r="D56" s="869" t="str">
        <f>'SE km&amp;fuel data'!I315</f>
        <v>Diesel för godstrafik</v>
      </c>
      <c r="E56" s="869">
        <f>'SE km&amp;fuel data'!J315</f>
        <v>0.60277503297576951</v>
      </c>
      <c r="F56" s="869"/>
      <c r="G56" s="869">
        <f>F31/E56</f>
        <v>5.4419938128589704</v>
      </c>
      <c r="H56" s="1530"/>
      <c r="I56" s="397"/>
    </row>
    <row r="57" spans="2:9" ht="13.8" thickBot="1">
      <c r="B57" s="1531"/>
      <c r="C57" s="2005"/>
      <c r="D57" s="2005"/>
      <c r="E57" s="2005"/>
      <c r="F57" s="2005"/>
      <c r="G57" s="2005"/>
      <c r="H57" s="2006"/>
      <c r="I57" s="397"/>
    </row>
    <row r="58" spans="2:9">
      <c r="I58" s="397"/>
    </row>
  </sheetData>
  <pageMargins left="0.7" right="0.7" top="0.75" bottom="0.75" header="0.3" footer="0.3"/>
  <pageSetup paperSize="9" orientation="portrait"/>
  <legacyDrawing r:id="rId1"/>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sheetPr codeName="Sheet16">
    <tabColor rgb="FF92D050"/>
  </sheetPr>
  <dimension ref="C2:S16"/>
  <sheetViews>
    <sheetView topLeftCell="A7" zoomScaleNormal="100" workbookViewId="0">
      <selection activeCell="E25" sqref="E25"/>
    </sheetView>
  </sheetViews>
  <sheetFormatPr defaultColWidth="9.109375" defaultRowHeight="13.2"/>
  <cols>
    <col min="1" max="3" width="9.109375" style="754"/>
    <col min="4" max="4" width="12.44140625" style="754" customWidth="1"/>
    <col min="5" max="6" width="9.109375" style="754"/>
    <col min="7" max="7" width="7.5546875" style="754" bestFit="1" customWidth="1"/>
    <col min="8" max="8" width="12" style="754" bestFit="1" customWidth="1"/>
    <col min="9" max="16384" width="9.109375" style="754"/>
  </cols>
  <sheetData>
    <row r="2" spans="3:19">
      <c r="P2" s="754" t="s">
        <v>383</v>
      </c>
    </row>
    <row r="3" spans="3:19">
      <c r="P3" s="754" t="s">
        <v>329</v>
      </c>
      <c r="Q3" s="754" t="s">
        <v>2389</v>
      </c>
    </row>
    <row r="4" spans="3:19">
      <c r="P4" s="754" t="s">
        <v>2390</v>
      </c>
      <c r="Q4" s="754" t="s">
        <v>2391</v>
      </c>
    </row>
    <row r="5" spans="3:19" ht="13.8">
      <c r="C5" s="41" t="s">
        <v>59</v>
      </c>
      <c r="D5" s="43"/>
      <c r="E5" s="45"/>
      <c r="P5" s="754" t="s">
        <v>52</v>
      </c>
      <c r="Q5" s="754" t="s">
        <v>2392</v>
      </c>
    </row>
    <row r="6" spans="3:19" ht="13.8">
      <c r="C6" s="40" t="s">
        <v>60</v>
      </c>
      <c r="D6" s="39"/>
      <c r="E6" s="40"/>
      <c r="P6" s="754" t="s">
        <v>373</v>
      </c>
      <c r="Q6" s="754" t="s">
        <v>2392</v>
      </c>
    </row>
    <row r="7" spans="3:19" ht="13.8">
      <c r="C7" s="39"/>
      <c r="D7" s="39"/>
      <c r="E7" s="39"/>
    </row>
    <row r="8" spans="3:19" ht="13.8">
      <c r="C8" s="39"/>
      <c r="D8" s="44" t="s">
        <v>61</v>
      </c>
      <c r="E8" s="44" t="s">
        <v>72</v>
      </c>
      <c r="F8" s="44" t="s">
        <v>51</v>
      </c>
      <c r="G8" s="44" t="s">
        <v>62</v>
      </c>
      <c r="H8" s="64" t="s">
        <v>74</v>
      </c>
      <c r="I8" s="64" t="s">
        <v>73</v>
      </c>
      <c r="J8" s="754" t="s">
        <v>370</v>
      </c>
      <c r="K8" s="754" t="s">
        <v>373</v>
      </c>
      <c r="L8" s="754" t="s">
        <v>2393</v>
      </c>
      <c r="M8" s="754" t="s">
        <v>52</v>
      </c>
      <c r="N8" s="754" t="s">
        <v>2394</v>
      </c>
    </row>
    <row r="9" spans="3:19" ht="13.8">
      <c r="C9" s="42" t="s">
        <v>63</v>
      </c>
      <c r="D9" s="39"/>
      <c r="E9" s="39"/>
    </row>
    <row r="10" spans="3:19" ht="27.6">
      <c r="C10" s="3049" t="s">
        <v>4</v>
      </c>
      <c r="D10" s="3050" t="str">
        <f>[7]Commodities!D52</f>
        <v>TRADSL</v>
      </c>
      <c r="E10" s="3050" t="str">
        <f>[7]Commodities!D54</f>
        <v>TRAGSL</v>
      </c>
      <c r="F10" s="3050" t="str">
        <f>[7]Commodities!D56</f>
        <v>TRALPG</v>
      </c>
      <c r="G10" s="3050" t="str">
        <f>[7]Commodities!D58</f>
        <v>TRANGA</v>
      </c>
      <c r="H10" s="3050" t="s">
        <v>276</v>
      </c>
      <c r="I10" s="3050" t="s">
        <v>3481</v>
      </c>
      <c r="J10" s="3050" t="s">
        <v>3480</v>
      </c>
      <c r="K10" s="3050" t="s">
        <v>3482</v>
      </c>
      <c r="L10" s="3050" t="s">
        <v>3485</v>
      </c>
      <c r="M10" s="3050" t="str">
        <f>[7]Commodities!D66</f>
        <v>TRAKEN</v>
      </c>
      <c r="N10" s="3050" t="str">
        <f>[7]Commodities!D67</f>
        <v>TRAKEI</v>
      </c>
      <c r="O10" s="3050" t="str">
        <f>[7]Commodities!D69</f>
        <v>TRAAGSL</v>
      </c>
      <c r="P10" s="3050" t="str">
        <f>[7]Commodities!D55</f>
        <v>TRAGSB</v>
      </c>
      <c r="Q10" s="3050" t="str">
        <f>[7]Commodities!D59</f>
        <v>TRASNG</v>
      </c>
      <c r="R10" s="3050" t="str">
        <f>[7]Commodities!D53</f>
        <v>TRADSB</v>
      </c>
      <c r="S10" s="3050" t="str">
        <f>[7]Commodities!D68</f>
        <v>TRAKRB</v>
      </c>
    </row>
    <row r="11" spans="3:19" ht="14.4" thickBot="1">
      <c r="C11" s="46" t="s">
        <v>64</v>
      </c>
      <c r="D11" s="47" t="s">
        <v>65</v>
      </c>
      <c r="E11" s="47" t="s">
        <v>65</v>
      </c>
      <c r="F11" s="47" t="s">
        <v>65</v>
      </c>
      <c r="G11" s="47" t="s">
        <v>65</v>
      </c>
      <c r="H11" s="47" t="s">
        <v>65</v>
      </c>
      <c r="I11" s="47" t="s">
        <v>65</v>
      </c>
      <c r="J11" s="47" t="s">
        <v>65</v>
      </c>
      <c r="K11" s="47" t="s">
        <v>65</v>
      </c>
      <c r="L11" s="47" t="s">
        <v>65</v>
      </c>
      <c r="M11" s="47" t="s">
        <v>65</v>
      </c>
      <c r="N11" s="47" t="s">
        <v>65</v>
      </c>
      <c r="O11" s="47" t="s">
        <v>65</v>
      </c>
      <c r="P11" s="47" t="s">
        <v>65</v>
      </c>
      <c r="Q11" s="47" t="s">
        <v>65</v>
      </c>
      <c r="R11" s="47" t="s">
        <v>65</v>
      </c>
      <c r="S11" s="47" t="s">
        <v>65</v>
      </c>
    </row>
    <row r="12" spans="3:19" ht="13.8">
      <c r="C12" s="48" t="str">
        <f>Commodities!D119</f>
        <v>TRACO2</v>
      </c>
      <c r="D12" s="48">
        <v>74.099999999999994</v>
      </c>
      <c r="E12" s="48">
        <v>69.3</v>
      </c>
      <c r="F12" s="48">
        <v>63.1</v>
      </c>
      <c r="G12" s="48">
        <v>56.1</v>
      </c>
      <c r="H12" s="48"/>
      <c r="I12" s="48"/>
      <c r="J12" s="48"/>
      <c r="K12" s="48"/>
      <c r="L12" s="48"/>
      <c r="M12" s="48"/>
      <c r="N12" s="48"/>
      <c r="O12" s="48"/>
      <c r="P12" s="48"/>
      <c r="Q12" s="48"/>
      <c r="R12" s="48"/>
      <c r="S12" s="48"/>
    </row>
    <row r="13" spans="3:19" ht="13.8">
      <c r="C13" s="48" t="str">
        <f>Commodities!D120</f>
        <v>TRACO2A</v>
      </c>
      <c r="D13" s="48"/>
      <c r="E13" s="48"/>
      <c r="F13" s="48"/>
      <c r="G13" s="48"/>
      <c r="H13" s="48"/>
      <c r="I13" s="48"/>
      <c r="J13" s="48"/>
      <c r="K13" s="48"/>
      <c r="L13" s="48"/>
      <c r="M13" s="48">
        <v>71.900000000000006</v>
      </c>
      <c r="N13" s="48">
        <v>71.900000000000006</v>
      </c>
      <c r="O13" s="48">
        <f>E12</f>
        <v>69.3</v>
      </c>
      <c r="P13" s="48"/>
      <c r="Q13" s="48"/>
      <c r="R13" s="48"/>
      <c r="S13" s="48"/>
    </row>
    <row r="14" spans="3:19" ht="13.8">
      <c r="C14" s="48" t="str">
        <f>Commodities!D123</f>
        <v>TRACO2S</v>
      </c>
      <c r="D14" s="48"/>
      <c r="E14" s="48"/>
      <c r="F14" s="48"/>
      <c r="G14" s="48"/>
      <c r="H14" s="48">
        <v>77.400000000000006</v>
      </c>
      <c r="I14" s="48">
        <v>77.400000000000006</v>
      </c>
      <c r="J14" s="48">
        <f>$D$12</f>
        <v>74.099999999999994</v>
      </c>
      <c r="K14" s="48">
        <f>$D$12</f>
        <v>74.099999999999994</v>
      </c>
      <c r="L14" s="48">
        <f>G12</f>
        <v>56.1</v>
      </c>
      <c r="M14" s="48"/>
      <c r="N14" s="48"/>
      <c r="O14" s="48"/>
      <c r="P14" s="48"/>
      <c r="Q14" s="48"/>
      <c r="R14" s="48"/>
      <c r="S14" s="48"/>
    </row>
    <row r="15" spans="3:19" ht="13.8">
      <c r="C15" s="754" t="s">
        <v>3591</v>
      </c>
      <c r="N15" s="48">
        <v>71.900000000000006</v>
      </c>
    </row>
    <row r="16" spans="3:19" ht="13.8">
      <c r="C16" s="754" t="s">
        <v>3593</v>
      </c>
      <c r="M16" s="48">
        <v>71.900000000000006</v>
      </c>
    </row>
  </sheetData>
  <pageMargins left="0.7" right="0.7" top="0.75" bottom="0.75" header="0.3" footer="0.3"/>
</worksheet>
</file>

<file path=xl/worksheets/sheet1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sheetPr codeName="Sheet14">
    <tabColor rgb="FF92D050"/>
  </sheetPr>
  <dimension ref="A3:AS74"/>
  <sheetViews>
    <sheetView zoomScale="70" zoomScaleNormal="70" workbookViewId="0">
      <selection activeCell="E41" sqref="E41:H45"/>
    </sheetView>
  </sheetViews>
  <sheetFormatPr defaultRowHeight="13.2"/>
  <cols>
    <col min="1" max="1" width="9" customWidth="1"/>
    <col min="2" max="2" width="10.33203125" bestFit="1" customWidth="1"/>
    <col min="3" max="3" width="49.109375" bestFit="1" customWidth="1"/>
    <col min="4" max="4" width="10.33203125" style="24" bestFit="1" customWidth="1"/>
    <col min="5" max="8" width="19" customWidth="1"/>
    <col min="9" max="10" width="19" style="545" customWidth="1"/>
    <col min="11" max="11" width="44.5546875" customWidth="1"/>
    <col min="12" max="12" width="15.6640625" bestFit="1" customWidth="1"/>
    <col min="13" max="13" width="12.5546875" bestFit="1" customWidth="1"/>
    <col min="14" max="14" width="19.109375" customWidth="1"/>
    <col min="15" max="15" width="38.88671875" bestFit="1" customWidth="1"/>
    <col min="16" max="16" width="10.88671875" style="754" customWidth="1"/>
    <col min="17" max="17" width="32.6640625" style="754" customWidth="1"/>
    <col min="18" max="18" width="6.88671875" style="754" customWidth="1"/>
    <col min="19" max="19" width="16" style="754" customWidth="1"/>
    <col min="20" max="20" width="24" bestFit="1" customWidth="1"/>
    <col min="21" max="21" width="18.88671875" bestFit="1" customWidth="1"/>
    <col min="22" max="22" width="19.44140625" bestFit="1" customWidth="1"/>
    <col min="23" max="23" width="11.5546875" bestFit="1" customWidth="1"/>
    <col min="24" max="26" width="7.6640625" bestFit="1" customWidth="1"/>
    <col min="27" max="27" width="27.5546875" customWidth="1"/>
    <col min="28" max="28" width="12" bestFit="1" customWidth="1"/>
    <col min="29" max="31" width="7.6640625" bestFit="1" customWidth="1"/>
    <col min="32" max="33" width="6.44140625" bestFit="1" customWidth="1"/>
    <col min="34" max="34" width="21.33203125" bestFit="1" customWidth="1"/>
    <col min="35" max="36" width="6.5546875" bestFit="1" customWidth="1"/>
    <col min="37" max="38" width="6.109375" bestFit="1" customWidth="1"/>
    <col min="39" max="41" width="6" bestFit="1" customWidth="1"/>
    <col min="42" max="42" width="5.33203125" bestFit="1" customWidth="1"/>
    <col min="43" max="44" width="5.88671875" bestFit="1" customWidth="1"/>
  </cols>
  <sheetData>
    <row r="3" spans="2:45">
      <c r="B3" s="8" t="s">
        <v>8</v>
      </c>
      <c r="C3" s="8"/>
      <c r="T3" s="31" t="s">
        <v>3267</v>
      </c>
    </row>
    <row r="4" spans="2:45" s="13" customFormat="1" ht="11.25" customHeight="1">
      <c r="B4" s="25" t="s">
        <v>4</v>
      </c>
      <c r="C4" s="456" t="s">
        <v>407</v>
      </c>
      <c r="D4" s="26" t="s">
        <v>27</v>
      </c>
      <c r="E4" s="867" t="s">
        <v>646</v>
      </c>
      <c r="F4" s="867" t="s">
        <v>647</v>
      </c>
      <c r="G4" s="867" t="s">
        <v>648</v>
      </c>
      <c r="H4" s="867" t="s">
        <v>649</v>
      </c>
      <c r="I4" s="3045"/>
      <c r="J4" s="3045"/>
      <c r="P4" s="1301"/>
      <c r="Q4" s="1301"/>
      <c r="R4" s="1301"/>
      <c r="S4" s="1301"/>
      <c r="T4" s="1464" t="s">
        <v>3268</v>
      </c>
      <c r="W4" s="2440" t="s">
        <v>2497</v>
      </c>
      <c r="AF4"/>
      <c r="AG4"/>
      <c r="AH4"/>
      <c r="AI4"/>
      <c r="AJ4"/>
      <c r="AK4"/>
      <c r="AL4"/>
      <c r="AM4"/>
      <c r="AN4"/>
      <c r="AO4"/>
      <c r="AP4"/>
      <c r="AQ4"/>
      <c r="AR4"/>
      <c r="AS4"/>
    </row>
    <row r="5" spans="2:45" s="9" customFormat="1">
      <c r="B5" s="409" t="str">
        <f>Commodities!D6</f>
        <v>TPCAX</v>
      </c>
      <c r="C5" s="457" t="str">
        <f>Commodities!E6</f>
        <v>Transport Passengers Cars Short Distance (&lt;5 km)</v>
      </c>
      <c r="D5" s="410" t="str">
        <f>Commodities!F30</f>
        <v>Mpass-km</v>
      </c>
      <c r="E5" s="2749">
        <f>Cars!DQ27</f>
        <v>192.6182602936436</v>
      </c>
      <c r="F5" s="2749">
        <f>Cars!DQ51</f>
        <v>379.26239192781333</v>
      </c>
      <c r="G5" s="2749">
        <f>Cars!DQ75</f>
        <v>2781.264797136429</v>
      </c>
      <c r="H5" s="2749">
        <f>Cars!DQ99</f>
        <v>825.5134186684021</v>
      </c>
      <c r="I5" s="3046"/>
      <c r="J5" s="3046"/>
      <c r="L5" s="2439">
        <f>SUM(E5:K5)</f>
        <v>4178.6588680262876</v>
      </c>
      <c r="P5" s="545"/>
      <c r="Q5" s="545"/>
      <c r="R5" s="545"/>
      <c r="S5" s="545"/>
      <c r="T5" s="2693"/>
      <c r="U5" s="2733"/>
      <c r="V5" s="2720"/>
      <c r="W5" s="2721"/>
      <c r="AF5"/>
      <c r="AG5"/>
      <c r="AH5"/>
      <c r="AI5"/>
      <c r="AJ5"/>
      <c r="AK5"/>
      <c r="AL5"/>
      <c r="AM5"/>
      <c r="AN5"/>
      <c r="AO5"/>
      <c r="AP5"/>
      <c r="AQ5"/>
      <c r="AR5"/>
      <c r="AS5"/>
    </row>
    <row r="6" spans="2:45">
      <c r="B6" s="409" t="str">
        <f>Commodities!D7</f>
        <v>TPCAS</v>
      </c>
      <c r="C6" s="457" t="str">
        <f>Commodities!E7</f>
        <v>Transport Passengers Cars Short Distance (&lt;25 km)</v>
      </c>
      <c r="D6" s="410" t="str">
        <f>Commodities!F31</f>
        <v>Mpass-km</v>
      </c>
      <c r="E6" s="2749">
        <f>Cars!DQ28</f>
        <v>961.36342150643441</v>
      </c>
      <c r="F6" s="2749">
        <f>Cars!DQ52</f>
        <v>2000.7874991017616</v>
      </c>
      <c r="G6" s="2749">
        <f>Cars!DQ76</f>
        <v>16085.2278957566</v>
      </c>
      <c r="H6" s="2749">
        <f>Cars!DQ100</f>
        <v>5332.4877789287557</v>
      </c>
      <c r="I6" s="3046"/>
      <c r="J6" s="3046"/>
      <c r="L6" s="2439">
        <f t="shared" ref="L6:L20" si="0">SUM(E6:K6)</f>
        <v>24379.866595293552</v>
      </c>
      <c r="O6" s="545"/>
      <c r="P6" s="545"/>
      <c r="Q6" s="545"/>
      <c r="R6" s="545"/>
      <c r="S6" s="545"/>
      <c r="T6" s="303"/>
      <c r="U6" s="2734"/>
      <c r="V6" s="543"/>
      <c r="W6" s="35"/>
    </row>
    <row r="7" spans="2:45">
      <c r="B7" s="409" t="str">
        <f>Commodities!D8</f>
        <v>TPCAM</v>
      </c>
      <c r="C7" s="457" t="str">
        <f>Commodities!E8</f>
        <v>Transport Passengers Cars Medium Distance (25-50 km)</v>
      </c>
      <c r="D7" s="410" t="str">
        <f>Commodities!F32</f>
        <v>Mpass-km</v>
      </c>
      <c r="E7" s="2749">
        <f>Cars!DQ29</f>
        <v>741.9114019279973</v>
      </c>
      <c r="F7" s="2749">
        <f>Cars!DQ53</f>
        <v>1736.0267402048485</v>
      </c>
      <c r="G7" s="2749">
        <f>Cars!DQ77</f>
        <v>15344.598283236006</v>
      </c>
      <c r="H7" s="2749">
        <f>Cars!DQ101</f>
        <v>5355.1212223893008</v>
      </c>
      <c r="I7" s="3046"/>
      <c r="J7" s="3046"/>
      <c r="L7" s="2439">
        <f t="shared" si="0"/>
        <v>23177.657647758155</v>
      </c>
      <c r="O7" s="545"/>
      <c r="P7" s="545"/>
      <c r="Q7" s="545"/>
      <c r="R7" s="545"/>
      <c r="S7" s="545"/>
      <c r="T7" s="303"/>
      <c r="U7" s="2734"/>
      <c r="V7" s="543"/>
      <c r="W7" s="35"/>
    </row>
    <row r="8" spans="2:45">
      <c r="B8" s="409" t="str">
        <f>Commodities!D9</f>
        <v>TPCAL</v>
      </c>
      <c r="C8" s="457" t="str">
        <f>Commodities!E9</f>
        <v>Transport Passengers Cars Long Distance (&gt;50 km)</v>
      </c>
      <c r="D8" s="410" t="str">
        <f>Commodities!F33</f>
        <v>Mpass-km</v>
      </c>
      <c r="E8" s="2749">
        <f>Cars!DQ30</f>
        <v>1895.3650463571753</v>
      </c>
      <c r="F8" s="2749">
        <f>Cars!DQ54</f>
        <v>4919.9753598576908</v>
      </c>
      <c r="G8" s="2749">
        <f>Cars!DQ78</f>
        <v>34958.076303703776</v>
      </c>
      <c r="H8" s="2749">
        <f>Cars!DQ102</f>
        <v>10674.186930861022</v>
      </c>
      <c r="I8" s="3046"/>
      <c r="J8" s="3046"/>
      <c r="L8" s="2439">
        <f t="shared" si="0"/>
        <v>52447.603640779664</v>
      </c>
      <c r="N8" s="784">
        <f>SUM(L5:L8)</f>
        <v>104183.78675185765</v>
      </c>
      <c r="O8" s="545"/>
      <c r="P8" s="545"/>
      <c r="Q8" s="545"/>
      <c r="R8" s="545"/>
      <c r="S8" s="545"/>
      <c r="T8" s="192">
        <f>'SE km&amp;fuel data'!$C$110*1000</f>
        <v>107950.01999999999</v>
      </c>
      <c r="U8" s="2735" t="s">
        <v>2725</v>
      </c>
      <c r="V8" s="467" t="s">
        <v>2726</v>
      </c>
      <c r="W8" s="2722">
        <f>N8/T8</f>
        <v>0.96511132422076129</v>
      </c>
      <c r="AH8" s="12"/>
    </row>
    <row r="9" spans="2:45">
      <c r="B9" s="543" t="str">
        <f>Commodities!D25</f>
        <v>TPMTS</v>
      </c>
      <c r="C9" s="457" t="str">
        <f>Commodities!E25</f>
        <v>Transport Passengers Motorbike Short Distance</v>
      </c>
      <c r="D9" s="410" t="str">
        <f>Commodities!F34</f>
        <v>Mpass-km</v>
      </c>
      <c r="E9" s="2750">
        <f>'Moto-Mopeds'!S6</f>
        <v>3.7910361877358092</v>
      </c>
      <c r="F9" s="2750">
        <f>'Moto-Mopeds'!S13</f>
        <v>12.578079881505067</v>
      </c>
      <c r="G9" s="2750">
        <f>'Moto-Mopeds'!S20</f>
        <v>93.931532882679022</v>
      </c>
      <c r="H9" s="2750">
        <f>'Moto-Mopeds'!S27</f>
        <v>32.065676894846256</v>
      </c>
      <c r="I9" s="3047"/>
      <c r="J9" s="3047"/>
      <c r="L9" s="2439">
        <f t="shared" si="0"/>
        <v>142.36632584676616</v>
      </c>
      <c r="O9" s="545"/>
      <c r="P9" s="545"/>
      <c r="Q9" s="545"/>
      <c r="R9" s="545"/>
      <c r="S9" s="545"/>
      <c r="T9" s="2719"/>
      <c r="U9" s="2733"/>
      <c r="V9" s="2549"/>
      <c r="W9" s="2457"/>
      <c r="AH9" s="12"/>
    </row>
    <row r="10" spans="2:45">
      <c r="B10" s="543" t="str">
        <f>Commodities!D26</f>
        <v>TPMTM</v>
      </c>
      <c r="C10" s="457" t="str">
        <f>Commodities!E26</f>
        <v>Transport Passengers Motorbike Medium Distance</v>
      </c>
      <c r="D10" s="410" t="str">
        <f>Commodities!F35</f>
        <v>Mpass-km</v>
      </c>
      <c r="E10" s="2750">
        <f>'Moto-Mopeds'!S7</f>
        <v>6.2202755017411437</v>
      </c>
      <c r="F10" s="2750">
        <f>'Moto-Mopeds'!S14</f>
        <v>20.637925430249535</v>
      </c>
      <c r="G10" s="2750">
        <f>'Moto-Mopeds'!S21</f>
        <v>154.12145489966463</v>
      </c>
      <c r="H10" s="2750">
        <f>'Moto-Mopeds'!S28</f>
        <v>52.612883274766311</v>
      </c>
      <c r="I10" s="3047"/>
      <c r="J10" s="3047"/>
      <c r="K10" s="12"/>
      <c r="L10" s="2439">
        <f t="shared" si="0"/>
        <v>233.59253910642161</v>
      </c>
      <c r="O10" s="545"/>
      <c r="P10" s="545"/>
      <c r="Q10" s="545"/>
      <c r="R10" s="545"/>
      <c r="S10" s="545"/>
      <c r="T10" s="303"/>
      <c r="U10" s="2734"/>
      <c r="V10" s="543"/>
      <c r="W10" s="35"/>
    </row>
    <row r="11" spans="2:45">
      <c r="B11" s="543" t="str">
        <f>Commodities!D27</f>
        <v>TPMTL</v>
      </c>
      <c r="C11" s="457" t="str">
        <f>Commodities!E27</f>
        <v>Transport Passengers Motorbike Long Distance</v>
      </c>
      <c r="D11" s="410" t="str">
        <f>Commodities!F38</f>
        <v>Mpass-km</v>
      </c>
      <c r="E11" s="2750">
        <f>'Moto-Mopeds'!S8</f>
        <v>14.358248014568121</v>
      </c>
      <c r="F11" s="2750">
        <f>'Moto-Mopeds'!S15</f>
        <v>47.638477065965951</v>
      </c>
      <c r="G11" s="2750">
        <f>'Moto-Mopeds'!S22</f>
        <v>355.7582092941114</v>
      </c>
      <c r="H11" s="2750">
        <f>'Moto-Mopeds'!S29</f>
        <v>121.44620067216675</v>
      </c>
      <c r="I11" s="3047"/>
      <c r="J11" s="3047"/>
      <c r="K11" s="12"/>
      <c r="L11" s="2439">
        <f t="shared" si="0"/>
        <v>539.20113504681217</v>
      </c>
      <c r="N11" s="548">
        <f>SUM(L9:L11)</f>
        <v>915.16</v>
      </c>
      <c r="O11" s="545"/>
      <c r="P11" s="545"/>
      <c r="Q11" s="545"/>
      <c r="R11" s="545"/>
      <c r="S11" s="545"/>
      <c r="T11" s="192">
        <f>'SE km&amp;fuel data'!$D$110*1000</f>
        <v>915.16</v>
      </c>
      <c r="U11" s="2736" t="s">
        <v>2725</v>
      </c>
      <c r="V11" s="734" t="s">
        <v>1316</v>
      </c>
      <c r="W11" s="2723">
        <f>N11/T11</f>
        <v>1</v>
      </c>
    </row>
    <row r="12" spans="2:45">
      <c r="B12" s="543" t="str">
        <f>Commodities!D28</f>
        <v>TPMPX</v>
      </c>
      <c r="C12" s="457" t="str">
        <f>Commodities!E28</f>
        <v>Transport Passengers Moped 45 Extra Short Distance</v>
      </c>
      <c r="D12" s="410" t="str">
        <f>Commodities!F39</f>
        <v>Mpass-km</v>
      </c>
      <c r="E12" s="2750">
        <f>'Moto-Mopeds'!S9</f>
        <v>0.67784886766165764</v>
      </c>
      <c r="F12" s="2750">
        <f>'Moto-Mopeds'!S16</f>
        <v>2.0330323994062427</v>
      </c>
      <c r="G12" s="2750">
        <f>'Moto-Mopeds'!S23</f>
        <v>16.774638384863767</v>
      </c>
      <c r="H12" s="2750">
        <f>'Moto-Mopeds'!S30</f>
        <v>5.6937440895606359</v>
      </c>
      <c r="I12" s="3047"/>
      <c r="J12" s="3047"/>
      <c r="L12" s="2439">
        <f t="shared" si="0"/>
        <v>25.179263741492303</v>
      </c>
      <c r="M12" s="12"/>
      <c r="O12" s="545"/>
      <c r="P12" s="545"/>
      <c r="Q12" s="545"/>
      <c r="R12" s="545"/>
      <c r="S12" s="545"/>
      <c r="T12" s="2700"/>
      <c r="U12" s="2733"/>
      <c r="V12" s="2549"/>
      <c r="W12" s="2457"/>
    </row>
    <row r="13" spans="2:45">
      <c r="B13" s="543" t="str">
        <f>Commodities!D29</f>
        <v>TPMPS</v>
      </c>
      <c r="C13" s="457" t="str">
        <f>Commodities!E29</f>
        <v>Transport Passengers Moped 45 Short Distance</v>
      </c>
      <c r="D13" s="410" t="str">
        <f>Commodities!F35</f>
        <v>Mpass-km</v>
      </c>
      <c r="E13" s="2750">
        <f>'Moto-Mopeds'!S10</f>
        <v>2.4566946658596001</v>
      </c>
      <c r="F13" s="2750">
        <f>'Moto-Mopeds'!S17</f>
        <v>7.3682203945703737</v>
      </c>
      <c r="G13" s="2750">
        <f>'Moto-Mopeds'!S24</f>
        <v>60.795505617615355</v>
      </c>
      <c r="H13" s="2750">
        <f>'Moto-Mopeds'!S31</f>
        <v>20.635559637130093</v>
      </c>
      <c r="I13" s="3047"/>
      <c r="J13" s="3047"/>
      <c r="L13" s="2439">
        <f t="shared" si="0"/>
        <v>91.255980315175407</v>
      </c>
      <c r="M13" s="12"/>
      <c r="O13" s="545"/>
      <c r="P13" s="545"/>
      <c r="Q13" s="545"/>
      <c r="R13" s="545"/>
      <c r="S13" s="545"/>
      <c r="T13" s="22"/>
      <c r="U13" s="2734"/>
      <c r="V13" s="543"/>
      <c r="W13" s="35"/>
    </row>
    <row r="14" spans="2:45">
      <c r="B14" s="543" t="str">
        <f>Commodities!D30</f>
        <v>TPMPM</v>
      </c>
      <c r="C14" s="457" t="str">
        <f>Commodities!E30</f>
        <v>Transport Passengers Moped 45 Medium Distance</v>
      </c>
      <c r="D14" s="410" t="str">
        <f>Commodities!F38</f>
        <v>Mpass-km</v>
      </c>
      <c r="E14" s="2750">
        <f>'Moto-Mopeds'!S11</f>
        <v>0.23346493004299232</v>
      </c>
      <c r="F14" s="2750">
        <f>'Moto-Mopeds'!S18</f>
        <v>0.70021768796319439</v>
      </c>
      <c r="G14" s="2750">
        <f>'Moto-Mopeds'!S25</f>
        <v>5.7775264721302078</v>
      </c>
      <c r="H14" s="2750">
        <f>'Moto-Mopeds'!S32</f>
        <v>1.9610412128260399</v>
      </c>
      <c r="I14" s="3047"/>
      <c r="J14" s="3047"/>
      <c r="L14" s="2439">
        <f t="shared" si="0"/>
        <v>8.6722503029624338</v>
      </c>
      <c r="M14" s="12"/>
      <c r="O14" s="545"/>
      <c r="P14" s="545"/>
      <c r="Q14" s="545"/>
      <c r="R14" s="545"/>
      <c r="S14" s="545"/>
      <c r="T14" s="22"/>
      <c r="U14" s="2734"/>
      <c r="V14" s="543"/>
      <c r="W14" s="35"/>
    </row>
    <row r="15" spans="2:45">
      <c r="B15" s="543" t="str">
        <f>Commodities!D31</f>
        <v>TPMPL</v>
      </c>
      <c r="C15" s="457" t="str">
        <f>Commodities!E31</f>
        <v>Transport Passengers Moped 45 Long Distance</v>
      </c>
      <c r="D15" s="410" t="str">
        <f>Commodities!F39</f>
        <v>Mpass-km</v>
      </c>
      <c r="E15" s="2750">
        <f>'Moto-Mopeds'!S12</f>
        <v>2.9777412363887559E-2</v>
      </c>
      <c r="F15" s="2750">
        <f>'Moto-Mopeds'!S19</f>
        <v>8.9309648498934538E-2</v>
      </c>
      <c r="G15" s="2750">
        <f>'Moto-Mopeds'!S26</f>
        <v>0.73689777806121359</v>
      </c>
      <c r="H15" s="2750">
        <f>'Moto-Mopeds'!S33</f>
        <v>0.25012207549179161</v>
      </c>
      <c r="I15" s="3047"/>
      <c r="J15" s="3047"/>
      <c r="L15" s="2439">
        <f t="shared" si="0"/>
        <v>1.1061069144158273</v>
      </c>
      <c r="M15" s="12">
        <f>'Moto-Mopeds'!C39*'Moto-Mopeds'!I46</f>
        <v>1.1061069144158271</v>
      </c>
      <c r="N15" s="2370">
        <f>SUM(L12:L15)</f>
        <v>126.21360127404598</v>
      </c>
      <c r="O15" s="545"/>
      <c r="P15" s="545"/>
      <c r="Q15" s="545"/>
      <c r="R15" s="545"/>
      <c r="S15" s="545"/>
      <c r="T15" s="22"/>
      <c r="U15" s="2735"/>
      <c r="V15" s="467"/>
      <c r="W15" s="35"/>
    </row>
    <row r="16" spans="2:45">
      <c r="B16" s="10" t="str">
        <f>Commodities!D37</f>
        <v>TPBIX</v>
      </c>
      <c r="C16" s="457" t="str">
        <f>Commodities!E37</f>
        <v>Transport Passengers bicycles Extra Short Distance (&lt;5 km)</v>
      </c>
      <c r="D16" s="410" t="str">
        <f>Commodities!F40</f>
        <v>Mpass-km</v>
      </c>
      <c r="E16" s="2750">
        <f>BIKE!T7</f>
        <v>31.66383575576647</v>
      </c>
      <c r="F16" s="2750">
        <f>BIKE!T10</f>
        <v>78.262163792418818</v>
      </c>
      <c r="G16" s="2750">
        <f>BIKE!T13</f>
        <v>589.89383956147833</v>
      </c>
      <c r="H16" s="2750">
        <f>BIKE!T16</f>
        <v>223.2865321520263</v>
      </c>
      <c r="I16" s="3047"/>
      <c r="J16" s="3047"/>
      <c r="L16" s="2439">
        <f t="shared" si="0"/>
        <v>923.1063712616899</v>
      </c>
      <c r="M16" s="170">
        <f>'SE Bicycle - Walk'!S4+'SE Bicycle - Walk'!S7+'SE Bicycle - Walk'!S10+'SE Bicycle - Walk'!S13</f>
        <v>923.1063712616899</v>
      </c>
      <c r="O16" s="545"/>
      <c r="P16" s="545"/>
      <c r="Q16" s="545"/>
      <c r="R16" s="545"/>
      <c r="S16" s="545"/>
      <c r="T16" s="22"/>
      <c r="U16" s="2734"/>
      <c r="V16" s="543"/>
      <c r="W16" s="35"/>
    </row>
    <row r="17" spans="1:23">
      <c r="B17" s="10" t="str">
        <f>Commodities!D38</f>
        <v>TPBIS</v>
      </c>
      <c r="C17" s="457" t="str">
        <f>Commodities!E38</f>
        <v>Transport Passengers bicycles Short Distance (&lt;25 km)</v>
      </c>
      <c r="D17" s="410" t="str">
        <f>Commodities!F38</f>
        <v>Mpass-km</v>
      </c>
      <c r="E17" s="2750">
        <f>BIKE!T8</f>
        <v>27.212581236608411</v>
      </c>
      <c r="F17" s="2750">
        <f>BIKE!T11</f>
        <v>67.260186238368064</v>
      </c>
      <c r="G17" s="2750">
        <f>BIKE!T14</f>
        <v>671.37821466531386</v>
      </c>
      <c r="H17" s="2750">
        <f>BIKE!T17</f>
        <v>156.02562818095697</v>
      </c>
      <c r="I17" s="3047"/>
      <c r="J17" s="3047"/>
      <c r="L17" s="2439">
        <f t="shared" si="0"/>
        <v>921.87661032124743</v>
      </c>
      <c r="M17" s="170">
        <f>'SE Bicycle - Walk'!S5+'SE Bicycle - Walk'!S8+'SE Bicycle - Walk'!S11+'SE Bicycle - Walk'!S14</f>
        <v>921.87661032124743</v>
      </c>
      <c r="O17" s="545"/>
      <c r="P17" s="545"/>
      <c r="Q17" s="545"/>
      <c r="R17" s="545"/>
      <c r="S17" s="545"/>
      <c r="T17" s="22"/>
      <c r="U17" s="2734"/>
      <c r="V17" s="543"/>
      <c r="W17" s="35"/>
    </row>
    <row r="18" spans="1:23">
      <c r="B18" s="10" t="str">
        <f>Commodities!D39</f>
        <v>TPBIM</v>
      </c>
      <c r="C18" s="457" t="str">
        <f>Commodities!E39</f>
        <v>Transport Passengers bicycles Medium Distance (25-50 km)</v>
      </c>
      <c r="D18" s="410" t="str">
        <f>Commodities!F39</f>
        <v>Mpass-km</v>
      </c>
      <c r="E18" s="2750">
        <f>BIKE!T9</f>
        <v>0</v>
      </c>
      <c r="F18" s="2750">
        <f>BIKE!T12</f>
        <v>0</v>
      </c>
      <c r="G18" s="2750">
        <f>BIKE!T15</f>
        <v>0</v>
      </c>
      <c r="H18" s="2750">
        <f>BIKE!T18</f>
        <v>0</v>
      </c>
      <c r="I18" s="3047"/>
      <c r="J18" s="3047"/>
      <c r="L18" s="2439">
        <f t="shared" si="0"/>
        <v>0</v>
      </c>
      <c r="M18" s="170">
        <f>'SE Bicycle - Walk'!S6+'SE Bicycle - Walk'!S9+'SE Bicycle - Walk'!S12+'SE Bicycle - Walk'!S15</f>
        <v>0</v>
      </c>
      <c r="O18" s="545"/>
      <c r="P18" s="545"/>
      <c r="Q18" s="545"/>
      <c r="R18" s="545"/>
      <c r="S18" s="545"/>
      <c r="T18" s="22"/>
      <c r="U18" s="2734"/>
      <c r="V18" s="543"/>
      <c r="W18" s="35"/>
    </row>
    <row r="19" spans="1:23">
      <c r="B19" s="10" t="str">
        <f>Commodities!D40</f>
        <v>TPWAX</v>
      </c>
      <c r="C19" s="460" t="str">
        <f>Commodities!E40</f>
        <v xml:space="preserve">Transport Passengers Walk Extra Short Distance </v>
      </c>
      <c r="D19" s="410" t="str">
        <f>Commodities!F40</f>
        <v>Mpass-km</v>
      </c>
      <c r="E19" s="2750">
        <f>WALK!T7</f>
        <v>60.560026968347493</v>
      </c>
      <c r="F19" s="2750">
        <f>WALK!T9</f>
        <v>158.34445723204135</v>
      </c>
      <c r="G19" s="2750">
        <f>WALK!T11</f>
        <v>1490.6288558188517</v>
      </c>
      <c r="H19" s="2750">
        <f>WALK!T13</f>
        <v>438.62155744956766</v>
      </c>
      <c r="I19" s="3047"/>
      <c r="J19" s="3047"/>
      <c r="L19" s="2439">
        <f t="shared" si="0"/>
        <v>2148.154897468808</v>
      </c>
      <c r="M19" s="170">
        <f>'SE Bicycle - Walk'!S23+'SE Bicycle - Walk'!S26+'SE Bicycle - Walk'!S29+'SE Bicycle - Walk'!S32</f>
        <v>2148.154897468808</v>
      </c>
      <c r="O19" s="545"/>
      <c r="P19" s="545"/>
      <c r="Q19" s="545"/>
      <c r="R19" s="545"/>
      <c r="S19" s="545"/>
      <c r="T19" s="22"/>
      <c r="U19" s="2734"/>
      <c r="V19" s="543"/>
      <c r="W19" s="35"/>
    </row>
    <row r="20" spans="1:23">
      <c r="B20" s="10" t="str">
        <f>Commodities!D41</f>
        <v>TPWAS</v>
      </c>
      <c r="C20" s="460" t="str">
        <f>Commodities!E41</f>
        <v xml:space="preserve">Transport Passengers Walk Short Distance </v>
      </c>
      <c r="D20" s="410" t="str">
        <f>Commodities!F41</f>
        <v>Mpass-km</v>
      </c>
      <c r="E20" s="2750">
        <f>WALK!T8</f>
        <v>42.556998488781041</v>
      </c>
      <c r="F20" s="2750">
        <f>WALK!T10</f>
        <v>96.525533831600242</v>
      </c>
      <c r="G20" s="2750">
        <f>WALK!T12</f>
        <v>718.38163034767092</v>
      </c>
      <c r="H20" s="2750">
        <f>WALK!T14</f>
        <v>225.71135700615184</v>
      </c>
      <c r="I20" s="3047"/>
      <c r="J20" s="3047"/>
      <c r="L20" s="2439">
        <f t="shared" si="0"/>
        <v>1083.1755196742042</v>
      </c>
      <c r="M20" s="170">
        <f>'SE Bicycle - Walk'!S24+'SE Bicycle - Walk'!S27+'SE Bicycle - Walk'!S30+'SE Bicycle - Walk'!S33</f>
        <v>1083.1755196742042</v>
      </c>
      <c r="N20" s="548">
        <f>SUM(L12:L20)</f>
        <v>5202.5269999999955</v>
      </c>
      <c r="O20" s="545"/>
      <c r="P20" s="545"/>
      <c r="Q20" s="545"/>
      <c r="R20" s="545"/>
      <c r="S20" s="545"/>
      <c r="T20" s="461">
        <f>'SE km&amp;fuel data'!$M$110*1000</f>
        <v>5202.527</v>
      </c>
      <c r="U20" s="2736" t="s">
        <v>2725</v>
      </c>
      <c r="V20" s="734" t="s">
        <v>3209</v>
      </c>
      <c r="W20" s="2723">
        <f>N20/T20</f>
        <v>0.99999999999999911</v>
      </c>
    </row>
    <row r="21" spans="1:23">
      <c r="B21" s="409" t="str">
        <f>Commodities!D10</f>
        <v>TPBUX</v>
      </c>
      <c r="C21" s="460" t="str">
        <f>Commodities!E10</f>
        <v>Transport Passengers Public Bus Extra Short Distance (&lt;5 km)</v>
      </c>
      <c r="D21" s="414" t="str">
        <f>Commodities!F10</f>
        <v>Mpass-km</v>
      </c>
      <c r="E21" s="2750">
        <f>BUS!U6</f>
        <v>19.138552648256521</v>
      </c>
      <c r="F21" s="2750">
        <f>BUS!U17</f>
        <v>44.37378709250936</v>
      </c>
      <c r="G21" s="2750">
        <f>BUS!U28</f>
        <v>404.81590864680061</v>
      </c>
      <c r="H21" s="2750">
        <f>BUS!U39</f>
        <v>84.159113712230564</v>
      </c>
      <c r="I21" s="3047"/>
      <c r="J21" s="3047"/>
      <c r="L21" s="2439">
        <f t="shared" ref="L21:L27" si="1">SUM(E21:K21)</f>
        <v>552.487362099797</v>
      </c>
      <c r="M21" s="784">
        <f>'SE BUS data'!K68*BUS!J6</f>
        <v>435.97560080338701</v>
      </c>
      <c r="O21" s="545"/>
      <c r="P21" s="545"/>
      <c r="Q21" s="545"/>
      <c r="R21" s="545"/>
      <c r="S21" s="545"/>
      <c r="T21" s="2719"/>
      <c r="U21" s="2734"/>
      <c r="V21" s="543"/>
      <c r="W21" s="35"/>
    </row>
    <row r="22" spans="1:23">
      <c r="A22" s="14"/>
      <c r="B22" s="409" t="str">
        <f>Commodities!D11</f>
        <v>TPBUS</v>
      </c>
      <c r="C22" s="460" t="str">
        <f>Commodities!E11</f>
        <v>Transport Passengers Public Bus Short Distance (&lt;25km)</v>
      </c>
      <c r="D22" s="414" t="str">
        <f>Commodities!F11</f>
        <v>Mpass-km</v>
      </c>
      <c r="E22" s="2750">
        <f>BUS!U7</f>
        <v>107.9280102674964</v>
      </c>
      <c r="F22" s="2750">
        <f>BUS!U18</f>
        <v>250.23702873186355</v>
      </c>
      <c r="G22" s="2750">
        <f>BUS!U29</f>
        <v>1877.3988649325693</v>
      </c>
      <c r="H22" s="2750">
        <f>BUS!U40</f>
        <v>546.22271582563792</v>
      </c>
      <c r="I22" s="3047"/>
      <c r="J22" s="3047"/>
      <c r="L22" s="2439">
        <f t="shared" si="1"/>
        <v>2781.7866197575672</v>
      </c>
      <c r="M22" s="784">
        <f>'SE BUS data'!K68*BUS!J7</f>
        <v>2458.5965294597331</v>
      </c>
      <c r="O22" s="545"/>
      <c r="P22" s="545"/>
      <c r="Q22" s="545"/>
      <c r="R22" s="545"/>
      <c r="S22" s="545"/>
      <c r="T22" s="303"/>
      <c r="U22" s="2734"/>
      <c r="V22" s="543"/>
      <c r="W22" s="35"/>
    </row>
    <row r="23" spans="1:23">
      <c r="A23" s="14"/>
      <c r="B23" s="409" t="str">
        <f>Commodities!D12</f>
        <v>TPBUM</v>
      </c>
      <c r="C23" s="457" t="str">
        <f>Commodities!E12</f>
        <v>Transport Passengers Public Bus Medium Distance (25-50 km)</v>
      </c>
      <c r="D23" s="410" t="str">
        <f>Commodities!F12</f>
        <v>Mpass-km</v>
      </c>
      <c r="E23" s="2750">
        <f>BUS!U8</f>
        <v>44.897277644137255</v>
      </c>
      <c r="F23" s="2750">
        <f>BUS!U19</f>
        <v>104.09680793681738</v>
      </c>
      <c r="G23" s="2750">
        <f>BUS!U30</f>
        <v>1124.1827003346384</v>
      </c>
      <c r="H23" s="2750">
        <f>BUS!U41</f>
        <v>459.43477758938593</v>
      </c>
      <c r="I23" s="3047"/>
      <c r="J23" s="3047"/>
      <c r="L23" s="2439">
        <f t="shared" si="1"/>
        <v>1732.6115635049789</v>
      </c>
      <c r="M23" s="784">
        <f>'SE BUS data'!$K$68*BUS!J8</f>
        <v>1022.7585102744106</v>
      </c>
      <c r="O23" s="545"/>
      <c r="P23" s="545"/>
      <c r="Q23" s="545"/>
      <c r="R23" s="545"/>
      <c r="S23" s="545"/>
      <c r="T23" s="303"/>
      <c r="U23" s="2734"/>
      <c r="V23" s="543"/>
      <c r="W23" s="35"/>
    </row>
    <row r="24" spans="1:23">
      <c r="A24" s="14"/>
      <c r="B24" s="409" t="str">
        <f>Commodities!D13</f>
        <v>TPBUL</v>
      </c>
      <c r="C24" s="457" t="str">
        <f>Commodities!E13</f>
        <v>Transport Passengers Public Bus Long distance (&gt;50 km)</v>
      </c>
      <c r="D24" s="410" t="str">
        <f>Commodities!F13</f>
        <v>Mpass-km</v>
      </c>
      <c r="E24" s="2750">
        <f>BUS!U9</f>
        <v>104.96860433306736</v>
      </c>
      <c r="F24" s="2750">
        <f>BUS!U20</f>
        <v>243.37548328126616</v>
      </c>
      <c r="G24" s="2750">
        <f>BUS!U31</f>
        <v>720.30521476183628</v>
      </c>
      <c r="H24" s="2750">
        <f>BUS!U42</f>
        <v>172.9771522614864</v>
      </c>
      <c r="I24" s="3047"/>
      <c r="J24" s="3047"/>
      <c r="K24" s="754"/>
      <c r="L24" s="2439">
        <f t="shared" si="1"/>
        <v>1241.6264546376563</v>
      </c>
      <c r="M24" s="784">
        <f>'SE BUS data'!$K$68*BUS!J9</f>
        <v>2391.1813594624687</v>
      </c>
      <c r="O24" s="545"/>
      <c r="P24" s="545"/>
      <c r="Q24" s="545"/>
      <c r="R24" s="545"/>
      <c r="S24" s="545"/>
      <c r="T24" s="303"/>
      <c r="U24" s="2734"/>
      <c r="V24" s="543"/>
      <c r="W24" s="35"/>
    </row>
    <row r="25" spans="1:23">
      <c r="A25" s="14"/>
      <c r="B25" s="409" t="str">
        <f>Commodities!D14</f>
        <v>TPCOS</v>
      </c>
      <c r="C25" s="457" t="str">
        <f>Commodities!E14</f>
        <v>Transport Passengers Coach Short Distance (&lt;50 km)</v>
      </c>
      <c r="D25" s="410" t="str">
        <f>Commodities!F14</f>
        <v>Mpass-km</v>
      </c>
      <c r="E25" s="2750">
        <f>BUS!U14</f>
        <v>7.2039712304937806</v>
      </c>
      <c r="F25" s="2750">
        <f>BUS!U25</f>
        <v>16.702803575463413</v>
      </c>
      <c r="G25" s="2750">
        <f>BUS!U36</f>
        <v>113.57881960673838</v>
      </c>
      <c r="H25" s="2750">
        <f>BUS!U47</f>
        <v>34.755744578282368</v>
      </c>
      <c r="I25" s="3047"/>
      <c r="J25" s="3047"/>
      <c r="K25" s="754"/>
      <c r="L25" s="2439">
        <f t="shared" si="1"/>
        <v>172.24133899097794</v>
      </c>
      <c r="M25" s="784">
        <f>'SE BUS data'!$K$69*BUS!J14</f>
        <v>164.10622804702825</v>
      </c>
      <c r="O25" s="545"/>
      <c r="P25" s="545"/>
      <c r="Q25" s="545"/>
      <c r="R25" s="545"/>
      <c r="S25" s="545"/>
      <c r="T25" s="303"/>
      <c r="U25" s="2734"/>
      <c r="V25" s="543"/>
      <c r="W25" s="35"/>
    </row>
    <row r="26" spans="1:23">
      <c r="B26" s="409" t="str">
        <f>Commodities!D15</f>
        <v>TPCOM</v>
      </c>
      <c r="C26" s="457" t="str">
        <f>Commodities!E15</f>
        <v>Transport Passengers Coach Medium Distance (25-50 km)</v>
      </c>
      <c r="D26" s="410" t="str">
        <f>Commodities!F15</f>
        <v>Mpass-km</v>
      </c>
      <c r="E26" s="2750">
        <f>BUS!U15</f>
        <v>12.798138334010714</v>
      </c>
      <c r="F26" s="2750">
        <f>BUS!U26</f>
        <v>29.673187730087239</v>
      </c>
      <c r="G26" s="2750">
        <f>BUS!U37</f>
        <v>218.08308713926775</v>
      </c>
      <c r="H26" s="2750">
        <f>BUS!U48</f>
        <v>66.7346262243247</v>
      </c>
      <c r="I26" s="3047"/>
      <c r="J26" s="3047"/>
      <c r="L26" s="2439">
        <f t="shared" si="1"/>
        <v>327.2890394276904</v>
      </c>
      <c r="M26" s="784">
        <f>'SE BUS data'!$K$69*BUS!J15</f>
        <v>291.54117094865455</v>
      </c>
      <c r="O26" s="545"/>
      <c r="P26" s="545"/>
      <c r="Q26" s="545"/>
      <c r="R26" s="545"/>
      <c r="S26" s="545"/>
      <c r="T26" s="303"/>
      <c r="U26" s="2734"/>
      <c r="V26" s="543"/>
      <c r="W26" s="35"/>
    </row>
    <row r="27" spans="1:23">
      <c r="B27" s="412" t="str">
        <f>Commodities!D16</f>
        <v>TPCOL</v>
      </c>
      <c r="C27" s="459" t="str">
        <f>Commodities!E16</f>
        <v>Transport Passengers Coach Long distance (&gt;50 km)</v>
      </c>
      <c r="D27" s="413" t="str">
        <f>Commodities!F16</f>
        <v>Mpass-km</v>
      </c>
      <c r="E27" s="2750">
        <f>BUS!U16</f>
        <v>78.872011745618877</v>
      </c>
      <c r="F27" s="2750">
        <f>BUS!U27</f>
        <v>182.86909784041683</v>
      </c>
      <c r="G27" s="2750">
        <f>BUS!U38</f>
        <v>1141.7086201659304</v>
      </c>
      <c r="H27" s="2750">
        <f>BUS!U49</f>
        <v>349.36912817639546</v>
      </c>
      <c r="I27" s="3047"/>
      <c r="J27" s="3047"/>
      <c r="L27" s="2439">
        <f t="shared" si="1"/>
        <v>1752.8188579283615</v>
      </c>
      <c r="M27" s="784">
        <f>'SE BUS data'!$K$69*BUS!J16</f>
        <v>1796.7018373513474</v>
      </c>
      <c r="N27" s="548">
        <f>SUM(L21:L27)</f>
        <v>8560.8612363470274</v>
      </c>
      <c r="O27" s="545"/>
      <c r="P27" s="545"/>
      <c r="Q27" s="545"/>
      <c r="R27" s="545"/>
      <c r="S27" s="545"/>
      <c r="T27" s="192">
        <f>'SE km&amp;fuel data'!$E$110*1000</f>
        <v>8560.8612363470293</v>
      </c>
      <c r="U27" s="2736" t="s">
        <v>2725</v>
      </c>
      <c r="V27" s="734" t="s">
        <v>316</v>
      </c>
      <c r="W27" s="2723">
        <f>N27/T27</f>
        <v>0.99999999999999978</v>
      </c>
    </row>
    <row r="28" spans="1:23">
      <c r="B28" s="409" t="str">
        <f>Commodities!D17</f>
        <v>TPRMX</v>
      </c>
      <c r="C28" s="457" t="str">
        <f>Commodities!E17</f>
        <v>Transport Passengers Metro Extra Short Distance</v>
      </c>
      <c r="D28" s="410" t="str">
        <f>Commodities!F17</f>
        <v>Mpass-km</v>
      </c>
      <c r="E28" s="2750">
        <f>TRAIN!V7</f>
        <v>0</v>
      </c>
      <c r="F28" s="2750">
        <f>TRAIN!V18</f>
        <v>0</v>
      </c>
      <c r="G28" s="2750">
        <f>TRAIN!V29</f>
        <v>276.07254983198976</v>
      </c>
      <c r="H28" s="2750">
        <f>TRAIN!V40</f>
        <v>0</v>
      </c>
      <c r="I28" s="3047"/>
      <c r="J28" s="3047"/>
      <c r="L28" s="2439">
        <f t="shared" ref="L28:L35" si="2">SUM(E28:K28)</f>
        <v>276.07254983198976</v>
      </c>
      <c r="M28" s="784">
        <f>TRAIN!I10*'SE Rail data'!$M$454</f>
        <v>276.07254983198976</v>
      </c>
      <c r="O28" s="545"/>
      <c r="P28" s="545"/>
      <c r="Q28" s="545"/>
      <c r="R28" s="545"/>
      <c r="S28" s="545"/>
      <c r="T28" s="2719"/>
      <c r="U28" s="2733"/>
      <c r="V28" s="2549"/>
      <c r="W28" s="2457"/>
    </row>
    <row r="29" spans="1:23">
      <c r="B29" s="409" t="str">
        <f>Commodities!D18</f>
        <v>TPRMS</v>
      </c>
      <c r="C29" s="457" t="str">
        <f>Commodities!E18</f>
        <v>Transport Passengers Metro Short Distance</v>
      </c>
      <c r="D29" s="410" t="str">
        <f>Commodities!F18</f>
        <v>Mpass-km</v>
      </c>
      <c r="E29" s="2750">
        <f>TRAIN!V8</f>
        <v>0</v>
      </c>
      <c r="F29" s="2750">
        <f>TRAIN!V19</f>
        <v>0</v>
      </c>
      <c r="G29" s="2750">
        <f>TRAIN!V30</f>
        <v>1454.9274501680104</v>
      </c>
      <c r="H29" s="2750">
        <f>TRAIN!V41</f>
        <v>0</v>
      </c>
      <c r="I29" s="3047"/>
      <c r="J29" s="3047"/>
      <c r="L29" s="2439">
        <f t="shared" si="2"/>
        <v>1454.9274501680104</v>
      </c>
      <c r="M29" s="784">
        <f>TRAIN!I11*'SE Rail data'!$M$454</f>
        <v>1454.9274501680104</v>
      </c>
      <c r="N29" s="548">
        <f>SUM(L28:L29)</f>
        <v>1731.0000000000002</v>
      </c>
      <c r="O29" s="545"/>
      <c r="P29" s="545"/>
      <c r="Q29" s="545"/>
      <c r="R29" s="545"/>
      <c r="S29" s="545"/>
      <c r="T29" s="192">
        <f>'SE km&amp;fuel data'!H110*1000</f>
        <v>1731</v>
      </c>
      <c r="U29" s="2736" t="s">
        <v>2725</v>
      </c>
      <c r="V29" s="734" t="s">
        <v>349</v>
      </c>
      <c r="W29" s="2723">
        <f>N29/T29</f>
        <v>1.0000000000000002</v>
      </c>
    </row>
    <row r="30" spans="1:23">
      <c r="B30" s="409" t="str">
        <f>Commodities!D19</f>
        <v>TPRSX</v>
      </c>
      <c r="C30" s="457" t="str">
        <f>Commodities!E19</f>
        <v>Transport Passengers S-Train Extra Short Distance</v>
      </c>
      <c r="D30" s="410" t="str">
        <f>Commodities!F19</f>
        <v>Mpass-km</v>
      </c>
      <c r="E30" s="2750">
        <f>TRAIN!V9</f>
        <v>0</v>
      </c>
      <c r="F30" s="2750">
        <f>TRAIN!V20</f>
        <v>0</v>
      </c>
      <c r="G30" s="2750">
        <f>TRAIN!V31</f>
        <v>161.32773288128328</v>
      </c>
      <c r="H30" s="2750">
        <f>TRAIN!V42</f>
        <v>0</v>
      </c>
      <c r="I30" s="3047"/>
      <c r="J30" s="3047"/>
      <c r="L30" s="2439">
        <f t="shared" si="2"/>
        <v>161.32773288128328</v>
      </c>
      <c r="M30" s="784">
        <f>TRAIN!I7*'SE Rail data'!$M$457</f>
        <v>161.32773288128328</v>
      </c>
      <c r="O30" s="545"/>
      <c r="P30" s="2860"/>
      <c r="Q30" s="2720"/>
      <c r="R30" s="2721"/>
      <c r="S30" s="545"/>
      <c r="T30" s="2719"/>
      <c r="U30" s="2733"/>
      <c r="V30" s="2549"/>
      <c r="W30" s="2457"/>
    </row>
    <row r="31" spans="1:23">
      <c r="B31" s="409" t="str">
        <f>Commodities!D20</f>
        <v>TPRSS</v>
      </c>
      <c r="C31" s="457" t="str">
        <f>Commodities!E20</f>
        <v>Transport Passengers S-Train Short Distance</v>
      </c>
      <c r="D31" s="410" t="str">
        <f>Commodities!F20</f>
        <v>Mpass-km</v>
      </c>
      <c r="E31" s="2750">
        <f>TRAIN!V10</f>
        <v>0</v>
      </c>
      <c r="F31" s="2750">
        <f>TRAIN!V21</f>
        <v>0</v>
      </c>
      <c r="G31" s="2750">
        <f>TRAIN!V32</f>
        <v>382.54765305022482</v>
      </c>
      <c r="H31" s="2750">
        <f>TRAIN!V43</f>
        <v>0</v>
      </c>
      <c r="I31" s="3047"/>
      <c r="J31" s="3047"/>
      <c r="K31" s="475"/>
      <c r="L31" s="2439">
        <f t="shared" si="2"/>
        <v>382.54765305022482</v>
      </c>
      <c r="M31" s="784">
        <f>TRAIN!I8*'SE Rail data'!$M$457</f>
        <v>382.54765305022482</v>
      </c>
      <c r="O31" s="545"/>
      <c r="P31" s="1554" t="s">
        <v>3264</v>
      </c>
      <c r="Q31" s="3"/>
      <c r="R31" s="425"/>
      <c r="S31" s="545"/>
      <c r="T31" s="303"/>
      <c r="U31" s="2734"/>
      <c r="V31" s="543"/>
      <c r="W31" s="35"/>
    </row>
    <row r="32" spans="1:23">
      <c r="B32" s="409" t="str">
        <f>Commodities!D21</f>
        <v>TPRSM</v>
      </c>
      <c r="C32" s="457" t="str">
        <f>Commodities!E21</f>
        <v>Transport Passengers S-Train Medium Distance</v>
      </c>
      <c r="D32" s="410" t="str">
        <f>Commodities!F21</f>
        <v>Mpass-km</v>
      </c>
      <c r="E32" s="2750">
        <f>TRAIN!V11</f>
        <v>0</v>
      </c>
      <c r="F32" s="2750">
        <f>TRAIN!V22</f>
        <v>0</v>
      </c>
      <c r="G32" s="2750">
        <f>TRAIN!V33</f>
        <v>4.1246140684918471</v>
      </c>
      <c r="H32" s="2750">
        <f>TRAIN!V44</f>
        <v>0</v>
      </c>
      <c r="I32" s="3047"/>
      <c r="J32" s="3047"/>
      <c r="K32" s="475"/>
      <c r="L32" s="2439">
        <f t="shared" si="2"/>
        <v>4.1246140684918471</v>
      </c>
      <c r="M32" s="784">
        <f>TRAIN!I9*'SE Rail data'!$M$457</f>
        <v>4.1246140684918471</v>
      </c>
      <c r="N32" s="548">
        <f>SUM(L30:L32)</f>
        <v>548</v>
      </c>
      <c r="O32" s="545"/>
      <c r="P32" s="1554" t="s">
        <v>3265</v>
      </c>
      <c r="Q32" s="3"/>
      <c r="R32" s="425"/>
      <c r="S32" s="545"/>
      <c r="T32" s="192">
        <f>'SE km&amp;fuel data'!I110*1000</f>
        <v>548</v>
      </c>
      <c r="U32" s="2736" t="s">
        <v>2725</v>
      </c>
      <c r="V32" s="734" t="s">
        <v>3194</v>
      </c>
      <c r="W32" s="2723">
        <f>N32/T32</f>
        <v>1</v>
      </c>
    </row>
    <row r="33" spans="2:29">
      <c r="B33" s="409" t="str">
        <f>Commodities!D22</f>
        <v>TPROS</v>
      </c>
      <c r="C33" s="457" t="str">
        <f>Commodities!E22</f>
        <v>Transport Passengers Train Short Distance</v>
      </c>
      <c r="D33" s="410" t="str">
        <f>Commodities!F22</f>
        <v>Mpass-km</v>
      </c>
      <c r="E33" s="2750">
        <f>TRAIN!V12</f>
        <v>19.384254635293942</v>
      </c>
      <c r="F33" s="2750">
        <f>TRAIN!V23</f>
        <v>46.775505873825537</v>
      </c>
      <c r="G33" s="2750">
        <f>TRAIN!V34</f>
        <v>772.88585363960215</v>
      </c>
      <c r="H33" s="2750">
        <f>TRAIN!V45</f>
        <v>271.19279599247307</v>
      </c>
      <c r="I33" s="3047"/>
      <c r="J33" s="3047"/>
      <c r="K33" s="475"/>
      <c r="L33" s="2439">
        <f t="shared" si="2"/>
        <v>1110.2384101411947</v>
      </c>
      <c r="M33" s="784">
        <f>TRAIN!I12*('SE Rail data'!$M$451)</f>
        <v>990.55105112769138</v>
      </c>
      <c r="O33" s="545"/>
      <c r="P33" s="2008" t="s">
        <v>3266</v>
      </c>
      <c r="Q33" s="3"/>
      <c r="R33" s="425"/>
      <c r="S33" s="545"/>
      <c r="T33" s="2719"/>
      <c r="U33" s="2733"/>
      <c r="V33" s="2549"/>
      <c r="W33" s="2457"/>
    </row>
    <row r="34" spans="2:29">
      <c r="B34" s="409" t="str">
        <f>Commodities!D23</f>
        <v>TPROM</v>
      </c>
      <c r="C34" s="460" t="str">
        <f>Commodities!E23</f>
        <v>Transport Passengers Train Medium Distance</v>
      </c>
      <c r="D34" s="414" t="str">
        <f>Commodities!F23</f>
        <v>Mpass-km</v>
      </c>
      <c r="E34" s="2750">
        <f>TRAIN!V13</f>
        <v>28.174658281547416</v>
      </c>
      <c r="F34" s="2750">
        <f>TRAIN!V24</f>
        <v>67.987339143905345</v>
      </c>
      <c r="G34" s="2750">
        <f>TRAIN!V35</f>
        <v>1149.6394677489345</v>
      </c>
      <c r="H34" s="2750">
        <f>TRAIN!V46</f>
        <v>347.41331629349645</v>
      </c>
      <c r="I34" s="3047"/>
      <c r="J34" s="3047"/>
      <c r="K34" s="475"/>
      <c r="L34" s="2439">
        <f t="shared" si="2"/>
        <v>1593.2147814678838</v>
      </c>
      <c r="M34" s="784">
        <f>TRAIN!I13*('SE Rail data'!$M$451)</f>
        <v>1439.7477695704604</v>
      </c>
      <c r="O34" s="545"/>
      <c r="P34" s="1554" t="s">
        <v>3269</v>
      </c>
      <c r="Q34" s="3"/>
      <c r="R34" s="425"/>
      <c r="S34" s="545"/>
      <c r="T34" s="303"/>
      <c r="U34" s="2734"/>
      <c r="V34" s="543"/>
      <c r="W34" s="35"/>
    </row>
    <row r="35" spans="2:29">
      <c r="B35" s="409" t="str">
        <f>Commodities!D24</f>
        <v>TPROL</v>
      </c>
      <c r="C35" s="460" t="str">
        <f>Commodities!E24</f>
        <v>Transport Passengers Train Long Distance</v>
      </c>
      <c r="D35" s="414" t="str">
        <f>Commodities!F24</f>
        <v>Mpass-km</v>
      </c>
      <c r="E35" s="2750">
        <f>TRAIN!V14</f>
        <v>170.7433089272316</v>
      </c>
      <c r="F35" s="2750">
        <f>TRAIN!V25</f>
        <v>412.01505035434764</v>
      </c>
      <c r="G35" s="2750">
        <f>TRAIN!V36</f>
        <v>6296.5969310495257</v>
      </c>
      <c r="H35" s="2750">
        <f>TRAIN!V47</f>
        <v>1572.6111810598179</v>
      </c>
      <c r="I35" s="3047"/>
      <c r="J35" s="3047"/>
      <c r="K35" s="475"/>
      <c r="L35" s="2439">
        <f t="shared" si="2"/>
        <v>8451.9664713909224</v>
      </c>
      <c r="M35" s="784">
        <f>TRAIN!I14*('SE Rail data'!$M$451)</f>
        <v>8725.1208423018488</v>
      </c>
      <c r="N35" s="548">
        <f>SUM(L33:L35)</f>
        <v>11155.419663000001</v>
      </c>
      <c r="O35" s="545"/>
      <c r="P35" s="2008" t="s">
        <v>3270</v>
      </c>
      <c r="Q35" s="3"/>
      <c r="R35" s="425"/>
      <c r="S35" s="545"/>
      <c r="T35" s="192">
        <f>'SE km&amp;fuel data'!G110*1000</f>
        <v>11155</v>
      </c>
      <c r="U35" s="2736" t="s">
        <v>2725</v>
      </c>
      <c r="V35" s="734" t="s">
        <v>220</v>
      </c>
      <c r="W35" s="2723">
        <f>N35/T35</f>
        <v>1.0000376210667863</v>
      </c>
    </row>
    <row r="36" spans="2:29">
      <c r="B36" s="409" t="str">
        <f>Commodities!D32</f>
        <v>TPSNH</v>
      </c>
      <c r="C36" s="460" t="str">
        <f>Commodities!E32</f>
        <v>Transport Passengers Sea National</v>
      </c>
      <c r="D36" s="414" t="str">
        <f>Commodities!F25</f>
        <v>Mpass-km</v>
      </c>
      <c r="E36" s="2749">
        <f>'SE NAVI Data'!N107/1000</f>
        <v>3.5304921189112233</v>
      </c>
      <c r="F36" s="2749">
        <f>'SE NAVI Data'!N108/1000</f>
        <v>3.5304921189112233</v>
      </c>
      <c r="G36" s="2749">
        <f>'SE NAVI Data'!N109/1000</f>
        <v>130.43379804074439</v>
      </c>
      <c r="H36" s="2749">
        <f>'SE NAVI Data'!N110/1000</f>
        <v>91.917217721433175</v>
      </c>
      <c r="I36" s="3046"/>
      <c r="J36" s="3046"/>
      <c r="K36" s="475"/>
      <c r="L36" s="2439">
        <f t="shared" ref="L36:L45" si="3">SUM(E36:K36)</f>
        <v>229.41200000000003</v>
      </c>
      <c r="M36" s="754">
        <f>SUM('SE NAVI Data'!N107:N110)/1000</f>
        <v>229.41200000000001</v>
      </c>
      <c r="N36" s="548">
        <f>L36</f>
        <v>229.41200000000003</v>
      </c>
      <c r="O36" s="545"/>
      <c r="P36" s="34"/>
      <c r="Q36" s="3"/>
      <c r="R36" s="425"/>
      <c r="S36" s="545"/>
      <c r="T36" s="2724">
        <f>'SE km&amp;fuel data'!R110*1000</f>
        <v>238.96800000000002</v>
      </c>
      <c r="U36" s="2737" t="s">
        <v>2725</v>
      </c>
      <c r="V36" s="2725" t="s">
        <v>3198</v>
      </c>
      <c r="W36" s="2723">
        <f>N36/T36</f>
        <v>0.96001138227712501</v>
      </c>
    </row>
    <row r="37" spans="2:29">
      <c r="B37" s="409" t="str">
        <f>Commodities!D33</f>
        <v>TPSIH</v>
      </c>
      <c r="C37" s="460" t="str">
        <f>Commodities!E33</f>
        <v>Transport Passengers Sea International</v>
      </c>
      <c r="D37" s="414" t="str">
        <f>Commodities!F26</f>
        <v>Mpass-km</v>
      </c>
      <c r="E37" s="2856">
        <f>E36*R37</f>
        <v>162.40263746991627</v>
      </c>
      <c r="F37" s="2856">
        <f>F36*R37</f>
        <v>162.40263746991627</v>
      </c>
      <c r="G37" s="2856">
        <f>G36*R37</f>
        <v>5999.9547098742423</v>
      </c>
      <c r="H37" s="2856">
        <f>H36*R37</f>
        <v>4228.1920151859258</v>
      </c>
      <c r="I37" s="3046"/>
      <c r="J37" s="3046"/>
      <c r="K37" s="38" t="s">
        <v>3271</v>
      </c>
      <c r="L37" s="2439">
        <f t="shared" si="3"/>
        <v>10552.952000000001</v>
      </c>
      <c r="M37">
        <f>SUM('SE NAVI Data'!O107:O110)/1000</f>
        <v>550.53599999999994</v>
      </c>
      <c r="N37" s="548">
        <f>L37</f>
        <v>10552.952000000001</v>
      </c>
      <c r="O37" s="545"/>
      <c r="P37" s="2008" t="s">
        <v>3262</v>
      </c>
      <c r="Q37" s="865" t="s">
        <v>3259</v>
      </c>
      <c r="R37" s="2861">
        <v>46</v>
      </c>
      <c r="S37" s="545"/>
      <c r="T37" s="2724">
        <f>'SE km&amp;fuel data'!Q110*1000</f>
        <v>570.774</v>
      </c>
      <c r="U37" s="2737" t="s">
        <v>2725</v>
      </c>
      <c r="V37" s="2725" t="s">
        <v>3199</v>
      </c>
      <c r="W37" s="2723">
        <f>N37/T37</f>
        <v>18.488844971915331</v>
      </c>
    </row>
    <row r="38" spans="2:29">
      <c r="B38" s="409" t="str">
        <f>Commodities!D34</f>
        <v>TPANV</v>
      </c>
      <c r="C38" s="460" t="str">
        <f>Commodities!E34</f>
        <v>Transport Passengers Air National</v>
      </c>
      <c r="D38" s="414" t="str">
        <f>Commodities!F27</f>
        <v>Mpass-km</v>
      </c>
      <c r="E38" s="2749">
        <f>'SE km&amp;fuel data'!$K$110*'SE Avi data'!H17*1000</f>
        <v>300.24998492113514</v>
      </c>
      <c r="F38" s="2749">
        <f>'SE km&amp;fuel data'!$K$110*'SE Avi data'!H18*1000</f>
        <v>412.36834930310118</v>
      </c>
      <c r="G38" s="2749">
        <f>'SE km&amp;fuel data'!$K$110*'SE Avi data'!H19*1000</f>
        <v>1855.8596083484254</v>
      </c>
      <c r="H38" s="2749">
        <f>'SE km&amp;fuel data'!$K$110*'SE Avi data'!H20*1000</f>
        <v>410.75205742733823</v>
      </c>
      <c r="I38" s="3046"/>
      <c r="J38" s="3046"/>
      <c r="K38" s="475"/>
      <c r="L38" s="2439">
        <f>SUM(E38:K38)</f>
        <v>2979.23</v>
      </c>
      <c r="M38">
        <f>'SE km&amp;fuel data'!K110*1000</f>
        <v>2979.23</v>
      </c>
      <c r="N38" s="548">
        <f>L38</f>
        <v>2979.23</v>
      </c>
      <c r="O38" s="2429"/>
      <c r="P38" s="22"/>
      <c r="Q38" s="543"/>
      <c r="R38" s="35"/>
      <c r="S38" s="2429"/>
      <c r="T38" s="461">
        <f>'SE km&amp;fuel data'!$K$110*1000</f>
        <v>2979.23</v>
      </c>
      <c r="U38" s="2736" t="s">
        <v>2725</v>
      </c>
      <c r="V38" s="734" t="s">
        <v>3195</v>
      </c>
      <c r="W38" s="2723">
        <f>N38/T38</f>
        <v>1</v>
      </c>
    </row>
    <row r="39" spans="2:29">
      <c r="B39" s="412" t="str">
        <f>Commodities!D35</f>
        <v>TPAIS</v>
      </c>
      <c r="C39" s="459" t="str">
        <f>Commodities!E35</f>
        <v>Transport Passengers Air International Short distance</v>
      </c>
      <c r="D39" s="413" t="str">
        <f>Commodities!F29</f>
        <v>Mpass-km</v>
      </c>
      <c r="E39" s="2856">
        <f>SUM($E$38:$H$38)*'SE Avi data'!F17*R39*J39</f>
        <v>39.771887184268522</v>
      </c>
      <c r="F39" s="2856">
        <f>SUM($E$38:$H$38)*'SE Avi data'!F18*R39*J39</f>
        <v>77.785438303548318</v>
      </c>
      <c r="G39" s="2856">
        <f>SUM($E$38:$H$38)*'SE Avi data'!F19*R39*J39</f>
        <v>8804.9097105753863</v>
      </c>
      <c r="H39" s="2856">
        <f>SUM($E$38:$H$38)*'SE Avi data'!F20*R39*J39</f>
        <v>462.10746393679568</v>
      </c>
      <c r="I39" s="3046"/>
      <c r="J39" s="754">
        <v>0.3</v>
      </c>
      <c r="K39" s="604" t="s">
        <v>3598</v>
      </c>
      <c r="L39" s="2439">
        <f>SUM(E39:H39)</f>
        <v>9384.5744999999988</v>
      </c>
      <c r="M39" s="784"/>
      <c r="O39" s="2079"/>
      <c r="P39" s="2008" t="s">
        <v>3261</v>
      </c>
      <c r="Q39" s="865" t="s">
        <v>3259</v>
      </c>
      <c r="R39" s="2861">
        <v>10.5</v>
      </c>
      <c r="S39" s="2079"/>
      <c r="T39" s="2742" t="s">
        <v>3196</v>
      </c>
      <c r="U39" s="2737" t="s">
        <v>2725</v>
      </c>
      <c r="V39" s="2725" t="s">
        <v>3197</v>
      </c>
      <c r="W39" s="2726"/>
      <c r="AC39" s="765"/>
    </row>
    <row r="40" spans="2:29" s="754" customFormat="1">
      <c r="B40" s="412" t="str">
        <f>Commodities!D36</f>
        <v>TPAIL</v>
      </c>
      <c r="C40" s="459" t="str">
        <f>Commodities!E36</f>
        <v>Transport Passengers Air International Long distance</v>
      </c>
      <c r="D40" s="413" t="str">
        <f>Commodities!F30</f>
        <v>Mpass-km</v>
      </c>
      <c r="E40" s="2856">
        <f>SUM($E$38:$H$38)*'SE Avi data'!F17*R39-E39</f>
        <v>92.80107009662656</v>
      </c>
      <c r="F40" s="2856">
        <f>SUM($E$38:$H$38)*'SE Avi data'!F18*R39-F39</f>
        <v>181.49935604161274</v>
      </c>
      <c r="G40" s="2856">
        <f>SUM($E$38:$H$38)*'SE Avi data'!F19*R39-G39</f>
        <v>20544.789324675905</v>
      </c>
      <c r="H40" s="2856">
        <f>SUM($E$38:$H$38)*'SE Avi data'!F20*R39-H39</f>
        <v>1078.2507491858566</v>
      </c>
      <c r="I40" s="3046"/>
      <c r="J40" s="3046"/>
      <c r="K40" s="38" t="s">
        <v>3271</v>
      </c>
      <c r="L40" s="2439">
        <f>SUM(E40:K40)</f>
        <v>21897.340499999998</v>
      </c>
      <c r="M40" s="784"/>
      <c r="O40" s="2079"/>
      <c r="P40" s="2008" t="s">
        <v>3261</v>
      </c>
      <c r="Q40" s="865" t="s">
        <v>3259</v>
      </c>
      <c r="R40" s="2861">
        <v>10.5</v>
      </c>
      <c r="S40" s="2079"/>
      <c r="T40" s="2742" t="s">
        <v>3196</v>
      </c>
      <c r="U40" s="2737" t="s">
        <v>2725</v>
      </c>
      <c r="V40" s="2725" t="s">
        <v>3197</v>
      </c>
      <c r="W40" s="2726"/>
      <c r="AC40" s="765"/>
    </row>
    <row r="41" spans="2:29">
      <c r="B41" s="409" t="str">
        <f>Commodities!D42</f>
        <v>TFVAS</v>
      </c>
      <c r="C41" s="460" t="str">
        <f>Commodities!E42</f>
        <v>Transport Freight Vans Short Distance (&lt;50 km)</v>
      </c>
      <c r="D41" s="414" t="str">
        <f>Commodities!F42</f>
        <v>Mt-km</v>
      </c>
      <c r="E41" s="2749">
        <f>'SE Assumptions'!U55</f>
        <v>48.974879956780214</v>
      </c>
      <c r="F41" s="2749">
        <f>'SE Assumptions'!U57</f>
        <v>100.84826851121909</v>
      </c>
      <c r="G41" s="2749">
        <f>'SE Assumptions'!U59</f>
        <v>695.8795705069449</v>
      </c>
      <c r="H41" s="2749">
        <f>'SE Assumptions'!U61</f>
        <v>186.21245966899502</v>
      </c>
      <c r="I41" s="3046"/>
      <c r="J41" s="3046"/>
      <c r="K41" s="475"/>
      <c r="L41" s="2439">
        <f t="shared" si="3"/>
        <v>1031.9151786439393</v>
      </c>
      <c r="M41" s="784">
        <f>'SE Assumptions'!U55+'SE Assumptions'!U57+'SE Assumptions'!U59+'SE Assumptions'!U61</f>
        <v>1031.9151786439393</v>
      </c>
      <c r="N41" s="754"/>
      <c r="O41" s="545"/>
      <c r="P41" s="22"/>
      <c r="Q41" s="543"/>
      <c r="R41" s="35"/>
      <c r="S41" s="545"/>
      <c r="T41" s="2700"/>
      <c r="U41" s="2738"/>
      <c r="V41" s="2549"/>
      <c r="W41" s="2457"/>
      <c r="AC41" s="765"/>
    </row>
    <row r="42" spans="2:29">
      <c r="B42" s="409" t="str">
        <f>Commodities!D43</f>
        <v>TFVAL</v>
      </c>
      <c r="C42" s="460" t="str">
        <f>Commodities!E43</f>
        <v>Transport Freight Vans Long distance (&gt;50 km)</v>
      </c>
      <c r="D42" s="414" t="str">
        <f>Commodities!F43</f>
        <v>Mt-km</v>
      </c>
      <c r="E42" s="2749">
        <f>'SE Assumptions'!U56</f>
        <v>95.068884621985106</v>
      </c>
      <c r="F42" s="2749">
        <f>'SE Assumptions'!U58</f>
        <v>195.76428593354291</v>
      </c>
      <c r="G42" s="2749">
        <f>'SE Assumptions'!U60</f>
        <v>1350.8250486311281</v>
      </c>
      <c r="H42" s="2749">
        <f>'SE Assumptions'!U62</f>
        <v>361.47124523981381</v>
      </c>
      <c r="I42" s="3046"/>
      <c r="J42" s="3046"/>
      <c r="K42" s="475"/>
      <c r="L42" s="2439">
        <f t="shared" si="3"/>
        <v>2003.1294644264699</v>
      </c>
      <c r="M42" s="784">
        <f>'SE Assumptions'!U56+'SE Assumptions'!U58+'SE Assumptions'!U60+'SE Assumptions'!U62</f>
        <v>2003.1294644264699</v>
      </c>
      <c r="N42" s="754"/>
      <c r="O42" s="545"/>
      <c r="P42" s="22"/>
      <c r="Q42" s="543"/>
      <c r="R42" s="35"/>
      <c r="S42" s="545"/>
      <c r="T42" s="461"/>
      <c r="U42" s="2739" t="s">
        <v>2602</v>
      </c>
      <c r="V42" s="734" t="s">
        <v>3204</v>
      </c>
      <c r="W42" s="426"/>
      <c r="AC42" s="2427"/>
    </row>
    <row r="43" spans="2:29">
      <c r="B43" s="409" t="str">
        <f>Commodities!D44</f>
        <v>TFTRS</v>
      </c>
      <c r="C43" s="460" t="str">
        <f>Commodities!E44</f>
        <v>Transport Freight Truck Short Distance (&lt;50 km)</v>
      </c>
      <c r="D43" s="414" t="str">
        <f>Commodities!F44</f>
        <v>Mt-km</v>
      </c>
      <c r="E43" s="2749">
        <f>'SE Assumptions'!O31</f>
        <v>144.40723385707031</v>
      </c>
      <c r="F43" s="2749">
        <f>'SE Assumptions'!O34</f>
        <v>305.89212889001521</v>
      </c>
      <c r="G43" s="2749">
        <f>'SE Assumptions'!O37</f>
        <v>1828.0442688798785</v>
      </c>
      <c r="H43" s="2749">
        <f>'SE Assumptions'!O40</f>
        <v>620.084368373036</v>
      </c>
      <c r="I43" s="3046"/>
      <c r="J43" s="3046"/>
      <c r="L43" s="2439">
        <f t="shared" si="3"/>
        <v>2898.4279999999999</v>
      </c>
      <c r="M43" s="784">
        <f>'SE Assumptions'!O31+'SE Assumptions'!O34+'SE Assumptions'!O37+'SE Assumptions'!O40</f>
        <v>2898.4279999999999</v>
      </c>
      <c r="O43" s="545"/>
      <c r="P43" s="22"/>
      <c r="Q43" s="543"/>
      <c r="R43" s="35"/>
      <c r="S43" s="545"/>
      <c r="T43" s="22"/>
      <c r="U43" s="2740"/>
      <c r="V43" s="543"/>
      <c r="W43" s="35"/>
    </row>
    <row r="44" spans="2:29">
      <c r="B44" s="409" t="str">
        <f>Commodities!D45</f>
        <v>TFTRN</v>
      </c>
      <c r="C44" s="460" t="str">
        <f>Commodities!E45</f>
        <v>Transport Freight Truck Long Distance National (&gt;50 km)</v>
      </c>
      <c r="D44" s="414" t="str">
        <f>Commodities!F45</f>
        <v>Mt-km</v>
      </c>
      <c r="E44" s="2749">
        <f>'SE Assumptions'!O32</f>
        <v>1486.669669538772</v>
      </c>
      <c r="F44" s="2749">
        <f>'SE Assumptions'!O35</f>
        <v>3149.1535293968573</v>
      </c>
      <c r="G44" s="2749">
        <f>'SE Assumptions'!O38</f>
        <v>18819.68026482514</v>
      </c>
      <c r="H44" s="2749">
        <f>'SE Assumptions'!O41</f>
        <v>6383.7565362392297</v>
      </c>
      <c r="I44" s="3046"/>
      <c r="J44" s="3046"/>
      <c r="L44" s="2439">
        <f t="shared" si="3"/>
        <v>29839.26</v>
      </c>
      <c r="M44" s="784">
        <f>'SE Assumptions'!O32+'SE Assumptions'!O35+'SE Assumptions'!O38+'SE Assumptions'!O41</f>
        <v>29839.26</v>
      </c>
      <c r="N44" s="784">
        <f>SUM(L43:L44)</f>
        <v>32737.687999999998</v>
      </c>
      <c r="O44" s="545"/>
      <c r="P44" s="22"/>
      <c r="Q44" s="543"/>
      <c r="R44" s="35"/>
      <c r="S44" s="545"/>
      <c r="T44" s="461">
        <f>'SE km&amp;fuel data'!$G$190*1000</f>
        <v>32738</v>
      </c>
      <c r="U44" s="2739" t="s">
        <v>2602</v>
      </c>
      <c r="V44" s="734" t="s">
        <v>3202</v>
      </c>
      <c r="W44" s="2723">
        <f>N44/T44</f>
        <v>0.99999046979045747</v>
      </c>
    </row>
    <row r="45" spans="2:29">
      <c r="B45" s="409" t="str">
        <f>Commodities!D46</f>
        <v>TFTRI</v>
      </c>
      <c r="C45" s="460" t="str">
        <f>Commodities!E46</f>
        <v>Transport Freight Truck Long Distance International (&gt;50 km)</v>
      </c>
      <c r="D45" s="414" t="str">
        <f>Commodities!F46</f>
        <v>Mt-km</v>
      </c>
      <c r="E45" s="2749">
        <f>'SE Assumptions'!O33</f>
        <v>176.14577785098817</v>
      </c>
      <c r="F45" s="2749">
        <f>'SE Assumptions'!O36</f>
        <v>373.12263065129241</v>
      </c>
      <c r="G45" s="2749">
        <f>'SE Assumptions'!O39</f>
        <v>2229.8209797896607</v>
      </c>
      <c r="H45" s="2749">
        <f>'SE Assumptions'!O42</f>
        <v>756.36961170805876</v>
      </c>
      <c r="I45" s="3046"/>
      <c r="J45" s="3046"/>
      <c r="L45" s="2439">
        <f t="shared" si="3"/>
        <v>3535.4589999999998</v>
      </c>
      <c r="M45" s="784">
        <f>'SE Assumptions'!O33+'SE Assumptions'!O36+'SE Assumptions'!O39+'SE Assumptions'!O42</f>
        <v>3535.4589999999998</v>
      </c>
      <c r="N45" s="784">
        <f>SUM(L45)</f>
        <v>3535.4589999999998</v>
      </c>
      <c r="O45" s="545"/>
      <c r="P45" s="22"/>
      <c r="Q45" s="543"/>
      <c r="R45" s="35"/>
      <c r="S45" s="545"/>
      <c r="T45" s="861">
        <f>('SE km&amp;fuel data'!B190-'SE km&amp;fuel data'!G190)*1000</f>
        <v>3535.1489999999972</v>
      </c>
      <c r="U45" s="2739" t="s">
        <v>2602</v>
      </c>
      <c r="V45" s="734" t="s">
        <v>3203</v>
      </c>
      <c r="W45" s="2723">
        <f>N45/T45</f>
        <v>1.0000876907875744</v>
      </c>
    </row>
    <row r="46" spans="2:29" ht="14.4">
      <c r="B46" s="2549" t="str">
        <f>Commodities!D47</f>
        <v>TFRN</v>
      </c>
      <c r="C46" s="3011" t="str">
        <f>Commodities!E47</f>
        <v>Transport Freight Rail National</v>
      </c>
      <c r="D46" s="3012" t="str">
        <f>Commodities!F47</f>
        <v>Mt-km</v>
      </c>
      <c r="E46" s="2749">
        <f>'SE Rail data'!E544</f>
        <v>5337.1035517402379</v>
      </c>
      <c r="F46" s="2749">
        <f>'SE Rail data'!E545</f>
        <v>3163.713551740238</v>
      </c>
      <c r="G46" s="2749">
        <f>'SE Rail data'!E546</f>
        <v>3163.713551740238</v>
      </c>
      <c r="H46" s="2749">
        <f>'SE Rail data'!E547</f>
        <v>3163.713551740238</v>
      </c>
      <c r="I46" s="3046"/>
      <c r="J46" s="3046"/>
      <c r="K46" s="754"/>
      <c r="L46" s="2439">
        <f>SUM(E47:K47)</f>
        <v>8635.535339902628</v>
      </c>
      <c r="M46" s="418"/>
      <c r="N46" s="784">
        <f>SUM(L46)</f>
        <v>8635.535339902628</v>
      </c>
      <c r="O46" s="545"/>
      <c r="P46" s="22"/>
      <c r="Q46" s="543"/>
      <c r="R46" s="35"/>
      <c r="S46" s="545"/>
      <c r="T46" s="2724">
        <f>'SE km&amp;fuel data'!$C$190*1000</f>
        <v>23464</v>
      </c>
      <c r="U46" s="2741" t="s">
        <v>2602</v>
      </c>
      <c r="V46" s="2725" t="s">
        <v>3200</v>
      </c>
      <c r="W46" s="2731">
        <f>N46/T46</f>
        <v>0.36803338475548192</v>
      </c>
    </row>
    <row r="47" spans="2:29">
      <c r="B47" s="754" t="str">
        <f>Commodities!D48</f>
        <v>TFRI</v>
      </c>
      <c r="C47" s="460" t="str">
        <f>Commodities!E48</f>
        <v>Transport Freight Rail International</v>
      </c>
      <c r="D47" s="414" t="str">
        <f>Commodities!F48</f>
        <v>Mt-km</v>
      </c>
      <c r="E47" s="2749">
        <f>'SE Rail data'!E553</f>
        <v>3993.6565649756567</v>
      </c>
      <c r="F47" s="2749">
        <f>'SE Rail data'!E554</f>
        <v>1547.2929249756571</v>
      </c>
      <c r="G47" s="2749">
        <f>'SE Rail data'!E555</f>
        <v>1547.2929249756571</v>
      </c>
      <c r="H47" s="2749">
        <f>'SE Rail data'!E556</f>
        <v>1547.2929249756571</v>
      </c>
      <c r="I47" s="3046"/>
      <c r="J47" s="3046"/>
      <c r="L47" s="2439">
        <f>SUM(E48:K48)</f>
        <v>7851.4849999999988</v>
      </c>
      <c r="M47">
        <f>'SE NAVI Data'!S384</f>
        <v>7851.4849999999997</v>
      </c>
      <c r="N47" s="784">
        <f>SUM(L47)</f>
        <v>7851.4849999999988</v>
      </c>
      <c r="O47" s="545"/>
      <c r="P47" s="22"/>
      <c r="Q47" s="543"/>
      <c r="R47" s="35"/>
      <c r="S47" s="545"/>
      <c r="T47" s="2724">
        <f>'SE km&amp;fuel data'!$H$190*1000</f>
        <v>7851.5</v>
      </c>
      <c r="U47" s="2741" t="s">
        <v>2602</v>
      </c>
      <c r="V47" s="2725" t="s">
        <v>3198</v>
      </c>
      <c r="W47" s="2731">
        <f>N47/T47</f>
        <v>0.99999808953703095</v>
      </c>
    </row>
    <row r="48" spans="2:29" ht="12" customHeight="1">
      <c r="B48" s="409" t="str">
        <f>Commodities!D49</f>
        <v>TFSNH</v>
      </c>
      <c r="C48" s="458" t="str">
        <f>Commodities!E49</f>
        <v>Transport Freight Sea National</v>
      </c>
      <c r="D48" s="411" t="str">
        <f>Commodities!F128</f>
        <v>Mt-km</v>
      </c>
      <c r="E48" s="2749">
        <f>'SE NAVI Data'!J257</f>
        <v>1099.8851606390933</v>
      </c>
      <c r="F48" s="2749">
        <f>'SE NAVI Data'!J258</f>
        <v>528.83112578370208</v>
      </c>
      <c r="G48" s="2749">
        <f>'SE NAVI Data'!J259</f>
        <v>3081.8196792791214</v>
      </c>
      <c r="H48" s="2749">
        <f>'SE NAVI Data'!J260</f>
        <v>3140.9490342980826</v>
      </c>
      <c r="I48" s="3046"/>
      <c r="J48" s="3046"/>
      <c r="L48" s="2439">
        <f>SUM(E49:K49)</f>
        <v>722336.61999999988</v>
      </c>
      <c r="M48">
        <f>'SE NAVI Data'!I384</f>
        <v>30027.098000000002</v>
      </c>
      <c r="N48" s="784">
        <f>SUM(L48)</f>
        <v>722336.61999999988</v>
      </c>
      <c r="P48" s="2008" t="s">
        <v>3263</v>
      </c>
      <c r="Q48" s="865" t="s">
        <v>3213</v>
      </c>
      <c r="R48" s="2862">
        <f>R37*2</f>
        <v>92</v>
      </c>
      <c r="T48" s="2724">
        <f>'SE km&amp;fuel data'!$D$190*1000-T47</f>
        <v>30026.5</v>
      </c>
      <c r="U48" s="2741" t="s">
        <v>2602</v>
      </c>
      <c r="V48" s="2725" t="s">
        <v>3201</v>
      </c>
      <c r="W48" s="2731">
        <f>N48/T48</f>
        <v>24.056637303715046</v>
      </c>
    </row>
    <row r="49" spans="2:23">
      <c r="B49" s="409" t="str">
        <f>Commodities!D50</f>
        <v>TFSIH</v>
      </c>
      <c r="C49" s="460" t="str">
        <f>Commodities!E50</f>
        <v>Transport Freight Sea International</v>
      </c>
      <c r="D49" s="414" t="str">
        <f>Commodities!F128</f>
        <v>Mt-km</v>
      </c>
      <c r="E49" s="2856">
        <f>SUM(E48:H48)*'SE NAVI Data'!G257*R48</f>
        <v>29234.519295975049</v>
      </c>
      <c r="F49" s="2856">
        <f>SUM(E48:H48)*'SE NAVI Data'!G258*R48</f>
        <v>74931.889262444165</v>
      </c>
      <c r="G49" s="2856">
        <f>SUM(E48:H48)*'SE NAVI Data'!G259*R48</f>
        <v>384964.36858316523</v>
      </c>
      <c r="H49" s="2856">
        <f>SUM(E48:H48)*'SE NAVI Data'!G260*R48</f>
        <v>233205.84285841548</v>
      </c>
      <c r="I49" s="3046"/>
      <c r="J49" s="3046"/>
      <c r="K49" s="38" t="s">
        <v>3271</v>
      </c>
      <c r="L49" s="2439">
        <f>SUM(E50:K50)</f>
        <v>70.129500000000007</v>
      </c>
      <c r="N49" s="38"/>
      <c r="O49" s="545"/>
      <c r="P49" s="2010" t="s">
        <v>3260</v>
      </c>
      <c r="Q49" s="2863" t="s">
        <v>3213</v>
      </c>
      <c r="R49" s="2864">
        <f>R39</f>
        <v>10.5</v>
      </c>
      <c r="S49" s="545"/>
      <c r="T49" s="2742" t="s">
        <v>3196</v>
      </c>
      <c r="U49" s="2741" t="s">
        <v>2602</v>
      </c>
      <c r="V49" s="2725" t="s">
        <v>3197</v>
      </c>
      <c r="W49" s="2726"/>
    </row>
    <row r="50" spans="2:23">
      <c r="B50" s="409" t="str">
        <f>Commodities!D51</f>
        <v>TFAIV</v>
      </c>
      <c r="C50" s="460" t="str">
        <f>Commodities!E51</f>
        <v>Transport Freight Air International</v>
      </c>
      <c r="D50" s="414" t="str">
        <f>Commodities!F128</f>
        <v>Mt-km</v>
      </c>
      <c r="E50" s="2856">
        <f>'SE Avi data'!$G326/1000*(E39/(SUM($E39:$H39)))*R49</f>
        <v>0.29720927275809467</v>
      </c>
      <c r="F50" s="2856">
        <f>'SE Avi data'!$G326/1000*(F39/(SUM($E39:$H39)))*R49</f>
        <v>0.58127876714162086</v>
      </c>
      <c r="G50" s="2856">
        <f>'SE Avi data'!$G326/1000*(G39/(SUM($E39:$H39)))*R49</f>
        <v>65.797753062517288</v>
      </c>
      <c r="H50" s="2856">
        <f>'SE Avi data'!$G326/1000*(H39/(SUM($E39:$H39)))*R49</f>
        <v>3.4532588975829981</v>
      </c>
      <c r="I50" s="3046"/>
      <c r="J50" s="3046"/>
      <c r="K50" s="38" t="s">
        <v>3271</v>
      </c>
      <c r="O50" s="545"/>
      <c r="P50" s="545"/>
      <c r="Q50" s="545"/>
      <c r="R50" s="545"/>
      <c r="S50" s="545"/>
    </row>
    <row r="51" spans="2:23">
      <c r="L51" s="2439"/>
    </row>
    <row r="52" spans="2:23">
      <c r="E52" s="250"/>
      <c r="F52" s="250"/>
      <c r="G52" s="250"/>
      <c r="H52" s="250"/>
      <c r="I52" s="1620"/>
      <c r="J52" s="1620"/>
    </row>
    <row r="53" spans="2:23">
      <c r="E53" s="250"/>
      <c r="F53" s="250"/>
      <c r="G53" s="250"/>
      <c r="H53" s="250"/>
      <c r="I53" s="1620"/>
      <c r="J53" s="1620"/>
      <c r="T53" s="250"/>
    </row>
    <row r="54" spans="2:23">
      <c r="B54" s="409" t="str">
        <f>Commodities!D128</f>
        <v>TFRLA</v>
      </c>
      <c r="C54" s="459" t="str">
        <f>Commodities!E128</f>
        <v>Transport Freight Rail All</v>
      </c>
      <c r="D54" s="413" t="str">
        <f>Commodities!F128</f>
        <v>Mt-km</v>
      </c>
      <c r="E54" s="2749">
        <f>'SE Rail data'!E532</f>
        <v>9330.7601167158991</v>
      </c>
      <c r="F54" s="2749">
        <f>'SE Rail data'!E533</f>
        <v>4711.0064767159001</v>
      </c>
      <c r="G54" s="2749">
        <f>'SE Rail data'!E534</f>
        <v>4711.0064767159001</v>
      </c>
      <c r="H54" s="2749">
        <f>'SE Rail data'!E535</f>
        <v>4711.0064767159001</v>
      </c>
      <c r="I54" s="3046"/>
      <c r="J54" s="3046"/>
      <c r="T54" s="784"/>
    </row>
    <row r="58" spans="2:23">
      <c r="F58" s="754"/>
      <c r="G58" s="754"/>
      <c r="H58" s="754"/>
    </row>
    <row r="59" spans="2:23">
      <c r="G59" s="765"/>
      <c r="H59" s="765"/>
      <c r="I59" s="2110"/>
      <c r="J59" s="2110"/>
      <c r="K59" s="765"/>
    </row>
    <row r="62" spans="2:23">
      <c r="G62" s="754"/>
    </row>
    <row r="63" spans="2:23">
      <c r="G63" s="754"/>
    </row>
    <row r="64" spans="2:23">
      <c r="G64" s="754"/>
    </row>
    <row r="66" spans="7:7">
      <c r="G66" s="754"/>
    </row>
    <row r="69" spans="7:7">
      <c r="G69" s="754"/>
    </row>
    <row r="70" spans="7:7">
      <c r="G70" s="754"/>
    </row>
    <row r="72" spans="7:7">
      <c r="G72" s="754"/>
    </row>
    <row r="73" spans="7:7">
      <c r="G73" s="754"/>
    </row>
    <row r="74" spans="7:7">
      <c r="G74" s="754"/>
    </row>
  </sheetData>
  <phoneticPr fontId="31" type="noConversion"/>
  <pageMargins left="0.75" right="0.75" top="1" bottom="1" header="0.5" footer="0.5"/>
  <pageSetup paperSize="9" orientation="portrait"/>
  <headerFooter alignWithMargins="0"/>
  <legacyDrawing r:id="rId1"/>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sheetPr>
    <tabColor rgb="FF00B0F0"/>
  </sheetPr>
  <dimension ref="A1:AV405"/>
  <sheetViews>
    <sheetView topLeftCell="A231" zoomScale="85" zoomScaleNormal="85" workbookViewId="0">
      <selection activeCell="I257" sqref="I257"/>
    </sheetView>
  </sheetViews>
  <sheetFormatPr defaultRowHeight="13.2"/>
  <cols>
    <col min="3" max="3" width="36.109375" customWidth="1"/>
    <col min="4" max="4" width="52.88671875" customWidth="1"/>
    <col min="9" max="9" width="14.109375" customWidth="1"/>
    <col min="18" max="18" width="18.33203125" customWidth="1"/>
    <col min="23" max="23" width="9.109375" customWidth="1"/>
    <col min="28" max="28" width="12.44140625" customWidth="1"/>
    <col min="29" max="29" width="10.6640625" customWidth="1"/>
    <col min="37" max="40" width="11.44140625" customWidth="1"/>
    <col min="43" max="48" width="11.44140625" customWidth="1"/>
  </cols>
  <sheetData>
    <row r="1" spans="1:48">
      <c r="A1" s="1333" t="s">
        <v>1840</v>
      </c>
      <c r="B1" s="1334"/>
      <c r="C1" s="1335"/>
      <c r="D1" s="1336"/>
      <c r="E1" s="1336"/>
      <c r="F1" s="1336"/>
      <c r="G1" s="1336"/>
      <c r="H1" s="1336"/>
      <c r="I1" s="1336"/>
      <c r="J1" s="1336"/>
      <c r="K1" s="1336"/>
      <c r="L1" s="1336"/>
      <c r="M1" s="1336"/>
    </row>
    <row r="2" spans="1:48">
      <c r="A2" s="1337" t="s">
        <v>1841</v>
      </c>
      <c r="B2" s="1338"/>
      <c r="C2" s="1339"/>
      <c r="D2" s="1340"/>
      <c r="E2" s="1340"/>
      <c r="F2" s="1340"/>
      <c r="G2" s="1340"/>
      <c r="H2" s="1340"/>
      <c r="I2" s="1340"/>
      <c r="J2" s="1340"/>
      <c r="K2" s="1340"/>
      <c r="L2" s="1340"/>
      <c r="M2" s="1341"/>
    </row>
    <row r="3" spans="1:48">
      <c r="A3" s="1342" t="s">
        <v>1842</v>
      </c>
      <c r="B3" s="1338"/>
      <c r="C3" s="1339"/>
      <c r="D3" s="1340"/>
      <c r="E3" s="1340"/>
      <c r="F3" s="1340"/>
      <c r="G3" s="1340"/>
      <c r="H3" s="1340"/>
      <c r="I3" s="1340"/>
      <c r="J3" s="1340"/>
      <c r="K3" s="1340"/>
      <c r="L3" s="1340"/>
      <c r="M3" s="1341"/>
      <c r="U3" s="1034" t="s">
        <v>1418</v>
      </c>
      <c r="V3" s="629"/>
      <c r="W3" s="629"/>
      <c r="X3" s="629"/>
      <c r="Y3" s="629"/>
      <c r="Z3" s="629"/>
      <c r="AA3" s="629"/>
      <c r="AB3" s="629"/>
      <c r="AC3" s="629"/>
    </row>
    <row r="4" spans="1:48" ht="13.8" thickBot="1">
      <c r="A4" s="1343" t="s">
        <v>1843</v>
      </c>
      <c r="B4" s="1344"/>
      <c r="C4" s="1345"/>
      <c r="D4" s="1346">
        <v>2001</v>
      </c>
      <c r="E4" s="1346"/>
      <c r="F4" s="1346">
        <v>2002</v>
      </c>
      <c r="G4" s="1346"/>
      <c r="H4" s="1346">
        <v>2003</v>
      </c>
      <c r="I4" s="1346"/>
      <c r="J4" s="1346">
        <v>2004</v>
      </c>
      <c r="K4" s="1346"/>
      <c r="L4" s="1346">
        <v>2005</v>
      </c>
      <c r="M4" s="1347"/>
      <c r="U4" s="629"/>
      <c r="V4" s="629"/>
      <c r="W4" s="629"/>
      <c r="X4" s="629"/>
      <c r="Y4" s="629"/>
      <c r="Z4" s="629"/>
      <c r="AA4" s="629"/>
      <c r="AB4" s="629"/>
      <c r="AC4" s="629"/>
    </row>
    <row r="5" spans="1:48">
      <c r="A5" s="1348" t="s">
        <v>1844</v>
      </c>
      <c r="B5" s="1349"/>
      <c r="C5" s="1348"/>
      <c r="D5" s="1348">
        <v>114281</v>
      </c>
      <c r="E5" s="1348"/>
      <c r="F5" s="1348">
        <v>107683</v>
      </c>
      <c r="G5" s="1348"/>
      <c r="H5" s="1348">
        <v>105301</v>
      </c>
      <c r="I5" s="1348"/>
      <c r="J5" s="1348">
        <v>105066</v>
      </c>
      <c r="K5" s="1348"/>
      <c r="L5" s="1348">
        <v>106160</v>
      </c>
      <c r="M5" s="1350"/>
      <c r="U5" s="629"/>
      <c r="V5" s="629"/>
      <c r="W5" s="629"/>
      <c r="X5" s="629"/>
      <c r="Y5" s="629"/>
      <c r="Z5" s="629"/>
      <c r="AA5" s="629"/>
      <c r="AB5" s="629"/>
      <c r="AC5" s="629"/>
      <c r="AK5" s="1036" t="s">
        <v>2046</v>
      </c>
      <c r="AL5" s="1038"/>
      <c r="AM5" s="1038"/>
      <c r="AN5" s="1038"/>
      <c r="AQ5" s="1151" t="s">
        <v>2049</v>
      </c>
      <c r="AR5" s="1123"/>
      <c r="AS5" s="1124"/>
      <c r="AT5" s="1151" t="s">
        <v>2050</v>
      </c>
      <c r="AU5" s="1123"/>
      <c r="AV5" s="1124"/>
    </row>
    <row r="6" spans="1:48">
      <c r="A6" s="1351" t="s">
        <v>1845</v>
      </c>
      <c r="B6" s="1351" t="s">
        <v>1846</v>
      </c>
      <c r="C6" s="1352"/>
      <c r="D6" s="1351">
        <v>86126</v>
      </c>
      <c r="E6" s="1351"/>
      <c r="F6" s="1351">
        <v>79028</v>
      </c>
      <c r="G6" s="1351"/>
      <c r="H6" s="1351">
        <v>77511</v>
      </c>
      <c r="I6" s="1351"/>
      <c r="J6" s="1351">
        <v>76858</v>
      </c>
      <c r="K6" s="1351"/>
      <c r="L6" s="1351">
        <v>76811</v>
      </c>
      <c r="M6" s="1350"/>
      <c r="U6" s="629"/>
      <c r="V6" s="629"/>
      <c r="W6" s="629"/>
      <c r="X6" s="629"/>
      <c r="Y6" s="629"/>
      <c r="Z6" s="629"/>
      <c r="AA6" s="629"/>
      <c r="AB6" s="629"/>
      <c r="AC6" s="629"/>
      <c r="AK6" s="1038"/>
      <c r="AL6" s="1038"/>
      <c r="AM6" s="1038"/>
      <c r="AN6" s="1038"/>
      <c r="AQ6" s="1132"/>
      <c r="AR6" s="873"/>
      <c r="AS6" s="1126"/>
      <c r="AT6" s="1132"/>
      <c r="AU6" s="873"/>
      <c r="AV6" s="1126"/>
    </row>
    <row r="7" spans="1:48">
      <c r="A7" s="1353" t="s">
        <v>1847</v>
      </c>
      <c r="B7" s="1353" t="s">
        <v>1848</v>
      </c>
      <c r="C7" s="1354"/>
      <c r="D7" s="1351"/>
      <c r="E7" s="1351"/>
      <c r="F7" s="1351"/>
      <c r="G7" s="1351"/>
      <c r="H7" s="1351"/>
      <c r="I7" s="1351"/>
      <c r="J7" s="1351"/>
      <c r="K7" s="1351"/>
      <c r="L7" s="1351"/>
      <c r="M7" s="1350"/>
      <c r="U7" s="1035" t="s">
        <v>1419</v>
      </c>
      <c r="V7" s="629"/>
      <c r="W7" s="629"/>
      <c r="X7" s="629"/>
      <c r="Y7" s="629"/>
      <c r="Z7" s="629"/>
      <c r="AA7" s="629"/>
      <c r="AB7" s="629"/>
      <c r="AC7" s="629"/>
      <c r="AK7" s="1037" t="s">
        <v>2047</v>
      </c>
      <c r="AL7" s="1038"/>
      <c r="AM7" s="1041">
        <f>N19</f>
        <v>0.71048675733715105</v>
      </c>
      <c r="AN7" s="1038"/>
      <c r="AQ7" s="308"/>
      <c r="AR7" s="561" t="s">
        <v>44</v>
      </c>
      <c r="AS7" s="547"/>
      <c r="AT7" s="308"/>
      <c r="AU7" s="561" t="s">
        <v>44</v>
      </c>
      <c r="AV7" s="547"/>
    </row>
    <row r="8" spans="1:48">
      <c r="A8" s="1351"/>
      <c r="B8" s="1351" t="s">
        <v>1849</v>
      </c>
      <c r="C8" s="1352"/>
      <c r="D8" s="1355" t="s">
        <v>218</v>
      </c>
      <c r="E8" s="1355"/>
      <c r="F8" s="1355" t="s">
        <v>218</v>
      </c>
      <c r="G8" s="1355"/>
      <c r="H8" s="1355" t="s">
        <v>218</v>
      </c>
      <c r="I8" s="1355"/>
      <c r="J8" s="1355">
        <v>326</v>
      </c>
      <c r="K8" s="1355"/>
      <c r="L8" s="1355">
        <v>425</v>
      </c>
      <c r="M8" s="1356"/>
      <c r="U8" s="629"/>
      <c r="V8" s="629"/>
      <c r="W8" s="629"/>
      <c r="X8" s="629"/>
      <c r="Y8" s="629"/>
      <c r="Z8" s="629"/>
      <c r="AA8" s="629"/>
      <c r="AB8" s="629"/>
      <c r="AC8" s="629"/>
      <c r="AK8" s="1037" t="s">
        <v>2048</v>
      </c>
      <c r="AL8" s="1038"/>
      <c r="AM8" s="1041">
        <f>1-AM7</f>
        <v>0.28951324266284895</v>
      </c>
      <c r="AN8" s="1038"/>
      <c r="AQ8" s="1105" t="s">
        <v>1353</v>
      </c>
      <c r="AR8" s="73">
        <f>X21</f>
        <v>8.0854200000000009</v>
      </c>
      <c r="AS8" s="547"/>
      <c r="AT8" s="1105" t="s">
        <v>1353</v>
      </c>
      <c r="AU8" s="73">
        <f>X38</f>
        <v>83.615650000000016</v>
      </c>
      <c r="AV8" s="547"/>
    </row>
    <row r="9" spans="1:48">
      <c r="A9" s="1351" t="s">
        <v>1850</v>
      </c>
      <c r="B9" s="1357"/>
      <c r="C9" s="1358"/>
      <c r="D9" s="1351">
        <v>1043843</v>
      </c>
      <c r="E9" s="1351"/>
      <c r="F9" s="1351">
        <v>1076406</v>
      </c>
      <c r="G9" s="1351"/>
      <c r="H9" s="1351">
        <v>1091943</v>
      </c>
      <c r="I9" s="1351"/>
      <c r="J9" s="1351">
        <v>1153539</v>
      </c>
      <c r="K9" s="1351"/>
      <c r="L9" s="1351">
        <v>1190344</v>
      </c>
      <c r="M9" s="1350"/>
      <c r="U9" s="1035" t="s">
        <v>353</v>
      </c>
      <c r="V9" s="1035">
        <v>2008</v>
      </c>
      <c r="W9" s="1035">
        <v>2009</v>
      </c>
      <c r="X9" s="1035">
        <v>2010</v>
      </c>
      <c r="Y9" s="1035">
        <v>2011</v>
      </c>
      <c r="Z9" s="1035">
        <v>2012</v>
      </c>
      <c r="AA9" s="1035">
        <v>2013</v>
      </c>
      <c r="AB9" s="1035">
        <v>2014</v>
      </c>
      <c r="AC9" s="1035">
        <v>2015</v>
      </c>
      <c r="AK9" s="1038"/>
      <c r="AL9" s="1038"/>
      <c r="AM9" s="1038"/>
      <c r="AN9" s="1038"/>
      <c r="AQ9" s="308"/>
      <c r="AR9" s="543"/>
      <c r="AS9" s="547"/>
      <c r="AT9" s="308"/>
      <c r="AU9" s="543"/>
      <c r="AV9" s="547"/>
    </row>
    <row r="10" spans="1:48">
      <c r="A10" s="1348" t="s">
        <v>1851</v>
      </c>
      <c r="B10" s="1351"/>
      <c r="C10" s="1358"/>
      <c r="D10" s="1351"/>
      <c r="E10" s="1351"/>
      <c r="F10" s="1351"/>
      <c r="G10" s="1351"/>
      <c r="H10" s="1351"/>
      <c r="I10" s="1351"/>
      <c r="J10" s="1351"/>
      <c r="K10" s="1351"/>
      <c r="L10" s="1351"/>
      <c r="M10" s="1350"/>
      <c r="U10" s="1034" t="s">
        <v>1414</v>
      </c>
      <c r="V10" s="629">
        <v>93</v>
      </c>
      <c r="W10" s="629">
        <v>147</v>
      </c>
      <c r="X10" s="304">
        <v>217</v>
      </c>
      <c r="Y10" s="629">
        <v>136</v>
      </c>
      <c r="Z10" s="629">
        <v>76</v>
      </c>
      <c r="AA10" s="629">
        <v>79</v>
      </c>
      <c r="AB10" s="629">
        <v>89</v>
      </c>
      <c r="AC10" s="629">
        <v>77</v>
      </c>
      <c r="AQ10" s="1105" t="s">
        <v>2051</v>
      </c>
      <c r="AR10" s="543"/>
      <c r="AS10" s="547"/>
      <c r="AT10" s="1105" t="s">
        <v>2051</v>
      </c>
      <c r="AU10" s="543"/>
      <c r="AV10" s="547"/>
    </row>
    <row r="11" spans="1:48">
      <c r="A11" s="1353" t="s">
        <v>1847</v>
      </c>
      <c r="B11" s="1353" t="s">
        <v>1852</v>
      </c>
      <c r="C11" s="1359"/>
      <c r="D11" s="1360"/>
      <c r="E11" s="1360"/>
      <c r="F11" s="1360"/>
      <c r="G11" s="1360"/>
      <c r="H11" s="1360"/>
      <c r="I11" s="1360"/>
      <c r="J11" s="1360"/>
      <c r="K11" s="1360"/>
      <c r="L11" s="1360"/>
      <c r="M11" s="1361"/>
      <c r="U11" s="1034" t="s">
        <v>1415</v>
      </c>
      <c r="V11" s="629">
        <v>24</v>
      </c>
      <c r="W11" s="629">
        <v>35</v>
      </c>
      <c r="X11" s="629">
        <v>36</v>
      </c>
      <c r="Y11" s="629">
        <v>35</v>
      </c>
      <c r="Z11" s="629">
        <v>3</v>
      </c>
      <c r="AA11" s="629">
        <v>4</v>
      </c>
      <c r="AB11" s="629">
        <v>7</v>
      </c>
      <c r="AC11" s="629">
        <v>11</v>
      </c>
      <c r="AK11" s="31" t="s">
        <v>2045</v>
      </c>
      <c r="AQ11" s="308"/>
      <c r="AR11" s="543"/>
      <c r="AS11" s="547"/>
      <c r="AT11" s="308"/>
      <c r="AU11" s="543"/>
      <c r="AV11" s="547"/>
    </row>
    <row r="12" spans="1:48">
      <c r="A12" s="1351" t="s">
        <v>1853</v>
      </c>
      <c r="B12" s="1362"/>
      <c r="C12" s="1353"/>
      <c r="D12" s="1351">
        <v>101434</v>
      </c>
      <c r="E12" s="1351"/>
      <c r="F12" s="1351">
        <v>95226</v>
      </c>
      <c r="G12" s="1351"/>
      <c r="H12" s="1351">
        <v>93147</v>
      </c>
      <c r="I12" s="1351"/>
      <c r="J12" s="1351">
        <v>93022</v>
      </c>
      <c r="K12" s="1351"/>
      <c r="L12" s="1351">
        <v>93282</v>
      </c>
      <c r="M12" s="1350"/>
      <c r="U12" s="1034" t="s">
        <v>1416</v>
      </c>
      <c r="V12" s="629">
        <v>26</v>
      </c>
      <c r="W12" s="629">
        <v>20</v>
      </c>
      <c r="X12" s="629">
        <v>18</v>
      </c>
      <c r="Y12" s="629">
        <v>19</v>
      </c>
      <c r="Z12" s="629">
        <v>23</v>
      </c>
      <c r="AA12" s="629">
        <v>26</v>
      </c>
      <c r="AB12" s="629">
        <v>30</v>
      </c>
      <c r="AC12" s="629">
        <v>43</v>
      </c>
      <c r="AK12" s="304"/>
      <c r="AL12" s="866" t="s">
        <v>2039</v>
      </c>
      <c r="AM12" s="304"/>
      <c r="AN12" s="304"/>
      <c r="AQ12" s="1105" t="s">
        <v>1353</v>
      </c>
      <c r="AR12" s="73">
        <f>AR8-AR23</f>
        <v>2.3408361624910521</v>
      </c>
      <c r="AS12" s="547"/>
      <c r="AT12" s="1105" t="s">
        <v>1353</v>
      </c>
      <c r="AU12" s="73">
        <f>AU8-AU23</f>
        <v>24.207837968861853</v>
      </c>
      <c r="AV12" s="547"/>
    </row>
    <row r="13" spans="1:48">
      <c r="A13" s="1351" t="s">
        <v>665</v>
      </c>
      <c r="B13" s="1351" t="s">
        <v>1854</v>
      </c>
      <c r="C13" s="1352"/>
      <c r="D13" s="1351">
        <v>82331</v>
      </c>
      <c r="E13" s="1351"/>
      <c r="F13" s="1351">
        <v>75182</v>
      </c>
      <c r="G13" s="1351"/>
      <c r="H13" s="1351">
        <v>73707</v>
      </c>
      <c r="I13" s="1351"/>
      <c r="J13" s="1351">
        <v>73008</v>
      </c>
      <c r="K13" s="1351"/>
      <c r="L13" s="1351">
        <v>72959</v>
      </c>
      <c r="M13" s="1350"/>
      <c r="U13" s="1034" t="s">
        <v>1417</v>
      </c>
      <c r="V13" s="629">
        <v>42</v>
      </c>
      <c r="W13" s="629">
        <v>92</v>
      </c>
      <c r="X13" s="629">
        <v>162</v>
      </c>
      <c r="Y13" s="629">
        <v>82</v>
      </c>
      <c r="Z13" s="629">
        <v>50</v>
      </c>
      <c r="AA13" s="629">
        <v>49</v>
      </c>
      <c r="AB13" s="629">
        <v>51</v>
      </c>
      <c r="AC13" s="629">
        <v>23</v>
      </c>
      <c r="AK13" s="304">
        <v>1</v>
      </c>
      <c r="AL13" s="866" t="s">
        <v>601</v>
      </c>
      <c r="AM13" s="1523">
        <v>4.0472154514297025E-2</v>
      </c>
      <c r="AN13" s="304"/>
      <c r="AQ13" s="308"/>
      <c r="AR13" s="543"/>
      <c r="AS13" s="547"/>
      <c r="AT13" s="308"/>
      <c r="AU13" s="543"/>
      <c r="AV13" s="547"/>
    </row>
    <row r="14" spans="1:48">
      <c r="A14" s="1351" t="s">
        <v>392</v>
      </c>
      <c r="B14" s="1351" t="s">
        <v>1855</v>
      </c>
      <c r="C14" s="1352"/>
      <c r="D14" s="1355" t="s">
        <v>218</v>
      </c>
      <c r="E14" s="1355"/>
      <c r="F14" s="1355" t="s">
        <v>218</v>
      </c>
      <c r="G14" s="1355"/>
      <c r="H14" s="1355" t="s">
        <v>218</v>
      </c>
      <c r="I14" s="1355"/>
      <c r="J14" s="1355">
        <v>261</v>
      </c>
      <c r="K14" s="1355"/>
      <c r="L14" s="1355">
        <v>338</v>
      </c>
      <c r="M14" s="1356"/>
      <c r="U14" s="629"/>
      <c r="V14" s="629"/>
      <c r="W14" s="629"/>
      <c r="X14" s="629"/>
      <c r="Y14" s="629"/>
      <c r="Z14" s="629"/>
      <c r="AA14" s="629"/>
      <c r="AB14" s="629"/>
      <c r="AC14" s="629"/>
      <c r="AK14" s="304">
        <v>2</v>
      </c>
      <c r="AL14" s="866" t="s">
        <v>602</v>
      </c>
      <c r="AM14" s="1523">
        <v>0.10373541530047883</v>
      </c>
      <c r="AN14" s="304"/>
      <c r="AQ14" s="308"/>
      <c r="AR14" s="543"/>
      <c r="AS14" s="547"/>
      <c r="AT14" s="308"/>
      <c r="AU14" s="543"/>
      <c r="AV14" s="547"/>
    </row>
    <row r="15" spans="1:48">
      <c r="A15" s="1363" t="s">
        <v>1856</v>
      </c>
      <c r="B15" s="1364"/>
      <c r="C15" s="1365"/>
      <c r="D15" s="1363">
        <v>953992</v>
      </c>
      <c r="E15" s="1363"/>
      <c r="F15" s="1363">
        <v>986009</v>
      </c>
      <c r="G15" s="1363"/>
      <c r="H15" s="1363">
        <v>992398</v>
      </c>
      <c r="I15" s="1363"/>
      <c r="J15" s="1363">
        <v>1035160</v>
      </c>
      <c r="K15" s="1363"/>
      <c r="L15" s="1363">
        <v>1064621</v>
      </c>
      <c r="M15" s="1350"/>
      <c r="U15" s="1034" t="s">
        <v>1420</v>
      </c>
      <c r="V15" s="629"/>
      <c r="W15" s="629"/>
      <c r="X15" s="629"/>
      <c r="Y15" s="629"/>
      <c r="Z15" s="629"/>
      <c r="AA15" s="629"/>
      <c r="AB15" s="629"/>
      <c r="AC15" s="629"/>
      <c r="AK15" s="304">
        <v>3</v>
      </c>
      <c r="AL15" s="866" t="s">
        <v>603</v>
      </c>
      <c r="AM15" s="1523">
        <v>0.53294317071058261</v>
      </c>
      <c r="AN15" s="304"/>
      <c r="AQ15" s="1525" t="s">
        <v>601</v>
      </c>
      <c r="AR15" s="1150">
        <f>AR$12*AM20</f>
        <v>0.32791898075475778</v>
      </c>
      <c r="AS15" s="547"/>
      <c r="AT15" s="1525" t="s">
        <v>601</v>
      </c>
      <c r="AU15" s="1150">
        <f>AU$12*AM13</f>
        <v>0.97974335873284313</v>
      </c>
      <c r="AV15" s="547"/>
    </row>
    <row r="16" spans="1:48">
      <c r="A16" s="1351"/>
      <c r="B16" s="1351"/>
      <c r="C16" s="1352"/>
      <c r="D16" s="1355"/>
      <c r="E16" s="1355"/>
      <c r="F16" s="1355"/>
      <c r="G16" s="1355"/>
      <c r="H16" s="1355"/>
      <c r="I16" s="1355"/>
      <c r="J16" s="1355"/>
      <c r="K16" s="1355"/>
      <c r="L16" s="1355"/>
      <c r="M16" s="1356"/>
      <c r="U16" s="629"/>
      <c r="V16" s="629"/>
      <c r="W16" s="629"/>
      <c r="X16" s="629"/>
      <c r="Y16" s="629"/>
      <c r="Z16" s="629"/>
      <c r="AA16" s="629"/>
      <c r="AB16" s="629"/>
      <c r="AC16" s="629"/>
      <c r="AK16" s="304">
        <v>4</v>
      </c>
      <c r="AL16" s="866" t="s">
        <v>604</v>
      </c>
      <c r="AM16" s="1523">
        <v>0.32284925947464149</v>
      </c>
      <c r="AN16" s="304"/>
      <c r="AQ16" s="1525" t="s">
        <v>602</v>
      </c>
      <c r="AR16" s="1150">
        <f>AR$12*AM21</f>
        <v>0.15766533631349283</v>
      </c>
      <c r="AS16" s="547"/>
      <c r="AT16" s="1525" t="s">
        <v>602</v>
      </c>
      <c r="AU16" s="1150">
        <f>AU$12*AM14</f>
        <v>2.5112101252265844</v>
      </c>
      <c r="AV16" s="547"/>
    </row>
    <row r="17" spans="1:48">
      <c r="A17" s="1343" t="s">
        <v>1843</v>
      </c>
      <c r="B17" s="1344"/>
      <c r="C17" s="1345"/>
      <c r="D17" s="1346">
        <v>2006</v>
      </c>
      <c r="E17" s="1346"/>
      <c r="F17" s="1346">
        <v>2007</v>
      </c>
      <c r="G17" s="1346"/>
      <c r="H17" s="1346">
        <v>2008</v>
      </c>
      <c r="I17" s="1346"/>
      <c r="J17" s="1346">
        <v>2009</v>
      </c>
      <c r="K17" s="1346"/>
      <c r="L17" s="1376">
        <v>2010</v>
      </c>
      <c r="M17" s="1347"/>
      <c r="U17" s="629"/>
      <c r="V17" s="629"/>
      <c r="W17" s="629"/>
      <c r="X17" s="629"/>
      <c r="Y17" s="629"/>
      <c r="Z17" s="629"/>
      <c r="AA17" s="629"/>
      <c r="AB17" s="629"/>
      <c r="AC17" s="629"/>
      <c r="AK17" s="304"/>
      <c r="AL17" s="304"/>
      <c r="AM17" s="304"/>
      <c r="AN17" s="304"/>
      <c r="AQ17" s="1525" t="s">
        <v>603</v>
      </c>
      <c r="AR17" s="1150">
        <f>AR$12*AM22</f>
        <v>0.91881153075286315</v>
      </c>
      <c r="AS17" s="547"/>
      <c r="AT17" s="1525" t="s">
        <v>603</v>
      </c>
      <c r="AU17" s="1150">
        <f>AU$12*AM15</f>
        <v>12.901401923173266</v>
      </c>
      <c r="AV17" s="547"/>
    </row>
    <row r="18" spans="1:48">
      <c r="A18" s="1348" t="s">
        <v>1857</v>
      </c>
      <c r="B18" s="1349"/>
      <c r="C18" s="1351"/>
      <c r="D18" s="1348">
        <v>104313</v>
      </c>
      <c r="E18" s="1348"/>
      <c r="F18" s="1348">
        <v>106308</v>
      </c>
      <c r="G18" s="1348"/>
      <c r="H18" s="1348">
        <v>106549</v>
      </c>
      <c r="I18" s="1348"/>
      <c r="J18" s="1348">
        <v>95610</v>
      </c>
      <c r="K18" s="1348"/>
      <c r="L18" s="1377">
        <v>83820</v>
      </c>
      <c r="M18" s="1350"/>
      <c r="U18" s="629"/>
      <c r="V18" s="629"/>
      <c r="W18" s="629"/>
      <c r="X18" s="629"/>
      <c r="Y18" s="629"/>
      <c r="Z18" s="629"/>
      <c r="AA18" s="629"/>
      <c r="AB18" s="629"/>
      <c r="AC18" s="629"/>
      <c r="AK18" s="304"/>
      <c r="AL18" s="304"/>
      <c r="AM18" s="304"/>
      <c r="AN18" s="304"/>
      <c r="AQ18" s="1525" t="s">
        <v>604</v>
      </c>
      <c r="AR18" s="1150">
        <f>AR$12*AM23</f>
        <v>0.93644031466993827</v>
      </c>
      <c r="AS18" s="547"/>
      <c r="AT18" s="1525" t="s">
        <v>604</v>
      </c>
      <c r="AU18" s="1150">
        <f>AU$12*AM16</f>
        <v>7.8154825617291586</v>
      </c>
      <c r="AV18" s="547"/>
    </row>
    <row r="19" spans="1:48">
      <c r="A19" s="1351" t="s">
        <v>665</v>
      </c>
      <c r="B19" s="1351" t="s">
        <v>1858</v>
      </c>
      <c r="C19" s="1351"/>
      <c r="D19" s="1351">
        <v>76510</v>
      </c>
      <c r="E19" s="1351"/>
      <c r="F19" s="1351">
        <v>77383</v>
      </c>
      <c r="G19" s="1351"/>
      <c r="H19" s="1351">
        <v>78873</v>
      </c>
      <c r="I19" s="1351"/>
      <c r="J19" s="1351">
        <v>72151</v>
      </c>
      <c r="K19" s="1351"/>
      <c r="L19" s="1378">
        <v>59174</v>
      </c>
      <c r="M19" s="1350"/>
      <c r="N19" s="12">
        <f>(L19+L20)/L18</f>
        <v>0.71048675733715105</v>
      </c>
      <c r="O19" s="765" t="s">
        <v>1862</v>
      </c>
      <c r="U19" s="1042" t="s">
        <v>44</v>
      </c>
      <c r="V19" s="1036"/>
      <c r="W19" s="1036"/>
      <c r="X19" s="1036"/>
      <c r="Y19" s="1036"/>
      <c r="Z19" s="1036"/>
      <c r="AA19" s="1036"/>
      <c r="AB19" s="1036"/>
      <c r="AC19" s="1036"/>
      <c r="AK19" s="304"/>
      <c r="AL19" s="866" t="s">
        <v>2043</v>
      </c>
      <c r="AM19" s="304"/>
      <c r="AN19" s="304"/>
      <c r="AQ19" s="308"/>
      <c r="AR19" s="277">
        <f>SUM(AR15:AR18)</f>
        <v>2.3408361624910521</v>
      </c>
      <c r="AS19" s="547"/>
      <c r="AT19" s="308"/>
      <c r="AU19" s="277">
        <f>SUM(AU15:AU18)</f>
        <v>24.207837968861853</v>
      </c>
      <c r="AV19" s="547"/>
    </row>
    <row r="20" spans="1:48">
      <c r="A20" s="1351"/>
      <c r="B20" s="1351" t="s">
        <v>1855</v>
      </c>
      <c r="C20" s="1351"/>
      <c r="D20" s="1351">
        <v>391</v>
      </c>
      <c r="E20" s="1351"/>
      <c r="F20" s="1351">
        <v>382</v>
      </c>
      <c r="G20" s="1351"/>
      <c r="H20" s="1351">
        <v>379</v>
      </c>
      <c r="I20" s="1351"/>
      <c r="J20" s="1351">
        <v>405</v>
      </c>
      <c r="K20" s="1351"/>
      <c r="L20" s="1378">
        <v>379</v>
      </c>
      <c r="M20" s="1350"/>
      <c r="N20" s="765"/>
      <c r="O20" s="1374"/>
      <c r="P20" s="784"/>
      <c r="U20" s="1036" t="s">
        <v>353</v>
      </c>
      <c r="V20" s="1036">
        <v>2008</v>
      </c>
      <c r="W20" s="1036">
        <v>2009</v>
      </c>
      <c r="X20" s="1036">
        <v>2010</v>
      </c>
      <c r="Y20" s="1036">
        <v>2011</v>
      </c>
      <c r="Z20" s="1036">
        <v>2012</v>
      </c>
      <c r="AA20" s="1036">
        <v>2013</v>
      </c>
      <c r="AB20" s="1036">
        <v>2014</v>
      </c>
      <c r="AC20" s="1036">
        <v>2015</v>
      </c>
      <c r="AK20" s="304">
        <v>1</v>
      </c>
      <c r="AL20" s="866" t="s">
        <v>601</v>
      </c>
      <c r="AM20" s="1523">
        <v>0.14008625892287807</v>
      </c>
      <c r="AN20" s="304"/>
      <c r="AQ20" s="308"/>
      <c r="AR20" s="543"/>
      <c r="AS20" s="547"/>
      <c r="AT20" s="308"/>
      <c r="AU20" s="543"/>
      <c r="AV20" s="547"/>
    </row>
    <row r="21" spans="1:48">
      <c r="A21" s="1351" t="s">
        <v>1856</v>
      </c>
      <c r="B21" s="1357"/>
      <c r="C21" s="1358"/>
      <c r="D21" s="1351">
        <v>1196435.2220000001</v>
      </c>
      <c r="E21" s="1351"/>
      <c r="F21" s="1351">
        <v>1231456.7620000001</v>
      </c>
      <c r="G21" s="1351"/>
      <c r="H21" s="1351">
        <v>1262472.879</v>
      </c>
      <c r="I21" s="1351"/>
      <c r="J21" s="1351">
        <v>1196110.828</v>
      </c>
      <c r="K21" s="1351"/>
      <c r="L21" s="1378">
        <v>1163509.04</v>
      </c>
      <c r="M21" s="1350"/>
      <c r="U21" s="1037" t="s">
        <v>1839</v>
      </c>
      <c r="V21" s="1039">
        <v>3.3778200000000003</v>
      </c>
      <c r="W21" s="1039">
        <v>5.4554799999999997</v>
      </c>
      <c r="X21" s="1332">
        <v>8.0854200000000009</v>
      </c>
      <c r="Y21" s="1039">
        <v>5.0387599999999999</v>
      </c>
      <c r="Z21" s="1039">
        <v>2.8342000000000001</v>
      </c>
      <c r="AA21" s="1039">
        <v>2.93885</v>
      </c>
      <c r="AB21" s="1039">
        <v>3.2641499999999999</v>
      </c>
      <c r="AC21" s="1039">
        <v>2.8044099999999998</v>
      </c>
      <c r="AK21" s="304">
        <v>2</v>
      </c>
      <c r="AL21" s="866" t="s">
        <v>602</v>
      </c>
      <c r="AM21" s="1523">
        <v>6.7354280850527276E-2</v>
      </c>
      <c r="AN21" s="304"/>
      <c r="AQ21" s="1105" t="s">
        <v>1831</v>
      </c>
      <c r="AR21" s="543"/>
      <c r="AS21" s="547"/>
      <c r="AT21" s="1105" t="s">
        <v>1831</v>
      </c>
      <c r="AU21" s="543"/>
      <c r="AV21" s="547"/>
    </row>
    <row r="22" spans="1:48">
      <c r="A22" s="1348" t="s">
        <v>1851</v>
      </c>
      <c r="B22" s="1351"/>
      <c r="C22" s="1348"/>
      <c r="D22" s="1353"/>
      <c r="E22" s="1353"/>
      <c r="F22" s="1353"/>
      <c r="G22" s="1353"/>
      <c r="H22" s="1353"/>
      <c r="I22" s="1353"/>
      <c r="J22" s="1353"/>
      <c r="K22" s="1353"/>
      <c r="L22" s="1379"/>
      <c r="M22" s="1366"/>
      <c r="U22" s="1037" t="s">
        <v>1415</v>
      </c>
      <c r="V22" s="1039">
        <v>0.84672000000000003</v>
      </c>
      <c r="W22" s="1039">
        <v>1.2347999999999999</v>
      </c>
      <c r="X22" s="1039">
        <v>1.2700799999999999</v>
      </c>
      <c r="Y22" s="1039">
        <v>1.2347999999999999</v>
      </c>
      <c r="Z22" s="1039">
        <v>0.10584</v>
      </c>
      <c r="AA22" s="1039">
        <v>0.14112</v>
      </c>
      <c r="AB22" s="1039">
        <v>0.24696000000000001</v>
      </c>
      <c r="AC22" s="1039">
        <v>0.38808000000000004</v>
      </c>
      <c r="AK22" s="304">
        <v>3</v>
      </c>
      <c r="AL22" s="866" t="s">
        <v>603</v>
      </c>
      <c r="AM22" s="1523">
        <v>0.39251424148159508</v>
      </c>
      <c r="AN22" s="304"/>
      <c r="AQ22" s="308"/>
      <c r="AR22" s="543"/>
      <c r="AS22" s="547"/>
      <c r="AT22" s="308"/>
      <c r="AU22" s="543"/>
      <c r="AV22" s="547"/>
    </row>
    <row r="23" spans="1:48">
      <c r="A23" s="1351" t="s">
        <v>1857</v>
      </c>
      <c r="B23" s="1362"/>
      <c r="C23" s="1353"/>
      <c r="D23" s="1351">
        <v>92395</v>
      </c>
      <c r="E23" s="1351"/>
      <c r="F23" s="1351">
        <v>93691</v>
      </c>
      <c r="G23" s="1351"/>
      <c r="H23" s="1351">
        <v>94739</v>
      </c>
      <c r="I23" s="1351"/>
      <c r="J23" s="1351">
        <v>85060</v>
      </c>
      <c r="K23" s="1351"/>
      <c r="L23" s="1378">
        <v>73138</v>
      </c>
      <c r="M23" s="1350"/>
      <c r="N23">
        <f>L23/L18</f>
        <v>0.87256024815079936</v>
      </c>
      <c r="O23" s="765" t="s">
        <v>1863</v>
      </c>
      <c r="U23" s="1037" t="s">
        <v>1416</v>
      </c>
      <c r="V23" s="1039">
        <v>0.93132000000000004</v>
      </c>
      <c r="W23" s="1039">
        <v>0.71639999999999993</v>
      </c>
      <c r="X23" s="1039">
        <v>0.64476</v>
      </c>
      <c r="Y23" s="1039">
        <v>0.68058000000000007</v>
      </c>
      <c r="Z23" s="1039">
        <v>0.82386000000000004</v>
      </c>
      <c r="AA23" s="1039">
        <v>0.93132000000000004</v>
      </c>
      <c r="AB23" s="1039">
        <v>1.0746</v>
      </c>
      <c r="AC23" s="1039">
        <v>1.54026</v>
      </c>
      <c r="AK23" s="304">
        <v>4</v>
      </c>
      <c r="AL23" s="866" t="s">
        <v>604</v>
      </c>
      <c r="AM23" s="1523">
        <v>0.40004521874499954</v>
      </c>
      <c r="AN23" s="304"/>
      <c r="AQ23" s="1105" t="s">
        <v>1353</v>
      </c>
      <c r="AR23" s="73">
        <f>AR8*N19</f>
        <v>5.7445838375089489</v>
      </c>
      <c r="AS23" s="547"/>
      <c r="AT23" s="1105" t="s">
        <v>1353</v>
      </c>
      <c r="AU23" s="73">
        <f>AU8*N19</f>
        <v>59.407812031138164</v>
      </c>
      <c r="AV23" s="547"/>
    </row>
    <row r="24" spans="1:48">
      <c r="A24" s="1351" t="s">
        <v>1845</v>
      </c>
      <c r="B24" s="1351" t="s">
        <v>1858</v>
      </c>
      <c r="C24" s="1352"/>
      <c r="D24" s="1351">
        <v>72517</v>
      </c>
      <c r="E24" s="1351"/>
      <c r="F24" s="1351">
        <v>73337</v>
      </c>
      <c r="G24" s="1351"/>
      <c r="H24" s="1351">
        <v>75028</v>
      </c>
      <c r="I24" s="1351"/>
      <c r="J24" s="1351">
        <v>68357</v>
      </c>
      <c r="K24" s="1351"/>
      <c r="L24" s="1378">
        <v>55424</v>
      </c>
      <c r="M24" s="1350"/>
      <c r="U24" s="1037" t="s">
        <v>1417</v>
      </c>
      <c r="V24" s="1039">
        <v>1.5997800000000002</v>
      </c>
      <c r="W24" s="1039">
        <v>3.5042800000000001</v>
      </c>
      <c r="X24" s="1039">
        <v>6.1705800000000011</v>
      </c>
      <c r="Y24" s="1039">
        <v>3.12338</v>
      </c>
      <c r="Z24" s="1039">
        <v>1.9045000000000003</v>
      </c>
      <c r="AA24" s="1039">
        <v>1.8664100000000001</v>
      </c>
      <c r="AB24" s="1039">
        <v>1.94259</v>
      </c>
      <c r="AC24" s="1039">
        <v>0.87607000000000002</v>
      </c>
      <c r="AK24" s="304"/>
      <c r="AL24" s="304"/>
      <c r="AM24" s="304"/>
      <c r="AN24" s="304"/>
      <c r="AQ24" s="308"/>
      <c r="AR24" s="543"/>
      <c r="AS24" s="547"/>
      <c r="AT24" s="308"/>
      <c r="AU24" s="543"/>
      <c r="AV24" s="547"/>
    </row>
    <row r="25" spans="1:48">
      <c r="A25" s="1353"/>
      <c r="B25" s="1351" t="s">
        <v>1855</v>
      </c>
      <c r="C25" s="1352"/>
      <c r="D25" s="1351">
        <v>327</v>
      </c>
      <c r="E25" s="1351"/>
      <c r="F25" s="1351">
        <v>319</v>
      </c>
      <c r="G25" s="1351"/>
      <c r="H25" s="1351">
        <v>315</v>
      </c>
      <c r="I25" s="1351"/>
      <c r="J25" s="1351">
        <v>359</v>
      </c>
      <c r="K25" s="1351"/>
      <c r="L25" s="1378">
        <v>350</v>
      </c>
      <c r="M25" s="1350"/>
      <c r="U25" s="629"/>
      <c r="V25" s="629"/>
      <c r="W25" s="629"/>
      <c r="X25" s="629"/>
      <c r="Y25" s="629"/>
      <c r="Z25" s="629"/>
      <c r="AA25" s="629"/>
      <c r="AB25" s="629"/>
      <c r="AC25" s="629"/>
      <c r="AK25" s="304"/>
      <c r="AL25" s="304"/>
      <c r="AM25" s="304"/>
      <c r="AN25" s="304"/>
      <c r="AQ25" s="308"/>
      <c r="AR25" s="543"/>
      <c r="AS25" s="547"/>
      <c r="AT25" s="308"/>
      <c r="AU25" s="543"/>
      <c r="AV25" s="547"/>
    </row>
    <row r="26" spans="1:48">
      <c r="A26" s="1363" t="s">
        <v>1856</v>
      </c>
      <c r="B26" s="1140"/>
      <c r="C26" s="1365"/>
      <c r="D26" s="1363">
        <v>1074045.5660000001</v>
      </c>
      <c r="E26" s="1363"/>
      <c r="F26" s="1363">
        <v>1105418.6229999999</v>
      </c>
      <c r="G26" s="1363"/>
      <c r="H26" s="1363">
        <v>1137566.7819999999</v>
      </c>
      <c r="I26" s="1363"/>
      <c r="J26" s="1363">
        <v>1075240.4140000001</v>
      </c>
      <c r="K26" s="1363"/>
      <c r="L26" s="1380">
        <v>1041162.412</v>
      </c>
      <c r="M26" s="1350"/>
      <c r="U26" s="629"/>
      <c r="V26" s="629"/>
      <c r="W26" s="629"/>
      <c r="X26" s="629"/>
      <c r="Y26" s="629"/>
      <c r="Z26" s="629"/>
      <c r="AA26" s="629"/>
      <c r="AB26" s="629"/>
      <c r="AC26" s="629"/>
      <c r="AK26" s="304"/>
      <c r="AL26" s="1524" t="s">
        <v>2044</v>
      </c>
      <c r="AM26" s="304"/>
      <c r="AN26" s="304"/>
      <c r="AQ26" s="1525" t="s">
        <v>601</v>
      </c>
      <c r="AR26" s="1147">
        <f>AR$23*AM27</f>
        <v>8.840517481539821E-2</v>
      </c>
      <c r="AS26" s="547"/>
      <c r="AT26" s="1525" t="s">
        <v>601</v>
      </c>
      <c r="AU26" s="1147">
        <f>AU$23*AM27</f>
        <v>0.91424516667695077</v>
      </c>
      <c r="AV26" s="547"/>
    </row>
    <row r="27" spans="1:48">
      <c r="A27" s="1351"/>
      <c r="B27" s="1351"/>
      <c r="C27" s="1352"/>
      <c r="D27" s="1355"/>
      <c r="E27" s="1355"/>
      <c r="F27" s="1355"/>
      <c r="G27" s="1355"/>
      <c r="H27" s="1356"/>
      <c r="I27" s="1356"/>
      <c r="J27" s="1356"/>
      <c r="K27" s="1356"/>
      <c r="L27" s="1356"/>
      <c r="M27" s="1356"/>
      <c r="U27" s="629"/>
      <c r="V27" s="629"/>
      <c r="W27" s="629"/>
      <c r="X27" s="629"/>
      <c r="Y27" s="629"/>
      <c r="Z27" s="629"/>
      <c r="AA27" s="629"/>
      <c r="AB27" s="629"/>
      <c r="AC27" s="629"/>
      <c r="AK27" s="304">
        <v>1</v>
      </c>
      <c r="AL27" s="866" t="s">
        <v>601</v>
      </c>
      <c r="AM27" s="1523">
        <v>1.5389308836988577E-2</v>
      </c>
      <c r="AN27" s="304"/>
      <c r="AQ27" s="1525" t="s">
        <v>602</v>
      </c>
      <c r="AR27" s="1147">
        <f>AR$23*AM28</f>
        <v>8.840517481539821E-2</v>
      </c>
      <c r="AS27" s="547"/>
      <c r="AT27" s="1525" t="s">
        <v>602</v>
      </c>
      <c r="AU27" s="1147">
        <f>AU$23*AM28</f>
        <v>0.91424516667695077</v>
      </c>
      <c r="AV27" s="547"/>
    </row>
    <row r="28" spans="1:48">
      <c r="A28" s="1343" t="s">
        <v>1843</v>
      </c>
      <c r="B28" s="1344"/>
      <c r="C28" s="1345"/>
      <c r="D28" s="1346">
        <v>2011</v>
      </c>
      <c r="E28" s="1346"/>
      <c r="F28" s="1346">
        <v>2012</v>
      </c>
      <c r="G28" s="1346"/>
      <c r="H28" s="1346">
        <v>2013</v>
      </c>
      <c r="I28" s="1346"/>
      <c r="J28" s="1346">
        <v>2014</v>
      </c>
      <c r="K28" s="1367"/>
      <c r="L28" s="1346">
        <v>2015</v>
      </c>
      <c r="M28" s="1347"/>
      <c r="U28" s="629"/>
      <c r="V28" s="629"/>
      <c r="W28" s="629"/>
      <c r="X28" s="629"/>
      <c r="Y28" s="629"/>
      <c r="Z28" s="629"/>
      <c r="AA28" s="629"/>
      <c r="AB28" s="629"/>
      <c r="AC28" s="629"/>
      <c r="AK28" s="304">
        <v>2</v>
      </c>
      <c r="AL28" s="866" t="s">
        <v>602</v>
      </c>
      <c r="AM28" s="1523">
        <v>1.5389308836988577E-2</v>
      </c>
      <c r="AN28" s="304"/>
      <c r="AQ28" s="1525" t="s">
        <v>603</v>
      </c>
      <c r="AR28" s="1147">
        <f>AR$23*AM29</f>
        <v>3.2661233418032474</v>
      </c>
      <c r="AS28" s="547"/>
      <c r="AT28" s="1525" t="s">
        <v>603</v>
      </c>
      <c r="AU28" s="1147">
        <f>AU$23*AM29</f>
        <v>33.776727270203736</v>
      </c>
      <c r="AV28" s="547"/>
    </row>
    <row r="29" spans="1:48">
      <c r="A29" s="1348" t="s">
        <v>1857</v>
      </c>
      <c r="B29" s="1349"/>
      <c r="C29" s="1351"/>
      <c r="D29" s="1368">
        <v>85660</v>
      </c>
      <c r="E29" s="1368" t="s">
        <v>392</v>
      </c>
      <c r="F29" s="1368">
        <v>82408</v>
      </c>
      <c r="G29" s="1368"/>
      <c r="H29" s="1368">
        <v>78262</v>
      </c>
      <c r="I29" s="1369" t="s">
        <v>392</v>
      </c>
      <c r="J29" s="1369">
        <v>77637</v>
      </c>
      <c r="K29" s="1333" t="s">
        <v>392</v>
      </c>
      <c r="L29" s="1369">
        <v>76456</v>
      </c>
      <c r="M29" s="1350"/>
      <c r="U29" s="1035" t="s">
        <v>1421</v>
      </c>
      <c r="V29" s="629"/>
      <c r="W29" s="629"/>
      <c r="X29" s="629"/>
      <c r="Y29" s="629"/>
      <c r="Z29" s="629"/>
      <c r="AA29" s="629"/>
      <c r="AB29" s="629"/>
      <c r="AC29" s="629"/>
      <c r="AK29" s="304">
        <v>3</v>
      </c>
      <c r="AL29" s="866" t="s">
        <v>603</v>
      </c>
      <c r="AM29" s="1523">
        <v>0.56855699806786208</v>
      </c>
      <c r="AN29" s="304"/>
      <c r="AQ29" s="1525" t="s">
        <v>604</v>
      </c>
      <c r="AR29" s="1147">
        <f>AR$23*AM30</f>
        <v>2.301650146074905</v>
      </c>
      <c r="AS29" s="547"/>
      <c r="AT29" s="1525" t="s">
        <v>604</v>
      </c>
      <c r="AU29" s="1147">
        <f>AU$23*AM30</f>
        <v>23.802594427580527</v>
      </c>
      <c r="AV29" s="547"/>
    </row>
    <row r="30" spans="1:48">
      <c r="A30" s="1351" t="s">
        <v>665</v>
      </c>
      <c r="B30" s="1351" t="s">
        <v>1858</v>
      </c>
      <c r="C30" s="1351"/>
      <c r="D30" s="1370">
        <v>61086</v>
      </c>
      <c r="E30" s="1370" t="s">
        <v>392</v>
      </c>
      <c r="F30" s="1370">
        <v>58899</v>
      </c>
      <c r="G30" s="1370"/>
      <c r="H30" s="1370">
        <v>56590</v>
      </c>
      <c r="I30" s="1350" t="s">
        <v>392</v>
      </c>
      <c r="J30" s="1350">
        <v>56673</v>
      </c>
      <c r="K30" s="1371" t="s">
        <v>392</v>
      </c>
      <c r="L30" s="1350">
        <v>56793</v>
      </c>
      <c r="M30" s="1350"/>
      <c r="U30" s="629"/>
      <c r="V30" s="629"/>
      <c r="W30" s="629"/>
      <c r="X30" s="629"/>
      <c r="Y30" s="629"/>
      <c r="Z30" s="629"/>
      <c r="AA30" s="629"/>
      <c r="AB30" s="629"/>
      <c r="AC30" s="629"/>
      <c r="AK30" s="304">
        <v>4</v>
      </c>
      <c r="AL30" s="866" t="s">
        <v>604</v>
      </c>
      <c r="AM30" s="1523">
        <v>0.40066438425816076</v>
      </c>
      <c r="AN30" s="304"/>
      <c r="AQ30" s="308"/>
      <c r="AR30" s="277">
        <f>SUM(AR26:AR29)</f>
        <v>5.7445838375089489</v>
      </c>
      <c r="AS30" s="547"/>
      <c r="AT30" s="308"/>
      <c r="AU30" s="277">
        <f>SUM(AU26:AU29)</f>
        <v>59.407812031138164</v>
      </c>
      <c r="AV30" s="547"/>
    </row>
    <row r="31" spans="1:48" ht="13.8" thickBot="1">
      <c r="A31" s="1351"/>
      <c r="B31" s="1351" t="s">
        <v>1855</v>
      </c>
      <c r="C31" s="1351"/>
      <c r="D31" s="1370">
        <v>377</v>
      </c>
      <c r="E31" s="1370" t="s">
        <v>392</v>
      </c>
      <c r="F31" s="1370">
        <v>418</v>
      </c>
      <c r="G31" s="1370"/>
      <c r="H31" s="1370">
        <v>388</v>
      </c>
      <c r="I31" s="1350" t="s">
        <v>392</v>
      </c>
      <c r="J31" s="1350">
        <v>396</v>
      </c>
      <c r="K31" s="1371" t="s">
        <v>392</v>
      </c>
      <c r="L31" s="1350">
        <v>371</v>
      </c>
      <c r="M31" s="1350"/>
      <c r="U31" s="1035" t="s">
        <v>353</v>
      </c>
      <c r="V31" s="1035">
        <v>2008</v>
      </c>
      <c r="W31" s="1035">
        <v>2009</v>
      </c>
      <c r="X31" s="1035">
        <v>2010</v>
      </c>
      <c r="Y31" s="1035">
        <v>2011</v>
      </c>
      <c r="Z31" s="1035">
        <v>2012</v>
      </c>
      <c r="AA31" s="1035">
        <v>2013</v>
      </c>
      <c r="AB31" s="1035">
        <v>2014</v>
      </c>
      <c r="AC31" s="1035">
        <v>2015</v>
      </c>
      <c r="AK31" s="304"/>
      <c r="AL31" s="304"/>
      <c r="AM31" s="304"/>
      <c r="AN31" s="304"/>
      <c r="AQ31" s="427"/>
      <c r="AR31" s="390"/>
      <c r="AS31" s="428"/>
      <c r="AT31" s="427"/>
      <c r="AU31" s="390"/>
      <c r="AV31" s="428"/>
    </row>
    <row r="32" spans="1:48">
      <c r="A32" s="1351" t="s">
        <v>1856</v>
      </c>
      <c r="B32" s="1357"/>
      <c r="C32" s="1358"/>
      <c r="D32" s="1370">
        <v>1175126</v>
      </c>
      <c r="E32" s="1370" t="s">
        <v>392</v>
      </c>
      <c r="F32" s="1370">
        <v>1159996</v>
      </c>
      <c r="G32" s="1370"/>
      <c r="H32" s="1370">
        <v>1134734</v>
      </c>
      <c r="I32" s="1350" t="s">
        <v>392</v>
      </c>
      <c r="J32" s="1350">
        <v>1163980</v>
      </c>
      <c r="K32" s="1371" t="s">
        <v>392</v>
      </c>
      <c r="L32" s="1350">
        <v>1184969</v>
      </c>
      <c r="M32" s="1350"/>
      <c r="U32" s="1034" t="s">
        <v>1835</v>
      </c>
      <c r="V32" s="629">
        <v>2292</v>
      </c>
      <c r="W32" s="629">
        <v>2384</v>
      </c>
      <c r="X32" s="304">
        <v>2211</v>
      </c>
      <c r="Y32" s="629">
        <v>1943</v>
      </c>
      <c r="Z32" s="629">
        <v>1912</v>
      </c>
      <c r="AA32" s="629">
        <v>1809</v>
      </c>
      <c r="AB32" s="629">
        <v>1948</v>
      </c>
      <c r="AC32" s="629">
        <v>2048</v>
      </c>
      <c r="AK32" s="304"/>
      <c r="AL32" s="304"/>
      <c r="AM32" s="304"/>
      <c r="AN32" s="304"/>
    </row>
    <row r="33" spans="1:32">
      <c r="A33" s="1348" t="s">
        <v>1851</v>
      </c>
      <c r="B33" s="1351"/>
      <c r="C33" s="1348"/>
      <c r="D33" s="1370" t="s">
        <v>392</v>
      </c>
      <c r="E33" s="1370" t="s">
        <v>392</v>
      </c>
      <c r="F33" s="1370" t="s">
        <v>392</v>
      </c>
      <c r="G33" s="1370"/>
      <c r="H33" s="1370" t="s">
        <v>392</v>
      </c>
      <c r="I33" s="1366" t="s">
        <v>392</v>
      </c>
      <c r="J33" s="1366" t="s">
        <v>392</v>
      </c>
      <c r="K33" s="1371" t="s">
        <v>392</v>
      </c>
      <c r="L33" s="1366" t="s">
        <v>392</v>
      </c>
      <c r="M33" s="1366"/>
      <c r="U33" s="1034" t="s">
        <v>1422</v>
      </c>
      <c r="V33" s="629">
        <v>121</v>
      </c>
      <c r="W33" s="629">
        <v>102</v>
      </c>
      <c r="X33" s="629">
        <v>214</v>
      </c>
      <c r="Y33" s="629">
        <v>242</v>
      </c>
      <c r="Z33" s="629">
        <v>282</v>
      </c>
      <c r="AA33" s="629">
        <v>287</v>
      </c>
      <c r="AB33" s="629">
        <v>374</v>
      </c>
      <c r="AC33" s="629">
        <v>885</v>
      </c>
    </row>
    <row r="34" spans="1:32">
      <c r="A34" s="1351" t="s">
        <v>1857</v>
      </c>
      <c r="B34" s="1362"/>
      <c r="C34" s="1353"/>
      <c r="D34" s="1370">
        <v>74819</v>
      </c>
      <c r="E34" s="1370" t="s">
        <v>392</v>
      </c>
      <c r="F34" s="1370">
        <v>71778</v>
      </c>
      <c r="G34" s="1370"/>
      <c r="H34" s="1370">
        <v>68049</v>
      </c>
      <c r="I34" s="1350" t="s">
        <v>392</v>
      </c>
      <c r="J34" s="1350">
        <v>68087</v>
      </c>
      <c r="K34" s="1371" t="s">
        <v>392</v>
      </c>
      <c r="L34" s="1350">
        <v>67603</v>
      </c>
      <c r="M34" s="1350"/>
      <c r="U34" s="1034" t="s">
        <v>1417</v>
      </c>
      <c r="V34" s="629">
        <v>2171</v>
      </c>
      <c r="W34" s="629">
        <v>2283</v>
      </c>
      <c r="X34" s="629">
        <v>1997</v>
      </c>
      <c r="Y34" s="629">
        <v>1701</v>
      </c>
      <c r="Z34" s="629">
        <v>1630</v>
      </c>
      <c r="AA34" s="629">
        <v>1522</v>
      </c>
      <c r="AB34" s="629">
        <v>1574</v>
      </c>
      <c r="AC34" s="629">
        <v>1163</v>
      </c>
    </row>
    <row r="35" spans="1:32">
      <c r="A35" s="1351" t="s">
        <v>1845</v>
      </c>
      <c r="B35" s="1351" t="s">
        <v>1858</v>
      </c>
      <c r="C35" s="1352"/>
      <c r="D35" s="1370">
        <v>57450</v>
      </c>
      <c r="E35" s="1370" t="s">
        <v>392</v>
      </c>
      <c r="F35" s="1370">
        <v>55236</v>
      </c>
      <c r="G35" s="1370"/>
      <c r="H35" s="1370">
        <v>52843</v>
      </c>
      <c r="I35" s="1350" t="s">
        <v>392</v>
      </c>
      <c r="J35" s="1350">
        <v>53131</v>
      </c>
      <c r="K35" s="1371" t="s">
        <v>392</v>
      </c>
      <c r="L35" s="1350">
        <v>53273</v>
      </c>
      <c r="M35" s="1350"/>
      <c r="U35" s="629"/>
      <c r="V35" s="629"/>
      <c r="W35" s="629"/>
      <c r="X35" s="629"/>
      <c r="Y35" s="629"/>
      <c r="Z35" s="629"/>
      <c r="AA35" s="629"/>
      <c r="AB35" s="629"/>
      <c r="AC35" s="629"/>
    </row>
    <row r="36" spans="1:32">
      <c r="A36" s="1353"/>
      <c r="B36" s="1351" t="s">
        <v>1855</v>
      </c>
      <c r="C36" s="1352"/>
      <c r="D36" s="1370">
        <v>341</v>
      </c>
      <c r="E36" s="1370" t="s">
        <v>392</v>
      </c>
      <c r="F36" s="1370">
        <v>378</v>
      </c>
      <c r="G36" s="1370"/>
      <c r="H36" s="1370">
        <v>340</v>
      </c>
      <c r="I36" s="1350" t="s">
        <v>392</v>
      </c>
      <c r="J36" s="1350">
        <v>370</v>
      </c>
      <c r="K36" s="1371" t="s">
        <v>392</v>
      </c>
      <c r="L36" s="1350">
        <v>342</v>
      </c>
      <c r="M36" s="1350">
        <f>L34-L35-L36</f>
        <v>13988</v>
      </c>
      <c r="U36" s="1042" t="s">
        <v>44</v>
      </c>
      <c r="V36" s="1036"/>
      <c r="W36" s="1036"/>
      <c r="X36" s="1036"/>
      <c r="Y36" s="1036"/>
      <c r="Z36" s="1036"/>
      <c r="AA36" s="1036"/>
      <c r="AB36" s="1036"/>
      <c r="AC36" s="1036"/>
    </row>
    <row r="37" spans="1:32">
      <c r="A37" s="1363" t="s">
        <v>1856</v>
      </c>
      <c r="B37" s="1140"/>
      <c r="C37" s="1365"/>
      <c r="D37" s="1372">
        <v>1051366</v>
      </c>
      <c r="E37" s="1372" t="s">
        <v>392</v>
      </c>
      <c r="F37" s="1372">
        <v>1036581</v>
      </c>
      <c r="G37" s="1372"/>
      <c r="H37" s="1372">
        <v>1011172</v>
      </c>
      <c r="I37" s="1363" t="s">
        <v>392</v>
      </c>
      <c r="J37" s="1363">
        <v>1045657</v>
      </c>
      <c r="K37" s="1140" t="s">
        <v>392</v>
      </c>
      <c r="L37" s="1363">
        <v>1069667</v>
      </c>
      <c r="M37" s="1350"/>
      <c r="U37" s="1036" t="s">
        <v>353</v>
      </c>
      <c r="V37" s="1036">
        <v>2008</v>
      </c>
      <c r="W37" s="1036">
        <v>2009</v>
      </c>
      <c r="X37" s="1036">
        <v>2010</v>
      </c>
      <c r="Y37" s="1036">
        <v>2011</v>
      </c>
      <c r="Z37" s="1036">
        <v>2012</v>
      </c>
      <c r="AA37" s="1036">
        <v>2013</v>
      </c>
      <c r="AB37" s="1036">
        <v>2014</v>
      </c>
      <c r="AC37" s="1036">
        <v>2015</v>
      </c>
    </row>
    <row r="38" spans="1:32">
      <c r="A38" s="1361"/>
      <c r="B38" s="1350"/>
      <c r="C38" s="1361"/>
      <c r="D38" s="1350"/>
      <c r="E38" s="1350"/>
      <c r="F38" s="1350"/>
      <c r="G38" s="1350"/>
      <c r="H38" s="1350"/>
      <c r="I38" s="1350"/>
      <c r="J38" s="1350"/>
      <c r="K38" s="1350"/>
      <c r="L38" s="1350"/>
      <c r="M38" s="1350"/>
      <c r="U38" s="1037" t="s">
        <v>1835</v>
      </c>
      <c r="V38" s="1040">
        <v>86.962270000000004</v>
      </c>
      <c r="W38" s="1040">
        <v>90.558030000000002</v>
      </c>
      <c r="X38" s="1331">
        <v>83.615650000000016</v>
      </c>
      <c r="Y38" s="1040">
        <v>73.328850000000003</v>
      </c>
      <c r="Z38" s="1040">
        <v>72.035660000000007</v>
      </c>
      <c r="AA38" s="1040">
        <v>68.098340000000007</v>
      </c>
      <c r="AB38" s="1040">
        <v>73.148380000000003</v>
      </c>
      <c r="AC38" s="1040">
        <v>75.521470000000008</v>
      </c>
      <c r="AF38">
        <f>X38/(X38+X21)</f>
        <v>0.91182850974367036</v>
      </c>
    </row>
    <row r="39" spans="1:32">
      <c r="A39" s="1373" t="s">
        <v>1859</v>
      </c>
      <c r="B39" s="1362"/>
      <c r="C39" s="1352"/>
      <c r="D39" s="1374"/>
      <c r="E39" s="1374"/>
      <c r="F39" s="1374"/>
      <c r="G39" s="1374"/>
      <c r="H39" s="1374"/>
      <c r="I39" s="1374"/>
      <c r="J39" s="1374"/>
      <c r="K39" s="1374"/>
      <c r="L39" s="1374"/>
      <c r="M39" s="1371"/>
      <c r="U39" s="1037" t="s">
        <v>1422</v>
      </c>
      <c r="V39" s="1039">
        <v>4.2688800000000002</v>
      </c>
      <c r="W39" s="1039">
        <v>3.59856</v>
      </c>
      <c r="X39" s="1039">
        <v>7.5499200000000002</v>
      </c>
      <c r="Y39" s="1039">
        <v>8.5377600000000005</v>
      </c>
      <c r="Z39" s="1039">
        <v>9.9489600000000014</v>
      </c>
      <c r="AA39" s="1039">
        <v>10.125360000000001</v>
      </c>
      <c r="AB39" s="1039">
        <v>13.194720000000002</v>
      </c>
      <c r="AC39" s="1039">
        <v>31.222799999999999</v>
      </c>
    </row>
    <row r="40" spans="1:32">
      <c r="A40" s="1373" t="s">
        <v>1860</v>
      </c>
      <c r="B40" s="1362"/>
      <c r="C40" s="1352"/>
      <c r="D40" s="1374"/>
      <c r="E40" s="1374"/>
      <c r="F40" s="1374"/>
      <c r="G40" s="1374"/>
      <c r="H40" s="1374"/>
      <c r="I40" s="1374"/>
      <c r="J40" s="1374"/>
      <c r="K40" s="1374"/>
      <c r="L40" s="1374"/>
      <c r="M40" s="1371"/>
      <c r="U40" s="1037" t="s">
        <v>1417</v>
      </c>
      <c r="V40" s="1040">
        <v>82.693390000000008</v>
      </c>
      <c r="W40" s="1040">
        <v>86.959469999999996</v>
      </c>
      <c r="X40" s="1040">
        <v>76.065730000000016</v>
      </c>
      <c r="Y40" s="1040">
        <v>64.791089999999997</v>
      </c>
      <c r="Z40" s="1040">
        <v>62.086700000000008</v>
      </c>
      <c r="AA40" s="1040">
        <v>57.97298</v>
      </c>
      <c r="AB40" s="1040">
        <v>59.953660000000006</v>
      </c>
      <c r="AC40" s="1040">
        <v>44.298670000000008</v>
      </c>
    </row>
    <row r="41" spans="1:32">
      <c r="A41" s="3066" t="s">
        <v>1861</v>
      </c>
      <c r="B41" s="3066"/>
      <c r="C41" s="3066"/>
      <c r="D41" s="3066"/>
      <c r="E41" s="3066"/>
      <c r="F41" s="3066"/>
      <c r="G41" s="3066"/>
      <c r="H41" s="3066"/>
      <c r="I41" s="3066"/>
      <c r="J41" s="3066"/>
      <c r="K41" s="3066"/>
      <c r="L41" s="3066"/>
      <c r="M41" s="3066"/>
    </row>
    <row r="42" spans="1:32">
      <c r="A42" s="1375"/>
      <c r="B42" s="1362"/>
      <c r="C42" s="1352"/>
      <c r="D42" s="1374"/>
      <c r="E42" s="1374"/>
      <c r="F42" s="1374"/>
      <c r="G42" s="1374"/>
      <c r="H42" s="1374"/>
      <c r="I42" s="1374"/>
      <c r="J42" s="1374"/>
      <c r="K42" s="1374"/>
      <c r="L42" s="1374"/>
      <c r="M42" s="1371"/>
    </row>
    <row r="43" spans="1:32">
      <c r="A43" s="1375"/>
      <c r="B43" s="1362"/>
      <c r="C43" s="1352"/>
      <c r="D43" s="1374"/>
      <c r="E43" s="1374"/>
      <c r="F43" s="1374"/>
      <c r="G43" s="1374"/>
      <c r="H43" s="1374"/>
      <c r="I43" s="2408"/>
      <c r="J43" s="2408"/>
      <c r="K43" s="1374"/>
      <c r="L43" s="1374"/>
      <c r="M43" s="1371"/>
    </row>
    <row r="44" spans="1:32">
      <c r="I44" s="765"/>
      <c r="J44" s="2408"/>
    </row>
    <row r="45" spans="1:32">
      <c r="I45" s="2408"/>
    </row>
    <row r="46" spans="1:32">
      <c r="I46" s="765"/>
    </row>
    <row r="54" spans="1:28">
      <c r="A54" s="754"/>
      <c r="B54" s="754"/>
      <c r="C54" s="754"/>
      <c r="D54" s="1381"/>
      <c r="E54" s="878"/>
      <c r="F54" s="1382"/>
      <c r="G54" s="878"/>
      <c r="H54" s="1382"/>
      <c r="I54" s="754"/>
      <c r="J54" s="1383"/>
    </row>
    <row r="55" spans="1:28">
      <c r="A55" s="1384" t="s">
        <v>1864</v>
      </c>
      <c r="B55" s="1385"/>
      <c r="C55" s="1385"/>
      <c r="D55" s="1386"/>
      <c r="E55" s="1387"/>
      <c r="F55" s="1382"/>
      <c r="G55" s="1387"/>
      <c r="H55" s="1382"/>
      <c r="I55" s="754"/>
      <c r="J55" s="1383"/>
    </row>
    <row r="56" spans="1:28">
      <c r="A56" s="1388" t="s">
        <v>1865</v>
      </c>
      <c r="B56" s="1389"/>
      <c r="C56" s="1389"/>
      <c r="D56" s="1388"/>
      <c r="E56" s="1387"/>
      <c r="F56" s="1387"/>
      <c r="G56" s="1387"/>
      <c r="H56" s="1387"/>
      <c r="I56" s="1387"/>
      <c r="J56" s="1390"/>
    </row>
    <row r="57" spans="1:28">
      <c r="A57" s="1363"/>
      <c r="B57" s="1391"/>
      <c r="C57" s="1391"/>
      <c r="D57" s="1363"/>
      <c r="E57" s="1392"/>
      <c r="F57" s="1382"/>
      <c r="G57" s="1392"/>
      <c r="H57" s="1382"/>
      <c r="I57" s="1392"/>
      <c r="J57" s="1393"/>
    </row>
    <row r="58" spans="1:28">
      <c r="A58" s="1351"/>
      <c r="B58" s="1394"/>
      <c r="C58" s="1394"/>
      <c r="D58" s="1351"/>
      <c r="E58" s="1395" t="s">
        <v>392</v>
      </c>
      <c r="F58" s="1396"/>
      <c r="G58" s="1395"/>
      <c r="H58" s="1396"/>
      <c r="I58" s="754"/>
      <c r="J58" s="1393"/>
      <c r="M58" t="s">
        <v>1840</v>
      </c>
    </row>
    <row r="59" spans="1:28">
      <c r="A59" s="1366"/>
      <c r="B59" s="1347"/>
      <c r="C59" s="1347"/>
      <c r="D59" s="1350"/>
      <c r="E59" s="1397" t="s">
        <v>392</v>
      </c>
      <c r="F59" s="1382"/>
      <c r="G59" s="1397" t="s">
        <v>392</v>
      </c>
      <c r="H59" s="1382"/>
      <c r="I59" s="754"/>
      <c r="J59" s="1393"/>
      <c r="M59" t="s">
        <v>2479</v>
      </c>
    </row>
    <row r="60" spans="1:28">
      <c r="A60" s="1398"/>
      <c r="B60" s="1399"/>
      <c r="C60" s="1399"/>
      <c r="D60" s="1398"/>
      <c r="E60" s="1400">
        <v>2013</v>
      </c>
      <c r="F60" s="1401"/>
      <c r="G60" s="1400">
        <v>2014</v>
      </c>
      <c r="H60" s="1401"/>
      <c r="I60" s="1400">
        <v>2015</v>
      </c>
      <c r="J60" s="1393"/>
      <c r="M60" t="s">
        <v>2480</v>
      </c>
    </row>
    <row r="61" spans="1:28">
      <c r="A61" s="1386" t="s">
        <v>1866</v>
      </c>
      <c r="B61" s="1402"/>
      <c r="C61" s="1402"/>
      <c r="D61" s="1403"/>
      <c r="E61" s="1404"/>
      <c r="F61" s="1382"/>
      <c r="G61" s="1404"/>
      <c r="H61" s="1382"/>
      <c r="I61" s="1404"/>
      <c r="J61" s="1393"/>
      <c r="M61" t="s">
        <v>1843</v>
      </c>
      <c r="P61">
        <v>2016</v>
      </c>
      <c r="R61">
        <v>2015</v>
      </c>
      <c r="T61">
        <v>2014</v>
      </c>
      <c r="V61">
        <v>2013</v>
      </c>
      <c r="X61">
        <v>2012</v>
      </c>
    </row>
    <row r="62" spans="1:28">
      <c r="A62" s="1405"/>
      <c r="B62" s="1406"/>
      <c r="C62" s="1402" t="s">
        <v>1867</v>
      </c>
      <c r="D62" s="1405"/>
      <c r="E62" s="1407">
        <v>78262</v>
      </c>
      <c r="F62" s="1382" t="s">
        <v>392</v>
      </c>
      <c r="G62" s="1407">
        <v>77637</v>
      </c>
      <c r="H62" s="1382" t="s">
        <v>392</v>
      </c>
      <c r="I62" s="1407">
        <v>76456</v>
      </c>
      <c r="J62" s="1408" t="s">
        <v>392</v>
      </c>
      <c r="M62" t="s">
        <v>2481</v>
      </c>
      <c r="P62">
        <v>76786</v>
      </c>
      <c r="Q62" t="s">
        <v>392</v>
      </c>
      <c r="R62">
        <v>76456</v>
      </c>
      <c r="S62" t="s">
        <v>392</v>
      </c>
      <c r="T62">
        <v>77637</v>
      </c>
      <c r="U62" t="s">
        <v>392</v>
      </c>
      <c r="V62">
        <v>78262</v>
      </c>
      <c r="X62">
        <v>82408</v>
      </c>
    </row>
    <row r="63" spans="1:28">
      <c r="A63" s="1405"/>
      <c r="B63" s="1406"/>
      <c r="C63" s="1402" t="s">
        <v>1868</v>
      </c>
      <c r="D63" s="1405"/>
      <c r="E63" s="1407">
        <v>1134734</v>
      </c>
      <c r="F63" s="1382" t="s">
        <v>392</v>
      </c>
      <c r="G63" s="1407">
        <v>1163980</v>
      </c>
      <c r="H63" s="1382" t="s">
        <v>392</v>
      </c>
      <c r="I63" s="1407">
        <v>1184969</v>
      </c>
      <c r="J63" s="1409" t="s">
        <v>392</v>
      </c>
      <c r="M63" t="s">
        <v>1845</v>
      </c>
      <c r="N63" t="s">
        <v>2482</v>
      </c>
      <c r="P63">
        <v>57072</v>
      </c>
      <c r="Q63" t="s">
        <v>392</v>
      </c>
      <c r="R63">
        <v>56793</v>
      </c>
      <c r="S63" t="s">
        <v>392</v>
      </c>
      <c r="T63">
        <v>56673</v>
      </c>
      <c r="U63" t="s">
        <v>392</v>
      </c>
      <c r="V63">
        <v>56590</v>
      </c>
      <c r="X63">
        <v>58899</v>
      </c>
      <c r="AB63" s="765" t="s">
        <v>2493</v>
      </c>
    </row>
    <row r="64" spans="1:28">
      <c r="A64" s="1410"/>
      <c r="B64" s="1402"/>
      <c r="C64" s="1402" t="s">
        <v>1869</v>
      </c>
      <c r="D64" s="1403"/>
      <c r="E64" s="1407">
        <v>1011172</v>
      </c>
      <c r="F64" s="1382" t="s">
        <v>392</v>
      </c>
      <c r="G64" s="1407">
        <v>1045657</v>
      </c>
      <c r="H64" s="1382" t="s">
        <v>392</v>
      </c>
      <c r="I64" s="1407">
        <v>1069667</v>
      </c>
      <c r="J64" s="1393" t="s">
        <v>392</v>
      </c>
      <c r="M64" t="s">
        <v>1847</v>
      </c>
      <c r="N64" t="s">
        <v>2483</v>
      </c>
      <c r="P64" t="s">
        <v>392</v>
      </c>
      <c r="Q64" t="s">
        <v>392</v>
      </c>
      <c r="R64" t="s">
        <v>392</v>
      </c>
      <c r="S64" t="s">
        <v>392</v>
      </c>
      <c r="T64" t="s">
        <v>392</v>
      </c>
      <c r="U64" t="s">
        <v>392</v>
      </c>
    </row>
    <row r="65" spans="1:29">
      <c r="A65" s="1386" t="s">
        <v>1870</v>
      </c>
      <c r="B65" s="1402"/>
      <c r="C65" s="1402"/>
      <c r="D65" s="1403"/>
      <c r="E65" s="1407" t="s">
        <v>392</v>
      </c>
      <c r="F65" s="1382" t="s">
        <v>392</v>
      </c>
      <c r="G65" s="1407" t="s">
        <v>392</v>
      </c>
      <c r="H65" s="1382" t="s">
        <v>392</v>
      </c>
      <c r="I65" s="1407"/>
      <c r="J65" s="1393" t="s">
        <v>392</v>
      </c>
      <c r="N65" t="s">
        <v>2484</v>
      </c>
      <c r="P65">
        <v>323</v>
      </c>
      <c r="Q65" t="s">
        <v>392</v>
      </c>
      <c r="R65">
        <v>371</v>
      </c>
      <c r="S65" t="s">
        <v>392</v>
      </c>
      <c r="T65">
        <v>396</v>
      </c>
      <c r="U65" t="s">
        <v>392</v>
      </c>
      <c r="V65">
        <v>388</v>
      </c>
      <c r="X65">
        <v>418</v>
      </c>
      <c r="AB65" s="866" t="s">
        <v>1615</v>
      </c>
      <c r="AC65" s="866" t="s">
        <v>2494</v>
      </c>
    </row>
    <row r="66" spans="1:29">
      <c r="A66" s="1386" t="s">
        <v>1871</v>
      </c>
      <c r="B66" s="1385"/>
      <c r="C66" s="1385"/>
      <c r="D66" s="1388"/>
      <c r="E66" s="1411" t="s">
        <v>392</v>
      </c>
      <c r="F66" s="1382" t="s">
        <v>392</v>
      </c>
      <c r="G66" s="1411" t="s">
        <v>392</v>
      </c>
      <c r="H66" s="1382" t="s">
        <v>392</v>
      </c>
      <c r="I66" s="1411" t="s">
        <v>392</v>
      </c>
      <c r="J66" s="1393" t="s">
        <v>392</v>
      </c>
      <c r="M66" t="s">
        <v>2485</v>
      </c>
      <c r="P66">
        <v>1172798</v>
      </c>
      <c r="Q66" t="s">
        <v>392</v>
      </c>
      <c r="R66">
        <v>1184969</v>
      </c>
      <c r="S66" t="s">
        <v>392</v>
      </c>
      <c r="T66">
        <v>1163980</v>
      </c>
      <c r="U66" t="s">
        <v>392</v>
      </c>
      <c r="V66">
        <v>1134734</v>
      </c>
      <c r="X66">
        <v>1159996</v>
      </c>
      <c r="AB66" s="304">
        <f>E106*1000/(P75*N111)</f>
        <v>62.788184648480311</v>
      </c>
      <c r="AC66" s="304">
        <f>E97*1000/(P75*O111)</f>
        <v>216.95490943810069</v>
      </c>
    </row>
    <row r="67" spans="1:29">
      <c r="A67" s="1412" t="s">
        <v>1872</v>
      </c>
      <c r="B67" s="1385"/>
      <c r="C67" s="1385"/>
      <c r="D67" s="1386"/>
      <c r="E67" s="1413">
        <v>75554</v>
      </c>
      <c r="F67" s="1382" t="s">
        <v>392</v>
      </c>
      <c r="G67" s="1413">
        <v>79638</v>
      </c>
      <c r="H67" s="1382" t="s">
        <v>392</v>
      </c>
      <c r="I67" s="1413">
        <v>80820</v>
      </c>
      <c r="J67" s="1393" t="s">
        <v>392</v>
      </c>
      <c r="M67" t="s">
        <v>2486</v>
      </c>
      <c r="P67" t="s">
        <v>392</v>
      </c>
      <c r="Q67" t="s">
        <v>392</v>
      </c>
      <c r="R67" t="s">
        <v>392</v>
      </c>
      <c r="S67" t="s">
        <v>392</v>
      </c>
      <c r="T67" t="s">
        <v>392</v>
      </c>
      <c r="U67" t="s">
        <v>392</v>
      </c>
    </row>
    <row r="68" spans="1:29">
      <c r="A68" s="1387"/>
      <c r="B68" s="1389"/>
      <c r="C68" s="1389" t="s">
        <v>1873</v>
      </c>
      <c r="D68" s="1388" t="s">
        <v>1874</v>
      </c>
      <c r="E68" s="1411">
        <v>18846</v>
      </c>
      <c r="F68" s="1382" t="s">
        <v>392</v>
      </c>
      <c r="G68" s="1411">
        <v>19386</v>
      </c>
      <c r="H68" s="1382" t="s">
        <v>392</v>
      </c>
      <c r="I68" s="1411">
        <v>19869</v>
      </c>
      <c r="J68" s="1393" t="s">
        <v>392</v>
      </c>
      <c r="M68" t="s">
        <v>1847</v>
      </c>
      <c r="N68" t="s">
        <v>2487</v>
      </c>
      <c r="P68" t="s">
        <v>392</v>
      </c>
      <c r="Q68" t="s">
        <v>392</v>
      </c>
      <c r="R68" t="s">
        <v>392</v>
      </c>
      <c r="S68" t="s">
        <v>392</v>
      </c>
      <c r="T68" t="s">
        <v>392</v>
      </c>
      <c r="U68" t="s">
        <v>392</v>
      </c>
    </row>
    <row r="69" spans="1:29">
      <c r="A69" s="1387"/>
      <c r="B69" s="1389"/>
      <c r="C69" s="1389"/>
      <c r="D69" s="1388" t="s">
        <v>1875</v>
      </c>
      <c r="E69" s="1411">
        <v>483</v>
      </c>
      <c r="F69" s="1382" t="s">
        <v>392</v>
      </c>
      <c r="G69" s="1411">
        <v>459</v>
      </c>
      <c r="H69" s="1382" t="s">
        <v>392</v>
      </c>
      <c r="I69" s="1411">
        <v>477</v>
      </c>
      <c r="J69" s="1393" t="s">
        <v>392</v>
      </c>
      <c r="M69" t="s">
        <v>2488</v>
      </c>
      <c r="P69">
        <v>67322</v>
      </c>
      <c r="Q69" t="s">
        <v>392</v>
      </c>
      <c r="R69">
        <v>67603</v>
      </c>
      <c r="S69" t="s">
        <v>392</v>
      </c>
      <c r="T69">
        <v>68087</v>
      </c>
      <c r="U69" t="s">
        <v>392</v>
      </c>
      <c r="V69">
        <v>68049</v>
      </c>
      <c r="X69">
        <v>71778</v>
      </c>
    </row>
    <row r="70" spans="1:29">
      <c r="A70" s="1412" t="s">
        <v>1876</v>
      </c>
      <c r="B70" s="1385"/>
      <c r="C70" s="1385"/>
      <c r="D70" s="1386"/>
      <c r="E70" s="1413">
        <v>62918</v>
      </c>
      <c r="F70" s="1382" t="s">
        <v>392</v>
      </c>
      <c r="G70" s="1413">
        <v>65077</v>
      </c>
      <c r="H70" s="1382" t="s">
        <v>392</v>
      </c>
      <c r="I70" s="1413">
        <v>65935</v>
      </c>
      <c r="J70" s="1393" t="s">
        <v>392</v>
      </c>
      <c r="M70" t="s">
        <v>665</v>
      </c>
      <c r="N70" t="s">
        <v>2482</v>
      </c>
      <c r="P70">
        <v>53076</v>
      </c>
      <c r="Q70" t="s">
        <v>392</v>
      </c>
      <c r="R70">
        <v>53273</v>
      </c>
      <c r="S70" t="s">
        <v>392</v>
      </c>
      <c r="T70">
        <v>53131</v>
      </c>
      <c r="U70" t="s">
        <v>392</v>
      </c>
      <c r="V70">
        <v>52843</v>
      </c>
      <c r="X70">
        <v>55236</v>
      </c>
    </row>
    <row r="71" spans="1:29">
      <c r="A71" s="1387"/>
      <c r="B71" s="1389"/>
      <c r="C71" s="1389" t="s">
        <v>1873</v>
      </c>
      <c r="D71" s="1388" t="s">
        <v>1874</v>
      </c>
      <c r="E71" s="1411">
        <v>17125</v>
      </c>
      <c r="F71" s="1382" t="s">
        <v>392</v>
      </c>
      <c r="G71" s="1411">
        <v>18105</v>
      </c>
      <c r="H71" s="1382" t="s">
        <v>392</v>
      </c>
      <c r="I71" s="1411">
        <v>19209</v>
      </c>
      <c r="J71" s="1393" t="s">
        <v>392</v>
      </c>
      <c r="M71" t="s">
        <v>392</v>
      </c>
      <c r="N71" t="s">
        <v>1855</v>
      </c>
      <c r="P71">
        <v>291</v>
      </c>
      <c r="Q71" t="s">
        <v>392</v>
      </c>
      <c r="R71">
        <v>342</v>
      </c>
      <c r="S71" t="s">
        <v>392</v>
      </c>
      <c r="T71">
        <v>370</v>
      </c>
      <c r="U71" t="s">
        <v>392</v>
      </c>
      <c r="V71">
        <v>340</v>
      </c>
      <c r="X71">
        <v>378</v>
      </c>
    </row>
    <row r="72" spans="1:29">
      <c r="A72" s="1387"/>
      <c r="B72" s="1389"/>
      <c r="C72" s="1389"/>
      <c r="D72" s="1388" t="s">
        <v>1877</v>
      </c>
      <c r="E72" s="1411">
        <v>602</v>
      </c>
      <c r="F72" s="1382" t="s">
        <v>392</v>
      </c>
      <c r="G72" s="1411">
        <v>612</v>
      </c>
      <c r="H72" s="1382" t="s">
        <v>392</v>
      </c>
      <c r="I72" s="1411">
        <v>653</v>
      </c>
      <c r="J72" s="1393"/>
      <c r="M72" t="s">
        <v>1856</v>
      </c>
      <c r="P72">
        <v>1050277</v>
      </c>
      <c r="Q72" t="s">
        <v>392</v>
      </c>
      <c r="R72">
        <v>1069667</v>
      </c>
      <c r="S72" t="s">
        <v>392</v>
      </c>
      <c r="T72">
        <v>1045657</v>
      </c>
      <c r="U72" t="s">
        <v>392</v>
      </c>
      <c r="V72">
        <v>1011172</v>
      </c>
      <c r="X72">
        <v>1036581</v>
      </c>
    </row>
    <row r="73" spans="1:29">
      <c r="A73" s="1412" t="s">
        <v>1878</v>
      </c>
      <c r="B73" s="1385"/>
      <c r="C73" s="1385"/>
      <c r="D73" s="1386"/>
      <c r="E73" s="1413">
        <v>138471</v>
      </c>
      <c r="F73" s="1382" t="s">
        <v>392</v>
      </c>
      <c r="G73" s="1413">
        <v>144716</v>
      </c>
      <c r="H73" s="1382" t="s">
        <v>392</v>
      </c>
      <c r="I73" s="1413">
        <v>146755</v>
      </c>
      <c r="J73" s="1393" t="s">
        <v>392</v>
      </c>
    </row>
    <row r="74" spans="1:29">
      <c r="A74" s="1412"/>
      <c r="B74" s="1385"/>
      <c r="C74" s="1385"/>
      <c r="D74" s="1386"/>
      <c r="E74" s="1413" t="s">
        <v>392</v>
      </c>
      <c r="F74" s="1382" t="s">
        <v>392</v>
      </c>
      <c r="G74" s="1413" t="s">
        <v>392</v>
      </c>
      <c r="H74" s="1382" t="s">
        <v>392</v>
      </c>
      <c r="I74" s="1413"/>
      <c r="J74" s="1393" t="s">
        <v>392</v>
      </c>
      <c r="M74" t="s">
        <v>1843</v>
      </c>
      <c r="P74">
        <v>2011</v>
      </c>
      <c r="R74">
        <v>2010</v>
      </c>
      <c r="T74">
        <v>2009</v>
      </c>
      <c r="V74">
        <v>2008</v>
      </c>
      <c r="X74">
        <v>2007</v>
      </c>
    </row>
    <row r="75" spans="1:29">
      <c r="A75" s="1386" t="s">
        <v>1879</v>
      </c>
      <c r="B75" s="1389"/>
      <c r="C75" s="1389"/>
      <c r="D75" s="1388"/>
      <c r="E75" s="1411" t="s">
        <v>392</v>
      </c>
      <c r="F75" s="1382" t="s">
        <v>392</v>
      </c>
      <c r="G75" s="1411" t="s">
        <v>392</v>
      </c>
      <c r="H75" s="1382" t="s">
        <v>392</v>
      </c>
      <c r="I75" s="1411" t="s">
        <v>392</v>
      </c>
      <c r="J75" s="1393" t="s">
        <v>392</v>
      </c>
      <c r="M75" t="s">
        <v>1857</v>
      </c>
      <c r="P75">
        <v>85660</v>
      </c>
      <c r="R75">
        <v>83820</v>
      </c>
      <c r="T75">
        <v>95610</v>
      </c>
      <c r="V75">
        <v>106549</v>
      </c>
      <c r="X75">
        <v>106308</v>
      </c>
    </row>
    <row r="76" spans="1:29">
      <c r="A76" s="1412" t="s">
        <v>1872</v>
      </c>
      <c r="B76" s="1385"/>
      <c r="C76" s="1385"/>
      <c r="D76" s="1386"/>
      <c r="E76" s="1413">
        <v>11153</v>
      </c>
      <c r="F76" s="1382" t="s">
        <v>392</v>
      </c>
      <c r="G76" s="1413">
        <v>11239</v>
      </c>
      <c r="H76" s="1382" t="s">
        <v>392</v>
      </c>
      <c r="I76" s="1413">
        <v>11166</v>
      </c>
      <c r="J76" s="1393" t="s">
        <v>392</v>
      </c>
      <c r="M76" t="s">
        <v>665</v>
      </c>
      <c r="N76" t="s">
        <v>1858</v>
      </c>
      <c r="P76">
        <v>61086</v>
      </c>
      <c r="R76">
        <v>59174</v>
      </c>
      <c r="T76">
        <v>72151</v>
      </c>
      <c r="V76">
        <v>78873</v>
      </c>
      <c r="X76">
        <v>77383</v>
      </c>
    </row>
    <row r="77" spans="1:29">
      <c r="A77" s="1412"/>
      <c r="B77" s="1385"/>
      <c r="C77" s="1389" t="s">
        <v>1873</v>
      </c>
      <c r="D77" s="1388" t="s">
        <v>1874</v>
      </c>
      <c r="E77" s="1411">
        <v>614</v>
      </c>
      <c r="F77" s="1382" t="s">
        <v>392</v>
      </c>
      <c r="G77" s="1411">
        <v>694</v>
      </c>
      <c r="H77" s="1382" t="s">
        <v>392</v>
      </c>
      <c r="I77" s="1411">
        <v>685</v>
      </c>
      <c r="J77" s="1393" t="s">
        <v>392</v>
      </c>
      <c r="N77" t="s">
        <v>1855</v>
      </c>
      <c r="P77">
        <v>377</v>
      </c>
      <c r="R77">
        <v>379</v>
      </c>
      <c r="T77">
        <v>405</v>
      </c>
      <c r="V77">
        <v>379</v>
      </c>
      <c r="X77">
        <v>382</v>
      </c>
    </row>
    <row r="78" spans="1:29">
      <c r="A78" s="1412" t="s">
        <v>1880</v>
      </c>
      <c r="B78" s="1385"/>
      <c r="C78" s="1385"/>
      <c r="D78" s="1386"/>
      <c r="E78" s="1413">
        <v>11946</v>
      </c>
      <c r="F78" s="1382" t="s">
        <v>392</v>
      </c>
      <c r="G78" s="1413">
        <v>11519</v>
      </c>
      <c r="H78" s="1382" t="s">
        <v>392</v>
      </c>
      <c r="I78" s="1413">
        <v>11790</v>
      </c>
      <c r="J78" s="1393" t="s">
        <v>392</v>
      </c>
      <c r="M78" t="s">
        <v>1856</v>
      </c>
      <c r="P78">
        <v>1175126</v>
      </c>
      <c r="R78">
        <v>1163509.04</v>
      </c>
      <c r="T78">
        <v>1196110.828</v>
      </c>
      <c r="V78">
        <v>1262472.879</v>
      </c>
      <c r="X78">
        <v>1231456.7620000001</v>
      </c>
    </row>
    <row r="79" spans="1:29">
      <c r="A79" s="1412"/>
      <c r="B79" s="1385"/>
      <c r="C79" s="1389" t="s">
        <v>1873</v>
      </c>
      <c r="D79" s="1388" t="s">
        <v>1874</v>
      </c>
      <c r="E79" s="1411">
        <v>563</v>
      </c>
      <c r="F79" s="1382" t="s">
        <v>392</v>
      </c>
      <c r="G79" s="1411">
        <v>660</v>
      </c>
      <c r="H79" s="1382" t="s">
        <v>392</v>
      </c>
      <c r="I79" s="1411">
        <v>607</v>
      </c>
      <c r="J79" s="1393" t="s">
        <v>392</v>
      </c>
      <c r="M79" t="s">
        <v>1851</v>
      </c>
      <c r="P79" t="s">
        <v>392</v>
      </c>
    </row>
    <row r="80" spans="1:29">
      <c r="A80" s="1412" t="s">
        <v>1881</v>
      </c>
      <c r="B80" s="1385"/>
      <c r="C80" s="1385"/>
      <c r="D80" s="1386"/>
      <c r="E80" s="1413">
        <v>23099</v>
      </c>
      <c r="F80" s="1382" t="s">
        <v>392</v>
      </c>
      <c r="G80" s="1413">
        <v>22757</v>
      </c>
      <c r="H80" s="1382" t="s">
        <v>392</v>
      </c>
      <c r="I80" s="1413">
        <v>22956</v>
      </c>
      <c r="J80" s="1393" t="s">
        <v>392</v>
      </c>
      <c r="M80" t="s">
        <v>1857</v>
      </c>
      <c r="P80">
        <v>74819</v>
      </c>
      <c r="R80">
        <v>73138</v>
      </c>
      <c r="T80">
        <v>85060</v>
      </c>
      <c r="V80">
        <v>94739</v>
      </c>
      <c r="X80">
        <v>93691</v>
      </c>
    </row>
    <row r="81" spans="1:24">
      <c r="A81" s="1412"/>
      <c r="B81" s="1385"/>
      <c r="C81" s="1385"/>
      <c r="D81" s="1386"/>
      <c r="E81" s="1413" t="s">
        <v>392</v>
      </c>
      <c r="F81" s="1382" t="s">
        <v>392</v>
      </c>
      <c r="G81" s="1413" t="s">
        <v>392</v>
      </c>
      <c r="H81" s="1382" t="s">
        <v>392</v>
      </c>
      <c r="I81" s="1413" t="s">
        <v>392</v>
      </c>
      <c r="J81" s="1393" t="s">
        <v>392</v>
      </c>
      <c r="M81" t="s">
        <v>1845</v>
      </c>
      <c r="N81" t="s">
        <v>1858</v>
      </c>
      <c r="P81">
        <v>57450</v>
      </c>
      <c r="R81">
        <v>55424</v>
      </c>
      <c r="T81">
        <v>68357</v>
      </c>
      <c r="V81">
        <v>75028</v>
      </c>
      <c r="X81">
        <v>73337</v>
      </c>
    </row>
    <row r="82" spans="1:24">
      <c r="A82" s="1412" t="s">
        <v>1882</v>
      </c>
      <c r="B82" s="1385"/>
      <c r="C82" s="1385"/>
      <c r="D82" s="1386"/>
      <c r="E82" s="1413">
        <v>161570</v>
      </c>
      <c r="F82" s="1382" t="s">
        <v>392</v>
      </c>
      <c r="G82" s="1413">
        <v>167473</v>
      </c>
      <c r="H82" s="1382" t="s">
        <v>392</v>
      </c>
      <c r="I82" s="1413">
        <v>169711</v>
      </c>
      <c r="J82" s="1393" t="s">
        <v>392</v>
      </c>
      <c r="N82" t="s">
        <v>1855</v>
      </c>
      <c r="P82">
        <v>341</v>
      </c>
      <c r="R82">
        <v>350</v>
      </c>
      <c r="T82">
        <v>359</v>
      </c>
      <c r="V82">
        <v>315</v>
      </c>
      <c r="X82">
        <v>319</v>
      </c>
    </row>
    <row r="83" spans="1:24">
      <c r="A83" s="1412"/>
      <c r="B83" s="1385"/>
      <c r="C83" s="1385"/>
      <c r="D83" s="1386"/>
      <c r="E83" s="1413" t="s">
        <v>392</v>
      </c>
      <c r="F83" s="1382" t="s">
        <v>392</v>
      </c>
      <c r="G83" s="1413" t="s">
        <v>392</v>
      </c>
      <c r="H83" s="1382" t="s">
        <v>392</v>
      </c>
      <c r="I83" s="1414"/>
      <c r="J83" s="1393" t="s">
        <v>392</v>
      </c>
      <c r="M83" t="s">
        <v>1856</v>
      </c>
      <c r="P83">
        <v>1051366</v>
      </c>
      <c r="R83">
        <v>1041162.412</v>
      </c>
      <c r="T83">
        <v>1075240.4140000001</v>
      </c>
      <c r="V83">
        <v>1137566.7819999999</v>
      </c>
      <c r="X83">
        <v>1105418.6229999999</v>
      </c>
    </row>
    <row r="84" spans="1:24">
      <c r="A84" s="2798" t="s">
        <v>1883</v>
      </c>
      <c r="B84" s="2799"/>
      <c r="C84" s="2799"/>
      <c r="D84" s="2800"/>
      <c r="E84" s="1411" t="s">
        <v>392</v>
      </c>
      <c r="F84" s="1382" t="s">
        <v>392</v>
      </c>
      <c r="G84" s="1411" t="s">
        <v>392</v>
      </c>
      <c r="H84" s="1382" t="s">
        <v>392</v>
      </c>
      <c r="I84" s="1411"/>
      <c r="J84" s="1393" t="s">
        <v>392</v>
      </c>
    </row>
    <row r="85" spans="1:24">
      <c r="A85" s="1412" t="s">
        <v>1884</v>
      </c>
      <c r="B85" s="1385"/>
      <c r="C85" s="1385"/>
      <c r="D85" s="1386"/>
      <c r="E85" s="2121">
        <v>27250</v>
      </c>
      <c r="F85" s="1382" t="s">
        <v>392</v>
      </c>
      <c r="G85" s="1413">
        <v>28395</v>
      </c>
      <c r="H85" s="1382" t="s">
        <v>392</v>
      </c>
      <c r="I85" s="1413">
        <v>29261</v>
      </c>
      <c r="J85" s="1393" t="s">
        <v>392</v>
      </c>
      <c r="M85" t="s">
        <v>1843</v>
      </c>
      <c r="P85">
        <v>2006</v>
      </c>
      <c r="R85">
        <v>2005</v>
      </c>
      <c r="T85">
        <v>2004</v>
      </c>
      <c r="V85">
        <v>2003</v>
      </c>
      <c r="X85">
        <v>2002</v>
      </c>
    </row>
    <row r="86" spans="1:24">
      <c r="A86" s="1412"/>
      <c r="B86" s="1385"/>
      <c r="C86" s="1415" t="s">
        <v>1885</v>
      </c>
      <c r="D86" s="1388" t="s">
        <v>1886</v>
      </c>
      <c r="E86" s="1411">
        <v>13798</v>
      </c>
      <c r="F86" s="1382" t="s">
        <v>392</v>
      </c>
      <c r="G86" s="1411">
        <v>15690</v>
      </c>
      <c r="H86" s="1382" t="s">
        <v>392</v>
      </c>
      <c r="I86" s="1411">
        <v>16837</v>
      </c>
      <c r="J86" s="1393" t="s">
        <v>392</v>
      </c>
      <c r="M86" t="s">
        <v>1857</v>
      </c>
      <c r="P86">
        <v>104313</v>
      </c>
      <c r="Q86" t="s">
        <v>392</v>
      </c>
      <c r="R86">
        <v>106160</v>
      </c>
      <c r="T86">
        <v>105066</v>
      </c>
      <c r="V86">
        <v>105301</v>
      </c>
      <c r="X86">
        <v>107683</v>
      </c>
    </row>
    <row r="87" spans="1:24">
      <c r="A87" s="1412"/>
      <c r="B87" s="1385"/>
      <c r="C87" s="1389"/>
      <c r="D87" s="1388" t="s">
        <v>1887</v>
      </c>
      <c r="E87" s="1411">
        <v>13452</v>
      </c>
      <c r="F87" s="1382" t="s">
        <v>392</v>
      </c>
      <c r="G87" s="1411">
        <v>12705</v>
      </c>
      <c r="H87" s="1382" t="s">
        <v>392</v>
      </c>
      <c r="I87" s="1411">
        <v>12424</v>
      </c>
      <c r="J87" s="1393" t="s">
        <v>392</v>
      </c>
      <c r="M87" t="s">
        <v>665</v>
      </c>
      <c r="N87" t="s">
        <v>1858</v>
      </c>
      <c r="P87">
        <v>76510</v>
      </c>
      <c r="Q87" t="s">
        <v>392</v>
      </c>
      <c r="R87">
        <v>76811</v>
      </c>
      <c r="T87">
        <v>76858</v>
      </c>
      <c r="V87">
        <v>77511</v>
      </c>
      <c r="X87">
        <v>79028</v>
      </c>
    </row>
    <row r="88" spans="1:24">
      <c r="A88" s="1412" t="s">
        <v>1888</v>
      </c>
      <c r="B88" s="1385"/>
      <c r="C88" s="1385"/>
      <c r="D88" s="1386"/>
      <c r="E88" s="2121">
        <v>6764</v>
      </c>
      <c r="F88" s="1382" t="s">
        <v>392</v>
      </c>
      <c r="G88" s="1413">
        <v>6637</v>
      </c>
      <c r="H88" s="1382" t="s">
        <v>392</v>
      </c>
      <c r="I88" s="1413">
        <v>6923</v>
      </c>
      <c r="J88" s="1393" t="s">
        <v>392</v>
      </c>
      <c r="N88" t="s">
        <v>1855</v>
      </c>
      <c r="P88">
        <v>391</v>
      </c>
      <c r="Q88" t="s">
        <v>392</v>
      </c>
      <c r="R88">
        <v>425</v>
      </c>
      <c r="T88">
        <v>326</v>
      </c>
      <c r="V88" t="s">
        <v>218</v>
      </c>
      <c r="X88" t="s">
        <v>218</v>
      </c>
    </row>
    <row r="89" spans="1:24">
      <c r="A89" s="1412" t="s">
        <v>1889</v>
      </c>
      <c r="B89" s="1385"/>
      <c r="C89" s="1385"/>
      <c r="D89" s="1386"/>
      <c r="E89" s="1413" t="s">
        <v>392</v>
      </c>
      <c r="F89" s="1382" t="s">
        <v>392</v>
      </c>
      <c r="G89" s="1413" t="s">
        <v>392</v>
      </c>
      <c r="H89" s="1382" t="s">
        <v>392</v>
      </c>
      <c r="I89" s="1413"/>
      <c r="J89" s="1393" t="s">
        <v>392</v>
      </c>
      <c r="M89" t="s">
        <v>1856</v>
      </c>
      <c r="P89">
        <v>1196435.2220000001</v>
      </c>
      <c r="Q89" t="s">
        <v>392</v>
      </c>
      <c r="R89">
        <v>1190344</v>
      </c>
      <c r="T89">
        <v>1153539</v>
      </c>
      <c r="V89">
        <v>1091943</v>
      </c>
      <c r="X89">
        <v>1076406</v>
      </c>
    </row>
    <row r="90" spans="1:24">
      <c r="A90" s="1386" t="s">
        <v>1890</v>
      </c>
      <c r="B90" s="1389"/>
      <c r="C90" s="1389"/>
      <c r="D90" s="1388"/>
      <c r="E90" s="1411" t="s">
        <v>392</v>
      </c>
      <c r="F90" s="1382" t="s">
        <v>392</v>
      </c>
      <c r="G90" s="1411" t="s">
        <v>392</v>
      </c>
      <c r="H90" s="1382" t="s">
        <v>392</v>
      </c>
      <c r="I90" s="1411" t="s">
        <v>392</v>
      </c>
      <c r="J90" s="1393" t="s">
        <v>392</v>
      </c>
      <c r="M90" t="s">
        <v>1851</v>
      </c>
      <c r="Q90" t="s">
        <v>392</v>
      </c>
    </row>
    <row r="91" spans="1:24">
      <c r="A91" s="1412" t="s">
        <v>1891</v>
      </c>
      <c r="B91" s="1385"/>
      <c r="C91" s="1385"/>
      <c r="D91" s="1386"/>
      <c r="E91" s="1413" t="s">
        <v>392</v>
      </c>
      <c r="F91" s="1382" t="s">
        <v>392</v>
      </c>
      <c r="G91" s="1413" t="s">
        <v>392</v>
      </c>
      <c r="H91" s="1382" t="s">
        <v>392</v>
      </c>
      <c r="I91" s="1413" t="s">
        <v>392</v>
      </c>
      <c r="J91" s="1393" t="s">
        <v>392</v>
      </c>
      <c r="M91" t="s">
        <v>1857</v>
      </c>
      <c r="P91">
        <v>92395</v>
      </c>
      <c r="Q91" t="s">
        <v>392</v>
      </c>
      <c r="R91">
        <v>93282</v>
      </c>
      <c r="T91">
        <v>93022</v>
      </c>
      <c r="V91">
        <v>93147</v>
      </c>
      <c r="X91">
        <v>95226</v>
      </c>
    </row>
    <row r="92" spans="1:24">
      <c r="A92" s="1387"/>
      <c r="B92" s="1389" t="s">
        <v>1892</v>
      </c>
      <c r="C92" s="1389"/>
      <c r="D92" s="1388"/>
      <c r="E92" s="1411">
        <v>3886</v>
      </c>
      <c r="F92" s="1382" t="s">
        <v>392</v>
      </c>
      <c r="G92" s="1411">
        <v>3804</v>
      </c>
      <c r="H92" s="1382" t="s">
        <v>392</v>
      </c>
      <c r="I92" s="1411">
        <v>3808</v>
      </c>
      <c r="J92" s="1393"/>
      <c r="M92" t="s">
        <v>1845</v>
      </c>
      <c r="N92" t="s">
        <v>1858</v>
      </c>
      <c r="P92">
        <v>72517</v>
      </c>
      <c r="Q92" t="s">
        <v>392</v>
      </c>
      <c r="R92">
        <v>72959</v>
      </c>
      <c r="T92">
        <v>73008</v>
      </c>
      <c r="V92">
        <v>73707</v>
      </c>
      <c r="X92">
        <v>75182</v>
      </c>
    </row>
    <row r="93" spans="1:24">
      <c r="A93" s="1387"/>
      <c r="B93" s="1389" t="s">
        <v>1893</v>
      </c>
      <c r="C93" s="1389"/>
      <c r="D93" s="1388"/>
      <c r="E93" s="1411">
        <v>1337</v>
      </c>
      <c r="F93" s="1382" t="s">
        <v>392</v>
      </c>
      <c r="G93" s="1411">
        <v>1372</v>
      </c>
      <c r="H93" s="1382" t="s">
        <v>392</v>
      </c>
      <c r="I93" s="1411">
        <v>1301</v>
      </c>
      <c r="J93" s="1393"/>
      <c r="N93" t="s">
        <v>1855</v>
      </c>
      <c r="P93">
        <v>327</v>
      </c>
      <c r="Q93" t="s">
        <v>392</v>
      </c>
      <c r="R93">
        <v>338</v>
      </c>
      <c r="T93">
        <v>261</v>
      </c>
      <c r="V93" t="s">
        <v>218</v>
      </c>
      <c r="X93" t="s">
        <v>218</v>
      </c>
    </row>
    <row r="94" spans="1:24">
      <c r="A94" s="1387"/>
      <c r="B94" s="1389" t="s">
        <v>1894</v>
      </c>
      <c r="C94" s="1389"/>
      <c r="D94" s="1388"/>
      <c r="E94" s="1411">
        <v>4502</v>
      </c>
      <c r="F94" s="1382" t="s">
        <v>392</v>
      </c>
      <c r="G94" s="1411">
        <v>4433</v>
      </c>
      <c r="H94" s="1382" t="s">
        <v>392</v>
      </c>
      <c r="I94" s="1411">
        <v>4413</v>
      </c>
      <c r="J94" s="1393" t="s">
        <v>392</v>
      </c>
      <c r="M94" t="s">
        <v>1856</v>
      </c>
      <c r="P94">
        <v>1074045.5660000001</v>
      </c>
      <c r="Q94" t="s">
        <v>392</v>
      </c>
      <c r="R94">
        <v>1064621</v>
      </c>
      <c r="T94">
        <v>1035160</v>
      </c>
      <c r="V94">
        <v>992398</v>
      </c>
      <c r="X94">
        <v>986009</v>
      </c>
    </row>
    <row r="95" spans="1:24">
      <c r="A95" s="1387"/>
      <c r="B95" s="1389" t="s">
        <v>1895</v>
      </c>
      <c r="C95" s="1389"/>
      <c r="D95" s="1388"/>
      <c r="E95" s="1411">
        <v>1033</v>
      </c>
      <c r="F95" s="1382" t="s">
        <v>392</v>
      </c>
      <c r="G95" s="1411">
        <v>1025</v>
      </c>
      <c r="H95" s="1382" t="s">
        <v>392</v>
      </c>
      <c r="I95" s="1411">
        <v>1099</v>
      </c>
      <c r="J95" s="1393"/>
    </row>
    <row r="96" spans="1:24">
      <c r="A96" s="1387"/>
      <c r="B96" s="1389" t="s">
        <v>1896</v>
      </c>
      <c r="C96" s="1389"/>
      <c r="D96" s="1388"/>
      <c r="E96" s="1411">
        <v>2361</v>
      </c>
      <c r="F96" s="1382" t="s">
        <v>392</v>
      </c>
      <c r="G96" s="1411">
        <v>2526</v>
      </c>
      <c r="H96" s="1382" t="s">
        <v>392</v>
      </c>
      <c r="I96" s="1411">
        <v>2578</v>
      </c>
      <c r="J96" s="1393" t="s">
        <v>392</v>
      </c>
      <c r="M96" t="s">
        <v>2489</v>
      </c>
    </row>
    <row r="97" spans="1:18">
      <c r="A97" s="1412" t="s">
        <v>1897</v>
      </c>
      <c r="B97" s="1385"/>
      <c r="C97" s="1385"/>
      <c r="D97" s="1386"/>
      <c r="E97" s="2121">
        <v>13118</v>
      </c>
      <c r="F97" s="1382" t="s">
        <v>392</v>
      </c>
      <c r="G97" s="1413">
        <v>13160</v>
      </c>
      <c r="H97" s="1382" t="s">
        <v>392</v>
      </c>
      <c r="I97" s="1413">
        <v>13200</v>
      </c>
      <c r="J97" s="1393" t="s">
        <v>392</v>
      </c>
      <c r="M97" t="s">
        <v>2490</v>
      </c>
    </row>
    <row r="98" spans="1:18">
      <c r="A98" s="1412"/>
      <c r="B98" s="1385"/>
      <c r="C98" s="1385"/>
      <c r="D98" s="1386"/>
      <c r="E98" s="1413" t="s">
        <v>392</v>
      </c>
      <c r="F98" s="1382" t="s">
        <v>392</v>
      </c>
      <c r="G98" s="1413" t="s">
        <v>392</v>
      </c>
      <c r="H98" s="1382" t="s">
        <v>392</v>
      </c>
      <c r="I98" s="1413" t="s">
        <v>392</v>
      </c>
      <c r="J98" s="1393" t="s">
        <v>392</v>
      </c>
      <c r="M98" t="s">
        <v>2491</v>
      </c>
    </row>
    <row r="99" spans="1:18">
      <c r="A99" s="1386" t="s">
        <v>1898</v>
      </c>
      <c r="B99" s="1389"/>
      <c r="C99" s="1389"/>
      <c r="D99" s="1388"/>
      <c r="E99" s="1411" t="s">
        <v>392</v>
      </c>
      <c r="F99" s="1382" t="s">
        <v>392</v>
      </c>
      <c r="G99" s="1411" t="s">
        <v>392</v>
      </c>
      <c r="H99" s="1382" t="s">
        <v>392</v>
      </c>
      <c r="I99" s="1411" t="s">
        <v>392</v>
      </c>
      <c r="J99" s="1393" t="s">
        <v>392</v>
      </c>
      <c r="M99" t="s">
        <v>2492</v>
      </c>
    </row>
    <row r="100" spans="1:18">
      <c r="A100" s="1387"/>
      <c r="B100" s="1389" t="s">
        <v>1899</v>
      </c>
      <c r="C100" s="1389"/>
      <c r="D100" s="1388"/>
      <c r="E100" s="1411">
        <v>587</v>
      </c>
      <c r="F100" s="1382" t="s">
        <v>392</v>
      </c>
      <c r="G100" s="1411">
        <v>601</v>
      </c>
      <c r="H100" s="1382" t="s">
        <v>392</v>
      </c>
      <c r="I100" s="1411">
        <v>613</v>
      </c>
      <c r="J100" s="1393"/>
    </row>
    <row r="101" spans="1:18">
      <c r="A101" s="1387"/>
      <c r="B101" s="1389" t="s">
        <v>1900</v>
      </c>
      <c r="C101" s="1389"/>
      <c r="D101" s="1388"/>
      <c r="E101" s="1411">
        <v>203</v>
      </c>
      <c r="F101" s="1382" t="s">
        <v>392</v>
      </c>
      <c r="G101" s="1411">
        <v>213</v>
      </c>
      <c r="H101" s="1382" t="s">
        <v>392</v>
      </c>
      <c r="I101" s="1411">
        <v>213</v>
      </c>
      <c r="J101" s="1393"/>
    </row>
    <row r="102" spans="1:18">
      <c r="A102" s="1387"/>
      <c r="B102" s="1389" t="s">
        <v>1901</v>
      </c>
      <c r="C102" s="1389"/>
      <c r="D102" s="1388"/>
      <c r="E102" s="1411" t="s">
        <v>392</v>
      </c>
      <c r="F102" s="1382" t="s">
        <v>392</v>
      </c>
      <c r="G102" s="1411" t="s">
        <v>392</v>
      </c>
      <c r="H102" s="1382" t="s">
        <v>392</v>
      </c>
      <c r="I102" s="1411" t="s">
        <v>392</v>
      </c>
      <c r="J102" s="1393" t="s">
        <v>392</v>
      </c>
    </row>
    <row r="103" spans="1:18">
      <c r="A103" s="1387"/>
      <c r="B103" s="1389" t="s">
        <v>1902</v>
      </c>
      <c r="C103" s="1389"/>
      <c r="D103" s="1388"/>
      <c r="E103" s="1411">
        <v>589</v>
      </c>
      <c r="F103" s="1382" t="s">
        <v>392</v>
      </c>
      <c r="G103" s="1411">
        <v>603</v>
      </c>
      <c r="H103" s="1382" t="s">
        <v>392</v>
      </c>
      <c r="I103" s="1411">
        <v>651</v>
      </c>
      <c r="J103" s="1393"/>
    </row>
    <row r="104" spans="1:18">
      <c r="A104" s="1387"/>
      <c r="B104" s="1389" t="s">
        <v>1903</v>
      </c>
      <c r="C104" s="1389"/>
      <c r="D104" s="1388"/>
      <c r="E104" s="1411">
        <v>202</v>
      </c>
      <c r="F104" s="1382" t="s">
        <v>392</v>
      </c>
      <c r="G104" s="1411">
        <v>213</v>
      </c>
      <c r="H104" s="1382" t="s">
        <v>392</v>
      </c>
      <c r="I104" s="1411">
        <v>214</v>
      </c>
      <c r="J104" s="1393"/>
    </row>
    <row r="105" spans="1:18" ht="13.8" thickBot="1">
      <c r="A105" s="1387"/>
      <c r="B105" s="1389" t="s">
        <v>1904</v>
      </c>
      <c r="C105" s="1389"/>
      <c r="D105" s="1388"/>
      <c r="E105" s="1411" t="s">
        <v>392</v>
      </c>
      <c r="F105" s="1382" t="s">
        <v>392</v>
      </c>
      <c r="G105" s="1411" t="s">
        <v>392</v>
      </c>
      <c r="H105" s="1382" t="s">
        <v>392</v>
      </c>
      <c r="I105" s="1411" t="s">
        <v>392</v>
      </c>
      <c r="J105" s="1393" t="s">
        <v>392</v>
      </c>
    </row>
    <row r="106" spans="1:18">
      <c r="A106" s="1416" t="s">
        <v>1905</v>
      </c>
      <c r="B106" s="1406"/>
      <c r="C106" s="1406"/>
      <c r="D106" s="1405"/>
      <c r="E106" s="2121">
        <v>1582</v>
      </c>
      <c r="F106" s="1382" t="s">
        <v>392</v>
      </c>
      <c r="G106" s="1413">
        <v>1630</v>
      </c>
      <c r="H106" s="1382" t="s">
        <v>392</v>
      </c>
      <c r="I106" s="1413">
        <v>1691</v>
      </c>
      <c r="J106" s="1393"/>
      <c r="M106" s="1533" t="s">
        <v>2477</v>
      </c>
      <c r="N106" s="1118" t="s">
        <v>1615</v>
      </c>
      <c r="O106" s="1313" t="s">
        <v>2478</v>
      </c>
    </row>
    <row r="107" spans="1:18">
      <c r="A107" s="1416"/>
      <c r="B107" s="1406"/>
      <c r="C107" s="1406"/>
      <c r="D107" s="1405"/>
      <c r="E107" s="1413" t="s">
        <v>392</v>
      </c>
      <c r="F107" s="1382" t="s">
        <v>392</v>
      </c>
      <c r="G107" s="1413" t="s">
        <v>392</v>
      </c>
      <c r="H107" s="1382" t="s">
        <v>392</v>
      </c>
      <c r="I107" s="1417"/>
      <c r="J107" s="1393" t="s">
        <v>392</v>
      </c>
      <c r="M107" s="1108" t="s">
        <v>601</v>
      </c>
      <c r="N107" s="543">
        <f>$E$112*K127</f>
        <v>3530.4921189112233</v>
      </c>
      <c r="O107" s="547">
        <f>$E$109*K127</f>
        <v>8472.368529880343</v>
      </c>
      <c r="Q107" s="754"/>
    </row>
    <row r="108" spans="1:18">
      <c r="A108" s="2801" t="s">
        <v>1906</v>
      </c>
      <c r="B108" s="2802"/>
      <c r="C108" s="2802"/>
      <c r="D108" s="2803"/>
      <c r="E108" s="1407" t="s">
        <v>392</v>
      </c>
      <c r="F108" s="1382" t="s">
        <v>392</v>
      </c>
      <c r="G108" s="1407" t="s">
        <v>392</v>
      </c>
      <c r="H108" s="1382" t="s">
        <v>392</v>
      </c>
      <c r="I108" s="1407" t="s">
        <v>392</v>
      </c>
      <c r="J108" s="1393" t="s">
        <v>392</v>
      </c>
      <c r="M108" s="1108" t="s">
        <v>602</v>
      </c>
      <c r="N108" s="543">
        <f>$E$112*K128</f>
        <v>3530.4921189112233</v>
      </c>
      <c r="O108" s="547">
        <f>$E$109*K128</f>
        <v>8472.368529880343</v>
      </c>
      <c r="P108" s="754"/>
      <c r="Q108" s="754"/>
      <c r="R108" s="754"/>
    </row>
    <row r="109" spans="1:18">
      <c r="A109" s="1416" t="s">
        <v>1890</v>
      </c>
      <c r="B109" s="1406"/>
      <c r="C109" s="1406"/>
      <c r="D109" s="1405"/>
      <c r="E109" s="2405">
        <v>550536</v>
      </c>
      <c r="F109" s="1382" t="s">
        <v>392</v>
      </c>
      <c r="G109" s="1418">
        <v>548231</v>
      </c>
      <c r="H109" s="1382" t="s">
        <v>392</v>
      </c>
      <c r="I109" s="1418">
        <v>556524</v>
      </c>
      <c r="J109" s="1393" t="s">
        <v>392</v>
      </c>
      <c r="M109" s="1108" t="s">
        <v>603</v>
      </c>
      <c r="N109" s="543">
        <f>$E$112*K129</f>
        <v>130433.79804074438</v>
      </c>
      <c r="O109" s="547">
        <f>$E$109*K129</f>
        <v>313011.0954882885</v>
      </c>
      <c r="R109" s="754"/>
    </row>
    <row r="110" spans="1:18">
      <c r="A110" s="1416"/>
      <c r="B110" s="1406"/>
      <c r="C110" s="1419" t="s">
        <v>1885</v>
      </c>
      <c r="D110" s="1403" t="s">
        <v>1886</v>
      </c>
      <c r="E110" s="2406">
        <v>276187</v>
      </c>
      <c r="F110" s="1382" t="s">
        <v>392</v>
      </c>
      <c r="G110" s="1407">
        <v>276226</v>
      </c>
      <c r="H110" s="1382" t="s">
        <v>392</v>
      </c>
      <c r="I110" s="1407">
        <v>284341</v>
      </c>
      <c r="J110" s="1393" t="s">
        <v>392</v>
      </c>
      <c r="M110" s="1108" t="s">
        <v>604</v>
      </c>
      <c r="N110" s="543">
        <f>$E$112*K130</f>
        <v>91917.217721433175</v>
      </c>
      <c r="O110" s="547">
        <f>$E$109*K130</f>
        <v>220580.16745195078</v>
      </c>
      <c r="R110" s="754"/>
    </row>
    <row r="111" spans="1:18">
      <c r="A111" s="1416"/>
      <c r="B111" s="1406"/>
      <c r="C111" s="1402"/>
      <c r="D111" s="1403" t="s">
        <v>1887</v>
      </c>
      <c r="E111" s="2406">
        <v>274349</v>
      </c>
      <c r="F111" s="1382" t="s">
        <v>392</v>
      </c>
      <c r="G111" s="1407">
        <v>272005</v>
      </c>
      <c r="H111" s="1382" t="s">
        <v>392</v>
      </c>
      <c r="I111" s="1407">
        <v>272184</v>
      </c>
      <c r="J111" s="1393" t="s">
        <v>392</v>
      </c>
      <c r="M111" s="308"/>
      <c r="N111" s="272">
        <f>SUM(N107:N110)/SUM($N$107:$O$110)</f>
        <v>0.29413755788847462</v>
      </c>
      <c r="O111" s="1119">
        <f>SUM(O107:O110)/SUM($N$107:$O$110)</f>
        <v>0.70586244211152538</v>
      </c>
      <c r="R111" s="754"/>
    </row>
    <row r="112" spans="1:18" ht="13.8" thickBot="1">
      <c r="A112" s="1420" t="s">
        <v>1898</v>
      </c>
      <c r="B112" s="1421"/>
      <c r="C112" s="1421"/>
      <c r="D112" s="1422"/>
      <c r="E112" s="2407">
        <v>229412</v>
      </c>
      <c r="F112" s="1401" t="s">
        <v>392</v>
      </c>
      <c r="G112" s="1423">
        <v>236038</v>
      </c>
      <c r="H112" s="1401" t="s">
        <v>392</v>
      </c>
      <c r="I112" s="1423">
        <v>239435</v>
      </c>
      <c r="J112" s="1424"/>
      <c r="M112" s="427"/>
      <c r="N112" s="390"/>
      <c r="O112" s="428"/>
    </row>
    <row r="113" spans="1:24">
      <c r="A113" s="1375"/>
      <c r="B113" s="1425"/>
      <c r="C113" s="1425"/>
      <c r="D113" s="1375"/>
      <c r="E113" s="2787"/>
      <c r="F113" s="1382"/>
      <c r="G113" s="1387"/>
      <c r="H113" s="1382"/>
      <c r="I113" s="754"/>
      <c r="J113" s="1393"/>
      <c r="N113">
        <f>SUM(N107:N110)</f>
        <v>229412</v>
      </c>
      <c r="O113" s="754">
        <f>SUM(O107:O110)</f>
        <v>550536</v>
      </c>
    </row>
    <row r="114" spans="1:24">
      <c r="A114" s="3067" t="s">
        <v>1907</v>
      </c>
      <c r="B114" s="3067"/>
      <c r="C114" s="3067"/>
      <c r="D114" s="3067"/>
      <c r="E114" s="3067"/>
      <c r="F114" s="3067"/>
      <c r="G114" s="3067"/>
      <c r="H114" s="3067"/>
      <c r="I114" s="3067"/>
      <c r="J114" s="3067"/>
      <c r="N114">
        <f>N113/1000</f>
        <v>229.41200000000001</v>
      </c>
      <c r="O114" s="754">
        <f>O113/1000</f>
        <v>550.53599999999994</v>
      </c>
    </row>
    <row r="115" spans="1:24">
      <c r="A115" s="1375"/>
      <c r="B115" s="1425"/>
      <c r="C115" s="1425"/>
      <c r="D115" s="1375"/>
      <c r="E115" s="1426"/>
      <c r="F115" s="1382"/>
      <c r="G115" s="1387"/>
      <c r="H115" s="1382"/>
      <c r="I115" s="754"/>
      <c r="J115" s="1393"/>
    </row>
    <row r="116" spans="1:24">
      <c r="A116" s="1375"/>
      <c r="B116" s="1425"/>
      <c r="C116" s="1425"/>
      <c r="D116" s="1375"/>
      <c r="E116" s="1426">
        <f>0.550536+0.229412</f>
        <v>0.77994800000000009</v>
      </c>
      <c r="F116" s="1382"/>
      <c r="G116" s="1387"/>
      <c r="H116" s="1382"/>
      <c r="I116" s="754"/>
      <c r="J116" s="1393"/>
    </row>
    <row r="117" spans="1:24">
      <c r="A117" s="754"/>
      <c r="B117" s="754"/>
      <c r="C117" s="754"/>
      <c r="D117" s="754"/>
      <c r="E117" s="754"/>
      <c r="F117" s="754"/>
      <c r="G117" s="754"/>
      <c r="H117" s="754"/>
      <c r="I117" s="754"/>
      <c r="J117" s="754"/>
      <c r="K117" s="754"/>
      <c r="L117" s="754"/>
      <c r="M117" s="754"/>
      <c r="N117" s="754"/>
      <c r="O117" s="754"/>
      <c r="P117" s="754"/>
      <c r="Q117" s="754"/>
    </row>
    <row r="118" spans="1:24">
      <c r="A118" s="1384" t="s">
        <v>1908</v>
      </c>
      <c r="B118" s="1384"/>
      <c r="C118" s="1374"/>
      <c r="D118" s="1427"/>
      <c r="E118" s="1387"/>
      <c r="F118" s="754"/>
      <c r="G118" s="754"/>
      <c r="H118" s="754"/>
      <c r="I118" s="754"/>
      <c r="J118" s="754"/>
      <c r="K118" s="754"/>
      <c r="L118" s="754"/>
      <c r="M118" s="754"/>
      <c r="N118" s="754"/>
      <c r="O118" s="754"/>
      <c r="P118" s="754"/>
      <c r="Q118" s="754"/>
    </row>
    <row r="119" spans="1:24">
      <c r="A119" s="1384" t="s">
        <v>1909</v>
      </c>
      <c r="B119" s="1386"/>
      <c r="C119" s="1428"/>
      <c r="D119" s="1427"/>
      <c r="E119" s="1360"/>
      <c r="F119" s="754"/>
      <c r="G119" s="754"/>
      <c r="H119" s="754"/>
      <c r="I119" s="754"/>
      <c r="J119" s="754"/>
      <c r="K119" s="754"/>
      <c r="L119" s="754"/>
      <c r="M119" s="754"/>
      <c r="N119" s="754"/>
      <c r="O119" s="754"/>
      <c r="P119" s="754"/>
      <c r="Q119" s="754"/>
      <c r="V119" s="754"/>
      <c r="W119" s="754"/>
      <c r="X119" s="754"/>
    </row>
    <row r="120" spans="1:24">
      <c r="A120" s="1429" t="s">
        <v>1910</v>
      </c>
      <c r="B120" s="1363"/>
      <c r="C120" s="1430"/>
      <c r="D120" s="1390"/>
      <c r="E120" s="754"/>
      <c r="F120" s="754"/>
      <c r="G120" s="754"/>
      <c r="H120" s="754"/>
      <c r="I120" s="754"/>
      <c r="J120" s="754"/>
      <c r="K120" s="754"/>
      <c r="L120" s="754"/>
      <c r="M120" s="754"/>
      <c r="N120" s="754"/>
      <c r="O120" s="754"/>
      <c r="P120" s="754"/>
      <c r="Q120" s="754"/>
      <c r="V120" s="754"/>
      <c r="W120" s="754"/>
      <c r="X120" s="754"/>
    </row>
    <row r="121" spans="1:24">
      <c r="A121" s="1388" t="s">
        <v>1911</v>
      </c>
      <c r="B121" s="1388"/>
      <c r="C121" s="1431" t="s">
        <v>1912</v>
      </c>
      <c r="D121" s="1393"/>
      <c r="E121" s="754"/>
      <c r="F121" s="754"/>
      <c r="G121" s="754"/>
      <c r="H121" s="754"/>
      <c r="I121" s="754"/>
      <c r="J121" s="754"/>
      <c r="K121" s="754"/>
      <c r="L121" s="754"/>
      <c r="M121" s="754"/>
      <c r="N121" s="754"/>
      <c r="O121" s="754"/>
      <c r="P121" s="754"/>
      <c r="Q121" s="754"/>
      <c r="V121" s="754"/>
      <c r="W121" s="754"/>
      <c r="X121" s="754"/>
    </row>
    <row r="122" spans="1:24">
      <c r="A122" s="1432" t="s">
        <v>1913</v>
      </c>
      <c r="B122" s="1388"/>
      <c r="C122" s="1431" t="s">
        <v>1914</v>
      </c>
      <c r="D122" s="1393"/>
      <c r="E122" s="754"/>
      <c r="F122" s="754"/>
      <c r="G122" s="754"/>
      <c r="H122" s="754"/>
      <c r="I122" s="754"/>
      <c r="J122" s="754"/>
      <c r="K122" s="754"/>
      <c r="L122" s="754"/>
      <c r="M122" s="754"/>
      <c r="N122" s="754"/>
      <c r="O122" s="754"/>
      <c r="P122" s="754"/>
      <c r="Q122" s="754"/>
      <c r="V122" s="754"/>
      <c r="W122" s="754"/>
      <c r="X122" s="754"/>
    </row>
    <row r="123" spans="1:24">
      <c r="A123" s="1388"/>
      <c r="B123" s="1388"/>
      <c r="C123" s="1431" t="s">
        <v>1363</v>
      </c>
      <c r="D123" s="1393"/>
      <c r="E123" s="11"/>
      <c r="F123" s="754"/>
      <c r="G123" s="754"/>
      <c r="H123" s="754"/>
      <c r="I123" s="754"/>
      <c r="J123" s="754"/>
      <c r="K123" s="754"/>
      <c r="L123" s="754"/>
      <c r="M123" s="754"/>
      <c r="N123" s="754"/>
      <c r="O123" s="754"/>
      <c r="P123" s="754"/>
      <c r="Q123" s="754"/>
      <c r="V123" s="754"/>
      <c r="W123" s="754"/>
      <c r="X123" s="754"/>
    </row>
    <row r="124" spans="1:24">
      <c r="A124" s="1433"/>
      <c r="B124" s="1432"/>
      <c r="C124" s="1434" t="s">
        <v>1915</v>
      </c>
      <c r="D124" s="1393"/>
      <c r="E124" s="11"/>
      <c r="F124" s="754"/>
      <c r="G124" s="754"/>
      <c r="H124" s="754"/>
      <c r="I124" s="754"/>
      <c r="J124" s="754"/>
      <c r="K124" s="754"/>
      <c r="L124" s="754"/>
      <c r="M124" s="754"/>
      <c r="N124" s="754"/>
      <c r="O124" s="754"/>
      <c r="P124" s="754"/>
      <c r="Q124" s="754"/>
      <c r="V124" s="754"/>
      <c r="W124" s="754"/>
      <c r="X124" s="754"/>
    </row>
    <row r="125" spans="1:24">
      <c r="A125" s="1433"/>
      <c r="B125" s="1432"/>
      <c r="C125" s="1434" t="s">
        <v>1916</v>
      </c>
      <c r="D125" s="1393"/>
      <c r="E125" s="11"/>
      <c r="F125" s="754"/>
      <c r="G125" s="754"/>
      <c r="H125" s="754"/>
      <c r="I125" s="754"/>
      <c r="J125" s="754"/>
      <c r="K125" s="754"/>
      <c r="L125" s="754"/>
      <c r="M125" s="754"/>
      <c r="N125" s="754"/>
      <c r="O125" s="754"/>
      <c r="P125" s="754"/>
      <c r="Q125" s="754"/>
      <c r="V125" s="754"/>
      <c r="W125" s="754"/>
      <c r="X125" s="754"/>
    </row>
    <row r="126" spans="1:24">
      <c r="A126" s="1435"/>
      <c r="B126" s="1429"/>
      <c r="C126" s="1436" t="s">
        <v>1453</v>
      </c>
      <c r="D126" s="1408"/>
      <c r="E126" s="765" t="s">
        <v>1353</v>
      </c>
      <c r="F126" s="754"/>
      <c r="G126" s="754"/>
      <c r="H126" s="754"/>
      <c r="I126" s="754"/>
      <c r="J126" s="754"/>
      <c r="K126" s="754"/>
      <c r="L126" s="754"/>
      <c r="M126" s="754"/>
      <c r="N126" s="754"/>
      <c r="O126" s="754"/>
      <c r="P126" s="754"/>
      <c r="Q126" s="754"/>
      <c r="V126" s="754"/>
      <c r="W126" s="754"/>
      <c r="X126" s="754"/>
    </row>
    <row r="127" spans="1:24">
      <c r="A127" s="1403" t="s">
        <v>1036</v>
      </c>
      <c r="B127" s="1403"/>
      <c r="C127" s="1437">
        <v>8401</v>
      </c>
      <c r="D127" s="1393"/>
      <c r="E127" s="754">
        <v>3</v>
      </c>
      <c r="F127" s="754">
        <v>1</v>
      </c>
      <c r="G127" s="765" t="s">
        <v>601</v>
      </c>
      <c r="H127" s="754">
        <f>SUMIF(E127:E137,F127:F130,C127:C137)</f>
        <v>0</v>
      </c>
      <c r="I127" s="754">
        <f>C139*0.25</f>
        <v>454</v>
      </c>
      <c r="J127" s="754">
        <f>SUM(H127:I127)</f>
        <v>454</v>
      </c>
      <c r="K127" s="1523">
        <f>J127/J$131</f>
        <v>1.5389308836988577E-2</v>
      </c>
      <c r="L127" s="754"/>
      <c r="M127" s="754"/>
      <c r="N127" s="754"/>
      <c r="O127" s="754"/>
      <c r="P127" s="754"/>
      <c r="Q127" s="754"/>
      <c r="V127" s="754"/>
      <c r="W127" s="754"/>
      <c r="X127" s="754"/>
    </row>
    <row r="128" spans="1:24">
      <c r="A128" s="1403" t="s">
        <v>1139</v>
      </c>
      <c r="B128" s="1403"/>
      <c r="C128" s="1407">
        <v>7670</v>
      </c>
      <c r="D128" s="1438"/>
      <c r="E128" s="754">
        <v>4</v>
      </c>
      <c r="F128" s="754">
        <v>2</v>
      </c>
      <c r="G128" s="765" t="s">
        <v>602</v>
      </c>
      <c r="H128" s="754">
        <f>SUMIF(E127:E137,F127:F130,C127:C137)</f>
        <v>0</v>
      </c>
      <c r="I128" s="754">
        <f>C139*0.25</f>
        <v>454</v>
      </c>
      <c r="J128" s="754">
        <f>SUM(H128:I128)</f>
        <v>454</v>
      </c>
      <c r="K128" s="1523">
        <f>J128/J$131</f>
        <v>1.5389308836988577E-2</v>
      </c>
      <c r="L128" s="754"/>
      <c r="M128" s="754"/>
      <c r="N128" s="754"/>
      <c r="O128" s="754"/>
      <c r="P128" s="754"/>
      <c r="Q128" s="754"/>
      <c r="V128" s="754"/>
      <c r="W128" s="754"/>
      <c r="X128" s="754"/>
    </row>
    <row r="129" spans="1:25">
      <c r="A129" s="1403" t="s">
        <v>1142</v>
      </c>
      <c r="B129" s="1403"/>
      <c r="C129" s="1407">
        <v>1983</v>
      </c>
      <c r="D129" s="1438"/>
      <c r="E129" s="754">
        <v>4</v>
      </c>
      <c r="F129" s="754">
        <v>3</v>
      </c>
      <c r="G129" s="765" t="s">
        <v>603</v>
      </c>
      <c r="H129" s="754">
        <f>SUMIF(E127:E137,F127:F130,C127:C137)</f>
        <v>16319</v>
      </c>
      <c r="I129" s="754">
        <f>C139*0.25</f>
        <v>454</v>
      </c>
      <c r="J129" s="754">
        <f>SUM(H129:I129)</f>
        <v>16773</v>
      </c>
      <c r="K129" s="1523">
        <f>J129/J$131</f>
        <v>0.56855699806786208</v>
      </c>
      <c r="L129" s="754"/>
      <c r="M129" s="754"/>
      <c r="N129" s="754"/>
      <c r="O129" s="754"/>
      <c r="P129" s="754"/>
      <c r="Q129" s="754"/>
      <c r="V129" s="754"/>
      <c r="W129" s="754"/>
      <c r="X129" s="754"/>
    </row>
    <row r="130" spans="1:25">
      <c r="A130" s="1403" t="s">
        <v>1143</v>
      </c>
      <c r="B130" s="1403"/>
      <c r="C130" s="1407">
        <v>1713</v>
      </c>
      <c r="D130" s="1438"/>
      <c r="E130" s="754">
        <v>4</v>
      </c>
      <c r="F130" s="754">
        <v>4</v>
      </c>
      <c r="G130" s="765" t="s">
        <v>604</v>
      </c>
      <c r="H130" s="754">
        <f>SUMIF(E127:E137,F127:F130,C127:C137)</f>
        <v>11366</v>
      </c>
      <c r="I130" s="754">
        <f>C139*0.25</f>
        <v>454</v>
      </c>
      <c r="J130" s="754">
        <f>SUM(H130:I130)</f>
        <v>11820</v>
      </c>
      <c r="K130" s="1523">
        <f>J130/J$131</f>
        <v>0.40066438425816076</v>
      </c>
      <c r="L130" s="754"/>
      <c r="M130" s="754"/>
      <c r="N130" s="754"/>
      <c r="O130" s="754"/>
      <c r="P130" s="754"/>
      <c r="Q130" s="754"/>
      <c r="V130" s="754"/>
      <c r="W130" s="754"/>
      <c r="X130" s="754"/>
    </row>
    <row r="131" spans="1:25">
      <c r="A131" s="1403" t="s">
        <v>1552</v>
      </c>
      <c r="B131" s="1403"/>
      <c r="C131" s="1407">
        <v>1653</v>
      </c>
      <c r="D131" s="1438"/>
      <c r="E131" s="754">
        <v>3</v>
      </c>
      <c r="F131" s="754"/>
      <c r="G131" s="754"/>
      <c r="H131" s="754">
        <f>SUM(H127:H130)</f>
        <v>27685</v>
      </c>
      <c r="I131" s="754"/>
      <c r="J131" s="754">
        <f>SUM(J127:J130)</f>
        <v>29501</v>
      </c>
      <c r="K131" s="754"/>
      <c r="L131" s="754"/>
      <c r="M131" s="754"/>
      <c r="N131" s="754"/>
      <c r="O131" s="754"/>
      <c r="P131" s="754"/>
      <c r="Q131" s="754"/>
      <c r="V131" s="754"/>
      <c r="W131" s="754"/>
      <c r="X131" s="754"/>
    </row>
    <row r="132" spans="1:25">
      <c r="A132" s="1403" t="s">
        <v>392</v>
      </c>
      <c r="B132" s="1403"/>
      <c r="C132" s="1407" t="s">
        <v>392</v>
      </c>
      <c r="D132" s="1438" t="s">
        <v>392</v>
      </c>
      <c r="E132" s="754"/>
      <c r="F132" s="754"/>
      <c r="G132" s="754"/>
      <c r="H132" s="754"/>
      <c r="I132" s="754"/>
      <c r="J132" s="754"/>
      <c r="K132" s="754"/>
      <c r="L132" s="754"/>
      <c r="M132" s="754"/>
      <c r="N132" s="754"/>
      <c r="O132" s="754"/>
      <c r="P132" s="754"/>
      <c r="Q132" s="754"/>
      <c r="V132" s="754"/>
      <c r="W132" s="754"/>
      <c r="X132" s="754"/>
    </row>
    <row r="133" spans="1:25">
      <c r="A133" s="1439" t="s">
        <v>1184</v>
      </c>
      <c r="B133" s="1388"/>
      <c r="C133" s="1407">
        <v>1642</v>
      </c>
      <c r="D133" s="1438"/>
      <c r="E133" s="754">
        <v>3</v>
      </c>
      <c r="F133" s="754"/>
      <c r="G133" s="754"/>
      <c r="H133" s="754"/>
      <c r="I133" s="754"/>
      <c r="J133" s="754"/>
      <c r="K133" s="754"/>
      <c r="L133" s="754"/>
      <c r="M133" s="754"/>
      <c r="N133" s="754"/>
      <c r="O133" s="754"/>
      <c r="P133" s="754"/>
      <c r="Q133" s="754"/>
      <c r="V133" s="754"/>
      <c r="W133" s="754"/>
      <c r="X133" s="754"/>
    </row>
    <row r="134" spans="1:25">
      <c r="A134" s="1403" t="s">
        <v>1045</v>
      </c>
      <c r="B134" s="1403"/>
      <c r="C134" s="1407">
        <v>1486</v>
      </c>
      <c r="D134" s="1438"/>
      <c r="E134" s="754">
        <v>3</v>
      </c>
      <c r="F134" s="754"/>
      <c r="G134" s="754"/>
      <c r="H134" s="754"/>
      <c r="I134" s="754"/>
      <c r="J134" s="754"/>
      <c r="K134" s="754"/>
      <c r="L134" s="754"/>
      <c r="M134" s="754"/>
      <c r="N134" s="754"/>
      <c r="O134" s="754"/>
      <c r="P134" s="754"/>
      <c r="Q134" s="754"/>
      <c r="V134" s="754"/>
      <c r="W134" s="754"/>
      <c r="X134" s="754"/>
    </row>
    <row r="135" spans="1:25">
      <c r="A135" s="1403" t="s">
        <v>1189</v>
      </c>
      <c r="B135" s="1403"/>
      <c r="C135" s="1407">
        <v>1291</v>
      </c>
      <c r="D135" s="1438"/>
      <c r="E135" s="754">
        <v>3</v>
      </c>
      <c r="F135" s="754"/>
      <c r="G135" s="754"/>
      <c r="H135" s="754"/>
      <c r="I135" s="754"/>
      <c r="J135" s="754"/>
      <c r="K135" s="754"/>
      <c r="L135" s="754"/>
      <c r="M135" s="754"/>
      <c r="N135" s="754"/>
      <c r="O135" s="754"/>
      <c r="P135" s="754"/>
      <c r="Q135" s="754"/>
      <c r="V135" s="754"/>
      <c r="W135" s="754"/>
      <c r="X135" s="754"/>
    </row>
    <row r="136" spans="1:25">
      <c r="A136" s="1403" t="s">
        <v>1917</v>
      </c>
      <c r="B136" s="1403"/>
      <c r="C136" s="1407">
        <v>958</v>
      </c>
      <c r="D136" s="1438"/>
      <c r="E136" s="754">
        <v>3</v>
      </c>
      <c r="F136" s="754"/>
      <c r="G136" s="754"/>
      <c r="H136" s="754"/>
      <c r="I136" s="754"/>
      <c r="J136" s="754"/>
      <c r="K136" s="754"/>
      <c r="L136" s="754"/>
      <c r="M136" s="754"/>
      <c r="N136" s="754"/>
      <c r="O136" s="754"/>
      <c r="P136" s="754"/>
      <c r="Q136" s="754"/>
      <c r="V136" s="754"/>
      <c r="W136" s="754"/>
      <c r="X136" s="754"/>
    </row>
    <row r="137" spans="1:25">
      <c r="A137" s="1439" t="s">
        <v>1918</v>
      </c>
      <c r="B137" s="1388"/>
      <c r="C137" s="1407">
        <v>888</v>
      </c>
      <c r="D137" s="1438"/>
      <c r="E137" s="1139">
        <v>3</v>
      </c>
      <c r="F137" s="754"/>
      <c r="G137" s="754"/>
      <c r="H137" s="754"/>
      <c r="I137" s="754"/>
      <c r="J137" s="754"/>
      <c r="K137" s="754"/>
      <c r="L137" s="754"/>
      <c r="M137" s="754"/>
      <c r="N137" s="754"/>
      <c r="O137" s="754"/>
      <c r="P137" s="754"/>
      <c r="Q137" s="754"/>
      <c r="V137" s="754"/>
      <c r="W137" s="754"/>
      <c r="X137" s="754"/>
    </row>
    <row r="138" spans="1:25">
      <c r="A138" s="1439"/>
      <c r="B138" s="1388"/>
      <c r="C138" s="1407" t="s">
        <v>392</v>
      </c>
      <c r="D138" s="1438" t="s">
        <v>392</v>
      </c>
      <c r="E138" s="1139"/>
      <c r="F138" s="754"/>
      <c r="G138" s="754"/>
      <c r="H138" s="754"/>
      <c r="I138" s="754"/>
      <c r="J138" s="754"/>
      <c r="K138" s="754"/>
      <c r="L138" s="754"/>
      <c r="M138" s="754"/>
      <c r="N138" s="754"/>
      <c r="O138" s="754"/>
      <c r="P138" s="754"/>
      <c r="Q138" s="754"/>
      <c r="V138" s="754"/>
      <c r="W138" s="754"/>
      <c r="X138" s="754"/>
    </row>
    <row r="139" spans="1:25">
      <c r="A139" s="1439" t="s">
        <v>1919</v>
      </c>
      <c r="B139" s="1388"/>
      <c r="C139" s="1407">
        <v>1816</v>
      </c>
      <c r="D139" s="1438"/>
      <c r="E139" s="754"/>
      <c r="F139" s="754"/>
      <c r="G139" s="754"/>
      <c r="H139" s="754"/>
      <c r="I139" s="754"/>
      <c r="J139" s="754"/>
      <c r="K139" s="754"/>
      <c r="L139" s="754"/>
      <c r="M139" s="754"/>
      <c r="N139" s="754"/>
      <c r="O139" s="754"/>
      <c r="P139" s="754"/>
      <c r="Q139" s="754"/>
      <c r="V139" s="754"/>
      <c r="W139" s="754"/>
      <c r="X139" s="754"/>
      <c r="Y139" s="754"/>
    </row>
    <row r="140" spans="1:25">
      <c r="A140" s="1440" t="s">
        <v>1920</v>
      </c>
      <c r="B140" s="1405"/>
      <c r="C140" s="1418">
        <v>29500</v>
      </c>
      <c r="D140" s="1438" t="s">
        <v>392</v>
      </c>
      <c r="E140" s="754"/>
      <c r="F140" s="754"/>
      <c r="G140" s="754"/>
      <c r="H140" s="754"/>
      <c r="I140" s="754"/>
      <c r="J140" s="754"/>
      <c r="K140" s="754"/>
      <c r="L140" s="754"/>
      <c r="M140" s="754"/>
      <c r="N140" s="754"/>
      <c r="O140" s="754"/>
      <c r="P140" s="754"/>
      <c r="Q140" s="754"/>
      <c r="V140" s="754"/>
      <c r="W140" s="754"/>
      <c r="X140" s="754"/>
      <c r="Y140" s="754"/>
    </row>
    <row r="141" spans="1:25">
      <c r="A141" s="1441" t="s">
        <v>1921</v>
      </c>
      <c r="B141" s="1422"/>
      <c r="C141" s="1423">
        <v>29244</v>
      </c>
      <c r="D141" s="1438" t="s">
        <v>392</v>
      </c>
      <c r="E141" s="754"/>
      <c r="F141" s="754"/>
      <c r="G141" s="754"/>
      <c r="H141" s="754"/>
      <c r="I141" s="754"/>
      <c r="J141" s="754"/>
      <c r="K141" s="754"/>
      <c r="L141" s="754"/>
      <c r="M141" s="754"/>
      <c r="N141" s="754"/>
      <c r="O141" s="754"/>
      <c r="P141" s="754"/>
      <c r="Q141" s="754"/>
      <c r="V141" s="754"/>
      <c r="W141" s="754"/>
      <c r="X141" s="754"/>
      <c r="Y141" s="754"/>
    </row>
    <row r="142" spans="1:25">
      <c r="A142" s="1375"/>
      <c r="B142" s="1375"/>
      <c r="C142" s="1442"/>
      <c r="D142" s="1438"/>
      <c r="E142" s="754"/>
      <c r="F142" s="1495"/>
      <c r="G142" s="754"/>
      <c r="H142" s="754"/>
      <c r="I142" s="754"/>
      <c r="J142" s="754"/>
      <c r="K142" s="754"/>
      <c r="L142" s="754"/>
      <c r="M142" s="754"/>
      <c r="N142" s="754"/>
      <c r="O142" s="754"/>
      <c r="P142" s="754"/>
      <c r="Q142" s="754"/>
      <c r="V142" s="754"/>
      <c r="W142" s="754"/>
      <c r="X142" s="754"/>
      <c r="Y142" s="754"/>
    </row>
    <row r="143" spans="1:25">
      <c r="A143" s="1143" t="s">
        <v>1922</v>
      </c>
      <c r="B143" s="1143"/>
      <c r="C143" s="1143"/>
      <c r="D143" s="1143"/>
      <c r="E143" s="754"/>
      <c r="F143" s="754"/>
      <c r="G143" s="754"/>
      <c r="H143" s="754"/>
      <c r="I143" s="754"/>
      <c r="J143" s="754"/>
      <c r="K143" s="754"/>
      <c r="L143" s="754"/>
      <c r="M143" s="754"/>
      <c r="N143" s="754"/>
      <c r="O143" s="754"/>
      <c r="P143" s="754"/>
      <c r="Q143" s="754"/>
      <c r="V143" s="754"/>
      <c r="W143" s="754"/>
      <c r="X143" s="754"/>
      <c r="Y143" s="754"/>
    </row>
    <row r="144" spans="1:25" ht="12.75" customHeight="1">
      <c r="A144" s="1492" t="s">
        <v>1923</v>
      </c>
      <c r="B144" s="1492"/>
      <c r="C144" s="1492"/>
      <c r="D144" s="1492"/>
      <c r="E144" s="754"/>
      <c r="F144" s="754"/>
      <c r="G144" s="754"/>
      <c r="H144" s="754"/>
      <c r="I144" s="754"/>
      <c r="J144" s="754"/>
      <c r="K144" s="754"/>
      <c r="L144" s="754"/>
      <c r="M144" s="754"/>
      <c r="N144" s="754"/>
      <c r="O144" s="754"/>
      <c r="P144" s="754"/>
      <c r="Q144" s="754"/>
      <c r="V144" s="754"/>
      <c r="W144" s="754"/>
      <c r="X144" s="754"/>
      <c r="Y144" s="754"/>
    </row>
    <row r="145" spans="1:35">
      <c r="A145" s="754"/>
      <c r="B145" s="754"/>
      <c r="C145" s="754"/>
      <c r="D145" s="1438"/>
      <c r="E145" s="754"/>
      <c r="F145" s="754"/>
      <c r="G145" s="754"/>
      <c r="H145" s="754"/>
      <c r="I145" s="754"/>
      <c r="J145" s="754"/>
      <c r="K145" s="754"/>
      <c r="L145" s="754"/>
      <c r="M145" s="754"/>
      <c r="N145" s="754"/>
      <c r="O145" s="754"/>
      <c r="P145" s="754"/>
      <c r="Q145" s="754"/>
      <c r="V145" s="754"/>
      <c r="W145" s="754"/>
      <c r="X145" s="754"/>
      <c r="Y145" s="754"/>
    </row>
    <row r="146" spans="1:35">
      <c r="A146" s="754"/>
      <c r="B146" s="754"/>
      <c r="C146" s="754"/>
      <c r="D146" s="1438"/>
      <c r="E146" s="754"/>
      <c r="F146" s="754"/>
      <c r="G146" s="754"/>
      <c r="H146" s="754"/>
      <c r="I146" s="754"/>
      <c r="J146" s="754"/>
      <c r="K146" s="754"/>
      <c r="L146" s="754"/>
      <c r="M146" s="754"/>
      <c r="N146" s="754"/>
      <c r="O146" s="754"/>
      <c r="P146" s="754"/>
      <c r="Q146" s="754"/>
      <c r="V146" s="754"/>
      <c r="W146" s="754"/>
      <c r="X146" s="754"/>
      <c r="Y146" s="754"/>
    </row>
    <row r="147" spans="1:35">
      <c r="A147" s="754"/>
      <c r="B147" s="754"/>
      <c r="C147" s="754"/>
      <c r="D147" s="1438"/>
      <c r="E147" s="754"/>
      <c r="F147" s="754"/>
      <c r="G147" s="754"/>
      <c r="H147" s="754"/>
      <c r="I147" s="754"/>
      <c r="J147" s="754"/>
      <c r="K147" s="754"/>
      <c r="L147" s="754"/>
      <c r="M147" s="754"/>
      <c r="N147" s="754"/>
      <c r="O147" s="754"/>
      <c r="P147" s="754"/>
      <c r="Q147" s="754"/>
      <c r="V147" s="754"/>
      <c r="W147" s="754"/>
      <c r="X147" s="754"/>
      <c r="Y147" s="754"/>
    </row>
    <row r="148" spans="1:35">
      <c r="A148" s="754"/>
      <c r="B148" s="754"/>
      <c r="C148" s="754"/>
      <c r="D148" s="754"/>
      <c r="E148" s="754"/>
      <c r="F148" s="754"/>
      <c r="G148" s="754"/>
      <c r="H148" s="754"/>
      <c r="I148" s="754"/>
      <c r="J148" s="754"/>
      <c r="K148" s="754"/>
      <c r="L148" s="754"/>
      <c r="M148" s="754"/>
      <c r="N148" s="754"/>
      <c r="O148" s="754"/>
      <c r="P148" s="754"/>
      <c r="Q148" s="754"/>
      <c r="V148" s="754"/>
      <c r="W148" s="754"/>
      <c r="X148" s="754"/>
      <c r="Y148" s="754"/>
    </row>
    <row r="149" spans="1:35">
      <c r="A149" s="1443" t="s">
        <v>1924</v>
      </c>
      <c r="B149" s="1444"/>
      <c r="C149" s="1445"/>
      <c r="D149" s="1445"/>
      <c r="E149" s="1445"/>
      <c r="F149" s="1387"/>
      <c r="G149" s="1387"/>
      <c r="H149" s="1387"/>
      <c r="I149" s="1387"/>
      <c r="J149" s="1387"/>
      <c r="K149" s="1387"/>
      <c r="L149" s="1387"/>
      <c r="M149" s="1387"/>
      <c r="N149" s="1387"/>
      <c r="O149" s="1387"/>
      <c r="P149" s="1387"/>
      <c r="Q149" s="878"/>
      <c r="R149" s="878"/>
      <c r="S149" s="878"/>
      <c r="V149" s="754"/>
      <c r="W149" s="754"/>
      <c r="X149" s="754"/>
      <c r="Y149" s="754"/>
    </row>
    <row r="150" spans="1:35" ht="12.75" customHeight="1">
      <c r="A150" s="1493" t="s">
        <v>1925</v>
      </c>
      <c r="B150" s="1493"/>
      <c r="C150" s="1493"/>
      <c r="D150" s="1493"/>
      <c r="E150" s="1493"/>
      <c r="F150" s="1493"/>
      <c r="G150" s="1493"/>
      <c r="H150" s="1493"/>
      <c r="I150" s="1493"/>
      <c r="J150" s="1493"/>
      <c r="K150" s="1493"/>
      <c r="L150" s="1493"/>
      <c r="M150" s="1493"/>
      <c r="N150" s="1493"/>
      <c r="O150" s="1493"/>
      <c r="P150" s="1493"/>
      <c r="Q150" s="1493"/>
      <c r="R150" s="878"/>
      <c r="S150" s="878"/>
      <c r="V150" s="754"/>
      <c r="W150" s="754"/>
      <c r="X150" s="754"/>
      <c r="Y150" s="754"/>
    </row>
    <row r="151" spans="1:35" ht="12.75" customHeight="1">
      <c r="A151" s="1494" t="s">
        <v>1926</v>
      </c>
      <c r="B151" s="1494"/>
      <c r="C151" s="1494"/>
      <c r="D151" s="1494"/>
      <c r="E151" s="1494"/>
      <c r="F151" s="1494"/>
      <c r="G151" s="1494"/>
      <c r="H151" s="1494"/>
      <c r="I151" s="1494"/>
      <c r="J151" s="1494"/>
      <c r="K151" s="1494"/>
      <c r="L151" s="1494"/>
      <c r="M151" s="1494"/>
      <c r="N151" s="1494"/>
      <c r="O151" s="1494"/>
      <c r="P151" s="1494"/>
      <c r="Q151" s="878"/>
      <c r="R151" s="878"/>
      <c r="S151" s="878"/>
      <c r="V151" s="754"/>
      <c r="W151" s="754"/>
      <c r="X151" s="754"/>
      <c r="Y151" s="754"/>
    </row>
    <row r="152" spans="1:35">
      <c r="A152" s="1446" t="s">
        <v>1927</v>
      </c>
      <c r="B152" s="1447"/>
      <c r="C152" s="1448"/>
      <c r="D152" s="1449" t="s">
        <v>1928</v>
      </c>
      <c r="E152" s="1343"/>
      <c r="F152" s="1343"/>
      <c r="G152" s="1450"/>
      <c r="H152" s="1451"/>
      <c r="I152" s="1451"/>
      <c r="J152" s="1451"/>
      <c r="K152" s="1449"/>
      <c r="L152" s="1449"/>
      <c r="M152" s="1449"/>
      <c r="N152" s="1449"/>
      <c r="O152" s="1449"/>
      <c r="P152" s="1449"/>
      <c r="Q152" s="880"/>
      <c r="R152" s="754"/>
      <c r="S152" s="754"/>
      <c r="V152" s="754"/>
      <c r="W152" s="754"/>
      <c r="X152" s="754"/>
      <c r="Y152" s="754"/>
    </row>
    <row r="153" spans="1:35">
      <c r="A153" s="1452" t="s">
        <v>1929</v>
      </c>
      <c r="B153" s="1452"/>
      <c r="C153" s="1453"/>
      <c r="D153" s="1454" t="s">
        <v>1315</v>
      </c>
      <c r="E153" s="1455"/>
      <c r="F153" s="1455" t="s">
        <v>1930</v>
      </c>
      <c r="G153" s="1455"/>
      <c r="H153" s="1455" t="s">
        <v>1931</v>
      </c>
      <c r="I153" s="1455"/>
      <c r="J153" s="1455" t="s">
        <v>1932</v>
      </c>
      <c r="K153" s="1455"/>
      <c r="L153" s="1455" t="s">
        <v>1933</v>
      </c>
      <c r="M153" s="1455"/>
      <c r="N153" s="1455" t="s">
        <v>1934</v>
      </c>
      <c r="O153" s="1455"/>
      <c r="P153" s="1455" t="s">
        <v>1935</v>
      </c>
      <c r="Q153" s="1456"/>
      <c r="R153" s="754"/>
      <c r="S153" s="754"/>
      <c r="V153" s="754"/>
      <c r="W153" s="754"/>
      <c r="X153" s="754"/>
      <c r="Y153" s="754"/>
    </row>
    <row r="154" spans="1:35">
      <c r="A154" s="1457" t="s">
        <v>1936</v>
      </c>
      <c r="B154" s="1452"/>
      <c r="C154" s="1453"/>
      <c r="D154" s="1458" t="s">
        <v>124</v>
      </c>
      <c r="E154" s="1356"/>
      <c r="F154" s="1356" t="s">
        <v>1937</v>
      </c>
      <c r="G154" s="1356"/>
      <c r="H154" s="1356" t="s">
        <v>1938</v>
      </c>
      <c r="I154" s="1356"/>
      <c r="J154" s="1356" t="s">
        <v>1939</v>
      </c>
      <c r="K154" s="1356"/>
      <c r="L154" s="1356" t="s">
        <v>1940</v>
      </c>
      <c r="M154" s="1356"/>
      <c r="N154" s="1356" t="s">
        <v>1941</v>
      </c>
      <c r="O154" s="1356"/>
      <c r="P154" s="1356" t="s">
        <v>1942</v>
      </c>
      <c r="Q154" s="1456"/>
      <c r="R154" s="754"/>
      <c r="S154" s="754"/>
      <c r="V154" s="754"/>
      <c r="W154" s="754"/>
      <c r="X154" s="754"/>
      <c r="Y154" s="754"/>
    </row>
    <row r="155" spans="1:35">
      <c r="A155" s="1457" t="s">
        <v>1943</v>
      </c>
      <c r="B155" s="1452"/>
      <c r="C155" s="1453"/>
      <c r="D155" s="1459"/>
      <c r="E155" s="1356"/>
      <c r="F155" s="1356" t="s">
        <v>1944</v>
      </c>
      <c r="G155" s="1356"/>
      <c r="H155" s="1356" t="s">
        <v>1945</v>
      </c>
      <c r="I155" s="1356"/>
      <c r="J155" s="1356" t="s">
        <v>1261</v>
      </c>
      <c r="K155" s="1356"/>
      <c r="L155" s="1356" t="s">
        <v>1946</v>
      </c>
      <c r="M155" s="1356"/>
      <c r="N155" s="1356" t="s">
        <v>1947</v>
      </c>
      <c r="O155" s="1356"/>
      <c r="P155" s="1356" t="s">
        <v>1948</v>
      </c>
      <c r="Q155" s="1456"/>
      <c r="R155" s="754"/>
      <c r="S155" s="754"/>
      <c r="V155" s="754"/>
      <c r="W155" s="754"/>
      <c r="X155" s="754"/>
      <c r="Y155" s="754"/>
    </row>
    <row r="156" spans="1:35">
      <c r="A156" s="1452"/>
      <c r="B156" s="1452"/>
      <c r="C156" s="1453"/>
      <c r="D156" s="1459"/>
      <c r="E156" s="1356"/>
      <c r="F156" s="1356" t="s">
        <v>1949</v>
      </c>
      <c r="G156" s="1356"/>
      <c r="H156" s="1356"/>
      <c r="I156" s="1356"/>
      <c r="J156" s="1356"/>
      <c r="K156" s="1356"/>
      <c r="L156" s="1356" t="s">
        <v>1950</v>
      </c>
      <c r="M156" s="1356"/>
      <c r="N156" s="1356" t="s">
        <v>1951</v>
      </c>
      <c r="O156" s="1356"/>
      <c r="P156" s="1356"/>
      <c r="Q156" s="1456"/>
      <c r="R156" s="754"/>
      <c r="S156" s="754"/>
      <c r="V156" s="754"/>
      <c r="W156" s="754"/>
      <c r="X156" s="754"/>
      <c r="Y156" s="754"/>
    </row>
    <row r="157" spans="1:35">
      <c r="A157" s="1460"/>
      <c r="B157" s="1460"/>
      <c r="C157" s="1461"/>
      <c r="D157" s="1462"/>
      <c r="E157" s="1463"/>
      <c r="F157" s="1463"/>
      <c r="G157" s="1463"/>
      <c r="H157" s="1463"/>
      <c r="I157" s="1463"/>
      <c r="J157" s="1463"/>
      <c r="K157" s="1463"/>
      <c r="L157" s="1463"/>
      <c r="M157" s="1463"/>
      <c r="N157" s="1463" t="s">
        <v>1952</v>
      </c>
      <c r="O157" s="1463"/>
      <c r="P157" s="1463"/>
      <c r="Q157" s="1456"/>
      <c r="AB157" s="754"/>
      <c r="AC157" s="754"/>
      <c r="AE157" s="31" t="s">
        <v>2043</v>
      </c>
      <c r="AF157" s="754"/>
      <c r="AG157" s="754"/>
      <c r="AH157" s="754"/>
      <c r="AI157" s="754"/>
    </row>
    <row r="158" spans="1:35">
      <c r="A158" s="1452"/>
      <c r="B158" s="1452"/>
      <c r="C158" s="1453"/>
      <c r="D158" s="1464"/>
      <c r="E158" s="1427"/>
      <c r="F158" s="1374"/>
      <c r="G158" s="1427"/>
      <c r="H158" s="1374"/>
      <c r="I158" s="1427"/>
      <c r="J158" s="1374"/>
      <c r="K158" s="1427"/>
      <c r="L158" s="1374"/>
      <c r="M158" s="1427"/>
      <c r="N158" s="1374"/>
      <c r="O158" s="1427"/>
      <c r="P158" s="1374"/>
      <c r="Q158" s="1427"/>
      <c r="S158" s="765" t="s">
        <v>2040</v>
      </c>
      <c r="T158" s="765" t="s">
        <v>2041</v>
      </c>
      <c r="U158" s="765" t="s">
        <v>2042</v>
      </c>
      <c r="W158" s="754"/>
      <c r="X158" s="754"/>
      <c r="AA158" s="754"/>
      <c r="AB158" s="754"/>
      <c r="AC158" s="754"/>
      <c r="AD158" s="754"/>
    </row>
    <row r="159" spans="1:35">
      <c r="A159" s="1139" t="s">
        <v>1953</v>
      </c>
      <c r="B159" s="1465"/>
      <c r="C159" s="1466"/>
      <c r="D159" s="1467">
        <v>2148743</v>
      </c>
      <c r="E159" s="1427" t="s">
        <v>392</v>
      </c>
      <c r="F159" s="1468">
        <v>4005</v>
      </c>
      <c r="G159" s="1427"/>
      <c r="H159" s="1468">
        <v>29847</v>
      </c>
      <c r="I159" s="1427"/>
      <c r="J159" s="1468">
        <v>31403</v>
      </c>
      <c r="K159" s="1427"/>
      <c r="L159" s="1468">
        <v>23420</v>
      </c>
      <c r="M159" s="1427"/>
      <c r="N159" s="1468">
        <v>6410</v>
      </c>
      <c r="O159" s="1427"/>
      <c r="P159" s="1468">
        <v>1783348</v>
      </c>
      <c r="Q159" s="1427"/>
      <c r="R159" s="1139" t="s">
        <v>1953</v>
      </c>
      <c r="S159" s="1495">
        <f>D159</f>
        <v>2148743</v>
      </c>
      <c r="T159" s="1495">
        <f>F172</f>
        <v>944269</v>
      </c>
      <c r="U159" s="1495">
        <f>SUM(S159:T159)</f>
        <v>3093012</v>
      </c>
      <c r="W159" s="754">
        <v>1</v>
      </c>
      <c r="X159" s="1139" t="s">
        <v>1953</v>
      </c>
      <c r="AA159" s="754">
        <v>1</v>
      </c>
      <c r="AB159" s="765" t="s">
        <v>601</v>
      </c>
      <c r="AC159" s="754">
        <f>SUMIF(W159:W170,AA159:AA162,D159:D170)</f>
        <v>2148743</v>
      </c>
      <c r="AD159" s="1523">
        <f>AC159/AC$163</f>
        <v>0.19688579038437362</v>
      </c>
      <c r="AE159" s="765" t="s">
        <v>601</v>
      </c>
      <c r="AF159" s="754">
        <f>SUMIF(W159:W170,AA159:AA162,U159:U170)</f>
        <v>3093012</v>
      </c>
      <c r="AG159" s="1523">
        <f>AF159/AF$163</f>
        <v>0.14008625892287807</v>
      </c>
    </row>
    <row r="160" spans="1:35">
      <c r="A160" s="1139" t="s">
        <v>1954</v>
      </c>
      <c r="B160" s="1465"/>
      <c r="C160" s="1466"/>
      <c r="D160" s="1467">
        <v>251140</v>
      </c>
      <c r="E160" s="1427" t="s">
        <v>392</v>
      </c>
      <c r="F160" s="1468">
        <v>4369</v>
      </c>
      <c r="G160" s="1427"/>
      <c r="H160" s="1468">
        <v>60769</v>
      </c>
      <c r="I160" s="1427"/>
      <c r="J160" s="1468">
        <v>41635</v>
      </c>
      <c r="K160" s="1427"/>
      <c r="L160" s="1468">
        <v>85154</v>
      </c>
      <c r="M160" s="1427"/>
      <c r="N160" s="1468">
        <v>3303</v>
      </c>
      <c r="O160" s="1427"/>
      <c r="P160" s="1468">
        <v>43132</v>
      </c>
      <c r="Q160" s="1427"/>
      <c r="R160" s="1139" t="s">
        <v>1954</v>
      </c>
      <c r="S160" s="1495">
        <f t="shared" ref="S160:S170" si="0">D160</f>
        <v>251140</v>
      </c>
      <c r="T160" s="1495">
        <f>H172</f>
        <v>444783</v>
      </c>
      <c r="U160" s="1495">
        <f t="shared" ref="U160:U170" si="1">SUM(S160:T160)</f>
        <v>695923</v>
      </c>
      <c r="W160" s="754">
        <v>2</v>
      </c>
      <c r="X160" s="1139" t="s">
        <v>1954</v>
      </c>
      <c r="AA160" s="754">
        <v>2</v>
      </c>
      <c r="AB160" s="765" t="s">
        <v>602</v>
      </c>
      <c r="AC160" s="754">
        <f>SUMIF(W159:W170,AA159:AA162,D159:D170)</f>
        <v>459883</v>
      </c>
      <c r="AD160" s="1523">
        <f>AC160/AC$163</f>
        <v>4.2138323633555477E-2</v>
      </c>
      <c r="AE160" s="765" t="s">
        <v>602</v>
      </c>
      <c r="AF160" s="754">
        <f>SUMIF(W159:W170,AA159:AA162,U159:U170)</f>
        <v>1487138</v>
      </c>
      <c r="AG160" s="1523">
        <f>AF160/AF$163</f>
        <v>6.7354280850527276E-2</v>
      </c>
    </row>
    <row r="161" spans="1:35">
      <c r="A161" s="1139" t="s">
        <v>1955</v>
      </c>
      <c r="B161" s="1465"/>
      <c r="C161" s="1466"/>
      <c r="D161" s="1467">
        <v>208743</v>
      </c>
      <c r="E161" s="1427" t="s">
        <v>392</v>
      </c>
      <c r="F161" s="1468">
        <v>49017</v>
      </c>
      <c r="G161" s="1427"/>
      <c r="H161" s="1468">
        <v>18944</v>
      </c>
      <c r="I161" s="1427"/>
      <c r="J161" s="1468">
        <v>15227</v>
      </c>
      <c r="K161" s="1427"/>
      <c r="L161" s="1468">
        <v>84946</v>
      </c>
      <c r="M161" s="1427"/>
      <c r="N161" s="1468">
        <v>3500</v>
      </c>
      <c r="O161" s="1427"/>
      <c r="P161" s="1468">
        <v>18154</v>
      </c>
      <c r="Q161" s="1427"/>
      <c r="R161" s="1139" t="s">
        <v>1955</v>
      </c>
      <c r="S161" s="1495">
        <f t="shared" si="0"/>
        <v>208743</v>
      </c>
      <c r="T161" s="1495">
        <f>J172</f>
        <v>582472</v>
      </c>
      <c r="U161" s="1495">
        <f t="shared" si="1"/>
        <v>791215</v>
      </c>
      <c r="W161" s="754">
        <v>2</v>
      </c>
      <c r="X161" s="1139" t="s">
        <v>1955</v>
      </c>
      <c r="AA161" s="754">
        <v>3</v>
      </c>
      <c r="AB161" s="765" t="s">
        <v>603</v>
      </c>
      <c r="AC161" s="754">
        <f>SUMIF(W159:W170,AA159:AA162,D159:D170)</f>
        <v>4732898</v>
      </c>
      <c r="AD161" s="1523">
        <f>AC161/AC$163</f>
        <v>0.43366766688181002</v>
      </c>
      <c r="AE161" s="765" t="s">
        <v>603</v>
      </c>
      <c r="AF161" s="754">
        <f>SUMIF(W159:W170,AA159:AA162,U159:U170)</f>
        <v>8666455</v>
      </c>
      <c r="AG161" s="1523">
        <f>AF161/AF$163</f>
        <v>0.39251424148159508</v>
      </c>
    </row>
    <row r="162" spans="1:35">
      <c r="A162" s="1139" t="s">
        <v>1956</v>
      </c>
      <c r="B162" s="1465"/>
      <c r="C162" s="1466"/>
      <c r="D162" s="1467">
        <v>594775</v>
      </c>
      <c r="E162" s="1427" t="s">
        <v>392</v>
      </c>
      <c r="F162" s="1468">
        <v>2530</v>
      </c>
      <c r="G162" s="1427"/>
      <c r="H162" s="1468">
        <v>83905</v>
      </c>
      <c r="I162" s="1427"/>
      <c r="J162" s="1468">
        <v>62241</v>
      </c>
      <c r="K162" s="1427"/>
      <c r="L162" s="1468">
        <v>13562</v>
      </c>
      <c r="M162" s="1427"/>
      <c r="N162" s="1468">
        <v>43782</v>
      </c>
      <c r="O162" s="1427"/>
      <c r="P162" s="1468">
        <v>265239</v>
      </c>
      <c r="Q162" s="1427" t="s">
        <v>392</v>
      </c>
      <c r="R162" s="1139" t="s">
        <v>1956</v>
      </c>
      <c r="S162" s="1495">
        <f t="shared" si="0"/>
        <v>594775</v>
      </c>
      <c r="T162" s="1495">
        <f>L172</f>
        <v>1298384</v>
      </c>
      <c r="U162" s="1495">
        <f t="shared" si="1"/>
        <v>1893159</v>
      </c>
      <c r="W162" s="754">
        <v>3</v>
      </c>
      <c r="X162" s="1139" t="s">
        <v>1956</v>
      </c>
      <c r="AA162" s="754">
        <v>4</v>
      </c>
      <c r="AB162" s="765" t="s">
        <v>604</v>
      </c>
      <c r="AC162" s="754">
        <f>SUMIF(W159:W170,AA159:AA162,D159:D170)</f>
        <v>3572128</v>
      </c>
      <c r="AD162" s="1523">
        <f>AC162/AC$163</f>
        <v>0.32730821910026087</v>
      </c>
      <c r="AE162" s="765" t="s">
        <v>604</v>
      </c>
      <c r="AF162" s="754">
        <f>SUMIF(W159:W170,AA159:AA162,U159:U170)</f>
        <v>8832734</v>
      </c>
      <c r="AG162" s="1523">
        <f>AF162/AF$163</f>
        <v>0.40004521874499954</v>
      </c>
    </row>
    <row r="163" spans="1:35">
      <c r="A163" s="1139" t="s">
        <v>1957</v>
      </c>
      <c r="B163" s="1465"/>
      <c r="C163" s="1466"/>
      <c r="D163" s="1467">
        <v>135547</v>
      </c>
      <c r="E163" s="1427" t="s">
        <v>392</v>
      </c>
      <c r="F163" s="1468" t="s">
        <v>1350</v>
      </c>
      <c r="G163" s="1427" t="s">
        <v>392</v>
      </c>
      <c r="H163" s="1468">
        <v>2509</v>
      </c>
      <c r="I163" s="1427"/>
      <c r="J163" s="1468" t="s">
        <v>1350</v>
      </c>
      <c r="K163" s="1427" t="s">
        <v>392</v>
      </c>
      <c r="L163" s="1468">
        <v>6085</v>
      </c>
      <c r="M163" s="1427"/>
      <c r="N163" s="1468" t="s">
        <v>1350</v>
      </c>
      <c r="O163" s="1427" t="s">
        <v>392</v>
      </c>
      <c r="P163" s="1468">
        <v>113845</v>
      </c>
      <c r="Q163" s="1427"/>
      <c r="R163" s="1139" t="s">
        <v>1957</v>
      </c>
      <c r="S163" s="1495">
        <f t="shared" si="0"/>
        <v>135547</v>
      </c>
      <c r="T163" s="1495">
        <f>N172</f>
        <v>632598</v>
      </c>
      <c r="U163" s="1495">
        <f t="shared" si="1"/>
        <v>768145</v>
      </c>
      <c r="W163" s="754">
        <v>3</v>
      </c>
      <c r="X163" s="1139" t="s">
        <v>1957</v>
      </c>
      <c r="AA163" s="754"/>
      <c r="AB163" s="754"/>
      <c r="AC163" s="754">
        <f>SUM(AC159:AC162)</f>
        <v>10913652</v>
      </c>
      <c r="AD163" s="754"/>
      <c r="AF163" s="754">
        <f>SUM(AF159:AF162)</f>
        <v>22079339</v>
      </c>
      <c r="AG163" s="754"/>
    </row>
    <row r="164" spans="1:35">
      <c r="A164" s="1139" t="s">
        <v>1958</v>
      </c>
      <c r="B164" s="1465"/>
      <c r="C164" s="1466"/>
      <c r="D164" s="1467">
        <v>3152952</v>
      </c>
      <c r="E164" s="1427" t="s">
        <v>392</v>
      </c>
      <c r="F164" s="1468">
        <v>531400</v>
      </c>
      <c r="G164" s="1427"/>
      <c r="H164" s="1468">
        <v>96523</v>
      </c>
      <c r="I164" s="1427" t="s">
        <v>392</v>
      </c>
      <c r="J164" s="1468">
        <v>78127</v>
      </c>
      <c r="K164" s="1427"/>
      <c r="L164" s="1468">
        <v>804918</v>
      </c>
      <c r="M164" s="1427" t="s">
        <v>392</v>
      </c>
      <c r="N164" s="1468">
        <v>408108</v>
      </c>
      <c r="O164" s="1427"/>
      <c r="P164" s="1468">
        <v>694592</v>
      </c>
      <c r="Q164" s="1427" t="s">
        <v>392</v>
      </c>
      <c r="R164" s="1139" t="s">
        <v>1958</v>
      </c>
      <c r="S164" s="1495">
        <f t="shared" si="0"/>
        <v>3152952</v>
      </c>
      <c r="T164" s="1495">
        <f>P172</f>
        <v>3819001</v>
      </c>
      <c r="U164" s="1495">
        <f t="shared" si="1"/>
        <v>6971953</v>
      </c>
      <c r="V164" s="1495"/>
      <c r="W164" s="304">
        <v>4</v>
      </c>
      <c r="X164" s="1139" t="s">
        <v>1958</v>
      </c>
      <c r="AA164" s="754"/>
      <c r="AB164" s="754"/>
      <c r="AC164" s="754"/>
      <c r="AD164" s="754"/>
    </row>
    <row r="165" spans="1:35">
      <c r="A165" s="1139" t="s">
        <v>1959</v>
      </c>
      <c r="B165" s="1465"/>
      <c r="C165" s="1466"/>
      <c r="D165" s="1467">
        <v>158741</v>
      </c>
      <c r="E165" s="1427" t="s">
        <v>392</v>
      </c>
      <c r="F165" s="1468" t="s">
        <v>1350</v>
      </c>
      <c r="G165" s="1427" t="s">
        <v>392</v>
      </c>
      <c r="H165" s="1468">
        <v>2321</v>
      </c>
      <c r="I165" s="1427"/>
      <c r="J165" s="1468" t="s">
        <v>1350</v>
      </c>
      <c r="K165" s="1427" t="s">
        <v>392</v>
      </c>
      <c r="L165" s="1468">
        <v>8973</v>
      </c>
      <c r="M165" s="1427"/>
      <c r="N165" s="1468" t="s">
        <v>1350</v>
      </c>
      <c r="O165" s="1427" t="s">
        <v>392</v>
      </c>
      <c r="P165" s="1468">
        <v>13337</v>
      </c>
      <c r="Q165" s="1427" t="s">
        <v>392</v>
      </c>
      <c r="R165" s="1139" t="s">
        <v>1959</v>
      </c>
      <c r="S165" s="1495">
        <f t="shared" si="0"/>
        <v>158741</v>
      </c>
      <c r="T165" s="1495">
        <f>D197</f>
        <v>355087</v>
      </c>
      <c r="U165" s="1495">
        <f t="shared" si="1"/>
        <v>513828</v>
      </c>
      <c r="W165" s="754">
        <v>4</v>
      </c>
      <c r="X165" s="1139" t="s">
        <v>1959</v>
      </c>
      <c r="AA165" s="754"/>
      <c r="AB165" s="754"/>
      <c r="AC165" s="754"/>
      <c r="AD165" s="754"/>
    </row>
    <row r="166" spans="1:35">
      <c r="A166" s="1139" t="s">
        <v>1960</v>
      </c>
      <c r="B166" s="1465"/>
      <c r="C166" s="1466"/>
      <c r="D166" s="1467">
        <v>260435</v>
      </c>
      <c r="E166" s="1427" t="s">
        <v>392</v>
      </c>
      <c r="F166" s="1468" t="s">
        <v>1350</v>
      </c>
      <c r="G166" s="1427" t="s">
        <v>392</v>
      </c>
      <c r="H166" s="1468">
        <v>48109</v>
      </c>
      <c r="I166" s="1427"/>
      <c r="J166" s="1468">
        <v>23699</v>
      </c>
      <c r="K166" s="1427"/>
      <c r="L166" s="1468">
        <v>10424</v>
      </c>
      <c r="M166" s="1427"/>
      <c r="N166" s="1468" t="s">
        <v>1350</v>
      </c>
      <c r="O166" s="1427" t="s">
        <v>392</v>
      </c>
      <c r="P166" s="1468">
        <v>42249</v>
      </c>
      <c r="Q166" s="1427" t="s">
        <v>392</v>
      </c>
      <c r="R166" s="1139" t="s">
        <v>1960</v>
      </c>
      <c r="S166" s="1495">
        <f t="shared" si="0"/>
        <v>260435</v>
      </c>
      <c r="T166" s="1495">
        <f>F197</f>
        <v>1086518</v>
      </c>
      <c r="U166" s="1495">
        <f t="shared" si="1"/>
        <v>1346953</v>
      </c>
      <c r="W166" s="754">
        <v>4</v>
      </c>
      <c r="X166" s="1139" t="s">
        <v>1960</v>
      </c>
      <c r="AA166" s="754"/>
      <c r="AB166" s="754"/>
      <c r="AC166" s="754"/>
      <c r="AD166" s="754"/>
    </row>
    <row r="167" spans="1:35">
      <c r="A167" s="1139" t="s">
        <v>1961</v>
      </c>
      <c r="B167" s="1465"/>
      <c r="C167" s="1466"/>
      <c r="D167" s="1467">
        <v>136716</v>
      </c>
      <c r="E167" s="1427" t="s">
        <v>392</v>
      </c>
      <c r="F167" s="1468" t="s">
        <v>1350</v>
      </c>
      <c r="G167" s="1427" t="s">
        <v>392</v>
      </c>
      <c r="H167" s="1468">
        <v>4608</v>
      </c>
      <c r="I167" s="1427"/>
      <c r="J167" s="1468">
        <v>3997</v>
      </c>
      <c r="K167" s="1427"/>
      <c r="L167" s="1468">
        <v>16180</v>
      </c>
      <c r="M167" s="1427"/>
      <c r="N167" s="1468">
        <v>4973</v>
      </c>
      <c r="O167" s="1427"/>
      <c r="P167" s="1468">
        <v>17630</v>
      </c>
      <c r="Q167" s="1427"/>
      <c r="R167" s="1139" t="s">
        <v>1961</v>
      </c>
      <c r="S167" s="1495">
        <f t="shared" si="0"/>
        <v>136716</v>
      </c>
      <c r="T167" s="1495">
        <f>H197</f>
        <v>431168</v>
      </c>
      <c r="U167" s="1495">
        <f t="shared" si="1"/>
        <v>567884</v>
      </c>
      <c r="W167" s="754">
        <v>3</v>
      </c>
      <c r="X167" s="1139" t="s">
        <v>1961</v>
      </c>
      <c r="AA167" s="754"/>
      <c r="AB167" s="754"/>
      <c r="AC167" s="754"/>
      <c r="AD167" s="754"/>
    </row>
    <row r="168" spans="1:35">
      <c r="A168" s="1139" t="s">
        <v>1184</v>
      </c>
      <c r="B168" s="1465"/>
      <c r="C168" s="1466"/>
      <c r="D168" s="1467">
        <v>1910450</v>
      </c>
      <c r="E168" s="1427" t="s">
        <v>392</v>
      </c>
      <c r="F168" s="1468">
        <v>111227</v>
      </c>
      <c r="G168" s="1427"/>
      <c r="H168" s="1468">
        <v>72067</v>
      </c>
      <c r="I168" s="1427"/>
      <c r="J168" s="1468">
        <v>153531</v>
      </c>
      <c r="K168" s="1427"/>
      <c r="L168" s="1468">
        <v>190805</v>
      </c>
      <c r="M168" s="1427"/>
      <c r="N168" s="1468">
        <v>78911</v>
      </c>
      <c r="O168" s="1427"/>
      <c r="P168" s="1468">
        <v>364859</v>
      </c>
      <c r="Q168" s="1427" t="s">
        <v>392</v>
      </c>
      <c r="R168" s="1139" t="s">
        <v>1184</v>
      </c>
      <c r="S168" s="1495">
        <f t="shared" si="0"/>
        <v>1910450</v>
      </c>
      <c r="T168" s="1495">
        <f>J197</f>
        <v>938947</v>
      </c>
      <c r="U168" s="1495">
        <f t="shared" si="1"/>
        <v>2849397</v>
      </c>
      <c r="W168" s="754">
        <v>3</v>
      </c>
      <c r="X168" s="1139" t="s">
        <v>1184</v>
      </c>
      <c r="AA168" s="754"/>
      <c r="AB168" s="754"/>
      <c r="AC168" s="754"/>
      <c r="AD168" s="754"/>
    </row>
    <row r="169" spans="1:35">
      <c r="A169" s="1139" t="s">
        <v>1962</v>
      </c>
      <c r="B169" s="1465"/>
      <c r="C169" s="1466"/>
      <c r="D169" s="1467">
        <v>1897919</v>
      </c>
      <c r="E169" s="1427" t="s">
        <v>392</v>
      </c>
      <c r="F169" s="1468">
        <v>135034</v>
      </c>
      <c r="G169" s="1427"/>
      <c r="H169" s="1468">
        <v>20935</v>
      </c>
      <c r="I169" s="1427"/>
      <c r="J169" s="1468">
        <v>157308</v>
      </c>
      <c r="K169" s="1427"/>
      <c r="L169" s="1468">
        <v>42838</v>
      </c>
      <c r="M169" s="1427"/>
      <c r="N169" s="1468">
        <v>83611</v>
      </c>
      <c r="O169" s="1427"/>
      <c r="P169" s="1468">
        <v>353732</v>
      </c>
      <c r="Q169" s="1427" t="s">
        <v>392</v>
      </c>
      <c r="R169" s="1139" t="s">
        <v>1962</v>
      </c>
      <c r="S169" s="1495">
        <f t="shared" si="0"/>
        <v>1897919</v>
      </c>
      <c r="T169" s="1495">
        <f>L197</f>
        <v>583643</v>
      </c>
      <c r="U169" s="1495">
        <f t="shared" si="1"/>
        <v>2481562</v>
      </c>
      <c r="W169" s="754">
        <v>3</v>
      </c>
      <c r="X169" s="1139" t="s">
        <v>1962</v>
      </c>
      <c r="AA169" s="754"/>
      <c r="AB169" s="754"/>
      <c r="AC169" s="754"/>
      <c r="AD169" s="754"/>
    </row>
    <row r="170" spans="1:35">
      <c r="A170" s="1139" t="s">
        <v>1963</v>
      </c>
      <c r="B170" s="1465"/>
      <c r="C170" s="1466"/>
      <c r="D170" s="1467">
        <v>57491</v>
      </c>
      <c r="E170" s="1427" t="s">
        <v>392</v>
      </c>
      <c r="F170" s="1468">
        <v>12916</v>
      </c>
      <c r="G170" s="1427"/>
      <c r="H170" s="1468">
        <v>1584</v>
      </c>
      <c r="I170" s="1427"/>
      <c r="J170" s="1468">
        <v>11873</v>
      </c>
      <c r="K170" s="1427"/>
      <c r="L170" s="1468">
        <v>3541</v>
      </c>
      <c r="M170" s="1427"/>
      <c r="N170" s="1468" t="s">
        <v>1350</v>
      </c>
      <c r="O170" s="1427" t="s">
        <v>392</v>
      </c>
      <c r="P170" s="1468">
        <v>1752</v>
      </c>
      <c r="Q170" s="1427"/>
      <c r="R170" s="1139" t="s">
        <v>1963</v>
      </c>
      <c r="S170" s="1495">
        <f t="shared" si="0"/>
        <v>57491</v>
      </c>
      <c r="T170" s="1495">
        <f>N197</f>
        <v>48817</v>
      </c>
      <c r="U170" s="1495">
        <f t="shared" si="1"/>
        <v>106308</v>
      </c>
      <c r="W170" s="754">
        <v>3</v>
      </c>
      <c r="X170" s="1139" t="s">
        <v>1963</v>
      </c>
      <c r="AA170" s="754"/>
      <c r="AB170" s="754"/>
      <c r="AC170" s="754"/>
      <c r="AD170" s="754"/>
    </row>
    <row r="171" spans="1:35">
      <c r="A171" s="1139" t="s">
        <v>1964</v>
      </c>
      <c r="B171" s="1465"/>
      <c r="C171" s="1466"/>
      <c r="D171" s="1467">
        <v>252033</v>
      </c>
      <c r="E171" s="1427" t="s">
        <v>392</v>
      </c>
      <c r="F171" s="1468">
        <v>93771</v>
      </c>
      <c r="G171" s="1427"/>
      <c r="H171" s="1468">
        <v>2662</v>
      </c>
      <c r="I171" s="1427"/>
      <c r="J171" s="1468">
        <v>3431</v>
      </c>
      <c r="K171" s="1427"/>
      <c r="L171" s="1468">
        <v>7538</v>
      </c>
      <c r="M171" s="1427"/>
      <c r="N171" s="1468" t="s">
        <v>1350</v>
      </c>
      <c r="O171" s="1427" t="s">
        <v>392</v>
      </c>
      <c r="P171" s="1468">
        <v>107132</v>
      </c>
      <c r="Q171" s="1427"/>
      <c r="W171" s="765" t="s">
        <v>1312</v>
      </c>
      <c r="X171" s="1139" t="s">
        <v>1964</v>
      </c>
      <c r="AA171" s="754"/>
      <c r="AB171" s="754"/>
      <c r="AC171" s="754"/>
      <c r="AD171" s="754"/>
    </row>
    <row r="172" spans="1:35">
      <c r="A172" s="1469" t="s">
        <v>1965</v>
      </c>
      <c r="B172" s="1470"/>
      <c r="C172" s="1471"/>
      <c r="D172" s="1467">
        <v>11165687</v>
      </c>
      <c r="E172" s="1383" t="s">
        <v>392</v>
      </c>
      <c r="F172" s="1467">
        <v>944269</v>
      </c>
      <c r="G172" s="1383" t="s">
        <v>392</v>
      </c>
      <c r="H172" s="1467">
        <v>444783</v>
      </c>
      <c r="I172" s="1383" t="s">
        <v>392</v>
      </c>
      <c r="J172" s="1467">
        <v>582472</v>
      </c>
      <c r="K172" s="1383" t="s">
        <v>392</v>
      </c>
      <c r="L172" s="1467">
        <v>1298384</v>
      </c>
      <c r="M172" s="1383" t="s">
        <v>392</v>
      </c>
      <c r="N172" s="1467">
        <v>632598</v>
      </c>
      <c r="O172" s="1383" t="s">
        <v>392</v>
      </c>
      <c r="P172" s="1467">
        <v>3819001</v>
      </c>
      <c r="Q172" s="1427" t="s">
        <v>392</v>
      </c>
      <c r="AB172" s="543"/>
      <c r="AC172" s="754"/>
      <c r="AF172" s="754"/>
      <c r="AG172" s="754"/>
      <c r="AH172" s="754"/>
      <c r="AI172" s="754"/>
    </row>
    <row r="173" spans="1:35">
      <c r="A173" s="1469" t="s">
        <v>1966</v>
      </c>
      <c r="B173" s="1470"/>
      <c r="C173" s="1471"/>
      <c r="D173" s="1467">
        <v>11238792</v>
      </c>
      <c r="E173" s="1383" t="s">
        <v>392</v>
      </c>
      <c r="F173" s="1467">
        <v>1056007</v>
      </c>
      <c r="G173" s="1383" t="s">
        <v>392</v>
      </c>
      <c r="H173" s="1467">
        <v>519862</v>
      </c>
      <c r="I173" s="1383" t="s">
        <v>392</v>
      </c>
      <c r="J173" s="1467">
        <v>644764</v>
      </c>
      <c r="K173" s="1383" t="s">
        <v>392</v>
      </c>
      <c r="L173" s="1467">
        <v>1388202</v>
      </c>
      <c r="M173" s="1383" t="s">
        <v>392</v>
      </c>
      <c r="N173" s="1467">
        <v>619862</v>
      </c>
      <c r="O173" s="1383" t="s">
        <v>392</v>
      </c>
      <c r="P173" s="1467">
        <v>3252666</v>
      </c>
      <c r="Q173" s="1427" t="s">
        <v>392</v>
      </c>
      <c r="AB173" s="543"/>
      <c r="AC173" s="754"/>
      <c r="AF173" s="754"/>
      <c r="AG173" s="754"/>
      <c r="AH173" s="754"/>
      <c r="AI173" s="754"/>
    </row>
    <row r="174" spans="1:35">
      <c r="A174" s="1472"/>
      <c r="B174" s="1473"/>
      <c r="C174" s="1148"/>
      <c r="D174" s="1474"/>
      <c r="E174" s="1474"/>
      <c r="F174" s="1475"/>
      <c r="G174" s="1475"/>
      <c r="H174" s="1475"/>
      <c r="I174" s="1475"/>
      <c r="J174" s="1475"/>
      <c r="K174" s="1475"/>
      <c r="L174" s="1475"/>
      <c r="M174" s="1475"/>
      <c r="N174" s="1475"/>
      <c r="O174" s="1475"/>
      <c r="P174" s="1475"/>
      <c r="Q174" s="754"/>
      <c r="R174" s="754"/>
      <c r="S174" s="754"/>
      <c r="V174" s="754"/>
      <c r="W174" s="754"/>
      <c r="X174" s="754"/>
      <c r="Y174" s="754"/>
    </row>
    <row r="175" spans="1:35">
      <c r="A175" s="1476"/>
      <c r="B175" s="1465"/>
      <c r="C175" s="1466"/>
      <c r="D175" s="1394"/>
      <c r="E175" s="1394"/>
      <c r="F175" s="1466"/>
      <c r="G175" s="1466"/>
      <c r="H175" s="1466"/>
      <c r="I175" s="1466"/>
      <c r="J175" s="1387"/>
      <c r="K175" s="1387"/>
      <c r="L175" s="1387"/>
      <c r="M175" s="1387"/>
      <c r="N175" s="1387"/>
      <c r="O175" s="1387"/>
      <c r="P175" s="1387"/>
      <c r="Q175" s="878"/>
      <c r="R175" s="754"/>
      <c r="S175" s="754"/>
      <c r="V175" s="754"/>
      <c r="W175" s="754"/>
      <c r="X175" s="754"/>
      <c r="Y175" s="754"/>
    </row>
    <row r="176" spans="1:35">
      <c r="A176" s="1391"/>
      <c r="B176" s="1477"/>
      <c r="C176" s="1478"/>
      <c r="D176" s="1479"/>
      <c r="E176" s="1479"/>
      <c r="F176" s="1480"/>
      <c r="G176" s="1480"/>
      <c r="H176" s="1480"/>
      <c r="I176" s="1480"/>
      <c r="J176" s="1480"/>
      <c r="K176" s="1480"/>
      <c r="L176" s="1480"/>
      <c r="M176" s="1480"/>
      <c r="N176" s="1480"/>
      <c r="O176" s="1361"/>
      <c r="P176" s="543"/>
      <c r="Q176" s="754"/>
      <c r="R176" s="754"/>
      <c r="S176" s="754"/>
      <c r="V176" s="754"/>
      <c r="W176" s="754"/>
      <c r="X176" s="754"/>
      <c r="Y176" s="754"/>
    </row>
    <row r="177" spans="1:25">
      <c r="A177" s="1394" t="s">
        <v>1967</v>
      </c>
      <c r="B177" s="1465"/>
      <c r="C177" s="1466"/>
      <c r="D177" s="1480" t="s">
        <v>1968</v>
      </c>
      <c r="E177" s="1481"/>
      <c r="F177" s="1481"/>
      <c r="G177" s="1482"/>
      <c r="H177" s="1365"/>
      <c r="I177" s="1365"/>
      <c r="J177" s="1365"/>
      <c r="K177" s="1480"/>
      <c r="L177" s="1480"/>
      <c r="M177" s="1480"/>
      <c r="N177" s="1449"/>
      <c r="O177" s="1361"/>
      <c r="P177" s="543"/>
      <c r="Q177" s="754"/>
      <c r="R177" s="754"/>
      <c r="S177" s="754"/>
      <c r="V177" s="754"/>
      <c r="W177" s="754"/>
      <c r="X177" s="754"/>
      <c r="Y177" s="754"/>
    </row>
    <row r="178" spans="1:25">
      <c r="A178" s="1452" t="s">
        <v>1929</v>
      </c>
      <c r="B178" s="1452"/>
      <c r="C178" s="1453"/>
      <c r="D178" s="1355" t="s">
        <v>1969</v>
      </c>
      <c r="E178" s="1355"/>
      <c r="F178" s="1355" t="s">
        <v>1970</v>
      </c>
      <c r="G178" s="1355"/>
      <c r="H178" s="1355" t="s">
        <v>1971</v>
      </c>
      <c r="I178" s="1355"/>
      <c r="J178" s="1355" t="s">
        <v>1972</v>
      </c>
      <c r="K178" s="1355"/>
      <c r="L178" s="1355" t="s">
        <v>1973</v>
      </c>
      <c r="M178" s="1355"/>
      <c r="N178" s="1356" t="s">
        <v>1974</v>
      </c>
      <c r="O178" s="1483"/>
      <c r="P178" s="543"/>
      <c r="Q178" s="754"/>
      <c r="R178" s="754"/>
      <c r="S178" s="754"/>
      <c r="V178" s="754"/>
      <c r="W178" s="754"/>
      <c r="X178" s="754"/>
      <c r="Y178" s="754"/>
    </row>
    <row r="179" spans="1:25">
      <c r="A179" s="1457"/>
      <c r="B179" s="1452"/>
      <c r="C179" s="1453"/>
      <c r="D179" s="1355" t="s">
        <v>1975</v>
      </c>
      <c r="E179" s="1355"/>
      <c r="F179" s="1355" t="s">
        <v>1976</v>
      </c>
      <c r="G179" s="1355"/>
      <c r="H179" s="1355" t="s">
        <v>1977</v>
      </c>
      <c r="I179" s="1355"/>
      <c r="J179" s="1355" t="s">
        <v>1978</v>
      </c>
      <c r="K179" s="1355"/>
      <c r="L179" s="1355" t="s">
        <v>1979</v>
      </c>
      <c r="M179" s="1355"/>
      <c r="N179" s="1356" t="s">
        <v>1980</v>
      </c>
      <c r="O179" s="1483"/>
      <c r="P179" s="754"/>
      <c r="Q179" s="754"/>
      <c r="R179" s="754"/>
      <c r="S179" s="754"/>
      <c r="V179" s="754"/>
      <c r="W179" s="754"/>
      <c r="X179" s="754"/>
      <c r="Y179" s="754"/>
    </row>
    <row r="180" spans="1:25">
      <c r="A180" s="1457"/>
      <c r="B180" s="1452"/>
      <c r="C180" s="1453"/>
      <c r="D180" s="1355" t="s">
        <v>1981</v>
      </c>
      <c r="E180" s="1355"/>
      <c r="F180" s="1355" t="s">
        <v>1982</v>
      </c>
      <c r="G180" s="1355"/>
      <c r="H180" s="1355" t="s">
        <v>1152</v>
      </c>
      <c r="I180" s="1355"/>
      <c r="J180" s="1355" t="s">
        <v>1983</v>
      </c>
      <c r="K180" s="1355"/>
      <c r="L180" s="1355" t="s">
        <v>1984</v>
      </c>
      <c r="M180" s="1355"/>
      <c r="N180" s="1356" t="s">
        <v>1985</v>
      </c>
      <c r="O180" s="1483"/>
      <c r="P180" s="754"/>
      <c r="Q180" s="754"/>
      <c r="R180" s="754"/>
      <c r="S180" s="754"/>
      <c r="V180" s="754"/>
      <c r="W180" s="754"/>
      <c r="X180" s="754"/>
      <c r="Y180" s="754"/>
    </row>
    <row r="181" spans="1:25">
      <c r="A181" s="1452"/>
      <c r="B181" s="1452"/>
      <c r="C181" s="1453"/>
      <c r="D181" s="1355" t="s">
        <v>1982</v>
      </c>
      <c r="E181" s="1355"/>
      <c r="F181" s="1355"/>
      <c r="G181" s="1355"/>
      <c r="H181" s="1355"/>
      <c r="I181" s="1355"/>
      <c r="J181" s="1355" t="s">
        <v>1986</v>
      </c>
      <c r="K181" s="1355"/>
      <c r="L181" s="1355" t="s">
        <v>1987</v>
      </c>
      <c r="M181" s="1355"/>
      <c r="N181" s="1356" t="s">
        <v>1950</v>
      </c>
      <c r="O181" s="1483"/>
      <c r="P181" s="754"/>
      <c r="Q181" s="754"/>
      <c r="R181" s="754"/>
      <c r="S181" s="754"/>
      <c r="V181" s="754"/>
      <c r="W181" s="754"/>
      <c r="X181" s="754"/>
      <c r="Y181" s="754"/>
    </row>
    <row r="182" spans="1:25">
      <c r="A182" s="1452"/>
      <c r="B182" s="1452"/>
      <c r="C182" s="1453"/>
      <c r="D182" s="1356"/>
      <c r="E182" s="1356"/>
      <c r="F182" s="1356"/>
      <c r="G182" s="1356"/>
      <c r="H182" s="1356"/>
      <c r="I182" s="1356"/>
      <c r="J182" s="1356" t="s">
        <v>1988</v>
      </c>
      <c r="K182" s="1356"/>
      <c r="L182" s="1356"/>
      <c r="M182" s="1356"/>
      <c r="N182" s="1356" t="s">
        <v>1989</v>
      </c>
      <c r="O182" s="1483"/>
      <c r="P182" s="754"/>
      <c r="Q182" s="754"/>
      <c r="R182" s="754"/>
      <c r="S182" s="754"/>
      <c r="V182" s="754"/>
      <c r="W182" s="754"/>
      <c r="X182" s="754"/>
      <c r="Y182" s="754"/>
    </row>
    <row r="183" spans="1:25">
      <c r="A183" s="1460"/>
      <c r="B183" s="1460"/>
      <c r="C183" s="1461"/>
      <c r="D183" s="1484"/>
      <c r="E183" s="1484"/>
      <c r="F183" s="1485"/>
      <c r="G183" s="1485"/>
      <c r="H183" s="1485"/>
      <c r="I183" s="1485"/>
      <c r="J183" s="1485"/>
      <c r="K183" s="1485"/>
      <c r="L183" s="1485"/>
      <c r="M183" s="1485"/>
      <c r="N183" s="1485"/>
      <c r="O183" s="1486"/>
      <c r="P183" s="754"/>
      <c r="Q183" s="754"/>
      <c r="R183" s="754"/>
      <c r="S183" s="754"/>
      <c r="V183" s="754"/>
      <c r="W183" s="754"/>
      <c r="X183" s="754"/>
      <c r="Y183" s="754"/>
    </row>
    <row r="184" spans="1:25">
      <c r="A184" s="1139" t="s">
        <v>1953</v>
      </c>
      <c r="B184" s="1465"/>
      <c r="C184" s="1466"/>
      <c r="D184" s="1468" t="s">
        <v>1350</v>
      </c>
      <c r="E184" s="1427" t="s">
        <v>392</v>
      </c>
      <c r="F184" s="1468">
        <v>160684</v>
      </c>
      <c r="G184" s="1427"/>
      <c r="H184" s="1468">
        <v>5342</v>
      </c>
      <c r="I184" s="1427"/>
      <c r="J184" s="1468">
        <v>93730</v>
      </c>
      <c r="K184" s="1427"/>
      <c r="L184" s="1468">
        <v>10554</v>
      </c>
      <c r="M184" s="1427"/>
      <c r="N184" s="1468" t="s">
        <v>1350</v>
      </c>
      <c r="O184" s="1427" t="s">
        <v>392</v>
      </c>
      <c r="P184" s="754"/>
      <c r="Q184" s="754"/>
      <c r="R184" s="754"/>
      <c r="S184" s="754"/>
      <c r="V184" s="754"/>
      <c r="W184" s="754"/>
      <c r="X184" s="754"/>
      <c r="Y184" s="754"/>
    </row>
    <row r="185" spans="1:25">
      <c r="A185" s="1139" t="s">
        <v>1954</v>
      </c>
      <c r="B185" s="1465"/>
      <c r="C185" s="1466"/>
      <c r="D185" s="1468" t="s">
        <v>1350</v>
      </c>
      <c r="E185" s="1427" t="s">
        <v>392</v>
      </c>
      <c r="F185" s="1468">
        <v>10407</v>
      </c>
      <c r="G185" s="1427"/>
      <c r="H185" s="1468" t="s">
        <v>1350</v>
      </c>
      <c r="I185" s="1427" t="s">
        <v>392</v>
      </c>
      <c r="J185" s="1468">
        <v>2371</v>
      </c>
      <c r="K185" s="1427"/>
      <c r="L185" s="1468" t="s">
        <v>1350</v>
      </c>
      <c r="M185" s="1427" t="s">
        <v>392</v>
      </c>
      <c r="N185" s="1468" t="s">
        <v>1350</v>
      </c>
      <c r="O185" s="1427" t="s">
        <v>392</v>
      </c>
      <c r="P185" s="1495"/>
      <c r="Q185" s="754"/>
      <c r="R185" s="754"/>
      <c r="S185" s="754"/>
      <c r="V185" s="754"/>
      <c r="W185" s="754"/>
      <c r="X185" s="754"/>
      <c r="Y185" s="754"/>
    </row>
    <row r="186" spans="1:25">
      <c r="A186" s="1139" t="s">
        <v>1955</v>
      </c>
      <c r="B186" s="1465"/>
      <c r="C186" s="1466"/>
      <c r="D186" s="1468">
        <v>3291</v>
      </c>
      <c r="E186" s="1427"/>
      <c r="F186" s="1468" t="s">
        <v>1350</v>
      </c>
      <c r="G186" s="1427" t="s">
        <v>392</v>
      </c>
      <c r="H186" s="1468">
        <v>4706</v>
      </c>
      <c r="I186" s="1427"/>
      <c r="J186" s="1468">
        <v>10958</v>
      </c>
      <c r="K186" s="1427"/>
      <c r="L186" s="1468" t="s">
        <v>1350</v>
      </c>
      <c r="M186" s="1427" t="s">
        <v>392</v>
      </c>
      <c r="N186" s="1468" t="s">
        <v>1350</v>
      </c>
      <c r="O186" s="1427" t="s">
        <v>392</v>
      </c>
      <c r="P186" s="754"/>
      <c r="Q186" s="754"/>
      <c r="R186" s="754"/>
      <c r="S186" s="754"/>
      <c r="V186" s="754"/>
      <c r="W186" s="754"/>
      <c r="X186" s="754"/>
      <c r="Y186" s="754"/>
    </row>
    <row r="187" spans="1:25">
      <c r="A187" s="1139" t="s">
        <v>1956</v>
      </c>
      <c r="B187" s="1465"/>
      <c r="C187" s="1466"/>
      <c r="D187" s="1468">
        <v>4874</v>
      </c>
      <c r="E187" s="1427"/>
      <c r="F187" s="1468">
        <v>48775</v>
      </c>
      <c r="G187" s="1427"/>
      <c r="H187" s="1468">
        <v>26638</v>
      </c>
      <c r="I187" s="1427"/>
      <c r="J187" s="1468">
        <v>36051</v>
      </c>
      <c r="K187" s="1427"/>
      <c r="L187" s="1468">
        <v>7178</v>
      </c>
      <c r="M187" s="1427"/>
      <c r="N187" s="1468" t="s">
        <v>1350</v>
      </c>
      <c r="O187" s="1427" t="s">
        <v>392</v>
      </c>
      <c r="P187" s="754"/>
      <c r="Q187" s="754"/>
      <c r="R187" s="754"/>
      <c r="S187" s="754"/>
      <c r="V187" s="754"/>
      <c r="W187" s="754"/>
      <c r="X187" s="754"/>
      <c r="Y187" s="754"/>
    </row>
    <row r="188" spans="1:25">
      <c r="A188" s="1139" t="s">
        <v>1957</v>
      </c>
      <c r="B188" s="1465"/>
      <c r="C188" s="1466"/>
      <c r="D188" s="1468">
        <v>2999</v>
      </c>
      <c r="E188" s="1427"/>
      <c r="F188" s="1468">
        <v>5349</v>
      </c>
      <c r="G188" s="1427"/>
      <c r="H188" s="1468">
        <v>4761</v>
      </c>
      <c r="I188" s="1427"/>
      <c r="J188" s="1468" t="s">
        <v>1350</v>
      </c>
      <c r="K188" s="1427" t="s">
        <v>392</v>
      </c>
      <c r="L188" s="1468" t="s">
        <v>1350</v>
      </c>
      <c r="M188" s="1427" t="s">
        <v>392</v>
      </c>
      <c r="N188" s="1468" t="s">
        <v>1350</v>
      </c>
      <c r="O188" s="1427" t="s">
        <v>392</v>
      </c>
      <c r="P188" s="754"/>
      <c r="Q188" s="754"/>
      <c r="R188" s="754"/>
      <c r="S188" s="754"/>
      <c r="V188" s="754"/>
      <c r="W188" s="754"/>
      <c r="X188" s="754"/>
      <c r="Y188" s="754"/>
    </row>
    <row r="189" spans="1:25">
      <c r="A189" s="1139" t="s">
        <v>1958</v>
      </c>
      <c r="B189" s="1465"/>
      <c r="C189" s="1466"/>
      <c r="D189" s="1468">
        <v>41565</v>
      </c>
      <c r="E189" s="1427"/>
      <c r="F189" s="1468">
        <v>333801</v>
      </c>
      <c r="G189" s="1427" t="s">
        <v>392</v>
      </c>
      <c r="H189" s="1468">
        <v>63304</v>
      </c>
      <c r="I189" s="1427"/>
      <c r="J189" s="1468">
        <v>61860</v>
      </c>
      <c r="K189" s="1427"/>
      <c r="L189" s="1468">
        <v>38755</v>
      </c>
      <c r="M189" s="1427"/>
      <c r="N189" s="1468" t="s">
        <v>1350</v>
      </c>
      <c r="O189" s="1427" t="s">
        <v>392</v>
      </c>
      <c r="P189" s="754"/>
      <c r="Q189" s="754"/>
      <c r="R189" s="754"/>
      <c r="S189" s="754"/>
      <c r="V189" s="754"/>
      <c r="W189" s="754"/>
      <c r="X189" s="754"/>
      <c r="Y189" s="754"/>
    </row>
    <row r="190" spans="1:25">
      <c r="A190" s="1139" t="s">
        <v>1959</v>
      </c>
      <c r="B190" s="1465"/>
      <c r="C190" s="1466"/>
      <c r="D190" s="1468">
        <v>36875</v>
      </c>
      <c r="E190" s="1427"/>
      <c r="F190" s="1468">
        <v>15743</v>
      </c>
      <c r="G190" s="1427"/>
      <c r="H190" s="1468">
        <v>9727</v>
      </c>
      <c r="I190" s="1427"/>
      <c r="J190" s="1468">
        <v>63410</v>
      </c>
      <c r="K190" s="1427"/>
      <c r="L190" s="1468">
        <v>3002</v>
      </c>
      <c r="M190" s="1427"/>
      <c r="N190" s="1468">
        <v>5354</v>
      </c>
      <c r="O190" s="1427"/>
      <c r="P190" s="754"/>
      <c r="Q190" s="754"/>
      <c r="R190" s="754"/>
      <c r="S190" s="754"/>
      <c r="V190" s="754"/>
      <c r="W190" s="754"/>
      <c r="X190" s="754"/>
      <c r="Y190" s="754"/>
    </row>
    <row r="191" spans="1:25">
      <c r="A191" s="1139" t="s">
        <v>1960</v>
      </c>
      <c r="B191" s="1465"/>
      <c r="C191" s="1466"/>
      <c r="D191" s="1468">
        <v>21745</v>
      </c>
      <c r="E191" s="1427"/>
      <c r="F191" s="1468">
        <v>17646</v>
      </c>
      <c r="G191" s="1427"/>
      <c r="H191" s="1468">
        <v>22455</v>
      </c>
      <c r="I191" s="1427"/>
      <c r="J191" s="1468">
        <v>19916</v>
      </c>
      <c r="K191" s="1427"/>
      <c r="L191" s="1468">
        <v>48704</v>
      </c>
      <c r="M191" s="1427"/>
      <c r="N191" s="1468">
        <v>5487</v>
      </c>
      <c r="O191" s="1427"/>
      <c r="P191" s="754"/>
      <c r="Q191" s="754"/>
      <c r="R191" s="754"/>
      <c r="S191" s="754"/>
      <c r="V191" s="754"/>
      <c r="W191" s="754"/>
      <c r="X191" s="754"/>
      <c r="Y191" s="754"/>
    </row>
    <row r="192" spans="1:25">
      <c r="A192" s="1139" t="s">
        <v>1961</v>
      </c>
      <c r="B192" s="1465"/>
      <c r="C192" s="1466"/>
      <c r="D192" s="1468">
        <v>702</v>
      </c>
      <c r="E192" s="1427"/>
      <c r="F192" s="1468">
        <v>69972</v>
      </c>
      <c r="G192" s="1427"/>
      <c r="H192" s="1468">
        <v>2071</v>
      </c>
      <c r="I192" s="1427"/>
      <c r="J192" s="1468">
        <v>10872</v>
      </c>
      <c r="K192" s="1427"/>
      <c r="L192" s="1468">
        <v>3908</v>
      </c>
      <c r="M192" s="1427"/>
      <c r="N192" s="1468">
        <v>1803</v>
      </c>
      <c r="O192" s="1427"/>
      <c r="P192" s="754"/>
      <c r="Q192" s="754"/>
      <c r="R192" s="754"/>
      <c r="S192" s="754"/>
      <c r="V192" s="754"/>
      <c r="W192" s="754"/>
      <c r="X192" s="754"/>
      <c r="Y192" s="754"/>
    </row>
    <row r="193" spans="1:33">
      <c r="A193" s="1139" t="s">
        <v>1184</v>
      </c>
      <c r="B193" s="1465"/>
      <c r="C193" s="1466"/>
      <c r="D193" s="1468">
        <v>142196</v>
      </c>
      <c r="E193" s="1427"/>
      <c r="F193" s="1468">
        <v>261268</v>
      </c>
      <c r="G193" s="1427"/>
      <c r="H193" s="1468">
        <v>63485</v>
      </c>
      <c r="I193" s="1427"/>
      <c r="J193" s="1468" t="s">
        <v>1350</v>
      </c>
      <c r="K193" s="1427" t="s">
        <v>392</v>
      </c>
      <c r="L193" s="1468">
        <v>443555</v>
      </c>
      <c r="M193" s="1427" t="s">
        <v>392</v>
      </c>
      <c r="N193" s="1468">
        <v>28546</v>
      </c>
      <c r="O193" s="1427"/>
      <c r="P193" s="754"/>
      <c r="Q193" s="754"/>
      <c r="R193" s="754"/>
      <c r="S193" s="754"/>
      <c r="V193" s="754"/>
      <c r="W193" s="754"/>
      <c r="X193" s="754"/>
      <c r="Y193" s="754"/>
    </row>
    <row r="194" spans="1:33">
      <c r="A194" s="1139" t="s">
        <v>1962</v>
      </c>
      <c r="B194" s="1465"/>
      <c r="C194" s="1466"/>
      <c r="D194" s="1468">
        <v>93192</v>
      </c>
      <c r="E194" s="1427"/>
      <c r="F194" s="1468">
        <v>128478</v>
      </c>
      <c r="G194" s="1427"/>
      <c r="H194" s="1468">
        <v>223407</v>
      </c>
      <c r="I194" s="1427"/>
      <c r="J194" s="1468">
        <v>638279</v>
      </c>
      <c r="K194" s="1427"/>
      <c r="L194" s="1468">
        <v>17132</v>
      </c>
      <c r="M194" s="1427"/>
      <c r="N194" s="1468">
        <v>3973</v>
      </c>
      <c r="O194" s="1427"/>
      <c r="P194" s="754"/>
      <c r="Q194" s="754"/>
      <c r="R194" s="754"/>
      <c r="S194" s="754"/>
      <c r="V194" s="754"/>
      <c r="W194" s="754"/>
      <c r="X194" s="754"/>
      <c r="Y194" s="754"/>
    </row>
    <row r="195" spans="1:33">
      <c r="A195" s="1139" t="s">
        <v>1963</v>
      </c>
      <c r="B195" s="1465"/>
      <c r="C195" s="1466"/>
      <c r="D195" s="1468">
        <v>7648</v>
      </c>
      <c r="E195" s="1427"/>
      <c r="F195" s="1468">
        <v>6028</v>
      </c>
      <c r="G195" s="1427"/>
      <c r="H195" s="1468">
        <v>3606</v>
      </c>
      <c r="I195" s="1427"/>
      <c r="J195" s="1468" t="s">
        <v>1350</v>
      </c>
      <c r="K195" s="1427" t="s">
        <v>392</v>
      </c>
      <c r="L195" s="1468">
        <v>4889</v>
      </c>
      <c r="M195" s="1427"/>
      <c r="N195" s="1468">
        <v>3654</v>
      </c>
      <c r="O195" s="1427"/>
      <c r="P195" s="754"/>
      <c r="Q195" s="754"/>
      <c r="R195" s="754"/>
      <c r="S195" s="754"/>
      <c r="V195" s="754"/>
      <c r="W195" s="754"/>
      <c r="X195" s="754"/>
      <c r="Y195" s="754"/>
    </row>
    <row r="196" spans="1:33">
      <c r="A196" s="1139" t="s">
        <v>1964</v>
      </c>
      <c r="B196" s="1465"/>
      <c r="C196" s="1466"/>
      <c r="D196" s="1468" t="s">
        <v>1350</v>
      </c>
      <c r="E196" s="1427" t="s">
        <v>392</v>
      </c>
      <c r="F196" s="1468">
        <v>28367</v>
      </c>
      <c r="G196" s="1427"/>
      <c r="H196" s="1468">
        <v>1666</v>
      </c>
      <c r="I196" s="1427"/>
      <c r="J196" s="1468">
        <v>1500</v>
      </c>
      <c r="K196" s="1427"/>
      <c r="L196" s="1468">
        <v>5966</v>
      </c>
      <c r="M196" s="1427"/>
      <c r="N196" s="1468" t="s">
        <v>1350</v>
      </c>
      <c r="O196" s="1427" t="s">
        <v>392</v>
      </c>
      <c r="P196" s="754"/>
      <c r="Q196" s="754"/>
      <c r="R196" s="754"/>
      <c r="S196" s="754"/>
      <c r="V196" s="754"/>
      <c r="W196" s="754"/>
      <c r="X196" s="754"/>
      <c r="Y196" s="754"/>
    </row>
    <row r="197" spans="1:33">
      <c r="A197" s="1469" t="s">
        <v>1965</v>
      </c>
      <c r="B197" s="1470"/>
      <c r="C197" s="1471"/>
      <c r="D197" s="1467">
        <v>355087</v>
      </c>
      <c r="E197" s="1383" t="s">
        <v>392</v>
      </c>
      <c r="F197" s="1467">
        <v>1086518</v>
      </c>
      <c r="G197" s="1383" t="s">
        <v>392</v>
      </c>
      <c r="H197" s="1467">
        <v>431168</v>
      </c>
      <c r="I197" s="1383" t="s">
        <v>392</v>
      </c>
      <c r="J197" s="1467">
        <v>938947</v>
      </c>
      <c r="K197" s="1383" t="s">
        <v>392</v>
      </c>
      <c r="L197" s="1467">
        <v>583643</v>
      </c>
      <c r="M197" s="1383" t="s">
        <v>392</v>
      </c>
      <c r="N197" s="1467">
        <v>48817</v>
      </c>
      <c r="O197" s="1427" t="s">
        <v>392</v>
      </c>
      <c r="P197" s="754"/>
      <c r="Q197" s="754"/>
      <c r="R197" s="754"/>
      <c r="S197" s="754"/>
      <c r="V197" s="754"/>
      <c r="W197" s="754"/>
      <c r="X197" s="754"/>
      <c r="Y197" s="754"/>
    </row>
    <row r="198" spans="1:33">
      <c r="A198" s="1487" t="s">
        <v>1966</v>
      </c>
      <c r="B198" s="1488"/>
      <c r="C198" s="1479"/>
      <c r="D198" s="1489">
        <v>444782</v>
      </c>
      <c r="E198" s="1490" t="s">
        <v>392</v>
      </c>
      <c r="F198" s="1489">
        <v>1095172</v>
      </c>
      <c r="G198" s="1490" t="s">
        <v>392</v>
      </c>
      <c r="H198" s="1489">
        <v>500729</v>
      </c>
      <c r="I198" s="1490" t="s">
        <v>392</v>
      </c>
      <c r="J198" s="1489">
        <v>1012244</v>
      </c>
      <c r="K198" s="1490" t="s">
        <v>392</v>
      </c>
      <c r="L198" s="1489">
        <v>650920</v>
      </c>
      <c r="M198" s="1490" t="s">
        <v>392</v>
      </c>
      <c r="N198" s="1489">
        <v>53582</v>
      </c>
      <c r="O198" s="1427" t="s">
        <v>392</v>
      </c>
      <c r="P198" s="754"/>
      <c r="Q198" s="754"/>
      <c r="R198" s="754"/>
      <c r="S198" s="754"/>
      <c r="V198" s="754"/>
      <c r="W198" s="754"/>
      <c r="X198" s="754"/>
      <c r="Y198" s="754"/>
    </row>
    <row r="199" spans="1:33">
      <c r="A199" s="1425"/>
      <c r="B199" s="1491"/>
      <c r="C199" s="1149"/>
      <c r="D199" s="1464"/>
      <c r="E199" s="1464"/>
      <c r="F199" s="1374"/>
      <c r="G199" s="1374"/>
      <c r="H199" s="1374"/>
      <c r="I199" s="1374"/>
      <c r="J199" s="1374"/>
      <c r="K199" s="1374"/>
      <c r="L199" s="1374"/>
      <c r="M199" s="1374"/>
      <c r="N199" s="1374"/>
      <c r="O199" s="1371"/>
      <c r="P199" s="754"/>
      <c r="Q199" s="754"/>
      <c r="R199" s="754"/>
      <c r="S199" s="754"/>
      <c r="V199" s="754"/>
      <c r="W199" s="754"/>
      <c r="X199" s="754"/>
      <c r="Y199" s="754"/>
    </row>
    <row r="200" spans="1:33">
      <c r="A200" s="1425"/>
      <c r="B200" s="1491"/>
      <c r="C200" s="1149"/>
      <c r="D200" s="1464"/>
      <c r="E200" s="1464"/>
      <c r="F200" s="1374"/>
      <c r="G200" s="1374"/>
      <c r="H200" s="1374"/>
      <c r="I200" s="1374"/>
      <c r="J200" s="1374"/>
      <c r="K200" s="1374"/>
      <c r="L200" s="1374"/>
      <c r="M200" s="1374"/>
      <c r="N200" s="1374"/>
      <c r="O200" s="1374"/>
      <c r="P200" s="754"/>
      <c r="Q200" s="754"/>
      <c r="R200" s="754"/>
      <c r="S200" s="754"/>
      <c r="V200" s="754"/>
      <c r="W200" s="754"/>
      <c r="X200" s="754"/>
      <c r="Y200" s="754"/>
    </row>
    <row r="201" spans="1:33">
      <c r="A201" s="1425"/>
      <c r="B201" s="1491"/>
      <c r="C201" s="1149"/>
      <c r="D201" s="1464"/>
      <c r="E201" s="1464"/>
      <c r="F201" s="1374"/>
      <c r="G201" s="1374"/>
      <c r="H201" s="1374"/>
      <c r="I201" s="1374"/>
      <c r="J201" s="1374"/>
      <c r="K201" s="1374"/>
      <c r="L201" s="1374"/>
      <c r="M201" s="1374"/>
      <c r="N201" s="1374"/>
      <c r="O201" s="1374"/>
      <c r="P201" s="1374"/>
      <c r="Q201" s="754"/>
      <c r="R201" s="754"/>
      <c r="S201" s="754"/>
      <c r="V201" s="754"/>
      <c r="W201" s="754"/>
      <c r="X201" s="754"/>
      <c r="Y201" s="754"/>
    </row>
    <row r="202" spans="1:33">
      <c r="A202" s="754"/>
      <c r="B202" s="754"/>
      <c r="C202" s="754"/>
      <c r="D202" s="754"/>
      <c r="E202" s="754"/>
      <c r="F202" s="754"/>
      <c r="G202" s="754"/>
      <c r="H202" s="754"/>
      <c r="I202" s="754"/>
      <c r="J202" s="754"/>
      <c r="K202" s="754"/>
      <c r="L202" s="754"/>
      <c r="M202" s="754"/>
      <c r="N202" s="754"/>
      <c r="O202" s="754"/>
      <c r="P202" s="754"/>
      <c r="Q202" s="754"/>
      <c r="V202" s="754"/>
      <c r="W202" s="754"/>
      <c r="X202" s="754"/>
      <c r="Y202" s="754"/>
    </row>
    <row r="204" spans="1:33">
      <c r="A204" s="1384" t="s">
        <v>1990</v>
      </c>
      <c r="B204" s="1386"/>
      <c r="C204" s="1386"/>
      <c r="D204" s="1428"/>
      <c r="E204" s="1337"/>
      <c r="F204" s="1427"/>
      <c r="G204" s="1387"/>
      <c r="H204" s="1427"/>
      <c r="I204" s="1387"/>
      <c r="J204" s="1427"/>
      <c r="K204" s="1387"/>
      <c r="L204" s="1427"/>
      <c r="M204" s="1387"/>
      <c r="N204" s="1427"/>
      <c r="O204" s="1387"/>
      <c r="P204" s="1427"/>
      <c r="Q204" s="1387"/>
      <c r="R204" s="1427"/>
      <c r="S204" s="1384" t="s">
        <v>1991</v>
      </c>
      <c r="T204" s="1386"/>
      <c r="U204" s="1386"/>
      <c r="V204" s="1428"/>
      <c r="W204" s="1387"/>
      <c r="X204" s="1427"/>
      <c r="Y204" s="1387"/>
      <c r="Z204" s="1427"/>
      <c r="AA204" s="1387"/>
      <c r="AB204" s="1427"/>
      <c r="AC204" s="1387"/>
      <c r="AD204" s="1427"/>
      <c r="AE204" s="1387"/>
      <c r="AF204" s="1427"/>
      <c r="AG204" s="1387"/>
    </row>
    <row r="205" spans="1:33">
      <c r="A205" s="3062" t="s">
        <v>1992</v>
      </c>
      <c r="B205" s="3063"/>
      <c r="C205" s="3063"/>
      <c r="D205" s="3063"/>
      <c r="E205" s="3063"/>
      <c r="F205" s="3063"/>
      <c r="G205" s="3063"/>
      <c r="H205" s="3063"/>
      <c r="I205" s="3063"/>
      <c r="J205" s="3063"/>
      <c r="K205" s="3063"/>
      <c r="L205" s="3063"/>
      <c r="M205" s="3063"/>
      <c r="N205" s="3063"/>
      <c r="O205" s="3063"/>
      <c r="P205" s="3063"/>
      <c r="Q205" s="3063"/>
      <c r="R205" s="1427"/>
      <c r="S205" s="1496"/>
      <c r="T205" s="1497"/>
      <c r="U205" s="1497"/>
      <c r="V205" s="1498"/>
      <c r="W205" s="1499"/>
      <c r="X205" s="1427"/>
      <c r="Y205" s="1499"/>
      <c r="Z205" s="1427"/>
      <c r="AA205" s="1499"/>
      <c r="AB205" s="1427"/>
      <c r="AC205" s="1499"/>
      <c r="AD205" s="1427"/>
      <c r="AE205" s="1499"/>
      <c r="AF205" s="1427"/>
      <c r="AG205" s="1499"/>
    </row>
    <row r="206" spans="1:33">
      <c r="A206" s="3064" t="s">
        <v>1993</v>
      </c>
      <c r="B206" s="3065"/>
      <c r="C206" s="3065"/>
      <c r="D206" s="3065"/>
      <c r="E206" s="3065"/>
      <c r="F206" s="3065"/>
      <c r="G206" s="3065"/>
      <c r="H206" s="3065"/>
      <c r="I206" s="3065"/>
      <c r="J206" s="3065"/>
      <c r="K206" s="3065"/>
      <c r="L206" s="3065"/>
      <c r="M206" s="3065"/>
      <c r="N206" s="3065"/>
      <c r="O206" s="3065"/>
      <c r="P206" s="3065"/>
      <c r="Q206" s="3065"/>
      <c r="R206" s="1427"/>
      <c r="S206" s="1500"/>
      <c r="T206" s="1499"/>
      <c r="U206" s="1499"/>
      <c r="V206" s="1501"/>
      <c r="W206" s="1499"/>
      <c r="X206" s="1427"/>
      <c r="Y206" s="1499"/>
      <c r="Z206" s="1427"/>
      <c r="AA206" s="1499"/>
      <c r="AB206" s="1427"/>
      <c r="AC206" s="1499"/>
      <c r="AD206" s="1427"/>
      <c r="AE206" s="1499"/>
      <c r="AF206" s="1427"/>
      <c r="AG206" s="1499"/>
    </row>
    <row r="207" spans="1:33">
      <c r="A207" s="1429" t="s">
        <v>1994</v>
      </c>
      <c r="B207" s="1363"/>
      <c r="C207" s="1363"/>
      <c r="D207" s="1430"/>
      <c r="E207" s="1481"/>
      <c r="F207" s="1490"/>
      <c r="G207" s="1480"/>
      <c r="H207" s="1490"/>
      <c r="I207" s="1480"/>
      <c r="J207" s="1490"/>
      <c r="K207" s="1480"/>
      <c r="L207" s="1490"/>
      <c r="M207" s="1480"/>
      <c r="N207" s="1490"/>
      <c r="O207" s="1480"/>
      <c r="P207" s="1490"/>
      <c r="Q207" s="1480"/>
      <c r="R207" s="1383"/>
      <c r="S207" s="1429" t="s">
        <v>1994</v>
      </c>
      <c r="T207" s="1363"/>
      <c r="U207" s="1363"/>
      <c r="V207" s="1430"/>
      <c r="W207" s="1480"/>
      <c r="X207" s="1490"/>
      <c r="Y207" s="1480"/>
      <c r="Z207" s="1490"/>
      <c r="AA207" s="1480"/>
      <c r="AB207" s="1490"/>
      <c r="AC207" s="1480"/>
      <c r="AD207" s="1490"/>
      <c r="AE207" s="1480"/>
      <c r="AF207" s="1490"/>
      <c r="AG207" s="1361"/>
    </row>
    <row r="208" spans="1:33">
      <c r="A208" s="1502" t="s">
        <v>1995</v>
      </c>
      <c r="B208" s="1502"/>
      <c r="C208" s="1502"/>
      <c r="D208" s="1503"/>
      <c r="E208" s="1454" t="s">
        <v>1315</v>
      </c>
      <c r="F208" s="1504"/>
      <c r="G208" s="1455" t="s">
        <v>1930</v>
      </c>
      <c r="H208" s="1504"/>
      <c r="I208" s="1455" t="s">
        <v>1931</v>
      </c>
      <c r="J208" s="1504"/>
      <c r="K208" s="1455" t="s">
        <v>1932</v>
      </c>
      <c r="L208" s="1504"/>
      <c r="M208" s="1455" t="s">
        <v>1933</v>
      </c>
      <c r="N208" s="1504"/>
      <c r="O208" s="1455" t="s">
        <v>1934</v>
      </c>
      <c r="P208" s="1504"/>
      <c r="Q208" s="1455" t="s">
        <v>1996</v>
      </c>
      <c r="R208" s="1383"/>
      <c r="S208" s="1502" t="s">
        <v>1995</v>
      </c>
      <c r="T208" s="1502"/>
      <c r="U208" s="1502"/>
      <c r="V208" s="1503"/>
      <c r="W208" s="1455" t="s">
        <v>1969</v>
      </c>
      <c r="X208" s="1504"/>
      <c r="Y208" s="1455" t="s">
        <v>1970</v>
      </c>
      <c r="Z208" s="1504"/>
      <c r="AA208" s="1455" t="s">
        <v>1971</v>
      </c>
      <c r="AB208" s="1504"/>
      <c r="AC208" s="1455" t="s">
        <v>1972</v>
      </c>
      <c r="AD208" s="1504"/>
      <c r="AE208" s="1455" t="s">
        <v>1973</v>
      </c>
      <c r="AF208" s="1504"/>
      <c r="AG208" s="1455" t="s">
        <v>1974</v>
      </c>
    </row>
    <row r="209" spans="1:33">
      <c r="A209" s="1353" t="s">
        <v>1997</v>
      </c>
      <c r="B209" s="1351"/>
      <c r="C209" s="1351"/>
      <c r="D209" s="1505"/>
      <c r="E209" s="1506" t="s">
        <v>124</v>
      </c>
      <c r="F209" s="1427"/>
      <c r="G209" s="1355" t="s">
        <v>1937</v>
      </c>
      <c r="H209" s="1427"/>
      <c r="I209" s="1355" t="s">
        <v>1938</v>
      </c>
      <c r="J209" s="1427"/>
      <c r="K209" s="1355" t="s">
        <v>1939</v>
      </c>
      <c r="L209" s="1427"/>
      <c r="M209" s="1355" t="s">
        <v>1940</v>
      </c>
      <c r="N209" s="1427"/>
      <c r="O209" s="1355" t="s">
        <v>1941</v>
      </c>
      <c r="P209" s="1427"/>
      <c r="Q209" s="1355" t="s">
        <v>1942</v>
      </c>
      <c r="R209" s="1383"/>
      <c r="S209" s="1353" t="s">
        <v>1997</v>
      </c>
      <c r="T209" s="1351"/>
      <c r="U209" s="1351"/>
      <c r="V209" s="1505"/>
      <c r="W209" s="1355" t="s">
        <v>1975</v>
      </c>
      <c r="X209" s="1427"/>
      <c r="Y209" s="1355" t="s">
        <v>1976</v>
      </c>
      <c r="Z209" s="1427"/>
      <c r="AA209" s="1355" t="s">
        <v>1977</v>
      </c>
      <c r="AB209" s="1427"/>
      <c r="AC209" s="1355" t="s">
        <v>1978</v>
      </c>
      <c r="AD209" s="1427"/>
      <c r="AE209" s="1355" t="s">
        <v>1979</v>
      </c>
      <c r="AF209" s="1427"/>
      <c r="AG209" s="1356" t="s">
        <v>1980</v>
      </c>
    </row>
    <row r="210" spans="1:33">
      <c r="A210" s="1351"/>
      <c r="B210" s="1351"/>
      <c r="C210" s="1351"/>
      <c r="D210" s="1505"/>
      <c r="E210" s="1507"/>
      <c r="F210" s="1427"/>
      <c r="G210" s="1355" t="s">
        <v>1944</v>
      </c>
      <c r="H210" s="1427"/>
      <c r="I210" s="1355" t="s">
        <v>1945</v>
      </c>
      <c r="J210" s="1427"/>
      <c r="K210" s="1355" t="s">
        <v>1261</v>
      </c>
      <c r="L210" s="1427"/>
      <c r="M210" s="1355" t="s">
        <v>1946</v>
      </c>
      <c r="N210" s="1427"/>
      <c r="O210" s="1355" t="s">
        <v>1947</v>
      </c>
      <c r="P210" s="1427"/>
      <c r="Q210" s="1355" t="s">
        <v>1948</v>
      </c>
      <c r="R210" s="1383"/>
      <c r="S210" s="1351"/>
      <c r="T210" s="1351"/>
      <c r="U210" s="1351"/>
      <c r="V210" s="1505"/>
      <c r="W210" s="1355" t="s">
        <v>1981</v>
      </c>
      <c r="X210" s="1427"/>
      <c r="Y210" s="1355" t="s">
        <v>1982</v>
      </c>
      <c r="Z210" s="1427"/>
      <c r="AA210" s="1355" t="s">
        <v>1152</v>
      </c>
      <c r="AB210" s="1427"/>
      <c r="AC210" s="1355" t="s">
        <v>1983</v>
      </c>
      <c r="AD210" s="1427"/>
      <c r="AE210" s="1355" t="s">
        <v>1984</v>
      </c>
      <c r="AF210" s="1427"/>
      <c r="AG210" s="1356" t="s">
        <v>1985</v>
      </c>
    </row>
    <row r="211" spans="1:33">
      <c r="A211" s="1351"/>
      <c r="B211" s="1351"/>
      <c r="C211" s="1351"/>
      <c r="D211" s="1505"/>
      <c r="E211" s="1507"/>
      <c r="F211" s="1427"/>
      <c r="G211" s="1355" t="s">
        <v>1949</v>
      </c>
      <c r="H211" s="1427"/>
      <c r="I211" s="1355"/>
      <c r="J211" s="1427"/>
      <c r="K211" s="1355"/>
      <c r="L211" s="1427"/>
      <c r="M211" s="1355" t="s">
        <v>1950</v>
      </c>
      <c r="N211" s="1427"/>
      <c r="O211" s="1355" t="s">
        <v>1951</v>
      </c>
      <c r="P211" s="1427"/>
      <c r="Q211" s="1355"/>
      <c r="R211" s="1383"/>
      <c r="S211" s="1351"/>
      <c r="T211" s="1351"/>
      <c r="U211" s="1351"/>
      <c r="V211" s="1505"/>
      <c r="W211" s="1355" t="s">
        <v>1982</v>
      </c>
      <c r="X211" s="1427"/>
      <c r="Y211" s="1355"/>
      <c r="Z211" s="1427"/>
      <c r="AA211" s="1355"/>
      <c r="AB211" s="1427"/>
      <c r="AC211" s="1355" t="s">
        <v>1986</v>
      </c>
      <c r="AD211" s="1427"/>
      <c r="AE211" s="1355" t="s">
        <v>1987</v>
      </c>
      <c r="AF211" s="1427"/>
      <c r="AG211" s="1356" t="s">
        <v>1950</v>
      </c>
    </row>
    <row r="212" spans="1:33">
      <c r="A212" s="1363"/>
      <c r="B212" s="1363"/>
      <c r="C212" s="1363"/>
      <c r="D212" s="1430"/>
      <c r="E212" s="1462"/>
      <c r="F212" s="1490"/>
      <c r="G212" s="1463"/>
      <c r="H212" s="1490"/>
      <c r="I212" s="1463"/>
      <c r="J212" s="1490"/>
      <c r="K212" s="1463"/>
      <c r="L212" s="1490"/>
      <c r="M212" s="1463"/>
      <c r="N212" s="1490"/>
      <c r="O212" s="1463" t="s">
        <v>1952</v>
      </c>
      <c r="P212" s="1490"/>
      <c r="Q212" s="1463"/>
      <c r="R212" s="1383"/>
      <c r="S212" s="1363"/>
      <c r="T212" s="1363"/>
      <c r="U212" s="1363"/>
      <c r="V212" s="1430"/>
      <c r="W212" s="1463"/>
      <c r="X212" s="1490"/>
      <c r="Y212" s="1463"/>
      <c r="Z212" s="1490"/>
      <c r="AA212" s="1463"/>
      <c r="AB212" s="1490"/>
      <c r="AC212" s="1463" t="s">
        <v>1988</v>
      </c>
      <c r="AD212" s="1490"/>
      <c r="AE212" s="1463"/>
      <c r="AF212" s="1490"/>
      <c r="AG212" s="1463" t="s">
        <v>1989</v>
      </c>
    </row>
    <row r="213" spans="1:33">
      <c r="A213" s="1348"/>
      <c r="B213" s="1348"/>
      <c r="C213" s="1348"/>
      <c r="D213" s="1505"/>
      <c r="E213" s="1508"/>
      <c r="F213" s="1509"/>
      <c r="G213" s="1142"/>
      <c r="H213" s="1510"/>
      <c r="I213" s="1142"/>
      <c r="J213" s="1510"/>
      <c r="K213" s="1142"/>
      <c r="L213" s="1510"/>
      <c r="M213" s="1142"/>
      <c r="N213" s="1510"/>
      <c r="O213" s="1142"/>
      <c r="P213" s="1510"/>
      <c r="Q213" s="1142"/>
      <c r="R213" s="1383"/>
      <c r="S213" s="1348"/>
      <c r="T213" s="1348"/>
      <c r="U213" s="1348"/>
      <c r="V213" s="1505"/>
      <c r="W213" s="1142"/>
      <c r="X213" s="1427"/>
      <c r="Y213" s="1142"/>
      <c r="Z213" s="1427"/>
      <c r="AA213" s="1142"/>
      <c r="AB213" s="1427"/>
      <c r="AC213" s="1142"/>
      <c r="AD213" s="1427"/>
      <c r="AE213" s="1142"/>
      <c r="AF213" s="1427"/>
      <c r="AG213" s="1142"/>
    </row>
    <row r="214" spans="1:33">
      <c r="A214" s="1360"/>
      <c r="B214" s="1511">
        <v>1</v>
      </c>
      <c r="C214" s="1511" t="s">
        <v>1998</v>
      </c>
      <c r="D214" s="1505"/>
      <c r="E214" s="1512">
        <v>4547</v>
      </c>
      <c r="F214" s="1510" t="s">
        <v>392</v>
      </c>
      <c r="G214" s="1142">
        <v>513</v>
      </c>
      <c r="H214" s="1510"/>
      <c r="I214" s="1142">
        <v>1206</v>
      </c>
      <c r="J214" s="1510" t="s">
        <v>392</v>
      </c>
      <c r="K214" s="1142">
        <v>682</v>
      </c>
      <c r="L214" s="1510"/>
      <c r="M214" s="1142">
        <v>69</v>
      </c>
      <c r="N214" s="1510"/>
      <c r="O214" s="1142">
        <v>67</v>
      </c>
      <c r="P214" s="1510"/>
      <c r="Q214" s="1142">
        <v>619</v>
      </c>
      <c r="R214" s="1383" t="s">
        <v>392</v>
      </c>
      <c r="S214" s="1360"/>
      <c r="T214" s="1511">
        <v>1</v>
      </c>
      <c r="U214" s="1511" t="s">
        <v>1998</v>
      </c>
      <c r="V214" s="1505"/>
      <c r="W214" s="1142">
        <v>767</v>
      </c>
      <c r="X214" s="1510"/>
      <c r="Y214" s="1142">
        <v>82</v>
      </c>
      <c r="Z214" s="1510"/>
      <c r="AA214" s="1142">
        <v>142</v>
      </c>
      <c r="AB214" s="1510"/>
      <c r="AC214" s="1142">
        <v>3</v>
      </c>
      <c r="AD214" s="1510"/>
      <c r="AE214" s="1142">
        <v>88</v>
      </c>
      <c r="AF214" s="1510"/>
      <c r="AG214" s="1142">
        <v>308</v>
      </c>
    </row>
    <row r="215" spans="1:33">
      <c r="A215" s="1360"/>
      <c r="B215" s="1511"/>
      <c r="C215" s="1511" t="s">
        <v>665</v>
      </c>
      <c r="D215" s="1505" t="s">
        <v>1999</v>
      </c>
      <c r="E215" s="1512">
        <v>354</v>
      </c>
      <c r="F215" s="1510" t="s">
        <v>392</v>
      </c>
      <c r="G215" s="1142" t="s">
        <v>1350</v>
      </c>
      <c r="H215" s="1510" t="s">
        <v>392</v>
      </c>
      <c r="I215" s="1142">
        <v>54</v>
      </c>
      <c r="J215" s="1510"/>
      <c r="K215" s="1142" t="s">
        <v>1350</v>
      </c>
      <c r="L215" s="1510" t="s">
        <v>392</v>
      </c>
      <c r="M215" s="1142">
        <v>47</v>
      </c>
      <c r="N215" s="1510"/>
      <c r="O215" s="1142">
        <v>8</v>
      </c>
      <c r="P215" s="1510"/>
      <c r="Q215" s="1142">
        <v>101</v>
      </c>
      <c r="R215" s="1383" t="s">
        <v>392</v>
      </c>
      <c r="S215" s="1360"/>
      <c r="T215" s="1511"/>
      <c r="U215" s="1511" t="s">
        <v>665</v>
      </c>
      <c r="V215" s="1505" t="s">
        <v>1999</v>
      </c>
      <c r="W215" s="1142">
        <v>25</v>
      </c>
      <c r="X215" s="1510"/>
      <c r="Y215" s="1142">
        <v>69</v>
      </c>
      <c r="Z215" s="1510"/>
      <c r="AA215" s="1142">
        <v>39</v>
      </c>
      <c r="AB215" s="1510"/>
      <c r="AC215" s="1142" t="s">
        <v>1350</v>
      </c>
      <c r="AD215" s="1510" t="s">
        <v>392</v>
      </c>
      <c r="AE215" s="1142">
        <v>3</v>
      </c>
      <c r="AF215" s="1510"/>
      <c r="AG215" s="1142">
        <v>7</v>
      </c>
    </row>
    <row r="216" spans="1:33">
      <c r="A216" s="1360"/>
      <c r="B216" s="1511"/>
      <c r="C216" s="1511"/>
      <c r="D216" s="1505" t="s">
        <v>2000</v>
      </c>
      <c r="E216" s="1512">
        <v>3406</v>
      </c>
      <c r="F216" s="1510" t="s">
        <v>392</v>
      </c>
      <c r="G216" s="1142">
        <v>513</v>
      </c>
      <c r="H216" s="1510"/>
      <c r="I216" s="1142">
        <v>1078</v>
      </c>
      <c r="J216" s="1510" t="s">
        <v>392</v>
      </c>
      <c r="K216" s="1142">
        <v>616</v>
      </c>
      <c r="L216" s="1510"/>
      <c r="M216" s="1142" t="s">
        <v>1350</v>
      </c>
      <c r="N216" s="1510" t="s">
        <v>392</v>
      </c>
      <c r="O216" s="1142" t="s">
        <v>1350</v>
      </c>
      <c r="P216" s="1510" t="s">
        <v>392</v>
      </c>
      <c r="Q216" s="1142">
        <v>514</v>
      </c>
      <c r="R216" s="1383" t="s">
        <v>392</v>
      </c>
      <c r="S216" s="1360"/>
      <c r="T216" s="1511"/>
      <c r="U216" s="1511"/>
      <c r="V216" s="1505" t="s">
        <v>2000</v>
      </c>
      <c r="W216" s="1142">
        <v>378</v>
      </c>
      <c r="X216" s="1510"/>
      <c r="Y216" s="1142" t="s">
        <v>1350</v>
      </c>
      <c r="Z216" s="1510" t="s">
        <v>392</v>
      </c>
      <c r="AA216" s="1142">
        <v>104</v>
      </c>
      <c r="AB216" s="1510"/>
      <c r="AC216" s="1142">
        <v>3</v>
      </c>
      <c r="AD216" s="1510"/>
      <c r="AE216" s="1142" t="s">
        <v>1350</v>
      </c>
      <c r="AF216" s="1510" t="s">
        <v>392</v>
      </c>
      <c r="AG216" s="1142">
        <v>200</v>
      </c>
    </row>
    <row r="217" spans="1:33">
      <c r="A217" s="1360"/>
      <c r="B217" s="1511">
        <v>2</v>
      </c>
      <c r="C217" s="1511" t="s">
        <v>2001</v>
      </c>
      <c r="D217" s="1505"/>
      <c r="E217" s="1512">
        <v>21604</v>
      </c>
      <c r="F217" s="1510" t="s">
        <v>392</v>
      </c>
      <c r="G217" s="1142">
        <v>1432</v>
      </c>
      <c r="H217" s="1510"/>
      <c r="I217" s="1142" t="s">
        <v>1350</v>
      </c>
      <c r="J217" s="1510" t="s">
        <v>392</v>
      </c>
      <c r="K217" s="1142">
        <v>35</v>
      </c>
      <c r="L217" s="1510"/>
      <c r="M217" s="1142">
        <v>799</v>
      </c>
      <c r="N217" s="1510"/>
      <c r="O217" s="1142" t="s">
        <v>1350</v>
      </c>
      <c r="P217" s="1510" t="s">
        <v>392</v>
      </c>
      <c r="Q217" s="1142">
        <v>171</v>
      </c>
      <c r="R217" s="1383"/>
      <c r="S217" s="1360"/>
      <c r="T217" s="1511">
        <v>2</v>
      </c>
      <c r="U217" s="1511" t="s">
        <v>2001</v>
      </c>
      <c r="V217" s="1505"/>
      <c r="W217" s="1142">
        <v>14</v>
      </c>
      <c r="X217" s="1510"/>
      <c r="Y217" s="1142" t="s">
        <v>1350</v>
      </c>
      <c r="Z217" s="1510" t="s">
        <v>392</v>
      </c>
      <c r="AA217" s="1142">
        <v>3</v>
      </c>
      <c r="AB217" s="1510"/>
      <c r="AC217" s="1142">
        <v>8894</v>
      </c>
      <c r="AD217" s="1510"/>
      <c r="AE217" s="1142">
        <v>10239</v>
      </c>
      <c r="AF217" s="1510"/>
      <c r="AG217" s="1142">
        <v>16</v>
      </c>
    </row>
    <row r="218" spans="1:33">
      <c r="A218" s="1360"/>
      <c r="B218" s="1511"/>
      <c r="C218" s="1511" t="s">
        <v>665</v>
      </c>
      <c r="D218" s="1505" t="s">
        <v>2002</v>
      </c>
      <c r="E218" s="1512">
        <v>19861</v>
      </c>
      <c r="F218" s="1510" t="s">
        <v>392</v>
      </c>
      <c r="G218" s="1142" t="s">
        <v>1350</v>
      </c>
      <c r="H218" s="1510" t="s">
        <v>392</v>
      </c>
      <c r="I218" s="1142" t="s">
        <v>1350</v>
      </c>
      <c r="J218" s="1510" t="s">
        <v>392</v>
      </c>
      <c r="K218" s="1142" t="s">
        <v>1350</v>
      </c>
      <c r="L218" s="1510" t="s">
        <v>392</v>
      </c>
      <c r="M218" s="1142">
        <v>724</v>
      </c>
      <c r="N218" s="1510"/>
      <c r="O218" s="1142" t="s">
        <v>1350</v>
      </c>
      <c r="P218" s="1510" t="s">
        <v>392</v>
      </c>
      <c r="Q218" s="1142" t="s">
        <v>1350</v>
      </c>
      <c r="R218" s="1383" t="s">
        <v>392</v>
      </c>
      <c r="S218" s="1360"/>
      <c r="T218" s="1511"/>
      <c r="U218" s="1511" t="s">
        <v>665</v>
      </c>
      <c r="V218" s="1505" t="s">
        <v>2002</v>
      </c>
      <c r="W218" s="1142" t="s">
        <v>1350</v>
      </c>
      <c r="X218" s="1510" t="s">
        <v>392</v>
      </c>
      <c r="Y218" s="1142" t="s">
        <v>1350</v>
      </c>
      <c r="Z218" s="1510" t="s">
        <v>392</v>
      </c>
      <c r="AA218" s="1142">
        <v>3</v>
      </c>
      <c r="AB218" s="1510"/>
      <c r="AC218" s="1142">
        <v>8894</v>
      </c>
      <c r="AD218" s="1510"/>
      <c r="AE218" s="1142">
        <v>10239</v>
      </c>
      <c r="AF218" s="1510"/>
      <c r="AG218" s="1142" t="s">
        <v>1350</v>
      </c>
    </row>
    <row r="219" spans="1:33">
      <c r="A219" s="1360"/>
      <c r="B219" s="1511">
        <v>3</v>
      </c>
      <c r="C219" s="1511" t="s">
        <v>2003</v>
      </c>
      <c r="D219" s="1505"/>
      <c r="E219" s="1512">
        <v>4832</v>
      </c>
      <c r="F219" s="1510" t="s">
        <v>392</v>
      </c>
      <c r="G219" s="1142">
        <v>789</v>
      </c>
      <c r="H219" s="1510"/>
      <c r="I219" s="1142">
        <v>460</v>
      </c>
      <c r="J219" s="1510" t="s">
        <v>392</v>
      </c>
      <c r="K219" s="1142">
        <v>310</v>
      </c>
      <c r="L219" s="1510"/>
      <c r="M219" s="1142">
        <v>67</v>
      </c>
      <c r="N219" s="1510"/>
      <c r="O219" s="1142">
        <v>426</v>
      </c>
      <c r="P219" s="1510"/>
      <c r="Q219" s="1142">
        <v>943</v>
      </c>
      <c r="R219" s="1383" t="s">
        <v>392</v>
      </c>
      <c r="S219" s="1360"/>
      <c r="T219" s="1511">
        <v>3</v>
      </c>
      <c r="U219" s="1511" t="s">
        <v>2003</v>
      </c>
      <c r="V219" s="1505"/>
      <c r="W219" s="1142">
        <v>414</v>
      </c>
      <c r="X219" s="1510" t="s">
        <v>392</v>
      </c>
      <c r="Y219" s="1142">
        <v>458</v>
      </c>
      <c r="Z219" s="1510" t="s">
        <v>392</v>
      </c>
      <c r="AA219" s="1142">
        <v>165</v>
      </c>
      <c r="AB219" s="1510"/>
      <c r="AC219" s="1142">
        <v>29</v>
      </c>
      <c r="AD219" s="1510"/>
      <c r="AE219" s="1142">
        <v>519</v>
      </c>
      <c r="AF219" s="1510"/>
      <c r="AG219" s="1142">
        <v>251</v>
      </c>
    </row>
    <row r="220" spans="1:33" ht="31.2">
      <c r="A220" s="1360"/>
      <c r="B220" s="1511"/>
      <c r="C220" s="1511" t="s">
        <v>665</v>
      </c>
      <c r="D220" s="1505" t="s">
        <v>2004</v>
      </c>
      <c r="E220" s="1512">
        <v>2240</v>
      </c>
      <c r="F220" s="1510" t="s">
        <v>392</v>
      </c>
      <c r="G220" s="1142">
        <v>403</v>
      </c>
      <c r="H220" s="1510"/>
      <c r="I220" s="1142">
        <v>351</v>
      </c>
      <c r="J220" s="1510"/>
      <c r="K220" s="1142">
        <v>277</v>
      </c>
      <c r="L220" s="1510"/>
      <c r="M220" s="1142">
        <v>22</v>
      </c>
      <c r="N220" s="1510"/>
      <c r="O220" s="1142">
        <v>346</v>
      </c>
      <c r="P220" s="1510"/>
      <c r="Q220" s="1142">
        <v>308</v>
      </c>
      <c r="R220" s="1383" t="s">
        <v>392</v>
      </c>
      <c r="S220" s="1360"/>
      <c r="T220" s="1511"/>
      <c r="U220" s="1511" t="s">
        <v>665</v>
      </c>
      <c r="V220" s="1505" t="s">
        <v>2004</v>
      </c>
      <c r="W220" s="1142">
        <v>247</v>
      </c>
      <c r="X220" s="1510"/>
      <c r="Y220" s="1142">
        <v>38</v>
      </c>
      <c r="Z220" s="1510" t="s">
        <v>392</v>
      </c>
      <c r="AA220" s="1142">
        <v>104</v>
      </c>
      <c r="AB220" s="1510"/>
      <c r="AC220" s="1142">
        <v>25</v>
      </c>
      <c r="AD220" s="1510"/>
      <c r="AE220" s="1142">
        <v>9</v>
      </c>
      <c r="AF220" s="1510"/>
      <c r="AG220" s="1142">
        <v>110</v>
      </c>
    </row>
    <row r="221" spans="1:33">
      <c r="A221" s="1360"/>
      <c r="B221" s="1511"/>
      <c r="C221" s="1511"/>
      <c r="D221" s="1505" t="s">
        <v>2005</v>
      </c>
      <c r="E221" s="1512">
        <v>385</v>
      </c>
      <c r="F221" s="1510" t="s">
        <v>392</v>
      </c>
      <c r="G221" s="1142" t="s">
        <v>1350</v>
      </c>
      <c r="H221" s="1510" t="s">
        <v>392</v>
      </c>
      <c r="I221" s="1142" t="s">
        <v>1350</v>
      </c>
      <c r="J221" s="1510" t="s">
        <v>392</v>
      </c>
      <c r="K221" s="1142" t="s">
        <v>1350</v>
      </c>
      <c r="L221" s="1510" t="s">
        <v>392</v>
      </c>
      <c r="M221" s="1142" t="s">
        <v>1350</v>
      </c>
      <c r="N221" s="1510" t="s">
        <v>392</v>
      </c>
      <c r="O221" s="1142">
        <v>40</v>
      </c>
      <c r="P221" s="1510"/>
      <c r="Q221" s="1142">
        <v>261</v>
      </c>
      <c r="R221" s="1383"/>
      <c r="S221" s="1360"/>
      <c r="T221" s="1511"/>
      <c r="U221" s="1511"/>
      <c r="V221" s="1505" t="s">
        <v>2005</v>
      </c>
      <c r="W221" s="1142" t="s">
        <v>1350</v>
      </c>
      <c r="X221" s="1510" t="s">
        <v>392</v>
      </c>
      <c r="Y221" s="1142">
        <v>84</v>
      </c>
      <c r="Z221" s="1510" t="s">
        <v>392</v>
      </c>
      <c r="AA221" s="1142" t="s">
        <v>1350</v>
      </c>
      <c r="AB221" s="1510" t="s">
        <v>392</v>
      </c>
      <c r="AC221" s="1142" t="s">
        <v>1350</v>
      </c>
      <c r="AD221" s="1510" t="s">
        <v>392</v>
      </c>
      <c r="AE221" s="1142" t="s">
        <v>1350</v>
      </c>
      <c r="AF221" s="1510" t="s">
        <v>392</v>
      </c>
      <c r="AG221" s="1142" t="s">
        <v>1350</v>
      </c>
    </row>
    <row r="222" spans="1:33" ht="21">
      <c r="A222" s="1360"/>
      <c r="B222" s="1511"/>
      <c r="C222" s="1511"/>
      <c r="D222" s="1505" t="s">
        <v>2006</v>
      </c>
      <c r="E222" s="1512">
        <v>622</v>
      </c>
      <c r="F222" s="1510" t="s">
        <v>392</v>
      </c>
      <c r="G222" s="1142">
        <v>348</v>
      </c>
      <c r="H222" s="1510"/>
      <c r="I222" s="1142" t="s">
        <v>1350</v>
      </c>
      <c r="J222" s="1510" t="s">
        <v>392</v>
      </c>
      <c r="K222" s="1142">
        <v>1</v>
      </c>
      <c r="L222" s="1510"/>
      <c r="M222" s="1142" t="s">
        <v>1350</v>
      </c>
      <c r="N222" s="1510" t="s">
        <v>392</v>
      </c>
      <c r="O222" s="1142" t="s">
        <v>1350</v>
      </c>
      <c r="P222" s="1510" t="s">
        <v>392</v>
      </c>
      <c r="Q222" s="1142" t="s">
        <v>1350</v>
      </c>
      <c r="R222" s="1383" t="s">
        <v>392</v>
      </c>
      <c r="S222" s="1360"/>
      <c r="T222" s="1511"/>
      <c r="U222" s="1511"/>
      <c r="V222" s="1505" t="s">
        <v>2006</v>
      </c>
      <c r="W222" s="1142" t="s">
        <v>1350</v>
      </c>
      <c r="X222" s="1510" t="s">
        <v>392</v>
      </c>
      <c r="Y222" s="1142">
        <v>4</v>
      </c>
      <c r="Z222" s="1510"/>
      <c r="AA222" s="1142" t="s">
        <v>1350</v>
      </c>
      <c r="AB222" s="1510" t="s">
        <v>392</v>
      </c>
      <c r="AC222" s="1142" t="s">
        <v>1350</v>
      </c>
      <c r="AD222" s="1510" t="s">
        <v>392</v>
      </c>
      <c r="AE222" s="1142">
        <v>266</v>
      </c>
      <c r="AF222" s="1510"/>
      <c r="AG222" s="1142">
        <v>4</v>
      </c>
    </row>
    <row r="223" spans="1:33">
      <c r="A223" s="1360"/>
      <c r="B223" s="1511">
        <v>4</v>
      </c>
      <c r="C223" s="1511" t="s">
        <v>2007</v>
      </c>
      <c r="D223" s="1505"/>
      <c r="E223" s="1512">
        <v>392</v>
      </c>
      <c r="F223" s="1510" t="s">
        <v>392</v>
      </c>
      <c r="G223" s="1142" t="s">
        <v>1350</v>
      </c>
      <c r="H223" s="1510" t="s">
        <v>392</v>
      </c>
      <c r="I223" s="1142">
        <v>4</v>
      </c>
      <c r="J223" s="1510"/>
      <c r="K223" s="1142" t="s">
        <v>1350</v>
      </c>
      <c r="L223" s="1510" t="s">
        <v>392</v>
      </c>
      <c r="M223" s="1142">
        <v>16</v>
      </c>
      <c r="N223" s="1510"/>
      <c r="O223" s="1142">
        <v>61</v>
      </c>
      <c r="P223" s="1510"/>
      <c r="Q223" s="1142">
        <v>75</v>
      </c>
      <c r="R223" s="1383"/>
      <c r="S223" s="1360"/>
      <c r="T223" s="1511">
        <v>4</v>
      </c>
      <c r="U223" s="1511" t="s">
        <v>2007</v>
      </c>
      <c r="V223" s="1505"/>
      <c r="W223" s="1142">
        <v>149</v>
      </c>
      <c r="X223" s="1510"/>
      <c r="Y223" s="1142" t="s">
        <v>1350</v>
      </c>
      <c r="Z223" s="1510" t="s">
        <v>392</v>
      </c>
      <c r="AA223" s="1142">
        <v>45</v>
      </c>
      <c r="AB223" s="1510"/>
      <c r="AC223" s="1142" t="s">
        <v>1350</v>
      </c>
      <c r="AD223" s="1510" t="s">
        <v>392</v>
      </c>
      <c r="AE223" s="1142">
        <v>43</v>
      </c>
      <c r="AF223" s="1510"/>
      <c r="AG223" s="1142" t="s">
        <v>1350</v>
      </c>
    </row>
    <row r="224" spans="1:33">
      <c r="A224" s="1360"/>
      <c r="B224" s="1511">
        <v>5</v>
      </c>
      <c r="C224" s="1511" t="s">
        <v>2008</v>
      </c>
      <c r="D224" s="1505"/>
      <c r="E224" s="1512">
        <v>0</v>
      </c>
      <c r="F224" s="1510"/>
      <c r="G224" s="1142" t="s">
        <v>1350</v>
      </c>
      <c r="H224" s="1510" t="s">
        <v>392</v>
      </c>
      <c r="I224" s="1142" t="s">
        <v>1350</v>
      </c>
      <c r="J224" s="1510" t="s">
        <v>392</v>
      </c>
      <c r="K224" s="1142" t="s">
        <v>1350</v>
      </c>
      <c r="L224" s="1510" t="s">
        <v>392</v>
      </c>
      <c r="M224" s="1142" t="s">
        <v>1350</v>
      </c>
      <c r="N224" s="1510" t="s">
        <v>392</v>
      </c>
      <c r="O224" s="1142" t="s">
        <v>1350</v>
      </c>
      <c r="P224" s="1510" t="s">
        <v>392</v>
      </c>
      <c r="Q224" s="1142">
        <v>0</v>
      </c>
      <c r="R224" s="1383"/>
      <c r="S224" s="1360"/>
      <c r="T224" s="1511">
        <v>5</v>
      </c>
      <c r="U224" s="1511" t="s">
        <v>2008</v>
      </c>
      <c r="V224" s="1505"/>
      <c r="W224" s="1142" t="s">
        <v>1350</v>
      </c>
      <c r="X224" s="1510" t="s">
        <v>392</v>
      </c>
      <c r="Y224" s="1142" t="s">
        <v>1350</v>
      </c>
      <c r="Z224" s="1510" t="s">
        <v>392</v>
      </c>
      <c r="AA224" s="1142" t="s">
        <v>1350</v>
      </c>
      <c r="AB224" s="1510" t="s">
        <v>392</v>
      </c>
      <c r="AC224" s="1142" t="s">
        <v>1350</v>
      </c>
      <c r="AD224" s="1510" t="s">
        <v>392</v>
      </c>
      <c r="AE224" s="1142" t="s">
        <v>1350</v>
      </c>
      <c r="AF224" s="1510" t="s">
        <v>392</v>
      </c>
      <c r="AG224" s="1142" t="s">
        <v>1350</v>
      </c>
    </row>
    <row r="225" spans="1:33">
      <c r="A225" s="1360"/>
      <c r="B225" s="1511">
        <v>6</v>
      </c>
      <c r="C225" s="1511" t="s">
        <v>2009</v>
      </c>
      <c r="D225" s="1505"/>
      <c r="E225" s="1512" t="s">
        <v>392</v>
      </c>
      <c r="F225" s="1510" t="s">
        <v>392</v>
      </c>
      <c r="G225" s="1142" t="s">
        <v>392</v>
      </c>
      <c r="H225" s="1510" t="s">
        <v>392</v>
      </c>
      <c r="I225" s="1142" t="s">
        <v>392</v>
      </c>
      <c r="J225" s="1510" t="s">
        <v>392</v>
      </c>
      <c r="K225" s="1142" t="s">
        <v>392</v>
      </c>
      <c r="L225" s="1510" t="s">
        <v>392</v>
      </c>
      <c r="M225" s="1142" t="s">
        <v>392</v>
      </c>
      <c r="N225" s="1510" t="s">
        <v>392</v>
      </c>
      <c r="O225" s="1142" t="s">
        <v>392</v>
      </c>
      <c r="P225" s="1510" t="s">
        <v>392</v>
      </c>
      <c r="Q225" s="1142" t="s">
        <v>392</v>
      </c>
      <c r="R225" s="1383" t="s">
        <v>392</v>
      </c>
      <c r="S225" s="1360"/>
      <c r="T225" s="1511">
        <v>6</v>
      </c>
      <c r="U225" s="1511" t="s">
        <v>2009</v>
      </c>
      <c r="V225" s="1505"/>
      <c r="W225" s="1142" t="s">
        <v>392</v>
      </c>
      <c r="X225" s="1510" t="s">
        <v>392</v>
      </c>
      <c r="Y225" s="1142" t="s">
        <v>392</v>
      </c>
      <c r="Z225" s="1510" t="s">
        <v>392</v>
      </c>
      <c r="AA225" s="1142" t="s">
        <v>392</v>
      </c>
      <c r="AB225" s="1510" t="s">
        <v>392</v>
      </c>
      <c r="AC225" s="1142" t="s">
        <v>392</v>
      </c>
      <c r="AD225" s="1510" t="s">
        <v>392</v>
      </c>
      <c r="AE225" s="1142" t="s">
        <v>392</v>
      </c>
      <c r="AF225" s="1510" t="s">
        <v>392</v>
      </c>
      <c r="AG225" s="1142" t="s">
        <v>392</v>
      </c>
    </row>
    <row r="226" spans="1:33">
      <c r="A226" s="1360"/>
      <c r="B226" s="1511"/>
      <c r="C226" s="1511" t="s">
        <v>2010</v>
      </c>
      <c r="D226" s="1505"/>
      <c r="E226" s="1512">
        <v>2075</v>
      </c>
      <c r="F226" s="1510" t="s">
        <v>392</v>
      </c>
      <c r="G226" s="1142">
        <v>48</v>
      </c>
      <c r="H226" s="1510"/>
      <c r="I226" s="1142">
        <v>253</v>
      </c>
      <c r="J226" s="1510" t="s">
        <v>392</v>
      </c>
      <c r="K226" s="1142">
        <v>790</v>
      </c>
      <c r="L226" s="1510" t="s">
        <v>392</v>
      </c>
      <c r="M226" s="1142">
        <v>198</v>
      </c>
      <c r="N226" s="1510"/>
      <c r="O226" s="1142" t="s">
        <v>1350</v>
      </c>
      <c r="P226" s="1510" t="s">
        <v>392</v>
      </c>
      <c r="Q226" s="1142">
        <v>430</v>
      </c>
      <c r="R226" s="1383" t="s">
        <v>392</v>
      </c>
      <c r="S226" s="1360"/>
      <c r="T226" s="1511"/>
      <c r="U226" s="1511" t="s">
        <v>2010</v>
      </c>
      <c r="V226" s="1505"/>
      <c r="W226" s="1142">
        <v>114</v>
      </c>
      <c r="X226" s="1510"/>
      <c r="Y226" s="1142">
        <v>119</v>
      </c>
      <c r="Z226" s="1510"/>
      <c r="AA226" s="1142">
        <v>20</v>
      </c>
      <c r="AB226" s="1510"/>
      <c r="AC226" s="1142" t="s">
        <v>1350</v>
      </c>
      <c r="AD226" s="1510" t="s">
        <v>392</v>
      </c>
      <c r="AE226" s="1142">
        <v>73</v>
      </c>
      <c r="AF226" s="1510"/>
      <c r="AG226" s="1142">
        <v>29</v>
      </c>
    </row>
    <row r="227" spans="1:33" ht="31.2">
      <c r="A227" s="1360"/>
      <c r="B227" s="1511"/>
      <c r="C227" s="1511" t="s">
        <v>665</v>
      </c>
      <c r="D227" s="1505" t="s">
        <v>2011</v>
      </c>
      <c r="E227" s="1512">
        <v>35</v>
      </c>
      <c r="F227" s="1510" t="s">
        <v>392</v>
      </c>
      <c r="G227" s="1142" t="s">
        <v>1350</v>
      </c>
      <c r="H227" s="1510" t="s">
        <v>392</v>
      </c>
      <c r="I227" s="1142">
        <v>2</v>
      </c>
      <c r="J227" s="1510"/>
      <c r="K227" s="1142" t="s">
        <v>1350</v>
      </c>
      <c r="L227" s="1510" t="s">
        <v>392</v>
      </c>
      <c r="M227" s="1142">
        <v>0</v>
      </c>
      <c r="N227" s="1510"/>
      <c r="O227" s="1142" t="s">
        <v>1350</v>
      </c>
      <c r="P227" s="1510" t="s">
        <v>392</v>
      </c>
      <c r="Q227" s="1142">
        <v>12</v>
      </c>
      <c r="R227" s="1383"/>
      <c r="S227" s="1360"/>
      <c r="T227" s="1511"/>
      <c r="U227" s="1511" t="s">
        <v>665</v>
      </c>
      <c r="V227" s="1505" t="s">
        <v>2011</v>
      </c>
      <c r="W227" s="1142">
        <v>19</v>
      </c>
      <c r="X227" s="1510"/>
      <c r="Y227" s="1142" t="s">
        <v>1350</v>
      </c>
      <c r="Z227" s="1510" t="s">
        <v>392</v>
      </c>
      <c r="AA227" s="1142" t="s">
        <v>1350</v>
      </c>
      <c r="AB227" s="1510" t="s">
        <v>392</v>
      </c>
      <c r="AC227" s="1142" t="s">
        <v>1350</v>
      </c>
      <c r="AD227" s="1510" t="s">
        <v>392</v>
      </c>
      <c r="AE227" s="1142">
        <v>2</v>
      </c>
      <c r="AF227" s="1510"/>
      <c r="AG227" s="1142" t="s">
        <v>1350</v>
      </c>
    </row>
    <row r="228" spans="1:33" ht="21">
      <c r="A228" s="1360"/>
      <c r="B228" s="1511"/>
      <c r="C228" s="1511"/>
      <c r="D228" s="1505" t="s">
        <v>2012</v>
      </c>
      <c r="E228" s="1512">
        <v>1618</v>
      </c>
      <c r="F228" s="1510" t="s">
        <v>392</v>
      </c>
      <c r="G228" s="1142">
        <v>48</v>
      </c>
      <c r="H228" s="1510"/>
      <c r="I228" s="1142">
        <v>218</v>
      </c>
      <c r="J228" s="1510"/>
      <c r="K228" s="1142">
        <v>637</v>
      </c>
      <c r="L228" s="1510"/>
      <c r="M228" s="1142">
        <v>198</v>
      </c>
      <c r="N228" s="1510"/>
      <c r="O228" s="1142" t="s">
        <v>1350</v>
      </c>
      <c r="P228" s="1510" t="s">
        <v>392</v>
      </c>
      <c r="Q228" s="1142">
        <v>400</v>
      </c>
      <c r="R228" s="1383" t="s">
        <v>392</v>
      </c>
      <c r="S228" s="1360"/>
      <c r="T228" s="1511"/>
      <c r="U228" s="1511"/>
      <c r="V228" s="1505" t="s">
        <v>2012</v>
      </c>
      <c r="W228" s="1142">
        <v>54</v>
      </c>
      <c r="X228" s="1510"/>
      <c r="Y228" s="1142">
        <v>58</v>
      </c>
      <c r="Z228" s="1510"/>
      <c r="AA228" s="1142">
        <v>5</v>
      </c>
      <c r="AB228" s="1510"/>
      <c r="AC228" s="1142" t="s">
        <v>1350</v>
      </c>
      <c r="AD228" s="1510" t="s">
        <v>392</v>
      </c>
      <c r="AE228" s="1142" t="s">
        <v>1350</v>
      </c>
      <c r="AF228" s="1510" t="s">
        <v>392</v>
      </c>
      <c r="AG228" s="1142" t="s">
        <v>1350</v>
      </c>
    </row>
    <row r="229" spans="1:33" ht="21">
      <c r="A229" s="1360"/>
      <c r="B229" s="1511"/>
      <c r="C229" s="1511"/>
      <c r="D229" s="1505" t="s">
        <v>2013</v>
      </c>
      <c r="E229" s="1512">
        <v>331</v>
      </c>
      <c r="F229" s="1510" t="s">
        <v>392</v>
      </c>
      <c r="G229" s="1142" t="s">
        <v>1350</v>
      </c>
      <c r="H229" s="1510" t="s">
        <v>392</v>
      </c>
      <c r="I229" s="1142">
        <v>26</v>
      </c>
      <c r="J229" s="1510"/>
      <c r="K229" s="1142">
        <v>116</v>
      </c>
      <c r="L229" s="1510"/>
      <c r="M229" s="1142" t="s">
        <v>1350</v>
      </c>
      <c r="N229" s="1510" t="s">
        <v>392</v>
      </c>
      <c r="O229" s="1142" t="s">
        <v>1350</v>
      </c>
      <c r="P229" s="1510" t="s">
        <v>392</v>
      </c>
      <c r="Q229" s="1142">
        <v>10</v>
      </c>
      <c r="R229" s="1383"/>
      <c r="S229" s="1360"/>
      <c r="T229" s="1511"/>
      <c r="U229" s="1511"/>
      <c r="V229" s="1505" t="s">
        <v>2013</v>
      </c>
      <c r="W229" s="1142">
        <v>42</v>
      </c>
      <c r="X229" s="1510"/>
      <c r="Y229" s="1142">
        <v>60</v>
      </c>
      <c r="Z229" s="1510"/>
      <c r="AA229" s="1142" t="s">
        <v>1350</v>
      </c>
      <c r="AB229" s="1510" t="s">
        <v>392</v>
      </c>
      <c r="AC229" s="1142" t="s">
        <v>1350</v>
      </c>
      <c r="AD229" s="1510" t="s">
        <v>392</v>
      </c>
      <c r="AE229" s="1142">
        <v>71</v>
      </c>
      <c r="AF229" s="1510"/>
      <c r="AG229" s="1142">
        <v>6</v>
      </c>
    </row>
    <row r="230" spans="1:33" ht="31.2">
      <c r="A230" s="1360"/>
      <c r="B230" s="1513"/>
      <c r="C230" s="1513"/>
      <c r="D230" s="1505" t="s">
        <v>2014</v>
      </c>
      <c r="E230" s="1512">
        <v>29</v>
      </c>
      <c r="F230" s="1510" t="s">
        <v>392</v>
      </c>
      <c r="G230" s="1142">
        <v>0</v>
      </c>
      <c r="H230" s="1510"/>
      <c r="I230" s="1142">
        <v>2</v>
      </c>
      <c r="J230" s="1510"/>
      <c r="K230" s="1142">
        <v>0</v>
      </c>
      <c r="L230" s="1510"/>
      <c r="M230" s="1142" t="s">
        <v>1350</v>
      </c>
      <c r="N230" s="1510" t="s">
        <v>392</v>
      </c>
      <c r="O230" s="1142" t="s">
        <v>1350</v>
      </c>
      <c r="P230" s="1510" t="s">
        <v>392</v>
      </c>
      <c r="Q230" s="1142">
        <v>3</v>
      </c>
      <c r="R230" s="1383"/>
      <c r="S230" s="1360"/>
      <c r="T230" s="1513"/>
      <c r="U230" s="1513"/>
      <c r="V230" s="1505" t="s">
        <v>2014</v>
      </c>
      <c r="W230" s="1142" t="s">
        <v>1350</v>
      </c>
      <c r="X230" s="1510" t="s">
        <v>392</v>
      </c>
      <c r="Y230" s="1142" t="s">
        <v>1350</v>
      </c>
      <c r="Z230" s="1510" t="s">
        <v>392</v>
      </c>
      <c r="AA230" s="1142" t="s">
        <v>1350</v>
      </c>
      <c r="AB230" s="1510" t="s">
        <v>392</v>
      </c>
      <c r="AC230" s="1142" t="s">
        <v>1350</v>
      </c>
      <c r="AD230" s="1510" t="s">
        <v>392</v>
      </c>
      <c r="AE230" s="1142" t="s">
        <v>1350</v>
      </c>
      <c r="AF230" s="1510" t="s">
        <v>392</v>
      </c>
      <c r="AG230" s="1142">
        <v>23</v>
      </c>
    </row>
    <row r="231" spans="1:33">
      <c r="A231" s="1360"/>
      <c r="B231" s="1511">
        <v>7</v>
      </c>
      <c r="C231" s="1511" t="s">
        <v>2015</v>
      </c>
      <c r="D231" s="1505"/>
      <c r="E231" s="1512" t="s">
        <v>392</v>
      </c>
      <c r="F231" s="1510" t="s">
        <v>392</v>
      </c>
      <c r="G231" s="1142" t="s">
        <v>392</v>
      </c>
      <c r="H231" s="1510" t="s">
        <v>392</v>
      </c>
      <c r="I231" s="1142" t="s">
        <v>392</v>
      </c>
      <c r="J231" s="1510" t="s">
        <v>392</v>
      </c>
      <c r="K231" s="1142" t="s">
        <v>392</v>
      </c>
      <c r="L231" s="1510" t="s">
        <v>392</v>
      </c>
      <c r="M231" s="1142" t="s">
        <v>392</v>
      </c>
      <c r="N231" s="1510" t="s">
        <v>392</v>
      </c>
      <c r="O231" s="1142" t="s">
        <v>392</v>
      </c>
      <c r="P231" s="1510" t="s">
        <v>392</v>
      </c>
      <c r="Q231" s="1142" t="s">
        <v>392</v>
      </c>
      <c r="R231" s="1383" t="s">
        <v>392</v>
      </c>
      <c r="S231" s="1360"/>
      <c r="T231" s="1511">
        <v>7</v>
      </c>
      <c r="U231" s="1511" t="s">
        <v>2015</v>
      </c>
      <c r="V231" s="1505"/>
      <c r="W231" s="1142" t="s">
        <v>392</v>
      </c>
      <c r="X231" s="1510" t="s">
        <v>392</v>
      </c>
      <c r="Y231" s="1142" t="s">
        <v>392</v>
      </c>
      <c r="Z231" s="1510" t="s">
        <v>392</v>
      </c>
      <c r="AA231" s="1142" t="s">
        <v>392</v>
      </c>
      <c r="AB231" s="1510" t="s">
        <v>392</v>
      </c>
      <c r="AC231" s="1142" t="s">
        <v>392</v>
      </c>
      <c r="AD231" s="1510" t="s">
        <v>392</v>
      </c>
      <c r="AE231" s="1142" t="s">
        <v>392</v>
      </c>
      <c r="AF231" s="1510" t="s">
        <v>392</v>
      </c>
      <c r="AG231" s="1142" t="s">
        <v>392</v>
      </c>
    </row>
    <row r="232" spans="1:33">
      <c r="A232" s="1360"/>
      <c r="B232" s="1511"/>
      <c r="C232" s="1511" t="s">
        <v>2016</v>
      </c>
      <c r="D232" s="1505"/>
      <c r="E232" s="1512">
        <v>15192</v>
      </c>
      <c r="F232" s="1510" t="s">
        <v>392</v>
      </c>
      <c r="G232" s="1142">
        <v>304</v>
      </c>
      <c r="H232" s="1510"/>
      <c r="I232" s="1142">
        <v>885</v>
      </c>
      <c r="J232" s="1510" t="s">
        <v>392</v>
      </c>
      <c r="K232" s="1142">
        <v>1993</v>
      </c>
      <c r="L232" s="1510"/>
      <c r="M232" s="1142">
        <v>1389</v>
      </c>
      <c r="N232" s="1510"/>
      <c r="O232" s="1142">
        <v>274</v>
      </c>
      <c r="P232" s="1510"/>
      <c r="Q232" s="1142">
        <v>2703</v>
      </c>
      <c r="R232" s="1383" t="s">
        <v>392</v>
      </c>
      <c r="S232" s="1360"/>
      <c r="T232" s="1511"/>
      <c r="U232" s="1511" t="s">
        <v>2016</v>
      </c>
      <c r="V232" s="1505"/>
      <c r="W232" s="1142">
        <v>768</v>
      </c>
      <c r="X232" s="1510"/>
      <c r="Y232" s="1142">
        <v>1532</v>
      </c>
      <c r="Z232" s="1510"/>
      <c r="AA232" s="1142">
        <v>142</v>
      </c>
      <c r="AB232" s="1510"/>
      <c r="AC232" s="1142">
        <v>2810</v>
      </c>
      <c r="AD232" s="1510"/>
      <c r="AE232" s="1142">
        <v>2390</v>
      </c>
      <c r="AF232" s="1510" t="s">
        <v>392</v>
      </c>
      <c r="AG232" s="1142">
        <v>3</v>
      </c>
    </row>
    <row r="233" spans="1:33">
      <c r="A233" s="1360"/>
      <c r="B233" s="1511"/>
      <c r="C233" s="1511" t="s">
        <v>665</v>
      </c>
      <c r="D233" s="1511" t="s">
        <v>2017</v>
      </c>
      <c r="E233" s="1512">
        <v>13904</v>
      </c>
      <c r="F233" s="1510" t="s">
        <v>392</v>
      </c>
      <c r="G233" s="1142">
        <v>293</v>
      </c>
      <c r="H233" s="1510"/>
      <c r="I233" s="1142">
        <v>879</v>
      </c>
      <c r="J233" s="1510" t="s">
        <v>392</v>
      </c>
      <c r="K233" s="1142">
        <v>1993</v>
      </c>
      <c r="L233" s="1510"/>
      <c r="M233" s="1142">
        <v>1207</v>
      </c>
      <c r="N233" s="1510"/>
      <c r="O233" s="1142">
        <v>208</v>
      </c>
      <c r="P233" s="1510"/>
      <c r="Q233" s="1142">
        <v>1780</v>
      </c>
      <c r="R233" s="1383" t="s">
        <v>392</v>
      </c>
      <c r="S233" s="1360"/>
      <c r="T233" s="1511"/>
      <c r="U233" s="1511" t="s">
        <v>665</v>
      </c>
      <c r="V233" s="1511" t="s">
        <v>2017</v>
      </c>
      <c r="W233" s="1142">
        <v>762</v>
      </c>
      <c r="X233" s="1510"/>
      <c r="Y233" s="1142">
        <v>1470</v>
      </c>
      <c r="Z233" s="1510"/>
      <c r="AA233" s="1142">
        <v>142</v>
      </c>
      <c r="AB233" s="1510"/>
      <c r="AC233" s="1142">
        <v>2810</v>
      </c>
      <c r="AD233" s="1510"/>
      <c r="AE233" s="1142">
        <v>2360</v>
      </c>
      <c r="AF233" s="1510" t="s">
        <v>392</v>
      </c>
      <c r="AG233" s="1142" t="s">
        <v>1350</v>
      </c>
    </row>
    <row r="234" spans="1:33">
      <c r="A234" s="1360"/>
      <c r="B234" s="1511">
        <v>8</v>
      </c>
      <c r="C234" s="1511" t="s">
        <v>2018</v>
      </c>
      <c r="D234" s="1505"/>
      <c r="E234" s="1512" t="s">
        <v>392</v>
      </c>
      <c r="F234" s="1510" t="s">
        <v>392</v>
      </c>
      <c r="G234" s="1142" t="s">
        <v>392</v>
      </c>
      <c r="H234" s="1510" t="s">
        <v>392</v>
      </c>
      <c r="I234" s="1142" t="s">
        <v>392</v>
      </c>
      <c r="J234" s="1510" t="s">
        <v>392</v>
      </c>
      <c r="K234" s="1142" t="s">
        <v>392</v>
      </c>
      <c r="L234" s="1510" t="s">
        <v>392</v>
      </c>
      <c r="M234" s="1142" t="s">
        <v>392</v>
      </c>
      <c r="N234" s="1510" t="s">
        <v>392</v>
      </c>
      <c r="O234" s="1142" t="s">
        <v>392</v>
      </c>
      <c r="P234" s="1510" t="s">
        <v>392</v>
      </c>
      <c r="Q234" s="1142" t="s">
        <v>392</v>
      </c>
      <c r="R234" s="1383" t="s">
        <v>392</v>
      </c>
      <c r="S234" s="1360"/>
      <c r="T234" s="1511">
        <v>8</v>
      </c>
      <c r="U234" s="1511" t="s">
        <v>2018</v>
      </c>
      <c r="V234" s="1505"/>
      <c r="W234" s="1142" t="s">
        <v>392</v>
      </c>
      <c r="X234" s="1510" t="s">
        <v>392</v>
      </c>
      <c r="Y234" s="1142" t="s">
        <v>392</v>
      </c>
      <c r="Z234" s="1510" t="s">
        <v>392</v>
      </c>
      <c r="AA234" s="1142" t="s">
        <v>392</v>
      </c>
      <c r="AB234" s="1510" t="s">
        <v>392</v>
      </c>
      <c r="AC234" s="1142" t="s">
        <v>392</v>
      </c>
      <c r="AD234" s="1510" t="s">
        <v>392</v>
      </c>
      <c r="AE234" s="1142" t="s">
        <v>392</v>
      </c>
      <c r="AF234" s="1510" t="s">
        <v>392</v>
      </c>
      <c r="AG234" s="1142" t="s">
        <v>392</v>
      </c>
    </row>
    <row r="235" spans="1:33">
      <c r="A235" s="1360"/>
      <c r="B235" s="1513"/>
      <c r="C235" s="1511" t="s">
        <v>2019</v>
      </c>
      <c r="D235" s="1505"/>
      <c r="E235" s="1512">
        <v>2538</v>
      </c>
      <c r="F235" s="1510" t="s">
        <v>392</v>
      </c>
      <c r="G235" s="1142">
        <v>86</v>
      </c>
      <c r="H235" s="1510" t="s">
        <v>392</v>
      </c>
      <c r="I235" s="1142">
        <v>542</v>
      </c>
      <c r="J235" s="1510" t="s">
        <v>392</v>
      </c>
      <c r="K235" s="1142">
        <v>354</v>
      </c>
      <c r="L235" s="1510"/>
      <c r="M235" s="1142">
        <v>6</v>
      </c>
      <c r="N235" s="1510"/>
      <c r="O235" s="1142">
        <v>148</v>
      </c>
      <c r="P235" s="1510"/>
      <c r="Q235" s="1142">
        <v>276</v>
      </c>
      <c r="R235" s="1383" t="s">
        <v>392</v>
      </c>
      <c r="S235" s="1360"/>
      <c r="T235" s="1513"/>
      <c r="U235" s="1511" t="s">
        <v>2019</v>
      </c>
      <c r="V235" s="1505"/>
      <c r="W235" s="1142">
        <v>56</v>
      </c>
      <c r="X235" s="1510"/>
      <c r="Y235" s="1142">
        <v>472</v>
      </c>
      <c r="Z235" s="1510"/>
      <c r="AA235" s="1142">
        <v>51</v>
      </c>
      <c r="AB235" s="1510"/>
      <c r="AC235" s="1142">
        <v>94</v>
      </c>
      <c r="AD235" s="1510"/>
      <c r="AE235" s="1142">
        <v>376</v>
      </c>
      <c r="AF235" s="1510"/>
      <c r="AG235" s="1142">
        <v>77</v>
      </c>
    </row>
    <row r="236" spans="1:33">
      <c r="A236" s="1360"/>
      <c r="B236" s="1511">
        <v>9</v>
      </c>
      <c r="C236" s="1511" t="s">
        <v>2020</v>
      </c>
      <c r="D236" s="1505"/>
      <c r="E236" s="1512">
        <v>943</v>
      </c>
      <c r="F236" s="1510" t="s">
        <v>392</v>
      </c>
      <c r="G236" s="1142">
        <v>5</v>
      </c>
      <c r="H236" s="1510"/>
      <c r="I236" s="1142">
        <v>117</v>
      </c>
      <c r="J236" s="1510"/>
      <c r="K236" s="1142">
        <v>8</v>
      </c>
      <c r="L236" s="1510"/>
      <c r="M236" s="1142">
        <v>0</v>
      </c>
      <c r="N236" s="1510"/>
      <c r="O236" s="1142">
        <v>136</v>
      </c>
      <c r="P236" s="1510"/>
      <c r="Q236" s="1142">
        <v>218</v>
      </c>
      <c r="R236" s="1383" t="s">
        <v>392</v>
      </c>
      <c r="S236" s="1360"/>
      <c r="T236" s="1511">
        <v>9</v>
      </c>
      <c r="U236" s="1511" t="s">
        <v>2020</v>
      </c>
      <c r="V236" s="1505"/>
      <c r="W236" s="1142">
        <v>9</v>
      </c>
      <c r="X236" s="1510"/>
      <c r="Y236" s="1142">
        <v>132</v>
      </c>
      <c r="Z236" s="1510"/>
      <c r="AA236" s="1142">
        <v>103</v>
      </c>
      <c r="AB236" s="1510"/>
      <c r="AC236" s="1142">
        <v>84</v>
      </c>
      <c r="AD236" s="1510"/>
      <c r="AE236" s="1142">
        <v>98</v>
      </c>
      <c r="AF236" s="1510"/>
      <c r="AG236" s="1142">
        <v>33</v>
      </c>
    </row>
    <row r="237" spans="1:33">
      <c r="A237" s="1360"/>
      <c r="B237" s="1511">
        <v>10</v>
      </c>
      <c r="C237" s="1511" t="s">
        <v>2021</v>
      </c>
      <c r="D237" s="1505"/>
      <c r="E237" s="1512">
        <v>1017</v>
      </c>
      <c r="F237" s="1510" t="s">
        <v>392</v>
      </c>
      <c r="G237" s="1142">
        <v>41</v>
      </c>
      <c r="H237" s="1510"/>
      <c r="I237" s="1142">
        <v>41</v>
      </c>
      <c r="J237" s="1510" t="s">
        <v>392</v>
      </c>
      <c r="K237" s="1142">
        <v>7</v>
      </c>
      <c r="L237" s="1510"/>
      <c r="M237" s="1142">
        <v>1</v>
      </c>
      <c r="N237" s="1510"/>
      <c r="O237" s="1142">
        <v>113</v>
      </c>
      <c r="P237" s="1510"/>
      <c r="Q237" s="1142">
        <v>128</v>
      </c>
      <c r="R237" s="1383" t="s">
        <v>392</v>
      </c>
      <c r="S237" s="1360"/>
      <c r="T237" s="1511">
        <v>10</v>
      </c>
      <c r="U237" s="1511" t="s">
        <v>2021</v>
      </c>
      <c r="V237" s="1505"/>
      <c r="W237" s="1142">
        <v>200</v>
      </c>
      <c r="X237" s="1510"/>
      <c r="Y237" s="1142" t="s">
        <v>1350</v>
      </c>
      <c r="Z237" s="1510" t="s">
        <v>392</v>
      </c>
      <c r="AA237" s="1142">
        <v>313</v>
      </c>
      <c r="AB237" s="1510"/>
      <c r="AC237" s="1142">
        <v>119</v>
      </c>
      <c r="AD237" s="1510"/>
      <c r="AE237" s="1142">
        <v>20</v>
      </c>
      <c r="AF237" s="1510"/>
      <c r="AG237" s="1142">
        <v>35</v>
      </c>
    </row>
    <row r="238" spans="1:33">
      <c r="A238" s="1360"/>
      <c r="B238" s="1511">
        <v>11</v>
      </c>
      <c r="C238" s="1511" t="s">
        <v>2022</v>
      </c>
      <c r="D238" s="1505"/>
      <c r="E238" s="1512">
        <v>49</v>
      </c>
      <c r="F238" s="1510" t="s">
        <v>392</v>
      </c>
      <c r="G238" s="1142">
        <v>19</v>
      </c>
      <c r="H238" s="1510"/>
      <c r="I238" s="1142">
        <v>23</v>
      </c>
      <c r="J238" s="1510"/>
      <c r="K238" s="1142" t="s">
        <v>1350</v>
      </c>
      <c r="L238" s="1510" t="s">
        <v>392</v>
      </c>
      <c r="M238" s="1142" t="s">
        <v>1350</v>
      </c>
      <c r="N238" s="1510"/>
      <c r="O238" s="1142">
        <v>0</v>
      </c>
      <c r="P238" s="1510"/>
      <c r="Q238" s="1142">
        <v>1</v>
      </c>
      <c r="R238" s="1383"/>
      <c r="S238" s="1360"/>
      <c r="T238" s="1511">
        <v>11</v>
      </c>
      <c r="U238" s="1511" t="s">
        <v>2022</v>
      </c>
      <c r="V238" s="1505"/>
      <c r="W238" s="1142">
        <v>4</v>
      </c>
      <c r="X238" s="1510"/>
      <c r="Y238" s="1142">
        <v>2</v>
      </c>
      <c r="Z238" s="1510"/>
      <c r="AA238" s="1142" t="s">
        <v>1350</v>
      </c>
      <c r="AB238" s="1510" t="s">
        <v>392</v>
      </c>
      <c r="AC238" s="1142" t="s">
        <v>1350</v>
      </c>
      <c r="AD238" s="1510" t="s">
        <v>392</v>
      </c>
      <c r="AE238" s="1142" t="s">
        <v>1350</v>
      </c>
      <c r="AF238" s="1510" t="s">
        <v>392</v>
      </c>
      <c r="AG238" s="1142" t="s">
        <v>1350</v>
      </c>
    </row>
    <row r="239" spans="1:33">
      <c r="A239" s="1360"/>
      <c r="B239" s="1511">
        <v>12</v>
      </c>
      <c r="C239" s="1511" t="s">
        <v>2023</v>
      </c>
      <c r="D239" s="1505"/>
      <c r="E239" s="1512">
        <v>828</v>
      </c>
      <c r="F239" s="1510" t="s">
        <v>392</v>
      </c>
      <c r="G239" s="1142">
        <v>2</v>
      </c>
      <c r="H239" s="1510"/>
      <c r="I239" s="1142">
        <v>6</v>
      </c>
      <c r="J239" s="1510"/>
      <c r="K239" s="1142" t="s">
        <v>1350</v>
      </c>
      <c r="L239" s="1510" t="s">
        <v>392</v>
      </c>
      <c r="M239" s="1142">
        <v>23</v>
      </c>
      <c r="N239" s="1510"/>
      <c r="O239" s="1142" t="s">
        <v>1350</v>
      </c>
      <c r="P239" s="1510" t="s">
        <v>392</v>
      </c>
      <c r="Q239" s="1142">
        <v>120</v>
      </c>
      <c r="R239" s="1383"/>
      <c r="S239" s="1360"/>
      <c r="T239" s="1511">
        <v>12</v>
      </c>
      <c r="U239" s="1511" t="s">
        <v>2023</v>
      </c>
      <c r="V239" s="1505"/>
      <c r="W239" s="1142">
        <v>1</v>
      </c>
      <c r="X239" s="1510"/>
      <c r="Y239" s="1142">
        <v>319</v>
      </c>
      <c r="Z239" s="1510"/>
      <c r="AA239" s="1142">
        <v>108</v>
      </c>
      <c r="AB239" s="1510"/>
      <c r="AC239" s="1142">
        <v>162</v>
      </c>
      <c r="AD239" s="1510"/>
      <c r="AE239" s="1142">
        <v>87</v>
      </c>
      <c r="AF239" s="1510"/>
      <c r="AG239" s="1142" t="s">
        <v>1350</v>
      </c>
    </row>
    <row r="240" spans="1:33">
      <c r="A240" s="1360"/>
      <c r="B240" s="1511">
        <v>13</v>
      </c>
      <c r="C240" s="1511" t="s">
        <v>2024</v>
      </c>
      <c r="D240" s="1505"/>
      <c r="E240" s="1512" t="s">
        <v>1350</v>
      </c>
      <c r="F240" s="1510" t="s">
        <v>392</v>
      </c>
      <c r="G240" s="1142" t="s">
        <v>1350</v>
      </c>
      <c r="H240" s="1510" t="s">
        <v>392</v>
      </c>
      <c r="I240" s="1142" t="s">
        <v>1350</v>
      </c>
      <c r="J240" s="1510" t="s">
        <v>392</v>
      </c>
      <c r="K240" s="1142" t="s">
        <v>1350</v>
      </c>
      <c r="L240" s="1510" t="s">
        <v>392</v>
      </c>
      <c r="M240" s="1142" t="s">
        <v>1350</v>
      </c>
      <c r="N240" s="1510" t="s">
        <v>392</v>
      </c>
      <c r="O240" s="1142" t="s">
        <v>1350</v>
      </c>
      <c r="P240" s="1510" t="s">
        <v>392</v>
      </c>
      <c r="Q240" s="1142" t="s">
        <v>1350</v>
      </c>
      <c r="R240" s="1383" t="s">
        <v>392</v>
      </c>
      <c r="S240" s="1360"/>
      <c r="T240" s="1511">
        <v>13</v>
      </c>
      <c r="U240" s="1511" t="s">
        <v>2024</v>
      </c>
      <c r="V240" s="1505"/>
      <c r="W240" s="1142" t="s">
        <v>1350</v>
      </c>
      <c r="X240" s="1510" t="s">
        <v>392</v>
      </c>
      <c r="Y240" s="1142" t="s">
        <v>1350</v>
      </c>
      <c r="Z240" s="1510" t="s">
        <v>392</v>
      </c>
      <c r="AA240" s="1142" t="s">
        <v>1350</v>
      </c>
      <c r="AB240" s="1510" t="s">
        <v>392</v>
      </c>
      <c r="AC240" s="1142" t="s">
        <v>1350</v>
      </c>
      <c r="AD240" s="1510" t="s">
        <v>392</v>
      </c>
      <c r="AE240" s="1142" t="s">
        <v>1350</v>
      </c>
      <c r="AF240" s="1510" t="s">
        <v>392</v>
      </c>
      <c r="AG240" s="1142" t="s">
        <v>1350</v>
      </c>
    </row>
    <row r="241" spans="1:33">
      <c r="A241" s="1360"/>
      <c r="B241" s="1511">
        <v>14</v>
      </c>
      <c r="C241" s="1511" t="s">
        <v>2025</v>
      </c>
      <c r="D241" s="1505"/>
      <c r="E241" s="1512">
        <v>847</v>
      </c>
      <c r="F241" s="1510" t="s">
        <v>392</v>
      </c>
      <c r="G241" s="1142" t="s">
        <v>1350</v>
      </c>
      <c r="H241" s="1510" t="s">
        <v>392</v>
      </c>
      <c r="I241" s="1142">
        <v>107</v>
      </c>
      <c r="J241" s="1510"/>
      <c r="K241" s="1142">
        <v>9</v>
      </c>
      <c r="L241" s="1510"/>
      <c r="M241" s="1142">
        <v>105</v>
      </c>
      <c r="N241" s="1510"/>
      <c r="O241" s="1142">
        <v>152</v>
      </c>
      <c r="P241" s="1510"/>
      <c r="Q241" s="1142">
        <v>421</v>
      </c>
      <c r="R241" s="1383" t="s">
        <v>392</v>
      </c>
      <c r="S241" s="1360"/>
      <c r="T241" s="1511">
        <v>14</v>
      </c>
      <c r="U241" s="1511" t="s">
        <v>2025</v>
      </c>
      <c r="V241" s="1505"/>
      <c r="W241" s="1142">
        <v>5</v>
      </c>
      <c r="X241" s="1510"/>
      <c r="Y241" s="1142">
        <v>12</v>
      </c>
      <c r="Z241" s="1510"/>
      <c r="AA241" s="1142">
        <v>34</v>
      </c>
      <c r="AB241" s="1510"/>
      <c r="AC241" s="1142" t="s">
        <v>1350</v>
      </c>
      <c r="AD241" s="1510" t="s">
        <v>392</v>
      </c>
      <c r="AE241" s="1142" t="s">
        <v>1350</v>
      </c>
      <c r="AF241" s="1510" t="s">
        <v>392</v>
      </c>
      <c r="AG241" s="1142">
        <v>3</v>
      </c>
    </row>
    <row r="242" spans="1:33">
      <c r="A242" s="1360"/>
      <c r="B242" s="1511">
        <v>15</v>
      </c>
      <c r="C242" s="1511" t="s">
        <v>2026</v>
      </c>
      <c r="D242" s="1505"/>
      <c r="E242" s="1512" t="s">
        <v>1350</v>
      </c>
      <c r="F242" s="1510" t="s">
        <v>392</v>
      </c>
      <c r="G242" s="1142" t="s">
        <v>1350</v>
      </c>
      <c r="H242" s="1510" t="s">
        <v>392</v>
      </c>
      <c r="I242" s="1142" t="s">
        <v>1350</v>
      </c>
      <c r="J242" s="1510" t="s">
        <v>392</v>
      </c>
      <c r="K242" s="1142" t="s">
        <v>1350</v>
      </c>
      <c r="L242" s="1510" t="s">
        <v>392</v>
      </c>
      <c r="M242" s="1142" t="s">
        <v>1350</v>
      </c>
      <c r="N242" s="1510" t="s">
        <v>392</v>
      </c>
      <c r="O242" s="1142" t="s">
        <v>1350</v>
      </c>
      <c r="P242" s="1510" t="s">
        <v>392</v>
      </c>
      <c r="Q242" s="1142" t="s">
        <v>1350</v>
      </c>
      <c r="R242" s="1383" t="s">
        <v>392</v>
      </c>
      <c r="S242" s="1360"/>
      <c r="T242" s="1511">
        <v>15</v>
      </c>
      <c r="U242" s="1511" t="s">
        <v>2026</v>
      </c>
      <c r="V242" s="1505"/>
      <c r="W242" s="1142" t="s">
        <v>1350</v>
      </c>
      <c r="X242" s="1510" t="s">
        <v>392</v>
      </c>
      <c r="Y242" s="1142" t="s">
        <v>1350</v>
      </c>
      <c r="Z242" s="1510" t="s">
        <v>392</v>
      </c>
      <c r="AA242" s="1142" t="s">
        <v>1350</v>
      </c>
      <c r="AB242" s="1510" t="s">
        <v>392</v>
      </c>
      <c r="AC242" s="1142" t="s">
        <v>1350</v>
      </c>
      <c r="AD242" s="1510" t="s">
        <v>392</v>
      </c>
      <c r="AE242" s="1142" t="s">
        <v>1350</v>
      </c>
      <c r="AF242" s="1510" t="s">
        <v>392</v>
      </c>
      <c r="AG242" s="1142" t="s">
        <v>1350</v>
      </c>
    </row>
    <row r="243" spans="1:33">
      <c r="A243" s="1360"/>
      <c r="B243" s="1511">
        <v>16</v>
      </c>
      <c r="C243" s="1511" t="s">
        <v>2027</v>
      </c>
      <c r="D243" s="1505"/>
      <c r="E243" s="1512" t="s">
        <v>1350</v>
      </c>
      <c r="F243" s="1510" t="s">
        <v>392</v>
      </c>
      <c r="G243" s="1142" t="s">
        <v>1350</v>
      </c>
      <c r="H243" s="1510" t="s">
        <v>392</v>
      </c>
      <c r="I243" s="1142" t="s">
        <v>1350</v>
      </c>
      <c r="J243" s="1510" t="s">
        <v>392</v>
      </c>
      <c r="K243" s="1142" t="s">
        <v>1350</v>
      </c>
      <c r="L243" s="1510" t="s">
        <v>392</v>
      </c>
      <c r="M243" s="1142" t="s">
        <v>1350</v>
      </c>
      <c r="N243" s="1510" t="s">
        <v>392</v>
      </c>
      <c r="O243" s="1142" t="s">
        <v>1350</v>
      </c>
      <c r="P243" s="1510" t="s">
        <v>392</v>
      </c>
      <c r="Q243" s="1142" t="s">
        <v>1350</v>
      </c>
      <c r="R243" s="1383" t="s">
        <v>392</v>
      </c>
      <c r="S243" s="1360"/>
      <c r="T243" s="1511">
        <v>16</v>
      </c>
      <c r="U243" s="1511" t="s">
        <v>2027</v>
      </c>
      <c r="V243" s="1505"/>
      <c r="W243" s="1142" t="s">
        <v>1350</v>
      </c>
      <c r="X243" s="1510" t="s">
        <v>392</v>
      </c>
      <c r="Y243" s="1142" t="s">
        <v>1350</v>
      </c>
      <c r="Z243" s="1510" t="s">
        <v>392</v>
      </c>
      <c r="AA243" s="1142" t="s">
        <v>1350</v>
      </c>
      <c r="AB243" s="1510" t="s">
        <v>392</v>
      </c>
      <c r="AC243" s="1142" t="s">
        <v>1350</v>
      </c>
      <c r="AD243" s="1510" t="s">
        <v>392</v>
      </c>
      <c r="AE243" s="1142" t="s">
        <v>1350</v>
      </c>
      <c r="AF243" s="1510" t="s">
        <v>392</v>
      </c>
      <c r="AG243" s="1142" t="s">
        <v>1350</v>
      </c>
    </row>
    <row r="244" spans="1:33">
      <c r="A244" s="1348"/>
      <c r="B244" s="1514">
        <v>17</v>
      </c>
      <c r="C244" s="1514" t="s">
        <v>2028</v>
      </c>
      <c r="D244" s="1505"/>
      <c r="E244" s="1512">
        <v>12</v>
      </c>
      <c r="F244" s="1510"/>
      <c r="G244" s="1142" t="s">
        <v>1350</v>
      </c>
      <c r="H244" s="1510" t="s">
        <v>392</v>
      </c>
      <c r="I244" s="1142">
        <v>6</v>
      </c>
      <c r="J244" s="1510"/>
      <c r="K244" s="1142" t="s">
        <v>1350</v>
      </c>
      <c r="L244" s="1510" t="s">
        <v>392</v>
      </c>
      <c r="M244" s="1142" t="s">
        <v>1350</v>
      </c>
      <c r="N244" s="1510" t="s">
        <v>392</v>
      </c>
      <c r="O244" s="1142" t="s">
        <v>1350</v>
      </c>
      <c r="P244" s="1510" t="s">
        <v>392</v>
      </c>
      <c r="Q244" s="1142">
        <v>0</v>
      </c>
      <c r="R244" s="1383"/>
      <c r="S244" s="1360"/>
      <c r="T244" s="1511">
        <v>17</v>
      </c>
      <c r="U244" s="1511" t="s">
        <v>2028</v>
      </c>
      <c r="V244" s="1505"/>
      <c r="W244" s="1142" t="s">
        <v>1350</v>
      </c>
      <c r="X244" s="1510" t="s">
        <v>392</v>
      </c>
      <c r="Y244" s="1142" t="s">
        <v>1350</v>
      </c>
      <c r="Z244" s="1510" t="s">
        <v>392</v>
      </c>
      <c r="AA244" s="1142" t="s">
        <v>1350</v>
      </c>
      <c r="AB244" s="1510" t="s">
        <v>392</v>
      </c>
      <c r="AC244" s="1142" t="s">
        <v>1350</v>
      </c>
      <c r="AD244" s="1510" t="s">
        <v>392</v>
      </c>
      <c r="AE244" s="1142">
        <v>7</v>
      </c>
      <c r="AF244" s="1510"/>
      <c r="AG244" s="1142" t="s">
        <v>1350</v>
      </c>
    </row>
    <row r="245" spans="1:33">
      <c r="A245" s="1360"/>
      <c r="B245" s="1511">
        <v>18</v>
      </c>
      <c r="C245" s="1511" t="s">
        <v>2029</v>
      </c>
      <c r="D245" s="1505"/>
      <c r="E245" s="1512">
        <v>354</v>
      </c>
      <c r="F245" s="1510" t="s">
        <v>392</v>
      </c>
      <c r="G245" s="1142">
        <v>10</v>
      </c>
      <c r="H245" s="1510"/>
      <c r="I245" s="1142">
        <v>73</v>
      </c>
      <c r="J245" s="1510"/>
      <c r="K245" s="1142">
        <v>5</v>
      </c>
      <c r="L245" s="1510"/>
      <c r="M245" s="1142">
        <v>9</v>
      </c>
      <c r="N245" s="1510"/>
      <c r="O245" s="1142">
        <v>0</v>
      </c>
      <c r="P245" s="1510"/>
      <c r="Q245" s="1142">
        <v>1</v>
      </c>
      <c r="R245" s="1383"/>
      <c r="S245" s="1360"/>
      <c r="T245" s="1511">
        <v>18</v>
      </c>
      <c r="U245" s="1511" t="s">
        <v>2029</v>
      </c>
      <c r="V245" s="1505"/>
      <c r="W245" s="1142">
        <v>33</v>
      </c>
      <c r="X245" s="1510"/>
      <c r="Y245" s="1142">
        <v>154</v>
      </c>
      <c r="Z245" s="1510"/>
      <c r="AA245" s="1142">
        <v>4</v>
      </c>
      <c r="AB245" s="1510"/>
      <c r="AC245" s="1142" t="s">
        <v>1350</v>
      </c>
      <c r="AD245" s="1510" t="s">
        <v>392</v>
      </c>
      <c r="AE245" s="1142">
        <v>64</v>
      </c>
      <c r="AF245" s="1510"/>
      <c r="AG245" s="1142">
        <v>0</v>
      </c>
    </row>
    <row r="246" spans="1:33">
      <c r="A246" s="1360"/>
      <c r="B246" s="1511">
        <v>19</v>
      </c>
      <c r="C246" s="1511" t="s">
        <v>2030</v>
      </c>
      <c r="D246" s="1505"/>
      <c r="E246" s="1512">
        <v>25129</v>
      </c>
      <c r="F246" s="1510" t="s">
        <v>392</v>
      </c>
      <c r="G246" s="1142" t="s">
        <v>1350</v>
      </c>
      <c r="H246" s="1510" t="s">
        <v>392</v>
      </c>
      <c r="I246" s="1142">
        <v>123</v>
      </c>
      <c r="J246" s="1510"/>
      <c r="K246" s="1142">
        <v>288</v>
      </c>
      <c r="L246" s="1510"/>
      <c r="M246" s="1142">
        <v>3377</v>
      </c>
      <c r="N246" s="1510" t="s">
        <v>392</v>
      </c>
      <c r="O246" s="1142">
        <v>91</v>
      </c>
      <c r="P246" s="1510"/>
      <c r="Q246" s="1142">
        <v>254</v>
      </c>
      <c r="R246" s="1383"/>
      <c r="S246" s="1360"/>
      <c r="T246" s="1511">
        <v>19</v>
      </c>
      <c r="U246" s="1511" t="s">
        <v>2030</v>
      </c>
      <c r="V246" s="1505"/>
      <c r="W246" s="1142">
        <v>8519</v>
      </c>
      <c r="X246" s="1510" t="s">
        <v>392</v>
      </c>
      <c r="Y246" s="1142">
        <v>5204</v>
      </c>
      <c r="Z246" s="1510"/>
      <c r="AA246" s="1142">
        <v>527</v>
      </c>
      <c r="AB246" s="1510"/>
      <c r="AC246" s="1142">
        <v>6742</v>
      </c>
      <c r="AD246" s="1510"/>
      <c r="AE246" s="1142">
        <v>3</v>
      </c>
      <c r="AF246" s="1510"/>
      <c r="AG246" s="1142" t="s">
        <v>1350</v>
      </c>
    </row>
    <row r="247" spans="1:33" ht="21">
      <c r="A247" s="1360"/>
      <c r="B247" s="1511"/>
      <c r="C247" s="1511" t="s">
        <v>665</v>
      </c>
      <c r="D247" s="1505" t="s">
        <v>2031</v>
      </c>
      <c r="E247" s="1512">
        <v>19692</v>
      </c>
      <c r="F247" s="1510" t="s">
        <v>392</v>
      </c>
      <c r="G247" s="1142" t="s">
        <v>1350</v>
      </c>
      <c r="H247" s="1510" t="s">
        <v>392</v>
      </c>
      <c r="I247" s="1142">
        <v>123</v>
      </c>
      <c r="J247" s="1510"/>
      <c r="K247" s="1142" t="s">
        <v>1350</v>
      </c>
      <c r="L247" s="1510" t="s">
        <v>392</v>
      </c>
      <c r="M247" s="1142">
        <v>3217</v>
      </c>
      <c r="N247" s="1510" t="s">
        <v>392</v>
      </c>
      <c r="O247" s="1142" t="s">
        <v>1350</v>
      </c>
      <c r="P247" s="1510" t="s">
        <v>392</v>
      </c>
      <c r="Q247" s="1142">
        <v>0</v>
      </c>
      <c r="R247" s="1383"/>
      <c r="S247" s="1360"/>
      <c r="T247" s="1511"/>
      <c r="U247" s="1511" t="s">
        <v>665</v>
      </c>
      <c r="V247" s="1505" t="s">
        <v>2031</v>
      </c>
      <c r="W247" s="1142">
        <v>8042</v>
      </c>
      <c r="X247" s="1510" t="s">
        <v>392</v>
      </c>
      <c r="Y247" s="1142">
        <v>4420</v>
      </c>
      <c r="Z247" s="1510"/>
      <c r="AA247" s="1142">
        <v>340</v>
      </c>
      <c r="AB247" s="1510"/>
      <c r="AC247" s="1142">
        <v>3547</v>
      </c>
      <c r="AD247" s="1510"/>
      <c r="AE247" s="1142">
        <v>2</v>
      </c>
      <c r="AF247" s="1510"/>
      <c r="AG247" s="1142" t="s">
        <v>1350</v>
      </c>
    </row>
    <row r="248" spans="1:33" ht="31.2">
      <c r="A248" s="1360"/>
      <c r="B248" s="1511"/>
      <c r="C248" s="1511"/>
      <c r="D248" s="1505" t="s">
        <v>2032</v>
      </c>
      <c r="E248" s="1512">
        <v>477</v>
      </c>
      <c r="F248" s="1510"/>
      <c r="G248" s="1142" t="s">
        <v>1350</v>
      </c>
      <c r="H248" s="1510" t="s">
        <v>392</v>
      </c>
      <c r="I248" s="1142" t="s">
        <v>1350</v>
      </c>
      <c r="J248" s="1510" t="s">
        <v>392</v>
      </c>
      <c r="K248" s="1142" t="s">
        <v>1350</v>
      </c>
      <c r="L248" s="1510" t="s">
        <v>392</v>
      </c>
      <c r="M248" s="1142" t="s">
        <v>1350</v>
      </c>
      <c r="N248" s="1510" t="s">
        <v>392</v>
      </c>
      <c r="O248" s="1142" t="s">
        <v>1350</v>
      </c>
      <c r="P248" s="1510" t="s">
        <v>392</v>
      </c>
      <c r="Q248" s="1142" t="s">
        <v>1350</v>
      </c>
      <c r="R248" s="1383" t="s">
        <v>392</v>
      </c>
      <c r="S248" s="1360"/>
      <c r="T248" s="1511"/>
      <c r="U248" s="1511"/>
      <c r="V248" s="1505" t="s">
        <v>2032</v>
      </c>
      <c r="W248" s="1142">
        <v>477</v>
      </c>
      <c r="X248" s="1510"/>
      <c r="Y248" s="1142" t="s">
        <v>1350</v>
      </c>
      <c r="Z248" s="1510" t="s">
        <v>392</v>
      </c>
      <c r="AA248" s="1142" t="s">
        <v>1350</v>
      </c>
      <c r="AB248" s="1510" t="s">
        <v>392</v>
      </c>
      <c r="AC248" s="1142">
        <v>0</v>
      </c>
      <c r="AD248" s="1510"/>
      <c r="AE248" s="1142" t="s">
        <v>1350</v>
      </c>
      <c r="AF248" s="1510" t="s">
        <v>392</v>
      </c>
      <c r="AG248" s="1142" t="s">
        <v>1350</v>
      </c>
    </row>
    <row r="249" spans="1:33" ht="21">
      <c r="A249" s="1360"/>
      <c r="B249" s="1511"/>
      <c r="C249" s="1511"/>
      <c r="D249" s="1505" t="s">
        <v>2033</v>
      </c>
      <c r="E249" s="1512">
        <v>4787</v>
      </c>
      <c r="F249" s="1510" t="s">
        <v>392</v>
      </c>
      <c r="G249" s="1142" t="s">
        <v>1350</v>
      </c>
      <c r="H249" s="1510" t="s">
        <v>392</v>
      </c>
      <c r="I249" s="1142" t="s">
        <v>1350</v>
      </c>
      <c r="J249" s="1510" t="s">
        <v>392</v>
      </c>
      <c r="K249" s="1142">
        <v>288</v>
      </c>
      <c r="L249" s="1510"/>
      <c r="M249" s="1142">
        <v>160</v>
      </c>
      <c r="N249" s="1510"/>
      <c r="O249" s="1142">
        <v>91</v>
      </c>
      <c r="P249" s="1510"/>
      <c r="Q249" s="1142">
        <v>254</v>
      </c>
      <c r="R249" s="1383"/>
      <c r="S249" s="1360"/>
      <c r="T249" s="1511"/>
      <c r="U249" s="1511"/>
      <c r="V249" s="1505" t="s">
        <v>2033</v>
      </c>
      <c r="W249" s="1142" t="s">
        <v>1350</v>
      </c>
      <c r="X249" s="1510" t="s">
        <v>392</v>
      </c>
      <c r="Y249" s="1142">
        <v>784</v>
      </c>
      <c r="Z249" s="1510"/>
      <c r="AA249" s="1142">
        <v>187</v>
      </c>
      <c r="AB249" s="1510"/>
      <c r="AC249" s="1142">
        <v>3022</v>
      </c>
      <c r="AD249" s="1510"/>
      <c r="AE249" s="1142">
        <v>1</v>
      </c>
      <c r="AF249" s="1510"/>
      <c r="AG249" s="1142" t="s">
        <v>1350</v>
      </c>
    </row>
    <row r="250" spans="1:33">
      <c r="A250" s="1348"/>
      <c r="B250" s="1514">
        <v>20</v>
      </c>
      <c r="C250" s="1514" t="s">
        <v>2034</v>
      </c>
      <c r="D250" s="1505"/>
      <c r="E250" s="1512">
        <v>460</v>
      </c>
      <c r="F250" s="1510" t="s">
        <v>392</v>
      </c>
      <c r="G250" s="1142">
        <v>23</v>
      </c>
      <c r="H250" s="1510"/>
      <c r="I250" s="1142">
        <v>1</v>
      </c>
      <c r="J250" s="1510"/>
      <c r="K250" s="1142">
        <v>57</v>
      </c>
      <c r="L250" s="1510"/>
      <c r="M250" s="1142">
        <v>27</v>
      </c>
      <c r="N250" s="1510"/>
      <c r="O250" s="1142" t="s">
        <v>1350</v>
      </c>
      <c r="P250" s="1510" t="s">
        <v>392</v>
      </c>
      <c r="Q250" s="1142">
        <v>37</v>
      </c>
      <c r="R250" s="1383" t="s">
        <v>392</v>
      </c>
      <c r="S250" s="1360"/>
      <c r="T250" s="1511">
        <v>20</v>
      </c>
      <c r="U250" s="1511" t="s">
        <v>2034</v>
      </c>
      <c r="V250" s="1505"/>
      <c r="W250" s="1142">
        <v>153</v>
      </c>
      <c r="X250" s="1510"/>
      <c r="Y250" s="1142" t="s">
        <v>1350</v>
      </c>
      <c r="Z250" s="1510" t="s">
        <v>392</v>
      </c>
      <c r="AA250" s="1142" t="s">
        <v>1350</v>
      </c>
      <c r="AB250" s="1510" t="s">
        <v>392</v>
      </c>
      <c r="AC250" s="1142">
        <v>135</v>
      </c>
      <c r="AD250" s="1510"/>
      <c r="AE250" s="1142">
        <v>2</v>
      </c>
      <c r="AF250" s="1510"/>
      <c r="AG250" s="1142">
        <v>26</v>
      </c>
    </row>
    <row r="251" spans="1:33">
      <c r="A251" s="1341"/>
      <c r="B251" s="1369" t="s">
        <v>1965</v>
      </c>
      <c r="C251" s="1369"/>
      <c r="D251" s="1515"/>
      <c r="E251" s="1512">
        <v>80820</v>
      </c>
      <c r="F251" s="1516" t="s">
        <v>392</v>
      </c>
      <c r="G251" s="1512">
        <v>3271</v>
      </c>
      <c r="H251" s="1516" t="s">
        <v>392</v>
      </c>
      <c r="I251" s="1512">
        <v>3847</v>
      </c>
      <c r="J251" s="1516" t="s">
        <v>392</v>
      </c>
      <c r="K251" s="1512">
        <v>4537</v>
      </c>
      <c r="L251" s="1516" t="s">
        <v>392</v>
      </c>
      <c r="M251" s="1512">
        <v>6085</v>
      </c>
      <c r="N251" s="1516" t="s">
        <v>392</v>
      </c>
      <c r="O251" s="1512">
        <v>1468</v>
      </c>
      <c r="P251" s="1517"/>
      <c r="Q251" s="1512">
        <v>6398</v>
      </c>
      <c r="R251" s="1518" t="s">
        <v>392</v>
      </c>
      <c r="S251" s="1341"/>
      <c r="T251" s="1369" t="s">
        <v>2035</v>
      </c>
      <c r="U251" s="1369"/>
      <c r="V251" s="1515"/>
      <c r="W251" s="1512">
        <v>11209</v>
      </c>
      <c r="X251" s="1516" t="s">
        <v>392</v>
      </c>
      <c r="Y251" s="1512">
        <v>8486</v>
      </c>
      <c r="Z251" s="1516" t="s">
        <v>392</v>
      </c>
      <c r="AA251" s="1512">
        <v>1658</v>
      </c>
      <c r="AB251" s="1517"/>
      <c r="AC251" s="1512">
        <v>19073</v>
      </c>
      <c r="AD251" s="1516" t="s">
        <v>392</v>
      </c>
      <c r="AE251" s="1512">
        <v>14009</v>
      </c>
      <c r="AF251" s="1516" t="s">
        <v>392</v>
      </c>
      <c r="AG251" s="1512">
        <v>780</v>
      </c>
    </row>
    <row r="252" spans="1:33">
      <c r="A252" s="1519"/>
      <c r="B252" s="1398" t="s">
        <v>2036</v>
      </c>
      <c r="C252" s="1519"/>
      <c r="D252" s="1520"/>
      <c r="E252" s="1521">
        <v>79638</v>
      </c>
      <c r="F252" s="1522" t="s">
        <v>392</v>
      </c>
      <c r="G252" s="1521">
        <v>3453</v>
      </c>
      <c r="H252" s="1522" t="s">
        <v>392</v>
      </c>
      <c r="I252" s="1521">
        <v>4257</v>
      </c>
      <c r="J252" s="1522" t="s">
        <v>392</v>
      </c>
      <c r="K252" s="1521">
        <v>3546</v>
      </c>
      <c r="L252" s="1522" t="s">
        <v>392</v>
      </c>
      <c r="M252" s="1521">
        <v>6082</v>
      </c>
      <c r="N252" s="1522" t="s">
        <v>392</v>
      </c>
      <c r="O252" s="1521">
        <v>1613</v>
      </c>
      <c r="P252" s="1522"/>
      <c r="Q252" s="1521">
        <v>6055</v>
      </c>
      <c r="R252" s="1518" t="s">
        <v>392</v>
      </c>
      <c r="S252" s="1398"/>
      <c r="T252" s="1398" t="s">
        <v>2037</v>
      </c>
      <c r="U252" s="1422"/>
      <c r="V252" s="1520"/>
      <c r="W252" s="1521">
        <v>11202</v>
      </c>
      <c r="X252" s="1522" t="s">
        <v>392</v>
      </c>
      <c r="Y252" s="1521">
        <v>8838</v>
      </c>
      <c r="Z252" s="1522" t="s">
        <v>392</v>
      </c>
      <c r="AA252" s="1521">
        <v>1558</v>
      </c>
      <c r="AB252" s="1522"/>
      <c r="AC252" s="1521">
        <v>18637</v>
      </c>
      <c r="AD252" s="1522" t="s">
        <v>392</v>
      </c>
      <c r="AE252" s="1521">
        <v>13580</v>
      </c>
      <c r="AF252" s="1522" t="s">
        <v>392</v>
      </c>
      <c r="AG252" s="1521">
        <v>817</v>
      </c>
    </row>
    <row r="253" spans="1:33">
      <c r="A253" s="1375"/>
      <c r="B253" s="1375"/>
      <c r="C253" s="1375"/>
      <c r="D253" s="1352"/>
      <c r="E253" s="1337"/>
      <c r="F253" s="1427"/>
      <c r="G253" s="1374"/>
      <c r="H253" s="1427"/>
      <c r="I253" s="1374"/>
      <c r="J253" s="1427"/>
      <c r="K253" s="1374"/>
      <c r="L253" s="1427"/>
      <c r="M253" s="1374"/>
      <c r="N253" s="1427"/>
      <c r="O253" s="1374"/>
      <c r="P253" s="1427"/>
      <c r="Q253" s="1374"/>
      <c r="R253" s="1383"/>
      <c r="S253" s="1375"/>
      <c r="T253" s="1375"/>
      <c r="U253" s="1375"/>
      <c r="V253" s="1352"/>
      <c r="W253" s="1374"/>
      <c r="X253" s="1427"/>
      <c r="Y253" s="1374"/>
      <c r="Z253" s="1427"/>
      <c r="AA253" s="1374"/>
      <c r="AB253" s="1427"/>
      <c r="AC253" s="1374"/>
      <c r="AD253" s="1427"/>
      <c r="AE253" s="1142"/>
      <c r="AF253" s="1427"/>
      <c r="AG253" s="1374"/>
    </row>
    <row r="254" spans="1:33">
      <c r="A254" s="1375"/>
      <c r="B254" s="1375"/>
      <c r="C254" s="1375"/>
      <c r="D254" s="1352"/>
      <c r="E254" s="1337" t="s">
        <v>2038</v>
      </c>
      <c r="F254" s="1427"/>
      <c r="G254" s="754">
        <v>1</v>
      </c>
      <c r="H254" s="1427"/>
      <c r="I254" s="754">
        <v>2</v>
      </c>
      <c r="J254" s="1427"/>
      <c r="K254" s="754">
        <v>2</v>
      </c>
      <c r="L254" s="1427"/>
      <c r="M254" s="754">
        <v>3</v>
      </c>
      <c r="N254" s="1427"/>
      <c r="O254" s="754">
        <v>3</v>
      </c>
      <c r="P254" s="1427"/>
      <c r="Q254" s="304">
        <v>4</v>
      </c>
      <c r="R254" s="1383"/>
      <c r="S254" s="1375"/>
      <c r="T254" s="1375"/>
      <c r="U254" s="1375"/>
      <c r="V254" s="1352"/>
      <c r="W254" s="754">
        <v>4</v>
      </c>
      <c r="X254" s="1427"/>
      <c r="Y254" s="754">
        <v>4</v>
      </c>
      <c r="Z254" s="1427"/>
      <c r="AA254" s="754">
        <v>3</v>
      </c>
      <c r="AB254" s="1427"/>
      <c r="AC254" s="754">
        <v>3</v>
      </c>
      <c r="AD254" s="1427"/>
      <c r="AE254" s="754">
        <v>3</v>
      </c>
      <c r="AF254" s="1427"/>
      <c r="AG254" s="754">
        <v>3</v>
      </c>
    </row>
    <row r="255" spans="1:33">
      <c r="A255" s="1375"/>
      <c r="B255" s="1375"/>
      <c r="C255" s="1375"/>
      <c r="D255" s="1352"/>
      <c r="E255" s="1337"/>
      <c r="F255" s="1427"/>
      <c r="G255" s="1427"/>
      <c r="H255" s="1427"/>
      <c r="I255" s="1427"/>
      <c r="J255" s="1427"/>
      <c r="K255" s="1427"/>
      <c r="L255" s="1427"/>
      <c r="M255" s="1427"/>
      <c r="N255" s="1427"/>
      <c r="O255" s="1374"/>
      <c r="P255" s="1427"/>
      <c r="Q255" s="1374"/>
      <c r="R255" s="1383"/>
      <c r="S255" s="1375"/>
      <c r="T255" s="1375"/>
      <c r="U255" s="1375"/>
      <c r="V255" s="1352"/>
      <c r="W255" s="1374"/>
      <c r="X255" s="1427"/>
      <c r="Y255" s="1374"/>
      <c r="Z255" s="1427"/>
      <c r="AA255" s="1374"/>
      <c r="AB255" s="1427"/>
      <c r="AC255" s="1374"/>
      <c r="AD255" s="1427"/>
      <c r="AE255" s="1374"/>
      <c r="AF255" s="1427"/>
      <c r="AG255" s="1374"/>
    </row>
    <row r="256" spans="1:33" ht="13.8" thickBot="1">
      <c r="D256" s="304"/>
      <c r="E256" s="866" t="s">
        <v>2039</v>
      </c>
      <c r="F256" s="304"/>
      <c r="G256" s="304"/>
      <c r="H256" s="754"/>
      <c r="I256" s="754" t="s">
        <v>2533</v>
      </c>
      <c r="J256" s="765" t="s">
        <v>1612</v>
      </c>
      <c r="K256" s="754"/>
      <c r="L256" s="754"/>
      <c r="M256" s="754"/>
      <c r="N256" s="754"/>
    </row>
    <row r="257" spans="2:19">
      <c r="D257" s="304">
        <v>1</v>
      </c>
      <c r="E257" s="866" t="s">
        <v>601</v>
      </c>
      <c r="F257" s="304">
        <f>SUMIF(G254:AG254,D257:D260,G251:AG251)</f>
        <v>3271</v>
      </c>
      <c r="G257" s="2857">
        <f>F257/F$261</f>
        <v>4.0472154514297025E-2</v>
      </c>
      <c r="H257" s="754"/>
      <c r="I257" s="754">
        <f>G257*$I$384</f>
        <v>1215.2613498719393</v>
      </c>
      <c r="J257" s="2236">
        <f>$S$384*AG159</f>
        <v>1099.8851606390933</v>
      </c>
      <c r="K257" s="754"/>
      <c r="L257" s="754"/>
      <c r="M257" s="754"/>
      <c r="N257" s="754"/>
    </row>
    <row r="258" spans="2:19">
      <c r="D258" s="304">
        <v>2</v>
      </c>
      <c r="E258" s="866" t="s">
        <v>602</v>
      </c>
      <c r="F258" s="304">
        <f>SUMIF(G254:AG254,D257:D260,G251:AG251)</f>
        <v>8384</v>
      </c>
      <c r="G258" s="2858">
        <f>F258/F$261</f>
        <v>0.10373541530047883</v>
      </c>
      <c r="H258" s="754"/>
      <c r="I258" s="754">
        <f>G258*$I$384</f>
        <v>3114.8734812981775</v>
      </c>
      <c r="J258" s="2236">
        <f>$S$384*AG160</f>
        <v>528.83112578370208</v>
      </c>
      <c r="K258" s="754"/>
      <c r="L258" s="754"/>
      <c r="M258" s="754"/>
      <c r="N258" s="754"/>
    </row>
    <row r="259" spans="2:19">
      <c r="D259" s="304">
        <v>3</v>
      </c>
      <c r="E259" s="866" t="s">
        <v>603</v>
      </c>
      <c r="F259" s="304">
        <f>SUMIF(G254:AG254,D257:D260,G251:AG251)</f>
        <v>43073</v>
      </c>
      <c r="G259" s="2858">
        <f>F259/F$261</f>
        <v>0.53294317071058261</v>
      </c>
      <c r="H259" s="754"/>
      <c r="I259" s="754">
        <f>G259*$I$384</f>
        <v>16002.736815357395</v>
      </c>
      <c r="J259" s="2236">
        <f>$S$384*AG161</f>
        <v>3081.8196792791214</v>
      </c>
      <c r="K259" s="754"/>
      <c r="L259" s="754"/>
      <c r="M259" s="754"/>
      <c r="N259" s="754"/>
    </row>
    <row r="260" spans="2:19" ht="13.8" thickBot="1">
      <c r="D260" s="304">
        <v>4</v>
      </c>
      <c r="E260" s="866" t="s">
        <v>604</v>
      </c>
      <c r="F260" s="304">
        <f>SUMIF(G254:AG254,D257:D260,G251:AG251)</f>
        <v>26093</v>
      </c>
      <c r="G260" s="2859">
        <f>F260/F$261</f>
        <v>0.32284925947464149</v>
      </c>
      <c r="H260" s="754"/>
      <c r="I260" s="754">
        <f>G260*$I$384</f>
        <v>9694.2263534724898</v>
      </c>
      <c r="J260" s="2236">
        <f>$S$384*AG162</f>
        <v>3140.9490342980826</v>
      </c>
      <c r="K260" s="754"/>
      <c r="L260" s="754"/>
      <c r="M260" s="754"/>
      <c r="N260" s="754"/>
    </row>
    <row r="261" spans="2:19">
      <c r="D261" s="304"/>
      <c r="E261" s="304"/>
      <c r="F261" s="304">
        <f>SUM(F257:F260)</f>
        <v>80821</v>
      </c>
      <c r="G261" s="304"/>
      <c r="H261" s="754"/>
      <c r="I261" s="754"/>
      <c r="J261" s="754"/>
      <c r="K261" s="754"/>
      <c r="L261" s="754"/>
      <c r="M261" s="754"/>
      <c r="N261" s="754"/>
    </row>
    <row r="262" spans="2:19">
      <c r="G262" s="754"/>
      <c r="H262" s="754"/>
      <c r="I262" s="754"/>
      <c r="J262" s="754"/>
      <c r="K262" s="754"/>
      <c r="L262" s="754"/>
      <c r="M262" s="754"/>
      <c r="N262" s="754"/>
    </row>
    <row r="263" spans="2:19">
      <c r="G263" s="754"/>
      <c r="H263" s="754"/>
      <c r="I263" s="754"/>
      <c r="J263" s="754"/>
      <c r="K263" s="754"/>
      <c r="L263" s="754"/>
      <c r="M263" s="754"/>
      <c r="N263" s="754"/>
    </row>
    <row r="264" spans="2:19">
      <c r="G264" s="754"/>
      <c r="H264" s="754"/>
      <c r="I264" s="754"/>
      <c r="J264" s="754"/>
      <c r="K264" s="754"/>
      <c r="L264" s="754"/>
      <c r="M264" s="754"/>
      <c r="N264" s="754"/>
    </row>
    <row r="265" spans="2:19">
      <c r="G265" s="754"/>
      <c r="H265" s="754"/>
      <c r="I265" s="754"/>
      <c r="J265" s="754"/>
      <c r="K265" s="754"/>
      <c r="L265" s="754"/>
      <c r="M265" s="754"/>
      <c r="N265" s="754"/>
    </row>
    <row r="266" spans="2:19">
      <c r="G266" s="754"/>
      <c r="H266" s="754"/>
      <c r="I266" s="754"/>
      <c r="J266" s="754"/>
      <c r="K266" s="754"/>
      <c r="L266" s="754"/>
      <c r="M266" s="754"/>
      <c r="N266" s="754"/>
    </row>
    <row r="267" spans="2:19">
      <c r="G267" s="754"/>
      <c r="H267" s="754"/>
      <c r="I267" s="754"/>
      <c r="J267" s="754"/>
      <c r="K267" s="754"/>
      <c r="L267" s="754"/>
      <c r="M267" s="754"/>
      <c r="N267" s="754"/>
    </row>
    <row r="268" spans="2:19">
      <c r="B268" s="1333" t="s">
        <v>2461</v>
      </c>
      <c r="C268" s="1334"/>
      <c r="D268" s="1335"/>
      <c r="E268" s="1361"/>
      <c r="F268" s="1361"/>
      <c r="G268" s="1361"/>
      <c r="H268" s="1361"/>
      <c r="I268" s="1336"/>
      <c r="J268" s="1361"/>
      <c r="K268" s="1361"/>
      <c r="L268" s="1361"/>
      <c r="M268" s="1361"/>
      <c r="N268" s="1361"/>
      <c r="O268" s="1336"/>
      <c r="P268" s="2149"/>
      <c r="Q268" s="2149"/>
      <c r="R268" s="2149"/>
      <c r="S268" s="754"/>
    </row>
    <row r="269" spans="2:19" ht="13.8">
      <c r="B269" s="1337" t="s">
        <v>2462</v>
      </c>
      <c r="C269" s="1338"/>
      <c r="D269" s="1339"/>
      <c r="E269" s="1340"/>
      <c r="F269" s="1340"/>
      <c r="G269" s="1340"/>
      <c r="H269" s="1340"/>
      <c r="I269" s="1340"/>
      <c r="J269" s="1340"/>
      <c r="K269" s="1340"/>
      <c r="L269" s="1340"/>
      <c r="M269" s="1340"/>
      <c r="N269" s="1340"/>
      <c r="O269" s="1340"/>
      <c r="P269" s="1412"/>
      <c r="Q269" s="1412"/>
      <c r="R269" s="1416"/>
      <c r="S269" s="754"/>
    </row>
    <row r="270" spans="2:19">
      <c r="B270" s="2150" t="s">
        <v>2463</v>
      </c>
      <c r="C270" s="2151"/>
      <c r="D270" s="2152"/>
      <c r="E270" s="2153"/>
      <c r="F270" s="2153"/>
      <c r="G270" s="2153"/>
      <c r="H270" s="2153"/>
      <c r="I270" s="2153"/>
      <c r="J270" s="2153"/>
      <c r="K270" s="2153"/>
      <c r="L270" s="2153"/>
      <c r="M270" s="2153"/>
      <c r="N270" s="2153"/>
      <c r="O270" s="2153"/>
      <c r="P270" s="2154"/>
      <c r="Q270" s="2154"/>
      <c r="R270" s="2155"/>
      <c r="S270" s="704"/>
    </row>
    <row r="271" spans="2:19">
      <c r="B271" s="1343" t="s">
        <v>1843</v>
      </c>
      <c r="C271" s="1344"/>
      <c r="D271" s="1345"/>
      <c r="E271" s="1449"/>
      <c r="F271" s="1449"/>
      <c r="G271" s="1449"/>
      <c r="H271" s="1449"/>
      <c r="I271" s="1346">
        <v>2016</v>
      </c>
      <c r="J271" s="1346"/>
      <c r="K271" s="1346">
        <v>2015</v>
      </c>
      <c r="L271" s="1346"/>
      <c r="M271" s="1346">
        <v>2014</v>
      </c>
      <c r="N271" s="1346"/>
      <c r="O271" s="1346">
        <v>2013</v>
      </c>
      <c r="P271" s="1346"/>
      <c r="Q271" s="1346">
        <v>2012</v>
      </c>
      <c r="R271" s="1347"/>
      <c r="S271" s="1139"/>
    </row>
    <row r="272" spans="2:19">
      <c r="B272" s="1340" t="s">
        <v>2464</v>
      </c>
      <c r="C272" s="1338"/>
      <c r="D272" s="1339"/>
      <c r="E272" s="1340"/>
      <c r="F272" s="1340"/>
      <c r="G272" s="1340"/>
      <c r="H272" s="1340"/>
      <c r="I272" s="1348">
        <v>29800</v>
      </c>
      <c r="J272" s="1348" t="s">
        <v>392</v>
      </c>
      <c r="K272" s="1348">
        <v>29500</v>
      </c>
      <c r="L272" s="1348" t="s">
        <v>392</v>
      </c>
      <c r="M272" s="1348">
        <v>29244</v>
      </c>
      <c r="N272" s="1348" t="s">
        <v>392</v>
      </c>
      <c r="O272" s="1348">
        <v>29146</v>
      </c>
      <c r="P272" s="1348"/>
      <c r="Q272" s="1348">
        <v>29471</v>
      </c>
      <c r="R272" s="1369"/>
      <c r="S272" s="1139"/>
    </row>
    <row r="273" spans="2:19">
      <c r="B273" s="1351" t="s">
        <v>665</v>
      </c>
      <c r="C273" s="1353"/>
      <c r="D273" s="1351" t="s">
        <v>2465</v>
      </c>
      <c r="E273" s="1351"/>
      <c r="F273" s="1353"/>
      <c r="G273" s="1353"/>
      <c r="H273" s="1353"/>
      <c r="I273" s="1139" t="s">
        <v>392</v>
      </c>
      <c r="J273" s="1139" t="s">
        <v>392</v>
      </c>
      <c r="K273" s="1139" t="s">
        <v>392</v>
      </c>
      <c r="L273" s="1139" t="s">
        <v>392</v>
      </c>
      <c r="M273" s="1139" t="s">
        <v>392</v>
      </c>
      <c r="N273" s="1139" t="s">
        <v>392</v>
      </c>
      <c r="O273" s="1139"/>
      <c r="P273" s="1139"/>
      <c r="Q273" s="1139"/>
      <c r="R273" s="2131"/>
      <c r="S273" s="1139"/>
    </row>
    <row r="274" spans="2:19">
      <c r="B274" s="1353" t="s">
        <v>2466</v>
      </c>
      <c r="C274" s="1353"/>
      <c r="D274" s="1353" t="s">
        <v>2467</v>
      </c>
      <c r="E274" s="1353"/>
      <c r="F274" s="1353"/>
      <c r="G274" s="1353"/>
      <c r="H274" s="1353"/>
      <c r="I274" s="1350">
        <v>15092</v>
      </c>
      <c r="J274" s="1350" t="s">
        <v>392</v>
      </c>
      <c r="K274" s="1350">
        <v>14985</v>
      </c>
      <c r="L274" s="1350" t="s">
        <v>392</v>
      </c>
      <c r="M274" s="1350">
        <v>14834</v>
      </c>
      <c r="N274" s="1350" t="s">
        <v>392</v>
      </c>
      <c r="O274" s="1350">
        <v>14742</v>
      </c>
      <c r="P274" s="1350"/>
      <c r="Q274" s="1350">
        <v>14940</v>
      </c>
      <c r="R274" s="1350"/>
      <c r="S274" s="1139"/>
    </row>
    <row r="275" spans="2:19">
      <c r="B275" s="1353"/>
      <c r="C275" s="1353"/>
      <c r="D275" s="1350" t="s">
        <v>2468</v>
      </c>
      <c r="E275" s="2156"/>
      <c r="F275" s="2156"/>
      <c r="G275" s="2156"/>
      <c r="H275" s="1353"/>
      <c r="I275" s="1350" t="s">
        <v>392</v>
      </c>
      <c r="J275" s="1350" t="s">
        <v>392</v>
      </c>
      <c r="K275" s="1350" t="s">
        <v>392</v>
      </c>
      <c r="L275" s="1350" t="s">
        <v>392</v>
      </c>
      <c r="M275" s="1350" t="s">
        <v>392</v>
      </c>
      <c r="N275" s="1350" t="s">
        <v>392</v>
      </c>
      <c r="O275" s="1350"/>
      <c r="P275" s="1350"/>
      <c r="Q275" s="1350"/>
      <c r="R275" s="1350"/>
      <c r="S275" s="1139"/>
    </row>
    <row r="276" spans="2:19">
      <c r="B276" s="2156"/>
      <c r="C276" s="2157"/>
      <c r="D276" s="1366" t="s">
        <v>2469</v>
      </c>
      <c r="E276" s="1361"/>
      <c r="F276" s="2156"/>
      <c r="G276" s="2156"/>
      <c r="H276" s="2156"/>
      <c r="I276" s="1350">
        <v>14708</v>
      </c>
      <c r="J276" s="1350" t="s">
        <v>392</v>
      </c>
      <c r="K276" s="1350">
        <v>14516</v>
      </c>
      <c r="L276" s="1350" t="s">
        <v>392</v>
      </c>
      <c r="M276" s="1350">
        <v>14410</v>
      </c>
      <c r="N276" s="1350" t="s">
        <v>392</v>
      </c>
      <c r="O276" s="1350">
        <v>14403</v>
      </c>
      <c r="P276" s="1350"/>
      <c r="Q276" s="1350">
        <v>14532</v>
      </c>
      <c r="R276" s="1350"/>
      <c r="S276" s="1139"/>
    </row>
    <row r="277" spans="2:19">
      <c r="B277" s="2156" t="s">
        <v>2470</v>
      </c>
      <c r="C277" s="2157"/>
      <c r="D277" s="1366"/>
      <c r="E277" s="1361"/>
      <c r="F277" s="2156"/>
      <c r="G277" s="2156"/>
      <c r="H277" s="2156"/>
      <c r="I277" s="1350" t="s">
        <v>392</v>
      </c>
      <c r="J277" s="1350" t="s">
        <v>392</v>
      </c>
      <c r="K277" s="1350" t="s">
        <v>392</v>
      </c>
      <c r="L277" s="1350" t="s">
        <v>392</v>
      </c>
      <c r="M277" s="1350" t="s">
        <v>392</v>
      </c>
      <c r="N277" s="1350" t="s">
        <v>392</v>
      </c>
      <c r="O277" s="1350"/>
      <c r="P277" s="1350"/>
      <c r="Q277" s="1350"/>
      <c r="R277" s="1350"/>
      <c r="S277" s="1139"/>
    </row>
    <row r="278" spans="2:19">
      <c r="B278" s="1482" t="s">
        <v>2471</v>
      </c>
      <c r="C278" s="2158"/>
      <c r="D278" s="2159"/>
      <c r="E278" s="1480"/>
      <c r="F278" s="1365"/>
      <c r="G278" s="1365"/>
      <c r="H278" s="1365"/>
      <c r="I278" s="1462">
        <v>468</v>
      </c>
      <c r="J278" s="1363" t="s">
        <v>392</v>
      </c>
      <c r="K278" s="1462">
        <v>559</v>
      </c>
      <c r="L278" s="1363" t="s">
        <v>392</v>
      </c>
      <c r="M278" s="1462">
        <v>586</v>
      </c>
      <c r="N278" s="1363" t="s">
        <v>392</v>
      </c>
      <c r="O278" s="1487">
        <v>527</v>
      </c>
      <c r="P278" s="1398"/>
      <c r="Q278" s="1487">
        <v>524</v>
      </c>
      <c r="R278" s="1369"/>
      <c r="S278" s="1139"/>
    </row>
    <row r="279" spans="2:19">
      <c r="B279" s="2160"/>
      <c r="C279" s="1338"/>
      <c r="D279" s="1339"/>
      <c r="E279" s="1340"/>
      <c r="F279" s="1340"/>
      <c r="G279" s="1340"/>
      <c r="H279" s="1340"/>
      <c r="I279" s="1340"/>
      <c r="J279" s="1340"/>
      <c r="K279" s="1340"/>
      <c r="L279" s="1340"/>
      <c r="M279" s="1340"/>
      <c r="N279" s="1340"/>
      <c r="O279" s="1340"/>
      <c r="P279" s="1340"/>
      <c r="Q279" s="1340"/>
      <c r="R279" s="1341"/>
      <c r="S279" s="1139"/>
    </row>
    <row r="280" spans="2:19">
      <c r="B280" s="1343" t="s">
        <v>1843</v>
      </c>
      <c r="C280" s="1344"/>
      <c r="D280" s="1345"/>
      <c r="E280" s="1449"/>
      <c r="F280" s="1449"/>
      <c r="G280" s="1449"/>
      <c r="H280" s="1449"/>
      <c r="I280" s="1346">
        <v>2011</v>
      </c>
      <c r="J280" s="1346"/>
      <c r="K280" s="1346">
        <v>2010</v>
      </c>
      <c r="L280" s="1346"/>
      <c r="M280" s="1346">
        <v>2009</v>
      </c>
      <c r="N280" s="1346"/>
      <c r="O280" s="1346">
        <v>2008</v>
      </c>
      <c r="P280" s="1346"/>
      <c r="Q280" s="1346">
        <v>2007</v>
      </c>
      <c r="R280" s="1347"/>
      <c r="S280" s="1139"/>
    </row>
    <row r="281" spans="2:19">
      <c r="B281" s="1340" t="s">
        <v>2472</v>
      </c>
      <c r="C281" s="1338"/>
      <c r="D281" s="1339"/>
      <c r="E281" s="1340"/>
      <c r="F281" s="1340"/>
      <c r="G281" s="1340"/>
      <c r="H281" s="1340"/>
      <c r="I281" s="1348">
        <v>30094</v>
      </c>
      <c r="J281" s="1340"/>
      <c r="K281" s="1348">
        <v>30185.173999999999</v>
      </c>
      <c r="L281" s="1340"/>
      <c r="M281" s="1348">
        <v>31066.202000000001</v>
      </c>
      <c r="N281" s="1340"/>
      <c r="O281" s="1348">
        <v>32744.611000000001</v>
      </c>
      <c r="P281" s="1340"/>
      <c r="Q281" s="1348">
        <v>32662.11</v>
      </c>
      <c r="R281" s="1341"/>
      <c r="S281" s="1139"/>
    </row>
    <row r="282" spans="2:19">
      <c r="B282" s="1351" t="s">
        <v>665</v>
      </c>
      <c r="C282" s="1353"/>
      <c r="D282" s="1351" t="s">
        <v>2473</v>
      </c>
      <c r="E282" s="1351"/>
      <c r="F282" s="1353"/>
      <c r="G282" s="1353"/>
      <c r="H282" s="1353"/>
      <c r="I282" s="1351">
        <v>15300</v>
      </c>
      <c r="J282" s="1353"/>
      <c r="K282" s="1351">
        <v>15346.084999999999</v>
      </c>
      <c r="L282" s="1353"/>
      <c r="M282" s="1351">
        <v>15747.627</v>
      </c>
      <c r="N282" s="1353"/>
      <c r="O282" s="1351">
        <v>16550.91</v>
      </c>
      <c r="P282" s="1353"/>
      <c r="Q282" s="1351">
        <v>16581.637999999999</v>
      </c>
      <c r="R282" s="1366"/>
      <c r="S282" s="1139"/>
    </row>
    <row r="283" spans="2:19">
      <c r="B283" s="2156"/>
      <c r="C283" s="2157"/>
      <c r="D283" s="1350" t="s">
        <v>2474</v>
      </c>
      <c r="E283" s="1361"/>
      <c r="F283" s="2156"/>
      <c r="G283" s="2156"/>
      <c r="H283" s="2156"/>
      <c r="I283" s="1350">
        <v>14795</v>
      </c>
      <c r="J283" s="2156"/>
      <c r="K283" s="1350">
        <v>14839.089</v>
      </c>
      <c r="L283" s="2156"/>
      <c r="M283" s="1350">
        <v>15318.575000000001</v>
      </c>
      <c r="N283" s="2156"/>
      <c r="O283" s="1350">
        <v>16193.700999999999</v>
      </c>
      <c r="P283" s="2156"/>
      <c r="Q283" s="1350">
        <v>16080.472</v>
      </c>
      <c r="R283" s="2156"/>
      <c r="S283" s="878"/>
    </row>
    <row r="284" spans="2:19">
      <c r="B284" s="1481" t="s">
        <v>2475</v>
      </c>
      <c r="C284" s="2158"/>
      <c r="D284" s="2159"/>
      <c r="E284" s="1480"/>
      <c r="F284" s="1365"/>
      <c r="G284" s="1365"/>
      <c r="H284" s="1365"/>
      <c r="I284" s="1487">
        <v>499</v>
      </c>
      <c r="J284" s="1482"/>
      <c r="K284" s="1487">
        <v>471</v>
      </c>
      <c r="L284" s="1482"/>
      <c r="M284" s="1487">
        <v>497</v>
      </c>
      <c r="N284" s="1482"/>
      <c r="O284" s="1487">
        <v>430</v>
      </c>
      <c r="P284" s="1482"/>
      <c r="Q284" s="1487">
        <v>402</v>
      </c>
      <c r="R284" s="2161"/>
      <c r="S284" s="878"/>
    </row>
    <row r="285" spans="2:19">
      <c r="B285" s="2160"/>
      <c r="C285" s="1338"/>
      <c r="D285" s="1339"/>
      <c r="E285" s="1340"/>
      <c r="F285" s="1340"/>
      <c r="G285" s="1340"/>
      <c r="H285" s="1340"/>
      <c r="I285" s="1340"/>
      <c r="J285" s="1340"/>
      <c r="K285" s="1340"/>
      <c r="L285" s="1340"/>
      <c r="M285" s="1340"/>
      <c r="N285" s="1340"/>
      <c r="O285" s="1340"/>
      <c r="P285" s="1340"/>
      <c r="Q285" s="1340"/>
      <c r="R285" s="1341"/>
      <c r="S285" s="1139"/>
    </row>
    <row r="286" spans="2:19">
      <c r="B286" s="1343" t="s">
        <v>1843</v>
      </c>
      <c r="C286" s="1344"/>
      <c r="D286" s="1345"/>
      <c r="E286" s="1449"/>
      <c r="F286" s="1449"/>
      <c r="G286" s="1449"/>
      <c r="H286" s="1449"/>
      <c r="I286" s="1446">
        <v>2006</v>
      </c>
      <c r="J286" s="2162"/>
      <c r="K286" s="1446">
        <v>2005</v>
      </c>
      <c r="L286" s="1446"/>
      <c r="M286" s="1446">
        <v>2004</v>
      </c>
      <c r="N286" s="1346"/>
      <c r="O286" s="1346">
        <v>2003</v>
      </c>
      <c r="P286" s="1346"/>
      <c r="Q286" s="1346">
        <v>2002</v>
      </c>
      <c r="R286" s="1347"/>
      <c r="S286" s="2131"/>
    </row>
    <row r="287" spans="2:19">
      <c r="B287" s="1340" t="s">
        <v>2472</v>
      </c>
      <c r="C287" s="1338"/>
      <c r="D287" s="1339"/>
      <c r="E287" s="1340"/>
      <c r="F287" s="1340"/>
      <c r="G287" s="1340"/>
      <c r="H287" s="1340"/>
      <c r="I287" s="2163">
        <v>32334.382000000001</v>
      </c>
      <c r="J287" s="2163" t="s">
        <v>392</v>
      </c>
      <c r="K287" s="2163">
        <v>32617</v>
      </c>
      <c r="L287" s="2163"/>
      <c r="M287" s="2163">
        <v>33318</v>
      </c>
      <c r="N287" s="2163"/>
      <c r="O287" s="2163">
        <v>32748</v>
      </c>
      <c r="P287" s="1341"/>
      <c r="Q287" s="1369">
        <v>32112</v>
      </c>
      <c r="R287" s="1341"/>
      <c r="S287" s="2131"/>
    </row>
    <row r="288" spans="2:19">
      <c r="B288" s="1351" t="s">
        <v>665</v>
      </c>
      <c r="C288" s="1353"/>
      <c r="D288" s="1351" t="s">
        <v>2473</v>
      </c>
      <c r="E288" s="1351"/>
      <c r="F288" s="1353"/>
      <c r="G288" s="1353"/>
      <c r="H288" s="1353"/>
      <c r="I288" s="1370">
        <v>16399.173999999999</v>
      </c>
      <c r="J288" s="1468" t="s">
        <v>392</v>
      </c>
      <c r="K288" s="1370">
        <v>16380</v>
      </c>
      <c r="L288" s="1370"/>
      <c r="M288" s="1370">
        <v>16892</v>
      </c>
      <c r="N288" s="1370"/>
      <c r="O288" s="1370">
        <v>16545</v>
      </c>
      <c r="P288" s="1366"/>
      <c r="Q288" s="1350">
        <v>16164</v>
      </c>
      <c r="R288" s="1366"/>
      <c r="S288" s="2131"/>
    </row>
    <row r="289" spans="2:19">
      <c r="B289" s="1351"/>
      <c r="C289" s="1353"/>
      <c r="D289" s="1350" t="s">
        <v>2474</v>
      </c>
      <c r="E289" s="1361"/>
      <c r="F289" s="2156"/>
      <c r="G289" s="2156"/>
      <c r="H289" s="1353"/>
      <c r="I289" s="1468">
        <v>15935.208000000001</v>
      </c>
      <c r="J289" s="1468" t="s">
        <v>392</v>
      </c>
      <c r="K289" s="1468">
        <v>16237</v>
      </c>
      <c r="L289" s="1468"/>
      <c r="M289" s="1468">
        <v>16426</v>
      </c>
      <c r="N289" s="1468"/>
      <c r="O289" s="1468">
        <v>16203</v>
      </c>
      <c r="P289" s="1366"/>
      <c r="Q289" s="1350">
        <v>15948</v>
      </c>
      <c r="R289" s="1366"/>
      <c r="S289" s="2131"/>
    </row>
    <row r="290" spans="2:19">
      <c r="B290" s="1481" t="s">
        <v>2475</v>
      </c>
      <c r="C290" s="2158"/>
      <c r="D290" s="1140"/>
      <c r="E290" s="1140"/>
      <c r="F290" s="1140"/>
      <c r="G290" s="1140"/>
      <c r="H290" s="1365"/>
      <c r="I290" s="2164">
        <v>357</v>
      </c>
      <c r="J290" s="2165" t="s">
        <v>392</v>
      </c>
      <c r="K290" s="2164">
        <v>344</v>
      </c>
      <c r="L290" s="2164"/>
      <c r="M290" s="2164">
        <v>235</v>
      </c>
      <c r="N290" s="2164"/>
      <c r="O290" s="2164" t="s">
        <v>218</v>
      </c>
      <c r="P290" s="1365"/>
      <c r="Q290" s="1462" t="s">
        <v>218</v>
      </c>
      <c r="R290" s="2156"/>
      <c r="S290" s="880"/>
    </row>
    <row r="291" spans="2:19">
      <c r="B291" s="1388"/>
      <c r="C291" s="1499"/>
      <c r="D291" s="2166"/>
      <c r="E291" s="1387"/>
      <c r="F291" s="1387"/>
      <c r="G291" s="1387"/>
      <c r="H291" s="1387"/>
      <c r="I291" s="1387"/>
      <c r="J291" s="1387"/>
      <c r="K291" s="1387"/>
      <c r="L291" s="1387"/>
      <c r="M291" s="1387"/>
      <c r="N291" s="1387"/>
      <c r="O291" s="1387"/>
      <c r="P291" s="1387"/>
      <c r="Q291" s="1387"/>
      <c r="R291" s="2149"/>
      <c r="S291" s="754"/>
    </row>
    <row r="292" spans="2:19">
      <c r="B292" s="3061" t="s">
        <v>2476</v>
      </c>
      <c r="C292" s="3061"/>
      <c r="D292" s="3061"/>
      <c r="E292" s="3061"/>
      <c r="F292" s="3061"/>
      <c r="G292" s="3061"/>
      <c r="H292" s="3061"/>
      <c r="I292" s="3061"/>
      <c r="J292" s="3061"/>
      <c r="K292" s="3061"/>
      <c r="L292" s="3061"/>
      <c r="M292" s="3061"/>
      <c r="N292" s="3061"/>
      <c r="O292" s="3061"/>
      <c r="P292" s="3061"/>
      <c r="Q292" s="3061"/>
      <c r="R292" s="2167"/>
      <c r="S292" s="11"/>
    </row>
    <row r="293" spans="2:19">
      <c r="B293" s="3061" t="s">
        <v>1923</v>
      </c>
      <c r="C293" s="3061"/>
      <c r="D293" s="3061"/>
      <c r="E293" s="3061"/>
      <c r="F293" s="3061"/>
      <c r="G293" s="3061"/>
      <c r="H293" s="3061"/>
      <c r="I293" s="3061"/>
      <c r="J293" s="3061"/>
      <c r="K293" s="3061"/>
      <c r="L293" s="3061"/>
      <c r="M293" s="3061"/>
      <c r="N293" s="3061"/>
      <c r="O293" s="3061"/>
      <c r="P293" s="3061"/>
      <c r="Q293" s="3061"/>
      <c r="R293" s="3061"/>
      <c r="S293" s="754"/>
    </row>
    <row r="294" spans="2:19">
      <c r="B294" s="2168"/>
      <c r="C294" s="2169"/>
      <c r="D294" s="1354"/>
      <c r="E294" s="2170"/>
      <c r="F294" s="2170"/>
      <c r="G294" s="2170"/>
      <c r="H294" s="2170"/>
      <c r="I294" s="2170"/>
      <c r="J294" s="2170"/>
      <c r="K294" s="2170"/>
      <c r="L294" s="2170"/>
      <c r="M294" s="2170"/>
      <c r="N294" s="2170"/>
      <c r="O294" s="2170"/>
      <c r="P294" s="2170"/>
      <c r="Q294" s="2170"/>
      <c r="R294" s="2171"/>
      <c r="S294" s="704"/>
    </row>
    <row r="295" spans="2:19">
      <c r="B295" s="2168"/>
      <c r="C295" s="2169"/>
      <c r="D295" s="1354"/>
      <c r="E295" s="2170"/>
      <c r="F295" s="2170"/>
      <c r="G295" s="2170"/>
      <c r="H295" s="2170"/>
      <c r="I295" s="2170"/>
      <c r="J295" s="2170"/>
      <c r="K295" s="2170"/>
      <c r="L295" s="2170"/>
      <c r="M295" s="2170"/>
      <c r="N295" s="2170"/>
      <c r="O295" s="2170"/>
      <c r="P295" s="2170"/>
      <c r="Q295" s="2170"/>
      <c r="R295" s="2171"/>
      <c r="S295" s="704"/>
    </row>
    <row r="297" spans="2:19">
      <c r="C297" s="754" t="s">
        <v>2502</v>
      </c>
    </row>
    <row r="306" spans="16:18">
      <c r="Q306" s="765" t="s">
        <v>1615</v>
      </c>
    </row>
    <row r="307" spans="16:18">
      <c r="P307" s="765" t="s">
        <v>61</v>
      </c>
      <c r="Q307">
        <v>36</v>
      </c>
      <c r="R307">
        <f>Q307/SUM($Q$307:$Q$309)</f>
        <v>0.16666666666666666</v>
      </c>
    </row>
    <row r="308" spans="16:18">
      <c r="P308" s="765" t="s">
        <v>2149</v>
      </c>
      <c r="Q308">
        <v>18</v>
      </c>
      <c r="R308" s="754">
        <f>Q308/SUM($Q$307:$Q$309)</f>
        <v>8.3333333333333329E-2</v>
      </c>
    </row>
    <row r="309" spans="16:18">
      <c r="P309" s="765" t="s">
        <v>2504</v>
      </c>
      <c r="Q309">
        <v>162</v>
      </c>
      <c r="R309" s="754">
        <f>Q309/SUM($Q$307:$Q$309)</f>
        <v>0.75</v>
      </c>
    </row>
    <row r="312" spans="16:18">
      <c r="Q312" s="765" t="s">
        <v>2503</v>
      </c>
    </row>
    <row r="313" spans="16:18">
      <c r="P313" s="765" t="s">
        <v>61</v>
      </c>
      <c r="Q313">
        <v>2211</v>
      </c>
      <c r="R313" s="754">
        <f>Q313/SUM($Q$313:$Q$315)</f>
        <v>0.5</v>
      </c>
    </row>
    <row r="314" spans="16:18">
      <c r="P314" s="765" t="s">
        <v>2149</v>
      </c>
      <c r="Q314">
        <v>214</v>
      </c>
      <c r="R314" s="754">
        <f>Q314/SUM($Q$313:$Q$315)</f>
        <v>4.8394391677973769E-2</v>
      </c>
    </row>
    <row r="315" spans="16:18">
      <c r="P315" s="765" t="s">
        <v>2504</v>
      </c>
      <c r="Q315">
        <v>1997</v>
      </c>
      <c r="R315" s="754">
        <f>Q315/SUM($Q$313:$Q$315)</f>
        <v>0.45160560832202623</v>
      </c>
    </row>
    <row r="333" spans="3:21">
      <c r="C333" t="s">
        <v>2505</v>
      </c>
      <c r="N333" s="1443" t="s">
        <v>2540</v>
      </c>
      <c r="O333" s="2195"/>
      <c r="P333" s="1445"/>
      <c r="Q333" s="2196"/>
      <c r="R333" s="2197"/>
      <c r="S333" s="2198"/>
      <c r="T333" s="1387"/>
      <c r="U333" s="1387"/>
    </row>
    <row r="334" spans="3:21">
      <c r="C334" s="765" t="s">
        <v>2506</v>
      </c>
      <c r="N334" s="1443" t="s">
        <v>2541</v>
      </c>
      <c r="O334" s="2195"/>
      <c r="P334" s="1445"/>
      <c r="Q334" s="2196"/>
      <c r="R334" s="2197"/>
      <c r="S334" s="2198"/>
      <c r="T334" s="1387"/>
      <c r="U334" s="1387"/>
    </row>
    <row r="335" spans="3:21">
      <c r="C335" t="s">
        <v>2507</v>
      </c>
      <c r="N335" s="1443" t="s">
        <v>2542</v>
      </c>
      <c r="O335" s="2199"/>
      <c r="P335" s="1466"/>
      <c r="Q335" s="2200"/>
      <c r="R335" s="2200"/>
      <c r="S335" s="2201"/>
      <c r="T335" s="1466"/>
      <c r="U335" s="1466"/>
    </row>
    <row r="336" spans="3:21">
      <c r="C336" t="s">
        <v>2508</v>
      </c>
      <c r="N336" s="1443" t="s">
        <v>2543</v>
      </c>
      <c r="O336" s="2199"/>
      <c r="P336" s="1466"/>
      <c r="Q336" s="2200"/>
      <c r="R336" s="2200"/>
      <c r="S336" s="2201"/>
      <c r="T336" s="1466"/>
      <c r="U336" s="1466"/>
    </row>
    <row r="337" spans="3:21">
      <c r="C337" t="s">
        <v>2509</v>
      </c>
      <c r="N337" s="1389" t="s">
        <v>2544</v>
      </c>
      <c r="O337" s="2199"/>
      <c r="P337" s="1466"/>
      <c r="Q337" s="2200"/>
      <c r="R337" s="2200"/>
      <c r="S337" s="2201"/>
      <c r="T337" s="1466"/>
      <c r="U337" s="1466"/>
    </row>
    <row r="338" spans="3:21">
      <c r="C338" t="s">
        <v>2510</v>
      </c>
      <c r="N338" s="2202" t="s">
        <v>2545</v>
      </c>
      <c r="O338" s="2203"/>
      <c r="P338" s="1478"/>
      <c r="Q338" s="2204"/>
      <c r="R338" s="2205"/>
      <c r="S338" s="2206"/>
      <c r="T338" s="1480"/>
      <c r="U338" s="1480"/>
    </row>
    <row r="339" spans="3:21">
      <c r="G339" t="s">
        <v>2511</v>
      </c>
      <c r="I339" t="s">
        <v>1342</v>
      </c>
      <c r="K339" t="s">
        <v>2512</v>
      </c>
      <c r="N339" s="1394"/>
      <c r="O339" s="2199"/>
      <c r="P339" s="1466"/>
      <c r="Q339" s="2207" t="s">
        <v>2546</v>
      </c>
      <c r="R339" s="2207"/>
      <c r="S339" s="2207" t="s">
        <v>1342</v>
      </c>
      <c r="T339" s="1356"/>
      <c r="U339" s="1356" t="s">
        <v>2512</v>
      </c>
    </row>
    <row r="340" spans="3:21">
      <c r="G340" t="s">
        <v>2513</v>
      </c>
      <c r="I340" t="s">
        <v>2514</v>
      </c>
      <c r="K340" t="s">
        <v>2515</v>
      </c>
      <c r="N340" s="1394"/>
      <c r="O340" s="2199"/>
      <c r="P340" s="1466"/>
      <c r="Q340" s="2207" t="s">
        <v>2516</v>
      </c>
      <c r="R340" s="2207"/>
      <c r="S340" s="2207" t="s">
        <v>2547</v>
      </c>
      <c r="T340" s="1356"/>
      <c r="U340" s="1356" t="s">
        <v>2548</v>
      </c>
    </row>
    <row r="341" spans="3:21">
      <c r="G341" t="s">
        <v>2516</v>
      </c>
      <c r="I341" t="s">
        <v>2517</v>
      </c>
      <c r="K341" t="s">
        <v>2518</v>
      </c>
      <c r="N341" s="1394"/>
      <c r="O341" s="2199"/>
      <c r="P341" s="1466"/>
      <c r="Q341" s="2207"/>
      <c r="R341" s="2207"/>
      <c r="S341" s="2207" t="s">
        <v>2517</v>
      </c>
      <c r="T341" s="1356"/>
      <c r="U341" s="1356"/>
    </row>
    <row r="342" spans="3:21">
      <c r="G342" t="s">
        <v>2519</v>
      </c>
      <c r="I342" t="s">
        <v>369</v>
      </c>
      <c r="K342" t="s">
        <v>2520</v>
      </c>
      <c r="N342" s="1394"/>
      <c r="O342" s="2199"/>
      <c r="P342" s="1466"/>
      <c r="Q342" s="2208" t="s">
        <v>1534</v>
      </c>
      <c r="R342" s="2208"/>
      <c r="S342" s="2208" t="s">
        <v>369</v>
      </c>
      <c r="T342" s="2209"/>
      <c r="U342" s="2209" t="s">
        <v>2520</v>
      </c>
    </row>
    <row r="343" spans="3:21">
      <c r="G343" t="s">
        <v>2521</v>
      </c>
      <c r="I343" t="s">
        <v>2522</v>
      </c>
      <c r="K343" t="s">
        <v>2523</v>
      </c>
      <c r="N343" s="1394"/>
      <c r="O343" s="2199"/>
      <c r="P343" s="1466"/>
      <c r="Q343" s="2208" t="s">
        <v>2524</v>
      </c>
      <c r="R343" s="2208"/>
      <c r="S343" s="2208" t="s">
        <v>2522</v>
      </c>
      <c r="T343" s="2209"/>
      <c r="U343" s="2209" t="s">
        <v>2523</v>
      </c>
    </row>
    <row r="344" spans="3:21">
      <c r="G344" t="s">
        <v>2524</v>
      </c>
      <c r="I344" t="s">
        <v>2525</v>
      </c>
      <c r="K344" t="s">
        <v>2526</v>
      </c>
      <c r="N344" s="2210"/>
      <c r="O344" s="2211"/>
      <c r="P344" s="2212"/>
      <c r="Q344" s="2208" t="s">
        <v>2527</v>
      </c>
      <c r="R344" s="2208"/>
      <c r="S344" s="2208" t="s">
        <v>2525</v>
      </c>
      <c r="T344" s="2213"/>
      <c r="U344" s="2213" t="s">
        <v>2526</v>
      </c>
    </row>
    <row r="345" spans="3:21">
      <c r="G345" t="s">
        <v>2527</v>
      </c>
      <c r="I345" t="s">
        <v>2528</v>
      </c>
      <c r="K345" t="s">
        <v>2529</v>
      </c>
      <c r="N345" s="1477"/>
      <c r="O345" s="2203"/>
      <c r="P345" s="2214"/>
      <c r="Q345" s="2215"/>
      <c r="R345" s="2215"/>
      <c r="S345" s="2215" t="s">
        <v>2528</v>
      </c>
      <c r="T345" s="2216"/>
      <c r="U345" s="2216" t="s">
        <v>2549</v>
      </c>
    </row>
    <row r="346" spans="3:21">
      <c r="N346" s="1470"/>
      <c r="O346" s="2211"/>
      <c r="P346" s="2212"/>
      <c r="Q346" s="2208"/>
      <c r="R346" s="2217"/>
      <c r="S346" s="2217"/>
      <c r="T346" s="2218"/>
      <c r="U346" s="2219"/>
    </row>
    <row r="347" spans="3:21">
      <c r="D347">
        <v>1</v>
      </c>
      <c r="E347" t="s">
        <v>1998</v>
      </c>
      <c r="G347">
        <v>7495.8</v>
      </c>
      <c r="I347">
        <v>2158.1509999999998</v>
      </c>
      <c r="K347">
        <v>287.91469889804955</v>
      </c>
      <c r="N347" s="2220">
        <v>1</v>
      </c>
      <c r="O347" s="2220" t="s">
        <v>1998</v>
      </c>
      <c r="P347" s="1505"/>
      <c r="Q347" s="1355">
        <v>689.78800000000001</v>
      </c>
      <c r="R347" s="2221"/>
      <c r="S347" s="2222">
        <v>293.20400000000001</v>
      </c>
      <c r="T347" s="1355"/>
      <c r="U347" s="1355">
        <v>425.06393268656456</v>
      </c>
    </row>
    <row r="348" spans="3:21">
      <c r="E348" t="s">
        <v>665</v>
      </c>
      <c r="F348" t="s">
        <v>1999</v>
      </c>
      <c r="G348">
        <v>1225.923</v>
      </c>
      <c r="I348">
        <v>307.55</v>
      </c>
      <c r="K348">
        <v>250.87219996688211</v>
      </c>
      <c r="N348" s="1511"/>
      <c r="O348" s="1511" t="s">
        <v>665</v>
      </c>
      <c r="P348" s="1505" t="s">
        <v>1999</v>
      </c>
      <c r="Q348" s="1355">
        <v>285.09199999999998</v>
      </c>
      <c r="R348" s="2221"/>
      <c r="S348" s="2222">
        <v>113.19</v>
      </c>
      <c r="T348" s="1355"/>
      <c r="U348" s="1355">
        <v>397.0297307535813</v>
      </c>
    </row>
    <row r="349" spans="3:21">
      <c r="F349" t="s">
        <v>2000</v>
      </c>
      <c r="G349">
        <v>5581.3180000000002</v>
      </c>
      <c r="I349">
        <v>1655.84</v>
      </c>
      <c r="K349">
        <v>296.67544476053865</v>
      </c>
      <c r="N349" s="1511"/>
      <c r="O349" s="1511"/>
      <c r="P349" s="1505" t="s">
        <v>2000</v>
      </c>
      <c r="Q349" s="1355">
        <v>286.88600000000002</v>
      </c>
      <c r="R349" s="2221"/>
      <c r="S349" s="2222">
        <v>133.869</v>
      </c>
      <c r="T349" s="1355"/>
      <c r="U349" s="1355">
        <v>466.62785914962734</v>
      </c>
    </row>
    <row r="350" spans="3:21">
      <c r="D350">
        <v>2</v>
      </c>
      <c r="E350" t="s">
        <v>2001</v>
      </c>
      <c r="G350">
        <v>21672.954000000002</v>
      </c>
      <c r="I350">
        <v>5980.6440000000002</v>
      </c>
      <c r="K350">
        <v>275.94964673481979</v>
      </c>
      <c r="N350" s="1511">
        <v>2</v>
      </c>
      <c r="O350" s="1511" t="s">
        <v>2001</v>
      </c>
      <c r="P350" s="1505"/>
      <c r="Q350" s="1355" t="s">
        <v>1350</v>
      </c>
      <c r="R350" s="2221"/>
      <c r="S350" s="2222" t="s">
        <v>1350</v>
      </c>
      <c r="T350" s="1355"/>
      <c r="U350" s="1355" t="s">
        <v>1350</v>
      </c>
    </row>
    <row r="351" spans="3:21">
      <c r="E351" t="s">
        <v>665</v>
      </c>
      <c r="F351" t="s">
        <v>2002</v>
      </c>
      <c r="G351">
        <v>19841.292000000001</v>
      </c>
      <c r="I351">
        <v>4082.951</v>
      </c>
      <c r="K351">
        <v>205.78050058433692</v>
      </c>
      <c r="N351" s="1511"/>
      <c r="O351" s="1511" t="s">
        <v>665</v>
      </c>
      <c r="P351" s="1505" t="s">
        <v>2002</v>
      </c>
      <c r="Q351" s="1355" t="s">
        <v>1350</v>
      </c>
      <c r="R351" s="2221"/>
      <c r="S351" s="2222" t="s">
        <v>1350</v>
      </c>
      <c r="T351" s="1355"/>
      <c r="U351" s="1355" t="s">
        <v>1350</v>
      </c>
    </row>
    <row r="352" spans="3:21">
      <c r="D352">
        <v>3</v>
      </c>
      <c r="E352" t="s">
        <v>2003</v>
      </c>
      <c r="G352">
        <v>12897.472</v>
      </c>
      <c r="I352">
        <v>3233.6010000000001</v>
      </c>
      <c r="K352">
        <v>250.71587672374866</v>
      </c>
      <c r="N352" s="2220">
        <v>3</v>
      </c>
      <c r="O352" s="2220" t="s">
        <v>2003</v>
      </c>
      <c r="P352" s="1505"/>
      <c r="Q352" s="1355">
        <v>2694.8209999999999</v>
      </c>
      <c r="R352" s="2221"/>
      <c r="S352" s="2222">
        <v>2313.9430000000002</v>
      </c>
      <c r="T352" s="1355"/>
      <c r="U352" s="1355">
        <v>858.66296870923895</v>
      </c>
    </row>
    <row r="353" spans="4:21" ht="31.2">
      <c r="E353" t="s">
        <v>665</v>
      </c>
      <c r="F353" t="s">
        <v>2004</v>
      </c>
      <c r="G353">
        <v>5911.0959999999995</v>
      </c>
      <c r="I353">
        <v>1562.279</v>
      </c>
      <c r="K353">
        <v>264.29599519276968</v>
      </c>
      <c r="N353" s="1511"/>
      <c r="O353" s="1511" t="s">
        <v>665</v>
      </c>
      <c r="P353" s="1505" t="s">
        <v>2004</v>
      </c>
      <c r="Q353" s="1355">
        <v>795.28899999999999</v>
      </c>
      <c r="R353" s="2221"/>
      <c r="S353" s="2222">
        <v>506.03899999999999</v>
      </c>
      <c r="T353" s="1355"/>
      <c r="U353" s="1355">
        <v>636.29573651842293</v>
      </c>
    </row>
    <row r="354" spans="4:21">
      <c r="F354" t="s">
        <v>2005</v>
      </c>
      <c r="G354">
        <v>4054.25</v>
      </c>
      <c r="I354">
        <v>514.19600000000003</v>
      </c>
      <c r="K354">
        <v>126.82888327064192</v>
      </c>
      <c r="N354" s="1511"/>
      <c r="O354" s="1511"/>
      <c r="P354" s="1505" t="s">
        <v>2005</v>
      </c>
      <c r="Q354" s="1355">
        <v>1846.953</v>
      </c>
      <c r="R354" s="2221"/>
      <c r="S354" s="2222">
        <v>1778.867</v>
      </c>
      <c r="T354" s="1355"/>
      <c r="U354" s="1355">
        <v>963.13604081966355</v>
      </c>
    </row>
    <row r="355" spans="4:21" ht="21">
      <c r="F355" t="s">
        <v>2006</v>
      </c>
      <c r="G355">
        <v>989.35699999999997</v>
      </c>
      <c r="I355">
        <v>723.79</v>
      </c>
      <c r="K355">
        <v>731.57616512542995</v>
      </c>
      <c r="N355" s="1511"/>
      <c r="O355" s="1511"/>
      <c r="P355" s="1505" t="s">
        <v>2006</v>
      </c>
      <c r="Q355" s="1355">
        <v>12.811</v>
      </c>
      <c r="R355" s="2221"/>
      <c r="S355" s="2222">
        <v>6.6230000000000002</v>
      </c>
      <c r="T355" s="1355"/>
      <c r="U355" s="1355">
        <v>516.97759737725391</v>
      </c>
    </row>
    <row r="356" spans="4:21">
      <c r="D356">
        <v>4</v>
      </c>
      <c r="E356" t="s">
        <v>2007</v>
      </c>
      <c r="G356">
        <v>1000.645</v>
      </c>
      <c r="I356">
        <v>149.46</v>
      </c>
      <c r="K356">
        <v>149.36366043901683</v>
      </c>
      <c r="N356" s="1511">
        <v>4</v>
      </c>
      <c r="O356" s="1511" t="s">
        <v>2007</v>
      </c>
      <c r="P356" s="1505"/>
      <c r="Q356" s="1355">
        <v>1.502</v>
      </c>
      <c r="R356" s="2221"/>
      <c r="S356" s="2222">
        <v>0.73099999999999998</v>
      </c>
      <c r="T356" s="1355"/>
      <c r="U356" s="1355">
        <v>486.68442077230361</v>
      </c>
    </row>
    <row r="357" spans="4:21">
      <c r="D357">
        <v>5</v>
      </c>
      <c r="E357" t="s">
        <v>2008</v>
      </c>
      <c r="G357">
        <v>26.061</v>
      </c>
      <c r="I357">
        <v>9.2509999999999994</v>
      </c>
      <c r="K357">
        <v>354.97486665899237</v>
      </c>
      <c r="N357" s="2220">
        <v>5</v>
      </c>
      <c r="O357" s="2220" t="s">
        <v>2008</v>
      </c>
      <c r="P357" s="1505"/>
      <c r="Q357" s="1355" t="s">
        <v>1350</v>
      </c>
      <c r="R357" s="2221"/>
      <c r="S357" s="2222" t="s">
        <v>1350</v>
      </c>
      <c r="T357" s="1355"/>
      <c r="U357" s="1355" t="s">
        <v>1350</v>
      </c>
    </row>
    <row r="358" spans="4:21">
      <c r="D358">
        <v>6</v>
      </c>
      <c r="E358" t="s">
        <v>2009</v>
      </c>
      <c r="N358" s="2220">
        <v>6</v>
      </c>
      <c r="O358" s="2220" t="s">
        <v>2009</v>
      </c>
      <c r="P358" s="1505"/>
      <c r="Q358" s="1355"/>
      <c r="R358" s="2223"/>
      <c r="S358" s="2222"/>
      <c r="T358" s="1356"/>
      <c r="U358" s="1355"/>
    </row>
    <row r="359" spans="4:21">
      <c r="E359" t="s">
        <v>2010</v>
      </c>
      <c r="G359">
        <v>12096.825000000001</v>
      </c>
      <c r="I359">
        <v>7326.5720000000001</v>
      </c>
      <c r="K359">
        <v>605.66074155821877</v>
      </c>
      <c r="N359" s="1511"/>
      <c r="O359" s="1511" t="s">
        <v>2010</v>
      </c>
      <c r="P359" s="1505"/>
      <c r="Q359" s="1355">
        <v>462.97399999999999</v>
      </c>
      <c r="R359" s="2223"/>
      <c r="S359" s="2222">
        <v>214.72200000000001</v>
      </c>
      <c r="T359" s="1356"/>
      <c r="U359" s="1355">
        <v>463.78846328303536</v>
      </c>
    </row>
    <row r="360" spans="4:21" ht="31.2">
      <c r="E360" t="s">
        <v>665</v>
      </c>
      <c r="F360" t="s">
        <v>2011</v>
      </c>
      <c r="G360">
        <v>3103.9560000000001</v>
      </c>
      <c r="I360">
        <v>1876.13</v>
      </c>
      <c r="K360">
        <v>604.43189272012876</v>
      </c>
      <c r="N360" s="1511"/>
      <c r="O360" s="1511" t="s">
        <v>665</v>
      </c>
      <c r="P360" s="1505" t="s">
        <v>2011</v>
      </c>
      <c r="Q360" s="1355">
        <v>4.1829999999999998</v>
      </c>
      <c r="R360" s="2223"/>
      <c r="S360" s="2222">
        <v>2.028</v>
      </c>
      <c r="T360" s="1356"/>
      <c r="U360" s="1355">
        <v>484.81950753048056</v>
      </c>
    </row>
    <row r="361" spans="4:21" ht="21">
      <c r="F361" t="s">
        <v>2012</v>
      </c>
      <c r="G361">
        <v>2323.2049999999999</v>
      </c>
      <c r="I361">
        <v>620.52800000000002</v>
      </c>
      <c r="K361">
        <v>267.09997611058861</v>
      </c>
      <c r="N361" s="1511"/>
      <c r="O361" s="1511"/>
      <c r="P361" s="1505" t="s">
        <v>2012</v>
      </c>
      <c r="Q361" s="1355">
        <v>374.78800000000001</v>
      </c>
      <c r="R361" s="2223"/>
      <c r="S361" s="2222">
        <v>177.19499999999999</v>
      </c>
      <c r="T361" s="1356"/>
      <c r="U361" s="1355">
        <v>472.78728241032263</v>
      </c>
    </row>
    <row r="362" spans="4:21" ht="21">
      <c r="F362" t="s">
        <v>2013</v>
      </c>
      <c r="G362">
        <v>2333.6439999999998</v>
      </c>
      <c r="I362">
        <v>1250.0619999999999</v>
      </c>
      <c r="K362">
        <v>535.66953657027386</v>
      </c>
      <c r="N362" s="1511"/>
      <c r="O362" s="1511"/>
      <c r="P362" s="1505" t="s">
        <v>2013</v>
      </c>
      <c r="Q362" s="1355">
        <v>1.0109999999999999</v>
      </c>
      <c r="R362" s="2223"/>
      <c r="S362" s="2222">
        <v>0.47099999999999997</v>
      </c>
      <c r="T362" s="1356"/>
      <c r="U362" s="1355">
        <v>465.87537091988133</v>
      </c>
    </row>
    <row r="363" spans="4:21" ht="31.2">
      <c r="F363" t="s">
        <v>2014</v>
      </c>
      <c r="G363">
        <v>3922.0549999999998</v>
      </c>
      <c r="I363">
        <v>3507.8989999999999</v>
      </c>
      <c r="K363">
        <v>894.40331662865515</v>
      </c>
      <c r="N363" s="1513"/>
      <c r="O363" s="1513"/>
      <c r="P363" s="1505" t="s">
        <v>2014</v>
      </c>
      <c r="Q363" s="1355">
        <v>30.507999999999999</v>
      </c>
      <c r="R363" s="2223"/>
      <c r="S363" s="2222">
        <v>6.2539999999999996</v>
      </c>
      <c r="T363" s="1356"/>
      <c r="U363" s="1355">
        <v>204.99541103972729</v>
      </c>
    </row>
    <row r="364" spans="4:21">
      <c r="D364">
        <v>7</v>
      </c>
      <c r="E364" t="s">
        <v>2015</v>
      </c>
      <c r="N364" s="1511">
        <v>7</v>
      </c>
      <c r="O364" s="1511" t="s">
        <v>2015</v>
      </c>
      <c r="P364" s="1505"/>
      <c r="Q364" s="1355"/>
      <c r="R364" s="2224"/>
      <c r="S364" s="2222"/>
      <c r="T364" s="1486"/>
      <c r="U364" s="1355"/>
    </row>
    <row r="365" spans="4:21">
      <c r="E365" t="s">
        <v>2016</v>
      </c>
      <c r="G365">
        <v>35528.239999999998</v>
      </c>
      <c r="I365">
        <v>4787.5219999999999</v>
      </c>
      <c r="K365">
        <v>134.75257991952319</v>
      </c>
      <c r="N365" s="1511"/>
      <c r="O365" s="1511" t="s">
        <v>2016</v>
      </c>
      <c r="P365" s="1505"/>
      <c r="Q365" s="1355">
        <v>5741.6350000000002</v>
      </c>
      <c r="R365" s="2224"/>
      <c r="S365" s="2222">
        <v>3894.076</v>
      </c>
      <c r="T365" s="1486"/>
      <c r="U365" s="1355">
        <v>678.21726738115535</v>
      </c>
    </row>
    <row r="366" spans="4:21" ht="31.2">
      <c r="E366" t="s">
        <v>665</v>
      </c>
      <c r="F366" t="s">
        <v>2017</v>
      </c>
      <c r="G366">
        <v>32886.925999999999</v>
      </c>
      <c r="I366">
        <v>3837.7809999999999</v>
      </c>
      <c r="K366">
        <v>116.69625187833002</v>
      </c>
      <c r="N366" s="1511"/>
      <c r="O366" s="1511" t="s">
        <v>665</v>
      </c>
      <c r="P366" s="1505" t="s">
        <v>2017</v>
      </c>
      <c r="Q366" s="1355">
        <v>5359.7110000000002</v>
      </c>
      <c r="R366" s="2224"/>
      <c r="S366" s="2222">
        <v>3586.7809999999999</v>
      </c>
      <c r="T366" s="1486"/>
      <c r="U366" s="1355">
        <v>669.21164219488696</v>
      </c>
    </row>
    <row r="367" spans="4:21">
      <c r="D367">
        <v>8</v>
      </c>
      <c r="E367" t="s">
        <v>2018</v>
      </c>
      <c r="N367" s="1511">
        <v>8</v>
      </c>
      <c r="O367" s="1511" t="s">
        <v>2018</v>
      </c>
      <c r="P367" s="1505"/>
      <c r="Q367" s="1355"/>
      <c r="R367" s="2224"/>
      <c r="S367" s="2222"/>
      <c r="T367" s="1486"/>
      <c r="U367" s="1355"/>
    </row>
    <row r="368" spans="4:21">
      <c r="E368" t="s">
        <v>2019</v>
      </c>
      <c r="G368">
        <v>3121.7530000000002</v>
      </c>
      <c r="I368">
        <v>1248.2529999999999</v>
      </c>
      <c r="K368">
        <v>399.85642682172482</v>
      </c>
      <c r="N368" s="1513"/>
      <c r="O368" s="1511" t="s">
        <v>2019</v>
      </c>
      <c r="P368" s="1505"/>
      <c r="Q368" s="1355">
        <v>376.64499999999998</v>
      </c>
      <c r="R368" s="2224"/>
      <c r="S368" s="2222">
        <v>247.81399999999999</v>
      </c>
      <c r="T368" s="1486"/>
      <c r="U368" s="1355">
        <v>657.95112108218621</v>
      </c>
    </row>
    <row r="369" spans="4:21">
      <c r="D369">
        <v>9</v>
      </c>
      <c r="E369" t="s">
        <v>2020</v>
      </c>
      <c r="G369">
        <v>1759.0830000000001</v>
      </c>
      <c r="I369">
        <v>304.23500000000001</v>
      </c>
      <c r="K369">
        <v>172.95090680769468</v>
      </c>
      <c r="N369" s="2220">
        <v>9</v>
      </c>
      <c r="O369" s="2220" t="s">
        <v>2020</v>
      </c>
      <c r="P369" s="1505"/>
      <c r="Q369" s="1355">
        <v>1423.51</v>
      </c>
      <c r="R369" s="2224"/>
      <c r="S369" s="2222">
        <v>709.01400000000001</v>
      </c>
      <c r="T369" s="1486"/>
      <c r="U369" s="1355">
        <v>498.07447787511154</v>
      </c>
    </row>
    <row r="370" spans="4:21">
      <c r="D370">
        <v>10</v>
      </c>
      <c r="E370" t="s">
        <v>2021</v>
      </c>
      <c r="G370">
        <v>2621.6039999999998</v>
      </c>
      <c r="I370">
        <v>1043.22</v>
      </c>
      <c r="K370">
        <v>397.93195310962301</v>
      </c>
      <c r="N370" s="1511">
        <v>10</v>
      </c>
      <c r="O370" s="1511" t="s">
        <v>2021</v>
      </c>
      <c r="P370" s="1505"/>
      <c r="Q370" s="1355">
        <v>42.18</v>
      </c>
      <c r="R370" s="2224"/>
      <c r="S370" s="2222">
        <v>30.649000000000001</v>
      </c>
      <c r="T370" s="1486"/>
      <c r="U370" s="1355">
        <v>726.62399241346611</v>
      </c>
    </row>
    <row r="371" spans="4:21">
      <c r="D371">
        <v>11</v>
      </c>
      <c r="E371" t="s">
        <v>2022</v>
      </c>
      <c r="G371">
        <v>66.174999999999997</v>
      </c>
      <c r="I371">
        <v>53.113</v>
      </c>
      <c r="K371">
        <v>802.61428031734044</v>
      </c>
      <c r="N371" s="1511">
        <v>11</v>
      </c>
      <c r="O371" s="1511" t="s">
        <v>2022</v>
      </c>
      <c r="P371" s="1505"/>
      <c r="Q371" s="1355">
        <v>0.51400000000000001</v>
      </c>
      <c r="R371" s="2224"/>
      <c r="S371" s="2222">
        <v>0.154</v>
      </c>
      <c r="T371" s="1486"/>
      <c r="U371" s="1355">
        <v>299.61089494163423</v>
      </c>
    </row>
    <row r="372" spans="4:21">
      <c r="D372">
        <v>12</v>
      </c>
      <c r="E372" t="s">
        <v>2023</v>
      </c>
      <c r="G372">
        <v>1597.24</v>
      </c>
      <c r="I372">
        <v>125.88800000000001</v>
      </c>
      <c r="K372">
        <v>78.815957526733612</v>
      </c>
      <c r="N372" s="1511">
        <v>12</v>
      </c>
      <c r="O372" s="1511" t="s">
        <v>2023</v>
      </c>
      <c r="P372" s="1505"/>
      <c r="Q372" s="1355">
        <v>8.2959999999999994</v>
      </c>
      <c r="R372" s="2224"/>
      <c r="S372" s="2222">
        <v>3.976</v>
      </c>
      <c r="T372" s="1486"/>
      <c r="U372" s="1355">
        <v>479.26711668273873</v>
      </c>
    </row>
    <row r="373" spans="4:21">
      <c r="D373">
        <v>13</v>
      </c>
      <c r="E373" t="s">
        <v>2024</v>
      </c>
      <c r="G373">
        <v>13.436</v>
      </c>
      <c r="I373">
        <v>0.29899999999999999</v>
      </c>
      <c r="K373">
        <v>22.25364691872581</v>
      </c>
      <c r="N373" s="1511">
        <v>13</v>
      </c>
      <c r="O373" s="1511" t="s">
        <v>2024</v>
      </c>
      <c r="P373" s="1505"/>
      <c r="Q373" s="1355" t="s">
        <v>1350</v>
      </c>
      <c r="R373" s="2224"/>
      <c r="S373" s="2222" t="s">
        <v>1350</v>
      </c>
      <c r="T373" s="1486"/>
      <c r="U373" s="1355" t="s">
        <v>1350</v>
      </c>
    </row>
    <row r="374" spans="4:21">
      <c r="D374">
        <v>14</v>
      </c>
      <c r="E374" t="s">
        <v>2025</v>
      </c>
      <c r="G374">
        <v>812.19100000000003</v>
      </c>
      <c r="I374">
        <v>370.48399999999998</v>
      </c>
      <c r="K374">
        <v>456.15378648618366</v>
      </c>
      <c r="N374" s="1511">
        <v>14</v>
      </c>
      <c r="O374" s="1511" t="s">
        <v>2025</v>
      </c>
      <c r="P374" s="1505"/>
      <c r="Q374" s="1355">
        <v>35.871000000000002</v>
      </c>
      <c r="R374" s="2224"/>
      <c r="S374" s="2222">
        <v>35.856000000000002</v>
      </c>
      <c r="T374" s="1486"/>
      <c r="U374" s="1355">
        <v>999.5818349084218</v>
      </c>
    </row>
    <row r="375" spans="4:21">
      <c r="D375">
        <v>15</v>
      </c>
      <c r="E375" t="s">
        <v>2026</v>
      </c>
      <c r="G375" t="s">
        <v>1350</v>
      </c>
      <c r="I375" t="s">
        <v>1350</v>
      </c>
      <c r="K375" t="s">
        <v>1350</v>
      </c>
      <c r="N375" s="1511">
        <v>15</v>
      </c>
      <c r="O375" s="1511" t="s">
        <v>2026</v>
      </c>
      <c r="P375" s="1505"/>
      <c r="Q375" s="1355" t="s">
        <v>1350</v>
      </c>
      <c r="R375" s="2224"/>
      <c r="S375" s="2222" t="s">
        <v>1350</v>
      </c>
      <c r="T375" s="1486"/>
      <c r="U375" s="1355" t="s">
        <v>1350</v>
      </c>
    </row>
    <row r="376" spans="4:21">
      <c r="D376">
        <v>16</v>
      </c>
      <c r="E376" t="s">
        <v>2027</v>
      </c>
      <c r="G376">
        <v>1.6910000000000001</v>
      </c>
      <c r="I376">
        <v>0.89</v>
      </c>
      <c r="K376">
        <v>526.31578947368416</v>
      </c>
      <c r="N376" s="1511">
        <v>16</v>
      </c>
      <c r="O376" s="1511" t="s">
        <v>2027</v>
      </c>
      <c r="P376" s="1505"/>
      <c r="Q376" s="1355" t="s">
        <v>1350</v>
      </c>
      <c r="R376" s="2224"/>
      <c r="S376" s="2222" t="s">
        <v>1350</v>
      </c>
      <c r="T376" s="1486"/>
      <c r="U376" s="1355" t="s">
        <v>1350</v>
      </c>
    </row>
    <row r="377" spans="4:21">
      <c r="D377">
        <v>17</v>
      </c>
      <c r="E377" t="s">
        <v>2028</v>
      </c>
      <c r="G377" t="s">
        <v>1350</v>
      </c>
      <c r="I377" t="s">
        <v>1350</v>
      </c>
      <c r="K377" t="s">
        <v>1350</v>
      </c>
      <c r="N377" s="1514">
        <v>17</v>
      </c>
      <c r="O377" s="1514" t="s">
        <v>2028</v>
      </c>
      <c r="P377" s="1505"/>
      <c r="Q377" s="1355" t="s">
        <v>1350</v>
      </c>
      <c r="R377" s="2224"/>
      <c r="S377" s="2222" t="s">
        <v>1350</v>
      </c>
      <c r="T377" s="1486"/>
      <c r="U377" s="1355" t="s">
        <v>1350</v>
      </c>
    </row>
    <row r="378" spans="4:21">
      <c r="D378">
        <v>18</v>
      </c>
      <c r="E378" t="s">
        <v>2029</v>
      </c>
      <c r="G378">
        <v>369.30900000000003</v>
      </c>
      <c r="I378">
        <v>61.137999999999998</v>
      </c>
      <c r="K378">
        <v>165.54700806100038</v>
      </c>
      <c r="N378" s="1511">
        <v>18</v>
      </c>
      <c r="O378" s="1511" t="s">
        <v>2029</v>
      </c>
      <c r="P378" s="1505"/>
      <c r="Q378" s="1355">
        <v>4.077</v>
      </c>
      <c r="R378" s="2224"/>
      <c r="S378" s="2222">
        <v>1.2430000000000001</v>
      </c>
      <c r="T378" s="1486"/>
      <c r="U378" s="1355">
        <v>304.88103998037775</v>
      </c>
    </row>
    <row r="379" spans="4:21">
      <c r="D379">
        <v>19</v>
      </c>
      <c r="E379" t="s">
        <v>2030</v>
      </c>
      <c r="G379">
        <v>53129.855000000003</v>
      </c>
      <c r="I379">
        <v>2916.694</v>
      </c>
      <c r="K379">
        <v>54.897458312280349</v>
      </c>
      <c r="N379" s="1511">
        <v>19</v>
      </c>
      <c r="O379" s="1511" t="s">
        <v>2030</v>
      </c>
      <c r="P379" s="1505"/>
      <c r="Q379" s="1355">
        <v>568.84400000000005</v>
      </c>
      <c r="R379" s="2224"/>
      <c r="S379" s="2222">
        <v>77.397999999999996</v>
      </c>
      <c r="T379" s="1486"/>
      <c r="U379" s="1355">
        <v>136.06190800992889</v>
      </c>
    </row>
    <row r="380" spans="4:21" ht="21">
      <c r="E380" t="s">
        <v>665</v>
      </c>
      <c r="F380" t="s">
        <v>2031</v>
      </c>
      <c r="G380">
        <v>34663.298999999999</v>
      </c>
      <c r="I380">
        <v>1030.1659999999999</v>
      </c>
      <c r="K380">
        <v>29.719213973257418</v>
      </c>
      <c r="N380" s="1511"/>
      <c r="O380" s="1511" t="s">
        <v>665</v>
      </c>
      <c r="P380" s="1505" t="s">
        <v>2031</v>
      </c>
      <c r="Q380" s="1355">
        <v>551.06899999999996</v>
      </c>
      <c r="R380" s="2224"/>
      <c r="S380" s="2222">
        <v>74.201999999999998</v>
      </c>
      <c r="T380" s="1486"/>
      <c r="U380" s="1355">
        <v>134.65101466422536</v>
      </c>
    </row>
    <row r="381" spans="4:21" ht="31.2">
      <c r="F381" t="s">
        <v>2032</v>
      </c>
      <c r="G381">
        <v>1922.8720000000001</v>
      </c>
      <c r="I381">
        <v>42.728000000000002</v>
      </c>
      <c r="K381">
        <v>22.220927862072983</v>
      </c>
      <c r="N381" s="1511"/>
      <c r="O381" s="1511"/>
      <c r="P381" s="1505" t="s">
        <v>2032</v>
      </c>
      <c r="Q381" s="1355" t="s">
        <v>1350</v>
      </c>
      <c r="R381" s="2224"/>
      <c r="S381" s="2222" t="s">
        <v>1350</v>
      </c>
      <c r="T381" s="1486"/>
      <c r="U381" s="1355" t="s">
        <v>1350</v>
      </c>
    </row>
    <row r="382" spans="4:21" ht="21">
      <c r="F382" t="s">
        <v>2033</v>
      </c>
      <c r="G382">
        <v>12483.078</v>
      </c>
      <c r="I382">
        <v>1468.1590000000001</v>
      </c>
      <c r="K382">
        <v>117.61193833764398</v>
      </c>
      <c r="N382" s="1511"/>
      <c r="O382" s="1511"/>
      <c r="P382" s="1505" t="s">
        <v>2033</v>
      </c>
      <c r="Q382" s="1355">
        <v>1.395</v>
      </c>
      <c r="R382" s="2224"/>
      <c r="S382" s="2222">
        <v>0.67900000000000005</v>
      </c>
      <c r="T382" s="1486"/>
      <c r="U382" s="1355">
        <v>486.73835125448028</v>
      </c>
    </row>
    <row r="383" spans="4:21">
      <c r="D383">
        <v>20</v>
      </c>
      <c r="E383" t="s">
        <v>2034</v>
      </c>
      <c r="G383">
        <v>784.90200000000004</v>
      </c>
      <c r="I383">
        <v>257.68400000000003</v>
      </c>
      <c r="K383">
        <v>328.30085794150102</v>
      </c>
      <c r="N383" s="1514">
        <v>20</v>
      </c>
      <c r="O383" s="1514" t="s">
        <v>2034</v>
      </c>
      <c r="P383" s="1505"/>
      <c r="Q383" s="1355">
        <v>55.902999999999999</v>
      </c>
      <c r="R383" s="2224"/>
      <c r="S383" s="2222">
        <v>28.702999999999999</v>
      </c>
      <c r="T383" s="1486"/>
      <c r="U383" s="1355">
        <v>513.44292792873375</v>
      </c>
    </row>
    <row r="384" spans="4:21">
      <c r="D384" t="s">
        <v>2530</v>
      </c>
      <c r="G384" s="784">
        <v>154995.236</v>
      </c>
      <c r="I384" s="2026">
        <v>30027.098000000002</v>
      </c>
      <c r="K384" s="784">
        <v>193.72916726292155</v>
      </c>
      <c r="N384" s="1369" t="s">
        <v>2550</v>
      </c>
      <c r="O384" s="1369"/>
      <c r="P384" s="1335"/>
      <c r="Q384" s="1507">
        <v>12106.56</v>
      </c>
      <c r="R384" s="2224"/>
      <c r="S384" s="2421">
        <v>7851.4849999999997</v>
      </c>
      <c r="T384" s="2225"/>
      <c r="U384" s="1459">
        <v>648.53145732561518</v>
      </c>
    </row>
    <row r="385" spans="3:21">
      <c r="D385" t="s">
        <v>2531</v>
      </c>
      <c r="G385">
        <v>141194</v>
      </c>
      <c r="I385">
        <v>27502</v>
      </c>
      <c r="K385">
        <v>195</v>
      </c>
      <c r="N385" s="2226" t="s">
        <v>2551</v>
      </c>
      <c r="O385" s="2226"/>
      <c r="P385" s="2227"/>
      <c r="Q385" s="1462">
        <v>10151</v>
      </c>
      <c r="R385" s="2228"/>
      <c r="S385" s="2229">
        <v>6504.1</v>
      </c>
      <c r="T385" s="2230"/>
      <c r="U385" s="1462">
        <v>641</v>
      </c>
    </row>
    <row r="386" spans="3:21">
      <c r="N386" s="2231"/>
      <c r="O386" s="2231"/>
      <c r="P386" s="1515"/>
      <c r="Q386" s="2232"/>
      <c r="R386" s="2224"/>
      <c r="S386" s="2223"/>
      <c r="T386" s="2225"/>
      <c r="U386" s="1459"/>
    </row>
    <row r="387" spans="3:21">
      <c r="C387" t="s">
        <v>2532</v>
      </c>
      <c r="N387" s="1394" t="s">
        <v>2552</v>
      </c>
      <c r="O387" s="2233"/>
      <c r="P387" s="1301"/>
      <c r="Q387" s="2234"/>
      <c r="R387" s="2235"/>
      <c r="S387" s="2236"/>
      <c r="T387" s="1374"/>
      <c r="U387" s="1374"/>
    </row>
    <row r="388" spans="3:21">
      <c r="N388" s="1394"/>
      <c r="O388" s="2237"/>
      <c r="P388" s="2238"/>
      <c r="Q388" s="2239"/>
      <c r="R388" s="2240"/>
      <c r="S388" s="2241"/>
      <c r="T388" s="2170"/>
      <c r="U388" s="2170"/>
    </row>
    <row r="389" spans="3:21">
      <c r="N389" s="1425"/>
      <c r="O389" s="2233"/>
      <c r="P389" s="1301"/>
      <c r="Q389" s="2234"/>
      <c r="R389" s="2235"/>
      <c r="S389" s="2236"/>
      <c r="T389" s="1374"/>
      <c r="U389" s="1374"/>
    </row>
    <row r="390" spans="3:21">
      <c r="N390" s="1425"/>
      <c r="O390" s="2233"/>
      <c r="P390" s="1301"/>
      <c r="Q390" s="2234"/>
      <c r="R390" s="2235"/>
      <c r="S390" s="2236"/>
      <c r="T390" s="1374"/>
      <c r="U390" s="1374"/>
    </row>
    <row r="391" spans="3:21">
      <c r="H391" s="754" t="s">
        <v>2511</v>
      </c>
      <c r="I391" s="754"/>
      <c r="J391" s="754" t="s">
        <v>1342</v>
      </c>
      <c r="K391" s="754"/>
      <c r="L391" s="754" t="s">
        <v>2512</v>
      </c>
      <c r="N391" s="1425"/>
      <c r="O391" s="2233"/>
      <c r="P391" s="1301"/>
      <c r="Q391" s="2234"/>
      <c r="R391" s="2235"/>
      <c r="S391" s="2236"/>
      <c r="T391" s="1374"/>
      <c r="U391" s="1374"/>
    </row>
    <row r="392" spans="3:21">
      <c r="H392" s="754" t="s">
        <v>2513</v>
      </c>
      <c r="I392" s="754"/>
      <c r="J392" s="754" t="s">
        <v>2514</v>
      </c>
      <c r="K392" s="754"/>
      <c r="L392" s="754" t="s">
        <v>2515</v>
      </c>
      <c r="N392" s="1425"/>
      <c r="O392" s="2233"/>
      <c r="P392" s="1301"/>
      <c r="Q392" s="2234"/>
      <c r="R392" s="2235"/>
      <c r="S392" s="2236"/>
      <c r="T392" s="1374"/>
      <c r="U392" s="1374"/>
    </row>
    <row r="393" spans="3:21">
      <c r="H393" s="754" t="s">
        <v>2516</v>
      </c>
      <c r="I393" s="754"/>
      <c r="J393" s="754" t="s">
        <v>2517</v>
      </c>
      <c r="K393" s="754"/>
      <c r="L393" s="754" t="s">
        <v>2518</v>
      </c>
      <c r="N393" s="1425"/>
      <c r="O393" s="2233"/>
      <c r="P393" s="1301"/>
      <c r="Q393" s="2234"/>
      <c r="R393" s="2235"/>
      <c r="S393" s="2236"/>
      <c r="T393" s="1374"/>
      <c r="U393" s="1374"/>
    </row>
    <row r="394" spans="3:21">
      <c r="H394" s="754" t="s">
        <v>2519</v>
      </c>
      <c r="I394" s="754"/>
      <c r="J394" s="754" t="s">
        <v>369</v>
      </c>
      <c r="K394" s="754"/>
      <c r="L394" s="754" t="s">
        <v>2520</v>
      </c>
      <c r="N394" s="1425"/>
      <c r="O394" s="2233"/>
      <c r="P394" s="1301"/>
      <c r="Q394" s="2234"/>
      <c r="R394" s="2235"/>
      <c r="S394" s="2236"/>
      <c r="T394" s="1374"/>
      <c r="U394" s="1374"/>
    </row>
    <row r="395" spans="3:21">
      <c r="H395" s="754" t="s">
        <v>2521</v>
      </c>
      <c r="I395" s="754"/>
      <c r="J395" s="754" t="s">
        <v>2522</v>
      </c>
      <c r="K395" s="754"/>
      <c r="L395" s="754" t="s">
        <v>2523</v>
      </c>
      <c r="N395" s="1425"/>
      <c r="O395" s="2233"/>
      <c r="P395" s="1301"/>
      <c r="Q395" s="2234"/>
      <c r="R395" s="2235"/>
      <c r="S395" s="2236"/>
      <c r="T395" s="1374"/>
      <c r="U395" s="1374"/>
    </row>
    <row r="396" spans="3:21">
      <c r="H396" s="754" t="s">
        <v>2524</v>
      </c>
      <c r="I396" s="754"/>
      <c r="J396" s="754" t="s">
        <v>2525</v>
      </c>
      <c r="K396" s="754"/>
      <c r="L396" s="754" t="s">
        <v>2526</v>
      </c>
      <c r="N396" s="1425"/>
      <c r="O396" s="2233"/>
      <c r="P396" s="1301"/>
      <c r="Q396" s="2234"/>
      <c r="R396" s="2235"/>
      <c r="S396" s="2236"/>
      <c r="T396" s="1374"/>
      <c r="U396" s="1374"/>
    </row>
    <row r="397" spans="3:21">
      <c r="H397" s="754" t="s">
        <v>2527</v>
      </c>
      <c r="I397" s="754"/>
      <c r="J397" s="754" t="s">
        <v>2528</v>
      </c>
      <c r="K397" s="754"/>
      <c r="L397" s="754" t="s">
        <v>2529</v>
      </c>
      <c r="N397" s="2430" t="s">
        <v>2712</v>
      </c>
      <c r="O397" s="2233"/>
      <c r="P397" s="1301"/>
      <c r="Q397" s="2234"/>
      <c r="R397" s="2235"/>
      <c r="S397" s="2236"/>
      <c r="T397" s="1374"/>
      <c r="U397" s="1374"/>
    </row>
    <row r="399" spans="3:21">
      <c r="G399" s="754" t="s">
        <v>2530</v>
      </c>
      <c r="H399" s="754">
        <v>154995.236</v>
      </c>
      <c r="I399" s="754"/>
      <c r="J399" s="2026">
        <v>30027.098000000002</v>
      </c>
      <c r="K399" s="754"/>
      <c r="L399" s="754">
        <v>193.72916726292155</v>
      </c>
      <c r="N399" s="1374">
        <f>M36</f>
        <v>13988</v>
      </c>
    </row>
    <row r="401" spans="8:11">
      <c r="H401">
        <f>H399/1000</f>
        <v>154.99523600000001</v>
      </c>
    </row>
    <row r="402" spans="8:11">
      <c r="H402" s="765" t="s">
        <v>2714</v>
      </c>
      <c r="J402" s="765" t="s">
        <v>2713</v>
      </c>
    </row>
    <row r="404" spans="8:11">
      <c r="J404" s="765" t="s">
        <v>2095</v>
      </c>
    </row>
    <row r="405" spans="8:11">
      <c r="J405">
        <f>J399/H401</f>
        <v>193.72916726292155</v>
      </c>
      <c r="K405" s="765" t="s">
        <v>2715</v>
      </c>
    </row>
  </sheetData>
  <mergeCells count="6">
    <mergeCell ref="B293:R293"/>
    <mergeCell ref="A205:Q205"/>
    <mergeCell ref="A206:Q206"/>
    <mergeCell ref="A41:M41"/>
    <mergeCell ref="A114:J114"/>
    <mergeCell ref="B292:Q292"/>
  </mergeCells>
  <pageMargins left="0.7" right="0.7" top="0.75" bottom="0.75" header="0.3" footer="0.3"/>
  <drawing r:id="rId1"/>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200-000000000000}">
  <sheetPr>
    <tabColor rgb="FF00B0F0"/>
  </sheetPr>
  <dimension ref="A1:I76"/>
  <sheetViews>
    <sheetView workbookViewId="0">
      <selection activeCell="O33" sqref="O33"/>
    </sheetView>
  </sheetViews>
  <sheetFormatPr defaultRowHeight="13.2"/>
  <cols>
    <col min="8" max="8" width="17.88671875" bestFit="1" customWidth="1"/>
  </cols>
  <sheetData>
    <row r="1" spans="1:9">
      <c r="A1" s="765" t="s">
        <v>3179</v>
      </c>
    </row>
    <row r="2" spans="1:9" ht="13.8" thickBot="1"/>
    <row r="3" spans="1:9">
      <c r="B3" s="1122" t="s">
        <v>3163</v>
      </c>
      <c r="C3" s="1123"/>
      <c r="D3" s="1123"/>
      <c r="E3" s="1123"/>
      <c r="F3" s="1123"/>
      <c r="G3" s="387"/>
      <c r="H3" s="69"/>
      <c r="I3" s="95"/>
    </row>
    <row r="4" spans="1:9">
      <c r="B4" s="308"/>
      <c r="C4" s="543"/>
      <c r="D4" s="543"/>
      <c r="E4" s="543"/>
      <c r="F4" s="543"/>
      <c r="G4" s="3"/>
      <c r="H4" s="543"/>
      <c r="I4" s="547"/>
    </row>
    <row r="5" spans="1:9">
      <c r="B5" s="308" t="s">
        <v>601</v>
      </c>
      <c r="C5" s="543"/>
      <c r="D5" s="543"/>
      <c r="E5" s="543"/>
      <c r="F5" s="543"/>
      <c r="G5" s="3"/>
      <c r="H5" s="543"/>
      <c r="I5" s="547"/>
    </row>
    <row r="6" spans="1:9">
      <c r="B6" s="308"/>
      <c r="C6" s="543" t="s">
        <v>3164</v>
      </c>
      <c r="D6" s="543" t="s">
        <v>399</v>
      </c>
      <c r="E6" s="543" t="s">
        <v>2309</v>
      </c>
      <c r="F6" s="543" t="s">
        <v>397</v>
      </c>
      <c r="G6" s="3"/>
      <c r="H6" s="543"/>
      <c r="I6" s="547"/>
    </row>
    <row r="7" spans="1:9" ht="13.8">
      <c r="B7" s="2676" t="s">
        <v>282</v>
      </c>
      <c r="C7" s="2688">
        <v>5.0803730281783234E-2</v>
      </c>
      <c r="D7" s="2688">
        <v>0.25356727683990965</v>
      </c>
      <c r="E7" s="2688">
        <v>0.19568103798130093</v>
      </c>
      <c r="F7" s="2688">
        <v>0.49994795489700627</v>
      </c>
      <c r="G7" s="2677"/>
      <c r="H7" s="543" t="s">
        <v>3165</v>
      </c>
      <c r="I7" s="1112">
        <v>1</v>
      </c>
    </row>
    <row r="8" spans="1:9" ht="13.8">
      <c r="B8" s="2676" t="s">
        <v>3166</v>
      </c>
      <c r="C8" s="2689" t="s">
        <v>3167</v>
      </c>
      <c r="D8" s="2688">
        <v>0.15556441042742924</v>
      </c>
      <c r="E8" s="2688">
        <v>0.25524775897812579</v>
      </c>
      <c r="F8" s="2688">
        <v>0.58918783059444491</v>
      </c>
      <c r="G8" s="2677"/>
      <c r="H8" s="543" t="s">
        <v>3168</v>
      </c>
      <c r="I8" s="1112">
        <v>1</v>
      </c>
    </row>
    <row r="9" spans="1:9" ht="13.8">
      <c r="B9" s="2676" t="s">
        <v>3169</v>
      </c>
      <c r="C9" s="2688">
        <v>0.19949722919973487</v>
      </c>
      <c r="D9" s="2688">
        <v>0.72302809993538231</v>
      </c>
      <c r="E9" s="2688">
        <v>6.8710901324592483E-2</v>
      </c>
      <c r="F9" s="2688">
        <v>8.7637695402902841E-3</v>
      </c>
      <c r="G9" s="2677"/>
      <c r="H9" s="543" t="s">
        <v>3168</v>
      </c>
      <c r="I9" s="1112">
        <v>0.99999999999999989</v>
      </c>
    </row>
    <row r="10" spans="1:9" ht="13.8">
      <c r="B10" s="2676" t="s">
        <v>2347</v>
      </c>
      <c r="C10" s="2688">
        <v>0.537801676346359</v>
      </c>
      <c r="D10" s="2688">
        <v>0.37551509299743746</v>
      </c>
      <c r="E10" s="2688">
        <v>8.6683230656203536E-2</v>
      </c>
      <c r="F10" s="2689" t="s">
        <v>3167</v>
      </c>
      <c r="G10" s="2677"/>
      <c r="H10" s="2679" t="s">
        <v>3170</v>
      </c>
      <c r="I10" s="1112">
        <v>1</v>
      </c>
    </row>
    <row r="11" spans="1:9" ht="13.8">
      <c r="B11" s="2676" t="s">
        <v>2354</v>
      </c>
      <c r="C11" s="2688">
        <v>0.58729416117152888</v>
      </c>
      <c r="D11" s="2688">
        <v>0.41270583882847112</v>
      </c>
      <c r="E11" s="2689" t="s">
        <v>3167</v>
      </c>
      <c r="F11" s="2689" t="s">
        <v>3167</v>
      </c>
      <c r="G11" s="2677"/>
      <c r="H11" s="543" t="s">
        <v>3165</v>
      </c>
      <c r="I11" s="1112">
        <v>1</v>
      </c>
    </row>
    <row r="12" spans="1:9" ht="13.8">
      <c r="B12" s="2676" t="s">
        <v>3171</v>
      </c>
      <c r="C12" s="2688">
        <v>6.9109102242079751E-2</v>
      </c>
      <c r="D12" s="2688">
        <v>0.38972685309304844</v>
      </c>
      <c r="E12" s="2688">
        <v>0.16212357371665626</v>
      </c>
      <c r="F12" s="2688">
        <v>0.37904047094821547</v>
      </c>
      <c r="G12" s="2677"/>
      <c r="H12" s="2679" t="s">
        <v>3170</v>
      </c>
      <c r="I12" s="1112">
        <v>0.99999999999999989</v>
      </c>
    </row>
    <row r="13" spans="1:9" ht="13.8">
      <c r="B13" s="2676" t="s">
        <v>3172</v>
      </c>
      <c r="C13" s="2689" t="s">
        <v>3167</v>
      </c>
      <c r="D13" s="2688">
        <v>7.2860027831733482E-2</v>
      </c>
      <c r="E13" s="2688">
        <v>0.12943870614909181</v>
      </c>
      <c r="F13" s="2688">
        <v>0.79770126601917479</v>
      </c>
      <c r="G13" s="2677"/>
      <c r="H13" s="543" t="s">
        <v>3168</v>
      </c>
      <c r="I13" s="1112">
        <v>1</v>
      </c>
    </row>
    <row r="14" spans="1:9" ht="13.8">
      <c r="B14" s="2676" t="s">
        <v>349</v>
      </c>
      <c r="C14" s="2690" t="s">
        <v>390</v>
      </c>
      <c r="D14" s="2690" t="s">
        <v>390</v>
      </c>
      <c r="E14" s="2689" t="s">
        <v>3167</v>
      </c>
      <c r="F14" s="2689" t="s">
        <v>3167</v>
      </c>
      <c r="G14" s="2677"/>
      <c r="H14" s="543" t="s">
        <v>3173</v>
      </c>
      <c r="I14" s="1112">
        <v>0</v>
      </c>
    </row>
    <row r="15" spans="1:9" ht="13.8">
      <c r="B15" s="2676" t="s">
        <v>3174</v>
      </c>
      <c r="C15" s="2690" t="s">
        <v>390</v>
      </c>
      <c r="D15" s="2690" t="s">
        <v>390</v>
      </c>
      <c r="E15" s="2690" t="s">
        <v>390</v>
      </c>
      <c r="F15" s="2689" t="s">
        <v>3167</v>
      </c>
      <c r="G15" s="2677"/>
      <c r="H15" s="543" t="s">
        <v>3175</v>
      </c>
      <c r="I15" s="1112">
        <v>0</v>
      </c>
    </row>
    <row r="16" spans="1:9" ht="13.8">
      <c r="B16" s="2676" t="s">
        <v>220</v>
      </c>
      <c r="C16" s="2689" t="s">
        <v>3167</v>
      </c>
      <c r="D16" s="2688">
        <v>8.8795498605321391E-2</v>
      </c>
      <c r="E16" s="2688">
        <v>0.12906262723093936</v>
      </c>
      <c r="F16" s="2688">
        <v>0.78214187416373926</v>
      </c>
      <c r="G16" s="2677"/>
      <c r="H16" s="543" t="s">
        <v>3168</v>
      </c>
      <c r="I16" s="1112">
        <v>1</v>
      </c>
    </row>
    <row r="17" spans="2:9" ht="13.8">
      <c r="B17" s="2681"/>
      <c r="C17" s="2682"/>
      <c r="D17" s="2682"/>
      <c r="E17" s="2682"/>
      <c r="F17" s="2682"/>
      <c r="G17" s="2683"/>
      <c r="H17" s="543"/>
      <c r="I17" s="547"/>
    </row>
    <row r="18" spans="2:9">
      <c r="B18" s="308"/>
      <c r="C18" s="543"/>
      <c r="D18" s="543"/>
      <c r="E18" s="543"/>
      <c r="F18" s="543"/>
      <c r="G18" s="3"/>
      <c r="H18" s="543"/>
      <c r="I18" s="547"/>
    </row>
    <row r="19" spans="2:9">
      <c r="B19" s="308"/>
      <c r="C19" s="543"/>
      <c r="D19" s="543"/>
      <c r="E19" s="543"/>
      <c r="F19" s="543"/>
      <c r="G19" s="3"/>
      <c r="H19" s="543"/>
      <c r="I19" s="547"/>
    </row>
    <row r="20" spans="2:9">
      <c r="B20" s="308" t="s">
        <v>602</v>
      </c>
      <c r="C20" s="543"/>
      <c r="D20" s="543"/>
      <c r="E20" s="543"/>
      <c r="F20" s="543"/>
      <c r="G20" s="3"/>
      <c r="H20" s="543"/>
      <c r="I20" s="547"/>
    </row>
    <row r="21" spans="2:9">
      <c r="B21" s="308"/>
      <c r="C21" s="543" t="s">
        <v>3164</v>
      </c>
      <c r="D21" s="543" t="s">
        <v>399</v>
      </c>
      <c r="E21" s="543" t="s">
        <v>2309</v>
      </c>
      <c r="F21" s="543" t="s">
        <v>397</v>
      </c>
      <c r="G21" s="3"/>
      <c r="H21" s="543"/>
      <c r="I21" s="547"/>
    </row>
    <row r="22" spans="2:9" ht="13.8">
      <c r="B22" s="2676" t="s">
        <v>282</v>
      </c>
      <c r="C22" s="2677">
        <v>4.1969686632245623E-2</v>
      </c>
      <c r="D22" s="2677">
        <v>0.22141521801670719</v>
      </c>
      <c r="E22" s="2677">
        <v>0.19211349098651823</v>
      </c>
      <c r="F22" s="2677">
        <v>0.54450160436452888</v>
      </c>
      <c r="G22" s="2677"/>
      <c r="H22" s="543" t="s">
        <v>3170</v>
      </c>
      <c r="I22" s="1112">
        <v>0.99999999999999989</v>
      </c>
    </row>
    <row r="23" spans="2:9" ht="13.8">
      <c r="B23" s="2676" t="s">
        <v>3166</v>
      </c>
      <c r="C23" s="2678" t="s">
        <v>3167</v>
      </c>
      <c r="D23" s="2677">
        <v>0.15556441042742924</v>
      </c>
      <c r="E23" s="2677">
        <v>0.25524775897812579</v>
      </c>
      <c r="F23" s="2677">
        <v>0.58918783059444491</v>
      </c>
      <c r="G23" s="2677"/>
      <c r="H23" s="543" t="s">
        <v>3168</v>
      </c>
      <c r="I23" s="1112">
        <v>1</v>
      </c>
    </row>
    <row r="24" spans="2:9" ht="13.8">
      <c r="B24" s="2676" t="s">
        <v>3169</v>
      </c>
      <c r="C24" s="2677">
        <v>0.19949722919973487</v>
      </c>
      <c r="D24" s="2677">
        <v>0.72302809993538231</v>
      </c>
      <c r="E24" s="2677">
        <v>6.8710901324592483E-2</v>
      </c>
      <c r="F24" s="2677">
        <v>8.7637695402902841E-3</v>
      </c>
      <c r="G24" s="2677"/>
      <c r="H24" s="543" t="s">
        <v>3168</v>
      </c>
      <c r="I24" s="1112">
        <v>0.99999999999999989</v>
      </c>
    </row>
    <row r="25" spans="2:9" ht="13.8">
      <c r="B25" s="2676" t="s">
        <v>2347</v>
      </c>
      <c r="C25" s="2677">
        <v>0.537801676346359</v>
      </c>
      <c r="D25" s="2677">
        <v>0.37551509299743746</v>
      </c>
      <c r="E25" s="2677">
        <v>8.6683230656203536E-2</v>
      </c>
      <c r="F25" s="2678" t="s">
        <v>3167</v>
      </c>
      <c r="G25" s="2677"/>
      <c r="H25" s="543" t="s">
        <v>3170</v>
      </c>
      <c r="I25" s="1112">
        <v>1</v>
      </c>
    </row>
    <row r="26" spans="2:9" ht="13.8">
      <c r="B26" s="2676" t="s">
        <v>2354</v>
      </c>
      <c r="C26" s="2677">
        <v>0.62127540622270594</v>
      </c>
      <c r="D26" s="2677">
        <v>0.37872459377729412</v>
      </c>
      <c r="E26" s="2678" t="s">
        <v>3167</v>
      </c>
      <c r="F26" s="2678" t="s">
        <v>3167</v>
      </c>
      <c r="G26" s="2677"/>
      <c r="H26" s="543" t="s">
        <v>3170</v>
      </c>
      <c r="I26" s="1112">
        <v>1</v>
      </c>
    </row>
    <row r="27" spans="2:9" ht="13.8">
      <c r="B27" s="2676" t="s">
        <v>3171</v>
      </c>
      <c r="C27" s="2677">
        <v>6.9109102242079751E-2</v>
      </c>
      <c r="D27" s="2677">
        <v>0.38972685309304844</v>
      </c>
      <c r="E27" s="2677">
        <v>0.16212357371665626</v>
      </c>
      <c r="F27" s="2677">
        <v>0.37904047094821547</v>
      </c>
      <c r="G27" s="2677"/>
      <c r="H27" s="543" t="s">
        <v>3170</v>
      </c>
      <c r="I27" s="1112">
        <v>0.99999999999999989</v>
      </c>
    </row>
    <row r="28" spans="2:9" ht="13.8">
      <c r="B28" s="2676" t="s">
        <v>3172</v>
      </c>
      <c r="C28" s="2678" t="s">
        <v>3167</v>
      </c>
      <c r="D28" s="2677">
        <v>7.2860027831733482E-2</v>
      </c>
      <c r="E28" s="2677">
        <v>0.12943870614909181</v>
      </c>
      <c r="F28" s="2677">
        <v>0.79770126601917479</v>
      </c>
      <c r="G28" s="2677"/>
      <c r="H28" s="543" t="s">
        <v>3168</v>
      </c>
      <c r="I28" s="1112">
        <v>1</v>
      </c>
    </row>
    <row r="29" spans="2:9" ht="13.8">
      <c r="B29" s="2676" t="s">
        <v>349</v>
      </c>
      <c r="C29" s="2680" t="s">
        <v>390</v>
      </c>
      <c r="D29" s="2680" t="s">
        <v>390</v>
      </c>
      <c r="E29" s="2678" t="s">
        <v>3167</v>
      </c>
      <c r="F29" s="2678" t="s">
        <v>3167</v>
      </c>
      <c r="G29" s="2677"/>
      <c r="H29" s="543" t="s">
        <v>3173</v>
      </c>
      <c r="I29" s="1112">
        <v>0</v>
      </c>
    </row>
    <row r="30" spans="2:9" ht="13.8">
      <c r="B30" s="2676" t="s">
        <v>3174</v>
      </c>
      <c r="C30" s="2680" t="s">
        <v>390</v>
      </c>
      <c r="D30" s="2680" t="s">
        <v>390</v>
      </c>
      <c r="E30" s="2680" t="s">
        <v>390</v>
      </c>
      <c r="F30" s="2678" t="s">
        <v>3167</v>
      </c>
      <c r="G30" s="2677"/>
      <c r="H30" s="543" t="s">
        <v>3175</v>
      </c>
      <c r="I30" s="1112">
        <v>0</v>
      </c>
    </row>
    <row r="31" spans="2:9" ht="13.8">
      <c r="B31" s="2676" t="s">
        <v>220</v>
      </c>
      <c r="C31" s="2678" t="s">
        <v>3167</v>
      </c>
      <c r="D31" s="2677">
        <v>8.8795498605321391E-2</v>
      </c>
      <c r="E31" s="2677">
        <v>0.12906262723093936</v>
      </c>
      <c r="F31" s="2677">
        <v>0.78214187416373926</v>
      </c>
      <c r="G31" s="2677"/>
      <c r="H31" s="543" t="s">
        <v>3168</v>
      </c>
      <c r="I31" s="1112">
        <v>1</v>
      </c>
    </row>
    <row r="32" spans="2:9" ht="13.8">
      <c r="B32" s="2681"/>
      <c r="C32" s="2682"/>
      <c r="D32" s="2682"/>
      <c r="E32" s="2682"/>
      <c r="F32" s="2682"/>
      <c r="G32" s="2683"/>
      <c r="H32" s="543"/>
      <c r="I32" s="547"/>
    </row>
    <row r="33" spans="2:9">
      <c r="B33" s="308"/>
      <c r="C33" s="543"/>
      <c r="D33" s="543"/>
      <c r="E33" s="543"/>
      <c r="F33" s="543"/>
      <c r="G33" s="3"/>
      <c r="H33" s="543"/>
      <c r="I33" s="547"/>
    </row>
    <row r="34" spans="2:9">
      <c r="B34" s="308"/>
      <c r="C34" s="543"/>
      <c r="D34" s="543"/>
      <c r="E34" s="543"/>
      <c r="F34" s="543"/>
      <c r="G34" s="3"/>
      <c r="H34" s="543"/>
      <c r="I34" s="547"/>
    </row>
    <row r="35" spans="2:9">
      <c r="B35" s="308" t="s">
        <v>603</v>
      </c>
      <c r="C35" s="543"/>
      <c r="D35" s="543"/>
      <c r="E35" s="543"/>
      <c r="F35" s="543"/>
      <c r="G35" s="3"/>
      <c r="H35" s="543"/>
      <c r="I35" s="547"/>
    </row>
    <row r="36" spans="2:9">
      <c r="B36" s="308"/>
      <c r="C36" s="543" t="s">
        <v>3164</v>
      </c>
      <c r="D36" s="543" t="s">
        <v>399</v>
      </c>
      <c r="E36" s="543" t="s">
        <v>2309</v>
      </c>
      <c r="F36" s="543" t="s">
        <v>397</v>
      </c>
      <c r="G36" s="3"/>
      <c r="H36" s="543"/>
      <c r="I36" s="547"/>
    </row>
    <row r="37" spans="2:9" ht="13.8">
      <c r="B37" s="2676" t="s">
        <v>282</v>
      </c>
      <c r="C37" s="2677">
        <v>4.0207008532722487E-2</v>
      </c>
      <c r="D37" s="2677">
        <v>0.23254183648799168</v>
      </c>
      <c r="E37" s="2677">
        <v>0.221833860855045</v>
      </c>
      <c r="F37" s="2677">
        <v>0.50541729412424075</v>
      </c>
      <c r="G37" s="2677"/>
      <c r="H37" s="543" t="s">
        <v>3176</v>
      </c>
      <c r="I37" s="1112">
        <v>0.99999999999999989</v>
      </c>
    </row>
    <row r="38" spans="2:9" ht="13.8">
      <c r="B38" s="2676" t="s">
        <v>3166</v>
      </c>
      <c r="C38" s="2678" t="s">
        <v>3167</v>
      </c>
      <c r="D38" s="2677">
        <v>0.15556441042742924</v>
      </c>
      <c r="E38" s="2677">
        <v>0.25524775897812579</v>
      </c>
      <c r="F38" s="2677">
        <v>0.58918783059444491</v>
      </c>
      <c r="G38" s="2677"/>
      <c r="H38" s="543" t="s">
        <v>3168</v>
      </c>
      <c r="I38" s="1112">
        <v>1</v>
      </c>
    </row>
    <row r="39" spans="2:9" ht="13.8">
      <c r="B39" s="2676" t="s">
        <v>3169</v>
      </c>
      <c r="C39" s="2677">
        <v>0.19949722919973487</v>
      </c>
      <c r="D39" s="2677">
        <v>0.72302809993538231</v>
      </c>
      <c r="E39" s="2677">
        <v>6.8710901324592483E-2</v>
      </c>
      <c r="F39" s="2677">
        <v>8.7637695402902841E-3</v>
      </c>
      <c r="G39" s="2677"/>
      <c r="H39" s="543" t="s">
        <v>3168</v>
      </c>
      <c r="I39" s="1112">
        <v>0.99999999999999989</v>
      </c>
    </row>
    <row r="40" spans="2:9" ht="13.8">
      <c r="B40" s="2676" t="s">
        <v>2347</v>
      </c>
      <c r="C40" s="2677">
        <v>0.4676975420050084</v>
      </c>
      <c r="D40" s="2677">
        <v>0.40188633586653472</v>
      </c>
      <c r="E40" s="2677">
        <v>0.13041612212845688</v>
      </c>
      <c r="F40" s="2678" t="s">
        <v>3167</v>
      </c>
      <c r="G40" s="2677"/>
      <c r="H40" s="543" t="s">
        <v>3176</v>
      </c>
      <c r="I40" s="1112">
        <v>1</v>
      </c>
    </row>
    <row r="41" spans="2:9" ht="13.8">
      <c r="B41" s="2676" t="s">
        <v>2354</v>
      </c>
      <c r="C41" s="2677">
        <v>0.67479483015296249</v>
      </c>
      <c r="D41" s="2677">
        <v>0.32520516984703751</v>
      </c>
      <c r="E41" s="2678" t="s">
        <v>3167</v>
      </c>
      <c r="F41" s="2678" t="s">
        <v>3167</v>
      </c>
      <c r="G41" s="2677"/>
      <c r="H41" s="543" t="s">
        <v>3176</v>
      </c>
      <c r="I41" s="1112">
        <v>1</v>
      </c>
    </row>
    <row r="42" spans="2:9" ht="13.8">
      <c r="B42" s="2676" t="s">
        <v>3171</v>
      </c>
      <c r="C42" s="2677">
        <v>9.8096698305323235E-2</v>
      </c>
      <c r="D42" s="2677">
        <v>0.45493921093088957</v>
      </c>
      <c r="E42" s="2677">
        <v>0.27241669321599721</v>
      </c>
      <c r="F42" s="2677">
        <v>0.17454739754778992</v>
      </c>
      <c r="G42" s="2677"/>
      <c r="H42" s="543" t="s">
        <v>3176</v>
      </c>
      <c r="I42" s="1112">
        <v>0.99999999999999989</v>
      </c>
    </row>
    <row r="43" spans="2:9" ht="13.8">
      <c r="B43" s="2676" t="s">
        <v>3172</v>
      </c>
      <c r="C43" s="2678" t="s">
        <v>3167</v>
      </c>
      <c r="D43" s="2677">
        <v>7.7087750523142498E-2</v>
      </c>
      <c r="E43" s="2677">
        <v>0.1480164582878904</v>
      </c>
      <c r="F43" s="2677">
        <v>0.77489579118896701</v>
      </c>
      <c r="G43" s="2677"/>
      <c r="H43" s="543" t="s">
        <v>3176</v>
      </c>
      <c r="I43" s="1112">
        <v>0.99999999999999989</v>
      </c>
    </row>
    <row r="44" spans="2:9" ht="13.8">
      <c r="B44" s="2676" t="s">
        <v>349</v>
      </c>
      <c r="C44" s="2677">
        <v>0.15948731937145566</v>
      </c>
      <c r="D44" s="2677">
        <v>0.84051268062854445</v>
      </c>
      <c r="E44" s="2678" t="s">
        <v>3167</v>
      </c>
      <c r="F44" s="2678" t="s">
        <v>3167</v>
      </c>
      <c r="G44" s="2677"/>
      <c r="H44" s="543" t="s">
        <v>3173</v>
      </c>
      <c r="I44" s="1112">
        <v>1</v>
      </c>
    </row>
    <row r="45" spans="2:9" ht="13.8">
      <c r="B45" s="2676" t="s">
        <v>3174</v>
      </c>
      <c r="C45" s="2677">
        <v>0.29439367314102788</v>
      </c>
      <c r="D45" s="2677">
        <v>0.69807965885077528</v>
      </c>
      <c r="E45" s="2677">
        <v>7.526668008196802E-3</v>
      </c>
      <c r="F45" s="2678" t="s">
        <v>3167</v>
      </c>
      <c r="G45" s="2677"/>
      <c r="H45" s="543" t="s">
        <v>3175</v>
      </c>
      <c r="I45" s="1112">
        <v>0.99999999999999989</v>
      </c>
    </row>
    <row r="46" spans="2:9" ht="13.8">
      <c r="B46" s="2676" t="s">
        <v>220</v>
      </c>
      <c r="C46" s="2678" t="s">
        <v>3167</v>
      </c>
      <c r="D46" s="2677">
        <v>9.4035084270749067E-2</v>
      </c>
      <c r="E46" s="2677">
        <v>0.13987375201870414</v>
      </c>
      <c r="F46" s="2677">
        <v>0.76609116371054675</v>
      </c>
      <c r="G46" s="2677"/>
      <c r="H46" s="543" t="s">
        <v>3176</v>
      </c>
      <c r="I46" s="1112">
        <v>1</v>
      </c>
    </row>
    <row r="47" spans="2:9" ht="13.8">
      <c r="B47" s="2681"/>
      <c r="C47" s="2682"/>
      <c r="D47" s="2682"/>
      <c r="E47" s="2682"/>
      <c r="F47" s="2682"/>
      <c r="G47" s="2683"/>
      <c r="H47" s="543"/>
      <c r="I47" s="547"/>
    </row>
    <row r="48" spans="2:9">
      <c r="B48" s="308"/>
      <c r="C48" s="543"/>
      <c r="D48" s="543"/>
      <c r="E48" s="543"/>
      <c r="F48" s="543"/>
      <c r="G48" s="3"/>
      <c r="H48" s="543"/>
      <c r="I48" s="547"/>
    </row>
    <row r="49" spans="2:9">
      <c r="B49" s="308"/>
      <c r="C49" s="543"/>
      <c r="D49" s="543"/>
      <c r="E49" s="543"/>
      <c r="F49" s="543"/>
      <c r="G49" s="3"/>
      <c r="H49" s="543"/>
      <c r="I49" s="547"/>
    </row>
    <row r="50" spans="2:9">
      <c r="B50" s="308" t="s">
        <v>604</v>
      </c>
      <c r="C50" s="543"/>
      <c r="D50" s="543"/>
      <c r="E50" s="543"/>
      <c r="F50" s="543"/>
      <c r="G50" s="3"/>
      <c r="H50" s="543"/>
      <c r="I50" s="547"/>
    </row>
    <row r="51" spans="2:9">
      <c r="B51" s="308"/>
      <c r="C51" s="543" t="s">
        <v>3164</v>
      </c>
      <c r="D51" s="543" t="s">
        <v>399</v>
      </c>
      <c r="E51" s="543" t="s">
        <v>2309</v>
      </c>
      <c r="F51" s="543" t="s">
        <v>397</v>
      </c>
      <c r="G51" s="3"/>
      <c r="H51" s="543"/>
      <c r="I51" s="547"/>
    </row>
    <row r="52" spans="2:9" ht="13.8">
      <c r="B52" s="2676" t="s">
        <v>282</v>
      </c>
      <c r="C52" s="2677">
        <v>3.7203861002108228E-2</v>
      </c>
      <c r="D52" s="2677">
        <v>0.24033268430615196</v>
      </c>
      <c r="E52" s="2677">
        <v>0.2413528357504183</v>
      </c>
      <c r="F52" s="2677">
        <v>0.4811106189413214</v>
      </c>
      <c r="G52" s="2677"/>
      <c r="H52" s="543" t="s">
        <v>3177</v>
      </c>
      <c r="I52" s="1112">
        <v>0.99999999999999978</v>
      </c>
    </row>
    <row r="53" spans="2:9" ht="13.8">
      <c r="B53" s="2676" t="s">
        <v>3166</v>
      </c>
      <c r="C53" s="2678" t="s">
        <v>3167</v>
      </c>
      <c r="D53" s="2677">
        <v>0.15556441042742924</v>
      </c>
      <c r="E53" s="2677">
        <v>0.25524775897812579</v>
      </c>
      <c r="F53" s="2677">
        <v>0.58918783059444491</v>
      </c>
      <c r="G53" s="2677"/>
      <c r="H53" s="543" t="s">
        <v>3168</v>
      </c>
      <c r="I53" s="1112">
        <v>1</v>
      </c>
    </row>
    <row r="54" spans="2:9" ht="13.8">
      <c r="B54" s="2676" t="s">
        <v>3169</v>
      </c>
      <c r="C54" s="2677">
        <v>0.19949722919973487</v>
      </c>
      <c r="D54" s="2677">
        <v>0.72302809993538231</v>
      </c>
      <c r="E54" s="2677">
        <v>6.8710901324592483E-2</v>
      </c>
      <c r="F54" s="2677">
        <v>8.7637695402902841E-3</v>
      </c>
      <c r="G54" s="2677"/>
      <c r="H54" s="543" t="s">
        <v>3168</v>
      </c>
      <c r="I54" s="1112">
        <v>0.99999999999999989</v>
      </c>
    </row>
    <row r="55" spans="2:9" ht="13.8">
      <c r="B55" s="2676" t="s">
        <v>2347</v>
      </c>
      <c r="C55" s="2677">
        <v>0.58866167632488187</v>
      </c>
      <c r="D55" s="2677">
        <v>0.38125139840093725</v>
      </c>
      <c r="E55" s="2677">
        <v>3.0086925274180887E-2</v>
      </c>
      <c r="F55" s="2678" t="s">
        <v>3167</v>
      </c>
      <c r="G55" s="2677"/>
      <c r="H55" s="543" t="s">
        <v>3177</v>
      </c>
      <c r="I55" s="1112">
        <v>1</v>
      </c>
    </row>
    <row r="56" spans="2:9" ht="13.8">
      <c r="B56" s="2676" t="s">
        <v>2354</v>
      </c>
      <c r="C56" s="2677">
        <v>0.66024360362895063</v>
      </c>
      <c r="D56" s="2677">
        <v>0.33975639637104932</v>
      </c>
      <c r="E56" s="2678" t="s">
        <v>3167</v>
      </c>
      <c r="F56" s="2678" t="s">
        <v>3167</v>
      </c>
      <c r="G56" s="2677"/>
      <c r="H56" s="543" t="s">
        <v>3177</v>
      </c>
      <c r="I56" s="1112">
        <v>1</v>
      </c>
    </row>
    <row r="57" spans="2:9" ht="13.8">
      <c r="B57" s="2676" t="s">
        <v>3171</v>
      </c>
      <c r="C57" s="2677">
        <v>6.6645177081780999E-2</v>
      </c>
      <c r="D57" s="2677">
        <v>0.43255100982605327</v>
      </c>
      <c r="E57" s="2677">
        <v>0.36382407988124427</v>
      </c>
      <c r="F57" s="2677">
        <v>0.13697973321092158</v>
      </c>
      <c r="G57" s="2677"/>
      <c r="H57" s="543" t="s">
        <v>3177</v>
      </c>
      <c r="I57" s="1112">
        <v>1</v>
      </c>
    </row>
    <row r="58" spans="2:9" ht="13.8">
      <c r="B58" s="2676" t="s">
        <v>3172</v>
      </c>
      <c r="C58" s="2678" t="s">
        <v>3167</v>
      </c>
      <c r="D58" s="2677">
        <v>7.7087750523142498E-2</v>
      </c>
      <c r="E58" s="2677">
        <v>0.1480164582878904</v>
      </c>
      <c r="F58" s="2677">
        <v>0.77489579118896701</v>
      </c>
      <c r="G58" s="2677"/>
      <c r="H58" s="2679" t="s">
        <v>3176</v>
      </c>
      <c r="I58" s="1112">
        <v>0.99999999999999989</v>
      </c>
    </row>
    <row r="59" spans="2:9" ht="13.8">
      <c r="B59" s="2676" t="s">
        <v>349</v>
      </c>
      <c r="C59" s="2680" t="s">
        <v>390</v>
      </c>
      <c r="D59" s="2680" t="s">
        <v>390</v>
      </c>
      <c r="E59" s="2678" t="s">
        <v>3167</v>
      </c>
      <c r="F59" s="2678" t="s">
        <v>3167</v>
      </c>
      <c r="G59" s="2677"/>
      <c r="H59" s="543" t="s">
        <v>3173</v>
      </c>
      <c r="I59" s="1112">
        <v>0</v>
      </c>
    </row>
    <row r="60" spans="2:9" ht="13.8">
      <c r="B60" s="2676" t="s">
        <v>3174</v>
      </c>
      <c r="C60" s="2680" t="s">
        <v>390</v>
      </c>
      <c r="D60" s="2680" t="s">
        <v>390</v>
      </c>
      <c r="E60" s="2680" t="s">
        <v>390</v>
      </c>
      <c r="F60" s="2678" t="s">
        <v>3167</v>
      </c>
      <c r="G60" s="2677"/>
      <c r="H60" s="543" t="s">
        <v>3175</v>
      </c>
      <c r="I60" s="1112">
        <v>0</v>
      </c>
    </row>
    <row r="61" spans="2:9" ht="13.8">
      <c r="B61" s="2676" t="s">
        <v>220</v>
      </c>
      <c r="C61" s="2678" t="s">
        <v>3167</v>
      </c>
      <c r="D61" s="2677">
        <v>0.1237635340027764</v>
      </c>
      <c r="E61" s="2677">
        <v>0.15854808984417432</v>
      </c>
      <c r="F61" s="2677">
        <v>0.71768837615304915</v>
      </c>
      <c r="G61" s="2677"/>
      <c r="H61" s="543" t="s">
        <v>3177</v>
      </c>
      <c r="I61" s="1112">
        <v>0.99999999999999989</v>
      </c>
    </row>
    <row r="62" spans="2:9" ht="13.8">
      <c r="B62" s="2681"/>
      <c r="C62" s="2682"/>
      <c r="D62" s="2682"/>
      <c r="E62" s="2682"/>
      <c r="F62" s="2682"/>
      <c r="G62" s="2683"/>
      <c r="H62" s="543"/>
      <c r="I62" s="547"/>
    </row>
    <row r="63" spans="2:9">
      <c r="B63" s="308"/>
      <c r="C63" s="543"/>
      <c r="D63" s="543"/>
      <c r="E63" s="543"/>
      <c r="F63" s="543"/>
      <c r="G63" s="3"/>
      <c r="H63" s="543"/>
      <c r="I63" s="547"/>
    </row>
    <row r="64" spans="2:9">
      <c r="B64" s="308"/>
      <c r="C64" s="543"/>
      <c r="D64" s="543"/>
      <c r="E64" s="543"/>
      <c r="F64" s="543"/>
      <c r="G64" s="3"/>
      <c r="H64" s="543"/>
      <c r="I64" s="547"/>
    </row>
    <row r="65" spans="2:9">
      <c r="B65" s="308" t="s">
        <v>3178</v>
      </c>
      <c r="C65" s="543"/>
      <c r="D65" s="543"/>
      <c r="E65" s="543"/>
      <c r="F65" s="543"/>
      <c r="G65" s="3"/>
      <c r="H65" s="543"/>
      <c r="I65" s="547"/>
    </row>
    <row r="66" spans="2:9">
      <c r="B66" s="308"/>
      <c r="C66" s="543" t="s">
        <v>3164</v>
      </c>
      <c r="D66" s="543" t="s">
        <v>399</v>
      </c>
      <c r="E66" s="543" t="s">
        <v>2309</v>
      </c>
      <c r="F66" s="543" t="s">
        <v>397</v>
      </c>
      <c r="G66" s="543"/>
      <c r="H66" s="543"/>
      <c r="I66" s="547"/>
    </row>
    <row r="67" spans="2:9" ht="13.8">
      <c r="B67" s="2676" t="s">
        <v>282</v>
      </c>
      <c r="C67" s="2677">
        <v>4.0067616831793267E-2</v>
      </c>
      <c r="D67" s="2677">
        <v>0.23318459995269436</v>
      </c>
      <c r="E67" s="2677">
        <v>0.22128670273714091</v>
      </c>
      <c r="F67" s="2677">
        <v>0.50546108047837146</v>
      </c>
      <c r="G67" s="543"/>
      <c r="H67" s="543"/>
      <c r="I67" s="1112">
        <v>1</v>
      </c>
    </row>
    <row r="68" spans="2:9" ht="13.8">
      <c r="B68" s="2676" t="s">
        <v>3166</v>
      </c>
      <c r="C68" s="2678" t="s">
        <v>3167</v>
      </c>
      <c r="D68" s="277">
        <v>0.15556441042742924</v>
      </c>
      <c r="E68" s="277">
        <v>0.25524775897812579</v>
      </c>
      <c r="F68" s="277">
        <v>0.58918783059444491</v>
      </c>
      <c r="G68" s="543"/>
      <c r="H68" s="543"/>
      <c r="I68" s="1112">
        <v>1</v>
      </c>
    </row>
    <row r="69" spans="2:9" ht="13.8">
      <c r="B69" s="2676" t="s">
        <v>3169</v>
      </c>
      <c r="C69" s="2677">
        <v>0.19949722919973487</v>
      </c>
      <c r="D69" s="2677">
        <v>0.72302809993538231</v>
      </c>
      <c r="E69" s="2677">
        <v>6.8710901324592483E-2</v>
      </c>
      <c r="F69" s="2677">
        <v>8.7637695402902841E-3</v>
      </c>
      <c r="G69" s="543"/>
      <c r="H69" s="543"/>
      <c r="I69" s="1112">
        <v>0.99999999999999989</v>
      </c>
    </row>
    <row r="70" spans="2:9" ht="13.8">
      <c r="B70" s="2676" t="s">
        <v>2347</v>
      </c>
      <c r="C70" s="2677">
        <v>0.50497764223324537</v>
      </c>
      <c r="D70" s="2677">
        <v>0.39521555214926601</v>
      </c>
      <c r="E70" s="277">
        <v>9.98068056174886E-2</v>
      </c>
      <c r="F70" s="2678" t="s">
        <v>3167</v>
      </c>
      <c r="G70" s="543"/>
      <c r="H70" s="543"/>
      <c r="I70" s="1112">
        <v>1</v>
      </c>
    </row>
    <row r="71" spans="2:9" ht="13.8">
      <c r="B71" s="2676" t="s">
        <v>2354</v>
      </c>
      <c r="C71" s="2677">
        <v>0.66470377773063216</v>
      </c>
      <c r="D71" s="277">
        <v>0.33529622226936778</v>
      </c>
      <c r="E71" s="2678" t="s">
        <v>3167</v>
      </c>
      <c r="F71" s="2678" t="s">
        <v>3167</v>
      </c>
      <c r="G71" s="543"/>
      <c r="H71" s="543"/>
      <c r="I71" s="1112">
        <v>1</v>
      </c>
    </row>
    <row r="72" spans="2:9" ht="13.8">
      <c r="B72" s="2676" t="s">
        <v>3171</v>
      </c>
      <c r="C72" s="2677">
        <v>8.9565779306865254E-2</v>
      </c>
      <c r="D72" s="2677">
        <v>0.43938619374351057</v>
      </c>
      <c r="E72" s="2677">
        <v>0.27516725890967236</v>
      </c>
      <c r="F72" s="2677">
        <v>0.19588076803995189</v>
      </c>
      <c r="G72" s="543"/>
      <c r="H72" s="543"/>
      <c r="I72" s="1112">
        <v>1</v>
      </c>
    </row>
    <row r="73" spans="2:9" ht="13.8">
      <c r="B73" s="2676" t="s">
        <v>3172</v>
      </c>
      <c r="C73" s="2678" t="s">
        <v>3167</v>
      </c>
      <c r="D73" s="277">
        <v>7.2860027831733482E-2</v>
      </c>
      <c r="E73" s="277">
        <v>0.12943870614909181</v>
      </c>
      <c r="F73" s="277">
        <v>0.79770126601917479</v>
      </c>
      <c r="G73" s="543"/>
      <c r="H73" s="543"/>
      <c r="I73" s="1112">
        <v>1</v>
      </c>
    </row>
    <row r="74" spans="2:9" ht="13.8">
      <c r="B74" s="2676" t="s">
        <v>349</v>
      </c>
      <c r="C74" s="2677">
        <v>0.15948731937145566</v>
      </c>
      <c r="D74" s="277">
        <v>0.84051268062854445</v>
      </c>
      <c r="E74" s="2678" t="s">
        <v>3167</v>
      </c>
      <c r="F74" s="2678" t="s">
        <v>3167</v>
      </c>
      <c r="G74" s="543"/>
      <c r="H74" s="543"/>
      <c r="I74" s="1112">
        <v>1</v>
      </c>
    </row>
    <row r="75" spans="2:9" ht="13.8">
      <c r="B75" s="2676" t="s">
        <v>3174</v>
      </c>
      <c r="C75" s="2677">
        <v>0.29439367314102788</v>
      </c>
      <c r="D75" s="2677">
        <v>0.69807965885077528</v>
      </c>
      <c r="E75" s="277">
        <v>7.526668008196802E-3</v>
      </c>
      <c r="F75" s="2678" t="s">
        <v>3167</v>
      </c>
      <c r="G75" s="543"/>
      <c r="H75" s="543"/>
      <c r="I75" s="1112">
        <v>0.99999999999999989</v>
      </c>
    </row>
    <row r="76" spans="2:9" ht="14.4" thickBot="1">
      <c r="B76" s="2684" t="s">
        <v>220</v>
      </c>
      <c r="C76" s="2685" t="s">
        <v>3167</v>
      </c>
      <c r="D76" s="2686">
        <v>8.8795498605321391E-2</v>
      </c>
      <c r="E76" s="2686">
        <v>0.12906262723093936</v>
      </c>
      <c r="F76" s="2686">
        <v>0.78214187416373926</v>
      </c>
      <c r="G76" s="390"/>
      <c r="H76" s="390"/>
      <c r="I76" s="2687">
        <v>1</v>
      </c>
    </row>
  </sheetData>
  <pageMargins left="0.7" right="0.7" top="0.75" bottom="0.75" header="0.3" footer="0.3"/>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300-000000000000}">
  <sheetPr>
    <tabColor rgb="FF00B0F0"/>
  </sheetPr>
  <dimension ref="A1:BV180"/>
  <sheetViews>
    <sheetView topLeftCell="A121" zoomScaleNormal="100" workbookViewId="0">
      <selection activeCell="A163" sqref="A163:XFD163"/>
    </sheetView>
  </sheetViews>
  <sheetFormatPr defaultRowHeight="10.199999999999999"/>
  <cols>
    <col min="1" max="3" width="2" style="2568" customWidth="1"/>
    <col min="4" max="4" width="2.44140625" style="2568" customWidth="1"/>
    <col min="5" max="5" width="45.5546875" style="2568" customWidth="1"/>
    <col min="6" max="6" width="7.109375" style="2655" customWidth="1"/>
    <col min="7" max="7" width="0.5546875" style="2655" customWidth="1"/>
    <col min="8" max="22" width="10.6640625" style="2655" customWidth="1"/>
    <col min="23" max="31" width="10.6640625" style="2568" customWidth="1"/>
    <col min="32" max="35" width="10.6640625" style="2821" customWidth="1"/>
    <col min="36" max="37" width="10.6640625" style="2568" customWidth="1"/>
    <col min="38" max="39" width="10.6640625" style="2821" customWidth="1"/>
    <col min="40" max="45" width="10.6640625" style="2568" customWidth="1"/>
    <col min="46" max="46" width="9.6640625" style="2568" customWidth="1"/>
    <col min="47" max="47" width="9.6640625" style="2821" customWidth="1"/>
    <col min="48" max="51" width="9.6640625" style="2568" customWidth="1"/>
    <col min="52" max="52" width="10.6640625" style="2655" customWidth="1"/>
    <col min="53" max="57" width="9.6640625" style="2568" customWidth="1"/>
    <col min="58" max="59" width="9.109375" style="2568"/>
    <col min="60" max="60" width="9.109375" style="2821"/>
    <col min="61" max="61" width="9.109375" style="2568"/>
    <col min="62" max="63" width="9.109375" style="2821"/>
    <col min="64" max="71" width="9.109375" style="2568"/>
    <col min="72" max="72" width="9.109375" style="2821"/>
    <col min="73" max="256" width="9.109375" style="2568"/>
    <col min="257" max="259" width="2" style="2568" customWidth="1"/>
    <col min="260" max="260" width="2.44140625" style="2568" customWidth="1"/>
    <col min="261" max="261" width="45.5546875" style="2568" customWidth="1"/>
    <col min="262" max="262" width="7.109375" style="2568" customWidth="1"/>
    <col min="263" max="263" width="0.5546875" style="2568" customWidth="1"/>
    <col min="264" max="301" width="10.6640625" style="2568" customWidth="1"/>
    <col min="302" max="307" width="9.6640625" style="2568" customWidth="1"/>
    <col min="308" max="308" width="10.6640625" style="2568" customWidth="1"/>
    <col min="309" max="313" width="9.6640625" style="2568" customWidth="1"/>
    <col min="314" max="512" width="9.109375" style="2568"/>
    <col min="513" max="515" width="2" style="2568" customWidth="1"/>
    <col min="516" max="516" width="2.44140625" style="2568" customWidth="1"/>
    <col min="517" max="517" width="45.5546875" style="2568" customWidth="1"/>
    <col min="518" max="518" width="7.109375" style="2568" customWidth="1"/>
    <col min="519" max="519" width="0.5546875" style="2568" customWidth="1"/>
    <col min="520" max="557" width="10.6640625" style="2568" customWidth="1"/>
    <col min="558" max="563" width="9.6640625" style="2568" customWidth="1"/>
    <col min="564" max="564" width="10.6640625" style="2568" customWidth="1"/>
    <col min="565" max="569" width="9.6640625" style="2568" customWidth="1"/>
    <col min="570" max="768" width="9.109375" style="2568"/>
    <col min="769" max="771" width="2" style="2568" customWidth="1"/>
    <col min="772" max="772" width="2.44140625" style="2568" customWidth="1"/>
    <col min="773" max="773" width="45.5546875" style="2568" customWidth="1"/>
    <col min="774" max="774" width="7.109375" style="2568" customWidth="1"/>
    <col min="775" max="775" width="0.5546875" style="2568" customWidth="1"/>
    <col min="776" max="813" width="10.6640625" style="2568" customWidth="1"/>
    <col min="814" max="819" width="9.6640625" style="2568" customWidth="1"/>
    <col min="820" max="820" width="10.6640625" style="2568" customWidth="1"/>
    <col min="821" max="825" width="9.6640625" style="2568" customWidth="1"/>
    <col min="826" max="1024" width="9.109375" style="2568"/>
    <col min="1025" max="1027" width="2" style="2568" customWidth="1"/>
    <col min="1028" max="1028" width="2.44140625" style="2568" customWidth="1"/>
    <col min="1029" max="1029" width="45.5546875" style="2568" customWidth="1"/>
    <col min="1030" max="1030" width="7.109375" style="2568" customWidth="1"/>
    <col min="1031" max="1031" width="0.5546875" style="2568" customWidth="1"/>
    <col min="1032" max="1069" width="10.6640625" style="2568" customWidth="1"/>
    <col min="1070" max="1075" width="9.6640625" style="2568" customWidth="1"/>
    <col min="1076" max="1076" width="10.6640625" style="2568" customWidth="1"/>
    <col min="1077" max="1081" width="9.6640625" style="2568" customWidth="1"/>
    <col min="1082" max="1280" width="9.109375" style="2568"/>
    <col min="1281" max="1283" width="2" style="2568" customWidth="1"/>
    <col min="1284" max="1284" width="2.44140625" style="2568" customWidth="1"/>
    <col min="1285" max="1285" width="45.5546875" style="2568" customWidth="1"/>
    <col min="1286" max="1286" width="7.109375" style="2568" customWidth="1"/>
    <col min="1287" max="1287" width="0.5546875" style="2568" customWidth="1"/>
    <col min="1288" max="1325" width="10.6640625" style="2568" customWidth="1"/>
    <col min="1326" max="1331" width="9.6640625" style="2568" customWidth="1"/>
    <col min="1332" max="1332" width="10.6640625" style="2568" customWidth="1"/>
    <col min="1333" max="1337" width="9.6640625" style="2568" customWidth="1"/>
    <col min="1338" max="1536" width="9.109375" style="2568"/>
    <col min="1537" max="1539" width="2" style="2568" customWidth="1"/>
    <col min="1540" max="1540" width="2.44140625" style="2568" customWidth="1"/>
    <col min="1541" max="1541" width="45.5546875" style="2568" customWidth="1"/>
    <col min="1542" max="1542" width="7.109375" style="2568" customWidth="1"/>
    <col min="1543" max="1543" width="0.5546875" style="2568" customWidth="1"/>
    <col min="1544" max="1581" width="10.6640625" style="2568" customWidth="1"/>
    <col min="1582" max="1587" width="9.6640625" style="2568" customWidth="1"/>
    <col min="1588" max="1588" width="10.6640625" style="2568" customWidth="1"/>
    <col min="1589" max="1593" width="9.6640625" style="2568" customWidth="1"/>
    <col min="1594" max="1792" width="9.109375" style="2568"/>
    <col min="1793" max="1795" width="2" style="2568" customWidth="1"/>
    <col min="1796" max="1796" width="2.44140625" style="2568" customWidth="1"/>
    <col min="1797" max="1797" width="45.5546875" style="2568" customWidth="1"/>
    <col min="1798" max="1798" width="7.109375" style="2568" customWidth="1"/>
    <col min="1799" max="1799" width="0.5546875" style="2568" customWidth="1"/>
    <col min="1800" max="1837" width="10.6640625" style="2568" customWidth="1"/>
    <col min="1838" max="1843" width="9.6640625" style="2568" customWidth="1"/>
    <col min="1844" max="1844" width="10.6640625" style="2568" customWidth="1"/>
    <col min="1845" max="1849" width="9.6640625" style="2568" customWidth="1"/>
    <col min="1850" max="2048" width="9.109375" style="2568"/>
    <col min="2049" max="2051" width="2" style="2568" customWidth="1"/>
    <col min="2052" max="2052" width="2.44140625" style="2568" customWidth="1"/>
    <col min="2053" max="2053" width="45.5546875" style="2568" customWidth="1"/>
    <col min="2054" max="2054" width="7.109375" style="2568" customWidth="1"/>
    <col min="2055" max="2055" width="0.5546875" style="2568" customWidth="1"/>
    <col min="2056" max="2093" width="10.6640625" style="2568" customWidth="1"/>
    <col min="2094" max="2099" width="9.6640625" style="2568" customWidth="1"/>
    <col min="2100" max="2100" width="10.6640625" style="2568" customWidth="1"/>
    <col min="2101" max="2105" width="9.6640625" style="2568" customWidth="1"/>
    <col min="2106" max="2304" width="9.109375" style="2568"/>
    <col min="2305" max="2307" width="2" style="2568" customWidth="1"/>
    <col min="2308" max="2308" width="2.44140625" style="2568" customWidth="1"/>
    <col min="2309" max="2309" width="45.5546875" style="2568" customWidth="1"/>
    <col min="2310" max="2310" width="7.109375" style="2568" customWidth="1"/>
    <col min="2311" max="2311" width="0.5546875" style="2568" customWidth="1"/>
    <col min="2312" max="2349" width="10.6640625" style="2568" customWidth="1"/>
    <col min="2350" max="2355" width="9.6640625" style="2568" customWidth="1"/>
    <col min="2356" max="2356" width="10.6640625" style="2568" customWidth="1"/>
    <col min="2357" max="2361" width="9.6640625" style="2568" customWidth="1"/>
    <col min="2362" max="2560" width="9.109375" style="2568"/>
    <col min="2561" max="2563" width="2" style="2568" customWidth="1"/>
    <col min="2564" max="2564" width="2.44140625" style="2568" customWidth="1"/>
    <col min="2565" max="2565" width="45.5546875" style="2568" customWidth="1"/>
    <col min="2566" max="2566" width="7.109375" style="2568" customWidth="1"/>
    <col min="2567" max="2567" width="0.5546875" style="2568" customWidth="1"/>
    <col min="2568" max="2605" width="10.6640625" style="2568" customWidth="1"/>
    <col min="2606" max="2611" width="9.6640625" style="2568" customWidth="1"/>
    <col min="2612" max="2612" width="10.6640625" style="2568" customWidth="1"/>
    <col min="2613" max="2617" width="9.6640625" style="2568" customWidth="1"/>
    <col min="2618" max="2816" width="9.109375" style="2568"/>
    <col min="2817" max="2819" width="2" style="2568" customWidth="1"/>
    <col min="2820" max="2820" width="2.44140625" style="2568" customWidth="1"/>
    <col min="2821" max="2821" width="45.5546875" style="2568" customWidth="1"/>
    <col min="2822" max="2822" width="7.109375" style="2568" customWidth="1"/>
    <col min="2823" max="2823" width="0.5546875" style="2568" customWidth="1"/>
    <col min="2824" max="2861" width="10.6640625" style="2568" customWidth="1"/>
    <col min="2862" max="2867" width="9.6640625" style="2568" customWidth="1"/>
    <col min="2868" max="2868" width="10.6640625" style="2568" customWidth="1"/>
    <col min="2869" max="2873" width="9.6640625" style="2568" customWidth="1"/>
    <col min="2874" max="3072" width="9.109375" style="2568"/>
    <col min="3073" max="3075" width="2" style="2568" customWidth="1"/>
    <col min="3076" max="3076" width="2.44140625" style="2568" customWidth="1"/>
    <col min="3077" max="3077" width="45.5546875" style="2568" customWidth="1"/>
    <col min="3078" max="3078" width="7.109375" style="2568" customWidth="1"/>
    <col min="3079" max="3079" width="0.5546875" style="2568" customWidth="1"/>
    <col min="3080" max="3117" width="10.6640625" style="2568" customWidth="1"/>
    <col min="3118" max="3123" width="9.6640625" style="2568" customWidth="1"/>
    <col min="3124" max="3124" width="10.6640625" style="2568" customWidth="1"/>
    <col min="3125" max="3129" width="9.6640625" style="2568" customWidth="1"/>
    <col min="3130" max="3328" width="9.109375" style="2568"/>
    <col min="3329" max="3331" width="2" style="2568" customWidth="1"/>
    <col min="3332" max="3332" width="2.44140625" style="2568" customWidth="1"/>
    <col min="3333" max="3333" width="45.5546875" style="2568" customWidth="1"/>
    <col min="3334" max="3334" width="7.109375" style="2568" customWidth="1"/>
    <col min="3335" max="3335" width="0.5546875" style="2568" customWidth="1"/>
    <col min="3336" max="3373" width="10.6640625" style="2568" customWidth="1"/>
    <col min="3374" max="3379" width="9.6640625" style="2568" customWidth="1"/>
    <col min="3380" max="3380" width="10.6640625" style="2568" customWidth="1"/>
    <col min="3381" max="3385" width="9.6640625" style="2568" customWidth="1"/>
    <col min="3386" max="3584" width="9.109375" style="2568"/>
    <col min="3585" max="3587" width="2" style="2568" customWidth="1"/>
    <col min="3588" max="3588" width="2.44140625" style="2568" customWidth="1"/>
    <col min="3589" max="3589" width="45.5546875" style="2568" customWidth="1"/>
    <col min="3590" max="3590" width="7.109375" style="2568" customWidth="1"/>
    <col min="3591" max="3591" width="0.5546875" style="2568" customWidth="1"/>
    <col min="3592" max="3629" width="10.6640625" style="2568" customWidth="1"/>
    <col min="3630" max="3635" width="9.6640625" style="2568" customWidth="1"/>
    <col min="3636" max="3636" width="10.6640625" style="2568" customWidth="1"/>
    <col min="3637" max="3641" width="9.6640625" style="2568" customWidth="1"/>
    <col min="3642" max="3840" width="9.109375" style="2568"/>
    <col min="3841" max="3843" width="2" style="2568" customWidth="1"/>
    <col min="3844" max="3844" width="2.44140625" style="2568" customWidth="1"/>
    <col min="3845" max="3845" width="45.5546875" style="2568" customWidth="1"/>
    <col min="3846" max="3846" width="7.109375" style="2568" customWidth="1"/>
    <col min="3847" max="3847" width="0.5546875" style="2568" customWidth="1"/>
    <col min="3848" max="3885" width="10.6640625" style="2568" customWidth="1"/>
    <col min="3886" max="3891" width="9.6640625" style="2568" customWidth="1"/>
    <col min="3892" max="3892" width="10.6640625" style="2568" customWidth="1"/>
    <col min="3893" max="3897" width="9.6640625" style="2568" customWidth="1"/>
    <col min="3898" max="4096" width="9.109375" style="2568"/>
    <col min="4097" max="4099" width="2" style="2568" customWidth="1"/>
    <col min="4100" max="4100" width="2.44140625" style="2568" customWidth="1"/>
    <col min="4101" max="4101" width="45.5546875" style="2568" customWidth="1"/>
    <col min="4102" max="4102" width="7.109375" style="2568" customWidth="1"/>
    <col min="4103" max="4103" width="0.5546875" style="2568" customWidth="1"/>
    <col min="4104" max="4141" width="10.6640625" style="2568" customWidth="1"/>
    <col min="4142" max="4147" width="9.6640625" style="2568" customWidth="1"/>
    <col min="4148" max="4148" width="10.6640625" style="2568" customWidth="1"/>
    <col min="4149" max="4153" width="9.6640625" style="2568" customWidth="1"/>
    <col min="4154" max="4352" width="9.109375" style="2568"/>
    <col min="4353" max="4355" width="2" style="2568" customWidth="1"/>
    <col min="4356" max="4356" width="2.44140625" style="2568" customWidth="1"/>
    <col min="4357" max="4357" width="45.5546875" style="2568" customWidth="1"/>
    <col min="4358" max="4358" width="7.109375" style="2568" customWidth="1"/>
    <col min="4359" max="4359" width="0.5546875" style="2568" customWidth="1"/>
    <col min="4360" max="4397" width="10.6640625" style="2568" customWidth="1"/>
    <col min="4398" max="4403" width="9.6640625" style="2568" customWidth="1"/>
    <col min="4404" max="4404" width="10.6640625" style="2568" customWidth="1"/>
    <col min="4405" max="4409" width="9.6640625" style="2568" customWidth="1"/>
    <col min="4410" max="4608" width="9.109375" style="2568"/>
    <col min="4609" max="4611" width="2" style="2568" customWidth="1"/>
    <col min="4612" max="4612" width="2.44140625" style="2568" customWidth="1"/>
    <col min="4613" max="4613" width="45.5546875" style="2568" customWidth="1"/>
    <col min="4614" max="4614" width="7.109375" style="2568" customWidth="1"/>
    <col min="4615" max="4615" width="0.5546875" style="2568" customWidth="1"/>
    <col min="4616" max="4653" width="10.6640625" style="2568" customWidth="1"/>
    <col min="4654" max="4659" width="9.6640625" style="2568" customWidth="1"/>
    <col min="4660" max="4660" width="10.6640625" style="2568" customWidth="1"/>
    <col min="4661" max="4665" width="9.6640625" style="2568" customWidth="1"/>
    <col min="4666" max="4864" width="9.109375" style="2568"/>
    <col min="4865" max="4867" width="2" style="2568" customWidth="1"/>
    <col min="4868" max="4868" width="2.44140625" style="2568" customWidth="1"/>
    <col min="4869" max="4869" width="45.5546875" style="2568" customWidth="1"/>
    <col min="4870" max="4870" width="7.109375" style="2568" customWidth="1"/>
    <col min="4871" max="4871" width="0.5546875" style="2568" customWidth="1"/>
    <col min="4872" max="4909" width="10.6640625" style="2568" customWidth="1"/>
    <col min="4910" max="4915" width="9.6640625" style="2568" customWidth="1"/>
    <col min="4916" max="4916" width="10.6640625" style="2568" customWidth="1"/>
    <col min="4917" max="4921" width="9.6640625" style="2568" customWidth="1"/>
    <col min="4922" max="5120" width="9.109375" style="2568"/>
    <col min="5121" max="5123" width="2" style="2568" customWidth="1"/>
    <col min="5124" max="5124" width="2.44140625" style="2568" customWidth="1"/>
    <col min="5125" max="5125" width="45.5546875" style="2568" customWidth="1"/>
    <col min="5126" max="5126" width="7.109375" style="2568" customWidth="1"/>
    <col min="5127" max="5127" width="0.5546875" style="2568" customWidth="1"/>
    <col min="5128" max="5165" width="10.6640625" style="2568" customWidth="1"/>
    <col min="5166" max="5171" width="9.6640625" style="2568" customWidth="1"/>
    <col min="5172" max="5172" width="10.6640625" style="2568" customWidth="1"/>
    <col min="5173" max="5177" width="9.6640625" style="2568" customWidth="1"/>
    <col min="5178" max="5376" width="9.109375" style="2568"/>
    <col min="5377" max="5379" width="2" style="2568" customWidth="1"/>
    <col min="5380" max="5380" width="2.44140625" style="2568" customWidth="1"/>
    <col min="5381" max="5381" width="45.5546875" style="2568" customWidth="1"/>
    <col min="5382" max="5382" width="7.109375" style="2568" customWidth="1"/>
    <col min="5383" max="5383" width="0.5546875" style="2568" customWidth="1"/>
    <col min="5384" max="5421" width="10.6640625" style="2568" customWidth="1"/>
    <col min="5422" max="5427" width="9.6640625" style="2568" customWidth="1"/>
    <col min="5428" max="5428" width="10.6640625" style="2568" customWidth="1"/>
    <col min="5429" max="5433" width="9.6640625" style="2568" customWidth="1"/>
    <col min="5434" max="5632" width="9.109375" style="2568"/>
    <col min="5633" max="5635" width="2" style="2568" customWidth="1"/>
    <col min="5636" max="5636" width="2.44140625" style="2568" customWidth="1"/>
    <col min="5637" max="5637" width="45.5546875" style="2568" customWidth="1"/>
    <col min="5638" max="5638" width="7.109375" style="2568" customWidth="1"/>
    <col min="5639" max="5639" width="0.5546875" style="2568" customWidth="1"/>
    <col min="5640" max="5677" width="10.6640625" style="2568" customWidth="1"/>
    <col min="5678" max="5683" width="9.6640625" style="2568" customWidth="1"/>
    <col min="5684" max="5684" width="10.6640625" style="2568" customWidth="1"/>
    <col min="5685" max="5689" width="9.6640625" style="2568" customWidth="1"/>
    <col min="5690" max="5888" width="9.109375" style="2568"/>
    <col min="5889" max="5891" width="2" style="2568" customWidth="1"/>
    <col min="5892" max="5892" width="2.44140625" style="2568" customWidth="1"/>
    <col min="5893" max="5893" width="45.5546875" style="2568" customWidth="1"/>
    <col min="5894" max="5894" width="7.109375" style="2568" customWidth="1"/>
    <col min="5895" max="5895" width="0.5546875" style="2568" customWidth="1"/>
    <col min="5896" max="5933" width="10.6640625" style="2568" customWidth="1"/>
    <col min="5934" max="5939" width="9.6640625" style="2568" customWidth="1"/>
    <col min="5940" max="5940" width="10.6640625" style="2568" customWidth="1"/>
    <col min="5941" max="5945" width="9.6640625" style="2568" customWidth="1"/>
    <col min="5946" max="6144" width="9.109375" style="2568"/>
    <col min="6145" max="6147" width="2" style="2568" customWidth="1"/>
    <col min="6148" max="6148" width="2.44140625" style="2568" customWidth="1"/>
    <col min="6149" max="6149" width="45.5546875" style="2568" customWidth="1"/>
    <col min="6150" max="6150" width="7.109375" style="2568" customWidth="1"/>
    <col min="6151" max="6151" width="0.5546875" style="2568" customWidth="1"/>
    <col min="6152" max="6189" width="10.6640625" style="2568" customWidth="1"/>
    <col min="6190" max="6195" width="9.6640625" style="2568" customWidth="1"/>
    <col min="6196" max="6196" width="10.6640625" style="2568" customWidth="1"/>
    <col min="6197" max="6201" width="9.6640625" style="2568" customWidth="1"/>
    <col min="6202" max="6400" width="9.109375" style="2568"/>
    <col min="6401" max="6403" width="2" style="2568" customWidth="1"/>
    <col min="6404" max="6404" width="2.44140625" style="2568" customWidth="1"/>
    <col min="6405" max="6405" width="45.5546875" style="2568" customWidth="1"/>
    <col min="6406" max="6406" width="7.109375" style="2568" customWidth="1"/>
    <col min="6407" max="6407" width="0.5546875" style="2568" customWidth="1"/>
    <col min="6408" max="6445" width="10.6640625" style="2568" customWidth="1"/>
    <col min="6446" max="6451" width="9.6640625" style="2568" customWidth="1"/>
    <col min="6452" max="6452" width="10.6640625" style="2568" customWidth="1"/>
    <col min="6453" max="6457" width="9.6640625" style="2568" customWidth="1"/>
    <col min="6458" max="6656" width="9.109375" style="2568"/>
    <col min="6657" max="6659" width="2" style="2568" customWidth="1"/>
    <col min="6660" max="6660" width="2.44140625" style="2568" customWidth="1"/>
    <col min="6661" max="6661" width="45.5546875" style="2568" customWidth="1"/>
    <col min="6662" max="6662" width="7.109375" style="2568" customWidth="1"/>
    <col min="6663" max="6663" width="0.5546875" style="2568" customWidth="1"/>
    <col min="6664" max="6701" width="10.6640625" style="2568" customWidth="1"/>
    <col min="6702" max="6707" width="9.6640625" style="2568" customWidth="1"/>
    <col min="6708" max="6708" width="10.6640625" style="2568" customWidth="1"/>
    <col min="6709" max="6713" width="9.6640625" style="2568" customWidth="1"/>
    <col min="6714" max="6912" width="9.109375" style="2568"/>
    <col min="6913" max="6915" width="2" style="2568" customWidth="1"/>
    <col min="6916" max="6916" width="2.44140625" style="2568" customWidth="1"/>
    <col min="6917" max="6917" width="45.5546875" style="2568" customWidth="1"/>
    <col min="6918" max="6918" width="7.109375" style="2568" customWidth="1"/>
    <col min="6919" max="6919" width="0.5546875" style="2568" customWidth="1"/>
    <col min="6920" max="6957" width="10.6640625" style="2568" customWidth="1"/>
    <col min="6958" max="6963" width="9.6640625" style="2568" customWidth="1"/>
    <col min="6964" max="6964" width="10.6640625" style="2568" customWidth="1"/>
    <col min="6965" max="6969" width="9.6640625" style="2568" customWidth="1"/>
    <col min="6970" max="7168" width="9.109375" style="2568"/>
    <col min="7169" max="7171" width="2" style="2568" customWidth="1"/>
    <col min="7172" max="7172" width="2.44140625" style="2568" customWidth="1"/>
    <col min="7173" max="7173" width="45.5546875" style="2568" customWidth="1"/>
    <col min="7174" max="7174" width="7.109375" style="2568" customWidth="1"/>
    <col min="7175" max="7175" width="0.5546875" style="2568" customWidth="1"/>
    <col min="7176" max="7213" width="10.6640625" style="2568" customWidth="1"/>
    <col min="7214" max="7219" width="9.6640625" style="2568" customWidth="1"/>
    <col min="7220" max="7220" width="10.6640625" style="2568" customWidth="1"/>
    <col min="7221" max="7225" width="9.6640625" style="2568" customWidth="1"/>
    <col min="7226" max="7424" width="9.109375" style="2568"/>
    <col min="7425" max="7427" width="2" style="2568" customWidth="1"/>
    <col min="7428" max="7428" width="2.44140625" style="2568" customWidth="1"/>
    <col min="7429" max="7429" width="45.5546875" style="2568" customWidth="1"/>
    <col min="7430" max="7430" width="7.109375" style="2568" customWidth="1"/>
    <col min="7431" max="7431" width="0.5546875" style="2568" customWidth="1"/>
    <col min="7432" max="7469" width="10.6640625" style="2568" customWidth="1"/>
    <col min="7470" max="7475" width="9.6640625" style="2568" customWidth="1"/>
    <col min="7476" max="7476" width="10.6640625" style="2568" customWidth="1"/>
    <col min="7477" max="7481" width="9.6640625" style="2568" customWidth="1"/>
    <col min="7482" max="7680" width="9.109375" style="2568"/>
    <col min="7681" max="7683" width="2" style="2568" customWidth="1"/>
    <col min="7684" max="7684" width="2.44140625" style="2568" customWidth="1"/>
    <col min="7685" max="7685" width="45.5546875" style="2568" customWidth="1"/>
    <col min="7686" max="7686" width="7.109375" style="2568" customWidth="1"/>
    <col min="7687" max="7687" width="0.5546875" style="2568" customWidth="1"/>
    <col min="7688" max="7725" width="10.6640625" style="2568" customWidth="1"/>
    <col min="7726" max="7731" width="9.6640625" style="2568" customWidth="1"/>
    <col min="7732" max="7732" width="10.6640625" style="2568" customWidth="1"/>
    <col min="7733" max="7737" width="9.6640625" style="2568" customWidth="1"/>
    <col min="7738" max="7936" width="9.109375" style="2568"/>
    <col min="7937" max="7939" width="2" style="2568" customWidth="1"/>
    <col min="7940" max="7940" width="2.44140625" style="2568" customWidth="1"/>
    <col min="7941" max="7941" width="45.5546875" style="2568" customWidth="1"/>
    <col min="7942" max="7942" width="7.109375" style="2568" customWidth="1"/>
    <col min="7943" max="7943" width="0.5546875" style="2568" customWidth="1"/>
    <col min="7944" max="7981" width="10.6640625" style="2568" customWidth="1"/>
    <col min="7982" max="7987" width="9.6640625" style="2568" customWidth="1"/>
    <col min="7988" max="7988" width="10.6640625" style="2568" customWidth="1"/>
    <col min="7989" max="7993" width="9.6640625" style="2568" customWidth="1"/>
    <col min="7994" max="8192" width="9.109375" style="2568"/>
    <col min="8193" max="8195" width="2" style="2568" customWidth="1"/>
    <col min="8196" max="8196" width="2.44140625" style="2568" customWidth="1"/>
    <col min="8197" max="8197" width="45.5546875" style="2568" customWidth="1"/>
    <col min="8198" max="8198" width="7.109375" style="2568" customWidth="1"/>
    <col min="8199" max="8199" width="0.5546875" style="2568" customWidth="1"/>
    <col min="8200" max="8237" width="10.6640625" style="2568" customWidth="1"/>
    <col min="8238" max="8243" width="9.6640625" style="2568" customWidth="1"/>
    <col min="8244" max="8244" width="10.6640625" style="2568" customWidth="1"/>
    <col min="8245" max="8249" width="9.6640625" style="2568" customWidth="1"/>
    <col min="8250" max="8448" width="9.109375" style="2568"/>
    <col min="8449" max="8451" width="2" style="2568" customWidth="1"/>
    <col min="8452" max="8452" width="2.44140625" style="2568" customWidth="1"/>
    <col min="8453" max="8453" width="45.5546875" style="2568" customWidth="1"/>
    <col min="8454" max="8454" width="7.109375" style="2568" customWidth="1"/>
    <col min="8455" max="8455" width="0.5546875" style="2568" customWidth="1"/>
    <col min="8456" max="8493" width="10.6640625" style="2568" customWidth="1"/>
    <col min="8494" max="8499" width="9.6640625" style="2568" customWidth="1"/>
    <col min="8500" max="8500" width="10.6640625" style="2568" customWidth="1"/>
    <col min="8501" max="8505" width="9.6640625" style="2568" customWidth="1"/>
    <col min="8506" max="8704" width="9.109375" style="2568"/>
    <col min="8705" max="8707" width="2" style="2568" customWidth="1"/>
    <col min="8708" max="8708" width="2.44140625" style="2568" customWidth="1"/>
    <col min="8709" max="8709" width="45.5546875" style="2568" customWidth="1"/>
    <col min="8710" max="8710" width="7.109375" style="2568" customWidth="1"/>
    <col min="8711" max="8711" width="0.5546875" style="2568" customWidth="1"/>
    <col min="8712" max="8749" width="10.6640625" style="2568" customWidth="1"/>
    <col min="8750" max="8755" width="9.6640625" style="2568" customWidth="1"/>
    <col min="8756" max="8756" width="10.6640625" style="2568" customWidth="1"/>
    <col min="8757" max="8761" width="9.6640625" style="2568" customWidth="1"/>
    <col min="8762" max="8960" width="9.109375" style="2568"/>
    <col min="8961" max="8963" width="2" style="2568" customWidth="1"/>
    <col min="8964" max="8964" width="2.44140625" style="2568" customWidth="1"/>
    <col min="8965" max="8965" width="45.5546875" style="2568" customWidth="1"/>
    <col min="8966" max="8966" width="7.109375" style="2568" customWidth="1"/>
    <col min="8967" max="8967" width="0.5546875" style="2568" customWidth="1"/>
    <col min="8968" max="9005" width="10.6640625" style="2568" customWidth="1"/>
    <col min="9006" max="9011" width="9.6640625" style="2568" customWidth="1"/>
    <col min="9012" max="9012" width="10.6640625" style="2568" customWidth="1"/>
    <col min="9013" max="9017" width="9.6640625" style="2568" customWidth="1"/>
    <col min="9018" max="9216" width="9.109375" style="2568"/>
    <col min="9217" max="9219" width="2" style="2568" customWidth="1"/>
    <col min="9220" max="9220" width="2.44140625" style="2568" customWidth="1"/>
    <col min="9221" max="9221" width="45.5546875" style="2568" customWidth="1"/>
    <col min="9222" max="9222" width="7.109375" style="2568" customWidth="1"/>
    <col min="9223" max="9223" width="0.5546875" style="2568" customWidth="1"/>
    <col min="9224" max="9261" width="10.6640625" style="2568" customWidth="1"/>
    <col min="9262" max="9267" width="9.6640625" style="2568" customWidth="1"/>
    <col min="9268" max="9268" width="10.6640625" style="2568" customWidth="1"/>
    <col min="9269" max="9273" width="9.6640625" style="2568" customWidth="1"/>
    <col min="9274" max="9472" width="9.109375" style="2568"/>
    <col min="9473" max="9475" width="2" style="2568" customWidth="1"/>
    <col min="9476" max="9476" width="2.44140625" style="2568" customWidth="1"/>
    <col min="9477" max="9477" width="45.5546875" style="2568" customWidth="1"/>
    <col min="9478" max="9478" width="7.109375" style="2568" customWidth="1"/>
    <col min="9479" max="9479" width="0.5546875" style="2568" customWidth="1"/>
    <col min="9480" max="9517" width="10.6640625" style="2568" customWidth="1"/>
    <col min="9518" max="9523" width="9.6640625" style="2568" customWidth="1"/>
    <col min="9524" max="9524" width="10.6640625" style="2568" customWidth="1"/>
    <col min="9525" max="9529" width="9.6640625" style="2568" customWidth="1"/>
    <col min="9530" max="9728" width="9.109375" style="2568"/>
    <col min="9729" max="9731" width="2" style="2568" customWidth="1"/>
    <col min="9732" max="9732" width="2.44140625" style="2568" customWidth="1"/>
    <col min="9733" max="9733" width="45.5546875" style="2568" customWidth="1"/>
    <col min="9734" max="9734" width="7.109375" style="2568" customWidth="1"/>
    <col min="9735" max="9735" width="0.5546875" style="2568" customWidth="1"/>
    <col min="9736" max="9773" width="10.6640625" style="2568" customWidth="1"/>
    <col min="9774" max="9779" width="9.6640625" style="2568" customWidth="1"/>
    <col min="9780" max="9780" width="10.6640625" style="2568" customWidth="1"/>
    <col min="9781" max="9785" width="9.6640625" style="2568" customWidth="1"/>
    <col min="9786" max="9984" width="9.109375" style="2568"/>
    <col min="9985" max="9987" width="2" style="2568" customWidth="1"/>
    <col min="9988" max="9988" width="2.44140625" style="2568" customWidth="1"/>
    <col min="9989" max="9989" width="45.5546875" style="2568" customWidth="1"/>
    <col min="9990" max="9990" width="7.109375" style="2568" customWidth="1"/>
    <col min="9991" max="9991" width="0.5546875" style="2568" customWidth="1"/>
    <col min="9992" max="10029" width="10.6640625" style="2568" customWidth="1"/>
    <col min="10030" max="10035" width="9.6640625" style="2568" customWidth="1"/>
    <col min="10036" max="10036" width="10.6640625" style="2568" customWidth="1"/>
    <col min="10037" max="10041" width="9.6640625" style="2568" customWidth="1"/>
    <col min="10042" max="10240" width="9.109375" style="2568"/>
    <col min="10241" max="10243" width="2" style="2568" customWidth="1"/>
    <col min="10244" max="10244" width="2.44140625" style="2568" customWidth="1"/>
    <col min="10245" max="10245" width="45.5546875" style="2568" customWidth="1"/>
    <col min="10246" max="10246" width="7.109375" style="2568" customWidth="1"/>
    <col min="10247" max="10247" width="0.5546875" style="2568" customWidth="1"/>
    <col min="10248" max="10285" width="10.6640625" style="2568" customWidth="1"/>
    <col min="10286" max="10291" width="9.6640625" style="2568" customWidth="1"/>
    <col min="10292" max="10292" width="10.6640625" style="2568" customWidth="1"/>
    <col min="10293" max="10297" width="9.6640625" style="2568" customWidth="1"/>
    <col min="10298" max="10496" width="9.109375" style="2568"/>
    <col min="10497" max="10499" width="2" style="2568" customWidth="1"/>
    <col min="10500" max="10500" width="2.44140625" style="2568" customWidth="1"/>
    <col min="10501" max="10501" width="45.5546875" style="2568" customWidth="1"/>
    <col min="10502" max="10502" width="7.109375" style="2568" customWidth="1"/>
    <col min="10503" max="10503" width="0.5546875" style="2568" customWidth="1"/>
    <col min="10504" max="10541" width="10.6640625" style="2568" customWidth="1"/>
    <col min="10542" max="10547" width="9.6640625" style="2568" customWidth="1"/>
    <col min="10548" max="10548" width="10.6640625" style="2568" customWidth="1"/>
    <col min="10549" max="10553" width="9.6640625" style="2568" customWidth="1"/>
    <col min="10554" max="10752" width="9.109375" style="2568"/>
    <col min="10753" max="10755" width="2" style="2568" customWidth="1"/>
    <col min="10756" max="10756" width="2.44140625" style="2568" customWidth="1"/>
    <col min="10757" max="10757" width="45.5546875" style="2568" customWidth="1"/>
    <col min="10758" max="10758" width="7.109375" style="2568" customWidth="1"/>
    <col min="10759" max="10759" width="0.5546875" style="2568" customWidth="1"/>
    <col min="10760" max="10797" width="10.6640625" style="2568" customWidth="1"/>
    <col min="10798" max="10803" width="9.6640625" style="2568" customWidth="1"/>
    <col min="10804" max="10804" width="10.6640625" style="2568" customWidth="1"/>
    <col min="10805" max="10809" width="9.6640625" style="2568" customWidth="1"/>
    <col min="10810" max="11008" width="9.109375" style="2568"/>
    <col min="11009" max="11011" width="2" style="2568" customWidth="1"/>
    <col min="11012" max="11012" width="2.44140625" style="2568" customWidth="1"/>
    <col min="11013" max="11013" width="45.5546875" style="2568" customWidth="1"/>
    <col min="11014" max="11014" width="7.109375" style="2568" customWidth="1"/>
    <col min="11015" max="11015" width="0.5546875" style="2568" customWidth="1"/>
    <col min="11016" max="11053" width="10.6640625" style="2568" customWidth="1"/>
    <col min="11054" max="11059" width="9.6640625" style="2568" customWidth="1"/>
    <col min="11060" max="11060" width="10.6640625" style="2568" customWidth="1"/>
    <col min="11061" max="11065" width="9.6640625" style="2568" customWidth="1"/>
    <col min="11066" max="11264" width="9.109375" style="2568"/>
    <col min="11265" max="11267" width="2" style="2568" customWidth="1"/>
    <col min="11268" max="11268" width="2.44140625" style="2568" customWidth="1"/>
    <col min="11269" max="11269" width="45.5546875" style="2568" customWidth="1"/>
    <col min="11270" max="11270" width="7.109375" style="2568" customWidth="1"/>
    <col min="11271" max="11271" width="0.5546875" style="2568" customWidth="1"/>
    <col min="11272" max="11309" width="10.6640625" style="2568" customWidth="1"/>
    <col min="11310" max="11315" width="9.6640625" style="2568" customWidth="1"/>
    <col min="11316" max="11316" width="10.6640625" style="2568" customWidth="1"/>
    <col min="11317" max="11321" width="9.6640625" style="2568" customWidth="1"/>
    <col min="11322" max="11520" width="9.109375" style="2568"/>
    <col min="11521" max="11523" width="2" style="2568" customWidth="1"/>
    <col min="11524" max="11524" width="2.44140625" style="2568" customWidth="1"/>
    <col min="11525" max="11525" width="45.5546875" style="2568" customWidth="1"/>
    <col min="11526" max="11526" width="7.109375" style="2568" customWidth="1"/>
    <col min="11527" max="11527" width="0.5546875" style="2568" customWidth="1"/>
    <col min="11528" max="11565" width="10.6640625" style="2568" customWidth="1"/>
    <col min="11566" max="11571" width="9.6640625" style="2568" customWidth="1"/>
    <col min="11572" max="11572" width="10.6640625" style="2568" customWidth="1"/>
    <col min="11573" max="11577" width="9.6640625" style="2568" customWidth="1"/>
    <col min="11578" max="11776" width="9.109375" style="2568"/>
    <col min="11777" max="11779" width="2" style="2568" customWidth="1"/>
    <col min="11780" max="11780" width="2.44140625" style="2568" customWidth="1"/>
    <col min="11781" max="11781" width="45.5546875" style="2568" customWidth="1"/>
    <col min="11782" max="11782" width="7.109375" style="2568" customWidth="1"/>
    <col min="11783" max="11783" width="0.5546875" style="2568" customWidth="1"/>
    <col min="11784" max="11821" width="10.6640625" style="2568" customWidth="1"/>
    <col min="11822" max="11827" width="9.6640625" style="2568" customWidth="1"/>
    <col min="11828" max="11828" width="10.6640625" style="2568" customWidth="1"/>
    <col min="11829" max="11833" width="9.6640625" style="2568" customWidth="1"/>
    <col min="11834" max="12032" width="9.109375" style="2568"/>
    <col min="12033" max="12035" width="2" style="2568" customWidth="1"/>
    <col min="12036" max="12036" width="2.44140625" style="2568" customWidth="1"/>
    <col min="12037" max="12037" width="45.5546875" style="2568" customWidth="1"/>
    <col min="12038" max="12038" width="7.109375" style="2568" customWidth="1"/>
    <col min="12039" max="12039" width="0.5546875" style="2568" customWidth="1"/>
    <col min="12040" max="12077" width="10.6640625" style="2568" customWidth="1"/>
    <col min="12078" max="12083" width="9.6640625" style="2568" customWidth="1"/>
    <col min="12084" max="12084" width="10.6640625" style="2568" customWidth="1"/>
    <col min="12085" max="12089" width="9.6640625" style="2568" customWidth="1"/>
    <col min="12090" max="12288" width="9.109375" style="2568"/>
    <col min="12289" max="12291" width="2" style="2568" customWidth="1"/>
    <col min="12292" max="12292" width="2.44140625" style="2568" customWidth="1"/>
    <col min="12293" max="12293" width="45.5546875" style="2568" customWidth="1"/>
    <col min="12294" max="12294" width="7.109375" style="2568" customWidth="1"/>
    <col min="12295" max="12295" width="0.5546875" style="2568" customWidth="1"/>
    <col min="12296" max="12333" width="10.6640625" style="2568" customWidth="1"/>
    <col min="12334" max="12339" width="9.6640625" style="2568" customWidth="1"/>
    <col min="12340" max="12340" width="10.6640625" style="2568" customWidth="1"/>
    <col min="12341" max="12345" width="9.6640625" style="2568" customWidth="1"/>
    <col min="12346" max="12544" width="9.109375" style="2568"/>
    <col min="12545" max="12547" width="2" style="2568" customWidth="1"/>
    <col min="12548" max="12548" width="2.44140625" style="2568" customWidth="1"/>
    <col min="12549" max="12549" width="45.5546875" style="2568" customWidth="1"/>
    <col min="12550" max="12550" width="7.109375" style="2568" customWidth="1"/>
    <col min="12551" max="12551" width="0.5546875" style="2568" customWidth="1"/>
    <col min="12552" max="12589" width="10.6640625" style="2568" customWidth="1"/>
    <col min="12590" max="12595" width="9.6640625" style="2568" customWidth="1"/>
    <col min="12596" max="12596" width="10.6640625" style="2568" customWidth="1"/>
    <col min="12597" max="12601" width="9.6640625" style="2568" customWidth="1"/>
    <col min="12602" max="12800" width="9.109375" style="2568"/>
    <col min="12801" max="12803" width="2" style="2568" customWidth="1"/>
    <col min="12804" max="12804" width="2.44140625" style="2568" customWidth="1"/>
    <col min="12805" max="12805" width="45.5546875" style="2568" customWidth="1"/>
    <col min="12806" max="12806" width="7.109375" style="2568" customWidth="1"/>
    <col min="12807" max="12807" width="0.5546875" style="2568" customWidth="1"/>
    <col min="12808" max="12845" width="10.6640625" style="2568" customWidth="1"/>
    <col min="12846" max="12851" width="9.6640625" style="2568" customWidth="1"/>
    <col min="12852" max="12852" width="10.6640625" style="2568" customWidth="1"/>
    <col min="12853" max="12857" width="9.6640625" style="2568" customWidth="1"/>
    <col min="12858" max="13056" width="9.109375" style="2568"/>
    <col min="13057" max="13059" width="2" style="2568" customWidth="1"/>
    <col min="13060" max="13060" width="2.44140625" style="2568" customWidth="1"/>
    <col min="13061" max="13061" width="45.5546875" style="2568" customWidth="1"/>
    <col min="13062" max="13062" width="7.109375" style="2568" customWidth="1"/>
    <col min="13063" max="13063" width="0.5546875" style="2568" customWidth="1"/>
    <col min="13064" max="13101" width="10.6640625" style="2568" customWidth="1"/>
    <col min="13102" max="13107" width="9.6640625" style="2568" customWidth="1"/>
    <col min="13108" max="13108" width="10.6640625" style="2568" customWidth="1"/>
    <col min="13109" max="13113" width="9.6640625" style="2568" customWidth="1"/>
    <col min="13114" max="13312" width="9.109375" style="2568"/>
    <col min="13313" max="13315" width="2" style="2568" customWidth="1"/>
    <col min="13316" max="13316" width="2.44140625" style="2568" customWidth="1"/>
    <col min="13317" max="13317" width="45.5546875" style="2568" customWidth="1"/>
    <col min="13318" max="13318" width="7.109375" style="2568" customWidth="1"/>
    <col min="13319" max="13319" width="0.5546875" style="2568" customWidth="1"/>
    <col min="13320" max="13357" width="10.6640625" style="2568" customWidth="1"/>
    <col min="13358" max="13363" width="9.6640625" style="2568" customWidth="1"/>
    <col min="13364" max="13364" width="10.6640625" style="2568" customWidth="1"/>
    <col min="13365" max="13369" width="9.6640625" style="2568" customWidth="1"/>
    <col min="13370" max="13568" width="9.109375" style="2568"/>
    <col min="13569" max="13571" width="2" style="2568" customWidth="1"/>
    <col min="13572" max="13572" width="2.44140625" style="2568" customWidth="1"/>
    <col min="13573" max="13573" width="45.5546875" style="2568" customWidth="1"/>
    <col min="13574" max="13574" width="7.109375" style="2568" customWidth="1"/>
    <col min="13575" max="13575" width="0.5546875" style="2568" customWidth="1"/>
    <col min="13576" max="13613" width="10.6640625" style="2568" customWidth="1"/>
    <col min="13614" max="13619" width="9.6640625" style="2568" customWidth="1"/>
    <col min="13620" max="13620" width="10.6640625" style="2568" customWidth="1"/>
    <col min="13621" max="13625" width="9.6640625" style="2568" customWidth="1"/>
    <col min="13626" max="13824" width="9.109375" style="2568"/>
    <col min="13825" max="13827" width="2" style="2568" customWidth="1"/>
    <col min="13828" max="13828" width="2.44140625" style="2568" customWidth="1"/>
    <col min="13829" max="13829" width="45.5546875" style="2568" customWidth="1"/>
    <col min="13830" max="13830" width="7.109375" style="2568" customWidth="1"/>
    <col min="13831" max="13831" width="0.5546875" style="2568" customWidth="1"/>
    <col min="13832" max="13869" width="10.6640625" style="2568" customWidth="1"/>
    <col min="13870" max="13875" width="9.6640625" style="2568" customWidth="1"/>
    <col min="13876" max="13876" width="10.6640625" style="2568" customWidth="1"/>
    <col min="13877" max="13881" width="9.6640625" style="2568" customWidth="1"/>
    <col min="13882" max="14080" width="9.109375" style="2568"/>
    <col min="14081" max="14083" width="2" style="2568" customWidth="1"/>
    <col min="14084" max="14084" width="2.44140625" style="2568" customWidth="1"/>
    <col min="14085" max="14085" width="45.5546875" style="2568" customWidth="1"/>
    <col min="14086" max="14086" width="7.109375" style="2568" customWidth="1"/>
    <col min="14087" max="14087" width="0.5546875" style="2568" customWidth="1"/>
    <col min="14088" max="14125" width="10.6640625" style="2568" customWidth="1"/>
    <col min="14126" max="14131" width="9.6640625" style="2568" customWidth="1"/>
    <col min="14132" max="14132" width="10.6640625" style="2568" customWidth="1"/>
    <col min="14133" max="14137" width="9.6640625" style="2568" customWidth="1"/>
    <col min="14138" max="14336" width="9.109375" style="2568"/>
    <col min="14337" max="14339" width="2" style="2568" customWidth="1"/>
    <col min="14340" max="14340" width="2.44140625" style="2568" customWidth="1"/>
    <col min="14341" max="14341" width="45.5546875" style="2568" customWidth="1"/>
    <col min="14342" max="14342" width="7.109375" style="2568" customWidth="1"/>
    <col min="14343" max="14343" width="0.5546875" style="2568" customWidth="1"/>
    <col min="14344" max="14381" width="10.6640625" style="2568" customWidth="1"/>
    <col min="14382" max="14387" width="9.6640625" style="2568" customWidth="1"/>
    <col min="14388" max="14388" width="10.6640625" style="2568" customWidth="1"/>
    <col min="14389" max="14393" width="9.6640625" style="2568" customWidth="1"/>
    <col min="14394" max="14592" width="9.109375" style="2568"/>
    <col min="14593" max="14595" width="2" style="2568" customWidth="1"/>
    <col min="14596" max="14596" width="2.44140625" style="2568" customWidth="1"/>
    <col min="14597" max="14597" width="45.5546875" style="2568" customWidth="1"/>
    <col min="14598" max="14598" width="7.109375" style="2568" customWidth="1"/>
    <col min="14599" max="14599" width="0.5546875" style="2568" customWidth="1"/>
    <col min="14600" max="14637" width="10.6640625" style="2568" customWidth="1"/>
    <col min="14638" max="14643" width="9.6640625" style="2568" customWidth="1"/>
    <col min="14644" max="14644" width="10.6640625" style="2568" customWidth="1"/>
    <col min="14645" max="14649" width="9.6640625" style="2568" customWidth="1"/>
    <col min="14650" max="14848" width="9.109375" style="2568"/>
    <col min="14849" max="14851" width="2" style="2568" customWidth="1"/>
    <col min="14852" max="14852" width="2.44140625" style="2568" customWidth="1"/>
    <col min="14853" max="14853" width="45.5546875" style="2568" customWidth="1"/>
    <col min="14854" max="14854" width="7.109375" style="2568" customWidth="1"/>
    <col min="14855" max="14855" width="0.5546875" style="2568" customWidth="1"/>
    <col min="14856" max="14893" width="10.6640625" style="2568" customWidth="1"/>
    <col min="14894" max="14899" width="9.6640625" style="2568" customWidth="1"/>
    <col min="14900" max="14900" width="10.6640625" style="2568" customWidth="1"/>
    <col min="14901" max="14905" width="9.6640625" style="2568" customWidth="1"/>
    <col min="14906" max="15104" width="9.109375" style="2568"/>
    <col min="15105" max="15107" width="2" style="2568" customWidth="1"/>
    <col min="15108" max="15108" width="2.44140625" style="2568" customWidth="1"/>
    <col min="15109" max="15109" width="45.5546875" style="2568" customWidth="1"/>
    <col min="15110" max="15110" width="7.109375" style="2568" customWidth="1"/>
    <col min="15111" max="15111" width="0.5546875" style="2568" customWidth="1"/>
    <col min="15112" max="15149" width="10.6640625" style="2568" customWidth="1"/>
    <col min="15150" max="15155" width="9.6640625" style="2568" customWidth="1"/>
    <col min="15156" max="15156" width="10.6640625" style="2568" customWidth="1"/>
    <col min="15157" max="15161" width="9.6640625" style="2568" customWidth="1"/>
    <col min="15162" max="15360" width="9.109375" style="2568"/>
    <col min="15361" max="15363" width="2" style="2568" customWidth="1"/>
    <col min="15364" max="15364" width="2.44140625" style="2568" customWidth="1"/>
    <col min="15365" max="15365" width="45.5546875" style="2568" customWidth="1"/>
    <col min="15366" max="15366" width="7.109375" style="2568" customWidth="1"/>
    <col min="15367" max="15367" width="0.5546875" style="2568" customWidth="1"/>
    <col min="15368" max="15405" width="10.6640625" style="2568" customWidth="1"/>
    <col min="15406" max="15411" width="9.6640625" style="2568" customWidth="1"/>
    <col min="15412" max="15412" width="10.6640625" style="2568" customWidth="1"/>
    <col min="15413" max="15417" width="9.6640625" style="2568" customWidth="1"/>
    <col min="15418" max="15616" width="9.109375" style="2568"/>
    <col min="15617" max="15619" width="2" style="2568" customWidth="1"/>
    <col min="15620" max="15620" width="2.44140625" style="2568" customWidth="1"/>
    <col min="15621" max="15621" width="45.5546875" style="2568" customWidth="1"/>
    <col min="15622" max="15622" width="7.109375" style="2568" customWidth="1"/>
    <col min="15623" max="15623" width="0.5546875" style="2568" customWidth="1"/>
    <col min="15624" max="15661" width="10.6640625" style="2568" customWidth="1"/>
    <col min="15662" max="15667" width="9.6640625" style="2568" customWidth="1"/>
    <col min="15668" max="15668" width="10.6640625" style="2568" customWidth="1"/>
    <col min="15669" max="15673" width="9.6640625" style="2568" customWidth="1"/>
    <col min="15674" max="15872" width="9.109375" style="2568"/>
    <col min="15873" max="15875" width="2" style="2568" customWidth="1"/>
    <col min="15876" max="15876" width="2.44140625" style="2568" customWidth="1"/>
    <col min="15877" max="15877" width="45.5546875" style="2568" customWidth="1"/>
    <col min="15878" max="15878" width="7.109375" style="2568" customWidth="1"/>
    <col min="15879" max="15879" width="0.5546875" style="2568" customWidth="1"/>
    <col min="15880" max="15917" width="10.6640625" style="2568" customWidth="1"/>
    <col min="15918" max="15923" width="9.6640625" style="2568" customWidth="1"/>
    <col min="15924" max="15924" width="10.6640625" style="2568" customWidth="1"/>
    <col min="15925" max="15929" width="9.6640625" style="2568" customWidth="1"/>
    <col min="15930" max="16128" width="9.109375" style="2568"/>
    <col min="16129" max="16131" width="2" style="2568" customWidth="1"/>
    <col min="16132" max="16132" width="2.44140625" style="2568" customWidth="1"/>
    <col min="16133" max="16133" width="45.5546875" style="2568" customWidth="1"/>
    <col min="16134" max="16134" width="7.109375" style="2568" customWidth="1"/>
    <col min="16135" max="16135" width="0.5546875" style="2568" customWidth="1"/>
    <col min="16136" max="16173" width="10.6640625" style="2568" customWidth="1"/>
    <col min="16174" max="16179" width="9.6640625" style="2568" customWidth="1"/>
    <col min="16180" max="16180" width="10.6640625" style="2568" customWidth="1"/>
    <col min="16181" max="16185" width="9.6640625" style="2568" customWidth="1"/>
    <col min="16186" max="16384" width="9.109375" style="2568"/>
  </cols>
  <sheetData>
    <row r="1" spans="1:73" ht="15" customHeight="1">
      <c r="A1" s="2563" t="s">
        <v>2768</v>
      </c>
      <c r="B1" s="2563"/>
      <c r="C1" s="2563"/>
      <c r="D1" s="2563"/>
      <c r="E1" s="2563"/>
      <c r="F1" s="2564"/>
      <c r="G1" s="2564"/>
      <c r="H1" s="2565" t="s">
        <v>2769</v>
      </c>
      <c r="I1" s="2565">
        <v>2000</v>
      </c>
      <c r="J1" s="2566">
        <v>2115</v>
      </c>
      <c r="K1" s="2566">
        <v>2116</v>
      </c>
      <c r="L1" s="2566">
        <v>2117</v>
      </c>
      <c r="M1" s="2566">
        <v>2118</v>
      </c>
      <c r="N1" s="2566">
        <v>2210</v>
      </c>
      <c r="O1" s="2566">
        <v>2112</v>
      </c>
      <c r="P1" s="2566">
        <v>2121</v>
      </c>
      <c r="Q1" s="2566">
        <v>2122</v>
      </c>
      <c r="R1" s="2566">
        <v>2130</v>
      </c>
      <c r="S1" s="2566">
        <v>2230</v>
      </c>
      <c r="T1" s="2566">
        <v>2310</v>
      </c>
      <c r="U1" s="2566">
        <v>2330</v>
      </c>
      <c r="V1" s="2566">
        <v>2410</v>
      </c>
      <c r="W1" s="2565">
        <v>3000</v>
      </c>
      <c r="X1" s="2566">
        <v>3105</v>
      </c>
      <c r="Y1" s="2566">
        <v>3106</v>
      </c>
      <c r="Z1" s="2566">
        <v>3191</v>
      </c>
      <c r="AA1" s="2566">
        <v>3192</v>
      </c>
      <c r="AB1" s="2566">
        <v>3193</v>
      </c>
      <c r="AC1" s="2566">
        <v>3214</v>
      </c>
      <c r="AD1" s="2566">
        <v>3215</v>
      </c>
      <c r="AE1" s="2566">
        <v>3220</v>
      </c>
      <c r="AF1" s="2807">
        <v>3234</v>
      </c>
      <c r="AG1" s="2807">
        <v>3235</v>
      </c>
      <c r="AH1" s="2807">
        <v>3246</v>
      </c>
      <c r="AI1" s="2807">
        <v>3247</v>
      </c>
      <c r="AJ1" s="2566">
        <v>3244</v>
      </c>
      <c r="AK1" s="2566">
        <v>3250</v>
      </c>
      <c r="AL1" s="2807">
        <v>3260</v>
      </c>
      <c r="AM1" s="2807" t="s">
        <v>2770</v>
      </c>
      <c r="AN1" s="2566">
        <v>3281</v>
      </c>
      <c r="AO1" s="2566">
        <v>3282</v>
      </c>
      <c r="AP1" s="2566">
        <v>3283</v>
      </c>
      <c r="AQ1" s="2566">
        <v>3285</v>
      </c>
      <c r="AR1" s="2566">
        <v>3286</v>
      </c>
      <c r="AS1" s="2566">
        <v>3295</v>
      </c>
      <c r="AT1" s="2565">
        <v>4000</v>
      </c>
      <c r="AU1" s="2807">
        <v>4100</v>
      </c>
      <c r="AV1" s="2566">
        <v>4210</v>
      </c>
      <c r="AW1" s="2566">
        <v>4220</v>
      </c>
      <c r="AX1" s="2566">
        <v>4230</v>
      </c>
      <c r="AY1" s="2566">
        <v>4240</v>
      </c>
      <c r="AZ1" s="2565">
        <v>5500</v>
      </c>
      <c r="BA1" s="2566">
        <v>5510</v>
      </c>
      <c r="BB1" s="2566">
        <v>5520</v>
      </c>
      <c r="BC1" s="2566">
        <v>5535</v>
      </c>
      <c r="BD1" s="2566">
        <v>5532</v>
      </c>
      <c r="BE1" s="2566">
        <v>5534</v>
      </c>
      <c r="BF1" s="2566">
        <v>5541</v>
      </c>
      <c r="BG1" s="2566">
        <v>5544</v>
      </c>
      <c r="BH1" s="2807">
        <v>5542</v>
      </c>
      <c r="BI1" s="2566">
        <v>55431</v>
      </c>
      <c r="BJ1" s="2807">
        <v>5546</v>
      </c>
      <c r="BK1" s="2807">
        <v>5547</v>
      </c>
      <c r="BL1" s="2566">
        <v>5549</v>
      </c>
      <c r="BM1" s="2566">
        <v>5548</v>
      </c>
      <c r="BN1" s="2566">
        <v>5550</v>
      </c>
      <c r="BO1" s="2565">
        <v>7200</v>
      </c>
      <c r="BP1" s="2566">
        <v>7100</v>
      </c>
      <c r="BQ1" s="2566">
        <v>55432</v>
      </c>
      <c r="BR1" s="2565">
        <v>5100</v>
      </c>
      <c r="BS1" s="2565">
        <v>5200</v>
      </c>
      <c r="BT1" s="2807">
        <v>6000</v>
      </c>
      <c r="BU1" s="2567"/>
    </row>
    <row r="2" spans="1:73" ht="38.25" customHeight="1">
      <c r="A2" s="2569" t="s">
        <v>2722</v>
      </c>
      <c r="B2" s="2569"/>
      <c r="C2" s="2569"/>
      <c r="D2" s="2569"/>
      <c r="E2" s="2570" t="s">
        <v>2771</v>
      </c>
      <c r="F2" s="2571" t="s">
        <v>386</v>
      </c>
      <c r="G2" s="2572"/>
      <c r="H2" s="2573" t="s">
        <v>2772</v>
      </c>
      <c r="I2" s="2574" t="s">
        <v>2773</v>
      </c>
      <c r="J2" s="2572" t="s">
        <v>2774</v>
      </c>
      <c r="K2" s="2572" t="s">
        <v>2775</v>
      </c>
      <c r="L2" s="2575" t="s">
        <v>2776</v>
      </c>
      <c r="M2" s="2575" t="s">
        <v>2777</v>
      </c>
      <c r="N2" s="2575" t="s">
        <v>2778</v>
      </c>
      <c r="O2" s="2575" t="s">
        <v>2779</v>
      </c>
      <c r="P2" s="2575" t="s">
        <v>2780</v>
      </c>
      <c r="Q2" s="2572" t="s">
        <v>2781</v>
      </c>
      <c r="R2" s="2572" t="s">
        <v>2782</v>
      </c>
      <c r="S2" s="2572" t="s">
        <v>2783</v>
      </c>
      <c r="T2" s="2572" t="s">
        <v>2784</v>
      </c>
      <c r="U2" s="2575" t="s">
        <v>2785</v>
      </c>
      <c r="V2" s="2575" t="s">
        <v>2786</v>
      </c>
      <c r="W2" s="2574" t="s">
        <v>2787</v>
      </c>
      <c r="X2" s="2575" t="s">
        <v>2788</v>
      </c>
      <c r="Y2" s="2575" t="s">
        <v>2789</v>
      </c>
      <c r="Z2" s="2575" t="s">
        <v>2790</v>
      </c>
      <c r="AA2" s="2575" t="s">
        <v>2791</v>
      </c>
      <c r="AB2" s="2575" t="s">
        <v>2792</v>
      </c>
      <c r="AC2" s="2575" t="s">
        <v>2793</v>
      </c>
      <c r="AD2" s="2575" t="s">
        <v>2794</v>
      </c>
      <c r="AE2" s="2575" t="s">
        <v>51</v>
      </c>
      <c r="AF2" s="2808" t="s">
        <v>2795</v>
      </c>
      <c r="AG2" s="2808" t="s">
        <v>370</v>
      </c>
      <c r="AH2" s="2808" t="s">
        <v>2796</v>
      </c>
      <c r="AI2" s="2808" t="s">
        <v>2797</v>
      </c>
      <c r="AJ2" s="2575" t="s">
        <v>365</v>
      </c>
      <c r="AK2" s="2575" t="s">
        <v>2798</v>
      </c>
      <c r="AL2" s="2808" t="s">
        <v>2799</v>
      </c>
      <c r="AM2" s="2808" t="s">
        <v>372</v>
      </c>
      <c r="AN2" s="2575" t="s">
        <v>2800</v>
      </c>
      <c r="AO2" s="2575" t="s">
        <v>2801</v>
      </c>
      <c r="AP2" s="2575" t="s">
        <v>2802</v>
      </c>
      <c r="AQ2" s="2575" t="s">
        <v>2803</v>
      </c>
      <c r="AR2" s="2575" t="s">
        <v>2804</v>
      </c>
      <c r="AS2" s="2575" t="s">
        <v>2805</v>
      </c>
      <c r="AT2" s="2574" t="s">
        <v>205</v>
      </c>
      <c r="AU2" s="2808" t="s">
        <v>2806</v>
      </c>
      <c r="AV2" s="2575" t="s">
        <v>2807</v>
      </c>
      <c r="AW2" s="2575" t="s">
        <v>2808</v>
      </c>
      <c r="AX2" s="2575" t="s">
        <v>2809</v>
      </c>
      <c r="AY2" s="2575" t="s">
        <v>2810</v>
      </c>
      <c r="AZ2" s="2576" t="s">
        <v>2811</v>
      </c>
      <c r="BA2" s="2575" t="s">
        <v>2812</v>
      </c>
      <c r="BB2" s="2575" t="s">
        <v>2813</v>
      </c>
      <c r="BC2" s="2575" t="s">
        <v>2814</v>
      </c>
      <c r="BD2" s="2575" t="s">
        <v>2815</v>
      </c>
      <c r="BE2" s="2575" t="s">
        <v>2816</v>
      </c>
      <c r="BF2" s="2575" t="s">
        <v>2817</v>
      </c>
      <c r="BG2" s="2575" t="s">
        <v>2818</v>
      </c>
      <c r="BH2" s="2808" t="s">
        <v>2819</v>
      </c>
      <c r="BI2" s="2575" t="s">
        <v>2820</v>
      </c>
      <c r="BJ2" s="2808" t="s">
        <v>2821</v>
      </c>
      <c r="BK2" s="2808" t="s">
        <v>52</v>
      </c>
      <c r="BL2" s="2575" t="s">
        <v>2822</v>
      </c>
      <c r="BM2" s="2575" t="s">
        <v>2823</v>
      </c>
      <c r="BN2" s="2575" t="s">
        <v>2824</v>
      </c>
      <c r="BO2" s="2576" t="s">
        <v>2825</v>
      </c>
      <c r="BP2" s="2575" t="s">
        <v>2826</v>
      </c>
      <c r="BQ2" s="2575" t="s">
        <v>2827</v>
      </c>
      <c r="BR2" s="2576" t="s">
        <v>2828</v>
      </c>
      <c r="BS2" s="2576" t="s">
        <v>2829</v>
      </c>
      <c r="BT2" s="2826" t="s">
        <v>49</v>
      </c>
    </row>
    <row r="3" spans="1:73" s="2583" customFormat="1" ht="11.25" customHeight="1">
      <c r="A3" s="2577"/>
      <c r="B3" s="2577"/>
      <c r="C3" s="2577"/>
      <c r="D3" s="2577"/>
      <c r="E3" s="2577"/>
      <c r="F3" s="2578"/>
      <c r="G3" s="2578"/>
      <c r="H3" s="2579"/>
      <c r="I3" s="2580"/>
      <c r="J3" s="2581"/>
      <c r="K3" s="2581"/>
      <c r="L3" s="2581"/>
      <c r="M3" s="2581"/>
      <c r="N3" s="2581"/>
      <c r="O3" s="2581"/>
      <c r="P3" s="2581"/>
      <c r="Q3" s="2581"/>
      <c r="R3" s="2581"/>
      <c r="S3" s="2581"/>
      <c r="T3" s="2581"/>
      <c r="U3" s="2581"/>
      <c r="V3" s="2581"/>
      <c r="W3" s="2580"/>
      <c r="X3" s="2582"/>
      <c r="Y3" s="2582"/>
      <c r="Z3" s="2582"/>
      <c r="AA3" s="2582"/>
      <c r="AB3" s="2582"/>
      <c r="AC3" s="2582"/>
      <c r="AD3" s="2582"/>
      <c r="AE3" s="2582"/>
      <c r="AF3" s="2809"/>
      <c r="AG3" s="2809"/>
      <c r="AH3" s="2809"/>
      <c r="AI3" s="2809"/>
      <c r="AJ3" s="2582"/>
      <c r="AK3" s="2582"/>
      <c r="AL3" s="2809"/>
      <c r="AM3" s="2809"/>
      <c r="AN3" s="2582"/>
      <c r="AO3" s="2582"/>
      <c r="AP3" s="2582"/>
      <c r="AQ3" s="2582"/>
      <c r="AR3" s="2582"/>
      <c r="AS3" s="2582"/>
      <c r="AT3" s="2580"/>
      <c r="AU3" s="2823"/>
      <c r="AV3" s="2581"/>
      <c r="AW3" s="2581"/>
      <c r="AX3" s="2581"/>
      <c r="AY3" s="2581"/>
      <c r="AZ3" s="2580"/>
      <c r="BA3" s="2581"/>
      <c r="BB3" s="2581"/>
      <c r="BC3" s="2581"/>
      <c r="BD3" s="2581"/>
      <c r="BE3" s="2581"/>
      <c r="BF3" s="2581"/>
      <c r="BG3" s="2581"/>
      <c r="BH3" s="2823"/>
      <c r="BI3" s="2581"/>
      <c r="BJ3" s="2823"/>
      <c r="BK3" s="2823"/>
      <c r="BL3" s="2581"/>
      <c r="BM3" s="2581"/>
      <c r="BN3" s="2581"/>
      <c r="BO3" s="2580"/>
      <c r="BP3" s="2581"/>
      <c r="BQ3" s="2581"/>
      <c r="BR3" s="2580"/>
      <c r="BS3" s="2580"/>
      <c r="BT3" s="2827"/>
    </row>
    <row r="4" spans="1:73" ht="11.25" customHeight="1">
      <c r="A4" s="2584" t="s">
        <v>1369</v>
      </c>
      <c r="B4" s="2585" t="s">
        <v>2830</v>
      </c>
      <c r="C4" s="2585"/>
      <c r="D4" s="2585"/>
      <c r="E4" s="2585"/>
      <c r="F4" s="2586" t="s">
        <v>2831</v>
      </c>
      <c r="G4" s="2586"/>
      <c r="H4" s="2587">
        <v>32666.857743383967</v>
      </c>
      <c r="I4" s="2588">
        <v>237.93828222031144</v>
      </c>
      <c r="J4" s="2589">
        <v>0</v>
      </c>
      <c r="K4" s="2589">
        <v>0</v>
      </c>
      <c r="L4" s="2589">
        <v>0</v>
      </c>
      <c r="M4" s="2589">
        <v>0</v>
      </c>
      <c r="N4" s="2589">
        <v>0</v>
      </c>
      <c r="O4" s="2589"/>
      <c r="P4" s="2589"/>
      <c r="Q4" s="2589"/>
      <c r="R4" s="2589"/>
      <c r="S4" s="2589"/>
      <c r="T4" s="2589">
        <v>237.93828222031144</v>
      </c>
      <c r="U4" s="2589"/>
      <c r="V4" s="2589">
        <v>0</v>
      </c>
      <c r="W4" s="2588"/>
      <c r="X4" s="2589"/>
      <c r="Y4" s="2589"/>
      <c r="Z4" s="2589"/>
      <c r="AA4" s="2589"/>
      <c r="AB4" s="2589"/>
      <c r="AC4" s="2589"/>
      <c r="AD4" s="2589"/>
      <c r="AE4" s="2589"/>
      <c r="AF4" s="2810"/>
      <c r="AG4" s="2810"/>
      <c r="AH4" s="2810"/>
      <c r="AI4" s="2810"/>
      <c r="AJ4" s="2589"/>
      <c r="AK4" s="2589"/>
      <c r="AL4" s="2810"/>
      <c r="AM4" s="2810"/>
      <c r="AN4" s="2589"/>
      <c r="AO4" s="2589"/>
      <c r="AP4" s="2589"/>
      <c r="AQ4" s="2589"/>
      <c r="AR4" s="2589"/>
      <c r="AS4" s="2589"/>
      <c r="AT4" s="2588">
        <v>0</v>
      </c>
      <c r="AU4" s="2810">
        <v>0</v>
      </c>
      <c r="AV4" s="2589"/>
      <c r="AW4" s="2589"/>
      <c r="AX4" s="2589"/>
      <c r="AY4" s="2589"/>
      <c r="AZ4" s="2588">
        <v>16996.823349574854</v>
      </c>
      <c r="BA4" s="2589">
        <v>5709.2051208560233</v>
      </c>
      <c r="BB4" s="2589">
        <v>301.11302187828414</v>
      </c>
      <c r="BC4" s="2589">
        <v>0</v>
      </c>
      <c r="BD4" s="2589">
        <v>10.318142734307823</v>
      </c>
      <c r="BE4" s="2589">
        <v>0.74042227954523743</v>
      </c>
      <c r="BF4" s="2589">
        <v>9499.6417311550576</v>
      </c>
      <c r="BG4" s="2589"/>
      <c r="BH4" s="2810">
        <v>111.1588802904366</v>
      </c>
      <c r="BI4" s="2589">
        <v>742.81073851151234</v>
      </c>
      <c r="BJ4" s="2810">
        <v>203.09066590235977</v>
      </c>
      <c r="BK4" s="2810">
        <v>177.43861660456673</v>
      </c>
      <c r="BL4" s="2589">
        <v>0</v>
      </c>
      <c r="BM4" s="2589">
        <v>241.32989395242188</v>
      </c>
      <c r="BN4" s="2589">
        <v>0</v>
      </c>
      <c r="BO4" s="2588">
        <v>515.14282984618319</v>
      </c>
      <c r="BP4" s="2589">
        <v>20.731823827266645</v>
      </c>
      <c r="BQ4" s="2589">
        <v>494.41100601891657</v>
      </c>
      <c r="BR4" s="2588">
        <v>14916.929397152957</v>
      </c>
      <c r="BS4" s="2588"/>
      <c r="BT4" s="2828"/>
    </row>
    <row r="5" spans="1:73">
      <c r="A5" s="2590" t="s">
        <v>1369</v>
      </c>
      <c r="B5" s="2591" t="s">
        <v>2832</v>
      </c>
      <c r="C5" s="2591"/>
      <c r="D5" s="2591"/>
      <c r="E5" s="2591"/>
      <c r="F5" s="2592" t="s">
        <v>2833</v>
      </c>
      <c r="G5" s="2592"/>
      <c r="H5" s="2593">
        <v>0</v>
      </c>
      <c r="I5" s="2594"/>
      <c r="J5" s="2595"/>
      <c r="K5" s="2595"/>
      <c r="L5" s="2595"/>
      <c r="M5" s="2595"/>
      <c r="N5" s="2595"/>
      <c r="O5" s="2595"/>
      <c r="P5" s="2595"/>
      <c r="Q5" s="2595"/>
      <c r="R5" s="2595"/>
      <c r="S5" s="2595"/>
      <c r="T5" s="2595"/>
      <c r="U5" s="2595"/>
      <c r="V5" s="2595"/>
      <c r="W5" s="2594">
        <v>0</v>
      </c>
      <c r="X5" s="2595"/>
      <c r="Y5" s="2595"/>
      <c r="Z5" s="2595"/>
      <c r="AA5" s="2595"/>
      <c r="AB5" s="2595"/>
      <c r="AC5" s="2595"/>
      <c r="AD5" s="2595"/>
      <c r="AE5" s="2595"/>
      <c r="AF5" s="2811"/>
      <c r="AG5" s="2811"/>
      <c r="AH5" s="2811"/>
      <c r="AI5" s="2811"/>
      <c r="AJ5" s="2595"/>
      <c r="AK5" s="2595"/>
      <c r="AL5" s="2811"/>
      <c r="AM5" s="2811">
        <v>0</v>
      </c>
      <c r="AN5" s="2595"/>
      <c r="AO5" s="2595"/>
      <c r="AP5" s="2595"/>
      <c r="AQ5" s="2595"/>
      <c r="AR5" s="2595"/>
      <c r="AS5" s="2595"/>
      <c r="AT5" s="2594"/>
      <c r="AU5" s="2811"/>
      <c r="AV5" s="2595"/>
      <c r="AW5" s="2595"/>
      <c r="AX5" s="2595"/>
      <c r="AY5" s="2595"/>
      <c r="AZ5" s="2594"/>
      <c r="BA5" s="2595"/>
      <c r="BB5" s="2595"/>
      <c r="BC5" s="2595"/>
      <c r="BD5" s="2595"/>
      <c r="BE5" s="2595"/>
      <c r="BF5" s="2595"/>
      <c r="BG5" s="2595"/>
      <c r="BH5" s="2811"/>
      <c r="BI5" s="2595"/>
      <c r="BJ5" s="2811"/>
      <c r="BK5" s="2811"/>
      <c r="BL5" s="2595"/>
      <c r="BM5" s="2595"/>
      <c r="BN5" s="2595"/>
      <c r="BO5" s="2594"/>
      <c r="BP5" s="2595"/>
      <c r="BQ5" s="2595"/>
      <c r="BR5" s="2594"/>
      <c r="BS5" s="2594"/>
      <c r="BT5" s="2829"/>
    </row>
    <row r="6" spans="1:73">
      <c r="A6" s="2590" t="s">
        <v>1369</v>
      </c>
      <c r="B6" s="2591" t="s">
        <v>2834</v>
      </c>
      <c r="C6" s="2591"/>
      <c r="D6" s="2591"/>
      <c r="E6" s="2591"/>
      <c r="F6" s="2592" t="s">
        <v>2835</v>
      </c>
      <c r="G6" s="2592"/>
      <c r="H6" s="2593">
        <v>88.277443393522489</v>
      </c>
      <c r="I6" s="2594">
        <v>0</v>
      </c>
      <c r="J6" s="2595">
        <v>0</v>
      </c>
      <c r="K6" s="2595">
        <v>0</v>
      </c>
      <c r="L6" s="2595">
        <v>0</v>
      </c>
      <c r="M6" s="2595">
        <v>0</v>
      </c>
      <c r="N6" s="2595">
        <v>0</v>
      </c>
      <c r="O6" s="2595">
        <v>0</v>
      </c>
      <c r="P6" s="2595">
        <v>0</v>
      </c>
      <c r="Q6" s="2595">
        <v>0</v>
      </c>
      <c r="R6" s="2595">
        <v>0</v>
      </c>
      <c r="S6" s="2595">
        <v>0</v>
      </c>
      <c r="T6" s="2595">
        <v>0</v>
      </c>
      <c r="U6" s="2595">
        <v>0</v>
      </c>
      <c r="V6" s="2595">
        <v>0</v>
      </c>
      <c r="W6" s="2594">
        <v>69.981847711856304</v>
      </c>
      <c r="X6" s="2595"/>
      <c r="Y6" s="2595"/>
      <c r="Z6" s="2595"/>
      <c r="AA6" s="2595">
        <v>69.981847711856304</v>
      </c>
      <c r="AB6" s="2595"/>
      <c r="AC6" s="2595"/>
      <c r="AD6" s="2595"/>
      <c r="AE6" s="2595"/>
      <c r="AF6" s="2811"/>
      <c r="AG6" s="2811"/>
      <c r="AH6" s="2811"/>
      <c r="AI6" s="2811"/>
      <c r="AJ6" s="2595"/>
      <c r="AK6" s="2595"/>
      <c r="AL6" s="2811"/>
      <c r="AM6" s="2811"/>
      <c r="AN6" s="2595"/>
      <c r="AO6" s="2595"/>
      <c r="AP6" s="2595"/>
      <c r="AQ6" s="2595"/>
      <c r="AR6" s="2595"/>
      <c r="AS6" s="2595"/>
      <c r="AT6" s="2594">
        <v>18.295595681666189</v>
      </c>
      <c r="AU6" s="2811">
        <v>0</v>
      </c>
      <c r="AV6" s="2595"/>
      <c r="AW6" s="2595"/>
      <c r="AX6" s="2595">
        <v>18.295595681666189</v>
      </c>
      <c r="AY6" s="2595">
        <v>0</v>
      </c>
      <c r="AZ6" s="2594"/>
      <c r="BA6" s="2595"/>
      <c r="BB6" s="2595"/>
      <c r="BC6" s="2595"/>
      <c r="BD6" s="2595"/>
      <c r="BE6" s="2595"/>
      <c r="BF6" s="2595"/>
      <c r="BG6" s="2595"/>
      <c r="BH6" s="2811"/>
      <c r="BI6" s="2595"/>
      <c r="BJ6" s="2811"/>
      <c r="BK6" s="2811"/>
      <c r="BL6" s="2595"/>
      <c r="BM6" s="2595"/>
      <c r="BN6" s="2595"/>
      <c r="BO6" s="2594"/>
      <c r="BP6" s="2595"/>
      <c r="BQ6" s="2595"/>
      <c r="BR6" s="2594"/>
      <c r="BS6" s="2594"/>
      <c r="BT6" s="2829"/>
    </row>
    <row r="7" spans="1:73">
      <c r="A7" s="2596"/>
      <c r="B7" s="2590" t="s">
        <v>1369</v>
      </c>
      <c r="C7" s="2591" t="s">
        <v>2836</v>
      </c>
      <c r="D7" s="2591"/>
      <c r="E7" s="2591"/>
      <c r="F7" s="2592" t="s">
        <v>2837</v>
      </c>
      <c r="G7" s="2592"/>
      <c r="H7" s="2593">
        <v>0</v>
      </c>
      <c r="I7" s="2594">
        <v>0</v>
      </c>
      <c r="J7" s="2595"/>
      <c r="K7" s="2595"/>
      <c r="L7" s="2595"/>
      <c r="M7" s="2595"/>
      <c r="N7" s="2595"/>
      <c r="O7" s="2595">
        <v>0</v>
      </c>
      <c r="P7" s="2595">
        <v>0</v>
      </c>
      <c r="Q7" s="2595">
        <v>0</v>
      </c>
      <c r="R7" s="2595">
        <v>0</v>
      </c>
      <c r="S7" s="2595">
        <v>0</v>
      </c>
      <c r="T7" s="2595"/>
      <c r="U7" s="2595">
        <v>0</v>
      </c>
      <c r="V7" s="2595">
        <v>0</v>
      </c>
      <c r="W7" s="2594"/>
      <c r="X7" s="2595"/>
      <c r="Y7" s="2595"/>
      <c r="Z7" s="2595"/>
      <c r="AA7" s="2595"/>
      <c r="AB7" s="2595"/>
      <c r="AC7" s="2595"/>
      <c r="AD7" s="2595"/>
      <c r="AE7" s="2595"/>
      <c r="AF7" s="2811"/>
      <c r="AG7" s="2811"/>
      <c r="AH7" s="2811"/>
      <c r="AI7" s="2811"/>
      <c r="AJ7" s="2595"/>
      <c r="AK7" s="2595"/>
      <c r="AL7" s="2811"/>
      <c r="AM7" s="2811"/>
      <c r="AN7" s="2595"/>
      <c r="AO7" s="2595"/>
      <c r="AP7" s="2595"/>
      <c r="AQ7" s="2595"/>
      <c r="AR7" s="2595"/>
      <c r="AS7" s="2595"/>
      <c r="AT7" s="2594">
        <v>0</v>
      </c>
      <c r="AU7" s="2811">
        <v>0</v>
      </c>
      <c r="AV7" s="2595">
        <v>0</v>
      </c>
      <c r="AW7" s="2595">
        <v>0</v>
      </c>
      <c r="AX7" s="2595">
        <v>0</v>
      </c>
      <c r="AY7" s="2595">
        <v>0</v>
      </c>
      <c r="AZ7" s="2594"/>
      <c r="BA7" s="2595"/>
      <c r="BB7" s="2595"/>
      <c r="BC7" s="2595"/>
      <c r="BD7" s="2595"/>
      <c r="BE7" s="2595"/>
      <c r="BF7" s="2595"/>
      <c r="BG7" s="2595"/>
      <c r="BH7" s="2811"/>
      <c r="BI7" s="2595"/>
      <c r="BJ7" s="2811"/>
      <c r="BK7" s="2811"/>
      <c r="BL7" s="2595"/>
      <c r="BM7" s="2595"/>
      <c r="BN7" s="2595"/>
      <c r="BO7" s="2594"/>
      <c r="BP7" s="2595"/>
      <c r="BQ7" s="2595"/>
      <c r="BR7" s="2594"/>
      <c r="BS7" s="2594"/>
      <c r="BT7" s="2829"/>
    </row>
    <row r="8" spans="1:73">
      <c r="A8" s="2596"/>
      <c r="B8" s="2590" t="s">
        <v>1369</v>
      </c>
      <c r="C8" s="2591" t="s">
        <v>2838</v>
      </c>
      <c r="D8" s="2591"/>
      <c r="E8" s="2591"/>
      <c r="F8" s="2592" t="s">
        <v>2839</v>
      </c>
      <c r="G8" s="2592"/>
      <c r="H8" s="2593">
        <v>0</v>
      </c>
      <c r="I8" s="2594">
        <v>0</v>
      </c>
      <c r="J8" s="2595"/>
      <c r="K8" s="2595"/>
      <c r="L8" s="2595"/>
      <c r="M8" s="2595"/>
      <c r="N8" s="2595"/>
      <c r="O8" s="2595">
        <v>0</v>
      </c>
      <c r="P8" s="2595">
        <v>0</v>
      </c>
      <c r="Q8" s="2595">
        <v>0</v>
      </c>
      <c r="R8" s="2595">
        <v>0</v>
      </c>
      <c r="S8" s="2595">
        <v>0</v>
      </c>
      <c r="T8" s="2595"/>
      <c r="U8" s="2595">
        <v>0</v>
      </c>
      <c r="V8" s="2595">
        <v>0</v>
      </c>
      <c r="W8" s="2594"/>
      <c r="X8" s="2595"/>
      <c r="Y8" s="2595"/>
      <c r="Z8" s="2595"/>
      <c r="AA8" s="2595"/>
      <c r="AB8" s="2595"/>
      <c r="AC8" s="2595"/>
      <c r="AD8" s="2595"/>
      <c r="AE8" s="2595"/>
      <c r="AF8" s="2811"/>
      <c r="AG8" s="2811"/>
      <c r="AH8" s="2811"/>
      <c r="AI8" s="2811"/>
      <c r="AJ8" s="2595"/>
      <c r="AK8" s="2595"/>
      <c r="AL8" s="2811"/>
      <c r="AM8" s="2811"/>
      <c r="AN8" s="2595"/>
      <c r="AO8" s="2595"/>
      <c r="AP8" s="2595"/>
      <c r="AQ8" s="2595"/>
      <c r="AR8" s="2595"/>
      <c r="AS8" s="2595"/>
      <c r="AT8" s="2594">
        <v>0</v>
      </c>
      <c r="AU8" s="2811"/>
      <c r="AV8" s="2595">
        <v>0</v>
      </c>
      <c r="AW8" s="2595">
        <v>0</v>
      </c>
      <c r="AX8" s="2595">
        <v>0</v>
      </c>
      <c r="AY8" s="2595">
        <v>0</v>
      </c>
      <c r="AZ8" s="2594"/>
      <c r="BA8" s="2595"/>
      <c r="BB8" s="2595"/>
      <c r="BC8" s="2595"/>
      <c r="BD8" s="2595"/>
      <c r="BE8" s="2595"/>
      <c r="BF8" s="2595"/>
      <c r="BG8" s="2595"/>
      <c r="BH8" s="2811"/>
      <c r="BI8" s="2595"/>
      <c r="BJ8" s="2811"/>
      <c r="BK8" s="2811"/>
      <c r="BL8" s="2595"/>
      <c r="BM8" s="2595"/>
      <c r="BN8" s="2595"/>
      <c r="BO8" s="2594"/>
      <c r="BP8" s="2595"/>
      <c r="BQ8" s="2595"/>
      <c r="BR8" s="2594"/>
      <c r="BS8" s="2594"/>
      <c r="BT8" s="2829"/>
    </row>
    <row r="9" spans="1:73">
      <c r="A9" s="2596"/>
      <c r="B9" s="2590" t="s">
        <v>1369</v>
      </c>
      <c r="C9" s="2591" t="s">
        <v>2840</v>
      </c>
      <c r="D9" s="2591"/>
      <c r="E9" s="2591"/>
      <c r="F9" s="2592" t="s">
        <v>2841</v>
      </c>
      <c r="G9" s="2592"/>
      <c r="H9" s="2593">
        <v>69.981847711856304</v>
      </c>
      <c r="I9" s="2594">
        <v>0</v>
      </c>
      <c r="J9" s="2595"/>
      <c r="K9" s="2595"/>
      <c r="L9" s="2595"/>
      <c r="M9" s="2595"/>
      <c r="N9" s="2595"/>
      <c r="O9" s="2595">
        <v>0</v>
      </c>
      <c r="P9" s="2595">
        <v>0</v>
      </c>
      <c r="Q9" s="2595">
        <v>0</v>
      </c>
      <c r="R9" s="2595">
        <v>0</v>
      </c>
      <c r="S9" s="2595">
        <v>0</v>
      </c>
      <c r="T9" s="2595"/>
      <c r="U9" s="2595">
        <v>0</v>
      </c>
      <c r="V9" s="2595">
        <v>0</v>
      </c>
      <c r="W9" s="2594">
        <v>69.981847711856304</v>
      </c>
      <c r="X9" s="2595"/>
      <c r="Y9" s="2595"/>
      <c r="Z9" s="2595"/>
      <c r="AA9" s="2595">
        <v>69.981847711856304</v>
      </c>
      <c r="AB9" s="2595"/>
      <c r="AC9" s="2595"/>
      <c r="AD9" s="2595"/>
      <c r="AE9" s="2595"/>
      <c r="AF9" s="2811"/>
      <c r="AG9" s="2811"/>
      <c r="AH9" s="2811"/>
      <c r="AI9" s="2811"/>
      <c r="AJ9" s="2595"/>
      <c r="AK9" s="2595"/>
      <c r="AL9" s="2811"/>
      <c r="AM9" s="2811"/>
      <c r="AN9" s="2595"/>
      <c r="AO9" s="2595"/>
      <c r="AP9" s="2595"/>
      <c r="AQ9" s="2595"/>
      <c r="AR9" s="2595"/>
      <c r="AS9" s="2595"/>
      <c r="AT9" s="2594">
        <v>0</v>
      </c>
      <c r="AU9" s="2811">
        <v>0</v>
      </c>
      <c r="AV9" s="2595">
        <v>0</v>
      </c>
      <c r="AW9" s="2595">
        <v>0</v>
      </c>
      <c r="AX9" s="2595">
        <v>0</v>
      </c>
      <c r="AY9" s="2595">
        <v>0</v>
      </c>
      <c r="AZ9" s="2594"/>
      <c r="BA9" s="2595"/>
      <c r="BB9" s="2595"/>
      <c r="BC9" s="2595"/>
      <c r="BD9" s="2595"/>
      <c r="BE9" s="2595"/>
      <c r="BF9" s="2595"/>
      <c r="BG9" s="2595"/>
      <c r="BH9" s="2811"/>
      <c r="BI9" s="2595"/>
      <c r="BJ9" s="2811"/>
      <c r="BK9" s="2811"/>
      <c r="BL9" s="2595"/>
      <c r="BM9" s="2595"/>
      <c r="BN9" s="2595"/>
      <c r="BO9" s="2594"/>
      <c r="BP9" s="2595"/>
      <c r="BQ9" s="2595"/>
      <c r="BR9" s="2594"/>
      <c r="BS9" s="2594"/>
      <c r="BT9" s="2829"/>
    </row>
    <row r="10" spans="1:73">
      <c r="A10" s="2596"/>
      <c r="B10" s="2590" t="s">
        <v>1369</v>
      </c>
      <c r="C10" s="2591" t="s">
        <v>2842</v>
      </c>
      <c r="D10" s="2591"/>
      <c r="E10" s="2591"/>
      <c r="F10" s="2592" t="s">
        <v>2843</v>
      </c>
      <c r="G10" s="2592"/>
      <c r="H10" s="2593">
        <v>0</v>
      </c>
      <c r="I10" s="2594"/>
      <c r="J10" s="2595"/>
      <c r="K10" s="2595"/>
      <c r="L10" s="2595"/>
      <c r="M10" s="2595"/>
      <c r="N10" s="2595"/>
      <c r="O10" s="2595"/>
      <c r="P10" s="2595"/>
      <c r="Q10" s="2595"/>
      <c r="R10" s="2595"/>
      <c r="S10" s="2595"/>
      <c r="T10" s="2595"/>
      <c r="U10" s="2595"/>
      <c r="V10" s="2595"/>
      <c r="W10" s="2594"/>
      <c r="X10" s="2595"/>
      <c r="Y10" s="2595"/>
      <c r="Z10" s="2595"/>
      <c r="AA10" s="2595"/>
      <c r="AB10" s="2595"/>
      <c r="AC10" s="2595"/>
      <c r="AD10" s="2595"/>
      <c r="AE10" s="2595"/>
      <c r="AF10" s="2811"/>
      <c r="AG10" s="2811"/>
      <c r="AH10" s="2811"/>
      <c r="AI10" s="2811"/>
      <c r="AJ10" s="2595"/>
      <c r="AK10" s="2595"/>
      <c r="AL10" s="2811"/>
      <c r="AM10" s="2811"/>
      <c r="AN10" s="2595"/>
      <c r="AO10" s="2595"/>
      <c r="AP10" s="2595"/>
      <c r="AQ10" s="2595"/>
      <c r="AR10" s="2595"/>
      <c r="AS10" s="2595"/>
      <c r="AT10" s="2594">
        <v>0</v>
      </c>
      <c r="AU10" s="2811">
        <v>0</v>
      </c>
      <c r="AV10" s="2595"/>
      <c r="AW10" s="2595"/>
      <c r="AX10" s="2595"/>
      <c r="AY10" s="2595"/>
      <c r="AZ10" s="2594"/>
      <c r="BA10" s="2595"/>
      <c r="BB10" s="2595"/>
      <c r="BC10" s="2595"/>
      <c r="BD10" s="2595"/>
      <c r="BE10" s="2595"/>
      <c r="BF10" s="2595"/>
      <c r="BG10" s="2595"/>
      <c r="BH10" s="2811"/>
      <c r="BI10" s="2595"/>
      <c r="BJ10" s="2811"/>
      <c r="BK10" s="2811"/>
      <c r="BL10" s="2595"/>
      <c r="BM10" s="2595"/>
      <c r="BN10" s="2595"/>
      <c r="BO10" s="2594"/>
      <c r="BP10" s="2595"/>
      <c r="BQ10" s="2595"/>
      <c r="BR10" s="2594"/>
      <c r="BS10" s="2594"/>
      <c r="BT10" s="2829"/>
    </row>
    <row r="11" spans="1:73">
      <c r="A11" s="2590" t="s">
        <v>1369</v>
      </c>
      <c r="B11" s="2591" t="s">
        <v>2844</v>
      </c>
      <c r="C11" s="2591"/>
      <c r="D11" s="2591"/>
      <c r="E11" s="2591"/>
      <c r="F11" s="2592" t="s">
        <v>2845</v>
      </c>
      <c r="G11" s="2592"/>
      <c r="H11" s="2593">
        <v>0</v>
      </c>
      <c r="I11" s="2594"/>
      <c r="J11" s="2595"/>
      <c r="K11" s="2595"/>
      <c r="L11" s="2595"/>
      <c r="M11" s="2595"/>
      <c r="N11" s="2595"/>
      <c r="O11" s="2595"/>
      <c r="P11" s="2595"/>
      <c r="Q11" s="2595"/>
      <c r="R11" s="2595"/>
      <c r="S11" s="2595"/>
      <c r="T11" s="2595"/>
      <c r="U11" s="2595"/>
      <c r="V11" s="2595"/>
      <c r="W11" s="2594">
        <v>0</v>
      </c>
      <c r="X11" s="2595"/>
      <c r="Y11" s="2595"/>
      <c r="Z11" s="2595"/>
      <c r="AA11" s="2595"/>
      <c r="AB11" s="2595"/>
      <c r="AC11" s="2595"/>
      <c r="AD11" s="2595"/>
      <c r="AE11" s="2595"/>
      <c r="AF11" s="2811"/>
      <c r="AG11" s="2811"/>
      <c r="AH11" s="2811"/>
      <c r="AI11" s="2811"/>
      <c r="AJ11" s="2595"/>
      <c r="AK11" s="2595"/>
      <c r="AL11" s="2811">
        <v>0</v>
      </c>
      <c r="AM11" s="2811">
        <v>0</v>
      </c>
      <c r="AN11" s="2595"/>
      <c r="AO11" s="2595"/>
      <c r="AP11" s="2595"/>
      <c r="AQ11" s="2595"/>
      <c r="AR11" s="2595"/>
      <c r="AS11" s="2595"/>
      <c r="AT11" s="2594"/>
      <c r="AU11" s="2811"/>
      <c r="AV11" s="2595"/>
      <c r="AW11" s="2595"/>
      <c r="AX11" s="2595"/>
      <c r="AY11" s="2595"/>
      <c r="AZ11" s="2594"/>
      <c r="BA11" s="2595"/>
      <c r="BB11" s="2595"/>
      <c r="BC11" s="2595"/>
      <c r="BD11" s="2595"/>
      <c r="BE11" s="2595"/>
      <c r="BF11" s="2595"/>
      <c r="BG11" s="2595"/>
      <c r="BH11" s="2811"/>
      <c r="BI11" s="2595"/>
      <c r="BJ11" s="2811"/>
      <c r="BK11" s="2811"/>
      <c r="BL11" s="2595"/>
      <c r="BM11" s="2595"/>
      <c r="BN11" s="2595"/>
      <c r="BO11" s="2594"/>
      <c r="BP11" s="2595"/>
      <c r="BQ11" s="2595"/>
      <c r="BR11" s="2594"/>
      <c r="BS11" s="2594"/>
      <c r="BT11" s="2829"/>
    </row>
    <row r="12" spans="1:73">
      <c r="A12" s="2590" t="s">
        <v>1369</v>
      </c>
      <c r="B12" s="2591" t="s">
        <v>2846</v>
      </c>
      <c r="C12" s="2591"/>
      <c r="D12" s="2591"/>
      <c r="E12" s="2591"/>
      <c r="F12" s="2592" t="s">
        <v>2847</v>
      </c>
      <c r="G12" s="2592"/>
      <c r="H12" s="2593">
        <v>33259.935989299702</v>
      </c>
      <c r="I12" s="2594">
        <v>2570.9850004776918</v>
      </c>
      <c r="J12" s="2595">
        <v>0</v>
      </c>
      <c r="K12" s="2595">
        <v>1617.9421037546574</v>
      </c>
      <c r="L12" s="2595">
        <v>672.11235310977349</v>
      </c>
      <c r="M12" s="2595">
        <v>0</v>
      </c>
      <c r="N12" s="2595">
        <v>0</v>
      </c>
      <c r="O12" s="2595">
        <v>0</v>
      </c>
      <c r="P12" s="2595">
        <v>168.14751122575714</v>
      </c>
      <c r="Q12" s="2595">
        <v>0</v>
      </c>
      <c r="R12" s="2595">
        <v>0</v>
      </c>
      <c r="S12" s="2595">
        <v>0</v>
      </c>
      <c r="T12" s="2595">
        <v>112.80691697716632</v>
      </c>
      <c r="U12" s="2595">
        <v>0</v>
      </c>
      <c r="V12" s="2595">
        <v>0</v>
      </c>
      <c r="W12" s="2594">
        <v>27939.165950128976</v>
      </c>
      <c r="X12" s="2595">
        <v>19616.007451991973</v>
      </c>
      <c r="Y12" s="2595"/>
      <c r="Z12" s="2595">
        <v>374.08044329798412</v>
      </c>
      <c r="AA12" s="2595">
        <v>1.0031527658354829</v>
      </c>
      <c r="AB12" s="2595"/>
      <c r="AC12" s="2595"/>
      <c r="AD12" s="2595">
        <v>394.883920894239</v>
      </c>
      <c r="AE12" s="2595">
        <v>994.31546766026554</v>
      </c>
      <c r="AF12" s="2811">
        <v>1992.5480080252221</v>
      </c>
      <c r="AG12" s="2811">
        <v>4.2036877806439286</v>
      </c>
      <c r="AH12" s="2811"/>
      <c r="AI12" s="2811">
        <v>690.16910289481223</v>
      </c>
      <c r="AJ12" s="2595">
        <v>2.0540747109964648</v>
      </c>
      <c r="AK12" s="2595">
        <v>521.25728479984707</v>
      </c>
      <c r="AL12" s="2811">
        <v>2190.6945638673928</v>
      </c>
      <c r="AM12" s="2811">
        <v>1001.2419986624629</v>
      </c>
      <c r="AN12" s="2595">
        <v>1.0509219451609821</v>
      </c>
      <c r="AO12" s="2595">
        <v>53.167096589280597</v>
      </c>
      <c r="AP12" s="2595">
        <v>94.081398681570647</v>
      </c>
      <c r="AQ12" s="2595">
        <v>8.4073755612878571</v>
      </c>
      <c r="AR12" s="2595"/>
      <c r="AS12" s="2595"/>
      <c r="AT12" s="2594">
        <v>1465.940575140919</v>
      </c>
      <c r="AU12" s="2811">
        <v>1465.940575140919</v>
      </c>
      <c r="AV12" s="2595"/>
      <c r="AW12" s="2595"/>
      <c r="AX12" s="2595"/>
      <c r="AY12" s="2595"/>
      <c r="AZ12" s="2594">
        <v>0</v>
      </c>
      <c r="BA12" s="2595"/>
      <c r="BB12" s="2595"/>
      <c r="BC12" s="2595"/>
      <c r="BD12" s="2595">
        <v>0</v>
      </c>
      <c r="BE12" s="2595"/>
      <c r="BF12" s="2595">
        <v>0</v>
      </c>
      <c r="BG12" s="2595">
        <v>0</v>
      </c>
      <c r="BH12" s="2811">
        <v>0</v>
      </c>
      <c r="BI12" s="2595">
        <v>0</v>
      </c>
      <c r="BJ12" s="2811">
        <v>0</v>
      </c>
      <c r="BK12" s="2811">
        <v>0</v>
      </c>
      <c r="BL12" s="2595">
        <v>0</v>
      </c>
      <c r="BM12" s="2595">
        <v>0</v>
      </c>
      <c r="BN12" s="2595">
        <v>0</v>
      </c>
      <c r="BO12" s="2594">
        <v>0</v>
      </c>
      <c r="BP12" s="2595">
        <v>0</v>
      </c>
      <c r="BQ12" s="2595">
        <v>0</v>
      </c>
      <c r="BR12" s="2594"/>
      <c r="BS12" s="2594">
        <v>0</v>
      </c>
      <c r="BT12" s="2829">
        <v>1283.8444635521162</v>
      </c>
    </row>
    <row r="13" spans="1:73">
      <c r="A13" s="2590" t="s">
        <v>1369</v>
      </c>
      <c r="B13" s="2591" t="s">
        <v>2848</v>
      </c>
      <c r="C13" s="2591"/>
      <c r="D13" s="2591"/>
      <c r="E13" s="2591"/>
      <c r="F13" s="2592" t="s">
        <v>2849</v>
      </c>
      <c r="G13" s="2592"/>
      <c r="H13" s="2593">
        <v>743.31231489443007</v>
      </c>
      <c r="I13" s="2594">
        <v>-293.49383777586701</v>
      </c>
      <c r="J13" s="2595">
        <v>0</v>
      </c>
      <c r="K13" s="2595">
        <v>-279.44969905417025</v>
      </c>
      <c r="L13" s="2595">
        <v>-22.90532148657686</v>
      </c>
      <c r="M13" s="2595">
        <v>0</v>
      </c>
      <c r="N13" s="2595">
        <v>0</v>
      </c>
      <c r="O13" s="2595">
        <v>0</v>
      </c>
      <c r="P13" s="2595">
        <v>8.8372981752173487</v>
      </c>
      <c r="Q13" s="2595">
        <v>0</v>
      </c>
      <c r="R13" s="2595">
        <v>0</v>
      </c>
      <c r="S13" s="2595">
        <v>0</v>
      </c>
      <c r="T13" s="2595">
        <v>0</v>
      </c>
      <c r="U13" s="2595">
        <v>0</v>
      </c>
      <c r="V13" s="2595">
        <v>0</v>
      </c>
      <c r="W13" s="2594">
        <v>1036.806152670297</v>
      </c>
      <c r="X13" s="2595">
        <v>197.52555651093914</v>
      </c>
      <c r="Y13" s="2595"/>
      <c r="Z13" s="2595">
        <v>21.13786185153339</v>
      </c>
      <c r="AA13" s="2595"/>
      <c r="AB13" s="2595"/>
      <c r="AC13" s="2595"/>
      <c r="AD13" s="2595"/>
      <c r="AE13" s="2595">
        <v>109.86911244864812</v>
      </c>
      <c r="AF13" s="2811">
        <v>49.321677653577908</v>
      </c>
      <c r="AG13" s="2811"/>
      <c r="AH13" s="2811"/>
      <c r="AI13" s="2811">
        <v>35.94630744243814</v>
      </c>
      <c r="AJ13" s="2595"/>
      <c r="AK13" s="2595">
        <v>17.865673067736694</v>
      </c>
      <c r="AL13" s="2811">
        <v>445.73421228623289</v>
      </c>
      <c r="AM13" s="2811">
        <v>122.28909907327791</v>
      </c>
      <c r="AN13" s="2595"/>
      <c r="AO13" s="2595">
        <v>8.0252221266838628</v>
      </c>
      <c r="AP13" s="2595">
        <v>13.040985955861277</v>
      </c>
      <c r="AQ13" s="2595">
        <v>16.050444253367726</v>
      </c>
      <c r="AR13" s="2595"/>
      <c r="AS13" s="2595"/>
      <c r="AT13" s="2594">
        <v>0</v>
      </c>
      <c r="AU13" s="2811">
        <v>0</v>
      </c>
      <c r="AV13" s="2595">
        <v>0</v>
      </c>
      <c r="AW13" s="2595">
        <v>0</v>
      </c>
      <c r="AX13" s="2595">
        <v>0</v>
      </c>
      <c r="AY13" s="2595">
        <v>0</v>
      </c>
      <c r="AZ13" s="2594">
        <v>0</v>
      </c>
      <c r="BA13" s="2595"/>
      <c r="BB13" s="2595"/>
      <c r="BC13" s="2595"/>
      <c r="BD13" s="2595"/>
      <c r="BE13" s="2595"/>
      <c r="BF13" s="2595">
        <v>0</v>
      </c>
      <c r="BG13" s="2595">
        <v>0</v>
      </c>
      <c r="BH13" s="2811">
        <v>0</v>
      </c>
      <c r="BI13" s="2595">
        <v>0</v>
      </c>
      <c r="BJ13" s="2811">
        <v>0</v>
      </c>
      <c r="BK13" s="2811">
        <v>0</v>
      </c>
      <c r="BL13" s="2595">
        <v>0</v>
      </c>
      <c r="BM13" s="2595">
        <v>0</v>
      </c>
      <c r="BN13" s="2595"/>
      <c r="BO13" s="2594">
        <v>0</v>
      </c>
      <c r="BP13" s="2595">
        <v>0</v>
      </c>
      <c r="BQ13" s="2595">
        <v>0</v>
      </c>
      <c r="BR13" s="2594"/>
      <c r="BS13" s="2594"/>
      <c r="BT13" s="2829"/>
    </row>
    <row r="14" spans="1:73">
      <c r="A14" s="2590" t="s">
        <v>390</v>
      </c>
      <c r="B14" s="2591" t="s">
        <v>2850</v>
      </c>
      <c r="C14" s="2591"/>
      <c r="D14" s="2591"/>
      <c r="E14" s="2591"/>
      <c r="F14" s="2592" t="s">
        <v>2851</v>
      </c>
      <c r="G14" s="2592"/>
      <c r="H14" s="2593">
        <v>13965.773383013278</v>
      </c>
      <c r="I14" s="2594">
        <v>23.120282793541605</v>
      </c>
      <c r="J14" s="2595">
        <v>0</v>
      </c>
      <c r="K14" s="2595">
        <v>0</v>
      </c>
      <c r="L14" s="2595">
        <v>0.64488392089423896</v>
      </c>
      <c r="M14" s="2595">
        <v>0</v>
      </c>
      <c r="N14" s="2595">
        <v>0</v>
      </c>
      <c r="O14" s="2595">
        <v>0</v>
      </c>
      <c r="P14" s="2595">
        <v>22.451514282984618</v>
      </c>
      <c r="Q14" s="2595">
        <v>0</v>
      </c>
      <c r="R14" s="2595">
        <v>0</v>
      </c>
      <c r="S14" s="2595">
        <v>0</v>
      </c>
      <c r="T14" s="2595">
        <v>0</v>
      </c>
      <c r="U14" s="2595">
        <v>0</v>
      </c>
      <c r="V14" s="2595">
        <v>0</v>
      </c>
      <c r="W14" s="2594">
        <v>12837.48925193465</v>
      </c>
      <c r="X14" s="2595"/>
      <c r="Y14" s="2595"/>
      <c r="Z14" s="2595">
        <v>851.74835196331321</v>
      </c>
      <c r="AA14" s="2595"/>
      <c r="AB14" s="2595"/>
      <c r="AC14" s="2595"/>
      <c r="AD14" s="2595"/>
      <c r="AE14" s="2595">
        <v>468.04241903124102</v>
      </c>
      <c r="AF14" s="2811">
        <v>2287.4749211808539</v>
      </c>
      <c r="AG14" s="2811">
        <v>1.0509219451609821</v>
      </c>
      <c r="AH14" s="2811"/>
      <c r="AI14" s="2811">
        <v>30.811120664946976</v>
      </c>
      <c r="AJ14" s="2595">
        <v>3.0811120664946974</v>
      </c>
      <c r="AK14" s="2595">
        <v>242.76296933218686</v>
      </c>
      <c r="AL14" s="2811">
        <v>4702.1113977261866</v>
      </c>
      <c r="AM14" s="2811">
        <v>3465.1762682717108</v>
      </c>
      <c r="AN14" s="2595"/>
      <c r="AO14" s="2595">
        <v>339.0656348523932</v>
      </c>
      <c r="AP14" s="2595">
        <v>446.18801948982514</v>
      </c>
      <c r="AQ14" s="2595"/>
      <c r="AR14" s="2595"/>
      <c r="AS14" s="2595"/>
      <c r="AT14" s="2594">
        <v>0</v>
      </c>
      <c r="AU14" s="2811">
        <v>0</v>
      </c>
      <c r="AV14" s="2595"/>
      <c r="AW14" s="2595"/>
      <c r="AX14" s="2595"/>
      <c r="AY14" s="2595"/>
      <c r="AZ14" s="2594">
        <v>0</v>
      </c>
      <c r="BA14" s="2595"/>
      <c r="BB14" s="2595"/>
      <c r="BC14" s="2595"/>
      <c r="BD14" s="2595">
        <v>0</v>
      </c>
      <c r="BE14" s="2595"/>
      <c r="BF14" s="2595">
        <v>0</v>
      </c>
      <c r="BG14" s="2595">
        <v>0</v>
      </c>
      <c r="BH14" s="2811">
        <v>0</v>
      </c>
      <c r="BI14" s="2595">
        <v>0</v>
      </c>
      <c r="BJ14" s="2811">
        <v>0</v>
      </c>
      <c r="BK14" s="2811">
        <v>0</v>
      </c>
      <c r="BL14" s="2595">
        <v>0</v>
      </c>
      <c r="BM14" s="2595">
        <v>0</v>
      </c>
      <c r="BN14" s="2595">
        <v>0</v>
      </c>
      <c r="BO14" s="2594">
        <v>0</v>
      </c>
      <c r="BP14" s="2595">
        <v>0</v>
      </c>
      <c r="BQ14" s="2595">
        <v>0</v>
      </c>
      <c r="BR14" s="2594"/>
      <c r="BS14" s="2594">
        <v>0</v>
      </c>
      <c r="BT14" s="2829">
        <v>1105.1638482850865</v>
      </c>
    </row>
    <row r="15" spans="1:73" s="2646" customFormat="1">
      <c r="A15" s="2648" t="s">
        <v>390</v>
      </c>
      <c r="B15" s="2649" t="s">
        <v>2852</v>
      </c>
      <c r="C15" s="2649"/>
      <c r="D15" s="2649"/>
      <c r="E15" s="2649"/>
      <c r="F15" s="2650" t="s">
        <v>2853</v>
      </c>
      <c r="G15" s="2650"/>
      <c r="H15" s="2651">
        <v>1939.5003343842552</v>
      </c>
      <c r="I15" s="2652">
        <v>0</v>
      </c>
      <c r="J15" s="2651">
        <v>0</v>
      </c>
      <c r="K15" s="2651">
        <v>0</v>
      </c>
      <c r="L15" s="2651">
        <v>0</v>
      </c>
      <c r="M15" s="2651">
        <v>0</v>
      </c>
      <c r="N15" s="2651">
        <v>0</v>
      </c>
      <c r="O15" s="2651">
        <v>0</v>
      </c>
      <c r="P15" s="2651">
        <v>0</v>
      </c>
      <c r="Q15" s="2651">
        <v>0</v>
      </c>
      <c r="R15" s="2651">
        <v>0</v>
      </c>
      <c r="S15" s="2651">
        <v>0</v>
      </c>
      <c r="T15" s="2651">
        <v>0</v>
      </c>
      <c r="U15" s="2651">
        <v>0</v>
      </c>
      <c r="V15" s="2651">
        <v>0</v>
      </c>
      <c r="W15" s="2652">
        <v>1939.5003343842552</v>
      </c>
      <c r="X15" s="2651"/>
      <c r="Y15" s="2651"/>
      <c r="Z15" s="2651"/>
      <c r="AA15" s="2651"/>
      <c r="AB15" s="2651"/>
      <c r="AC15" s="2651"/>
      <c r="AD15" s="2651"/>
      <c r="AE15" s="2651"/>
      <c r="AF15" s="2811"/>
      <c r="AG15" s="2811"/>
      <c r="AH15" s="2811"/>
      <c r="AI15" s="2811"/>
      <c r="AJ15" s="2651"/>
      <c r="AK15" s="2651"/>
      <c r="AL15" s="2811">
        <v>183.40976402025413</v>
      </c>
      <c r="AM15" s="2811">
        <v>1754.0842648323301</v>
      </c>
      <c r="AN15" s="2651"/>
      <c r="AO15" s="2651">
        <v>2.0063055316709657</v>
      </c>
      <c r="AP15" s="2651"/>
      <c r="AQ15" s="2651"/>
      <c r="AR15" s="2651"/>
      <c r="AS15" s="2651"/>
      <c r="AT15" s="2652">
        <v>0</v>
      </c>
      <c r="AU15" s="2811">
        <v>0</v>
      </c>
      <c r="AV15" s="2651"/>
      <c r="AW15" s="2651"/>
      <c r="AX15" s="2651"/>
      <c r="AY15" s="2651"/>
      <c r="AZ15" s="2652"/>
      <c r="BA15" s="2651"/>
      <c r="BB15" s="2651"/>
      <c r="BC15" s="2651"/>
      <c r="BD15" s="2651"/>
      <c r="BE15" s="2651"/>
      <c r="BF15" s="2651"/>
      <c r="BG15" s="2651"/>
      <c r="BH15" s="2811"/>
      <c r="BI15" s="2651"/>
      <c r="BJ15" s="2811"/>
      <c r="BK15" s="2811"/>
      <c r="BL15" s="2651"/>
      <c r="BM15" s="2651"/>
      <c r="BN15" s="2651"/>
      <c r="BO15" s="2652"/>
      <c r="BP15" s="2651"/>
      <c r="BQ15" s="2651"/>
      <c r="BR15" s="2652"/>
      <c r="BS15" s="2652"/>
      <c r="BT15" s="2829"/>
    </row>
    <row r="16" spans="1:73">
      <c r="A16" s="2597" t="s">
        <v>390</v>
      </c>
      <c r="B16" s="2598" t="s">
        <v>2854</v>
      </c>
      <c r="C16" s="2598"/>
      <c r="D16" s="2598"/>
      <c r="E16" s="2598"/>
      <c r="F16" s="2599" t="s">
        <v>2855</v>
      </c>
      <c r="G16" s="2599"/>
      <c r="H16" s="2600">
        <v>69.981847711856304</v>
      </c>
      <c r="I16" s="2601"/>
      <c r="J16" s="2602"/>
      <c r="K16" s="2602"/>
      <c r="L16" s="2602"/>
      <c r="M16" s="2602"/>
      <c r="N16" s="2602"/>
      <c r="O16" s="2602"/>
      <c r="P16" s="2602"/>
      <c r="Q16" s="2602"/>
      <c r="R16" s="2602"/>
      <c r="S16" s="2602"/>
      <c r="T16" s="2602"/>
      <c r="U16" s="2602"/>
      <c r="V16" s="2602"/>
      <c r="W16" s="2601">
        <v>69.981847711856304</v>
      </c>
      <c r="X16" s="2602"/>
      <c r="Y16" s="2602"/>
      <c r="Z16" s="2602"/>
      <c r="AA16" s="2602">
        <v>69.981847711856304</v>
      </c>
      <c r="AB16" s="2602"/>
      <c r="AC16" s="2602"/>
      <c r="AD16" s="2602"/>
      <c r="AE16" s="2602"/>
      <c r="AF16" s="2812"/>
      <c r="AG16" s="2812"/>
      <c r="AH16" s="2812"/>
      <c r="AI16" s="2812"/>
      <c r="AJ16" s="2602"/>
      <c r="AK16" s="2602"/>
      <c r="AL16" s="2812"/>
      <c r="AM16" s="2812"/>
      <c r="AN16" s="2602"/>
      <c r="AO16" s="2602"/>
      <c r="AP16" s="2602"/>
      <c r="AQ16" s="2602"/>
      <c r="AR16" s="2602"/>
      <c r="AS16" s="2602"/>
      <c r="AT16" s="2601"/>
      <c r="AU16" s="2812"/>
      <c r="AV16" s="2602"/>
      <c r="AW16" s="2602"/>
      <c r="AX16" s="2602"/>
      <c r="AY16" s="2602"/>
      <c r="AZ16" s="2601"/>
      <c r="BA16" s="2602"/>
      <c r="BB16" s="2602"/>
      <c r="BC16" s="2602"/>
      <c r="BD16" s="2602"/>
      <c r="BE16" s="2602"/>
      <c r="BF16" s="2602"/>
      <c r="BG16" s="2602"/>
      <c r="BH16" s="2812"/>
      <c r="BI16" s="2602"/>
      <c r="BJ16" s="2812"/>
      <c r="BK16" s="2812"/>
      <c r="BL16" s="2602"/>
      <c r="BM16" s="2602"/>
      <c r="BN16" s="2602"/>
      <c r="BO16" s="2601"/>
      <c r="BP16" s="2602"/>
      <c r="BQ16" s="2602"/>
      <c r="BR16" s="2601"/>
      <c r="BS16" s="2601"/>
      <c r="BT16" s="2830"/>
    </row>
    <row r="17" spans="1:72">
      <c r="A17" s="2603" t="s">
        <v>2856</v>
      </c>
      <c r="B17" s="2603"/>
      <c r="C17" s="2603"/>
      <c r="D17" s="2603"/>
      <c r="E17" s="2603"/>
      <c r="F17" s="2604" t="s">
        <v>2857</v>
      </c>
      <c r="G17" s="2604"/>
      <c r="H17" s="2605">
        <v>50783.104041272571</v>
      </c>
      <c r="I17" s="2606">
        <v>2492.3091621285944</v>
      </c>
      <c r="J17" s="2607">
        <v>0</v>
      </c>
      <c r="K17" s="2607">
        <v>1338.4924047004872</v>
      </c>
      <c r="L17" s="2607">
        <v>648.5382631126397</v>
      </c>
      <c r="M17" s="2607">
        <v>0</v>
      </c>
      <c r="N17" s="2607">
        <v>0</v>
      </c>
      <c r="O17" s="2607">
        <v>0</v>
      </c>
      <c r="P17" s="2607">
        <v>154.53329511798987</v>
      </c>
      <c r="Q17" s="2607">
        <v>0</v>
      </c>
      <c r="R17" s="2607">
        <v>0</v>
      </c>
      <c r="S17" s="2607">
        <v>0</v>
      </c>
      <c r="T17" s="2607">
        <v>350.76908378714052</v>
      </c>
      <c r="U17" s="2607">
        <v>0</v>
      </c>
      <c r="V17" s="2607">
        <v>0</v>
      </c>
      <c r="W17" s="2606">
        <v>14198.982516480366</v>
      </c>
      <c r="X17" s="2607">
        <v>19813.533008502913</v>
      </c>
      <c r="Y17" s="2607"/>
      <c r="Z17" s="2607">
        <v>-456.50616222413299</v>
      </c>
      <c r="AA17" s="2607">
        <v>1.0031527658354829</v>
      </c>
      <c r="AB17" s="2607"/>
      <c r="AC17" s="2607"/>
      <c r="AD17" s="2607">
        <v>394.883920894239</v>
      </c>
      <c r="AE17" s="2607">
        <v>636.14216107767265</v>
      </c>
      <c r="AF17" s="2813">
        <v>-245.58135091239131</v>
      </c>
      <c r="AG17" s="2813">
        <v>3.1527658354829464</v>
      </c>
      <c r="AH17" s="2813"/>
      <c r="AI17" s="2813">
        <v>695.30428967230341</v>
      </c>
      <c r="AJ17" s="2607">
        <v>-1.0270373554982324</v>
      </c>
      <c r="AK17" s="2607">
        <v>296.35998853539695</v>
      </c>
      <c r="AL17" s="2813">
        <v>-2249.1162701824783</v>
      </c>
      <c r="AM17" s="2813">
        <v>-4095.7294353683001</v>
      </c>
      <c r="AN17" s="2607">
        <v>1.0509219451609821</v>
      </c>
      <c r="AO17" s="2607">
        <v>-279.87962166809973</v>
      </c>
      <c r="AP17" s="2607">
        <v>-339.0656348523932</v>
      </c>
      <c r="AQ17" s="2607">
        <v>24.457819814655583</v>
      </c>
      <c r="AR17" s="2607"/>
      <c r="AS17" s="2607"/>
      <c r="AT17" s="2606">
        <v>1484.2122862329225</v>
      </c>
      <c r="AU17" s="2813">
        <v>1465.940575140919</v>
      </c>
      <c r="AV17" s="2607">
        <v>0</v>
      </c>
      <c r="AW17" s="2607">
        <v>0</v>
      </c>
      <c r="AX17" s="2607">
        <v>18.295595681666189</v>
      </c>
      <c r="AY17" s="2607">
        <v>0</v>
      </c>
      <c r="AZ17" s="2606">
        <v>16996.823349574854</v>
      </c>
      <c r="BA17" s="2607">
        <v>5709.2051208560233</v>
      </c>
      <c r="BB17" s="2607">
        <v>301.11302187828414</v>
      </c>
      <c r="BC17" s="2607">
        <v>0</v>
      </c>
      <c r="BD17" s="2607">
        <v>10.318142734307823</v>
      </c>
      <c r="BE17" s="2607">
        <v>0.74042227954523743</v>
      </c>
      <c r="BF17" s="2607">
        <v>9499.6417311550576</v>
      </c>
      <c r="BG17" s="2607">
        <v>0</v>
      </c>
      <c r="BH17" s="2813">
        <v>111.1588802904366</v>
      </c>
      <c r="BI17" s="2607">
        <v>742.81073851151234</v>
      </c>
      <c r="BJ17" s="2813">
        <v>203.09066590235977</v>
      </c>
      <c r="BK17" s="2813">
        <v>177.43861660456673</v>
      </c>
      <c r="BL17" s="2607">
        <v>0</v>
      </c>
      <c r="BM17" s="2607">
        <v>241.32989395242188</v>
      </c>
      <c r="BN17" s="2607">
        <v>0</v>
      </c>
      <c r="BO17" s="2606">
        <v>515.14282984618319</v>
      </c>
      <c r="BP17" s="2607">
        <v>20.731823827266645</v>
      </c>
      <c r="BQ17" s="2607">
        <v>494.41100601891657</v>
      </c>
      <c r="BR17" s="2606">
        <v>14916.929397152957</v>
      </c>
      <c r="BS17" s="2606">
        <v>0</v>
      </c>
      <c r="BT17" s="2831">
        <v>178.68061526702971</v>
      </c>
    </row>
    <row r="18" spans="1:72">
      <c r="A18" s="2603" t="s">
        <v>2858</v>
      </c>
      <c r="B18" s="2603"/>
      <c r="C18" s="2603"/>
      <c r="D18" s="2603"/>
      <c r="E18" s="2603"/>
      <c r="F18" s="2604" t="s">
        <v>2859</v>
      </c>
      <c r="G18" s="2604"/>
      <c r="H18" s="2605">
        <v>45857.719499378996</v>
      </c>
      <c r="I18" s="2606">
        <v>2317.7605808732205</v>
      </c>
      <c r="J18" s="2607">
        <v>0</v>
      </c>
      <c r="K18" s="2607">
        <v>1323.445113212955</v>
      </c>
      <c r="L18" s="2607">
        <v>291.86968567880001</v>
      </c>
      <c r="M18" s="2607">
        <v>0</v>
      </c>
      <c r="N18" s="2607">
        <v>0</v>
      </c>
      <c r="O18" s="2607">
        <v>0</v>
      </c>
      <c r="P18" s="2607">
        <v>353.03811980510176</v>
      </c>
      <c r="Q18" s="2607">
        <v>0</v>
      </c>
      <c r="R18" s="2607">
        <v>0</v>
      </c>
      <c r="S18" s="2607">
        <v>0</v>
      </c>
      <c r="T18" s="2607">
        <v>349.40766217636377</v>
      </c>
      <c r="U18" s="2607">
        <v>0</v>
      </c>
      <c r="V18" s="2607">
        <v>0</v>
      </c>
      <c r="W18" s="2606">
        <v>21698.074902073182</v>
      </c>
      <c r="X18" s="2607">
        <v>19976.497563771853</v>
      </c>
      <c r="Y18" s="2607"/>
      <c r="Z18" s="2607">
        <v>1060.9773574089998</v>
      </c>
      <c r="AA18" s="2607">
        <v>1.0031527658354829</v>
      </c>
      <c r="AB18" s="2607"/>
      <c r="AC18" s="2607"/>
      <c r="AD18" s="2607"/>
      <c r="AE18" s="2607">
        <v>21.973822489729624</v>
      </c>
      <c r="AF18" s="2813"/>
      <c r="AG18" s="2813"/>
      <c r="AH18" s="2813"/>
      <c r="AI18" s="2813"/>
      <c r="AJ18" s="2607">
        <v>2.0540747109964648</v>
      </c>
      <c r="AK18" s="2607">
        <v>13.661985287092767</v>
      </c>
      <c r="AL18" s="2813">
        <v>188.54495079774529</v>
      </c>
      <c r="AM18" s="2813">
        <v>408.90417502627304</v>
      </c>
      <c r="AN18" s="2607"/>
      <c r="AO18" s="2607"/>
      <c r="AP18" s="2607"/>
      <c r="AQ18" s="2607">
        <v>24.457819814655583</v>
      </c>
      <c r="AR18" s="2607"/>
      <c r="AS18" s="2607"/>
      <c r="AT18" s="2606">
        <v>974.34795070220684</v>
      </c>
      <c r="AU18" s="2813">
        <v>730.51017483519627</v>
      </c>
      <c r="AV18" s="2607">
        <v>16.575905225948219</v>
      </c>
      <c r="AW18" s="2607">
        <v>207.5331995796312</v>
      </c>
      <c r="AX18" s="2607">
        <v>2.3645743766122096</v>
      </c>
      <c r="AY18" s="2607">
        <v>17.364096684818954</v>
      </c>
      <c r="AZ18" s="2606">
        <v>5296.7899111493261</v>
      </c>
      <c r="BA18" s="2607"/>
      <c r="BB18" s="2607"/>
      <c r="BC18" s="2607"/>
      <c r="BD18" s="2607">
        <v>0</v>
      </c>
      <c r="BE18" s="2607"/>
      <c r="BF18" s="2607">
        <v>4288.4780739466896</v>
      </c>
      <c r="BG18" s="2607">
        <v>0</v>
      </c>
      <c r="BH18" s="2813">
        <v>24.171204738702588</v>
      </c>
      <c r="BI18" s="2607">
        <v>742.81073851151234</v>
      </c>
      <c r="BJ18" s="2813">
        <v>0</v>
      </c>
      <c r="BK18" s="2813">
        <v>0</v>
      </c>
      <c r="BL18" s="2607">
        <v>0</v>
      </c>
      <c r="BM18" s="2607">
        <v>241.32989395242188</v>
      </c>
      <c r="BN18" s="2607">
        <v>0</v>
      </c>
      <c r="BO18" s="2606">
        <v>515.14282984618319</v>
      </c>
      <c r="BP18" s="2607">
        <v>20.731823827266645</v>
      </c>
      <c r="BQ18" s="2607">
        <v>494.41100601891657</v>
      </c>
      <c r="BR18" s="2606">
        <v>14916.929397152957</v>
      </c>
      <c r="BS18" s="2606">
        <v>0</v>
      </c>
      <c r="BT18" s="2831">
        <v>138.69781217158689</v>
      </c>
    </row>
    <row r="19" spans="1:72">
      <c r="A19" s="2608" t="s">
        <v>1369</v>
      </c>
      <c r="B19" s="2609" t="s">
        <v>2860</v>
      </c>
      <c r="C19" s="2609"/>
      <c r="D19" s="2609"/>
      <c r="E19" s="2609"/>
      <c r="F19" s="2610" t="s">
        <v>2861</v>
      </c>
      <c r="G19" s="2610"/>
      <c r="H19" s="2611">
        <v>6448.4570555077862</v>
      </c>
      <c r="I19" s="2612">
        <v>597.06697238941433</v>
      </c>
      <c r="J19" s="2613">
        <v>0</v>
      </c>
      <c r="K19" s="2613">
        <v>0</v>
      </c>
      <c r="L19" s="2613">
        <v>291.86968567880001</v>
      </c>
      <c r="M19" s="2613">
        <v>0</v>
      </c>
      <c r="N19" s="2613">
        <v>0</v>
      </c>
      <c r="O19" s="2613">
        <v>0</v>
      </c>
      <c r="P19" s="2613">
        <v>0</v>
      </c>
      <c r="Q19" s="2613">
        <v>0</v>
      </c>
      <c r="R19" s="2613">
        <v>0</v>
      </c>
      <c r="S19" s="2613">
        <v>0</v>
      </c>
      <c r="T19" s="2613">
        <v>305.19728671061432</v>
      </c>
      <c r="U19" s="2613">
        <v>0</v>
      </c>
      <c r="V19" s="2613">
        <v>0</v>
      </c>
      <c r="W19" s="2612">
        <v>430.94965128499092</v>
      </c>
      <c r="X19" s="2613"/>
      <c r="Y19" s="2613"/>
      <c r="Z19" s="2613"/>
      <c r="AA19" s="2613"/>
      <c r="AB19" s="2613"/>
      <c r="AC19" s="2613"/>
      <c r="AD19" s="2613"/>
      <c r="AE19" s="2613">
        <v>15.381675742810737</v>
      </c>
      <c r="AF19" s="2814"/>
      <c r="AG19" s="2814"/>
      <c r="AH19" s="2814"/>
      <c r="AI19" s="2814"/>
      <c r="AJ19" s="2613">
        <v>2.0540747109964648</v>
      </c>
      <c r="AK19" s="2613"/>
      <c r="AL19" s="2814">
        <v>96.326550109869103</v>
      </c>
      <c r="AM19" s="2814">
        <v>317.1873507213146</v>
      </c>
      <c r="AN19" s="2613"/>
      <c r="AO19" s="2613"/>
      <c r="AP19" s="2613"/>
      <c r="AQ19" s="2613"/>
      <c r="AR19" s="2613"/>
      <c r="AS19" s="2613"/>
      <c r="AT19" s="2612">
        <v>929.3493837775867</v>
      </c>
      <c r="AU19" s="2814">
        <v>699.50797745294733</v>
      </c>
      <c r="AV19" s="2613">
        <v>15.859367536065729</v>
      </c>
      <c r="AW19" s="2613">
        <v>196.61794210375464</v>
      </c>
      <c r="AX19" s="2613">
        <v>0</v>
      </c>
      <c r="AY19" s="2613">
        <v>17.364096684818954</v>
      </c>
      <c r="AZ19" s="2612">
        <v>4052.3789051304097</v>
      </c>
      <c r="BA19" s="2613"/>
      <c r="BB19" s="2613"/>
      <c r="BC19" s="2613"/>
      <c r="BD19" s="2613">
        <v>0</v>
      </c>
      <c r="BE19" s="2613"/>
      <c r="BF19" s="2613">
        <v>3343.8425527849431</v>
      </c>
      <c r="BG19" s="2613"/>
      <c r="BH19" s="2814">
        <v>12.993216776535778</v>
      </c>
      <c r="BI19" s="2613">
        <v>628.16470813031424</v>
      </c>
      <c r="BJ19" s="2814">
        <v>0</v>
      </c>
      <c r="BK19" s="2814">
        <v>0</v>
      </c>
      <c r="BL19" s="2613">
        <v>0</v>
      </c>
      <c r="BM19" s="2613">
        <v>67.378427438616598</v>
      </c>
      <c r="BN19" s="2613">
        <v>0</v>
      </c>
      <c r="BO19" s="2612">
        <v>438.71214292538451</v>
      </c>
      <c r="BP19" s="2613">
        <v>20.731823827266645</v>
      </c>
      <c r="BQ19" s="2613">
        <v>417.98031909811789</v>
      </c>
      <c r="BR19" s="2612"/>
      <c r="BS19" s="2612">
        <v>0</v>
      </c>
      <c r="BT19" s="2832"/>
    </row>
    <row r="20" spans="1:72">
      <c r="A20" s="2596"/>
      <c r="B20" s="2590" t="s">
        <v>1369</v>
      </c>
      <c r="C20" s="2591" t="s">
        <v>2862</v>
      </c>
      <c r="D20" s="2591"/>
      <c r="E20" s="2591"/>
      <c r="F20" s="2592" t="s">
        <v>2863</v>
      </c>
      <c r="G20" s="2592"/>
      <c r="H20" s="2593">
        <v>5190.0019107671724</v>
      </c>
      <c r="I20" s="2594">
        <v>596.30266552020635</v>
      </c>
      <c r="J20" s="2595">
        <v>0</v>
      </c>
      <c r="K20" s="2595">
        <v>0</v>
      </c>
      <c r="L20" s="2595">
        <v>291.86968567880001</v>
      </c>
      <c r="M20" s="2595">
        <v>0</v>
      </c>
      <c r="N20" s="2595">
        <v>0</v>
      </c>
      <c r="O20" s="2595">
        <v>0</v>
      </c>
      <c r="P20" s="2595">
        <v>0</v>
      </c>
      <c r="Q20" s="2595">
        <v>0</v>
      </c>
      <c r="R20" s="2595">
        <v>0</v>
      </c>
      <c r="S20" s="2595">
        <v>0</v>
      </c>
      <c r="T20" s="2595">
        <v>304.43297984140634</v>
      </c>
      <c r="U20" s="2595">
        <v>0</v>
      </c>
      <c r="V20" s="2595">
        <v>0</v>
      </c>
      <c r="W20" s="2594">
        <v>374.08044329798412</v>
      </c>
      <c r="X20" s="2595"/>
      <c r="Y20" s="2595"/>
      <c r="Z20" s="2595"/>
      <c r="AA20" s="2595"/>
      <c r="AB20" s="2595"/>
      <c r="AC20" s="2595"/>
      <c r="AD20" s="2595"/>
      <c r="AE20" s="2595">
        <v>12.085602369351294</v>
      </c>
      <c r="AF20" s="2811"/>
      <c r="AG20" s="2811"/>
      <c r="AH20" s="2811"/>
      <c r="AI20" s="2811"/>
      <c r="AJ20" s="2595">
        <v>2.0540747109964648</v>
      </c>
      <c r="AK20" s="2595"/>
      <c r="AL20" s="2811">
        <v>95.29951275437088</v>
      </c>
      <c r="AM20" s="2811">
        <v>264.64125346326551</v>
      </c>
      <c r="AN20" s="2595"/>
      <c r="AO20" s="2595"/>
      <c r="AP20" s="2595"/>
      <c r="AQ20" s="2595"/>
      <c r="AR20" s="2595"/>
      <c r="AS20" s="2595"/>
      <c r="AT20" s="2594">
        <v>851.84389032196418</v>
      </c>
      <c r="AU20" s="2811">
        <v>689.02264259100025</v>
      </c>
      <c r="AV20" s="2595">
        <v>12.109486959014044</v>
      </c>
      <c r="AW20" s="2595">
        <v>133.37154867679374</v>
      </c>
      <c r="AX20" s="2595">
        <v>0</v>
      </c>
      <c r="AY20" s="2595">
        <v>17.364096684818954</v>
      </c>
      <c r="AZ20" s="2594">
        <v>2929.4926913155632</v>
      </c>
      <c r="BA20" s="2595"/>
      <c r="BB20" s="2595"/>
      <c r="BC20" s="2595"/>
      <c r="BD20" s="2595">
        <v>0</v>
      </c>
      <c r="BE20" s="2595"/>
      <c r="BF20" s="2595">
        <v>2221.2668386357122</v>
      </c>
      <c r="BG20" s="2595"/>
      <c r="BH20" s="2811">
        <v>12.993216776535778</v>
      </c>
      <c r="BI20" s="2595">
        <v>628.16470813031424</v>
      </c>
      <c r="BJ20" s="2811">
        <v>0</v>
      </c>
      <c r="BK20" s="2811">
        <v>0</v>
      </c>
      <c r="BL20" s="2595">
        <v>0</v>
      </c>
      <c r="BM20" s="2595">
        <v>67.067927773000861</v>
      </c>
      <c r="BN20" s="2595">
        <v>0</v>
      </c>
      <c r="BO20" s="2594">
        <v>438.28222031145503</v>
      </c>
      <c r="BP20" s="2595">
        <v>20.301901213337153</v>
      </c>
      <c r="BQ20" s="2595">
        <v>417.98031909811789</v>
      </c>
      <c r="BR20" s="2594"/>
      <c r="BS20" s="2594"/>
      <c r="BT20" s="2829"/>
    </row>
    <row r="21" spans="1:72">
      <c r="A21" s="2596"/>
      <c r="B21" s="2590"/>
      <c r="C21" s="2590" t="s">
        <v>1369</v>
      </c>
      <c r="D21" s="2591" t="s">
        <v>2864</v>
      </c>
      <c r="E21" s="2591"/>
      <c r="F21" s="2592" t="s">
        <v>2865</v>
      </c>
      <c r="G21" s="2592"/>
      <c r="H21" s="2593">
        <v>66.399159262443874</v>
      </c>
      <c r="I21" s="2594">
        <v>0</v>
      </c>
      <c r="J21" s="2595">
        <v>0</v>
      </c>
      <c r="K21" s="2595">
        <v>0</v>
      </c>
      <c r="L21" s="2595">
        <v>0</v>
      </c>
      <c r="M21" s="2595">
        <v>0</v>
      </c>
      <c r="N21" s="2595">
        <v>0</v>
      </c>
      <c r="O21" s="2595">
        <v>0</v>
      </c>
      <c r="P21" s="2595">
        <v>0</v>
      </c>
      <c r="Q21" s="2595">
        <v>0</v>
      </c>
      <c r="R21" s="2595">
        <v>0</v>
      </c>
      <c r="S21" s="2595">
        <v>0</v>
      </c>
      <c r="T21" s="2595">
        <v>0</v>
      </c>
      <c r="U21" s="2595">
        <v>0</v>
      </c>
      <c r="V21" s="2595">
        <v>0</v>
      </c>
      <c r="W21" s="2594">
        <v>66.399159262443874</v>
      </c>
      <c r="X21" s="2595"/>
      <c r="Y21" s="2595"/>
      <c r="Z21" s="2595"/>
      <c r="AA21" s="2595"/>
      <c r="AB21" s="2595"/>
      <c r="AC21" s="2595"/>
      <c r="AD21" s="2595"/>
      <c r="AE21" s="2595"/>
      <c r="AF21" s="2811"/>
      <c r="AG21" s="2811"/>
      <c r="AH21" s="2811"/>
      <c r="AI21" s="2811"/>
      <c r="AJ21" s="2595">
        <v>2.0540747109964648</v>
      </c>
      <c r="AK21" s="2595"/>
      <c r="AL21" s="2811">
        <v>5.1113021878284126</v>
      </c>
      <c r="AM21" s="2811">
        <v>59.233782363618992</v>
      </c>
      <c r="AN21" s="2595"/>
      <c r="AO21" s="2595"/>
      <c r="AP21" s="2595"/>
      <c r="AQ21" s="2595"/>
      <c r="AR21" s="2595"/>
      <c r="AS21" s="2595"/>
      <c r="AT21" s="2594">
        <v>0</v>
      </c>
      <c r="AU21" s="2811">
        <v>0</v>
      </c>
      <c r="AV21" s="2595">
        <v>0</v>
      </c>
      <c r="AW21" s="2595">
        <v>0</v>
      </c>
      <c r="AX21" s="2595">
        <v>0</v>
      </c>
      <c r="AY21" s="2595">
        <v>0</v>
      </c>
      <c r="AZ21" s="2594">
        <v>0</v>
      </c>
      <c r="BA21" s="2595"/>
      <c r="BB21" s="2595"/>
      <c r="BC21" s="2595"/>
      <c r="BD21" s="2595">
        <v>0</v>
      </c>
      <c r="BE21" s="2595"/>
      <c r="BF21" s="2595">
        <v>0</v>
      </c>
      <c r="BG21" s="2595"/>
      <c r="BH21" s="2811">
        <v>0</v>
      </c>
      <c r="BI21" s="2595">
        <v>0</v>
      </c>
      <c r="BJ21" s="2811">
        <v>0</v>
      </c>
      <c r="BK21" s="2811">
        <v>0</v>
      </c>
      <c r="BL21" s="2595">
        <v>0</v>
      </c>
      <c r="BM21" s="2595">
        <v>0</v>
      </c>
      <c r="BN21" s="2595">
        <v>0</v>
      </c>
      <c r="BO21" s="2594">
        <v>0</v>
      </c>
      <c r="BP21" s="2595">
        <v>0</v>
      </c>
      <c r="BQ21" s="2595">
        <v>0</v>
      </c>
      <c r="BR21" s="2594"/>
      <c r="BS21" s="2594"/>
      <c r="BT21" s="2829"/>
    </row>
    <row r="22" spans="1:72">
      <c r="A22" s="2596"/>
      <c r="B22" s="2590"/>
      <c r="C22" s="2590" t="s">
        <v>1369</v>
      </c>
      <c r="D22" s="2591" t="s">
        <v>2866</v>
      </c>
      <c r="E22" s="2591"/>
      <c r="F22" s="2592" t="s">
        <v>2867</v>
      </c>
      <c r="G22" s="2592"/>
      <c r="H22" s="2593">
        <v>5123.5788669150661</v>
      </c>
      <c r="I22" s="2594">
        <v>596.30266552020635</v>
      </c>
      <c r="J22" s="2595">
        <v>0</v>
      </c>
      <c r="K22" s="2595">
        <v>0</v>
      </c>
      <c r="L22" s="2595">
        <v>291.86968567880001</v>
      </c>
      <c r="M22" s="2595">
        <v>0</v>
      </c>
      <c r="N22" s="2595">
        <v>0</v>
      </c>
      <c r="O22" s="2595">
        <v>0</v>
      </c>
      <c r="P22" s="2595">
        <v>0</v>
      </c>
      <c r="Q22" s="2595">
        <v>0</v>
      </c>
      <c r="R22" s="2595">
        <v>0</v>
      </c>
      <c r="S22" s="2595">
        <v>0</v>
      </c>
      <c r="T22" s="2595">
        <v>304.43297984140634</v>
      </c>
      <c r="U22" s="2595">
        <v>0</v>
      </c>
      <c r="V22" s="2595">
        <v>0</v>
      </c>
      <c r="W22" s="2594">
        <v>307.6573994458775</v>
      </c>
      <c r="X22" s="2595"/>
      <c r="Y22" s="2595"/>
      <c r="Z22" s="2595"/>
      <c r="AA22" s="2595"/>
      <c r="AB22" s="2595"/>
      <c r="AC22" s="2595"/>
      <c r="AD22" s="2595"/>
      <c r="AE22" s="2595">
        <v>12.085602369351294</v>
      </c>
      <c r="AF22" s="2811"/>
      <c r="AG22" s="2811"/>
      <c r="AH22" s="2811"/>
      <c r="AI22" s="2811"/>
      <c r="AJ22" s="2595"/>
      <c r="AK22" s="2595"/>
      <c r="AL22" s="2811">
        <v>90.164325976879709</v>
      </c>
      <c r="AM22" s="2811">
        <v>205.4074710996465</v>
      </c>
      <c r="AN22" s="2595"/>
      <c r="AO22" s="2595"/>
      <c r="AP22" s="2595"/>
      <c r="AQ22" s="2595"/>
      <c r="AR22" s="2595"/>
      <c r="AS22" s="2595"/>
      <c r="AT22" s="2594">
        <v>851.84389032196418</v>
      </c>
      <c r="AU22" s="2811">
        <v>689.02264259100025</v>
      </c>
      <c r="AV22" s="2595">
        <v>12.109486959014044</v>
      </c>
      <c r="AW22" s="2595">
        <v>133.37154867679374</v>
      </c>
      <c r="AX22" s="2595">
        <v>0</v>
      </c>
      <c r="AY22" s="2595">
        <v>17.364096684818954</v>
      </c>
      <c r="AZ22" s="2594">
        <v>2929.4926913155632</v>
      </c>
      <c r="BA22" s="2595"/>
      <c r="BB22" s="2595"/>
      <c r="BC22" s="2595"/>
      <c r="BD22" s="2595">
        <v>0</v>
      </c>
      <c r="BE22" s="2595"/>
      <c r="BF22" s="2595">
        <v>2221.2668386357122</v>
      </c>
      <c r="BG22" s="2595"/>
      <c r="BH22" s="2811">
        <v>12.993216776535778</v>
      </c>
      <c r="BI22" s="2595">
        <v>628.16470813031424</v>
      </c>
      <c r="BJ22" s="2811">
        <v>0</v>
      </c>
      <c r="BK22" s="2811">
        <v>0</v>
      </c>
      <c r="BL22" s="2595">
        <v>0</v>
      </c>
      <c r="BM22" s="2595">
        <v>67.067927773000861</v>
      </c>
      <c r="BN22" s="2595">
        <v>0</v>
      </c>
      <c r="BO22" s="2594">
        <v>438.28222031145503</v>
      </c>
      <c r="BP22" s="2595">
        <v>20.301901213337153</v>
      </c>
      <c r="BQ22" s="2595">
        <v>417.98031909811789</v>
      </c>
      <c r="BR22" s="2594"/>
      <c r="BS22" s="2594"/>
      <c r="BT22" s="2829"/>
    </row>
    <row r="23" spans="1:72">
      <c r="A23" s="2596"/>
      <c r="B23" s="2590" t="s">
        <v>1369</v>
      </c>
      <c r="C23" s="2591" t="s">
        <v>2868</v>
      </c>
      <c r="D23" s="2591"/>
      <c r="E23" s="2591"/>
      <c r="F23" s="2592" t="s">
        <v>2869</v>
      </c>
      <c r="G23" s="2592"/>
      <c r="H23" s="2593">
        <v>1258.4551447406134</v>
      </c>
      <c r="I23" s="2594">
        <v>0.76430686920798696</v>
      </c>
      <c r="J23" s="2595">
        <v>0</v>
      </c>
      <c r="K23" s="2595">
        <v>0</v>
      </c>
      <c r="L23" s="2595">
        <v>0</v>
      </c>
      <c r="M23" s="2595">
        <v>0</v>
      </c>
      <c r="N23" s="2595">
        <v>0</v>
      </c>
      <c r="O23" s="2595">
        <v>0</v>
      </c>
      <c r="P23" s="2595">
        <v>0</v>
      </c>
      <c r="Q23" s="2595">
        <v>0</v>
      </c>
      <c r="R23" s="2595">
        <v>0</v>
      </c>
      <c r="S23" s="2595">
        <v>0</v>
      </c>
      <c r="T23" s="2595">
        <v>0.76430686920798696</v>
      </c>
      <c r="U23" s="2595">
        <v>0</v>
      </c>
      <c r="V23" s="2595">
        <v>0</v>
      </c>
      <c r="W23" s="2594">
        <v>56.869207987006781</v>
      </c>
      <c r="X23" s="2595"/>
      <c r="Y23" s="2595"/>
      <c r="Z23" s="2595"/>
      <c r="AA23" s="2595"/>
      <c r="AB23" s="2595"/>
      <c r="AC23" s="2595"/>
      <c r="AD23" s="2595"/>
      <c r="AE23" s="2595">
        <v>3.2960733734594436</v>
      </c>
      <c r="AF23" s="2811"/>
      <c r="AG23" s="2811"/>
      <c r="AH23" s="2811"/>
      <c r="AI23" s="2811"/>
      <c r="AJ23" s="2595"/>
      <c r="AK23" s="2595"/>
      <c r="AL23" s="2811">
        <v>1.0270373554982324</v>
      </c>
      <c r="AM23" s="2811">
        <v>52.546097258049102</v>
      </c>
      <c r="AN23" s="2595"/>
      <c r="AO23" s="2595"/>
      <c r="AP23" s="2595"/>
      <c r="AQ23" s="2595"/>
      <c r="AR23" s="2595"/>
      <c r="AS23" s="2595"/>
      <c r="AT23" s="2594">
        <v>77.505493455622428</v>
      </c>
      <c r="AU23" s="2811">
        <v>10.485334861947072</v>
      </c>
      <c r="AV23" s="2595">
        <v>3.7737651667144356</v>
      </c>
      <c r="AW23" s="2595">
        <v>63.246393426960921</v>
      </c>
      <c r="AX23" s="2595">
        <v>0</v>
      </c>
      <c r="AY23" s="2595">
        <v>0</v>
      </c>
      <c r="AZ23" s="2594">
        <v>1122.8862138148465</v>
      </c>
      <c r="BA23" s="2595"/>
      <c r="BB23" s="2595"/>
      <c r="BC23" s="2595"/>
      <c r="BD23" s="2595">
        <v>0</v>
      </c>
      <c r="BE23" s="2595"/>
      <c r="BF23" s="2595">
        <v>1122.5757141492309</v>
      </c>
      <c r="BG23" s="2595"/>
      <c r="BH23" s="2811">
        <v>0</v>
      </c>
      <c r="BI23" s="2595">
        <v>0</v>
      </c>
      <c r="BJ23" s="2811">
        <v>0</v>
      </c>
      <c r="BK23" s="2811">
        <v>0</v>
      </c>
      <c r="BL23" s="2595">
        <v>0</v>
      </c>
      <c r="BM23" s="2595">
        <v>0.31049966561574471</v>
      </c>
      <c r="BN23" s="2595">
        <v>0</v>
      </c>
      <c r="BO23" s="2594">
        <v>0.42992261392949266</v>
      </c>
      <c r="BP23" s="2595">
        <v>0.42992261392949266</v>
      </c>
      <c r="BQ23" s="2595">
        <v>0</v>
      </c>
      <c r="BR23" s="2594"/>
      <c r="BS23" s="2594"/>
      <c r="BT23" s="2829"/>
    </row>
    <row r="24" spans="1:72">
      <c r="A24" s="2596"/>
      <c r="B24" s="2590"/>
      <c r="C24" s="2590" t="s">
        <v>1369</v>
      </c>
      <c r="D24" s="2591" t="s">
        <v>2870</v>
      </c>
      <c r="E24" s="2591"/>
      <c r="F24" s="2592" t="s">
        <v>2871</v>
      </c>
      <c r="G24" s="2592"/>
      <c r="H24" s="2593">
        <v>0</v>
      </c>
      <c r="I24" s="2594">
        <v>0</v>
      </c>
      <c r="J24" s="2595">
        <v>0</v>
      </c>
      <c r="K24" s="2595">
        <v>0</v>
      </c>
      <c r="L24" s="2595">
        <v>0</v>
      </c>
      <c r="M24" s="2595">
        <v>0</v>
      </c>
      <c r="N24" s="2595">
        <v>0</v>
      </c>
      <c r="O24" s="2595">
        <v>0</v>
      </c>
      <c r="P24" s="2595">
        <v>0</v>
      </c>
      <c r="Q24" s="2595">
        <v>0</v>
      </c>
      <c r="R24" s="2595">
        <v>0</v>
      </c>
      <c r="S24" s="2595">
        <v>0</v>
      </c>
      <c r="T24" s="2595">
        <v>0</v>
      </c>
      <c r="U24" s="2595">
        <v>0</v>
      </c>
      <c r="V24" s="2595">
        <v>0</v>
      </c>
      <c r="W24" s="2594">
        <v>0</v>
      </c>
      <c r="X24" s="2595"/>
      <c r="Y24" s="2595"/>
      <c r="Z24" s="2595"/>
      <c r="AA24" s="2595"/>
      <c r="AB24" s="2595"/>
      <c r="AC24" s="2595"/>
      <c r="AD24" s="2595"/>
      <c r="AE24" s="2595"/>
      <c r="AF24" s="2811"/>
      <c r="AG24" s="2811"/>
      <c r="AH24" s="2811"/>
      <c r="AI24" s="2811"/>
      <c r="AJ24" s="2595"/>
      <c r="AK24" s="2595"/>
      <c r="AL24" s="2811">
        <v>0</v>
      </c>
      <c r="AM24" s="2811">
        <v>0</v>
      </c>
      <c r="AN24" s="2595"/>
      <c r="AO24" s="2595"/>
      <c r="AP24" s="2595"/>
      <c r="AQ24" s="2595"/>
      <c r="AR24" s="2595"/>
      <c r="AS24" s="2595"/>
      <c r="AT24" s="2594">
        <v>0</v>
      </c>
      <c r="AU24" s="2811">
        <v>0</v>
      </c>
      <c r="AV24" s="2595">
        <v>0</v>
      </c>
      <c r="AW24" s="2595">
        <v>0</v>
      </c>
      <c r="AX24" s="2595">
        <v>0</v>
      </c>
      <c r="AY24" s="2595">
        <v>0</v>
      </c>
      <c r="AZ24" s="2594">
        <v>0</v>
      </c>
      <c r="BA24" s="2595"/>
      <c r="BB24" s="2595"/>
      <c r="BC24" s="2595"/>
      <c r="BD24" s="2595">
        <v>0</v>
      </c>
      <c r="BE24" s="2595"/>
      <c r="BF24" s="2595">
        <v>0</v>
      </c>
      <c r="BG24" s="2595"/>
      <c r="BH24" s="2811">
        <v>0</v>
      </c>
      <c r="BI24" s="2595">
        <v>0</v>
      </c>
      <c r="BJ24" s="2811">
        <v>0</v>
      </c>
      <c r="BK24" s="2811">
        <v>0</v>
      </c>
      <c r="BL24" s="2595">
        <v>0</v>
      </c>
      <c r="BM24" s="2595">
        <v>0</v>
      </c>
      <c r="BN24" s="2595">
        <v>0</v>
      </c>
      <c r="BO24" s="2594">
        <v>0</v>
      </c>
      <c r="BP24" s="2595">
        <v>0</v>
      </c>
      <c r="BQ24" s="2595">
        <v>0</v>
      </c>
      <c r="BR24" s="2594"/>
      <c r="BS24" s="2594"/>
      <c r="BT24" s="2829"/>
    </row>
    <row r="25" spans="1:72">
      <c r="A25" s="2596"/>
      <c r="B25" s="2590"/>
      <c r="C25" s="2590" t="s">
        <v>1369</v>
      </c>
      <c r="D25" s="2591" t="s">
        <v>2872</v>
      </c>
      <c r="E25" s="2591"/>
      <c r="F25" s="2592" t="s">
        <v>2873</v>
      </c>
      <c r="G25" s="2592"/>
      <c r="H25" s="2593">
        <v>1258.4551447406134</v>
      </c>
      <c r="I25" s="2594">
        <v>0.76430686920798696</v>
      </c>
      <c r="J25" s="2595">
        <v>0</v>
      </c>
      <c r="K25" s="2595">
        <v>0</v>
      </c>
      <c r="L25" s="2595">
        <v>0</v>
      </c>
      <c r="M25" s="2595">
        <v>0</v>
      </c>
      <c r="N25" s="2595">
        <v>0</v>
      </c>
      <c r="O25" s="2595">
        <v>0</v>
      </c>
      <c r="P25" s="2595">
        <v>0</v>
      </c>
      <c r="Q25" s="2595">
        <v>0</v>
      </c>
      <c r="R25" s="2595">
        <v>0</v>
      </c>
      <c r="S25" s="2595">
        <v>0</v>
      </c>
      <c r="T25" s="2595">
        <v>0.76430686920798696</v>
      </c>
      <c r="U25" s="2595">
        <v>0</v>
      </c>
      <c r="V25" s="2595">
        <v>0</v>
      </c>
      <c r="W25" s="2594">
        <v>56.869207987006781</v>
      </c>
      <c r="X25" s="2595"/>
      <c r="Y25" s="2595"/>
      <c r="Z25" s="2595"/>
      <c r="AA25" s="2595"/>
      <c r="AB25" s="2595"/>
      <c r="AC25" s="2595"/>
      <c r="AD25" s="2595"/>
      <c r="AE25" s="2595">
        <v>3.2960733734594436</v>
      </c>
      <c r="AF25" s="2811"/>
      <c r="AG25" s="2811"/>
      <c r="AH25" s="2811"/>
      <c r="AI25" s="2811"/>
      <c r="AJ25" s="2595"/>
      <c r="AK25" s="2595"/>
      <c r="AL25" s="2811">
        <v>1.0270373554982324</v>
      </c>
      <c r="AM25" s="2811">
        <v>52.546097258049102</v>
      </c>
      <c r="AN25" s="2595"/>
      <c r="AO25" s="2595"/>
      <c r="AP25" s="2595"/>
      <c r="AQ25" s="2595"/>
      <c r="AR25" s="2595"/>
      <c r="AS25" s="2595"/>
      <c r="AT25" s="2594">
        <v>77.505493455622428</v>
      </c>
      <c r="AU25" s="2811">
        <v>10.485334861947072</v>
      </c>
      <c r="AV25" s="2595">
        <v>3.7737651667144356</v>
      </c>
      <c r="AW25" s="2595">
        <v>63.246393426960921</v>
      </c>
      <c r="AX25" s="2595">
        <v>0</v>
      </c>
      <c r="AY25" s="2595">
        <v>0</v>
      </c>
      <c r="AZ25" s="2594">
        <v>1122.8862138148465</v>
      </c>
      <c r="BA25" s="2595"/>
      <c r="BB25" s="2595"/>
      <c r="BC25" s="2595"/>
      <c r="BD25" s="2595">
        <v>0</v>
      </c>
      <c r="BE25" s="2595"/>
      <c r="BF25" s="2595">
        <v>1122.5757141492309</v>
      </c>
      <c r="BG25" s="2595"/>
      <c r="BH25" s="2811">
        <v>0</v>
      </c>
      <c r="BI25" s="2595">
        <v>0</v>
      </c>
      <c r="BJ25" s="2811">
        <v>0</v>
      </c>
      <c r="BK25" s="2811">
        <v>0</v>
      </c>
      <c r="BL25" s="2595">
        <v>0</v>
      </c>
      <c r="BM25" s="2595">
        <v>0.31049966561574471</v>
      </c>
      <c r="BN25" s="2595">
        <v>0</v>
      </c>
      <c r="BO25" s="2594">
        <v>0.42992261392949266</v>
      </c>
      <c r="BP25" s="2595">
        <v>0.42992261392949266</v>
      </c>
      <c r="BQ25" s="2595">
        <v>0</v>
      </c>
      <c r="BR25" s="2594"/>
      <c r="BS25" s="2594"/>
      <c r="BT25" s="2829"/>
    </row>
    <row r="26" spans="1:72">
      <c r="A26" s="2596"/>
      <c r="B26" s="2590" t="s">
        <v>1369</v>
      </c>
      <c r="C26" s="2591" t="s">
        <v>2874</v>
      </c>
      <c r="D26" s="2591"/>
      <c r="E26" s="2591"/>
      <c r="F26" s="2592" t="s">
        <v>2875</v>
      </c>
      <c r="G26" s="2592"/>
      <c r="H26" s="2593">
        <v>0</v>
      </c>
      <c r="I26" s="2594"/>
      <c r="J26" s="2595"/>
      <c r="K26" s="2595"/>
      <c r="L26" s="2595"/>
      <c r="M26" s="2595"/>
      <c r="N26" s="2595"/>
      <c r="O26" s="2595"/>
      <c r="P26" s="2595"/>
      <c r="Q26" s="2595"/>
      <c r="R26" s="2595"/>
      <c r="S26" s="2595"/>
      <c r="T26" s="2595"/>
      <c r="U26" s="2595"/>
      <c r="V26" s="2595"/>
      <c r="W26" s="2594"/>
      <c r="X26" s="2595"/>
      <c r="Y26" s="2595"/>
      <c r="Z26" s="2595"/>
      <c r="AA26" s="2595"/>
      <c r="AB26" s="2595"/>
      <c r="AC26" s="2595"/>
      <c r="AD26" s="2595"/>
      <c r="AE26" s="2595"/>
      <c r="AF26" s="2811"/>
      <c r="AG26" s="2811"/>
      <c r="AH26" s="2811"/>
      <c r="AI26" s="2811"/>
      <c r="AJ26" s="2595"/>
      <c r="AK26" s="2595"/>
      <c r="AL26" s="2811"/>
      <c r="AM26" s="2811"/>
      <c r="AN26" s="2595"/>
      <c r="AO26" s="2595"/>
      <c r="AP26" s="2595"/>
      <c r="AQ26" s="2595"/>
      <c r="AR26" s="2595"/>
      <c r="AS26" s="2595"/>
      <c r="AT26" s="2594"/>
      <c r="AU26" s="2811"/>
      <c r="AV26" s="2595"/>
      <c r="AW26" s="2595"/>
      <c r="AX26" s="2595"/>
      <c r="AY26" s="2595"/>
      <c r="AZ26" s="2594"/>
      <c r="BA26" s="2595"/>
      <c r="BB26" s="2595"/>
      <c r="BC26" s="2595"/>
      <c r="BD26" s="2595"/>
      <c r="BE26" s="2595"/>
      <c r="BF26" s="2595"/>
      <c r="BG26" s="2595"/>
      <c r="BH26" s="2811"/>
      <c r="BI26" s="2595"/>
      <c r="BJ26" s="2811"/>
      <c r="BK26" s="2811"/>
      <c r="BL26" s="2595"/>
      <c r="BM26" s="2595"/>
      <c r="BN26" s="2595"/>
      <c r="BO26" s="2594"/>
      <c r="BP26" s="2595"/>
      <c r="BQ26" s="2595"/>
      <c r="BR26" s="2594"/>
      <c r="BS26" s="2594">
        <v>0</v>
      </c>
      <c r="BT26" s="2829"/>
    </row>
    <row r="27" spans="1:72">
      <c r="A27" s="2590" t="s">
        <v>1369</v>
      </c>
      <c r="B27" s="2591" t="s">
        <v>2876</v>
      </c>
      <c r="C27" s="2591"/>
      <c r="D27" s="2591"/>
      <c r="E27" s="2591"/>
      <c r="F27" s="2592" t="s">
        <v>2877</v>
      </c>
      <c r="G27" s="2592"/>
      <c r="H27" s="2593">
        <v>14916.929397152957</v>
      </c>
      <c r="I27" s="2594"/>
      <c r="J27" s="2595"/>
      <c r="K27" s="2595"/>
      <c r="L27" s="2595"/>
      <c r="M27" s="2595"/>
      <c r="N27" s="2595"/>
      <c r="O27" s="2595"/>
      <c r="P27" s="2595"/>
      <c r="Q27" s="2595"/>
      <c r="R27" s="2595"/>
      <c r="S27" s="2595"/>
      <c r="T27" s="2595"/>
      <c r="U27" s="2595"/>
      <c r="V27" s="2595"/>
      <c r="W27" s="2594"/>
      <c r="X27" s="2595"/>
      <c r="Y27" s="2595"/>
      <c r="Z27" s="2595"/>
      <c r="AA27" s="2595"/>
      <c r="AB27" s="2595"/>
      <c r="AC27" s="2595"/>
      <c r="AD27" s="2595"/>
      <c r="AE27" s="2595"/>
      <c r="AF27" s="2811"/>
      <c r="AG27" s="2811"/>
      <c r="AH27" s="2811"/>
      <c r="AI27" s="2811"/>
      <c r="AJ27" s="2595"/>
      <c r="AK27" s="2595"/>
      <c r="AL27" s="2811"/>
      <c r="AM27" s="2811"/>
      <c r="AN27" s="2595"/>
      <c r="AO27" s="2595"/>
      <c r="AP27" s="2595"/>
      <c r="AQ27" s="2595"/>
      <c r="AR27" s="2595"/>
      <c r="AS27" s="2595"/>
      <c r="AT27" s="2594"/>
      <c r="AU27" s="2811"/>
      <c r="AV27" s="2595"/>
      <c r="AW27" s="2595"/>
      <c r="AX27" s="2595"/>
      <c r="AY27" s="2595"/>
      <c r="AZ27" s="2594"/>
      <c r="BA27" s="2595"/>
      <c r="BB27" s="2595"/>
      <c r="BC27" s="2595"/>
      <c r="BD27" s="2595"/>
      <c r="BE27" s="2595"/>
      <c r="BF27" s="2595"/>
      <c r="BG27" s="2595"/>
      <c r="BH27" s="2811"/>
      <c r="BI27" s="2595"/>
      <c r="BJ27" s="2811"/>
      <c r="BK27" s="2811"/>
      <c r="BL27" s="2595"/>
      <c r="BM27" s="2595"/>
      <c r="BN27" s="2595"/>
      <c r="BO27" s="2594"/>
      <c r="BP27" s="2595"/>
      <c r="BQ27" s="2595"/>
      <c r="BR27" s="2594">
        <v>14916.929397152957</v>
      </c>
      <c r="BS27" s="2594"/>
      <c r="BT27" s="2829"/>
    </row>
    <row r="28" spans="1:72">
      <c r="A28" s="2590" t="s">
        <v>1369</v>
      </c>
      <c r="B28" s="2591" t="s">
        <v>2878</v>
      </c>
      <c r="C28" s="2591"/>
      <c r="D28" s="2591"/>
      <c r="E28" s="2591"/>
      <c r="F28" s="2592" t="s">
        <v>2879</v>
      </c>
      <c r="G28" s="2592"/>
      <c r="H28" s="2593">
        <v>1347.9029330276105</v>
      </c>
      <c r="I28" s="2594">
        <v>1323.445113212955</v>
      </c>
      <c r="J28" s="2595">
        <v>0</v>
      </c>
      <c r="K28" s="2595">
        <v>1323.445113212955</v>
      </c>
      <c r="L28" s="2595">
        <v>0</v>
      </c>
      <c r="M28" s="2595">
        <v>0</v>
      </c>
      <c r="N28" s="2595">
        <v>0</v>
      </c>
      <c r="O28" s="2595">
        <v>0</v>
      </c>
      <c r="P28" s="2595">
        <v>0</v>
      </c>
      <c r="Q28" s="2595">
        <v>0</v>
      </c>
      <c r="R28" s="2595">
        <v>0</v>
      </c>
      <c r="S28" s="2595">
        <v>0</v>
      </c>
      <c r="T28" s="2595">
        <v>0</v>
      </c>
      <c r="U28" s="2595">
        <v>0</v>
      </c>
      <c r="V28" s="2595">
        <v>0</v>
      </c>
      <c r="W28" s="2594">
        <v>24.457819814655583</v>
      </c>
      <c r="X28" s="2595"/>
      <c r="Y28" s="2595"/>
      <c r="Z28" s="2595"/>
      <c r="AA28" s="2595"/>
      <c r="AB28" s="2595"/>
      <c r="AC28" s="2595"/>
      <c r="AD28" s="2595"/>
      <c r="AE28" s="2595"/>
      <c r="AF28" s="2811"/>
      <c r="AG28" s="2811"/>
      <c r="AH28" s="2811"/>
      <c r="AI28" s="2811"/>
      <c r="AJ28" s="2595"/>
      <c r="AK28" s="2595"/>
      <c r="AL28" s="2811"/>
      <c r="AM28" s="2811">
        <v>0</v>
      </c>
      <c r="AN28" s="2595"/>
      <c r="AO28" s="2595"/>
      <c r="AP28" s="2595"/>
      <c r="AQ28" s="2595">
        <v>24.457819814655583</v>
      </c>
      <c r="AR28" s="2595"/>
      <c r="AS28" s="2595"/>
      <c r="AT28" s="2594">
        <v>0</v>
      </c>
      <c r="AU28" s="2811">
        <v>0</v>
      </c>
      <c r="AV28" s="2595">
        <v>0</v>
      </c>
      <c r="AW28" s="2595">
        <v>0</v>
      </c>
      <c r="AX28" s="2595">
        <v>0</v>
      </c>
      <c r="AY28" s="2595">
        <v>0</v>
      </c>
      <c r="AZ28" s="2594"/>
      <c r="BA28" s="2595"/>
      <c r="BB28" s="2595"/>
      <c r="BC28" s="2595"/>
      <c r="BD28" s="2595"/>
      <c r="BE28" s="2595"/>
      <c r="BF28" s="2595"/>
      <c r="BG28" s="2595"/>
      <c r="BH28" s="2811"/>
      <c r="BI28" s="2595"/>
      <c r="BJ28" s="2811"/>
      <c r="BK28" s="2811"/>
      <c r="BL28" s="2595"/>
      <c r="BM28" s="2595"/>
      <c r="BN28" s="2595"/>
      <c r="BO28" s="2594"/>
      <c r="BP28" s="2595"/>
      <c r="BQ28" s="2595"/>
      <c r="BR28" s="2594"/>
      <c r="BS28" s="2594"/>
      <c r="BT28" s="2829"/>
    </row>
    <row r="29" spans="1:72">
      <c r="A29" s="2590" t="s">
        <v>1369</v>
      </c>
      <c r="B29" s="2591" t="s">
        <v>2880</v>
      </c>
      <c r="C29" s="2591"/>
      <c r="D29" s="2591"/>
      <c r="E29" s="2591"/>
      <c r="F29" s="2592" t="s">
        <v>2881</v>
      </c>
      <c r="G29" s="2592"/>
      <c r="H29" s="2593">
        <v>353.03811980510176</v>
      </c>
      <c r="I29" s="2594">
        <v>353.03811980510176</v>
      </c>
      <c r="J29" s="2595"/>
      <c r="K29" s="2595"/>
      <c r="L29" s="2595"/>
      <c r="M29" s="2595"/>
      <c r="N29" s="2595"/>
      <c r="O29" s="2595"/>
      <c r="P29" s="2595">
        <v>353.03811980510176</v>
      </c>
      <c r="Q29" s="2595"/>
      <c r="R29" s="2595"/>
      <c r="S29" s="2595"/>
      <c r="T29" s="2595"/>
      <c r="U29" s="2595"/>
      <c r="V29" s="2595"/>
      <c r="W29" s="2594"/>
      <c r="X29" s="2595"/>
      <c r="Y29" s="2595"/>
      <c r="Z29" s="2595"/>
      <c r="AA29" s="2595"/>
      <c r="AB29" s="2595"/>
      <c r="AC29" s="2595"/>
      <c r="AD29" s="2595"/>
      <c r="AE29" s="2595"/>
      <c r="AF29" s="2811"/>
      <c r="AG29" s="2811"/>
      <c r="AH29" s="2811"/>
      <c r="AI29" s="2811"/>
      <c r="AJ29" s="2595"/>
      <c r="AK29" s="2595"/>
      <c r="AL29" s="2811"/>
      <c r="AM29" s="2811"/>
      <c r="AN29" s="2595"/>
      <c r="AO29" s="2595"/>
      <c r="AP29" s="2595"/>
      <c r="AQ29" s="2595"/>
      <c r="AR29" s="2595"/>
      <c r="AS29" s="2595"/>
      <c r="AT29" s="2594"/>
      <c r="AU29" s="2811"/>
      <c r="AV29" s="2595"/>
      <c r="AW29" s="2595"/>
      <c r="AX29" s="2595"/>
      <c r="AY29" s="2595"/>
      <c r="AZ29" s="2594"/>
      <c r="BA29" s="2595"/>
      <c r="BB29" s="2595"/>
      <c r="BC29" s="2595"/>
      <c r="BD29" s="2595"/>
      <c r="BE29" s="2595"/>
      <c r="BF29" s="2595"/>
      <c r="BG29" s="2595"/>
      <c r="BH29" s="2811"/>
      <c r="BI29" s="2595"/>
      <c r="BJ29" s="2811"/>
      <c r="BK29" s="2811"/>
      <c r="BL29" s="2595"/>
      <c r="BM29" s="2595"/>
      <c r="BN29" s="2595"/>
      <c r="BO29" s="2594"/>
      <c r="BP29" s="2595"/>
      <c r="BQ29" s="2595"/>
      <c r="BR29" s="2594"/>
      <c r="BS29" s="2594"/>
      <c r="BT29" s="2829"/>
    </row>
    <row r="30" spans="1:72">
      <c r="A30" s="2590" t="s">
        <v>1369</v>
      </c>
      <c r="B30" s="2591" t="s">
        <v>2882</v>
      </c>
      <c r="C30" s="2591"/>
      <c r="D30" s="2591"/>
      <c r="E30" s="2591"/>
      <c r="F30" s="2592" t="s">
        <v>2883</v>
      </c>
      <c r="G30" s="2592"/>
      <c r="H30" s="2593">
        <v>17.507404222795451</v>
      </c>
      <c r="I30" s="2594">
        <v>0</v>
      </c>
      <c r="J30" s="2595">
        <v>0</v>
      </c>
      <c r="K30" s="2595">
        <v>0</v>
      </c>
      <c r="L30" s="2595">
        <v>0</v>
      </c>
      <c r="M30" s="2595">
        <v>0</v>
      </c>
      <c r="N30" s="2595">
        <v>0</v>
      </c>
      <c r="O30" s="2595">
        <v>0</v>
      </c>
      <c r="P30" s="2595">
        <v>0</v>
      </c>
      <c r="Q30" s="2595">
        <v>0</v>
      </c>
      <c r="R30" s="2595">
        <v>0</v>
      </c>
      <c r="S30" s="2595">
        <v>0</v>
      </c>
      <c r="T30" s="2595">
        <v>0</v>
      </c>
      <c r="U30" s="2595">
        <v>0</v>
      </c>
      <c r="V30" s="2595">
        <v>0</v>
      </c>
      <c r="W30" s="2594">
        <v>13.661985287092767</v>
      </c>
      <c r="X30" s="2595"/>
      <c r="Y30" s="2595"/>
      <c r="Z30" s="2595"/>
      <c r="AA30" s="2595"/>
      <c r="AB30" s="2595"/>
      <c r="AC30" s="2595"/>
      <c r="AD30" s="2595"/>
      <c r="AE30" s="2595"/>
      <c r="AF30" s="2811"/>
      <c r="AG30" s="2811"/>
      <c r="AH30" s="2811"/>
      <c r="AI30" s="2811"/>
      <c r="AJ30" s="2595"/>
      <c r="AK30" s="2595">
        <v>13.661985287092767</v>
      </c>
      <c r="AL30" s="2811"/>
      <c r="AM30" s="2811">
        <v>0</v>
      </c>
      <c r="AN30" s="2595"/>
      <c r="AO30" s="2595"/>
      <c r="AP30" s="2595"/>
      <c r="AQ30" s="2595"/>
      <c r="AR30" s="2595"/>
      <c r="AS30" s="2595"/>
      <c r="AT30" s="2594">
        <v>3.8454189357026842</v>
      </c>
      <c r="AU30" s="2811">
        <v>3.8454189357026842</v>
      </c>
      <c r="AV30" s="2595">
        <v>0</v>
      </c>
      <c r="AW30" s="2595">
        <v>0</v>
      </c>
      <c r="AX30" s="2595">
        <v>0</v>
      </c>
      <c r="AY30" s="2595">
        <v>0</v>
      </c>
      <c r="AZ30" s="2594">
        <v>0</v>
      </c>
      <c r="BA30" s="2595"/>
      <c r="BB30" s="2595"/>
      <c r="BC30" s="2595"/>
      <c r="BD30" s="2595"/>
      <c r="BE30" s="2595"/>
      <c r="BF30" s="2595"/>
      <c r="BG30" s="2595"/>
      <c r="BH30" s="2811">
        <v>0</v>
      </c>
      <c r="BI30" s="2595"/>
      <c r="BJ30" s="2811">
        <v>0</v>
      </c>
      <c r="BK30" s="2811">
        <v>0</v>
      </c>
      <c r="BL30" s="2595">
        <v>0</v>
      </c>
      <c r="BM30" s="2595">
        <v>0</v>
      </c>
      <c r="BN30" s="2595"/>
      <c r="BO30" s="2594"/>
      <c r="BP30" s="2595"/>
      <c r="BQ30" s="2595"/>
      <c r="BR30" s="2594"/>
      <c r="BS30" s="2594"/>
      <c r="BT30" s="2829"/>
    </row>
    <row r="31" spans="1:72">
      <c r="A31" s="2590" t="s">
        <v>1369</v>
      </c>
      <c r="B31" s="2591" t="s">
        <v>2884</v>
      </c>
      <c r="C31" s="2591"/>
      <c r="D31" s="2591"/>
      <c r="E31" s="2591"/>
      <c r="F31" s="2592" t="s">
        <v>2885</v>
      </c>
      <c r="G31" s="2592"/>
      <c r="H31" s="2593">
        <v>21038.478073946688</v>
      </c>
      <c r="I31" s="2594"/>
      <c r="J31" s="2595"/>
      <c r="K31" s="2595"/>
      <c r="L31" s="2595"/>
      <c r="M31" s="2595"/>
      <c r="N31" s="2595"/>
      <c r="O31" s="2595"/>
      <c r="P31" s="2595"/>
      <c r="Q31" s="2595"/>
      <c r="R31" s="2595"/>
      <c r="S31" s="2595"/>
      <c r="T31" s="2595"/>
      <c r="U31" s="2595"/>
      <c r="V31" s="2595"/>
      <c r="W31" s="2594">
        <v>21038.478073946688</v>
      </c>
      <c r="X31" s="2595">
        <v>19976.497563771853</v>
      </c>
      <c r="Y31" s="2595"/>
      <c r="Z31" s="2595">
        <v>1060.9773574089998</v>
      </c>
      <c r="AA31" s="2595">
        <v>1.0031527658354829</v>
      </c>
      <c r="AB31" s="2595"/>
      <c r="AC31" s="2595"/>
      <c r="AD31" s="2595"/>
      <c r="AE31" s="2595"/>
      <c r="AF31" s="2811"/>
      <c r="AG31" s="2811"/>
      <c r="AH31" s="2811"/>
      <c r="AI31" s="2811"/>
      <c r="AJ31" s="2595"/>
      <c r="AK31" s="2595"/>
      <c r="AL31" s="2811"/>
      <c r="AM31" s="2811"/>
      <c r="AN31" s="2595"/>
      <c r="AO31" s="2595"/>
      <c r="AP31" s="2595"/>
      <c r="AQ31" s="2595"/>
      <c r="AR31" s="2595"/>
      <c r="AS31" s="2595"/>
      <c r="AT31" s="2594"/>
      <c r="AU31" s="2811"/>
      <c r="AV31" s="2595"/>
      <c r="AW31" s="2595"/>
      <c r="AX31" s="2595"/>
      <c r="AY31" s="2595"/>
      <c r="AZ31" s="2594"/>
      <c r="BA31" s="2595"/>
      <c r="BB31" s="2595"/>
      <c r="BC31" s="2595"/>
      <c r="BD31" s="2595"/>
      <c r="BE31" s="2595"/>
      <c r="BF31" s="2595"/>
      <c r="BG31" s="2595"/>
      <c r="BH31" s="2811"/>
      <c r="BI31" s="2595"/>
      <c r="BJ31" s="2811"/>
      <c r="BK31" s="2811"/>
      <c r="BL31" s="2595"/>
      <c r="BM31" s="2595"/>
      <c r="BN31" s="2595"/>
      <c r="BO31" s="2594"/>
      <c r="BP31" s="2595"/>
      <c r="BQ31" s="2595"/>
      <c r="BR31" s="2594"/>
      <c r="BS31" s="2594"/>
      <c r="BT31" s="2829"/>
    </row>
    <row r="32" spans="1:72">
      <c r="A32" s="2590" t="s">
        <v>1369</v>
      </c>
      <c r="B32" s="2591" t="s">
        <v>2886</v>
      </c>
      <c r="C32" s="2591"/>
      <c r="D32" s="2591"/>
      <c r="E32" s="2591"/>
      <c r="F32" s="2592" t="s">
        <v>2887</v>
      </c>
      <c r="G32" s="2592"/>
      <c r="H32" s="2593">
        <v>1735.3826311263972</v>
      </c>
      <c r="I32" s="2594">
        <v>44.186490876086744</v>
      </c>
      <c r="J32" s="2595">
        <v>0</v>
      </c>
      <c r="K32" s="2595">
        <v>0</v>
      </c>
      <c r="L32" s="2595">
        <v>0</v>
      </c>
      <c r="M32" s="2595">
        <v>0</v>
      </c>
      <c r="N32" s="2595">
        <v>0</v>
      </c>
      <c r="O32" s="2595">
        <v>0</v>
      </c>
      <c r="P32" s="2595">
        <v>0</v>
      </c>
      <c r="Q32" s="2595">
        <v>0</v>
      </c>
      <c r="R32" s="2595">
        <v>0</v>
      </c>
      <c r="S32" s="2595">
        <v>0</v>
      </c>
      <c r="T32" s="2595">
        <v>44.186490876086744</v>
      </c>
      <c r="U32" s="2595">
        <v>0</v>
      </c>
      <c r="V32" s="2595">
        <v>0</v>
      </c>
      <c r="W32" s="2594">
        <v>190.52737173975351</v>
      </c>
      <c r="X32" s="2595"/>
      <c r="Y32" s="2595"/>
      <c r="Z32" s="2595"/>
      <c r="AA32" s="2595"/>
      <c r="AB32" s="2595"/>
      <c r="AC32" s="2595"/>
      <c r="AD32" s="2595"/>
      <c r="AE32" s="2595">
        <v>6.5921467469188872</v>
      </c>
      <c r="AF32" s="2811"/>
      <c r="AG32" s="2811"/>
      <c r="AH32" s="2811"/>
      <c r="AI32" s="2811"/>
      <c r="AJ32" s="2595"/>
      <c r="AK32" s="2595"/>
      <c r="AL32" s="2811">
        <v>92.218400687876183</v>
      </c>
      <c r="AM32" s="2811">
        <v>91.716824304958436</v>
      </c>
      <c r="AN32" s="2595"/>
      <c r="AO32" s="2595"/>
      <c r="AP32" s="2595"/>
      <c r="AQ32" s="2595"/>
      <c r="AR32" s="2595"/>
      <c r="AS32" s="2595"/>
      <c r="AT32" s="2594">
        <v>41.129263399254796</v>
      </c>
      <c r="AU32" s="2811">
        <v>27.156778446546287</v>
      </c>
      <c r="AV32" s="2595">
        <v>0.71653768988248778</v>
      </c>
      <c r="AW32" s="2595">
        <v>10.915257475876563</v>
      </c>
      <c r="AX32" s="2595">
        <v>2.3645743766122096</v>
      </c>
      <c r="AY32" s="2595">
        <v>0</v>
      </c>
      <c r="AZ32" s="2594">
        <v>1244.3871214292537</v>
      </c>
      <c r="BA32" s="2595"/>
      <c r="BB32" s="2595"/>
      <c r="BC32" s="2595"/>
      <c r="BD32" s="2595">
        <v>0</v>
      </c>
      <c r="BE32" s="2595"/>
      <c r="BF32" s="2595">
        <v>944.6355211617464</v>
      </c>
      <c r="BG32" s="2595"/>
      <c r="BH32" s="2811">
        <v>11.17798796216681</v>
      </c>
      <c r="BI32" s="2595">
        <v>114.64603038119805</v>
      </c>
      <c r="BJ32" s="2811">
        <v>0</v>
      </c>
      <c r="BK32" s="2811">
        <v>0</v>
      </c>
      <c r="BL32" s="2595">
        <v>0</v>
      </c>
      <c r="BM32" s="2595">
        <v>173.92758192414254</v>
      </c>
      <c r="BN32" s="2595">
        <v>0</v>
      </c>
      <c r="BO32" s="2594">
        <v>76.430686920798692</v>
      </c>
      <c r="BP32" s="2595">
        <v>0</v>
      </c>
      <c r="BQ32" s="2595">
        <v>76.430686920798692</v>
      </c>
      <c r="BR32" s="2594"/>
      <c r="BS32" s="2594"/>
      <c r="BT32" s="2829">
        <v>138.69781217158689</v>
      </c>
    </row>
    <row r="33" spans="1:72">
      <c r="A33" s="2596"/>
      <c r="B33" s="2590" t="s">
        <v>1369</v>
      </c>
      <c r="C33" s="2591" t="s">
        <v>2888</v>
      </c>
      <c r="D33" s="2591"/>
      <c r="E33" s="2591"/>
      <c r="F33" s="2592" t="s">
        <v>2889</v>
      </c>
      <c r="G33" s="2592"/>
      <c r="H33" s="2593">
        <v>1596.6848189548102</v>
      </c>
      <c r="I33" s="2594">
        <v>44.186490876086744</v>
      </c>
      <c r="J33" s="2595">
        <v>0</v>
      </c>
      <c r="K33" s="2595">
        <v>0</v>
      </c>
      <c r="L33" s="2595">
        <v>0</v>
      </c>
      <c r="M33" s="2595">
        <v>0</v>
      </c>
      <c r="N33" s="2595">
        <v>0</v>
      </c>
      <c r="O33" s="2595">
        <v>0</v>
      </c>
      <c r="P33" s="2595">
        <v>0</v>
      </c>
      <c r="Q33" s="2595">
        <v>0</v>
      </c>
      <c r="R33" s="2595">
        <v>0</v>
      </c>
      <c r="S33" s="2595">
        <v>0</v>
      </c>
      <c r="T33" s="2595">
        <v>44.186490876086744</v>
      </c>
      <c r="U33" s="2595">
        <v>0</v>
      </c>
      <c r="V33" s="2595">
        <v>0</v>
      </c>
      <c r="W33" s="2594">
        <v>190.52737173975351</v>
      </c>
      <c r="X33" s="2595"/>
      <c r="Y33" s="2595"/>
      <c r="Z33" s="2595"/>
      <c r="AA33" s="2595"/>
      <c r="AB33" s="2595"/>
      <c r="AC33" s="2595"/>
      <c r="AD33" s="2595"/>
      <c r="AE33" s="2595">
        <v>6.5921467469188872</v>
      </c>
      <c r="AF33" s="2811"/>
      <c r="AG33" s="2811"/>
      <c r="AH33" s="2811"/>
      <c r="AI33" s="2811"/>
      <c r="AJ33" s="2595"/>
      <c r="AK33" s="2595"/>
      <c r="AL33" s="2811">
        <v>92.218400687876183</v>
      </c>
      <c r="AM33" s="2811">
        <v>91.716824304958436</v>
      </c>
      <c r="AN33" s="2595"/>
      <c r="AO33" s="2595"/>
      <c r="AP33" s="2595"/>
      <c r="AQ33" s="2595"/>
      <c r="AR33" s="2595"/>
      <c r="AS33" s="2595"/>
      <c r="AT33" s="2594">
        <v>41.129263399254796</v>
      </c>
      <c r="AU33" s="2811">
        <v>27.156778446546287</v>
      </c>
      <c r="AV33" s="2595">
        <v>0.71653768988248778</v>
      </c>
      <c r="AW33" s="2595">
        <v>10.915257475876563</v>
      </c>
      <c r="AX33" s="2595">
        <v>2.3645743766122096</v>
      </c>
      <c r="AY33" s="2595">
        <v>0</v>
      </c>
      <c r="AZ33" s="2594">
        <v>1244.3871214292537</v>
      </c>
      <c r="BA33" s="2595"/>
      <c r="BB33" s="2595"/>
      <c r="BC33" s="2595"/>
      <c r="BD33" s="2595">
        <v>0</v>
      </c>
      <c r="BE33" s="2595"/>
      <c r="BF33" s="2595">
        <v>944.6355211617464</v>
      </c>
      <c r="BG33" s="2595"/>
      <c r="BH33" s="2811">
        <v>11.17798796216681</v>
      </c>
      <c r="BI33" s="2595">
        <v>114.64603038119805</v>
      </c>
      <c r="BJ33" s="2811">
        <v>0</v>
      </c>
      <c r="BK33" s="2811">
        <v>0</v>
      </c>
      <c r="BL33" s="2595">
        <v>0</v>
      </c>
      <c r="BM33" s="2595">
        <v>173.92758192414254</v>
      </c>
      <c r="BN33" s="2595">
        <v>0</v>
      </c>
      <c r="BO33" s="2594">
        <v>76.430686920798692</v>
      </c>
      <c r="BP33" s="2595">
        <v>0</v>
      </c>
      <c r="BQ33" s="2595">
        <v>76.430686920798692</v>
      </c>
      <c r="BR33" s="2594"/>
      <c r="BS33" s="2594"/>
      <c r="BT33" s="2829"/>
    </row>
    <row r="34" spans="1:72">
      <c r="A34" s="2596"/>
      <c r="B34" s="2590" t="s">
        <v>1369</v>
      </c>
      <c r="C34" s="2591" t="s">
        <v>2890</v>
      </c>
      <c r="D34" s="2591"/>
      <c r="E34" s="2591"/>
      <c r="F34" s="2592" t="s">
        <v>2891</v>
      </c>
      <c r="G34" s="2592"/>
      <c r="H34" s="2593">
        <v>0</v>
      </c>
      <c r="I34" s="2594">
        <v>0</v>
      </c>
      <c r="J34" s="2595">
        <v>0</v>
      </c>
      <c r="K34" s="2595">
        <v>0</v>
      </c>
      <c r="L34" s="2595">
        <v>0</v>
      </c>
      <c r="M34" s="2595">
        <v>0</v>
      </c>
      <c r="N34" s="2595">
        <v>0</v>
      </c>
      <c r="O34" s="2595">
        <v>0</v>
      </c>
      <c r="P34" s="2595">
        <v>0</v>
      </c>
      <c r="Q34" s="2595">
        <v>0</v>
      </c>
      <c r="R34" s="2595">
        <v>0</v>
      </c>
      <c r="S34" s="2595">
        <v>0</v>
      </c>
      <c r="T34" s="2595">
        <v>0</v>
      </c>
      <c r="U34" s="2595">
        <v>0</v>
      </c>
      <c r="V34" s="2595">
        <v>0</v>
      </c>
      <c r="W34" s="2594">
        <v>0</v>
      </c>
      <c r="X34" s="2595"/>
      <c r="Y34" s="2595"/>
      <c r="Z34" s="2595"/>
      <c r="AA34" s="2595"/>
      <c r="AB34" s="2595"/>
      <c r="AC34" s="2595"/>
      <c r="AD34" s="2595"/>
      <c r="AE34" s="2595"/>
      <c r="AF34" s="2811"/>
      <c r="AG34" s="2811"/>
      <c r="AH34" s="2811"/>
      <c r="AI34" s="2811"/>
      <c r="AJ34" s="2595"/>
      <c r="AK34" s="2595"/>
      <c r="AL34" s="2811"/>
      <c r="AM34" s="2811">
        <v>0</v>
      </c>
      <c r="AN34" s="2595"/>
      <c r="AO34" s="2595"/>
      <c r="AP34" s="2595"/>
      <c r="AQ34" s="2595"/>
      <c r="AR34" s="2595"/>
      <c r="AS34" s="2595"/>
      <c r="AT34" s="2594">
        <v>0</v>
      </c>
      <c r="AU34" s="2811">
        <v>0</v>
      </c>
      <c r="AV34" s="2595">
        <v>0</v>
      </c>
      <c r="AW34" s="2595">
        <v>0</v>
      </c>
      <c r="AX34" s="2595">
        <v>0</v>
      </c>
      <c r="AY34" s="2595">
        <v>0</v>
      </c>
      <c r="AZ34" s="2594">
        <v>0</v>
      </c>
      <c r="BA34" s="2595"/>
      <c r="BB34" s="2595"/>
      <c r="BC34" s="2595"/>
      <c r="BD34" s="2595">
        <v>0</v>
      </c>
      <c r="BE34" s="2595"/>
      <c r="BF34" s="2595">
        <v>0</v>
      </c>
      <c r="BG34" s="2595"/>
      <c r="BH34" s="2811">
        <v>0</v>
      </c>
      <c r="BI34" s="2595">
        <v>0</v>
      </c>
      <c r="BJ34" s="2811">
        <v>0</v>
      </c>
      <c r="BK34" s="2811">
        <v>0</v>
      </c>
      <c r="BL34" s="2595">
        <v>0</v>
      </c>
      <c r="BM34" s="2595">
        <v>0</v>
      </c>
      <c r="BN34" s="2595">
        <v>0</v>
      </c>
      <c r="BO34" s="2594">
        <v>0</v>
      </c>
      <c r="BP34" s="2595">
        <v>0</v>
      </c>
      <c r="BQ34" s="2595">
        <v>0</v>
      </c>
      <c r="BR34" s="2594"/>
      <c r="BS34" s="2594"/>
      <c r="BT34" s="2829"/>
    </row>
    <row r="35" spans="1:72">
      <c r="A35" s="2596"/>
      <c r="B35" s="2590" t="s">
        <v>1369</v>
      </c>
      <c r="C35" s="2591" t="s">
        <v>2892</v>
      </c>
      <c r="D35" s="2591"/>
      <c r="E35" s="2591"/>
      <c r="F35" s="2592" t="s">
        <v>2893</v>
      </c>
      <c r="G35" s="2592"/>
      <c r="H35" s="2593">
        <v>127.35263208178083</v>
      </c>
      <c r="I35" s="2594"/>
      <c r="J35" s="2595"/>
      <c r="K35" s="2595"/>
      <c r="L35" s="2595"/>
      <c r="M35" s="2595"/>
      <c r="N35" s="2595"/>
      <c r="O35" s="2595"/>
      <c r="P35" s="2595"/>
      <c r="Q35" s="2595"/>
      <c r="R35" s="2595"/>
      <c r="S35" s="2595"/>
      <c r="T35" s="2595"/>
      <c r="U35" s="2595"/>
      <c r="V35" s="2595"/>
      <c r="W35" s="2594"/>
      <c r="X35" s="2595"/>
      <c r="Y35" s="2595"/>
      <c r="Z35" s="2595"/>
      <c r="AA35" s="2595"/>
      <c r="AB35" s="2595"/>
      <c r="AC35" s="2595"/>
      <c r="AD35" s="2595"/>
      <c r="AE35" s="2595"/>
      <c r="AF35" s="2811"/>
      <c r="AG35" s="2811"/>
      <c r="AH35" s="2811"/>
      <c r="AI35" s="2811"/>
      <c r="AJ35" s="2595"/>
      <c r="AK35" s="2595"/>
      <c r="AL35" s="2811"/>
      <c r="AM35" s="2811"/>
      <c r="AN35" s="2595"/>
      <c r="AO35" s="2595"/>
      <c r="AP35" s="2595"/>
      <c r="AQ35" s="2595"/>
      <c r="AR35" s="2595"/>
      <c r="AS35" s="2595"/>
      <c r="AT35" s="2594"/>
      <c r="AU35" s="2811"/>
      <c r="AV35" s="2595"/>
      <c r="AW35" s="2595"/>
      <c r="AX35" s="2595"/>
      <c r="AY35" s="2595"/>
      <c r="AZ35" s="2594"/>
      <c r="BA35" s="2595"/>
      <c r="BB35" s="2595"/>
      <c r="BC35" s="2595"/>
      <c r="BD35" s="2595"/>
      <c r="BE35" s="2595"/>
      <c r="BF35" s="2595"/>
      <c r="BG35" s="2595"/>
      <c r="BH35" s="2811"/>
      <c r="BI35" s="2595"/>
      <c r="BJ35" s="2811"/>
      <c r="BK35" s="2811"/>
      <c r="BL35" s="2595"/>
      <c r="BM35" s="2595"/>
      <c r="BN35" s="2595"/>
      <c r="BO35" s="2594"/>
      <c r="BP35" s="2595"/>
      <c r="BQ35" s="2595"/>
      <c r="BR35" s="2594"/>
      <c r="BS35" s="2594"/>
      <c r="BT35" s="2829">
        <v>127.35263208178083</v>
      </c>
    </row>
    <row r="36" spans="1:72">
      <c r="A36" s="2596"/>
      <c r="B36" s="2590" t="s">
        <v>1369</v>
      </c>
      <c r="C36" s="2591" t="s">
        <v>2894</v>
      </c>
      <c r="D36" s="2591"/>
      <c r="E36" s="2591"/>
      <c r="F36" s="2592" t="s">
        <v>2895</v>
      </c>
      <c r="G36" s="2592"/>
      <c r="H36" s="2593">
        <v>11.345180089806057</v>
      </c>
      <c r="I36" s="2594"/>
      <c r="J36" s="2595"/>
      <c r="K36" s="2595"/>
      <c r="L36" s="2595"/>
      <c r="M36" s="2595"/>
      <c r="N36" s="2595"/>
      <c r="O36" s="2595"/>
      <c r="P36" s="2595"/>
      <c r="Q36" s="2595"/>
      <c r="R36" s="2595"/>
      <c r="S36" s="2595"/>
      <c r="T36" s="2595"/>
      <c r="U36" s="2595"/>
      <c r="V36" s="2595"/>
      <c r="W36" s="2594"/>
      <c r="X36" s="2595"/>
      <c r="Y36" s="2595"/>
      <c r="Z36" s="2595"/>
      <c r="AA36" s="2595"/>
      <c r="AB36" s="2595"/>
      <c r="AC36" s="2595"/>
      <c r="AD36" s="2595"/>
      <c r="AE36" s="2595"/>
      <c r="AF36" s="2811"/>
      <c r="AG36" s="2811"/>
      <c r="AH36" s="2811"/>
      <c r="AI36" s="2811"/>
      <c r="AJ36" s="2595"/>
      <c r="AK36" s="2595"/>
      <c r="AL36" s="2811"/>
      <c r="AM36" s="2811"/>
      <c r="AN36" s="2595"/>
      <c r="AO36" s="2595"/>
      <c r="AP36" s="2595"/>
      <c r="AQ36" s="2595"/>
      <c r="AR36" s="2595"/>
      <c r="AS36" s="2595"/>
      <c r="AT36" s="2594"/>
      <c r="AU36" s="2811"/>
      <c r="AV36" s="2595"/>
      <c r="AW36" s="2595"/>
      <c r="AX36" s="2595"/>
      <c r="AY36" s="2595"/>
      <c r="AZ36" s="2594"/>
      <c r="BA36" s="2595"/>
      <c r="BB36" s="2595"/>
      <c r="BC36" s="2595"/>
      <c r="BD36" s="2595"/>
      <c r="BE36" s="2595"/>
      <c r="BF36" s="2595"/>
      <c r="BG36" s="2595"/>
      <c r="BH36" s="2811"/>
      <c r="BI36" s="2595"/>
      <c r="BJ36" s="2811"/>
      <c r="BK36" s="2811"/>
      <c r="BL36" s="2595"/>
      <c r="BM36" s="2595"/>
      <c r="BN36" s="2595"/>
      <c r="BO36" s="2594"/>
      <c r="BP36" s="2595"/>
      <c r="BQ36" s="2595"/>
      <c r="BR36" s="2594"/>
      <c r="BS36" s="2594"/>
      <c r="BT36" s="2829">
        <v>11.345180089806057</v>
      </c>
    </row>
    <row r="37" spans="1:72">
      <c r="A37" s="2590" t="s">
        <v>1369</v>
      </c>
      <c r="B37" s="2591" t="s">
        <v>2896</v>
      </c>
      <c r="C37" s="2591"/>
      <c r="D37" s="2591"/>
      <c r="E37" s="2591"/>
      <c r="F37" s="2592" t="s">
        <v>2897</v>
      </c>
      <c r="G37" s="2592"/>
      <c r="H37" s="2593">
        <v>0</v>
      </c>
      <c r="I37" s="2594">
        <v>0</v>
      </c>
      <c r="J37" s="2595">
        <v>0</v>
      </c>
      <c r="K37" s="2595">
        <v>0</v>
      </c>
      <c r="L37" s="2595">
        <v>0</v>
      </c>
      <c r="M37" s="2595">
        <v>0</v>
      </c>
      <c r="N37" s="2595">
        <v>0</v>
      </c>
      <c r="O37" s="2595">
        <v>0</v>
      </c>
      <c r="P37" s="2595">
        <v>0</v>
      </c>
      <c r="Q37" s="2595">
        <v>0</v>
      </c>
      <c r="R37" s="2595">
        <v>0</v>
      </c>
      <c r="S37" s="2595">
        <v>0</v>
      </c>
      <c r="T37" s="2595">
        <v>0</v>
      </c>
      <c r="U37" s="2595">
        <v>0</v>
      </c>
      <c r="V37" s="2595">
        <v>0</v>
      </c>
      <c r="W37" s="2594">
        <v>0</v>
      </c>
      <c r="X37" s="2595"/>
      <c r="Y37" s="2595"/>
      <c r="Z37" s="2595"/>
      <c r="AA37" s="2595"/>
      <c r="AB37" s="2595"/>
      <c r="AC37" s="2595"/>
      <c r="AD37" s="2595"/>
      <c r="AE37" s="2595"/>
      <c r="AF37" s="2811"/>
      <c r="AG37" s="2811"/>
      <c r="AH37" s="2811"/>
      <c r="AI37" s="2811"/>
      <c r="AJ37" s="2595"/>
      <c r="AK37" s="2595"/>
      <c r="AL37" s="2811"/>
      <c r="AM37" s="2811">
        <v>0</v>
      </c>
      <c r="AN37" s="2595"/>
      <c r="AO37" s="2595"/>
      <c r="AP37" s="2595"/>
      <c r="AQ37" s="2595"/>
      <c r="AR37" s="2595"/>
      <c r="AS37" s="2595"/>
      <c r="AT37" s="2594">
        <v>0</v>
      </c>
      <c r="AU37" s="2811"/>
      <c r="AV37" s="2595">
        <v>0</v>
      </c>
      <c r="AW37" s="2595">
        <v>0</v>
      </c>
      <c r="AX37" s="2595">
        <v>0</v>
      </c>
      <c r="AY37" s="2595">
        <v>0</v>
      </c>
      <c r="AZ37" s="2594">
        <v>0</v>
      </c>
      <c r="BA37" s="2595"/>
      <c r="BB37" s="2595"/>
      <c r="BC37" s="2595"/>
      <c r="BD37" s="2595"/>
      <c r="BE37" s="2595"/>
      <c r="BF37" s="2595"/>
      <c r="BG37" s="2595"/>
      <c r="BH37" s="2811"/>
      <c r="BI37" s="2595"/>
      <c r="BJ37" s="2811">
        <v>0</v>
      </c>
      <c r="BK37" s="2811">
        <v>0</v>
      </c>
      <c r="BL37" s="2595">
        <v>0</v>
      </c>
      <c r="BM37" s="2595">
        <v>0</v>
      </c>
      <c r="BN37" s="2595"/>
      <c r="BO37" s="2594">
        <v>0</v>
      </c>
      <c r="BP37" s="2595">
        <v>0</v>
      </c>
      <c r="BQ37" s="2595"/>
      <c r="BR37" s="2594"/>
      <c r="BS37" s="2594"/>
      <c r="BT37" s="2829"/>
    </row>
    <row r="38" spans="1:72">
      <c r="A38" s="2590" t="s">
        <v>1369</v>
      </c>
      <c r="B38" s="2591" t="s">
        <v>2898</v>
      </c>
      <c r="C38" s="2591"/>
      <c r="D38" s="2591"/>
      <c r="E38" s="2591"/>
      <c r="F38" s="2592" t="s">
        <v>2899</v>
      </c>
      <c r="G38" s="2592"/>
      <c r="H38" s="2593">
        <v>0</v>
      </c>
      <c r="I38" s="2594">
        <v>0</v>
      </c>
      <c r="J38" s="2595">
        <v>0</v>
      </c>
      <c r="K38" s="2595">
        <v>0</v>
      </c>
      <c r="L38" s="2595">
        <v>0</v>
      </c>
      <c r="M38" s="2595">
        <v>0</v>
      </c>
      <c r="N38" s="2595">
        <v>0</v>
      </c>
      <c r="O38" s="2595">
        <v>0</v>
      </c>
      <c r="P38" s="2595">
        <v>0</v>
      </c>
      <c r="Q38" s="2595">
        <v>0</v>
      </c>
      <c r="R38" s="2595">
        <v>0</v>
      </c>
      <c r="S38" s="2595">
        <v>0</v>
      </c>
      <c r="T38" s="2595">
        <v>0</v>
      </c>
      <c r="U38" s="2595">
        <v>0</v>
      </c>
      <c r="V38" s="2595">
        <v>0</v>
      </c>
      <c r="W38" s="2594"/>
      <c r="X38" s="2595"/>
      <c r="Y38" s="2595"/>
      <c r="Z38" s="2595"/>
      <c r="AA38" s="2595"/>
      <c r="AB38" s="2595"/>
      <c r="AC38" s="2595"/>
      <c r="AD38" s="2595"/>
      <c r="AE38" s="2595"/>
      <c r="AF38" s="2811"/>
      <c r="AG38" s="2811"/>
      <c r="AH38" s="2811"/>
      <c r="AI38" s="2811"/>
      <c r="AJ38" s="2595"/>
      <c r="AK38" s="2595"/>
      <c r="AL38" s="2811"/>
      <c r="AM38" s="2811"/>
      <c r="AN38" s="2595"/>
      <c r="AO38" s="2595"/>
      <c r="AP38" s="2595"/>
      <c r="AQ38" s="2595"/>
      <c r="AR38" s="2595"/>
      <c r="AS38" s="2595"/>
      <c r="AT38" s="2594">
        <v>0</v>
      </c>
      <c r="AU38" s="2811"/>
      <c r="AV38" s="2595">
        <v>0</v>
      </c>
      <c r="AW38" s="2595">
        <v>0</v>
      </c>
      <c r="AX38" s="2595">
        <v>0</v>
      </c>
      <c r="AY38" s="2595">
        <v>0</v>
      </c>
      <c r="AZ38" s="2594">
        <v>0</v>
      </c>
      <c r="BA38" s="2595"/>
      <c r="BB38" s="2595"/>
      <c r="BC38" s="2595"/>
      <c r="BD38" s="2595"/>
      <c r="BE38" s="2595"/>
      <c r="BF38" s="2595">
        <v>0</v>
      </c>
      <c r="BG38" s="2595">
        <v>0</v>
      </c>
      <c r="BH38" s="2811"/>
      <c r="BI38" s="2595">
        <v>0</v>
      </c>
      <c r="BJ38" s="2811">
        <v>0</v>
      </c>
      <c r="BK38" s="2811">
        <v>0</v>
      </c>
      <c r="BL38" s="2595">
        <v>0</v>
      </c>
      <c r="BM38" s="2595">
        <v>0</v>
      </c>
      <c r="BN38" s="2595"/>
      <c r="BO38" s="2594">
        <v>0</v>
      </c>
      <c r="BP38" s="2595">
        <v>0</v>
      </c>
      <c r="BQ38" s="2595">
        <v>0</v>
      </c>
      <c r="BR38" s="2594"/>
      <c r="BS38" s="2594"/>
      <c r="BT38" s="2829"/>
    </row>
    <row r="39" spans="1:72">
      <c r="A39" s="2590" t="s">
        <v>1369</v>
      </c>
      <c r="B39" s="2591" t="s">
        <v>2900</v>
      </c>
      <c r="C39" s="2591"/>
      <c r="D39" s="2591"/>
      <c r="E39" s="2591"/>
      <c r="F39" s="2592" t="s">
        <v>2901</v>
      </c>
      <c r="G39" s="2592"/>
      <c r="H39" s="2593">
        <v>0</v>
      </c>
      <c r="I39" s="2594">
        <v>0</v>
      </c>
      <c r="J39" s="2595">
        <v>0</v>
      </c>
      <c r="K39" s="2595">
        <v>0</v>
      </c>
      <c r="L39" s="2595">
        <v>0</v>
      </c>
      <c r="M39" s="2595">
        <v>0</v>
      </c>
      <c r="N39" s="2595">
        <v>0</v>
      </c>
      <c r="O39" s="2595">
        <v>0</v>
      </c>
      <c r="P39" s="2595">
        <v>0</v>
      </c>
      <c r="Q39" s="2595">
        <v>0</v>
      </c>
      <c r="R39" s="2595">
        <v>0</v>
      </c>
      <c r="S39" s="2595">
        <v>0</v>
      </c>
      <c r="T39" s="2595">
        <v>0</v>
      </c>
      <c r="U39" s="2595">
        <v>0</v>
      </c>
      <c r="V39" s="2595">
        <v>0</v>
      </c>
      <c r="W39" s="2594"/>
      <c r="X39" s="2595"/>
      <c r="Y39" s="2595"/>
      <c r="Z39" s="2595"/>
      <c r="AA39" s="2595"/>
      <c r="AB39" s="2595"/>
      <c r="AC39" s="2595"/>
      <c r="AD39" s="2595"/>
      <c r="AE39" s="2595"/>
      <c r="AF39" s="2811"/>
      <c r="AG39" s="2811"/>
      <c r="AH39" s="2811"/>
      <c r="AI39" s="2811"/>
      <c r="AJ39" s="2595"/>
      <c r="AK39" s="2595"/>
      <c r="AL39" s="2811"/>
      <c r="AM39" s="2811"/>
      <c r="AN39" s="2595"/>
      <c r="AO39" s="2595"/>
      <c r="AP39" s="2595"/>
      <c r="AQ39" s="2595"/>
      <c r="AR39" s="2595"/>
      <c r="AS39" s="2595"/>
      <c r="AT39" s="2594">
        <v>0</v>
      </c>
      <c r="AU39" s="2811"/>
      <c r="AV39" s="2595">
        <v>0</v>
      </c>
      <c r="AW39" s="2595">
        <v>0</v>
      </c>
      <c r="AX39" s="2595">
        <v>0</v>
      </c>
      <c r="AY39" s="2595">
        <v>0</v>
      </c>
      <c r="AZ39" s="2594"/>
      <c r="BA39" s="2595"/>
      <c r="BB39" s="2595"/>
      <c r="BC39" s="2595"/>
      <c r="BD39" s="2595"/>
      <c r="BE39" s="2595"/>
      <c r="BF39" s="2595"/>
      <c r="BG39" s="2595"/>
      <c r="BH39" s="2811"/>
      <c r="BI39" s="2595"/>
      <c r="BJ39" s="2811"/>
      <c r="BK39" s="2811"/>
      <c r="BL39" s="2595"/>
      <c r="BM39" s="2595"/>
      <c r="BN39" s="2595"/>
      <c r="BO39" s="2594"/>
      <c r="BP39" s="2595"/>
      <c r="BQ39" s="2595"/>
      <c r="BR39" s="2594"/>
      <c r="BS39" s="2594"/>
      <c r="BT39" s="2829"/>
    </row>
    <row r="40" spans="1:72">
      <c r="A40" s="2590" t="s">
        <v>1369</v>
      </c>
      <c r="B40" s="2591" t="s">
        <v>2902</v>
      </c>
      <c r="C40" s="2591"/>
      <c r="D40" s="2591"/>
      <c r="E40" s="2591"/>
      <c r="F40" s="2592" t="s">
        <v>2903</v>
      </c>
      <c r="G40" s="2592"/>
      <c r="H40" s="2593">
        <v>0</v>
      </c>
      <c r="I40" s="2594"/>
      <c r="J40" s="2595"/>
      <c r="K40" s="2595"/>
      <c r="L40" s="2595"/>
      <c r="M40" s="2595"/>
      <c r="N40" s="2595"/>
      <c r="O40" s="2595"/>
      <c r="P40" s="2595"/>
      <c r="Q40" s="2595"/>
      <c r="R40" s="2595"/>
      <c r="S40" s="2595"/>
      <c r="T40" s="2595"/>
      <c r="U40" s="2595"/>
      <c r="V40" s="2595"/>
      <c r="W40" s="2594">
        <v>0</v>
      </c>
      <c r="X40" s="2595"/>
      <c r="Y40" s="2595"/>
      <c r="Z40" s="2595"/>
      <c r="AA40" s="2595"/>
      <c r="AB40" s="2595"/>
      <c r="AC40" s="2595"/>
      <c r="AD40" s="2595"/>
      <c r="AE40" s="2595"/>
      <c r="AF40" s="2811"/>
      <c r="AG40" s="2811"/>
      <c r="AH40" s="2811"/>
      <c r="AI40" s="2811"/>
      <c r="AJ40" s="2595"/>
      <c r="AK40" s="2595"/>
      <c r="AL40" s="2811"/>
      <c r="AM40" s="2811">
        <v>0</v>
      </c>
      <c r="AN40" s="2595"/>
      <c r="AO40" s="2595"/>
      <c r="AP40" s="2595"/>
      <c r="AQ40" s="2595"/>
      <c r="AR40" s="2595"/>
      <c r="AS40" s="2595"/>
      <c r="AT40" s="2594">
        <v>0</v>
      </c>
      <c r="AU40" s="2811"/>
      <c r="AV40" s="2595">
        <v>0</v>
      </c>
      <c r="AW40" s="2595">
        <v>0</v>
      </c>
      <c r="AX40" s="2595">
        <v>0</v>
      </c>
      <c r="AY40" s="2595">
        <v>0</v>
      </c>
      <c r="AZ40" s="2594">
        <v>0</v>
      </c>
      <c r="BA40" s="2595"/>
      <c r="BB40" s="2595"/>
      <c r="BC40" s="2595"/>
      <c r="BD40" s="2595"/>
      <c r="BE40" s="2595"/>
      <c r="BF40" s="2595"/>
      <c r="BG40" s="2595"/>
      <c r="BH40" s="2811">
        <v>0</v>
      </c>
      <c r="BI40" s="2595"/>
      <c r="BJ40" s="2811">
        <v>0</v>
      </c>
      <c r="BK40" s="2811">
        <v>0</v>
      </c>
      <c r="BL40" s="2595">
        <v>0</v>
      </c>
      <c r="BM40" s="2595"/>
      <c r="BN40" s="2595"/>
      <c r="BO40" s="2594"/>
      <c r="BP40" s="2595"/>
      <c r="BQ40" s="2595"/>
      <c r="BR40" s="2594"/>
      <c r="BS40" s="2594"/>
      <c r="BT40" s="2829"/>
    </row>
    <row r="41" spans="1:72">
      <c r="A41" s="2590" t="s">
        <v>1369</v>
      </c>
      <c r="B41" s="2591" t="s">
        <v>2904</v>
      </c>
      <c r="C41" s="2591"/>
      <c r="D41" s="2591"/>
      <c r="E41" s="2591"/>
      <c r="F41" s="2592" t="s">
        <v>2905</v>
      </c>
      <c r="G41" s="2592"/>
      <c r="H41" s="2593">
        <v>0</v>
      </c>
      <c r="I41" s="2594"/>
      <c r="J41" s="2595"/>
      <c r="K41" s="2595"/>
      <c r="L41" s="2595"/>
      <c r="M41" s="2595"/>
      <c r="N41" s="2595"/>
      <c r="O41" s="2595"/>
      <c r="P41" s="2595"/>
      <c r="Q41" s="2595"/>
      <c r="R41" s="2595"/>
      <c r="S41" s="2595"/>
      <c r="T41" s="2595"/>
      <c r="U41" s="2595"/>
      <c r="V41" s="2595"/>
      <c r="W41" s="2594"/>
      <c r="X41" s="2595"/>
      <c r="Y41" s="2595"/>
      <c r="Z41" s="2595"/>
      <c r="AA41" s="2595"/>
      <c r="AB41" s="2595"/>
      <c r="AC41" s="2595"/>
      <c r="AD41" s="2595"/>
      <c r="AE41" s="2595"/>
      <c r="AF41" s="2811"/>
      <c r="AG41" s="2811"/>
      <c r="AH41" s="2811"/>
      <c r="AI41" s="2811"/>
      <c r="AJ41" s="2595"/>
      <c r="AK41" s="2595"/>
      <c r="AL41" s="2811"/>
      <c r="AM41" s="2811"/>
      <c r="AN41" s="2595"/>
      <c r="AO41" s="2595"/>
      <c r="AP41" s="2595"/>
      <c r="AQ41" s="2595"/>
      <c r="AR41" s="2595"/>
      <c r="AS41" s="2595"/>
      <c r="AT41" s="2594"/>
      <c r="AU41" s="2811"/>
      <c r="AV41" s="2595"/>
      <c r="AW41" s="2595"/>
      <c r="AX41" s="2595"/>
      <c r="AY41" s="2595"/>
      <c r="AZ41" s="2594">
        <v>0</v>
      </c>
      <c r="BA41" s="2595"/>
      <c r="BB41" s="2595"/>
      <c r="BC41" s="2595"/>
      <c r="BD41" s="2595"/>
      <c r="BE41" s="2595"/>
      <c r="BF41" s="2595">
        <v>0</v>
      </c>
      <c r="BG41" s="2595"/>
      <c r="BH41" s="2811"/>
      <c r="BI41" s="2595"/>
      <c r="BJ41" s="2811">
        <v>0</v>
      </c>
      <c r="BK41" s="2811">
        <v>0</v>
      </c>
      <c r="BL41" s="2595">
        <v>0</v>
      </c>
      <c r="BM41" s="2595">
        <v>0</v>
      </c>
      <c r="BN41" s="2595"/>
      <c r="BO41" s="2594"/>
      <c r="BP41" s="2595"/>
      <c r="BQ41" s="2595"/>
      <c r="BR41" s="2594"/>
      <c r="BS41" s="2594"/>
      <c r="BT41" s="2829"/>
    </row>
    <row r="42" spans="1:72">
      <c r="A42" s="2590" t="s">
        <v>1369</v>
      </c>
      <c r="B42" s="2591" t="s">
        <v>2906</v>
      </c>
      <c r="C42" s="2591"/>
      <c r="D42" s="2591"/>
      <c r="E42" s="2591"/>
      <c r="F42" s="2592" t="s">
        <v>2907</v>
      </c>
      <c r="G42" s="2592"/>
      <c r="H42" s="2593">
        <v>0</v>
      </c>
      <c r="I42" s="2594"/>
      <c r="J42" s="2595"/>
      <c r="K42" s="2595"/>
      <c r="L42" s="2595"/>
      <c r="M42" s="2595"/>
      <c r="N42" s="2595"/>
      <c r="O42" s="2595"/>
      <c r="P42" s="2595"/>
      <c r="Q42" s="2595"/>
      <c r="R42" s="2595"/>
      <c r="S42" s="2595"/>
      <c r="T42" s="2595"/>
      <c r="U42" s="2595"/>
      <c r="V42" s="2595"/>
      <c r="W42" s="2594"/>
      <c r="X42" s="2595"/>
      <c r="Y42" s="2595"/>
      <c r="Z42" s="2595"/>
      <c r="AA42" s="2595"/>
      <c r="AB42" s="2595"/>
      <c r="AC42" s="2595"/>
      <c r="AD42" s="2595"/>
      <c r="AE42" s="2595"/>
      <c r="AF42" s="2811"/>
      <c r="AG42" s="2811"/>
      <c r="AH42" s="2811"/>
      <c r="AI42" s="2811"/>
      <c r="AJ42" s="2595"/>
      <c r="AK42" s="2595"/>
      <c r="AL42" s="2811"/>
      <c r="AM42" s="2811"/>
      <c r="AN42" s="2595"/>
      <c r="AO42" s="2595"/>
      <c r="AP42" s="2595"/>
      <c r="AQ42" s="2595"/>
      <c r="AR42" s="2595"/>
      <c r="AS42" s="2595"/>
      <c r="AT42" s="2594">
        <v>0</v>
      </c>
      <c r="AU42" s="2811">
        <v>0</v>
      </c>
      <c r="AV42" s="2595"/>
      <c r="AW42" s="2595"/>
      <c r="AX42" s="2595"/>
      <c r="AY42" s="2595"/>
      <c r="AZ42" s="2594"/>
      <c r="BA42" s="2595"/>
      <c r="BB42" s="2595"/>
      <c r="BC42" s="2595"/>
      <c r="BD42" s="2595"/>
      <c r="BE42" s="2595"/>
      <c r="BF42" s="2595"/>
      <c r="BG42" s="2595"/>
      <c r="BH42" s="2811"/>
      <c r="BI42" s="2595"/>
      <c r="BJ42" s="2811"/>
      <c r="BK42" s="2811"/>
      <c r="BL42" s="2595"/>
      <c r="BM42" s="2595"/>
      <c r="BN42" s="2595"/>
      <c r="BO42" s="2594"/>
      <c r="BP42" s="2595"/>
      <c r="BQ42" s="2595"/>
      <c r="BR42" s="2594"/>
      <c r="BS42" s="2594"/>
      <c r="BT42" s="2829"/>
    </row>
    <row r="43" spans="1:72">
      <c r="A43" s="2597" t="s">
        <v>1369</v>
      </c>
      <c r="B43" s="2598" t="s">
        <v>2908</v>
      </c>
      <c r="C43" s="2598"/>
      <c r="D43" s="2598"/>
      <c r="E43" s="2598"/>
      <c r="F43" s="2599" t="s">
        <v>2909</v>
      </c>
      <c r="G43" s="2599"/>
      <c r="H43" s="2600">
        <v>0</v>
      </c>
      <c r="I43" s="2601">
        <v>0</v>
      </c>
      <c r="J43" s="2602">
        <v>0</v>
      </c>
      <c r="K43" s="2602">
        <v>0</v>
      </c>
      <c r="L43" s="2602">
        <v>0</v>
      </c>
      <c r="M43" s="2602">
        <v>0</v>
      </c>
      <c r="N43" s="2602">
        <v>0</v>
      </c>
      <c r="O43" s="2602">
        <v>0</v>
      </c>
      <c r="P43" s="2602">
        <v>0</v>
      </c>
      <c r="Q43" s="2602">
        <v>0</v>
      </c>
      <c r="R43" s="2602">
        <v>0</v>
      </c>
      <c r="S43" s="2602">
        <v>0</v>
      </c>
      <c r="T43" s="2602">
        <v>0</v>
      </c>
      <c r="U43" s="2602">
        <v>0</v>
      </c>
      <c r="V43" s="2602">
        <v>0</v>
      </c>
      <c r="W43" s="2601">
        <v>0</v>
      </c>
      <c r="X43" s="2602"/>
      <c r="Y43" s="2602"/>
      <c r="Z43" s="2602"/>
      <c r="AA43" s="2602"/>
      <c r="AB43" s="2602"/>
      <c r="AC43" s="2602"/>
      <c r="AD43" s="2602"/>
      <c r="AE43" s="2602"/>
      <c r="AF43" s="2812"/>
      <c r="AG43" s="2812"/>
      <c r="AH43" s="2812"/>
      <c r="AI43" s="2812"/>
      <c r="AJ43" s="2602"/>
      <c r="AK43" s="2602"/>
      <c r="AL43" s="2812"/>
      <c r="AM43" s="2812">
        <v>0</v>
      </c>
      <c r="AN43" s="2602"/>
      <c r="AO43" s="2602"/>
      <c r="AP43" s="2602"/>
      <c r="AQ43" s="2602"/>
      <c r="AR43" s="2602"/>
      <c r="AS43" s="2602"/>
      <c r="AT43" s="2601">
        <v>0</v>
      </c>
      <c r="AU43" s="2812">
        <v>0</v>
      </c>
      <c r="AV43" s="2602">
        <v>0</v>
      </c>
      <c r="AW43" s="2602">
        <v>0</v>
      </c>
      <c r="AX43" s="2602">
        <v>0</v>
      </c>
      <c r="AY43" s="2602">
        <v>0</v>
      </c>
      <c r="AZ43" s="2601">
        <v>0</v>
      </c>
      <c r="BA43" s="2602"/>
      <c r="BB43" s="2602"/>
      <c r="BC43" s="2602"/>
      <c r="BD43" s="2602">
        <v>0</v>
      </c>
      <c r="BE43" s="2602"/>
      <c r="BF43" s="2602">
        <v>0</v>
      </c>
      <c r="BG43" s="2602">
        <v>0</v>
      </c>
      <c r="BH43" s="2812">
        <v>0</v>
      </c>
      <c r="BI43" s="2602">
        <v>0</v>
      </c>
      <c r="BJ43" s="2812">
        <v>0</v>
      </c>
      <c r="BK43" s="2812">
        <v>0</v>
      </c>
      <c r="BL43" s="2602">
        <v>0</v>
      </c>
      <c r="BM43" s="2602">
        <v>0</v>
      </c>
      <c r="BN43" s="2602">
        <v>0</v>
      </c>
      <c r="BO43" s="2601">
        <v>0</v>
      </c>
      <c r="BP43" s="2602">
        <v>0</v>
      </c>
      <c r="BQ43" s="2602">
        <v>0</v>
      </c>
      <c r="BR43" s="2601"/>
      <c r="BS43" s="2601"/>
      <c r="BT43" s="2830"/>
    </row>
    <row r="44" spans="1:72">
      <c r="A44" s="2614" t="s">
        <v>2910</v>
      </c>
      <c r="B44" s="2614"/>
      <c r="C44" s="2614"/>
      <c r="D44" s="2614"/>
      <c r="E44" s="2614"/>
      <c r="F44" s="2615" t="s">
        <v>2911</v>
      </c>
      <c r="G44" s="2615"/>
      <c r="H44" s="2616">
        <v>34488.177128116935</v>
      </c>
      <c r="I44" s="2617">
        <v>814.79889175503956</v>
      </c>
      <c r="J44" s="2618"/>
      <c r="K44" s="2618"/>
      <c r="L44" s="2618"/>
      <c r="M44" s="2618"/>
      <c r="N44" s="2618"/>
      <c r="O44" s="2618">
        <v>0</v>
      </c>
      <c r="P44" s="2618">
        <v>814.79889175503956</v>
      </c>
      <c r="Q44" s="2618">
        <v>0</v>
      </c>
      <c r="R44" s="2618">
        <v>0</v>
      </c>
      <c r="S44" s="2618">
        <v>0</v>
      </c>
      <c r="T44" s="2618"/>
      <c r="U44" s="2618">
        <v>0</v>
      </c>
      <c r="V44" s="2618"/>
      <c r="W44" s="2617">
        <v>21027.443393522499</v>
      </c>
      <c r="X44" s="2618"/>
      <c r="Y44" s="2618"/>
      <c r="Z44" s="2618"/>
      <c r="AA44" s="2618"/>
      <c r="AB44" s="2618"/>
      <c r="AC44" s="2618">
        <v>675.07404222795446</v>
      </c>
      <c r="AD44" s="2618"/>
      <c r="AE44" s="2618">
        <v>377.94974682334953</v>
      </c>
      <c r="AF44" s="2815">
        <v>4153.4823731728284</v>
      </c>
      <c r="AG44" s="2815"/>
      <c r="AH44" s="2815"/>
      <c r="AI44" s="2815">
        <v>185.89376134518008</v>
      </c>
      <c r="AJ44" s="2618"/>
      <c r="AK44" s="2618">
        <v>291.10537880959203</v>
      </c>
      <c r="AL44" s="2815">
        <v>7744.2915830706024</v>
      </c>
      <c r="AM44" s="2815">
        <v>4923.0916212859456</v>
      </c>
      <c r="AN44" s="2618"/>
      <c r="AO44" s="2618">
        <v>376.18228718830608</v>
      </c>
      <c r="AP44" s="2618">
        <v>737.74720550300947</v>
      </c>
      <c r="AQ44" s="2618">
        <v>35.922422852775391</v>
      </c>
      <c r="AR44" s="2618"/>
      <c r="AS44" s="2618">
        <v>1526.7029712429539</v>
      </c>
      <c r="AT44" s="2617">
        <v>536.08961498041458</v>
      </c>
      <c r="AU44" s="2815"/>
      <c r="AV44" s="2618">
        <v>183.05149517531288</v>
      </c>
      <c r="AW44" s="2618">
        <v>335.67402312028275</v>
      </c>
      <c r="AX44" s="2618">
        <v>0</v>
      </c>
      <c r="AY44" s="2618">
        <v>17.364096684818954</v>
      </c>
      <c r="AZ44" s="2617">
        <v>0</v>
      </c>
      <c r="BA44" s="2618"/>
      <c r="BB44" s="2618"/>
      <c r="BC44" s="2618"/>
      <c r="BD44" s="2618"/>
      <c r="BE44" s="2618"/>
      <c r="BF44" s="2618"/>
      <c r="BG44" s="2618">
        <v>0</v>
      </c>
      <c r="BH44" s="2815"/>
      <c r="BI44" s="2618"/>
      <c r="BJ44" s="2815"/>
      <c r="BK44" s="2815"/>
      <c r="BL44" s="2618"/>
      <c r="BM44" s="2618"/>
      <c r="BN44" s="2618"/>
      <c r="BO44" s="2617"/>
      <c r="BP44" s="2618"/>
      <c r="BQ44" s="2618"/>
      <c r="BR44" s="2617"/>
      <c r="BS44" s="2617">
        <v>5355.6415400783408</v>
      </c>
      <c r="BT44" s="2833">
        <v>6754.1798031909811</v>
      </c>
    </row>
    <row r="45" spans="1:72">
      <c r="A45" s="2608" t="s">
        <v>1369</v>
      </c>
      <c r="B45" s="2609" t="s">
        <v>2860</v>
      </c>
      <c r="C45" s="2609"/>
      <c r="D45" s="2609"/>
      <c r="E45" s="2609"/>
      <c r="F45" s="2610" t="s">
        <v>2912</v>
      </c>
      <c r="G45" s="2610"/>
      <c r="H45" s="2611">
        <v>5413.8005159071363</v>
      </c>
      <c r="I45" s="2612"/>
      <c r="J45" s="2613"/>
      <c r="K45" s="2613"/>
      <c r="L45" s="2613"/>
      <c r="M45" s="2613"/>
      <c r="N45" s="2613"/>
      <c r="O45" s="2613"/>
      <c r="P45" s="2613"/>
      <c r="Q45" s="2613"/>
      <c r="R45" s="2613"/>
      <c r="S45" s="2613"/>
      <c r="T45" s="2613"/>
      <c r="U45" s="2613"/>
      <c r="V45" s="2613"/>
      <c r="W45" s="2612"/>
      <c r="X45" s="2613"/>
      <c r="Y45" s="2613"/>
      <c r="Z45" s="2613"/>
      <c r="AA45" s="2613"/>
      <c r="AB45" s="2613"/>
      <c r="AC45" s="2613"/>
      <c r="AD45" s="2613"/>
      <c r="AE45" s="2613"/>
      <c r="AF45" s="2814"/>
      <c r="AG45" s="2814"/>
      <c r="AH45" s="2814"/>
      <c r="AI45" s="2814"/>
      <c r="AJ45" s="2613"/>
      <c r="AK45" s="2613"/>
      <c r="AL45" s="2814"/>
      <c r="AM45" s="2814"/>
      <c r="AN45" s="2613"/>
      <c r="AO45" s="2613"/>
      <c r="AP45" s="2613"/>
      <c r="AQ45" s="2613"/>
      <c r="AR45" s="2613"/>
      <c r="AS45" s="2613"/>
      <c r="AT45" s="2612"/>
      <c r="AU45" s="2814"/>
      <c r="AV45" s="2613"/>
      <c r="AW45" s="2613"/>
      <c r="AX45" s="2613"/>
      <c r="AY45" s="2613"/>
      <c r="AZ45" s="2612"/>
      <c r="BA45" s="2613"/>
      <c r="BB45" s="2613"/>
      <c r="BC45" s="2613"/>
      <c r="BD45" s="2613"/>
      <c r="BE45" s="2613"/>
      <c r="BF45" s="2613"/>
      <c r="BG45" s="2613"/>
      <c r="BH45" s="2814"/>
      <c r="BI45" s="2613"/>
      <c r="BJ45" s="2814"/>
      <c r="BK45" s="2814"/>
      <c r="BL45" s="2613"/>
      <c r="BM45" s="2613"/>
      <c r="BN45" s="2613"/>
      <c r="BO45" s="2612"/>
      <c r="BP45" s="2613"/>
      <c r="BQ45" s="2613"/>
      <c r="BR45" s="2612"/>
      <c r="BS45" s="2612">
        <v>3631.9384732970284</v>
      </c>
      <c r="BT45" s="2832">
        <v>1781.8620426101079</v>
      </c>
    </row>
    <row r="46" spans="1:72">
      <c r="A46" s="2596"/>
      <c r="B46" s="2590" t="s">
        <v>1369</v>
      </c>
      <c r="C46" s="2591" t="s">
        <v>2862</v>
      </c>
      <c r="D46" s="2591"/>
      <c r="E46" s="2591"/>
      <c r="F46" s="2592" t="s">
        <v>2913</v>
      </c>
      <c r="G46" s="2592"/>
      <c r="H46" s="2593">
        <v>4429.0149995223082</v>
      </c>
      <c r="I46" s="2594"/>
      <c r="J46" s="2595"/>
      <c r="K46" s="2595"/>
      <c r="L46" s="2595"/>
      <c r="M46" s="2595"/>
      <c r="N46" s="2595"/>
      <c r="O46" s="2595"/>
      <c r="P46" s="2595"/>
      <c r="Q46" s="2595"/>
      <c r="R46" s="2595"/>
      <c r="S46" s="2595"/>
      <c r="T46" s="2595"/>
      <c r="U46" s="2595"/>
      <c r="V46" s="2595"/>
      <c r="W46" s="2594"/>
      <c r="X46" s="2595"/>
      <c r="Y46" s="2595"/>
      <c r="Z46" s="2595"/>
      <c r="AA46" s="2595"/>
      <c r="AB46" s="2595"/>
      <c r="AC46" s="2595"/>
      <c r="AD46" s="2595"/>
      <c r="AE46" s="2595"/>
      <c r="AF46" s="2811"/>
      <c r="AG46" s="2811"/>
      <c r="AH46" s="2811"/>
      <c r="AI46" s="2811"/>
      <c r="AJ46" s="2595"/>
      <c r="AK46" s="2595"/>
      <c r="AL46" s="2811"/>
      <c r="AM46" s="2811"/>
      <c r="AN46" s="2595"/>
      <c r="AO46" s="2595"/>
      <c r="AP46" s="2595"/>
      <c r="AQ46" s="2595"/>
      <c r="AR46" s="2595"/>
      <c r="AS46" s="2595"/>
      <c r="AT46" s="2594"/>
      <c r="AU46" s="2811"/>
      <c r="AV46" s="2595"/>
      <c r="AW46" s="2595"/>
      <c r="AX46" s="2595"/>
      <c r="AY46" s="2595"/>
      <c r="AZ46" s="2594"/>
      <c r="BA46" s="2595"/>
      <c r="BB46" s="2595"/>
      <c r="BC46" s="2595"/>
      <c r="BD46" s="2595"/>
      <c r="BE46" s="2595"/>
      <c r="BF46" s="2595"/>
      <c r="BG46" s="2595"/>
      <c r="BH46" s="2811"/>
      <c r="BI46" s="2595"/>
      <c r="BJ46" s="2811"/>
      <c r="BK46" s="2811"/>
      <c r="BL46" s="2595"/>
      <c r="BM46" s="2595"/>
      <c r="BN46" s="2595"/>
      <c r="BO46" s="2594"/>
      <c r="BP46" s="2595"/>
      <c r="BQ46" s="2595"/>
      <c r="BR46" s="2594"/>
      <c r="BS46" s="2594">
        <v>3213.9581541989105</v>
      </c>
      <c r="BT46" s="2829">
        <v>1215.0568453233973</v>
      </c>
    </row>
    <row r="47" spans="1:72">
      <c r="A47" s="2596"/>
      <c r="B47" s="2591"/>
      <c r="C47" s="2590" t="s">
        <v>1369</v>
      </c>
      <c r="D47" s="2591" t="s">
        <v>2914</v>
      </c>
      <c r="E47" s="2591"/>
      <c r="F47" s="2592" t="s">
        <v>2915</v>
      </c>
      <c r="G47" s="2592"/>
      <c r="H47" s="2593">
        <v>0</v>
      </c>
      <c r="I47" s="2594"/>
      <c r="J47" s="2595"/>
      <c r="K47" s="2595"/>
      <c r="L47" s="2595"/>
      <c r="M47" s="2595"/>
      <c r="N47" s="2595"/>
      <c r="O47" s="2595"/>
      <c r="P47" s="2595"/>
      <c r="Q47" s="2595"/>
      <c r="R47" s="2595"/>
      <c r="S47" s="2595"/>
      <c r="T47" s="2595"/>
      <c r="U47" s="2595"/>
      <c r="V47" s="2595"/>
      <c r="W47" s="2594"/>
      <c r="X47" s="2595"/>
      <c r="Y47" s="2595"/>
      <c r="Z47" s="2595"/>
      <c r="AA47" s="2595"/>
      <c r="AB47" s="2595"/>
      <c r="AC47" s="2595"/>
      <c r="AD47" s="2595"/>
      <c r="AE47" s="2595"/>
      <c r="AF47" s="2811"/>
      <c r="AG47" s="2811"/>
      <c r="AH47" s="2811"/>
      <c r="AI47" s="2811"/>
      <c r="AJ47" s="2595"/>
      <c r="AK47" s="2595"/>
      <c r="AL47" s="2811"/>
      <c r="AM47" s="2811"/>
      <c r="AN47" s="2595"/>
      <c r="AO47" s="2595"/>
      <c r="AP47" s="2595"/>
      <c r="AQ47" s="2595"/>
      <c r="AR47" s="2595"/>
      <c r="AS47" s="2595"/>
      <c r="AT47" s="2594"/>
      <c r="AU47" s="2811"/>
      <c r="AV47" s="2595"/>
      <c r="AW47" s="2595"/>
      <c r="AX47" s="2595"/>
      <c r="AY47" s="2595"/>
      <c r="AZ47" s="2594"/>
      <c r="BA47" s="2595"/>
      <c r="BB47" s="2595"/>
      <c r="BC47" s="2595"/>
      <c r="BD47" s="2595"/>
      <c r="BE47" s="2595"/>
      <c r="BF47" s="2595"/>
      <c r="BG47" s="2595"/>
      <c r="BH47" s="2811"/>
      <c r="BI47" s="2595"/>
      <c r="BJ47" s="2811"/>
      <c r="BK47" s="2811"/>
      <c r="BL47" s="2595"/>
      <c r="BM47" s="2595"/>
      <c r="BN47" s="2595"/>
      <c r="BO47" s="2594"/>
      <c r="BP47" s="2595"/>
      <c r="BQ47" s="2595"/>
      <c r="BR47" s="2594"/>
      <c r="BS47" s="2594"/>
      <c r="BT47" s="2829">
        <v>0</v>
      </c>
    </row>
    <row r="48" spans="1:72">
      <c r="A48" s="2596"/>
      <c r="B48" s="2591"/>
      <c r="C48" s="2590" t="s">
        <v>1369</v>
      </c>
      <c r="D48" s="2591" t="s">
        <v>2916</v>
      </c>
      <c r="E48" s="2591"/>
      <c r="F48" s="2592" t="s">
        <v>2917</v>
      </c>
      <c r="G48" s="2592"/>
      <c r="H48" s="2593">
        <v>21.830514951753127</v>
      </c>
      <c r="I48" s="2594"/>
      <c r="J48" s="2595"/>
      <c r="K48" s="2595"/>
      <c r="L48" s="2595"/>
      <c r="M48" s="2595"/>
      <c r="N48" s="2595"/>
      <c r="O48" s="2595"/>
      <c r="P48" s="2595"/>
      <c r="Q48" s="2595"/>
      <c r="R48" s="2595"/>
      <c r="S48" s="2595"/>
      <c r="T48" s="2595"/>
      <c r="U48" s="2595"/>
      <c r="V48" s="2595"/>
      <c r="W48" s="2594"/>
      <c r="X48" s="2595"/>
      <c r="Y48" s="2595"/>
      <c r="Z48" s="2595"/>
      <c r="AA48" s="2595"/>
      <c r="AB48" s="2595"/>
      <c r="AC48" s="2595"/>
      <c r="AD48" s="2595"/>
      <c r="AE48" s="2595"/>
      <c r="AF48" s="2811"/>
      <c r="AG48" s="2811"/>
      <c r="AH48" s="2811"/>
      <c r="AI48" s="2811"/>
      <c r="AJ48" s="2595"/>
      <c r="AK48" s="2595"/>
      <c r="AL48" s="2811"/>
      <c r="AM48" s="2811"/>
      <c r="AN48" s="2595"/>
      <c r="AO48" s="2595"/>
      <c r="AP48" s="2595"/>
      <c r="AQ48" s="2595"/>
      <c r="AR48" s="2595"/>
      <c r="AS48" s="2595"/>
      <c r="AT48" s="2594"/>
      <c r="AU48" s="2811"/>
      <c r="AV48" s="2595"/>
      <c r="AW48" s="2595"/>
      <c r="AX48" s="2595"/>
      <c r="AY48" s="2595"/>
      <c r="AZ48" s="2594"/>
      <c r="BA48" s="2595"/>
      <c r="BB48" s="2595"/>
      <c r="BC48" s="2595"/>
      <c r="BD48" s="2595"/>
      <c r="BE48" s="2595"/>
      <c r="BF48" s="2595"/>
      <c r="BG48" s="2595"/>
      <c r="BH48" s="2811"/>
      <c r="BI48" s="2595"/>
      <c r="BJ48" s="2811"/>
      <c r="BK48" s="2811"/>
      <c r="BL48" s="2595"/>
      <c r="BM48" s="2595"/>
      <c r="BN48" s="2595"/>
      <c r="BO48" s="2594"/>
      <c r="BP48" s="2595"/>
      <c r="BQ48" s="2595"/>
      <c r="BR48" s="2594"/>
      <c r="BS48" s="2594"/>
      <c r="BT48" s="2829">
        <v>21.830514951753127</v>
      </c>
    </row>
    <row r="49" spans="1:72">
      <c r="A49" s="2596"/>
      <c r="B49" s="2591"/>
      <c r="C49" s="2590" t="s">
        <v>1369</v>
      </c>
      <c r="D49" s="2591" t="s">
        <v>2918</v>
      </c>
      <c r="E49" s="2591"/>
      <c r="F49" s="2592" t="s">
        <v>2919</v>
      </c>
      <c r="G49" s="2592"/>
      <c r="H49" s="2593">
        <v>0</v>
      </c>
      <c r="I49" s="2594"/>
      <c r="J49" s="2595"/>
      <c r="K49" s="2595"/>
      <c r="L49" s="2595"/>
      <c r="M49" s="2595"/>
      <c r="N49" s="2595"/>
      <c r="O49" s="2595"/>
      <c r="P49" s="2595"/>
      <c r="Q49" s="2595"/>
      <c r="R49" s="2595"/>
      <c r="S49" s="2595"/>
      <c r="T49" s="2595"/>
      <c r="U49" s="2595"/>
      <c r="V49" s="2595"/>
      <c r="W49" s="2594"/>
      <c r="X49" s="2595"/>
      <c r="Y49" s="2595"/>
      <c r="Z49" s="2595"/>
      <c r="AA49" s="2595"/>
      <c r="AB49" s="2595"/>
      <c r="AC49" s="2595"/>
      <c r="AD49" s="2595"/>
      <c r="AE49" s="2595"/>
      <c r="AF49" s="2811"/>
      <c r="AG49" s="2811"/>
      <c r="AH49" s="2811"/>
      <c r="AI49" s="2811"/>
      <c r="AJ49" s="2595"/>
      <c r="AK49" s="2595"/>
      <c r="AL49" s="2811"/>
      <c r="AM49" s="2811"/>
      <c r="AN49" s="2595"/>
      <c r="AO49" s="2595"/>
      <c r="AP49" s="2595"/>
      <c r="AQ49" s="2595"/>
      <c r="AR49" s="2595"/>
      <c r="AS49" s="2595"/>
      <c r="AT49" s="2594"/>
      <c r="AU49" s="2811"/>
      <c r="AV49" s="2595"/>
      <c r="AW49" s="2595"/>
      <c r="AX49" s="2595"/>
      <c r="AY49" s="2595"/>
      <c r="AZ49" s="2594"/>
      <c r="BA49" s="2595"/>
      <c r="BB49" s="2595"/>
      <c r="BC49" s="2595"/>
      <c r="BD49" s="2595"/>
      <c r="BE49" s="2595"/>
      <c r="BF49" s="2595"/>
      <c r="BG49" s="2595"/>
      <c r="BH49" s="2811"/>
      <c r="BI49" s="2595"/>
      <c r="BJ49" s="2811"/>
      <c r="BK49" s="2811"/>
      <c r="BL49" s="2595"/>
      <c r="BM49" s="2595"/>
      <c r="BN49" s="2595"/>
      <c r="BO49" s="2594"/>
      <c r="BP49" s="2595"/>
      <c r="BQ49" s="2595"/>
      <c r="BR49" s="2594"/>
      <c r="BS49" s="2594"/>
      <c r="BT49" s="2829">
        <v>0</v>
      </c>
    </row>
    <row r="50" spans="1:72">
      <c r="A50" s="2596"/>
      <c r="B50" s="2591"/>
      <c r="C50" s="2590" t="s">
        <v>1369</v>
      </c>
      <c r="D50" s="2591" t="s">
        <v>2920</v>
      </c>
      <c r="E50" s="2591"/>
      <c r="F50" s="2592" t="s">
        <v>2921</v>
      </c>
      <c r="G50" s="2592"/>
      <c r="H50" s="2593">
        <v>0</v>
      </c>
      <c r="I50" s="2594"/>
      <c r="J50" s="2595"/>
      <c r="K50" s="2595"/>
      <c r="L50" s="2595"/>
      <c r="M50" s="2595"/>
      <c r="N50" s="2595"/>
      <c r="O50" s="2595"/>
      <c r="P50" s="2595"/>
      <c r="Q50" s="2595"/>
      <c r="R50" s="2595"/>
      <c r="S50" s="2595"/>
      <c r="T50" s="2595"/>
      <c r="U50" s="2595"/>
      <c r="V50" s="2595"/>
      <c r="W50" s="2594"/>
      <c r="X50" s="2595"/>
      <c r="Y50" s="2595"/>
      <c r="Z50" s="2595"/>
      <c r="AA50" s="2595"/>
      <c r="AB50" s="2595"/>
      <c r="AC50" s="2595"/>
      <c r="AD50" s="2595"/>
      <c r="AE50" s="2595"/>
      <c r="AF50" s="2811"/>
      <c r="AG50" s="2811"/>
      <c r="AH50" s="2811"/>
      <c r="AI50" s="2811"/>
      <c r="AJ50" s="2595"/>
      <c r="AK50" s="2595"/>
      <c r="AL50" s="2811"/>
      <c r="AM50" s="2811"/>
      <c r="AN50" s="2595"/>
      <c r="AO50" s="2595"/>
      <c r="AP50" s="2595"/>
      <c r="AQ50" s="2595"/>
      <c r="AR50" s="2595"/>
      <c r="AS50" s="2595"/>
      <c r="AT50" s="2594"/>
      <c r="AU50" s="2811"/>
      <c r="AV50" s="2595"/>
      <c r="AW50" s="2595"/>
      <c r="AX50" s="2595"/>
      <c r="AY50" s="2595"/>
      <c r="AZ50" s="2594"/>
      <c r="BA50" s="2595"/>
      <c r="BB50" s="2595"/>
      <c r="BC50" s="2595"/>
      <c r="BD50" s="2595"/>
      <c r="BE50" s="2595"/>
      <c r="BF50" s="2595"/>
      <c r="BG50" s="2595"/>
      <c r="BH50" s="2811"/>
      <c r="BI50" s="2595"/>
      <c r="BJ50" s="2811"/>
      <c r="BK50" s="2811"/>
      <c r="BL50" s="2595"/>
      <c r="BM50" s="2595"/>
      <c r="BN50" s="2595"/>
      <c r="BO50" s="2594"/>
      <c r="BP50" s="2595"/>
      <c r="BQ50" s="2595"/>
      <c r="BR50" s="2594"/>
      <c r="BS50" s="2594"/>
      <c r="BT50" s="2829">
        <v>0</v>
      </c>
    </row>
    <row r="51" spans="1:72">
      <c r="A51" s="2596"/>
      <c r="B51" s="2591"/>
      <c r="C51" s="2590" t="s">
        <v>1369</v>
      </c>
      <c r="D51" s="2591" t="s">
        <v>2922</v>
      </c>
      <c r="E51" s="2591"/>
      <c r="F51" s="2592" t="s">
        <v>2923</v>
      </c>
      <c r="G51" s="2592"/>
      <c r="H51" s="2593">
        <v>0</v>
      </c>
      <c r="I51" s="2594"/>
      <c r="J51" s="2595"/>
      <c r="K51" s="2595"/>
      <c r="L51" s="2595"/>
      <c r="M51" s="2595"/>
      <c r="N51" s="2595"/>
      <c r="O51" s="2595"/>
      <c r="P51" s="2595"/>
      <c r="Q51" s="2595"/>
      <c r="R51" s="2595"/>
      <c r="S51" s="2595"/>
      <c r="T51" s="2595"/>
      <c r="U51" s="2595"/>
      <c r="V51" s="2595"/>
      <c r="W51" s="2594"/>
      <c r="X51" s="2595"/>
      <c r="Y51" s="2595"/>
      <c r="Z51" s="2595"/>
      <c r="AA51" s="2595"/>
      <c r="AB51" s="2595"/>
      <c r="AC51" s="2595"/>
      <c r="AD51" s="2595"/>
      <c r="AE51" s="2595"/>
      <c r="AF51" s="2811"/>
      <c r="AG51" s="2811"/>
      <c r="AH51" s="2811"/>
      <c r="AI51" s="2811"/>
      <c r="AJ51" s="2595"/>
      <c r="AK51" s="2595"/>
      <c r="AL51" s="2811"/>
      <c r="AM51" s="2811"/>
      <c r="AN51" s="2595"/>
      <c r="AO51" s="2595"/>
      <c r="AP51" s="2595"/>
      <c r="AQ51" s="2595"/>
      <c r="AR51" s="2595"/>
      <c r="AS51" s="2595"/>
      <c r="AT51" s="2594"/>
      <c r="AU51" s="2811"/>
      <c r="AV51" s="2595"/>
      <c r="AW51" s="2595"/>
      <c r="AX51" s="2595"/>
      <c r="AY51" s="2595"/>
      <c r="AZ51" s="2594"/>
      <c r="BA51" s="2595"/>
      <c r="BB51" s="2595"/>
      <c r="BC51" s="2595"/>
      <c r="BD51" s="2595"/>
      <c r="BE51" s="2595"/>
      <c r="BF51" s="2595"/>
      <c r="BG51" s="2595"/>
      <c r="BH51" s="2811"/>
      <c r="BI51" s="2595"/>
      <c r="BJ51" s="2811"/>
      <c r="BK51" s="2811"/>
      <c r="BL51" s="2595"/>
      <c r="BM51" s="2595"/>
      <c r="BN51" s="2595"/>
      <c r="BO51" s="2594"/>
      <c r="BP51" s="2595"/>
      <c r="BQ51" s="2595"/>
      <c r="BR51" s="2594"/>
      <c r="BS51" s="2594"/>
      <c r="BT51" s="2829">
        <v>0</v>
      </c>
    </row>
    <row r="52" spans="1:72">
      <c r="A52" s="2596"/>
      <c r="B52" s="2591"/>
      <c r="C52" s="2590" t="s">
        <v>1369</v>
      </c>
      <c r="D52" s="2591" t="s">
        <v>2924</v>
      </c>
      <c r="E52" s="2591"/>
      <c r="F52" s="2592" t="s">
        <v>2925</v>
      </c>
      <c r="G52" s="2592"/>
      <c r="H52" s="2593">
        <v>1193.2024457819814</v>
      </c>
      <c r="I52" s="2594"/>
      <c r="J52" s="2595"/>
      <c r="K52" s="2595"/>
      <c r="L52" s="2595"/>
      <c r="M52" s="2595"/>
      <c r="N52" s="2595"/>
      <c r="O52" s="2595"/>
      <c r="P52" s="2595"/>
      <c r="Q52" s="2595"/>
      <c r="R52" s="2595"/>
      <c r="S52" s="2595"/>
      <c r="T52" s="2595"/>
      <c r="U52" s="2595"/>
      <c r="V52" s="2595"/>
      <c r="W52" s="2594"/>
      <c r="X52" s="2595"/>
      <c r="Y52" s="2595"/>
      <c r="Z52" s="2595"/>
      <c r="AA52" s="2595"/>
      <c r="AB52" s="2595"/>
      <c r="AC52" s="2595"/>
      <c r="AD52" s="2595"/>
      <c r="AE52" s="2595"/>
      <c r="AF52" s="2811"/>
      <c r="AG52" s="2811"/>
      <c r="AH52" s="2811"/>
      <c r="AI52" s="2811"/>
      <c r="AJ52" s="2595"/>
      <c r="AK52" s="2595"/>
      <c r="AL52" s="2811"/>
      <c r="AM52" s="2811"/>
      <c r="AN52" s="2595"/>
      <c r="AO52" s="2595"/>
      <c r="AP52" s="2595"/>
      <c r="AQ52" s="2595"/>
      <c r="AR52" s="2595"/>
      <c r="AS52" s="2595"/>
      <c r="AT52" s="2594"/>
      <c r="AU52" s="2811"/>
      <c r="AV52" s="2595"/>
      <c r="AW52" s="2595"/>
      <c r="AX52" s="2595"/>
      <c r="AY52" s="2595"/>
      <c r="AZ52" s="2594"/>
      <c r="BA52" s="2595"/>
      <c r="BB52" s="2595"/>
      <c r="BC52" s="2595"/>
      <c r="BD52" s="2595"/>
      <c r="BE52" s="2595"/>
      <c r="BF52" s="2595"/>
      <c r="BG52" s="2595"/>
      <c r="BH52" s="2811"/>
      <c r="BI52" s="2595"/>
      <c r="BJ52" s="2811"/>
      <c r="BK52" s="2811"/>
      <c r="BL52" s="2595"/>
      <c r="BM52" s="2595"/>
      <c r="BN52" s="2595"/>
      <c r="BO52" s="2594"/>
      <c r="BP52" s="2595"/>
      <c r="BQ52" s="2595"/>
      <c r="BR52" s="2594"/>
      <c r="BS52" s="2594"/>
      <c r="BT52" s="2829">
        <v>1193.2024457819814</v>
      </c>
    </row>
    <row r="53" spans="1:72">
      <c r="A53" s="2596"/>
      <c r="B53" s="2591"/>
      <c r="C53" s="2590" t="s">
        <v>1369</v>
      </c>
      <c r="D53" s="2591" t="s">
        <v>2926</v>
      </c>
      <c r="E53" s="2591"/>
      <c r="F53" s="2592" t="s">
        <v>2927</v>
      </c>
      <c r="G53" s="2592"/>
      <c r="H53" s="2593">
        <v>0</v>
      </c>
      <c r="I53" s="2594"/>
      <c r="J53" s="2595"/>
      <c r="K53" s="2595"/>
      <c r="L53" s="2595"/>
      <c r="M53" s="2595"/>
      <c r="N53" s="2595"/>
      <c r="O53" s="2595"/>
      <c r="P53" s="2595"/>
      <c r="Q53" s="2595"/>
      <c r="R53" s="2595"/>
      <c r="S53" s="2595"/>
      <c r="T53" s="2595"/>
      <c r="U53" s="2595"/>
      <c r="V53" s="2595"/>
      <c r="W53" s="2594"/>
      <c r="X53" s="2595"/>
      <c r="Y53" s="2595"/>
      <c r="Z53" s="2595"/>
      <c r="AA53" s="2595"/>
      <c r="AB53" s="2595"/>
      <c r="AC53" s="2595"/>
      <c r="AD53" s="2595"/>
      <c r="AE53" s="2595"/>
      <c r="AF53" s="2811"/>
      <c r="AG53" s="2811"/>
      <c r="AH53" s="2811"/>
      <c r="AI53" s="2811"/>
      <c r="AJ53" s="2595"/>
      <c r="AK53" s="2595"/>
      <c r="AL53" s="2811"/>
      <c r="AM53" s="2811"/>
      <c r="AN53" s="2595"/>
      <c r="AO53" s="2595"/>
      <c r="AP53" s="2595"/>
      <c r="AQ53" s="2595"/>
      <c r="AR53" s="2595"/>
      <c r="AS53" s="2595"/>
      <c r="AT53" s="2594"/>
      <c r="AU53" s="2811"/>
      <c r="AV53" s="2595"/>
      <c r="AW53" s="2595"/>
      <c r="AX53" s="2595"/>
      <c r="AY53" s="2595"/>
      <c r="AZ53" s="2594"/>
      <c r="BA53" s="2595"/>
      <c r="BB53" s="2595"/>
      <c r="BC53" s="2595"/>
      <c r="BD53" s="2595"/>
      <c r="BE53" s="2595"/>
      <c r="BF53" s="2595"/>
      <c r="BG53" s="2595"/>
      <c r="BH53" s="2811"/>
      <c r="BI53" s="2595"/>
      <c r="BJ53" s="2811"/>
      <c r="BK53" s="2811"/>
      <c r="BL53" s="2595"/>
      <c r="BM53" s="2595"/>
      <c r="BN53" s="2595"/>
      <c r="BO53" s="2594"/>
      <c r="BP53" s="2595"/>
      <c r="BQ53" s="2595"/>
      <c r="BR53" s="2594"/>
      <c r="BS53" s="2594"/>
      <c r="BT53" s="2829">
        <v>0</v>
      </c>
    </row>
    <row r="54" spans="1:72">
      <c r="A54" s="2596"/>
      <c r="B54" s="2591"/>
      <c r="C54" s="2590" t="s">
        <v>1369</v>
      </c>
      <c r="D54" s="2591" t="s">
        <v>2928</v>
      </c>
      <c r="E54" s="2591"/>
      <c r="F54" s="2592" t="s">
        <v>2929</v>
      </c>
      <c r="G54" s="2592"/>
      <c r="H54" s="2593">
        <v>0</v>
      </c>
      <c r="I54" s="2594"/>
      <c r="J54" s="2595"/>
      <c r="K54" s="2595"/>
      <c r="L54" s="2595"/>
      <c r="M54" s="2595"/>
      <c r="N54" s="2595"/>
      <c r="O54" s="2595"/>
      <c r="P54" s="2595"/>
      <c r="Q54" s="2595"/>
      <c r="R54" s="2595"/>
      <c r="S54" s="2595"/>
      <c r="T54" s="2595"/>
      <c r="U54" s="2595"/>
      <c r="V54" s="2595"/>
      <c r="W54" s="2594"/>
      <c r="X54" s="2595"/>
      <c r="Y54" s="2595"/>
      <c r="Z54" s="2595"/>
      <c r="AA54" s="2595"/>
      <c r="AB54" s="2595"/>
      <c r="AC54" s="2595"/>
      <c r="AD54" s="2595"/>
      <c r="AE54" s="2595"/>
      <c r="AF54" s="2811"/>
      <c r="AG54" s="2811"/>
      <c r="AH54" s="2811"/>
      <c r="AI54" s="2811"/>
      <c r="AJ54" s="2595"/>
      <c r="AK54" s="2595"/>
      <c r="AL54" s="2811"/>
      <c r="AM54" s="2811"/>
      <c r="AN54" s="2595"/>
      <c r="AO54" s="2595"/>
      <c r="AP54" s="2595"/>
      <c r="AQ54" s="2595"/>
      <c r="AR54" s="2595"/>
      <c r="AS54" s="2595"/>
      <c r="AT54" s="2594"/>
      <c r="AU54" s="2811"/>
      <c r="AV54" s="2595"/>
      <c r="AW54" s="2595"/>
      <c r="AX54" s="2595"/>
      <c r="AY54" s="2595"/>
      <c r="AZ54" s="2594"/>
      <c r="BA54" s="2595"/>
      <c r="BB54" s="2595"/>
      <c r="BC54" s="2595"/>
      <c r="BD54" s="2595"/>
      <c r="BE54" s="2595"/>
      <c r="BF54" s="2595"/>
      <c r="BG54" s="2595"/>
      <c r="BH54" s="2811"/>
      <c r="BI54" s="2595"/>
      <c r="BJ54" s="2811"/>
      <c r="BK54" s="2811"/>
      <c r="BL54" s="2595"/>
      <c r="BM54" s="2595"/>
      <c r="BN54" s="2595"/>
      <c r="BO54" s="2594"/>
      <c r="BP54" s="2595"/>
      <c r="BQ54" s="2595"/>
      <c r="BR54" s="2594"/>
      <c r="BS54" s="2594"/>
      <c r="BT54" s="2829">
        <v>0</v>
      </c>
    </row>
    <row r="55" spans="1:72">
      <c r="A55" s="2596"/>
      <c r="B55" s="2591"/>
      <c r="C55" s="2590" t="s">
        <v>1369</v>
      </c>
      <c r="D55" s="2591" t="s">
        <v>2930</v>
      </c>
      <c r="E55" s="2591"/>
      <c r="F55" s="2592" t="s">
        <v>2931</v>
      </c>
      <c r="G55" s="2592"/>
      <c r="H55" s="2593">
        <v>0</v>
      </c>
      <c r="I55" s="2594"/>
      <c r="J55" s="2595"/>
      <c r="K55" s="2595"/>
      <c r="L55" s="2595"/>
      <c r="M55" s="2595"/>
      <c r="N55" s="2595"/>
      <c r="O55" s="2595"/>
      <c r="P55" s="2595"/>
      <c r="Q55" s="2595"/>
      <c r="R55" s="2595"/>
      <c r="S55" s="2595"/>
      <c r="T55" s="2595"/>
      <c r="U55" s="2595"/>
      <c r="V55" s="2595"/>
      <c r="W55" s="2594"/>
      <c r="X55" s="2595"/>
      <c r="Y55" s="2595"/>
      <c r="Z55" s="2595"/>
      <c r="AA55" s="2595"/>
      <c r="AB55" s="2595"/>
      <c r="AC55" s="2595"/>
      <c r="AD55" s="2595"/>
      <c r="AE55" s="2595"/>
      <c r="AF55" s="2811"/>
      <c r="AG55" s="2811"/>
      <c r="AH55" s="2811"/>
      <c r="AI55" s="2811"/>
      <c r="AJ55" s="2595"/>
      <c r="AK55" s="2595"/>
      <c r="AL55" s="2811"/>
      <c r="AM55" s="2811"/>
      <c r="AN55" s="2595"/>
      <c r="AO55" s="2595"/>
      <c r="AP55" s="2595"/>
      <c r="AQ55" s="2595"/>
      <c r="AR55" s="2595"/>
      <c r="AS55" s="2595"/>
      <c r="AT55" s="2594"/>
      <c r="AU55" s="2811"/>
      <c r="AV55" s="2595"/>
      <c r="AW55" s="2595"/>
      <c r="AX55" s="2595"/>
      <c r="AY55" s="2595"/>
      <c r="AZ55" s="2594"/>
      <c r="BA55" s="2595"/>
      <c r="BB55" s="2595"/>
      <c r="BC55" s="2595"/>
      <c r="BD55" s="2595"/>
      <c r="BE55" s="2595"/>
      <c r="BF55" s="2595"/>
      <c r="BG55" s="2595"/>
      <c r="BH55" s="2811"/>
      <c r="BI55" s="2595"/>
      <c r="BJ55" s="2811"/>
      <c r="BK55" s="2811"/>
      <c r="BL55" s="2595"/>
      <c r="BM55" s="2595"/>
      <c r="BN55" s="2595"/>
      <c r="BO55" s="2594"/>
      <c r="BP55" s="2595"/>
      <c r="BQ55" s="2595"/>
      <c r="BR55" s="2594"/>
      <c r="BS55" s="2594">
        <v>0</v>
      </c>
      <c r="BT55" s="2829"/>
    </row>
    <row r="56" spans="1:72">
      <c r="A56" s="2596"/>
      <c r="B56" s="2591"/>
      <c r="C56" s="2590" t="s">
        <v>1369</v>
      </c>
      <c r="D56" s="2591" t="s">
        <v>2932</v>
      </c>
      <c r="E56" s="2591"/>
      <c r="F56" s="2592" t="s">
        <v>2933</v>
      </c>
      <c r="G56" s="2592"/>
      <c r="H56" s="2593">
        <v>3095.2278589853827</v>
      </c>
      <c r="I56" s="2594"/>
      <c r="J56" s="2595"/>
      <c r="K56" s="2595"/>
      <c r="L56" s="2595"/>
      <c r="M56" s="2595"/>
      <c r="N56" s="2595"/>
      <c r="O56" s="2595"/>
      <c r="P56" s="2595"/>
      <c r="Q56" s="2595"/>
      <c r="R56" s="2595"/>
      <c r="S56" s="2595"/>
      <c r="T56" s="2595"/>
      <c r="U56" s="2595"/>
      <c r="V56" s="2595"/>
      <c r="W56" s="2594"/>
      <c r="X56" s="2595"/>
      <c r="Y56" s="2595"/>
      <c r="Z56" s="2595"/>
      <c r="AA56" s="2595"/>
      <c r="AB56" s="2595"/>
      <c r="AC56" s="2595"/>
      <c r="AD56" s="2595"/>
      <c r="AE56" s="2595"/>
      <c r="AF56" s="2811"/>
      <c r="AG56" s="2811"/>
      <c r="AH56" s="2811"/>
      <c r="AI56" s="2811"/>
      <c r="AJ56" s="2595"/>
      <c r="AK56" s="2595"/>
      <c r="AL56" s="2811"/>
      <c r="AM56" s="2811"/>
      <c r="AN56" s="2595"/>
      <c r="AO56" s="2595"/>
      <c r="AP56" s="2595"/>
      <c r="AQ56" s="2595"/>
      <c r="AR56" s="2595"/>
      <c r="AS56" s="2595"/>
      <c r="AT56" s="2594"/>
      <c r="AU56" s="2811"/>
      <c r="AV56" s="2595"/>
      <c r="AW56" s="2595"/>
      <c r="AX56" s="2595"/>
      <c r="AY56" s="2595"/>
      <c r="AZ56" s="2594"/>
      <c r="BA56" s="2595"/>
      <c r="BB56" s="2595"/>
      <c r="BC56" s="2595"/>
      <c r="BD56" s="2595"/>
      <c r="BE56" s="2595"/>
      <c r="BF56" s="2595"/>
      <c r="BG56" s="2595"/>
      <c r="BH56" s="2811"/>
      <c r="BI56" s="2595"/>
      <c r="BJ56" s="2811"/>
      <c r="BK56" s="2811"/>
      <c r="BL56" s="2595"/>
      <c r="BM56" s="2595"/>
      <c r="BN56" s="2595"/>
      <c r="BO56" s="2594"/>
      <c r="BP56" s="2595"/>
      <c r="BQ56" s="2595"/>
      <c r="BR56" s="2594"/>
      <c r="BS56" s="2594">
        <v>3095.2278589853827</v>
      </c>
      <c r="BT56" s="2829"/>
    </row>
    <row r="57" spans="1:72">
      <c r="A57" s="2596"/>
      <c r="B57" s="2591"/>
      <c r="C57" s="2590" t="s">
        <v>1369</v>
      </c>
      <c r="D57" s="2591" t="s">
        <v>2934</v>
      </c>
      <c r="E57" s="2591"/>
      <c r="F57" s="2592" t="s">
        <v>2935</v>
      </c>
      <c r="G57" s="2592"/>
      <c r="H57" s="2593">
        <v>113.57122384637431</v>
      </c>
      <c r="I57" s="2594"/>
      <c r="J57" s="2595"/>
      <c r="K57" s="2595"/>
      <c r="L57" s="2595"/>
      <c r="M57" s="2595"/>
      <c r="N57" s="2595"/>
      <c r="O57" s="2595"/>
      <c r="P57" s="2595"/>
      <c r="Q57" s="2595"/>
      <c r="R57" s="2595"/>
      <c r="S57" s="2595"/>
      <c r="T57" s="2595"/>
      <c r="U57" s="2595"/>
      <c r="V57" s="2595"/>
      <c r="W57" s="2594"/>
      <c r="X57" s="2595"/>
      <c r="Y57" s="2595"/>
      <c r="Z57" s="2595"/>
      <c r="AA57" s="2595"/>
      <c r="AB57" s="2595"/>
      <c r="AC57" s="2595"/>
      <c r="AD57" s="2595"/>
      <c r="AE57" s="2595"/>
      <c r="AF57" s="2811"/>
      <c r="AG57" s="2811"/>
      <c r="AH57" s="2811"/>
      <c r="AI57" s="2811"/>
      <c r="AJ57" s="2595"/>
      <c r="AK57" s="2595"/>
      <c r="AL57" s="2811"/>
      <c r="AM57" s="2811"/>
      <c r="AN57" s="2595"/>
      <c r="AO57" s="2595"/>
      <c r="AP57" s="2595"/>
      <c r="AQ57" s="2595"/>
      <c r="AR57" s="2595"/>
      <c r="AS57" s="2595"/>
      <c r="AT57" s="2594"/>
      <c r="AU57" s="2811"/>
      <c r="AV57" s="2595"/>
      <c r="AW57" s="2595"/>
      <c r="AX57" s="2595"/>
      <c r="AY57" s="2595"/>
      <c r="AZ57" s="2594"/>
      <c r="BA57" s="2595"/>
      <c r="BB57" s="2595"/>
      <c r="BC57" s="2595"/>
      <c r="BD57" s="2595"/>
      <c r="BE57" s="2595"/>
      <c r="BF57" s="2595"/>
      <c r="BG57" s="2595"/>
      <c r="BH57" s="2811"/>
      <c r="BI57" s="2595"/>
      <c r="BJ57" s="2811"/>
      <c r="BK57" s="2811"/>
      <c r="BL57" s="2595"/>
      <c r="BM57" s="2595"/>
      <c r="BN57" s="2595"/>
      <c r="BO57" s="2594"/>
      <c r="BP57" s="2595"/>
      <c r="BQ57" s="2595"/>
      <c r="BR57" s="2594"/>
      <c r="BS57" s="2594">
        <v>113.57122384637431</v>
      </c>
      <c r="BT57" s="2829"/>
    </row>
    <row r="58" spans="1:72">
      <c r="A58" s="2596"/>
      <c r="B58" s="2591"/>
      <c r="C58" s="2590" t="s">
        <v>1369</v>
      </c>
      <c r="D58" s="2591" t="s">
        <v>2936</v>
      </c>
      <c r="E58" s="2591"/>
      <c r="F58" s="2592" t="s">
        <v>2937</v>
      </c>
      <c r="G58" s="2592"/>
      <c r="H58" s="2593">
        <v>5.1590713671539117</v>
      </c>
      <c r="I58" s="2594"/>
      <c r="J58" s="2595"/>
      <c r="K58" s="2595"/>
      <c r="L58" s="2595"/>
      <c r="M58" s="2595"/>
      <c r="N58" s="2595"/>
      <c r="O58" s="2595"/>
      <c r="P58" s="2595"/>
      <c r="Q58" s="2595"/>
      <c r="R58" s="2595"/>
      <c r="S58" s="2595"/>
      <c r="T58" s="2595"/>
      <c r="U58" s="2595"/>
      <c r="V58" s="2595"/>
      <c r="W58" s="2594"/>
      <c r="X58" s="2595"/>
      <c r="Y58" s="2595"/>
      <c r="Z58" s="2595"/>
      <c r="AA58" s="2595"/>
      <c r="AB58" s="2595"/>
      <c r="AC58" s="2595"/>
      <c r="AD58" s="2595"/>
      <c r="AE58" s="2595"/>
      <c r="AF58" s="2811"/>
      <c r="AG58" s="2811"/>
      <c r="AH58" s="2811"/>
      <c r="AI58" s="2811"/>
      <c r="AJ58" s="2595"/>
      <c r="AK58" s="2595"/>
      <c r="AL58" s="2811"/>
      <c r="AM58" s="2811"/>
      <c r="AN58" s="2595"/>
      <c r="AO58" s="2595"/>
      <c r="AP58" s="2595"/>
      <c r="AQ58" s="2595"/>
      <c r="AR58" s="2595"/>
      <c r="AS58" s="2595"/>
      <c r="AT58" s="2594"/>
      <c r="AU58" s="2811"/>
      <c r="AV58" s="2595"/>
      <c r="AW58" s="2595"/>
      <c r="AX58" s="2595"/>
      <c r="AY58" s="2595"/>
      <c r="AZ58" s="2594"/>
      <c r="BA58" s="2595"/>
      <c r="BB58" s="2595"/>
      <c r="BC58" s="2595"/>
      <c r="BD58" s="2595"/>
      <c r="BE58" s="2595"/>
      <c r="BF58" s="2595"/>
      <c r="BG58" s="2595"/>
      <c r="BH58" s="2811"/>
      <c r="BI58" s="2595"/>
      <c r="BJ58" s="2811"/>
      <c r="BK58" s="2811"/>
      <c r="BL58" s="2595"/>
      <c r="BM58" s="2595"/>
      <c r="BN58" s="2595"/>
      <c r="BO58" s="2594"/>
      <c r="BP58" s="2595"/>
      <c r="BQ58" s="2595"/>
      <c r="BR58" s="2594"/>
      <c r="BS58" s="2594">
        <v>5.1590713671539117</v>
      </c>
      <c r="BT58" s="2829"/>
    </row>
    <row r="59" spans="1:72">
      <c r="A59" s="2596"/>
      <c r="B59" s="2591"/>
      <c r="C59" s="2590" t="s">
        <v>1369</v>
      </c>
      <c r="D59" s="2591" t="s">
        <v>2938</v>
      </c>
      <c r="E59" s="2591"/>
      <c r="F59" s="2592" t="s">
        <v>2939</v>
      </c>
      <c r="G59" s="2592"/>
      <c r="H59" s="2593">
        <v>0</v>
      </c>
      <c r="I59" s="2594"/>
      <c r="J59" s="2595"/>
      <c r="K59" s="2595"/>
      <c r="L59" s="2595"/>
      <c r="M59" s="2595"/>
      <c r="N59" s="2595"/>
      <c r="O59" s="2595"/>
      <c r="P59" s="2595"/>
      <c r="Q59" s="2595"/>
      <c r="R59" s="2595"/>
      <c r="S59" s="2595"/>
      <c r="T59" s="2595"/>
      <c r="U59" s="2595"/>
      <c r="V59" s="2595"/>
      <c r="W59" s="2594"/>
      <c r="X59" s="2595"/>
      <c r="Y59" s="2595"/>
      <c r="Z59" s="2595"/>
      <c r="AA59" s="2595"/>
      <c r="AB59" s="2595"/>
      <c r="AC59" s="2595"/>
      <c r="AD59" s="2595"/>
      <c r="AE59" s="2595"/>
      <c r="AF59" s="2811"/>
      <c r="AG59" s="2811"/>
      <c r="AH59" s="2811"/>
      <c r="AI59" s="2811"/>
      <c r="AJ59" s="2595"/>
      <c r="AK59" s="2595"/>
      <c r="AL59" s="2811"/>
      <c r="AM59" s="2811"/>
      <c r="AN59" s="2595"/>
      <c r="AO59" s="2595"/>
      <c r="AP59" s="2595"/>
      <c r="AQ59" s="2595"/>
      <c r="AR59" s="2595"/>
      <c r="AS59" s="2595"/>
      <c r="AT59" s="2594"/>
      <c r="AU59" s="2811"/>
      <c r="AV59" s="2595"/>
      <c r="AW59" s="2595"/>
      <c r="AX59" s="2595"/>
      <c r="AY59" s="2595"/>
      <c r="AZ59" s="2594"/>
      <c r="BA59" s="2595"/>
      <c r="BB59" s="2595"/>
      <c r="BC59" s="2595"/>
      <c r="BD59" s="2595"/>
      <c r="BE59" s="2595"/>
      <c r="BF59" s="2595"/>
      <c r="BG59" s="2595"/>
      <c r="BH59" s="2811"/>
      <c r="BI59" s="2595"/>
      <c r="BJ59" s="2811"/>
      <c r="BK59" s="2811"/>
      <c r="BL59" s="2595"/>
      <c r="BM59" s="2595"/>
      <c r="BN59" s="2595"/>
      <c r="BO59" s="2594"/>
      <c r="BP59" s="2595"/>
      <c r="BQ59" s="2595"/>
      <c r="BR59" s="2594"/>
      <c r="BS59" s="2594">
        <v>0</v>
      </c>
      <c r="BT59" s="2829"/>
    </row>
    <row r="60" spans="1:72">
      <c r="A60" s="2596"/>
      <c r="B60" s="2591"/>
      <c r="C60" s="2590" t="s">
        <v>1369</v>
      </c>
      <c r="D60" s="2591" t="s">
        <v>2940</v>
      </c>
      <c r="E60" s="2591"/>
      <c r="F60" s="2592" t="s">
        <v>2941</v>
      </c>
      <c r="G60" s="2592"/>
      <c r="H60" s="2593">
        <v>0</v>
      </c>
      <c r="I60" s="2594"/>
      <c r="J60" s="2595"/>
      <c r="K60" s="2595"/>
      <c r="L60" s="2595"/>
      <c r="M60" s="2595"/>
      <c r="N60" s="2595"/>
      <c r="O60" s="2595"/>
      <c r="P60" s="2595"/>
      <c r="Q60" s="2595"/>
      <c r="R60" s="2595"/>
      <c r="S60" s="2595"/>
      <c r="T60" s="2595"/>
      <c r="U60" s="2595"/>
      <c r="V60" s="2595"/>
      <c r="W60" s="2594"/>
      <c r="X60" s="2595"/>
      <c r="Y60" s="2595"/>
      <c r="Z60" s="2595"/>
      <c r="AA60" s="2595"/>
      <c r="AB60" s="2595"/>
      <c r="AC60" s="2595"/>
      <c r="AD60" s="2595"/>
      <c r="AE60" s="2595"/>
      <c r="AF60" s="2811"/>
      <c r="AG60" s="2811"/>
      <c r="AH60" s="2811"/>
      <c r="AI60" s="2811"/>
      <c r="AJ60" s="2595"/>
      <c r="AK60" s="2595"/>
      <c r="AL60" s="2811"/>
      <c r="AM60" s="2811"/>
      <c r="AN60" s="2595"/>
      <c r="AO60" s="2595"/>
      <c r="AP60" s="2595"/>
      <c r="AQ60" s="2595"/>
      <c r="AR60" s="2595"/>
      <c r="AS60" s="2595"/>
      <c r="AT60" s="2594"/>
      <c r="AU60" s="2811"/>
      <c r="AV60" s="2595"/>
      <c r="AW60" s="2595"/>
      <c r="AX60" s="2595"/>
      <c r="AY60" s="2595"/>
      <c r="AZ60" s="2594"/>
      <c r="BA60" s="2595"/>
      <c r="BB60" s="2595"/>
      <c r="BC60" s="2595"/>
      <c r="BD60" s="2595"/>
      <c r="BE60" s="2595"/>
      <c r="BF60" s="2595"/>
      <c r="BG60" s="2595"/>
      <c r="BH60" s="2811"/>
      <c r="BI60" s="2595"/>
      <c r="BJ60" s="2811"/>
      <c r="BK60" s="2811"/>
      <c r="BL60" s="2595"/>
      <c r="BM60" s="2595"/>
      <c r="BN60" s="2595"/>
      <c r="BO60" s="2594"/>
      <c r="BP60" s="2595"/>
      <c r="BQ60" s="2595"/>
      <c r="BR60" s="2594"/>
      <c r="BS60" s="2594">
        <v>0</v>
      </c>
      <c r="BT60" s="2829"/>
    </row>
    <row r="61" spans="1:72">
      <c r="A61" s="2596"/>
      <c r="B61" s="2590" t="s">
        <v>1369</v>
      </c>
      <c r="C61" s="2591" t="s">
        <v>2868</v>
      </c>
      <c r="D61" s="2591"/>
      <c r="E61" s="2591"/>
      <c r="F61" s="2592" t="s">
        <v>2942</v>
      </c>
      <c r="G61" s="2592"/>
      <c r="H61" s="2593">
        <v>984.7855163848285</v>
      </c>
      <c r="I61" s="2594"/>
      <c r="J61" s="2595"/>
      <c r="K61" s="2595"/>
      <c r="L61" s="2595"/>
      <c r="M61" s="2595"/>
      <c r="N61" s="2595"/>
      <c r="O61" s="2595"/>
      <c r="P61" s="2595"/>
      <c r="Q61" s="2595"/>
      <c r="R61" s="2595"/>
      <c r="S61" s="2595"/>
      <c r="T61" s="2595"/>
      <c r="U61" s="2595"/>
      <c r="V61" s="2595"/>
      <c r="W61" s="2594"/>
      <c r="X61" s="2595"/>
      <c r="Y61" s="2595"/>
      <c r="Z61" s="2595"/>
      <c r="AA61" s="2595"/>
      <c r="AB61" s="2595"/>
      <c r="AC61" s="2595"/>
      <c r="AD61" s="2595"/>
      <c r="AE61" s="2595"/>
      <c r="AF61" s="2811"/>
      <c r="AG61" s="2811"/>
      <c r="AH61" s="2811"/>
      <c r="AI61" s="2811"/>
      <c r="AJ61" s="2595"/>
      <c r="AK61" s="2595"/>
      <c r="AL61" s="2811"/>
      <c r="AM61" s="2811"/>
      <c r="AN61" s="2595"/>
      <c r="AO61" s="2595"/>
      <c r="AP61" s="2595"/>
      <c r="AQ61" s="2595"/>
      <c r="AR61" s="2595"/>
      <c r="AS61" s="2595"/>
      <c r="AT61" s="2594"/>
      <c r="AU61" s="2811"/>
      <c r="AV61" s="2595"/>
      <c r="AW61" s="2595"/>
      <c r="AX61" s="2595"/>
      <c r="AY61" s="2595"/>
      <c r="AZ61" s="2594"/>
      <c r="BA61" s="2595"/>
      <c r="BB61" s="2595"/>
      <c r="BC61" s="2595"/>
      <c r="BD61" s="2595"/>
      <c r="BE61" s="2595"/>
      <c r="BF61" s="2595"/>
      <c r="BG61" s="2595"/>
      <c r="BH61" s="2811"/>
      <c r="BI61" s="2595"/>
      <c r="BJ61" s="2811"/>
      <c r="BK61" s="2811"/>
      <c r="BL61" s="2595"/>
      <c r="BM61" s="2595"/>
      <c r="BN61" s="2595"/>
      <c r="BO61" s="2594"/>
      <c r="BP61" s="2595"/>
      <c r="BQ61" s="2595"/>
      <c r="BR61" s="2594"/>
      <c r="BS61" s="2594">
        <v>417.98031909811789</v>
      </c>
      <c r="BT61" s="2829">
        <v>566.80519728671061</v>
      </c>
    </row>
    <row r="62" spans="1:72">
      <c r="A62" s="2596"/>
      <c r="B62" s="2591"/>
      <c r="C62" s="2590" t="s">
        <v>1369</v>
      </c>
      <c r="D62" s="2591" t="s">
        <v>2943</v>
      </c>
      <c r="E62" s="2591"/>
      <c r="F62" s="2592" t="s">
        <v>2944</v>
      </c>
      <c r="G62" s="2592"/>
      <c r="H62" s="2593">
        <v>0</v>
      </c>
      <c r="I62" s="2594"/>
      <c r="J62" s="2595"/>
      <c r="K62" s="2595"/>
      <c r="L62" s="2595"/>
      <c r="M62" s="2595"/>
      <c r="N62" s="2595"/>
      <c r="O62" s="2595"/>
      <c r="P62" s="2595"/>
      <c r="Q62" s="2595"/>
      <c r="R62" s="2595"/>
      <c r="S62" s="2595"/>
      <c r="T62" s="2595"/>
      <c r="U62" s="2595"/>
      <c r="V62" s="2595"/>
      <c r="W62" s="2594"/>
      <c r="X62" s="2595"/>
      <c r="Y62" s="2595"/>
      <c r="Z62" s="2595"/>
      <c r="AA62" s="2595"/>
      <c r="AB62" s="2595"/>
      <c r="AC62" s="2595"/>
      <c r="AD62" s="2595"/>
      <c r="AE62" s="2595"/>
      <c r="AF62" s="2811"/>
      <c r="AG62" s="2811"/>
      <c r="AH62" s="2811"/>
      <c r="AI62" s="2811"/>
      <c r="AJ62" s="2595"/>
      <c r="AK62" s="2595"/>
      <c r="AL62" s="2811"/>
      <c r="AM62" s="2811"/>
      <c r="AN62" s="2595"/>
      <c r="AO62" s="2595"/>
      <c r="AP62" s="2595"/>
      <c r="AQ62" s="2595"/>
      <c r="AR62" s="2595"/>
      <c r="AS62" s="2595"/>
      <c r="AT62" s="2594"/>
      <c r="AU62" s="2811"/>
      <c r="AV62" s="2595"/>
      <c r="AW62" s="2595"/>
      <c r="AX62" s="2595"/>
      <c r="AY62" s="2595"/>
      <c r="AZ62" s="2594"/>
      <c r="BA62" s="2595"/>
      <c r="BB62" s="2595"/>
      <c r="BC62" s="2595"/>
      <c r="BD62" s="2595"/>
      <c r="BE62" s="2595"/>
      <c r="BF62" s="2595"/>
      <c r="BG62" s="2595"/>
      <c r="BH62" s="2811"/>
      <c r="BI62" s="2595"/>
      <c r="BJ62" s="2811"/>
      <c r="BK62" s="2811"/>
      <c r="BL62" s="2595"/>
      <c r="BM62" s="2595"/>
      <c r="BN62" s="2595"/>
      <c r="BO62" s="2594"/>
      <c r="BP62" s="2595"/>
      <c r="BQ62" s="2595"/>
      <c r="BR62" s="2594"/>
      <c r="BS62" s="2594"/>
      <c r="BT62" s="2829">
        <v>0</v>
      </c>
    </row>
    <row r="63" spans="1:72">
      <c r="A63" s="2596"/>
      <c r="B63" s="2591"/>
      <c r="C63" s="2590" t="s">
        <v>1369</v>
      </c>
      <c r="D63" s="2591" t="s">
        <v>2945</v>
      </c>
      <c r="E63" s="2591"/>
      <c r="F63" s="2592" t="s">
        <v>2946</v>
      </c>
      <c r="G63" s="2592"/>
      <c r="H63" s="2593">
        <v>0</v>
      </c>
      <c r="I63" s="2594"/>
      <c r="J63" s="2595"/>
      <c r="K63" s="2595"/>
      <c r="L63" s="2595"/>
      <c r="M63" s="2595"/>
      <c r="N63" s="2595"/>
      <c r="O63" s="2595"/>
      <c r="P63" s="2595"/>
      <c r="Q63" s="2595"/>
      <c r="R63" s="2595"/>
      <c r="S63" s="2595"/>
      <c r="T63" s="2595"/>
      <c r="U63" s="2595"/>
      <c r="V63" s="2595"/>
      <c r="W63" s="2594"/>
      <c r="X63" s="2595"/>
      <c r="Y63" s="2595"/>
      <c r="Z63" s="2595"/>
      <c r="AA63" s="2595"/>
      <c r="AB63" s="2595"/>
      <c r="AC63" s="2595"/>
      <c r="AD63" s="2595"/>
      <c r="AE63" s="2595"/>
      <c r="AF63" s="2811"/>
      <c r="AG63" s="2811"/>
      <c r="AH63" s="2811"/>
      <c r="AI63" s="2811"/>
      <c r="AJ63" s="2595"/>
      <c r="AK63" s="2595"/>
      <c r="AL63" s="2811"/>
      <c r="AM63" s="2811"/>
      <c r="AN63" s="2595"/>
      <c r="AO63" s="2595"/>
      <c r="AP63" s="2595"/>
      <c r="AQ63" s="2595"/>
      <c r="AR63" s="2595"/>
      <c r="AS63" s="2595"/>
      <c r="AT63" s="2594"/>
      <c r="AU63" s="2811"/>
      <c r="AV63" s="2595"/>
      <c r="AW63" s="2595"/>
      <c r="AX63" s="2595"/>
      <c r="AY63" s="2595"/>
      <c r="AZ63" s="2594"/>
      <c r="BA63" s="2595"/>
      <c r="BB63" s="2595"/>
      <c r="BC63" s="2595"/>
      <c r="BD63" s="2595"/>
      <c r="BE63" s="2595"/>
      <c r="BF63" s="2595"/>
      <c r="BG63" s="2595"/>
      <c r="BH63" s="2811"/>
      <c r="BI63" s="2595"/>
      <c r="BJ63" s="2811"/>
      <c r="BK63" s="2811"/>
      <c r="BL63" s="2595"/>
      <c r="BM63" s="2595"/>
      <c r="BN63" s="2595"/>
      <c r="BO63" s="2594"/>
      <c r="BP63" s="2595"/>
      <c r="BQ63" s="2595"/>
      <c r="BR63" s="2594"/>
      <c r="BS63" s="2594"/>
      <c r="BT63" s="2829">
        <v>0</v>
      </c>
    </row>
    <row r="64" spans="1:72">
      <c r="A64" s="2596"/>
      <c r="B64" s="2591"/>
      <c r="C64" s="2590" t="s">
        <v>1369</v>
      </c>
      <c r="D64" s="2591" t="s">
        <v>2947</v>
      </c>
      <c r="E64" s="2591"/>
      <c r="F64" s="2592" t="s">
        <v>2948</v>
      </c>
      <c r="G64" s="2592"/>
      <c r="H64" s="2593">
        <v>0</v>
      </c>
      <c r="I64" s="2594"/>
      <c r="J64" s="2595"/>
      <c r="K64" s="2595"/>
      <c r="L64" s="2595"/>
      <c r="M64" s="2595"/>
      <c r="N64" s="2595"/>
      <c r="O64" s="2595"/>
      <c r="P64" s="2595"/>
      <c r="Q64" s="2595"/>
      <c r="R64" s="2595"/>
      <c r="S64" s="2595"/>
      <c r="T64" s="2595"/>
      <c r="U64" s="2595"/>
      <c r="V64" s="2595"/>
      <c r="W64" s="2594"/>
      <c r="X64" s="2595"/>
      <c r="Y64" s="2595"/>
      <c r="Z64" s="2595"/>
      <c r="AA64" s="2595"/>
      <c r="AB64" s="2595"/>
      <c r="AC64" s="2595"/>
      <c r="AD64" s="2595"/>
      <c r="AE64" s="2595"/>
      <c r="AF64" s="2811"/>
      <c r="AG64" s="2811"/>
      <c r="AH64" s="2811"/>
      <c r="AI64" s="2811"/>
      <c r="AJ64" s="2595"/>
      <c r="AK64" s="2595"/>
      <c r="AL64" s="2811"/>
      <c r="AM64" s="2811"/>
      <c r="AN64" s="2595"/>
      <c r="AO64" s="2595"/>
      <c r="AP64" s="2595"/>
      <c r="AQ64" s="2595"/>
      <c r="AR64" s="2595"/>
      <c r="AS64" s="2595"/>
      <c r="AT64" s="2594"/>
      <c r="AU64" s="2811"/>
      <c r="AV64" s="2595"/>
      <c r="AW64" s="2595"/>
      <c r="AX64" s="2595"/>
      <c r="AY64" s="2595"/>
      <c r="AZ64" s="2594"/>
      <c r="BA64" s="2595"/>
      <c r="BB64" s="2595"/>
      <c r="BC64" s="2595"/>
      <c r="BD64" s="2595"/>
      <c r="BE64" s="2595"/>
      <c r="BF64" s="2595"/>
      <c r="BG64" s="2595"/>
      <c r="BH64" s="2811"/>
      <c r="BI64" s="2595"/>
      <c r="BJ64" s="2811"/>
      <c r="BK64" s="2811"/>
      <c r="BL64" s="2595"/>
      <c r="BM64" s="2595"/>
      <c r="BN64" s="2595"/>
      <c r="BO64" s="2594"/>
      <c r="BP64" s="2595"/>
      <c r="BQ64" s="2595"/>
      <c r="BR64" s="2594"/>
      <c r="BS64" s="2594"/>
      <c r="BT64" s="2829">
        <v>0</v>
      </c>
    </row>
    <row r="65" spans="1:72">
      <c r="A65" s="2596"/>
      <c r="B65" s="2591"/>
      <c r="C65" s="2590" t="s">
        <v>1369</v>
      </c>
      <c r="D65" s="2591" t="s">
        <v>2949</v>
      </c>
      <c r="E65" s="2591"/>
      <c r="F65" s="2592" t="s">
        <v>2950</v>
      </c>
      <c r="G65" s="2592"/>
      <c r="H65" s="2593">
        <v>0</v>
      </c>
      <c r="I65" s="2594"/>
      <c r="J65" s="2595"/>
      <c r="K65" s="2595"/>
      <c r="L65" s="2595"/>
      <c r="M65" s="2595"/>
      <c r="N65" s="2595"/>
      <c r="O65" s="2595"/>
      <c r="P65" s="2595"/>
      <c r="Q65" s="2595"/>
      <c r="R65" s="2595"/>
      <c r="S65" s="2595"/>
      <c r="T65" s="2595"/>
      <c r="U65" s="2595"/>
      <c r="V65" s="2595"/>
      <c r="W65" s="2594"/>
      <c r="X65" s="2595"/>
      <c r="Y65" s="2595"/>
      <c r="Z65" s="2595"/>
      <c r="AA65" s="2595"/>
      <c r="AB65" s="2595"/>
      <c r="AC65" s="2595"/>
      <c r="AD65" s="2595"/>
      <c r="AE65" s="2595"/>
      <c r="AF65" s="2811"/>
      <c r="AG65" s="2811"/>
      <c r="AH65" s="2811"/>
      <c r="AI65" s="2811"/>
      <c r="AJ65" s="2595"/>
      <c r="AK65" s="2595"/>
      <c r="AL65" s="2811"/>
      <c r="AM65" s="2811"/>
      <c r="AN65" s="2595"/>
      <c r="AO65" s="2595"/>
      <c r="AP65" s="2595"/>
      <c r="AQ65" s="2595"/>
      <c r="AR65" s="2595"/>
      <c r="AS65" s="2595"/>
      <c r="AT65" s="2594"/>
      <c r="AU65" s="2811"/>
      <c r="AV65" s="2595"/>
      <c r="AW65" s="2595"/>
      <c r="AX65" s="2595"/>
      <c r="AY65" s="2595"/>
      <c r="AZ65" s="2594"/>
      <c r="BA65" s="2595"/>
      <c r="BB65" s="2595"/>
      <c r="BC65" s="2595"/>
      <c r="BD65" s="2595"/>
      <c r="BE65" s="2595"/>
      <c r="BF65" s="2595"/>
      <c r="BG65" s="2595"/>
      <c r="BH65" s="2811"/>
      <c r="BI65" s="2595"/>
      <c r="BJ65" s="2811"/>
      <c r="BK65" s="2811"/>
      <c r="BL65" s="2595"/>
      <c r="BM65" s="2595"/>
      <c r="BN65" s="2595"/>
      <c r="BO65" s="2594"/>
      <c r="BP65" s="2595"/>
      <c r="BQ65" s="2595"/>
      <c r="BR65" s="2594"/>
      <c r="BS65" s="2594"/>
      <c r="BT65" s="2829">
        <v>0</v>
      </c>
    </row>
    <row r="66" spans="1:72">
      <c r="A66" s="2596"/>
      <c r="B66" s="2591"/>
      <c r="C66" s="2590" t="s">
        <v>1369</v>
      </c>
      <c r="D66" s="2591" t="s">
        <v>2951</v>
      </c>
      <c r="E66" s="2591"/>
      <c r="F66" s="2592" t="s">
        <v>2952</v>
      </c>
      <c r="G66" s="2592"/>
      <c r="H66" s="2593">
        <v>0</v>
      </c>
      <c r="I66" s="2594"/>
      <c r="J66" s="2595"/>
      <c r="K66" s="2595"/>
      <c r="L66" s="2595"/>
      <c r="M66" s="2595"/>
      <c r="N66" s="2595"/>
      <c r="O66" s="2595"/>
      <c r="P66" s="2595"/>
      <c r="Q66" s="2595"/>
      <c r="R66" s="2595"/>
      <c r="S66" s="2595"/>
      <c r="T66" s="2595"/>
      <c r="U66" s="2595"/>
      <c r="V66" s="2595"/>
      <c r="W66" s="2594"/>
      <c r="X66" s="2595"/>
      <c r="Y66" s="2595"/>
      <c r="Z66" s="2595"/>
      <c r="AA66" s="2595"/>
      <c r="AB66" s="2595"/>
      <c r="AC66" s="2595"/>
      <c r="AD66" s="2595"/>
      <c r="AE66" s="2595"/>
      <c r="AF66" s="2811"/>
      <c r="AG66" s="2811"/>
      <c r="AH66" s="2811"/>
      <c r="AI66" s="2811"/>
      <c r="AJ66" s="2595"/>
      <c r="AK66" s="2595"/>
      <c r="AL66" s="2811"/>
      <c r="AM66" s="2811"/>
      <c r="AN66" s="2595"/>
      <c r="AO66" s="2595"/>
      <c r="AP66" s="2595"/>
      <c r="AQ66" s="2595"/>
      <c r="AR66" s="2595"/>
      <c r="AS66" s="2595"/>
      <c r="AT66" s="2594"/>
      <c r="AU66" s="2811"/>
      <c r="AV66" s="2595"/>
      <c r="AW66" s="2595"/>
      <c r="AX66" s="2595"/>
      <c r="AY66" s="2595"/>
      <c r="AZ66" s="2594"/>
      <c r="BA66" s="2595"/>
      <c r="BB66" s="2595"/>
      <c r="BC66" s="2595"/>
      <c r="BD66" s="2595"/>
      <c r="BE66" s="2595"/>
      <c r="BF66" s="2595"/>
      <c r="BG66" s="2595"/>
      <c r="BH66" s="2811"/>
      <c r="BI66" s="2595"/>
      <c r="BJ66" s="2811"/>
      <c r="BK66" s="2811"/>
      <c r="BL66" s="2595"/>
      <c r="BM66" s="2595"/>
      <c r="BN66" s="2595"/>
      <c r="BO66" s="2594"/>
      <c r="BP66" s="2595"/>
      <c r="BQ66" s="2595"/>
      <c r="BR66" s="2594"/>
      <c r="BS66" s="2594"/>
      <c r="BT66" s="2829">
        <v>0</v>
      </c>
    </row>
    <row r="67" spans="1:72">
      <c r="A67" s="2596"/>
      <c r="B67" s="2591"/>
      <c r="C67" s="2590" t="s">
        <v>1369</v>
      </c>
      <c r="D67" s="2591" t="s">
        <v>2953</v>
      </c>
      <c r="E67" s="2591"/>
      <c r="F67" s="2592" t="s">
        <v>2954</v>
      </c>
      <c r="G67" s="2592"/>
      <c r="H67" s="2593">
        <v>0</v>
      </c>
      <c r="I67" s="2594"/>
      <c r="J67" s="2595"/>
      <c r="K67" s="2595"/>
      <c r="L67" s="2595"/>
      <c r="M67" s="2595"/>
      <c r="N67" s="2595"/>
      <c r="O67" s="2595"/>
      <c r="P67" s="2595"/>
      <c r="Q67" s="2595"/>
      <c r="R67" s="2595"/>
      <c r="S67" s="2595"/>
      <c r="T67" s="2595"/>
      <c r="U67" s="2595"/>
      <c r="V67" s="2595"/>
      <c r="W67" s="2594"/>
      <c r="X67" s="2595"/>
      <c r="Y67" s="2595"/>
      <c r="Z67" s="2595"/>
      <c r="AA67" s="2595"/>
      <c r="AB67" s="2595"/>
      <c r="AC67" s="2595"/>
      <c r="AD67" s="2595"/>
      <c r="AE67" s="2595"/>
      <c r="AF67" s="2811"/>
      <c r="AG67" s="2811"/>
      <c r="AH67" s="2811"/>
      <c r="AI67" s="2811"/>
      <c r="AJ67" s="2595"/>
      <c r="AK67" s="2595"/>
      <c r="AL67" s="2811"/>
      <c r="AM67" s="2811"/>
      <c r="AN67" s="2595"/>
      <c r="AO67" s="2595"/>
      <c r="AP67" s="2595"/>
      <c r="AQ67" s="2595"/>
      <c r="AR67" s="2595"/>
      <c r="AS67" s="2595"/>
      <c r="AT67" s="2594"/>
      <c r="AU67" s="2811"/>
      <c r="AV67" s="2595"/>
      <c r="AW67" s="2595"/>
      <c r="AX67" s="2595"/>
      <c r="AY67" s="2595"/>
      <c r="AZ67" s="2594"/>
      <c r="BA67" s="2595"/>
      <c r="BB67" s="2595"/>
      <c r="BC67" s="2595"/>
      <c r="BD67" s="2595"/>
      <c r="BE67" s="2595"/>
      <c r="BF67" s="2595"/>
      <c r="BG67" s="2595"/>
      <c r="BH67" s="2811"/>
      <c r="BI67" s="2595"/>
      <c r="BJ67" s="2811"/>
      <c r="BK67" s="2811"/>
      <c r="BL67" s="2595"/>
      <c r="BM67" s="2595"/>
      <c r="BN67" s="2595"/>
      <c r="BO67" s="2594"/>
      <c r="BP67" s="2595"/>
      <c r="BQ67" s="2595"/>
      <c r="BR67" s="2594"/>
      <c r="BS67" s="2594"/>
      <c r="BT67" s="2829">
        <v>0</v>
      </c>
    </row>
    <row r="68" spans="1:72">
      <c r="A68" s="2596"/>
      <c r="B68" s="2591"/>
      <c r="C68" s="2590" t="s">
        <v>1369</v>
      </c>
      <c r="D68" s="2591" t="s">
        <v>2955</v>
      </c>
      <c r="E68" s="2591"/>
      <c r="F68" s="2592" t="s">
        <v>2956</v>
      </c>
      <c r="G68" s="2592"/>
      <c r="H68" s="2593">
        <v>566.80519728671061</v>
      </c>
      <c r="I68" s="2594"/>
      <c r="J68" s="2595"/>
      <c r="K68" s="2595"/>
      <c r="L68" s="2595"/>
      <c r="M68" s="2595"/>
      <c r="N68" s="2595"/>
      <c r="O68" s="2595"/>
      <c r="P68" s="2595"/>
      <c r="Q68" s="2595"/>
      <c r="R68" s="2595"/>
      <c r="S68" s="2595"/>
      <c r="T68" s="2595"/>
      <c r="U68" s="2595"/>
      <c r="V68" s="2595"/>
      <c r="W68" s="2594"/>
      <c r="X68" s="2595"/>
      <c r="Y68" s="2595"/>
      <c r="Z68" s="2595"/>
      <c r="AA68" s="2595"/>
      <c r="AB68" s="2595"/>
      <c r="AC68" s="2595"/>
      <c r="AD68" s="2595"/>
      <c r="AE68" s="2595"/>
      <c r="AF68" s="2811"/>
      <c r="AG68" s="2811"/>
      <c r="AH68" s="2811"/>
      <c r="AI68" s="2811"/>
      <c r="AJ68" s="2595"/>
      <c r="AK68" s="2595"/>
      <c r="AL68" s="2811"/>
      <c r="AM68" s="2811"/>
      <c r="AN68" s="2595"/>
      <c r="AO68" s="2595"/>
      <c r="AP68" s="2595"/>
      <c r="AQ68" s="2595"/>
      <c r="AR68" s="2595"/>
      <c r="AS68" s="2595"/>
      <c r="AT68" s="2594"/>
      <c r="AU68" s="2811"/>
      <c r="AV68" s="2595"/>
      <c r="AW68" s="2595"/>
      <c r="AX68" s="2595"/>
      <c r="AY68" s="2595"/>
      <c r="AZ68" s="2594"/>
      <c r="BA68" s="2595"/>
      <c r="BB68" s="2595"/>
      <c r="BC68" s="2595"/>
      <c r="BD68" s="2595"/>
      <c r="BE68" s="2595"/>
      <c r="BF68" s="2595"/>
      <c r="BG68" s="2595"/>
      <c r="BH68" s="2811"/>
      <c r="BI68" s="2595"/>
      <c r="BJ68" s="2811"/>
      <c r="BK68" s="2811"/>
      <c r="BL68" s="2595"/>
      <c r="BM68" s="2595"/>
      <c r="BN68" s="2595"/>
      <c r="BO68" s="2594"/>
      <c r="BP68" s="2595"/>
      <c r="BQ68" s="2595"/>
      <c r="BR68" s="2594"/>
      <c r="BS68" s="2594"/>
      <c r="BT68" s="2829">
        <v>566.80519728671061</v>
      </c>
    </row>
    <row r="69" spans="1:72">
      <c r="A69" s="2596"/>
      <c r="B69" s="2591"/>
      <c r="C69" s="2590" t="s">
        <v>1369</v>
      </c>
      <c r="D69" s="2591" t="s">
        <v>2957</v>
      </c>
      <c r="E69" s="2591"/>
      <c r="F69" s="2592" t="s">
        <v>2958</v>
      </c>
      <c r="G69" s="2592"/>
      <c r="H69" s="2593">
        <v>0</v>
      </c>
      <c r="I69" s="2594"/>
      <c r="J69" s="2595"/>
      <c r="K69" s="2595"/>
      <c r="L69" s="2595"/>
      <c r="M69" s="2595"/>
      <c r="N69" s="2595"/>
      <c r="O69" s="2595"/>
      <c r="P69" s="2595"/>
      <c r="Q69" s="2595"/>
      <c r="R69" s="2595"/>
      <c r="S69" s="2595"/>
      <c r="T69" s="2595"/>
      <c r="U69" s="2595"/>
      <c r="V69" s="2595"/>
      <c r="W69" s="2594"/>
      <c r="X69" s="2595"/>
      <c r="Y69" s="2595"/>
      <c r="Z69" s="2595"/>
      <c r="AA69" s="2595"/>
      <c r="AB69" s="2595"/>
      <c r="AC69" s="2595"/>
      <c r="AD69" s="2595"/>
      <c r="AE69" s="2595"/>
      <c r="AF69" s="2811"/>
      <c r="AG69" s="2811"/>
      <c r="AH69" s="2811"/>
      <c r="AI69" s="2811"/>
      <c r="AJ69" s="2595"/>
      <c r="AK69" s="2595"/>
      <c r="AL69" s="2811"/>
      <c r="AM69" s="2811"/>
      <c r="AN69" s="2595"/>
      <c r="AO69" s="2595"/>
      <c r="AP69" s="2595"/>
      <c r="AQ69" s="2595"/>
      <c r="AR69" s="2595"/>
      <c r="AS69" s="2595"/>
      <c r="AT69" s="2594"/>
      <c r="AU69" s="2811"/>
      <c r="AV69" s="2595"/>
      <c r="AW69" s="2595"/>
      <c r="AX69" s="2595"/>
      <c r="AY69" s="2595"/>
      <c r="AZ69" s="2594"/>
      <c r="BA69" s="2595"/>
      <c r="BB69" s="2595"/>
      <c r="BC69" s="2595"/>
      <c r="BD69" s="2595"/>
      <c r="BE69" s="2595"/>
      <c r="BF69" s="2595"/>
      <c r="BG69" s="2595"/>
      <c r="BH69" s="2811"/>
      <c r="BI69" s="2595"/>
      <c r="BJ69" s="2811"/>
      <c r="BK69" s="2811"/>
      <c r="BL69" s="2595"/>
      <c r="BM69" s="2595"/>
      <c r="BN69" s="2595"/>
      <c r="BO69" s="2594"/>
      <c r="BP69" s="2595"/>
      <c r="BQ69" s="2595"/>
      <c r="BR69" s="2594"/>
      <c r="BS69" s="2594"/>
      <c r="BT69" s="2829">
        <v>0</v>
      </c>
    </row>
    <row r="70" spans="1:72">
      <c r="A70" s="2596"/>
      <c r="B70" s="2591"/>
      <c r="C70" s="2590" t="s">
        <v>1369</v>
      </c>
      <c r="D70" s="2591" t="s">
        <v>2959</v>
      </c>
      <c r="E70" s="2591"/>
      <c r="F70" s="2592" t="s">
        <v>2960</v>
      </c>
      <c r="G70" s="2592"/>
      <c r="H70" s="2593">
        <v>0</v>
      </c>
      <c r="I70" s="2594"/>
      <c r="J70" s="2595"/>
      <c r="K70" s="2595"/>
      <c r="L70" s="2595"/>
      <c r="M70" s="2595"/>
      <c r="N70" s="2595"/>
      <c r="O70" s="2595"/>
      <c r="P70" s="2595"/>
      <c r="Q70" s="2595"/>
      <c r="R70" s="2595"/>
      <c r="S70" s="2595"/>
      <c r="T70" s="2595"/>
      <c r="U70" s="2595"/>
      <c r="V70" s="2595"/>
      <c r="W70" s="2594"/>
      <c r="X70" s="2595"/>
      <c r="Y70" s="2595"/>
      <c r="Z70" s="2595"/>
      <c r="AA70" s="2595"/>
      <c r="AB70" s="2595"/>
      <c r="AC70" s="2595"/>
      <c r="AD70" s="2595"/>
      <c r="AE70" s="2595"/>
      <c r="AF70" s="2811"/>
      <c r="AG70" s="2811"/>
      <c r="AH70" s="2811"/>
      <c r="AI70" s="2811"/>
      <c r="AJ70" s="2595"/>
      <c r="AK70" s="2595"/>
      <c r="AL70" s="2811"/>
      <c r="AM70" s="2811"/>
      <c r="AN70" s="2595"/>
      <c r="AO70" s="2595"/>
      <c r="AP70" s="2595"/>
      <c r="AQ70" s="2595"/>
      <c r="AR70" s="2595"/>
      <c r="AS70" s="2595"/>
      <c r="AT70" s="2594"/>
      <c r="AU70" s="2811"/>
      <c r="AV70" s="2595"/>
      <c r="AW70" s="2595"/>
      <c r="AX70" s="2595"/>
      <c r="AY70" s="2595"/>
      <c r="AZ70" s="2594"/>
      <c r="BA70" s="2595"/>
      <c r="BB70" s="2595"/>
      <c r="BC70" s="2595"/>
      <c r="BD70" s="2595"/>
      <c r="BE70" s="2595"/>
      <c r="BF70" s="2595"/>
      <c r="BG70" s="2595"/>
      <c r="BH70" s="2811"/>
      <c r="BI70" s="2595"/>
      <c r="BJ70" s="2811"/>
      <c r="BK70" s="2811"/>
      <c r="BL70" s="2595"/>
      <c r="BM70" s="2595"/>
      <c r="BN70" s="2595"/>
      <c r="BO70" s="2594"/>
      <c r="BP70" s="2595"/>
      <c r="BQ70" s="2595"/>
      <c r="BR70" s="2594"/>
      <c r="BS70" s="2594"/>
      <c r="BT70" s="2829">
        <v>0</v>
      </c>
    </row>
    <row r="71" spans="1:72">
      <c r="A71" s="2596"/>
      <c r="B71" s="2591"/>
      <c r="C71" s="2590" t="s">
        <v>1369</v>
      </c>
      <c r="D71" s="2591" t="s">
        <v>2961</v>
      </c>
      <c r="E71" s="2591"/>
      <c r="F71" s="2592" t="s">
        <v>2962</v>
      </c>
      <c r="G71" s="2592"/>
      <c r="H71" s="2593">
        <v>0</v>
      </c>
      <c r="I71" s="2594"/>
      <c r="J71" s="2595"/>
      <c r="K71" s="2595"/>
      <c r="L71" s="2595"/>
      <c r="M71" s="2595"/>
      <c r="N71" s="2595"/>
      <c r="O71" s="2595"/>
      <c r="P71" s="2595"/>
      <c r="Q71" s="2595"/>
      <c r="R71" s="2595"/>
      <c r="S71" s="2595"/>
      <c r="T71" s="2595"/>
      <c r="U71" s="2595"/>
      <c r="V71" s="2595"/>
      <c r="W71" s="2594"/>
      <c r="X71" s="2595"/>
      <c r="Y71" s="2595"/>
      <c r="Z71" s="2595"/>
      <c r="AA71" s="2595"/>
      <c r="AB71" s="2595"/>
      <c r="AC71" s="2595"/>
      <c r="AD71" s="2595"/>
      <c r="AE71" s="2595"/>
      <c r="AF71" s="2811"/>
      <c r="AG71" s="2811"/>
      <c r="AH71" s="2811"/>
      <c r="AI71" s="2811"/>
      <c r="AJ71" s="2595"/>
      <c r="AK71" s="2595"/>
      <c r="AL71" s="2811"/>
      <c r="AM71" s="2811"/>
      <c r="AN71" s="2595"/>
      <c r="AO71" s="2595"/>
      <c r="AP71" s="2595"/>
      <c r="AQ71" s="2595"/>
      <c r="AR71" s="2595"/>
      <c r="AS71" s="2595"/>
      <c r="AT71" s="2594"/>
      <c r="AU71" s="2811"/>
      <c r="AV71" s="2595"/>
      <c r="AW71" s="2595"/>
      <c r="AX71" s="2595"/>
      <c r="AY71" s="2595"/>
      <c r="AZ71" s="2594"/>
      <c r="BA71" s="2595"/>
      <c r="BB71" s="2595"/>
      <c r="BC71" s="2595"/>
      <c r="BD71" s="2595"/>
      <c r="BE71" s="2595"/>
      <c r="BF71" s="2595"/>
      <c r="BG71" s="2595"/>
      <c r="BH71" s="2811"/>
      <c r="BI71" s="2595"/>
      <c r="BJ71" s="2811"/>
      <c r="BK71" s="2811"/>
      <c r="BL71" s="2595"/>
      <c r="BM71" s="2595"/>
      <c r="BN71" s="2595"/>
      <c r="BO71" s="2594"/>
      <c r="BP71" s="2595"/>
      <c r="BQ71" s="2595"/>
      <c r="BR71" s="2594"/>
      <c r="BS71" s="2594"/>
      <c r="BT71" s="2829">
        <v>0</v>
      </c>
    </row>
    <row r="72" spans="1:72">
      <c r="A72" s="2596"/>
      <c r="B72" s="2591"/>
      <c r="C72" s="2590" t="s">
        <v>1369</v>
      </c>
      <c r="D72" s="2591" t="s">
        <v>2963</v>
      </c>
      <c r="E72" s="2591"/>
      <c r="F72" s="2592" t="s">
        <v>2964</v>
      </c>
      <c r="G72" s="2592"/>
      <c r="H72" s="2593">
        <v>0</v>
      </c>
      <c r="I72" s="2594"/>
      <c r="J72" s="2595"/>
      <c r="K72" s="2595"/>
      <c r="L72" s="2595"/>
      <c r="M72" s="2595"/>
      <c r="N72" s="2595"/>
      <c r="O72" s="2595"/>
      <c r="P72" s="2595"/>
      <c r="Q72" s="2595"/>
      <c r="R72" s="2595"/>
      <c r="S72" s="2595"/>
      <c r="T72" s="2595"/>
      <c r="U72" s="2595"/>
      <c r="V72" s="2595"/>
      <c r="W72" s="2594"/>
      <c r="X72" s="2595"/>
      <c r="Y72" s="2595"/>
      <c r="Z72" s="2595"/>
      <c r="AA72" s="2595"/>
      <c r="AB72" s="2595"/>
      <c r="AC72" s="2595"/>
      <c r="AD72" s="2595"/>
      <c r="AE72" s="2595"/>
      <c r="AF72" s="2811"/>
      <c r="AG72" s="2811"/>
      <c r="AH72" s="2811"/>
      <c r="AI72" s="2811"/>
      <c r="AJ72" s="2595"/>
      <c r="AK72" s="2595"/>
      <c r="AL72" s="2811"/>
      <c r="AM72" s="2811"/>
      <c r="AN72" s="2595"/>
      <c r="AO72" s="2595"/>
      <c r="AP72" s="2595"/>
      <c r="AQ72" s="2595"/>
      <c r="AR72" s="2595"/>
      <c r="AS72" s="2595"/>
      <c r="AT72" s="2594"/>
      <c r="AU72" s="2811"/>
      <c r="AV72" s="2595"/>
      <c r="AW72" s="2595"/>
      <c r="AX72" s="2595"/>
      <c r="AY72" s="2595"/>
      <c r="AZ72" s="2594"/>
      <c r="BA72" s="2595"/>
      <c r="BB72" s="2595"/>
      <c r="BC72" s="2595"/>
      <c r="BD72" s="2595"/>
      <c r="BE72" s="2595"/>
      <c r="BF72" s="2595"/>
      <c r="BG72" s="2595"/>
      <c r="BH72" s="2811"/>
      <c r="BI72" s="2595"/>
      <c r="BJ72" s="2811"/>
      <c r="BK72" s="2811"/>
      <c r="BL72" s="2595"/>
      <c r="BM72" s="2595"/>
      <c r="BN72" s="2595"/>
      <c r="BO72" s="2594"/>
      <c r="BP72" s="2595"/>
      <c r="BQ72" s="2595"/>
      <c r="BR72" s="2594"/>
      <c r="BS72" s="2594">
        <v>0</v>
      </c>
      <c r="BT72" s="2829"/>
    </row>
    <row r="73" spans="1:72">
      <c r="A73" s="2596"/>
      <c r="B73" s="2591"/>
      <c r="C73" s="2590" t="s">
        <v>1369</v>
      </c>
      <c r="D73" s="2591" t="s">
        <v>2965</v>
      </c>
      <c r="E73" s="2591"/>
      <c r="F73" s="2592" t="s">
        <v>2966</v>
      </c>
      <c r="G73" s="2592"/>
      <c r="H73" s="2593">
        <v>417.98031909811789</v>
      </c>
      <c r="I73" s="2594"/>
      <c r="J73" s="2595"/>
      <c r="K73" s="2595"/>
      <c r="L73" s="2595"/>
      <c r="M73" s="2595"/>
      <c r="N73" s="2595"/>
      <c r="O73" s="2595"/>
      <c r="P73" s="2595"/>
      <c r="Q73" s="2595"/>
      <c r="R73" s="2595"/>
      <c r="S73" s="2595"/>
      <c r="T73" s="2595"/>
      <c r="U73" s="2595"/>
      <c r="V73" s="2595"/>
      <c r="W73" s="2594"/>
      <c r="X73" s="2595"/>
      <c r="Y73" s="2595"/>
      <c r="Z73" s="2595"/>
      <c r="AA73" s="2595"/>
      <c r="AB73" s="2595"/>
      <c r="AC73" s="2595"/>
      <c r="AD73" s="2595"/>
      <c r="AE73" s="2595"/>
      <c r="AF73" s="2811"/>
      <c r="AG73" s="2811"/>
      <c r="AH73" s="2811"/>
      <c r="AI73" s="2811"/>
      <c r="AJ73" s="2595"/>
      <c r="AK73" s="2595"/>
      <c r="AL73" s="2811"/>
      <c r="AM73" s="2811"/>
      <c r="AN73" s="2595"/>
      <c r="AO73" s="2595"/>
      <c r="AP73" s="2595"/>
      <c r="AQ73" s="2595"/>
      <c r="AR73" s="2595"/>
      <c r="AS73" s="2595"/>
      <c r="AT73" s="2594"/>
      <c r="AU73" s="2811"/>
      <c r="AV73" s="2595"/>
      <c r="AW73" s="2595"/>
      <c r="AX73" s="2595"/>
      <c r="AY73" s="2595"/>
      <c r="AZ73" s="2594"/>
      <c r="BA73" s="2595"/>
      <c r="BB73" s="2595"/>
      <c r="BC73" s="2595"/>
      <c r="BD73" s="2595"/>
      <c r="BE73" s="2595"/>
      <c r="BF73" s="2595"/>
      <c r="BG73" s="2595"/>
      <c r="BH73" s="2811"/>
      <c r="BI73" s="2595"/>
      <c r="BJ73" s="2811"/>
      <c r="BK73" s="2811"/>
      <c r="BL73" s="2595"/>
      <c r="BM73" s="2595"/>
      <c r="BN73" s="2595"/>
      <c r="BO73" s="2594"/>
      <c r="BP73" s="2595"/>
      <c r="BQ73" s="2595"/>
      <c r="BR73" s="2594"/>
      <c r="BS73" s="2594">
        <v>417.98031909811789</v>
      </c>
      <c r="BT73" s="2829"/>
    </row>
    <row r="74" spans="1:72">
      <c r="A74" s="2596"/>
      <c r="B74" s="2591"/>
      <c r="C74" s="2590" t="s">
        <v>1369</v>
      </c>
      <c r="D74" s="2591" t="s">
        <v>2967</v>
      </c>
      <c r="E74" s="2591"/>
      <c r="F74" s="2592" t="s">
        <v>2968</v>
      </c>
      <c r="G74" s="2592"/>
      <c r="H74" s="2593">
        <v>0</v>
      </c>
      <c r="I74" s="2594"/>
      <c r="J74" s="2595"/>
      <c r="K74" s="2595"/>
      <c r="L74" s="2595"/>
      <c r="M74" s="2595"/>
      <c r="N74" s="2595"/>
      <c r="O74" s="2595"/>
      <c r="P74" s="2595"/>
      <c r="Q74" s="2595"/>
      <c r="R74" s="2595"/>
      <c r="S74" s="2595"/>
      <c r="T74" s="2595"/>
      <c r="U74" s="2595"/>
      <c r="V74" s="2595"/>
      <c r="W74" s="2594"/>
      <c r="X74" s="2595"/>
      <c r="Y74" s="2595"/>
      <c r="Z74" s="2595"/>
      <c r="AA74" s="2595"/>
      <c r="AB74" s="2595"/>
      <c r="AC74" s="2595"/>
      <c r="AD74" s="2595"/>
      <c r="AE74" s="2595"/>
      <c r="AF74" s="2811"/>
      <c r="AG74" s="2811"/>
      <c r="AH74" s="2811"/>
      <c r="AI74" s="2811"/>
      <c r="AJ74" s="2595"/>
      <c r="AK74" s="2595"/>
      <c r="AL74" s="2811"/>
      <c r="AM74" s="2811"/>
      <c r="AN74" s="2595"/>
      <c r="AO74" s="2595"/>
      <c r="AP74" s="2595"/>
      <c r="AQ74" s="2595"/>
      <c r="AR74" s="2595"/>
      <c r="AS74" s="2595"/>
      <c r="AT74" s="2594"/>
      <c r="AU74" s="2811"/>
      <c r="AV74" s="2595"/>
      <c r="AW74" s="2595"/>
      <c r="AX74" s="2595"/>
      <c r="AY74" s="2595"/>
      <c r="AZ74" s="2594"/>
      <c r="BA74" s="2595"/>
      <c r="BB74" s="2595"/>
      <c r="BC74" s="2595"/>
      <c r="BD74" s="2595"/>
      <c r="BE74" s="2595"/>
      <c r="BF74" s="2595"/>
      <c r="BG74" s="2595"/>
      <c r="BH74" s="2811"/>
      <c r="BI74" s="2595"/>
      <c r="BJ74" s="2811"/>
      <c r="BK74" s="2811"/>
      <c r="BL74" s="2595"/>
      <c r="BM74" s="2595"/>
      <c r="BN74" s="2595"/>
      <c r="BO74" s="2594"/>
      <c r="BP74" s="2595"/>
      <c r="BQ74" s="2595"/>
      <c r="BR74" s="2594"/>
      <c r="BS74" s="2594">
        <v>0</v>
      </c>
      <c r="BT74" s="2829"/>
    </row>
    <row r="75" spans="1:72">
      <c r="A75" s="2596"/>
      <c r="B75" s="2591"/>
      <c r="C75" s="2590" t="s">
        <v>1369</v>
      </c>
      <c r="D75" s="2591" t="s">
        <v>2969</v>
      </c>
      <c r="E75" s="2591"/>
      <c r="F75" s="2592" t="s">
        <v>2970</v>
      </c>
      <c r="G75" s="2592"/>
      <c r="H75" s="2593">
        <v>0</v>
      </c>
      <c r="I75" s="2594"/>
      <c r="J75" s="2595"/>
      <c r="K75" s="2595"/>
      <c r="L75" s="2595"/>
      <c r="M75" s="2595"/>
      <c r="N75" s="2595"/>
      <c r="O75" s="2595"/>
      <c r="P75" s="2595"/>
      <c r="Q75" s="2595"/>
      <c r="R75" s="2595"/>
      <c r="S75" s="2595"/>
      <c r="T75" s="2595"/>
      <c r="U75" s="2595"/>
      <c r="V75" s="2595"/>
      <c r="W75" s="2594"/>
      <c r="X75" s="2595"/>
      <c r="Y75" s="2595"/>
      <c r="Z75" s="2595"/>
      <c r="AA75" s="2595"/>
      <c r="AB75" s="2595"/>
      <c r="AC75" s="2595"/>
      <c r="AD75" s="2595"/>
      <c r="AE75" s="2595"/>
      <c r="AF75" s="2811"/>
      <c r="AG75" s="2811"/>
      <c r="AH75" s="2811"/>
      <c r="AI75" s="2811"/>
      <c r="AJ75" s="2595"/>
      <c r="AK75" s="2595"/>
      <c r="AL75" s="2811"/>
      <c r="AM75" s="2811"/>
      <c r="AN75" s="2595"/>
      <c r="AO75" s="2595"/>
      <c r="AP75" s="2595"/>
      <c r="AQ75" s="2595"/>
      <c r="AR75" s="2595"/>
      <c r="AS75" s="2595"/>
      <c r="AT75" s="2594"/>
      <c r="AU75" s="2811"/>
      <c r="AV75" s="2595"/>
      <c r="AW75" s="2595"/>
      <c r="AX75" s="2595"/>
      <c r="AY75" s="2595"/>
      <c r="AZ75" s="2594"/>
      <c r="BA75" s="2595"/>
      <c r="BB75" s="2595"/>
      <c r="BC75" s="2595"/>
      <c r="BD75" s="2595"/>
      <c r="BE75" s="2595"/>
      <c r="BF75" s="2595"/>
      <c r="BG75" s="2595"/>
      <c r="BH75" s="2811"/>
      <c r="BI75" s="2595"/>
      <c r="BJ75" s="2811"/>
      <c r="BK75" s="2811"/>
      <c r="BL75" s="2595"/>
      <c r="BM75" s="2595"/>
      <c r="BN75" s="2595"/>
      <c r="BO75" s="2594"/>
      <c r="BP75" s="2595"/>
      <c r="BQ75" s="2595"/>
      <c r="BR75" s="2594"/>
      <c r="BS75" s="2594">
        <v>0</v>
      </c>
      <c r="BT75" s="2829"/>
    </row>
    <row r="76" spans="1:72">
      <c r="A76" s="2596"/>
      <c r="B76" s="2591"/>
      <c r="C76" s="2590" t="s">
        <v>1369</v>
      </c>
      <c r="D76" s="2591" t="s">
        <v>2971</v>
      </c>
      <c r="E76" s="2591"/>
      <c r="F76" s="2592" t="s">
        <v>2972</v>
      </c>
      <c r="G76" s="2592"/>
      <c r="H76" s="2593">
        <v>0</v>
      </c>
      <c r="I76" s="2594"/>
      <c r="J76" s="2595"/>
      <c r="K76" s="2595"/>
      <c r="L76" s="2595"/>
      <c r="M76" s="2595"/>
      <c r="N76" s="2595"/>
      <c r="O76" s="2595"/>
      <c r="P76" s="2595"/>
      <c r="Q76" s="2595"/>
      <c r="R76" s="2595"/>
      <c r="S76" s="2595"/>
      <c r="T76" s="2595"/>
      <c r="U76" s="2595"/>
      <c r="V76" s="2595"/>
      <c r="W76" s="2594"/>
      <c r="X76" s="2595"/>
      <c r="Y76" s="2595"/>
      <c r="Z76" s="2595"/>
      <c r="AA76" s="2595"/>
      <c r="AB76" s="2595"/>
      <c r="AC76" s="2595"/>
      <c r="AD76" s="2595"/>
      <c r="AE76" s="2595"/>
      <c r="AF76" s="2811"/>
      <c r="AG76" s="2811"/>
      <c r="AH76" s="2811"/>
      <c r="AI76" s="2811"/>
      <c r="AJ76" s="2595"/>
      <c r="AK76" s="2595"/>
      <c r="AL76" s="2811"/>
      <c r="AM76" s="2811"/>
      <c r="AN76" s="2595"/>
      <c r="AO76" s="2595"/>
      <c r="AP76" s="2595"/>
      <c r="AQ76" s="2595"/>
      <c r="AR76" s="2595"/>
      <c r="AS76" s="2595"/>
      <c r="AT76" s="2594"/>
      <c r="AU76" s="2811"/>
      <c r="AV76" s="2595"/>
      <c r="AW76" s="2595"/>
      <c r="AX76" s="2595"/>
      <c r="AY76" s="2595"/>
      <c r="AZ76" s="2594"/>
      <c r="BA76" s="2595"/>
      <c r="BB76" s="2595"/>
      <c r="BC76" s="2595"/>
      <c r="BD76" s="2595"/>
      <c r="BE76" s="2595"/>
      <c r="BF76" s="2595"/>
      <c r="BG76" s="2595"/>
      <c r="BH76" s="2811"/>
      <c r="BI76" s="2595"/>
      <c r="BJ76" s="2811"/>
      <c r="BK76" s="2811"/>
      <c r="BL76" s="2595"/>
      <c r="BM76" s="2595"/>
      <c r="BN76" s="2595"/>
      <c r="BO76" s="2594"/>
      <c r="BP76" s="2595"/>
      <c r="BQ76" s="2595"/>
      <c r="BR76" s="2594"/>
      <c r="BS76" s="2594">
        <v>0</v>
      </c>
      <c r="BT76" s="2829"/>
    </row>
    <row r="77" spans="1:72">
      <c r="A77" s="2596"/>
      <c r="B77" s="2591"/>
      <c r="C77" s="2590" t="s">
        <v>1369</v>
      </c>
      <c r="D77" s="2591" t="s">
        <v>2973</v>
      </c>
      <c r="E77" s="2591"/>
      <c r="F77" s="2592" t="s">
        <v>2974</v>
      </c>
      <c r="G77" s="2592"/>
      <c r="H77" s="2593">
        <v>0</v>
      </c>
      <c r="I77" s="2594"/>
      <c r="J77" s="2595"/>
      <c r="K77" s="2595"/>
      <c r="L77" s="2595"/>
      <c r="M77" s="2595"/>
      <c r="N77" s="2595"/>
      <c r="O77" s="2595"/>
      <c r="P77" s="2595"/>
      <c r="Q77" s="2595"/>
      <c r="R77" s="2595"/>
      <c r="S77" s="2595"/>
      <c r="T77" s="2595"/>
      <c r="U77" s="2595"/>
      <c r="V77" s="2595"/>
      <c r="W77" s="2594"/>
      <c r="X77" s="2595"/>
      <c r="Y77" s="2595"/>
      <c r="Z77" s="2595"/>
      <c r="AA77" s="2595"/>
      <c r="AB77" s="2595"/>
      <c r="AC77" s="2595"/>
      <c r="AD77" s="2595"/>
      <c r="AE77" s="2595"/>
      <c r="AF77" s="2811"/>
      <c r="AG77" s="2811"/>
      <c r="AH77" s="2811"/>
      <c r="AI77" s="2811"/>
      <c r="AJ77" s="2595"/>
      <c r="AK77" s="2595"/>
      <c r="AL77" s="2811"/>
      <c r="AM77" s="2811"/>
      <c r="AN77" s="2595"/>
      <c r="AO77" s="2595"/>
      <c r="AP77" s="2595"/>
      <c r="AQ77" s="2595"/>
      <c r="AR77" s="2595"/>
      <c r="AS77" s="2595"/>
      <c r="AT77" s="2594"/>
      <c r="AU77" s="2811"/>
      <c r="AV77" s="2595"/>
      <c r="AW77" s="2595"/>
      <c r="AX77" s="2595"/>
      <c r="AY77" s="2595"/>
      <c r="AZ77" s="2594"/>
      <c r="BA77" s="2595"/>
      <c r="BB77" s="2595"/>
      <c r="BC77" s="2595"/>
      <c r="BD77" s="2595"/>
      <c r="BE77" s="2595"/>
      <c r="BF77" s="2595"/>
      <c r="BG77" s="2595"/>
      <c r="BH77" s="2811"/>
      <c r="BI77" s="2595"/>
      <c r="BJ77" s="2811"/>
      <c r="BK77" s="2811"/>
      <c r="BL77" s="2595"/>
      <c r="BM77" s="2595"/>
      <c r="BN77" s="2595"/>
      <c r="BO77" s="2594"/>
      <c r="BP77" s="2595"/>
      <c r="BQ77" s="2595"/>
      <c r="BR77" s="2594"/>
      <c r="BS77" s="2594">
        <v>0</v>
      </c>
      <c r="BT77" s="2829"/>
    </row>
    <row r="78" spans="1:72">
      <c r="A78" s="2596"/>
      <c r="B78" s="2591"/>
      <c r="C78" s="2590" t="s">
        <v>1369</v>
      </c>
      <c r="D78" s="2591" t="s">
        <v>2975</v>
      </c>
      <c r="E78" s="2591"/>
      <c r="F78" s="2592" t="s">
        <v>2976</v>
      </c>
      <c r="G78" s="2592"/>
      <c r="H78" s="2593">
        <v>0</v>
      </c>
      <c r="I78" s="2594"/>
      <c r="J78" s="2595"/>
      <c r="K78" s="2595"/>
      <c r="L78" s="2595"/>
      <c r="M78" s="2595"/>
      <c r="N78" s="2595"/>
      <c r="O78" s="2595"/>
      <c r="P78" s="2595"/>
      <c r="Q78" s="2595"/>
      <c r="R78" s="2595"/>
      <c r="S78" s="2595"/>
      <c r="T78" s="2595"/>
      <c r="U78" s="2595"/>
      <c r="V78" s="2595"/>
      <c r="W78" s="2594"/>
      <c r="X78" s="2595"/>
      <c r="Y78" s="2595"/>
      <c r="Z78" s="2595"/>
      <c r="AA78" s="2595"/>
      <c r="AB78" s="2595"/>
      <c r="AC78" s="2595"/>
      <c r="AD78" s="2595"/>
      <c r="AE78" s="2595"/>
      <c r="AF78" s="2811"/>
      <c r="AG78" s="2811"/>
      <c r="AH78" s="2811"/>
      <c r="AI78" s="2811"/>
      <c r="AJ78" s="2595"/>
      <c r="AK78" s="2595"/>
      <c r="AL78" s="2811"/>
      <c r="AM78" s="2811"/>
      <c r="AN78" s="2595"/>
      <c r="AO78" s="2595"/>
      <c r="AP78" s="2595"/>
      <c r="AQ78" s="2595"/>
      <c r="AR78" s="2595"/>
      <c r="AS78" s="2595"/>
      <c r="AT78" s="2594"/>
      <c r="AU78" s="2811"/>
      <c r="AV78" s="2595"/>
      <c r="AW78" s="2595"/>
      <c r="AX78" s="2595"/>
      <c r="AY78" s="2595"/>
      <c r="AZ78" s="2594"/>
      <c r="BA78" s="2595"/>
      <c r="BB78" s="2595"/>
      <c r="BC78" s="2595"/>
      <c r="BD78" s="2595"/>
      <c r="BE78" s="2595"/>
      <c r="BF78" s="2595"/>
      <c r="BG78" s="2595"/>
      <c r="BH78" s="2811"/>
      <c r="BI78" s="2595"/>
      <c r="BJ78" s="2811"/>
      <c r="BK78" s="2811"/>
      <c r="BL78" s="2595"/>
      <c r="BM78" s="2595"/>
      <c r="BN78" s="2595"/>
      <c r="BO78" s="2594"/>
      <c r="BP78" s="2595"/>
      <c r="BQ78" s="2595"/>
      <c r="BR78" s="2594"/>
      <c r="BS78" s="2594">
        <v>0</v>
      </c>
      <c r="BT78" s="2829"/>
    </row>
    <row r="79" spans="1:72">
      <c r="A79" s="2590" t="s">
        <v>1369</v>
      </c>
      <c r="B79" s="2591" t="s">
        <v>2977</v>
      </c>
      <c r="C79" s="2591"/>
      <c r="D79" s="2591"/>
      <c r="E79" s="2591"/>
      <c r="F79" s="2592" t="s">
        <v>2978</v>
      </c>
      <c r="G79" s="2592"/>
      <c r="H79" s="2593">
        <v>4972.3177605808733</v>
      </c>
      <c r="I79" s="2594"/>
      <c r="J79" s="2595"/>
      <c r="K79" s="2595"/>
      <c r="L79" s="2595"/>
      <c r="M79" s="2595"/>
      <c r="N79" s="2595"/>
      <c r="O79" s="2595"/>
      <c r="P79" s="2595"/>
      <c r="Q79" s="2595"/>
      <c r="R79" s="2595"/>
      <c r="S79" s="2595"/>
      <c r="T79" s="2595"/>
      <c r="U79" s="2595"/>
      <c r="V79" s="2595"/>
      <c r="W79" s="2594"/>
      <c r="X79" s="2595"/>
      <c r="Y79" s="2595"/>
      <c r="Z79" s="2595"/>
      <c r="AA79" s="2595"/>
      <c r="AB79" s="2595"/>
      <c r="AC79" s="2595"/>
      <c r="AD79" s="2595"/>
      <c r="AE79" s="2595"/>
      <c r="AF79" s="2811"/>
      <c r="AG79" s="2811"/>
      <c r="AH79" s="2811"/>
      <c r="AI79" s="2811"/>
      <c r="AJ79" s="2595"/>
      <c r="AK79" s="2595"/>
      <c r="AL79" s="2811"/>
      <c r="AM79" s="2811"/>
      <c r="AN79" s="2595"/>
      <c r="AO79" s="2595"/>
      <c r="AP79" s="2595"/>
      <c r="AQ79" s="2595"/>
      <c r="AR79" s="2595"/>
      <c r="AS79" s="2595"/>
      <c r="AT79" s="2594"/>
      <c r="AU79" s="2811"/>
      <c r="AV79" s="2595"/>
      <c r="AW79" s="2595"/>
      <c r="AX79" s="2595"/>
      <c r="AY79" s="2595"/>
      <c r="AZ79" s="2594"/>
      <c r="BA79" s="2595"/>
      <c r="BB79" s="2595"/>
      <c r="BC79" s="2595"/>
      <c r="BD79" s="2595"/>
      <c r="BE79" s="2595"/>
      <c r="BF79" s="2595"/>
      <c r="BG79" s="2595"/>
      <c r="BH79" s="2811"/>
      <c r="BI79" s="2595"/>
      <c r="BJ79" s="2811"/>
      <c r="BK79" s="2811"/>
      <c r="BL79" s="2595"/>
      <c r="BM79" s="2595"/>
      <c r="BN79" s="2595"/>
      <c r="BO79" s="2594"/>
      <c r="BP79" s="2595"/>
      <c r="BQ79" s="2595"/>
      <c r="BR79" s="2594"/>
      <c r="BS79" s="2594">
        <v>0</v>
      </c>
      <c r="BT79" s="2829">
        <v>4972.3177605808733</v>
      </c>
    </row>
    <row r="80" spans="1:72">
      <c r="A80" s="2590"/>
      <c r="B80" s="2590" t="s">
        <v>1369</v>
      </c>
      <c r="C80" s="2591" t="s">
        <v>2979</v>
      </c>
      <c r="D80" s="2591"/>
      <c r="E80" s="2591"/>
      <c r="F80" s="2592" t="s">
        <v>2980</v>
      </c>
      <c r="G80" s="2592"/>
      <c r="H80" s="2593">
        <v>4972.3177605808733</v>
      </c>
      <c r="I80" s="2594"/>
      <c r="J80" s="2595"/>
      <c r="K80" s="2595"/>
      <c r="L80" s="2595"/>
      <c r="M80" s="2595"/>
      <c r="N80" s="2595"/>
      <c r="O80" s="2595"/>
      <c r="P80" s="2595"/>
      <c r="Q80" s="2595"/>
      <c r="R80" s="2595"/>
      <c r="S80" s="2595"/>
      <c r="T80" s="2595"/>
      <c r="U80" s="2595"/>
      <c r="V80" s="2595"/>
      <c r="W80" s="2594"/>
      <c r="X80" s="2595"/>
      <c r="Y80" s="2595"/>
      <c r="Z80" s="2595"/>
      <c r="AA80" s="2595"/>
      <c r="AB80" s="2595"/>
      <c r="AC80" s="2595"/>
      <c r="AD80" s="2595"/>
      <c r="AE80" s="2595"/>
      <c r="AF80" s="2811"/>
      <c r="AG80" s="2811"/>
      <c r="AH80" s="2811"/>
      <c r="AI80" s="2811"/>
      <c r="AJ80" s="2595"/>
      <c r="AK80" s="2595"/>
      <c r="AL80" s="2811"/>
      <c r="AM80" s="2811"/>
      <c r="AN80" s="2595"/>
      <c r="AO80" s="2595"/>
      <c r="AP80" s="2595"/>
      <c r="AQ80" s="2595"/>
      <c r="AR80" s="2595"/>
      <c r="AS80" s="2595"/>
      <c r="AT80" s="2594"/>
      <c r="AU80" s="2811"/>
      <c r="AV80" s="2595"/>
      <c r="AW80" s="2595"/>
      <c r="AX80" s="2595"/>
      <c r="AY80" s="2595"/>
      <c r="AZ80" s="2594"/>
      <c r="BA80" s="2595"/>
      <c r="BB80" s="2595"/>
      <c r="BC80" s="2595"/>
      <c r="BD80" s="2595"/>
      <c r="BE80" s="2595"/>
      <c r="BF80" s="2595"/>
      <c r="BG80" s="2595"/>
      <c r="BH80" s="2811"/>
      <c r="BI80" s="2595"/>
      <c r="BJ80" s="2811"/>
      <c r="BK80" s="2811"/>
      <c r="BL80" s="2595"/>
      <c r="BM80" s="2595"/>
      <c r="BN80" s="2595"/>
      <c r="BO80" s="2594"/>
      <c r="BP80" s="2595"/>
      <c r="BQ80" s="2595"/>
      <c r="BR80" s="2594"/>
      <c r="BS80" s="2594"/>
      <c r="BT80" s="2829">
        <v>4972.3177605808733</v>
      </c>
    </row>
    <row r="81" spans="1:72">
      <c r="A81" s="2590"/>
      <c r="B81" s="2590" t="s">
        <v>1369</v>
      </c>
      <c r="C81" s="2591" t="s">
        <v>2981</v>
      </c>
      <c r="D81" s="2591"/>
      <c r="E81" s="2591"/>
      <c r="F81" s="2592" t="s">
        <v>2982</v>
      </c>
      <c r="G81" s="2592"/>
      <c r="H81" s="2593">
        <v>0</v>
      </c>
      <c r="I81" s="2594"/>
      <c r="J81" s="2595"/>
      <c r="K81" s="2595"/>
      <c r="L81" s="2595"/>
      <c r="M81" s="2595"/>
      <c r="N81" s="2595"/>
      <c r="O81" s="2595"/>
      <c r="P81" s="2595"/>
      <c r="Q81" s="2595"/>
      <c r="R81" s="2595"/>
      <c r="S81" s="2595"/>
      <c r="T81" s="2595"/>
      <c r="U81" s="2595"/>
      <c r="V81" s="2595"/>
      <c r="W81" s="2594"/>
      <c r="X81" s="2595"/>
      <c r="Y81" s="2595"/>
      <c r="Z81" s="2595"/>
      <c r="AA81" s="2595"/>
      <c r="AB81" s="2595"/>
      <c r="AC81" s="2595"/>
      <c r="AD81" s="2595"/>
      <c r="AE81" s="2595"/>
      <c r="AF81" s="2811"/>
      <c r="AG81" s="2811"/>
      <c r="AH81" s="2811"/>
      <c r="AI81" s="2811"/>
      <c r="AJ81" s="2595"/>
      <c r="AK81" s="2595"/>
      <c r="AL81" s="2811"/>
      <c r="AM81" s="2811"/>
      <c r="AN81" s="2595"/>
      <c r="AO81" s="2595"/>
      <c r="AP81" s="2595"/>
      <c r="AQ81" s="2595"/>
      <c r="AR81" s="2595"/>
      <c r="AS81" s="2595"/>
      <c r="AT81" s="2594"/>
      <c r="AU81" s="2811"/>
      <c r="AV81" s="2595"/>
      <c r="AW81" s="2595"/>
      <c r="AX81" s="2595"/>
      <c r="AY81" s="2595"/>
      <c r="AZ81" s="2594"/>
      <c r="BA81" s="2595"/>
      <c r="BB81" s="2595"/>
      <c r="BC81" s="2595"/>
      <c r="BD81" s="2595"/>
      <c r="BE81" s="2595"/>
      <c r="BF81" s="2595"/>
      <c r="BG81" s="2595"/>
      <c r="BH81" s="2811"/>
      <c r="BI81" s="2595"/>
      <c r="BJ81" s="2811"/>
      <c r="BK81" s="2811"/>
      <c r="BL81" s="2595"/>
      <c r="BM81" s="2595"/>
      <c r="BN81" s="2595"/>
      <c r="BO81" s="2594"/>
      <c r="BP81" s="2595"/>
      <c r="BQ81" s="2595"/>
      <c r="BR81" s="2594"/>
      <c r="BS81" s="2594"/>
      <c r="BT81" s="2829">
        <v>0</v>
      </c>
    </row>
    <row r="82" spans="1:72">
      <c r="A82" s="2590"/>
      <c r="B82" s="2590" t="s">
        <v>1369</v>
      </c>
      <c r="C82" s="2591" t="s">
        <v>2983</v>
      </c>
      <c r="D82" s="2591"/>
      <c r="E82" s="2591"/>
      <c r="F82" s="2592" t="s">
        <v>2984</v>
      </c>
      <c r="G82" s="2592"/>
      <c r="H82" s="2593">
        <v>0</v>
      </c>
      <c r="I82" s="2594"/>
      <c r="J82" s="2595"/>
      <c r="K82" s="2595"/>
      <c r="L82" s="2595"/>
      <c r="M82" s="2595"/>
      <c r="N82" s="2595"/>
      <c r="O82" s="2595"/>
      <c r="P82" s="2595"/>
      <c r="Q82" s="2595"/>
      <c r="R82" s="2595"/>
      <c r="S82" s="2595"/>
      <c r="T82" s="2595"/>
      <c r="U82" s="2595"/>
      <c r="V82" s="2595"/>
      <c r="W82" s="2594"/>
      <c r="X82" s="2595"/>
      <c r="Y82" s="2595"/>
      <c r="Z82" s="2595"/>
      <c r="AA82" s="2595"/>
      <c r="AB82" s="2595"/>
      <c r="AC82" s="2595"/>
      <c r="AD82" s="2595"/>
      <c r="AE82" s="2595"/>
      <c r="AF82" s="2811"/>
      <c r="AG82" s="2811"/>
      <c r="AH82" s="2811"/>
      <c r="AI82" s="2811"/>
      <c r="AJ82" s="2595"/>
      <c r="AK82" s="2595"/>
      <c r="AL82" s="2811"/>
      <c r="AM82" s="2811"/>
      <c r="AN82" s="2595"/>
      <c r="AO82" s="2595"/>
      <c r="AP82" s="2595"/>
      <c r="AQ82" s="2595"/>
      <c r="AR82" s="2595"/>
      <c r="AS82" s="2595"/>
      <c r="AT82" s="2594"/>
      <c r="AU82" s="2811"/>
      <c r="AV82" s="2595"/>
      <c r="AW82" s="2595"/>
      <c r="AX82" s="2595"/>
      <c r="AY82" s="2595"/>
      <c r="AZ82" s="2594"/>
      <c r="BA82" s="2595"/>
      <c r="BB82" s="2595"/>
      <c r="BC82" s="2595"/>
      <c r="BD82" s="2595"/>
      <c r="BE82" s="2595"/>
      <c r="BF82" s="2595"/>
      <c r="BG82" s="2595"/>
      <c r="BH82" s="2811"/>
      <c r="BI82" s="2595"/>
      <c r="BJ82" s="2811"/>
      <c r="BK82" s="2811"/>
      <c r="BL82" s="2595"/>
      <c r="BM82" s="2595"/>
      <c r="BN82" s="2595"/>
      <c r="BO82" s="2594"/>
      <c r="BP82" s="2595"/>
      <c r="BQ82" s="2595"/>
      <c r="BR82" s="2594"/>
      <c r="BS82" s="2594"/>
      <c r="BT82" s="2829">
        <v>0</v>
      </c>
    </row>
    <row r="83" spans="1:72">
      <c r="A83" s="2590"/>
      <c r="B83" s="2590" t="s">
        <v>1369</v>
      </c>
      <c r="C83" s="2591" t="s">
        <v>2985</v>
      </c>
      <c r="D83" s="2591"/>
      <c r="E83" s="2591"/>
      <c r="F83" s="2592" t="s">
        <v>2986</v>
      </c>
      <c r="G83" s="2592"/>
      <c r="H83" s="2593">
        <v>0</v>
      </c>
      <c r="I83" s="2594"/>
      <c r="J83" s="2595"/>
      <c r="K83" s="2595"/>
      <c r="L83" s="2595"/>
      <c r="M83" s="2595"/>
      <c r="N83" s="2595"/>
      <c r="O83" s="2595"/>
      <c r="P83" s="2595"/>
      <c r="Q83" s="2595"/>
      <c r="R83" s="2595"/>
      <c r="S83" s="2595"/>
      <c r="T83" s="2595"/>
      <c r="U83" s="2595"/>
      <c r="V83" s="2595"/>
      <c r="W83" s="2594"/>
      <c r="X83" s="2595"/>
      <c r="Y83" s="2595"/>
      <c r="Z83" s="2595"/>
      <c r="AA83" s="2595"/>
      <c r="AB83" s="2595"/>
      <c r="AC83" s="2595"/>
      <c r="AD83" s="2595"/>
      <c r="AE83" s="2595"/>
      <c r="AF83" s="2811"/>
      <c r="AG83" s="2811"/>
      <c r="AH83" s="2811"/>
      <c r="AI83" s="2811"/>
      <c r="AJ83" s="2595"/>
      <c r="AK83" s="2595"/>
      <c r="AL83" s="2811"/>
      <c r="AM83" s="2811"/>
      <c r="AN83" s="2595"/>
      <c r="AO83" s="2595"/>
      <c r="AP83" s="2595"/>
      <c r="AQ83" s="2595"/>
      <c r="AR83" s="2595"/>
      <c r="AS83" s="2595"/>
      <c r="AT83" s="2594"/>
      <c r="AU83" s="2811"/>
      <c r="AV83" s="2595"/>
      <c r="AW83" s="2595"/>
      <c r="AX83" s="2595"/>
      <c r="AY83" s="2595"/>
      <c r="AZ83" s="2594"/>
      <c r="BA83" s="2595"/>
      <c r="BB83" s="2595"/>
      <c r="BC83" s="2595"/>
      <c r="BD83" s="2595"/>
      <c r="BE83" s="2595"/>
      <c r="BF83" s="2595"/>
      <c r="BG83" s="2595"/>
      <c r="BH83" s="2811"/>
      <c r="BI83" s="2595"/>
      <c r="BJ83" s="2811"/>
      <c r="BK83" s="2811"/>
      <c r="BL83" s="2595"/>
      <c r="BM83" s="2595"/>
      <c r="BN83" s="2595"/>
      <c r="BO83" s="2594"/>
      <c r="BP83" s="2595"/>
      <c r="BQ83" s="2595"/>
      <c r="BR83" s="2594"/>
      <c r="BS83" s="2594"/>
      <c r="BT83" s="2829">
        <v>0</v>
      </c>
    </row>
    <row r="84" spans="1:72">
      <c r="A84" s="2590"/>
      <c r="B84" s="2590" t="s">
        <v>1369</v>
      </c>
      <c r="C84" s="2591" t="s">
        <v>2987</v>
      </c>
      <c r="D84" s="2591"/>
      <c r="E84" s="2591"/>
      <c r="F84" s="2592" t="s">
        <v>2988</v>
      </c>
      <c r="G84" s="2592"/>
      <c r="H84" s="2593">
        <v>0</v>
      </c>
      <c r="I84" s="2594"/>
      <c r="J84" s="2595"/>
      <c r="K84" s="2595"/>
      <c r="L84" s="2595"/>
      <c r="M84" s="2595"/>
      <c r="N84" s="2595"/>
      <c r="O84" s="2595"/>
      <c r="P84" s="2595"/>
      <c r="Q84" s="2595"/>
      <c r="R84" s="2595"/>
      <c r="S84" s="2595"/>
      <c r="T84" s="2595"/>
      <c r="U84" s="2595"/>
      <c r="V84" s="2595"/>
      <c r="W84" s="2594"/>
      <c r="X84" s="2595"/>
      <c r="Y84" s="2595"/>
      <c r="Z84" s="2595"/>
      <c r="AA84" s="2595"/>
      <c r="AB84" s="2595"/>
      <c r="AC84" s="2595"/>
      <c r="AD84" s="2595"/>
      <c r="AE84" s="2595"/>
      <c r="AF84" s="2811"/>
      <c r="AG84" s="2811"/>
      <c r="AH84" s="2811"/>
      <c r="AI84" s="2811"/>
      <c r="AJ84" s="2595"/>
      <c r="AK84" s="2595"/>
      <c r="AL84" s="2811"/>
      <c r="AM84" s="2811"/>
      <c r="AN84" s="2595"/>
      <c r="AO84" s="2595"/>
      <c r="AP84" s="2595"/>
      <c r="AQ84" s="2595"/>
      <c r="AR84" s="2595"/>
      <c r="AS84" s="2595"/>
      <c r="AT84" s="2594"/>
      <c r="AU84" s="2811"/>
      <c r="AV84" s="2595"/>
      <c r="AW84" s="2595"/>
      <c r="AX84" s="2595"/>
      <c r="AY84" s="2595"/>
      <c r="AZ84" s="2594"/>
      <c r="BA84" s="2595"/>
      <c r="BB84" s="2595"/>
      <c r="BC84" s="2595"/>
      <c r="BD84" s="2595"/>
      <c r="BE84" s="2595"/>
      <c r="BF84" s="2595"/>
      <c r="BG84" s="2595"/>
      <c r="BH84" s="2811"/>
      <c r="BI84" s="2595"/>
      <c r="BJ84" s="2811"/>
      <c r="BK84" s="2811"/>
      <c r="BL84" s="2595"/>
      <c r="BM84" s="2595"/>
      <c r="BN84" s="2595"/>
      <c r="BO84" s="2594"/>
      <c r="BP84" s="2595"/>
      <c r="BQ84" s="2595"/>
      <c r="BR84" s="2594"/>
      <c r="BS84" s="2594">
        <v>0</v>
      </c>
      <c r="BT84" s="2829"/>
    </row>
    <row r="85" spans="1:72">
      <c r="A85" s="2590"/>
      <c r="B85" s="2590" t="s">
        <v>1369</v>
      </c>
      <c r="C85" s="2591" t="s">
        <v>2989</v>
      </c>
      <c r="D85" s="2591"/>
      <c r="E85" s="2591"/>
      <c r="F85" s="2592" t="s">
        <v>2990</v>
      </c>
      <c r="G85" s="2592"/>
      <c r="H85" s="2593">
        <v>0</v>
      </c>
      <c r="I85" s="2594"/>
      <c r="J85" s="2595"/>
      <c r="K85" s="2595"/>
      <c r="L85" s="2595"/>
      <c r="M85" s="2595"/>
      <c r="N85" s="2595"/>
      <c r="O85" s="2595"/>
      <c r="P85" s="2595"/>
      <c r="Q85" s="2595"/>
      <c r="R85" s="2595"/>
      <c r="S85" s="2595"/>
      <c r="T85" s="2595"/>
      <c r="U85" s="2595"/>
      <c r="V85" s="2595"/>
      <c r="W85" s="2594"/>
      <c r="X85" s="2595"/>
      <c r="Y85" s="2595"/>
      <c r="Z85" s="2595"/>
      <c r="AA85" s="2595"/>
      <c r="AB85" s="2595"/>
      <c r="AC85" s="2595"/>
      <c r="AD85" s="2595"/>
      <c r="AE85" s="2595"/>
      <c r="AF85" s="2811"/>
      <c r="AG85" s="2811"/>
      <c r="AH85" s="2811"/>
      <c r="AI85" s="2811"/>
      <c r="AJ85" s="2595"/>
      <c r="AK85" s="2595"/>
      <c r="AL85" s="2811"/>
      <c r="AM85" s="2811"/>
      <c r="AN85" s="2595"/>
      <c r="AO85" s="2595"/>
      <c r="AP85" s="2595"/>
      <c r="AQ85" s="2595"/>
      <c r="AR85" s="2595"/>
      <c r="AS85" s="2595"/>
      <c r="AT85" s="2594"/>
      <c r="AU85" s="2811"/>
      <c r="AV85" s="2595"/>
      <c r="AW85" s="2595"/>
      <c r="AX85" s="2595"/>
      <c r="AY85" s="2595"/>
      <c r="AZ85" s="2594"/>
      <c r="BA85" s="2595"/>
      <c r="BB85" s="2595"/>
      <c r="BC85" s="2595"/>
      <c r="BD85" s="2595"/>
      <c r="BE85" s="2595"/>
      <c r="BF85" s="2595"/>
      <c r="BG85" s="2595"/>
      <c r="BH85" s="2811"/>
      <c r="BI85" s="2595"/>
      <c r="BJ85" s="2811"/>
      <c r="BK85" s="2811"/>
      <c r="BL85" s="2595"/>
      <c r="BM85" s="2595"/>
      <c r="BN85" s="2595"/>
      <c r="BO85" s="2594"/>
      <c r="BP85" s="2595"/>
      <c r="BQ85" s="2595"/>
      <c r="BR85" s="2594"/>
      <c r="BS85" s="2594">
        <v>0</v>
      </c>
      <c r="BT85" s="2829"/>
    </row>
    <row r="86" spans="1:72">
      <c r="A86" s="2590" t="s">
        <v>1369</v>
      </c>
      <c r="B86" s="2591" t="s">
        <v>2878</v>
      </c>
      <c r="C86" s="2591"/>
      <c r="D86" s="2591"/>
      <c r="E86" s="2591"/>
      <c r="F86" s="2592" t="s">
        <v>2991</v>
      </c>
      <c r="G86" s="2592"/>
      <c r="H86" s="2593">
        <v>997.87427152001521</v>
      </c>
      <c r="I86" s="2594">
        <v>814.79889175503956</v>
      </c>
      <c r="J86" s="2595"/>
      <c r="K86" s="2595"/>
      <c r="L86" s="2595"/>
      <c r="M86" s="2595"/>
      <c r="N86" s="2595"/>
      <c r="O86" s="2595"/>
      <c r="P86" s="2595">
        <v>814.79889175503956</v>
      </c>
      <c r="Q86" s="2595"/>
      <c r="R86" s="2595">
        <v>0</v>
      </c>
      <c r="S86" s="2595"/>
      <c r="T86" s="2595"/>
      <c r="U86" s="2595"/>
      <c r="V86" s="2595"/>
      <c r="W86" s="2594"/>
      <c r="X86" s="2595"/>
      <c r="Y86" s="2595"/>
      <c r="Z86" s="2595"/>
      <c r="AA86" s="2595"/>
      <c r="AB86" s="2595"/>
      <c r="AC86" s="2595"/>
      <c r="AD86" s="2595"/>
      <c r="AE86" s="2595"/>
      <c r="AF86" s="2811"/>
      <c r="AG86" s="2811"/>
      <c r="AH86" s="2811"/>
      <c r="AI86" s="2811"/>
      <c r="AJ86" s="2595"/>
      <c r="AK86" s="2595"/>
      <c r="AL86" s="2811"/>
      <c r="AM86" s="2811"/>
      <c r="AN86" s="2595"/>
      <c r="AO86" s="2595"/>
      <c r="AP86" s="2595"/>
      <c r="AQ86" s="2595"/>
      <c r="AR86" s="2595"/>
      <c r="AS86" s="2595"/>
      <c r="AT86" s="2594">
        <v>183.05149517531288</v>
      </c>
      <c r="AU86" s="2811"/>
      <c r="AV86" s="2595">
        <v>183.05149517531288</v>
      </c>
      <c r="AW86" s="2595"/>
      <c r="AX86" s="2595"/>
      <c r="AY86" s="2595"/>
      <c r="AZ86" s="2594"/>
      <c r="BA86" s="2595"/>
      <c r="BB86" s="2595"/>
      <c r="BC86" s="2595"/>
      <c r="BD86" s="2595"/>
      <c r="BE86" s="2595"/>
      <c r="BF86" s="2595"/>
      <c r="BG86" s="2595"/>
      <c r="BH86" s="2811"/>
      <c r="BI86" s="2595"/>
      <c r="BJ86" s="2811"/>
      <c r="BK86" s="2811"/>
      <c r="BL86" s="2595"/>
      <c r="BM86" s="2595"/>
      <c r="BN86" s="2595"/>
      <c r="BO86" s="2594"/>
      <c r="BP86" s="2595"/>
      <c r="BQ86" s="2595"/>
      <c r="BR86" s="2594"/>
      <c r="BS86" s="2594"/>
      <c r="BT86" s="2829"/>
    </row>
    <row r="87" spans="1:72">
      <c r="A87" s="2590" t="s">
        <v>1369</v>
      </c>
      <c r="B87" s="2591" t="s">
        <v>2880</v>
      </c>
      <c r="C87" s="2591"/>
      <c r="D87" s="2591"/>
      <c r="E87" s="2591"/>
      <c r="F87" s="2592" t="s">
        <v>2992</v>
      </c>
      <c r="G87" s="2592"/>
      <c r="H87" s="2593">
        <v>353.03811980510176</v>
      </c>
      <c r="I87" s="2594"/>
      <c r="J87" s="2595"/>
      <c r="K87" s="2595"/>
      <c r="L87" s="2595"/>
      <c r="M87" s="2595"/>
      <c r="N87" s="2595"/>
      <c r="O87" s="2595"/>
      <c r="P87" s="2595"/>
      <c r="Q87" s="2595"/>
      <c r="R87" s="2595"/>
      <c r="S87" s="2595"/>
      <c r="T87" s="2595"/>
      <c r="U87" s="2595"/>
      <c r="V87" s="2595"/>
      <c r="W87" s="2594"/>
      <c r="X87" s="2595"/>
      <c r="Y87" s="2595"/>
      <c r="Z87" s="2595"/>
      <c r="AA87" s="2595"/>
      <c r="AB87" s="2595"/>
      <c r="AC87" s="2595"/>
      <c r="AD87" s="2595"/>
      <c r="AE87" s="2595"/>
      <c r="AF87" s="2811"/>
      <c r="AG87" s="2811"/>
      <c r="AH87" s="2811"/>
      <c r="AI87" s="2811"/>
      <c r="AJ87" s="2595"/>
      <c r="AK87" s="2595"/>
      <c r="AL87" s="2811"/>
      <c r="AM87" s="2811"/>
      <c r="AN87" s="2595"/>
      <c r="AO87" s="2595"/>
      <c r="AP87" s="2595"/>
      <c r="AQ87" s="2595"/>
      <c r="AR87" s="2595"/>
      <c r="AS87" s="2595"/>
      <c r="AT87" s="2594">
        <v>353.03811980510176</v>
      </c>
      <c r="AU87" s="2811"/>
      <c r="AV87" s="2595"/>
      <c r="AW87" s="2595">
        <v>335.67402312028275</v>
      </c>
      <c r="AX87" s="2595"/>
      <c r="AY87" s="2595">
        <v>17.364096684818954</v>
      </c>
      <c r="AZ87" s="2594"/>
      <c r="BA87" s="2595"/>
      <c r="BB87" s="2595"/>
      <c r="BC87" s="2595"/>
      <c r="BD87" s="2595"/>
      <c r="BE87" s="2595"/>
      <c r="BF87" s="2595"/>
      <c r="BG87" s="2595"/>
      <c r="BH87" s="2811"/>
      <c r="BI87" s="2595"/>
      <c r="BJ87" s="2811"/>
      <c r="BK87" s="2811"/>
      <c r="BL87" s="2595"/>
      <c r="BM87" s="2595"/>
      <c r="BN87" s="2595"/>
      <c r="BO87" s="2594"/>
      <c r="BP87" s="2595"/>
      <c r="BQ87" s="2595"/>
      <c r="BR87" s="2594"/>
      <c r="BS87" s="2594"/>
      <c r="BT87" s="2829"/>
    </row>
    <row r="88" spans="1:72">
      <c r="A88" s="2590" t="s">
        <v>1369</v>
      </c>
      <c r="B88" s="2591" t="s">
        <v>2882</v>
      </c>
      <c r="C88" s="2591"/>
      <c r="D88" s="2591"/>
      <c r="E88" s="2591"/>
      <c r="F88" s="2592" t="s">
        <v>2993</v>
      </c>
      <c r="G88" s="2592"/>
      <c r="H88" s="2593">
        <v>0</v>
      </c>
      <c r="I88" s="2594">
        <v>0</v>
      </c>
      <c r="J88" s="2595"/>
      <c r="K88" s="2595"/>
      <c r="L88" s="2595"/>
      <c r="M88" s="2595"/>
      <c r="N88" s="2595"/>
      <c r="O88" s="2595"/>
      <c r="P88" s="2595"/>
      <c r="Q88" s="2595">
        <v>0</v>
      </c>
      <c r="R88" s="2595"/>
      <c r="S88" s="2595"/>
      <c r="T88" s="2595"/>
      <c r="U88" s="2595"/>
      <c r="V88" s="2595"/>
      <c r="W88" s="2594"/>
      <c r="X88" s="2595"/>
      <c r="Y88" s="2595"/>
      <c r="Z88" s="2595"/>
      <c r="AA88" s="2595"/>
      <c r="AB88" s="2595"/>
      <c r="AC88" s="2595"/>
      <c r="AD88" s="2595"/>
      <c r="AE88" s="2595"/>
      <c r="AF88" s="2811"/>
      <c r="AG88" s="2811"/>
      <c r="AH88" s="2811"/>
      <c r="AI88" s="2811"/>
      <c r="AJ88" s="2595"/>
      <c r="AK88" s="2595"/>
      <c r="AL88" s="2811"/>
      <c r="AM88" s="2811"/>
      <c r="AN88" s="2595"/>
      <c r="AO88" s="2595"/>
      <c r="AP88" s="2595"/>
      <c r="AQ88" s="2595"/>
      <c r="AR88" s="2595"/>
      <c r="AS88" s="2595"/>
      <c r="AT88" s="2594">
        <v>0</v>
      </c>
      <c r="AU88" s="2811"/>
      <c r="AV88" s="2595"/>
      <c r="AW88" s="2595"/>
      <c r="AX88" s="2595">
        <v>0</v>
      </c>
      <c r="AY88" s="2595"/>
      <c r="AZ88" s="2594"/>
      <c r="BA88" s="2595"/>
      <c r="BB88" s="2595"/>
      <c r="BC88" s="2595"/>
      <c r="BD88" s="2595"/>
      <c r="BE88" s="2595"/>
      <c r="BF88" s="2595"/>
      <c r="BG88" s="2595"/>
      <c r="BH88" s="2811"/>
      <c r="BI88" s="2595"/>
      <c r="BJ88" s="2811"/>
      <c r="BK88" s="2811"/>
      <c r="BL88" s="2595"/>
      <c r="BM88" s="2595"/>
      <c r="BN88" s="2595"/>
      <c r="BO88" s="2594"/>
      <c r="BP88" s="2595"/>
      <c r="BQ88" s="2595"/>
      <c r="BR88" s="2594"/>
      <c r="BS88" s="2594"/>
      <c r="BT88" s="2829"/>
    </row>
    <row r="89" spans="1:72">
      <c r="A89" s="2590" t="s">
        <v>1369</v>
      </c>
      <c r="B89" s="2591" t="s">
        <v>2884</v>
      </c>
      <c r="C89" s="2591"/>
      <c r="D89" s="2591"/>
      <c r="E89" s="2591"/>
      <c r="F89" s="2592" t="s">
        <v>2994</v>
      </c>
      <c r="G89" s="2592"/>
      <c r="H89" s="2593">
        <v>21027.443393522499</v>
      </c>
      <c r="I89" s="2594"/>
      <c r="J89" s="2595"/>
      <c r="K89" s="2595"/>
      <c r="L89" s="2595"/>
      <c r="M89" s="2595"/>
      <c r="N89" s="2595"/>
      <c r="O89" s="2595"/>
      <c r="P89" s="2595"/>
      <c r="Q89" s="2595"/>
      <c r="R89" s="2595"/>
      <c r="S89" s="2595"/>
      <c r="T89" s="2595"/>
      <c r="U89" s="2595"/>
      <c r="V89" s="2595"/>
      <c r="W89" s="2594">
        <v>21027.443393522499</v>
      </c>
      <c r="X89" s="2595"/>
      <c r="Y89" s="2595"/>
      <c r="Z89" s="2595"/>
      <c r="AA89" s="2595"/>
      <c r="AB89" s="2595"/>
      <c r="AC89" s="2595">
        <v>675.07404222795446</v>
      </c>
      <c r="AD89" s="2595"/>
      <c r="AE89" s="2595">
        <v>377.94974682334953</v>
      </c>
      <c r="AF89" s="2811">
        <v>4153.4823731728284</v>
      </c>
      <c r="AG89" s="2811"/>
      <c r="AH89" s="2811"/>
      <c r="AI89" s="2811">
        <v>185.89376134518008</v>
      </c>
      <c r="AJ89" s="2595"/>
      <c r="AK89" s="2595">
        <v>291.10537880959203</v>
      </c>
      <c r="AL89" s="2811">
        <v>7744.2915830706024</v>
      </c>
      <c r="AM89" s="2811">
        <v>4923.0916212859456</v>
      </c>
      <c r="AN89" s="2595"/>
      <c r="AO89" s="2595">
        <v>376.18228718830608</v>
      </c>
      <c r="AP89" s="2595">
        <v>737.74720550300947</v>
      </c>
      <c r="AQ89" s="2595">
        <v>35.922422852775391</v>
      </c>
      <c r="AR89" s="2595"/>
      <c r="AS89" s="2595">
        <v>1526.7029712429539</v>
      </c>
      <c r="AT89" s="2594"/>
      <c r="AU89" s="2811"/>
      <c r="AV89" s="2595"/>
      <c r="AW89" s="2595"/>
      <c r="AX89" s="2595"/>
      <c r="AY89" s="2595"/>
      <c r="AZ89" s="2594"/>
      <c r="BA89" s="2595"/>
      <c r="BB89" s="2595"/>
      <c r="BC89" s="2595"/>
      <c r="BD89" s="2595"/>
      <c r="BE89" s="2595"/>
      <c r="BF89" s="2595"/>
      <c r="BG89" s="2595"/>
      <c r="BH89" s="2811"/>
      <c r="BI89" s="2595"/>
      <c r="BJ89" s="2811"/>
      <c r="BK89" s="2811"/>
      <c r="BL89" s="2595"/>
      <c r="BM89" s="2595"/>
      <c r="BN89" s="2595"/>
      <c r="BO89" s="2594"/>
      <c r="BP89" s="2595"/>
      <c r="BQ89" s="2595"/>
      <c r="BR89" s="2594"/>
      <c r="BS89" s="2594"/>
      <c r="BT89" s="2829"/>
    </row>
    <row r="90" spans="1:72">
      <c r="A90" s="2590" t="s">
        <v>1369</v>
      </c>
      <c r="B90" s="2591" t="s">
        <v>2995</v>
      </c>
      <c r="C90" s="2591"/>
      <c r="D90" s="2591"/>
      <c r="E90" s="2591"/>
      <c r="F90" s="2592" t="s">
        <v>2996</v>
      </c>
      <c r="G90" s="2592"/>
      <c r="H90" s="2593">
        <v>0</v>
      </c>
      <c r="I90" s="2594">
        <v>0</v>
      </c>
      <c r="J90" s="2595"/>
      <c r="K90" s="2595"/>
      <c r="L90" s="2595"/>
      <c r="M90" s="2595"/>
      <c r="N90" s="2595"/>
      <c r="O90" s="2595">
        <v>0</v>
      </c>
      <c r="P90" s="2595"/>
      <c r="Q90" s="2595"/>
      <c r="R90" s="2595"/>
      <c r="S90" s="2595"/>
      <c r="T90" s="2595"/>
      <c r="U90" s="2595"/>
      <c r="V90" s="2595"/>
      <c r="W90" s="2594"/>
      <c r="X90" s="2595"/>
      <c r="Y90" s="2595"/>
      <c r="Z90" s="2595"/>
      <c r="AA90" s="2595"/>
      <c r="AB90" s="2595"/>
      <c r="AC90" s="2595"/>
      <c r="AD90" s="2595"/>
      <c r="AE90" s="2595"/>
      <c r="AF90" s="2811"/>
      <c r="AG90" s="2811"/>
      <c r="AH90" s="2811"/>
      <c r="AI90" s="2811"/>
      <c r="AJ90" s="2595"/>
      <c r="AK90" s="2595"/>
      <c r="AL90" s="2811"/>
      <c r="AM90" s="2811"/>
      <c r="AN90" s="2595"/>
      <c r="AO90" s="2595"/>
      <c r="AP90" s="2595"/>
      <c r="AQ90" s="2595"/>
      <c r="AR90" s="2595"/>
      <c r="AS90" s="2595"/>
      <c r="AT90" s="2594"/>
      <c r="AU90" s="2811"/>
      <c r="AV90" s="2595"/>
      <c r="AW90" s="2595"/>
      <c r="AX90" s="2595"/>
      <c r="AY90" s="2595"/>
      <c r="AZ90" s="2594"/>
      <c r="BA90" s="2595"/>
      <c r="BB90" s="2595"/>
      <c r="BC90" s="2595"/>
      <c r="BD90" s="2595"/>
      <c r="BE90" s="2595"/>
      <c r="BF90" s="2595"/>
      <c r="BG90" s="2595"/>
      <c r="BH90" s="2811"/>
      <c r="BI90" s="2595"/>
      <c r="BJ90" s="2811"/>
      <c r="BK90" s="2811"/>
      <c r="BL90" s="2595"/>
      <c r="BM90" s="2595"/>
      <c r="BN90" s="2595"/>
      <c r="BO90" s="2594"/>
      <c r="BP90" s="2595"/>
      <c r="BQ90" s="2595"/>
      <c r="BR90" s="2594"/>
      <c r="BS90" s="2594"/>
      <c r="BT90" s="2829"/>
    </row>
    <row r="91" spans="1:72">
      <c r="A91" s="2590" t="s">
        <v>1369</v>
      </c>
      <c r="B91" s="2591" t="s">
        <v>2898</v>
      </c>
      <c r="C91" s="2591"/>
      <c r="D91" s="2591"/>
      <c r="E91" s="2591"/>
      <c r="F91" s="2592" t="s">
        <v>2997</v>
      </c>
      <c r="G91" s="2592"/>
      <c r="H91" s="2593">
        <v>0</v>
      </c>
      <c r="I91" s="2594">
        <v>0</v>
      </c>
      <c r="J91" s="2595"/>
      <c r="K91" s="2595"/>
      <c r="L91" s="2595"/>
      <c r="M91" s="2595"/>
      <c r="N91" s="2595"/>
      <c r="O91" s="2595"/>
      <c r="P91" s="2595"/>
      <c r="Q91" s="2595"/>
      <c r="R91" s="2595"/>
      <c r="S91" s="2595">
        <v>0</v>
      </c>
      <c r="T91" s="2595"/>
      <c r="U91" s="2595">
        <v>0</v>
      </c>
      <c r="V91" s="2595"/>
      <c r="W91" s="2594"/>
      <c r="X91" s="2595"/>
      <c r="Y91" s="2595"/>
      <c r="Z91" s="2595"/>
      <c r="AA91" s="2595"/>
      <c r="AB91" s="2595"/>
      <c r="AC91" s="2595"/>
      <c r="AD91" s="2595"/>
      <c r="AE91" s="2595"/>
      <c r="AF91" s="2811"/>
      <c r="AG91" s="2811"/>
      <c r="AH91" s="2811"/>
      <c r="AI91" s="2811"/>
      <c r="AJ91" s="2595"/>
      <c r="AK91" s="2595"/>
      <c r="AL91" s="2811"/>
      <c r="AM91" s="2811"/>
      <c r="AN91" s="2595"/>
      <c r="AO91" s="2595"/>
      <c r="AP91" s="2595"/>
      <c r="AQ91" s="2595"/>
      <c r="AR91" s="2595"/>
      <c r="AS91" s="2595"/>
      <c r="AT91" s="2594"/>
      <c r="AU91" s="2811"/>
      <c r="AV91" s="2595"/>
      <c r="AW91" s="2595"/>
      <c r="AX91" s="2595"/>
      <c r="AY91" s="2595"/>
      <c r="AZ91" s="2594"/>
      <c r="BA91" s="2595"/>
      <c r="BB91" s="2595"/>
      <c r="BC91" s="2595"/>
      <c r="BD91" s="2595"/>
      <c r="BE91" s="2595"/>
      <c r="BF91" s="2595"/>
      <c r="BG91" s="2595"/>
      <c r="BH91" s="2811"/>
      <c r="BI91" s="2595"/>
      <c r="BJ91" s="2811"/>
      <c r="BK91" s="2811"/>
      <c r="BL91" s="2595"/>
      <c r="BM91" s="2595"/>
      <c r="BN91" s="2595"/>
      <c r="BO91" s="2594"/>
      <c r="BP91" s="2595"/>
      <c r="BQ91" s="2595"/>
      <c r="BR91" s="2594"/>
      <c r="BS91" s="2594"/>
      <c r="BT91" s="2829"/>
    </row>
    <row r="92" spans="1:72">
      <c r="A92" s="2590" t="s">
        <v>1369</v>
      </c>
      <c r="B92" s="2591" t="s">
        <v>2998</v>
      </c>
      <c r="C92" s="2591"/>
      <c r="D92" s="2591"/>
      <c r="E92" s="2591"/>
      <c r="F92" s="2592" t="s">
        <v>2999</v>
      </c>
      <c r="G92" s="2592"/>
      <c r="H92" s="2593">
        <v>0</v>
      </c>
      <c r="I92" s="2594"/>
      <c r="J92" s="2595"/>
      <c r="K92" s="2595"/>
      <c r="L92" s="2595"/>
      <c r="M92" s="2595"/>
      <c r="N92" s="2595"/>
      <c r="O92" s="2595"/>
      <c r="P92" s="2595"/>
      <c r="Q92" s="2595"/>
      <c r="R92" s="2595"/>
      <c r="S92" s="2595"/>
      <c r="T92" s="2595"/>
      <c r="U92" s="2595"/>
      <c r="V92" s="2595"/>
      <c r="W92" s="2594"/>
      <c r="X92" s="2595"/>
      <c r="Y92" s="2595"/>
      <c r="Z92" s="2595"/>
      <c r="AA92" s="2595"/>
      <c r="AB92" s="2595"/>
      <c r="AC92" s="2595"/>
      <c r="AD92" s="2595"/>
      <c r="AE92" s="2595"/>
      <c r="AF92" s="2811"/>
      <c r="AG92" s="2811"/>
      <c r="AH92" s="2811"/>
      <c r="AI92" s="2811"/>
      <c r="AJ92" s="2595"/>
      <c r="AK92" s="2595"/>
      <c r="AL92" s="2811"/>
      <c r="AM92" s="2811"/>
      <c r="AN92" s="2595"/>
      <c r="AO92" s="2595"/>
      <c r="AP92" s="2595"/>
      <c r="AQ92" s="2595"/>
      <c r="AR92" s="2595"/>
      <c r="AS92" s="2595"/>
      <c r="AT92" s="2594"/>
      <c r="AU92" s="2811"/>
      <c r="AV92" s="2595"/>
      <c r="AW92" s="2595"/>
      <c r="AX92" s="2595"/>
      <c r="AY92" s="2595"/>
      <c r="AZ92" s="2594">
        <v>0</v>
      </c>
      <c r="BA92" s="2595"/>
      <c r="BB92" s="2595"/>
      <c r="BC92" s="2595"/>
      <c r="BD92" s="2595"/>
      <c r="BE92" s="2595"/>
      <c r="BF92" s="2595"/>
      <c r="BG92" s="2595">
        <v>0</v>
      </c>
      <c r="BH92" s="2811"/>
      <c r="BI92" s="2595"/>
      <c r="BJ92" s="2811"/>
      <c r="BK92" s="2811"/>
      <c r="BL92" s="2595"/>
      <c r="BM92" s="2595"/>
      <c r="BN92" s="2595"/>
      <c r="BO92" s="2594"/>
      <c r="BP92" s="2595"/>
      <c r="BQ92" s="2595"/>
      <c r="BR92" s="2594"/>
      <c r="BS92" s="2594"/>
      <c r="BT92" s="2829"/>
    </row>
    <row r="93" spans="1:72">
      <c r="A93" s="2590" t="s">
        <v>1369</v>
      </c>
      <c r="B93" s="2591" t="s">
        <v>3000</v>
      </c>
      <c r="C93" s="2591"/>
      <c r="D93" s="2591"/>
      <c r="E93" s="2591"/>
      <c r="F93" s="2592" t="s">
        <v>3001</v>
      </c>
      <c r="G93" s="2592"/>
      <c r="H93" s="2593">
        <v>1723.7030667813126</v>
      </c>
      <c r="I93" s="2594"/>
      <c r="J93" s="2595"/>
      <c r="K93" s="2595"/>
      <c r="L93" s="2595"/>
      <c r="M93" s="2595"/>
      <c r="N93" s="2595"/>
      <c r="O93" s="2595"/>
      <c r="P93" s="2595"/>
      <c r="Q93" s="2595"/>
      <c r="R93" s="2595"/>
      <c r="S93" s="2595"/>
      <c r="T93" s="2595"/>
      <c r="U93" s="2595"/>
      <c r="V93" s="2595"/>
      <c r="W93" s="2594"/>
      <c r="X93" s="2595"/>
      <c r="Y93" s="2595"/>
      <c r="Z93" s="2595"/>
      <c r="AA93" s="2595"/>
      <c r="AB93" s="2595"/>
      <c r="AC93" s="2595"/>
      <c r="AD93" s="2595"/>
      <c r="AE93" s="2595"/>
      <c r="AF93" s="2811"/>
      <c r="AG93" s="2811"/>
      <c r="AH93" s="2811"/>
      <c r="AI93" s="2811"/>
      <c r="AJ93" s="2595"/>
      <c r="AK93" s="2595"/>
      <c r="AL93" s="2811"/>
      <c r="AM93" s="2811"/>
      <c r="AN93" s="2595"/>
      <c r="AO93" s="2595"/>
      <c r="AP93" s="2595"/>
      <c r="AQ93" s="2595"/>
      <c r="AR93" s="2595"/>
      <c r="AS93" s="2595"/>
      <c r="AT93" s="2594"/>
      <c r="AU93" s="2811"/>
      <c r="AV93" s="2595"/>
      <c r="AW93" s="2595"/>
      <c r="AX93" s="2595"/>
      <c r="AY93" s="2595"/>
      <c r="AZ93" s="2594"/>
      <c r="BA93" s="2595"/>
      <c r="BB93" s="2595"/>
      <c r="BC93" s="2595"/>
      <c r="BD93" s="2595"/>
      <c r="BE93" s="2595"/>
      <c r="BF93" s="2595"/>
      <c r="BG93" s="2595"/>
      <c r="BH93" s="2811"/>
      <c r="BI93" s="2595"/>
      <c r="BJ93" s="2811"/>
      <c r="BK93" s="2811"/>
      <c r="BL93" s="2595"/>
      <c r="BM93" s="2595"/>
      <c r="BN93" s="2595"/>
      <c r="BO93" s="2594"/>
      <c r="BP93" s="2595"/>
      <c r="BQ93" s="2595"/>
      <c r="BR93" s="2594"/>
      <c r="BS93" s="2594">
        <v>1723.7030667813126</v>
      </c>
      <c r="BT93" s="2829"/>
    </row>
    <row r="94" spans="1:72">
      <c r="A94" s="2596"/>
      <c r="B94" s="2590" t="s">
        <v>1369</v>
      </c>
      <c r="C94" s="2591" t="s">
        <v>3002</v>
      </c>
      <c r="D94" s="2591"/>
      <c r="E94" s="2591"/>
      <c r="F94" s="2592" t="s">
        <v>3003</v>
      </c>
      <c r="G94" s="2592"/>
      <c r="H94" s="2593">
        <v>0</v>
      </c>
      <c r="I94" s="2594"/>
      <c r="J94" s="2595"/>
      <c r="K94" s="2595"/>
      <c r="L94" s="2595"/>
      <c r="M94" s="2595"/>
      <c r="N94" s="2595"/>
      <c r="O94" s="2595"/>
      <c r="P94" s="2595"/>
      <c r="Q94" s="2595"/>
      <c r="R94" s="2595"/>
      <c r="S94" s="2595"/>
      <c r="T94" s="2595"/>
      <c r="U94" s="2595"/>
      <c r="V94" s="2595"/>
      <c r="W94" s="2594"/>
      <c r="X94" s="2595"/>
      <c r="Y94" s="2595"/>
      <c r="Z94" s="2595"/>
      <c r="AA94" s="2595"/>
      <c r="AB94" s="2595"/>
      <c r="AC94" s="2595"/>
      <c r="AD94" s="2595"/>
      <c r="AE94" s="2595"/>
      <c r="AF94" s="2811"/>
      <c r="AG94" s="2811"/>
      <c r="AH94" s="2811"/>
      <c r="AI94" s="2811"/>
      <c r="AJ94" s="2595"/>
      <c r="AK94" s="2595"/>
      <c r="AL94" s="2811"/>
      <c r="AM94" s="2811"/>
      <c r="AN94" s="2595"/>
      <c r="AO94" s="2595"/>
      <c r="AP94" s="2595"/>
      <c r="AQ94" s="2595"/>
      <c r="AR94" s="2595"/>
      <c r="AS94" s="2595"/>
      <c r="AT94" s="2594"/>
      <c r="AU94" s="2811"/>
      <c r="AV94" s="2595"/>
      <c r="AW94" s="2595"/>
      <c r="AX94" s="2595"/>
      <c r="AY94" s="2595"/>
      <c r="AZ94" s="2594"/>
      <c r="BA94" s="2595"/>
      <c r="BB94" s="2595"/>
      <c r="BC94" s="2595"/>
      <c r="BD94" s="2595"/>
      <c r="BE94" s="2595"/>
      <c r="BF94" s="2595"/>
      <c r="BG94" s="2595"/>
      <c r="BH94" s="2811"/>
      <c r="BI94" s="2595"/>
      <c r="BJ94" s="2811"/>
      <c r="BK94" s="2811"/>
      <c r="BL94" s="2595"/>
      <c r="BM94" s="2595"/>
      <c r="BN94" s="2595"/>
      <c r="BO94" s="2594"/>
      <c r="BP94" s="2595"/>
      <c r="BQ94" s="2595"/>
      <c r="BR94" s="2594"/>
      <c r="BS94" s="2594">
        <v>0</v>
      </c>
      <c r="BT94" s="2829"/>
    </row>
    <row r="95" spans="1:72">
      <c r="A95" s="2596"/>
      <c r="B95" s="2590" t="s">
        <v>1369</v>
      </c>
      <c r="C95" s="2591" t="s">
        <v>3004</v>
      </c>
      <c r="D95" s="2591"/>
      <c r="E95" s="2591"/>
      <c r="F95" s="2592" t="s">
        <v>3005</v>
      </c>
      <c r="G95" s="2592"/>
      <c r="H95" s="2593">
        <v>0</v>
      </c>
      <c r="I95" s="2594"/>
      <c r="J95" s="2595"/>
      <c r="K95" s="2595"/>
      <c r="L95" s="2595"/>
      <c r="M95" s="2595"/>
      <c r="N95" s="2595"/>
      <c r="O95" s="2595"/>
      <c r="P95" s="2595"/>
      <c r="Q95" s="2595"/>
      <c r="R95" s="2595"/>
      <c r="S95" s="2595"/>
      <c r="T95" s="2595"/>
      <c r="U95" s="2595"/>
      <c r="V95" s="2595"/>
      <c r="W95" s="2594"/>
      <c r="X95" s="2595"/>
      <c r="Y95" s="2595"/>
      <c r="Z95" s="2595"/>
      <c r="AA95" s="2595"/>
      <c r="AB95" s="2595"/>
      <c r="AC95" s="2595"/>
      <c r="AD95" s="2595"/>
      <c r="AE95" s="2595"/>
      <c r="AF95" s="2811"/>
      <c r="AG95" s="2811"/>
      <c r="AH95" s="2811"/>
      <c r="AI95" s="2811"/>
      <c r="AJ95" s="2595"/>
      <c r="AK95" s="2595"/>
      <c r="AL95" s="2811"/>
      <c r="AM95" s="2811"/>
      <c r="AN95" s="2595"/>
      <c r="AO95" s="2595"/>
      <c r="AP95" s="2595"/>
      <c r="AQ95" s="2595"/>
      <c r="AR95" s="2595"/>
      <c r="AS95" s="2595"/>
      <c r="AT95" s="2594"/>
      <c r="AU95" s="2811"/>
      <c r="AV95" s="2595"/>
      <c r="AW95" s="2595"/>
      <c r="AX95" s="2595"/>
      <c r="AY95" s="2595"/>
      <c r="AZ95" s="2594"/>
      <c r="BA95" s="2595"/>
      <c r="BB95" s="2595"/>
      <c r="BC95" s="2595"/>
      <c r="BD95" s="2595"/>
      <c r="BE95" s="2595"/>
      <c r="BF95" s="2595"/>
      <c r="BG95" s="2595"/>
      <c r="BH95" s="2811"/>
      <c r="BI95" s="2595"/>
      <c r="BJ95" s="2811"/>
      <c r="BK95" s="2811"/>
      <c r="BL95" s="2595"/>
      <c r="BM95" s="2595"/>
      <c r="BN95" s="2595"/>
      <c r="BO95" s="2594"/>
      <c r="BP95" s="2595"/>
      <c r="BQ95" s="2595"/>
      <c r="BR95" s="2594"/>
      <c r="BS95" s="2594">
        <v>0</v>
      </c>
      <c r="BT95" s="2829"/>
    </row>
    <row r="96" spans="1:72">
      <c r="A96" s="2596"/>
      <c r="B96" s="2590" t="s">
        <v>1369</v>
      </c>
      <c r="C96" s="2591" t="s">
        <v>3006</v>
      </c>
      <c r="D96" s="2591"/>
      <c r="E96" s="2591"/>
      <c r="F96" s="2592" t="s">
        <v>3007</v>
      </c>
      <c r="G96" s="2592"/>
      <c r="H96" s="2593">
        <v>1361.4454953663897</v>
      </c>
      <c r="I96" s="2594"/>
      <c r="J96" s="2595"/>
      <c r="K96" s="2595"/>
      <c r="L96" s="2595"/>
      <c r="M96" s="2595"/>
      <c r="N96" s="2595"/>
      <c r="O96" s="2595"/>
      <c r="P96" s="2595"/>
      <c r="Q96" s="2595"/>
      <c r="R96" s="2595"/>
      <c r="S96" s="2595"/>
      <c r="T96" s="2595"/>
      <c r="U96" s="2595"/>
      <c r="V96" s="2595"/>
      <c r="W96" s="2594"/>
      <c r="X96" s="2595"/>
      <c r="Y96" s="2595"/>
      <c r="Z96" s="2595"/>
      <c r="AA96" s="2595"/>
      <c r="AB96" s="2595"/>
      <c r="AC96" s="2595"/>
      <c r="AD96" s="2595"/>
      <c r="AE96" s="2595"/>
      <c r="AF96" s="2811"/>
      <c r="AG96" s="2811"/>
      <c r="AH96" s="2811"/>
      <c r="AI96" s="2811"/>
      <c r="AJ96" s="2595"/>
      <c r="AK96" s="2595"/>
      <c r="AL96" s="2811"/>
      <c r="AM96" s="2811"/>
      <c r="AN96" s="2595"/>
      <c r="AO96" s="2595"/>
      <c r="AP96" s="2595"/>
      <c r="AQ96" s="2595"/>
      <c r="AR96" s="2595"/>
      <c r="AS96" s="2595"/>
      <c r="AT96" s="2594"/>
      <c r="AU96" s="2811"/>
      <c r="AV96" s="2595"/>
      <c r="AW96" s="2595"/>
      <c r="AX96" s="2595"/>
      <c r="AY96" s="2595"/>
      <c r="AZ96" s="2594"/>
      <c r="BA96" s="2595"/>
      <c r="BB96" s="2595"/>
      <c r="BC96" s="2595"/>
      <c r="BD96" s="2595"/>
      <c r="BE96" s="2595"/>
      <c r="BF96" s="2595"/>
      <c r="BG96" s="2595"/>
      <c r="BH96" s="2811"/>
      <c r="BI96" s="2595"/>
      <c r="BJ96" s="2811"/>
      <c r="BK96" s="2811"/>
      <c r="BL96" s="2595"/>
      <c r="BM96" s="2595"/>
      <c r="BN96" s="2595"/>
      <c r="BO96" s="2594"/>
      <c r="BP96" s="2595"/>
      <c r="BQ96" s="2595"/>
      <c r="BR96" s="2594"/>
      <c r="BS96" s="2594">
        <v>1361.4454953663897</v>
      </c>
      <c r="BT96" s="2829"/>
    </row>
    <row r="97" spans="1:72">
      <c r="A97" s="2596"/>
      <c r="B97" s="2590" t="s">
        <v>1369</v>
      </c>
      <c r="C97" s="2591" t="s">
        <v>3008</v>
      </c>
      <c r="D97" s="2591"/>
      <c r="E97" s="2591"/>
      <c r="F97" s="2592" t="s">
        <v>3009</v>
      </c>
      <c r="G97" s="2592"/>
      <c r="H97" s="2593">
        <v>356.23865481991015</v>
      </c>
      <c r="I97" s="2594"/>
      <c r="J97" s="2595"/>
      <c r="K97" s="2595"/>
      <c r="L97" s="2595"/>
      <c r="M97" s="2595"/>
      <c r="N97" s="2595"/>
      <c r="O97" s="2595"/>
      <c r="P97" s="2595"/>
      <c r="Q97" s="2595"/>
      <c r="R97" s="2595"/>
      <c r="S97" s="2595"/>
      <c r="T97" s="2595"/>
      <c r="U97" s="2595"/>
      <c r="V97" s="2595"/>
      <c r="W97" s="2594"/>
      <c r="X97" s="2595"/>
      <c r="Y97" s="2595"/>
      <c r="Z97" s="2595"/>
      <c r="AA97" s="2595"/>
      <c r="AB97" s="2595"/>
      <c r="AC97" s="2595"/>
      <c r="AD97" s="2595"/>
      <c r="AE97" s="2595"/>
      <c r="AF97" s="2811"/>
      <c r="AG97" s="2811"/>
      <c r="AH97" s="2811"/>
      <c r="AI97" s="2811"/>
      <c r="AJ97" s="2595"/>
      <c r="AK97" s="2595"/>
      <c r="AL97" s="2811"/>
      <c r="AM97" s="2811"/>
      <c r="AN97" s="2595"/>
      <c r="AO97" s="2595"/>
      <c r="AP97" s="2595"/>
      <c r="AQ97" s="2595"/>
      <c r="AR97" s="2595"/>
      <c r="AS97" s="2595"/>
      <c r="AT97" s="2594"/>
      <c r="AU97" s="2811"/>
      <c r="AV97" s="2595"/>
      <c r="AW97" s="2595"/>
      <c r="AX97" s="2595"/>
      <c r="AY97" s="2595"/>
      <c r="AZ97" s="2594"/>
      <c r="BA97" s="2595"/>
      <c r="BB97" s="2595"/>
      <c r="BC97" s="2595"/>
      <c r="BD97" s="2595"/>
      <c r="BE97" s="2595"/>
      <c r="BF97" s="2595"/>
      <c r="BG97" s="2595"/>
      <c r="BH97" s="2811"/>
      <c r="BI97" s="2595"/>
      <c r="BJ97" s="2811"/>
      <c r="BK97" s="2811"/>
      <c r="BL97" s="2595"/>
      <c r="BM97" s="2595"/>
      <c r="BN97" s="2595"/>
      <c r="BO97" s="2594"/>
      <c r="BP97" s="2595"/>
      <c r="BQ97" s="2595"/>
      <c r="BR97" s="2594"/>
      <c r="BS97" s="2594">
        <v>356.23865481991015</v>
      </c>
      <c r="BT97" s="2829"/>
    </row>
    <row r="98" spans="1:72">
      <c r="A98" s="2596"/>
      <c r="B98" s="2590" t="s">
        <v>1369</v>
      </c>
      <c r="C98" s="2591" t="s">
        <v>3010</v>
      </c>
      <c r="D98" s="2591"/>
      <c r="E98" s="2591"/>
      <c r="F98" s="2592" t="s">
        <v>3011</v>
      </c>
      <c r="G98" s="2592"/>
      <c r="H98" s="2593">
        <v>6.0189165950128976</v>
      </c>
      <c r="I98" s="2594"/>
      <c r="J98" s="2595"/>
      <c r="K98" s="2595"/>
      <c r="L98" s="2595"/>
      <c r="M98" s="2595"/>
      <c r="N98" s="2595"/>
      <c r="O98" s="2595"/>
      <c r="P98" s="2595"/>
      <c r="Q98" s="2595"/>
      <c r="R98" s="2595"/>
      <c r="S98" s="2595"/>
      <c r="T98" s="2595"/>
      <c r="U98" s="2595"/>
      <c r="V98" s="2595"/>
      <c r="W98" s="2594"/>
      <c r="X98" s="2595"/>
      <c r="Y98" s="2595"/>
      <c r="Z98" s="2595"/>
      <c r="AA98" s="2595"/>
      <c r="AB98" s="2595"/>
      <c r="AC98" s="2595"/>
      <c r="AD98" s="2595"/>
      <c r="AE98" s="2595"/>
      <c r="AF98" s="2811"/>
      <c r="AG98" s="2811"/>
      <c r="AH98" s="2811"/>
      <c r="AI98" s="2811"/>
      <c r="AJ98" s="2595"/>
      <c r="AK98" s="2595"/>
      <c r="AL98" s="2811"/>
      <c r="AM98" s="2811"/>
      <c r="AN98" s="2595"/>
      <c r="AO98" s="2595"/>
      <c r="AP98" s="2595"/>
      <c r="AQ98" s="2595"/>
      <c r="AR98" s="2595"/>
      <c r="AS98" s="2595"/>
      <c r="AT98" s="2594"/>
      <c r="AU98" s="2811"/>
      <c r="AV98" s="2595"/>
      <c r="AW98" s="2595"/>
      <c r="AX98" s="2595"/>
      <c r="AY98" s="2595"/>
      <c r="AZ98" s="2594"/>
      <c r="BA98" s="2595"/>
      <c r="BB98" s="2595"/>
      <c r="BC98" s="2595"/>
      <c r="BD98" s="2595"/>
      <c r="BE98" s="2595"/>
      <c r="BF98" s="2595"/>
      <c r="BG98" s="2595"/>
      <c r="BH98" s="2811"/>
      <c r="BI98" s="2595"/>
      <c r="BJ98" s="2811"/>
      <c r="BK98" s="2811"/>
      <c r="BL98" s="2595"/>
      <c r="BM98" s="2595"/>
      <c r="BN98" s="2595"/>
      <c r="BO98" s="2594"/>
      <c r="BP98" s="2595"/>
      <c r="BQ98" s="2595"/>
      <c r="BR98" s="2594"/>
      <c r="BS98" s="2594">
        <v>6.0189165950128976</v>
      </c>
      <c r="BT98" s="2829"/>
    </row>
    <row r="99" spans="1:72">
      <c r="A99" s="2596"/>
      <c r="B99" s="2590" t="s">
        <v>1369</v>
      </c>
      <c r="C99" s="2591" t="s">
        <v>3012</v>
      </c>
      <c r="D99" s="2591"/>
      <c r="E99" s="2591"/>
      <c r="F99" s="2592" t="s">
        <v>3013</v>
      </c>
      <c r="G99" s="2592"/>
      <c r="H99" s="2593">
        <v>0</v>
      </c>
      <c r="I99" s="2594"/>
      <c r="J99" s="2595"/>
      <c r="K99" s="2595"/>
      <c r="L99" s="2595"/>
      <c r="M99" s="2595"/>
      <c r="N99" s="2595"/>
      <c r="O99" s="2595"/>
      <c r="P99" s="2595"/>
      <c r="Q99" s="2595"/>
      <c r="R99" s="2595"/>
      <c r="S99" s="2595"/>
      <c r="T99" s="2595"/>
      <c r="U99" s="2595"/>
      <c r="V99" s="2595"/>
      <c r="W99" s="2594"/>
      <c r="X99" s="2595"/>
      <c r="Y99" s="2595"/>
      <c r="Z99" s="2595"/>
      <c r="AA99" s="2595"/>
      <c r="AB99" s="2595"/>
      <c r="AC99" s="2595"/>
      <c r="AD99" s="2595"/>
      <c r="AE99" s="2595"/>
      <c r="AF99" s="2811"/>
      <c r="AG99" s="2811"/>
      <c r="AH99" s="2811"/>
      <c r="AI99" s="2811"/>
      <c r="AJ99" s="2595"/>
      <c r="AK99" s="2595"/>
      <c r="AL99" s="2811"/>
      <c r="AM99" s="2811"/>
      <c r="AN99" s="2595"/>
      <c r="AO99" s="2595"/>
      <c r="AP99" s="2595"/>
      <c r="AQ99" s="2595"/>
      <c r="AR99" s="2595"/>
      <c r="AS99" s="2595"/>
      <c r="AT99" s="2594"/>
      <c r="AU99" s="2811"/>
      <c r="AV99" s="2595"/>
      <c r="AW99" s="2595"/>
      <c r="AX99" s="2595"/>
      <c r="AY99" s="2595"/>
      <c r="AZ99" s="2594"/>
      <c r="BA99" s="2595"/>
      <c r="BB99" s="2595"/>
      <c r="BC99" s="2595"/>
      <c r="BD99" s="2595"/>
      <c r="BE99" s="2595"/>
      <c r="BF99" s="2595"/>
      <c r="BG99" s="2595"/>
      <c r="BH99" s="2811"/>
      <c r="BI99" s="2595"/>
      <c r="BJ99" s="2811"/>
      <c r="BK99" s="2811"/>
      <c r="BL99" s="2595"/>
      <c r="BM99" s="2595"/>
      <c r="BN99" s="2595"/>
      <c r="BO99" s="2594"/>
      <c r="BP99" s="2595"/>
      <c r="BQ99" s="2595"/>
      <c r="BR99" s="2594"/>
      <c r="BS99" s="2594">
        <v>0</v>
      </c>
      <c r="BT99" s="2829"/>
    </row>
    <row r="100" spans="1:72">
      <c r="A100" s="2596"/>
      <c r="B100" s="2590" t="s">
        <v>1369</v>
      </c>
      <c r="C100" s="2591" t="s">
        <v>3014</v>
      </c>
      <c r="D100" s="2591"/>
      <c r="E100" s="2591"/>
      <c r="F100" s="2592" t="s">
        <v>3015</v>
      </c>
      <c r="G100" s="2592"/>
      <c r="H100" s="2593">
        <v>0</v>
      </c>
      <c r="I100" s="2594"/>
      <c r="J100" s="2595"/>
      <c r="K100" s="2595"/>
      <c r="L100" s="2595"/>
      <c r="M100" s="2595"/>
      <c r="N100" s="2595"/>
      <c r="O100" s="2595"/>
      <c r="P100" s="2595"/>
      <c r="Q100" s="2595"/>
      <c r="R100" s="2595"/>
      <c r="S100" s="2595"/>
      <c r="T100" s="2595"/>
      <c r="U100" s="2595"/>
      <c r="V100" s="2595"/>
      <c r="W100" s="2594"/>
      <c r="X100" s="2595"/>
      <c r="Y100" s="2595"/>
      <c r="Z100" s="2595"/>
      <c r="AA100" s="2595"/>
      <c r="AB100" s="2595"/>
      <c r="AC100" s="2595"/>
      <c r="AD100" s="2595"/>
      <c r="AE100" s="2595"/>
      <c r="AF100" s="2811"/>
      <c r="AG100" s="2811"/>
      <c r="AH100" s="2811"/>
      <c r="AI100" s="2811"/>
      <c r="AJ100" s="2595"/>
      <c r="AK100" s="2595"/>
      <c r="AL100" s="2811"/>
      <c r="AM100" s="2811"/>
      <c r="AN100" s="2595"/>
      <c r="AO100" s="2595"/>
      <c r="AP100" s="2595"/>
      <c r="AQ100" s="2595"/>
      <c r="AR100" s="2595"/>
      <c r="AS100" s="2595"/>
      <c r="AT100" s="2594"/>
      <c r="AU100" s="2811"/>
      <c r="AV100" s="2595"/>
      <c r="AW100" s="2595"/>
      <c r="AX100" s="2595"/>
      <c r="AY100" s="2595"/>
      <c r="AZ100" s="2594"/>
      <c r="BA100" s="2595"/>
      <c r="BB100" s="2595"/>
      <c r="BC100" s="2595"/>
      <c r="BD100" s="2595"/>
      <c r="BE100" s="2595"/>
      <c r="BF100" s="2595"/>
      <c r="BG100" s="2595"/>
      <c r="BH100" s="2811"/>
      <c r="BI100" s="2595"/>
      <c r="BJ100" s="2811"/>
      <c r="BK100" s="2811"/>
      <c r="BL100" s="2595"/>
      <c r="BM100" s="2595"/>
      <c r="BN100" s="2595"/>
      <c r="BO100" s="2594"/>
      <c r="BP100" s="2595"/>
      <c r="BQ100" s="2595"/>
      <c r="BR100" s="2594"/>
      <c r="BS100" s="2594">
        <v>0</v>
      </c>
      <c r="BT100" s="2829"/>
    </row>
    <row r="101" spans="1:72">
      <c r="A101" s="2596"/>
      <c r="B101" s="2590" t="s">
        <v>1369</v>
      </c>
      <c r="C101" s="2591" t="s">
        <v>3016</v>
      </c>
      <c r="D101" s="2591"/>
      <c r="E101" s="2591"/>
      <c r="F101" s="2592" t="s">
        <v>3017</v>
      </c>
      <c r="G101" s="2592"/>
      <c r="H101" s="2593">
        <v>0</v>
      </c>
      <c r="I101" s="2594"/>
      <c r="J101" s="2595"/>
      <c r="K101" s="2595"/>
      <c r="L101" s="2595"/>
      <c r="M101" s="2595"/>
      <c r="N101" s="2595"/>
      <c r="O101" s="2595"/>
      <c r="P101" s="2595"/>
      <c r="Q101" s="2595"/>
      <c r="R101" s="2595"/>
      <c r="S101" s="2595"/>
      <c r="T101" s="2595"/>
      <c r="U101" s="2595"/>
      <c r="V101" s="2595"/>
      <c r="W101" s="2594"/>
      <c r="X101" s="2595"/>
      <c r="Y101" s="2595"/>
      <c r="Z101" s="2595"/>
      <c r="AA101" s="2595"/>
      <c r="AB101" s="2595"/>
      <c r="AC101" s="2595"/>
      <c r="AD101" s="2595"/>
      <c r="AE101" s="2595"/>
      <c r="AF101" s="2811"/>
      <c r="AG101" s="2811"/>
      <c r="AH101" s="2811"/>
      <c r="AI101" s="2811"/>
      <c r="AJ101" s="2595"/>
      <c r="AK101" s="2595"/>
      <c r="AL101" s="2811"/>
      <c r="AM101" s="2811"/>
      <c r="AN101" s="2595"/>
      <c r="AO101" s="2595"/>
      <c r="AP101" s="2595"/>
      <c r="AQ101" s="2595"/>
      <c r="AR101" s="2595"/>
      <c r="AS101" s="2595"/>
      <c r="AT101" s="2594"/>
      <c r="AU101" s="2811"/>
      <c r="AV101" s="2595"/>
      <c r="AW101" s="2595"/>
      <c r="AX101" s="2595"/>
      <c r="AY101" s="2595"/>
      <c r="AZ101" s="2594"/>
      <c r="BA101" s="2595"/>
      <c r="BB101" s="2595"/>
      <c r="BC101" s="2595"/>
      <c r="BD101" s="2595"/>
      <c r="BE101" s="2595"/>
      <c r="BF101" s="2595"/>
      <c r="BG101" s="2595"/>
      <c r="BH101" s="2811"/>
      <c r="BI101" s="2595"/>
      <c r="BJ101" s="2811"/>
      <c r="BK101" s="2811"/>
      <c r="BL101" s="2595"/>
      <c r="BM101" s="2595"/>
      <c r="BN101" s="2595"/>
      <c r="BO101" s="2594"/>
      <c r="BP101" s="2595"/>
      <c r="BQ101" s="2595"/>
      <c r="BR101" s="2594"/>
      <c r="BS101" s="2594">
        <v>0</v>
      </c>
      <c r="BT101" s="2829"/>
    </row>
    <row r="102" spans="1:72">
      <c r="A102" s="2596"/>
      <c r="B102" s="2590" t="s">
        <v>1369</v>
      </c>
      <c r="C102" s="2591" t="s">
        <v>3018</v>
      </c>
      <c r="D102" s="2591"/>
      <c r="E102" s="2591"/>
      <c r="F102" s="2592" t="s">
        <v>3019</v>
      </c>
      <c r="G102" s="2592"/>
      <c r="H102" s="2593">
        <v>0</v>
      </c>
      <c r="I102" s="2594"/>
      <c r="J102" s="2595"/>
      <c r="K102" s="2595"/>
      <c r="L102" s="2595"/>
      <c r="M102" s="2595"/>
      <c r="N102" s="2595"/>
      <c r="O102" s="2595"/>
      <c r="P102" s="2595"/>
      <c r="Q102" s="2595"/>
      <c r="R102" s="2595"/>
      <c r="S102" s="2595"/>
      <c r="T102" s="2595"/>
      <c r="U102" s="2595"/>
      <c r="V102" s="2595"/>
      <c r="W102" s="2594"/>
      <c r="X102" s="2595"/>
      <c r="Y102" s="2595"/>
      <c r="Z102" s="2595"/>
      <c r="AA102" s="2595"/>
      <c r="AB102" s="2595"/>
      <c r="AC102" s="2595"/>
      <c r="AD102" s="2595"/>
      <c r="AE102" s="2595"/>
      <c r="AF102" s="2811"/>
      <c r="AG102" s="2811"/>
      <c r="AH102" s="2811"/>
      <c r="AI102" s="2811"/>
      <c r="AJ102" s="2595"/>
      <c r="AK102" s="2595"/>
      <c r="AL102" s="2811"/>
      <c r="AM102" s="2811"/>
      <c r="AN102" s="2595"/>
      <c r="AO102" s="2595"/>
      <c r="AP102" s="2595"/>
      <c r="AQ102" s="2595"/>
      <c r="AR102" s="2595"/>
      <c r="AS102" s="2595"/>
      <c r="AT102" s="2594"/>
      <c r="AU102" s="2811"/>
      <c r="AV102" s="2595"/>
      <c r="AW102" s="2595"/>
      <c r="AX102" s="2595"/>
      <c r="AY102" s="2595"/>
      <c r="AZ102" s="2594"/>
      <c r="BA102" s="2595"/>
      <c r="BB102" s="2595"/>
      <c r="BC102" s="2595"/>
      <c r="BD102" s="2595"/>
      <c r="BE102" s="2595"/>
      <c r="BF102" s="2595"/>
      <c r="BG102" s="2595"/>
      <c r="BH102" s="2811"/>
      <c r="BI102" s="2595"/>
      <c r="BJ102" s="2811"/>
      <c r="BK102" s="2811"/>
      <c r="BL102" s="2595"/>
      <c r="BM102" s="2595"/>
      <c r="BN102" s="2595"/>
      <c r="BO102" s="2594"/>
      <c r="BP102" s="2595"/>
      <c r="BQ102" s="2595"/>
      <c r="BR102" s="2594"/>
      <c r="BS102" s="2594">
        <v>0</v>
      </c>
      <c r="BT102" s="2829"/>
    </row>
    <row r="103" spans="1:72">
      <c r="A103" s="2596"/>
      <c r="B103" s="2590" t="s">
        <v>1369</v>
      </c>
      <c r="C103" s="2591" t="s">
        <v>3020</v>
      </c>
      <c r="D103" s="2591"/>
      <c r="E103" s="2591"/>
      <c r="F103" s="2592" t="s">
        <v>3021</v>
      </c>
      <c r="G103" s="2592"/>
      <c r="H103" s="2593">
        <v>0</v>
      </c>
      <c r="I103" s="2594"/>
      <c r="J103" s="2595"/>
      <c r="K103" s="2595"/>
      <c r="L103" s="2595"/>
      <c r="M103" s="2595"/>
      <c r="N103" s="2595"/>
      <c r="O103" s="2595"/>
      <c r="P103" s="2595"/>
      <c r="Q103" s="2595"/>
      <c r="R103" s="2595"/>
      <c r="S103" s="2595"/>
      <c r="T103" s="2595"/>
      <c r="U103" s="2595"/>
      <c r="V103" s="2595"/>
      <c r="W103" s="2594"/>
      <c r="X103" s="2595"/>
      <c r="Y103" s="2595"/>
      <c r="Z103" s="2595"/>
      <c r="AA103" s="2595"/>
      <c r="AB103" s="2595"/>
      <c r="AC103" s="2595"/>
      <c r="AD103" s="2595"/>
      <c r="AE103" s="2595"/>
      <c r="AF103" s="2811"/>
      <c r="AG103" s="2811"/>
      <c r="AH103" s="2811"/>
      <c r="AI103" s="2811"/>
      <c r="AJ103" s="2595"/>
      <c r="AK103" s="2595"/>
      <c r="AL103" s="2811"/>
      <c r="AM103" s="2811"/>
      <c r="AN103" s="2595"/>
      <c r="AO103" s="2595"/>
      <c r="AP103" s="2595"/>
      <c r="AQ103" s="2595"/>
      <c r="AR103" s="2595"/>
      <c r="AS103" s="2595"/>
      <c r="AT103" s="2594"/>
      <c r="AU103" s="2811"/>
      <c r="AV103" s="2595"/>
      <c r="AW103" s="2595"/>
      <c r="AX103" s="2595"/>
      <c r="AY103" s="2595"/>
      <c r="AZ103" s="2594"/>
      <c r="BA103" s="2595"/>
      <c r="BB103" s="2595"/>
      <c r="BC103" s="2595"/>
      <c r="BD103" s="2595"/>
      <c r="BE103" s="2595"/>
      <c r="BF103" s="2595"/>
      <c r="BG103" s="2595"/>
      <c r="BH103" s="2811"/>
      <c r="BI103" s="2595"/>
      <c r="BJ103" s="2811"/>
      <c r="BK103" s="2811"/>
      <c r="BL103" s="2595"/>
      <c r="BM103" s="2595"/>
      <c r="BN103" s="2595"/>
      <c r="BO103" s="2594"/>
      <c r="BP103" s="2595"/>
      <c r="BQ103" s="2595"/>
      <c r="BR103" s="2594"/>
      <c r="BS103" s="2594">
        <v>0</v>
      </c>
      <c r="BT103" s="2829"/>
    </row>
    <row r="104" spans="1:72">
      <c r="A104" s="2596"/>
      <c r="B104" s="2590" t="s">
        <v>1369</v>
      </c>
      <c r="C104" s="2591" t="s">
        <v>3022</v>
      </c>
      <c r="D104" s="2591"/>
      <c r="E104" s="2591"/>
      <c r="F104" s="2592" t="s">
        <v>3023</v>
      </c>
      <c r="G104" s="2592"/>
      <c r="H104" s="2593">
        <v>0</v>
      </c>
      <c r="I104" s="2594"/>
      <c r="J104" s="2595"/>
      <c r="K104" s="2595"/>
      <c r="L104" s="2595"/>
      <c r="M104" s="2595"/>
      <c r="N104" s="2595"/>
      <c r="O104" s="2595"/>
      <c r="P104" s="2595"/>
      <c r="Q104" s="2595"/>
      <c r="R104" s="2595"/>
      <c r="S104" s="2595"/>
      <c r="T104" s="2595"/>
      <c r="U104" s="2595"/>
      <c r="V104" s="2595"/>
      <c r="W104" s="2594"/>
      <c r="X104" s="2595"/>
      <c r="Y104" s="2595"/>
      <c r="Z104" s="2595"/>
      <c r="AA104" s="2595"/>
      <c r="AB104" s="2595"/>
      <c r="AC104" s="2595"/>
      <c r="AD104" s="2595"/>
      <c r="AE104" s="2595"/>
      <c r="AF104" s="2811"/>
      <c r="AG104" s="2811"/>
      <c r="AH104" s="2811"/>
      <c r="AI104" s="2811"/>
      <c r="AJ104" s="2595"/>
      <c r="AK104" s="2595"/>
      <c r="AL104" s="2811"/>
      <c r="AM104" s="2811"/>
      <c r="AN104" s="2595"/>
      <c r="AO104" s="2595"/>
      <c r="AP104" s="2595"/>
      <c r="AQ104" s="2595"/>
      <c r="AR104" s="2595"/>
      <c r="AS104" s="2595"/>
      <c r="AT104" s="2594"/>
      <c r="AU104" s="2811"/>
      <c r="AV104" s="2595"/>
      <c r="AW104" s="2595"/>
      <c r="AX104" s="2595"/>
      <c r="AY104" s="2595"/>
      <c r="AZ104" s="2594"/>
      <c r="BA104" s="2595"/>
      <c r="BB104" s="2595"/>
      <c r="BC104" s="2595"/>
      <c r="BD104" s="2595"/>
      <c r="BE104" s="2595"/>
      <c r="BF104" s="2595"/>
      <c r="BG104" s="2595"/>
      <c r="BH104" s="2811"/>
      <c r="BI104" s="2595"/>
      <c r="BJ104" s="2811"/>
      <c r="BK104" s="2811"/>
      <c r="BL104" s="2595"/>
      <c r="BM104" s="2595"/>
      <c r="BN104" s="2595"/>
      <c r="BO104" s="2594"/>
      <c r="BP104" s="2595"/>
      <c r="BQ104" s="2595"/>
      <c r="BR104" s="2594"/>
      <c r="BS104" s="2594">
        <v>0</v>
      </c>
      <c r="BT104" s="2829"/>
    </row>
    <row r="105" spans="1:72">
      <c r="A105" s="2596"/>
      <c r="B105" s="2590" t="s">
        <v>1369</v>
      </c>
      <c r="C105" s="2591" t="s">
        <v>3024</v>
      </c>
      <c r="D105" s="2591"/>
      <c r="E105" s="2591"/>
      <c r="F105" s="2592" t="s">
        <v>3025</v>
      </c>
      <c r="G105" s="2592"/>
      <c r="H105" s="2593">
        <v>0</v>
      </c>
      <c r="I105" s="2594"/>
      <c r="J105" s="2595"/>
      <c r="K105" s="2595"/>
      <c r="L105" s="2595"/>
      <c r="M105" s="2595"/>
      <c r="N105" s="2595"/>
      <c r="O105" s="2595"/>
      <c r="P105" s="2595"/>
      <c r="Q105" s="2595"/>
      <c r="R105" s="2595"/>
      <c r="S105" s="2595"/>
      <c r="T105" s="2595"/>
      <c r="U105" s="2595"/>
      <c r="V105" s="2595"/>
      <c r="W105" s="2594"/>
      <c r="X105" s="2595"/>
      <c r="Y105" s="2595"/>
      <c r="Z105" s="2595"/>
      <c r="AA105" s="2595"/>
      <c r="AB105" s="2595"/>
      <c r="AC105" s="2595"/>
      <c r="AD105" s="2595"/>
      <c r="AE105" s="2595"/>
      <c r="AF105" s="2811"/>
      <c r="AG105" s="2811"/>
      <c r="AH105" s="2811"/>
      <c r="AI105" s="2811"/>
      <c r="AJ105" s="2595"/>
      <c r="AK105" s="2595"/>
      <c r="AL105" s="2811"/>
      <c r="AM105" s="2811"/>
      <c r="AN105" s="2595"/>
      <c r="AO105" s="2595"/>
      <c r="AP105" s="2595"/>
      <c r="AQ105" s="2595"/>
      <c r="AR105" s="2595"/>
      <c r="AS105" s="2595"/>
      <c r="AT105" s="2594"/>
      <c r="AU105" s="2811"/>
      <c r="AV105" s="2595"/>
      <c r="AW105" s="2595"/>
      <c r="AX105" s="2595"/>
      <c r="AY105" s="2595"/>
      <c r="AZ105" s="2594"/>
      <c r="BA105" s="2595"/>
      <c r="BB105" s="2595"/>
      <c r="BC105" s="2595"/>
      <c r="BD105" s="2595"/>
      <c r="BE105" s="2595"/>
      <c r="BF105" s="2595"/>
      <c r="BG105" s="2595"/>
      <c r="BH105" s="2811"/>
      <c r="BI105" s="2595"/>
      <c r="BJ105" s="2811"/>
      <c r="BK105" s="2811"/>
      <c r="BL105" s="2595"/>
      <c r="BM105" s="2595"/>
      <c r="BN105" s="2595"/>
      <c r="BO105" s="2594"/>
      <c r="BP105" s="2595"/>
      <c r="BQ105" s="2595"/>
      <c r="BR105" s="2594"/>
      <c r="BS105" s="2594">
        <v>0</v>
      </c>
      <c r="BT105" s="2829"/>
    </row>
    <row r="106" spans="1:72">
      <c r="A106" s="2596"/>
      <c r="B106" s="2590" t="s">
        <v>1369</v>
      </c>
      <c r="C106" s="2591" t="s">
        <v>3026</v>
      </c>
      <c r="D106" s="2591"/>
      <c r="E106" s="2591"/>
      <c r="F106" s="2592" t="s">
        <v>3027</v>
      </c>
      <c r="G106" s="2592"/>
      <c r="H106" s="2593">
        <v>0</v>
      </c>
      <c r="I106" s="2594"/>
      <c r="J106" s="2595"/>
      <c r="K106" s="2595"/>
      <c r="L106" s="2595"/>
      <c r="M106" s="2595"/>
      <c r="N106" s="2595"/>
      <c r="O106" s="2595"/>
      <c r="P106" s="2595"/>
      <c r="Q106" s="2595"/>
      <c r="R106" s="2595"/>
      <c r="S106" s="2595"/>
      <c r="T106" s="2595"/>
      <c r="U106" s="2595"/>
      <c r="V106" s="2595"/>
      <c r="W106" s="2594"/>
      <c r="X106" s="2595"/>
      <c r="Y106" s="2595"/>
      <c r="Z106" s="2595"/>
      <c r="AA106" s="2595"/>
      <c r="AB106" s="2595"/>
      <c r="AC106" s="2595"/>
      <c r="AD106" s="2595"/>
      <c r="AE106" s="2595"/>
      <c r="AF106" s="2811"/>
      <c r="AG106" s="2811"/>
      <c r="AH106" s="2811"/>
      <c r="AI106" s="2811"/>
      <c r="AJ106" s="2595"/>
      <c r="AK106" s="2595"/>
      <c r="AL106" s="2811"/>
      <c r="AM106" s="2811"/>
      <c r="AN106" s="2595"/>
      <c r="AO106" s="2595"/>
      <c r="AP106" s="2595"/>
      <c r="AQ106" s="2595"/>
      <c r="AR106" s="2595"/>
      <c r="AS106" s="2595"/>
      <c r="AT106" s="2594"/>
      <c r="AU106" s="2811"/>
      <c r="AV106" s="2595"/>
      <c r="AW106" s="2595"/>
      <c r="AX106" s="2595"/>
      <c r="AY106" s="2595"/>
      <c r="AZ106" s="2594"/>
      <c r="BA106" s="2595"/>
      <c r="BB106" s="2595"/>
      <c r="BC106" s="2595"/>
      <c r="BD106" s="2595"/>
      <c r="BE106" s="2595"/>
      <c r="BF106" s="2595"/>
      <c r="BG106" s="2595"/>
      <c r="BH106" s="2811"/>
      <c r="BI106" s="2595"/>
      <c r="BJ106" s="2811"/>
      <c r="BK106" s="2811"/>
      <c r="BL106" s="2595"/>
      <c r="BM106" s="2595"/>
      <c r="BN106" s="2595"/>
      <c r="BO106" s="2594"/>
      <c r="BP106" s="2595"/>
      <c r="BQ106" s="2595"/>
      <c r="BR106" s="2594"/>
      <c r="BS106" s="2594">
        <v>0</v>
      </c>
      <c r="BT106" s="2829"/>
    </row>
    <row r="107" spans="1:72">
      <c r="A107" s="2596"/>
      <c r="B107" s="2590" t="s">
        <v>1369</v>
      </c>
      <c r="C107" s="2591" t="s">
        <v>3028</v>
      </c>
      <c r="D107" s="2591"/>
      <c r="E107" s="2591"/>
      <c r="F107" s="2592" t="s">
        <v>3029</v>
      </c>
      <c r="G107" s="2592"/>
      <c r="H107" s="2593">
        <v>0</v>
      </c>
      <c r="I107" s="2594"/>
      <c r="J107" s="2595"/>
      <c r="K107" s="2595"/>
      <c r="L107" s="2595"/>
      <c r="M107" s="2595"/>
      <c r="N107" s="2595"/>
      <c r="O107" s="2595"/>
      <c r="P107" s="2595"/>
      <c r="Q107" s="2595"/>
      <c r="R107" s="2595"/>
      <c r="S107" s="2595"/>
      <c r="T107" s="2595"/>
      <c r="U107" s="2595"/>
      <c r="V107" s="2595"/>
      <c r="W107" s="2594"/>
      <c r="X107" s="2595"/>
      <c r="Y107" s="2595"/>
      <c r="Z107" s="2595"/>
      <c r="AA107" s="2595"/>
      <c r="AB107" s="2595"/>
      <c r="AC107" s="2595"/>
      <c r="AD107" s="2595"/>
      <c r="AE107" s="2595"/>
      <c r="AF107" s="2811"/>
      <c r="AG107" s="2811"/>
      <c r="AH107" s="2811"/>
      <c r="AI107" s="2811"/>
      <c r="AJ107" s="2595"/>
      <c r="AK107" s="2595"/>
      <c r="AL107" s="2811"/>
      <c r="AM107" s="2811"/>
      <c r="AN107" s="2595"/>
      <c r="AO107" s="2595"/>
      <c r="AP107" s="2595"/>
      <c r="AQ107" s="2595"/>
      <c r="AR107" s="2595"/>
      <c r="AS107" s="2595"/>
      <c r="AT107" s="2594"/>
      <c r="AU107" s="2811"/>
      <c r="AV107" s="2595"/>
      <c r="AW107" s="2595"/>
      <c r="AX107" s="2595"/>
      <c r="AY107" s="2595"/>
      <c r="AZ107" s="2594"/>
      <c r="BA107" s="2595"/>
      <c r="BB107" s="2595"/>
      <c r="BC107" s="2595"/>
      <c r="BD107" s="2595"/>
      <c r="BE107" s="2595"/>
      <c r="BF107" s="2595"/>
      <c r="BG107" s="2595"/>
      <c r="BH107" s="2811"/>
      <c r="BI107" s="2595"/>
      <c r="BJ107" s="2811"/>
      <c r="BK107" s="2811"/>
      <c r="BL107" s="2595"/>
      <c r="BM107" s="2595"/>
      <c r="BN107" s="2595"/>
      <c r="BO107" s="2594"/>
      <c r="BP107" s="2595"/>
      <c r="BQ107" s="2595"/>
      <c r="BR107" s="2594"/>
      <c r="BS107" s="2594">
        <v>0</v>
      </c>
      <c r="BT107" s="2829"/>
    </row>
    <row r="108" spans="1:72">
      <c r="A108" s="2619"/>
      <c r="B108" s="2597" t="s">
        <v>1369</v>
      </c>
      <c r="C108" s="2598" t="s">
        <v>3030</v>
      </c>
      <c r="D108" s="2598"/>
      <c r="E108" s="2598"/>
      <c r="F108" s="2599" t="s">
        <v>3031</v>
      </c>
      <c r="G108" s="2599"/>
      <c r="H108" s="2600">
        <v>0</v>
      </c>
      <c r="I108" s="2601"/>
      <c r="J108" s="2602"/>
      <c r="K108" s="2602"/>
      <c r="L108" s="2602"/>
      <c r="M108" s="2602"/>
      <c r="N108" s="2602"/>
      <c r="O108" s="2602"/>
      <c r="P108" s="2602"/>
      <c r="Q108" s="2602"/>
      <c r="R108" s="2602"/>
      <c r="S108" s="2602"/>
      <c r="T108" s="2602"/>
      <c r="U108" s="2602"/>
      <c r="V108" s="2602"/>
      <c r="W108" s="2601"/>
      <c r="X108" s="2602"/>
      <c r="Y108" s="2602"/>
      <c r="Z108" s="2602"/>
      <c r="AA108" s="2602"/>
      <c r="AB108" s="2602"/>
      <c r="AC108" s="2602"/>
      <c r="AD108" s="2602"/>
      <c r="AE108" s="2602"/>
      <c r="AF108" s="2812"/>
      <c r="AG108" s="2812"/>
      <c r="AH108" s="2812"/>
      <c r="AI108" s="2812"/>
      <c r="AJ108" s="2602"/>
      <c r="AK108" s="2602"/>
      <c r="AL108" s="2812"/>
      <c r="AM108" s="2812"/>
      <c r="AN108" s="2602"/>
      <c r="AO108" s="2602"/>
      <c r="AP108" s="2602"/>
      <c r="AQ108" s="2602"/>
      <c r="AR108" s="2602"/>
      <c r="AS108" s="2602"/>
      <c r="AT108" s="2601"/>
      <c r="AU108" s="2812"/>
      <c r="AV108" s="2602"/>
      <c r="AW108" s="2602"/>
      <c r="AX108" s="2602"/>
      <c r="AY108" s="2602"/>
      <c r="AZ108" s="2601"/>
      <c r="BA108" s="2602"/>
      <c r="BB108" s="2602"/>
      <c r="BC108" s="2602"/>
      <c r="BD108" s="2602"/>
      <c r="BE108" s="2602"/>
      <c r="BF108" s="2602"/>
      <c r="BG108" s="2602"/>
      <c r="BH108" s="2812"/>
      <c r="BI108" s="2602"/>
      <c r="BJ108" s="2812"/>
      <c r="BK108" s="2812"/>
      <c r="BL108" s="2602"/>
      <c r="BM108" s="2602"/>
      <c r="BN108" s="2602"/>
      <c r="BO108" s="2601"/>
      <c r="BP108" s="2602"/>
      <c r="BQ108" s="2602"/>
      <c r="BR108" s="2601"/>
      <c r="BS108" s="2601">
        <v>0</v>
      </c>
      <c r="BT108" s="2830"/>
    </row>
    <row r="109" spans="1:72">
      <c r="A109" s="2603" t="s">
        <v>3032</v>
      </c>
      <c r="B109" s="2603"/>
      <c r="C109" s="2603"/>
      <c r="D109" s="2603"/>
      <c r="E109" s="2603"/>
      <c r="F109" s="2604" t="s">
        <v>3033</v>
      </c>
      <c r="G109" s="2604"/>
      <c r="H109" s="2605">
        <v>146.221457915353</v>
      </c>
      <c r="I109" s="2606"/>
      <c r="J109" s="2607"/>
      <c r="K109" s="2607"/>
      <c r="L109" s="2607"/>
      <c r="M109" s="2607"/>
      <c r="N109" s="2607"/>
      <c r="O109" s="2607"/>
      <c r="P109" s="2607"/>
      <c r="Q109" s="2607"/>
      <c r="R109" s="2607"/>
      <c r="S109" s="2607"/>
      <c r="T109" s="2607"/>
      <c r="U109" s="2607"/>
      <c r="V109" s="2607"/>
      <c r="W109" s="2606">
        <v>146.221457915353</v>
      </c>
      <c r="X109" s="2607">
        <v>0</v>
      </c>
      <c r="Y109" s="2607">
        <v>0</v>
      </c>
      <c r="Z109" s="2607">
        <v>1688.6882583357217</v>
      </c>
      <c r="AA109" s="2607"/>
      <c r="AB109" s="2607"/>
      <c r="AC109" s="2607">
        <v>0</v>
      </c>
      <c r="AD109" s="2607">
        <v>0</v>
      </c>
      <c r="AE109" s="2607">
        <v>0</v>
      </c>
      <c r="AF109" s="2813">
        <v>-241.2821247730964</v>
      </c>
      <c r="AG109" s="2813">
        <v>0</v>
      </c>
      <c r="AH109" s="2813">
        <v>0</v>
      </c>
      <c r="AI109" s="2813">
        <v>-57.514091907901019</v>
      </c>
      <c r="AJ109" s="2607">
        <v>1.0270373554982324</v>
      </c>
      <c r="AK109" s="2607">
        <v>0</v>
      </c>
      <c r="AL109" s="2813">
        <v>212.0951562052164</v>
      </c>
      <c r="AM109" s="2813">
        <v>62.099933123148944</v>
      </c>
      <c r="AN109" s="2607">
        <v>0</v>
      </c>
      <c r="AO109" s="2607">
        <v>5.0157638291774145</v>
      </c>
      <c r="AP109" s="2607">
        <v>2.7944969905417025</v>
      </c>
      <c r="AQ109" s="2607">
        <v>0</v>
      </c>
      <c r="AR109" s="2607">
        <v>0</v>
      </c>
      <c r="AS109" s="2607">
        <v>-1526.7029712429539</v>
      </c>
      <c r="AT109" s="2606"/>
      <c r="AU109" s="2813"/>
      <c r="AV109" s="2607"/>
      <c r="AW109" s="2607"/>
      <c r="AX109" s="2607"/>
      <c r="AY109" s="2607"/>
      <c r="AZ109" s="2606">
        <v>-6011.0585650138528</v>
      </c>
      <c r="BA109" s="2607">
        <v>-5709.2051208560233</v>
      </c>
      <c r="BB109" s="2607">
        <v>-301.11302187828414</v>
      </c>
      <c r="BC109" s="2607">
        <v>0</v>
      </c>
      <c r="BD109" s="2607"/>
      <c r="BE109" s="2607">
        <v>-0.74042227954523743</v>
      </c>
      <c r="BF109" s="2607"/>
      <c r="BG109" s="2607"/>
      <c r="BH109" s="2813"/>
      <c r="BI109" s="2607"/>
      <c r="BJ109" s="2813">
        <v>0</v>
      </c>
      <c r="BK109" s="2813">
        <v>0</v>
      </c>
      <c r="BL109" s="2607">
        <v>0</v>
      </c>
      <c r="BM109" s="2607"/>
      <c r="BN109" s="2607"/>
      <c r="BO109" s="2606"/>
      <c r="BP109" s="2607"/>
      <c r="BQ109" s="2607"/>
      <c r="BR109" s="2606"/>
      <c r="BS109" s="2606"/>
      <c r="BT109" s="2831">
        <v>6011.0585650138528</v>
      </c>
    </row>
    <row r="110" spans="1:72">
      <c r="A110" s="2608" t="s">
        <v>1369</v>
      </c>
      <c r="B110" s="2609" t="s">
        <v>3034</v>
      </c>
      <c r="C110" s="2609"/>
      <c r="D110" s="2609"/>
      <c r="E110" s="2609"/>
      <c r="F110" s="2610" t="s">
        <v>3035</v>
      </c>
      <c r="G110" s="2610"/>
      <c r="H110" s="2611">
        <v>-15.763829177414731</v>
      </c>
      <c r="I110" s="2612"/>
      <c r="J110" s="2613"/>
      <c r="K110" s="2613"/>
      <c r="L110" s="2613"/>
      <c r="M110" s="2613"/>
      <c r="N110" s="2613"/>
      <c r="O110" s="2613"/>
      <c r="P110" s="2613"/>
      <c r="Q110" s="2613"/>
      <c r="R110" s="2613"/>
      <c r="S110" s="2613"/>
      <c r="T110" s="2613"/>
      <c r="U110" s="2613"/>
      <c r="V110" s="2613"/>
      <c r="W110" s="2612">
        <v>-15.763829177414731</v>
      </c>
      <c r="X110" s="2613"/>
      <c r="Y110" s="2613"/>
      <c r="Z110" s="2613"/>
      <c r="AA110" s="2613"/>
      <c r="AB110" s="2613"/>
      <c r="AC110" s="2613"/>
      <c r="AD110" s="2613"/>
      <c r="AE110" s="2613"/>
      <c r="AF110" s="2814">
        <v>-241.2821247730964</v>
      </c>
      <c r="AG110" s="2814"/>
      <c r="AH110" s="2814"/>
      <c r="AI110" s="2814">
        <v>-57.514091907901019</v>
      </c>
      <c r="AJ110" s="2613">
        <v>1.0270373554982324</v>
      </c>
      <c r="AK110" s="2613"/>
      <c r="AL110" s="2814">
        <v>212.0951562052164</v>
      </c>
      <c r="AM110" s="2814">
        <v>62.099933123148944</v>
      </c>
      <c r="AN110" s="2613"/>
      <c r="AO110" s="2613">
        <v>5.0157638291774145</v>
      </c>
      <c r="AP110" s="2613">
        <v>2.7944969905417025</v>
      </c>
      <c r="AQ110" s="2613"/>
      <c r="AR110" s="2613"/>
      <c r="AS110" s="2613"/>
      <c r="AT110" s="2612"/>
      <c r="AU110" s="2814"/>
      <c r="AV110" s="2613"/>
      <c r="AW110" s="2613"/>
      <c r="AX110" s="2613"/>
      <c r="AY110" s="2613"/>
      <c r="AZ110" s="2612">
        <v>-6011.0585650138528</v>
      </c>
      <c r="BA110" s="2613">
        <v>-5709.2051208560233</v>
      </c>
      <c r="BB110" s="2613">
        <v>-301.11302187828414</v>
      </c>
      <c r="BC110" s="2613">
        <v>0</v>
      </c>
      <c r="BD110" s="2613"/>
      <c r="BE110" s="2613">
        <v>-0.74042227954523743</v>
      </c>
      <c r="BF110" s="2613"/>
      <c r="BG110" s="2613"/>
      <c r="BH110" s="2814"/>
      <c r="BI110" s="2613"/>
      <c r="BJ110" s="2814"/>
      <c r="BK110" s="2814"/>
      <c r="BL110" s="2613"/>
      <c r="BM110" s="2613"/>
      <c r="BN110" s="2613"/>
      <c r="BO110" s="2612"/>
      <c r="BP110" s="2613"/>
      <c r="BQ110" s="2613"/>
      <c r="BR110" s="2612"/>
      <c r="BS110" s="2612"/>
      <c r="BT110" s="2832">
        <v>6011.0585650138528</v>
      </c>
    </row>
    <row r="111" spans="1:72">
      <c r="A111" s="2590" t="s">
        <v>1369</v>
      </c>
      <c r="B111" s="2591" t="s">
        <v>3036</v>
      </c>
      <c r="C111" s="2591"/>
      <c r="D111" s="2591"/>
      <c r="E111" s="2591"/>
      <c r="F111" s="2592" t="s">
        <v>3037</v>
      </c>
      <c r="G111" s="2592"/>
      <c r="H111" s="2593">
        <v>161.98528709276775</v>
      </c>
      <c r="I111" s="2594"/>
      <c r="J111" s="2595"/>
      <c r="K111" s="2595"/>
      <c r="L111" s="2595"/>
      <c r="M111" s="2595"/>
      <c r="N111" s="2595"/>
      <c r="O111" s="2595"/>
      <c r="P111" s="2595"/>
      <c r="Q111" s="2595"/>
      <c r="R111" s="2595"/>
      <c r="S111" s="2595"/>
      <c r="T111" s="2595"/>
      <c r="U111" s="2595"/>
      <c r="V111" s="2595"/>
      <c r="W111" s="2594">
        <v>161.98528709276775</v>
      </c>
      <c r="X111" s="2595"/>
      <c r="Y111" s="2595"/>
      <c r="Z111" s="2595">
        <v>1688.6882583357217</v>
      </c>
      <c r="AA111" s="2595"/>
      <c r="AB111" s="2595"/>
      <c r="AC111" s="2595"/>
      <c r="AD111" s="2595"/>
      <c r="AE111" s="2595"/>
      <c r="AF111" s="2811"/>
      <c r="AG111" s="2811"/>
      <c r="AH111" s="2811"/>
      <c r="AI111" s="2811"/>
      <c r="AJ111" s="2595"/>
      <c r="AK111" s="2595"/>
      <c r="AL111" s="2811">
        <v>0</v>
      </c>
      <c r="AM111" s="2811">
        <v>0</v>
      </c>
      <c r="AN111" s="2595"/>
      <c r="AO111" s="2595"/>
      <c r="AP111" s="2595"/>
      <c r="AQ111" s="2595"/>
      <c r="AR111" s="2595"/>
      <c r="AS111" s="2595">
        <v>-1526.7029712429539</v>
      </c>
      <c r="AT111" s="2594"/>
      <c r="AU111" s="2811"/>
      <c r="AV111" s="2595"/>
      <c r="AW111" s="2595"/>
      <c r="AX111" s="2595"/>
      <c r="AY111" s="2595"/>
      <c r="AZ111" s="2594"/>
      <c r="BA111" s="2595"/>
      <c r="BB111" s="2595"/>
      <c r="BC111" s="2595"/>
      <c r="BD111" s="2595"/>
      <c r="BE111" s="2595"/>
      <c r="BF111" s="2595"/>
      <c r="BG111" s="2595"/>
      <c r="BH111" s="2811"/>
      <c r="BI111" s="2595"/>
      <c r="BJ111" s="2811"/>
      <c r="BK111" s="2811"/>
      <c r="BL111" s="2595"/>
      <c r="BM111" s="2595"/>
      <c r="BN111" s="2595"/>
      <c r="BO111" s="2594"/>
      <c r="BP111" s="2595"/>
      <c r="BQ111" s="2595"/>
      <c r="BR111" s="2594"/>
      <c r="BS111" s="2594"/>
      <c r="BT111" s="2829"/>
    </row>
    <row r="112" spans="1:72">
      <c r="A112" s="2597" t="s">
        <v>1369</v>
      </c>
      <c r="B112" s="2598" t="s">
        <v>3038</v>
      </c>
      <c r="C112" s="2598"/>
      <c r="D112" s="2598"/>
      <c r="E112" s="2598"/>
      <c r="F112" s="2599" t="s">
        <v>3039</v>
      </c>
      <c r="G112" s="2599"/>
      <c r="H112" s="2600">
        <v>0</v>
      </c>
      <c r="I112" s="2601"/>
      <c r="J112" s="2602"/>
      <c r="K112" s="2602"/>
      <c r="L112" s="2602"/>
      <c r="M112" s="2602"/>
      <c r="N112" s="2602"/>
      <c r="O112" s="2602"/>
      <c r="P112" s="2602"/>
      <c r="Q112" s="2602"/>
      <c r="R112" s="2602"/>
      <c r="S112" s="2602"/>
      <c r="T112" s="2602"/>
      <c r="U112" s="2602"/>
      <c r="V112" s="2602"/>
      <c r="W112" s="2601">
        <v>0</v>
      </c>
      <c r="X112" s="2602">
        <v>0</v>
      </c>
      <c r="Y112" s="2602">
        <v>0</v>
      </c>
      <c r="Z112" s="2602"/>
      <c r="AA112" s="2602"/>
      <c r="AB112" s="2602"/>
      <c r="AC112" s="2602">
        <v>0</v>
      </c>
      <c r="AD112" s="2602">
        <v>0</v>
      </c>
      <c r="AE112" s="2602">
        <v>0</v>
      </c>
      <c r="AF112" s="2812">
        <v>0</v>
      </c>
      <c r="AG112" s="2812">
        <v>0</v>
      </c>
      <c r="AH112" s="2812">
        <v>0</v>
      </c>
      <c r="AI112" s="2812">
        <v>0</v>
      </c>
      <c r="AJ112" s="2602">
        <v>0</v>
      </c>
      <c r="AK112" s="2602">
        <v>0</v>
      </c>
      <c r="AL112" s="2812">
        <v>0</v>
      </c>
      <c r="AM112" s="2812">
        <v>0</v>
      </c>
      <c r="AN112" s="2602">
        <v>0</v>
      </c>
      <c r="AO112" s="2602">
        <v>0</v>
      </c>
      <c r="AP112" s="2602">
        <v>0</v>
      </c>
      <c r="AQ112" s="2602">
        <v>0</v>
      </c>
      <c r="AR112" s="2602">
        <v>0</v>
      </c>
      <c r="AS112" s="2602">
        <v>0</v>
      </c>
      <c r="AT112" s="2601"/>
      <c r="AU112" s="2812"/>
      <c r="AV112" s="2602"/>
      <c r="AW112" s="2602"/>
      <c r="AX112" s="2602"/>
      <c r="AY112" s="2602"/>
      <c r="AZ112" s="2601">
        <v>0</v>
      </c>
      <c r="BA112" s="2602"/>
      <c r="BB112" s="2602"/>
      <c r="BC112" s="2602"/>
      <c r="BD112" s="2602"/>
      <c r="BE112" s="2602"/>
      <c r="BF112" s="2602"/>
      <c r="BG112" s="2602"/>
      <c r="BH112" s="2812"/>
      <c r="BI112" s="2602"/>
      <c r="BJ112" s="2812">
        <v>0</v>
      </c>
      <c r="BK112" s="2812">
        <v>0</v>
      </c>
      <c r="BL112" s="2602">
        <v>0</v>
      </c>
      <c r="BM112" s="2602"/>
      <c r="BN112" s="2602"/>
      <c r="BO112" s="2601"/>
      <c r="BP112" s="2602"/>
      <c r="BQ112" s="2602"/>
      <c r="BR112" s="2601"/>
      <c r="BS112" s="2601"/>
      <c r="BT112" s="2830"/>
    </row>
    <row r="113" spans="1:72">
      <c r="A113" s="2603" t="s">
        <v>3040</v>
      </c>
      <c r="B113" s="2603"/>
      <c r="C113" s="2603"/>
      <c r="D113" s="2603"/>
      <c r="E113" s="2603"/>
      <c r="F113" s="2604" t="s">
        <v>3041</v>
      </c>
      <c r="G113" s="2604"/>
      <c r="H113" s="2605">
        <v>1469.2366485143784</v>
      </c>
      <c r="I113" s="2606">
        <v>0</v>
      </c>
      <c r="J113" s="2607">
        <v>0</v>
      </c>
      <c r="K113" s="2607">
        <v>0</v>
      </c>
      <c r="L113" s="2607">
        <v>0</v>
      </c>
      <c r="M113" s="2607">
        <v>0</v>
      </c>
      <c r="N113" s="2607">
        <v>0</v>
      </c>
      <c r="O113" s="2607">
        <v>0</v>
      </c>
      <c r="P113" s="2607">
        <v>0</v>
      </c>
      <c r="Q113" s="2607">
        <v>0</v>
      </c>
      <c r="R113" s="2607">
        <v>0</v>
      </c>
      <c r="S113" s="2607">
        <v>0</v>
      </c>
      <c r="T113" s="2607">
        <v>0</v>
      </c>
      <c r="U113" s="2607">
        <v>0</v>
      </c>
      <c r="V113" s="2607">
        <v>0</v>
      </c>
      <c r="W113" s="2606">
        <v>750.26273048629025</v>
      </c>
      <c r="X113" s="2607"/>
      <c r="Y113" s="2607"/>
      <c r="Z113" s="2607"/>
      <c r="AA113" s="2607"/>
      <c r="AB113" s="2607"/>
      <c r="AC113" s="2607">
        <v>675.07404222795446</v>
      </c>
      <c r="AD113" s="2607"/>
      <c r="AE113" s="2607"/>
      <c r="AF113" s="2813"/>
      <c r="AG113" s="2813"/>
      <c r="AH113" s="2813"/>
      <c r="AI113" s="2813"/>
      <c r="AJ113" s="2607"/>
      <c r="AK113" s="2607"/>
      <c r="AL113" s="2813">
        <v>15.381675742810737</v>
      </c>
      <c r="AM113" s="2813">
        <v>23.884589662749594</v>
      </c>
      <c r="AN113" s="2607"/>
      <c r="AO113" s="2607"/>
      <c r="AP113" s="2607"/>
      <c r="AQ113" s="2607">
        <v>35.922422852775391</v>
      </c>
      <c r="AR113" s="2607"/>
      <c r="AS113" s="2607"/>
      <c r="AT113" s="2606">
        <v>105.73707843699245</v>
      </c>
      <c r="AU113" s="2813">
        <v>1.9107671730199673</v>
      </c>
      <c r="AV113" s="2607">
        <v>88.372981752173487</v>
      </c>
      <c r="AW113" s="2607">
        <v>11.416833858794305</v>
      </c>
      <c r="AX113" s="2607">
        <v>4.0364956530046809</v>
      </c>
      <c r="AY113" s="2607">
        <v>0</v>
      </c>
      <c r="AZ113" s="2606">
        <v>0</v>
      </c>
      <c r="BA113" s="2607"/>
      <c r="BB113" s="2607"/>
      <c r="BC113" s="2607"/>
      <c r="BD113" s="2607">
        <v>0</v>
      </c>
      <c r="BE113" s="2607"/>
      <c r="BF113" s="2607">
        <v>0</v>
      </c>
      <c r="BG113" s="2607">
        <v>0</v>
      </c>
      <c r="BH113" s="2813">
        <v>0</v>
      </c>
      <c r="BI113" s="2607">
        <v>0</v>
      </c>
      <c r="BJ113" s="2813">
        <v>0</v>
      </c>
      <c r="BK113" s="2813">
        <v>0</v>
      </c>
      <c r="BL113" s="2607">
        <v>0</v>
      </c>
      <c r="BM113" s="2607">
        <v>0</v>
      </c>
      <c r="BN113" s="2607">
        <v>0</v>
      </c>
      <c r="BO113" s="2606">
        <v>0</v>
      </c>
      <c r="BP113" s="2607">
        <v>0</v>
      </c>
      <c r="BQ113" s="2607">
        <v>0</v>
      </c>
      <c r="BR113" s="2606"/>
      <c r="BS113" s="2606">
        <v>0</v>
      </c>
      <c r="BT113" s="2831">
        <v>613.23683959109576</v>
      </c>
    </row>
    <row r="114" spans="1:72">
      <c r="A114" s="2608" t="s">
        <v>1369</v>
      </c>
      <c r="B114" s="2609" t="s">
        <v>3042</v>
      </c>
      <c r="C114" s="2609"/>
      <c r="D114" s="2609"/>
      <c r="E114" s="2609"/>
      <c r="F114" s="2610" t="s">
        <v>3043</v>
      </c>
      <c r="G114" s="2610"/>
      <c r="H114" s="2611">
        <v>282.36361899302568</v>
      </c>
      <c r="I114" s="2612">
        <v>0</v>
      </c>
      <c r="J114" s="2613">
        <v>0</v>
      </c>
      <c r="K114" s="2613">
        <v>0</v>
      </c>
      <c r="L114" s="2613">
        <v>0</v>
      </c>
      <c r="M114" s="2613">
        <v>0</v>
      </c>
      <c r="N114" s="2613">
        <v>0</v>
      </c>
      <c r="O114" s="2613">
        <v>0</v>
      </c>
      <c r="P114" s="2613">
        <v>0</v>
      </c>
      <c r="Q114" s="2613">
        <v>0</v>
      </c>
      <c r="R114" s="2613">
        <v>0</v>
      </c>
      <c r="S114" s="2613">
        <v>0</v>
      </c>
      <c r="T114" s="2613">
        <v>0</v>
      </c>
      <c r="U114" s="2613">
        <v>0</v>
      </c>
      <c r="V114" s="2613">
        <v>0</v>
      </c>
      <c r="W114" s="2612">
        <v>0</v>
      </c>
      <c r="X114" s="2613"/>
      <c r="Y114" s="2613"/>
      <c r="Z114" s="2613"/>
      <c r="AA114" s="2613"/>
      <c r="AB114" s="2613"/>
      <c r="AC114" s="2613"/>
      <c r="AD114" s="2613"/>
      <c r="AE114" s="2613"/>
      <c r="AF114" s="2814"/>
      <c r="AG114" s="2814"/>
      <c r="AH114" s="2814"/>
      <c r="AI114" s="2814"/>
      <c r="AJ114" s="2613"/>
      <c r="AK114" s="2613"/>
      <c r="AL114" s="2814"/>
      <c r="AM114" s="2814">
        <v>0</v>
      </c>
      <c r="AN114" s="2613"/>
      <c r="AO114" s="2613"/>
      <c r="AP114" s="2613"/>
      <c r="AQ114" s="2613"/>
      <c r="AR114" s="2613"/>
      <c r="AS114" s="2613"/>
      <c r="AT114" s="2612">
        <v>0</v>
      </c>
      <c r="AU114" s="2814">
        <v>0</v>
      </c>
      <c r="AV114" s="2613">
        <v>0</v>
      </c>
      <c r="AW114" s="2613">
        <v>0</v>
      </c>
      <c r="AX114" s="2613">
        <v>0</v>
      </c>
      <c r="AY114" s="2613">
        <v>0</v>
      </c>
      <c r="AZ114" s="2612">
        <v>0</v>
      </c>
      <c r="BA114" s="2613"/>
      <c r="BB114" s="2613"/>
      <c r="BC114" s="2613"/>
      <c r="BD114" s="2613">
        <v>0</v>
      </c>
      <c r="BE114" s="2613"/>
      <c r="BF114" s="2613">
        <v>0</v>
      </c>
      <c r="BG114" s="2613">
        <v>0</v>
      </c>
      <c r="BH114" s="2814">
        <v>0</v>
      </c>
      <c r="BI114" s="2613">
        <v>0</v>
      </c>
      <c r="BJ114" s="2814">
        <v>0</v>
      </c>
      <c r="BK114" s="2814">
        <v>0</v>
      </c>
      <c r="BL114" s="2613">
        <v>0</v>
      </c>
      <c r="BM114" s="2613">
        <v>0</v>
      </c>
      <c r="BN114" s="2613">
        <v>0</v>
      </c>
      <c r="BO114" s="2612">
        <v>0</v>
      </c>
      <c r="BP114" s="2613">
        <v>0</v>
      </c>
      <c r="BQ114" s="2613">
        <v>0</v>
      </c>
      <c r="BR114" s="2612"/>
      <c r="BS114" s="2612">
        <v>0</v>
      </c>
      <c r="BT114" s="2832">
        <v>282.36361899302568</v>
      </c>
    </row>
    <row r="115" spans="1:72">
      <c r="A115" s="2590" t="s">
        <v>1369</v>
      </c>
      <c r="B115" s="2591" t="s">
        <v>3044</v>
      </c>
      <c r="C115" s="2591"/>
      <c r="D115" s="2591"/>
      <c r="E115" s="2591"/>
      <c r="F115" s="2592" t="s">
        <v>3045</v>
      </c>
      <c r="G115" s="2592"/>
      <c r="H115" s="2593">
        <v>3.7737651667144356</v>
      </c>
      <c r="I115" s="2594"/>
      <c r="J115" s="2595"/>
      <c r="K115" s="2595"/>
      <c r="L115" s="2595"/>
      <c r="M115" s="2595"/>
      <c r="N115" s="2595"/>
      <c r="O115" s="2595"/>
      <c r="P115" s="2595"/>
      <c r="Q115" s="2595"/>
      <c r="R115" s="2595"/>
      <c r="S115" s="2595"/>
      <c r="T115" s="2595"/>
      <c r="U115" s="2595"/>
      <c r="V115" s="2595"/>
      <c r="W115" s="2594"/>
      <c r="X115" s="2595"/>
      <c r="Y115" s="2595"/>
      <c r="Z115" s="2595"/>
      <c r="AA115" s="2595"/>
      <c r="AB115" s="2595"/>
      <c r="AC115" s="2595"/>
      <c r="AD115" s="2595"/>
      <c r="AE115" s="2595"/>
      <c r="AF115" s="2811"/>
      <c r="AG115" s="2811"/>
      <c r="AH115" s="2811"/>
      <c r="AI115" s="2811"/>
      <c r="AJ115" s="2595"/>
      <c r="AK115" s="2595"/>
      <c r="AL115" s="2811"/>
      <c r="AM115" s="2811"/>
      <c r="AN115" s="2595"/>
      <c r="AO115" s="2595"/>
      <c r="AP115" s="2595"/>
      <c r="AQ115" s="2595"/>
      <c r="AR115" s="2595"/>
      <c r="AS115" s="2595"/>
      <c r="AT115" s="2594"/>
      <c r="AU115" s="2811"/>
      <c r="AV115" s="2595"/>
      <c r="AW115" s="2595"/>
      <c r="AX115" s="2595"/>
      <c r="AY115" s="2595"/>
      <c r="AZ115" s="2594"/>
      <c r="BA115" s="2595"/>
      <c r="BB115" s="2595"/>
      <c r="BC115" s="2595"/>
      <c r="BD115" s="2595"/>
      <c r="BE115" s="2595"/>
      <c r="BF115" s="2595"/>
      <c r="BG115" s="2595"/>
      <c r="BH115" s="2811"/>
      <c r="BI115" s="2595"/>
      <c r="BJ115" s="2811"/>
      <c r="BK115" s="2811"/>
      <c r="BL115" s="2595"/>
      <c r="BM115" s="2595"/>
      <c r="BN115" s="2595"/>
      <c r="BO115" s="2594"/>
      <c r="BP115" s="2595"/>
      <c r="BQ115" s="2595"/>
      <c r="BR115" s="2594"/>
      <c r="BS115" s="2594"/>
      <c r="BT115" s="2829">
        <v>3.7737651667144356</v>
      </c>
    </row>
    <row r="116" spans="1:72">
      <c r="A116" s="2590"/>
      <c r="B116" s="2590" t="s">
        <v>1369</v>
      </c>
      <c r="C116" s="2591" t="s">
        <v>3046</v>
      </c>
      <c r="D116" s="2591"/>
      <c r="E116" s="2591"/>
      <c r="F116" s="2592" t="s">
        <v>3047</v>
      </c>
      <c r="G116" s="2592"/>
      <c r="H116" s="2593">
        <v>12.634947931594535</v>
      </c>
      <c r="I116" s="2594"/>
      <c r="J116" s="2595"/>
      <c r="K116" s="2595"/>
      <c r="L116" s="2595"/>
      <c r="M116" s="2595"/>
      <c r="N116" s="2595"/>
      <c r="O116" s="2595"/>
      <c r="P116" s="2595"/>
      <c r="Q116" s="2595"/>
      <c r="R116" s="2595"/>
      <c r="S116" s="2595"/>
      <c r="T116" s="2595"/>
      <c r="U116" s="2595"/>
      <c r="V116" s="2595"/>
      <c r="W116" s="2594"/>
      <c r="X116" s="2595"/>
      <c r="Y116" s="2595"/>
      <c r="Z116" s="2595"/>
      <c r="AA116" s="2595"/>
      <c r="AB116" s="2595"/>
      <c r="AC116" s="2595"/>
      <c r="AD116" s="2595"/>
      <c r="AE116" s="2595"/>
      <c r="AF116" s="2811"/>
      <c r="AG116" s="2811"/>
      <c r="AH116" s="2811"/>
      <c r="AI116" s="2811"/>
      <c r="AJ116" s="2595"/>
      <c r="AK116" s="2595"/>
      <c r="AL116" s="2811"/>
      <c r="AM116" s="2811"/>
      <c r="AN116" s="2595"/>
      <c r="AO116" s="2595"/>
      <c r="AP116" s="2595"/>
      <c r="AQ116" s="2595"/>
      <c r="AR116" s="2595"/>
      <c r="AS116" s="2595"/>
      <c r="AT116" s="2594"/>
      <c r="AU116" s="2811"/>
      <c r="AV116" s="2595"/>
      <c r="AW116" s="2595"/>
      <c r="AX116" s="2595"/>
      <c r="AY116" s="2595"/>
      <c r="AZ116" s="2594"/>
      <c r="BA116" s="2595"/>
      <c r="BB116" s="2595"/>
      <c r="BC116" s="2595"/>
      <c r="BD116" s="2595"/>
      <c r="BE116" s="2595"/>
      <c r="BF116" s="2595"/>
      <c r="BG116" s="2595"/>
      <c r="BH116" s="2811"/>
      <c r="BI116" s="2595"/>
      <c r="BJ116" s="2811"/>
      <c r="BK116" s="2811"/>
      <c r="BL116" s="2595"/>
      <c r="BM116" s="2595"/>
      <c r="BN116" s="2595"/>
      <c r="BO116" s="2594"/>
      <c r="BP116" s="2595"/>
      <c r="BQ116" s="2595"/>
      <c r="BR116" s="2594"/>
      <c r="BS116" s="2594"/>
      <c r="BT116" s="2829">
        <v>12.634947931594535</v>
      </c>
    </row>
    <row r="117" spans="1:72">
      <c r="A117" s="2590"/>
      <c r="B117" s="2590" t="s">
        <v>390</v>
      </c>
      <c r="C117" s="2591" t="s">
        <v>3048</v>
      </c>
      <c r="D117" s="2591"/>
      <c r="E117" s="2591"/>
      <c r="F117" s="2592" t="s">
        <v>3049</v>
      </c>
      <c r="G117" s="2592"/>
      <c r="H117" s="2593">
        <v>8.8611827648800983</v>
      </c>
      <c r="I117" s="2594"/>
      <c r="J117" s="2595"/>
      <c r="K117" s="2595"/>
      <c r="L117" s="2595"/>
      <c r="M117" s="2595"/>
      <c r="N117" s="2595"/>
      <c r="O117" s="2595"/>
      <c r="P117" s="2595"/>
      <c r="Q117" s="2595"/>
      <c r="R117" s="2595"/>
      <c r="S117" s="2595"/>
      <c r="T117" s="2595"/>
      <c r="U117" s="2595"/>
      <c r="V117" s="2595"/>
      <c r="W117" s="2594"/>
      <c r="X117" s="2595"/>
      <c r="Y117" s="2595"/>
      <c r="Z117" s="2595"/>
      <c r="AA117" s="2595"/>
      <c r="AB117" s="2595"/>
      <c r="AC117" s="2595"/>
      <c r="AD117" s="2595"/>
      <c r="AE117" s="2595"/>
      <c r="AF117" s="2811"/>
      <c r="AG117" s="2811"/>
      <c r="AH117" s="2811"/>
      <c r="AI117" s="2811"/>
      <c r="AJ117" s="2595"/>
      <c r="AK117" s="2595"/>
      <c r="AL117" s="2811"/>
      <c r="AM117" s="2811"/>
      <c r="AN117" s="2595"/>
      <c r="AO117" s="2595"/>
      <c r="AP117" s="2595"/>
      <c r="AQ117" s="2595"/>
      <c r="AR117" s="2595"/>
      <c r="AS117" s="2595"/>
      <c r="AT117" s="2594"/>
      <c r="AU117" s="2811"/>
      <c r="AV117" s="2595"/>
      <c r="AW117" s="2595"/>
      <c r="AX117" s="2595"/>
      <c r="AY117" s="2595"/>
      <c r="AZ117" s="2594"/>
      <c r="BA117" s="2595"/>
      <c r="BB117" s="2595"/>
      <c r="BC117" s="2595"/>
      <c r="BD117" s="2595"/>
      <c r="BE117" s="2595"/>
      <c r="BF117" s="2595"/>
      <c r="BG117" s="2595"/>
      <c r="BH117" s="2811"/>
      <c r="BI117" s="2595"/>
      <c r="BJ117" s="2811"/>
      <c r="BK117" s="2811"/>
      <c r="BL117" s="2595"/>
      <c r="BM117" s="2595"/>
      <c r="BN117" s="2595"/>
      <c r="BO117" s="2594"/>
      <c r="BP117" s="2595"/>
      <c r="BQ117" s="2595"/>
      <c r="BR117" s="2594"/>
      <c r="BS117" s="2594"/>
      <c r="BT117" s="2829">
        <v>8.8611827648800983</v>
      </c>
    </row>
    <row r="118" spans="1:72">
      <c r="A118" s="2590"/>
      <c r="B118" s="2590"/>
      <c r="C118" s="2590" t="s">
        <v>1369</v>
      </c>
      <c r="D118" s="2591" t="s">
        <v>3050</v>
      </c>
      <c r="E118" s="2591"/>
      <c r="F118" s="2592" t="s">
        <v>3051</v>
      </c>
      <c r="G118" s="2592"/>
      <c r="H118" s="2593">
        <v>8.8611827648800983</v>
      </c>
      <c r="I118" s="2594"/>
      <c r="J118" s="2595"/>
      <c r="K118" s="2595"/>
      <c r="L118" s="2595"/>
      <c r="M118" s="2595"/>
      <c r="N118" s="2595"/>
      <c r="O118" s="2595"/>
      <c r="P118" s="2595"/>
      <c r="Q118" s="2595"/>
      <c r="R118" s="2595"/>
      <c r="S118" s="2595"/>
      <c r="T118" s="2595"/>
      <c r="U118" s="2595"/>
      <c r="V118" s="2595"/>
      <c r="W118" s="2594"/>
      <c r="X118" s="2595"/>
      <c r="Y118" s="2595"/>
      <c r="Z118" s="2595"/>
      <c r="AA118" s="2595"/>
      <c r="AB118" s="2595"/>
      <c r="AC118" s="2595"/>
      <c r="AD118" s="2595"/>
      <c r="AE118" s="2595"/>
      <c r="AF118" s="2811"/>
      <c r="AG118" s="2811"/>
      <c r="AH118" s="2811"/>
      <c r="AI118" s="2811"/>
      <c r="AJ118" s="2595"/>
      <c r="AK118" s="2595"/>
      <c r="AL118" s="2811"/>
      <c r="AM118" s="2811"/>
      <c r="AN118" s="2595"/>
      <c r="AO118" s="2595"/>
      <c r="AP118" s="2595"/>
      <c r="AQ118" s="2595"/>
      <c r="AR118" s="2595"/>
      <c r="AS118" s="2595"/>
      <c r="AT118" s="2594"/>
      <c r="AU118" s="2811"/>
      <c r="AV118" s="2595"/>
      <c r="AW118" s="2595"/>
      <c r="AX118" s="2595"/>
      <c r="AY118" s="2595"/>
      <c r="AZ118" s="2594"/>
      <c r="BA118" s="2595"/>
      <c r="BB118" s="2595"/>
      <c r="BC118" s="2595"/>
      <c r="BD118" s="2595"/>
      <c r="BE118" s="2595"/>
      <c r="BF118" s="2595"/>
      <c r="BG118" s="2595"/>
      <c r="BH118" s="2811"/>
      <c r="BI118" s="2595"/>
      <c r="BJ118" s="2811"/>
      <c r="BK118" s="2811"/>
      <c r="BL118" s="2595"/>
      <c r="BM118" s="2595"/>
      <c r="BN118" s="2595"/>
      <c r="BO118" s="2594"/>
      <c r="BP118" s="2595"/>
      <c r="BQ118" s="2595"/>
      <c r="BR118" s="2594"/>
      <c r="BS118" s="2594"/>
      <c r="BT118" s="2829">
        <v>8.8611827648800983</v>
      </c>
    </row>
    <row r="119" spans="1:72">
      <c r="A119" s="2590"/>
      <c r="B119" s="2590"/>
      <c r="C119" s="2590" t="s">
        <v>1369</v>
      </c>
      <c r="D119" s="2591" t="s">
        <v>3052</v>
      </c>
      <c r="E119" s="2591"/>
      <c r="F119" s="2592" t="s">
        <v>3053</v>
      </c>
      <c r="G119" s="2592"/>
      <c r="H119" s="2593">
        <v>0</v>
      </c>
      <c r="I119" s="2594"/>
      <c r="J119" s="2595"/>
      <c r="K119" s="2595"/>
      <c r="L119" s="2595"/>
      <c r="M119" s="2595"/>
      <c r="N119" s="2595"/>
      <c r="O119" s="2595"/>
      <c r="P119" s="2595"/>
      <c r="Q119" s="2595"/>
      <c r="R119" s="2595"/>
      <c r="S119" s="2595"/>
      <c r="T119" s="2595"/>
      <c r="U119" s="2595"/>
      <c r="V119" s="2595"/>
      <c r="W119" s="2594"/>
      <c r="X119" s="2595"/>
      <c r="Y119" s="2595"/>
      <c r="Z119" s="2595"/>
      <c r="AA119" s="2595"/>
      <c r="AB119" s="2595"/>
      <c r="AC119" s="2595"/>
      <c r="AD119" s="2595"/>
      <c r="AE119" s="2595"/>
      <c r="AF119" s="2811"/>
      <c r="AG119" s="2811"/>
      <c r="AH119" s="2811"/>
      <c r="AI119" s="2811"/>
      <c r="AJ119" s="2595"/>
      <c r="AK119" s="2595"/>
      <c r="AL119" s="2811"/>
      <c r="AM119" s="2811"/>
      <c r="AN119" s="2595"/>
      <c r="AO119" s="2595"/>
      <c r="AP119" s="2595"/>
      <c r="AQ119" s="2595"/>
      <c r="AR119" s="2595"/>
      <c r="AS119" s="2595"/>
      <c r="AT119" s="2594"/>
      <c r="AU119" s="2811"/>
      <c r="AV119" s="2595"/>
      <c r="AW119" s="2595"/>
      <c r="AX119" s="2595"/>
      <c r="AY119" s="2595"/>
      <c r="AZ119" s="2594"/>
      <c r="BA119" s="2595"/>
      <c r="BB119" s="2595"/>
      <c r="BC119" s="2595"/>
      <c r="BD119" s="2595"/>
      <c r="BE119" s="2595"/>
      <c r="BF119" s="2595"/>
      <c r="BG119" s="2595"/>
      <c r="BH119" s="2811"/>
      <c r="BI119" s="2595"/>
      <c r="BJ119" s="2811"/>
      <c r="BK119" s="2811"/>
      <c r="BL119" s="2595"/>
      <c r="BM119" s="2595"/>
      <c r="BN119" s="2595"/>
      <c r="BO119" s="2594"/>
      <c r="BP119" s="2595"/>
      <c r="BQ119" s="2595"/>
      <c r="BR119" s="2594"/>
      <c r="BS119" s="2594"/>
      <c r="BT119" s="2829">
        <v>0</v>
      </c>
    </row>
    <row r="120" spans="1:72">
      <c r="A120" s="2590" t="s">
        <v>1369</v>
      </c>
      <c r="B120" s="2591" t="s">
        <v>3054</v>
      </c>
      <c r="C120" s="2591"/>
      <c r="D120" s="2591"/>
      <c r="E120" s="2591"/>
      <c r="F120" s="2592" t="s">
        <v>3055</v>
      </c>
      <c r="G120" s="2592"/>
      <c r="H120" s="2593">
        <v>0</v>
      </c>
      <c r="I120" s="2594"/>
      <c r="J120" s="2595"/>
      <c r="K120" s="2595"/>
      <c r="L120" s="2595"/>
      <c r="M120" s="2595"/>
      <c r="N120" s="2595"/>
      <c r="O120" s="2595"/>
      <c r="P120" s="2595"/>
      <c r="Q120" s="2595"/>
      <c r="R120" s="2595"/>
      <c r="S120" s="2595"/>
      <c r="T120" s="2595"/>
      <c r="U120" s="2595"/>
      <c r="V120" s="2595"/>
      <c r="W120" s="2594">
        <v>0</v>
      </c>
      <c r="X120" s="2595"/>
      <c r="Y120" s="2595"/>
      <c r="Z120" s="2595"/>
      <c r="AA120" s="2595"/>
      <c r="AB120" s="2595"/>
      <c r="AC120" s="2595"/>
      <c r="AD120" s="2595"/>
      <c r="AE120" s="2595"/>
      <c r="AF120" s="2811"/>
      <c r="AG120" s="2811"/>
      <c r="AH120" s="2811"/>
      <c r="AI120" s="2811"/>
      <c r="AJ120" s="2595"/>
      <c r="AK120" s="2595"/>
      <c r="AL120" s="2811"/>
      <c r="AM120" s="2811">
        <v>0</v>
      </c>
      <c r="AN120" s="2595"/>
      <c r="AO120" s="2595"/>
      <c r="AP120" s="2595"/>
      <c r="AQ120" s="2595"/>
      <c r="AR120" s="2595"/>
      <c r="AS120" s="2595"/>
      <c r="AT120" s="2594">
        <v>0</v>
      </c>
      <c r="AU120" s="2811">
        <v>0</v>
      </c>
      <c r="AV120" s="2595"/>
      <c r="AW120" s="2595"/>
      <c r="AX120" s="2595"/>
      <c r="AY120" s="2595"/>
      <c r="AZ120" s="2594"/>
      <c r="BA120" s="2595"/>
      <c r="BB120" s="2595"/>
      <c r="BC120" s="2595"/>
      <c r="BD120" s="2595"/>
      <c r="BE120" s="2595"/>
      <c r="BF120" s="2595"/>
      <c r="BG120" s="2595"/>
      <c r="BH120" s="2811"/>
      <c r="BI120" s="2595"/>
      <c r="BJ120" s="2811"/>
      <c r="BK120" s="2811"/>
      <c r="BL120" s="2595"/>
      <c r="BM120" s="2595"/>
      <c r="BN120" s="2595"/>
      <c r="BO120" s="2594"/>
      <c r="BP120" s="2595"/>
      <c r="BQ120" s="2595"/>
      <c r="BR120" s="2594"/>
      <c r="BS120" s="2594">
        <v>0</v>
      </c>
      <c r="BT120" s="2829">
        <v>0</v>
      </c>
    </row>
    <row r="121" spans="1:72">
      <c r="A121" s="2590" t="s">
        <v>1369</v>
      </c>
      <c r="B121" s="2591" t="s">
        <v>3056</v>
      </c>
      <c r="C121" s="2591"/>
      <c r="D121" s="2591"/>
      <c r="E121" s="2591"/>
      <c r="F121" s="2592" t="s">
        <v>3057</v>
      </c>
      <c r="G121" s="2592"/>
      <c r="H121" s="2593">
        <v>832.37794974682333</v>
      </c>
      <c r="I121" s="2594">
        <v>0</v>
      </c>
      <c r="J121" s="2595">
        <v>0</v>
      </c>
      <c r="K121" s="2595">
        <v>0</v>
      </c>
      <c r="L121" s="2595">
        <v>0</v>
      </c>
      <c r="M121" s="2595">
        <v>0</v>
      </c>
      <c r="N121" s="2595">
        <v>0</v>
      </c>
      <c r="O121" s="2595">
        <v>0</v>
      </c>
      <c r="P121" s="2595">
        <v>0</v>
      </c>
      <c r="Q121" s="2595">
        <v>0</v>
      </c>
      <c r="R121" s="2595">
        <v>0</v>
      </c>
      <c r="S121" s="2595">
        <v>0</v>
      </c>
      <c r="T121" s="2595">
        <v>0</v>
      </c>
      <c r="U121" s="2595">
        <v>0</v>
      </c>
      <c r="V121" s="2595">
        <v>0</v>
      </c>
      <c r="W121" s="2594">
        <v>750.26273048629025</v>
      </c>
      <c r="X121" s="2595"/>
      <c r="Y121" s="2595"/>
      <c r="Z121" s="2595"/>
      <c r="AA121" s="2595"/>
      <c r="AB121" s="2595"/>
      <c r="AC121" s="2595">
        <v>675.07404222795446</v>
      </c>
      <c r="AD121" s="2595"/>
      <c r="AE121" s="2595"/>
      <c r="AF121" s="2811"/>
      <c r="AG121" s="2811"/>
      <c r="AH121" s="2811"/>
      <c r="AI121" s="2811"/>
      <c r="AJ121" s="2595"/>
      <c r="AK121" s="2595"/>
      <c r="AL121" s="2811">
        <v>15.381675742810737</v>
      </c>
      <c r="AM121" s="2811">
        <v>23.884589662749594</v>
      </c>
      <c r="AN121" s="2595"/>
      <c r="AO121" s="2595"/>
      <c r="AP121" s="2595"/>
      <c r="AQ121" s="2595">
        <v>35.922422852775391</v>
      </c>
      <c r="AR121" s="2595"/>
      <c r="AS121" s="2595"/>
      <c r="AT121" s="2594">
        <v>0</v>
      </c>
      <c r="AU121" s="2811">
        <v>0</v>
      </c>
      <c r="AV121" s="2595">
        <v>0</v>
      </c>
      <c r="AW121" s="2595">
        <v>0</v>
      </c>
      <c r="AX121" s="2595">
        <v>0</v>
      </c>
      <c r="AY121" s="2595">
        <v>0</v>
      </c>
      <c r="AZ121" s="2594">
        <v>0</v>
      </c>
      <c r="BA121" s="2595"/>
      <c r="BB121" s="2595"/>
      <c r="BC121" s="2595"/>
      <c r="BD121" s="2595">
        <v>0</v>
      </c>
      <c r="BE121" s="2595"/>
      <c r="BF121" s="2595">
        <v>0</v>
      </c>
      <c r="BG121" s="2595">
        <v>0</v>
      </c>
      <c r="BH121" s="2811">
        <v>0</v>
      </c>
      <c r="BI121" s="2595">
        <v>0</v>
      </c>
      <c r="BJ121" s="2811">
        <v>0</v>
      </c>
      <c r="BK121" s="2811">
        <v>0</v>
      </c>
      <c r="BL121" s="2595">
        <v>0</v>
      </c>
      <c r="BM121" s="2595">
        <v>0</v>
      </c>
      <c r="BN121" s="2595">
        <v>0</v>
      </c>
      <c r="BO121" s="2594">
        <v>0</v>
      </c>
      <c r="BP121" s="2595">
        <v>0</v>
      </c>
      <c r="BQ121" s="2595">
        <v>0</v>
      </c>
      <c r="BR121" s="2594"/>
      <c r="BS121" s="2594">
        <v>0</v>
      </c>
      <c r="BT121" s="2829">
        <v>82.115219260533095</v>
      </c>
    </row>
    <row r="122" spans="1:72">
      <c r="A122" s="2590" t="s">
        <v>1369</v>
      </c>
      <c r="B122" s="2591" t="s">
        <v>3058</v>
      </c>
      <c r="C122" s="2591"/>
      <c r="D122" s="2591"/>
      <c r="E122" s="2591"/>
      <c r="F122" s="2592" t="s">
        <v>3059</v>
      </c>
      <c r="G122" s="2592"/>
      <c r="H122" s="2593">
        <v>0</v>
      </c>
      <c r="I122" s="2594"/>
      <c r="J122" s="2595"/>
      <c r="K122" s="2595"/>
      <c r="L122" s="2595"/>
      <c r="M122" s="2595"/>
      <c r="N122" s="2595"/>
      <c r="O122" s="2595"/>
      <c r="P122" s="2595"/>
      <c r="Q122" s="2595"/>
      <c r="R122" s="2595"/>
      <c r="S122" s="2595"/>
      <c r="T122" s="2595"/>
      <c r="U122" s="2595"/>
      <c r="V122" s="2595"/>
      <c r="W122" s="2594"/>
      <c r="X122" s="2595"/>
      <c r="Y122" s="2595"/>
      <c r="Z122" s="2595"/>
      <c r="AA122" s="2595"/>
      <c r="AB122" s="2595"/>
      <c r="AC122" s="2595"/>
      <c r="AD122" s="2595"/>
      <c r="AE122" s="2595"/>
      <c r="AF122" s="2811"/>
      <c r="AG122" s="2811"/>
      <c r="AH122" s="2811"/>
      <c r="AI122" s="2811"/>
      <c r="AJ122" s="2595"/>
      <c r="AK122" s="2595"/>
      <c r="AL122" s="2811"/>
      <c r="AM122" s="2811"/>
      <c r="AN122" s="2595"/>
      <c r="AO122" s="2595"/>
      <c r="AP122" s="2595"/>
      <c r="AQ122" s="2595"/>
      <c r="AR122" s="2595"/>
      <c r="AS122" s="2595"/>
      <c r="AT122" s="2594"/>
      <c r="AU122" s="2811"/>
      <c r="AV122" s="2595"/>
      <c r="AW122" s="2595"/>
      <c r="AX122" s="2595"/>
      <c r="AY122" s="2595"/>
      <c r="AZ122" s="2594"/>
      <c r="BA122" s="2595"/>
      <c r="BB122" s="2595"/>
      <c r="BC122" s="2595"/>
      <c r="BD122" s="2595"/>
      <c r="BE122" s="2595"/>
      <c r="BF122" s="2595"/>
      <c r="BG122" s="2595"/>
      <c r="BH122" s="2811"/>
      <c r="BI122" s="2595"/>
      <c r="BJ122" s="2811"/>
      <c r="BK122" s="2811"/>
      <c r="BL122" s="2595"/>
      <c r="BM122" s="2595"/>
      <c r="BN122" s="2595"/>
      <c r="BO122" s="2594"/>
      <c r="BP122" s="2595"/>
      <c r="BQ122" s="2595"/>
      <c r="BR122" s="2594"/>
      <c r="BS122" s="2594">
        <v>0</v>
      </c>
      <c r="BT122" s="2829">
        <v>0</v>
      </c>
    </row>
    <row r="123" spans="1:72">
      <c r="A123" s="2590" t="s">
        <v>1369</v>
      </c>
      <c r="B123" s="2591" t="s">
        <v>3060</v>
      </c>
      <c r="C123" s="2591"/>
      <c r="D123" s="2591"/>
      <c r="E123" s="2591"/>
      <c r="F123" s="2592" t="s">
        <v>3061</v>
      </c>
      <c r="G123" s="2592"/>
      <c r="H123" s="2593">
        <v>0</v>
      </c>
      <c r="I123" s="2594">
        <v>0</v>
      </c>
      <c r="J123" s="2595">
        <v>0</v>
      </c>
      <c r="K123" s="2595">
        <v>0</v>
      </c>
      <c r="L123" s="2595">
        <v>0</v>
      </c>
      <c r="M123" s="2595">
        <v>0</v>
      </c>
      <c r="N123" s="2595">
        <v>0</v>
      </c>
      <c r="O123" s="2595">
        <v>0</v>
      </c>
      <c r="P123" s="2595">
        <v>0</v>
      </c>
      <c r="Q123" s="2595">
        <v>0</v>
      </c>
      <c r="R123" s="2595">
        <v>0</v>
      </c>
      <c r="S123" s="2595">
        <v>0</v>
      </c>
      <c r="T123" s="2595">
        <v>0</v>
      </c>
      <c r="U123" s="2595">
        <v>0</v>
      </c>
      <c r="V123" s="2595">
        <v>0</v>
      </c>
      <c r="W123" s="2594">
        <v>0</v>
      </c>
      <c r="X123" s="2595"/>
      <c r="Y123" s="2595"/>
      <c r="Z123" s="2595"/>
      <c r="AA123" s="2595"/>
      <c r="AB123" s="2595"/>
      <c r="AC123" s="2595"/>
      <c r="AD123" s="2595"/>
      <c r="AE123" s="2595"/>
      <c r="AF123" s="2811"/>
      <c r="AG123" s="2811"/>
      <c r="AH123" s="2811"/>
      <c r="AI123" s="2811"/>
      <c r="AJ123" s="2595"/>
      <c r="AK123" s="2595"/>
      <c r="AL123" s="2811"/>
      <c r="AM123" s="2811">
        <v>0</v>
      </c>
      <c r="AN123" s="2595"/>
      <c r="AO123" s="2595"/>
      <c r="AP123" s="2595"/>
      <c r="AQ123" s="2595"/>
      <c r="AR123" s="2595"/>
      <c r="AS123" s="2595"/>
      <c r="AT123" s="2594">
        <v>0</v>
      </c>
      <c r="AU123" s="2811">
        <v>0</v>
      </c>
      <c r="AV123" s="2595">
        <v>0</v>
      </c>
      <c r="AW123" s="2595">
        <v>0</v>
      </c>
      <c r="AX123" s="2595">
        <v>0</v>
      </c>
      <c r="AY123" s="2595">
        <v>0</v>
      </c>
      <c r="AZ123" s="2594">
        <v>0</v>
      </c>
      <c r="BA123" s="2595"/>
      <c r="BB123" s="2595"/>
      <c r="BC123" s="2595"/>
      <c r="BD123" s="2595">
        <v>0</v>
      </c>
      <c r="BE123" s="2595"/>
      <c r="BF123" s="2595">
        <v>0</v>
      </c>
      <c r="BG123" s="2595">
        <v>0</v>
      </c>
      <c r="BH123" s="2811">
        <v>0</v>
      </c>
      <c r="BI123" s="2595">
        <v>0</v>
      </c>
      <c r="BJ123" s="2811">
        <v>0</v>
      </c>
      <c r="BK123" s="2811">
        <v>0</v>
      </c>
      <c r="BL123" s="2595">
        <v>0</v>
      </c>
      <c r="BM123" s="2595">
        <v>0</v>
      </c>
      <c r="BN123" s="2595">
        <v>0</v>
      </c>
      <c r="BO123" s="2594">
        <v>0</v>
      </c>
      <c r="BP123" s="2595">
        <v>0</v>
      </c>
      <c r="BQ123" s="2595">
        <v>0</v>
      </c>
      <c r="BR123" s="2594"/>
      <c r="BS123" s="2594">
        <v>0</v>
      </c>
      <c r="BT123" s="2829">
        <v>0</v>
      </c>
    </row>
    <row r="124" spans="1:72">
      <c r="A124" s="2590" t="s">
        <v>1369</v>
      </c>
      <c r="B124" s="2591" t="s">
        <v>2896</v>
      </c>
      <c r="C124" s="2591"/>
      <c r="D124" s="2591"/>
      <c r="E124" s="2591"/>
      <c r="F124" s="2592" t="s">
        <v>3062</v>
      </c>
      <c r="G124" s="2592"/>
      <c r="H124" s="2593">
        <v>0</v>
      </c>
      <c r="I124" s="2594">
        <v>0</v>
      </c>
      <c r="J124" s="2595">
        <v>0</v>
      </c>
      <c r="K124" s="2595">
        <v>0</v>
      </c>
      <c r="L124" s="2595">
        <v>0</v>
      </c>
      <c r="M124" s="2595">
        <v>0</v>
      </c>
      <c r="N124" s="2595">
        <v>0</v>
      </c>
      <c r="O124" s="2595">
        <v>0</v>
      </c>
      <c r="P124" s="2595">
        <v>0</v>
      </c>
      <c r="Q124" s="2595">
        <v>0</v>
      </c>
      <c r="R124" s="2595">
        <v>0</v>
      </c>
      <c r="S124" s="2595">
        <v>0</v>
      </c>
      <c r="T124" s="2595">
        <v>0</v>
      </c>
      <c r="U124" s="2595">
        <v>0</v>
      </c>
      <c r="V124" s="2595">
        <v>0</v>
      </c>
      <c r="W124" s="2594"/>
      <c r="X124" s="2595"/>
      <c r="Y124" s="2595"/>
      <c r="Z124" s="2595"/>
      <c r="AA124" s="2595"/>
      <c r="AB124" s="2595"/>
      <c r="AC124" s="2595"/>
      <c r="AD124" s="2595"/>
      <c r="AE124" s="2595"/>
      <c r="AF124" s="2811"/>
      <c r="AG124" s="2811"/>
      <c r="AH124" s="2811"/>
      <c r="AI124" s="2811"/>
      <c r="AJ124" s="2595"/>
      <c r="AK124" s="2595"/>
      <c r="AL124" s="2811"/>
      <c r="AM124" s="2811"/>
      <c r="AN124" s="2595"/>
      <c r="AO124" s="2595"/>
      <c r="AP124" s="2595"/>
      <c r="AQ124" s="2595"/>
      <c r="AR124" s="2595"/>
      <c r="AS124" s="2595"/>
      <c r="AT124" s="2594">
        <v>0</v>
      </c>
      <c r="AU124" s="2811"/>
      <c r="AV124" s="2595">
        <v>0</v>
      </c>
      <c r="AW124" s="2595">
        <v>0</v>
      </c>
      <c r="AX124" s="2595">
        <v>0</v>
      </c>
      <c r="AY124" s="2595">
        <v>0</v>
      </c>
      <c r="AZ124" s="2594">
        <v>0</v>
      </c>
      <c r="BA124" s="2595"/>
      <c r="BB124" s="2595"/>
      <c r="BC124" s="2595"/>
      <c r="BD124" s="2595">
        <v>0</v>
      </c>
      <c r="BE124" s="2595"/>
      <c r="BF124" s="2595">
        <v>0</v>
      </c>
      <c r="BG124" s="2595">
        <v>0</v>
      </c>
      <c r="BH124" s="2811">
        <v>0</v>
      </c>
      <c r="BI124" s="2595">
        <v>0</v>
      </c>
      <c r="BJ124" s="2811">
        <v>0</v>
      </c>
      <c r="BK124" s="2811">
        <v>0</v>
      </c>
      <c r="BL124" s="2595">
        <v>0</v>
      </c>
      <c r="BM124" s="2595">
        <v>0</v>
      </c>
      <c r="BN124" s="2595">
        <v>0</v>
      </c>
      <c r="BO124" s="2594">
        <v>0</v>
      </c>
      <c r="BP124" s="2595">
        <v>0</v>
      </c>
      <c r="BQ124" s="2595">
        <v>0</v>
      </c>
      <c r="BR124" s="2594"/>
      <c r="BS124" s="2594">
        <v>0</v>
      </c>
      <c r="BT124" s="2829">
        <v>0</v>
      </c>
    </row>
    <row r="125" spans="1:72">
      <c r="A125" s="2590" t="s">
        <v>1369</v>
      </c>
      <c r="B125" s="2591" t="s">
        <v>3063</v>
      </c>
      <c r="C125" s="2591"/>
      <c r="D125" s="2591"/>
      <c r="E125" s="2591"/>
      <c r="F125" s="2592" t="s">
        <v>3064</v>
      </c>
      <c r="G125" s="2592"/>
      <c r="H125" s="2593">
        <v>100.81685296646603</v>
      </c>
      <c r="I125" s="2594">
        <v>0</v>
      </c>
      <c r="J125" s="2595">
        <v>0</v>
      </c>
      <c r="K125" s="2595">
        <v>0</v>
      </c>
      <c r="L125" s="2595">
        <v>0</v>
      </c>
      <c r="M125" s="2595">
        <v>0</v>
      </c>
      <c r="N125" s="2595">
        <v>0</v>
      </c>
      <c r="O125" s="2595">
        <v>0</v>
      </c>
      <c r="P125" s="2595">
        <v>0</v>
      </c>
      <c r="Q125" s="2595">
        <v>0</v>
      </c>
      <c r="R125" s="2595">
        <v>0</v>
      </c>
      <c r="S125" s="2595">
        <v>0</v>
      </c>
      <c r="T125" s="2595">
        <v>0</v>
      </c>
      <c r="U125" s="2595">
        <v>0</v>
      </c>
      <c r="V125" s="2595">
        <v>0</v>
      </c>
      <c r="W125" s="2594">
        <v>0</v>
      </c>
      <c r="X125" s="2595"/>
      <c r="Y125" s="2595"/>
      <c r="Z125" s="2595"/>
      <c r="AA125" s="2595"/>
      <c r="AB125" s="2595"/>
      <c r="AC125" s="2595"/>
      <c r="AD125" s="2595"/>
      <c r="AE125" s="2595"/>
      <c r="AF125" s="2811"/>
      <c r="AG125" s="2811"/>
      <c r="AH125" s="2811"/>
      <c r="AI125" s="2811"/>
      <c r="AJ125" s="2595"/>
      <c r="AK125" s="2595"/>
      <c r="AL125" s="2811"/>
      <c r="AM125" s="2811">
        <v>0</v>
      </c>
      <c r="AN125" s="2595"/>
      <c r="AO125" s="2595"/>
      <c r="AP125" s="2595"/>
      <c r="AQ125" s="2595"/>
      <c r="AR125" s="2595"/>
      <c r="AS125" s="2595"/>
      <c r="AT125" s="2594">
        <v>99.789815610967793</v>
      </c>
      <c r="AU125" s="2811">
        <v>0</v>
      </c>
      <c r="AV125" s="2595">
        <v>88.372981752173487</v>
      </c>
      <c r="AW125" s="2595">
        <v>11.416833858794305</v>
      </c>
      <c r="AX125" s="2595">
        <v>0</v>
      </c>
      <c r="AY125" s="2595">
        <v>0</v>
      </c>
      <c r="AZ125" s="2594">
        <v>0</v>
      </c>
      <c r="BA125" s="2595"/>
      <c r="BB125" s="2595"/>
      <c r="BC125" s="2595"/>
      <c r="BD125" s="2595">
        <v>0</v>
      </c>
      <c r="BE125" s="2595"/>
      <c r="BF125" s="2595">
        <v>0</v>
      </c>
      <c r="BG125" s="2595">
        <v>0</v>
      </c>
      <c r="BH125" s="2811">
        <v>0</v>
      </c>
      <c r="BI125" s="2595">
        <v>0</v>
      </c>
      <c r="BJ125" s="2811">
        <v>0</v>
      </c>
      <c r="BK125" s="2811">
        <v>0</v>
      </c>
      <c r="BL125" s="2595">
        <v>0</v>
      </c>
      <c r="BM125" s="2595">
        <v>0</v>
      </c>
      <c r="BN125" s="2595">
        <v>0</v>
      </c>
      <c r="BO125" s="2594">
        <v>0</v>
      </c>
      <c r="BP125" s="2595">
        <v>0</v>
      </c>
      <c r="BQ125" s="2595">
        <v>0</v>
      </c>
      <c r="BR125" s="2594"/>
      <c r="BS125" s="2594">
        <v>0</v>
      </c>
      <c r="BT125" s="2829">
        <v>1.0270373554982324</v>
      </c>
    </row>
    <row r="126" spans="1:72">
      <c r="A126" s="2590" t="s">
        <v>1369</v>
      </c>
      <c r="B126" s="2591" t="s">
        <v>2898</v>
      </c>
      <c r="C126" s="2591"/>
      <c r="D126" s="2591"/>
      <c r="E126" s="2591"/>
      <c r="F126" s="2592" t="s">
        <v>3065</v>
      </c>
      <c r="G126" s="2592"/>
      <c r="H126" s="2593">
        <v>0</v>
      </c>
      <c r="I126" s="2594">
        <v>0</v>
      </c>
      <c r="J126" s="2595">
        <v>0</v>
      </c>
      <c r="K126" s="2595">
        <v>0</v>
      </c>
      <c r="L126" s="2595">
        <v>0</v>
      </c>
      <c r="M126" s="2595">
        <v>0</v>
      </c>
      <c r="N126" s="2595">
        <v>0</v>
      </c>
      <c r="O126" s="2595">
        <v>0</v>
      </c>
      <c r="P126" s="2595">
        <v>0</v>
      </c>
      <c r="Q126" s="2595">
        <v>0</v>
      </c>
      <c r="R126" s="2595">
        <v>0</v>
      </c>
      <c r="S126" s="2595">
        <v>0</v>
      </c>
      <c r="T126" s="2595">
        <v>0</v>
      </c>
      <c r="U126" s="2595">
        <v>0</v>
      </c>
      <c r="V126" s="2595">
        <v>0</v>
      </c>
      <c r="W126" s="2594"/>
      <c r="X126" s="2595"/>
      <c r="Y126" s="2595"/>
      <c r="Z126" s="2595"/>
      <c r="AA126" s="2595"/>
      <c r="AB126" s="2595"/>
      <c r="AC126" s="2595"/>
      <c r="AD126" s="2595"/>
      <c r="AE126" s="2595"/>
      <c r="AF126" s="2811"/>
      <c r="AG126" s="2811"/>
      <c r="AH126" s="2811"/>
      <c r="AI126" s="2811"/>
      <c r="AJ126" s="2595"/>
      <c r="AK126" s="2595"/>
      <c r="AL126" s="2811"/>
      <c r="AM126" s="2811"/>
      <c r="AN126" s="2595"/>
      <c r="AO126" s="2595"/>
      <c r="AP126" s="2595"/>
      <c r="AQ126" s="2595"/>
      <c r="AR126" s="2595"/>
      <c r="AS126" s="2595"/>
      <c r="AT126" s="2594">
        <v>0</v>
      </c>
      <c r="AU126" s="2811"/>
      <c r="AV126" s="2595">
        <v>0</v>
      </c>
      <c r="AW126" s="2595">
        <v>0</v>
      </c>
      <c r="AX126" s="2595">
        <v>0</v>
      </c>
      <c r="AY126" s="2595">
        <v>0</v>
      </c>
      <c r="AZ126" s="2594">
        <v>0</v>
      </c>
      <c r="BA126" s="2595"/>
      <c r="BB126" s="2595"/>
      <c r="BC126" s="2595"/>
      <c r="BD126" s="2595">
        <v>0</v>
      </c>
      <c r="BE126" s="2595"/>
      <c r="BF126" s="2595">
        <v>0</v>
      </c>
      <c r="BG126" s="2595">
        <v>0</v>
      </c>
      <c r="BH126" s="2811">
        <v>0</v>
      </c>
      <c r="BI126" s="2595">
        <v>0</v>
      </c>
      <c r="BJ126" s="2811">
        <v>0</v>
      </c>
      <c r="BK126" s="2811">
        <v>0</v>
      </c>
      <c r="BL126" s="2595">
        <v>0</v>
      </c>
      <c r="BM126" s="2595">
        <v>0</v>
      </c>
      <c r="BN126" s="2595">
        <v>0</v>
      </c>
      <c r="BO126" s="2594">
        <v>0</v>
      </c>
      <c r="BP126" s="2595">
        <v>0</v>
      </c>
      <c r="BQ126" s="2595">
        <v>0</v>
      </c>
      <c r="BR126" s="2594"/>
      <c r="BS126" s="2594">
        <v>0</v>
      </c>
      <c r="BT126" s="2829">
        <v>0</v>
      </c>
    </row>
    <row r="127" spans="1:72">
      <c r="A127" s="2590" t="s">
        <v>1369</v>
      </c>
      <c r="B127" s="2591" t="s">
        <v>2882</v>
      </c>
      <c r="C127" s="2591"/>
      <c r="D127" s="2591"/>
      <c r="E127" s="2591"/>
      <c r="F127" s="2592" t="s">
        <v>3066</v>
      </c>
      <c r="G127" s="2592"/>
      <c r="H127" s="2593">
        <v>6.4727237986051396</v>
      </c>
      <c r="I127" s="2594">
        <v>0</v>
      </c>
      <c r="J127" s="2595">
        <v>0</v>
      </c>
      <c r="K127" s="2595">
        <v>0</v>
      </c>
      <c r="L127" s="2595">
        <v>0</v>
      </c>
      <c r="M127" s="2595">
        <v>0</v>
      </c>
      <c r="N127" s="2595">
        <v>0</v>
      </c>
      <c r="O127" s="2595">
        <v>0</v>
      </c>
      <c r="P127" s="2595">
        <v>0</v>
      </c>
      <c r="Q127" s="2595">
        <v>0</v>
      </c>
      <c r="R127" s="2595">
        <v>0</v>
      </c>
      <c r="S127" s="2595">
        <v>0</v>
      </c>
      <c r="T127" s="2595">
        <v>0</v>
      </c>
      <c r="U127" s="2595">
        <v>0</v>
      </c>
      <c r="V127" s="2595">
        <v>0</v>
      </c>
      <c r="W127" s="2594">
        <v>0</v>
      </c>
      <c r="X127" s="2595"/>
      <c r="Y127" s="2595"/>
      <c r="Z127" s="2595"/>
      <c r="AA127" s="2595"/>
      <c r="AB127" s="2595"/>
      <c r="AC127" s="2595"/>
      <c r="AD127" s="2595"/>
      <c r="AE127" s="2595"/>
      <c r="AF127" s="2811"/>
      <c r="AG127" s="2811"/>
      <c r="AH127" s="2811"/>
      <c r="AI127" s="2811"/>
      <c r="AJ127" s="2595"/>
      <c r="AK127" s="2595"/>
      <c r="AL127" s="2811"/>
      <c r="AM127" s="2811">
        <v>0</v>
      </c>
      <c r="AN127" s="2595"/>
      <c r="AO127" s="2595"/>
      <c r="AP127" s="2595"/>
      <c r="AQ127" s="2595"/>
      <c r="AR127" s="2595"/>
      <c r="AS127" s="2595"/>
      <c r="AT127" s="2594">
        <v>5.947262826024649</v>
      </c>
      <c r="AU127" s="2811">
        <v>1.9107671730199673</v>
      </c>
      <c r="AV127" s="2595">
        <v>0</v>
      </c>
      <c r="AW127" s="2595">
        <v>0</v>
      </c>
      <c r="AX127" s="2595">
        <v>4.0364956530046809</v>
      </c>
      <c r="AY127" s="2595">
        <v>0</v>
      </c>
      <c r="AZ127" s="2594">
        <v>0</v>
      </c>
      <c r="BA127" s="2595"/>
      <c r="BB127" s="2595"/>
      <c r="BC127" s="2595"/>
      <c r="BD127" s="2595">
        <v>0</v>
      </c>
      <c r="BE127" s="2595"/>
      <c r="BF127" s="2595">
        <v>0</v>
      </c>
      <c r="BG127" s="2595">
        <v>0</v>
      </c>
      <c r="BH127" s="2811">
        <v>0</v>
      </c>
      <c r="BI127" s="2595">
        <v>0</v>
      </c>
      <c r="BJ127" s="2811">
        <v>0</v>
      </c>
      <c r="BK127" s="2811">
        <v>0</v>
      </c>
      <c r="BL127" s="2595">
        <v>0</v>
      </c>
      <c r="BM127" s="2595">
        <v>0</v>
      </c>
      <c r="BN127" s="2595">
        <v>0</v>
      </c>
      <c r="BO127" s="2594">
        <v>0</v>
      </c>
      <c r="BP127" s="2595">
        <v>0</v>
      </c>
      <c r="BQ127" s="2595">
        <v>0</v>
      </c>
      <c r="BR127" s="2594"/>
      <c r="BS127" s="2594">
        <v>0</v>
      </c>
      <c r="BT127" s="2829">
        <v>0.52546097258049107</v>
      </c>
    </row>
    <row r="128" spans="1:72">
      <c r="A128" s="2590" t="s">
        <v>1369</v>
      </c>
      <c r="B128" s="2591" t="s">
        <v>3067</v>
      </c>
      <c r="C128" s="2591"/>
      <c r="D128" s="2591"/>
      <c r="E128" s="2591"/>
      <c r="F128" s="2592" t="s">
        <v>3068</v>
      </c>
      <c r="G128" s="2592"/>
      <c r="H128" s="2593">
        <v>0</v>
      </c>
      <c r="I128" s="2594"/>
      <c r="J128" s="2595"/>
      <c r="K128" s="2595"/>
      <c r="L128" s="2595"/>
      <c r="M128" s="2595"/>
      <c r="N128" s="2595"/>
      <c r="O128" s="2595"/>
      <c r="P128" s="2595"/>
      <c r="Q128" s="2595"/>
      <c r="R128" s="2595"/>
      <c r="S128" s="2595"/>
      <c r="T128" s="2595"/>
      <c r="U128" s="2595"/>
      <c r="V128" s="2595"/>
      <c r="W128" s="2594"/>
      <c r="X128" s="2595"/>
      <c r="Y128" s="2595"/>
      <c r="Z128" s="2595"/>
      <c r="AA128" s="2595"/>
      <c r="AB128" s="2595"/>
      <c r="AC128" s="2595"/>
      <c r="AD128" s="2595"/>
      <c r="AE128" s="2595"/>
      <c r="AF128" s="2811"/>
      <c r="AG128" s="2811"/>
      <c r="AH128" s="2811"/>
      <c r="AI128" s="2811"/>
      <c r="AJ128" s="2595"/>
      <c r="AK128" s="2595"/>
      <c r="AL128" s="2811"/>
      <c r="AM128" s="2811"/>
      <c r="AN128" s="2595"/>
      <c r="AO128" s="2595"/>
      <c r="AP128" s="2595"/>
      <c r="AQ128" s="2595"/>
      <c r="AR128" s="2595"/>
      <c r="AS128" s="2595"/>
      <c r="AT128" s="2594"/>
      <c r="AU128" s="2811"/>
      <c r="AV128" s="2595"/>
      <c r="AW128" s="2595"/>
      <c r="AX128" s="2595"/>
      <c r="AY128" s="2595"/>
      <c r="AZ128" s="2594">
        <v>0</v>
      </c>
      <c r="BA128" s="2595"/>
      <c r="BB128" s="2595"/>
      <c r="BC128" s="2595"/>
      <c r="BD128" s="2595">
        <v>0</v>
      </c>
      <c r="BE128" s="2595"/>
      <c r="BF128" s="2595"/>
      <c r="BG128" s="2595"/>
      <c r="BH128" s="2811"/>
      <c r="BI128" s="2595"/>
      <c r="BJ128" s="2811"/>
      <c r="BK128" s="2811"/>
      <c r="BL128" s="2595"/>
      <c r="BM128" s="2595"/>
      <c r="BN128" s="2595">
        <v>0</v>
      </c>
      <c r="BO128" s="2594"/>
      <c r="BP128" s="2595"/>
      <c r="BQ128" s="2595"/>
      <c r="BR128" s="2594"/>
      <c r="BS128" s="2594">
        <v>0</v>
      </c>
      <c r="BT128" s="2829">
        <v>0</v>
      </c>
    </row>
    <row r="129" spans="1:74">
      <c r="A129" s="2590" t="s">
        <v>1369</v>
      </c>
      <c r="B129" s="2591" t="s">
        <v>2900</v>
      </c>
      <c r="C129" s="2591"/>
      <c r="D129" s="2591"/>
      <c r="E129" s="2591"/>
      <c r="F129" s="2592" t="s">
        <v>3069</v>
      </c>
      <c r="G129" s="2592"/>
      <c r="H129" s="2593">
        <v>0</v>
      </c>
      <c r="I129" s="2594">
        <v>0</v>
      </c>
      <c r="J129" s="2595">
        <v>0</v>
      </c>
      <c r="K129" s="2595">
        <v>0</v>
      </c>
      <c r="L129" s="2595">
        <v>0</v>
      </c>
      <c r="M129" s="2595">
        <v>0</v>
      </c>
      <c r="N129" s="2595">
        <v>0</v>
      </c>
      <c r="O129" s="2595">
        <v>0</v>
      </c>
      <c r="P129" s="2595">
        <v>0</v>
      </c>
      <c r="Q129" s="2595">
        <v>0</v>
      </c>
      <c r="R129" s="2595">
        <v>0</v>
      </c>
      <c r="S129" s="2595">
        <v>0</v>
      </c>
      <c r="T129" s="2595">
        <v>0</v>
      </c>
      <c r="U129" s="2595">
        <v>0</v>
      </c>
      <c r="V129" s="2595">
        <v>0</v>
      </c>
      <c r="W129" s="2594"/>
      <c r="X129" s="2595"/>
      <c r="Y129" s="2595"/>
      <c r="Z129" s="2595"/>
      <c r="AA129" s="2595"/>
      <c r="AB129" s="2595"/>
      <c r="AC129" s="2595"/>
      <c r="AD129" s="2595"/>
      <c r="AE129" s="2595"/>
      <c r="AF129" s="2811"/>
      <c r="AG129" s="2811"/>
      <c r="AH129" s="2811"/>
      <c r="AI129" s="2811"/>
      <c r="AJ129" s="2595"/>
      <c r="AK129" s="2595"/>
      <c r="AL129" s="2811"/>
      <c r="AM129" s="2811"/>
      <c r="AN129" s="2595"/>
      <c r="AO129" s="2595"/>
      <c r="AP129" s="2595"/>
      <c r="AQ129" s="2595"/>
      <c r="AR129" s="2595"/>
      <c r="AS129" s="2595"/>
      <c r="AT129" s="2594">
        <v>0</v>
      </c>
      <c r="AU129" s="2811"/>
      <c r="AV129" s="2595">
        <v>0</v>
      </c>
      <c r="AW129" s="2595">
        <v>0</v>
      </c>
      <c r="AX129" s="2595">
        <v>0</v>
      </c>
      <c r="AY129" s="2595">
        <v>0</v>
      </c>
      <c r="AZ129" s="2594"/>
      <c r="BA129" s="2595"/>
      <c r="BB129" s="2595"/>
      <c r="BC129" s="2595"/>
      <c r="BD129" s="2595"/>
      <c r="BE129" s="2595"/>
      <c r="BF129" s="2595"/>
      <c r="BG129" s="2595"/>
      <c r="BH129" s="2811"/>
      <c r="BI129" s="2595"/>
      <c r="BJ129" s="2811"/>
      <c r="BK129" s="2811"/>
      <c r="BL129" s="2595"/>
      <c r="BM129" s="2595"/>
      <c r="BN129" s="2595"/>
      <c r="BO129" s="2594"/>
      <c r="BP129" s="2595"/>
      <c r="BQ129" s="2595"/>
      <c r="BR129" s="2594"/>
      <c r="BS129" s="2594">
        <v>0</v>
      </c>
      <c r="BT129" s="2829">
        <v>0</v>
      </c>
    </row>
    <row r="130" spans="1:74">
      <c r="A130" s="2590" t="s">
        <v>1369</v>
      </c>
      <c r="B130" s="2591" t="s">
        <v>3070</v>
      </c>
      <c r="C130" s="2591"/>
      <c r="D130" s="2591"/>
      <c r="E130" s="2591"/>
      <c r="F130" s="2592" t="s">
        <v>3071</v>
      </c>
      <c r="G130" s="2592"/>
      <c r="H130" s="2593">
        <v>0</v>
      </c>
      <c r="I130" s="2594"/>
      <c r="J130" s="2595"/>
      <c r="K130" s="2595"/>
      <c r="L130" s="2595"/>
      <c r="M130" s="2595"/>
      <c r="N130" s="2595"/>
      <c r="O130" s="2595"/>
      <c r="P130" s="2595"/>
      <c r="Q130" s="2595"/>
      <c r="R130" s="2595"/>
      <c r="S130" s="2595"/>
      <c r="T130" s="2595"/>
      <c r="U130" s="2595"/>
      <c r="V130" s="2595"/>
      <c r="W130" s="2594"/>
      <c r="X130" s="2595"/>
      <c r="Y130" s="2595"/>
      <c r="Z130" s="2595"/>
      <c r="AA130" s="2595"/>
      <c r="AB130" s="2595"/>
      <c r="AC130" s="2595"/>
      <c r="AD130" s="2595"/>
      <c r="AE130" s="2595"/>
      <c r="AF130" s="2811"/>
      <c r="AG130" s="2811"/>
      <c r="AH130" s="2811"/>
      <c r="AI130" s="2811"/>
      <c r="AJ130" s="2595"/>
      <c r="AK130" s="2595"/>
      <c r="AL130" s="2811"/>
      <c r="AM130" s="2811"/>
      <c r="AN130" s="2595"/>
      <c r="AO130" s="2595"/>
      <c r="AP130" s="2595"/>
      <c r="AQ130" s="2595"/>
      <c r="AR130" s="2595"/>
      <c r="AS130" s="2595"/>
      <c r="AT130" s="2594">
        <v>0</v>
      </c>
      <c r="AU130" s="2811">
        <v>0</v>
      </c>
      <c r="AV130" s="2595"/>
      <c r="AW130" s="2595"/>
      <c r="AX130" s="2595"/>
      <c r="AY130" s="2595"/>
      <c r="AZ130" s="2594"/>
      <c r="BA130" s="2595"/>
      <c r="BB130" s="2595"/>
      <c r="BC130" s="2595"/>
      <c r="BD130" s="2595"/>
      <c r="BE130" s="2595"/>
      <c r="BF130" s="2595"/>
      <c r="BG130" s="2595"/>
      <c r="BH130" s="2811"/>
      <c r="BI130" s="2595"/>
      <c r="BJ130" s="2811"/>
      <c r="BK130" s="2811"/>
      <c r="BL130" s="2595"/>
      <c r="BM130" s="2595"/>
      <c r="BN130" s="2595"/>
      <c r="BO130" s="2594"/>
      <c r="BP130" s="2595"/>
      <c r="BQ130" s="2595"/>
      <c r="BR130" s="2594"/>
      <c r="BS130" s="2594">
        <v>0</v>
      </c>
      <c r="BT130" s="2829">
        <v>0</v>
      </c>
    </row>
    <row r="131" spans="1:74">
      <c r="A131" s="2590" t="s">
        <v>1369</v>
      </c>
      <c r="B131" s="2591" t="s">
        <v>3072</v>
      </c>
      <c r="C131" s="2591"/>
      <c r="D131" s="2591"/>
      <c r="E131" s="2591"/>
      <c r="F131" s="2592" t="s">
        <v>3073</v>
      </c>
      <c r="G131" s="2592"/>
      <c r="H131" s="2593">
        <v>0</v>
      </c>
      <c r="I131" s="2594"/>
      <c r="J131" s="2595"/>
      <c r="K131" s="2595"/>
      <c r="L131" s="2595"/>
      <c r="M131" s="2595"/>
      <c r="N131" s="2595"/>
      <c r="O131" s="2595"/>
      <c r="P131" s="2595"/>
      <c r="Q131" s="2595"/>
      <c r="R131" s="2595"/>
      <c r="S131" s="2595"/>
      <c r="T131" s="2595"/>
      <c r="U131" s="2595"/>
      <c r="V131" s="2595"/>
      <c r="W131" s="2594"/>
      <c r="X131" s="2595"/>
      <c r="Y131" s="2595"/>
      <c r="Z131" s="2595"/>
      <c r="AA131" s="2595"/>
      <c r="AB131" s="2595"/>
      <c r="AC131" s="2595"/>
      <c r="AD131" s="2595"/>
      <c r="AE131" s="2595"/>
      <c r="AF131" s="2811"/>
      <c r="AG131" s="2811"/>
      <c r="AH131" s="2811"/>
      <c r="AI131" s="2811"/>
      <c r="AJ131" s="2595"/>
      <c r="AK131" s="2595"/>
      <c r="AL131" s="2811"/>
      <c r="AM131" s="2811"/>
      <c r="AN131" s="2595"/>
      <c r="AO131" s="2595"/>
      <c r="AP131" s="2595"/>
      <c r="AQ131" s="2595"/>
      <c r="AR131" s="2595"/>
      <c r="AS131" s="2595"/>
      <c r="AT131" s="2594"/>
      <c r="AU131" s="2811"/>
      <c r="AV131" s="2595"/>
      <c r="AW131" s="2595"/>
      <c r="AX131" s="2595"/>
      <c r="AY131" s="2595"/>
      <c r="AZ131" s="2594">
        <v>0</v>
      </c>
      <c r="BA131" s="2595"/>
      <c r="BB131" s="2595"/>
      <c r="BC131" s="2595"/>
      <c r="BD131" s="2595">
        <v>0</v>
      </c>
      <c r="BE131" s="2595"/>
      <c r="BF131" s="2595">
        <v>0</v>
      </c>
      <c r="BG131" s="2595">
        <v>0</v>
      </c>
      <c r="BH131" s="2811">
        <v>0</v>
      </c>
      <c r="BI131" s="2595">
        <v>0</v>
      </c>
      <c r="BJ131" s="2811">
        <v>0</v>
      </c>
      <c r="BK131" s="2811">
        <v>0</v>
      </c>
      <c r="BL131" s="2595">
        <v>0</v>
      </c>
      <c r="BM131" s="2595">
        <v>0</v>
      </c>
      <c r="BN131" s="2595">
        <v>0</v>
      </c>
      <c r="BO131" s="2594">
        <v>0</v>
      </c>
      <c r="BP131" s="2595">
        <v>0</v>
      </c>
      <c r="BQ131" s="2595">
        <v>0</v>
      </c>
      <c r="BR131" s="2594"/>
      <c r="BS131" s="2594">
        <v>0</v>
      </c>
      <c r="BT131" s="2829">
        <v>0</v>
      </c>
    </row>
    <row r="132" spans="1:74">
      <c r="A132" s="2590" t="s">
        <v>1369</v>
      </c>
      <c r="B132" s="2591" t="s">
        <v>3074</v>
      </c>
      <c r="C132" s="2591"/>
      <c r="D132" s="2591"/>
      <c r="E132" s="2591"/>
      <c r="F132" s="2592" t="s">
        <v>3075</v>
      </c>
      <c r="G132" s="2592"/>
      <c r="H132" s="2593">
        <v>0</v>
      </c>
      <c r="I132" s="2594"/>
      <c r="J132" s="2595"/>
      <c r="K132" s="2595"/>
      <c r="L132" s="2595"/>
      <c r="M132" s="2595"/>
      <c r="N132" s="2595"/>
      <c r="O132" s="2595"/>
      <c r="P132" s="2595"/>
      <c r="Q132" s="2595"/>
      <c r="R132" s="2595"/>
      <c r="S132" s="2595"/>
      <c r="T132" s="2595"/>
      <c r="U132" s="2595"/>
      <c r="V132" s="2595"/>
      <c r="W132" s="2594"/>
      <c r="X132" s="2595"/>
      <c r="Y132" s="2595"/>
      <c r="Z132" s="2595"/>
      <c r="AA132" s="2595"/>
      <c r="AB132" s="2595"/>
      <c r="AC132" s="2595"/>
      <c r="AD132" s="2595"/>
      <c r="AE132" s="2595"/>
      <c r="AF132" s="2811"/>
      <c r="AG132" s="2811"/>
      <c r="AH132" s="2811"/>
      <c r="AI132" s="2811"/>
      <c r="AJ132" s="2595"/>
      <c r="AK132" s="2595"/>
      <c r="AL132" s="2811"/>
      <c r="AM132" s="2811"/>
      <c r="AN132" s="2595"/>
      <c r="AO132" s="2595"/>
      <c r="AP132" s="2595"/>
      <c r="AQ132" s="2595"/>
      <c r="AR132" s="2595"/>
      <c r="AS132" s="2595"/>
      <c r="AT132" s="2594">
        <v>0</v>
      </c>
      <c r="AU132" s="2811">
        <v>0</v>
      </c>
      <c r="AV132" s="2595"/>
      <c r="AW132" s="2595"/>
      <c r="AX132" s="2595"/>
      <c r="AY132" s="2595"/>
      <c r="AZ132" s="2594"/>
      <c r="BA132" s="2595"/>
      <c r="BB132" s="2595"/>
      <c r="BC132" s="2595"/>
      <c r="BD132" s="2595"/>
      <c r="BE132" s="2595"/>
      <c r="BF132" s="2595"/>
      <c r="BG132" s="2595"/>
      <c r="BH132" s="2811"/>
      <c r="BI132" s="2595"/>
      <c r="BJ132" s="2811"/>
      <c r="BK132" s="2811"/>
      <c r="BL132" s="2595"/>
      <c r="BM132" s="2595"/>
      <c r="BN132" s="2595"/>
      <c r="BO132" s="2594"/>
      <c r="BP132" s="2595"/>
      <c r="BQ132" s="2595"/>
      <c r="BR132" s="2594"/>
      <c r="BS132" s="2594">
        <v>0</v>
      </c>
      <c r="BT132" s="2829">
        <v>0</v>
      </c>
    </row>
    <row r="133" spans="1:74">
      <c r="A133" s="2590" t="s">
        <v>1369</v>
      </c>
      <c r="B133" s="2591" t="s">
        <v>3076</v>
      </c>
      <c r="C133" s="2591"/>
      <c r="D133" s="2591"/>
      <c r="E133" s="2591"/>
      <c r="F133" s="2592" t="s">
        <v>3077</v>
      </c>
      <c r="G133" s="2592"/>
      <c r="H133" s="2593">
        <v>243.43173784274384</v>
      </c>
      <c r="I133" s="2594">
        <v>0</v>
      </c>
      <c r="J133" s="2595">
        <v>0</v>
      </c>
      <c r="K133" s="2595">
        <v>0</v>
      </c>
      <c r="L133" s="2595">
        <v>0</v>
      </c>
      <c r="M133" s="2595">
        <v>0</v>
      </c>
      <c r="N133" s="2595">
        <v>0</v>
      </c>
      <c r="O133" s="2595">
        <v>0</v>
      </c>
      <c r="P133" s="2595">
        <v>0</v>
      </c>
      <c r="Q133" s="2595">
        <v>0</v>
      </c>
      <c r="R133" s="2595">
        <v>0</v>
      </c>
      <c r="S133" s="2595">
        <v>0</v>
      </c>
      <c r="T133" s="2595">
        <v>0</v>
      </c>
      <c r="U133" s="2595">
        <v>0</v>
      </c>
      <c r="V133" s="2595">
        <v>0</v>
      </c>
      <c r="W133" s="2594">
        <v>0</v>
      </c>
      <c r="X133" s="2595"/>
      <c r="Y133" s="2595"/>
      <c r="Z133" s="2595"/>
      <c r="AA133" s="2595"/>
      <c r="AB133" s="2595"/>
      <c r="AC133" s="2595"/>
      <c r="AD133" s="2595"/>
      <c r="AE133" s="2595"/>
      <c r="AF133" s="2811"/>
      <c r="AG133" s="2811"/>
      <c r="AH133" s="2811"/>
      <c r="AI133" s="2811"/>
      <c r="AJ133" s="2595"/>
      <c r="AK133" s="2595"/>
      <c r="AL133" s="2811"/>
      <c r="AM133" s="2811">
        <v>0</v>
      </c>
      <c r="AN133" s="2595"/>
      <c r="AO133" s="2595"/>
      <c r="AP133" s="2595"/>
      <c r="AQ133" s="2595"/>
      <c r="AR133" s="2595"/>
      <c r="AS133" s="2595"/>
      <c r="AT133" s="2594">
        <v>0</v>
      </c>
      <c r="AU133" s="2811">
        <v>0</v>
      </c>
      <c r="AV133" s="2595">
        <v>0</v>
      </c>
      <c r="AW133" s="2595">
        <v>0</v>
      </c>
      <c r="AX133" s="2595">
        <v>0</v>
      </c>
      <c r="AY133" s="2595">
        <v>0</v>
      </c>
      <c r="AZ133" s="2594">
        <v>0</v>
      </c>
      <c r="BA133" s="2595"/>
      <c r="BB133" s="2595"/>
      <c r="BC133" s="2595"/>
      <c r="BD133" s="2595">
        <v>0</v>
      </c>
      <c r="BE133" s="2595"/>
      <c r="BF133" s="2595">
        <v>0</v>
      </c>
      <c r="BG133" s="2595">
        <v>0</v>
      </c>
      <c r="BH133" s="2811">
        <v>0</v>
      </c>
      <c r="BI133" s="2595">
        <v>0</v>
      </c>
      <c r="BJ133" s="2811">
        <v>0</v>
      </c>
      <c r="BK133" s="2811">
        <v>0</v>
      </c>
      <c r="BL133" s="2595">
        <v>0</v>
      </c>
      <c r="BM133" s="2595">
        <v>0</v>
      </c>
      <c r="BN133" s="2595">
        <v>0</v>
      </c>
      <c r="BO133" s="2594">
        <v>0</v>
      </c>
      <c r="BP133" s="2595">
        <v>0</v>
      </c>
      <c r="BQ133" s="2595">
        <v>0</v>
      </c>
      <c r="BR133" s="2594"/>
      <c r="BS133" s="2594">
        <v>0</v>
      </c>
      <c r="BT133" s="2829">
        <v>243.43173784274384</v>
      </c>
    </row>
    <row r="134" spans="1:74">
      <c r="A134" s="2597" t="s">
        <v>1369</v>
      </c>
      <c r="B134" s="2598" t="s">
        <v>3078</v>
      </c>
      <c r="C134" s="2598"/>
      <c r="D134" s="2598"/>
      <c r="E134" s="2598"/>
      <c r="F134" s="2599" t="s">
        <v>3079</v>
      </c>
      <c r="G134" s="2599"/>
      <c r="H134" s="2600">
        <v>0</v>
      </c>
      <c r="I134" s="2601"/>
      <c r="J134" s="2602"/>
      <c r="K134" s="2602"/>
      <c r="L134" s="2602"/>
      <c r="M134" s="2602"/>
      <c r="N134" s="2602"/>
      <c r="O134" s="2602"/>
      <c r="P134" s="2602"/>
      <c r="Q134" s="2602"/>
      <c r="R134" s="2602"/>
      <c r="S134" s="2602"/>
      <c r="T134" s="2602"/>
      <c r="U134" s="2602"/>
      <c r="V134" s="2602"/>
      <c r="W134" s="2601"/>
      <c r="X134" s="2602"/>
      <c r="Y134" s="2602"/>
      <c r="Z134" s="2602"/>
      <c r="AA134" s="2602"/>
      <c r="AB134" s="2602"/>
      <c r="AC134" s="2602"/>
      <c r="AD134" s="2602"/>
      <c r="AE134" s="2602"/>
      <c r="AF134" s="2812"/>
      <c r="AG134" s="2812"/>
      <c r="AH134" s="2812"/>
      <c r="AI134" s="2812"/>
      <c r="AJ134" s="2602"/>
      <c r="AK134" s="2602"/>
      <c r="AL134" s="2812"/>
      <c r="AM134" s="2812"/>
      <c r="AN134" s="2602"/>
      <c r="AO134" s="2602"/>
      <c r="AP134" s="2602"/>
      <c r="AQ134" s="2602"/>
      <c r="AR134" s="2602"/>
      <c r="AS134" s="2602"/>
      <c r="AT134" s="2601"/>
      <c r="AU134" s="2812"/>
      <c r="AV134" s="2602"/>
      <c r="AW134" s="2602"/>
      <c r="AX134" s="2602"/>
      <c r="AY134" s="2602"/>
      <c r="AZ134" s="2601">
        <v>0</v>
      </c>
      <c r="BA134" s="2602"/>
      <c r="BB134" s="2602"/>
      <c r="BC134" s="2602"/>
      <c r="BD134" s="2602">
        <v>0</v>
      </c>
      <c r="BE134" s="2602"/>
      <c r="BF134" s="2602">
        <v>0</v>
      </c>
      <c r="BG134" s="2602">
        <v>0</v>
      </c>
      <c r="BH134" s="2812">
        <v>0</v>
      </c>
      <c r="BI134" s="2602">
        <v>0</v>
      </c>
      <c r="BJ134" s="2812">
        <v>0</v>
      </c>
      <c r="BK134" s="2812">
        <v>0</v>
      </c>
      <c r="BL134" s="2602">
        <v>0</v>
      </c>
      <c r="BM134" s="2602">
        <v>0</v>
      </c>
      <c r="BN134" s="2602">
        <v>0</v>
      </c>
      <c r="BO134" s="2601">
        <v>0</v>
      </c>
      <c r="BP134" s="2602">
        <v>0</v>
      </c>
      <c r="BQ134" s="2602">
        <v>0</v>
      </c>
      <c r="BR134" s="2601"/>
      <c r="BS134" s="2601">
        <v>0</v>
      </c>
      <c r="BT134" s="2830">
        <v>0</v>
      </c>
    </row>
    <row r="135" spans="1:74">
      <c r="A135" s="2603" t="s">
        <v>3080</v>
      </c>
      <c r="B135" s="2603"/>
      <c r="C135" s="2603"/>
      <c r="D135" s="2603"/>
      <c r="E135" s="2603"/>
      <c r="F135" s="2604" t="s">
        <v>3081</v>
      </c>
      <c r="G135" s="2604"/>
      <c r="H135" s="2605">
        <v>1191.721601222891</v>
      </c>
      <c r="I135" s="2606">
        <v>0</v>
      </c>
      <c r="J135" s="2607">
        <v>0</v>
      </c>
      <c r="K135" s="2607">
        <v>0</v>
      </c>
      <c r="L135" s="2607">
        <v>0</v>
      </c>
      <c r="M135" s="2607">
        <v>0</v>
      </c>
      <c r="N135" s="2607">
        <v>0</v>
      </c>
      <c r="O135" s="2607">
        <v>0</v>
      </c>
      <c r="P135" s="2607">
        <v>0</v>
      </c>
      <c r="Q135" s="2607">
        <v>0</v>
      </c>
      <c r="R135" s="2607">
        <v>0</v>
      </c>
      <c r="S135" s="2607">
        <v>0</v>
      </c>
      <c r="T135" s="2607">
        <v>0</v>
      </c>
      <c r="U135" s="2607">
        <v>0</v>
      </c>
      <c r="V135" s="2607">
        <v>0</v>
      </c>
      <c r="W135" s="2606">
        <v>0</v>
      </c>
      <c r="X135" s="2607"/>
      <c r="Y135" s="2607"/>
      <c r="Z135" s="2607"/>
      <c r="AA135" s="2607"/>
      <c r="AB135" s="2607"/>
      <c r="AC135" s="2607"/>
      <c r="AD135" s="2607"/>
      <c r="AE135" s="2607"/>
      <c r="AF135" s="2813"/>
      <c r="AG135" s="2813"/>
      <c r="AH135" s="2813"/>
      <c r="AI135" s="2813"/>
      <c r="AJ135" s="2607"/>
      <c r="AK135" s="2607"/>
      <c r="AL135" s="2813"/>
      <c r="AM135" s="2813">
        <v>0</v>
      </c>
      <c r="AN135" s="2607"/>
      <c r="AO135" s="2607"/>
      <c r="AP135" s="2607"/>
      <c r="AQ135" s="2607"/>
      <c r="AR135" s="2607"/>
      <c r="AS135" s="2607"/>
      <c r="AT135" s="2606">
        <v>67.378427438616598</v>
      </c>
      <c r="AU135" s="2813">
        <v>0</v>
      </c>
      <c r="AV135" s="2607">
        <v>23.120282793541605</v>
      </c>
      <c r="AW135" s="2607">
        <v>43.995414158784747</v>
      </c>
      <c r="AX135" s="2607">
        <v>0.28661507595299512</v>
      </c>
      <c r="AY135" s="2607">
        <v>0</v>
      </c>
      <c r="AZ135" s="2606">
        <v>0</v>
      </c>
      <c r="BA135" s="2607"/>
      <c r="BB135" s="2607"/>
      <c r="BC135" s="2607"/>
      <c r="BD135" s="2607">
        <v>0</v>
      </c>
      <c r="BE135" s="2607"/>
      <c r="BF135" s="2607">
        <v>0</v>
      </c>
      <c r="BG135" s="2607">
        <v>0</v>
      </c>
      <c r="BH135" s="2813">
        <v>0</v>
      </c>
      <c r="BI135" s="2607">
        <v>0</v>
      </c>
      <c r="BJ135" s="2813">
        <v>0</v>
      </c>
      <c r="BK135" s="2813">
        <v>0</v>
      </c>
      <c r="BL135" s="2607">
        <v>0</v>
      </c>
      <c r="BM135" s="2607">
        <v>0</v>
      </c>
      <c r="BN135" s="2607">
        <v>0</v>
      </c>
      <c r="BO135" s="2606">
        <v>0</v>
      </c>
      <c r="BP135" s="2607">
        <v>0</v>
      </c>
      <c r="BQ135" s="2607">
        <v>0</v>
      </c>
      <c r="BR135" s="2606"/>
      <c r="BS135" s="2606">
        <v>214.19700009553836</v>
      </c>
      <c r="BT135" s="2831">
        <v>910.14617368873598</v>
      </c>
    </row>
    <row r="136" spans="1:74">
      <c r="A136" s="2603" t="s">
        <v>3082</v>
      </c>
      <c r="B136" s="2603"/>
      <c r="C136" s="2603"/>
      <c r="D136" s="2603"/>
      <c r="E136" s="2603"/>
      <c r="F136" s="2604" t="s">
        <v>3083</v>
      </c>
      <c r="G136" s="2604"/>
      <c r="H136" s="2605">
        <v>36898.800993598925</v>
      </c>
      <c r="I136" s="2606">
        <v>989.37135760007641</v>
      </c>
      <c r="J136" s="2607">
        <v>0</v>
      </c>
      <c r="K136" s="2607">
        <v>15.047291487532243</v>
      </c>
      <c r="L136" s="2607">
        <v>356.66857743383969</v>
      </c>
      <c r="M136" s="2607">
        <v>0</v>
      </c>
      <c r="N136" s="2607">
        <v>0</v>
      </c>
      <c r="O136" s="2607">
        <v>0</v>
      </c>
      <c r="P136" s="2607">
        <v>616.2940670679277</v>
      </c>
      <c r="Q136" s="2607">
        <v>0</v>
      </c>
      <c r="R136" s="2607">
        <v>0</v>
      </c>
      <c r="S136" s="2607">
        <v>0</v>
      </c>
      <c r="T136" s="2607">
        <v>1.3614216107767267</v>
      </c>
      <c r="U136" s="2607">
        <v>0</v>
      </c>
      <c r="V136" s="2607">
        <v>0</v>
      </c>
      <c r="W136" s="2606">
        <v>12924.309735358745</v>
      </c>
      <c r="X136" s="2607">
        <v>-162.96455526894047</v>
      </c>
      <c r="Y136" s="2607">
        <v>0</v>
      </c>
      <c r="Z136" s="2607">
        <v>171.20473870258908</v>
      </c>
      <c r="AA136" s="2607">
        <v>0</v>
      </c>
      <c r="AB136" s="2607"/>
      <c r="AC136" s="2607">
        <v>0</v>
      </c>
      <c r="AD136" s="2607">
        <v>394.883920894239</v>
      </c>
      <c r="AE136" s="2607">
        <v>992.11808541129255</v>
      </c>
      <c r="AF136" s="2813">
        <v>3666.5950128976783</v>
      </c>
      <c r="AG136" s="2813">
        <v>3.1527658354829464</v>
      </c>
      <c r="AH136" s="2813">
        <v>0</v>
      </c>
      <c r="AI136" s="2813">
        <v>823.68395910958247</v>
      </c>
      <c r="AJ136" s="2607">
        <v>-2.0540747109964648</v>
      </c>
      <c r="AK136" s="2607">
        <v>573.80338205789621</v>
      </c>
      <c r="AL136" s="2813">
        <v>5503.3916117321105</v>
      </c>
      <c r="AM136" s="2813">
        <v>456.67335435177222</v>
      </c>
      <c r="AN136" s="2607">
        <v>1.0509219451609821</v>
      </c>
      <c r="AO136" s="2607">
        <v>101.31842934938378</v>
      </c>
      <c r="AP136" s="2607">
        <v>401.4760676411579</v>
      </c>
      <c r="AQ136" s="2607">
        <v>0</v>
      </c>
      <c r="AR136" s="2607">
        <v>0</v>
      </c>
      <c r="AS136" s="2607">
        <v>0</v>
      </c>
      <c r="AT136" s="2606">
        <v>872.86232922518388</v>
      </c>
      <c r="AU136" s="2813">
        <v>733.51963313270278</v>
      </c>
      <c r="AV136" s="2607">
        <v>55.006209993312311</v>
      </c>
      <c r="AW136" s="2607">
        <v>72.728575523072507</v>
      </c>
      <c r="AX136" s="2607">
        <v>11.607910576096302</v>
      </c>
      <c r="AY136" s="2607">
        <v>0</v>
      </c>
      <c r="AZ136" s="2606">
        <v>5688.9748734116747</v>
      </c>
      <c r="BA136" s="2607">
        <v>0</v>
      </c>
      <c r="BB136" s="2607">
        <v>0</v>
      </c>
      <c r="BC136" s="2607">
        <v>0</v>
      </c>
      <c r="BD136" s="2607">
        <v>10.318142734307823</v>
      </c>
      <c r="BE136" s="2607">
        <v>0</v>
      </c>
      <c r="BF136" s="2607">
        <v>5211.1636572083689</v>
      </c>
      <c r="BG136" s="2607">
        <v>0</v>
      </c>
      <c r="BH136" s="2813">
        <v>86.987675551734014</v>
      </c>
      <c r="BI136" s="2607">
        <v>0</v>
      </c>
      <c r="BJ136" s="2813">
        <v>203.09066590235977</v>
      </c>
      <c r="BK136" s="2813">
        <v>177.43861660456673</v>
      </c>
      <c r="BL136" s="2607">
        <v>0</v>
      </c>
      <c r="BM136" s="2607">
        <v>0</v>
      </c>
      <c r="BN136" s="2607">
        <v>0</v>
      </c>
      <c r="BO136" s="2606">
        <v>0</v>
      </c>
      <c r="BP136" s="2607">
        <v>0</v>
      </c>
      <c r="BQ136" s="2607">
        <v>0</v>
      </c>
      <c r="BR136" s="2606">
        <v>0</v>
      </c>
      <c r="BS136" s="2606">
        <v>5141.4445399828028</v>
      </c>
      <c r="BT136" s="2831">
        <v>11281.814273430782</v>
      </c>
      <c r="BV136" s="2620"/>
    </row>
    <row r="137" spans="1:74">
      <c r="A137" s="2621" t="s">
        <v>3084</v>
      </c>
      <c r="B137" s="2621"/>
      <c r="C137" s="2621"/>
      <c r="D137" s="2621"/>
      <c r="E137" s="2621"/>
      <c r="F137" s="2622" t="s">
        <v>3085</v>
      </c>
      <c r="G137" s="2622"/>
      <c r="H137" s="2623">
        <v>2112.4486481322251</v>
      </c>
      <c r="I137" s="2624">
        <v>15.668290818763733</v>
      </c>
      <c r="J137" s="2625">
        <v>0</v>
      </c>
      <c r="K137" s="2625">
        <v>0</v>
      </c>
      <c r="L137" s="2625">
        <v>0</v>
      </c>
      <c r="M137" s="2625">
        <v>0</v>
      </c>
      <c r="N137" s="2625">
        <v>0</v>
      </c>
      <c r="O137" s="2625">
        <v>0</v>
      </c>
      <c r="P137" s="2625">
        <v>15.668290818763733</v>
      </c>
      <c r="Q137" s="2625">
        <v>0</v>
      </c>
      <c r="R137" s="2625">
        <v>0</v>
      </c>
      <c r="S137" s="2625">
        <v>0</v>
      </c>
      <c r="T137" s="2625">
        <v>0</v>
      </c>
      <c r="U137" s="2625">
        <v>0</v>
      </c>
      <c r="V137" s="2625">
        <v>0</v>
      </c>
      <c r="W137" s="2624">
        <v>1989.5146651380528</v>
      </c>
      <c r="X137" s="2625">
        <v>0</v>
      </c>
      <c r="Y137" s="2625">
        <v>0</v>
      </c>
      <c r="Z137" s="2625"/>
      <c r="AA137" s="2625"/>
      <c r="AB137" s="2625"/>
      <c r="AC137" s="2625">
        <v>0</v>
      </c>
      <c r="AD137" s="2625">
        <v>394.883920894239</v>
      </c>
      <c r="AE137" s="2625">
        <v>547.14817999426771</v>
      </c>
      <c r="AF137" s="2816">
        <v>0</v>
      </c>
      <c r="AG137" s="2816">
        <v>0</v>
      </c>
      <c r="AH137" s="2816">
        <v>0</v>
      </c>
      <c r="AI137" s="2816">
        <v>0</v>
      </c>
      <c r="AJ137" s="2625">
        <v>0</v>
      </c>
      <c r="AK137" s="2625">
        <v>520.20636285468618</v>
      </c>
      <c r="AL137" s="2816">
        <v>0</v>
      </c>
      <c r="AM137" s="2816">
        <v>0</v>
      </c>
      <c r="AN137" s="2625">
        <v>1.0509219451609821</v>
      </c>
      <c r="AO137" s="2625">
        <v>116.36572083691601</v>
      </c>
      <c r="AP137" s="2625">
        <v>409.85955861278302</v>
      </c>
      <c r="AQ137" s="2625">
        <v>0</v>
      </c>
      <c r="AR137" s="2625">
        <v>0</v>
      </c>
      <c r="AS137" s="2625">
        <v>0</v>
      </c>
      <c r="AT137" s="2624">
        <v>107.28957676507117</v>
      </c>
      <c r="AU137" s="2816">
        <v>107.28957676507117</v>
      </c>
      <c r="AV137" s="2625">
        <v>0</v>
      </c>
      <c r="AW137" s="2625">
        <v>0</v>
      </c>
      <c r="AX137" s="2625">
        <v>0</v>
      </c>
      <c r="AY137" s="2625">
        <v>0</v>
      </c>
      <c r="AZ137" s="2624">
        <v>0</v>
      </c>
      <c r="BA137" s="2625"/>
      <c r="BB137" s="2625"/>
      <c r="BC137" s="2625"/>
      <c r="BD137" s="2625"/>
      <c r="BE137" s="2625"/>
      <c r="BF137" s="2625"/>
      <c r="BG137" s="2625"/>
      <c r="BH137" s="2816"/>
      <c r="BI137" s="2625"/>
      <c r="BJ137" s="2816">
        <v>0</v>
      </c>
      <c r="BK137" s="2816">
        <v>0</v>
      </c>
      <c r="BL137" s="2625">
        <v>0</v>
      </c>
      <c r="BM137" s="2625"/>
      <c r="BN137" s="2625"/>
      <c r="BO137" s="2624"/>
      <c r="BP137" s="2625"/>
      <c r="BQ137" s="2625"/>
      <c r="BR137" s="2624"/>
      <c r="BS137" s="2624"/>
      <c r="BT137" s="2834"/>
    </row>
    <row r="138" spans="1:74">
      <c r="A138" s="2608" t="s">
        <v>1369</v>
      </c>
      <c r="B138" s="2609" t="s">
        <v>3086</v>
      </c>
      <c r="C138" s="2609"/>
      <c r="D138" s="2609"/>
      <c r="E138" s="2609"/>
      <c r="F138" s="2610" t="s">
        <v>3087</v>
      </c>
      <c r="G138" s="2610"/>
      <c r="H138" s="2611">
        <v>0</v>
      </c>
      <c r="I138" s="2612"/>
      <c r="J138" s="2613"/>
      <c r="K138" s="2613"/>
      <c r="L138" s="2613"/>
      <c r="M138" s="2613"/>
      <c r="N138" s="2613"/>
      <c r="O138" s="2613"/>
      <c r="P138" s="2613"/>
      <c r="Q138" s="2613"/>
      <c r="R138" s="2613"/>
      <c r="S138" s="2613"/>
      <c r="T138" s="2613"/>
      <c r="U138" s="2613"/>
      <c r="V138" s="2613"/>
      <c r="W138" s="2612">
        <v>0</v>
      </c>
      <c r="X138" s="2613">
        <v>0</v>
      </c>
      <c r="Y138" s="2613">
        <v>0</v>
      </c>
      <c r="Z138" s="2613"/>
      <c r="AA138" s="2613"/>
      <c r="AB138" s="2613"/>
      <c r="AC138" s="2613">
        <v>0</v>
      </c>
      <c r="AD138" s="2613">
        <v>0</v>
      </c>
      <c r="AE138" s="2613">
        <v>0</v>
      </c>
      <c r="AF138" s="2814">
        <v>0</v>
      </c>
      <c r="AG138" s="2814">
        <v>0</v>
      </c>
      <c r="AH138" s="2814">
        <v>0</v>
      </c>
      <c r="AI138" s="2814">
        <v>0</v>
      </c>
      <c r="AJ138" s="2613">
        <v>0</v>
      </c>
      <c r="AK138" s="2613">
        <v>0</v>
      </c>
      <c r="AL138" s="2814">
        <v>0</v>
      </c>
      <c r="AM138" s="2814">
        <v>0</v>
      </c>
      <c r="AN138" s="2613">
        <v>0</v>
      </c>
      <c r="AO138" s="2613">
        <v>0</v>
      </c>
      <c r="AP138" s="2613">
        <v>0</v>
      </c>
      <c r="AQ138" s="2613">
        <v>0</v>
      </c>
      <c r="AR138" s="2613">
        <v>0</v>
      </c>
      <c r="AS138" s="2613">
        <v>0</v>
      </c>
      <c r="AT138" s="2612"/>
      <c r="AU138" s="2814"/>
      <c r="AV138" s="2613"/>
      <c r="AW138" s="2613"/>
      <c r="AX138" s="2613"/>
      <c r="AY138" s="2613"/>
      <c r="AZ138" s="2612">
        <v>0</v>
      </c>
      <c r="BA138" s="2613"/>
      <c r="BB138" s="2613"/>
      <c r="BC138" s="2613"/>
      <c r="BD138" s="2613"/>
      <c r="BE138" s="2613"/>
      <c r="BF138" s="2613"/>
      <c r="BG138" s="2613"/>
      <c r="BH138" s="2814"/>
      <c r="BI138" s="2613"/>
      <c r="BJ138" s="2814">
        <v>0</v>
      </c>
      <c r="BK138" s="2814">
        <v>0</v>
      </c>
      <c r="BL138" s="2613">
        <v>0</v>
      </c>
      <c r="BM138" s="2613"/>
      <c r="BN138" s="2613"/>
      <c r="BO138" s="2612"/>
      <c r="BP138" s="2613"/>
      <c r="BQ138" s="2613"/>
      <c r="BR138" s="2612"/>
      <c r="BS138" s="2612"/>
      <c r="BT138" s="2832"/>
    </row>
    <row r="139" spans="1:74">
      <c r="A139" s="2590" t="s">
        <v>1369</v>
      </c>
      <c r="B139" s="2591" t="s">
        <v>3088</v>
      </c>
      <c r="C139" s="2591"/>
      <c r="D139" s="2591"/>
      <c r="E139" s="2591"/>
      <c r="F139" s="2592" t="s">
        <v>3089</v>
      </c>
      <c r="G139" s="2592"/>
      <c r="H139" s="2593">
        <v>0</v>
      </c>
      <c r="I139" s="2594"/>
      <c r="J139" s="2595"/>
      <c r="K139" s="2595"/>
      <c r="L139" s="2595"/>
      <c r="M139" s="2595"/>
      <c r="N139" s="2595"/>
      <c r="O139" s="2595"/>
      <c r="P139" s="2595"/>
      <c r="Q139" s="2595"/>
      <c r="R139" s="2595"/>
      <c r="S139" s="2595"/>
      <c r="T139" s="2595"/>
      <c r="U139" s="2595"/>
      <c r="V139" s="2595"/>
      <c r="W139" s="2594">
        <v>0</v>
      </c>
      <c r="X139" s="2595">
        <v>0</v>
      </c>
      <c r="Y139" s="2595">
        <v>0</v>
      </c>
      <c r="Z139" s="2595"/>
      <c r="AA139" s="2595"/>
      <c r="AB139" s="2595"/>
      <c r="AC139" s="2595">
        <v>0</v>
      </c>
      <c r="AD139" s="2595">
        <v>0</v>
      </c>
      <c r="AE139" s="2595">
        <v>0</v>
      </c>
      <c r="AF139" s="2811">
        <v>0</v>
      </c>
      <c r="AG139" s="2811">
        <v>0</v>
      </c>
      <c r="AH139" s="2811">
        <v>0</v>
      </c>
      <c r="AI139" s="2811">
        <v>0</v>
      </c>
      <c r="AJ139" s="2595">
        <v>0</v>
      </c>
      <c r="AK139" s="2595">
        <v>0</v>
      </c>
      <c r="AL139" s="2811">
        <v>0</v>
      </c>
      <c r="AM139" s="2811">
        <v>0</v>
      </c>
      <c r="AN139" s="2595">
        <v>0</v>
      </c>
      <c r="AO139" s="2595">
        <v>0</v>
      </c>
      <c r="AP139" s="2595">
        <v>0</v>
      </c>
      <c r="AQ139" s="2595">
        <v>0</v>
      </c>
      <c r="AR139" s="2595">
        <v>0</v>
      </c>
      <c r="AS139" s="2595">
        <v>0</v>
      </c>
      <c r="AT139" s="2594"/>
      <c r="AU139" s="2811"/>
      <c r="AV139" s="2595"/>
      <c r="AW139" s="2595"/>
      <c r="AX139" s="2595"/>
      <c r="AY139" s="2595"/>
      <c r="AZ139" s="2594">
        <v>0</v>
      </c>
      <c r="BA139" s="2595"/>
      <c r="BB139" s="2595"/>
      <c r="BC139" s="2595"/>
      <c r="BD139" s="2595"/>
      <c r="BE139" s="2595"/>
      <c r="BF139" s="2595"/>
      <c r="BG139" s="2595"/>
      <c r="BH139" s="2811"/>
      <c r="BI139" s="2595"/>
      <c r="BJ139" s="2811">
        <v>0</v>
      </c>
      <c r="BK139" s="2811">
        <v>0</v>
      </c>
      <c r="BL139" s="2595">
        <v>0</v>
      </c>
      <c r="BM139" s="2595"/>
      <c r="BN139" s="2595"/>
      <c r="BO139" s="2594"/>
      <c r="BP139" s="2595"/>
      <c r="BQ139" s="2595"/>
      <c r="BR139" s="2594"/>
      <c r="BS139" s="2594"/>
      <c r="BT139" s="2829"/>
    </row>
    <row r="140" spans="1:74" s="2632" customFormat="1">
      <c r="A140" s="2626" t="s">
        <v>1369</v>
      </c>
      <c r="B140" s="2627" t="s">
        <v>3090</v>
      </c>
      <c r="C140" s="2627"/>
      <c r="D140" s="2627"/>
      <c r="E140" s="2627"/>
      <c r="F140" s="2628" t="s">
        <v>3091</v>
      </c>
      <c r="G140" s="2628"/>
      <c r="H140" s="2629">
        <v>2038.5974968949999</v>
      </c>
      <c r="I140" s="2630"/>
      <c r="J140" s="2631"/>
      <c r="K140" s="2631"/>
      <c r="L140" s="2631"/>
      <c r="M140" s="2631"/>
      <c r="N140" s="2631"/>
      <c r="O140" s="2631"/>
      <c r="P140" s="2631"/>
      <c r="Q140" s="2631"/>
      <c r="R140" s="2631"/>
      <c r="S140" s="2631"/>
      <c r="T140" s="2631"/>
      <c r="U140" s="2631"/>
      <c r="V140" s="2631"/>
      <c r="W140" s="2630">
        <v>1931.3318047195949</v>
      </c>
      <c r="X140" s="2631">
        <v>0</v>
      </c>
      <c r="Y140" s="2631">
        <v>0</v>
      </c>
      <c r="Z140" s="2631"/>
      <c r="AA140" s="2631"/>
      <c r="AB140" s="2631"/>
      <c r="AC140" s="2631">
        <v>0</v>
      </c>
      <c r="AD140" s="2631">
        <v>394.883920894239</v>
      </c>
      <c r="AE140" s="2631">
        <v>547.14817999426771</v>
      </c>
      <c r="AF140" s="2817">
        <v>0</v>
      </c>
      <c r="AG140" s="2817">
        <v>0</v>
      </c>
      <c r="AH140" s="2817">
        <v>0</v>
      </c>
      <c r="AI140" s="2817">
        <v>0</v>
      </c>
      <c r="AJ140" s="2631">
        <v>0</v>
      </c>
      <c r="AK140" s="2631">
        <v>520.20636285468618</v>
      </c>
      <c r="AL140" s="2817">
        <v>0</v>
      </c>
      <c r="AM140" s="2817">
        <v>0</v>
      </c>
      <c r="AN140" s="2631">
        <v>1.0509219451609821</v>
      </c>
      <c r="AO140" s="2631">
        <v>58.182860418458006</v>
      </c>
      <c r="AP140" s="2631">
        <v>409.85955861278302</v>
      </c>
      <c r="AQ140" s="2631">
        <v>0</v>
      </c>
      <c r="AR140" s="2631">
        <v>0</v>
      </c>
      <c r="AS140" s="2631">
        <v>0</v>
      </c>
      <c r="AT140" s="2630">
        <v>107.28957676507117</v>
      </c>
      <c r="AU140" s="2817">
        <v>107.28957676507117</v>
      </c>
      <c r="AV140" s="2631"/>
      <c r="AW140" s="2631"/>
      <c r="AX140" s="2631"/>
      <c r="AY140" s="2631"/>
      <c r="AZ140" s="2630">
        <v>0</v>
      </c>
      <c r="BA140" s="2631"/>
      <c r="BB140" s="2631"/>
      <c r="BC140" s="2631"/>
      <c r="BD140" s="2631"/>
      <c r="BE140" s="2631"/>
      <c r="BF140" s="2631"/>
      <c r="BG140" s="2631"/>
      <c r="BH140" s="2817"/>
      <c r="BI140" s="2631"/>
      <c r="BJ140" s="2817">
        <v>0</v>
      </c>
      <c r="BK140" s="2817">
        <v>0</v>
      </c>
      <c r="BL140" s="2631">
        <v>0</v>
      </c>
      <c r="BM140" s="2631"/>
      <c r="BN140" s="2631"/>
      <c r="BO140" s="2630"/>
      <c r="BP140" s="2631"/>
      <c r="BQ140" s="2631"/>
      <c r="BR140" s="2630"/>
      <c r="BS140" s="2630"/>
      <c r="BT140" s="2835"/>
    </row>
    <row r="141" spans="1:74" s="2639" customFormat="1">
      <c r="A141" s="2633"/>
      <c r="B141" s="2634"/>
      <c r="C141" s="2634" t="s">
        <v>3092</v>
      </c>
      <c r="D141" s="2634"/>
      <c r="E141" s="2634"/>
      <c r="F141" s="2635" t="s">
        <v>3093</v>
      </c>
      <c r="G141" s="2635"/>
      <c r="H141" s="2636">
        <v>1569.528040508264</v>
      </c>
      <c r="I141" s="2637">
        <v>0</v>
      </c>
      <c r="J141" s="2638">
        <v>0</v>
      </c>
      <c r="K141" s="2638">
        <v>0</v>
      </c>
      <c r="L141" s="2638">
        <v>0</v>
      </c>
      <c r="M141" s="2638">
        <v>0</v>
      </c>
      <c r="N141" s="2638">
        <v>0</v>
      </c>
      <c r="O141" s="2638">
        <v>0</v>
      </c>
      <c r="P141" s="2638">
        <v>0</v>
      </c>
      <c r="Q141" s="2638">
        <v>0</v>
      </c>
      <c r="R141" s="2638">
        <v>0</v>
      </c>
      <c r="S141" s="2638">
        <v>0</v>
      </c>
      <c r="T141" s="2638">
        <v>0</v>
      </c>
      <c r="U141" s="2638">
        <v>0</v>
      </c>
      <c r="V141" s="2638">
        <v>0</v>
      </c>
      <c r="W141" s="2637">
        <v>1462.2384637431928</v>
      </c>
      <c r="X141" s="2638"/>
      <c r="Y141" s="2638"/>
      <c r="Z141" s="2638"/>
      <c r="AA141" s="2638"/>
      <c r="AB141" s="2638"/>
      <c r="AC141" s="2638"/>
      <c r="AD141" s="2638">
        <v>394.883920894239</v>
      </c>
      <c r="AE141" s="2638">
        <v>547.14817999426771</v>
      </c>
      <c r="AF141" s="2818"/>
      <c r="AG141" s="2818"/>
      <c r="AH141" s="2818"/>
      <c r="AI141" s="2818"/>
      <c r="AJ141" s="2638"/>
      <c r="AK141" s="2638">
        <v>520.20636285468618</v>
      </c>
      <c r="AL141" s="2818"/>
      <c r="AM141" s="2818">
        <v>0</v>
      </c>
      <c r="AN141" s="2638"/>
      <c r="AO141" s="2638"/>
      <c r="AP141" s="2638"/>
      <c r="AQ141" s="2638"/>
      <c r="AR141" s="2638"/>
      <c r="AS141" s="2638"/>
      <c r="AT141" s="2637">
        <v>107.28957676507117</v>
      </c>
      <c r="AU141" s="2818">
        <v>107.28957676507117</v>
      </c>
      <c r="AV141" s="2638">
        <v>0</v>
      </c>
      <c r="AW141" s="2638">
        <v>0</v>
      </c>
      <c r="AX141" s="2638">
        <v>0</v>
      </c>
      <c r="AY141" s="2638">
        <v>0</v>
      </c>
      <c r="AZ141" s="2637"/>
      <c r="BA141" s="2638"/>
      <c r="BB141" s="2638"/>
      <c r="BC141" s="2638"/>
      <c r="BD141" s="2638"/>
      <c r="BE141" s="2638"/>
      <c r="BF141" s="2638"/>
      <c r="BG141" s="2638"/>
      <c r="BH141" s="2818"/>
      <c r="BI141" s="2638"/>
      <c r="BJ141" s="2818"/>
      <c r="BK141" s="2818"/>
      <c r="BL141" s="2638"/>
      <c r="BM141" s="2638"/>
      <c r="BN141" s="2638"/>
      <c r="BO141" s="2637"/>
      <c r="BP141" s="2638"/>
      <c r="BQ141" s="2638"/>
      <c r="BR141" s="2637"/>
      <c r="BS141" s="2637"/>
      <c r="BT141" s="2836"/>
    </row>
    <row r="142" spans="1:74">
      <c r="A142" s="2590" t="s">
        <v>1369</v>
      </c>
      <c r="B142" s="2591" t="s">
        <v>3094</v>
      </c>
      <c r="C142" s="2591"/>
      <c r="D142" s="2591"/>
      <c r="E142" s="2591"/>
      <c r="F142" s="2592" t="s">
        <v>3095</v>
      </c>
      <c r="G142" s="2592"/>
      <c r="H142" s="2593">
        <v>58.182860418458006</v>
      </c>
      <c r="I142" s="2594">
        <v>0</v>
      </c>
      <c r="J142" s="2595">
        <v>0</v>
      </c>
      <c r="K142" s="2595">
        <v>0</v>
      </c>
      <c r="L142" s="2595">
        <v>0</v>
      </c>
      <c r="M142" s="2595">
        <v>0</v>
      </c>
      <c r="N142" s="2595">
        <v>0</v>
      </c>
      <c r="O142" s="2595">
        <v>0</v>
      </c>
      <c r="P142" s="2595">
        <v>0</v>
      </c>
      <c r="Q142" s="2595">
        <v>0</v>
      </c>
      <c r="R142" s="2595">
        <v>0</v>
      </c>
      <c r="S142" s="2595">
        <v>0</v>
      </c>
      <c r="T142" s="2595">
        <v>0</v>
      </c>
      <c r="U142" s="2595">
        <v>0</v>
      </c>
      <c r="V142" s="2595">
        <v>0</v>
      </c>
      <c r="W142" s="2594">
        <v>58.182860418458006</v>
      </c>
      <c r="X142" s="2595">
        <v>0</v>
      </c>
      <c r="Y142" s="2595">
        <v>0</v>
      </c>
      <c r="Z142" s="2595"/>
      <c r="AA142" s="2595"/>
      <c r="AB142" s="2595"/>
      <c r="AC142" s="2595">
        <v>0</v>
      </c>
      <c r="AD142" s="2595">
        <v>0</v>
      </c>
      <c r="AE142" s="2595">
        <v>0</v>
      </c>
      <c r="AF142" s="2811">
        <v>0</v>
      </c>
      <c r="AG142" s="2811">
        <v>0</v>
      </c>
      <c r="AH142" s="2811">
        <v>0</v>
      </c>
      <c r="AI142" s="2811">
        <v>0</v>
      </c>
      <c r="AJ142" s="2595">
        <v>0</v>
      </c>
      <c r="AK142" s="2595">
        <v>0</v>
      </c>
      <c r="AL142" s="2811">
        <v>0</v>
      </c>
      <c r="AM142" s="2811">
        <v>0</v>
      </c>
      <c r="AN142" s="2595">
        <v>0</v>
      </c>
      <c r="AO142" s="2595">
        <v>58.182860418458006</v>
      </c>
      <c r="AP142" s="2595">
        <v>0</v>
      </c>
      <c r="AQ142" s="2595">
        <v>0</v>
      </c>
      <c r="AR142" s="2595">
        <v>0</v>
      </c>
      <c r="AS142" s="2595">
        <v>0</v>
      </c>
      <c r="AT142" s="2594">
        <v>0</v>
      </c>
      <c r="AU142" s="2811">
        <v>0</v>
      </c>
      <c r="AV142" s="2595">
        <v>0</v>
      </c>
      <c r="AW142" s="2595">
        <v>0</v>
      </c>
      <c r="AX142" s="2595">
        <v>0</v>
      </c>
      <c r="AY142" s="2595">
        <v>0</v>
      </c>
      <c r="AZ142" s="2594">
        <v>0</v>
      </c>
      <c r="BA142" s="2595"/>
      <c r="BB142" s="2595"/>
      <c r="BC142" s="2595"/>
      <c r="BD142" s="2595"/>
      <c r="BE142" s="2595"/>
      <c r="BF142" s="2595"/>
      <c r="BG142" s="2595"/>
      <c r="BH142" s="2811"/>
      <c r="BI142" s="2595"/>
      <c r="BJ142" s="2811">
        <v>0</v>
      </c>
      <c r="BK142" s="2811">
        <v>0</v>
      </c>
      <c r="BL142" s="2595">
        <v>0</v>
      </c>
      <c r="BM142" s="2595"/>
      <c r="BN142" s="2595"/>
      <c r="BO142" s="2594"/>
      <c r="BP142" s="2595"/>
      <c r="BQ142" s="2595"/>
      <c r="BR142" s="2594"/>
      <c r="BS142" s="2594"/>
      <c r="BT142" s="2829"/>
    </row>
    <row r="143" spans="1:74">
      <c r="A143" s="2590" t="s">
        <v>1369</v>
      </c>
      <c r="B143" s="2591" t="s">
        <v>3096</v>
      </c>
      <c r="C143" s="2591"/>
      <c r="D143" s="2591"/>
      <c r="E143" s="2591"/>
      <c r="F143" s="2592" t="s">
        <v>3097</v>
      </c>
      <c r="G143" s="2592"/>
      <c r="H143" s="2593">
        <v>0</v>
      </c>
      <c r="I143" s="2594">
        <v>0</v>
      </c>
      <c r="J143" s="2595">
        <v>0</v>
      </c>
      <c r="K143" s="2595">
        <v>0</v>
      </c>
      <c r="L143" s="2595">
        <v>0</v>
      </c>
      <c r="M143" s="2595">
        <v>0</v>
      </c>
      <c r="N143" s="2595">
        <v>0</v>
      </c>
      <c r="O143" s="2595">
        <v>0</v>
      </c>
      <c r="P143" s="2595">
        <v>0</v>
      </c>
      <c r="Q143" s="2595">
        <v>0</v>
      </c>
      <c r="R143" s="2595">
        <v>0</v>
      </c>
      <c r="S143" s="2595">
        <v>0</v>
      </c>
      <c r="T143" s="2595">
        <v>0</v>
      </c>
      <c r="U143" s="2595">
        <v>0</v>
      </c>
      <c r="V143" s="2595">
        <v>0</v>
      </c>
      <c r="W143" s="2594">
        <v>0</v>
      </c>
      <c r="X143" s="2595">
        <v>0</v>
      </c>
      <c r="Y143" s="2595">
        <v>0</v>
      </c>
      <c r="Z143" s="2595"/>
      <c r="AA143" s="2595"/>
      <c r="AB143" s="2595"/>
      <c r="AC143" s="2595">
        <v>0</v>
      </c>
      <c r="AD143" s="2595">
        <v>0</v>
      </c>
      <c r="AE143" s="2595">
        <v>0</v>
      </c>
      <c r="AF143" s="2811">
        <v>0</v>
      </c>
      <c r="AG143" s="2811">
        <v>0</v>
      </c>
      <c r="AH143" s="2811">
        <v>0</v>
      </c>
      <c r="AI143" s="2811">
        <v>0</v>
      </c>
      <c r="AJ143" s="2595">
        <v>0</v>
      </c>
      <c r="AK143" s="2595">
        <v>0</v>
      </c>
      <c r="AL143" s="2811">
        <v>0</v>
      </c>
      <c r="AM143" s="2811">
        <v>0</v>
      </c>
      <c r="AN143" s="2595">
        <v>0</v>
      </c>
      <c r="AO143" s="2595">
        <v>0</v>
      </c>
      <c r="AP143" s="2595">
        <v>0</v>
      </c>
      <c r="AQ143" s="2595">
        <v>0</v>
      </c>
      <c r="AR143" s="2595">
        <v>0</v>
      </c>
      <c r="AS143" s="2595">
        <v>0</v>
      </c>
      <c r="AT143" s="2594">
        <v>0</v>
      </c>
      <c r="AU143" s="2811">
        <v>0</v>
      </c>
      <c r="AV143" s="2595">
        <v>0</v>
      </c>
      <c r="AW143" s="2595">
        <v>0</v>
      </c>
      <c r="AX143" s="2595">
        <v>0</v>
      </c>
      <c r="AY143" s="2595">
        <v>0</v>
      </c>
      <c r="AZ143" s="2594">
        <v>0</v>
      </c>
      <c r="BA143" s="2595"/>
      <c r="BB143" s="2595"/>
      <c r="BC143" s="2595"/>
      <c r="BD143" s="2595"/>
      <c r="BE143" s="2595"/>
      <c r="BF143" s="2595"/>
      <c r="BG143" s="2595"/>
      <c r="BH143" s="2811"/>
      <c r="BI143" s="2595"/>
      <c r="BJ143" s="2811">
        <v>0</v>
      </c>
      <c r="BK143" s="2811">
        <v>0</v>
      </c>
      <c r="BL143" s="2595">
        <v>0</v>
      </c>
      <c r="BM143" s="2595"/>
      <c r="BN143" s="2595"/>
      <c r="BO143" s="2594"/>
      <c r="BP143" s="2595"/>
      <c r="BQ143" s="2595"/>
      <c r="BR143" s="2594"/>
      <c r="BS143" s="2594"/>
      <c r="BT143" s="2829"/>
    </row>
    <row r="144" spans="1:74">
      <c r="A144" s="2640" t="s">
        <v>1369</v>
      </c>
      <c r="B144" s="2641" t="s">
        <v>3098</v>
      </c>
      <c r="C144" s="2641"/>
      <c r="D144" s="2641"/>
      <c r="E144" s="2641"/>
      <c r="F144" s="2642" t="s">
        <v>3099</v>
      </c>
      <c r="G144" s="2642"/>
      <c r="H144" s="2643">
        <v>15.668290818763733</v>
      </c>
      <c r="I144" s="2644">
        <v>15.668290818763733</v>
      </c>
      <c r="J144" s="2645">
        <v>0</v>
      </c>
      <c r="K144" s="2645">
        <v>0</v>
      </c>
      <c r="L144" s="2645">
        <v>0</v>
      </c>
      <c r="M144" s="2645">
        <v>0</v>
      </c>
      <c r="N144" s="2645">
        <v>0</v>
      </c>
      <c r="O144" s="2645">
        <v>0</v>
      </c>
      <c r="P144" s="2645">
        <v>15.668290818763733</v>
      </c>
      <c r="Q144" s="2645">
        <v>0</v>
      </c>
      <c r="R144" s="2645">
        <v>0</v>
      </c>
      <c r="S144" s="2645">
        <v>0</v>
      </c>
      <c r="T144" s="2645">
        <v>0</v>
      </c>
      <c r="U144" s="2645">
        <v>0</v>
      </c>
      <c r="V144" s="2645">
        <v>0</v>
      </c>
      <c r="W144" s="2644"/>
      <c r="X144" s="2645"/>
      <c r="Y144" s="2645"/>
      <c r="Z144" s="2645"/>
      <c r="AA144" s="2645"/>
      <c r="AB144" s="2645"/>
      <c r="AC144" s="2645"/>
      <c r="AD144" s="2645"/>
      <c r="AE144" s="2645"/>
      <c r="AF144" s="2819"/>
      <c r="AG144" s="2819"/>
      <c r="AH144" s="2819"/>
      <c r="AI144" s="2819"/>
      <c r="AJ144" s="2645"/>
      <c r="AK144" s="2645"/>
      <c r="AL144" s="2819"/>
      <c r="AM144" s="2819"/>
      <c r="AN144" s="2645"/>
      <c r="AO144" s="2645"/>
      <c r="AP144" s="2645"/>
      <c r="AQ144" s="2645"/>
      <c r="AR144" s="2645"/>
      <c r="AS144" s="2645"/>
      <c r="AT144" s="2644">
        <v>0</v>
      </c>
      <c r="AU144" s="2819"/>
      <c r="AV144" s="2645">
        <v>0</v>
      </c>
      <c r="AW144" s="2645">
        <v>0</v>
      </c>
      <c r="AX144" s="2645">
        <v>0</v>
      </c>
      <c r="AY144" s="2645">
        <v>0</v>
      </c>
      <c r="AZ144" s="2644"/>
      <c r="BA144" s="2645"/>
      <c r="BB144" s="2645"/>
      <c r="BC144" s="2645"/>
      <c r="BD144" s="2645"/>
      <c r="BE144" s="2645"/>
      <c r="BF144" s="2645"/>
      <c r="BG144" s="2645"/>
      <c r="BH144" s="2819"/>
      <c r="BI144" s="2645"/>
      <c r="BJ144" s="2819"/>
      <c r="BK144" s="2819"/>
      <c r="BL144" s="2645"/>
      <c r="BM144" s="2645"/>
      <c r="BN144" s="2645"/>
      <c r="BO144" s="2644"/>
      <c r="BP144" s="2645"/>
      <c r="BQ144" s="2645"/>
      <c r="BR144" s="2644"/>
      <c r="BS144" s="2644"/>
      <c r="BT144" s="2837"/>
    </row>
    <row r="145" spans="1:72">
      <c r="A145" s="2621" t="s">
        <v>3100</v>
      </c>
      <c r="B145" s="2621"/>
      <c r="C145" s="2621"/>
      <c r="D145" s="2621"/>
      <c r="E145" s="2621"/>
      <c r="F145" s="2622" t="s">
        <v>3101</v>
      </c>
      <c r="G145" s="2622"/>
      <c r="H145" s="2623">
        <v>34076.78895576574</v>
      </c>
      <c r="I145" s="2624">
        <v>1201.8247826502341</v>
      </c>
      <c r="J145" s="2625">
        <v>0</v>
      </c>
      <c r="K145" s="2625">
        <v>0</v>
      </c>
      <c r="L145" s="2625">
        <v>541.46364765453325</v>
      </c>
      <c r="M145" s="2625">
        <v>0</v>
      </c>
      <c r="N145" s="2625">
        <v>0</v>
      </c>
      <c r="O145" s="2625">
        <v>0</v>
      </c>
      <c r="P145" s="2625">
        <v>652.35979745867962</v>
      </c>
      <c r="Q145" s="2625">
        <v>0</v>
      </c>
      <c r="R145" s="2625">
        <v>0</v>
      </c>
      <c r="S145" s="2625">
        <v>0</v>
      </c>
      <c r="T145" s="2625">
        <v>8.0013375370211133</v>
      </c>
      <c r="U145" s="2625">
        <v>0</v>
      </c>
      <c r="V145" s="2625">
        <v>0</v>
      </c>
      <c r="W145" s="2624">
        <v>10038.191458870737</v>
      </c>
      <c r="X145" s="2625"/>
      <c r="Y145" s="2625"/>
      <c r="Z145" s="2625"/>
      <c r="AA145" s="2625"/>
      <c r="AB145" s="2625"/>
      <c r="AC145" s="2625"/>
      <c r="AD145" s="2625"/>
      <c r="AE145" s="2625">
        <v>320.81780835005253</v>
      </c>
      <c r="AF145" s="2816">
        <v>3320.1968090188211</v>
      </c>
      <c r="AG145" s="2816">
        <v>3.1527658354829464</v>
      </c>
      <c r="AH145" s="2816"/>
      <c r="AI145" s="2816">
        <v>840.11655679755415</v>
      </c>
      <c r="AJ145" s="2625"/>
      <c r="AK145" s="2625"/>
      <c r="AL145" s="2816">
        <v>4766.6714435845988</v>
      </c>
      <c r="AM145" s="2816">
        <v>787.23607528422656</v>
      </c>
      <c r="AN145" s="2625"/>
      <c r="AO145" s="2625"/>
      <c r="AP145" s="2625"/>
      <c r="AQ145" s="2625"/>
      <c r="AR145" s="2625"/>
      <c r="AS145" s="2625"/>
      <c r="AT145" s="2624">
        <v>727.90675456195663</v>
      </c>
      <c r="AU145" s="2816">
        <v>557.2513614216108</v>
      </c>
      <c r="AV145" s="2625">
        <v>75.140919079010217</v>
      </c>
      <c r="AW145" s="2625">
        <v>83.906563485239317</v>
      </c>
      <c r="AX145" s="2625">
        <v>11.607910576096302</v>
      </c>
      <c r="AY145" s="2625">
        <v>0</v>
      </c>
      <c r="AZ145" s="2624">
        <v>5684.7711856310307</v>
      </c>
      <c r="BA145" s="2625"/>
      <c r="BB145" s="2625"/>
      <c r="BC145" s="2625"/>
      <c r="BD145" s="2625">
        <v>10.318142734307823</v>
      </c>
      <c r="BE145" s="2625"/>
      <c r="BF145" s="2625">
        <v>5211.1636572083689</v>
      </c>
      <c r="BG145" s="2625">
        <v>0</v>
      </c>
      <c r="BH145" s="2816">
        <v>86.987675551734014</v>
      </c>
      <c r="BI145" s="2625">
        <v>0</v>
      </c>
      <c r="BJ145" s="2816">
        <v>202.2785898538263</v>
      </c>
      <c r="BK145" s="2816">
        <v>174.02312028279354</v>
      </c>
      <c r="BL145" s="2625">
        <v>0</v>
      </c>
      <c r="BM145" s="2625">
        <v>0</v>
      </c>
      <c r="BN145" s="2625">
        <v>0</v>
      </c>
      <c r="BO145" s="2624">
        <v>0</v>
      </c>
      <c r="BP145" s="2625">
        <v>0</v>
      </c>
      <c r="BQ145" s="2625">
        <v>0</v>
      </c>
      <c r="BR145" s="2624"/>
      <c r="BS145" s="2624">
        <v>5141.4445399828028</v>
      </c>
      <c r="BT145" s="2834">
        <v>11282.626349479315</v>
      </c>
    </row>
    <row r="146" spans="1:72" s="2663" customFormat="1">
      <c r="A146" s="2658" t="s">
        <v>1369</v>
      </c>
      <c r="B146" s="2659" t="s">
        <v>3102</v>
      </c>
      <c r="C146" s="2659"/>
      <c r="D146" s="2659"/>
      <c r="E146" s="2659"/>
      <c r="F146" s="2660" t="s">
        <v>3103</v>
      </c>
      <c r="G146" s="2660"/>
      <c r="H146" s="2661">
        <v>12205.168625202999</v>
      </c>
      <c r="I146" s="2662">
        <v>1201.8247826502341</v>
      </c>
      <c r="J146" s="2661">
        <v>0</v>
      </c>
      <c r="K146" s="2661">
        <v>0</v>
      </c>
      <c r="L146" s="2661">
        <v>541.46364765453325</v>
      </c>
      <c r="M146" s="2661">
        <v>0</v>
      </c>
      <c r="N146" s="2661">
        <v>0</v>
      </c>
      <c r="O146" s="2661">
        <v>0</v>
      </c>
      <c r="P146" s="2661">
        <v>652.35979745867962</v>
      </c>
      <c r="Q146" s="2661">
        <v>0</v>
      </c>
      <c r="R146" s="2661">
        <v>0</v>
      </c>
      <c r="S146" s="2661">
        <v>0</v>
      </c>
      <c r="T146" s="2661">
        <v>8.0013375370211133</v>
      </c>
      <c r="U146" s="2661">
        <v>0</v>
      </c>
      <c r="V146" s="2661">
        <v>0</v>
      </c>
      <c r="W146" s="2662">
        <v>1164.9230916212859</v>
      </c>
      <c r="X146" s="2661"/>
      <c r="Y146" s="2661"/>
      <c r="Z146" s="2661"/>
      <c r="AA146" s="2661"/>
      <c r="AB146" s="2661"/>
      <c r="AC146" s="2661"/>
      <c r="AD146" s="2661"/>
      <c r="AE146" s="2661">
        <v>310.92958822967421</v>
      </c>
      <c r="AF146" s="2814"/>
      <c r="AG146" s="2814"/>
      <c r="AH146" s="2814"/>
      <c r="AI146" s="2814"/>
      <c r="AJ146" s="2661"/>
      <c r="AK146" s="2661"/>
      <c r="AL146" s="2814">
        <v>280.76335148562146</v>
      </c>
      <c r="AM146" s="2814">
        <v>573.23015190599028</v>
      </c>
      <c r="AN146" s="2661"/>
      <c r="AO146" s="2661"/>
      <c r="AP146" s="2661"/>
      <c r="AQ146" s="2661"/>
      <c r="AR146" s="2661"/>
      <c r="AS146" s="2661"/>
      <c r="AT146" s="2662">
        <v>482.13432693226326</v>
      </c>
      <c r="AU146" s="2814">
        <v>322.72857552307249</v>
      </c>
      <c r="AV146" s="2661">
        <v>75.140919079010217</v>
      </c>
      <c r="AW146" s="2661">
        <v>83.906563485239317</v>
      </c>
      <c r="AX146" s="2661">
        <v>0.35826884494124389</v>
      </c>
      <c r="AY146" s="2661">
        <v>0</v>
      </c>
      <c r="AZ146" s="2662">
        <v>4230.9878666284512</v>
      </c>
      <c r="BA146" s="2661"/>
      <c r="BB146" s="2661"/>
      <c r="BC146" s="2661"/>
      <c r="BD146" s="2661">
        <v>0</v>
      </c>
      <c r="BE146" s="2661"/>
      <c r="BF146" s="2661">
        <v>4230.9878666284512</v>
      </c>
      <c r="BG146" s="2661">
        <v>0</v>
      </c>
      <c r="BH146" s="2814">
        <v>0</v>
      </c>
      <c r="BI146" s="2661">
        <v>0</v>
      </c>
      <c r="BJ146" s="2814">
        <v>0</v>
      </c>
      <c r="BK146" s="2814">
        <v>0</v>
      </c>
      <c r="BL146" s="2661">
        <v>0</v>
      </c>
      <c r="BM146" s="2661">
        <v>0</v>
      </c>
      <c r="BN146" s="2661">
        <v>0</v>
      </c>
      <c r="BO146" s="2662">
        <v>0</v>
      </c>
      <c r="BP146" s="2661">
        <v>0</v>
      </c>
      <c r="BQ146" s="2661">
        <v>0</v>
      </c>
      <c r="BR146" s="2662"/>
      <c r="BS146" s="2662">
        <v>448.93474730104134</v>
      </c>
      <c r="BT146" s="2832">
        <v>4676.3638100697426</v>
      </c>
    </row>
    <row r="147" spans="1:72" s="2663" customFormat="1">
      <c r="A147" s="2664"/>
      <c r="B147" s="2665" t="s">
        <v>1369</v>
      </c>
      <c r="C147" s="2666" t="s">
        <v>3104</v>
      </c>
      <c r="D147" s="2666"/>
      <c r="E147" s="2666"/>
      <c r="F147" s="2667" t="s">
        <v>3105</v>
      </c>
      <c r="G147" s="2667"/>
      <c r="H147" s="2668">
        <v>1751.3136524314511</v>
      </c>
      <c r="I147" s="2669">
        <v>905.0109869112448</v>
      </c>
      <c r="J147" s="2668">
        <v>0</v>
      </c>
      <c r="K147" s="2668">
        <v>0</v>
      </c>
      <c r="L147" s="2668">
        <v>277.1567784465463</v>
      </c>
      <c r="M147" s="2668">
        <v>0</v>
      </c>
      <c r="N147" s="2668">
        <v>0</v>
      </c>
      <c r="O147" s="2668">
        <v>0</v>
      </c>
      <c r="P147" s="2668">
        <v>627.85420846469856</v>
      </c>
      <c r="Q147" s="2668">
        <v>0</v>
      </c>
      <c r="R147" s="2668">
        <v>0</v>
      </c>
      <c r="S147" s="2668">
        <v>0</v>
      </c>
      <c r="T147" s="2668">
        <v>0</v>
      </c>
      <c r="U147" s="2668">
        <v>0</v>
      </c>
      <c r="V147" s="2668">
        <v>0</v>
      </c>
      <c r="W147" s="2669">
        <v>275.0071653768988</v>
      </c>
      <c r="X147" s="2668"/>
      <c r="Y147" s="2668"/>
      <c r="Z147" s="2668"/>
      <c r="AA147" s="2668"/>
      <c r="AB147" s="2668"/>
      <c r="AC147" s="2668"/>
      <c r="AD147" s="2668"/>
      <c r="AE147" s="2668">
        <v>160.40890417502627</v>
      </c>
      <c r="AF147" s="2811"/>
      <c r="AG147" s="2811"/>
      <c r="AH147" s="2811"/>
      <c r="AI147" s="2811"/>
      <c r="AJ147" s="2668"/>
      <c r="AK147" s="2668"/>
      <c r="AL147" s="2811">
        <v>13.327601031814273</v>
      </c>
      <c r="AM147" s="2811">
        <v>101.27066017005828</v>
      </c>
      <c r="AN147" s="2668"/>
      <c r="AO147" s="2668"/>
      <c r="AP147" s="2668"/>
      <c r="AQ147" s="2668"/>
      <c r="AR147" s="2668"/>
      <c r="AS147" s="2668"/>
      <c r="AT147" s="2669">
        <v>178.17903888411197</v>
      </c>
      <c r="AU147" s="2811">
        <v>27.849431546766024</v>
      </c>
      <c r="AV147" s="2668">
        <v>66.446928441769373</v>
      </c>
      <c r="AW147" s="2668">
        <v>83.906563485239317</v>
      </c>
      <c r="AX147" s="2668">
        <v>0</v>
      </c>
      <c r="AY147" s="2668">
        <v>0</v>
      </c>
      <c r="AZ147" s="2669">
        <v>0</v>
      </c>
      <c r="BA147" s="2668"/>
      <c r="BB147" s="2668"/>
      <c r="BC147" s="2668"/>
      <c r="BD147" s="2668">
        <v>0</v>
      </c>
      <c r="BE147" s="2668"/>
      <c r="BF147" s="2668">
        <v>0</v>
      </c>
      <c r="BG147" s="2668">
        <v>0</v>
      </c>
      <c r="BH147" s="2811">
        <v>0</v>
      </c>
      <c r="BI147" s="2668">
        <v>0</v>
      </c>
      <c r="BJ147" s="2811">
        <v>0</v>
      </c>
      <c r="BK147" s="2811">
        <v>0</v>
      </c>
      <c r="BL147" s="2668">
        <v>0</v>
      </c>
      <c r="BM147" s="2668">
        <v>0</v>
      </c>
      <c r="BN147" s="2668">
        <v>0</v>
      </c>
      <c r="BO147" s="2669">
        <v>0</v>
      </c>
      <c r="BP147" s="2668">
        <v>0</v>
      </c>
      <c r="BQ147" s="2668">
        <v>0</v>
      </c>
      <c r="BR147" s="2669"/>
      <c r="BS147" s="2669">
        <v>0</v>
      </c>
      <c r="BT147" s="2829">
        <v>393.11646125919555</v>
      </c>
    </row>
    <row r="148" spans="1:72" s="2663" customFormat="1">
      <c r="A148" s="2664"/>
      <c r="B148" s="2665" t="s">
        <v>1369</v>
      </c>
      <c r="C148" s="2666" t="s">
        <v>3106</v>
      </c>
      <c r="D148" s="2666"/>
      <c r="E148" s="2666"/>
      <c r="F148" s="2667" t="s">
        <v>3107</v>
      </c>
      <c r="G148" s="2667"/>
      <c r="H148" s="2668">
        <v>568.04719594917401</v>
      </c>
      <c r="I148" s="2669">
        <v>6.1861087226521443</v>
      </c>
      <c r="J148" s="2668">
        <v>0</v>
      </c>
      <c r="K148" s="2668">
        <v>0</v>
      </c>
      <c r="L148" s="2668">
        <v>0</v>
      </c>
      <c r="M148" s="2668">
        <v>0</v>
      </c>
      <c r="N148" s="2668">
        <v>0</v>
      </c>
      <c r="O148" s="2668">
        <v>0</v>
      </c>
      <c r="P148" s="2668">
        <v>0</v>
      </c>
      <c r="Q148" s="2668">
        <v>0</v>
      </c>
      <c r="R148" s="2668">
        <v>0</v>
      </c>
      <c r="S148" s="2668">
        <v>0</v>
      </c>
      <c r="T148" s="2668">
        <v>6.1861087226521443</v>
      </c>
      <c r="U148" s="2668">
        <v>0</v>
      </c>
      <c r="V148" s="2668">
        <v>0</v>
      </c>
      <c r="W148" s="2669">
        <v>44.926913155631986</v>
      </c>
      <c r="X148" s="2668"/>
      <c r="Y148" s="2668"/>
      <c r="Z148" s="2668"/>
      <c r="AA148" s="2668"/>
      <c r="AB148" s="2668"/>
      <c r="AC148" s="2668"/>
      <c r="AD148" s="2668"/>
      <c r="AE148" s="2668"/>
      <c r="AF148" s="2811"/>
      <c r="AG148" s="2811"/>
      <c r="AH148" s="2811"/>
      <c r="AI148" s="2811"/>
      <c r="AJ148" s="2668"/>
      <c r="AK148" s="2668"/>
      <c r="AL148" s="2811">
        <v>28.685392184962261</v>
      </c>
      <c r="AM148" s="2811">
        <v>16.241520970669722</v>
      </c>
      <c r="AN148" s="2668"/>
      <c r="AO148" s="2668"/>
      <c r="AP148" s="2668"/>
      <c r="AQ148" s="2668"/>
      <c r="AR148" s="2668"/>
      <c r="AS148" s="2668"/>
      <c r="AT148" s="2669">
        <v>86.390560810165283</v>
      </c>
      <c r="AU148" s="2811">
        <v>86.390560810165283</v>
      </c>
      <c r="AV148" s="2668">
        <v>0</v>
      </c>
      <c r="AW148" s="2668">
        <v>0</v>
      </c>
      <c r="AX148" s="2668">
        <v>0</v>
      </c>
      <c r="AY148" s="2668">
        <v>0</v>
      </c>
      <c r="AZ148" s="2669">
        <v>8.0013375370211133</v>
      </c>
      <c r="BA148" s="2668"/>
      <c r="BB148" s="2668"/>
      <c r="BC148" s="2668"/>
      <c r="BD148" s="2668">
        <v>0</v>
      </c>
      <c r="BE148" s="2668"/>
      <c r="BF148" s="2668">
        <v>8.0013375370211133</v>
      </c>
      <c r="BG148" s="2668">
        <v>0</v>
      </c>
      <c r="BH148" s="2811">
        <v>0</v>
      </c>
      <c r="BI148" s="2668">
        <v>0</v>
      </c>
      <c r="BJ148" s="2811">
        <v>0</v>
      </c>
      <c r="BK148" s="2811">
        <v>0</v>
      </c>
      <c r="BL148" s="2668">
        <v>0</v>
      </c>
      <c r="BM148" s="2668">
        <v>0</v>
      </c>
      <c r="BN148" s="2668">
        <v>0</v>
      </c>
      <c r="BO148" s="2669">
        <v>0</v>
      </c>
      <c r="BP148" s="2668">
        <v>0</v>
      </c>
      <c r="BQ148" s="2668">
        <v>0</v>
      </c>
      <c r="BR148" s="2669"/>
      <c r="BS148" s="2669">
        <v>0</v>
      </c>
      <c r="BT148" s="2829">
        <v>422.51839113404031</v>
      </c>
    </row>
    <row r="149" spans="1:72" s="2663" customFormat="1">
      <c r="A149" s="2664"/>
      <c r="B149" s="2665" t="s">
        <v>1369</v>
      </c>
      <c r="C149" s="2666" t="s">
        <v>3108</v>
      </c>
      <c r="D149" s="2666"/>
      <c r="E149" s="2666"/>
      <c r="F149" s="2667" t="s">
        <v>3109</v>
      </c>
      <c r="G149" s="2667"/>
      <c r="H149" s="2668">
        <v>273.55020540747108</v>
      </c>
      <c r="I149" s="2669">
        <v>32.721887837966939</v>
      </c>
      <c r="J149" s="2668">
        <v>0</v>
      </c>
      <c r="K149" s="2668">
        <v>0</v>
      </c>
      <c r="L149" s="2668">
        <v>32.721887837966939</v>
      </c>
      <c r="M149" s="2668">
        <v>0</v>
      </c>
      <c r="N149" s="2668">
        <v>0</v>
      </c>
      <c r="O149" s="2668">
        <v>0</v>
      </c>
      <c r="P149" s="2668">
        <v>0</v>
      </c>
      <c r="Q149" s="2668">
        <v>0</v>
      </c>
      <c r="R149" s="2668">
        <v>0</v>
      </c>
      <c r="S149" s="2668">
        <v>0</v>
      </c>
      <c r="T149" s="2668">
        <v>0</v>
      </c>
      <c r="U149" s="2668">
        <v>0</v>
      </c>
      <c r="V149" s="2668">
        <v>0</v>
      </c>
      <c r="W149" s="2669">
        <v>27.323970574185534</v>
      </c>
      <c r="X149" s="2668"/>
      <c r="Y149" s="2668"/>
      <c r="Z149" s="2668"/>
      <c r="AA149" s="2668"/>
      <c r="AB149" s="2668"/>
      <c r="AC149" s="2668"/>
      <c r="AD149" s="2668"/>
      <c r="AE149" s="2668">
        <v>16.480366867297221</v>
      </c>
      <c r="AF149" s="2811"/>
      <c r="AG149" s="2811"/>
      <c r="AH149" s="2811"/>
      <c r="AI149" s="2811"/>
      <c r="AJ149" s="2668"/>
      <c r="AK149" s="2668"/>
      <c r="AL149" s="2811">
        <v>5.1113021878284126</v>
      </c>
      <c r="AM149" s="2811">
        <v>5.7323015190599023</v>
      </c>
      <c r="AN149" s="2668"/>
      <c r="AO149" s="2668"/>
      <c r="AP149" s="2668"/>
      <c r="AQ149" s="2668"/>
      <c r="AR149" s="2668"/>
      <c r="AS149" s="2668"/>
      <c r="AT149" s="2669">
        <v>7.5714149230916208</v>
      </c>
      <c r="AU149" s="2811">
        <v>7.5714149230916208</v>
      </c>
      <c r="AV149" s="2668">
        <v>0</v>
      </c>
      <c r="AW149" s="2668">
        <v>0</v>
      </c>
      <c r="AX149" s="2668">
        <v>0</v>
      </c>
      <c r="AY149" s="2668">
        <v>0</v>
      </c>
      <c r="AZ149" s="2669">
        <v>0</v>
      </c>
      <c r="BA149" s="2668"/>
      <c r="BB149" s="2668"/>
      <c r="BC149" s="2668"/>
      <c r="BD149" s="2668">
        <v>0</v>
      </c>
      <c r="BE149" s="2668"/>
      <c r="BF149" s="2668">
        <v>0</v>
      </c>
      <c r="BG149" s="2668">
        <v>0</v>
      </c>
      <c r="BH149" s="2811">
        <v>0</v>
      </c>
      <c r="BI149" s="2668">
        <v>0</v>
      </c>
      <c r="BJ149" s="2811">
        <v>0</v>
      </c>
      <c r="BK149" s="2811">
        <v>0</v>
      </c>
      <c r="BL149" s="2668">
        <v>0</v>
      </c>
      <c r="BM149" s="2668">
        <v>0</v>
      </c>
      <c r="BN149" s="2668">
        <v>0</v>
      </c>
      <c r="BO149" s="2669">
        <v>0</v>
      </c>
      <c r="BP149" s="2668">
        <v>0</v>
      </c>
      <c r="BQ149" s="2668">
        <v>0</v>
      </c>
      <c r="BR149" s="2669"/>
      <c r="BS149" s="2669">
        <v>0</v>
      </c>
      <c r="BT149" s="2829">
        <v>205.93293207222698</v>
      </c>
    </row>
    <row r="150" spans="1:72" s="2663" customFormat="1">
      <c r="A150" s="2664"/>
      <c r="B150" s="2665" t="s">
        <v>1369</v>
      </c>
      <c r="C150" s="2666" t="s">
        <v>3110</v>
      </c>
      <c r="D150" s="2666"/>
      <c r="E150" s="2666"/>
      <c r="F150" s="2667" t="s">
        <v>3111</v>
      </c>
      <c r="G150" s="2667"/>
      <c r="H150" s="2668">
        <v>428.15515429444918</v>
      </c>
      <c r="I150" s="2669">
        <v>159.93121238177127</v>
      </c>
      <c r="J150" s="2668">
        <v>0</v>
      </c>
      <c r="K150" s="2668">
        <v>0</v>
      </c>
      <c r="L150" s="2668">
        <v>145.62434317378427</v>
      </c>
      <c r="M150" s="2668">
        <v>0</v>
      </c>
      <c r="N150" s="2668">
        <v>0</v>
      </c>
      <c r="O150" s="2668">
        <v>0</v>
      </c>
      <c r="P150" s="2668">
        <v>14.282984618324257</v>
      </c>
      <c r="Q150" s="2668">
        <v>0</v>
      </c>
      <c r="R150" s="2668">
        <v>0</v>
      </c>
      <c r="S150" s="2668">
        <v>0</v>
      </c>
      <c r="T150" s="2668">
        <v>0</v>
      </c>
      <c r="U150" s="2668">
        <v>0</v>
      </c>
      <c r="V150" s="2668">
        <v>0</v>
      </c>
      <c r="W150" s="2669">
        <v>122.7190216872074</v>
      </c>
      <c r="X150" s="2668"/>
      <c r="Y150" s="2668"/>
      <c r="Z150" s="2668"/>
      <c r="AA150" s="2668"/>
      <c r="AB150" s="2668"/>
      <c r="AC150" s="2668"/>
      <c r="AD150" s="2668"/>
      <c r="AE150" s="2668">
        <v>20.875131365243146</v>
      </c>
      <c r="AF150" s="2811"/>
      <c r="AG150" s="2811"/>
      <c r="AH150" s="2811"/>
      <c r="AI150" s="2811"/>
      <c r="AJ150" s="2668"/>
      <c r="AK150" s="2668"/>
      <c r="AL150" s="2811">
        <v>22.547052641635617</v>
      </c>
      <c r="AM150" s="2811">
        <v>79.29683768032865</v>
      </c>
      <c r="AN150" s="2668"/>
      <c r="AO150" s="2668"/>
      <c r="AP150" s="2668"/>
      <c r="AQ150" s="2668"/>
      <c r="AR150" s="2668"/>
      <c r="AS150" s="2668"/>
      <c r="AT150" s="2669">
        <v>55.316709658928055</v>
      </c>
      <c r="AU150" s="2811">
        <v>55.316709658928055</v>
      </c>
      <c r="AV150" s="2668">
        <v>0</v>
      </c>
      <c r="AW150" s="2668">
        <v>0</v>
      </c>
      <c r="AX150" s="2668">
        <v>0</v>
      </c>
      <c r="AY150" s="2668">
        <v>0</v>
      </c>
      <c r="AZ150" s="2669">
        <v>0</v>
      </c>
      <c r="BA150" s="2668"/>
      <c r="BB150" s="2668"/>
      <c r="BC150" s="2668"/>
      <c r="BD150" s="2668">
        <v>0</v>
      </c>
      <c r="BE150" s="2668"/>
      <c r="BF150" s="2668">
        <v>0</v>
      </c>
      <c r="BG150" s="2668">
        <v>0</v>
      </c>
      <c r="BH150" s="2811">
        <v>0</v>
      </c>
      <c r="BI150" s="2668">
        <v>0</v>
      </c>
      <c r="BJ150" s="2811">
        <v>0</v>
      </c>
      <c r="BK150" s="2811">
        <v>0</v>
      </c>
      <c r="BL150" s="2668">
        <v>0</v>
      </c>
      <c r="BM150" s="2668">
        <v>0</v>
      </c>
      <c r="BN150" s="2668">
        <v>0</v>
      </c>
      <c r="BO150" s="2669">
        <v>0</v>
      </c>
      <c r="BP150" s="2668">
        <v>0</v>
      </c>
      <c r="BQ150" s="2668">
        <v>0</v>
      </c>
      <c r="BR150" s="2669"/>
      <c r="BS150" s="2669">
        <v>0</v>
      </c>
      <c r="BT150" s="2829">
        <v>90.188210566542466</v>
      </c>
    </row>
    <row r="151" spans="1:72" s="2663" customFormat="1">
      <c r="A151" s="2664"/>
      <c r="B151" s="2665" t="s">
        <v>1369</v>
      </c>
      <c r="C151" s="2666" t="s">
        <v>3112</v>
      </c>
      <c r="D151" s="2666"/>
      <c r="E151" s="2666"/>
      <c r="F151" s="2667" t="s">
        <v>3113</v>
      </c>
      <c r="G151" s="2667"/>
      <c r="H151" s="2668">
        <v>195.85363523454666</v>
      </c>
      <c r="I151" s="2669">
        <v>8.16852966466036</v>
      </c>
      <c r="J151" s="2668">
        <v>0</v>
      </c>
      <c r="K151" s="2668">
        <v>0</v>
      </c>
      <c r="L151" s="2668">
        <v>0</v>
      </c>
      <c r="M151" s="2668">
        <v>0</v>
      </c>
      <c r="N151" s="2668">
        <v>0</v>
      </c>
      <c r="O151" s="2668">
        <v>0</v>
      </c>
      <c r="P151" s="2668">
        <v>8.16852966466036</v>
      </c>
      <c r="Q151" s="2668">
        <v>0</v>
      </c>
      <c r="R151" s="2668">
        <v>0</v>
      </c>
      <c r="S151" s="2668">
        <v>0</v>
      </c>
      <c r="T151" s="2668">
        <v>0</v>
      </c>
      <c r="U151" s="2668">
        <v>0</v>
      </c>
      <c r="V151" s="2668">
        <v>0</v>
      </c>
      <c r="W151" s="2669">
        <v>23.884589662749594</v>
      </c>
      <c r="X151" s="2668"/>
      <c r="Y151" s="2668"/>
      <c r="Z151" s="2668"/>
      <c r="AA151" s="2668"/>
      <c r="AB151" s="2668"/>
      <c r="AC151" s="2668"/>
      <c r="AD151" s="2668"/>
      <c r="AE151" s="2668">
        <v>9.8882201203783318</v>
      </c>
      <c r="AF151" s="2811"/>
      <c r="AG151" s="2811"/>
      <c r="AH151" s="2811"/>
      <c r="AI151" s="2811"/>
      <c r="AJ151" s="2668"/>
      <c r="AK151" s="2668"/>
      <c r="AL151" s="2811">
        <v>9.219451609821343</v>
      </c>
      <c r="AM151" s="2811">
        <v>4.7769179325499183</v>
      </c>
      <c r="AN151" s="2668"/>
      <c r="AO151" s="2668"/>
      <c r="AP151" s="2668"/>
      <c r="AQ151" s="2668"/>
      <c r="AR151" s="2668"/>
      <c r="AS151" s="2668"/>
      <c r="AT151" s="2669">
        <v>1.8868825833572178</v>
      </c>
      <c r="AU151" s="2811">
        <v>1.8868825833572178</v>
      </c>
      <c r="AV151" s="2668">
        <v>0</v>
      </c>
      <c r="AW151" s="2668">
        <v>0</v>
      </c>
      <c r="AX151" s="2668">
        <v>0</v>
      </c>
      <c r="AY151" s="2668">
        <v>0</v>
      </c>
      <c r="AZ151" s="2669">
        <v>0</v>
      </c>
      <c r="BA151" s="2668"/>
      <c r="BB151" s="2668"/>
      <c r="BC151" s="2668"/>
      <c r="BD151" s="2668">
        <v>0</v>
      </c>
      <c r="BE151" s="2668"/>
      <c r="BF151" s="2668">
        <v>0</v>
      </c>
      <c r="BG151" s="2668">
        <v>0</v>
      </c>
      <c r="BH151" s="2811">
        <v>0</v>
      </c>
      <c r="BI151" s="2668">
        <v>0</v>
      </c>
      <c r="BJ151" s="2811">
        <v>0</v>
      </c>
      <c r="BK151" s="2811">
        <v>0</v>
      </c>
      <c r="BL151" s="2668">
        <v>0</v>
      </c>
      <c r="BM151" s="2668">
        <v>0</v>
      </c>
      <c r="BN151" s="2668">
        <v>0</v>
      </c>
      <c r="BO151" s="2669">
        <v>0</v>
      </c>
      <c r="BP151" s="2668">
        <v>0</v>
      </c>
      <c r="BQ151" s="2668">
        <v>0</v>
      </c>
      <c r="BR151" s="2669"/>
      <c r="BS151" s="2669">
        <v>0</v>
      </c>
      <c r="BT151" s="2829">
        <v>161.91363332377949</v>
      </c>
    </row>
    <row r="152" spans="1:72" s="2663" customFormat="1">
      <c r="A152" s="2664"/>
      <c r="B152" s="2665" t="s">
        <v>1369</v>
      </c>
      <c r="C152" s="2666" t="s">
        <v>3114</v>
      </c>
      <c r="D152" s="2666"/>
      <c r="E152" s="2666"/>
      <c r="F152" s="2667" t="s">
        <v>3115</v>
      </c>
      <c r="G152" s="2667"/>
      <c r="H152" s="2668">
        <v>437.66122098022356</v>
      </c>
      <c r="I152" s="2669">
        <v>0</v>
      </c>
      <c r="J152" s="2668">
        <v>0</v>
      </c>
      <c r="K152" s="2668">
        <v>0</v>
      </c>
      <c r="L152" s="2668">
        <v>0</v>
      </c>
      <c r="M152" s="2668">
        <v>0</v>
      </c>
      <c r="N152" s="2668">
        <v>0</v>
      </c>
      <c r="O152" s="2668">
        <v>0</v>
      </c>
      <c r="P152" s="2668">
        <v>0</v>
      </c>
      <c r="Q152" s="2668">
        <v>0</v>
      </c>
      <c r="R152" s="2668">
        <v>0</v>
      </c>
      <c r="S152" s="2668">
        <v>0</v>
      </c>
      <c r="T152" s="2668">
        <v>0</v>
      </c>
      <c r="U152" s="2668">
        <v>0</v>
      </c>
      <c r="V152" s="2668">
        <v>0</v>
      </c>
      <c r="W152" s="2669">
        <v>81.565873698289863</v>
      </c>
      <c r="X152" s="2668"/>
      <c r="Y152" s="2668"/>
      <c r="Z152" s="2668"/>
      <c r="AA152" s="2668"/>
      <c r="AB152" s="2668"/>
      <c r="AC152" s="2668"/>
      <c r="AD152" s="2668"/>
      <c r="AE152" s="2668">
        <v>15.381675742810737</v>
      </c>
      <c r="AF152" s="2811"/>
      <c r="AG152" s="2811"/>
      <c r="AH152" s="2811"/>
      <c r="AI152" s="2811"/>
      <c r="AJ152" s="2668"/>
      <c r="AK152" s="2668"/>
      <c r="AL152" s="2811">
        <v>60.451896436419219</v>
      </c>
      <c r="AM152" s="2811">
        <v>5.7323015190599023</v>
      </c>
      <c r="AN152" s="2668"/>
      <c r="AO152" s="2668"/>
      <c r="AP152" s="2668"/>
      <c r="AQ152" s="2668"/>
      <c r="AR152" s="2668"/>
      <c r="AS152" s="2668"/>
      <c r="AT152" s="2669">
        <v>12.396102034967038</v>
      </c>
      <c r="AU152" s="2811">
        <v>12.396102034967038</v>
      </c>
      <c r="AV152" s="2668">
        <v>0</v>
      </c>
      <c r="AW152" s="2668">
        <v>0</v>
      </c>
      <c r="AX152" s="2668">
        <v>0</v>
      </c>
      <c r="AY152" s="2668">
        <v>0</v>
      </c>
      <c r="AZ152" s="2669">
        <v>0</v>
      </c>
      <c r="BA152" s="2668"/>
      <c r="BB152" s="2668"/>
      <c r="BC152" s="2668"/>
      <c r="BD152" s="2668">
        <v>0</v>
      </c>
      <c r="BE152" s="2668"/>
      <c r="BF152" s="2668">
        <v>0</v>
      </c>
      <c r="BG152" s="2668">
        <v>0</v>
      </c>
      <c r="BH152" s="2811">
        <v>0</v>
      </c>
      <c r="BI152" s="2668">
        <v>0</v>
      </c>
      <c r="BJ152" s="2811">
        <v>0</v>
      </c>
      <c r="BK152" s="2811">
        <v>0</v>
      </c>
      <c r="BL152" s="2668">
        <v>0</v>
      </c>
      <c r="BM152" s="2668">
        <v>0</v>
      </c>
      <c r="BN152" s="2668">
        <v>0</v>
      </c>
      <c r="BO152" s="2669">
        <v>0</v>
      </c>
      <c r="BP152" s="2668">
        <v>0</v>
      </c>
      <c r="BQ152" s="2668">
        <v>0</v>
      </c>
      <c r="BR152" s="2669"/>
      <c r="BS152" s="2669">
        <v>0</v>
      </c>
      <c r="BT152" s="2829">
        <v>343.67536065730388</v>
      </c>
    </row>
    <row r="153" spans="1:72" s="2663" customFormat="1">
      <c r="A153" s="2664"/>
      <c r="B153" s="2665" t="s">
        <v>1369</v>
      </c>
      <c r="C153" s="2666" t="s">
        <v>3116</v>
      </c>
      <c r="D153" s="2666"/>
      <c r="E153" s="2666"/>
      <c r="F153" s="2667" t="s">
        <v>3117</v>
      </c>
      <c r="G153" s="2667"/>
      <c r="H153" s="2668">
        <v>422.97219833763256</v>
      </c>
      <c r="I153" s="2669">
        <v>79.559568166618888</v>
      </c>
      <c r="J153" s="2668">
        <v>0</v>
      </c>
      <c r="K153" s="2668">
        <v>0</v>
      </c>
      <c r="L153" s="2668">
        <v>79.559568166618888</v>
      </c>
      <c r="M153" s="2668">
        <v>0</v>
      </c>
      <c r="N153" s="2668">
        <v>0</v>
      </c>
      <c r="O153" s="2668">
        <v>0</v>
      </c>
      <c r="P153" s="2668">
        <v>0</v>
      </c>
      <c r="Q153" s="2668">
        <v>0</v>
      </c>
      <c r="R153" s="2668">
        <v>0</v>
      </c>
      <c r="S153" s="2668">
        <v>0</v>
      </c>
      <c r="T153" s="2668">
        <v>0</v>
      </c>
      <c r="U153" s="2668">
        <v>0</v>
      </c>
      <c r="V153" s="2668">
        <v>0</v>
      </c>
      <c r="W153" s="2669">
        <v>71.271615553644779</v>
      </c>
      <c r="X153" s="2668"/>
      <c r="Y153" s="2668"/>
      <c r="Z153" s="2668"/>
      <c r="AA153" s="2668"/>
      <c r="AB153" s="2668"/>
      <c r="AC153" s="2668"/>
      <c r="AD153" s="2668"/>
      <c r="AE153" s="2668"/>
      <c r="AF153" s="2811"/>
      <c r="AG153" s="2811"/>
      <c r="AH153" s="2811"/>
      <c r="AI153" s="2811"/>
      <c r="AJ153" s="2668"/>
      <c r="AK153" s="2668"/>
      <c r="AL153" s="2811">
        <v>22.547052641635617</v>
      </c>
      <c r="AM153" s="2811">
        <v>48.724562912009169</v>
      </c>
      <c r="AN153" s="2668"/>
      <c r="AO153" s="2668"/>
      <c r="AP153" s="2668"/>
      <c r="AQ153" s="2668"/>
      <c r="AR153" s="2668"/>
      <c r="AS153" s="2668"/>
      <c r="AT153" s="2669">
        <v>9.3149899684723412</v>
      </c>
      <c r="AU153" s="2811">
        <v>0.59711474156873978</v>
      </c>
      <c r="AV153" s="2668">
        <v>8.6939906372408515</v>
      </c>
      <c r="AW153" s="2668">
        <v>0</v>
      </c>
      <c r="AX153" s="2668">
        <v>0</v>
      </c>
      <c r="AY153" s="2668">
        <v>0</v>
      </c>
      <c r="AZ153" s="2669">
        <v>0</v>
      </c>
      <c r="BA153" s="2668"/>
      <c r="BB153" s="2668"/>
      <c r="BC153" s="2668"/>
      <c r="BD153" s="2668">
        <v>0</v>
      </c>
      <c r="BE153" s="2668"/>
      <c r="BF153" s="2668">
        <v>0</v>
      </c>
      <c r="BG153" s="2668">
        <v>0</v>
      </c>
      <c r="BH153" s="2811">
        <v>0</v>
      </c>
      <c r="BI153" s="2668">
        <v>0</v>
      </c>
      <c r="BJ153" s="2811">
        <v>0</v>
      </c>
      <c r="BK153" s="2811">
        <v>0</v>
      </c>
      <c r="BL153" s="2668">
        <v>0</v>
      </c>
      <c r="BM153" s="2668">
        <v>0</v>
      </c>
      <c r="BN153" s="2668">
        <v>0</v>
      </c>
      <c r="BO153" s="2669">
        <v>0</v>
      </c>
      <c r="BP153" s="2668">
        <v>0</v>
      </c>
      <c r="BQ153" s="2668">
        <v>0</v>
      </c>
      <c r="BR153" s="2669"/>
      <c r="BS153" s="2669">
        <v>0</v>
      </c>
      <c r="BT153" s="2829">
        <v>262.84990923855929</v>
      </c>
    </row>
    <row r="154" spans="1:72" s="2663" customFormat="1">
      <c r="A154" s="2664"/>
      <c r="B154" s="2665" t="s">
        <v>1369</v>
      </c>
      <c r="C154" s="2666" t="s">
        <v>3118</v>
      </c>
      <c r="D154" s="2666"/>
      <c r="E154" s="2666"/>
      <c r="F154" s="2667" t="s">
        <v>3119</v>
      </c>
      <c r="G154" s="2667"/>
      <c r="H154" s="2668">
        <v>416.35616700105089</v>
      </c>
      <c r="I154" s="2669">
        <v>2.0540747109964648</v>
      </c>
      <c r="J154" s="2668">
        <v>0</v>
      </c>
      <c r="K154" s="2668">
        <v>0</v>
      </c>
      <c r="L154" s="2668">
        <v>0</v>
      </c>
      <c r="M154" s="2668">
        <v>0</v>
      </c>
      <c r="N154" s="2668">
        <v>0</v>
      </c>
      <c r="O154" s="2668">
        <v>0</v>
      </c>
      <c r="P154" s="2668">
        <v>2.0540747109964648</v>
      </c>
      <c r="Q154" s="2668">
        <v>0</v>
      </c>
      <c r="R154" s="2668">
        <v>0</v>
      </c>
      <c r="S154" s="2668">
        <v>0</v>
      </c>
      <c r="T154" s="2668">
        <v>0</v>
      </c>
      <c r="U154" s="2668">
        <v>0</v>
      </c>
      <c r="V154" s="2668">
        <v>0</v>
      </c>
      <c r="W154" s="2669">
        <v>80.920989777395619</v>
      </c>
      <c r="X154" s="2668"/>
      <c r="Y154" s="2668"/>
      <c r="Z154" s="2668"/>
      <c r="AA154" s="2668"/>
      <c r="AB154" s="2668"/>
      <c r="AC154" s="2668"/>
      <c r="AD154" s="2668"/>
      <c r="AE154" s="2668">
        <v>25.26989586318907</v>
      </c>
      <c r="AF154" s="2811"/>
      <c r="AG154" s="2811"/>
      <c r="AH154" s="2811"/>
      <c r="AI154" s="2811"/>
      <c r="AJ154" s="2668"/>
      <c r="AK154" s="2668"/>
      <c r="AL154" s="2811">
        <v>31.766504251456958</v>
      </c>
      <c r="AM154" s="2811">
        <v>23.884589662749594</v>
      </c>
      <c r="AN154" s="2668"/>
      <c r="AO154" s="2668"/>
      <c r="AP154" s="2668"/>
      <c r="AQ154" s="2668"/>
      <c r="AR154" s="2668"/>
      <c r="AS154" s="2668"/>
      <c r="AT154" s="2669">
        <v>92.003439380911431</v>
      </c>
      <c r="AU154" s="2811">
        <v>92.003439380911431</v>
      </c>
      <c r="AV154" s="2668">
        <v>0</v>
      </c>
      <c r="AW154" s="2668">
        <v>0</v>
      </c>
      <c r="AX154" s="2668">
        <v>0</v>
      </c>
      <c r="AY154" s="2668">
        <v>0</v>
      </c>
      <c r="AZ154" s="2669">
        <v>19.991401547721409</v>
      </c>
      <c r="BA154" s="2668"/>
      <c r="BB154" s="2668"/>
      <c r="BC154" s="2668"/>
      <c r="BD154" s="2668">
        <v>0</v>
      </c>
      <c r="BE154" s="2668"/>
      <c r="BF154" s="2668">
        <v>19.991401547721409</v>
      </c>
      <c r="BG154" s="2668">
        <v>0</v>
      </c>
      <c r="BH154" s="2811">
        <v>0</v>
      </c>
      <c r="BI154" s="2668">
        <v>0</v>
      </c>
      <c r="BJ154" s="2811">
        <v>0</v>
      </c>
      <c r="BK154" s="2811">
        <v>0</v>
      </c>
      <c r="BL154" s="2668">
        <v>0</v>
      </c>
      <c r="BM154" s="2668">
        <v>0</v>
      </c>
      <c r="BN154" s="2668">
        <v>0</v>
      </c>
      <c r="BO154" s="2669">
        <v>0</v>
      </c>
      <c r="BP154" s="2668">
        <v>0</v>
      </c>
      <c r="BQ154" s="2668">
        <v>0</v>
      </c>
      <c r="BR154" s="2669"/>
      <c r="BS154" s="2669">
        <v>0</v>
      </c>
      <c r="BT154" s="2829">
        <v>221.41014617368873</v>
      </c>
    </row>
    <row r="155" spans="1:72" s="2663" customFormat="1">
      <c r="A155" s="2664"/>
      <c r="B155" s="2665" t="s">
        <v>1369</v>
      </c>
      <c r="C155" s="2666" t="s">
        <v>3120</v>
      </c>
      <c r="D155" s="2666"/>
      <c r="E155" s="2666"/>
      <c r="F155" s="2667" t="s">
        <v>3121</v>
      </c>
      <c r="G155" s="2667"/>
      <c r="H155" s="2668">
        <v>6136.5959682812645</v>
      </c>
      <c r="I155" s="2669">
        <v>7.1892614884876274</v>
      </c>
      <c r="J155" s="2668">
        <v>0</v>
      </c>
      <c r="K155" s="2668">
        <v>0</v>
      </c>
      <c r="L155" s="2668">
        <v>6.4249546192796405</v>
      </c>
      <c r="M155" s="2668">
        <v>0</v>
      </c>
      <c r="N155" s="2668">
        <v>0</v>
      </c>
      <c r="O155" s="2668">
        <v>0</v>
      </c>
      <c r="P155" s="2668">
        <v>0</v>
      </c>
      <c r="Q155" s="2668">
        <v>0</v>
      </c>
      <c r="R155" s="2668">
        <v>0</v>
      </c>
      <c r="S155" s="2668">
        <v>0</v>
      </c>
      <c r="T155" s="2668">
        <v>0.76430686920798696</v>
      </c>
      <c r="U155" s="2668">
        <v>0</v>
      </c>
      <c r="V155" s="2668">
        <v>0</v>
      </c>
      <c r="W155" s="2669">
        <v>324.06611254418647</v>
      </c>
      <c r="X155" s="2668"/>
      <c r="Y155" s="2668"/>
      <c r="Z155" s="2668"/>
      <c r="AA155" s="2668"/>
      <c r="AB155" s="2668"/>
      <c r="AC155" s="2668"/>
      <c r="AD155" s="2668"/>
      <c r="AE155" s="2668">
        <v>60.428011846756469</v>
      </c>
      <c r="AF155" s="2811"/>
      <c r="AG155" s="2811"/>
      <c r="AH155" s="2811"/>
      <c r="AI155" s="2811"/>
      <c r="AJ155" s="2668"/>
      <c r="AK155" s="2668"/>
      <c r="AL155" s="2811">
        <v>13.327601031814273</v>
      </c>
      <c r="AM155" s="2811">
        <v>250.31049966561574</v>
      </c>
      <c r="AN155" s="2668"/>
      <c r="AO155" s="2668"/>
      <c r="AP155" s="2668"/>
      <c r="AQ155" s="2668"/>
      <c r="AR155" s="2668"/>
      <c r="AS155" s="2668"/>
      <c r="AT155" s="2669">
        <v>11.894525652049298</v>
      </c>
      <c r="AU155" s="2811">
        <v>11.894525652049298</v>
      </c>
      <c r="AV155" s="2668">
        <v>0</v>
      </c>
      <c r="AW155" s="2668">
        <v>0</v>
      </c>
      <c r="AX155" s="2668">
        <v>0</v>
      </c>
      <c r="AY155" s="2668">
        <v>0</v>
      </c>
      <c r="AZ155" s="2669">
        <v>3814.0107002961686</v>
      </c>
      <c r="BA155" s="2668"/>
      <c r="BB155" s="2668"/>
      <c r="BC155" s="2668"/>
      <c r="BD155" s="2668">
        <v>0</v>
      </c>
      <c r="BE155" s="2668"/>
      <c r="BF155" s="2668">
        <v>3814.0107002961686</v>
      </c>
      <c r="BG155" s="2668">
        <v>0</v>
      </c>
      <c r="BH155" s="2811">
        <v>0</v>
      </c>
      <c r="BI155" s="2668">
        <v>0</v>
      </c>
      <c r="BJ155" s="2811">
        <v>0</v>
      </c>
      <c r="BK155" s="2811">
        <v>0</v>
      </c>
      <c r="BL155" s="2668">
        <v>0</v>
      </c>
      <c r="BM155" s="2668">
        <v>0</v>
      </c>
      <c r="BN155" s="2668">
        <v>0</v>
      </c>
      <c r="BO155" s="2669">
        <v>0</v>
      </c>
      <c r="BP155" s="2668">
        <v>0</v>
      </c>
      <c r="BQ155" s="2668">
        <v>0</v>
      </c>
      <c r="BR155" s="2669"/>
      <c r="BS155" s="2669">
        <v>0</v>
      </c>
      <c r="BT155" s="2829">
        <v>1979.4592528900353</v>
      </c>
    </row>
    <row r="156" spans="1:72" s="2663" customFormat="1">
      <c r="A156" s="2664"/>
      <c r="B156" s="2665" t="s">
        <v>1369</v>
      </c>
      <c r="C156" s="2666" t="s">
        <v>3122</v>
      </c>
      <c r="D156" s="2666"/>
      <c r="E156" s="2666"/>
      <c r="F156" s="2667" t="s">
        <v>3123</v>
      </c>
      <c r="G156" s="2667"/>
      <c r="H156" s="2668">
        <v>586.65329129645545</v>
      </c>
      <c r="I156" s="2669">
        <v>1.0270373554982324</v>
      </c>
      <c r="J156" s="2668">
        <v>0</v>
      </c>
      <c r="K156" s="2668">
        <v>0</v>
      </c>
      <c r="L156" s="2668">
        <v>0</v>
      </c>
      <c r="M156" s="2668">
        <v>0</v>
      </c>
      <c r="N156" s="2668">
        <v>0</v>
      </c>
      <c r="O156" s="2668">
        <v>0</v>
      </c>
      <c r="P156" s="2668">
        <v>0</v>
      </c>
      <c r="Q156" s="2668">
        <v>0</v>
      </c>
      <c r="R156" s="2668">
        <v>0</v>
      </c>
      <c r="S156" s="2668">
        <v>0</v>
      </c>
      <c r="T156" s="2668">
        <v>1.0270373554982324</v>
      </c>
      <c r="U156" s="2668">
        <v>0</v>
      </c>
      <c r="V156" s="2668">
        <v>0</v>
      </c>
      <c r="W156" s="2669">
        <v>32.769657017292438</v>
      </c>
      <c r="X156" s="2668"/>
      <c r="Y156" s="2668"/>
      <c r="Z156" s="2668"/>
      <c r="AA156" s="2668"/>
      <c r="AB156" s="2668"/>
      <c r="AC156" s="2668"/>
      <c r="AD156" s="2668"/>
      <c r="AE156" s="2668"/>
      <c r="AF156" s="2811"/>
      <c r="AG156" s="2811"/>
      <c r="AH156" s="2811"/>
      <c r="AI156" s="2811"/>
      <c r="AJ156" s="2668"/>
      <c r="AK156" s="2668"/>
      <c r="AL156" s="2811">
        <v>4.1081494219929295</v>
      </c>
      <c r="AM156" s="2811">
        <v>28.661507595299511</v>
      </c>
      <c r="AN156" s="2668"/>
      <c r="AO156" s="2668"/>
      <c r="AP156" s="2668"/>
      <c r="AQ156" s="2668"/>
      <c r="AR156" s="2668"/>
      <c r="AS156" s="2668"/>
      <c r="AT156" s="2669">
        <v>0.5493455622432406</v>
      </c>
      <c r="AU156" s="2811">
        <v>0.5493455622432406</v>
      </c>
      <c r="AV156" s="2668">
        <v>0</v>
      </c>
      <c r="AW156" s="2668">
        <v>0</v>
      </c>
      <c r="AX156" s="2668">
        <v>0</v>
      </c>
      <c r="AY156" s="2668">
        <v>0</v>
      </c>
      <c r="AZ156" s="2669">
        <v>360.99168816279735</v>
      </c>
      <c r="BA156" s="2668"/>
      <c r="BB156" s="2668"/>
      <c r="BC156" s="2668"/>
      <c r="BD156" s="2668">
        <v>0</v>
      </c>
      <c r="BE156" s="2668"/>
      <c r="BF156" s="2668">
        <v>360.99168816279735</v>
      </c>
      <c r="BG156" s="2668">
        <v>0</v>
      </c>
      <c r="BH156" s="2811">
        <v>0</v>
      </c>
      <c r="BI156" s="2668">
        <v>0</v>
      </c>
      <c r="BJ156" s="2811">
        <v>0</v>
      </c>
      <c r="BK156" s="2811">
        <v>0</v>
      </c>
      <c r="BL156" s="2668">
        <v>0</v>
      </c>
      <c r="BM156" s="2668">
        <v>0</v>
      </c>
      <c r="BN156" s="2668">
        <v>0</v>
      </c>
      <c r="BO156" s="2669">
        <v>0</v>
      </c>
      <c r="BP156" s="2668">
        <v>0</v>
      </c>
      <c r="BQ156" s="2668">
        <v>0</v>
      </c>
      <c r="BR156" s="2669"/>
      <c r="BS156" s="2669">
        <v>0</v>
      </c>
      <c r="BT156" s="2829">
        <v>191.31556319862423</v>
      </c>
    </row>
    <row r="157" spans="1:72" s="2663" customFormat="1">
      <c r="A157" s="2664"/>
      <c r="B157" s="2665" t="s">
        <v>1369</v>
      </c>
      <c r="C157" s="2666" t="s">
        <v>3124</v>
      </c>
      <c r="D157" s="2666"/>
      <c r="E157" s="2666"/>
      <c r="F157" s="2667" t="s">
        <v>3125</v>
      </c>
      <c r="G157" s="2667"/>
      <c r="H157" s="2668">
        <v>104.20846469857648</v>
      </c>
      <c r="I157" s="2669">
        <v>0</v>
      </c>
      <c r="J157" s="2668">
        <v>0</v>
      </c>
      <c r="K157" s="2668">
        <v>0</v>
      </c>
      <c r="L157" s="2668">
        <v>0</v>
      </c>
      <c r="M157" s="2668">
        <v>0</v>
      </c>
      <c r="N157" s="2668">
        <v>0</v>
      </c>
      <c r="O157" s="2668">
        <v>0</v>
      </c>
      <c r="P157" s="2668">
        <v>0</v>
      </c>
      <c r="Q157" s="2668">
        <v>0</v>
      </c>
      <c r="R157" s="2668">
        <v>0</v>
      </c>
      <c r="S157" s="2668">
        <v>0</v>
      </c>
      <c r="T157" s="2668">
        <v>0</v>
      </c>
      <c r="U157" s="2668">
        <v>0</v>
      </c>
      <c r="V157" s="2668">
        <v>0</v>
      </c>
      <c r="W157" s="2669">
        <v>0</v>
      </c>
      <c r="X157" s="2668"/>
      <c r="Y157" s="2668"/>
      <c r="Z157" s="2668"/>
      <c r="AA157" s="2668"/>
      <c r="AB157" s="2668"/>
      <c r="AC157" s="2668"/>
      <c r="AD157" s="2668"/>
      <c r="AE157" s="2668"/>
      <c r="AF157" s="2811"/>
      <c r="AG157" s="2811"/>
      <c r="AH157" s="2811"/>
      <c r="AI157" s="2811"/>
      <c r="AJ157" s="2668"/>
      <c r="AK157" s="2668"/>
      <c r="AL157" s="2811">
        <v>0</v>
      </c>
      <c r="AM157" s="2811">
        <v>0</v>
      </c>
      <c r="AN157" s="2668"/>
      <c r="AO157" s="2668"/>
      <c r="AP157" s="2668"/>
      <c r="AQ157" s="2668"/>
      <c r="AR157" s="2668"/>
      <c r="AS157" s="2668"/>
      <c r="AT157" s="2669">
        <v>0.42992261392949266</v>
      </c>
      <c r="AU157" s="2811">
        <v>0.42992261392949266</v>
      </c>
      <c r="AV157" s="2668">
        <v>0</v>
      </c>
      <c r="AW157" s="2668">
        <v>0</v>
      </c>
      <c r="AX157" s="2668">
        <v>0</v>
      </c>
      <c r="AY157" s="2668">
        <v>0</v>
      </c>
      <c r="AZ157" s="2669">
        <v>0</v>
      </c>
      <c r="BA157" s="2668"/>
      <c r="BB157" s="2668"/>
      <c r="BC157" s="2668"/>
      <c r="BD157" s="2668">
        <v>0</v>
      </c>
      <c r="BE157" s="2668"/>
      <c r="BF157" s="2668">
        <v>0</v>
      </c>
      <c r="BG157" s="2668">
        <v>0</v>
      </c>
      <c r="BH157" s="2811">
        <v>0</v>
      </c>
      <c r="BI157" s="2668">
        <v>0</v>
      </c>
      <c r="BJ157" s="2811">
        <v>0</v>
      </c>
      <c r="BK157" s="2811">
        <v>0</v>
      </c>
      <c r="BL157" s="2668">
        <v>0</v>
      </c>
      <c r="BM157" s="2668">
        <v>0</v>
      </c>
      <c r="BN157" s="2668">
        <v>0</v>
      </c>
      <c r="BO157" s="2669">
        <v>0</v>
      </c>
      <c r="BP157" s="2668">
        <v>0</v>
      </c>
      <c r="BQ157" s="2668">
        <v>0</v>
      </c>
      <c r="BR157" s="2669"/>
      <c r="BS157" s="2669">
        <v>0</v>
      </c>
      <c r="BT157" s="2829">
        <v>103.77854208464699</v>
      </c>
    </row>
    <row r="158" spans="1:72" s="2663" customFormat="1">
      <c r="A158" s="2664"/>
      <c r="B158" s="2665" t="s">
        <v>1369</v>
      </c>
      <c r="C158" s="2666" t="s">
        <v>3126</v>
      </c>
      <c r="D158" s="2666"/>
      <c r="E158" s="2666"/>
      <c r="F158" s="2667" t="s">
        <v>3127</v>
      </c>
      <c r="G158" s="2667"/>
      <c r="H158" s="2668">
        <v>31.073851151237221</v>
      </c>
      <c r="I158" s="2669">
        <v>0</v>
      </c>
      <c r="J158" s="2668">
        <v>0</v>
      </c>
      <c r="K158" s="2668">
        <v>0</v>
      </c>
      <c r="L158" s="2668">
        <v>0</v>
      </c>
      <c r="M158" s="2668">
        <v>0</v>
      </c>
      <c r="N158" s="2668">
        <v>0</v>
      </c>
      <c r="O158" s="2668">
        <v>0</v>
      </c>
      <c r="P158" s="2668">
        <v>0</v>
      </c>
      <c r="Q158" s="2668">
        <v>0</v>
      </c>
      <c r="R158" s="2668">
        <v>0</v>
      </c>
      <c r="S158" s="2668">
        <v>0</v>
      </c>
      <c r="T158" s="2668">
        <v>0</v>
      </c>
      <c r="U158" s="2668">
        <v>0</v>
      </c>
      <c r="V158" s="2668">
        <v>0</v>
      </c>
      <c r="W158" s="2669">
        <v>10.127066017005827</v>
      </c>
      <c r="X158" s="2668"/>
      <c r="Y158" s="2668"/>
      <c r="Z158" s="2668"/>
      <c r="AA158" s="2668"/>
      <c r="AB158" s="2668"/>
      <c r="AC158" s="2668"/>
      <c r="AD158" s="2668"/>
      <c r="AE158" s="2668">
        <v>2.1973822489729624</v>
      </c>
      <c r="AF158" s="2811"/>
      <c r="AG158" s="2811"/>
      <c r="AH158" s="2811"/>
      <c r="AI158" s="2811"/>
      <c r="AJ158" s="2668"/>
      <c r="AK158" s="2668"/>
      <c r="AL158" s="2811">
        <v>4.1081494219929295</v>
      </c>
      <c r="AM158" s="2811">
        <v>3.8215343460399347</v>
      </c>
      <c r="AN158" s="2668"/>
      <c r="AO158" s="2668"/>
      <c r="AP158" s="2668"/>
      <c r="AQ158" s="2668"/>
      <c r="AR158" s="2668"/>
      <c r="AS158" s="2668"/>
      <c r="AT158" s="2669">
        <v>4.7052641635616697</v>
      </c>
      <c r="AU158" s="2811">
        <v>4.7052641635616697</v>
      </c>
      <c r="AV158" s="2668">
        <v>0</v>
      </c>
      <c r="AW158" s="2668">
        <v>0</v>
      </c>
      <c r="AX158" s="2668">
        <v>0</v>
      </c>
      <c r="AY158" s="2668">
        <v>0</v>
      </c>
      <c r="AZ158" s="2669">
        <v>0</v>
      </c>
      <c r="BA158" s="2668"/>
      <c r="BB158" s="2668"/>
      <c r="BC158" s="2668"/>
      <c r="BD158" s="2668">
        <v>0</v>
      </c>
      <c r="BE158" s="2668"/>
      <c r="BF158" s="2668">
        <v>0</v>
      </c>
      <c r="BG158" s="2668">
        <v>0</v>
      </c>
      <c r="BH158" s="2811">
        <v>0</v>
      </c>
      <c r="BI158" s="2668">
        <v>0</v>
      </c>
      <c r="BJ158" s="2811">
        <v>0</v>
      </c>
      <c r="BK158" s="2811">
        <v>0</v>
      </c>
      <c r="BL158" s="2668">
        <v>0</v>
      </c>
      <c r="BM158" s="2668">
        <v>0</v>
      </c>
      <c r="BN158" s="2668">
        <v>0</v>
      </c>
      <c r="BO158" s="2669">
        <v>0</v>
      </c>
      <c r="BP158" s="2668">
        <v>0</v>
      </c>
      <c r="BQ158" s="2668">
        <v>0</v>
      </c>
      <c r="BR158" s="2669"/>
      <c r="BS158" s="2669">
        <v>0</v>
      </c>
      <c r="BT158" s="2829">
        <v>16.241520970669722</v>
      </c>
    </row>
    <row r="159" spans="1:72" s="2663" customFormat="1">
      <c r="A159" s="2664"/>
      <c r="B159" s="2665" t="s">
        <v>1369</v>
      </c>
      <c r="C159" s="2666" t="s">
        <v>3128</v>
      </c>
      <c r="D159" s="2666"/>
      <c r="E159" s="2666"/>
      <c r="F159" s="2667" t="s">
        <v>3129</v>
      </c>
      <c r="G159" s="2667"/>
      <c r="H159" s="2668">
        <v>852.70373554982325</v>
      </c>
      <c r="I159" s="2669">
        <v>0</v>
      </c>
      <c r="J159" s="2668">
        <v>0</v>
      </c>
      <c r="K159" s="2668">
        <v>0</v>
      </c>
      <c r="L159" s="2668">
        <v>0</v>
      </c>
      <c r="M159" s="2668">
        <v>0</v>
      </c>
      <c r="N159" s="2668">
        <v>0</v>
      </c>
      <c r="O159" s="2668">
        <v>0</v>
      </c>
      <c r="P159" s="2668">
        <v>0</v>
      </c>
      <c r="Q159" s="2668">
        <v>0</v>
      </c>
      <c r="R159" s="2668">
        <v>0</v>
      </c>
      <c r="S159" s="2668">
        <v>0</v>
      </c>
      <c r="T159" s="2668">
        <v>0</v>
      </c>
      <c r="U159" s="2668">
        <v>0</v>
      </c>
      <c r="V159" s="2668">
        <v>0</v>
      </c>
      <c r="W159" s="2669">
        <v>70.364001146460296</v>
      </c>
      <c r="X159" s="2668"/>
      <c r="Y159" s="2668"/>
      <c r="Z159" s="2668"/>
      <c r="AA159" s="2668"/>
      <c r="AB159" s="2668"/>
      <c r="AC159" s="2668"/>
      <c r="AD159" s="2668"/>
      <c r="AE159" s="2668"/>
      <c r="AF159" s="2811"/>
      <c r="AG159" s="2811"/>
      <c r="AH159" s="2811"/>
      <c r="AI159" s="2811"/>
      <c r="AJ159" s="2668"/>
      <c r="AK159" s="2668"/>
      <c r="AL159" s="2811">
        <v>65.587083213910375</v>
      </c>
      <c r="AM159" s="2811">
        <v>4.7769179325499183</v>
      </c>
      <c r="AN159" s="2668"/>
      <c r="AO159" s="2668"/>
      <c r="AP159" s="2668"/>
      <c r="AQ159" s="2668"/>
      <c r="AR159" s="2668"/>
      <c r="AS159" s="2668"/>
      <c r="AT159" s="2669">
        <v>21.496130696474633</v>
      </c>
      <c r="AU159" s="2811">
        <v>21.13786185153339</v>
      </c>
      <c r="AV159" s="2668">
        <v>0</v>
      </c>
      <c r="AW159" s="2668">
        <v>0</v>
      </c>
      <c r="AX159" s="2668">
        <v>0.35826884494124389</v>
      </c>
      <c r="AY159" s="2668">
        <v>0</v>
      </c>
      <c r="AZ159" s="2669">
        <v>27.992739084742524</v>
      </c>
      <c r="BA159" s="2668"/>
      <c r="BB159" s="2668"/>
      <c r="BC159" s="2668"/>
      <c r="BD159" s="2668">
        <v>0</v>
      </c>
      <c r="BE159" s="2668"/>
      <c r="BF159" s="2668">
        <v>27.992739084742524</v>
      </c>
      <c r="BG159" s="2668">
        <v>0</v>
      </c>
      <c r="BH159" s="2811">
        <v>0</v>
      </c>
      <c r="BI159" s="2668">
        <v>0</v>
      </c>
      <c r="BJ159" s="2811">
        <v>0</v>
      </c>
      <c r="BK159" s="2811">
        <v>0</v>
      </c>
      <c r="BL159" s="2668">
        <v>0</v>
      </c>
      <c r="BM159" s="2668">
        <v>0</v>
      </c>
      <c r="BN159" s="2668">
        <v>0</v>
      </c>
      <c r="BO159" s="2669">
        <v>0</v>
      </c>
      <c r="BP159" s="2668">
        <v>0</v>
      </c>
      <c r="BQ159" s="2668">
        <v>0</v>
      </c>
      <c r="BR159" s="2669"/>
      <c r="BS159" s="2669">
        <v>448.93474730104134</v>
      </c>
      <c r="BT159" s="2829">
        <v>283.91611732110442</v>
      </c>
    </row>
    <row r="160" spans="1:72" s="2646" customFormat="1">
      <c r="A160" s="2648" t="s">
        <v>1369</v>
      </c>
      <c r="B160" s="2649" t="s">
        <v>369</v>
      </c>
      <c r="C160" s="2649"/>
      <c r="D160" s="2649"/>
      <c r="E160" s="2649"/>
      <c r="F160" s="2650" t="s">
        <v>3130</v>
      </c>
      <c r="G160" s="2650"/>
      <c r="H160" s="2651">
        <v>8594.582975064488</v>
      </c>
      <c r="I160" s="2652">
        <v>0</v>
      </c>
      <c r="J160" s="2651">
        <v>0</v>
      </c>
      <c r="K160" s="2651">
        <v>0</v>
      </c>
      <c r="L160" s="2651">
        <v>0</v>
      </c>
      <c r="M160" s="2651">
        <v>0</v>
      </c>
      <c r="N160" s="2651">
        <v>0</v>
      </c>
      <c r="O160" s="2651">
        <v>0</v>
      </c>
      <c r="P160" s="2651">
        <v>0</v>
      </c>
      <c r="Q160" s="2651">
        <v>0</v>
      </c>
      <c r="R160" s="2651">
        <v>0</v>
      </c>
      <c r="S160" s="2651">
        <v>0</v>
      </c>
      <c r="T160" s="2651">
        <v>0</v>
      </c>
      <c r="U160" s="2651">
        <v>0</v>
      </c>
      <c r="V160" s="2651">
        <v>0</v>
      </c>
      <c r="W160" s="2652">
        <v>7958.7035444731055</v>
      </c>
      <c r="X160" s="2651"/>
      <c r="Y160" s="2651"/>
      <c r="Z160" s="2651"/>
      <c r="AA160" s="2651"/>
      <c r="AB160" s="2651"/>
      <c r="AC160" s="2651"/>
      <c r="AD160" s="2651"/>
      <c r="AE160" s="2651"/>
      <c r="AF160" s="2811">
        <v>3320.1968090188211</v>
      </c>
      <c r="AG160" s="2811">
        <v>3.1527658354829464</v>
      </c>
      <c r="AH160" s="2811"/>
      <c r="AI160" s="2811">
        <v>840.11655679755415</v>
      </c>
      <c r="AJ160" s="2651"/>
      <c r="AK160" s="2651"/>
      <c r="AL160" s="2811">
        <v>3652.861373841597</v>
      </c>
      <c r="AM160" s="2811">
        <v>142.35215438998756</v>
      </c>
      <c r="AN160" s="2651"/>
      <c r="AO160" s="2651"/>
      <c r="AP160" s="2651"/>
      <c r="AQ160" s="2651"/>
      <c r="AR160" s="2651"/>
      <c r="AS160" s="2651"/>
      <c r="AT160" s="2652">
        <v>31.718735072131459</v>
      </c>
      <c r="AU160" s="2811">
        <v>31.718735072131459</v>
      </c>
      <c r="AV160" s="2651">
        <v>0</v>
      </c>
      <c r="AW160" s="2651">
        <v>0</v>
      </c>
      <c r="AX160" s="2651">
        <v>0</v>
      </c>
      <c r="AY160" s="2651">
        <v>0</v>
      </c>
      <c r="AZ160" s="2652">
        <v>397.4395719881532</v>
      </c>
      <c r="BA160" s="2651"/>
      <c r="BB160" s="2651"/>
      <c r="BC160" s="2651"/>
      <c r="BD160" s="2651">
        <v>0</v>
      </c>
      <c r="BE160" s="2651"/>
      <c r="BF160" s="2651">
        <v>0</v>
      </c>
      <c r="BG160" s="2651">
        <v>0</v>
      </c>
      <c r="BH160" s="2811">
        <v>21.13786185153339</v>
      </c>
      <c r="BI160" s="2651">
        <v>0</v>
      </c>
      <c r="BJ160" s="2811">
        <v>202.2785898538263</v>
      </c>
      <c r="BK160" s="2811">
        <v>174.02312028279354</v>
      </c>
      <c r="BL160" s="2651">
        <v>0</v>
      </c>
      <c r="BM160" s="2651">
        <v>0</v>
      </c>
      <c r="BN160" s="2651">
        <v>0</v>
      </c>
      <c r="BO160" s="2652">
        <v>0</v>
      </c>
      <c r="BP160" s="2651">
        <v>0</v>
      </c>
      <c r="BQ160" s="2651">
        <v>0</v>
      </c>
      <c r="BR160" s="2652"/>
      <c r="BS160" s="2652"/>
      <c r="BT160" s="2829">
        <v>206.69723894143499</v>
      </c>
    </row>
    <row r="161" spans="1:73" s="2646" customFormat="1">
      <c r="A161" s="2647"/>
      <c r="B161" s="2648" t="s">
        <v>1369</v>
      </c>
      <c r="C161" s="2649" t="s">
        <v>3131</v>
      </c>
      <c r="D161" s="2649"/>
      <c r="E161" s="2649"/>
      <c r="F161" s="2650" t="s">
        <v>3132</v>
      </c>
      <c r="G161" s="2650"/>
      <c r="H161" s="2651">
        <v>207.7242762969332</v>
      </c>
      <c r="I161" s="2652">
        <v>0</v>
      </c>
      <c r="J161" s="2651">
        <v>0</v>
      </c>
      <c r="K161" s="2651">
        <v>0</v>
      </c>
      <c r="L161" s="2651">
        <v>0</v>
      </c>
      <c r="M161" s="2651">
        <v>0</v>
      </c>
      <c r="N161" s="2651">
        <v>0</v>
      </c>
      <c r="O161" s="2651">
        <v>0</v>
      </c>
      <c r="P161" s="2651">
        <v>0</v>
      </c>
      <c r="Q161" s="2651">
        <v>0</v>
      </c>
      <c r="R161" s="2651">
        <v>0</v>
      </c>
      <c r="S161" s="2651">
        <v>0</v>
      </c>
      <c r="T161" s="2651">
        <v>0</v>
      </c>
      <c r="U161" s="2651">
        <v>0</v>
      </c>
      <c r="V161" s="2651">
        <v>0</v>
      </c>
      <c r="W161" s="2652">
        <v>1.0270373554982324</v>
      </c>
      <c r="X161" s="2651"/>
      <c r="Y161" s="2651"/>
      <c r="Z161" s="2651"/>
      <c r="AA161" s="2651"/>
      <c r="AB161" s="2651"/>
      <c r="AC161" s="2651"/>
      <c r="AD161" s="2651"/>
      <c r="AE161" s="2651"/>
      <c r="AF161" s="2811"/>
      <c r="AG161" s="2811"/>
      <c r="AH161" s="2811"/>
      <c r="AI161" s="2811"/>
      <c r="AJ161" s="2651"/>
      <c r="AK161" s="2651"/>
      <c r="AL161" s="2811">
        <v>1.0270373554982324</v>
      </c>
      <c r="AM161" s="2811">
        <v>0</v>
      </c>
      <c r="AN161" s="2651"/>
      <c r="AO161" s="2651"/>
      <c r="AP161" s="2651"/>
      <c r="AQ161" s="2651"/>
      <c r="AR161" s="2651"/>
      <c r="AS161" s="2651"/>
      <c r="AT161" s="2652">
        <v>0</v>
      </c>
      <c r="AU161" s="2811"/>
      <c r="AV161" s="2651">
        <v>0</v>
      </c>
      <c r="AW161" s="2651">
        <v>0</v>
      </c>
      <c r="AX161" s="2651">
        <v>0</v>
      </c>
      <c r="AY161" s="2651">
        <v>0</v>
      </c>
      <c r="AZ161" s="2652">
        <v>0</v>
      </c>
      <c r="BA161" s="2651"/>
      <c r="BB161" s="2651"/>
      <c r="BC161" s="2651"/>
      <c r="BD161" s="2651">
        <v>0</v>
      </c>
      <c r="BE161" s="2651"/>
      <c r="BF161" s="2651">
        <v>0</v>
      </c>
      <c r="BG161" s="2651">
        <v>0</v>
      </c>
      <c r="BH161" s="2811">
        <v>0</v>
      </c>
      <c r="BI161" s="2651">
        <v>0</v>
      </c>
      <c r="BJ161" s="2811">
        <v>0</v>
      </c>
      <c r="BK161" s="2811">
        <v>0</v>
      </c>
      <c r="BL161" s="2651">
        <v>0</v>
      </c>
      <c r="BM161" s="2651">
        <v>0</v>
      </c>
      <c r="BN161" s="2651">
        <v>0</v>
      </c>
      <c r="BO161" s="2652">
        <v>0</v>
      </c>
      <c r="BP161" s="2651">
        <v>0</v>
      </c>
      <c r="BQ161" s="2651">
        <v>0</v>
      </c>
      <c r="BR161" s="2652"/>
      <c r="BS161" s="2652"/>
      <c r="BT161" s="2829">
        <v>206.69723894143499</v>
      </c>
    </row>
    <row r="162" spans="1:73" s="2646" customFormat="1">
      <c r="A162" s="2647"/>
      <c r="B162" s="2648" t="s">
        <v>1369</v>
      </c>
      <c r="C162" s="2649" t="s">
        <v>3133</v>
      </c>
      <c r="D162" s="2649"/>
      <c r="E162" s="2649"/>
      <c r="F162" s="2650" t="s">
        <v>3134</v>
      </c>
      <c r="G162" s="2650"/>
      <c r="H162" s="2651">
        <v>7356.1431164612586</v>
      </c>
      <c r="I162" s="2652"/>
      <c r="J162" s="2651"/>
      <c r="K162" s="2651"/>
      <c r="L162" s="2651"/>
      <c r="M162" s="2651"/>
      <c r="N162" s="2651"/>
      <c r="O162" s="2651"/>
      <c r="P162" s="2651"/>
      <c r="Q162" s="2651"/>
      <c r="R162" s="2651"/>
      <c r="S162" s="2651"/>
      <c r="T162" s="2651"/>
      <c r="U162" s="2651"/>
      <c r="V162" s="2651"/>
      <c r="W162" s="2652">
        <v>6926.9609248113111</v>
      </c>
      <c r="X162" s="2651"/>
      <c r="Y162" s="2651"/>
      <c r="Z162" s="2651"/>
      <c r="AA162" s="2651"/>
      <c r="AB162" s="2651"/>
      <c r="AC162" s="2651"/>
      <c r="AD162" s="2651"/>
      <c r="AE162" s="2651"/>
      <c r="AF162" s="2811">
        <v>3320.1968090188211</v>
      </c>
      <c r="AG162" s="2811"/>
      <c r="AH162" s="2811"/>
      <c r="AI162" s="2811"/>
      <c r="AJ162" s="2651"/>
      <c r="AK162" s="2651"/>
      <c r="AL162" s="2811">
        <v>3606.7641157924904</v>
      </c>
      <c r="AM162" s="2811">
        <v>0</v>
      </c>
      <c r="AN162" s="2651"/>
      <c r="AO162" s="2651"/>
      <c r="AP162" s="2651"/>
      <c r="AQ162" s="2651"/>
      <c r="AR162" s="2651"/>
      <c r="AS162" s="2651"/>
      <c r="AT162" s="2652">
        <v>31.718735072131459</v>
      </c>
      <c r="AU162" s="2811">
        <v>31.718735072131459</v>
      </c>
      <c r="AV162" s="2651"/>
      <c r="AW162" s="2651"/>
      <c r="AX162" s="2651"/>
      <c r="AY162" s="2651"/>
      <c r="AZ162" s="2652">
        <v>397.4395719881532</v>
      </c>
      <c r="BA162" s="2651"/>
      <c r="BB162" s="2651"/>
      <c r="BC162" s="2651"/>
      <c r="BD162" s="2651">
        <v>0</v>
      </c>
      <c r="BE162" s="2651"/>
      <c r="BF162" s="2651">
        <v>0</v>
      </c>
      <c r="BG162" s="2651">
        <v>0</v>
      </c>
      <c r="BH162" s="2811">
        <v>21.13786185153339</v>
      </c>
      <c r="BI162" s="2651">
        <v>0</v>
      </c>
      <c r="BJ162" s="2811">
        <v>202.2785898538263</v>
      </c>
      <c r="BK162" s="2811">
        <v>174.02312028279354</v>
      </c>
      <c r="BL162" s="2651">
        <v>0</v>
      </c>
      <c r="BM162" s="2651">
        <v>0</v>
      </c>
      <c r="BN162" s="2651">
        <v>0</v>
      </c>
      <c r="BO162" s="2652">
        <v>0</v>
      </c>
      <c r="BP162" s="2651">
        <v>0</v>
      </c>
      <c r="BQ162" s="2651">
        <v>0</v>
      </c>
      <c r="BR162" s="2652"/>
      <c r="BS162" s="2652"/>
      <c r="BT162" s="2829">
        <v>0</v>
      </c>
    </row>
    <row r="163" spans="1:73" s="2646" customFormat="1">
      <c r="A163" s="2647"/>
      <c r="B163" s="2648" t="s">
        <v>1369</v>
      </c>
      <c r="C163" s="2649" t="s">
        <v>3135</v>
      </c>
      <c r="D163" s="2649"/>
      <c r="E163" s="2649"/>
      <c r="F163" s="2650" t="s">
        <v>3136</v>
      </c>
      <c r="G163" s="2650"/>
      <c r="H163" s="2651">
        <v>689.14206553931399</v>
      </c>
      <c r="I163" s="2652"/>
      <c r="J163" s="2651"/>
      <c r="K163" s="2651"/>
      <c r="L163" s="2651"/>
      <c r="M163" s="2651"/>
      <c r="N163" s="2651"/>
      <c r="O163" s="2651"/>
      <c r="P163" s="2651"/>
      <c r="Q163" s="2651"/>
      <c r="R163" s="2651"/>
      <c r="S163" s="2651"/>
      <c r="T163" s="2651"/>
      <c r="U163" s="2651"/>
      <c r="V163" s="2651"/>
      <c r="W163" s="2652">
        <v>689.14206553931399</v>
      </c>
      <c r="X163" s="2651"/>
      <c r="Y163" s="2651"/>
      <c r="Z163" s="2651"/>
      <c r="AA163" s="2651"/>
      <c r="AB163" s="2651"/>
      <c r="AC163" s="2651"/>
      <c r="AD163" s="2651"/>
      <c r="AE163" s="2651"/>
      <c r="AF163" s="2811"/>
      <c r="AG163" s="2811"/>
      <c r="AH163" s="2811"/>
      <c r="AI163" s="2811">
        <v>689.14206553931399</v>
      </c>
      <c r="AJ163" s="2651"/>
      <c r="AK163" s="2651"/>
      <c r="AL163" s="2811">
        <v>0</v>
      </c>
      <c r="AM163" s="2811">
        <v>0</v>
      </c>
      <c r="AN163" s="2651"/>
      <c r="AO163" s="2651"/>
      <c r="AP163" s="2651"/>
      <c r="AQ163" s="2651"/>
      <c r="AR163" s="2651"/>
      <c r="AS163" s="2651"/>
      <c r="AT163" s="2652"/>
      <c r="AU163" s="2811"/>
      <c r="AV163" s="2651"/>
      <c r="AW163" s="2651"/>
      <c r="AX163" s="2651"/>
      <c r="AY163" s="2651"/>
      <c r="AZ163" s="2652"/>
      <c r="BA163" s="2651"/>
      <c r="BB163" s="2651"/>
      <c r="BC163" s="2651"/>
      <c r="BD163" s="2651"/>
      <c r="BE163" s="2651"/>
      <c r="BF163" s="2651"/>
      <c r="BG163" s="2651"/>
      <c r="BH163" s="2811"/>
      <c r="BI163" s="2651"/>
      <c r="BJ163" s="2811"/>
      <c r="BK163" s="2811"/>
      <c r="BL163" s="2651"/>
      <c r="BM163" s="2651"/>
      <c r="BN163" s="2651"/>
      <c r="BO163" s="2652"/>
      <c r="BP163" s="2651"/>
      <c r="BQ163" s="2651"/>
      <c r="BR163" s="2652"/>
      <c r="BS163" s="2652"/>
      <c r="BT163" s="2829"/>
    </row>
    <row r="164" spans="1:73" s="2646" customFormat="1">
      <c r="A164" s="2647"/>
      <c r="B164" s="2648" t="s">
        <v>1369</v>
      </c>
      <c r="C164" s="2649" t="s">
        <v>3137</v>
      </c>
      <c r="D164" s="2649"/>
      <c r="E164" s="2649"/>
      <c r="F164" s="2650" t="s">
        <v>3138</v>
      </c>
      <c r="G164" s="2650"/>
      <c r="H164" s="2651">
        <v>154.12725709372313</v>
      </c>
      <c r="I164" s="2652"/>
      <c r="J164" s="2651"/>
      <c r="K164" s="2651"/>
      <c r="L164" s="2651"/>
      <c r="M164" s="2651"/>
      <c r="N164" s="2651"/>
      <c r="O164" s="2651"/>
      <c r="P164" s="2651"/>
      <c r="Q164" s="2651"/>
      <c r="R164" s="2651"/>
      <c r="S164" s="2651"/>
      <c r="T164" s="2651"/>
      <c r="U164" s="2651"/>
      <c r="V164" s="2651"/>
      <c r="W164" s="2652">
        <v>154.12725709372313</v>
      </c>
      <c r="X164" s="2651"/>
      <c r="Y164" s="2651"/>
      <c r="Z164" s="2651"/>
      <c r="AA164" s="2651"/>
      <c r="AB164" s="2651"/>
      <c r="AC164" s="2651"/>
      <c r="AD164" s="2651"/>
      <c r="AE164" s="2651"/>
      <c r="AF164" s="2811"/>
      <c r="AG164" s="2811">
        <v>3.1527658354829464</v>
      </c>
      <c r="AH164" s="2811"/>
      <c r="AI164" s="2811">
        <v>150.97449125824016</v>
      </c>
      <c r="AJ164" s="2651"/>
      <c r="AK164" s="2651"/>
      <c r="AL164" s="2811">
        <v>0</v>
      </c>
      <c r="AM164" s="2811">
        <v>0</v>
      </c>
      <c r="AN164" s="2651"/>
      <c r="AO164" s="2651"/>
      <c r="AP164" s="2651"/>
      <c r="AQ164" s="2651"/>
      <c r="AR164" s="2651"/>
      <c r="AS164" s="2651"/>
      <c r="AT164" s="2652"/>
      <c r="AU164" s="2811"/>
      <c r="AV164" s="2651"/>
      <c r="AW164" s="2651"/>
      <c r="AX164" s="2651"/>
      <c r="AY164" s="2651"/>
      <c r="AZ164" s="2652"/>
      <c r="BA164" s="2651"/>
      <c r="BB164" s="2651"/>
      <c r="BC164" s="2651"/>
      <c r="BD164" s="2651"/>
      <c r="BE164" s="2651"/>
      <c r="BF164" s="2651"/>
      <c r="BG164" s="2651"/>
      <c r="BH164" s="2811"/>
      <c r="BI164" s="2651"/>
      <c r="BJ164" s="2811"/>
      <c r="BK164" s="2811"/>
      <c r="BL164" s="2651"/>
      <c r="BM164" s="2651"/>
      <c r="BN164" s="2651"/>
      <c r="BO164" s="2652"/>
      <c r="BP164" s="2651"/>
      <c r="BQ164" s="2651"/>
      <c r="BR164" s="2652"/>
      <c r="BS164" s="2652"/>
      <c r="BT164" s="2829"/>
    </row>
    <row r="165" spans="1:73" s="2646" customFormat="1">
      <c r="A165" s="2647"/>
      <c r="B165" s="2648" t="s">
        <v>1369</v>
      </c>
      <c r="C165" s="2649" t="s">
        <v>3139</v>
      </c>
      <c r="D165" s="2649"/>
      <c r="E165" s="2649"/>
      <c r="F165" s="2650" t="s">
        <v>3140</v>
      </c>
      <c r="G165" s="2650"/>
      <c r="H165" s="2651">
        <v>187.44625967325879</v>
      </c>
      <c r="I165" s="2652">
        <v>0</v>
      </c>
      <c r="J165" s="2651">
        <v>0</v>
      </c>
      <c r="K165" s="2651">
        <v>0</v>
      </c>
      <c r="L165" s="2651">
        <v>0</v>
      </c>
      <c r="M165" s="2651">
        <v>0</v>
      </c>
      <c r="N165" s="2651">
        <v>0</v>
      </c>
      <c r="O165" s="2651">
        <v>0</v>
      </c>
      <c r="P165" s="2651">
        <v>0</v>
      </c>
      <c r="Q165" s="2651">
        <v>0</v>
      </c>
      <c r="R165" s="2651">
        <v>0</v>
      </c>
      <c r="S165" s="2651">
        <v>0</v>
      </c>
      <c r="T165" s="2651">
        <v>0</v>
      </c>
      <c r="U165" s="2651">
        <v>0</v>
      </c>
      <c r="V165" s="2651">
        <v>0</v>
      </c>
      <c r="W165" s="2652">
        <v>187.44625967325879</v>
      </c>
      <c r="X165" s="2651"/>
      <c r="Y165" s="2651"/>
      <c r="Z165" s="2651"/>
      <c r="AA165" s="2651"/>
      <c r="AB165" s="2651"/>
      <c r="AC165" s="2651"/>
      <c r="AD165" s="2651"/>
      <c r="AE165" s="2651"/>
      <c r="AF165" s="2811"/>
      <c r="AG165" s="2811"/>
      <c r="AH165" s="2811"/>
      <c r="AI165" s="2811"/>
      <c r="AJ165" s="2651"/>
      <c r="AK165" s="2651"/>
      <c r="AL165" s="2811">
        <v>45.094105283271233</v>
      </c>
      <c r="AM165" s="2811">
        <v>142.35215438998756</v>
      </c>
      <c r="AN165" s="2651"/>
      <c r="AO165" s="2651"/>
      <c r="AP165" s="2651"/>
      <c r="AQ165" s="2651"/>
      <c r="AR165" s="2651"/>
      <c r="AS165" s="2651"/>
      <c r="AT165" s="2652">
        <v>0</v>
      </c>
      <c r="AU165" s="2811"/>
      <c r="AV165" s="2651">
        <v>0</v>
      </c>
      <c r="AW165" s="2651">
        <v>0</v>
      </c>
      <c r="AX165" s="2651">
        <v>0</v>
      </c>
      <c r="AY165" s="2651">
        <v>0</v>
      </c>
      <c r="AZ165" s="2652">
        <v>0</v>
      </c>
      <c r="BA165" s="2651"/>
      <c r="BB165" s="2651"/>
      <c r="BC165" s="2651"/>
      <c r="BD165" s="2651">
        <v>0</v>
      </c>
      <c r="BE165" s="2651"/>
      <c r="BF165" s="2651">
        <v>0</v>
      </c>
      <c r="BG165" s="2651">
        <v>0</v>
      </c>
      <c r="BH165" s="2811">
        <v>0</v>
      </c>
      <c r="BI165" s="2651">
        <v>0</v>
      </c>
      <c r="BJ165" s="2811">
        <v>0</v>
      </c>
      <c r="BK165" s="2811">
        <v>0</v>
      </c>
      <c r="BL165" s="2651">
        <v>0</v>
      </c>
      <c r="BM165" s="2651">
        <v>0</v>
      </c>
      <c r="BN165" s="2651">
        <v>0</v>
      </c>
      <c r="BO165" s="2652">
        <v>0</v>
      </c>
      <c r="BP165" s="2651">
        <v>0</v>
      </c>
      <c r="BQ165" s="2651">
        <v>0</v>
      </c>
      <c r="BR165" s="2652"/>
      <c r="BS165" s="2652"/>
      <c r="BT165" s="2829"/>
    </row>
    <row r="166" spans="1:73">
      <c r="A166" s="2596"/>
      <c r="B166" s="2590" t="s">
        <v>1369</v>
      </c>
      <c r="C166" s="2591" t="s">
        <v>3141</v>
      </c>
      <c r="D166" s="2591"/>
      <c r="E166" s="2591"/>
      <c r="F166" s="2592" t="s">
        <v>3142</v>
      </c>
      <c r="G166" s="2592"/>
      <c r="H166" s="2593">
        <v>0</v>
      </c>
      <c r="I166" s="2594"/>
      <c r="J166" s="2595"/>
      <c r="K166" s="2595"/>
      <c r="L166" s="2595"/>
      <c r="M166" s="2595"/>
      <c r="N166" s="2595"/>
      <c r="O166" s="2595"/>
      <c r="P166" s="2595"/>
      <c r="Q166" s="2595"/>
      <c r="R166" s="2595"/>
      <c r="S166" s="2595"/>
      <c r="T166" s="2595"/>
      <c r="U166" s="2595"/>
      <c r="V166" s="2595"/>
      <c r="W166" s="2594">
        <v>0</v>
      </c>
      <c r="X166" s="2595"/>
      <c r="Y166" s="2595"/>
      <c r="Z166" s="2595"/>
      <c r="AA166" s="2595"/>
      <c r="AB166" s="2595"/>
      <c r="AC166" s="2595"/>
      <c r="AD166" s="2595"/>
      <c r="AE166" s="2595"/>
      <c r="AF166" s="2811"/>
      <c r="AG166" s="2811"/>
      <c r="AH166" s="2811"/>
      <c r="AI166" s="2811"/>
      <c r="AJ166" s="2595"/>
      <c r="AK166" s="2595"/>
      <c r="AL166" s="2811">
        <v>0</v>
      </c>
      <c r="AM166" s="2811">
        <v>0</v>
      </c>
      <c r="AN166" s="2595"/>
      <c r="AO166" s="2595"/>
      <c r="AP166" s="2595"/>
      <c r="AQ166" s="2595"/>
      <c r="AR166" s="2595"/>
      <c r="AS166" s="2595"/>
      <c r="AT166" s="2594">
        <v>0</v>
      </c>
      <c r="AU166" s="2811">
        <v>0</v>
      </c>
      <c r="AV166" s="2595"/>
      <c r="AW166" s="2595"/>
      <c r="AX166" s="2595"/>
      <c r="AY166" s="2595"/>
      <c r="AZ166" s="2594"/>
      <c r="BA166" s="2595"/>
      <c r="BB166" s="2595"/>
      <c r="BC166" s="2595"/>
      <c r="BD166" s="2595"/>
      <c r="BE166" s="2595"/>
      <c r="BF166" s="2595"/>
      <c r="BG166" s="2595"/>
      <c r="BH166" s="2811"/>
      <c r="BI166" s="2595"/>
      <c r="BJ166" s="2811"/>
      <c r="BK166" s="2811"/>
      <c r="BL166" s="2595"/>
      <c r="BM166" s="2595"/>
      <c r="BN166" s="2595"/>
      <c r="BO166" s="2594"/>
      <c r="BP166" s="2595"/>
      <c r="BQ166" s="2595"/>
      <c r="BR166" s="2594"/>
      <c r="BS166" s="2594"/>
      <c r="BT166" s="2829">
        <v>0</v>
      </c>
    </row>
    <row r="167" spans="1:73">
      <c r="A167" s="2596"/>
      <c r="B167" s="2590" t="s">
        <v>1369</v>
      </c>
      <c r="C167" s="2591" t="s">
        <v>3143</v>
      </c>
      <c r="D167" s="2591"/>
      <c r="E167" s="2591"/>
      <c r="F167" s="2592" t="s">
        <v>3144</v>
      </c>
      <c r="G167" s="2592"/>
      <c r="H167" s="2593">
        <v>0</v>
      </c>
      <c r="I167" s="2594">
        <v>0</v>
      </c>
      <c r="J167" s="2595">
        <v>0</v>
      </c>
      <c r="K167" s="2595">
        <v>0</v>
      </c>
      <c r="L167" s="2595">
        <v>0</v>
      </c>
      <c r="M167" s="2595">
        <v>0</v>
      </c>
      <c r="N167" s="2595">
        <v>0</v>
      </c>
      <c r="O167" s="2595">
        <v>0</v>
      </c>
      <c r="P167" s="2595">
        <v>0</v>
      </c>
      <c r="Q167" s="2595">
        <v>0</v>
      </c>
      <c r="R167" s="2595">
        <v>0</v>
      </c>
      <c r="S167" s="2595">
        <v>0</v>
      </c>
      <c r="T167" s="2595">
        <v>0</v>
      </c>
      <c r="U167" s="2595">
        <v>0</v>
      </c>
      <c r="V167" s="2595">
        <v>0</v>
      </c>
      <c r="W167" s="2594">
        <v>0</v>
      </c>
      <c r="X167" s="2595"/>
      <c r="Y167" s="2595"/>
      <c r="Z167" s="2595"/>
      <c r="AA167" s="2595"/>
      <c r="AB167" s="2595"/>
      <c r="AC167" s="2595"/>
      <c r="AD167" s="2595"/>
      <c r="AE167" s="2595"/>
      <c r="AF167" s="2811"/>
      <c r="AG167" s="2811"/>
      <c r="AH167" s="2811"/>
      <c r="AI167" s="2811"/>
      <c r="AJ167" s="2595"/>
      <c r="AK167" s="2595"/>
      <c r="AL167" s="2811">
        <v>0</v>
      </c>
      <c r="AM167" s="2811">
        <v>0</v>
      </c>
      <c r="AN167" s="2595"/>
      <c r="AO167" s="2595"/>
      <c r="AP167" s="2595"/>
      <c r="AQ167" s="2595"/>
      <c r="AR167" s="2595"/>
      <c r="AS167" s="2595"/>
      <c r="AT167" s="2594">
        <v>0</v>
      </c>
      <c r="AU167" s="2811">
        <v>0</v>
      </c>
      <c r="AV167" s="2595">
        <v>0</v>
      </c>
      <c r="AW167" s="2595">
        <v>0</v>
      </c>
      <c r="AX167" s="2595">
        <v>0</v>
      </c>
      <c r="AY167" s="2595">
        <v>0</v>
      </c>
      <c r="AZ167" s="2594">
        <v>0</v>
      </c>
      <c r="BA167" s="2595"/>
      <c r="BB167" s="2595"/>
      <c r="BC167" s="2595"/>
      <c r="BD167" s="2595">
        <v>0</v>
      </c>
      <c r="BE167" s="2595"/>
      <c r="BF167" s="2595">
        <v>0</v>
      </c>
      <c r="BG167" s="2595">
        <v>0</v>
      </c>
      <c r="BH167" s="2811">
        <v>0</v>
      </c>
      <c r="BI167" s="2595">
        <v>0</v>
      </c>
      <c r="BJ167" s="2811">
        <v>0</v>
      </c>
      <c r="BK167" s="2811">
        <v>0</v>
      </c>
      <c r="BL167" s="2595">
        <v>0</v>
      </c>
      <c r="BM167" s="2595">
        <v>0</v>
      </c>
      <c r="BN167" s="2595">
        <v>0</v>
      </c>
      <c r="BO167" s="2594">
        <v>0</v>
      </c>
      <c r="BP167" s="2595">
        <v>0</v>
      </c>
      <c r="BQ167" s="2595">
        <v>0</v>
      </c>
      <c r="BR167" s="2594"/>
      <c r="BS167" s="2594"/>
      <c r="BT167" s="2829">
        <v>0</v>
      </c>
    </row>
    <row r="168" spans="1:73">
      <c r="A168" s="2590" t="s">
        <v>1369</v>
      </c>
      <c r="B168" s="2591" t="s">
        <v>3145</v>
      </c>
      <c r="C168" s="2591"/>
      <c r="D168" s="2591"/>
      <c r="E168" s="2591"/>
      <c r="F168" s="2592" t="s">
        <v>3146</v>
      </c>
      <c r="G168" s="2592"/>
      <c r="H168" s="2593">
        <v>13277.037355498233</v>
      </c>
      <c r="I168" s="2594">
        <v>0</v>
      </c>
      <c r="J168" s="2595">
        <v>0</v>
      </c>
      <c r="K168" s="2595">
        <v>0</v>
      </c>
      <c r="L168" s="2595">
        <v>0</v>
      </c>
      <c r="M168" s="2595">
        <v>0</v>
      </c>
      <c r="N168" s="2595">
        <v>0</v>
      </c>
      <c r="O168" s="2595">
        <v>0</v>
      </c>
      <c r="P168" s="2595">
        <v>0</v>
      </c>
      <c r="Q168" s="2595">
        <v>0</v>
      </c>
      <c r="R168" s="2595">
        <v>0</v>
      </c>
      <c r="S168" s="2595">
        <v>0</v>
      </c>
      <c r="T168" s="2595">
        <v>0</v>
      </c>
      <c r="U168" s="2595">
        <v>0</v>
      </c>
      <c r="V168" s="2595">
        <v>0</v>
      </c>
      <c r="W168" s="2594">
        <v>914.58870736600738</v>
      </c>
      <c r="X168" s="2595"/>
      <c r="Y168" s="2595"/>
      <c r="Z168" s="2595"/>
      <c r="AA168" s="2595"/>
      <c r="AB168" s="2595"/>
      <c r="AC168" s="2595"/>
      <c r="AD168" s="2595"/>
      <c r="AE168" s="2595">
        <v>9.8882201203783318</v>
      </c>
      <c r="AF168" s="2811"/>
      <c r="AG168" s="2811"/>
      <c r="AH168" s="2811"/>
      <c r="AI168" s="2811"/>
      <c r="AJ168" s="2595"/>
      <c r="AK168" s="2595"/>
      <c r="AL168" s="2811">
        <v>833.04671825738035</v>
      </c>
      <c r="AM168" s="2811">
        <v>71.653768988248785</v>
      </c>
      <c r="AN168" s="2595"/>
      <c r="AO168" s="2595"/>
      <c r="AP168" s="2595"/>
      <c r="AQ168" s="2595"/>
      <c r="AR168" s="2595"/>
      <c r="AS168" s="2595"/>
      <c r="AT168" s="2594">
        <v>214.0298079678991</v>
      </c>
      <c r="AU168" s="2811">
        <v>202.80405082640678</v>
      </c>
      <c r="AV168" s="2595">
        <v>0</v>
      </c>
      <c r="AW168" s="2595">
        <v>0</v>
      </c>
      <c r="AX168" s="2595">
        <v>11.249641731155059</v>
      </c>
      <c r="AY168" s="2595">
        <v>0</v>
      </c>
      <c r="AZ168" s="2594">
        <v>1056.3437470144263</v>
      </c>
      <c r="BA168" s="2595"/>
      <c r="BB168" s="2595"/>
      <c r="BC168" s="2595"/>
      <c r="BD168" s="2595">
        <v>10.318142734307823</v>
      </c>
      <c r="BE168" s="2595"/>
      <c r="BF168" s="2595">
        <v>980.17579057991782</v>
      </c>
      <c r="BG168" s="2595">
        <v>0</v>
      </c>
      <c r="BH168" s="2811">
        <v>65.849813700200627</v>
      </c>
      <c r="BI168" s="2595">
        <v>0</v>
      </c>
      <c r="BJ168" s="2811">
        <v>0</v>
      </c>
      <c r="BK168" s="2811">
        <v>0</v>
      </c>
      <c r="BL168" s="2595">
        <v>0</v>
      </c>
      <c r="BM168" s="2595">
        <v>0</v>
      </c>
      <c r="BN168" s="2595">
        <v>0</v>
      </c>
      <c r="BO168" s="2594">
        <v>0</v>
      </c>
      <c r="BP168" s="2595">
        <v>0</v>
      </c>
      <c r="BQ168" s="2595">
        <v>0</v>
      </c>
      <c r="BR168" s="2594"/>
      <c r="BS168" s="2594">
        <v>4692.5097926817616</v>
      </c>
      <c r="BT168" s="2829">
        <v>6399.565300468138</v>
      </c>
    </row>
    <row r="169" spans="1:73" s="2663" customFormat="1">
      <c r="A169" s="2664"/>
      <c r="B169" s="2665" t="s">
        <v>1369</v>
      </c>
      <c r="C169" s="2666" t="s">
        <v>3147</v>
      </c>
      <c r="D169" s="2666"/>
      <c r="E169" s="2666"/>
      <c r="F169" s="2667" t="s">
        <v>3148</v>
      </c>
      <c r="G169" s="2667"/>
      <c r="H169" s="2668">
        <v>4549.9426769848096</v>
      </c>
      <c r="I169" s="2669">
        <v>0</v>
      </c>
      <c r="J169" s="2668">
        <v>0</v>
      </c>
      <c r="K169" s="2668">
        <v>0</v>
      </c>
      <c r="L169" s="2668">
        <v>0</v>
      </c>
      <c r="M169" s="2668">
        <v>0</v>
      </c>
      <c r="N169" s="2668">
        <v>0</v>
      </c>
      <c r="O169" s="2668">
        <v>0</v>
      </c>
      <c r="P169" s="2668">
        <v>0</v>
      </c>
      <c r="Q169" s="2668">
        <v>0</v>
      </c>
      <c r="R169" s="2668">
        <v>0</v>
      </c>
      <c r="S169" s="2668">
        <v>0</v>
      </c>
      <c r="T169" s="2668">
        <v>0</v>
      </c>
      <c r="U169" s="2668">
        <v>0</v>
      </c>
      <c r="V169" s="2668">
        <v>0</v>
      </c>
      <c r="W169" s="2669">
        <v>608.48380624820868</v>
      </c>
      <c r="X169" s="2668"/>
      <c r="Y169" s="2668"/>
      <c r="Z169" s="2668"/>
      <c r="AA169" s="2668"/>
      <c r="AB169" s="2668"/>
      <c r="AC169" s="2668"/>
      <c r="AD169" s="2668"/>
      <c r="AE169" s="2668">
        <v>7.6908378714053685</v>
      </c>
      <c r="AF169" s="2811"/>
      <c r="AG169" s="2811"/>
      <c r="AH169" s="2811"/>
      <c r="AI169" s="2811"/>
      <c r="AJ169" s="2668"/>
      <c r="AK169" s="2668"/>
      <c r="AL169" s="2811">
        <v>534.8715009076144</v>
      </c>
      <c r="AM169" s="2811">
        <v>65.921467469188883</v>
      </c>
      <c r="AN169" s="2668"/>
      <c r="AO169" s="2668"/>
      <c r="AP169" s="2668"/>
      <c r="AQ169" s="2668"/>
      <c r="AR169" s="2668"/>
      <c r="AS169" s="2668"/>
      <c r="AT169" s="2669">
        <v>107.09850004776918</v>
      </c>
      <c r="AU169" s="2811">
        <v>102.65596637049775</v>
      </c>
      <c r="AV169" s="2668">
        <v>0</v>
      </c>
      <c r="AW169" s="2668">
        <v>0</v>
      </c>
      <c r="AX169" s="2668">
        <v>4.4186490876086744</v>
      </c>
      <c r="AY169" s="2668">
        <v>0</v>
      </c>
      <c r="AZ169" s="2669">
        <v>45.070220693608483</v>
      </c>
      <c r="BA169" s="2668"/>
      <c r="BB169" s="2668"/>
      <c r="BC169" s="2668"/>
      <c r="BD169" s="2668">
        <v>0</v>
      </c>
      <c r="BE169" s="2668"/>
      <c r="BF169" s="2668">
        <v>45.070220693608483</v>
      </c>
      <c r="BG169" s="2668">
        <v>0</v>
      </c>
      <c r="BH169" s="2811">
        <v>0</v>
      </c>
      <c r="BI169" s="2668">
        <v>0</v>
      </c>
      <c r="BJ169" s="2811">
        <v>0</v>
      </c>
      <c r="BK169" s="2811">
        <v>0</v>
      </c>
      <c r="BL169" s="2668">
        <v>0</v>
      </c>
      <c r="BM169" s="2668">
        <v>0</v>
      </c>
      <c r="BN169" s="2668">
        <v>0</v>
      </c>
      <c r="BO169" s="2669">
        <v>0</v>
      </c>
      <c r="BP169" s="2668">
        <v>0</v>
      </c>
      <c r="BQ169" s="2668">
        <v>0</v>
      </c>
      <c r="BR169" s="2669"/>
      <c r="BS169" s="2669">
        <v>1451.6337059329319</v>
      </c>
      <c r="BT169" s="2829">
        <v>2337.656444062291</v>
      </c>
    </row>
    <row r="170" spans="1:73" s="2663" customFormat="1">
      <c r="A170" s="2664"/>
      <c r="B170" s="2665" t="s">
        <v>1369</v>
      </c>
      <c r="C170" s="2666" t="s">
        <v>3149</v>
      </c>
      <c r="D170" s="2666"/>
      <c r="E170" s="2666"/>
      <c r="F170" s="2667" t="s">
        <v>3150</v>
      </c>
      <c r="G170" s="2667"/>
      <c r="H170" s="2668">
        <v>8035.0864622145791</v>
      </c>
      <c r="I170" s="2669">
        <v>0</v>
      </c>
      <c r="J170" s="2668">
        <v>0</v>
      </c>
      <c r="K170" s="2668">
        <v>0</v>
      </c>
      <c r="L170" s="2668">
        <v>0</v>
      </c>
      <c r="M170" s="2668">
        <v>0</v>
      </c>
      <c r="N170" s="2668">
        <v>0</v>
      </c>
      <c r="O170" s="2668">
        <v>0</v>
      </c>
      <c r="P170" s="2668">
        <v>0</v>
      </c>
      <c r="Q170" s="2668">
        <v>0</v>
      </c>
      <c r="R170" s="2668">
        <v>0</v>
      </c>
      <c r="S170" s="2668">
        <v>0</v>
      </c>
      <c r="T170" s="2668">
        <v>0</v>
      </c>
      <c r="U170" s="2668">
        <v>0</v>
      </c>
      <c r="V170" s="2668">
        <v>0</v>
      </c>
      <c r="W170" s="2669">
        <v>70.626731632750548</v>
      </c>
      <c r="X170" s="2668"/>
      <c r="Y170" s="2668"/>
      <c r="Z170" s="2668"/>
      <c r="AA170" s="2668"/>
      <c r="AB170" s="2668"/>
      <c r="AC170" s="2668"/>
      <c r="AD170" s="2668"/>
      <c r="AE170" s="2668"/>
      <c r="AF170" s="2811"/>
      <c r="AG170" s="2811"/>
      <c r="AH170" s="2811"/>
      <c r="AI170" s="2811"/>
      <c r="AJ170" s="2668"/>
      <c r="AK170" s="2668"/>
      <c r="AL170" s="2811">
        <v>69.671348046240567</v>
      </c>
      <c r="AM170" s="2811">
        <v>0.95538358650998367</v>
      </c>
      <c r="AN170" s="2668"/>
      <c r="AO170" s="2668"/>
      <c r="AP170" s="2668"/>
      <c r="AQ170" s="2668"/>
      <c r="AR170" s="2668"/>
      <c r="AS170" s="2668"/>
      <c r="AT170" s="2669">
        <v>82.87952612974108</v>
      </c>
      <c r="AU170" s="2811">
        <v>76.0485334861947</v>
      </c>
      <c r="AV170" s="2668">
        <v>0</v>
      </c>
      <c r="AW170" s="2668">
        <v>0</v>
      </c>
      <c r="AX170" s="2668">
        <v>6.8071080538836339</v>
      </c>
      <c r="AY170" s="2668">
        <v>0</v>
      </c>
      <c r="AZ170" s="2669">
        <v>694.13394477882866</v>
      </c>
      <c r="BA170" s="2668"/>
      <c r="BB170" s="2668"/>
      <c r="BC170" s="2668"/>
      <c r="BD170" s="2668">
        <v>10.318142734307823</v>
      </c>
      <c r="BE170" s="2668"/>
      <c r="BF170" s="2668">
        <v>617.96598834432018</v>
      </c>
      <c r="BG170" s="2668">
        <v>0</v>
      </c>
      <c r="BH170" s="2811">
        <v>65.849813700200627</v>
      </c>
      <c r="BI170" s="2668">
        <v>0</v>
      </c>
      <c r="BJ170" s="2811">
        <v>0</v>
      </c>
      <c r="BK170" s="2811">
        <v>0</v>
      </c>
      <c r="BL170" s="2668">
        <v>0</v>
      </c>
      <c r="BM170" s="2668">
        <v>0</v>
      </c>
      <c r="BN170" s="2668">
        <v>0</v>
      </c>
      <c r="BO170" s="2669">
        <v>0</v>
      </c>
      <c r="BP170" s="2668">
        <v>0</v>
      </c>
      <c r="BQ170" s="2668">
        <v>0</v>
      </c>
      <c r="BR170" s="2669"/>
      <c r="BS170" s="2669">
        <v>3233.7107098500046</v>
      </c>
      <c r="BT170" s="2829">
        <v>3953.7355498232537</v>
      </c>
    </row>
    <row r="171" spans="1:73" s="2663" customFormat="1">
      <c r="A171" s="2664"/>
      <c r="B171" s="2665" t="s">
        <v>1369</v>
      </c>
      <c r="C171" s="2666" t="s">
        <v>3151</v>
      </c>
      <c r="D171" s="2666"/>
      <c r="E171" s="2666"/>
      <c r="F171" s="2667" t="s">
        <v>3152</v>
      </c>
      <c r="G171" s="2667"/>
      <c r="H171" s="2668">
        <v>646.93799560523541</v>
      </c>
      <c r="I171" s="2669">
        <v>0</v>
      </c>
      <c r="J171" s="2668">
        <v>0</v>
      </c>
      <c r="K171" s="2668">
        <v>0</v>
      </c>
      <c r="L171" s="2668">
        <v>0</v>
      </c>
      <c r="M171" s="2668">
        <v>0</v>
      </c>
      <c r="N171" s="2668">
        <v>0</v>
      </c>
      <c r="O171" s="2668">
        <v>0</v>
      </c>
      <c r="P171" s="2668">
        <v>0</v>
      </c>
      <c r="Q171" s="2668">
        <v>0</v>
      </c>
      <c r="R171" s="2668">
        <v>0</v>
      </c>
      <c r="S171" s="2668">
        <v>0</v>
      </c>
      <c r="T171" s="2668">
        <v>0</v>
      </c>
      <c r="U171" s="2668">
        <v>0</v>
      </c>
      <c r="V171" s="2668">
        <v>0</v>
      </c>
      <c r="W171" s="2669">
        <v>190.38406420177699</v>
      </c>
      <c r="X171" s="2668"/>
      <c r="Y171" s="2668"/>
      <c r="Z171" s="2668"/>
      <c r="AA171" s="2668"/>
      <c r="AB171" s="2668"/>
      <c r="AC171" s="2668"/>
      <c r="AD171" s="2668"/>
      <c r="AE171" s="2668">
        <v>2.1973822489729624</v>
      </c>
      <c r="AF171" s="2811"/>
      <c r="AG171" s="2811"/>
      <c r="AH171" s="2811"/>
      <c r="AI171" s="2811"/>
      <c r="AJ171" s="2668"/>
      <c r="AK171" s="2668"/>
      <c r="AL171" s="2811">
        <v>183.40976402025413</v>
      </c>
      <c r="AM171" s="2811">
        <v>4.7769179325499183</v>
      </c>
      <c r="AN171" s="2668"/>
      <c r="AO171" s="2668"/>
      <c r="AP171" s="2668"/>
      <c r="AQ171" s="2668"/>
      <c r="AR171" s="2668"/>
      <c r="AS171" s="2668"/>
      <c r="AT171" s="2669">
        <v>24.07566638005159</v>
      </c>
      <c r="AU171" s="2811">
        <v>24.07566638005159</v>
      </c>
      <c r="AV171" s="2668">
        <v>0</v>
      </c>
      <c r="AW171" s="2668">
        <v>0</v>
      </c>
      <c r="AX171" s="2668">
        <v>0</v>
      </c>
      <c r="AY171" s="2668">
        <v>0</v>
      </c>
      <c r="AZ171" s="2669">
        <v>317.13958154198912</v>
      </c>
      <c r="BA171" s="2668"/>
      <c r="BB171" s="2668"/>
      <c r="BC171" s="2668"/>
      <c r="BD171" s="2668">
        <v>0</v>
      </c>
      <c r="BE171" s="2668"/>
      <c r="BF171" s="2668">
        <v>317.13958154198912</v>
      </c>
      <c r="BG171" s="2668">
        <v>0</v>
      </c>
      <c r="BH171" s="2811">
        <v>0</v>
      </c>
      <c r="BI171" s="2668">
        <v>0</v>
      </c>
      <c r="BJ171" s="2811">
        <v>0</v>
      </c>
      <c r="BK171" s="2811">
        <v>0</v>
      </c>
      <c r="BL171" s="2668">
        <v>0</v>
      </c>
      <c r="BM171" s="2668">
        <v>0</v>
      </c>
      <c r="BN171" s="2668">
        <v>0</v>
      </c>
      <c r="BO171" s="2669">
        <v>0</v>
      </c>
      <c r="BP171" s="2668">
        <v>0</v>
      </c>
      <c r="BQ171" s="2668">
        <v>0</v>
      </c>
      <c r="BR171" s="2669"/>
      <c r="BS171" s="2669">
        <v>7.1653768988248778</v>
      </c>
      <c r="BT171" s="2829">
        <v>108.1733065825929</v>
      </c>
    </row>
    <row r="172" spans="1:73" s="2663" customFormat="1">
      <c r="A172" s="2664"/>
      <c r="B172" s="2665" t="s">
        <v>1369</v>
      </c>
      <c r="C172" s="2666" t="s">
        <v>3153</v>
      </c>
      <c r="D172" s="2666"/>
      <c r="E172" s="2666"/>
      <c r="F172" s="2667" t="s">
        <v>3154</v>
      </c>
      <c r="G172" s="2667"/>
      <c r="H172" s="2668">
        <v>36.877806439285372</v>
      </c>
      <c r="I172" s="2669">
        <v>0</v>
      </c>
      <c r="J172" s="2668">
        <v>0</v>
      </c>
      <c r="K172" s="2668">
        <v>0</v>
      </c>
      <c r="L172" s="2668">
        <v>0</v>
      </c>
      <c r="M172" s="2668">
        <v>0</v>
      </c>
      <c r="N172" s="2668">
        <v>0</v>
      </c>
      <c r="O172" s="2668">
        <v>0</v>
      </c>
      <c r="P172" s="2668">
        <v>0</v>
      </c>
      <c r="Q172" s="2668">
        <v>0</v>
      </c>
      <c r="R172" s="2668">
        <v>0</v>
      </c>
      <c r="S172" s="2668">
        <v>0</v>
      </c>
      <c r="T172" s="2668">
        <v>0</v>
      </c>
      <c r="U172" s="2668">
        <v>0</v>
      </c>
      <c r="V172" s="2668">
        <v>0</v>
      </c>
      <c r="W172" s="2669">
        <v>36.877806439285372</v>
      </c>
      <c r="X172" s="2668"/>
      <c r="Y172" s="2668"/>
      <c r="Z172" s="2668"/>
      <c r="AA172" s="2668"/>
      <c r="AB172" s="2668"/>
      <c r="AC172" s="2668"/>
      <c r="AD172" s="2668"/>
      <c r="AE172" s="2668"/>
      <c r="AF172" s="2811"/>
      <c r="AG172" s="2811"/>
      <c r="AH172" s="2811"/>
      <c r="AI172" s="2811"/>
      <c r="AJ172" s="2668"/>
      <c r="AK172" s="2668"/>
      <c r="AL172" s="2811">
        <v>36.877806439285372</v>
      </c>
      <c r="AM172" s="2811">
        <v>0</v>
      </c>
      <c r="AN172" s="2668"/>
      <c r="AO172" s="2668"/>
      <c r="AP172" s="2668"/>
      <c r="AQ172" s="2668"/>
      <c r="AR172" s="2668"/>
      <c r="AS172" s="2668"/>
      <c r="AT172" s="2669">
        <v>0</v>
      </c>
      <c r="AU172" s="2811">
        <v>0</v>
      </c>
      <c r="AV172" s="2668">
        <v>0</v>
      </c>
      <c r="AW172" s="2668">
        <v>0</v>
      </c>
      <c r="AX172" s="2668">
        <v>0</v>
      </c>
      <c r="AY172" s="2668">
        <v>0</v>
      </c>
      <c r="AZ172" s="2669">
        <v>0</v>
      </c>
      <c r="BA172" s="2668"/>
      <c r="BB172" s="2668"/>
      <c r="BC172" s="2668"/>
      <c r="BD172" s="2668">
        <v>0</v>
      </c>
      <c r="BE172" s="2668"/>
      <c r="BF172" s="2668">
        <v>0</v>
      </c>
      <c r="BG172" s="2668">
        <v>0</v>
      </c>
      <c r="BH172" s="2811">
        <v>0</v>
      </c>
      <c r="BI172" s="2668">
        <v>0</v>
      </c>
      <c r="BJ172" s="2811">
        <v>0</v>
      </c>
      <c r="BK172" s="2811">
        <v>0</v>
      </c>
      <c r="BL172" s="2668">
        <v>0</v>
      </c>
      <c r="BM172" s="2668">
        <v>0</v>
      </c>
      <c r="BN172" s="2668">
        <v>0</v>
      </c>
      <c r="BO172" s="2669">
        <v>0</v>
      </c>
      <c r="BP172" s="2668">
        <v>0</v>
      </c>
      <c r="BQ172" s="2668">
        <v>0</v>
      </c>
      <c r="BR172" s="2669"/>
      <c r="BS172" s="2669">
        <v>0</v>
      </c>
      <c r="BT172" s="2829">
        <v>0</v>
      </c>
    </row>
    <row r="173" spans="1:73" s="2663" customFormat="1">
      <c r="A173" s="2670"/>
      <c r="B173" s="2671" t="s">
        <v>1369</v>
      </c>
      <c r="C173" s="2672" t="s">
        <v>3155</v>
      </c>
      <c r="D173" s="2672"/>
      <c r="E173" s="2672"/>
      <c r="F173" s="2673" t="s">
        <v>3156</v>
      </c>
      <c r="G173" s="2673"/>
      <c r="H173" s="2674">
        <v>8.1924142543231095</v>
      </c>
      <c r="I173" s="2675">
        <v>0</v>
      </c>
      <c r="J173" s="2674">
        <v>0</v>
      </c>
      <c r="K173" s="2674">
        <v>0</v>
      </c>
      <c r="L173" s="2674">
        <v>0</v>
      </c>
      <c r="M173" s="2674">
        <v>0</v>
      </c>
      <c r="N173" s="2674">
        <v>0</v>
      </c>
      <c r="O173" s="2674">
        <v>0</v>
      </c>
      <c r="P173" s="2674">
        <v>0</v>
      </c>
      <c r="Q173" s="2674">
        <v>0</v>
      </c>
      <c r="R173" s="2674">
        <v>0</v>
      </c>
      <c r="S173" s="2674">
        <v>0</v>
      </c>
      <c r="T173" s="2674">
        <v>0</v>
      </c>
      <c r="U173" s="2674">
        <v>0</v>
      </c>
      <c r="V173" s="2674">
        <v>0</v>
      </c>
      <c r="W173" s="2675">
        <v>8.1924142543231095</v>
      </c>
      <c r="X173" s="2674"/>
      <c r="Y173" s="2674"/>
      <c r="Z173" s="2674"/>
      <c r="AA173" s="2674"/>
      <c r="AB173" s="2674"/>
      <c r="AC173" s="2674"/>
      <c r="AD173" s="2674"/>
      <c r="AE173" s="2674"/>
      <c r="AF173" s="2812"/>
      <c r="AG173" s="2812"/>
      <c r="AH173" s="2812"/>
      <c r="AI173" s="2812"/>
      <c r="AJ173" s="2674"/>
      <c r="AK173" s="2674"/>
      <c r="AL173" s="2812">
        <v>8.1924142543231095</v>
      </c>
      <c r="AM173" s="2812">
        <v>0</v>
      </c>
      <c r="AN173" s="2674"/>
      <c r="AO173" s="2674"/>
      <c r="AP173" s="2674"/>
      <c r="AQ173" s="2674"/>
      <c r="AR173" s="2674"/>
      <c r="AS173" s="2674"/>
      <c r="AT173" s="2675">
        <v>0</v>
      </c>
      <c r="AU173" s="2812">
        <v>0</v>
      </c>
      <c r="AV173" s="2674">
        <v>0</v>
      </c>
      <c r="AW173" s="2674">
        <v>0</v>
      </c>
      <c r="AX173" s="2674">
        <v>0</v>
      </c>
      <c r="AY173" s="2674">
        <v>0</v>
      </c>
      <c r="AZ173" s="2675">
        <v>0</v>
      </c>
      <c r="BA173" s="2674"/>
      <c r="BB173" s="2674"/>
      <c r="BC173" s="2674"/>
      <c r="BD173" s="2674">
        <v>0</v>
      </c>
      <c r="BE173" s="2674"/>
      <c r="BF173" s="2674">
        <v>0</v>
      </c>
      <c r="BG173" s="2674">
        <v>0</v>
      </c>
      <c r="BH173" s="2812">
        <v>0</v>
      </c>
      <c r="BI173" s="2674">
        <v>0</v>
      </c>
      <c r="BJ173" s="2812">
        <v>0</v>
      </c>
      <c r="BK173" s="2812">
        <v>0</v>
      </c>
      <c r="BL173" s="2674">
        <v>0</v>
      </c>
      <c r="BM173" s="2674">
        <v>0</v>
      </c>
      <c r="BN173" s="2674">
        <v>0</v>
      </c>
      <c r="BO173" s="2675">
        <v>0</v>
      </c>
      <c r="BP173" s="2674">
        <v>0</v>
      </c>
      <c r="BQ173" s="2674">
        <v>0</v>
      </c>
      <c r="BR173" s="2675"/>
      <c r="BS173" s="2675">
        <v>0</v>
      </c>
      <c r="BT173" s="2830">
        <v>0</v>
      </c>
    </row>
    <row r="174" spans="1:73" ht="11.25" customHeight="1">
      <c r="A174" s="2621" t="s">
        <v>3157</v>
      </c>
      <c r="B174" s="2621"/>
      <c r="C174" s="2621"/>
      <c r="D174" s="2621"/>
      <c r="E174" s="2621"/>
      <c r="F174" s="2622" t="s">
        <v>3158</v>
      </c>
      <c r="G174" s="2622"/>
      <c r="H174" s="2623">
        <v>709.56338970096488</v>
      </c>
      <c r="I174" s="2624">
        <v>-228.12171586892137</v>
      </c>
      <c r="J174" s="2625">
        <v>0</v>
      </c>
      <c r="K174" s="2625">
        <v>15.047291487532243</v>
      </c>
      <c r="L174" s="2625">
        <v>-184.79507022069359</v>
      </c>
      <c r="M174" s="2625">
        <v>0</v>
      </c>
      <c r="N174" s="2625">
        <v>0</v>
      </c>
      <c r="O174" s="2625">
        <v>0</v>
      </c>
      <c r="P174" s="2625">
        <v>-51.734021209515618</v>
      </c>
      <c r="Q174" s="2625">
        <v>0</v>
      </c>
      <c r="R174" s="2625">
        <v>0</v>
      </c>
      <c r="S174" s="2625">
        <v>0</v>
      </c>
      <c r="T174" s="2625">
        <v>-6.6399159262443872</v>
      </c>
      <c r="U174" s="2625">
        <v>0</v>
      </c>
      <c r="V174" s="2625">
        <v>0</v>
      </c>
      <c r="W174" s="2624">
        <v>896.60361134995696</v>
      </c>
      <c r="X174" s="2625">
        <v>-162.96455526894047</v>
      </c>
      <c r="Y174" s="2625">
        <v>0</v>
      </c>
      <c r="Z174" s="2625">
        <v>171.20473870258908</v>
      </c>
      <c r="AA174" s="2625">
        <v>0</v>
      </c>
      <c r="AB174" s="2625"/>
      <c r="AC174" s="2625">
        <v>0</v>
      </c>
      <c r="AD174" s="2625">
        <v>0</v>
      </c>
      <c r="AE174" s="2625">
        <v>124.15209706697239</v>
      </c>
      <c r="AF174" s="2816">
        <v>346.39820387885732</v>
      </c>
      <c r="AG174" s="2816">
        <v>0</v>
      </c>
      <c r="AH174" s="2816">
        <v>0</v>
      </c>
      <c r="AI174" s="2816">
        <v>-16.432597687971718</v>
      </c>
      <c r="AJ174" s="2625">
        <v>-2.0540747109964648</v>
      </c>
      <c r="AK174" s="2625">
        <v>53.597019203210088</v>
      </c>
      <c r="AL174" s="2816">
        <v>736.72016814751123</v>
      </c>
      <c r="AM174" s="2816">
        <v>-330.56272093245434</v>
      </c>
      <c r="AN174" s="2625">
        <v>0</v>
      </c>
      <c r="AO174" s="2625">
        <v>-15.047291487532243</v>
      </c>
      <c r="AP174" s="2625">
        <v>-8.3834909716251076</v>
      </c>
      <c r="AQ174" s="2625">
        <v>0</v>
      </c>
      <c r="AR174" s="2625">
        <v>0</v>
      </c>
      <c r="AS174" s="2625">
        <v>0</v>
      </c>
      <c r="AT174" s="2624">
        <v>37.665997898156107</v>
      </c>
      <c r="AU174" s="2816">
        <v>68.978694946020823</v>
      </c>
      <c r="AV174" s="2625">
        <v>-20.134709085697907</v>
      </c>
      <c r="AW174" s="2625">
        <v>-11.17798796216681</v>
      </c>
      <c r="AX174" s="2625">
        <v>0</v>
      </c>
      <c r="AY174" s="2625">
        <v>0</v>
      </c>
      <c r="AZ174" s="2624">
        <v>4.2036877806439286</v>
      </c>
      <c r="BA174" s="2625">
        <v>0</v>
      </c>
      <c r="BB174" s="2625">
        <v>0</v>
      </c>
      <c r="BC174" s="2625">
        <v>0</v>
      </c>
      <c r="BD174" s="2625">
        <v>0</v>
      </c>
      <c r="BE174" s="2625">
        <v>0</v>
      </c>
      <c r="BF174" s="2625">
        <v>0</v>
      </c>
      <c r="BG174" s="2625">
        <v>0</v>
      </c>
      <c r="BH174" s="2816">
        <v>0</v>
      </c>
      <c r="BI174" s="2625">
        <v>0</v>
      </c>
      <c r="BJ174" s="2816">
        <v>0.81207604853348614</v>
      </c>
      <c r="BK174" s="2816">
        <v>3.3916117321104422</v>
      </c>
      <c r="BL174" s="2625">
        <v>0</v>
      </c>
      <c r="BM174" s="2625">
        <v>0</v>
      </c>
      <c r="BN174" s="2625">
        <v>0</v>
      </c>
      <c r="BO174" s="2624">
        <v>0</v>
      </c>
      <c r="BP174" s="2625">
        <v>0</v>
      </c>
      <c r="BQ174" s="2625">
        <v>0</v>
      </c>
      <c r="BR174" s="2624">
        <v>0</v>
      </c>
      <c r="BS174" s="2624">
        <v>0</v>
      </c>
      <c r="BT174" s="2834">
        <v>-0.81207604853348614</v>
      </c>
    </row>
    <row r="175" spans="1:73">
      <c r="A175" s="2583" t="s">
        <v>3159</v>
      </c>
      <c r="B175" s="2583"/>
      <c r="C175" s="2583"/>
      <c r="D175" s="2583"/>
      <c r="E175" s="2583"/>
      <c r="F175" s="2653"/>
      <c r="G175" s="2653"/>
      <c r="H175" s="2654"/>
      <c r="I175" s="2654"/>
      <c r="J175" s="2654"/>
      <c r="K175" s="2654"/>
      <c r="L175" s="2654"/>
      <c r="M175" s="2654"/>
      <c r="N175" s="2654"/>
      <c r="O175" s="2654"/>
      <c r="P175" s="2654"/>
      <c r="Q175" s="2654"/>
      <c r="R175" s="2654"/>
      <c r="S175" s="2654"/>
      <c r="T175" s="2654"/>
      <c r="U175" s="2654"/>
      <c r="V175" s="2654"/>
      <c r="W175" s="2654"/>
      <c r="X175" s="2654"/>
      <c r="Y175" s="2654"/>
      <c r="Z175" s="2654"/>
      <c r="AA175" s="2654"/>
      <c r="AB175" s="2654"/>
      <c r="AC175" s="2654"/>
      <c r="AD175" s="2654"/>
      <c r="AE175" s="2654"/>
      <c r="AF175" s="2820"/>
      <c r="AG175" s="2820"/>
      <c r="AH175" s="2820"/>
      <c r="AI175" s="2820"/>
      <c r="AJ175" s="2654"/>
      <c r="AK175" s="2654"/>
      <c r="AL175" s="2820"/>
      <c r="AM175" s="2820"/>
      <c r="AN175" s="2654"/>
      <c r="AO175" s="2654"/>
      <c r="AP175" s="2654"/>
      <c r="AQ175" s="2654"/>
      <c r="AR175" s="2654"/>
      <c r="AS175" s="2654"/>
      <c r="AT175" s="2654"/>
      <c r="AU175" s="2820"/>
      <c r="AV175" s="2654"/>
      <c r="AW175" s="2654"/>
      <c r="AX175" s="2654"/>
      <c r="AY175" s="2654"/>
      <c r="AZ175" s="2654"/>
      <c r="BA175" s="2654"/>
      <c r="BB175" s="2654"/>
      <c r="BC175" s="2654"/>
      <c r="BD175" s="2654"/>
      <c r="BE175" s="2654"/>
      <c r="BF175" s="2654"/>
      <c r="BG175" s="2654"/>
      <c r="BH175" s="2820"/>
      <c r="BI175" s="2654"/>
      <c r="BJ175" s="2820"/>
      <c r="BK175" s="2820"/>
      <c r="BL175" s="2654"/>
      <c r="BM175" s="2654"/>
      <c r="BN175" s="2654"/>
      <c r="BO175" s="2654"/>
      <c r="BP175" s="2654"/>
      <c r="BQ175" s="2654"/>
      <c r="BR175" s="2654"/>
      <c r="BS175" s="2654"/>
      <c r="BT175" s="2820"/>
      <c r="BU175" s="2583"/>
    </row>
    <row r="178" spans="1:72">
      <c r="A178" s="2568" t="s">
        <v>3160</v>
      </c>
      <c r="BI178" s="2583"/>
      <c r="BJ178" s="2824"/>
      <c r="BK178" s="2824"/>
      <c r="BL178" s="2583"/>
    </row>
    <row r="179" spans="1:72">
      <c r="A179" s="2656"/>
      <c r="B179" s="2656"/>
      <c r="C179" s="2656" t="s">
        <v>3161</v>
      </c>
      <c r="D179" s="2656"/>
      <c r="E179" s="2656"/>
      <c r="F179" s="2604" t="s">
        <v>3162</v>
      </c>
      <c r="G179" s="2604"/>
      <c r="H179" s="2604"/>
      <c r="I179" s="2604"/>
      <c r="J179" s="2604"/>
      <c r="K179" s="2604"/>
      <c r="L179" s="2604"/>
      <c r="M179" s="2604"/>
      <c r="N179" s="2604"/>
      <c r="O179" s="2604"/>
      <c r="P179" s="2604"/>
      <c r="Q179" s="2604"/>
      <c r="R179" s="2604"/>
      <c r="S179" s="2604"/>
      <c r="T179" s="2604"/>
      <c r="U179" s="2604"/>
      <c r="V179" s="2604"/>
      <c r="W179" s="2656"/>
      <c r="X179" s="2656"/>
      <c r="Y179" s="2656"/>
      <c r="Z179" s="2656"/>
      <c r="AA179" s="2656"/>
      <c r="AB179" s="2656"/>
      <c r="AC179" s="2656"/>
      <c r="AD179" s="2656"/>
      <c r="AE179" s="2656"/>
      <c r="AF179" s="2822"/>
      <c r="AG179" s="2822"/>
      <c r="AH179" s="2822"/>
      <c r="AI179" s="2822"/>
      <c r="AJ179" s="2656"/>
      <c r="AK179" s="2656"/>
      <c r="AL179" s="2822"/>
      <c r="AM179" s="2822"/>
      <c r="AN179" s="2656"/>
      <c r="AO179" s="2656"/>
      <c r="AP179" s="2656"/>
      <c r="AQ179" s="2656"/>
      <c r="AR179" s="2656"/>
      <c r="AS179" s="2656"/>
      <c r="AT179" s="2656"/>
      <c r="AU179" s="2822"/>
      <c r="AV179" s="2656"/>
      <c r="AW179" s="2656"/>
      <c r="AX179" s="2656"/>
      <c r="AY179" s="2656"/>
      <c r="AZ179" s="2604"/>
      <c r="BA179" s="2656"/>
      <c r="BB179" s="2656"/>
      <c r="BC179" s="2656"/>
      <c r="BD179" s="2656"/>
      <c r="BE179" s="2656"/>
      <c r="BF179" s="2656"/>
      <c r="BG179" s="2656"/>
      <c r="BH179" s="2822"/>
      <c r="BI179" s="2656"/>
      <c r="BJ179" s="2825">
        <v>203.09066590235977</v>
      </c>
      <c r="BK179" s="2825">
        <v>177.43861660456673</v>
      </c>
      <c r="BL179" s="2656"/>
      <c r="BM179" s="2656"/>
      <c r="BN179" s="2656"/>
      <c r="BO179" s="2656"/>
      <c r="BP179" s="2656"/>
      <c r="BQ179" s="2656"/>
      <c r="BR179" s="2656"/>
      <c r="BS179" s="2656"/>
      <c r="BT179" s="2822"/>
    </row>
    <row r="180" spans="1:72">
      <c r="H180" s="2657"/>
    </row>
  </sheetData>
  <pageMargins left="0.7" right="0.7" top="0.75" bottom="0.75" header="0.3" footer="0.3"/>
</worksheet>
</file>

<file path=xl/worksheets/sheet2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400-000000000000}">
  <sheetPr>
    <tabColor rgb="FF00B0F0"/>
  </sheetPr>
  <dimension ref="B4:W135"/>
  <sheetViews>
    <sheetView zoomScale="70" zoomScaleNormal="70" workbookViewId="0">
      <selection activeCell="N28" sqref="N28"/>
    </sheetView>
  </sheetViews>
  <sheetFormatPr defaultRowHeight="13.2"/>
  <cols>
    <col min="2" max="5" width="21.5546875" customWidth="1"/>
    <col min="8" max="12" width="19" customWidth="1"/>
    <col min="13" max="13" width="27.109375" customWidth="1"/>
    <col min="14" max="14" width="36.5546875" customWidth="1"/>
    <col min="15" max="17" width="19" customWidth="1"/>
  </cols>
  <sheetData>
    <row r="4" spans="2:23">
      <c r="B4" s="754"/>
      <c r="C4" s="754"/>
      <c r="D4" s="754"/>
      <c r="E4" s="754"/>
    </row>
    <row r="5" spans="2:23" ht="13.8" thickBot="1">
      <c r="B5" s="754"/>
      <c r="C5" s="754"/>
      <c r="D5" s="754"/>
      <c r="E5" s="754"/>
    </row>
    <row r="6" spans="2:23">
      <c r="B6" s="1022"/>
      <c r="C6" s="1007"/>
      <c r="D6" s="1007"/>
      <c r="E6" s="1008"/>
      <c r="M6" s="1017"/>
      <c r="N6" s="1007"/>
      <c r="O6" s="1007"/>
      <c r="P6" s="1007"/>
      <c r="Q6" s="1008"/>
      <c r="R6" s="958"/>
      <c r="S6" s="1022"/>
      <c r="T6" s="1007"/>
      <c r="U6" s="1007"/>
      <c r="V6" s="1007"/>
      <c r="W6" s="1008"/>
    </row>
    <row r="7" spans="2:23" ht="13.8" thickBot="1">
      <c r="B7" s="1018" t="s">
        <v>1449</v>
      </c>
      <c r="C7" s="1019"/>
      <c r="D7" s="1019"/>
      <c r="E7" s="1020"/>
      <c r="M7" s="1018" t="s">
        <v>1388</v>
      </c>
      <c r="N7" s="1019"/>
      <c r="O7" s="1019"/>
      <c r="P7" s="1019"/>
      <c r="Q7" s="1020"/>
      <c r="R7" s="958"/>
      <c r="S7" s="1018" t="s">
        <v>1394</v>
      </c>
      <c r="T7" s="1019"/>
      <c r="U7" s="1019"/>
      <c r="V7" s="1019"/>
      <c r="W7" s="1020"/>
    </row>
    <row r="8" spans="2:23">
      <c r="B8" s="1004"/>
      <c r="C8" s="984"/>
      <c r="D8" s="1009" t="s">
        <v>1352</v>
      </c>
      <c r="E8" s="985"/>
      <c r="M8" s="1004"/>
      <c r="N8" s="984"/>
      <c r="O8" s="1009" t="s">
        <v>1390</v>
      </c>
      <c r="R8" s="958"/>
      <c r="S8" s="1004"/>
      <c r="T8" s="984"/>
      <c r="U8" s="1009" t="s">
        <v>1390</v>
      </c>
      <c r="V8" s="984"/>
      <c r="W8" s="985"/>
    </row>
    <row r="9" spans="2:23">
      <c r="B9" s="1010" t="s">
        <v>1353</v>
      </c>
      <c r="C9" s="957"/>
      <c r="D9" s="926">
        <f>'SE km&amp;fuel data'!C190*1000</f>
        <v>23464</v>
      </c>
      <c r="E9" s="987"/>
      <c r="M9" s="1010" t="s">
        <v>1353</v>
      </c>
      <c r="N9" s="957"/>
      <c r="O9" s="926">
        <f>'SE km&amp;fuel data'!J37</f>
        <v>4658.8602007009904</v>
      </c>
      <c r="R9" s="958"/>
      <c r="S9" s="1010" t="s">
        <v>1353</v>
      </c>
      <c r="T9" s="957"/>
      <c r="U9" s="926">
        <f>'SE km&amp;fuel data'!F37</f>
        <v>7587.6116076760227</v>
      </c>
      <c r="V9" s="957"/>
      <c r="W9" s="987"/>
    </row>
    <row r="10" spans="2:23" ht="13.8" thickBot="1">
      <c r="B10" s="1005"/>
      <c r="C10" s="957"/>
      <c r="D10" s="957"/>
      <c r="E10" s="987"/>
      <c r="R10" s="958"/>
      <c r="S10" s="1005"/>
      <c r="T10" s="957"/>
      <c r="U10" s="957"/>
      <c r="V10" s="957"/>
      <c r="W10" s="987"/>
    </row>
    <row r="11" spans="2:23" ht="13.8" thickBot="1">
      <c r="B11" s="1006"/>
      <c r="C11" s="960"/>
      <c r="D11" s="960"/>
      <c r="E11" s="991"/>
      <c r="M11" s="996"/>
      <c r="N11" s="983"/>
      <c r="O11" s="984"/>
      <c r="P11" s="984"/>
      <c r="Q11" s="985"/>
      <c r="R11" s="958"/>
      <c r="S11" s="1006"/>
      <c r="T11" s="960"/>
      <c r="U11" s="960"/>
      <c r="V11" s="960"/>
      <c r="W11" s="991"/>
    </row>
    <row r="12" spans="2:23">
      <c r="B12" s="1004"/>
      <c r="C12" s="984"/>
      <c r="D12" s="983"/>
      <c r="E12" s="985"/>
      <c r="M12" s="997"/>
      <c r="N12" s="957"/>
      <c r="O12" s="959" t="s">
        <v>1352</v>
      </c>
      <c r="P12" s="957"/>
      <c r="Q12" s="987"/>
      <c r="R12" s="958"/>
      <c r="S12" s="1004"/>
      <c r="T12" s="984"/>
      <c r="U12" s="983" t="s">
        <v>1354</v>
      </c>
      <c r="V12" s="984"/>
      <c r="W12" s="985"/>
    </row>
    <row r="13" spans="2:23">
      <c r="B13" s="1011"/>
      <c r="C13" s="957"/>
      <c r="D13" s="957"/>
      <c r="E13" s="987"/>
      <c r="M13" s="997" t="s">
        <v>1353</v>
      </c>
      <c r="N13" s="986" t="s">
        <v>1351</v>
      </c>
      <c r="O13" s="988">
        <f>SUM('SE Roadfreight data'!J38:J48)</f>
        <v>2898.4279999999999</v>
      </c>
      <c r="P13" s="957">
        <f>O13/SUM(O13:O15)</f>
        <v>7.9905611718773667E-2</v>
      </c>
      <c r="Q13" s="987"/>
      <c r="R13" s="958"/>
      <c r="S13" s="1011"/>
      <c r="T13" s="957"/>
      <c r="U13" s="936" t="s">
        <v>656</v>
      </c>
      <c r="V13" s="957"/>
      <c r="W13" s="987"/>
    </row>
    <row r="14" spans="2:23">
      <c r="B14" s="1011" t="s">
        <v>1450</v>
      </c>
      <c r="C14" s="957"/>
      <c r="D14" s="957"/>
      <c r="E14" s="987"/>
      <c r="M14" s="997"/>
      <c r="N14" s="986" t="s">
        <v>1384</v>
      </c>
      <c r="O14" s="988">
        <f>SUM('SE Roadfreight data'!J50:J62)</f>
        <v>29839.26</v>
      </c>
      <c r="P14" s="957">
        <f>O14/SUM(O13:O15)</f>
        <v>0.82262672163515338</v>
      </c>
      <c r="Q14" s="987"/>
      <c r="R14" s="958"/>
      <c r="S14" s="1011"/>
      <c r="T14" s="957"/>
      <c r="U14" s="936" t="s">
        <v>664</v>
      </c>
      <c r="V14" s="957"/>
      <c r="W14" s="987"/>
    </row>
    <row r="15" spans="2:23">
      <c r="B15" s="1011"/>
      <c r="C15" s="957"/>
      <c r="D15" s="957"/>
      <c r="E15" s="987"/>
      <c r="M15" s="997"/>
      <c r="N15" s="986" t="s">
        <v>1385</v>
      </c>
      <c r="O15" s="989">
        <f>SUM('SE Roadfreight data'!R78)</f>
        <v>3535.4589999999998</v>
      </c>
      <c r="P15" s="957">
        <f>O15/SUM(O13:O15)</f>
        <v>9.7467666646072926E-2</v>
      </c>
      <c r="Q15" s="987"/>
      <c r="R15" s="958"/>
      <c r="S15" s="1011"/>
      <c r="T15" s="957"/>
      <c r="U15" s="944">
        <v>-3500</v>
      </c>
      <c r="V15" s="957"/>
      <c r="W15" s="987"/>
    </row>
    <row r="16" spans="2:23" ht="13.8" thickBot="1">
      <c r="B16" s="1012"/>
      <c r="C16" s="957"/>
      <c r="D16" s="992"/>
      <c r="E16" s="987"/>
      <c r="M16" s="998"/>
      <c r="N16" s="960"/>
      <c r="O16" s="990">
        <f>SUM(O13:O15)</f>
        <v>36273.146999999997</v>
      </c>
      <c r="P16" s="2324"/>
      <c r="Q16" s="2323"/>
      <c r="R16" s="958"/>
      <c r="S16" s="1012"/>
      <c r="T16" s="957"/>
      <c r="U16" s="992"/>
      <c r="V16" s="957"/>
      <c r="W16" s="987"/>
    </row>
    <row r="17" spans="2:23">
      <c r="B17" s="1013" t="s">
        <v>601</v>
      </c>
      <c r="C17" s="888"/>
      <c r="D17" s="1326">
        <v>0.25</v>
      </c>
      <c r="E17" s="1327" t="s">
        <v>1623</v>
      </c>
      <c r="M17" s="996"/>
      <c r="N17" s="984"/>
      <c r="O17" s="984"/>
      <c r="P17" s="984"/>
      <c r="Q17" s="985"/>
      <c r="R17" s="958"/>
      <c r="S17" s="1013" t="s">
        <v>601</v>
      </c>
      <c r="T17" s="888"/>
      <c r="U17" s="888">
        <v>24885.932516315766</v>
      </c>
      <c r="V17" s="993">
        <f>U17/U$21</f>
        <v>4.7460179838752926E-2</v>
      </c>
      <c r="W17" s="987"/>
    </row>
    <row r="18" spans="2:23">
      <c r="B18" s="1014" t="s">
        <v>602</v>
      </c>
      <c r="C18" s="880"/>
      <c r="D18" s="1326">
        <v>0.25</v>
      </c>
      <c r="E18" s="1327" t="s">
        <v>1623</v>
      </c>
      <c r="M18" s="997"/>
      <c r="N18" s="957"/>
      <c r="O18" s="986" t="s">
        <v>1354</v>
      </c>
      <c r="P18" s="957"/>
      <c r="Q18" s="987"/>
      <c r="R18" s="958"/>
      <c r="S18" s="1014" t="s">
        <v>602</v>
      </c>
      <c r="T18" s="880"/>
      <c r="U18" s="888">
        <v>51244.703545415039</v>
      </c>
      <c r="V18" s="993">
        <f>U18/U$21</f>
        <v>9.7729222903519902E-2</v>
      </c>
      <c r="W18" s="987"/>
    </row>
    <row r="19" spans="2:23">
      <c r="B19" s="1014" t="s">
        <v>603</v>
      </c>
      <c r="C19" s="880"/>
      <c r="D19" s="1326">
        <v>0.25</v>
      </c>
      <c r="E19" s="1327" t="s">
        <v>1623</v>
      </c>
      <c r="M19" s="999"/>
      <c r="N19" s="957"/>
      <c r="O19" s="936" t="s">
        <v>656</v>
      </c>
      <c r="P19" s="957"/>
      <c r="Q19" s="987"/>
      <c r="R19" s="958"/>
      <c r="S19" s="1014" t="s">
        <v>603</v>
      </c>
      <c r="T19" s="880"/>
      <c r="U19" s="888">
        <v>353601.92911960644</v>
      </c>
      <c r="V19" s="993">
        <f>U19/U$21</f>
        <v>0.67435733566921119</v>
      </c>
      <c r="W19" s="987"/>
    </row>
    <row r="20" spans="2:23">
      <c r="B20" s="1014" t="s">
        <v>604</v>
      </c>
      <c r="C20" s="880"/>
      <c r="D20" s="1326">
        <v>0.25</v>
      </c>
      <c r="E20" s="1327" t="s">
        <v>1623</v>
      </c>
      <c r="M20" s="999"/>
      <c r="N20" s="957"/>
      <c r="O20" s="934"/>
      <c r="P20" s="957"/>
      <c r="Q20" s="987"/>
      <c r="R20" s="958"/>
      <c r="S20" s="1014" t="s">
        <v>604</v>
      </c>
      <c r="T20" s="880"/>
      <c r="U20" s="888">
        <v>94621.379554361309</v>
      </c>
      <c r="V20" s="993">
        <f>U20/U$21</f>
        <v>0.18045326158851607</v>
      </c>
      <c r="W20" s="987"/>
    </row>
    <row r="21" spans="2:23" ht="13.8" thickBot="1">
      <c r="B21" s="1013"/>
      <c r="C21" s="1015"/>
      <c r="D21" s="893"/>
      <c r="E21" s="987"/>
      <c r="M21" s="1000"/>
      <c r="N21" s="957"/>
      <c r="O21" s="943" t="s">
        <v>667</v>
      </c>
      <c r="P21" s="957"/>
      <c r="Q21" s="987"/>
      <c r="R21" s="958"/>
      <c r="S21" s="1013"/>
      <c r="T21" s="1015"/>
      <c r="U21" s="893">
        <v>524353.94473569852</v>
      </c>
      <c r="V21" s="957"/>
      <c r="W21" s="987"/>
    </row>
    <row r="22" spans="2:23" ht="13.8" thickBot="1">
      <c r="B22" s="1006"/>
      <c r="C22" s="960"/>
      <c r="D22" s="960"/>
      <c r="E22" s="991"/>
      <c r="M22" s="997"/>
      <c r="N22" s="957"/>
      <c r="O22" s="992"/>
      <c r="P22" s="957"/>
      <c r="Q22" s="987"/>
      <c r="R22" s="958"/>
      <c r="S22" s="429"/>
      <c r="T22" s="69"/>
      <c r="U22" s="69"/>
      <c r="V22" s="69"/>
      <c r="W22" s="95"/>
    </row>
    <row r="23" spans="2:23">
      <c r="B23" s="1011"/>
      <c r="C23" s="957"/>
      <c r="D23" s="957"/>
      <c r="E23" s="987"/>
      <c r="M23" s="1001" t="s">
        <v>601</v>
      </c>
      <c r="N23" s="957"/>
      <c r="O23" s="888">
        <f>P23*$N$27</f>
        <v>3932.1494678155059</v>
      </c>
      <c r="P23" s="993">
        <v>4.9822605169792152E-2</v>
      </c>
      <c r="Q23" s="987"/>
      <c r="R23" s="958"/>
      <c r="S23" s="308"/>
      <c r="T23" s="543"/>
      <c r="U23" s="467" t="s">
        <v>2086</v>
      </c>
      <c r="V23" s="543"/>
      <c r="W23" s="547"/>
    </row>
    <row r="24" spans="2:23">
      <c r="B24" s="1166"/>
      <c r="C24" s="1159"/>
      <c r="D24" s="1167" t="s">
        <v>1352</v>
      </c>
      <c r="E24" s="987"/>
      <c r="M24" s="999" t="s">
        <v>602</v>
      </c>
      <c r="N24" s="957"/>
      <c r="O24" s="888">
        <f>P24*$N$27</f>
        <v>8329.3166117587425</v>
      </c>
      <c r="P24" s="993">
        <v>0.10553725291434364</v>
      </c>
      <c r="Q24" s="987"/>
      <c r="R24" s="958"/>
      <c r="S24" s="308"/>
      <c r="T24" s="467" t="s">
        <v>1353</v>
      </c>
      <c r="U24" s="543">
        <f>(U9*1000000)/U21</f>
        <v>14470.400544999373</v>
      </c>
      <c r="V24" s="543"/>
      <c r="W24" s="547"/>
    </row>
    <row r="25" spans="2:23" ht="13.8" thickBot="1">
      <c r="B25" s="1158" t="s">
        <v>601</v>
      </c>
      <c r="C25" s="1159"/>
      <c r="D25" s="1160">
        <f>D9*D17</f>
        <v>5866</v>
      </c>
      <c r="E25" s="987"/>
      <c r="M25" s="999" t="s">
        <v>603</v>
      </c>
      <c r="N25" s="957"/>
      <c r="O25" s="888">
        <f>P25*$N$27</f>
        <v>49776.892105930063</v>
      </c>
      <c r="P25" s="993">
        <v>0.63070197668525096</v>
      </c>
      <c r="Q25" s="987"/>
      <c r="R25" s="958"/>
      <c r="S25" s="1006"/>
      <c r="T25" s="960"/>
      <c r="U25" s="960"/>
      <c r="V25" s="960"/>
      <c r="W25" s="991"/>
    </row>
    <row r="26" spans="2:23">
      <c r="B26" s="1161" t="s">
        <v>602</v>
      </c>
      <c r="C26" s="1159"/>
      <c r="D26" s="1160">
        <f>D9*D18</f>
        <v>5866</v>
      </c>
      <c r="E26" s="987"/>
      <c r="M26" s="999" t="s">
        <v>604</v>
      </c>
      <c r="N26" s="957"/>
      <c r="O26" s="888">
        <f>P26*$N$27</f>
        <v>16884.641814495692</v>
      </c>
      <c r="P26" s="993">
        <v>0.21393816523061329</v>
      </c>
      <c r="Q26" s="987"/>
      <c r="R26" s="958"/>
      <c r="S26" s="1011"/>
      <c r="T26" s="957"/>
      <c r="U26" s="957"/>
      <c r="V26" s="957"/>
      <c r="W26" s="987"/>
    </row>
    <row r="27" spans="2:23">
      <c r="B27" s="1161" t="s">
        <v>603</v>
      </c>
      <c r="C27" s="1159"/>
      <c r="D27" s="1160">
        <f>D9*D19</f>
        <v>5866</v>
      </c>
      <c r="E27" s="987"/>
      <c r="M27" s="997"/>
      <c r="N27" s="988">
        <f>'SE Roadfreight data'!J226</f>
        <v>78923</v>
      </c>
      <c r="O27" s="994">
        <f>SUM(O23:O26)</f>
        <v>78923</v>
      </c>
      <c r="P27" s="957"/>
      <c r="Q27" s="987"/>
      <c r="R27" s="958"/>
      <c r="S27" s="1012"/>
      <c r="T27" s="957"/>
      <c r="U27" s="959" t="s">
        <v>1390</v>
      </c>
      <c r="V27" s="957"/>
      <c r="W27" s="987"/>
    </row>
    <row r="28" spans="2:23">
      <c r="B28" s="1161" t="s">
        <v>604</v>
      </c>
      <c r="C28" s="1159"/>
      <c r="D28" s="1160">
        <f>D9*D20</f>
        <v>5866</v>
      </c>
      <c r="E28" s="987"/>
      <c r="M28" s="997"/>
      <c r="N28" s="957"/>
      <c r="O28" s="957"/>
      <c r="P28" s="957"/>
      <c r="Q28" s="987"/>
      <c r="R28" s="958"/>
      <c r="S28" s="1013" t="s">
        <v>601</v>
      </c>
      <c r="T28" s="957"/>
      <c r="U28" s="1016">
        <f>U$9*V17</f>
        <v>360.10941144691327</v>
      </c>
      <c r="V28" s="957"/>
      <c r="W28" s="987"/>
    </row>
    <row r="29" spans="2:23" ht="13.8" thickBot="1">
      <c r="B29" s="1013"/>
      <c r="C29" s="957"/>
      <c r="D29" s="957"/>
      <c r="E29" s="987"/>
      <c r="M29" s="998"/>
      <c r="N29" s="960"/>
      <c r="O29" s="960"/>
      <c r="P29" s="960"/>
      <c r="Q29" s="991"/>
      <c r="R29" s="958"/>
      <c r="S29" s="1014" t="s">
        <v>602</v>
      </c>
      <c r="T29" s="957"/>
      <c r="U29" s="1016">
        <f>U$9*V18</f>
        <v>741.53138611190502</v>
      </c>
      <c r="V29" s="957"/>
      <c r="W29" s="987"/>
    </row>
    <row r="30" spans="2:23" ht="13.8" thickBot="1">
      <c r="B30" s="1006"/>
      <c r="C30" s="960"/>
      <c r="D30" s="960"/>
      <c r="E30" s="991"/>
      <c r="M30" s="996"/>
      <c r="N30" s="984"/>
      <c r="O30" s="959" t="s">
        <v>1352</v>
      </c>
      <c r="P30" s="984"/>
      <c r="Q30" s="985"/>
      <c r="R30" s="958"/>
      <c r="S30" s="1014" t="s">
        <v>603</v>
      </c>
      <c r="T30" s="957"/>
      <c r="U30" s="1016">
        <f>U$9*V19</f>
        <v>5116.7615478451826</v>
      </c>
      <c r="V30" s="957"/>
      <c r="W30" s="987"/>
    </row>
    <row r="31" spans="2:23">
      <c r="B31" s="1024" t="s">
        <v>1451</v>
      </c>
      <c r="C31" s="984"/>
      <c r="D31" s="984"/>
      <c r="E31" s="985"/>
      <c r="M31" s="1158" t="s">
        <v>601</v>
      </c>
      <c r="N31" s="1162" t="s">
        <v>1351</v>
      </c>
      <c r="O31" s="1164">
        <f>O13*P$23</f>
        <v>144.40723385707031</v>
      </c>
      <c r="P31" s="957"/>
      <c r="Q31" s="987"/>
      <c r="R31" s="958"/>
      <c r="S31" s="1014" t="s">
        <v>604</v>
      </c>
      <c r="T31" s="957"/>
      <c r="U31" s="1016">
        <f>U$9*V20</f>
        <v>1369.2092622720222</v>
      </c>
      <c r="V31" s="957"/>
      <c r="W31" s="987"/>
    </row>
    <row r="32" spans="2:23">
      <c r="B32" s="1005"/>
      <c r="C32" s="957"/>
      <c r="D32" s="986" t="s">
        <v>1392</v>
      </c>
      <c r="E32" s="987"/>
      <c r="M32" s="1165"/>
      <c r="N32" s="1162" t="s">
        <v>1386</v>
      </c>
      <c r="O32" s="1164">
        <f>O14*P$23</f>
        <v>1486.669669538772</v>
      </c>
      <c r="P32" s="957"/>
      <c r="Q32" s="987"/>
      <c r="R32" s="958"/>
      <c r="S32" s="1013"/>
      <c r="T32" s="957"/>
      <c r="U32" s="957"/>
      <c r="V32" s="957"/>
      <c r="W32" s="987"/>
    </row>
    <row r="33" spans="2:23" ht="13.8" thickBot="1">
      <c r="B33" s="1005"/>
      <c r="C33" s="957"/>
      <c r="D33" s="1021">
        <v>553</v>
      </c>
      <c r="E33" s="987"/>
      <c r="M33" s="1165"/>
      <c r="N33" s="1162" t="s">
        <v>1387</v>
      </c>
      <c r="O33" s="1164">
        <f>O15*P$23</f>
        <v>176.14577785098817</v>
      </c>
      <c r="P33" s="957"/>
      <c r="Q33" s="987"/>
      <c r="R33" s="958"/>
      <c r="S33" s="1006"/>
      <c r="T33" s="960"/>
      <c r="U33" s="960"/>
      <c r="V33" s="960"/>
      <c r="W33" s="991"/>
    </row>
    <row r="34" spans="2:23" ht="13.8" thickBot="1">
      <c r="B34" s="1006"/>
      <c r="C34" s="960"/>
      <c r="D34" s="960"/>
      <c r="E34" s="991"/>
      <c r="M34" s="1161" t="s">
        <v>602</v>
      </c>
      <c r="N34" s="1162" t="s">
        <v>1351</v>
      </c>
      <c r="O34" s="1164">
        <f>O13*P$24</f>
        <v>305.89212889001521</v>
      </c>
      <c r="P34" s="957"/>
      <c r="Q34" s="987"/>
      <c r="R34" s="958"/>
      <c r="S34" s="1024" t="s">
        <v>1391</v>
      </c>
      <c r="T34" s="984"/>
      <c r="U34" s="984"/>
      <c r="V34" s="984"/>
      <c r="W34" s="985"/>
    </row>
    <row r="35" spans="2:23">
      <c r="B35" s="1011"/>
      <c r="C35" s="957"/>
      <c r="D35" s="957"/>
      <c r="E35" s="987"/>
      <c r="M35" s="1165"/>
      <c r="N35" s="1162" t="s">
        <v>1386</v>
      </c>
      <c r="O35" s="1164">
        <f>O14*P$24</f>
        <v>3149.1535293968573</v>
      </c>
      <c r="P35" s="957"/>
      <c r="Q35" s="987"/>
      <c r="R35" s="958"/>
      <c r="S35" s="1005"/>
      <c r="T35" s="957"/>
      <c r="U35" s="986" t="s">
        <v>1392</v>
      </c>
      <c r="V35" s="957"/>
      <c r="W35" s="987"/>
    </row>
    <row r="36" spans="2:23">
      <c r="B36" s="1011"/>
      <c r="C36" s="957"/>
      <c r="D36" s="957"/>
      <c r="E36" s="987"/>
      <c r="M36" s="1165"/>
      <c r="N36" s="1162" t="s">
        <v>1387</v>
      </c>
      <c r="O36" s="1164">
        <f>O15*P$24</f>
        <v>373.12263065129241</v>
      </c>
      <c r="P36" s="957"/>
      <c r="Q36" s="987"/>
      <c r="R36" s="958"/>
      <c r="S36" s="1005"/>
      <c r="T36" s="957"/>
      <c r="U36" s="1021">
        <v>0.4</v>
      </c>
      <c r="V36" s="957"/>
      <c r="W36" s="987"/>
    </row>
    <row r="37" spans="2:23" ht="13.8" thickBot="1">
      <c r="B37" s="1012"/>
      <c r="C37" s="957"/>
      <c r="D37" s="959" t="s">
        <v>1390</v>
      </c>
      <c r="E37" s="987"/>
      <c r="M37" s="1161" t="s">
        <v>603</v>
      </c>
      <c r="N37" s="1162" t="s">
        <v>1351</v>
      </c>
      <c r="O37" s="1164">
        <f>O13*P$25</f>
        <v>1828.0442688798785</v>
      </c>
      <c r="P37" s="957"/>
      <c r="Q37" s="987"/>
      <c r="R37" s="957"/>
      <c r="S37" s="1006"/>
      <c r="T37" s="960"/>
      <c r="U37" s="960"/>
      <c r="V37" s="960"/>
      <c r="W37" s="991"/>
    </row>
    <row r="38" spans="2:23">
      <c r="B38" s="1013" t="s">
        <v>601</v>
      </c>
      <c r="C38" s="957"/>
      <c r="D38" s="995">
        <f>D25/D33</f>
        <v>10.60759493670886</v>
      </c>
      <c r="E38" s="987"/>
      <c r="M38" s="1165"/>
      <c r="N38" s="1162" t="s">
        <v>1386</v>
      </c>
      <c r="O38" s="1164">
        <f>O14*P$25</f>
        <v>18819.68026482514</v>
      </c>
      <c r="P38" s="957"/>
      <c r="Q38" s="987"/>
      <c r="R38" s="957"/>
      <c r="S38" s="1011"/>
      <c r="T38" s="957"/>
      <c r="U38" s="957"/>
      <c r="V38" s="957"/>
      <c r="W38" s="987"/>
    </row>
    <row r="39" spans="2:23">
      <c r="B39" s="1014" t="s">
        <v>602</v>
      </c>
      <c r="C39" s="957"/>
      <c r="D39" s="995">
        <f>D26/D33</f>
        <v>10.60759493670886</v>
      </c>
      <c r="E39" s="987"/>
      <c r="M39" s="1165"/>
      <c r="N39" s="1162" t="s">
        <v>1387</v>
      </c>
      <c r="O39" s="1164">
        <f>O15*P$25</f>
        <v>2229.8209797896607</v>
      </c>
      <c r="P39" s="957"/>
      <c r="Q39" s="987"/>
      <c r="R39" s="958"/>
      <c r="S39" s="1011"/>
      <c r="T39" s="957"/>
      <c r="U39" s="957"/>
      <c r="V39" s="957"/>
      <c r="W39" s="987"/>
    </row>
    <row r="40" spans="2:23">
      <c r="B40" s="1014" t="s">
        <v>603</v>
      </c>
      <c r="C40" s="957"/>
      <c r="D40" s="995">
        <f>D27/D33</f>
        <v>10.60759493670886</v>
      </c>
      <c r="E40" s="987"/>
      <c r="M40" s="1161" t="s">
        <v>604</v>
      </c>
      <c r="N40" s="1162" t="s">
        <v>1351</v>
      </c>
      <c r="O40" s="1164">
        <f>O13*P$26</f>
        <v>620.084368373036</v>
      </c>
      <c r="P40" s="957"/>
      <c r="Q40" s="987"/>
      <c r="R40" s="958"/>
      <c r="S40" s="1012"/>
      <c r="T40" s="957"/>
      <c r="U40" s="959" t="s">
        <v>1352</v>
      </c>
      <c r="V40" s="986" t="s">
        <v>1829</v>
      </c>
      <c r="W40" s="987"/>
    </row>
    <row r="41" spans="2:23">
      <c r="B41" s="1014" t="s">
        <v>604</v>
      </c>
      <c r="C41" s="957"/>
      <c r="D41" s="995">
        <f>D28/D33</f>
        <v>10.60759493670886</v>
      </c>
      <c r="E41" s="987"/>
      <c r="M41" s="1165"/>
      <c r="N41" s="1162" t="s">
        <v>1386</v>
      </c>
      <c r="O41" s="1164">
        <f>O14*P$26</f>
        <v>6383.7565362392297</v>
      </c>
      <c r="P41" s="957"/>
      <c r="Q41" s="987"/>
      <c r="R41" s="958"/>
      <c r="S41" s="1013" t="s">
        <v>601</v>
      </c>
      <c r="T41" s="957"/>
      <c r="U41" s="1016">
        <f>U28*U$36</f>
        <v>144.04376457876532</v>
      </c>
      <c r="V41" s="1626"/>
      <c r="W41" s="987"/>
    </row>
    <row r="42" spans="2:23">
      <c r="B42" s="1013"/>
      <c r="C42" s="957"/>
      <c r="D42" s="1044">
        <f>SUM(D38:D41)</f>
        <v>42.430379746835442</v>
      </c>
      <c r="E42" s="987"/>
      <c r="M42" s="1165"/>
      <c r="N42" s="1162" t="s">
        <v>1387</v>
      </c>
      <c r="O42" s="1164">
        <f>O15*P$26</f>
        <v>756.36961170805876</v>
      </c>
      <c r="P42" s="957"/>
      <c r="Q42" s="987"/>
      <c r="R42" s="958"/>
      <c r="S42" s="1014" t="s">
        <v>602</v>
      </c>
      <c r="T42" s="957"/>
      <c r="U42" s="1016">
        <f>U29*U$36</f>
        <v>296.612554444762</v>
      </c>
      <c r="V42" s="1626"/>
      <c r="W42" s="987"/>
    </row>
    <row r="43" spans="2:23" ht="13.8" thickBot="1">
      <c r="B43" s="1006"/>
      <c r="C43" s="960"/>
      <c r="D43" s="960"/>
      <c r="E43" s="991"/>
      <c r="M43" s="997"/>
      <c r="N43" s="957"/>
      <c r="O43" s="1003">
        <f>SUM(O31:O42)</f>
        <v>36273.146999999997</v>
      </c>
      <c r="P43" s="957"/>
      <c r="Q43" s="987"/>
      <c r="R43" s="958"/>
      <c r="S43" s="1014" t="s">
        <v>603</v>
      </c>
      <c r="T43" s="957"/>
      <c r="U43" s="1016">
        <f>U30*U$36</f>
        <v>2046.7046191380732</v>
      </c>
      <c r="V43" s="1626"/>
      <c r="W43" s="987"/>
    </row>
    <row r="44" spans="2:23" ht="13.8" thickBot="1">
      <c r="M44" s="998"/>
      <c r="N44" s="960"/>
      <c r="O44" s="960"/>
      <c r="P44" s="960"/>
      <c r="Q44" s="991"/>
      <c r="R44" s="958"/>
      <c r="S44" s="1014" t="s">
        <v>604</v>
      </c>
      <c r="T44" s="957"/>
      <c r="U44" s="1016">
        <f>U31*U$36</f>
        <v>547.68370490880886</v>
      </c>
      <c r="V44" s="1626"/>
      <c r="W44" s="987"/>
    </row>
    <row r="45" spans="2:23">
      <c r="M45" s="1024" t="s">
        <v>2087</v>
      </c>
      <c r="N45" s="984"/>
      <c r="O45" s="984"/>
      <c r="P45" s="984"/>
      <c r="Q45" s="985"/>
      <c r="R45" s="958"/>
      <c r="S45" s="1013"/>
      <c r="T45" s="957"/>
      <c r="U45" s="1023">
        <f>SUM(U41:U44)</f>
        <v>3035.0446430704096</v>
      </c>
      <c r="V45" s="957"/>
      <c r="W45" s="987"/>
    </row>
    <row r="46" spans="2:23" ht="13.8" thickBot="1">
      <c r="M46" s="1005"/>
      <c r="N46" s="957"/>
      <c r="O46" s="986" t="s">
        <v>1392</v>
      </c>
      <c r="P46" s="957"/>
      <c r="Q46" s="987"/>
      <c r="R46" s="958"/>
      <c r="S46" s="1006"/>
      <c r="T46" s="960"/>
      <c r="U46" s="960"/>
      <c r="V46" s="960"/>
      <c r="W46" s="991"/>
    </row>
    <row r="47" spans="2:23">
      <c r="M47" s="1005"/>
      <c r="N47" s="957"/>
      <c r="O47" s="1021">
        <f>O16/O9</f>
        <v>7.7858414799701858</v>
      </c>
      <c r="P47" s="957"/>
      <c r="Q47" s="987"/>
      <c r="R47" s="958"/>
      <c r="S47" s="1024" t="s">
        <v>1393</v>
      </c>
      <c r="T47" s="984"/>
      <c r="U47" s="984"/>
      <c r="V47" s="984"/>
      <c r="W47" s="985"/>
    </row>
    <row r="48" spans="2:23" ht="13.8" thickBot="1">
      <c r="M48" s="427"/>
      <c r="N48" s="390"/>
      <c r="O48" s="390"/>
      <c r="P48" s="390"/>
      <c r="Q48" s="991"/>
      <c r="R48" s="958"/>
      <c r="S48" s="1005"/>
      <c r="T48" s="957"/>
      <c r="U48" s="957"/>
      <c r="V48" s="957"/>
      <c r="W48" s="987"/>
    </row>
    <row r="49" spans="2:23" ht="13.8" thickBot="1">
      <c r="B49" s="754"/>
      <c r="C49" s="754"/>
      <c r="D49" s="754"/>
      <c r="E49" s="754"/>
      <c r="M49" s="429"/>
      <c r="N49" s="69"/>
      <c r="O49" s="69"/>
      <c r="P49" s="69"/>
      <c r="Q49" s="985"/>
      <c r="R49" s="958"/>
      <c r="S49" s="1005"/>
      <c r="T49" s="986" t="s">
        <v>399</v>
      </c>
      <c r="U49" s="957">
        <v>0.34</v>
      </c>
      <c r="V49" s="957"/>
      <c r="W49" s="987"/>
    </row>
    <row r="50" spans="2:23">
      <c r="B50" s="1151" t="s">
        <v>188</v>
      </c>
      <c r="C50" s="1123"/>
      <c r="D50" s="1123"/>
      <c r="E50" s="1123"/>
      <c r="F50" s="1123"/>
      <c r="G50" s="1123"/>
      <c r="H50" s="1124"/>
      <c r="M50" s="308"/>
      <c r="N50" s="543"/>
      <c r="O50" s="543"/>
      <c r="P50" s="543"/>
      <c r="Q50" s="987"/>
      <c r="R50" s="958"/>
      <c r="S50" s="1005"/>
      <c r="T50" s="986" t="s">
        <v>397</v>
      </c>
      <c r="U50" s="957">
        <f>1-U49</f>
        <v>0.65999999999999992</v>
      </c>
      <c r="V50" s="957"/>
      <c r="W50" s="987"/>
    </row>
    <row r="51" spans="2:23" ht="13.8" thickBot="1">
      <c r="B51" s="1125">
        <v>2010</v>
      </c>
      <c r="C51" s="873"/>
      <c r="D51" s="873"/>
      <c r="E51" s="873"/>
      <c r="F51" s="873"/>
      <c r="G51" s="873"/>
      <c r="H51" s="1126"/>
      <c r="M51" s="308"/>
      <c r="N51" s="543"/>
      <c r="O51" s="467" t="s">
        <v>2086</v>
      </c>
      <c r="P51" s="543"/>
      <c r="Q51" s="987"/>
      <c r="R51" s="958"/>
      <c r="S51" s="1006"/>
      <c r="T51" s="960"/>
      <c r="U51" s="960"/>
      <c r="V51" s="960"/>
      <c r="W51" s="991"/>
    </row>
    <row r="52" spans="2:23" ht="13.8" thickBot="1">
      <c r="B52" s="1106" t="s">
        <v>1824</v>
      </c>
      <c r="C52" s="1118"/>
      <c r="D52" s="1118"/>
      <c r="E52" s="1118"/>
      <c r="F52" s="1118"/>
      <c r="G52" s="1118"/>
      <c r="H52" s="1313"/>
      <c r="M52" s="308"/>
      <c r="N52" s="467" t="s">
        <v>1353</v>
      </c>
      <c r="O52" s="1627">
        <f>(O9*1000000)/O27</f>
        <v>59030.449941094368</v>
      </c>
      <c r="P52" s="543"/>
      <c r="Q52" s="987"/>
      <c r="R52" s="958"/>
      <c r="S52" s="1025"/>
      <c r="T52" s="984"/>
      <c r="U52" s="984"/>
      <c r="V52" s="984"/>
      <c r="W52" s="985"/>
    </row>
    <row r="53" spans="2:23" ht="13.8" thickBot="1">
      <c r="B53" s="1108"/>
      <c r="C53" s="467"/>
      <c r="D53" s="467"/>
      <c r="E53" s="467"/>
      <c r="F53" s="467"/>
      <c r="G53" s="467"/>
      <c r="H53" s="1311"/>
      <c r="I53" s="429"/>
      <c r="J53" s="95"/>
      <c r="M53" s="427"/>
      <c r="N53" s="390"/>
      <c r="O53" s="960"/>
      <c r="P53" s="960"/>
      <c r="Q53" s="991"/>
      <c r="R53" s="958"/>
      <c r="S53" s="1011"/>
      <c r="T53" s="957"/>
      <c r="U53" s="957"/>
      <c r="V53" s="957"/>
      <c r="W53" s="987"/>
    </row>
    <row r="54" spans="2:23">
      <c r="B54" s="1108"/>
      <c r="C54" s="467"/>
      <c r="D54" s="467"/>
      <c r="E54" s="467"/>
      <c r="F54" s="467"/>
      <c r="G54" s="467"/>
      <c r="H54" s="1311"/>
      <c r="I54" s="1324">
        <v>23463779546.863583</v>
      </c>
      <c r="J54" s="1311" t="s">
        <v>1828</v>
      </c>
      <c r="O54" s="958"/>
      <c r="P54" s="958"/>
      <c r="Q54" s="958"/>
      <c r="R54" s="958"/>
      <c r="S54" s="1012"/>
      <c r="T54" s="957"/>
      <c r="U54" s="959" t="s">
        <v>1352</v>
      </c>
      <c r="V54" s="957"/>
      <c r="W54" s="987"/>
    </row>
    <row r="55" spans="2:23">
      <c r="B55" s="1108"/>
      <c r="C55" s="467"/>
      <c r="D55" s="467"/>
      <c r="E55" s="467"/>
      <c r="F55" s="467"/>
      <c r="G55" s="467"/>
      <c r="H55" s="1311"/>
      <c r="I55" s="308">
        <v>42447129</v>
      </c>
      <c r="J55" s="1311" t="s">
        <v>1827</v>
      </c>
      <c r="O55" s="958"/>
      <c r="P55" s="958"/>
      <c r="Q55" s="958"/>
      <c r="R55" s="958"/>
      <c r="S55" s="1158" t="s">
        <v>601</v>
      </c>
      <c r="T55" s="1162" t="s">
        <v>1351</v>
      </c>
      <c r="U55" s="1160">
        <f>U49*U$41</f>
        <v>48.974879956780214</v>
      </c>
      <c r="V55" s="957"/>
      <c r="W55" s="987"/>
    </row>
    <row r="56" spans="2:23">
      <c r="B56" s="1108" t="s">
        <v>1815</v>
      </c>
      <c r="C56" s="467"/>
      <c r="D56" s="467" t="s">
        <v>1816</v>
      </c>
      <c r="E56" s="467" t="s">
        <v>1694</v>
      </c>
      <c r="F56" s="467"/>
      <c r="G56" s="467">
        <v>334</v>
      </c>
      <c r="H56" s="1311"/>
      <c r="I56" s="308"/>
      <c r="J56" s="547"/>
      <c r="O56" s="958"/>
      <c r="P56" s="958"/>
      <c r="Q56" s="958"/>
      <c r="R56" s="958"/>
      <c r="S56" s="1163"/>
      <c r="T56" s="1162" t="s">
        <v>1395</v>
      </c>
      <c r="U56" s="1160">
        <f>U50*U$41</f>
        <v>95.068884621985106</v>
      </c>
      <c r="V56" s="957"/>
      <c r="W56" s="987"/>
    </row>
    <row r="57" spans="2:23">
      <c r="B57" s="1108" t="s">
        <v>1815</v>
      </c>
      <c r="C57" s="467"/>
      <c r="D57" s="467" t="s">
        <v>1816</v>
      </c>
      <c r="E57" s="467" t="s">
        <v>1695</v>
      </c>
      <c r="F57" s="467"/>
      <c r="G57" s="467">
        <v>219</v>
      </c>
      <c r="H57" s="1311"/>
      <c r="I57" s="308">
        <v>552.77659760837025</v>
      </c>
      <c r="J57" s="1311" t="s">
        <v>1829</v>
      </c>
      <c r="O57" s="958"/>
      <c r="P57" s="958"/>
      <c r="Q57" s="958"/>
      <c r="R57" s="958"/>
      <c r="S57" s="1161" t="s">
        <v>602</v>
      </c>
      <c r="T57" s="1162" t="s">
        <v>1351</v>
      </c>
      <c r="U57" s="1160">
        <f>U49*U$42</f>
        <v>100.84826851121909</v>
      </c>
      <c r="V57" s="957"/>
      <c r="W57" s="987"/>
    </row>
    <row r="58" spans="2:23" ht="13.8" thickBot="1">
      <c r="B58" s="1108" t="s">
        <v>1815</v>
      </c>
      <c r="C58" s="467"/>
      <c r="D58" s="467" t="s">
        <v>1816</v>
      </c>
      <c r="E58" s="467" t="s">
        <v>1696</v>
      </c>
      <c r="F58" s="467"/>
      <c r="G58" s="467" t="s">
        <v>1350</v>
      </c>
      <c r="H58" s="1311"/>
      <c r="I58" s="427"/>
      <c r="J58" s="428"/>
      <c r="O58" s="958"/>
      <c r="P58" s="958"/>
      <c r="Q58" s="958"/>
      <c r="R58" s="958"/>
      <c r="S58" s="1163"/>
      <c r="T58" s="1162" t="s">
        <v>1395</v>
      </c>
      <c r="U58" s="1160">
        <f>U50*U$42</f>
        <v>195.76428593354291</v>
      </c>
      <c r="V58" s="957"/>
      <c r="W58" s="987"/>
    </row>
    <row r="59" spans="2:23">
      <c r="B59" s="1108" t="s">
        <v>1815</v>
      </c>
      <c r="C59" s="467"/>
      <c r="D59" s="467" t="s">
        <v>1816</v>
      </c>
      <c r="E59" s="467" t="s">
        <v>1698</v>
      </c>
      <c r="F59" s="467"/>
      <c r="G59" s="467">
        <v>57</v>
      </c>
      <c r="H59" s="1311"/>
      <c r="N59" s="958"/>
      <c r="O59" s="958"/>
      <c r="P59" s="958"/>
      <c r="Q59" s="958"/>
      <c r="R59" s="958"/>
      <c r="S59" s="1161" t="s">
        <v>603</v>
      </c>
      <c r="T59" s="1162" t="s">
        <v>1351</v>
      </c>
      <c r="U59" s="1160">
        <f>U49*U$43</f>
        <v>695.8795705069449</v>
      </c>
      <c r="V59" s="957"/>
      <c r="W59" s="987"/>
    </row>
    <row r="60" spans="2:23">
      <c r="B60" s="1108"/>
      <c r="C60" s="467"/>
      <c r="D60" s="467"/>
      <c r="E60" s="467"/>
      <c r="F60" s="467"/>
      <c r="G60" s="561">
        <f>SUM(G56:G59)</f>
        <v>610</v>
      </c>
      <c r="H60" s="1311"/>
      <c r="N60" s="958"/>
      <c r="O60" s="958"/>
      <c r="P60" s="958"/>
      <c r="Q60" s="958"/>
      <c r="R60" s="958"/>
      <c r="S60" s="1163"/>
      <c r="T60" s="1162" t="s">
        <v>1395</v>
      </c>
      <c r="U60" s="1160">
        <f>U50*U$43</f>
        <v>1350.8250486311281</v>
      </c>
      <c r="V60" s="957"/>
      <c r="W60" s="987"/>
    </row>
    <row r="61" spans="2:23">
      <c r="B61" s="308"/>
      <c r="C61" s="543"/>
      <c r="D61" s="543"/>
      <c r="E61" s="543"/>
      <c r="F61" s="543"/>
      <c r="G61" s="165"/>
      <c r="H61" s="547"/>
      <c r="N61" s="958"/>
      <c r="O61" s="958"/>
      <c r="P61" s="958"/>
      <c r="Q61" s="958"/>
      <c r="R61" s="958"/>
      <c r="S61" s="1161" t="s">
        <v>604</v>
      </c>
      <c r="T61" s="1162" t="s">
        <v>1351</v>
      </c>
      <c r="U61" s="1160">
        <f>U49*U$44</f>
        <v>186.21245966899502</v>
      </c>
      <c r="V61" s="957"/>
      <c r="W61" s="987"/>
    </row>
    <row r="62" spans="2:23" ht="13.8" thickBot="1">
      <c r="B62" s="427"/>
      <c r="C62" s="390"/>
      <c r="D62" s="390"/>
      <c r="E62" s="390"/>
      <c r="F62" s="390"/>
      <c r="G62" s="390"/>
      <c r="H62" s="428"/>
      <c r="S62" s="1163"/>
      <c r="T62" s="1162" t="s">
        <v>1395</v>
      </c>
      <c r="U62" s="1160">
        <f>U50*U$44</f>
        <v>361.47124523981381</v>
      </c>
      <c r="V62" s="957"/>
      <c r="W62" s="987"/>
    </row>
    <row r="63" spans="2:23">
      <c r="B63" s="429"/>
      <c r="C63" s="69"/>
      <c r="D63" s="69"/>
      <c r="E63" s="95"/>
      <c r="S63" s="1005"/>
      <c r="T63" s="957"/>
      <c r="U63" s="1023">
        <f>SUM(U55:U62)</f>
        <v>3035.0446430704092</v>
      </c>
      <c r="V63" s="957"/>
      <c r="W63" s="987"/>
    </row>
    <row r="64" spans="2:23" ht="13.8" thickBot="1">
      <c r="B64" s="1108"/>
      <c r="C64" s="543"/>
      <c r="D64" s="543"/>
      <c r="E64" s="547"/>
      <c r="S64" s="1006"/>
      <c r="T64" s="960"/>
      <c r="U64" s="960"/>
      <c r="V64" s="960"/>
      <c r="W64" s="991"/>
    </row>
    <row r="65" spans="2:5" s="754" customFormat="1">
      <c r="B65" s="308"/>
      <c r="C65" s="543"/>
      <c r="D65" s="959" t="s">
        <v>1390</v>
      </c>
      <c r="E65" s="547"/>
    </row>
    <row r="66" spans="2:5" s="754" customFormat="1">
      <c r="B66" s="1105" t="s">
        <v>61</v>
      </c>
      <c r="C66" s="543"/>
      <c r="D66" s="543">
        <f>D42*(G57+G59)/G60</f>
        <v>19.198007885453414</v>
      </c>
      <c r="E66" s="547"/>
    </row>
    <row r="67" spans="2:5" s="754" customFormat="1">
      <c r="B67" s="1105" t="s">
        <v>627</v>
      </c>
      <c r="C67" s="543"/>
      <c r="D67" s="543">
        <f>D42*(G56)/G60</f>
        <v>23.232371861382031</v>
      </c>
      <c r="E67" s="547"/>
    </row>
    <row r="68" spans="2:5" s="754" customFormat="1">
      <c r="B68" s="1105"/>
      <c r="C68" s="543"/>
      <c r="D68" s="543">
        <f>SUM(D66:D67)</f>
        <v>42.430379746835442</v>
      </c>
      <c r="E68" s="547"/>
    </row>
    <row r="69" spans="2:5" s="754" customFormat="1">
      <c r="B69" s="1105"/>
      <c r="C69" s="543"/>
      <c r="D69" s="543"/>
      <c r="E69" s="547"/>
    </row>
    <row r="70" spans="2:5" s="754" customFormat="1">
      <c r="B70" s="1105"/>
      <c r="C70" s="543"/>
      <c r="D70" s="543"/>
      <c r="E70" s="547"/>
    </row>
    <row r="71" spans="2:5" s="754" customFormat="1">
      <c r="B71" s="1105"/>
      <c r="C71" s="543"/>
      <c r="D71" s="561" t="s">
        <v>44</v>
      </c>
      <c r="E71" s="547"/>
    </row>
    <row r="72" spans="2:5" s="754" customFormat="1">
      <c r="B72" s="1105"/>
      <c r="C72" s="543"/>
      <c r="D72" s="543"/>
      <c r="E72" s="547"/>
    </row>
    <row r="73" spans="2:5" s="754" customFormat="1">
      <c r="B73" s="1105" t="s">
        <v>61</v>
      </c>
      <c r="C73" s="543"/>
      <c r="D73" s="277">
        <f>'SE km&amp;fuel data'!J315</f>
        <v>0.60277503297576951</v>
      </c>
      <c r="E73" s="547"/>
    </row>
    <row r="74" spans="2:5" s="754" customFormat="1">
      <c r="B74" s="1105" t="s">
        <v>627</v>
      </c>
      <c r="C74" s="543"/>
      <c r="D74" s="277">
        <f>'SE km&amp;fuel data'!J310</f>
        <v>3.192876</v>
      </c>
      <c r="E74" s="547"/>
    </row>
    <row r="75" spans="2:5" s="754" customFormat="1">
      <c r="B75" s="1105"/>
      <c r="C75" s="543"/>
      <c r="D75" s="543"/>
      <c r="E75" s="547"/>
    </row>
    <row r="76" spans="2:5" s="754" customFormat="1">
      <c r="B76" s="1105"/>
      <c r="C76" s="543"/>
      <c r="D76" s="561" t="s">
        <v>393</v>
      </c>
      <c r="E76" s="547"/>
    </row>
    <row r="77" spans="2:5" s="754" customFormat="1">
      <c r="B77" s="1105" t="s">
        <v>61</v>
      </c>
      <c r="C77" s="543"/>
      <c r="D77" s="272">
        <f>(D73*10^9)/(D66*10^6)</f>
        <v>31.397790675588801</v>
      </c>
      <c r="E77" s="547"/>
    </row>
    <row r="78" spans="2:5" s="754" customFormat="1">
      <c r="B78" s="1105" t="s">
        <v>2065</v>
      </c>
      <c r="C78" s="543"/>
      <c r="D78" s="272">
        <f>(D74*10^9)/(D67*10^6)</f>
        <v>137.43220102753918</v>
      </c>
      <c r="E78" s="547"/>
    </row>
    <row r="79" spans="2:5" s="754" customFormat="1">
      <c r="B79" s="1105"/>
      <c r="C79" s="543"/>
      <c r="D79" s="543"/>
      <c r="E79" s="547"/>
    </row>
    <row r="80" spans="2:5" s="754" customFormat="1">
      <c r="B80" s="1105"/>
      <c r="C80" s="543"/>
      <c r="D80" s="561" t="s">
        <v>2066</v>
      </c>
      <c r="E80" s="547"/>
    </row>
    <row r="81" spans="2:5" s="754" customFormat="1">
      <c r="B81" s="1105" t="s">
        <v>61</v>
      </c>
      <c r="C81" s="543"/>
      <c r="D81" s="543">
        <f>D66/D73</f>
        <v>31.849374700669031</v>
      </c>
      <c r="E81" s="547"/>
    </row>
    <row r="82" spans="2:5" s="754" customFormat="1">
      <c r="B82" s="1105" t="s">
        <v>2065</v>
      </c>
      <c r="C82" s="543"/>
      <c r="D82" s="543">
        <f>D67/D74</f>
        <v>7.2763151031803401</v>
      </c>
      <c r="E82" s="547"/>
    </row>
    <row r="83" spans="2:5" s="754" customFormat="1">
      <c r="B83" s="308"/>
      <c r="C83" s="543"/>
      <c r="D83" s="543"/>
      <c r="E83" s="547"/>
    </row>
    <row r="84" spans="2:5" s="754" customFormat="1">
      <c r="B84" s="308"/>
      <c r="C84" s="543"/>
      <c r="D84" s="543"/>
      <c r="E84" s="547"/>
    </row>
    <row r="85" spans="2:5" ht="13.8" thickBot="1">
      <c r="B85" s="427"/>
      <c r="C85" s="390"/>
      <c r="D85" s="390"/>
      <c r="E85" s="428"/>
    </row>
    <row r="86" spans="2:5">
      <c r="B86" s="1024" t="s">
        <v>1826</v>
      </c>
      <c r="C86" s="984"/>
      <c r="D86" s="984"/>
      <c r="E86" s="985"/>
    </row>
    <row r="87" spans="2:5">
      <c r="B87" s="1005"/>
      <c r="C87" s="957"/>
      <c r="D87" s="957"/>
      <c r="E87" s="987"/>
    </row>
    <row r="88" spans="2:5">
      <c r="B88" s="1005"/>
      <c r="C88" s="986"/>
      <c r="D88" s="1323">
        <f>(D42*1000000)/G60</f>
        <v>69557.999584976133</v>
      </c>
      <c r="E88" s="1046" t="s">
        <v>1452</v>
      </c>
    </row>
    <row r="89" spans="2:5">
      <c r="B89" s="1005"/>
      <c r="C89" s="986"/>
      <c r="D89" s="1045"/>
      <c r="E89" s="987"/>
    </row>
    <row r="90" spans="2:5">
      <c r="B90" s="308"/>
      <c r="C90" s="543"/>
      <c r="D90" s="543"/>
      <c r="E90" s="547"/>
    </row>
    <row r="91" spans="2:5">
      <c r="B91" s="308"/>
      <c r="C91" s="543"/>
      <c r="D91" s="543"/>
      <c r="E91" s="547"/>
    </row>
    <row r="92" spans="2:5">
      <c r="B92" s="308"/>
      <c r="C92" s="543"/>
      <c r="D92" s="543"/>
      <c r="E92" s="547"/>
    </row>
    <row r="93" spans="2:5" ht="13.8" thickBot="1">
      <c r="B93" s="1006"/>
      <c r="C93" s="960"/>
      <c r="D93" s="960"/>
      <c r="E93" s="991"/>
    </row>
    <row r="94" spans="2:5">
      <c r="B94" s="1025"/>
      <c r="C94" s="984"/>
      <c r="D94" s="984"/>
      <c r="E94" s="985"/>
    </row>
    <row r="95" spans="2:5">
      <c r="B95" s="1011"/>
      <c r="C95" s="957"/>
      <c r="D95" s="986" t="s">
        <v>258</v>
      </c>
      <c r="E95" s="987"/>
    </row>
    <row r="96" spans="2:5">
      <c r="B96" s="1012"/>
      <c r="C96" s="957"/>
      <c r="D96" s="959" t="s">
        <v>1453</v>
      </c>
      <c r="E96" s="987"/>
    </row>
    <row r="97" spans="2:5">
      <c r="B97" s="1013" t="s">
        <v>601</v>
      </c>
      <c r="C97" s="986" t="s">
        <v>627</v>
      </c>
      <c r="D97" s="1043">
        <f>G56*D17/1000</f>
        <v>8.3500000000000005E-2</v>
      </c>
      <c r="E97" s="987"/>
    </row>
    <row r="98" spans="2:5">
      <c r="B98" s="308"/>
      <c r="C98" s="986" t="s">
        <v>61</v>
      </c>
      <c r="D98" s="1043">
        <f>(G57+G59)*D18/1000</f>
        <v>6.9000000000000006E-2</v>
      </c>
      <c r="E98" s="987"/>
    </row>
    <row r="99" spans="2:5">
      <c r="B99" s="1014" t="s">
        <v>602</v>
      </c>
      <c r="C99" s="986" t="s">
        <v>627</v>
      </c>
      <c r="D99" s="1043">
        <f>G56*D18/1000</f>
        <v>8.3500000000000005E-2</v>
      </c>
      <c r="E99" s="987"/>
    </row>
    <row r="100" spans="2:5">
      <c r="B100" s="308"/>
      <c r="C100" s="986" t="s">
        <v>61</v>
      </c>
      <c r="D100" s="1043">
        <f>(G57+G59)*D18/1000</f>
        <v>6.9000000000000006E-2</v>
      </c>
      <c r="E100" s="987"/>
    </row>
    <row r="101" spans="2:5">
      <c r="B101" s="1014" t="s">
        <v>603</v>
      </c>
      <c r="C101" s="986" t="s">
        <v>627</v>
      </c>
      <c r="D101" s="1043">
        <f>G56*D19/1000</f>
        <v>8.3500000000000005E-2</v>
      </c>
      <c r="E101" s="987"/>
    </row>
    <row r="102" spans="2:5">
      <c r="B102" s="308"/>
      <c r="C102" s="986" t="s">
        <v>61</v>
      </c>
      <c r="D102" s="1043">
        <f>(G57+G59)*D19/1000</f>
        <v>6.9000000000000006E-2</v>
      </c>
      <c r="E102" s="987"/>
    </row>
    <row r="103" spans="2:5">
      <c r="B103" s="1014" t="s">
        <v>604</v>
      </c>
      <c r="C103" s="986" t="s">
        <v>627</v>
      </c>
      <c r="D103" s="1043">
        <f>G56*D20/1000</f>
        <v>8.3500000000000005E-2</v>
      </c>
      <c r="E103" s="987"/>
    </row>
    <row r="104" spans="2:5">
      <c r="B104" s="1005"/>
      <c r="C104" s="986" t="s">
        <v>61</v>
      </c>
      <c r="D104" s="1043">
        <f>(G57+G59)*D20/1000</f>
        <v>6.9000000000000006E-2</v>
      </c>
      <c r="E104" s="987"/>
    </row>
    <row r="105" spans="2:5">
      <c r="B105" s="1005"/>
      <c r="C105" s="957"/>
      <c r="D105" s="1325">
        <f>SUM(D97:D104)</f>
        <v>0.6100000000000001</v>
      </c>
      <c r="E105" s="987"/>
    </row>
    <row r="106" spans="2:5" ht="13.8" thickBot="1">
      <c r="B106" s="1006"/>
      <c r="C106" s="960"/>
      <c r="D106" s="960"/>
      <c r="E106" s="991"/>
    </row>
    <row r="107" spans="2:5">
      <c r="B107" s="754"/>
      <c r="C107" s="754"/>
      <c r="D107" s="754"/>
      <c r="E107" s="754"/>
    </row>
    <row r="112" spans="2:5">
      <c r="B112" s="754"/>
      <c r="C112" s="754"/>
      <c r="D112" s="754"/>
    </row>
    <row r="113" spans="2:4">
      <c r="B113" s="754"/>
      <c r="C113" s="754"/>
      <c r="D113" s="754"/>
    </row>
    <row r="114" spans="2:4">
      <c r="B114" s="754"/>
      <c r="C114" s="754"/>
      <c r="D114" s="754"/>
    </row>
    <row r="115" spans="2:4">
      <c r="B115" s="754"/>
      <c r="C115" s="754"/>
      <c r="D115" s="754"/>
    </row>
    <row r="116" spans="2:4">
      <c r="B116" s="754"/>
      <c r="C116" s="754"/>
      <c r="D116" s="754"/>
    </row>
    <row r="117" spans="2:4">
      <c r="B117" s="754"/>
      <c r="C117" s="754"/>
      <c r="D117" s="754"/>
    </row>
    <row r="118" spans="2:4">
      <c r="B118" s="754"/>
      <c r="C118" s="754"/>
      <c r="D118" s="754"/>
    </row>
    <row r="119" spans="2:4">
      <c r="B119" s="754"/>
      <c r="C119" s="754"/>
      <c r="D119" s="754"/>
    </row>
    <row r="120" spans="2:4">
      <c r="B120" s="754"/>
      <c r="C120" s="754"/>
      <c r="D120" s="754"/>
    </row>
    <row r="121" spans="2:4">
      <c r="B121" s="754"/>
      <c r="C121" s="754"/>
      <c r="D121" s="754"/>
    </row>
    <row r="122" spans="2:4">
      <c r="B122" s="754"/>
      <c r="C122" s="754"/>
      <c r="D122" s="754"/>
    </row>
    <row r="123" spans="2:4">
      <c r="B123" s="754"/>
      <c r="C123" s="754"/>
      <c r="D123" s="754"/>
    </row>
    <row r="124" spans="2:4">
      <c r="B124" s="754"/>
      <c r="C124" s="754"/>
      <c r="D124" s="754"/>
    </row>
    <row r="125" spans="2:4">
      <c r="B125" s="754"/>
      <c r="C125" s="754"/>
      <c r="D125" s="754"/>
    </row>
    <row r="126" spans="2:4">
      <c r="B126" s="754"/>
      <c r="C126" s="754"/>
      <c r="D126" s="754"/>
    </row>
    <row r="127" spans="2:4">
      <c r="B127" s="754"/>
      <c r="C127" s="754"/>
      <c r="D127" s="754"/>
    </row>
    <row r="128" spans="2:4">
      <c r="B128" s="754"/>
      <c r="C128" s="754"/>
      <c r="D128" s="754"/>
    </row>
    <row r="129" spans="2:4">
      <c r="B129" s="754"/>
      <c r="C129" s="754"/>
      <c r="D129" s="754"/>
    </row>
    <row r="130" spans="2:4">
      <c r="B130" s="754"/>
      <c r="C130" s="754"/>
      <c r="D130" s="754"/>
    </row>
    <row r="131" spans="2:4">
      <c r="B131" s="754"/>
      <c r="C131" s="754"/>
      <c r="D131" s="754"/>
    </row>
    <row r="132" spans="2:4">
      <c r="B132" s="754"/>
      <c r="C132" s="754"/>
      <c r="D132" s="754"/>
    </row>
    <row r="133" spans="2:4">
      <c r="B133" s="754"/>
      <c r="C133" s="754"/>
      <c r="D133" s="754"/>
    </row>
    <row r="134" spans="2:4">
      <c r="B134" s="754"/>
      <c r="C134" s="754"/>
      <c r="D134" s="754"/>
    </row>
    <row r="135" spans="2:4">
      <c r="B135" s="754"/>
      <c r="C135" s="754"/>
      <c r="D135" s="754"/>
    </row>
  </sheetData>
  <pageMargins left="0.7" right="0.7" top="0.75" bottom="0.75" header="0.3" footer="0.3"/>
  <legacyDrawing r:id="rId1"/>
</worksheet>
</file>

<file path=xl/worksheets/sheet2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500-000000000000}">
  <sheetPr>
    <tabColor rgb="FF00B0F0"/>
  </sheetPr>
  <dimension ref="A1:BI237"/>
  <sheetViews>
    <sheetView topLeftCell="A195" zoomScale="85" zoomScaleNormal="85" workbookViewId="0">
      <selection activeCell="J226" sqref="J226"/>
    </sheetView>
  </sheetViews>
  <sheetFormatPr defaultRowHeight="13.2"/>
  <cols>
    <col min="1" max="4" width="7.33203125" style="958" customWidth="1"/>
    <col min="5" max="5" width="12.6640625" style="958" customWidth="1"/>
    <col min="6" max="6" width="7.6640625" style="958" customWidth="1"/>
    <col min="7" max="7" width="24.44140625" style="958" customWidth="1"/>
    <col min="8" max="8" width="15.109375" style="958" customWidth="1"/>
    <col min="9" max="9" width="6.5546875" style="958" customWidth="1"/>
    <col min="10" max="10" width="8.6640625" style="958" customWidth="1"/>
    <col min="11" max="11" width="7.88671875" style="958" customWidth="1"/>
    <col min="12" max="12" width="5.6640625" style="958" bestFit="1" customWidth="1"/>
    <col min="13" max="13" width="10.109375" style="958" customWidth="1"/>
    <col min="14" max="14" width="7.6640625" style="958" customWidth="1"/>
    <col min="15" max="15" width="10.5546875" style="958" customWidth="1"/>
    <col min="16" max="16" width="5.6640625" style="958" bestFit="1" customWidth="1"/>
    <col min="17" max="17" width="14.33203125" style="958" customWidth="1"/>
    <col min="18" max="18" width="8.6640625" style="958" customWidth="1"/>
    <col min="19" max="19" width="4.44140625" style="958" bestFit="1" customWidth="1"/>
    <col min="20" max="20" width="5.6640625" style="958" bestFit="1" customWidth="1"/>
    <col min="21" max="21" width="1.6640625" style="958" customWidth="1"/>
    <col min="22" max="22" width="7.6640625" style="958" customWidth="1"/>
    <col min="23" max="23" width="4.44140625" style="958" bestFit="1" customWidth="1"/>
    <col min="24" max="24" width="5.6640625" style="958" bestFit="1" customWidth="1"/>
    <col min="25" max="25" width="1.6640625" style="958" customWidth="1"/>
    <col min="26" max="26" width="8.6640625" style="958" customWidth="1"/>
    <col min="27" max="27" width="4.44140625" style="958" bestFit="1" customWidth="1"/>
    <col min="28" max="28" width="5.6640625" style="958" bestFit="1" customWidth="1"/>
    <col min="29" max="29" width="9.109375" style="958"/>
    <col min="30" max="30" width="10" style="958" bestFit="1" customWidth="1"/>
    <col min="31" max="31" width="11.88671875" style="958" customWidth="1"/>
    <col min="32" max="33" width="9.109375" style="958"/>
    <col min="34" max="34" width="29.44140625" style="958" customWidth="1"/>
    <col min="35" max="35" width="33.88671875" style="958" customWidth="1"/>
    <col min="36" max="39" width="9.109375" style="958"/>
    <col min="40" max="40" width="6" style="958" customWidth="1"/>
    <col min="41" max="41" width="22.88671875" style="958" customWidth="1"/>
    <col min="42" max="44" width="14.6640625" style="958" customWidth="1"/>
    <col min="45" max="258" width="9.109375" style="958"/>
    <col min="259" max="259" width="2.33203125" style="958" customWidth="1"/>
    <col min="260" max="260" width="3.44140625" style="958" customWidth="1"/>
    <col min="261" max="261" width="1.88671875" style="958" bestFit="1" customWidth="1"/>
    <col min="262" max="262" width="3.44140625" style="958" customWidth="1"/>
    <col min="263" max="263" width="0" style="958" hidden="1" customWidth="1"/>
    <col min="264" max="264" width="7.6640625" style="958" customWidth="1"/>
    <col min="265" max="265" width="4.44140625" style="958" bestFit="1" customWidth="1"/>
    <col min="266" max="266" width="5.6640625" style="958" bestFit="1" customWidth="1"/>
    <col min="267" max="267" width="1.6640625" style="958" customWidth="1"/>
    <col min="268" max="268" width="8.6640625" style="958" customWidth="1"/>
    <col min="269" max="269" width="4.44140625" style="958" bestFit="1" customWidth="1"/>
    <col min="270" max="270" width="5.6640625" style="958" bestFit="1" customWidth="1"/>
    <col min="271" max="271" width="1.6640625" style="958" customWidth="1"/>
    <col min="272" max="272" width="7.6640625" style="958" customWidth="1"/>
    <col min="273" max="273" width="4.44140625" style="958" bestFit="1" customWidth="1"/>
    <col min="274" max="274" width="5.6640625" style="958" bestFit="1" customWidth="1"/>
    <col min="275" max="275" width="1.6640625" style="958" customWidth="1"/>
    <col min="276" max="276" width="8.6640625" style="958" customWidth="1"/>
    <col min="277" max="277" width="4.44140625" style="958" bestFit="1" customWidth="1"/>
    <col min="278" max="278" width="5.6640625" style="958" bestFit="1" customWidth="1"/>
    <col min="279" max="279" width="1.6640625" style="958" customWidth="1"/>
    <col min="280" max="280" width="7.6640625" style="958" customWidth="1"/>
    <col min="281" max="281" width="4.44140625" style="958" bestFit="1" customWidth="1"/>
    <col min="282" max="282" width="5.6640625" style="958" bestFit="1" customWidth="1"/>
    <col min="283" max="283" width="1.6640625" style="958" customWidth="1"/>
    <col min="284" max="284" width="8.6640625" style="958" customWidth="1"/>
    <col min="285" max="285" width="4.44140625" style="958" bestFit="1" customWidth="1"/>
    <col min="286" max="286" width="5.6640625" style="958" bestFit="1" customWidth="1"/>
    <col min="287" max="514" width="9.109375" style="958"/>
    <col min="515" max="515" width="2.33203125" style="958" customWidth="1"/>
    <col min="516" max="516" width="3.44140625" style="958" customWidth="1"/>
    <col min="517" max="517" width="1.88671875" style="958" bestFit="1" customWidth="1"/>
    <col min="518" max="518" width="3.44140625" style="958" customWidth="1"/>
    <col min="519" max="519" width="0" style="958" hidden="1" customWidth="1"/>
    <col min="520" max="520" width="7.6640625" style="958" customWidth="1"/>
    <col min="521" max="521" width="4.44140625" style="958" bestFit="1" customWidth="1"/>
    <col min="522" max="522" width="5.6640625" style="958" bestFit="1" customWidth="1"/>
    <col min="523" max="523" width="1.6640625" style="958" customWidth="1"/>
    <col min="524" max="524" width="8.6640625" style="958" customWidth="1"/>
    <col min="525" max="525" width="4.44140625" style="958" bestFit="1" customWidth="1"/>
    <col min="526" max="526" width="5.6640625" style="958" bestFit="1" customWidth="1"/>
    <col min="527" max="527" width="1.6640625" style="958" customWidth="1"/>
    <col min="528" max="528" width="7.6640625" style="958" customWidth="1"/>
    <col min="529" max="529" width="4.44140625" style="958" bestFit="1" customWidth="1"/>
    <col min="530" max="530" width="5.6640625" style="958" bestFit="1" customWidth="1"/>
    <col min="531" max="531" width="1.6640625" style="958" customWidth="1"/>
    <col min="532" max="532" width="8.6640625" style="958" customWidth="1"/>
    <col min="533" max="533" width="4.44140625" style="958" bestFit="1" customWidth="1"/>
    <col min="534" max="534" width="5.6640625" style="958" bestFit="1" customWidth="1"/>
    <col min="535" max="535" width="1.6640625" style="958" customWidth="1"/>
    <col min="536" max="536" width="7.6640625" style="958" customWidth="1"/>
    <col min="537" max="537" width="4.44140625" style="958" bestFit="1" customWidth="1"/>
    <col min="538" max="538" width="5.6640625" style="958" bestFit="1" customWidth="1"/>
    <col min="539" max="539" width="1.6640625" style="958" customWidth="1"/>
    <col min="540" max="540" width="8.6640625" style="958" customWidth="1"/>
    <col min="541" max="541" width="4.44140625" style="958" bestFit="1" customWidth="1"/>
    <col min="542" max="542" width="5.6640625" style="958" bestFit="1" customWidth="1"/>
    <col min="543" max="770" width="9.109375" style="958"/>
    <col min="771" max="771" width="2.33203125" style="958" customWidth="1"/>
    <col min="772" max="772" width="3.44140625" style="958" customWidth="1"/>
    <col min="773" max="773" width="1.88671875" style="958" bestFit="1" customWidth="1"/>
    <col min="774" max="774" width="3.44140625" style="958" customWidth="1"/>
    <col min="775" max="775" width="0" style="958" hidden="1" customWidth="1"/>
    <col min="776" max="776" width="7.6640625" style="958" customWidth="1"/>
    <col min="777" max="777" width="4.44140625" style="958" bestFit="1" customWidth="1"/>
    <col min="778" max="778" width="5.6640625" style="958" bestFit="1" customWidth="1"/>
    <col min="779" max="779" width="1.6640625" style="958" customWidth="1"/>
    <col min="780" max="780" width="8.6640625" style="958" customWidth="1"/>
    <col min="781" max="781" width="4.44140625" style="958" bestFit="1" customWidth="1"/>
    <col min="782" max="782" width="5.6640625" style="958" bestFit="1" customWidth="1"/>
    <col min="783" max="783" width="1.6640625" style="958" customWidth="1"/>
    <col min="784" max="784" width="7.6640625" style="958" customWidth="1"/>
    <col min="785" max="785" width="4.44140625" style="958" bestFit="1" customWidth="1"/>
    <col min="786" max="786" width="5.6640625" style="958" bestFit="1" customWidth="1"/>
    <col min="787" max="787" width="1.6640625" style="958" customWidth="1"/>
    <col min="788" max="788" width="8.6640625" style="958" customWidth="1"/>
    <col min="789" max="789" width="4.44140625" style="958" bestFit="1" customWidth="1"/>
    <col min="790" max="790" width="5.6640625" style="958" bestFit="1" customWidth="1"/>
    <col min="791" max="791" width="1.6640625" style="958" customWidth="1"/>
    <col min="792" max="792" width="7.6640625" style="958" customWidth="1"/>
    <col min="793" max="793" width="4.44140625" style="958" bestFit="1" customWidth="1"/>
    <col min="794" max="794" width="5.6640625" style="958" bestFit="1" customWidth="1"/>
    <col min="795" max="795" width="1.6640625" style="958" customWidth="1"/>
    <col min="796" max="796" width="8.6640625" style="958" customWidth="1"/>
    <col min="797" max="797" width="4.44140625" style="958" bestFit="1" customWidth="1"/>
    <col min="798" max="798" width="5.6640625" style="958" bestFit="1" customWidth="1"/>
    <col min="799" max="1026" width="9.109375" style="958"/>
    <col min="1027" max="1027" width="2.33203125" style="958" customWidth="1"/>
    <col min="1028" max="1028" width="3.44140625" style="958" customWidth="1"/>
    <col min="1029" max="1029" width="1.88671875" style="958" bestFit="1" customWidth="1"/>
    <col min="1030" max="1030" width="3.44140625" style="958" customWidth="1"/>
    <col min="1031" max="1031" width="0" style="958" hidden="1" customWidth="1"/>
    <col min="1032" max="1032" width="7.6640625" style="958" customWidth="1"/>
    <col min="1033" max="1033" width="4.44140625" style="958" bestFit="1" customWidth="1"/>
    <col min="1034" max="1034" width="5.6640625" style="958" bestFit="1" customWidth="1"/>
    <col min="1035" max="1035" width="1.6640625" style="958" customWidth="1"/>
    <col min="1036" max="1036" width="8.6640625" style="958" customWidth="1"/>
    <col min="1037" max="1037" width="4.44140625" style="958" bestFit="1" customWidth="1"/>
    <col min="1038" max="1038" width="5.6640625" style="958" bestFit="1" customWidth="1"/>
    <col min="1039" max="1039" width="1.6640625" style="958" customWidth="1"/>
    <col min="1040" max="1040" width="7.6640625" style="958" customWidth="1"/>
    <col min="1041" max="1041" width="4.44140625" style="958" bestFit="1" customWidth="1"/>
    <col min="1042" max="1042" width="5.6640625" style="958" bestFit="1" customWidth="1"/>
    <col min="1043" max="1043" width="1.6640625" style="958" customWidth="1"/>
    <col min="1044" max="1044" width="8.6640625" style="958" customWidth="1"/>
    <col min="1045" max="1045" width="4.44140625" style="958" bestFit="1" customWidth="1"/>
    <col min="1046" max="1046" width="5.6640625" style="958" bestFit="1" customWidth="1"/>
    <col min="1047" max="1047" width="1.6640625" style="958" customWidth="1"/>
    <col min="1048" max="1048" width="7.6640625" style="958" customWidth="1"/>
    <col min="1049" max="1049" width="4.44140625" style="958" bestFit="1" customWidth="1"/>
    <col min="1050" max="1050" width="5.6640625" style="958" bestFit="1" customWidth="1"/>
    <col min="1051" max="1051" width="1.6640625" style="958" customWidth="1"/>
    <col min="1052" max="1052" width="8.6640625" style="958" customWidth="1"/>
    <col min="1053" max="1053" width="4.44140625" style="958" bestFit="1" customWidth="1"/>
    <col min="1054" max="1054" width="5.6640625" style="958" bestFit="1" customWidth="1"/>
    <col min="1055" max="1282" width="9.109375" style="958"/>
    <col min="1283" max="1283" width="2.33203125" style="958" customWidth="1"/>
    <col min="1284" max="1284" width="3.44140625" style="958" customWidth="1"/>
    <col min="1285" max="1285" width="1.88671875" style="958" bestFit="1" customWidth="1"/>
    <col min="1286" max="1286" width="3.44140625" style="958" customWidth="1"/>
    <col min="1287" max="1287" width="0" style="958" hidden="1" customWidth="1"/>
    <col min="1288" max="1288" width="7.6640625" style="958" customWidth="1"/>
    <col min="1289" max="1289" width="4.44140625" style="958" bestFit="1" customWidth="1"/>
    <col min="1290" max="1290" width="5.6640625" style="958" bestFit="1" customWidth="1"/>
    <col min="1291" max="1291" width="1.6640625" style="958" customWidth="1"/>
    <col min="1292" max="1292" width="8.6640625" style="958" customWidth="1"/>
    <col min="1293" max="1293" width="4.44140625" style="958" bestFit="1" customWidth="1"/>
    <col min="1294" max="1294" width="5.6640625" style="958" bestFit="1" customWidth="1"/>
    <col min="1295" max="1295" width="1.6640625" style="958" customWidth="1"/>
    <col min="1296" max="1296" width="7.6640625" style="958" customWidth="1"/>
    <col min="1297" max="1297" width="4.44140625" style="958" bestFit="1" customWidth="1"/>
    <col min="1298" max="1298" width="5.6640625" style="958" bestFit="1" customWidth="1"/>
    <col min="1299" max="1299" width="1.6640625" style="958" customWidth="1"/>
    <col min="1300" max="1300" width="8.6640625" style="958" customWidth="1"/>
    <col min="1301" max="1301" width="4.44140625" style="958" bestFit="1" customWidth="1"/>
    <col min="1302" max="1302" width="5.6640625" style="958" bestFit="1" customWidth="1"/>
    <col min="1303" max="1303" width="1.6640625" style="958" customWidth="1"/>
    <col min="1304" max="1304" width="7.6640625" style="958" customWidth="1"/>
    <col min="1305" max="1305" width="4.44140625" style="958" bestFit="1" customWidth="1"/>
    <col min="1306" max="1306" width="5.6640625" style="958" bestFit="1" customWidth="1"/>
    <col min="1307" max="1307" width="1.6640625" style="958" customWidth="1"/>
    <col min="1308" max="1308" width="8.6640625" style="958" customWidth="1"/>
    <col min="1309" max="1309" width="4.44140625" style="958" bestFit="1" customWidth="1"/>
    <col min="1310" max="1310" width="5.6640625" style="958" bestFit="1" customWidth="1"/>
    <col min="1311" max="1538" width="9.109375" style="958"/>
    <col min="1539" max="1539" width="2.33203125" style="958" customWidth="1"/>
    <col min="1540" max="1540" width="3.44140625" style="958" customWidth="1"/>
    <col min="1541" max="1541" width="1.88671875" style="958" bestFit="1" customWidth="1"/>
    <col min="1542" max="1542" width="3.44140625" style="958" customWidth="1"/>
    <col min="1543" max="1543" width="0" style="958" hidden="1" customWidth="1"/>
    <col min="1544" max="1544" width="7.6640625" style="958" customWidth="1"/>
    <col min="1545" max="1545" width="4.44140625" style="958" bestFit="1" customWidth="1"/>
    <col min="1546" max="1546" width="5.6640625" style="958" bestFit="1" customWidth="1"/>
    <col min="1547" max="1547" width="1.6640625" style="958" customWidth="1"/>
    <col min="1548" max="1548" width="8.6640625" style="958" customWidth="1"/>
    <col min="1549" max="1549" width="4.44140625" style="958" bestFit="1" customWidth="1"/>
    <col min="1550" max="1550" width="5.6640625" style="958" bestFit="1" customWidth="1"/>
    <col min="1551" max="1551" width="1.6640625" style="958" customWidth="1"/>
    <col min="1552" max="1552" width="7.6640625" style="958" customWidth="1"/>
    <col min="1553" max="1553" width="4.44140625" style="958" bestFit="1" customWidth="1"/>
    <col min="1554" max="1554" width="5.6640625" style="958" bestFit="1" customWidth="1"/>
    <col min="1555" max="1555" width="1.6640625" style="958" customWidth="1"/>
    <col min="1556" max="1556" width="8.6640625" style="958" customWidth="1"/>
    <col min="1557" max="1557" width="4.44140625" style="958" bestFit="1" customWidth="1"/>
    <col min="1558" max="1558" width="5.6640625" style="958" bestFit="1" customWidth="1"/>
    <col min="1559" max="1559" width="1.6640625" style="958" customWidth="1"/>
    <col min="1560" max="1560" width="7.6640625" style="958" customWidth="1"/>
    <col min="1561" max="1561" width="4.44140625" style="958" bestFit="1" customWidth="1"/>
    <col min="1562" max="1562" width="5.6640625" style="958" bestFit="1" customWidth="1"/>
    <col min="1563" max="1563" width="1.6640625" style="958" customWidth="1"/>
    <col min="1564" max="1564" width="8.6640625" style="958" customWidth="1"/>
    <col min="1565" max="1565" width="4.44140625" style="958" bestFit="1" customWidth="1"/>
    <col min="1566" max="1566" width="5.6640625" style="958" bestFit="1" customWidth="1"/>
    <col min="1567" max="1794" width="9.109375" style="958"/>
    <col min="1795" max="1795" width="2.33203125" style="958" customWidth="1"/>
    <col min="1796" max="1796" width="3.44140625" style="958" customWidth="1"/>
    <col min="1797" max="1797" width="1.88671875" style="958" bestFit="1" customWidth="1"/>
    <col min="1798" max="1798" width="3.44140625" style="958" customWidth="1"/>
    <col min="1799" max="1799" width="0" style="958" hidden="1" customWidth="1"/>
    <col min="1800" max="1800" width="7.6640625" style="958" customWidth="1"/>
    <col min="1801" max="1801" width="4.44140625" style="958" bestFit="1" customWidth="1"/>
    <col min="1802" max="1802" width="5.6640625" style="958" bestFit="1" customWidth="1"/>
    <col min="1803" max="1803" width="1.6640625" style="958" customWidth="1"/>
    <col min="1804" max="1804" width="8.6640625" style="958" customWidth="1"/>
    <col min="1805" max="1805" width="4.44140625" style="958" bestFit="1" customWidth="1"/>
    <col min="1806" max="1806" width="5.6640625" style="958" bestFit="1" customWidth="1"/>
    <col min="1807" max="1807" width="1.6640625" style="958" customWidth="1"/>
    <col min="1808" max="1808" width="7.6640625" style="958" customWidth="1"/>
    <col min="1809" max="1809" width="4.44140625" style="958" bestFit="1" customWidth="1"/>
    <col min="1810" max="1810" width="5.6640625" style="958" bestFit="1" customWidth="1"/>
    <col min="1811" max="1811" width="1.6640625" style="958" customWidth="1"/>
    <col min="1812" max="1812" width="8.6640625" style="958" customWidth="1"/>
    <col min="1813" max="1813" width="4.44140625" style="958" bestFit="1" customWidth="1"/>
    <col min="1814" max="1814" width="5.6640625" style="958" bestFit="1" customWidth="1"/>
    <col min="1815" max="1815" width="1.6640625" style="958" customWidth="1"/>
    <col min="1816" max="1816" width="7.6640625" style="958" customWidth="1"/>
    <col min="1817" max="1817" width="4.44140625" style="958" bestFit="1" customWidth="1"/>
    <col min="1818" max="1818" width="5.6640625" style="958" bestFit="1" customWidth="1"/>
    <col min="1819" max="1819" width="1.6640625" style="958" customWidth="1"/>
    <col min="1820" max="1820" width="8.6640625" style="958" customWidth="1"/>
    <col min="1821" max="1821" width="4.44140625" style="958" bestFit="1" customWidth="1"/>
    <col min="1822" max="1822" width="5.6640625" style="958" bestFit="1" customWidth="1"/>
    <col min="1823" max="2050" width="9.109375" style="958"/>
    <col min="2051" max="2051" width="2.33203125" style="958" customWidth="1"/>
    <col min="2052" max="2052" width="3.44140625" style="958" customWidth="1"/>
    <col min="2053" max="2053" width="1.88671875" style="958" bestFit="1" customWidth="1"/>
    <col min="2054" max="2054" width="3.44140625" style="958" customWidth="1"/>
    <col min="2055" max="2055" width="0" style="958" hidden="1" customWidth="1"/>
    <col min="2056" max="2056" width="7.6640625" style="958" customWidth="1"/>
    <col min="2057" max="2057" width="4.44140625" style="958" bestFit="1" customWidth="1"/>
    <col min="2058" max="2058" width="5.6640625" style="958" bestFit="1" customWidth="1"/>
    <col min="2059" max="2059" width="1.6640625" style="958" customWidth="1"/>
    <col min="2060" max="2060" width="8.6640625" style="958" customWidth="1"/>
    <col min="2061" max="2061" width="4.44140625" style="958" bestFit="1" customWidth="1"/>
    <col min="2062" max="2062" width="5.6640625" style="958" bestFit="1" customWidth="1"/>
    <col min="2063" max="2063" width="1.6640625" style="958" customWidth="1"/>
    <col min="2064" max="2064" width="7.6640625" style="958" customWidth="1"/>
    <col min="2065" max="2065" width="4.44140625" style="958" bestFit="1" customWidth="1"/>
    <col min="2066" max="2066" width="5.6640625" style="958" bestFit="1" customWidth="1"/>
    <col min="2067" max="2067" width="1.6640625" style="958" customWidth="1"/>
    <col min="2068" max="2068" width="8.6640625" style="958" customWidth="1"/>
    <col min="2069" max="2069" width="4.44140625" style="958" bestFit="1" customWidth="1"/>
    <col min="2070" max="2070" width="5.6640625" style="958" bestFit="1" customWidth="1"/>
    <col min="2071" max="2071" width="1.6640625" style="958" customWidth="1"/>
    <col min="2072" max="2072" width="7.6640625" style="958" customWidth="1"/>
    <col min="2073" max="2073" width="4.44140625" style="958" bestFit="1" customWidth="1"/>
    <col min="2074" max="2074" width="5.6640625" style="958" bestFit="1" customWidth="1"/>
    <col min="2075" max="2075" width="1.6640625" style="958" customWidth="1"/>
    <col min="2076" max="2076" width="8.6640625" style="958" customWidth="1"/>
    <col min="2077" max="2077" width="4.44140625" style="958" bestFit="1" customWidth="1"/>
    <col min="2078" max="2078" width="5.6640625" style="958" bestFit="1" customWidth="1"/>
    <col min="2079" max="2306" width="9.109375" style="958"/>
    <col min="2307" max="2307" width="2.33203125" style="958" customWidth="1"/>
    <col min="2308" max="2308" width="3.44140625" style="958" customWidth="1"/>
    <col min="2309" max="2309" width="1.88671875" style="958" bestFit="1" customWidth="1"/>
    <col min="2310" max="2310" width="3.44140625" style="958" customWidth="1"/>
    <col min="2311" max="2311" width="0" style="958" hidden="1" customWidth="1"/>
    <col min="2312" max="2312" width="7.6640625" style="958" customWidth="1"/>
    <col min="2313" max="2313" width="4.44140625" style="958" bestFit="1" customWidth="1"/>
    <col min="2314" max="2314" width="5.6640625" style="958" bestFit="1" customWidth="1"/>
    <col min="2315" max="2315" width="1.6640625" style="958" customWidth="1"/>
    <col min="2316" max="2316" width="8.6640625" style="958" customWidth="1"/>
    <col min="2317" max="2317" width="4.44140625" style="958" bestFit="1" customWidth="1"/>
    <col min="2318" max="2318" width="5.6640625" style="958" bestFit="1" customWidth="1"/>
    <col min="2319" max="2319" width="1.6640625" style="958" customWidth="1"/>
    <col min="2320" max="2320" width="7.6640625" style="958" customWidth="1"/>
    <col min="2321" max="2321" width="4.44140625" style="958" bestFit="1" customWidth="1"/>
    <col min="2322" max="2322" width="5.6640625" style="958" bestFit="1" customWidth="1"/>
    <col min="2323" max="2323" width="1.6640625" style="958" customWidth="1"/>
    <col min="2324" max="2324" width="8.6640625" style="958" customWidth="1"/>
    <col min="2325" max="2325" width="4.44140625" style="958" bestFit="1" customWidth="1"/>
    <col min="2326" max="2326" width="5.6640625" style="958" bestFit="1" customWidth="1"/>
    <col min="2327" max="2327" width="1.6640625" style="958" customWidth="1"/>
    <col min="2328" max="2328" width="7.6640625" style="958" customWidth="1"/>
    <col min="2329" max="2329" width="4.44140625" style="958" bestFit="1" customWidth="1"/>
    <col min="2330" max="2330" width="5.6640625" style="958" bestFit="1" customWidth="1"/>
    <col min="2331" max="2331" width="1.6640625" style="958" customWidth="1"/>
    <col min="2332" max="2332" width="8.6640625" style="958" customWidth="1"/>
    <col min="2333" max="2333" width="4.44140625" style="958" bestFit="1" customWidth="1"/>
    <col min="2334" max="2334" width="5.6640625" style="958" bestFit="1" customWidth="1"/>
    <col min="2335" max="2562" width="9.109375" style="958"/>
    <col min="2563" max="2563" width="2.33203125" style="958" customWidth="1"/>
    <col min="2564" max="2564" width="3.44140625" style="958" customWidth="1"/>
    <col min="2565" max="2565" width="1.88671875" style="958" bestFit="1" customWidth="1"/>
    <col min="2566" max="2566" width="3.44140625" style="958" customWidth="1"/>
    <col min="2567" max="2567" width="0" style="958" hidden="1" customWidth="1"/>
    <col min="2568" max="2568" width="7.6640625" style="958" customWidth="1"/>
    <col min="2569" max="2569" width="4.44140625" style="958" bestFit="1" customWidth="1"/>
    <col min="2570" max="2570" width="5.6640625" style="958" bestFit="1" customWidth="1"/>
    <col min="2571" max="2571" width="1.6640625" style="958" customWidth="1"/>
    <col min="2572" max="2572" width="8.6640625" style="958" customWidth="1"/>
    <col min="2573" max="2573" width="4.44140625" style="958" bestFit="1" customWidth="1"/>
    <col min="2574" max="2574" width="5.6640625" style="958" bestFit="1" customWidth="1"/>
    <col min="2575" max="2575" width="1.6640625" style="958" customWidth="1"/>
    <col min="2576" max="2576" width="7.6640625" style="958" customWidth="1"/>
    <col min="2577" max="2577" width="4.44140625" style="958" bestFit="1" customWidth="1"/>
    <col min="2578" max="2578" width="5.6640625" style="958" bestFit="1" customWidth="1"/>
    <col min="2579" max="2579" width="1.6640625" style="958" customWidth="1"/>
    <col min="2580" max="2580" width="8.6640625" style="958" customWidth="1"/>
    <col min="2581" max="2581" width="4.44140625" style="958" bestFit="1" customWidth="1"/>
    <col min="2582" max="2582" width="5.6640625" style="958" bestFit="1" customWidth="1"/>
    <col min="2583" max="2583" width="1.6640625" style="958" customWidth="1"/>
    <col min="2584" max="2584" width="7.6640625" style="958" customWidth="1"/>
    <col min="2585" max="2585" width="4.44140625" style="958" bestFit="1" customWidth="1"/>
    <col min="2586" max="2586" width="5.6640625" style="958" bestFit="1" customWidth="1"/>
    <col min="2587" max="2587" width="1.6640625" style="958" customWidth="1"/>
    <col min="2588" max="2588" width="8.6640625" style="958" customWidth="1"/>
    <col min="2589" max="2589" width="4.44140625" style="958" bestFit="1" customWidth="1"/>
    <col min="2590" max="2590" width="5.6640625" style="958" bestFit="1" customWidth="1"/>
    <col min="2591" max="2818" width="9.109375" style="958"/>
    <col min="2819" max="2819" width="2.33203125" style="958" customWidth="1"/>
    <col min="2820" max="2820" width="3.44140625" style="958" customWidth="1"/>
    <col min="2821" max="2821" width="1.88671875" style="958" bestFit="1" customWidth="1"/>
    <col min="2822" max="2822" width="3.44140625" style="958" customWidth="1"/>
    <col min="2823" max="2823" width="0" style="958" hidden="1" customWidth="1"/>
    <col min="2824" max="2824" width="7.6640625" style="958" customWidth="1"/>
    <col min="2825" max="2825" width="4.44140625" style="958" bestFit="1" customWidth="1"/>
    <col min="2826" max="2826" width="5.6640625" style="958" bestFit="1" customWidth="1"/>
    <col min="2827" max="2827" width="1.6640625" style="958" customWidth="1"/>
    <col min="2828" max="2828" width="8.6640625" style="958" customWidth="1"/>
    <col min="2829" max="2829" width="4.44140625" style="958" bestFit="1" customWidth="1"/>
    <col min="2830" max="2830" width="5.6640625" style="958" bestFit="1" customWidth="1"/>
    <col min="2831" max="2831" width="1.6640625" style="958" customWidth="1"/>
    <col min="2832" max="2832" width="7.6640625" style="958" customWidth="1"/>
    <col min="2833" max="2833" width="4.44140625" style="958" bestFit="1" customWidth="1"/>
    <col min="2834" max="2834" width="5.6640625" style="958" bestFit="1" customWidth="1"/>
    <col min="2835" max="2835" width="1.6640625" style="958" customWidth="1"/>
    <col min="2836" max="2836" width="8.6640625" style="958" customWidth="1"/>
    <col min="2837" max="2837" width="4.44140625" style="958" bestFit="1" customWidth="1"/>
    <col min="2838" max="2838" width="5.6640625" style="958" bestFit="1" customWidth="1"/>
    <col min="2839" max="2839" width="1.6640625" style="958" customWidth="1"/>
    <col min="2840" max="2840" width="7.6640625" style="958" customWidth="1"/>
    <col min="2841" max="2841" width="4.44140625" style="958" bestFit="1" customWidth="1"/>
    <col min="2842" max="2842" width="5.6640625" style="958" bestFit="1" customWidth="1"/>
    <col min="2843" max="2843" width="1.6640625" style="958" customWidth="1"/>
    <col min="2844" max="2844" width="8.6640625" style="958" customWidth="1"/>
    <col min="2845" max="2845" width="4.44140625" style="958" bestFit="1" customWidth="1"/>
    <col min="2846" max="2846" width="5.6640625" style="958" bestFit="1" customWidth="1"/>
    <col min="2847" max="3074" width="9.109375" style="958"/>
    <col min="3075" max="3075" width="2.33203125" style="958" customWidth="1"/>
    <col min="3076" max="3076" width="3.44140625" style="958" customWidth="1"/>
    <col min="3077" max="3077" width="1.88671875" style="958" bestFit="1" customWidth="1"/>
    <col min="3078" max="3078" width="3.44140625" style="958" customWidth="1"/>
    <col min="3079" max="3079" width="0" style="958" hidden="1" customWidth="1"/>
    <col min="3080" max="3080" width="7.6640625" style="958" customWidth="1"/>
    <col min="3081" max="3081" width="4.44140625" style="958" bestFit="1" customWidth="1"/>
    <col min="3082" max="3082" width="5.6640625" style="958" bestFit="1" customWidth="1"/>
    <col min="3083" max="3083" width="1.6640625" style="958" customWidth="1"/>
    <col min="3084" max="3084" width="8.6640625" style="958" customWidth="1"/>
    <col min="3085" max="3085" width="4.44140625" style="958" bestFit="1" customWidth="1"/>
    <col min="3086" max="3086" width="5.6640625" style="958" bestFit="1" customWidth="1"/>
    <col min="3087" max="3087" width="1.6640625" style="958" customWidth="1"/>
    <col min="3088" max="3088" width="7.6640625" style="958" customWidth="1"/>
    <col min="3089" max="3089" width="4.44140625" style="958" bestFit="1" customWidth="1"/>
    <col min="3090" max="3090" width="5.6640625" style="958" bestFit="1" customWidth="1"/>
    <col min="3091" max="3091" width="1.6640625" style="958" customWidth="1"/>
    <col min="3092" max="3092" width="8.6640625" style="958" customWidth="1"/>
    <col min="3093" max="3093" width="4.44140625" style="958" bestFit="1" customWidth="1"/>
    <col min="3094" max="3094" width="5.6640625" style="958" bestFit="1" customWidth="1"/>
    <col min="3095" max="3095" width="1.6640625" style="958" customWidth="1"/>
    <col min="3096" max="3096" width="7.6640625" style="958" customWidth="1"/>
    <col min="3097" max="3097" width="4.44140625" style="958" bestFit="1" customWidth="1"/>
    <col min="3098" max="3098" width="5.6640625" style="958" bestFit="1" customWidth="1"/>
    <col min="3099" max="3099" width="1.6640625" style="958" customWidth="1"/>
    <col min="3100" max="3100" width="8.6640625" style="958" customWidth="1"/>
    <col min="3101" max="3101" width="4.44140625" style="958" bestFit="1" customWidth="1"/>
    <col min="3102" max="3102" width="5.6640625" style="958" bestFit="1" customWidth="1"/>
    <col min="3103" max="3330" width="9.109375" style="958"/>
    <col min="3331" max="3331" width="2.33203125" style="958" customWidth="1"/>
    <col min="3332" max="3332" width="3.44140625" style="958" customWidth="1"/>
    <col min="3333" max="3333" width="1.88671875" style="958" bestFit="1" customWidth="1"/>
    <col min="3334" max="3334" width="3.44140625" style="958" customWidth="1"/>
    <col min="3335" max="3335" width="0" style="958" hidden="1" customWidth="1"/>
    <col min="3336" max="3336" width="7.6640625" style="958" customWidth="1"/>
    <col min="3337" max="3337" width="4.44140625" style="958" bestFit="1" customWidth="1"/>
    <col min="3338" max="3338" width="5.6640625" style="958" bestFit="1" customWidth="1"/>
    <col min="3339" max="3339" width="1.6640625" style="958" customWidth="1"/>
    <col min="3340" max="3340" width="8.6640625" style="958" customWidth="1"/>
    <col min="3341" max="3341" width="4.44140625" style="958" bestFit="1" customWidth="1"/>
    <col min="3342" max="3342" width="5.6640625" style="958" bestFit="1" customWidth="1"/>
    <col min="3343" max="3343" width="1.6640625" style="958" customWidth="1"/>
    <col min="3344" max="3344" width="7.6640625" style="958" customWidth="1"/>
    <col min="3345" max="3345" width="4.44140625" style="958" bestFit="1" customWidth="1"/>
    <col min="3346" max="3346" width="5.6640625" style="958" bestFit="1" customWidth="1"/>
    <col min="3347" max="3347" width="1.6640625" style="958" customWidth="1"/>
    <col min="3348" max="3348" width="8.6640625" style="958" customWidth="1"/>
    <col min="3349" max="3349" width="4.44140625" style="958" bestFit="1" customWidth="1"/>
    <col min="3350" max="3350" width="5.6640625" style="958" bestFit="1" customWidth="1"/>
    <col min="3351" max="3351" width="1.6640625" style="958" customWidth="1"/>
    <col min="3352" max="3352" width="7.6640625" style="958" customWidth="1"/>
    <col min="3353" max="3353" width="4.44140625" style="958" bestFit="1" customWidth="1"/>
    <col min="3354" max="3354" width="5.6640625" style="958" bestFit="1" customWidth="1"/>
    <col min="3355" max="3355" width="1.6640625" style="958" customWidth="1"/>
    <col min="3356" max="3356" width="8.6640625" style="958" customWidth="1"/>
    <col min="3357" max="3357" width="4.44140625" style="958" bestFit="1" customWidth="1"/>
    <col min="3358" max="3358" width="5.6640625" style="958" bestFit="1" customWidth="1"/>
    <col min="3359" max="3586" width="9.109375" style="958"/>
    <col min="3587" max="3587" width="2.33203125" style="958" customWidth="1"/>
    <col min="3588" max="3588" width="3.44140625" style="958" customWidth="1"/>
    <col min="3589" max="3589" width="1.88671875" style="958" bestFit="1" customWidth="1"/>
    <col min="3590" max="3590" width="3.44140625" style="958" customWidth="1"/>
    <col min="3591" max="3591" width="0" style="958" hidden="1" customWidth="1"/>
    <col min="3592" max="3592" width="7.6640625" style="958" customWidth="1"/>
    <col min="3593" max="3593" width="4.44140625" style="958" bestFit="1" customWidth="1"/>
    <col min="3594" max="3594" width="5.6640625" style="958" bestFit="1" customWidth="1"/>
    <col min="3595" max="3595" width="1.6640625" style="958" customWidth="1"/>
    <col min="3596" max="3596" width="8.6640625" style="958" customWidth="1"/>
    <col min="3597" max="3597" width="4.44140625" style="958" bestFit="1" customWidth="1"/>
    <col min="3598" max="3598" width="5.6640625" style="958" bestFit="1" customWidth="1"/>
    <col min="3599" max="3599" width="1.6640625" style="958" customWidth="1"/>
    <col min="3600" max="3600" width="7.6640625" style="958" customWidth="1"/>
    <col min="3601" max="3601" width="4.44140625" style="958" bestFit="1" customWidth="1"/>
    <col min="3602" max="3602" width="5.6640625" style="958" bestFit="1" customWidth="1"/>
    <col min="3603" max="3603" width="1.6640625" style="958" customWidth="1"/>
    <col min="3604" max="3604" width="8.6640625" style="958" customWidth="1"/>
    <col min="3605" max="3605" width="4.44140625" style="958" bestFit="1" customWidth="1"/>
    <col min="3606" max="3606" width="5.6640625" style="958" bestFit="1" customWidth="1"/>
    <col min="3607" max="3607" width="1.6640625" style="958" customWidth="1"/>
    <col min="3608" max="3608" width="7.6640625" style="958" customWidth="1"/>
    <col min="3609" max="3609" width="4.44140625" style="958" bestFit="1" customWidth="1"/>
    <col min="3610" max="3610" width="5.6640625" style="958" bestFit="1" customWidth="1"/>
    <col min="3611" max="3611" width="1.6640625" style="958" customWidth="1"/>
    <col min="3612" max="3612" width="8.6640625" style="958" customWidth="1"/>
    <col min="3613" max="3613" width="4.44140625" style="958" bestFit="1" customWidth="1"/>
    <col min="3614" max="3614" width="5.6640625" style="958" bestFit="1" customWidth="1"/>
    <col min="3615" max="3842" width="9.109375" style="958"/>
    <col min="3843" max="3843" width="2.33203125" style="958" customWidth="1"/>
    <col min="3844" max="3844" width="3.44140625" style="958" customWidth="1"/>
    <col min="3845" max="3845" width="1.88671875" style="958" bestFit="1" customWidth="1"/>
    <col min="3846" max="3846" width="3.44140625" style="958" customWidth="1"/>
    <col min="3847" max="3847" width="0" style="958" hidden="1" customWidth="1"/>
    <col min="3848" max="3848" width="7.6640625" style="958" customWidth="1"/>
    <col min="3849" max="3849" width="4.44140625" style="958" bestFit="1" customWidth="1"/>
    <col min="3850" max="3850" width="5.6640625" style="958" bestFit="1" customWidth="1"/>
    <col min="3851" max="3851" width="1.6640625" style="958" customWidth="1"/>
    <col min="3852" max="3852" width="8.6640625" style="958" customWidth="1"/>
    <col min="3853" max="3853" width="4.44140625" style="958" bestFit="1" customWidth="1"/>
    <col min="3854" max="3854" width="5.6640625" style="958" bestFit="1" customWidth="1"/>
    <col min="3855" max="3855" width="1.6640625" style="958" customWidth="1"/>
    <col min="3856" max="3856" width="7.6640625" style="958" customWidth="1"/>
    <col min="3857" max="3857" width="4.44140625" style="958" bestFit="1" customWidth="1"/>
    <col min="3858" max="3858" width="5.6640625" style="958" bestFit="1" customWidth="1"/>
    <col min="3859" max="3859" width="1.6640625" style="958" customWidth="1"/>
    <col min="3860" max="3860" width="8.6640625" style="958" customWidth="1"/>
    <col min="3861" max="3861" width="4.44140625" style="958" bestFit="1" customWidth="1"/>
    <col min="3862" max="3862" width="5.6640625" style="958" bestFit="1" customWidth="1"/>
    <col min="3863" max="3863" width="1.6640625" style="958" customWidth="1"/>
    <col min="3864" max="3864" width="7.6640625" style="958" customWidth="1"/>
    <col min="3865" max="3865" width="4.44140625" style="958" bestFit="1" customWidth="1"/>
    <col min="3866" max="3866" width="5.6640625" style="958" bestFit="1" customWidth="1"/>
    <col min="3867" max="3867" width="1.6640625" style="958" customWidth="1"/>
    <col min="3868" max="3868" width="8.6640625" style="958" customWidth="1"/>
    <col min="3869" max="3869" width="4.44140625" style="958" bestFit="1" customWidth="1"/>
    <col min="3870" max="3870" width="5.6640625" style="958" bestFit="1" customWidth="1"/>
    <col min="3871" max="4098" width="9.109375" style="958"/>
    <col min="4099" max="4099" width="2.33203125" style="958" customWidth="1"/>
    <col min="4100" max="4100" width="3.44140625" style="958" customWidth="1"/>
    <col min="4101" max="4101" width="1.88671875" style="958" bestFit="1" customWidth="1"/>
    <col min="4102" max="4102" width="3.44140625" style="958" customWidth="1"/>
    <col min="4103" max="4103" width="0" style="958" hidden="1" customWidth="1"/>
    <col min="4104" max="4104" width="7.6640625" style="958" customWidth="1"/>
    <col min="4105" max="4105" width="4.44140625" style="958" bestFit="1" customWidth="1"/>
    <col min="4106" max="4106" width="5.6640625" style="958" bestFit="1" customWidth="1"/>
    <col min="4107" max="4107" width="1.6640625" style="958" customWidth="1"/>
    <col min="4108" max="4108" width="8.6640625" style="958" customWidth="1"/>
    <col min="4109" max="4109" width="4.44140625" style="958" bestFit="1" customWidth="1"/>
    <col min="4110" max="4110" width="5.6640625" style="958" bestFit="1" customWidth="1"/>
    <col min="4111" max="4111" width="1.6640625" style="958" customWidth="1"/>
    <col min="4112" max="4112" width="7.6640625" style="958" customWidth="1"/>
    <col min="4113" max="4113" width="4.44140625" style="958" bestFit="1" customWidth="1"/>
    <col min="4114" max="4114" width="5.6640625" style="958" bestFit="1" customWidth="1"/>
    <col min="4115" max="4115" width="1.6640625" style="958" customWidth="1"/>
    <col min="4116" max="4116" width="8.6640625" style="958" customWidth="1"/>
    <col min="4117" max="4117" width="4.44140625" style="958" bestFit="1" customWidth="1"/>
    <col min="4118" max="4118" width="5.6640625" style="958" bestFit="1" customWidth="1"/>
    <col min="4119" max="4119" width="1.6640625" style="958" customWidth="1"/>
    <col min="4120" max="4120" width="7.6640625" style="958" customWidth="1"/>
    <col min="4121" max="4121" width="4.44140625" style="958" bestFit="1" customWidth="1"/>
    <col min="4122" max="4122" width="5.6640625" style="958" bestFit="1" customWidth="1"/>
    <col min="4123" max="4123" width="1.6640625" style="958" customWidth="1"/>
    <col min="4124" max="4124" width="8.6640625" style="958" customWidth="1"/>
    <col min="4125" max="4125" width="4.44140625" style="958" bestFit="1" customWidth="1"/>
    <col min="4126" max="4126" width="5.6640625" style="958" bestFit="1" customWidth="1"/>
    <col min="4127" max="4354" width="9.109375" style="958"/>
    <col min="4355" max="4355" width="2.33203125" style="958" customWidth="1"/>
    <col min="4356" max="4356" width="3.44140625" style="958" customWidth="1"/>
    <col min="4357" max="4357" width="1.88671875" style="958" bestFit="1" customWidth="1"/>
    <col min="4358" max="4358" width="3.44140625" style="958" customWidth="1"/>
    <col min="4359" max="4359" width="0" style="958" hidden="1" customWidth="1"/>
    <col min="4360" max="4360" width="7.6640625" style="958" customWidth="1"/>
    <col min="4361" max="4361" width="4.44140625" style="958" bestFit="1" customWidth="1"/>
    <col min="4362" max="4362" width="5.6640625" style="958" bestFit="1" customWidth="1"/>
    <col min="4363" max="4363" width="1.6640625" style="958" customWidth="1"/>
    <col min="4364" max="4364" width="8.6640625" style="958" customWidth="1"/>
    <col min="4365" max="4365" width="4.44140625" style="958" bestFit="1" customWidth="1"/>
    <col min="4366" max="4366" width="5.6640625" style="958" bestFit="1" customWidth="1"/>
    <col min="4367" max="4367" width="1.6640625" style="958" customWidth="1"/>
    <col min="4368" max="4368" width="7.6640625" style="958" customWidth="1"/>
    <col min="4369" max="4369" width="4.44140625" style="958" bestFit="1" customWidth="1"/>
    <col min="4370" max="4370" width="5.6640625" style="958" bestFit="1" customWidth="1"/>
    <col min="4371" max="4371" width="1.6640625" style="958" customWidth="1"/>
    <col min="4372" max="4372" width="8.6640625" style="958" customWidth="1"/>
    <col min="4373" max="4373" width="4.44140625" style="958" bestFit="1" customWidth="1"/>
    <col min="4374" max="4374" width="5.6640625" style="958" bestFit="1" customWidth="1"/>
    <col min="4375" max="4375" width="1.6640625" style="958" customWidth="1"/>
    <col min="4376" max="4376" width="7.6640625" style="958" customWidth="1"/>
    <col min="4377" max="4377" width="4.44140625" style="958" bestFit="1" customWidth="1"/>
    <col min="4378" max="4378" width="5.6640625" style="958" bestFit="1" customWidth="1"/>
    <col min="4379" max="4379" width="1.6640625" style="958" customWidth="1"/>
    <col min="4380" max="4380" width="8.6640625" style="958" customWidth="1"/>
    <col min="4381" max="4381" width="4.44140625" style="958" bestFit="1" customWidth="1"/>
    <col min="4382" max="4382" width="5.6640625" style="958" bestFit="1" customWidth="1"/>
    <col min="4383" max="4610" width="9.109375" style="958"/>
    <col min="4611" max="4611" width="2.33203125" style="958" customWidth="1"/>
    <col min="4612" max="4612" width="3.44140625" style="958" customWidth="1"/>
    <col min="4613" max="4613" width="1.88671875" style="958" bestFit="1" customWidth="1"/>
    <col min="4614" max="4614" width="3.44140625" style="958" customWidth="1"/>
    <col min="4615" max="4615" width="0" style="958" hidden="1" customWidth="1"/>
    <col min="4616" max="4616" width="7.6640625" style="958" customWidth="1"/>
    <col min="4617" max="4617" width="4.44140625" style="958" bestFit="1" customWidth="1"/>
    <col min="4618" max="4618" width="5.6640625" style="958" bestFit="1" customWidth="1"/>
    <col min="4619" max="4619" width="1.6640625" style="958" customWidth="1"/>
    <col min="4620" max="4620" width="8.6640625" style="958" customWidth="1"/>
    <col min="4621" max="4621" width="4.44140625" style="958" bestFit="1" customWidth="1"/>
    <col min="4622" max="4622" width="5.6640625" style="958" bestFit="1" customWidth="1"/>
    <col min="4623" max="4623" width="1.6640625" style="958" customWidth="1"/>
    <col min="4624" max="4624" width="7.6640625" style="958" customWidth="1"/>
    <col min="4625" max="4625" width="4.44140625" style="958" bestFit="1" customWidth="1"/>
    <col min="4626" max="4626" width="5.6640625" style="958" bestFit="1" customWidth="1"/>
    <col min="4627" max="4627" width="1.6640625" style="958" customWidth="1"/>
    <col min="4628" max="4628" width="8.6640625" style="958" customWidth="1"/>
    <col min="4629" max="4629" width="4.44140625" style="958" bestFit="1" customWidth="1"/>
    <col min="4630" max="4630" width="5.6640625" style="958" bestFit="1" customWidth="1"/>
    <col min="4631" max="4631" width="1.6640625" style="958" customWidth="1"/>
    <col min="4632" max="4632" width="7.6640625" style="958" customWidth="1"/>
    <col min="4633" max="4633" width="4.44140625" style="958" bestFit="1" customWidth="1"/>
    <col min="4634" max="4634" width="5.6640625" style="958" bestFit="1" customWidth="1"/>
    <col min="4635" max="4635" width="1.6640625" style="958" customWidth="1"/>
    <col min="4636" max="4636" width="8.6640625" style="958" customWidth="1"/>
    <col min="4637" max="4637" width="4.44140625" style="958" bestFit="1" customWidth="1"/>
    <col min="4638" max="4638" width="5.6640625" style="958" bestFit="1" customWidth="1"/>
    <col min="4639" max="4866" width="9.109375" style="958"/>
    <col min="4867" max="4867" width="2.33203125" style="958" customWidth="1"/>
    <col min="4868" max="4868" width="3.44140625" style="958" customWidth="1"/>
    <col min="4869" max="4869" width="1.88671875" style="958" bestFit="1" customWidth="1"/>
    <col min="4870" max="4870" width="3.44140625" style="958" customWidth="1"/>
    <col min="4871" max="4871" width="0" style="958" hidden="1" customWidth="1"/>
    <col min="4872" max="4872" width="7.6640625" style="958" customWidth="1"/>
    <col min="4873" max="4873" width="4.44140625" style="958" bestFit="1" customWidth="1"/>
    <col min="4874" max="4874" width="5.6640625" style="958" bestFit="1" customWidth="1"/>
    <col min="4875" max="4875" width="1.6640625" style="958" customWidth="1"/>
    <col min="4876" max="4876" width="8.6640625" style="958" customWidth="1"/>
    <col min="4877" max="4877" width="4.44140625" style="958" bestFit="1" customWidth="1"/>
    <col min="4878" max="4878" width="5.6640625" style="958" bestFit="1" customWidth="1"/>
    <col min="4879" max="4879" width="1.6640625" style="958" customWidth="1"/>
    <col min="4880" max="4880" width="7.6640625" style="958" customWidth="1"/>
    <col min="4881" max="4881" width="4.44140625" style="958" bestFit="1" customWidth="1"/>
    <col min="4882" max="4882" width="5.6640625" style="958" bestFit="1" customWidth="1"/>
    <col min="4883" max="4883" width="1.6640625" style="958" customWidth="1"/>
    <col min="4884" max="4884" width="8.6640625" style="958" customWidth="1"/>
    <col min="4885" max="4885" width="4.44140625" style="958" bestFit="1" customWidth="1"/>
    <col min="4886" max="4886" width="5.6640625" style="958" bestFit="1" customWidth="1"/>
    <col min="4887" max="4887" width="1.6640625" style="958" customWidth="1"/>
    <col min="4888" max="4888" width="7.6640625" style="958" customWidth="1"/>
    <col min="4889" max="4889" width="4.44140625" style="958" bestFit="1" customWidth="1"/>
    <col min="4890" max="4890" width="5.6640625" style="958" bestFit="1" customWidth="1"/>
    <col min="4891" max="4891" width="1.6640625" style="958" customWidth="1"/>
    <col min="4892" max="4892" width="8.6640625" style="958" customWidth="1"/>
    <col min="4893" max="4893" width="4.44140625" style="958" bestFit="1" customWidth="1"/>
    <col min="4894" max="4894" width="5.6640625" style="958" bestFit="1" customWidth="1"/>
    <col min="4895" max="5122" width="9.109375" style="958"/>
    <col min="5123" max="5123" width="2.33203125" style="958" customWidth="1"/>
    <col min="5124" max="5124" width="3.44140625" style="958" customWidth="1"/>
    <col min="5125" max="5125" width="1.88671875" style="958" bestFit="1" customWidth="1"/>
    <col min="5126" max="5126" width="3.44140625" style="958" customWidth="1"/>
    <col min="5127" max="5127" width="0" style="958" hidden="1" customWidth="1"/>
    <col min="5128" max="5128" width="7.6640625" style="958" customWidth="1"/>
    <col min="5129" max="5129" width="4.44140625" style="958" bestFit="1" customWidth="1"/>
    <col min="5130" max="5130" width="5.6640625" style="958" bestFit="1" customWidth="1"/>
    <col min="5131" max="5131" width="1.6640625" style="958" customWidth="1"/>
    <col min="5132" max="5132" width="8.6640625" style="958" customWidth="1"/>
    <col min="5133" max="5133" width="4.44140625" style="958" bestFit="1" customWidth="1"/>
    <col min="5134" max="5134" width="5.6640625" style="958" bestFit="1" customWidth="1"/>
    <col min="5135" max="5135" width="1.6640625" style="958" customWidth="1"/>
    <col min="5136" max="5136" width="7.6640625" style="958" customWidth="1"/>
    <col min="5137" max="5137" width="4.44140625" style="958" bestFit="1" customWidth="1"/>
    <col min="5138" max="5138" width="5.6640625" style="958" bestFit="1" customWidth="1"/>
    <col min="5139" max="5139" width="1.6640625" style="958" customWidth="1"/>
    <col min="5140" max="5140" width="8.6640625" style="958" customWidth="1"/>
    <col min="5141" max="5141" width="4.44140625" style="958" bestFit="1" customWidth="1"/>
    <col min="5142" max="5142" width="5.6640625" style="958" bestFit="1" customWidth="1"/>
    <col min="5143" max="5143" width="1.6640625" style="958" customWidth="1"/>
    <col min="5144" max="5144" width="7.6640625" style="958" customWidth="1"/>
    <col min="5145" max="5145" width="4.44140625" style="958" bestFit="1" customWidth="1"/>
    <col min="5146" max="5146" width="5.6640625" style="958" bestFit="1" customWidth="1"/>
    <col min="5147" max="5147" width="1.6640625" style="958" customWidth="1"/>
    <col min="5148" max="5148" width="8.6640625" style="958" customWidth="1"/>
    <col min="5149" max="5149" width="4.44140625" style="958" bestFit="1" customWidth="1"/>
    <col min="5150" max="5150" width="5.6640625" style="958" bestFit="1" customWidth="1"/>
    <col min="5151" max="5378" width="9.109375" style="958"/>
    <col min="5379" max="5379" width="2.33203125" style="958" customWidth="1"/>
    <col min="5380" max="5380" width="3.44140625" style="958" customWidth="1"/>
    <col min="5381" max="5381" width="1.88671875" style="958" bestFit="1" customWidth="1"/>
    <col min="5382" max="5382" width="3.44140625" style="958" customWidth="1"/>
    <col min="5383" max="5383" width="0" style="958" hidden="1" customWidth="1"/>
    <col min="5384" max="5384" width="7.6640625" style="958" customWidth="1"/>
    <col min="5385" max="5385" width="4.44140625" style="958" bestFit="1" customWidth="1"/>
    <col min="5386" max="5386" width="5.6640625" style="958" bestFit="1" customWidth="1"/>
    <col min="5387" max="5387" width="1.6640625" style="958" customWidth="1"/>
    <col min="5388" max="5388" width="8.6640625" style="958" customWidth="1"/>
    <col min="5389" max="5389" width="4.44140625" style="958" bestFit="1" customWidth="1"/>
    <col min="5390" max="5390" width="5.6640625" style="958" bestFit="1" customWidth="1"/>
    <col min="5391" max="5391" width="1.6640625" style="958" customWidth="1"/>
    <col min="5392" max="5392" width="7.6640625" style="958" customWidth="1"/>
    <col min="5393" max="5393" width="4.44140625" style="958" bestFit="1" customWidth="1"/>
    <col min="5394" max="5394" width="5.6640625" style="958" bestFit="1" customWidth="1"/>
    <col min="5395" max="5395" width="1.6640625" style="958" customWidth="1"/>
    <col min="5396" max="5396" width="8.6640625" style="958" customWidth="1"/>
    <col min="5397" max="5397" width="4.44140625" style="958" bestFit="1" customWidth="1"/>
    <col min="5398" max="5398" width="5.6640625" style="958" bestFit="1" customWidth="1"/>
    <col min="5399" max="5399" width="1.6640625" style="958" customWidth="1"/>
    <col min="5400" max="5400" width="7.6640625" style="958" customWidth="1"/>
    <col min="5401" max="5401" width="4.44140625" style="958" bestFit="1" customWidth="1"/>
    <col min="5402" max="5402" width="5.6640625" style="958" bestFit="1" customWidth="1"/>
    <col min="5403" max="5403" width="1.6640625" style="958" customWidth="1"/>
    <col min="5404" max="5404" width="8.6640625" style="958" customWidth="1"/>
    <col min="5405" max="5405" width="4.44140625" style="958" bestFit="1" customWidth="1"/>
    <col min="5406" max="5406" width="5.6640625" style="958" bestFit="1" customWidth="1"/>
    <col min="5407" max="5634" width="9.109375" style="958"/>
    <col min="5635" max="5635" width="2.33203125" style="958" customWidth="1"/>
    <col min="5636" max="5636" width="3.44140625" style="958" customWidth="1"/>
    <col min="5637" max="5637" width="1.88671875" style="958" bestFit="1" customWidth="1"/>
    <col min="5638" max="5638" width="3.44140625" style="958" customWidth="1"/>
    <col min="5639" max="5639" width="0" style="958" hidden="1" customWidth="1"/>
    <col min="5640" max="5640" width="7.6640625" style="958" customWidth="1"/>
    <col min="5641" max="5641" width="4.44140625" style="958" bestFit="1" customWidth="1"/>
    <col min="5642" max="5642" width="5.6640625" style="958" bestFit="1" customWidth="1"/>
    <col min="5643" max="5643" width="1.6640625" style="958" customWidth="1"/>
    <col min="5644" max="5644" width="8.6640625" style="958" customWidth="1"/>
    <col min="5645" max="5645" width="4.44140625" style="958" bestFit="1" customWidth="1"/>
    <col min="5646" max="5646" width="5.6640625" style="958" bestFit="1" customWidth="1"/>
    <col min="5647" max="5647" width="1.6640625" style="958" customWidth="1"/>
    <col min="5648" max="5648" width="7.6640625" style="958" customWidth="1"/>
    <col min="5649" max="5649" width="4.44140625" style="958" bestFit="1" customWidth="1"/>
    <col min="5650" max="5650" width="5.6640625" style="958" bestFit="1" customWidth="1"/>
    <col min="5651" max="5651" width="1.6640625" style="958" customWidth="1"/>
    <col min="5652" max="5652" width="8.6640625" style="958" customWidth="1"/>
    <col min="5653" max="5653" width="4.44140625" style="958" bestFit="1" customWidth="1"/>
    <col min="5654" max="5654" width="5.6640625" style="958" bestFit="1" customWidth="1"/>
    <col min="5655" max="5655" width="1.6640625" style="958" customWidth="1"/>
    <col min="5656" max="5656" width="7.6640625" style="958" customWidth="1"/>
    <col min="5657" max="5657" width="4.44140625" style="958" bestFit="1" customWidth="1"/>
    <col min="5658" max="5658" width="5.6640625" style="958" bestFit="1" customWidth="1"/>
    <col min="5659" max="5659" width="1.6640625" style="958" customWidth="1"/>
    <col min="5660" max="5660" width="8.6640625" style="958" customWidth="1"/>
    <col min="5661" max="5661" width="4.44140625" style="958" bestFit="1" customWidth="1"/>
    <col min="5662" max="5662" width="5.6640625" style="958" bestFit="1" customWidth="1"/>
    <col min="5663" max="5890" width="9.109375" style="958"/>
    <col min="5891" max="5891" width="2.33203125" style="958" customWidth="1"/>
    <col min="5892" max="5892" width="3.44140625" style="958" customWidth="1"/>
    <col min="5893" max="5893" width="1.88671875" style="958" bestFit="1" customWidth="1"/>
    <col min="5894" max="5894" width="3.44140625" style="958" customWidth="1"/>
    <col min="5895" max="5895" width="0" style="958" hidden="1" customWidth="1"/>
    <col min="5896" max="5896" width="7.6640625" style="958" customWidth="1"/>
    <col min="5897" max="5897" width="4.44140625" style="958" bestFit="1" customWidth="1"/>
    <col min="5898" max="5898" width="5.6640625" style="958" bestFit="1" customWidth="1"/>
    <col min="5899" max="5899" width="1.6640625" style="958" customWidth="1"/>
    <col min="5900" max="5900" width="8.6640625" style="958" customWidth="1"/>
    <col min="5901" max="5901" width="4.44140625" style="958" bestFit="1" customWidth="1"/>
    <col min="5902" max="5902" width="5.6640625" style="958" bestFit="1" customWidth="1"/>
    <col min="5903" max="5903" width="1.6640625" style="958" customWidth="1"/>
    <col min="5904" max="5904" width="7.6640625" style="958" customWidth="1"/>
    <col min="5905" max="5905" width="4.44140625" style="958" bestFit="1" customWidth="1"/>
    <col min="5906" max="5906" width="5.6640625" style="958" bestFit="1" customWidth="1"/>
    <col min="5907" max="5907" width="1.6640625" style="958" customWidth="1"/>
    <col min="5908" max="5908" width="8.6640625" style="958" customWidth="1"/>
    <col min="5909" max="5909" width="4.44140625" style="958" bestFit="1" customWidth="1"/>
    <col min="5910" max="5910" width="5.6640625" style="958" bestFit="1" customWidth="1"/>
    <col min="5911" max="5911" width="1.6640625" style="958" customWidth="1"/>
    <col min="5912" max="5912" width="7.6640625" style="958" customWidth="1"/>
    <col min="5913" max="5913" width="4.44140625" style="958" bestFit="1" customWidth="1"/>
    <col min="5914" max="5914" width="5.6640625" style="958" bestFit="1" customWidth="1"/>
    <col min="5915" max="5915" width="1.6640625" style="958" customWidth="1"/>
    <col min="5916" max="5916" width="8.6640625" style="958" customWidth="1"/>
    <col min="5917" max="5917" width="4.44140625" style="958" bestFit="1" customWidth="1"/>
    <col min="5918" max="5918" width="5.6640625" style="958" bestFit="1" customWidth="1"/>
    <col min="5919" max="6146" width="9.109375" style="958"/>
    <col min="6147" max="6147" width="2.33203125" style="958" customWidth="1"/>
    <col min="6148" max="6148" width="3.44140625" style="958" customWidth="1"/>
    <col min="6149" max="6149" width="1.88671875" style="958" bestFit="1" customWidth="1"/>
    <col min="6150" max="6150" width="3.44140625" style="958" customWidth="1"/>
    <col min="6151" max="6151" width="0" style="958" hidden="1" customWidth="1"/>
    <col min="6152" max="6152" width="7.6640625" style="958" customWidth="1"/>
    <col min="6153" max="6153" width="4.44140625" style="958" bestFit="1" customWidth="1"/>
    <col min="6154" max="6154" width="5.6640625" style="958" bestFit="1" customWidth="1"/>
    <col min="6155" max="6155" width="1.6640625" style="958" customWidth="1"/>
    <col min="6156" max="6156" width="8.6640625" style="958" customWidth="1"/>
    <col min="6157" max="6157" width="4.44140625" style="958" bestFit="1" customWidth="1"/>
    <col min="6158" max="6158" width="5.6640625" style="958" bestFit="1" customWidth="1"/>
    <col min="6159" max="6159" width="1.6640625" style="958" customWidth="1"/>
    <col min="6160" max="6160" width="7.6640625" style="958" customWidth="1"/>
    <col min="6161" max="6161" width="4.44140625" style="958" bestFit="1" customWidth="1"/>
    <col min="6162" max="6162" width="5.6640625" style="958" bestFit="1" customWidth="1"/>
    <col min="6163" max="6163" width="1.6640625" style="958" customWidth="1"/>
    <col min="6164" max="6164" width="8.6640625" style="958" customWidth="1"/>
    <col min="6165" max="6165" width="4.44140625" style="958" bestFit="1" customWidth="1"/>
    <col min="6166" max="6166" width="5.6640625" style="958" bestFit="1" customWidth="1"/>
    <col min="6167" max="6167" width="1.6640625" style="958" customWidth="1"/>
    <col min="6168" max="6168" width="7.6640625" style="958" customWidth="1"/>
    <col min="6169" max="6169" width="4.44140625" style="958" bestFit="1" customWidth="1"/>
    <col min="6170" max="6170" width="5.6640625" style="958" bestFit="1" customWidth="1"/>
    <col min="6171" max="6171" width="1.6640625" style="958" customWidth="1"/>
    <col min="6172" max="6172" width="8.6640625" style="958" customWidth="1"/>
    <col min="6173" max="6173" width="4.44140625" style="958" bestFit="1" customWidth="1"/>
    <col min="6174" max="6174" width="5.6640625" style="958" bestFit="1" customWidth="1"/>
    <col min="6175" max="6402" width="9.109375" style="958"/>
    <col min="6403" max="6403" width="2.33203125" style="958" customWidth="1"/>
    <col min="6404" max="6404" width="3.44140625" style="958" customWidth="1"/>
    <col min="6405" max="6405" width="1.88671875" style="958" bestFit="1" customWidth="1"/>
    <col min="6406" max="6406" width="3.44140625" style="958" customWidth="1"/>
    <col min="6407" max="6407" width="0" style="958" hidden="1" customWidth="1"/>
    <col min="6408" max="6408" width="7.6640625" style="958" customWidth="1"/>
    <col min="6409" max="6409" width="4.44140625" style="958" bestFit="1" customWidth="1"/>
    <col min="6410" max="6410" width="5.6640625" style="958" bestFit="1" customWidth="1"/>
    <col min="6411" max="6411" width="1.6640625" style="958" customWidth="1"/>
    <col min="6412" max="6412" width="8.6640625" style="958" customWidth="1"/>
    <col min="6413" max="6413" width="4.44140625" style="958" bestFit="1" customWidth="1"/>
    <col min="6414" max="6414" width="5.6640625" style="958" bestFit="1" customWidth="1"/>
    <col min="6415" max="6415" width="1.6640625" style="958" customWidth="1"/>
    <col min="6416" max="6416" width="7.6640625" style="958" customWidth="1"/>
    <col min="6417" max="6417" width="4.44140625" style="958" bestFit="1" customWidth="1"/>
    <col min="6418" max="6418" width="5.6640625" style="958" bestFit="1" customWidth="1"/>
    <col min="6419" max="6419" width="1.6640625" style="958" customWidth="1"/>
    <col min="6420" max="6420" width="8.6640625" style="958" customWidth="1"/>
    <col min="6421" max="6421" width="4.44140625" style="958" bestFit="1" customWidth="1"/>
    <col min="6422" max="6422" width="5.6640625" style="958" bestFit="1" customWidth="1"/>
    <col min="6423" max="6423" width="1.6640625" style="958" customWidth="1"/>
    <col min="6424" max="6424" width="7.6640625" style="958" customWidth="1"/>
    <col min="6425" max="6425" width="4.44140625" style="958" bestFit="1" customWidth="1"/>
    <col min="6426" max="6426" width="5.6640625" style="958" bestFit="1" customWidth="1"/>
    <col min="6427" max="6427" width="1.6640625" style="958" customWidth="1"/>
    <col min="6428" max="6428" width="8.6640625" style="958" customWidth="1"/>
    <col min="6429" max="6429" width="4.44140625" style="958" bestFit="1" customWidth="1"/>
    <col min="6430" max="6430" width="5.6640625" style="958" bestFit="1" customWidth="1"/>
    <col min="6431" max="6658" width="9.109375" style="958"/>
    <col min="6659" max="6659" width="2.33203125" style="958" customWidth="1"/>
    <col min="6660" max="6660" width="3.44140625" style="958" customWidth="1"/>
    <col min="6661" max="6661" width="1.88671875" style="958" bestFit="1" customWidth="1"/>
    <col min="6662" max="6662" width="3.44140625" style="958" customWidth="1"/>
    <col min="6663" max="6663" width="0" style="958" hidden="1" customWidth="1"/>
    <col min="6664" max="6664" width="7.6640625" style="958" customWidth="1"/>
    <col min="6665" max="6665" width="4.44140625" style="958" bestFit="1" customWidth="1"/>
    <col min="6666" max="6666" width="5.6640625" style="958" bestFit="1" customWidth="1"/>
    <col min="6667" max="6667" width="1.6640625" style="958" customWidth="1"/>
    <col min="6668" max="6668" width="8.6640625" style="958" customWidth="1"/>
    <col min="6669" max="6669" width="4.44140625" style="958" bestFit="1" customWidth="1"/>
    <col min="6670" max="6670" width="5.6640625" style="958" bestFit="1" customWidth="1"/>
    <col min="6671" max="6671" width="1.6640625" style="958" customWidth="1"/>
    <col min="6672" max="6672" width="7.6640625" style="958" customWidth="1"/>
    <col min="6673" max="6673" width="4.44140625" style="958" bestFit="1" customWidth="1"/>
    <col min="6674" max="6674" width="5.6640625" style="958" bestFit="1" customWidth="1"/>
    <col min="6675" max="6675" width="1.6640625" style="958" customWidth="1"/>
    <col min="6676" max="6676" width="8.6640625" style="958" customWidth="1"/>
    <col min="6677" max="6677" width="4.44140625" style="958" bestFit="1" customWidth="1"/>
    <col min="6678" max="6678" width="5.6640625" style="958" bestFit="1" customWidth="1"/>
    <col min="6679" max="6679" width="1.6640625" style="958" customWidth="1"/>
    <col min="6680" max="6680" width="7.6640625" style="958" customWidth="1"/>
    <col min="6681" max="6681" width="4.44140625" style="958" bestFit="1" customWidth="1"/>
    <col min="6682" max="6682" width="5.6640625" style="958" bestFit="1" customWidth="1"/>
    <col min="6683" max="6683" width="1.6640625" style="958" customWidth="1"/>
    <col min="6684" max="6684" width="8.6640625" style="958" customWidth="1"/>
    <col min="6685" max="6685" width="4.44140625" style="958" bestFit="1" customWidth="1"/>
    <col min="6686" max="6686" width="5.6640625" style="958" bestFit="1" customWidth="1"/>
    <col min="6687" max="6914" width="9.109375" style="958"/>
    <col min="6915" max="6915" width="2.33203125" style="958" customWidth="1"/>
    <col min="6916" max="6916" width="3.44140625" style="958" customWidth="1"/>
    <col min="6917" max="6917" width="1.88671875" style="958" bestFit="1" customWidth="1"/>
    <col min="6918" max="6918" width="3.44140625" style="958" customWidth="1"/>
    <col min="6919" max="6919" width="0" style="958" hidden="1" customWidth="1"/>
    <col min="6920" max="6920" width="7.6640625" style="958" customWidth="1"/>
    <col min="6921" max="6921" width="4.44140625" style="958" bestFit="1" customWidth="1"/>
    <col min="6922" max="6922" width="5.6640625" style="958" bestFit="1" customWidth="1"/>
    <col min="6923" max="6923" width="1.6640625" style="958" customWidth="1"/>
    <col min="6924" max="6924" width="8.6640625" style="958" customWidth="1"/>
    <col min="6925" max="6925" width="4.44140625" style="958" bestFit="1" customWidth="1"/>
    <col min="6926" max="6926" width="5.6640625" style="958" bestFit="1" customWidth="1"/>
    <col min="6927" max="6927" width="1.6640625" style="958" customWidth="1"/>
    <col min="6928" max="6928" width="7.6640625" style="958" customWidth="1"/>
    <col min="6929" max="6929" width="4.44140625" style="958" bestFit="1" customWidth="1"/>
    <col min="6930" max="6930" width="5.6640625" style="958" bestFit="1" customWidth="1"/>
    <col min="6931" max="6931" width="1.6640625" style="958" customWidth="1"/>
    <col min="6932" max="6932" width="8.6640625" style="958" customWidth="1"/>
    <col min="6933" max="6933" width="4.44140625" style="958" bestFit="1" customWidth="1"/>
    <col min="6934" max="6934" width="5.6640625" style="958" bestFit="1" customWidth="1"/>
    <col min="6935" max="6935" width="1.6640625" style="958" customWidth="1"/>
    <col min="6936" max="6936" width="7.6640625" style="958" customWidth="1"/>
    <col min="6937" max="6937" width="4.44140625" style="958" bestFit="1" customWidth="1"/>
    <col min="6938" max="6938" width="5.6640625" style="958" bestFit="1" customWidth="1"/>
    <col min="6939" max="6939" width="1.6640625" style="958" customWidth="1"/>
    <col min="6940" max="6940" width="8.6640625" style="958" customWidth="1"/>
    <col min="6941" max="6941" width="4.44140625" style="958" bestFit="1" customWidth="1"/>
    <col min="6942" max="6942" width="5.6640625" style="958" bestFit="1" customWidth="1"/>
    <col min="6943" max="7170" width="9.109375" style="958"/>
    <col min="7171" max="7171" width="2.33203125" style="958" customWidth="1"/>
    <col min="7172" max="7172" width="3.44140625" style="958" customWidth="1"/>
    <col min="7173" max="7173" width="1.88671875" style="958" bestFit="1" customWidth="1"/>
    <col min="7174" max="7174" width="3.44140625" style="958" customWidth="1"/>
    <col min="7175" max="7175" width="0" style="958" hidden="1" customWidth="1"/>
    <col min="7176" max="7176" width="7.6640625" style="958" customWidth="1"/>
    <col min="7177" max="7177" width="4.44140625" style="958" bestFit="1" customWidth="1"/>
    <col min="7178" max="7178" width="5.6640625" style="958" bestFit="1" customWidth="1"/>
    <col min="7179" max="7179" width="1.6640625" style="958" customWidth="1"/>
    <col min="7180" max="7180" width="8.6640625" style="958" customWidth="1"/>
    <col min="7181" max="7181" width="4.44140625" style="958" bestFit="1" customWidth="1"/>
    <col min="7182" max="7182" width="5.6640625" style="958" bestFit="1" customWidth="1"/>
    <col min="7183" max="7183" width="1.6640625" style="958" customWidth="1"/>
    <col min="7184" max="7184" width="7.6640625" style="958" customWidth="1"/>
    <col min="7185" max="7185" width="4.44140625" style="958" bestFit="1" customWidth="1"/>
    <col min="7186" max="7186" width="5.6640625" style="958" bestFit="1" customWidth="1"/>
    <col min="7187" max="7187" width="1.6640625" style="958" customWidth="1"/>
    <col min="7188" max="7188" width="8.6640625" style="958" customWidth="1"/>
    <col min="7189" max="7189" width="4.44140625" style="958" bestFit="1" customWidth="1"/>
    <col min="7190" max="7190" width="5.6640625" style="958" bestFit="1" customWidth="1"/>
    <col min="7191" max="7191" width="1.6640625" style="958" customWidth="1"/>
    <col min="7192" max="7192" width="7.6640625" style="958" customWidth="1"/>
    <col min="7193" max="7193" width="4.44140625" style="958" bestFit="1" customWidth="1"/>
    <col min="7194" max="7194" width="5.6640625" style="958" bestFit="1" customWidth="1"/>
    <col min="7195" max="7195" width="1.6640625" style="958" customWidth="1"/>
    <col min="7196" max="7196" width="8.6640625" style="958" customWidth="1"/>
    <col min="7197" max="7197" width="4.44140625" style="958" bestFit="1" customWidth="1"/>
    <col min="7198" max="7198" width="5.6640625" style="958" bestFit="1" customWidth="1"/>
    <col min="7199" max="7426" width="9.109375" style="958"/>
    <col min="7427" max="7427" width="2.33203125" style="958" customWidth="1"/>
    <col min="7428" max="7428" width="3.44140625" style="958" customWidth="1"/>
    <col min="7429" max="7429" width="1.88671875" style="958" bestFit="1" customWidth="1"/>
    <col min="7430" max="7430" width="3.44140625" style="958" customWidth="1"/>
    <col min="7431" max="7431" width="0" style="958" hidden="1" customWidth="1"/>
    <col min="7432" max="7432" width="7.6640625" style="958" customWidth="1"/>
    <col min="7433" max="7433" width="4.44140625" style="958" bestFit="1" customWidth="1"/>
    <col min="7434" max="7434" width="5.6640625" style="958" bestFit="1" customWidth="1"/>
    <col min="7435" max="7435" width="1.6640625" style="958" customWidth="1"/>
    <col min="7436" max="7436" width="8.6640625" style="958" customWidth="1"/>
    <col min="7437" max="7437" width="4.44140625" style="958" bestFit="1" customWidth="1"/>
    <col min="7438" max="7438" width="5.6640625" style="958" bestFit="1" customWidth="1"/>
    <col min="7439" max="7439" width="1.6640625" style="958" customWidth="1"/>
    <col min="7440" max="7440" width="7.6640625" style="958" customWidth="1"/>
    <col min="7441" max="7441" width="4.44140625" style="958" bestFit="1" customWidth="1"/>
    <col min="7442" max="7442" width="5.6640625" style="958" bestFit="1" customWidth="1"/>
    <col min="7443" max="7443" width="1.6640625" style="958" customWidth="1"/>
    <col min="7444" max="7444" width="8.6640625" style="958" customWidth="1"/>
    <col min="7445" max="7445" width="4.44140625" style="958" bestFit="1" customWidth="1"/>
    <col min="7446" max="7446" width="5.6640625" style="958" bestFit="1" customWidth="1"/>
    <col min="7447" max="7447" width="1.6640625" style="958" customWidth="1"/>
    <col min="7448" max="7448" width="7.6640625" style="958" customWidth="1"/>
    <col min="7449" max="7449" width="4.44140625" style="958" bestFit="1" customWidth="1"/>
    <col min="7450" max="7450" width="5.6640625" style="958" bestFit="1" customWidth="1"/>
    <col min="7451" max="7451" width="1.6640625" style="958" customWidth="1"/>
    <col min="7452" max="7452" width="8.6640625" style="958" customWidth="1"/>
    <col min="7453" max="7453" width="4.44140625" style="958" bestFit="1" customWidth="1"/>
    <col min="7454" max="7454" width="5.6640625" style="958" bestFit="1" customWidth="1"/>
    <col min="7455" max="7682" width="9.109375" style="958"/>
    <col min="7683" max="7683" width="2.33203125" style="958" customWidth="1"/>
    <col min="7684" max="7684" width="3.44140625" style="958" customWidth="1"/>
    <col min="7685" max="7685" width="1.88671875" style="958" bestFit="1" customWidth="1"/>
    <col min="7686" max="7686" width="3.44140625" style="958" customWidth="1"/>
    <col min="7687" max="7687" width="0" style="958" hidden="1" customWidth="1"/>
    <col min="7688" max="7688" width="7.6640625" style="958" customWidth="1"/>
    <col min="7689" max="7689" width="4.44140625" style="958" bestFit="1" customWidth="1"/>
    <col min="7690" max="7690" width="5.6640625" style="958" bestFit="1" customWidth="1"/>
    <col min="7691" max="7691" width="1.6640625" style="958" customWidth="1"/>
    <col min="7692" max="7692" width="8.6640625" style="958" customWidth="1"/>
    <col min="7693" max="7693" width="4.44140625" style="958" bestFit="1" customWidth="1"/>
    <col min="7694" max="7694" width="5.6640625" style="958" bestFit="1" customWidth="1"/>
    <col min="7695" max="7695" width="1.6640625" style="958" customWidth="1"/>
    <col min="7696" max="7696" width="7.6640625" style="958" customWidth="1"/>
    <col min="7697" max="7697" width="4.44140625" style="958" bestFit="1" customWidth="1"/>
    <col min="7698" max="7698" width="5.6640625" style="958" bestFit="1" customWidth="1"/>
    <col min="7699" max="7699" width="1.6640625" style="958" customWidth="1"/>
    <col min="7700" max="7700" width="8.6640625" style="958" customWidth="1"/>
    <col min="7701" max="7701" width="4.44140625" style="958" bestFit="1" customWidth="1"/>
    <col min="7702" max="7702" width="5.6640625" style="958" bestFit="1" customWidth="1"/>
    <col min="7703" max="7703" width="1.6640625" style="958" customWidth="1"/>
    <col min="7704" max="7704" width="7.6640625" style="958" customWidth="1"/>
    <col min="7705" max="7705" width="4.44140625" style="958" bestFit="1" customWidth="1"/>
    <col min="7706" max="7706" width="5.6640625" style="958" bestFit="1" customWidth="1"/>
    <col min="7707" max="7707" width="1.6640625" style="958" customWidth="1"/>
    <col min="7708" max="7708" width="8.6640625" style="958" customWidth="1"/>
    <col min="7709" max="7709" width="4.44140625" style="958" bestFit="1" customWidth="1"/>
    <col min="7710" max="7710" width="5.6640625" style="958" bestFit="1" customWidth="1"/>
    <col min="7711" max="7938" width="9.109375" style="958"/>
    <col min="7939" max="7939" width="2.33203125" style="958" customWidth="1"/>
    <col min="7940" max="7940" width="3.44140625" style="958" customWidth="1"/>
    <col min="7941" max="7941" width="1.88671875" style="958" bestFit="1" customWidth="1"/>
    <col min="7942" max="7942" width="3.44140625" style="958" customWidth="1"/>
    <col min="7943" max="7943" width="0" style="958" hidden="1" customWidth="1"/>
    <col min="7944" max="7944" width="7.6640625" style="958" customWidth="1"/>
    <col min="7945" max="7945" width="4.44140625" style="958" bestFit="1" customWidth="1"/>
    <col min="7946" max="7946" width="5.6640625" style="958" bestFit="1" customWidth="1"/>
    <col min="7947" max="7947" width="1.6640625" style="958" customWidth="1"/>
    <col min="7948" max="7948" width="8.6640625" style="958" customWidth="1"/>
    <col min="7949" max="7949" width="4.44140625" style="958" bestFit="1" customWidth="1"/>
    <col min="7950" max="7950" width="5.6640625" style="958" bestFit="1" customWidth="1"/>
    <col min="7951" max="7951" width="1.6640625" style="958" customWidth="1"/>
    <col min="7952" max="7952" width="7.6640625" style="958" customWidth="1"/>
    <col min="7953" max="7953" width="4.44140625" style="958" bestFit="1" customWidth="1"/>
    <col min="7954" max="7954" width="5.6640625" style="958" bestFit="1" customWidth="1"/>
    <col min="7955" max="7955" width="1.6640625" style="958" customWidth="1"/>
    <col min="7956" max="7956" width="8.6640625" style="958" customWidth="1"/>
    <col min="7957" max="7957" width="4.44140625" style="958" bestFit="1" customWidth="1"/>
    <col min="7958" max="7958" width="5.6640625" style="958" bestFit="1" customWidth="1"/>
    <col min="7959" max="7959" width="1.6640625" style="958" customWidth="1"/>
    <col min="7960" max="7960" width="7.6640625" style="958" customWidth="1"/>
    <col min="7961" max="7961" width="4.44140625" style="958" bestFit="1" customWidth="1"/>
    <col min="7962" max="7962" width="5.6640625" style="958" bestFit="1" customWidth="1"/>
    <col min="7963" max="7963" width="1.6640625" style="958" customWidth="1"/>
    <col min="7964" max="7964" width="8.6640625" style="958" customWidth="1"/>
    <col min="7965" max="7965" width="4.44140625" style="958" bestFit="1" customWidth="1"/>
    <col min="7966" max="7966" width="5.6640625" style="958" bestFit="1" customWidth="1"/>
    <col min="7967" max="8194" width="9.109375" style="958"/>
    <col min="8195" max="8195" width="2.33203125" style="958" customWidth="1"/>
    <col min="8196" max="8196" width="3.44140625" style="958" customWidth="1"/>
    <col min="8197" max="8197" width="1.88671875" style="958" bestFit="1" customWidth="1"/>
    <col min="8198" max="8198" width="3.44140625" style="958" customWidth="1"/>
    <col min="8199" max="8199" width="0" style="958" hidden="1" customWidth="1"/>
    <col min="8200" max="8200" width="7.6640625" style="958" customWidth="1"/>
    <col min="8201" max="8201" width="4.44140625" style="958" bestFit="1" customWidth="1"/>
    <col min="8202" max="8202" width="5.6640625" style="958" bestFit="1" customWidth="1"/>
    <col min="8203" max="8203" width="1.6640625" style="958" customWidth="1"/>
    <col min="8204" max="8204" width="8.6640625" style="958" customWidth="1"/>
    <col min="8205" max="8205" width="4.44140625" style="958" bestFit="1" customWidth="1"/>
    <col min="8206" max="8206" width="5.6640625" style="958" bestFit="1" customWidth="1"/>
    <col min="8207" max="8207" width="1.6640625" style="958" customWidth="1"/>
    <col min="8208" max="8208" width="7.6640625" style="958" customWidth="1"/>
    <col min="8209" max="8209" width="4.44140625" style="958" bestFit="1" customWidth="1"/>
    <col min="8210" max="8210" width="5.6640625" style="958" bestFit="1" customWidth="1"/>
    <col min="8211" max="8211" width="1.6640625" style="958" customWidth="1"/>
    <col min="8212" max="8212" width="8.6640625" style="958" customWidth="1"/>
    <col min="8213" max="8213" width="4.44140625" style="958" bestFit="1" customWidth="1"/>
    <col min="8214" max="8214" width="5.6640625" style="958" bestFit="1" customWidth="1"/>
    <col min="8215" max="8215" width="1.6640625" style="958" customWidth="1"/>
    <col min="8216" max="8216" width="7.6640625" style="958" customWidth="1"/>
    <col min="8217" max="8217" width="4.44140625" style="958" bestFit="1" customWidth="1"/>
    <col min="8218" max="8218" width="5.6640625" style="958" bestFit="1" customWidth="1"/>
    <col min="8219" max="8219" width="1.6640625" style="958" customWidth="1"/>
    <col min="8220" max="8220" width="8.6640625" style="958" customWidth="1"/>
    <col min="8221" max="8221" width="4.44140625" style="958" bestFit="1" customWidth="1"/>
    <col min="8222" max="8222" width="5.6640625" style="958" bestFit="1" customWidth="1"/>
    <col min="8223" max="8450" width="9.109375" style="958"/>
    <col min="8451" max="8451" width="2.33203125" style="958" customWidth="1"/>
    <col min="8452" max="8452" width="3.44140625" style="958" customWidth="1"/>
    <col min="8453" max="8453" width="1.88671875" style="958" bestFit="1" customWidth="1"/>
    <col min="8454" max="8454" width="3.44140625" style="958" customWidth="1"/>
    <col min="8455" max="8455" width="0" style="958" hidden="1" customWidth="1"/>
    <col min="8456" max="8456" width="7.6640625" style="958" customWidth="1"/>
    <col min="8457" max="8457" width="4.44140625" style="958" bestFit="1" customWidth="1"/>
    <col min="8458" max="8458" width="5.6640625" style="958" bestFit="1" customWidth="1"/>
    <col min="8459" max="8459" width="1.6640625" style="958" customWidth="1"/>
    <col min="8460" max="8460" width="8.6640625" style="958" customWidth="1"/>
    <col min="8461" max="8461" width="4.44140625" style="958" bestFit="1" customWidth="1"/>
    <col min="8462" max="8462" width="5.6640625" style="958" bestFit="1" customWidth="1"/>
    <col min="8463" max="8463" width="1.6640625" style="958" customWidth="1"/>
    <col min="8464" max="8464" width="7.6640625" style="958" customWidth="1"/>
    <col min="8465" max="8465" width="4.44140625" style="958" bestFit="1" customWidth="1"/>
    <col min="8466" max="8466" width="5.6640625" style="958" bestFit="1" customWidth="1"/>
    <col min="8467" max="8467" width="1.6640625" style="958" customWidth="1"/>
    <col min="8468" max="8468" width="8.6640625" style="958" customWidth="1"/>
    <col min="8469" max="8469" width="4.44140625" style="958" bestFit="1" customWidth="1"/>
    <col min="8470" max="8470" width="5.6640625" style="958" bestFit="1" customWidth="1"/>
    <col min="8471" max="8471" width="1.6640625" style="958" customWidth="1"/>
    <col min="8472" max="8472" width="7.6640625" style="958" customWidth="1"/>
    <col min="8473" max="8473" width="4.44140625" style="958" bestFit="1" customWidth="1"/>
    <col min="8474" max="8474" width="5.6640625" style="958" bestFit="1" customWidth="1"/>
    <col min="8475" max="8475" width="1.6640625" style="958" customWidth="1"/>
    <col min="8476" max="8476" width="8.6640625" style="958" customWidth="1"/>
    <col min="8477" max="8477" width="4.44140625" style="958" bestFit="1" customWidth="1"/>
    <col min="8478" max="8478" width="5.6640625" style="958" bestFit="1" customWidth="1"/>
    <col min="8479" max="8706" width="9.109375" style="958"/>
    <col min="8707" max="8707" width="2.33203125" style="958" customWidth="1"/>
    <col min="8708" max="8708" width="3.44140625" style="958" customWidth="1"/>
    <col min="8709" max="8709" width="1.88671875" style="958" bestFit="1" customWidth="1"/>
    <col min="8710" max="8710" width="3.44140625" style="958" customWidth="1"/>
    <col min="8711" max="8711" width="0" style="958" hidden="1" customWidth="1"/>
    <col min="8712" max="8712" width="7.6640625" style="958" customWidth="1"/>
    <col min="8713" max="8713" width="4.44140625" style="958" bestFit="1" customWidth="1"/>
    <col min="8714" max="8714" width="5.6640625" style="958" bestFit="1" customWidth="1"/>
    <col min="8715" max="8715" width="1.6640625" style="958" customWidth="1"/>
    <col min="8716" max="8716" width="8.6640625" style="958" customWidth="1"/>
    <col min="8717" max="8717" width="4.44140625" style="958" bestFit="1" customWidth="1"/>
    <col min="8718" max="8718" width="5.6640625" style="958" bestFit="1" customWidth="1"/>
    <col min="8719" max="8719" width="1.6640625" style="958" customWidth="1"/>
    <col min="8720" max="8720" width="7.6640625" style="958" customWidth="1"/>
    <col min="8721" max="8721" width="4.44140625" style="958" bestFit="1" customWidth="1"/>
    <col min="8722" max="8722" width="5.6640625" style="958" bestFit="1" customWidth="1"/>
    <col min="8723" max="8723" width="1.6640625" style="958" customWidth="1"/>
    <col min="8724" max="8724" width="8.6640625" style="958" customWidth="1"/>
    <col min="8725" max="8725" width="4.44140625" style="958" bestFit="1" customWidth="1"/>
    <col min="8726" max="8726" width="5.6640625" style="958" bestFit="1" customWidth="1"/>
    <col min="8727" max="8727" width="1.6640625" style="958" customWidth="1"/>
    <col min="8728" max="8728" width="7.6640625" style="958" customWidth="1"/>
    <col min="8729" max="8729" width="4.44140625" style="958" bestFit="1" customWidth="1"/>
    <col min="8730" max="8730" width="5.6640625" style="958" bestFit="1" customWidth="1"/>
    <col min="8731" max="8731" width="1.6640625" style="958" customWidth="1"/>
    <col min="8732" max="8732" width="8.6640625" style="958" customWidth="1"/>
    <col min="8733" max="8733" width="4.44140625" style="958" bestFit="1" customWidth="1"/>
    <col min="8734" max="8734" width="5.6640625" style="958" bestFit="1" customWidth="1"/>
    <col min="8735" max="8962" width="9.109375" style="958"/>
    <col min="8963" max="8963" width="2.33203125" style="958" customWidth="1"/>
    <col min="8964" max="8964" width="3.44140625" style="958" customWidth="1"/>
    <col min="8965" max="8965" width="1.88671875" style="958" bestFit="1" customWidth="1"/>
    <col min="8966" max="8966" width="3.44140625" style="958" customWidth="1"/>
    <col min="8967" max="8967" width="0" style="958" hidden="1" customWidth="1"/>
    <col min="8968" max="8968" width="7.6640625" style="958" customWidth="1"/>
    <col min="8969" max="8969" width="4.44140625" style="958" bestFit="1" customWidth="1"/>
    <col min="8970" max="8970" width="5.6640625" style="958" bestFit="1" customWidth="1"/>
    <col min="8971" max="8971" width="1.6640625" style="958" customWidth="1"/>
    <col min="8972" max="8972" width="8.6640625" style="958" customWidth="1"/>
    <col min="8973" max="8973" width="4.44140625" style="958" bestFit="1" customWidth="1"/>
    <col min="8974" max="8974" width="5.6640625" style="958" bestFit="1" customWidth="1"/>
    <col min="8975" max="8975" width="1.6640625" style="958" customWidth="1"/>
    <col min="8976" max="8976" width="7.6640625" style="958" customWidth="1"/>
    <col min="8977" max="8977" width="4.44140625" style="958" bestFit="1" customWidth="1"/>
    <col min="8978" max="8978" width="5.6640625" style="958" bestFit="1" customWidth="1"/>
    <col min="8979" max="8979" width="1.6640625" style="958" customWidth="1"/>
    <col min="8980" max="8980" width="8.6640625" style="958" customWidth="1"/>
    <col min="8981" max="8981" width="4.44140625" style="958" bestFit="1" customWidth="1"/>
    <col min="8982" max="8982" width="5.6640625" style="958" bestFit="1" customWidth="1"/>
    <col min="8983" max="8983" width="1.6640625" style="958" customWidth="1"/>
    <col min="8984" max="8984" width="7.6640625" style="958" customWidth="1"/>
    <col min="8985" max="8985" width="4.44140625" style="958" bestFit="1" customWidth="1"/>
    <col min="8986" max="8986" width="5.6640625" style="958" bestFit="1" customWidth="1"/>
    <col min="8987" max="8987" width="1.6640625" style="958" customWidth="1"/>
    <col min="8988" max="8988" width="8.6640625" style="958" customWidth="1"/>
    <col min="8989" max="8989" width="4.44140625" style="958" bestFit="1" customWidth="1"/>
    <col min="8990" max="8990" width="5.6640625" style="958" bestFit="1" customWidth="1"/>
    <col min="8991" max="9218" width="9.109375" style="958"/>
    <col min="9219" max="9219" width="2.33203125" style="958" customWidth="1"/>
    <col min="9220" max="9220" width="3.44140625" style="958" customWidth="1"/>
    <col min="9221" max="9221" width="1.88671875" style="958" bestFit="1" customWidth="1"/>
    <col min="9222" max="9222" width="3.44140625" style="958" customWidth="1"/>
    <col min="9223" max="9223" width="0" style="958" hidden="1" customWidth="1"/>
    <col min="9224" max="9224" width="7.6640625" style="958" customWidth="1"/>
    <col min="9225" max="9225" width="4.44140625" style="958" bestFit="1" customWidth="1"/>
    <col min="9226" max="9226" width="5.6640625" style="958" bestFit="1" customWidth="1"/>
    <col min="9227" max="9227" width="1.6640625" style="958" customWidth="1"/>
    <col min="9228" max="9228" width="8.6640625" style="958" customWidth="1"/>
    <col min="9229" max="9229" width="4.44140625" style="958" bestFit="1" customWidth="1"/>
    <col min="9230" max="9230" width="5.6640625" style="958" bestFit="1" customWidth="1"/>
    <col min="9231" max="9231" width="1.6640625" style="958" customWidth="1"/>
    <col min="9232" max="9232" width="7.6640625" style="958" customWidth="1"/>
    <col min="9233" max="9233" width="4.44140625" style="958" bestFit="1" customWidth="1"/>
    <col min="9234" max="9234" width="5.6640625" style="958" bestFit="1" customWidth="1"/>
    <col min="9235" max="9235" width="1.6640625" style="958" customWidth="1"/>
    <col min="9236" max="9236" width="8.6640625" style="958" customWidth="1"/>
    <col min="9237" max="9237" width="4.44140625" style="958" bestFit="1" customWidth="1"/>
    <col min="9238" max="9238" width="5.6640625" style="958" bestFit="1" customWidth="1"/>
    <col min="9239" max="9239" width="1.6640625" style="958" customWidth="1"/>
    <col min="9240" max="9240" width="7.6640625" style="958" customWidth="1"/>
    <col min="9241" max="9241" width="4.44140625" style="958" bestFit="1" customWidth="1"/>
    <col min="9242" max="9242" width="5.6640625" style="958" bestFit="1" customWidth="1"/>
    <col min="9243" max="9243" width="1.6640625" style="958" customWidth="1"/>
    <col min="9244" max="9244" width="8.6640625" style="958" customWidth="1"/>
    <col min="9245" max="9245" width="4.44140625" style="958" bestFit="1" customWidth="1"/>
    <col min="9246" max="9246" width="5.6640625" style="958" bestFit="1" customWidth="1"/>
    <col min="9247" max="9474" width="9.109375" style="958"/>
    <col min="9475" max="9475" width="2.33203125" style="958" customWidth="1"/>
    <col min="9476" max="9476" width="3.44140625" style="958" customWidth="1"/>
    <col min="9477" max="9477" width="1.88671875" style="958" bestFit="1" customWidth="1"/>
    <col min="9478" max="9478" width="3.44140625" style="958" customWidth="1"/>
    <col min="9479" max="9479" width="0" style="958" hidden="1" customWidth="1"/>
    <col min="9480" max="9480" width="7.6640625" style="958" customWidth="1"/>
    <col min="9481" max="9481" width="4.44140625" style="958" bestFit="1" customWidth="1"/>
    <col min="9482" max="9482" width="5.6640625" style="958" bestFit="1" customWidth="1"/>
    <col min="9483" max="9483" width="1.6640625" style="958" customWidth="1"/>
    <col min="9484" max="9484" width="8.6640625" style="958" customWidth="1"/>
    <col min="9485" max="9485" width="4.44140625" style="958" bestFit="1" customWidth="1"/>
    <col min="9486" max="9486" width="5.6640625" style="958" bestFit="1" customWidth="1"/>
    <col min="9487" max="9487" width="1.6640625" style="958" customWidth="1"/>
    <col min="9488" max="9488" width="7.6640625" style="958" customWidth="1"/>
    <col min="9489" max="9489" width="4.44140625" style="958" bestFit="1" customWidth="1"/>
    <col min="9490" max="9490" width="5.6640625" style="958" bestFit="1" customWidth="1"/>
    <col min="9491" max="9491" width="1.6640625" style="958" customWidth="1"/>
    <col min="9492" max="9492" width="8.6640625" style="958" customWidth="1"/>
    <col min="9493" max="9493" width="4.44140625" style="958" bestFit="1" customWidth="1"/>
    <col min="9494" max="9494" width="5.6640625" style="958" bestFit="1" customWidth="1"/>
    <col min="9495" max="9495" width="1.6640625" style="958" customWidth="1"/>
    <col min="9496" max="9496" width="7.6640625" style="958" customWidth="1"/>
    <col min="9497" max="9497" width="4.44140625" style="958" bestFit="1" customWidth="1"/>
    <col min="9498" max="9498" width="5.6640625" style="958" bestFit="1" customWidth="1"/>
    <col min="9499" max="9499" width="1.6640625" style="958" customWidth="1"/>
    <col min="9500" max="9500" width="8.6640625" style="958" customWidth="1"/>
    <col min="9501" max="9501" width="4.44140625" style="958" bestFit="1" customWidth="1"/>
    <col min="9502" max="9502" width="5.6640625" style="958" bestFit="1" customWidth="1"/>
    <col min="9503" max="9730" width="9.109375" style="958"/>
    <col min="9731" max="9731" width="2.33203125" style="958" customWidth="1"/>
    <col min="9732" max="9732" width="3.44140625" style="958" customWidth="1"/>
    <col min="9733" max="9733" width="1.88671875" style="958" bestFit="1" customWidth="1"/>
    <col min="9734" max="9734" width="3.44140625" style="958" customWidth="1"/>
    <col min="9735" max="9735" width="0" style="958" hidden="1" customWidth="1"/>
    <col min="9736" max="9736" width="7.6640625" style="958" customWidth="1"/>
    <col min="9737" max="9737" width="4.44140625" style="958" bestFit="1" customWidth="1"/>
    <col min="9738" max="9738" width="5.6640625" style="958" bestFit="1" customWidth="1"/>
    <col min="9739" max="9739" width="1.6640625" style="958" customWidth="1"/>
    <col min="9740" max="9740" width="8.6640625" style="958" customWidth="1"/>
    <col min="9741" max="9741" width="4.44140625" style="958" bestFit="1" customWidth="1"/>
    <col min="9742" max="9742" width="5.6640625" style="958" bestFit="1" customWidth="1"/>
    <col min="9743" max="9743" width="1.6640625" style="958" customWidth="1"/>
    <col min="9744" max="9744" width="7.6640625" style="958" customWidth="1"/>
    <col min="9745" max="9745" width="4.44140625" style="958" bestFit="1" customWidth="1"/>
    <col min="9746" max="9746" width="5.6640625" style="958" bestFit="1" customWidth="1"/>
    <col min="9747" max="9747" width="1.6640625" style="958" customWidth="1"/>
    <col min="9748" max="9748" width="8.6640625" style="958" customWidth="1"/>
    <col min="9749" max="9749" width="4.44140625" style="958" bestFit="1" customWidth="1"/>
    <col min="9750" max="9750" width="5.6640625" style="958" bestFit="1" customWidth="1"/>
    <col min="9751" max="9751" width="1.6640625" style="958" customWidth="1"/>
    <col min="9752" max="9752" width="7.6640625" style="958" customWidth="1"/>
    <col min="9753" max="9753" width="4.44140625" style="958" bestFit="1" customWidth="1"/>
    <col min="9754" max="9754" width="5.6640625" style="958" bestFit="1" customWidth="1"/>
    <col min="9755" max="9755" width="1.6640625" style="958" customWidth="1"/>
    <col min="9756" max="9756" width="8.6640625" style="958" customWidth="1"/>
    <col min="9757" max="9757" width="4.44140625" style="958" bestFit="1" customWidth="1"/>
    <col min="9758" max="9758" width="5.6640625" style="958" bestFit="1" customWidth="1"/>
    <col min="9759" max="9986" width="9.109375" style="958"/>
    <col min="9987" max="9987" width="2.33203125" style="958" customWidth="1"/>
    <col min="9988" max="9988" width="3.44140625" style="958" customWidth="1"/>
    <col min="9989" max="9989" width="1.88671875" style="958" bestFit="1" customWidth="1"/>
    <col min="9990" max="9990" width="3.44140625" style="958" customWidth="1"/>
    <col min="9991" max="9991" width="0" style="958" hidden="1" customWidth="1"/>
    <col min="9992" max="9992" width="7.6640625" style="958" customWidth="1"/>
    <col min="9993" max="9993" width="4.44140625" style="958" bestFit="1" customWidth="1"/>
    <col min="9994" max="9994" width="5.6640625" style="958" bestFit="1" customWidth="1"/>
    <col min="9995" max="9995" width="1.6640625" style="958" customWidth="1"/>
    <col min="9996" max="9996" width="8.6640625" style="958" customWidth="1"/>
    <col min="9997" max="9997" width="4.44140625" style="958" bestFit="1" customWidth="1"/>
    <col min="9998" max="9998" width="5.6640625" style="958" bestFit="1" customWidth="1"/>
    <col min="9999" max="9999" width="1.6640625" style="958" customWidth="1"/>
    <col min="10000" max="10000" width="7.6640625" style="958" customWidth="1"/>
    <col min="10001" max="10001" width="4.44140625" style="958" bestFit="1" customWidth="1"/>
    <col min="10002" max="10002" width="5.6640625" style="958" bestFit="1" customWidth="1"/>
    <col min="10003" max="10003" width="1.6640625" style="958" customWidth="1"/>
    <col min="10004" max="10004" width="8.6640625" style="958" customWidth="1"/>
    <col min="10005" max="10005" width="4.44140625" style="958" bestFit="1" customWidth="1"/>
    <col min="10006" max="10006" width="5.6640625" style="958" bestFit="1" customWidth="1"/>
    <col min="10007" max="10007" width="1.6640625" style="958" customWidth="1"/>
    <col min="10008" max="10008" width="7.6640625" style="958" customWidth="1"/>
    <col min="10009" max="10009" width="4.44140625" style="958" bestFit="1" customWidth="1"/>
    <col min="10010" max="10010" width="5.6640625" style="958" bestFit="1" customWidth="1"/>
    <col min="10011" max="10011" width="1.6640625" style="958" customWidth="1"/>
    <col min="10012" max="10012" width="8.6640625" style="958" customWidth="1"/>
    <col min="10013" max="10013" width="4.44140625" style="958" bestFit="1" customWidth="1"/>
    <col min="10014" max="10014" width="5.6640625" style="958" bestFit="1" customWidth="1"/>
    <col min="10015" max="10242" width="9.109375" style="958"/>
    <col min="10243" max="10243" width="2.33203125" style="958" customWidth="1"/>
    <col min="10244" max="10244" width="3.44140625" style="958" customWidth="1"/>
    <col min="10245" max="10245" width="1.88671875" style="958" bestFit="1" customWidth="1"/>
    <col min="10246" max="10246" width="3.44140625" style="958" customWidth="1"/>
    <col min="10247" max="10247" width="0" style="958" hidden="1" customWidth="1"/>
    <col min="10248" max="10248" width="7.6640625" style="958" customWidth="1"/>
    <col min="10249" max="10249" width="4.44140625" style="958" bestFit="1" customWidth="1"/>
    <col min="10250" max="10250" width="5.6640625" style="958" bestFit="1" customWidth="1"/>
    <col min="10251" max="10251" width="1.6640625" style="958" customWidth="1"/>
    <col min="10252" max="10252" width="8.6640625" style="958" customWidth="1"/>
    <col min="10253" max="10253" width="4.44140625" style="958" bestFit="1" customWidth="1"/>
    <col min="10254" max="10254" width="5.6640625" style="958" bestFit="1" customWidth="1"/>
    <col min="10255" max="10255" width="1.6640625" style="958" customWidth="1"/>
    <col min="10256" max="10256" width="7.6640625" style="958" customWidth="1"/>
    <col min="10257" max="10257" width="4.44140625" style="958" bestFit="1" customWidth="1"/>
    <col min="10258" max="10258" width="5.6640625" style="958" bestFit="1" customWidth="1"/>
    <col min="10259" max="10259" width="1.6640625" style="958" customWidth="1"/>
    <col min="10260" max="10260" width="8.6640625" style="958" customWidth="1"/>
    <col min="10261" max="10261" width="4.44140625" style="958" bestFit="1" customWidth="1"/>
    <col min="10262" max="10262" width="5.6640625" style="958" bestFit="1" customWidth="1"/>
    <col min="10263" max="10263" width="1.6640625" style="958" customWidth="1"/>
    <col min="10264" max="10264" width="7.6640625" style="958" customWidth="1"/>
    <col min="10265" max="10265" width="4.44140625" style="958" bestFit="1" customWidth="1"/>
    <col min="10266" max="10266" width="5.6640625" style="958" bestFit="1" customWidth="1"/>
    <col min="10267" max="10267" width="1.6640625" style="958" customWidth="1"/>
    <col min="10268" max="10268" width="8.6640625" style="958" customWidth="1"/>
    <col min="10269" max="10269" width="4.44140625" style="958" bestFit="1" customWidth="1"/>
    <col min="10270" max="10270" width="5.6640625" style="958" bestFit="1" customWidth="1"/>
    <col min="10271" max="10498" width="9.109375" style="958"/>
    <col min="10499" max="10499" width="2.33203125" style="958" customWidth="1"/>
    <col min="10500" max="10500" width="3.44140625" style="958" customWidth="1"/>
    <col min="10501" max="10501" width="1.88671875" style="958" bestFit="1" customWidth="1"/>
    <col min="10502" max="10502" width="3.44140625" style="958" customWidth="1"/>
    <col min="10503" max="10503" width="0" style="958" hidden="1" customWidth="1"/>
    <col min="10504" max="10504" width="7.6640625" style="958" customWidth="1"/>
    <col min="10505" max="10505" width="4.44140625" style="958" bestFit="1" customWidth="1"/>
    <col min="10506" max="10506" width="5.6640625" style="958" bestFit="1" customWidth="1"/>
    <col min="10507" max="10507" width="1.6640625" style="958" customWidth="1"/>
    <col min="10508" max="10508" width="8.6640625" style="958" customWidth="1"/>
    <col min="10509" max="10509" width="4.44140625" style="958" bestFit="1" customWidth="1"/>
    <col min="10510" max="10510" width="5.6640625" style="958" bestFit="1" customWidth="1"/>
    <col min="10511" max="10511" width="1.6640625" style="958" customWidth="1"/>
    <col min="10512" max="10512" width="7.6640625" style="958" customWidth="1"/>
    <col min="10513" max="10513" width="4.44140625" style="958" bestFit="1" customWidth="1"/>
    <col min="10514" max="10514" width="5.6640625" style="958" bestFit="1" customWidth="1"/>
    <col min="10515" max="10515" width="1.6640625" style="958" customWidth="1"/>
    <col min="10516" max="10516" width="8.6640625" style="958" customWidth="1"/>
    <col min="10517" max="10517" width="4.44140625" style="958" bestFit="1" customWidth="1"/>
    <col min="10518" max="10518" width="5.6640625" style="958" bestFit="1" customWidth="1"/>
    <col min="10519" max="10519" width="1.6640625" style="958" customWidth="1"/>
    <col min="10520" max="10520" width="7.6640625" style="958" customWidth="1"/>
    <col min="10521" max="10521" width="4.44140625" style="958" bestFit="1" customWidth="1"/>
    <col min="10522" max="10522" width="5.6640625" style="958" bestFit="1" customWidth="1"/>
    <col min="10523" max="10523" width="1.6640625" style="958" customWidth="1"/>
    <col min="10524" max="10524" width="8.6640625" style="958" customWidth="1"/>
    <col min="10525" max="10525" width="4.44140625" style="958" bestFit="1" customWidth="1"/>
    <col min="10526" max="10526" width="5.6640625" style="958" bestFit="1" customWidth="1"/>
    <col min="10527" max="10754" width="9.109375" style="958"/>
    <col min="10755" max="10755" width="2.33203125" style="958" customWidth="1"/>
    <col min="10756" max="10756" width="3.44140625" style="958" customWidth="1"/>
    <col min="10757" max="10757" width="1.88671875" style="958" bestFit="1" customWidth="1"/>
    <col min="10758" max="10758" width="3.44140625" style="958" customWidth="1"/>
    <col min="10759" max="10759" width="0" style="958" hidden="1" customWidth="1"/>
    <col min="10760" max="10760" width="7.6640625" style="958" customWidth="1"/>
    <col min="10761" max="10761" width="4.44140625" style="958" bestFit="1" customWidth="1"/>
    <col min="10762" max="10762" width="5.6640625" style="958" bestFit="1" customWidth="1"/>
    <col min="10763" max="10763" width="1.6640625" style="958" customWidth="1"/>
    <col min="10764" max="10764" width="8.6640625" style="958" customWidth="1"/>
    <col min="10765" max="10765" width="4.44140625" style="958" bestFit="1" customWidth="1"/>
    <col min="10766" max="10766" width="5.6640625" style="958" bestFit="1" customWidth="1"/>
    <col min="10767" max="10767" width="1.6640625" style="958" customWidth="1"/>
    <col min="10768" max="10768" width="7.6640625" style="958" customWidth="1"/>
    <col min="10769" max="10769" width="4.44140625" style="958" bestFit="1" customWidth="1"/>
    <col min="10770" max="10770" width="5.6640625" style="958" bestFit="1" customWidth="1"/>
    <col min="10771" max="10771" width="1.6640625" style="958" customWidth="1"/>
    <col min="10772" max="10772" width="8.6640625" style="958" customWidth="1"/>
    <col min="10773" max="10773" width="4.44140625" style="958" bestFit="1" customWidth="1"/>
    <col min="10774" max="10774" width="5.6640625" style="958" bestFit="1" customWidth="1"/>
    <col min="10775" max="10775" width="1.6640625" style="958" customWidth="1"/>
    <col min="10776" max="10776" width="7.6640625" style="958" customWidth="1"/>
    <col min="10777" max="10777" width="4.44140625" style="958" bestFit="1" customWidth="1"/>
    <col min="10778" max="10778" width="5.6640625" style="958" bestFit="1" customWidth="1"/>
    <col min="10779" max="10779" width="1.6640625" style="958" customWidth="1"/>
    <col min="10780" max="10780" width="8.6640625" style="958" customWidth="1"/>
    <col min="10781" max="10781" width="4.44140625" style="958" bestFit="1" customWidth="1"/>
    <col min="10782" max="10782" width="5.6640625" style="958" bestFit="1" customWidth="1"/>
    <col min="10783" max="11010" width="9.109375" style="958"/>
    <col min="11011" max="11011" width="2.33203125" style="958" customWidth="1"/>
    <col min="11012" max="11012" width="3.44140625" style="958" customWidth="1"/>
    <col min="11013" max="11013" width="1.88671875" style="958" bestFit="1" customWidth="1"/>
    <col min="11014" max="11014" width="3.44140625" style="958" customWidth="1"/>
    <col min="11015" max="11015" width="0" style="958" hidden="1" customWidth="1"/>
    <col min="11016" max="11016" width="7.6640625" style="958" customWidth="1"/>
    <col min="11017" max="11017" width="4.44140625" style="958" bestFit="1" customWidth="1"/>
    <col min="11018" max="11018" width="5.6640625" style="958" bestFit="1" customWidth="1"/>
    <col min="11019" max="11019" width="1.6640625" style="958" customWidth="1"/>
    <col min="11020" max="11020" width="8.6640625" style="958" customWidth="1"/>
    <col min="11021" max="11021" width="4.44140625" style="958" bestFit="1" customWidth="1"/>
    <col min="11022" max="11022" width="5.6640625" style="958" bestFit="1" customWidth="1"/>
    <col min="11023" max="11023" width="1.6640625" style="958" customWidth="1"/>
    <col min="11024" max="11024" width="7.6640625" style="958" customWidth="1"/>
    <col min="11025" max="11025" width="4.44140625" style="958" bestFit="1" customWidth="1"/>
    <col min="11026" max="11026" width="5.6640625" style="958" bestFit="1" customWidth="1"/>
    <col min="11027" max="11027" width="1.6640625" style="958" customWidth="1"/>
    <col min="11028" max="11028" width="8.6640625" style="958" customWidth="1"/>
    <col min="11029" max="11029" width="4.44140625" style="958" bestFit="1" customWidth="1"/>
    <col min="11030" max="11030" width="5.6640625" style="958" bestFit="1" customWidth="1"/>
    <col min="11031" max="11031" width="1.6640625" style="958" customWidth="1"/>
    <col min="11032" max="11032" width="7.6640625" style="958" customWidth="1"/>
    <col min="11033" max="11033" width="4.44140625" style="958" bestFit="1" customWidth="1"/>
    <col min="11034" max="11034" width="5.6640625" style="958" bestFit="1" customWidth="1"/>
    <col min="11035" max="11035" width="1.6640625" style="958" customWidth="1"/>
    <col min="11036" max="11036" width="8.6640625" style="958" customWidth="1"/>
    <col min="11037" max="11037" width="4.44140625" style="958" bestFit="1" customWidth="1"/>
    <col min="11038" max="11038" width="5.6640625" style="958" bestFit="1" customWidth="1"/>
    <col min="11039" max="11266" width="9.109375" style="958"/>
    <col min="11267" max="11267" width="2.33203125" style="958" customWidth="1"/>
    <col min="11268" max="11268" width="3.44140625" style="958" customWidth="1"/>
    <col min="11269" max="11269" width="1.88671875" style="958" bestFit="1" customWidth="1"/>
    <col min="11270" max="11270" width="3.44140625" style="958" customWidth="1"/>
    <col min="11271" max="11271" width="0" style="958" hidden="1" customWidth="1"/>
    <col min="11272" max="11272" width="7.6640625" style="958" customWidth="1"/>
    <col min="11273" max="11273" width="4.44140625" style="958" bestFit="1" customWidth="1"/>
    <col min="11274" max="11274" width="5.6640625" style="958" bestFit="1" customWidth="1"/>
    <col min="11275" max="11275" width="1.6640625" style="958" customWidth="1"/>
    <col min="11276" max="11276" width="8.6640625" style="958" customWidth="1"/>
    <col min="11277" max="11277" width="4.44140625" style="958" bestFit="1" customWidth="1"/>
    <col min="11278" max="11278" width="5.6640625" style="958" bestFit="1" customWidth="1"/>
    <col min="11279" max="11279" width="1.6640625" style="958" customWidth="1"/>
    <col min="11280" max="11280" width="7.6640625" style="958" customWidth="1"/>
    <col min="11281" max="11281" width="4.44140625" style="958" bestFit="1" customWidth="1"/>
    <col min="11282" max="11282" width="5.6640625" style="958" bestFit="1" customWidth="1"/>
    <col min="11283" max="11283" width="1.6640625" style="958" customWidth="1"/>
    <col min="11284" max="11284" width="8.6640625" style="958" customWidth="1"/>
    <col min="11285" max="11285" width="4.44140625" style="958" bestFit="1" customWidth="1"/>
    <col min="11286" max="11286" width="5.6640625" style="958" bestFit="1" customWidth="1"/>
    <col min="11287" max="11287" width="1.6640625" style="958" customWidth="1"/>
    <col min="11288" max="11288" width="7.6640625" style="958" customWidth="1"/>
    <col min="11289" max="11289" width="4.44140625" style="958" bestFit="1" customWidth="1"/>
    <col min="11290" max="11290" width="5.6640625" style="958" bestFit="1" customWidth="1"/>
    <col min="11291" max="11291" width="1.6640625" style="958" customWidth="1"/>
    <col min="11292" max="11292" width="8.6640625" style="958" customWidth="1"/>
    <col min="11293" max="11293" width="4.44140625" style="958" bestFit="1" customWidth="1"/>
    <col min="11294" max="11294" width="5.6640625" style="958" bestFit="1" customWidth="1"/>
    <col min="11295" max="11522" width="9.109375" style="958"/>
    <col min="11523" max="11523" width="2.33203125" style="958" customWidth="1"/>
    <col min="11524" max="11524" width="3.44140625" style="958" customWidth="1"/>
    <col min="11525" max="11525" width="1.88671875" style="958" bestFit="1" customWidth="1"/>
    <col min="11526" max="11526" width="3.44140625" style="958" customWidth="1"/>
    <col min="11527" max="11527" width="0" style="958" hidden="1" customWidth="1"/>
    <col min="11528" max="11528" width="7.6640625" style="958" customWidth="1"/>
    <col min="11529" max="11529" width="4.44140625" style="958" bestFit="1" customWidth="1"/>
    <col min="11530" max="11530" width="5.6640625" style="958" bestFit="1" customWidth="1"/>
    <col min="11531" max="11531" width="1.6640625" style="958" customWidth="1"/>
    <col min="11532" max="11532" width="8.6640625" style="958" customWidth="1"/>
    <col min="11533" max="11533" width="4.44140625" style="958" bestFit="1" customWidth="1"/>
    <col min="11534" max="11534" width="5.6640625" style="958" bestFit="1" customWidth="1"/>
    <col min="11535" max="11535" width="1.6640625" style="958" customWidth="1"/>
    <col min="11536" max="11536" width="7.6640625" style="958" customWidth="1"/>
    <col min="11537" max="11537" width="4.44140625" style="958" bestFit="1" customWidth="1"/>
    <col min="11538" max="11538" width="5.6640625" style="958" bestFit="1" customWidth="1"/>
    <col min="11539" max="11539" width="1.6640625" style="958" customWidth="1"/>
    <col min="11540" max="11540" width="8.6640625" style="958" customWidth="1"/>
    <col min="11541" max="11541" width="4.44140625" style="958" bestFit="1" customWidth="1"/>
    <col min="11542" max="11542" width="5.6640625" style="958" bestFit="1" customWidth="1"/>
    <col min="11543" max="11543" width="1.6640625" style="958" customWidth="1"/>
    <col min="11544" max="11544" width="7.6640625" style="958" customWidth="1"/>
    <col min="11545" max="11545" width="4.44140625" style="958" bestFit="1" customWidth="1"/>
    <col min="11546" max="11546" width="5.6640625" style="958" bestFit="1" customWidth="1"/>
    <col min="11547" max="11547" width="1.6640625" style="958" customWidth="1"/>
    <col min="11548" max="11548" width="8.6640625" style="958" customWidth="1"/>
    <col min="11549" max="11549" width="4.44140625" style="958" bestFit="1" customWidth="1"/>
    <col min="11550" max="11550" width="5.6640625" style="958" bestFit="1" customWidth="1"/>
    <col min="11551" max="11778" width="9.109375" style="958"/>
    <col min="11779" max="11779" width="2.33203125" style="958" customWidth="1"/>
    <col min="11780" max="11780" width="3.44140625" style="958" customWidth="1"/>
    <col min="11781" max="11781" width="1.88671875" style="958" bestFit="1" customWidth="1"/>
    <col min="11782" max="11782" width="3.44140625" style="958" customWidth="1"/>
    <col min="11783" max="11783" width="0" style="958" hidden="1" customWidth="1"/>
    <col min="11784" max="11784" width="7.6640625" style="958" customWidth="1"/>
    <col min="11785" max="11785" width="4.44140625" style="958" bestFit="1" customWidth="1"/>
    <col min="11786" max="11786" width="5.6640625" style="958" bestFit="1" customWidth="1"/>
    <col min="11787" max="11787" width="1.6640625" style="958" customWidth="1"/>
    <col min="11788" max="11788" width="8.6640625" style="958" customWidth="1"/>
    <col min="11789" max="11789" width="4.44140625" style="958" bestFit="1" customWidth="1"/>
    <col min="11790" max="11790" width="5.6640625" style="958" bestFit="1" customWidth="1"/>
    <col min="11791" max="11791" width="1.6640625" style="958" customWidth="1"/>
    <col min="11792" max="11792" width="7.6640625" style="958" customWidth="1"/>
    <col min="11793" max="11793" width="4.44140625" style="958" bestFit="1" customWidth="1"/>
    <col min="11794" max="11794" width="5.6640625" style="958" bestFit="1" customWidth="1"/>
    <col min="11795" max="11795" width="1.6640625" style="958" customWidth="1"/>
    <col min="11796" max="11796" width="8.6640625" style="958" customWidth="1"/>
    <col min="11797" max="11797" width="4.44140625" style="958" bestFit="1" customWidth="1"/>
    <col min="11798" max="11798" width="5.6640625" style="958" bestFit="1" customWidth="1"/>
    <col min="11799" max="11799" width="1.6640625" style="958" customWidth="1"/>
    <col min="11800" max="11800" width="7.6640625" style="958" customWidth="1"/>
    <col min="11801" max="11801" width="4.44140625" style="958" bestFit="1" customWidth="1"/>
    <col min="11802" max="11802" width="5.6640625" style="958" bestFit="1" customWidth="1"/>
    <col min="11803" max="11803" width="1.6640625" style="958" customWidth="1"/>
    <col min="11804" max="11804" width="8.6640625" style="958" customWidth="1"/>
    <col min="11805" max="11805" width="4.44140625" style="958" bestFit="1" customWidth="1"/>
    <col min="11806" max="11806" width="5.6640625" style="958" bestFit="1" customWidth="1"/>
    <col min="11807" max="12034" width="9.109375" style="958"/>
    <col min="12035" max="12035" width="2.33203125" style="958" customWidth="1"/>
    <col min="12036" max="12036" width="3.44140625" style="958" customWidth="1"/>
    <col min="12037" max="12037" width="1.88671875" style="958" bestFit="1" customWidth="1"/>
    <col min="12038" max="12038" width="3.44140625" style="958" customWidth="1"/>
    <col min="12039" max="12039" width="0" style="958" hidden="1" customWidth="1"/>
    <col min="12040" max="12040" width="7.6640625" style="958" customWidth="1"/>
    <col min="12041" max="12041" width="4.44140625" style="958" bestFit="1" customWidth="1"/>
    <col min="12042" max="12042" width="5.6640625" style="958" bestFit="1" customWidth="1"/>
    <col min="12043" max="12043" width="1.6640625" style="958" customWidth="1"/>
    <col min="12044" max="12044" width="8.6640625" style="958" customWidth="1"/>
    <col min="12045" max="12045" width="4.44140625" style="958" bestFit="1" customWidth="1"/>
    <col min="12046" max="12046" width="5.6640625" style="958" bestFit="1" customWidth="1"/>
    <col min="12047" max="12047" width="1.6640625" style="958" customWidth="1"/>
    <col min="12048" max="12048" width="7.6640625" style="958" customWidth="1"/>
    <col min="12049" max="12049" width="4.44140625" style="958" bestFit="1" customWidth="1"/>
    <col min="12050" max="12050" width="5.6640625" style="958" bestFit="1" customWidth="1"/>
    <col min="12051" max="12051" width="1.6640625" style="958" customWidth="1"/>
    <col min="12052" max="12052" width="8.6640625" style="958" customWidth="1"/>
    <col min="12053" max="12053" width="4.44140625" style="958" bestFit="1" customWidth="1"/>
    <col min="12054" max="12054" width="5.6640625" style="958" bestFit="1" customWidth="1"/>
    <col min="12055" max="12055" width="1.6640625" style="958" customWidth="1"/>
    <col min="12056" max="12056" width="7.6640625" style="958" customWidth="1"/>
    <col min="12057" max="12057" width="4.44140625" style="958" bestFit="1" customWidth="1"/>
    <col min="12058" max="12058" width="5.6640625" style="958" bestFit="1" customWidth="1"/>
    <col min="12059" max="12059" width="1.6640625" style="958" customWidth="1"/>
    <col min="12060" max="12060" width="8.6640625" style="958" customWidth="1"/>
    <col min="12061" max="12061" width="4.44140625" style="958" bestFit="1" customWidth="1"/>
    <col min="12062" max="12062" width="5.6640625" style="958" bestFit="1" customWidth="1"/>
    <col min="12063" max="12290" width="9.109375" style="958"/>
    <col min="12291" max="12291" width="2.33203125" style="958" customWidth="1"/>
    <col min="12292" max="12292" width="3.44140625" style="958" customWidth="1"/>
    <col min="12293" max="12293" width="1.88671875" style="958" bestFit="1" customWidth="1"/>
    <col min="12294" max="12294" width="3.44140625" style="958" customWidth="1"/>
    <col min="12295" max="12295" width="0" style="958" hidden="1" customWidth="1"/>
    <col min="12296" max="12296" width="7.6640625" style="958" customWidth="1"/>
    <col min="12297" max="12297" width="4.44140625" style="958" bestFit="1" customWidth="1"/>
    <col min="12298" max="12298" width="5.6640625" style="958" bestFit="1" customWidth="1"/>
    <col min="12299" max="12299" width="1.6640625" style="958" customWidth="1"/>
    <col min="12300" max="12300" width="8.6640625" style="958" customWidth="1"/>
    <col min="12301" max="12301" width="4.44140625" style="958" bestFit="1" customWidth="1"/>
    <col min="12302" max="12302" width="5.6640625" style="958" bestFit="1" customWidth="1"/>
    <col min="12303" max="12303" width="1.6640625" style="958" customWidth="1"/>
    <col min="12304" max="12304" width="7.6640625" style="958" customWidth="1"/>
    <col min="12305" max="12305" width="4.44140625" style="958" bestFit="1" customWidth="1"/>
    <col min="12306" max="12306" width="5.6640625" style="958" bestFit="1" customWidth="1"/>
    <col min="12307" max="12307" width="1.6640625" style="958" customWidth="1"/>
    <col min="12308" max="12308" width="8.6640625" style="958" customWidth="1"/>
    <col min="12309" max="12309" width="4.44140625" style="958" bestFit="1" customWidth="1"/>
    <col min="12310" max="12310" width="5.6640625" style="958" bestFit="1" customWidth="1"/>
    <col min="12311" max="12311" width="1.6640625" style="958" customWidth="1"/>
    <col min="12312" max="12312" width="7.6640625" style="958" customWidth="1"/>
    <col min="12313" max="12313" width="4.44140625" style="958" bestFit="1" customWidth="1"/>
    <col min="12314" max="12314" width="5.6640625" style="958" bestFit="1" customWidth="1"/>
    <col min="12315" max="12315" width="1.6640625" style="958" customWidth="1"/>
    <col min="12316" max="12316" width="8.6640625" style="958" customWidth="1"/>
    <col min="12317" max="12317" width="4.44140625" style="958" bestFit="1" customWidth="1"/>
    <col min="12318" max="12318" width="5.6640625" style="958" bestFit="1" customWidth="1"/>
    <col min="12319" max="12546" width="9.109375" style="958"/>
    <col min="12547" max="12547" width="2.33203125" style="958" customWidth="1"/>
    <col min="12548" max="12548" width="3.44140625" style="958" customWidth="1"/>
    <col min="12549" max="12549" width="1.88671875" style="958" bestFit="1" customWidth="1"/>
    <col min="12550" max="12550" width="3.44140625" style="958" customWidth="1"/>
    <col min="12551" max="12551" width="0" style="958" hidden="1" customWidth="1"/>
    <col min="12552" max="12552" width="7.6640625" style="958" customWidth="1"/>
    <col min="12553" max="12553" width="4.44140625" style="958" bestFit="1" customWidth="1"/>
    <col min="12554" max="12554" width="5.6640625" style="958" bestFit="1" customWidth="1"/>
    <col min="12555" max="12555" width="1.6640625" style="958" customWidth="1"/>
    <col min="12556" max="12556" width="8.6640625" style="958" customWidth="1"/>
    <col min="12557" max="12557" width="4.44140625" style="958" bestFit="1" customWidth="1"/>
    <col min="12558" max="12558" width="5.6640625" style="958" bestFit="1" customWidth="1"/>
    <col min="12559" max="12559" width="1.6640625" style="958" customWidth="1"/>
    <col min="12560" max="12560" width="7.6640625" style="958" customWidth="1"/>
    <col min="12561" max="12561" width="4.44140625" style="958" bestFit="1" customWidth="1"/>
    <col min="12562" max="12562" width="5.6640625" style="958" bestFit="1" customWidth="1"/>
    <col min="12563" max="12563" width="1.6640625" style="958" customWidth="1"/>
    <col min="12564" max="12564" width="8.6640625" style="958" customWidth="1"/>
    <col min="12565" max="12565" width="4.44140625" style="958" bestFit="1" customWidth="1"/>
    <col min="12566" max="12566" width="5.6640625" style="958" bestFit="1" customWidth="1"/>
    <col min="12567" max="12567" width="1.6640625" style="958" customWidth="1"/>
    <col min="12568" max="12568" width="7.6640625" style="958" customWidth="1"/>
    <col min="12569" max="12569" width="4.44140625" style="958" bestFit="1" customWidth="1"/>
    <col min="12570" max="12570" width="5.6640625" style="958" bestFit="1" customWidth="1"/>
    <col min="12571" max="12571" width="1.6640625" style="958" customWidth="1"/>
    <col min="12572" max="12572" width="8.6640625" style="958" customWidth="1"/>
    <col min="12573" max="12573" width="4.44140625" style="958" bestFit="1" customWidth="1"/>
    <col min="12574" max="12574" width="5.6640625" style="958" bestFit="1" customWidth="1"/>
    <col min="12575" max="12802" width="9.109375" style="958"/>
    <col min="12803" max="12803" width="2.33203125" style="958" customWidth="1"/>
    <col min="12804" max="12804" width="3.44140625" style="958" customWidth="1"/>
    <col min="12805" max="12805" width="1.88671875" style="958" bestFit="1" customWidth="1"/>
    <col min="12806" max="12806" width="3.44140625" style="958" customWidth="1"/>
    <col min="12807" max="12807" width="0" style="958" hidden="1" customWidth="1"/>
    <col min="12808" max="12808" width="7.6640625" style="958" customWidth="1"/>
    <col min="12809" max="12809" width="4.44140625" style="958" bestFit="1" customWidth="1"/>
    <col min="12810" max="12810" width="5.6640625" style="958" bestFit="1" customWidth="1"/>
    <col min="12811" max="12811" width="1.6640625" style="958" customWidth="1"/>
    <col min="12812" max="12812" width="8.6640625" style="958" customWidth="1"/>
    <col min="12813" max="12813" width="4.44140625" style="958" bestFit="1" customWidth="1"/>
    <col min="12814" max="12814" width="5.6640625" style="958" bestFit="1" customWidth="1"/>
    <col min="12815" max="12815" width="1.6640625" style="958" customWidth="1"/>
    <col min="12816" max="12816" width="7.6640625" style="958" customWidth="1"/>
    <col min="12817" max="12817" width="4.44140625" style="958" bestFit="1" customWidth="1"/>
    <col min="12818" max="12818" width="5.6640625" style="958" bestFit="1" customWidth="1"/>
    <col min="12819" max="12819" width="1.6640625" style="958" customWidth="1"/>
    <col min="12820" max="12820" width="8.6640625" style="958" customWidth="1"/>
    <col min="12821" max="12821" width="4.44140625" style="958" bestFit="1" customWidth="1"/>
    <col min="12822" max="12822" width="5.6640625" style="958" bestFit="1" customWidth="1"/>
    <col min="12823" max="12823" width="1.6640625" style="958" customWidth="1"/>
    <col min="12824" max="12824" width="7.6640625" style="958" customWidth="1"/>
    <col min="12825" max="12825" width="4.44140625" style="958" bestFit="1" customWidth="1"/>
    <col min="12826" max="12826" width="5.6640625" style="958" bestFit="1" customWidth="1"/>
    <col min="12827" max="12827" width="1.6640625" style="958" customWidth="1"/>
    <col min="12828" max="12828" width="8.6640625" style="958" customWidth="1"/>
    <col min="12829" max="12829" width="4.44140625" style="958" bestFit="1" customWidth="1"/>
    <col min="12830" max="12830" width="5.6640625" style="958" bestFit="1" customWidth="1"/>
    <col min="12831" max="13058" width="9.109375" style="958"/>
    <col min="13059" max="13059" width="2.33203125" style="958" customWidth="1"/>
    <col min="13060" max="13060" width="3.44140625" style="958" customWidth="1"/>
    <col min="13061" max="13061" width="1.88671875" style="958" bestFit="1" customWidth="1"/>
    <col min="13062" max="13062" width="3.44140625" style="958" customWidth="1"/>
    <col min="13063" max="13063" width="0" style="958" hidden="1" customWidth="1"/>
    <col min="13064" max="13064" width="7.6640625" style="958" customWidth="1"/>
    <col min="13065" max="13065" width="4.44140625" style="958" bestFit="1" customWidth="1"/>
    <col min="13066" max="13066" width="5.6640625" style="958" bestFit="1" customWidth="1"/>
    <col min="13067" max="13067" width="1.6640625" style="958" customWidth="1"/>
    <col min="13068" max="13068" width="8.6640625" style="958" customWidth="1"/>
    <col min="13069" max="13069" width="4.44140625" style="958" bestFit="1" customWidth="1"/>
    <col min="13070" max="13070" width="5.6640625" style="958" bestFit="1" customWidth="1"/>
    <col min="13071" max="13071" width="1.6640625" style="958" customWidth="1"/>
    <col min="13072" max="13072" width="7.6640625" style="958" customWidth="1"/>
    <col min="13073" max="13073" width="4.44140625" style="958" bestFit="1" customWidth="1"/>
    <col min="13074" max="13074" width="5.6640625" style="958" bestFit="1" customWidth="1"/>
    <col min="13075" max="13075" width="1.6640625" style="958" customWidth="1"/>
    <col min="13076" max="13076" width="8.6640625" style="958" customWidth="1"/>
    <col min="13077" max="13077" width="4.44140625" style="958" bestFit="1" customWidth="1"/>
    <col min="13078" max="13078" width="5.6640625" style="958" bestFit="1" customWidth="1"/>
    <col min="13079" max="13079" width="1.6640625" style="958" customWidth="1"/>
    <col min="13080" max="13080" width="7.6640625" style="958" customWidth="1"/>
    <col min="13081" max="13081" width="4.44140625" style="958" bestFit="1" customWidth="1"/>
    <col min="13082" max="13082" width="5.6640625" style="958" bestFit="1" customWidth="1"/>
    <col min="13083" max="13083" width="1.6640625" style="958" customWidth="1"/>
    <col min="13084" max="13084" width="8.6640625" style="958" customWidth="1"/>
    <col min="13085" max="13085" width="4.44140625" style="958" bestFit="1" customWidth="1"/>
    <col min="13086" max="13086" width="5.6640625" style="958" bestFit="1" customWidth="1"/>
    <col min="13087" max="13314" width="9.109375" style="958"/>
    <col min="13315" max="13315" width="2.33203125" style="958" customWidth="1"/>
    <col min="13316" max="13316" width="3.44140625" style="958" customWidth="1"/>
    <col min="13317" max="13317" width="1.88671875" style="958" bestFit="1" customWidth="1"/>
    <col min="13318" max="13318" width="3.44140625" style="958" customWidth="1"/>
    <col min="13319" max="13319" width="0" style="958" hidden="1" customWidth="1"/>
    <col min="13320" max="13320" width="7.6640625" style="958" customWidth="1"/>
    <col min="13321" max="13321" width="4.44140625" style="958" bestFit="1" customWidth="1"/>
    <col min="13322" max="13322" width="5.6640625" style="958" bestFit="1" customWidth="1"/>
    <col min="13323" max="13323" width="1.6640625" style="958" customWidth="1"/>
    <col min="13324" max="13324" width="8.6640625" style="958" customWidth="1"/>
    <col min="13325" max="13325" width="4.44140625" style="958" bestFit="1" customWidth="1"/>
    <col min="13326" max="13326" width="5.6640625" style="958" bestFit="1" customWidth="1"/>
    <col min="13327" max="13327" width="1.6640625" style="958" customWidth="1"/>
    <col min="13328" max="13328" width="7.6640625" style="958" customWidth="1"/>
    <col min="13329" max="13329" width="4.44140625" style="958" bestFit="1" customWidth="1"/>
    <col min="13330" max="13330" width="5.6640625" style="958" bestFit="1" customWidth="1"/>
    <col min="13331" max="13331" width="1.6640625" style="958" customWidth="1"/>
    <col min="13332" max="13332" width="8.6640625" style="958" customWidth="1"/>
    <col min="13333" max="13333" width="4.44140625" style="958" bestFit="1" customWidth="1"/>
    <col min="13334" max="13334" width="5.6640625" style="958" bestFit="1" customWidth="1"/>
    <col min="13335" max="13335" width="1.6640625" style="958" customWidth="1"/>
    <col min="13336" max="13336" width="7.6640625" style="958" customWidth="1"/>
    <col min="13337" max="13337" width="4.44140625" style="958" bestFit="1" customWidth="1"/>
    <col min="13338" max="13338" width="5.6640625" style="958" bestFit="1" customWidth="1"/>
    <col min="13339" max="13339" width="1.6640625" style="958" customWidth="1"/>
    <col min="13340" max="13340" width="8.6640625" style="958" customWidth="1"/>
    <col min="13341" max="13341" width="4.44140625" style="958" bestFit="1" customWidth="1"/>
    <col min="13342" max="13342" width="5.6640625" style="958" bestFit="1" customWidth="1"/>
    <col min="13343" max="13570" width="9.109375" style="958"/>
    <col min="13571" max="13571" width="2.33203125" style="958" customWidth="1"/>
    <col min="13572" max="13572" width="3.44140625" style="958" customWidth="1"/>
    <col min="13573" max="13573" width="1.88671875" style="958" bestFit="1" customWidth="1"/>
    <col min="13574" max="13574" width="3.44140625" style="958" customWidth="1"/>
    <col min="13575" max="13575" width="0" style="958" hidden="1" customWidth="1"/>
    <col min="13576" max="13576" width="7.6640625" style="958" customWidth="1"/>
    <col min="13577" max="13577" width="4.44140625" style="958" bestFit="1" customWidth="1"/>
    <col min="13578" max="13578" width="5.6640625" style="958" bestFit="1" customWidth="1"/>
    <col min="13579" max="13579" width="1.6640625" style="958" customWidth="1"/>
    <col min="13580" max="13580" width="8.6640625" style="958" customWidth="1"/>
    <col min="13581" max="13581" width="4.44140625" style="958" bestFit="1" customWidth="1"/>
    <col min="13582" max="13582" width="5.6640625" style="958" bestFit="1" customWidth="1"/>
    <col min="13583" max="13583" width="1.6640625" style="958" customWidth="1"/>
    <col min="13584" max="13584" width="7.6640625" style="958" customWidth="1"/>
    <col min="13585" max="13585" width="4.44140625" style="958" bestFit="1" customWidth="1"/>
    <col min="13586" max="13586" width="5.6640625" style="958" bestFit="1" customWidth="1"/>
    <col min="13587" max="13587" width="1.6640625" style="958" customWidth="1"/>
    <col min="13588" max="13588" width="8.6640625" style="958" customWidth="1"/>
    <col min="13589" max="13589" width="4.44140625" style="958" bestFit="1" customWidth="1"/>
    <col min="13590" max="13590" width="5.6640625" style="958" bestFit="1" customWidth="1"/>
    <col min="13591" max="13591" width="1.6640625" style="958" customWidth="1"/>
    <col min="13592" max="13592" width="7.6640625" style="958" customWidth="1"/>
    <col min="13593" max="13593" width="4.44140625" style="958" bestFit="1" customWidth="1"/>
    <col min="13594" max="13594" width="5.6640625" style="958" bestFit="1" customWidth="1"/>
    <col min="13595" max="13595" width="1.6640625" style="958" customWidth="1"/>
    <col min="13596" max="13596" width="8.6640625" style="958" customWidth="1"/>
    <col min="13597" max="13597" width="4.44140625" style="958" bestFit="1" customWidth="1"/>
    <col min="13598" max="13598" width="5.6640625" style="958" bestFit="1" customWidth="1"/>
    <col min="13599" max="13826" width="9.109375" style="958"/>
    <col min="13827" max="13827" width="2.33203125" style="958" customWidth="1"/>
    <col min="13828" max="13828" width="3.44140625" style="958" customWidth="1"/>
    <col min="13829" max="13829" width="1.88671875" style="958" bestFit="1" customWidth="1"/>
    <col min="13830" max="13830" width="3.44140625" style="958" customWidth="1"/>
    <col min="13831" max="13831" width="0" style="958" hidden="1" customWidth="1"/>
    <col min="13832" max="13832" width="7.6640625" style="958" customWidth="1"/>
    <col min="13833" max="13833" width="4.44140625" style="958" bestFit="1" customWidth="1"/>
    <col min="13834" max="13834" width="5.6640625" style="958" bestFit="1" customWidth="1"/>
    <col min="13835" max="13835" width="1.6640625" style="958" customWidth="1"/>
    <col min="13836" max="13836" width="8.6640625" style="958" customWidth="1"/>
    <col min="13837" max="13837" width="4.44140625" style="958" bestFit="1" customWidth="1"/>
    <col min="13838" max="13838" width="5.6640625" style="958" bestFit="1" customWidth="1"/>
    <col min="13839" max="13839" width="1.6640625" style="958" customWidth="1"/>
    <col min="13840" max="13840" width="7.6640625" style="958" customWidth="1"/>
    <col min="13841" max="13841" width="4.44140625" style="958" bestFit="1" customWidth="1"/>
    <col min="13842" max="13842" width="5.6640625" style="958" bestFit="1" customWidth="1"/>
    <col min="13843" max="13843" width="1.6640625" style="958" customWidth="1"/>
    <col min="13844" max="13844" width="8.6640625" style="958" customWidth="1"/>
    <col min="13845" max="13845" width="4.44140625" style="958" bestFit="1" customWidth="1"/>
    <col min="13846" max="13846" width="5.6640625" style="958" bestFit="1" customWidth="1"/>
    <col min="13847" max="13847" width="1.6640625" style="958" customWidth="1"/>
    <col min="13848" max="13848" width="7.6640625" style="958" customWidth="1"/>
    <col min="13849" max="13849" width="4.44140625" style="958" bestFit="1" customWidth="1"/>
    <col min="13850" max="13850" width="5.6640625" style="958" bestFit="1" customWidth="1"/>
    <col min="13851" max="13851" width="1.6640625" style="958" customWidth="1"/>
    <col min="13852" max="13852" width="8.6640625" style="958" customWidth="1"/>
    <col min="13853" max="13853" width="4.44140625" style="958" bestFit="1" customWidth="1"/>
    <col min="13854" max="13854" width="5.6640625" style="958" bestFit="1" customWidth="1"/>
    <col min="13855" max="14082" width="9.109375" style="958"/>
    <col min="14083" max="14083" width="2.33203125" style="958" customWidth="1"/>
    <col min="14084" max="14084" width="3.44140625" style="958" customWidth="1"/>
    <col min="14085" max="14085" width="1.88671875" style="958" bestFit="1" customWidth="1"/>
    <col min="14086" max="14086" width="3.44140625" style="958" customWidth="1"/>
    <col min="14087" max="14087" width="0" style="958" hidden="1" customWidth="1"/>
    <col min="14088" max="14088" width="7.6640625" style="958" customWidth="1"/>
    <col min="14089" max="14089" width="4.44140625" style="958" bestFit="1" customWidth="1"/>
    <col min="14090" max="14090" width="5.6640625" style="958" bestFit="1" customWidth="1"/>
    <col min="14091" max="14091" width="1.6640625" style="958" customWidth="1"/>
    <col min="14092" max="14092" width="8.6640625" style="958" customWidth="1"/>
    <col min="14093" max="14093" width="4.44140625" style="958" bestFit="1" customWidth="1"/>
    <col min="14094" max="14094" width="5.6640625" style="958" bestFit="1" customWidth="1"/>
    <col min="14095" max="14095" width="1.6640625" style="958" customWidth="1"/>
    <col min="14096" max="14096" width="7.6640625" style="958" customWidth="1"/>
    <col min="14097" max="14097" width="4.44140625" style="958" bestFit="1" customWidth="1"/>
    <col min="14098" max="14098" width="5.6640625" style="958" bestFit="1" customWidth="1"/>
    <col min="14099" max="14099" width="1.6640625" style="958" customWidth="1"/>
    <col min="14100" max="14100" width="8.6640625" style="958" customWidth="1"/>
    <col min="14101" max="14101" width="4.44140625" style="958" bestFit="1" customWidth="1"/>
    <col min="14102" max="14102" width="5.6640625" style="958" bestFit="1" customWidth="1"/>
    <col min="14103" max="14103" width="1.6640625" style="958" customWidth="1"/>
    <col min="14104" max="14104" width="7.6640625" style="958" customWidth="1"/>
    <col min="14105" max="14105" width="4.44140625" style="958" bestFit="1" customWidth="1"/>
    <col min="14106" max="14106" width="5.6640625" style="958" bestFit="1" customWidth="1"/>
    <col min="14107" max="14107" width="1.6640625" style="958" customWidth="1"/>
    <col min="14108" max="14108" width="8.6640625" style="958" customWidth="1"/>
    <col min="14109" max="14109" width="4.44140625" style="958" bestFit="1" customWidth="1"/>
    <col min="14110" max="14110" width="5.6640625" style="958" bestFit="1" customWidth="1"/>
    <col min="14111" max="14338" width="9.109375" style="958"/>
    <col min="14339" max="14339" width="2.33203125" style="958" customWidth="1"/>
    <col min="14340" max="14340" width="3.44140625" style="958" customWidth="1"/>
    <col min="14341" max="14341" width="1.88671875" style="958" bestFit="1" customWidth="1"/>
    <col min="14342" max="14342" width="3.44140625" style="958" customWidth="1"/>
    <col min="14343" max="14343" width="0" style="958" hidden="1" customWidth="1"/>
    <col min="14344" max="14344" width="7.6640625" style="958" customWidth="1"/>
    <col min="14345" max="14345" width="4.44140625" style="958" bestFit="1" customWidth="1"/>
    <col min="14346" max="14346" width="5.6640625" style="958" bestFit="1" customWidth="1"/>
    <col min="14347" max="14347" width="1.6640625" style="958" customWidth="1"/>
    <col min="14348" max="14348" width="8.6640625" style="958" customWidth="1"/>
    <col min="14349" max="14349" width="4.44140625" style="958" bestFit="1" customWidth="1"/>
    <col min="14350" max="14350" width="5.6640625" style="958" bestFit="1" customWidth="1"/>
    <col min="14351" max="14351" width="1.6640625" style="958" customWidth="1"/>
    <col min="14352" max="14352" width="7.6640625" style="958" customWidth="1"/>
    <col min="14353" max="14353" width="4.44140625" style="958" bestFit="1" customWidth="1"/>
    <col min="14354" max="14354" width="5.6640625" style="958" bestFit="1" customWidth="1"/>
    <col min="14355" max="14355" width="1.6640625" style="958" customWidth="1"/>
    <col min="14356" max="14356" width="8.6640625" style="958" customWidth="1"/>
    <col min="14357" max="14357" width="4.44140625" style="958" bestFit="1" customWidth="1"/>
    <col min="14358" max="14358" width="5.6640625" style="958" bestFit="1" customWidth="1"/>
    <col min="14359" max="14359" width="1.6640625" style="958" customWidth="1"/>
    <col min="14360" max="14360" width="7.6640625" style="958" customWidth="1"/>
    <col min="14361" max="14361" width="4.44140625" style="958" bestFit="1" customWidth="1"/>
    <col min="14362" max="14362" width="5.6640625" style="958" bestFit="1" customWidth="1"/>
    <col min="14363" max="14363" width="1.6640625" style="958" customWidth="1"/>
    <col min="14364" max="14364" width="8.6640625" style="958" customWidth="1"/>
    <col min="14365" max="14365" width="4.44140625" style="958" bestFit="1" customWidth="1"/>
    <col min="14366" max="14366" width="5.6640625" style="958" bestFit="1" customWidth="1"/>
    <col min="14367" max="14594" width="9.109375" style="958"/>
    <col min="14595" max="14595" width="2.33203125" style="958" customWidth="1"/>
    <col min="14596" max="14596" width="3.44140625" style="958" customWidth="1"/>
    <col min="14597" max="14597" width="1.88671875" style="958" bestFit="1" customWidth="1"/>
    <col min="14598" max="14598" width="3.44140625" style="958" customWidth="1"/>
    <col min="14599" max="14599" width="0" style="958" hidden="1" customWidth="1"/>
    <col min="14600" max="14600" width="7.6640625" style="958" customWidth="1"/>
    <col min="14601" max="14601" width="4.44140625" style="958" bestFit="1" customWidth="1"/>
    <col min="14602" max="14602" width="5.6640625" style="958" bestFit="1" customWidth="1"/>
    <col min="14603" max="14603" width="1.6640625" style="958" customWidth="1"/>
    <col min="14604" max="14604" width="8.6640625" style="958" customWidth="1"/>
    <col min="14605" max="14605" width="4.44140625" style="958" bestFit="1" customWidth="1"/>
    <col min="14606" max="14606" width="5.6640625" style="958" bestFit="1" customWidth="1"/>
    <col min="14607" max="14607" width="1.6640625" style="958" customWidth="1"/>
    <col min="14608" max="14608" width="7.6640625" style="958" customWidth="1"/>
    <col min="14609" max="14609" width="4.44140625" style="958" bestFit="1" customWidth="1"/>
    <col min="14610" max="14610" width="5.6640625" style="958" bestFit="1" customWidth="1"/>
    <col min="14611" max="14611" width="1.6640625" style="958" customWidth="1"/>
    <col min="14612" max="14612" width="8.6640625" style="958" customWidth="1"/>
    <col min="14613" max="14613" width="4.44140625" style="958" bestFit="1" customWidth="1"/>
    <col min="14614" max="14614" width="5.6640625" style="958" bestFit="1" customWidth="1"/>
    <col min="14615" max="14615" width="1.6640625" style="958" customWidth="1"/>
    <col min="14616" max="14616" width="7.6640625" style="958" customWidth="1"/>
    <col min="14617" max="14617" width="4.44140625" style="958" bestFit="1" customWidth="1"/>
    <col min="14618" max="14618" width="5.6640625" style="958" bestFit="1" customWidth="1"/>
    <col min="14619" max="14619" width="1.6640625" style="958" customWidth="1"/>
    <col min="14620" max="14620" width="8.6640625" style="958" customWidth="1"/>
    <col min="14621" max="14621" width="4.44140625" style="958" bestFit="1" customWidth="1"/>
    <col min="14622" max="14622" width="5.6640625" style="958" bestFit="1" customWidth="1"/>
    <col min="14623" max="14850" width="9.109375" style="958"/>
    <col min="14851" max="14851" width="2.33203125" style="958" customWidth="1"/>
    <col min="14852" max="14852" width="3.44140625" style="958" customWidth="1"/>
    <col min="14853" max="14853" width="1.88671875" style="958" bestFit="1" customWidth="1"/>
    <col min="14854" max="14854" width="3.44140625" style="958" customWidth="1"/>
    <col min="14855" max="14855" width="0" style="958" hidden="1" customWidth="1"/>
    <col min="14856" max="14856" width="7.6640625" style="958" customWidth="1"/>
    <col min="14857" max="14857" width="4.44140625" style="958" bestFit="1" customWidth="1"/>
    <col min="14858" max="14858" width="5.6640625" style="958" bestFit="1" customWidth="1"/>
    <col min="14859" max="14859" width="1.6640625" style="958" customWidth="1"/>
    <col min="14860" max="14860" width="8.6640625" style="958" customWidth="1"/>
    <col min="14861" max="14861" width="4.44140625" style="958" bestFit="1" customWidth="1"/>
    <col min="14862" max="14862" width="5.6640625" style="958" bestFit="1" customWidth="1"/>
    <col min="14863" max="14863" width="1.6640625" style="958" customWidth="1"/>
    <col min="14864" max="14864" width="7.6640625" style="958" customWidth="1"/>
    <col min="14865" max="14865" width="4.44140625" style="958" bestFit="1" customWidth="1"/>
    <col min="14866" max="14866" width="5.6640625" style="958" bestFit="1" customWidth="1"/>
    <col min="14867" max="14867" width="1.6640625" style="958" customWidth="1"/>
    <col min="14868" max="14868" width="8.6640625" style="958" customWidth="1"/>
    <col min="14869" max="14869" width="4.44140625" style="958" bestFit="1" customWidth="1"/>
    <col min="14870" max="14870" width="5.6640625" style="958" bestFit="1" customWidth="1"/>
    <col min="14871" max="14871" width="1.6640625" style="958" customWidth="1"/>
    <col min="14872" max="14872" width="7.6640625" style="958" customWidth="1"/>
    <col min="14873" max="14873" width="4.44140625" style="958" bestFit="1" customWidth="1"/>
    <col min="14874" max="14874" width="5.6640625" style="958" bestFit="1" customWidth="1"/>
    <col min="14875" max="14875" width="1.6640625" style="958" customWidth="1"/>
    <col min="14876" max="14876" width="8.6640625" style="958" customWidth="1"/>
    <col min="14877" max="14877" width="4.44140625" style="958" bestFit="1" customWidth="1"/>
    <col min="14878" max="14878" width="5.6640625" style="958" bestFit="1" customWidth="1"/>
    <col min="14879" max="15106" width="9.109375" style="958"/>
    <col min="15107" max="15107" width="2.33203125" style="958" customWidth="1"/>
    <col min="15108" max="15108" width="3.44140625" style="958" customWidth="1"/>
    <col min="15109" max="15109" width="1.88671875" style="958" bestFit="1" customWidth="1"/>
    <col min="15110" max="15110" width="3.44140625" style="958" customWidth="1"/>
    <col min="15111" max="15111" width="0" style="958" hidden="1" customWidth="1"/>
    <col min="15112" max="15112" width="7.6640625" style="958" customWidth="1"/>
    <col min="15113" max="15113" width="4.44140625" style="958" bestFit="1" customWidth="1"/>
    <col min="15114" max="15114" width="5.6640625" style="958" bestFit="1" customWidth="1"/>
    <col min="15115" max="15115" width="1.6640625" style="958" customWidth="1"/>
    <col min="15116" max="15116" width="8.6640625" style="958" customWidth="1"/>
    <col min="15117" max="15117" width="4.44140625" style="958" bestFit="1" customWidth="1"/>
    <col min="15118" max="15118" width="5.6640625" style="958" bestFit="1" customWidth="1"/>
    <col min="15119" max="15119" width="1.6640625" style="958" customWidth="1"/>
    <col min="15120" max="15120" width="7.6640625" style="958" customWidth="1"/>
    <col min="15121" max="15121" width="4.44140625" style="958" bestFit="1" customWidth="1"/>
    <col min="15122" max="15122" width="5.6640625" style="958" bestFit="1" customWidth="1"/>
    <col min="15123" max="15123" width="1.6640625" style="958" customWidth="1"/>
    <col min="15124" max="15124" width="8.6640625" style="958" customWidth="1"/>
    <col min="15125" max="15125" width="4.44140625" style="958" bestFit="1" customWidth="1"/>
    <col min="15126" max="15126" width="5.6640625" style="958" bestFit="1" customWidth="1"/>
    <col min="15127" max="15127" width="1.6640625" style="958" customWidth="1"/>
    <col min="15128" max="15128" width="7.6640625" style="958" customWidth="1"/>
    <col min="15129" max="15129" width="4.44140625" style="958" bestFit="1" customWidth="1"/>
    <col min="15130" max="15130" width="5.6640625" style="958" bestFit="1" customWidth="1"/>
    <col min="15131" max="15131" width="1.6640625" style="958" customWidth="1"/>
    <col min="15132" max="15132" width="8.6640625" style="958" customWidth="1"/>
    <col min="15133" max="15133" width="4.44140625" style="958" bestFit="1" customWidth="1"/>
    <col min="15134" max="15134" width="5.6640625" style="958" bestFit="1" customWidth="1"/>
    <col min="15135" max="15362" width="9.109375" style="958"/>
    <col min="15363" max="15363" width="2.33203125" style="958" customWidth="1"/>
    <col min="15364" max="15364" width="3.44140625" style="958" customWidth="1"/>
    <col min="15365" max="15365" width="1.88671875" style="958" bestFit="1" customWidth="1"/>
    <col min="15366" max="15366" width="3.44140625" style="958" customWidth="1"/>
    <col min="15367" max="15367" width="0" style="958" hidden="1" customWidth="1"/>
    <col min="15368" max="15368" width="7.6640625" style="958" customWidth="1"/>
    <col min="15369" max="15369" width="4.44140625" style="958" bestFit="1" customWidth="1"/>
    <col min="15370" max="15370" width="5.6640625" style="958" bestFit="1" customWidth="1"/>
    <col min="15371" max="15371" width="1.6640625" style="958" customWidth="1"/>
    <col min="15372" max="15372" width="8.6640625" style="958" customWidth="1"/>
    <col min="15373" max="15373" width="4.44140625" style="958" bestFit="1" customWidth="1"/>
    <col min="15374" max="15374" width="5.6640625" style="958" bestFit="1" customWidth="1"/>
    <col min="15375" max="15375" width="1.6640625" style="958" customWidth="1"/>
    <col min="15376" max="15376" width="7.6640625" style="958" customWidth="1"/>
    <col min="15377" max="15377" width="4.44140625" style="958" bestFit="1" customWidth="1"/>
    <col min="15378" max="15378" width="5.6640625" style="958" bestFit="1" customWidth="1"/>
    <col min="15379" max="15379" width="1.6640625" style="958" customWidth="1"/>
    <col min="15380" max="15380" width="8.6640625" style="958" customWidth="1"/>
    <col min="15381" max="15381" width="4.44140625" style="958" bestFit="1" customWidth="1"/>
    <col min="15382" max="15382" width="5.6640625" style="958" bestFit="1" customWidth="1"/>
    <col min="15383" max="15383" width="1.6640625" style="958" customWidth="1"/>
    <col min="15384" max="15384" width="7.6640625" style="958" customWidth="1"/>
    <col min="15385" max="15385" width="4.44140625" style="958" bestFit="1" customWidth="1"/>
    <col min="15386" max="15386" width="5.6640625" style="958" bestFit="1" customWidth="1"/>
    <col min="15387" max="15387" width="1.6640625" style="958" customWidth="1"/>
    <col min="15388" max="15388" width="8.6640625" style="958" customWidth="1"/>
    <col min="15389" max="15389" width="4.44140625" style="958" bestFit="1" customWidth="1"/>
    <col min="15390" max="15390" width="5.6640625" style="958" bestFit="1" customWidth="1"/>
    <col min="15391" max="15618" width="9.109375" style="958"/>
    <col min="15619" max="15619" width="2.33203125" style="958" customWidth="1"/>
    <col min="15620" max="15620" width="3.44140625" style="958" customWidth="1"/>
    <col min="15621" max="15621" width="1.88671875" style="958" bestFit="1" customWidth="1"/>
    <col min="15622" max="15622" width="3.44140625" style="958" customWidth="1"/>
    <col min="15623" max="15623" width="0" style="958" hidden="1" customWidth="1"/>
    <col min="15624" max="15624" width="7.6640625" style="958" customWidth="1"/>
    <col min="15625" max="15625" width="4.44140625" style="958" bestFit="1" customWidth="1"/>
    <col min="15626" max="15626" width="5.6640625" style="958" bestFit="1" customWidth="1"/>
    <col min="15627" max="15627" width="1.6640625" style="958" customWidth="1"/>
    <col min="15628" max="15628" width="8.6640625" style="958" customWidth="1"/>
    <col min="15629" max="15629" width="4.44140625" style="958" bestFit="1" customWidth="1"/>
    <col min="15630" max="15630" width="5.6640625" style="958" bestFit="1" customWidth="1"/>
    <col min="15631" max="15631" width="1.6640625" style="958" customWidth="1"/>
    <col min="15632" max="15632" width="7.6640625" style="958" customWidth="1"/>
    <col min="15633" max="15633" width="4.44140625" style="958" bestFit="1" customWidth="1"/>
    <col min="15634" max="15634" width="5.6640625" style="958" bestFit="1" customWidth="1"/>
    <col min="15635" max="15635" width="1.6640625" style="958" customWidth="1"/>
    <col min="15636" max="15636" width="8.6640625" style="958" customWidth="1"/>
    <col min="15637" max="15637" width="4.44140625" style="958" bestFit="1" customWidth="1"/>
    <col min="15638" max="15638" width="5.6640625" style="958" bestFit="1" customWidth="1"/>
    <col min="15639" max="15639" width="1.6640625" style="958" customWidth="1"/>
    <col min="15640" max="15640" width="7.6640625" style="958" customWidth="1"/>
    <col min="15641" max="15641" width="4.44140625" style="958" bestFit="1" customWidth="1"/>
    <col min="15642" max="15642" width="5.6640625" style="958" bestFit="1" customWidth="1"/>
    <col min="15643" max="15643" width="1.6640625" style="958" customWidth="1"/>
    <col min="15644" max="15644" width="8.6640625" style="958" customWidth="1"/>
    <col min="15645" max="15645" width="4.44140625" style="958" bestFit="1" customWidth="1"/>
    <col min="15646" max="15646" width="5.6640625" style="958" bestFit="1" customWidth="1"/>
    <col min="15647" max="15874" width="9.109375" style="958"/>
    <col min="15875" max="15875" width="2.33203125" style="958" customWidth="1"/>
    <col min="15876" max="15876" width="3.44140625" style="958" customWidth="1"/>
    <col min="15877" max="15877" width="1.88671875" style="958" bestFit="1" customWidth="1"/>
    <col min="15878" max="15878" width="3.44140625" style="958" customWidth="1"/>
    <col min="15879" max="15879" width="0" style="958" hidden="1" customWidth="1"/>
    <col min="15880" max="15880" width="7.6640625" style="958" customWidth="1"/>
    <col min="15881" max="15881" width="4.44140625" style="958" bestFit="1" customWidth="1"/>
    <col min="15882" max="15882" width="5.6640625" style="958" bestFit="1" customWidth="1"/>
    <col min="15883" max="15883" width="1.6640625" style="958" customWidth="1"/>
    <col min="15884" max="15884" width="8.6640625" style="958" customWidth="1"/>
    <col min="15885" max="15885" width="4.44140625" style="958" bestFit="1" customWidth="1"/>
    <col min="15886" max="15886" width="5.6640625" style="958" bestFit="1" customWidth="1"/>
    <col min="15887" max="15887" width="1.6640625" style="958" customWidth="1"/>
    <col min="15888" max="15888" width="7.6640625" style="958" customWidth="1"/>
    <col min="15889" max="15889" width="4.44140625" style="958" bestFit="1" customWidth="1"/>
    <col min="15890" max="15890" width="5.6640625" style="958" bestFit="1" customWidth="1"/>
    <col min="15891" max="15891" width="1.6640625" style="958" customWidth="1"/>
    <col min="15892" max="15892" width="8.6640625" style="958" customWidth="1"/>
    <col min="15893" max="15893" width="4.44140625" style="958" bestFit="1" customWidth="1"/>
    <col min="15894" max="15894" width="5.6640625" style="958" bestFit="1" customWidth="1"/>
    <col min="15895" max="15895" width="1.6640625" style="958" customWidth="1"/>
    <col min="15896" max="15896" width="7.6640625" style="958" customWidth="1"/>
    <col min="15897" max="15897" width="4.44140625" style="958" bestFit="1" customWidth="1"/>
    <col min="15898" max="15898" width="5.6640625" style="958" bestFit="1" customWidth="1"/>
    <col min="15899" max="15899" width="1.6640625" style="958" customWidth="1"/>
    <col min="15900" max="15900" width="8.6640625" style="958" customWidth="1"/>
    <col min="15901" max="15901" width="4.44140625" style="958" bestFit="1" customWidth="1"/>
    <col min="15902" max="15902" width="5.6640625" style="958" bestFit="1" customWidth="1"/>
    <col min="15903" max="16130" width="9.109375" style="958"/>
    <col min="16131" max="16131" width="2.33203125" style="958" customWidth="1"/>
    <col min="16132" max="16132" width="3.44140625" style="958" customWidth="1"/>
    <col min="16133" max="16133" width="1.88671875" style="958" bestFit="1" customWidth="1"/>
    <col min="16134" max="16134" width="3.44140625" style="958" customWidth="1"/>
    <col min="16135" max="16135" width="0" style="958" hidden="1" customWidth="1"/>
    <col min="16136" max="16136" width="7.6640625" style="958" customWidth="1"/>
    <col min="16137" max="16137" width="4.44140625" style="958" bestFit="1" customWidth="1"/>
    <col min="16138" max="16138" width="5.6640625" style="958" bestFit="1" customWidth="1"/>
    <col min="16139" max="16139" width="1.6640625" style="958" customWidth="1"/>
    <col min="16140" max="16140" width="8.6640625" style="958" customWidth="1"/>
    <col min="16141" max="16141" width="4.44140625" style="958" bestFit="1" customWidth="1"/>
    <col min="16142" max="16142" width="5.6640625" style="958" bestFit="1" customWidth="1"/>
    <col min="16143" max="16143" width="1.6640625" style="958" customWidth="1"/>
    <col min="16144" max="16144" width="7.6640625" style="958" customWidth="1"/>
    <col min="16145" max="16145" width="4.44140625" style="958" bestFit="1" customWidth="1"/>
    <col min="16146" max="16146" width="5.6640625" style="958" bestFit="1" customWidth="1"/>
    <col min="16147" max="16147" width="1.6640625" style="958" customWidth="1"/>
    <col min="16148" max="16148" width="8.6640625" style="958" customWidth="1"/>
    <col min="16149" max="16149" width="4.44140625" style="958" bestFit="1" customWidth="1"/>
    <col min="16150" max="16150" width="5.6640625" style="958" bestFit="1" customWidth="1"/>
    <col min="16151" max="16151" width="1.6640625" style="958" customWidth="1"/>
    <col min="16152" max="16152" width="7.6640625" style="958" customWidth="1"/>
    <col min="16153" max="16153" width="4.44140625" style="958" bestFit="1" customWidth="1"/>
    <col min="16154" max="16154" width="5.6640625" style="958" bestFit="1" customWidth="1"/>
    <col min="16155" max="16155" width="1.6640625" style="958" customWidth="1"/>
    <col min="16156" max="16156" width="8.6640625" style="958" customWidth="1"/>
    <col min="16157" max="16157" width="4.44140625" style="958" bestFit="1" customWidth="1"/>
    <col min="16158" max="16158" width="5.6640625" style="958" bestFit="1" customWidth="1"/>
    <col min="16159" max="16384" width="9.109375" style="958"/>
  </cols>
  <sheetData>
    <row r="1" spans="1:15" s="754" customFormat="1" ht="17.399999999999999">
      <c r="A1" s="1666" t="s">
        <v>2144</v>
      </c>
      <c r="B1" s="1667"/>
      <c r="C1" s="1667"/>
      <c r="D1" s="304"/>
      <c r="F1" s="304"/>
    </row>
    <row r="2" spans="1:15" s="545" customFormat="1" ht="15" customHeight="1">
      <c r="A2" s="1664"/>
      <c r="B2" s="1665"/>
      <c r="C2" s="1665"/>
    </row>
    <row r="3" spans="1:15" s="545" customFormat="1" ht="15" customHeight="1">
      <c r="A3" s="1664"/>
      <c r="B3" s="1665"/>
      <c r="C3" s="1665"/>
    </row>
    <row r="4" spans="1:15" s="1663" customFormat="1" ht="15" customHeight="1">
      <c r="A4" s="1661" t="s">
        <v>383</v>
      </c>
      <c r="B4" s="1662"/>
      <c r="C4" s="1662"/>
    </row>
    <row r="5" spans="1:15" ht="13.5" customHeight="1">
      <c r="A5" s="961"/>
    </row>
    <row r="6" spans="1:15" ht="13.5" customHeight="1">
      <c r="A6" s="961"/>
      <c r="B6" s="961" t="s">
        <v>1828</v>
      </c>
    </row>
    <row r="7" spans="1:15" ht="13.5" customHeight="1">
      <c r="A7" s="961"/>
      <c r="B7" s="961" t="s">
        <v>601</v>
      </c>
      <c r="C7" s="961" t="s">
        <v>602</v>
      </c>
      <c r="D7" s="961" t="s">
        <v>603</v>
      </c>
      <c r="E7" s="961" t="s">
        <v>604</v>
      </c>
      <c r="F7" s="2309"/>
      <c r="I7" s="961" t="s">
        <v>2602</v>
      </c>
      <c r="L7" s="961" t="s">
        <v>2603</v>
      </c>
      <c r="M7" s="961" t="s">
        <v>2604</v>
      </c>
      <c r="N7" s="961" t="s">
        <v>2605</v>
      </c>
      <c r="O7" s="961" t="s">
        <v>2602</v>
      </c>
    </row>
    <row r="8" spans="1:15" ht="13.5" customHeight="1">
      <c r="A8" s="961"/>
      <c r="B8" s="958">
        <f>BF94/SUM($BF$94:$BI$94)</f>
        <v>4.9262999365531468E-2</v>
      </c>
      <c r="C8" s="958">
        <f>BG94/SUM($BF$94:$BI$94)</f>
        <v>0.12565741672052763</v>
      </c>
      <c r="D8" s="958">
        <f>BH94/SUM($BF$94:$BI$94)</f>
        <v>0.60984900711056644</v>
      </c>
      <c r="E8" s="958">
        <f>BI94/SUM($BF$94:$BI$94)</f>
        <v>0.21523057680337437</v>
      </c>
      <c r="F8" s="2310"/>
      <c r="H8" s="961" t="s">
        <v>317</v>
      </c>
      <c r="I8" s="2268">
        <f>J36</f>
        <v>32737.69</v>
      </c>
      <c r="L8" s="961" t="s">
        <v>609</v>
      </c>
      <c r="M8" s="958">
        <f>$I$8*B8</f>
        <v>1612.7568016989658</v>
      </c>
      <c r="O8" s="958">
        <f>$I$9*B8</f>
        <v>0</v>
      </c>
    </row>
    <row r="9" spans="1:15" ht="13.5" customHeight="1">
      <c r="A9" s="961"/>
      <c r="H9" s="961" t="s">
        <v>2167</v>
      </c>
      <c r="L9" s="961" t="s">
        <v>612</v>
      </c>
      <c r="M9" s="958">
        <f>$I$8*C8</f>
        <v>4113.7335547974499</v>
      </c>
      <c r="O9" s="958">
        <f>$I$9*C8</f>
        <v>0</v>
      </c>
    </row>
    <row r="10" spans="1:15" ht="13.5" customHeight="1">
      <c r="A10" s="961"/>
      <c r="L10" s="961" t="s">
        <v>613</v>
      </c>
      <c r="M10" s="958">
        <f>$I$8*D8</f>
        <v>19965.04774159352</v>
      </c>
      <c r="O10" s="958">
        <f>$I$9*D8</f>
        <v>0</v>
      </c>
    </row>
    <row r="11" spans="1:15" ht="13.5" customHeight="1">
      <c r="A11" s="961"/>
      <c r="L11" s="961" t="s">
        <v>614</v>
      </c>
      <c r="M11" s="958">
        <f>$I$8*E8</f>
        <v>7046.1519019100606</v>
      </c>
      <c r="O11" s="958">
        <f>$I$9*E8</f>
        <v>0</v>
      </c>
    </row>
    <row r="12" spans="1:15" ht="13.5" customHeight="1">
      <c r="A12" s="961"/>
    </row>
    <row r="13" spans="1:15" ht="13.5" customHeight="1">
      <c r="A13" s="961"/>
    </row>
    <row r="14" spans="1:15" ht="13.5" customHeight="1">
      <c r="A14" s="961"/>
    </row>
    <row r="15" spans="1:15" ht="13.5" customHeight="1">
      <c r="A15" s="961"/>
    </row>
    <row r="16" spans="1:15" ht="13.5" customHeight="1">
      <c r="A16" s="961"/>
    </row>
    <row r="17" spans="1:32" ht="13.5" customHeight="1">
      <c r="A17" s="961"/>
    </row>
    <row r="18" spans="1:32" ht="13.5" customHeight="1">
      <c r="A18" s="961"/>
    </row>
    <row r="19" spans="1:32" ht="13.5" customHeight="1">
      <c r="A19" s="961"/>
    </row>
    <row r="20" spans="1:32" s="1663" customFormat="1" ht="15" customHeight="1">
      <c r="A20" s="1661" t="s">
        <v>2098</v>
      </c>
    </row>
    <row r="21" spans="1:32" ht="13.5" customHeight="1">
      <c r="A21" s="765" t="s">
        <v>550</v>
      </c>
    </row>
    <row r="22" spans="1:32" ht="13.5" customHeight="1">
      <c r="A22" s="603" t="s">
        <v>1337</v>
      </c>
    </row>
    <row r="23" spans="1:32" ht="13.5" customHeight="1">
      <c r="A23" s="958" t="s">
        <v>2145</v>
      </c>
    </row>
    <row r="24" spans="1:32" ht="13.5" customHeight="1"/>
    <row r="25" spans="1:32" ht="13.5" customHeight="1"/>
    <row r="26" spans="1:32" ht="13.5" customHeight="1">
      <c r="A26" s="973"/>
      <c r="B26" s="973"/>
      <c r="C26" s="973"/>
      <c r="D26" s="973"/>
      <c r="E26" s="973"/>
      <c r="F26" s="973"/>
      <c r="G26" s="973"/>
      <c r="H26" s="973"/>
      <c r="I26" s="973"/>
      <c r="J26" s="973"/>
      <c r="K26" s="973"/>
      <c r="L26" s="973"/>
      <c r="M26" s="973"/>
      <c r="N26" s="973"/>
      <c r="O26" s="973"/>
      <c r="P26" s="973"/>
      <c r="Q26" s="973"/>
      <c r="R26" s="973"/>
      <c r="S26" s="973"/>
      <c r="T26" s="973"/>
      <c r="U26" s="973"/>
      <c r="V26" s="973"/>
      <c r="W26" s="973"/>
      <c r="X26" s="973"/>
      <c r="Y26" s="973"/>
      <c r="Z26" s="973"/>
      <c r="AA26" s="973"/>
      <c r="AB26" s="973"/>
    </row>
    <row r="27" spans="1:32" s="957" customFormat="1" ht="13.5" customHeight="1">
      <c r="A27" s="1735" t="s">
        <v>1340</v>
      </c>
      <c r="B27" s="1736"/>
      <c r="C27" s="1736"/>
      <c r="D27" s="1736"/>
      <c r="E27" s="1736"/>
      <c r="F27" s="1736"/>
      <c r="G27" s="1736"/>
      <c r="H27" s="1736"/>
      <c r="I27" s="1736"/>
      <c r="J27" s="1736"/>
      <c r="K27" s="1736"/>
      <c r="L27" s="1736"/>
      <c r="M27" s="1736"/>
      <c r="N27" s="1736"/>
      <c r="O27" s="1736"/>
      <c r="P27" s="1736"/>
      <c r="Q27" s="1736"/>
      <c r="R27" s="1736"/>
      <c r="S27" s="1736"/>
      <c r="T27" s="1736"/>
      <c r="U27" s="1736"/>
      <c r="V27" s="1736"/>
      <c r="W27" s="1736"/>
      <c r="X27" s="1736"/>
      <c r="Y27" s="1736"/>
      <c r="Z27" s="1736"/>
      <c r="AA27" s="1736"/>
      <c r="AB27" s="1737"/>
    </row>
    <row r="28" spans="1:32" s="957" customFormat="1" ht="13.5" customHeight="1">
      <c r="A28" s="1738"/>
      <c r="B28" s="973"/>
      <c r="C28" s="973"/>
      <c r="D28" s="973"/>
      <c r="E28" s="973"/>
      <c r="F28" s="973"/>
      <c r="G28" s="973"/>
      <c r="H28" s="973"/>
      <c r="I28" s="973"/>
      <c r="J28" s="973"/>
      <c r="K28" s="973"/>
      <c r="L28" s="973"/>
      <c r="M28" s="973"/>
      <c r="N28" s="973"/>
      <c r="O28" s="973"/>
      <c r="P28" s="973"/>
      <c r="Q28" s="973"/>
      <c r="R28" s="973"/>
      <c r="S28" s="973"/>
      <c r="T28" s="973"/>
      <c r="U28" s="973"/>
      <c r="V28" s="973"/>
      <c r="W28" s="973"/>
      <c r="X28" s="973"/>
      <c r="Y28" s="973"/>
      <c r="Z28" s="973"/>
      <c r="AA28" s="973"/>
      <c r="AB28" s="1739"/>
    </row>
    <row r="29" spans="1:32" ht="13.5" customHeight="1" thickBot="1">
      <c r="A29" s="1740" t="s">
        <v>1341</v>
      </c>
      <c r="B29" s="974"/>
      <c r="C29" s="974"/>
      <c r="D29" s="974"/>
      <c r="E29" s="974"/>
      <c r="F29" s="974"/>
      <c r="G29" s="974"/>
      <c r="H29" s="974"/>
      <c r="I29" s="974"/>
      <c r="J29" s="974"/>
      <c r="K29" s="974"/>
      <c r="L29" s="974"/>
      <c r="M29" s="974"/>
      <c r="N29" s="974"/>
      <c r="O29" s="974"/>
      <c r="P29" s="974"/>
      <c r="Q29" s="974"/>
      <c r="R29" s="974"/>
      <c r="S29" s="974"/>
      <c r="T29" s="974"/>
      <c r="U29" s="974"/>
      <c r="V29" s="974"/>
      <c r="W29" s="974"/>
      <c r="X29" s="974"/>
      <c r="Y29" s="974"/>
      <c r="Z29" s="974"/>
      <c r="AA29" s="974"/>
      <c r="AB29" s="1741"/>
    </row>
    <row r="30" spans="1:32" ht="13.5" customHeight="1" thickBot="1">
      <c r="A30" s="1742"/>
      <c r="B30" s="974"/>
      <c r="C30" s="974"/>
      <c r="D30" s="974"/>
      <c r="E30" s="974"/>
      <c r="F30" s="974"/>
      <c r="G30" s="974"/>
      <c r="H30" s="974"/>
      <c r="I30" s="974"/>
      <c r="J30" s="974"/>
      <c r="K30" s="974"/>
      <c r="L30" s="974"/>
      <c r="M30" s="974"/>
      <c r="N30" s="974"/>
      <c r="O30" s="974"/>
      <c r="P30" s="974"/>
      <c r="Q30" s="974"/>
      <c r="R30" s="974"/>
      <c r="S30" s="974"/>
      <c r="T30" s="974"/>
      <c r="U30" s="974"/>
      <c r="V30" s="974"/>
      <c r="W30" s="974"/>
      <c r="X30" s="974"/>
      <c r="Y30" s="974"/>
      <c r="Z30" s="974"/>
      <c r="AA30" s="974"/>
      <c r="AB30" s="1741"/>
    </row>
    <row r="31" spans="1:32" ht="13.5" customHeight="1">
      <c r="A31" s="1743" t="s">
        <v>1342</v>
      </c>
      <c r="B31" s="975"/>
      <c r="C31" s="975"/>
      <c r="D31" s="975"/>
      <c r="E31" s="975"/>
      <c r="F31" s="3069" t="s">
        <v>625</v>
      </c>
      <c r="G31" s="3069"/>
      <c r="H31" s="3069"/>
      <c r="I31" s="3069"/>
      <c r="J31" s="3069"/>
      <c r="K31" s="3069"/>
      <c r="L31" s="3069"/>
      <c r="M31" s="1642"/>
      <c r="N31" s="3069" t="s">
        <v>1343</v>
      </c>
      <c r="O31" s="3069"/>
      <c r="P31" s="3069"/>
      <c r="Q31" s="3069"/>
      <c r="R31" s="3069"/>
      <c r="S31" s="3069"/>
      <c r="T31" s="3069"/>
      <c r="U31" s="1642"/>
      <c r="V31" s="3069" t="s">
        <v>1344</v>
      </c>
      <c r="W31" s="3069"/>
      <c r="X31" s="3069"/>
      <c r="Y31" s="3069"/>
      <c r="Z31" s="3069"/>
      <c r="AA31" s="3069"/>
      <c r="AB31" s="3070"/>
      <c r="AD31" s="961"/>
      <c r="AE31" s="961"/>
      <c r="AF31" s="961"/>
    </row>
    <row r="32" spans="1:32" ht="13.5" customHeight="1">
      <c r="A32" s="1743" t="s">
        <v>1345</v>
      </c>
      <c r="B32" s="975"/>
      <c r="C32" s="975"/>
      <c r="D32" s="975"/>
      <c r="E32" s="975"/>
      <c r="F32" s="3071" t="s">
        <v>1346</v>
      </c>
      <c r="G32" s="3071"/>
      <c r="H32" s="3071"/>
      <c r="I32" s="1642"/>
      <c r="J32" s="3073" t="s">
        <v>1347</v>
      </c>
      <c r="K32" s="3073"/>
      <c r="L32" s="3073"/>
      <c r="M32" s="1642"/>
      <c r="N32" s="3071" t="s">
        <v>1346</v>
      </c>
      <c r="O32" s="3071"/>
      <c r="P32" s="3071"/>
      <c r="Q32" s="1642"/>
      <c r="R32" s="3073" t="s">
        <v>1347</v>
      </c>
      <c r="S32" s="3073"/>
      <c r="T32" s="3073"/>
      <c r="U32" s="1642"/>
      <c r="V32" s="3071" t="s">
        <v>1346</v>
      </c>
      <c r="W32" s="3071"/>
      <c r="X32" s="3071"/>
      <c r="Y32" s="1642"/>
      <c r="Z32" s="3073" t="s">
        <v>1347</v>
      </c>
      <c r="AA32" s="3073"/>
      <c r="AB32" s="3074"/>
    </row>
    <row r="33" spans="1:31" ht="13.5" customHeight="1">
      <c r="A33" s="1743" t="s">
        <v>314</v>
      </c>
      <c r="B33" s="975"/>
      <c r="C33" s="975"/>
      <c r="D33" s="975"/>
      <c r="E33" s="975"/>
      <c r="F33" s="3072"/>
      <c r="G33" s="3072"/>
      <c r="H33" s="3072"/>
      <c r="I33" s="1642"/>
      <c r="J33" s="3072" t="s">
        <v>1348</v>
      </c>
      <c r="K33" s="3072"/>
      <c r="L33" s="3072"/>
      <c r="M33" s="1642"/>
      <c r="N33" s="3072"/>
      <c r="O33" s="3072"/>
      <c r="P33" s="3072"/>
      <c r="Q33" s="1642"/>
      <c r="R33" s="3072" t="s">
        <v>1348</v>
      </c>
      <c r="S33" s="3072"/>
      <c r="T33" s="3072"/>
      <c r="U33" s="1642"/>
      <c r="V33" s="3072"/>
      <c r="W33" s="3072"/>
      <c r="X33" s="3072"/>
      <c r="Y33" s="1642"/>
      <c r="Z33" s="3072" t="s">
        <v>1348</v>
      </c>
      <c r="AA33" s="3072"/>
      <c r="AB33" s="3075"/>
    </row>
    <row r="34" spans="1:31" ht="13.5" customHeight="1" thickBot="1">
      <c r="A34" s="1744"/>
      <c r="B34" s="976"/>
      <c r="C34" s="976"/>
      <c r="D34" s="976"/>
      <c r="E34" s="976"/>
      <c r="F34" s="977" t="s">
        <v>625</v>
      </c>
      <c r="G34" s="977" t="s">
        <v>94</v>
      </c>
      <c r="H34" s="977" t="s">
        <v>1349</v>
      </c>
      <c r="I34" s="977"/>
      <c r="J34" s="977" t="s">
        <v>625</v>
      </c>
      <c r="K34" s="977" t="s">
        <v>94</v>
      </c>
      <c r="L34" s="977" t="s">
        <v>1349</v>
      </c>
      <c r="M34" s="977"/>
      <c r="N34" s="977" t="s">
        <v>625</v>
      </c>
      <c r="O34" s="977" t="s">
        <v>94</v>
      </c>
      <c r="P34" s="977" t="s">
        <v>1349</v>
      </c>
      <c r="Q34" s="977"/>
      <c r="R34" s="977" t="s">
        <v>625</v>
      </c>
      <c r="S34" s="977" t="s">
        <v>94</v>
      </c>
      <c r="T34" s="977" t="s">
        <v>1349</v>
      </c>
      <c r="U34" s="977"/>
      <c r="V34" s="978" t="s">
        <v>625</v>
      </c>
      <c r="W34" s="977" t="s">
        <v>94</v>
      </c>
      <c r="X34" s="977" t="s">
        <v>1349</v>
      </c>
      <c r="Y34" s="977"/>
      <c r="Z34" s="978" t="s">
        <v>625</v>
      </c>
      <c r="AA34" s="977" t="s">
        <v>94</v>
      </c>
      <c r="AB34" s="1745" t="s">
        <v>1349</v>
      </c>
      <c r="AD34" s="913"/>
      <c r="AE34" s="913"/>
    </row>
    <row r="35" spans="1:31" ht="13.5" customHeight="1">
      <c r="A35" s="1746"/>
      <c r="B35" s="1747"/>
      <c r="C35" s="1747"/>
      <c r="D35" s="1747"/>
      <c r="E35" s="1747"/>
      <c r="F35" s="1642"/>
      <c r="G35" s="1642"/>
      <c r="H35" s="1642"/>
      <c r="I35" s="1642"/>
      <c r="J35" s="1642"/>
      <c r="K35" s="1642"/>
      <c r="L35" s="1642"/>
      <c r="M35" s="1642"/>
      <c r="N35" s="1642"/>
      <c r="O35" s="1642"/>
      <c r="P35" s="1642"/>
      <c r="Q35" s="1642"/>
      <c r="R35" s="1642"/>
      <c r="S35" s="1642"/>
      <c r="T35" s="1642"/>
      <c r="U35" s="1642"/>
      <c r="V35" s="1642"/>
      <c r="W35" s="1642"/>
      <c r="X35" s="1642"/>
      <c r="Y35" s="1642"/>
      <c r="Z35" s="1642"/>
      <c r="AA35" s="1642"/>
      <c r="AB35" s="1748"/>
      <c r="AD35" s="961"/>
      <c r="AE35" s="961"/>
    </row>
    <row r="36" spans="1:31" ht="13.5" customHeight="1">
      <c r="A36" s="1743" t="s">
        <v>625</v>
      </c>
      <c r="B36" s="975"/>
      <c r="C36" s="975"/>
      <c r="D36" s="975"/>
      <c r="E36" s="975"/>
      <c r="F36" s="979">
        <v>315601.15299999999</v>
      </c>
      <c r="G36" s="980">
        <v>100</v>
      </c>
      <c r="H36" s="980">
        <v>100</v>
      </c>
      <c r="I36" s="980" t="s">
        <v>392</v>
      </c>
      <c r="J36" s="979">
        <v>32737.69</v>
      </c>
      <c r="K36" s="980">
        <v>100</v>
      </c>
      <c r="L36" s="980">
        <v>100</v>
      </c>
      <c r="M36" s="980" t="s">
        <v>392</v>
      </c>
      <c r="N36" s="979">
        <v>285678.13299999997</v>
      </c>
      <c r="O36" s="980">
        <v>100</v>
      </c>
      <c r="P36" s="980">
        <v>100</v>
      </c>
      <c r="Q36" s="980" t="s">
        <v>392</v>
      </c>
      <c r="R36" s="979">
        <v>30359.106</v>
      </c>
      <c r="S36" s="980">
        <v>100</v>
      </c>
      <c r="T36" s="980">
        <v>100</v>
      </c>
      <c r="U36" s="980" t="s">
        <v>392</v>
      </c>
      <c r="V36" s="979">
        <v>29923.02</v>
      </c>
      <c r="W36" s="980">
        <v>100</v>
      </c>
      <c r="X36" s="980">
        <v>100</v>
      </c>
      <c r="Y36" s="980" t="s">
        <v>392</v>
      </c>
      <c r="Z36" s="979">
        <v>2378.5839999999998</v>
      </c>
      <c r="AA36" s="980">
        <v>100</v>
      </c>
      <c r="AB36" s="1749">
        <v>100</v>
      </c>
    </row>
    <row r="37" spans="1:31" ht="13.5" customHeight="1">
      <c r="A37" s="1750"/>
      <c r="B37" s="1751"/>
      <c r="C37" s="1751"/>
      <c r="D37" s="1751"/>
      <c r="E37" s="1751"/>
      <c r="F37" s="1751" t="s">
        <v>392</v>
      </c>
      <c r="G37" s="1751" t="s">
        <v>392</v>
      </c>
      <c r="H37" s="1751" t="s">
        <v>392</v>
      </c>
      <c r="I37" s="1751" t="s">
        <v>392</v>
      </c>
      <c r="J37" s="1751" t="s">
        <v>392</v>
      </c>
      <c r="K37" s="1751" t="s">
        <v>392</v>
      </c>
      <c r="L37" s="1751" t="s">
        <v>392</v>
      </c>
      <c r="M37" s="1751" t="s">
        <v>392</v>
      </c>
      <c r="N37" s="1751" t="s">
        <v>392</v>
      </c>
      <c r="O37" s="1751" t="s">
        <v>392</v>
      </c>
      <c r="P37" s="1751" t="s">
        <v>392</v>
      </c>
      <c r="Q37" s="1751" t="s">
        <v>392</v>
      </c>
      <c r="R37" s="1751" t="s">
        <v>392</v>
      </c>
      <c r="S37" s="1751" t="s">
        <v>392</v>
      </c>
      <c r="T37" s="1751" t="s">
        <v>392</v>
      </c>
      <c r="U37" s="1751" t="s">
        <v>392</v>
      </c>
      <c r="V37" s="1752" t="s">
        <v>392</v>
      </c>
      <c r="W37" s="1752" t="s">
        <v>392</v>
      </c>
      <c r="X37" s="1752" t="s">
        <v>392</v>
      </c>
      <c r="Y37" s="1752" t="s">
        <v>392</v>
      </c>
      <c r="Z37" s="1752" t="s">
        <v>392</v>
      </c>
      <c r="AA37" s="1752" t="s">
        <v>392</v>
      </c>
      <c r="AB37" s="1753" t="s">
        <v>392</v>
      </c>
    </row>
    <row r="38" spans="1:31" ht="13.5" customHeight="1">
      <c r="A38" s="1754"/>
      <c r="B38" s="1751">
        <v>0</v>
      </c>
      <c r="C38" s="1751" t="s">
        <v>1350</v>
      </c>
      <c r="D38" s="1751">
        <v>4</v>
      </c>
      <c r="E38" s="1751"/>
      <c r="F38" s="1189">
        <v>24658.57</v>
      </c>
      <c r="G38" s="1755">
        <v>7.8129999999999997</v>
      </c>
      <c r="H38" s="1755">
        <v>7.8129999999999997</v>
      </c>
      <c r="I38" s="1755" t="s">
        <v>392</v>
      </c>
      <c r="J38" s="1189">
        <v>58.627000000000002</v>
      </c>
      <c r="K38" s="1755">
        <v>0.17899999999999999</v>
      </c>
      <c r="L38" s="1755">
        <v>0.17899999999999999</v>
      </c>
      <c r="M38" s="1755" t="s">
        <v>392</v>
      </c>
      <c r="N38" s="1189">
        <v>22766.655999999999</v>
      </c>
      <c r="O38" s="1755">
        <v>7.9690000000000003</v>
      </c>
      <c r="P38" s="1755">
        <v>7.9690000000000003</v>
      </c>
      <c r="Q38" s="1755" t="s">
        <v>392</v>
      </c>
      <c r="R38" s="1189">
        <v>54.603999999999999</v>
      </c>
      <c r="S38" s="1755">
        <v>0.18</v>
      </c>
      <c r="T38" s="1755">
        <v>0.18</v>
      </c>
      <c r="U38" s="1755" t="s">
        <v>392</v>
      </c>
      <c r="V38" s="1189">
        <v>1891.914</v>
      </c>
      <c r="W38" s="1755">
        <v>6.3230000000000004</v>
      </c>
      <c r="X38" s="1755">
        <v>6.3230000000000004</v>
      </c>
      <c r="Y38" s="1755" t="s">
        <v>392</v>
      </c>
      <c r="Z38" s="1189">
        <v>4.0229999999999997</v>
      </c>
      <c r="AA38" s="1755">
        <v>0.16900000000000001</v>
      </c>
      <c r="AB38" s="1756">
        <v>0.16900000000000001</v>
      </c>
    </row>
    <row r="39" spans="1:31" ht="13.5" customHeight="1">
      <c r="A39" s="1754"/>
      <c r="B39" s="1751">
        <v>5</v>
      </c>
      <c r="C39" s="1751" t="s">
        <v>1350</v>
      </c>
      <c r="D39" s="1751">
        <v>9</v>
      </c>
      <c r="E39" s="1751"/>
      <c r="F39" s="1189">
        <v>29378.457999999999</v>
      </c>
      <c r="G39" s="1755">
        <v>9.3089999999999993</v>
      </c>
      <c r="H39" s="1755">
        <v>17.122</v>
      </c>
      <c r="I39" s="1755" t="s">
        <v>392</v>
      </c>
      <c r="J39" s="1189">
        <v>199.017</v>
      </c>
      <c r="K39" s="1755">
        <v>0.60799999999999998</v>
      </c>
      <c r="L39" s="1755">
        <v>0.78700000000000003</v>
      </c>
      <c r="M39" s="1755" t="s">
        <v>392</v>
      </c>
      <c r="N39" s="1189">
        <v>25160.263999999999</v>
      </c>
      <c r="O39" s="1755">
        <v>8.8070000000000004</v>
      </c>
      <c r="P39" s="1755">
        <v>16.777000000000001</v>
      </c>
      <c r="Q39" s="1755" t="s">
        <v>392</v>
      </c>
      <c r="R39" s="1189">
        <v>171.80600000000001</v>
      </c>
      <c r="S39" s="1755">
        <v>0.56599999999999995</v>
      </c>
      <c r="T39" s="1755">
        <v>0.746</v>
      </c>
      <c r="U39" s="1755" t="s">
        <v>392</v>
      </c>
      <c r="V39" s="1189">
        <v>4218.1940000000004</v>
      </c>
      <c r="W39" s="1755">
        <v>14.097</v>
      </c>
      <c r="X39" s="1755">
        <v>20.419</v>
      </c>
      <c r="Y39" s="1755" t="s">
        <v>392</v>
      </c>
      <c r="Z39" s="1189">
        <v>27.210999999999999</v>
      </c>
      <c r="AA39" s="1755">
        <v>1.1439999999999999</v>
      </c>
      <c r="AB39" s="1756">
        <v>1.3129999999999999</v>
      </c>
    </row>
    <row r="40" spans="1:31" ht="13.5" customHeight="1">
      <c r="A40" s="1754"/>
      <c r="B40" s="1751">
        <v>10</v>
      </c>
      <c r="C40" s="1751" t="s">
        <v>1350</v>
      </c>
      <c r="D40" s="1751">
        <v>14</v>
      </c>
      <c r="E40" s="1751"/>
      <c r="F40" s="1189">
        <v>24401.260999999999</v>
      </c>
      <c r="G40" s="1755">
        <v>7.7320000000000002</v>
      </c>
      <c r="H40" s="1755">
        <v>24.853999999999999</v>
      </c>
      <c r="I40" s="1755" t="s">
        <v>392</v>
      </c>
      <c r="J40" s="1189">
        <v>278.411</v>
      </c>
      <c r="K40" s="1755">
        <v>0.85</v>
      </c>
      <c r="L40" s="1755">
        <v>1.637</v>
      </c>
      <c r="M40" s="1755" t="s">
        <v>392</v>
      </c>
      <c r="N40" s="1189">
        <v>21858.731</v>
      </c>
      <c r="O40" s="1755">
        <v>7.6520000000000001</v>
      </c>
      <c r="P40" s="1755">
        <v>24.428000000000001</v>
      </c>
      <c r="Q40" s="1755" t="s">
        <v>392</v>
      </c>
      <c r="R40" s="1189">
        <v>247.76599999999999</v>
      </c>
      <c r="S40" s="1755">
        <v>0.81599999999999995</v>
      </c>
      <c r="T40" s="1755">
        <v>1.5620000000000001</v>
      </c>
      <c r="U40" s="1755" t="s">
        <v>392</v>
      </c>
      <c r="V40" s="1189">
        <v>2542.529</v>
      </c>
      <c r="W40" s="1755">
        <v>8.4969999999999999</v>
      </c>
      <c r="X40" s="1755">
        <v>28.916</v>
      </c>
      <c r="Y40" s="1755" t="s">
        <v>392</v>
      </c>
      <c r="Z40" s="1189">
        <v>30.643999999999998</v>
      </c>
      <c r="AA40" s="1755">
        <v>1.288</v>
      </c>
      <c r="AB40" s="1756">
        <v>2.601</v>
      </c>
    </row>
    <row r="41" spans="1:31" ht="13.5" customHeight="1">
      <c r="A41" s="1754"/>
      <c r="B41" s="1751">
        <v>15</v>
      </c>
      <c r="C41" s="1751" t="s">
        <v>1350</v>
      </c>
      <c r="D41" s="1751">
        <v>19</v>
      </c>
      <c r="E41" s="1751"/>
      <c r="F41" s="1189">
        <v>22063.642</v>
      </c>
      <c r="G41" s="1755">
        <v>6.9909999999999997</v>
      </c>
      <c r="H41" s="1755">
        <v>31.844999999999999</v>
      </c>
      <c r="I41" s="1755" t="s">
        <v>392</v>
      </c>
      <c r="J41" s="1189">
        <v>358.78500000000003</v>
      </c>
      <c r="K41" s="1755">
        <v>1.0960000000000001</v>
      </c>
      <c r="L41" s="1755">
        <v>2.7330000000000001</v>
      </c>
      <c r="M41" s="1755" t="s">
        <v>392</v>
      </c>
      <c r="N41" s="1189">
        <v>19421.263999999999</v>
      </c>
      <c r="O41" s="1755">
        <v>6.798</v>
      </c>
      <c r="P41" s="1755">
        <v>31.225999999999999</v>
      </c>
      <c r="Q41" s="1755" t="s">
        <v>392</v>
      </c>
      <c r="R41" s="1189">
        <v>315.64100000000002</v>
      </c>
      <c r="S41" s="1755">
        <v>1.04</v>
      </c>
      <c r="T41" s="1755">
        <v>2.6019999999999999</v>
      </c>
      <c r="U41" s="1755" t="s">
        <v>392</v>
      </c>
      <c r="V41" s="1189">
        <v>2642.3780000000002</v>
      </c>
      <c r="W41" s="1755">
        <v>8.8309999999999995</v>
      </c>
      <c r="X41" s="1755">
        <v>37.747</v>
      </c>
      <c r="Y41" s="1755" t="s">
        <v>392</v>
      </c>
      <c r="Z41" s="1189">
        <v>43.143999999999998</v>
      </c>
      <c r="AA41" s="1755">
        <v>1.8140000000000001</v>
      </c>
      <c r="AB41" s="1756">
        <v>4.415</v>
      </c>
    </row>
    <row r="42" spans="1:31" ht="13.5" customHeight="1">
      <c r="A42" s="1754"/>
      <c r="B42" s="1751">
        <v>20</v>
      </c>
      <c r="C42" s="1751" t="s">
        <v>1350</v>
      </c>
      <c r="D42" s="1751">
        <v>24</v>
      </c>
      <c r="E42" s="1751"/>
      <c r="F42" s="1189">
        <v>14608.966</v>
      </c>
      <c r="G42" s="1755">
        <v>4.6289999999999996</v>
      </c>
      <c r="H42" s="1755">
        <v>36.473999999999997</v>
      </c>
      <c r="I42" s="1755" t="s">
        <v>392</v>
      </c>
      <c r="J42" s="1189">
        <v>317.50200000000001</v>
      </c>
      <c r="K42" s="1755">
        <v>0.97</v>
      </c>
      <c r="L42" s="1755">
        <v>3.7029999999999998</v>
      </c>
      <c r="M42" s="1755" t="s">
        <v>392</v>
      </c>
      <c r="N42" s="1189">
        <v>12810.928</v>
      </c>
      <c r="O42" s="1755">
        <v>4.484</v>
      </c>
      <c r="P42" s="1755">
        <v>35.710999999999999</v>
      </c>
      <c r="Q42" s="1755" t="s">
        <v>392</v>
      </c>
      <c r="R42" s="1189">
        <v>278.51299999999998</v>
      </c>
      <c r="S42" s="1755">
        <v>0.91700000000000004</v>
      </c>
      <c r="T42" s="1755">
        <v>3.5190000000000001</v>
      </c>
      <c r="U42" s="1755" t="s">
        <v>392</v>
      </c>
      <c r="V42" s="1189">
        <v>1798.038</v>
      </c>
      <c r="W42" s="1755">
        <v>6.0090000000000003</v>
      </c>
      <c r="X42" s="1755">
        <v>43.756</v>
      </c>
      <c r="Y42" s="1755" t="s">
        <v>392</v>
      </c>
      <c r="Z42" s="1189">
        <v>38.988999999999997</v>
      </c>
      <c r="AA42" s="1755">
        <v>1.639</v>
      </c>
      <c r="AB42" s="1756">
        <v>6.0549999999999997</v>
      </c>
    </row>
    <row r="43" spans="1:31" ht="13.5" customHeight="1">
      <c r="A43" s="1754"/>
      <c r="B43" s="1751"/>
      <c r="C43" s="1751"/>
      <c r="D43" s="1751"/>
      <c r="E43" s="1751"/>
      <c r="F43" s="1751" t="s">
        <v>392</v>
      </c>
      <c r="G43" s="1755" t="s">
        <v>392</v>
      </c>
      <c r="H43" s="1755" t="s">
        <v>392</v>
      </c>
      <c r="I43" s="1755" t="s">
        <v>392</v>
      </c>
      <c r="J43" s="1751" t="s">
        <v>392</v>
      </c>
      <c r="K43" s="1755" t="s">
        <v>392</v>
      </c>
      <c r="L43" s="1755" t="s">
        <v>392</v>
      </c>
      <c r="M43" s="1755" t="s">
        <v>392</v>
      </c>
      <c r="N43" s="1751" t="s">
        <v>392</v>
      </c>
      <c r="O43" s="1755" t="s">
        <v>392</v>
      </c>
      <c r="P43" s="1755" t="s">
        <v>392</v>
      </c>
      <c r="Q43" s="1755" t="s">
        <v>392</v>
      </c>
      <c r="R43" s="1751" t="s">
        <v>392</v>
      </c>
      <c r="S43" s="1755" t="s">
        <v>392</v>
      </c>
      <c r="T43" s="1755" t="s">
        <v>392</v>
      </c>
      <c r="U43" s="1755" t="s">
        <v>392</v>
      </c>
      <c r="V43" s="1751" t="s">
        <v>392</v>
      </c>
      <c r="W43" s="1755" t="s">
        <v>392</v>
      </c>
      <c r="X43" s="1755" t="s">
        <v>392</v>
      </c>
      <c r="Y43" s="1755" t="s">
        <v>392</v>
      </c>
      <c r="Z43" s="1751" t="s">
        <v>392</v>
      </c>
      <c r="AA43" s="1755" t="s">
        <v>392</v>
      </c>
      <c r="AB43" s="1756" t="s">
        <v>392</v>
      </c>
    </row>
    <row r="44" spans="1:31" ht="13.5" customHeight="1">
      <c r="A44" s="1754"/>
      <c r="B44" s="1751">
        <v>25</v>
      </c>
      <c r="C44" s="1751" t="s">
        <v>1350</v>
      </c>
      <c r="D44" s="1751">
        <v>29</v>
      </c>
      <c r="E44" s="1751"/>
      <c r="F44" s="1189">
        <v>12013.351000000001</v>
      </c>
      <c r="G44" s="1755">
        <v>3.806</v>
      </c>
      <c r="H44" s="1755">
        <v>40.28</v>
      </c>
      <c r="I44" s="1755" t="s">
        <v>392</v>
      </c>
      <c r="J44" s="1189">
        <v>316.97300000000001</v>
      </c>
      <c r="K44" s="1755">
        <v>0.96799999999999997</v>
      </c>
      <c r="L44" s="1755">
        <v>4.6710000000000003</v>
      </c>
      <c r="M44" s="1755" t="s">
        <v>392</v>
      </c>
      <c r="N44" s="1189">
        <v>10949.941000000001</v>
      </c>
      <c r="O44" s="1755">
        <v>3.8330000000000002</v>
      </c>
      <c r="P44" s="1755">
        <v>39.543999999999997</v>
      </c>
      <c r="Q44" s="1755" t="s">
        <v>392</v>
      </c>
      <c r="R44" s="1189">
        <v>289.69900000000001</v>
      </c>
      <c r="S44" s="1755">
        <v>0.95399999999999996</v>
      </c>
      <c r="T44" s="1755">
        <v>4.4729999999999999</v>
      </c>
      <c r="U44" s="1755" t="s">
        <v>392</v>
      </c>
      <c r="V44" s="1189">
        <v>1063.4100000000001</v>
      </c>
      <c r="W44" s="1755">
        <v>3.5539999999999998</v>
      </c>
      <c r="X44" s="1755">
        <v>47.31</v>
      </c>
      <c r="Y44" s="1755" t="s">
        <v>392</v>
      </c>
      <c r="Z44" s="1189">
        <v>27.274000000000001</v>
      </c>
      <c r="AA44" s="1755">
        <v>1.147</v>
      </c>
      <c r="AB44" s="1756">
        <v>7.2009999999999996</v>
      </c>
    </row>
    <row r="45" spans="1:31" ht="13.5" customHeight="1">
      <c r="A45" s="1754"/>
      <c r="B45" s="1751">
        <v>30</v>
      </c>
      <c r="C45" s="1751" t="s">
        <v>1350</v>
      </c>
      <c r="D45" s="1751">
        <v>34</v>
      </c>
      <c r="E45" s="1751"/>
      <c r="F45" s="1189">
        <v>14856.491</v>
      </c>
      <c r="G45" s="1755">
        <v>4.7069999999999999</v>
      </c>
      <c r="H45" s="1755">
        <v>44.987000000000002</v>
      </c>
      <c r="I45" s="1755" t="s">
        <v>392</v>
      </c>
      <c r="J45" s="1189">
        <v>458.37900000000002</v>
      </c>
      <c r="K45" s="1755">
        <v>1.4</v>
      </c>
      <c r="L45" s="1755">
        <v>6.0720000000000001</v>
      </c>
      <c r="M45" s="1755" t="s">
        <v>392</v>
      </c>
      <c r="N45" s="1189">
        <v>13916.049000000001</v>
      </c>
      <c r="O45" s="1755">
        <v>4.8710000000000004</v>
      </c>
      <c r="P45" s="1755">
        <v>44.414999999999999</v>
      </c>
      <c r="Q45" s="1755" t="s">
        <v>392</v>
      </c>
      <c r="R45" s="1189">
        <v>429.63099999999997</v>
      </c>
      <c r="S45" s="1755">
        <v>1.415</v>
      </c>
      <c r="T45" s="1755">
        <v>5.8879999999999999</v>
      </c>
      <c r="U45" s="1755" t="s">
        <v>392</v>
      </c>
      <c r="V45" s="1189">
        <v>940.44299999999998</v>
      </c>
      <c r="W45" s="1755">
        <v>3.1429999999999998</v>
      </c>
      <c r="X45" s="1755">
        <v>50.451999999999998</v>
      </c>
      <c r="Y45" s="1755" t="s">
        <v>392</v>
      </c>
      <c r="Z45" s="1189">
        <v>28.748999999999999</v>
      </c>
      <c r="AA45" s="1755">
        <v>1.2090000000000001</v>
      </c>
      <c r="AB45" s="1756">
        <v>8.41</v>
      </c>
    </row>
    <row r="46" spans="1:31" ht="13.5" customHeight="1">
      <c r="A46" s="1754"/>
      <c r="B46" s="1751">
        <v>35</v>
      </c>
      <c r="C46" s="1751" t="s">
        <v>1350</v>
      </c>
      <c r="D46" s="1751">
        <v>39</v>
      </c>
      <c r="E46" s="1751"/>
      <c r="F46" s="1189">
        <v>8118.3710000000001</v>
      </c>
      <c r="G46" s="1755">
        <v>2.5720000000000001</v>
      </c>
      <c r="H46" s="1755">
        <v>47.56</v>
      </c>
      <c r="I46" s="1755" t="s">
        <v>392</v>
      </c>
      <c r="J46" s="1189">
        <v>295.31599999999997</v>
      </c>
      <c r="K46" s="1755">
        <v>0.90200000000000002</v>
      </c>
      <c r="L46" s="1755">
        <v>6.9740000000000002</v>
      </c>
      <c r="M46" s="1755" t="s">
        <v>392</v>
      </c>
      <c r="N46" s="1189">
        <v>7102.0659999999998</v>
      </c>
      <c r="O46" s="1755">
        <v>2.4860000000000002</v>
      </c>
      <c r="P46" s="1755">
        <v>46.901000000000003</v>
      </c>
      <c r="Q46" s="1755" t="s">
        <v>392</v>
      </c>
      <c r="R46" s="1189">
        <v>259.02699999999999</v>
      </c>
      <c r="S46" s="1755">
        <v>0.85299999999999998</v>
      </c>
      <c r="T46" s="1755">
        <v>6.742</v>
      </c>
      <c r="U46" s="1755" t="s">
        <v>392</v>
      </c>
      <c r="V46" s="1189">
        <v>1016.3049999999999</v>
      </c>
      <c r="W46" s="1755">
        <v>3.3959999999999999</v>
      </c>
      <c r="X46" s="1755">
        <v>53.848999999999997</v>
      </c>
      <c r="Y46" s="1755" t="s">
        <v>392</v>
      </c>
      <c r="Z46" s="1189">
        <v>36.29</v>
      </c>
      <c r="AA46" s="1755">
        <v>1.526</v>
      </c>
      <c r="AB46" s="1756">
        <v>9.9350000000000005</v>
      </c>
    </row>
    <row r="47" spans="1:31" ht="13.5" customHeight="1">
      <c r="A47" s="1754"/>
      <c r="B47" s="1751">
        <v>40</v>
      </c>
      <c r="C47" s="1751" t="s">
        <v>1350</v>
      </c>
      <c r="D47" s="1751">
        <v>44</v>
      </c>
      <c r="E47" s="1751"/>
      <c r="F47" s="1189">
        <v>9044.2440000000006</v>
      </c>
      <c r="G47" s="1755">
        <v>2.8660000000000001</v>
      </c>
      <c r="H47" s="1755">
        <v>50.424999999999997</v>
      </c>
      <c r="I47" s="1755" t="s">
        <v>392</v>
      </c>
      <c r="J47" s="1189">
        <v>373.08</v>
      </c>
      <c r="K47" s="1755">
        <v>1.1399999999999999</v>
      </c>
      <c r="L47" s="1755">
        <v>8.1129999999999995</v>
      </c>
      <c r="M47" s="1755" t="s">
        <v>392</v>
      </c>
      <c r="N47" s="1189">
        <v>8048.424</v>
      </c>
      <c r="O47" s="1755">
        <v>2.8170000000000002</v>
      </c>
      <c r="P47" s="1755">
        <v>49.718000000000004</v>
      </c>
      <c r="Q47" s="1755" t="s">
        <v>392</v>
      </c>
      <c r="R47" s="1189">
        <v>332.29899999999998</v>
      </c>
      <c r="S47" s="1755">
        <v>1.095</v>
      </c>
      <c r="T47" s="1755">
        <v>7.8360000000000003</v>
      </c>
      <c r="U47" s="1755" t="s">
        <v>392</v>
      </c>
      <c r="V47" s="1189">
        <v>995.82</v>
      </c>
      <c r="W47" s="1755">
        <v>3.3279999999999998</v>
      </c>
      <c r="X47" s="1755">
        <v>57.177</v>
      </c>
      <c r="Y47" s="1755" t="s">
        <v>392</v>
      </c>
      <c r="Z47" s="1189">
        <v>40.781999999999996</v>
      </c>
      <c r="AA47" s="1755">
        <v>1.7150000000000001</v>
      </c>
      <c r="AB47" s="1756">
        <v>11.65</v>
      </c>
    </row>
    <row r="48" spans="1:31" ht="13.5" customHeight="1">
      <c r="A48" s="1754"/>
      <c r="B48" s="1751">
        <v>45</v>
      </c>
      <c r="C48" s="1751" t="s">
        <v>1350</v>
      </c>
      <c r="D48" s="1751">
        <v>49</v>
      </c>
      <c r="E48" s="1751"/>
      <c r="F48" s="1189">
        <v>5242.5739999999996</v>
      </c>
      <c r="G48" s="1755">
        <v>1.661</v>
      </c>
      <c r="H48" s="1755">
        <v>52.087000000000003</v>
      </c>
      <c r="I48" s="1755" t="s">
        <v>392</v>
      </c>
      <c r="J48" s="1189">
        <v>242.33799999999999</v>
      </c>
      <c r="K48" s="1755">
        <v>0.74</v>
      </c>
      <c r="L48" s="1755">
        <v>8.8529999999999998</v>
      </c>
      <c r="M48" s="1755" t="s">
        <v>392</v>
      </c>
      <c r="N48" s="1189">
        <v>4705.05</v>
      </c>
      <c r="O48" s="1755">
        <v>1.647</v>
      </c>
      <c r="P48" s="1755">
        <v>51.365000000000002</v>
      </c>
      <c r="Q48" s="1755" t="s">
        <v>392</v>
      </c>
      <c r="R48" s="1189">
        <v>217.904</v>
      </c>
      <c r="S48" s="1755">
        <v>0.71799999999999997</v>
      </c>
      <c r="T48" s="1755">
        <v>8.5540000000000003</v>
      </c>
      <c r="U48" s="1755" t="s">
        <v>392</v>
      </c>
      <c r="V48" s="1189">
        <v>537.524</v>
      </c>
      <c r="W48" s="1755">
        <v>1.796</v>
      </c>
      <c r="X48" s="1755">
        <v>58.972999999999999</v>
      </c>
      <c r="Y48" s="1755" t="s">
        <v>392</v>
      </c>
      <c r="Z48" s="1189">
        <v>24.434000000000001</v>
      </c>
      <c r="AA48" s="1755">
        <v>1.0269999999999999</v>
      </c>
      <c r="AB48" s="1756">
        <v>12.677</v>
      </c>
    </row>
    <row r="49" spans="1:28" ht="13.5" customHeight="1">
      <c r="A49" s="1754"/>
      <c r="B49" s="1751"/>
      <c r="C49" s="1751"/>
      <c r="D49" s="1751"/>
      <c r="E49" s="1751"/>
      <c r="F49" s="1751" t="s">
        <v>392</v>
      </c>
      <c r="G49" s="1755" t="s">
        <v>392</v>
      </c>
      <c r="H49" s="1755" t="s">
        <v>392</v>
      </c>
      <c r="I49" s="1755" t="s">
        <v>392</v>
      </c>
      <c r="J49" s="1751" t="s">
        <v>392</v>
      </c>
      <c r="K49" s="1755" t="s">
        <v>392</v>
      </c>
      <c r="L49" s="1755" t="s">
        <v>392</v>
      </c>
      <c r="M49" s="1755" t="s">
        <v>392</v>
      </c>
      <c r="N49" s="1751" t="s">
        <v>392</v>
      </c>
      <c r="O49" s="1755" t="s">
        <v>392</v>
      </c>
      <c r="P49" s="1755" t="s">
        <v>392</v>
      </c>
      <c r="Q49" s="1755" t="s">
        <v>392</v>
      </c>
      <c r="R49" s="1751" t="s">
        <v>392</v>
      </c>
      <c r="S49" s="1755" t="s">
        <v>392</v>
      </c>
      <c r="T49" s="1755" t="s">
        <v>392</v>
      </c>
      <c r="U49" s="1755" t="s">
        <v>392</v>
      </c>
      <c r="V49" s="1751" t="s">
        <v>392</v>
      </c>
      <c r="W49" s="1755" t="s">
        <v>392</v>
      </c>
      <c r="X49" s="1755" t="s">
        <v>392</v>
      </c>
      <c r="Y49" s="1755" t="s">
        <v>392</v>
      </c>
      <c r="Z49" s="1751" t="s">
        <v>392</v>
      </c>
      <c r="AA49" s="1755" t="s">
        <v>392</v>
      </c>
      <c r="AB49" s="1756" t="s">
        <v>392</v>
      </c>
    </row>
    <row r="50" spans="1:28" ht="13.5" customHeight="1">
      <c r="A50" s="1754"/>
      <c r="B50" s="1751">
        <v>50</v>
      </c>
      <c r="C50" s="1751" t="s">
        <v>1350</v>
      </c>
      <c r="D50" s="1751">
        <v>74</v>
      </c>
      <c r="E50" s="1751"/>
      <c r="F50" s="1189">
        <v>33449.733999999997</v>
      </c>
      <c r="G50" s="1755">
        <v>10.599</v>
      </c>
      <c r="H50" s="1755">
        <v>62.685000000000002</v>
      </c>
      <c r="I50" s="1755" t="s">
        <v>392</v>
      </c>
      <c r="J50" s="1189">
        <v>2029.646</v>
      </c>
      <c r="K50" s="1755">
        <v>6.2</v>
      </c>
      <c r="L50" s="1755">
        <v>15.053000000000001</v>
      </c>
      <c r="M50" s="1755" t="s">
        <v>392</v>
      </c>
      <c r="N50" s="1189">
        <v>29188.542000000001</v>
      </c>
      <c r="O50" s="1755">
        <v>10.217000000000001</v>
      </c>
      <c r="P50" s="1755">
        <v>61.582999999999998</v>
      </c>
      <c r="Q50" s="1755" t="s">
        <v>392</v>
      </c>
      <c r="R50" s="1189">
        <v>1782.461</v>
      </c>
      <c r="S50" s="1755">
        <v>5.8710000000000004</v>
      </c>
      <c r="T50" s="1755">
        <v>14.425000000000001</v>
      </c>
      <c r="U50" s="1755" t="s">
        <v>392</v>
      </c>
      <c r="V50" s="1189">
        <v>4261.192</v>
      </c>
      <c r="W50" s="1755">
        <v>14.241</v>
      </c>
      <c r="X50" s="1755">
        <v>73.213999999999999</v>
      </c>
      <c r="Y50" s="1755" t="s">
        <v>392</v>
      </c>
      <c r="Z50" s="1189">
        <v>247.18600000000001</v>
      </c>
      <c r="AA50" s="1755">
        <v>10.391999999999999</v>
      </c>
      <c r="AB50" s="1756">
        <v>23.068999999999999</v>
      </c>
    </row>
    <row r="51" spans="1:28" ht="13.5" customHeight="1">
      <c r="A51" s="1754"/>
      <c r="B51" s="1751">
        <v>75</v>
      </c>
      <c r="C51" s="1751" t="s">
        <v>1350</v>
      </c>
      <c r="D51" s="1751">
        <v>99</v>
      </c>
      <c r="E51" s="1751"/>
      <c r="F51" s="1189">
        <v>19815.666000000001</v>
      </c>
      <c r="G51" s="1755">
        <v>6.2789999999999999</v>
      </c>
      <c r="H51" s="1755">
        <v>68.963999999999999</v>
      </c>
      <c r="I51" s="1755" t="s">
        <v>392</v>
      </c>
      <c r="J51" s="1189">
        <v>1700.712</v>
      </c>
      <c r="K51" s="1755">
        <v>5.1950000000000003</v>
      </c>
      <c r="L51" s="1755">
        <v>20.248000000000001</v>
      </c>
      <c r="M51" s="1755" t="s">
        <v>392</v>
      </c>
      <c r="N51" s="1189">
        <v>18194.602999999999</v>
      </c>
      <c r="O51" s="1755">
        <v>6.3689999999999998</v>
      </c>
      <c r="P51" s="1755">
        <v>67.950999999999993</v>
      </c>
      <c r="Q51" s="1755" t="s">
        <v>392</v>
      </c>
      <c r="R51" s="1189">
        <v>1564.4929999999999</v>
      </c>
      <c r="S51" s="1755">
        <v>5.1529999999999996</v>
      </c>
      <c r="T51" s="1755">
        <v>19.577999999999999</v>
      </c>
      <c r="U51" s="1755" t="s">
        <v>392</v>
      </c>
      <c r="V51" s="1189">
        <v>1621.0640000000001</v>
      </c>
      <c r="W51" s="1755">
        <v>5.4169999999999998</v>
      </c>
      <c r="X51" s="1755">
        <v>78.631</v>
      </c>
      <c r="Y51" s="1755" t="s">
        <v>392</v>
      </c>
      <c r="Z51" s="1189">
        <v>136.21899999999999</v>
      </c>
      <c r="AA51" s="1755">
        <v>5.7270000000000003</v>
      </c>
      <c r="AB51" s="1756">
        <v>28.795999999999999</v>
      </c>
    </row>
    <row r="52" spans="1:28" ht="13.5" customHeight="1">
      <c r="A52" s="1754"/>
      <c r="B52" s="1751">
        <v>100</v>
      </c>
      <c r="C52" s="1751" t="s">
        <v>1350</v>
      </c>
      <c r="D52" s="1751">
        <v>124</v>
      </c>
      <c r="E52" s="1751"/>
      <c r="F52" s="1189">
        <v>17999.802</v>
      </c>
      <c r="G52" s="1755">
        <v>5.7030000000000003</v>
      </c>
      <c r="H52" s="1755">
        <v>74.667000000000002</v>
      </c>
      <c r="I52" s="1755" t="s">
        <v>392</v>
      </c>
      <c r="J52" s="1189">
        <v>1971.4480000000001</v>
      </c>
      <c r="K52" s="1755">
        <v>6.0220000000000002</v>
      </c>
      <c r="L52" s="1755">
        <v>26.27</v>
      </c>
      <c r="M52" s="1755" t="s">
        <v>392</v>
      </c>
      <c r="N52" s="1189">
        <v>16747.681</v>
      </c>
      <c r="O52" s="1755">
        <v>5.8620000000000001</v>
      </c>
      <c r="P52" s="1755">
        <v>73.813999999999993</v>
      </c>
      <c r="Q52" s="1755" t="s">
        <v>392</v>
      </c>
      <c r="R52" s="1189">
        <v>1832.941</v>
      </c>
      <c r="S52" s="1755">
        <v>6.0380000000000003</v>
      </c>
      <c r="T52" s="1755">
        <v>25.616</v>
      </c>
      <c r="U52" s="1755" t="s">
        <v>392</v>
      </c>
      <c r="V52" s="1189">
        <v>1252.1210000000001</v>
      </c>
      <c r="W52" s="1755">
        <v>4.1840000000000002</v>
      </c>
      <c r="X52" s="1755">
        <v>82.816000000000003</v>
      </c>
      <c r="Y52" s="1755" t="s">
        <v>392</v>
      </c>
      <c r="Z52" s="1189">
        <v>138.50700000000001</v>
      </c>
      <c r="AA52" s="1755">
        <v>5.8230000000000004</v>
      </c>
      <c r="AB52" s="1756">
        <v>34.619</v>
      </c>
    </row>
    <row r="53" spans="1:28" ht="13.5" customHeight="1">
      <c r="A53" s="1754"/>
      <c r="B53" s="1751">
        <v>125</v>
      </c>
      <c r="C53" s="1751" t="s">
        <v>1350</v>
      </c>
      <c r="D53" s="1751">
        <v>149</v>
      </c>
      <c r="E53" s="1751"/>
      <c r="F53" s="1189">
        <v>12752.97</v>
      </c>
      <c r="G53" s="1755">
        <v>4.0410000000000004</v>
      </c>
      <c r="H53" s="1755">
        <v>78.707999999999998</v>
      </c>
      <c r="I53" s="1755" t="s">
        <v>392</v>
      </c>
      <c r="J53" s="1189">
        <v>1723.356</v>
      </c>
      <c r="K53" s="1755">
        <v>5.2640000000000002</v>
      </c>
      <c r="L53" s="1755">
        <v>31.533999999999999</v>
      </c>
      <c r="M53" s="1755" t="s">
        <v>392</v>
      </c>
      <c r="N53" s="1189">
        <v>12012.684999999999</v>
      </c>
      <c r="O53" s="1755">
        <v>4.2050000000000001</v>
      </c>
      <c r="P53" s="1755">
        <v>78.019000000000005</v>
      </c>
      <c r="Q53" s="1755" t="s">
        <v>392</v>
      </c>
      <c r="R53" s="1189">
        <v>1624.559</v>
      </c>
      <c r="S53" s="1755">
        <v>5.351</v>
      </c>
      <c r="T53" s="1755">
        <v>30.966999999999999</v>
      </c>
      <c r="U53" s="1755" t="s">
        <v>392</v>
      </c>
      <c r="V53" s="1189">
        <v>740.28499999999997</v>
      </c>
      <c r="W53" s="1755">
        <v>2.4740000000000002</v>
      </c>
      <c r="X53" s="1755">
        <v>85.29</v>
      </c>
      <c r="Y53" s="1755" t="s">
        <v>392</v>
      </c>
      <c r="Z53" s="1189">
        <v>98.796999999999997</v>
      </c>
      <c r="AA53" s="1755">
        <v>4.1539999999999999</v>
      </c>
      <c r="AB53" s="1756">
        <v>38.773000000000003</v>
      </c>
    </row>
    <row r="54" spans="1:28" ht="13.5" customHeight="1">
      <c r="A54" s="1754"/>
      <c r="B54" s="1751">
        <v>150</v>
      </c>
      <c r="C54" s="1751" t="s">
        <v>1350</v>
      </c>
      <c r="D54" s="1751">
        <v>199</v>
      </c>
      <c r="E54" s="1751"/>
      <c r="F54" s="1189">
        <v>18291.631000000001</v>
      </c>
      <c r="G54" s="1755">
        <v>5.7960000000000003</v>
      </c>
      <c r="H54" s="1755">
        <v>84.504000000000005</v>
      </c>
      <c r="I54" s="1755" t="s">
        <v>392</v>
      </c>
      <c r="J54" s="1189">
        <v>3103.4540000000002</v>
      </c>
      <c r="K54" s="1755">
        <v>9.48</v>
      </c>
      <c r="L54" s="1755">
        <v>41.014000000000003</v>
      </c>
      <c r="M54" s="1755" t="s">
        <v>392</v>
      </c>
      <c r="N54" s="1189">
        <v>17104.735000000001</v>
      </c>
      <c r="O54" s="1755">
        <v>5.9870000000000001</v>
      </c>
      <c r="P54" s="1755">
        <v>84.006</v>
      </c>
      <c r="Q54" s="1755" t="s">
        <v>392</v>
      </c>
      <c r="R54" s="1189">
        <v>2903.8159999999998</v>
      </c>
      <c r="S54" s="1755">
        <v>9.5649999999999995</v>
      </c>
      <c r="T54" s="1755">
        <v>40.531999999999996</v>
      </c>
      <c r="U54" s="1755" t="s">
        <v>392</v>
      </c>
      <c r="V54" s="1189">
        <v>1186.895</v>
      </c>
      <c r="W54" s="1755">
        <v>3.9660000000000002</v>
      </c>
      <c r="X54" s="1755">
        <v>89.256</v>
      </c>
      <c r="Y54" s="1755" t="s">
        <v>392</v>
      </c>
      <c r="Z54" s="1189">
        <v>199.63800000000001</v>
      </c>
      <c r="AA54" s="1755">
        <v>8.3930000000000007</v>
      </c>
      <c r="AB54" s="1756">
        <v>47.165999999999997</v>
      </c>
    </row>
    <row r="55" spans="1:28" ht="13.5" customHeight="1">
      <c r="A55" s="1754"/>
      <c r="B55" s="1751"/>
      <c r="C55" s="1751"/>
      <c r="D55" s="1751"/>
      <c r="E55" s="1751"/>
      <c r="F55" s="1751" t="s">
        <v>392</v>
      </c>
      <c r="G55" s="1755" t="s">
        <v>392</v>
      </c>
      <c r="H55" s="1755" t="s">
        <v>392</v>
      </c>
      <c r="I55" s="1755" t="s">
        <v>392</v>
      </c>
      <c r="J55" s="1751" t="s">
        <v>392</v>
      </c>
      <c r="K55" s="1755" t="s">
        <v>392</v>
      </c>
      <c r="L55" s="1755" t="s">
        <v>392</v>
      </c>
      <c r="M55" s="1755" t="s">
        <v>392</v>
      </c>
      <c r="N55" s="1751" t="s">
        <v>392</v>
      </c>
      <c r="O55" s="1755" t="s">
        <v>392</v>
      </c>
      <c r="P55" s="1755" t="s">
        <v>392</v>
      </c>
      <c r="Q55" s="1755" t="s">
        <v>392</v>
      </c>
      <c r="R55" s="1751" t="s">
        <v>392</v>
      </c>
      <c r="S55" s="1755" t="s">
        <v>392</v>
      </c>
      <c r="T55" s="1755" t="s">
        <v>392</v>
      </c>
      <c r="U55" s="1755" t="s">
        <v>392</v>
      </c>
      <c r="V55" s="1751" t="s">
        <v>392</v>
      </c>
      <c r="W55" s="1755" t="s">
        <v>392</v>
      </c>
      <c r="X55" s="1755" t="s">
        <v>392</v>
      </c>
      <c r="Y55" s="1755" t="s">
        <v>392</v>
      </c>
      <c r="Z55" s="1751" t="s">
        <v>392</v>
      </c>
      <c r="AA55" s="1755" t="s">
        <v>392</v>
      </c>
      <c r="AB55" s="1756" t="s">
        <v>392</v>
      </c>
    </row>
    <row r="56" spans="1:28" ht="13.5" customHeight="1">
      <c r="A56" s="1754"/>
      <c r="B56" s="1751">
        <v>200</v>
      </c>
      <c r="C56" s="1751" t="s">
        <v>1350</v>
      </c>
      <c r="D56" s="1751">
        <v>299</v>
      </c>
      <c r="E56" s="1751"/>
      <c r="F56" s="1189">
        <v>21553.235000000001</v>
      </c>
      <c r="G56" s="1755">
        <v>6.8289999999999997</v>
      </c>
      <c r="H56" s="1755">
        <v>91.332999999999998</v>
      </c>
      <c r="I56" s="1755" t="s">
        <v>392</v>
      </c>
      <c r="J56" s="1189">
        <v>5198.2150000000001</v>
      </c>
      <c r="K56" s="1755">
        <v>15.878</v>
      </c>
      <c r="L56" s="1755">
        <v>56.892000000000003</v>
      </c>
      <c r="M56" s="1755" t="s">
        <v>392</v>
      </c>
      <c r="N56" s="1189">
        <v>20015.554</v>
      </c>
      <c r="O56" s="1755">
        <v>7.0060000000000002</v>
      </c>
      <c r="P56" s="1755">
        <v>91.013000000000005</v>
      </c>
      <c r="Q56" s="1755" t="s">
        <v>392</v>
      </c>
      <c r="R56" s="1189">
        <v>4823.2389999999996</v>
      </c>
      <c r="S56" s="1755">
        <v>15.887</v>
      </c>
      <c r="T56" s="1755">
        <v>56.418999999999997</v>
      </c>
      <c r="U56" s="1755" t="s">
        <v>392</v>
      </c>
      <c r="V56" s="1189">
        <v>1537.681</v>
      </c>
      <c r="W56" s="1755">
        <v>5.1390000000000002</v>
      </c>
      <c r="X56" s="1755">
        <v>94.394999999999996</v>
      </c>
      <c r="Y56" s="1755" t="s">
        <v>392</v>
      </c>
      <c r="Z56" s="1189">
        <v>374.97699999999998</v>
      </c>
      <c r="AA56" s="1755">
        <v>15.765000000000001</v>
      </c>
      <c r="AB56" s="1756">
        <v>62.930999999999997</v>
      </c>
    </row>
    <row r="57" spans="1:28" ht="13.5" customHeight="1">
      <c r="A57" s="1754"/>
      <c r="B57" s="1751">
        <v>300</v>
      </c>
      <c r="C57" s="1751" t="s">
        <v>1350</v>
      </c>
      <c r="D57" s="1751">
        <v>399</v>
      </c>
      <c r="E57" s="1751"/>
      <c r="F57" s="1189">
        <v>9748.098</v>
      </c>
      <c r="G57" s="1755">
        <v>3.089</v>
      </c>
      <c r="H57" s="1755">
        <v>94.421999999999997</v>
      </c>
      <c r="I57" s="1755" t="s">
        <v>392</v>
      </c>
      <c r="J57" s="1189">
        <v>3311.4430000000002</v>
      </c>
      <c r="K57" s="1755">
        <v>10.115</v>
      </c>
      <c r="L57" s="1755">
        <v>67.007000000000005</v>
      </c>
      <c r="M57" s="1755" t="s">
        <v>392</v>
      </c>
      <c r="N57" s="1189">
        <v>9201.4830000000002</v>
      </c>
      <c r="O57" s="1755">
        <v>3.2210000000000001</v>
      </c>
      <c r="P57" s="1755">
        <v>94.233999999999995</v>
      </c>
      <c r="Q57" s="1755" t="s">
        <v>392</v>
      </c>
      <c r="R57" s="1189">
        <v>3122.6469999999999</v>
      </c>
      <c r="S57" s="1755">
        <v>10.286</v>
      </c>
      <c r="T57" s="1755">
        <v>66.704999999999998</v>
      </c>
      <c r="U57" s="1755" t="s">
        <v>392</v>
      </c>
      <c r="V57" s="1189">
        <v>546.61400000000003</v>
      </c>
      <c r="W57" s="1755">
        <v>1.827</v>
      </c>
      <c r="X57" s="1755">
        <v>96.221999999999994</v>
      </c>
      <c r="Y57" s="1755" t="s">
        <v>392</v>
      </c>
      <c r="Z57" s="1189">
        <v>188.79599999999999</v>
      </c>
      <c r="AA57" s="1755">
        <v>7.9370000000000003</v>
      </c>
      <c r="AB57" s="1756">
        <v>70.867999999999995</v>
      </c>
    </row>
    <row r="58" spans="1:28" ht="13.5" customHeight="1">
      <c r="A58" s="1754"/>
      <c r="B58" s="1751">
        <v>400</v>
      </c>
      <c r="C58" s="1751" t="s">
        <v>1350</v>
      </c>
      <c r="D58" s="1751">
        <v>499</v>
      </c>
      <c r="E58" s="1751"/>
      <c r="F58" s="1189">
        <v>6061.8230000000003</v>
      </c>
      <c r="G58" s="1755">
        <v>1.921</v>
      </c>
      <c r="H58" s="1755">
        <v>96.343000000000004</v>
      </c>
      <c r="I58" s="1755" t="s">
        <v>392</v>
      </c>
      <c r="J58" s="1189">
        <v>2683.2260000000001</v>
      </c>
      <c r="K58" s="1755">
        <v>8.1959999999999997</v>
      </c>
      <c r="L58" s="1755">
        <v>75.203999999999994</v>
      </c>
      <c r="M58" s="1755" t="s">
        <v>392</v>
      </c>
      <c r="N58" s="1189">
        <v>5730.9340000000002</v>
      </c>
      <c r="O58" s="1755">
        <v>2.0059999999999998</v>
      </c>
      <c r="P58" s="1755">
        <v>96.24</v>
      </c>
      <c r="Q58" s="1755" t="s">
        <v>392</v>
      </c>
      <c r="R58" s="1189">
        <v>2540.145</v>
      </c>
      <c r="S58" s="1755">
        <v>8.3670000000000009</v>
      </c>
      <c r="T58" s="1755">
        <v>75.072000000000003</v>
      </c>
      <c r="U58" s="1755" t="s">
        <v>392</v>
      </c>
      <c r="V58" s="1189">
        <v>330.88900000000001</v>
      </c>
      <c r="W58" s="1755">
        <v>1.1060000000000001</v>
      </c>
      <c r="X58" s="1755">
        <v>97.326999999999998</v>
      </c>
      <c r="Y58" s="1755" t="s">
        <v>392</v>
      </c>
      <c r="Z58" s="1189">
        <v>143.08099999999999</v>
      </c>
      <c r="AA58" s="1755">
        <v>6.0149999999999997</v>
      </c>
      <c r="AB58" s="1756">
        <v>76.884</v>
      </c>
    </row>
    <row r="59" spans="1:28" ht="13.5" customHeight="1">
      <c r="A59" s="1754"/>
      <c r="B59" s="1751">
        <v>500</v>
      </c>
      <c r="C59" s="1751" t="s">
        <v>1350</v>
      </c>
      <c r="D59" s="1751">
        <v>699</v>
      </c>
      <c r="E59" s="1751"/>
      <c r="F59" s="1189">
        <v>7955.0860000000002</v>
      </c>
      <c r="G59" s="1755">
        <v>2.5209999999999999</v>
      </c>
      <c r="H59" s="1755">
        <v>98.863</v>
      </c>
      <c r="I59" s="1755" t="s">
        <v>392</v>
      </c>
      <c r="J59" s="1189">
        <v>4635.1310000000003</v>
      </c>
      <c r="K59" s="1755">
        <v>14.157999999999999</v>
      </c>
      <c r="L59" s="1755">
        <v>89.361999999999995</v>
      </c>
      <c r="M59" s="1755" t="s">
        <v>392</v>
      </c>
      <c r="N59" s="1189">
        <v>7377.3280000000004</v>
      </c>
      <c r="O59" s="1755">
        <v>2.5819999999999999</v>
      </c>
      <c r="P59" s="1755">
        <v>98.822000000000003</v>
      </c>
      <c r="Q59" s="1755" t="s">
        <v>392</v>
      </c>
      <c r="R59" s="1189">
        <v>4295.1530000000002</v>
      </c>
      <c r="S59" s="1755">
        <v>14.148</v>
      </c>
      <c r="T59" s="1755">
        <v>89.22</v>
      </c>
      <c r="U59" s="1755" t="s">
        <v>392</v>
      </c>
      <c r="V59" s="1189">
        <v>577.75800000000004</v>
      </c>
      <c r="W59" s="1755">
        <v>1.931</v>
      </c>
      <c r="X59" s="1755">
        <v>99.257999999999996</v>
      </c>
      <c r="Y59" s="1755" t="s">
        <v>392</v>
      </c>
      <c r="Z59" s="1189">
        <v>339.97800000000001</v>
      </c>
      <c r="AA59" s="1755">
        <v>14.292999999999999</v>
      </c>
      <c r="AB59" s="1756">
        <v>91.177000000000007</v>
      </c>
    </row>
    <row r="60" spans="1:28" ht="13.5" customHeight="1">
      <c r="A60" s="1754"/>
      <c r="B60" s="1751">
        <v>700</v>
      </c>
      <c r="C60" s="1751" t="s">
        <v>1350</v>
      </c>
      <c r="D60" s="1751">
        <v>899</v>
      </c>
      <c r="E60" s="1751"/>
      <c r="F60" s="1189">
        <v>1865.8510000000001</v>
      </c>
      <c r="G60" s="1755">
        <v>0.59099999999999997</v>
      </c>
      <c r="H60" s="1755">
        <v>99.454999999999998</v>
      </c>
      <c r="I60" s="1755" t="s">
        <v>392</v>
      </c>
      <c r="J60" s="1189">
        <v>1421.509</v>
      </c>
      <c r="K60" s="1755">
        <v>4.3419999999999996</v>
      </c>
      <c r="L60" s="1755">
        <v>93.703999999999994</v>
      </c>
      <c r="M60" s="1755" t="s">
        <v>392</v>
      </c>
      <c r="N60" s="1189">
        <v>1769.345</v>
      </c>
      <c r="O60" s="1755">
        <v>0.61899999999999999</v>
      </c>
      <c r="P60" s="1755">
        <v>99.441000000000003</v>
      </c>
      <c r="Q60" s="1755" t="s">
        <v>392</v>
      </c>
      <c r="R60" s="1189">
        <v>1350.463</v>
      </c>
      <c r="S60" s="1755">
        <v>4.4480000000000004</v>
      </c>
      <c r="T60" s="1755">
        <v>93.668000000000006</v>
      </c>
      <c r="U60" s="1755" t="s">
        <v>392</v>
      </c>
      <c r="V60" s="1189">
        <v>96.506</v>
      </c>
      <c r="W60" s="1755">
        <v>0.32300000000000001</v>
      </c>
      <c r="X60" s="1755">
        <v>99.581000000000003</v>
      </c>
      <c r="Y60" s="1755" t="s">
        <v>392</v>
      </c>
      <c r="Z60" s="1189">
        <v>71.046000000000006</v>
      </c>
      <c r="AA60" s="1755">
        <v>2.9870000000000001</v>
      </c>
      <c r="AB60" s="1756">
        <v>94.164000000000001</v>
      </c>
    </row>
    <row r="61" spans="1:28" ht="13.5" customHeight="1">
      <c r="A61" s="1754"/>
      <c r="B61" s="1751"/>
      <c r="C61" s="1751"/>
      <c r="D61" s="1751"/>
      <c r="E61" s="1751"/>
      <c r="F61" s="1751" t="s">
        <v>392</v>
      </c>
      <c r="G61" s="1755" t="s">
        <v>392</v>
      </c>
      <c r="H61" s="1755" t="s">
        <v>392</v>
      </c>
      <c r="I61" s="1755" t="s">
        <v>392</v>
      </c>
      <c r="J61" s="1751" t="s">
        <v>392</v>
      </c>
      <c r="K61" s="1755" t="s">
        <v>392</v>
      </c>
      <c r="L61" s="1755" t="s">
        <v>392</v>
      </c>
      <c r="M61" s="1755" t="s">
        <v>392</v>
      </c>
      <c r="N61" s="1751" t="s">
        <v>392</v>
      </c>
      <c r="O61" s="1755" t="s">
        <v>392</v>
      </c>
      <c r="P61" s="1755" t="s">
        <v>392</v>
      </c>
      <c r="Q61" s="1755" t="s">
        <v>392</v>
      </c>
      <c r="R61" s="1751" t="s">
        <v>392</v>
      </c>
      <c r="S61" s="1755" t="s">
        <v>392</v>
      </c>
      <c r="T61" s="1755" t="s">
        <v>392</v>
      </c>
      <c r="U61" s="1755" t="s">
        <v>392</v>
      </c>
      <c r="V61" s="1751" t="s">
        <v>392</v>
      </c>
      <c r="W61" s="1755" t="s">
        <v>392</v>
      </c>
      <c r="X61" s="1755" t="s">
        <v>392</v>
      </c>
      <c r="Y61" s="1755" t="s">
        <v>392</v>
      </c>
      <c r="Z61" s="1751" t="s">
        <v>392</v>
      </c>
      <c r="AA61" s="1755" t="s">
        <v>392</v>
      </c>
      <c r="AB61" s="1756" t="s">
        <v>392</v>
      </c>
    </row>
    <row r="62" spans="1:28" ht="13.5" customHeight="1">
      <c r="A62" s="1754"/>
      <c r="B62" s="1751">
        <v>900</v>
      </c>
      <c r="C62" s="1751" t="s">
        <v>1350</v>
      </c>
      <c r="D62" s="1751"/>
      <c r="E62" s="1751"/>
      <c r="F62" s="1189">
        <v>1721.329</v>
      </c>
      <c r="G62" s="1755">
        <v>0.54500000000000004</v>
      </c>
      <c r="H62" s="1755">
        <v>100</v>
      </c>
      <c r="I62" s="1755" t="s">
        <v>392</v>
      </c>
      <c r="J62" s="1189">
        <v>2061.12</v>
      </c>
      <c r="K62" s="1755">
        <v>6.2960000000000003</v>
      </c>
      <c r="L62" s="1755">
        <v>100</v>
      </c>
      <c r="M62" s="1755" t="s">
        <v>392</v>
      </c>
      <c r="N62" s="1189">
        <v>1595.87</v>
      </c>
      <c r="O62" s="1755">
        <v>0.55900000000000005</v>
      </c>
      <c r="P62" s="1755">
        <v>100</v>
      </c>
      <c r="Q62" s="1755" t="s">
        <v>392</v>
      </c>
      <c r="R62" s="1189">
        <v>1922.299</v>
      </c>
      <c r="S62" s="1755">
        <v>6.3319999999999999</v>
      </c>
      <c r="T62" s="1755">
        <v>100</v>
      </c>
      <c r="U62" s="1755" t="s">
        <v>392</v>
      </c>
      <c r="V62" s="1189">
        <v>125.459</v>
      </c>
      <c r="W62" s="1755">
        <v>0.41899999999999998</v>
      </c>
      <c r="X62" s="1755">
        <v>100</v>
      </c>
      <c r="Y62" s="1755" t="s">
        <v>392</v>
      </c>
      <c r="Z62" s="1189">
        <v>138.821</v>
      </c>
      <c r="AA62" s="1755">
        <v>5.8360000000000003</v>
      </c>
      <c r="AB62" s="1756">
        <v>100</v>
      </c>
    </row>
    <row r="63" spans="1:28" ht="13.5" customHeight="1" thickBot="1">
      <c r="A63" s="1757"/>
      <c r="B63" s="981"/>
      <c r="C63" s="981"/>
      <c r="D63" s="981"/>
      <c r="E63" s="981"/>
      <c r="F63" s="981"/>
      <c r="G63" s="981"/>
      <c r="H63" s="981"/>
      <c r="I63" s="981"/>
      <c r="J63" s="981"/>
      <c r="K63" s="981"/>
      <c r="L63" s="981"/>
      <c r="M63" s="981"/>
      <c r="N63" s="981"/>
      <c r="O63" s="981"/>
      <c r="P63" s="981"/>
      <c r="Q63" s="981"/>
      <c r="R63" s="981"/>
      <c r="S63" s="981"/>
      <c r="T63" s="981"/>
      <c r="U63" s="981"/>
      <c r="V63" s="982"/>
      <c r="W63" s="982"/>
      <c r="X63" s="982"/>
      <c r="Y63" s="982"/>
      <c r="Z63" s="982"/>
      <c r="AA63" s="982"/>
      <c r="AB63" s="1758"/>
    </row>
    <row r="64" spans="1:28" ht="13.5" customHeight="1">
      <c r="A64" s="1743"/>
      <c r="B64" s="975"/>
      <c r="C64" s="975"/>
      <c r="D64" s="975"/>
      <c r="E64" s="975"/>
      <c r="F64" s="979"/>
      <c r="G64" s="980"/>
      <c r="H64" s="980"/>
      <c r="I64" s="980"/>
      <c r="J64" s="979"/>
      <c r="K64" s="980"/>
      <c r="L64" s="980"/>
      <c r="M64" s="980"/>
      <c r="N64" s="979"/>
      <c r="O64" s="980"/>
      <c r="P64" s="980"/>
      <c r="Q64" s="980"/>
      <c r="R64" s="979"/>
      <c r="S64" s="980"/>
      <c r="T64" s="980"/>
      <c r="U64" s="980"/>
      <c r="V64" s="979"/>
      <c r="W64" s="980"/>
      <c r="X64" s="980"/>
      <c r="Y64" s="980"/>
      <c r="Z64" s="979"/>
      <c r="AA64" s="980"/>
      <c r="AB64" s="1749"/>
    </row>
    <row r="65" spans="1:61" s="957" customFormat="1" ht="13.5" customHeight="1">
      <c r="A65" s="1759"/>
      <c r="B65" s="1760"/>
      <c r="C65" s="1760"/>
      <c r="D65" s="1760"/>
      <c r="E65" s="1760"/>
      <c r="F65" s="1760"/>
      <c r="G65" s="1760"/>
      <c r="H65" s="1760"/>
      <c r="I65" s="1760"/>
      <c r="J65" s="1760"/>
      <c r="K65" s="1760"/>
      <c r="L65" s="1760"/>
      <c r="M65" s="1760"/>
      <c r="N65" s="1760"/>
      <c r="O65" s="1760"/>
      <c r="P65" s="1760"/>
      <c r="Q65" s="1760"/>
      <c r="R65" s="1760"/>
      <c r="S65" s="1760"/>
      <c r="T65" s="1760"/>
      <c r="U65" s="1760"/>
      <c r="V65" s="1760"/>
      <c r="W65" s="1760"/>
      <c r="X65" s="1760"/>
      <c r="Y65" s="1760"/>
      <c r="Z65" s="1760"/>
      <c r="AA65" s="1760"/>
      <c r="AB65" s="1761"/>
    </row>
    <row r="66" spans="1:61" s="957" customFormat="1" ht="13.5" customHeight="1"/>
    <row r="68" spans="1:61" ht="13.8">
      <c r="A68" s="1762"/>
      <c r="B68" s="1763"/>
      <c r="C68" s="1763"/>
      <c r="D68" s="1763"/>
      <c r="E68" s="1763"/>
      <c r="F68" s="1763"/>
      <c r="G68" s="1764"/>
      <c r="H68" s="1763"/>
      <c r="I68" s="1763"/>
      <c r="J68" s="1763"/>
      <c r="K68" s="1764"/>
      <c r="L68" s="1763"/>
      <c r="M68" s="1763"/>
      <c r="N68" s="1763"/>
      <c r="O68" s="1764"/>
      <c r="P68" s="1763"/>
      <c r="Q68" s="1763"/>
      <c r="R68" s="1763"/>
      <c r="S68" s="1764"/>
      <c r="T68" s="1763"/>
      <c r="U68" s="490"/>
      <c r="AD68" s="2280" t="s">
        <v>2590</v>
      </c>
      <c r="AE68" s="2280"/>
      <c r="AF68" s="2280"/>
      <c r="AG68" s="2280"/>
      <c r="AH68" s="2280"/>
      <c r="AI68" s="2281"/>
      <c r="AJ68" s="2281"/>
      <c r="AK68" s="2281"/>
      <c r="AL68" s="2281"/>
      <c r="AM68" s="2281"/>
      <c r="AN68" s="2281"/>
      <c r="AO68" s="2281"/>
      <c r="AP68" s="2281"/>
      <c r="AQ68" s="2281"/>
      <c r="AR68" s="2281"/>
      <c r="AS68" s="2281"/>
      <c r="AT68" s="2282"/>
      <c r="AU68" s="2282"/>
      <c r="AV68" s="2282"/>
      <c r="AW68" s="2282"/>
      <c r="AX68" s="2282"/>
      <c r="AY68" s="2282"/>
      <c r="AZ68" s="2282"/>
      <c r="BA68" s="2282"/>
      <c r="BB68" s="2282"/>
      <c r="BC68" s="2282"/>
      <c r="BD68" s="2282"/>
      <c r="BE68" s="2282"/>
      <c r="BF68" s="2282"/>
      <c r="BG68" s="2282"/>
      <c r="BH68" s="2282"/>
      <c r="BI68" s="2282"/>
    </row>
    <row r="69" spans="1:61" ht="13.8">
      <c r="A69" s="1765" t="s">
        <v>1355</v>
      </c>
      <c r="B69" s="962"/>
      <c r="C69" s="477"/>
      <c r="D69" s="477"/>
      <c r="E69" s="477"/>
      <c r="F69" s="477"/>
      <c r="G69" s="963"/>
      <c r="H69" s="477"/>
      <c r="I69" s="477"/>
      <c r="J69" s="477"/>
      <c r="K69" s="963"/>
      <c r="L69" s="477"/>
      <c r="M69" s="477"/>
      <c r="N69" s="477"/>
      <c r="O69" s="963"/>
      <c r="P69" s="477"/>
      <c r="Q69" s="477"/>
      <c r="R69" s="477"/>
      <c r="S69" s="963"/>
      <c r="T69" s="477"/>
      <c r="U69" s="481"/>
      <c r="AD69" s="2280" t="s">
        <v>2591</v>
      </c>
      <c r="AE69" s="2280"/>
      <c r="AF69" s="2280"/>
      <c r="AG69" s="2280"/>
      <c r="AH69" s="2280"/>
      <c r="AI69" s="2281"/>
      <c r="AJ69" s="2281"/>
      <c r="AK69" s="2281"/>
      <c r="AL69" s="2281"/>
      <c r="AM69" s="2281"/>
      <c r="AN69" s="2281"/>
      <c r="AO69" s="2281"/>
      <c r="AP69" s="2281"/>
      <c r="AQ69" s="2281"/>
      <c r="AR69" s="2281"/>
      <c r="AS69" s="2281"/>
      <c r="AT69" s="2282"/>
      <c r="AU69" s="2282"/>
      <c r="AV69" s="2282"/>
      <c r="AW69" s="2282"/>
      <c r="AX69" s="2282"/>
      <c r="AY69" s="2282"/>
      <c r="AZ69" s="2282"/>
      <c r="BA69" s="2282"/>
      <c r="BB69" s="2282"/>
      <c r="BC69" s="2282"/>
      <c r="BD69" s="2282"/>
      <c r="BE69" s="2282"/>
      <c r="BF69" s="2282"/>
      <c r="BG69" s="2282"/>
      <c r="BH69" s="2282"/>
      <c r="BI69" s="2282"/>
    </row>
    <row r="70" spans="1:61" ht="13.8">
      <c r="A70" s="1765" t="s">
        <v>1356</v>
      </c>
      <c r="B70" s="962"/>
      <c r="C70" s="477"/>
      <c r="D70" s="477"/>
      <c r="E70" s="477"/>
      <c r="F70" s="477"/>
      <c r="G70" s="963"/>
      <c r="H70" s="477"/>
      <c r="I70" s="477"/>
      <c r="J70" s="477"/>
      <c r="K70" s="963"/>
      <c r="L70" s="477"/>
      <c r="M70" s="477"/>
      <c r="N70" s="477"/>
      <c r="O70" s="963"/>
      <c r="P70" s="477"/>
      <c r="Q70" s="477"/>
      <c r="R70" s="477"/>
      <c r="S70" s="963"/>
      <c r="T70" s="477"/>
      <c r="U70" s="1766"/>
      <c r="AD70" s="2270" t="s">
        <v>2592</v>
      </c>
      <c r="AE70" s="2270"/>
      <c r="AF70" s="2270"/>
      <c r="AG70" s="2270"/>
      <c r="AH70" s="2270"/>
      <c r="AI70" s="2281"/>
      <c r="AJ70" s="2281"/>
      <c r="AK70" s="2281"/>
      <c r="AL70" s="2281"/>
      <c r="AM70" s="2281"/>
      <c r="AN70" s="2281"/>
      <c r="AO70" s="2281"/>
      <c r="AP70" s="2281"/>
      <c r="AQ70" s="2281"/>
      <c r="AR70" s="2281"/>
      <c r="AS70" s="2281"/>
      <c r="AT70" s="2282"/>
      <c r="AU70" s="2282"/>
      <c r="AV70" s="2282"/>
      <c r="AW70" s="2282"/>
      <c r="AX70" s="2282"/>
      <c r="AY70" s="2282"/>
      <c r="AZ70" s="2282"/>
      <c r="BA70" s="2282"/>
      <c r="BB70" s="2282"/>
      <c r="BC70" s="2282"/>
      <c r="BD70" s="2282"/>
      <c r="BE70" s="2282"/>
      <c r="BF70" s="2282"/>
      <c r="BG70" s="2282"/>
      <c r="BH70" s="2282"/>
      <c r="BI70" s="2282"/>
    </row>
    <row r="71" spans="1:61" ht="14.4" thickBot="1">
      <c r="A71" s="1767" t="s">
        <v>1357</v>
      </c>
      <c r="B71" s="962"/>
      <c r="C71" s="477"/>
      <c r="D71" s="477"/>
      <c r="E71" s="477"/>
      <c r="F71" s="477"/>
      <c r="G71" s="963"/>
      <c r="H71" s="477"/>
      <c r="I71" s="477"/>
      <c r="J71" s="477"/>
      <c r="K71" s="963"/>
      <c r="L71" s="477"/>
      <c r="M71" s="477"/>
      <c r="N71" s="477"/>
      <c r="O71" s="963"/>
      <c r="P71" s="477"/>
      <c r="Q71" s="477"/>
      <c r="R71" s="477"/>
      <c r="S71" s="963"/>
      <c r="T71" s="477"/>
      <c r="U71" s="1766"/>
      <c r="AD71" s="2270" t="s">
        <v>2593</v>
      </c>
      <c r="AE71" s="2281"/>
      <c r="AF71" s="2281"/>
      <c r="AG71" s="2281"/>
      <c r="AH71" s="2281"/>
      <c r="AI71" s="2281"/>
      <c r="AJ71" s="2281"/>
      <c r="AK71" s="2281"/>
      <c r="AL71" s="2281"/>
      <c r="AM71" s="2281"/>
      <c r="AN71" s="2281"/>
      <c r="AO71" s="2281"/>
      <c r="AP71" s="2281"/>
      <c r="AQ71" s="2281"/>
      <c r="AR71" s="2281"/>
      <c r="AS71" s="2281"/>
      <c r="AT71" s="2282"/>
      <c r="AU71" s="2282"/>
      <c r="AV71" s="2282"/>
      <c r="AW71" s="2282"/>
      <c r="AX71" s="2282"/>
      <c r="AY71" s="2282"/>
      <c r="AZ71" s="2282" t="s">
        <v>601</v>
      </c>
      <c r="BA71" s="2282" t="s">
        <v>602</v>
      </c>
      <c r="BB71" s="2282" t="s">
        <v>603</v>
      </c>
      <c r="BC71" s="2282" t="s">
        <v>604</v>
      </c>
      <c r="BD71" s="2282"/>
      <c r="BE71" s="2282"/>
      <c r="BF71" s="2282" t="s">
        <v>601</v>
      </c>
      <c r="BG71" s="2282" t="s">
        <v>602</v>
      </c>
      <c r="BH71" s="2282" t="s">
        <v>603</v>
      </c>
      <c r="BI71" s="2282" t="s">
        <v>604</v>
      </c>
    </row>
    <row r="72" spans="1:61" ht="15" thickTop="1" thickBot="1">
      <c r="A72" s="1767" t="s">
        <v>1358</v>
      </c>
      <c r="B72" s="962"/>
      <c r="C72" s="477"/>
      <c r="D72" s="477"/>
      <c r="E72" s="477"/>
      <c r="F72" s="477"/>
      <c r="G72" s="963"/>
      <c r="H72" s="477"/>
      <c r="I72" s="477"/>
      <c r="J72" s="477"/>
      <c r="K72" s="963"/>
      <c r="L72" s="477"/>
      <c r="M72" s="477"/>
      <c r="N72" s="477"/>
      <c r="O72" s="963"/>
      <c r="P72" s="477"/>
      <c r="Q72" s="477"/>
      <c r="R72" s="477"/>
      <c r="S72" s="963"/>
      <c r="T72" s="477"/>
      <c r="U72" s="1766"/>
      <c r="AD72" s="2283" t="s">
        <v>1478</v>
      </c>
      <c r="AE72" s="2283"/>
      <c r="AF72" s="2283"/>
      <c r="AG72" s="2283"/>
      <c r="AH72" s="2283"/>
      <c r="AI72" s="3092" t="s">
        <v>2594</v>
      </c>
      <c r="AJ72" s="3092"/>
      <c r="AK72" s="3092"/>
      <c r="AL72" s="3092"/>
      <c r="AM72" s="3092"/>
      <c r="AN72" s="2284"/>
      <c r="AO72" s="3092" t="s">
        <v>2595</v>
      </c>
      <c r="AP72" s="3092"/>
      <c r="AQ72" s="3092"/>
      <c r="AR72" s="3092"/>
      <c r="AS72" s="3092"/>
      <c r="AT72" s="2282"/>
      <c r="AU72" s="2282"/>
      <c r="AV72" s="2282"/>
      <c r="AW72" s="2282"/>
      <c r="AX72" s="2282"/>
      <c r="AY72" s="2282" t="s">
        <v>2557</v>
      </c>
      <c r="AZ72" s="2282"/>
      <c r="BA72" s="2282"/>
      <c r="BB72" s="2282">
        <v>1</v>
      </c>
      <c r="BC72" s="2282"/>
      <c r="BD72" s="2282">
        <v>1</v>
      </c>
      <c r="BE72" s="2282"/>
      <c r="BF72" s="2282">
        <f>AZ72*$AI79</f>
        <v>0</v>
      </c>
      <c r="BG72" s="2282">
        <f>BA72*$AI79</f>
        <v>0</v>
      </c>
      <c r="BH72" s="2282">
        <f>BB72*$AI79</f>
        <v>38283.557000000001</v>
      </c>
      <c r="BI72" s="2282">
        <f>BC72*$AI79</f>
        <v>0</v>
      </c>
    </row>
    <row r="73" spans="1:61">
      <c r="A73" s="3083"/>
      <c r="B73" s="3084"/>
      <c r="C73" s="3084"/>
      <c r="D73" s="3084"/>
      <c r="E73" s="1637"/>
      <c r="F73" s="3089" t="s">
        <v>1359</v>
      </c>
      <c r="G73" s="3089"/>
      <c r="H73" s="3089"/>
      <c r="I73" s="964"/>
      <c r="J73" s="3089" t="s">
        <v>1360</v>
      </c>
      <c r="K73" s="3089"/>
      <c r="L73" s="3089"/>
      <c r="M73" s="1640"/>
      <c r="N73" s="3089" t="s">
        <v>1361</v>
      </c>
      <c r="O73" s="3089"/>
      <c r="P73" s="3089"/>
      <c r="Q73" s="964"/>
      <c r="R73" s="3089" t="s">
        <v>1362</v>
      </c>
      <c r="S73" s="3089"/>
      <c r="T73" s="3089"/>
      <c r="U73" s="1768"/>
      <c r="AD73" s="2285"/>
      <c r="AE73" s="2285"/>
      <c r="AF73" s="2285"/>
      <c r="AG73" s="2285"/>
      <c r="AH73" s="2285"/>
      <c r="AI73" s="2286" t="s">
        <v>625</v>
      </c>
      <c r="AJ73" s="2287"/>
      <c r="AK73" s="2286" t="s">
        <v>2596</v>
      </c>
      <c r="AL73" s="3093" t="s">
        <v>2597</v>
      </c>
      <c r="AM73" s="3093"/>
      <c r="AN73" s="2288"/>
      <c r="AO73" s="2286" t="s">
        <v>625</v>
      </c>
      <c r="AP73" s="2286"/>
      <c r="AQ73" s="2286" t="s">
        <v>2596</v>
      </c>
      <c r="AR73" s="3093" t="s">
        <v>2598</v>
      </c>
      <c r="AS73" s="3093"/>
      <c r="AT73" s="2282"/>
      <c r="AU73" s="2282"/>
      <c r="AV73" s="2282"/>
      <c r="AW73" s="2282"/>
      <c r="AX73" s="2282"/>
      <c r="AY73" s="2282" t="s">
        <v>2558</v>
      </c>
      <c r="AZ73" s="2282"/>
      <c r="BA73" s="2282"/>
      <c r="BB73" s="2282">
        <v>1</v>
      </c>
      <c r="BC73" s="2282"/>
      <c r="BD73" s="2282">
        <v>1</v>
      </c>
      <c r="BE73" s="2282"/>
      <c r="BF73" s="2282">
        <f t="shared" ref="BF73:BF92" si="0">AZ73*$AI80</f>
        <v>0</v>
      </c>
      <c r="BG73" s="2282">
        <f t="shared" ref="BG73:BG92" si="1">BA73*$AI80</f>
        <v>0</v>
      </c>
      <c r="BH73" s="2282">
        <f t="shared" ref="BH73:BH92" si="2">BB73*$AI80</f>
        <v>8861.4130000000005</v>
      </c>
      <c r="BI73" s="2282">
        <f t="shared" ref="BI73:BI92" si="3">BC73*$AI80</f>
        <v>0</v>
      </c>
    </row>
    <row r="74" spans="1:61" ht="31.2" thickBot="1">
      <c r="A74" s="3085"/>
      <c r="B74" s="3086"/>
      <c r="C74" s="3086"/>
      <c r="D74" s="3086"/>
      <c r="E74" s="1638"/>
      <c r="F74" s="3095" t="s">
        <v>1363</v>
      </c>
      <c r="G74" s="3095"/>
      <c r="H74" s="3095"/>
      <c r="I74" s="965"/>
      <c r="J74" s="3095" t="s">
        <v>1364</v>
      </c>
      <c r="K74" s="3095"/>
      <c r="L74" s="3095"/>
      <c r="M74" s="966"/>
      <c r="N74" s="3095" t="s">
        <v>1365</v>
      </c>
      <c r="O74" s="3095"/>
      <c r="P74" s="3095"/>
      <c r="Q74" s="965"/>
      <c r="R74" s="3095" t="s">
        <v>1366</v>
      </c>
      <c r="S74" s="3095"/>
      <c r="T74" s="3095"/>
      <c r="U74" s="1768"/>
      <c r="AD74" s="2289"/>
      <c r="AE74" s="2289"/>
      <c r="AF74" s="2289"/>
      <c r="AG74" s="2289"/>
      <c r="AH74" s="2289"/>
      <c r="AI74" s="2290"/>
      <c r="AJ74" s="2290"/>
      <c r="AK74" s="2291"/>
      <c r="AL74" s="2292" t="s">
        <v>2599</v>
      </c>
      <c r="AM74" s="2292" t="s">
        <v>2600</v>
      </c>
      <c r="AN74" s="2293"/>
      <c r="AO74" s="2290"/>
      <c r="AP74" s="2290"/>
      <c r="AQ74" s="2291"/>
      <c r="AR74" s="2292" t="s">
        <v>2599</v>
      </c>
      <c r="AS74" s="2292" t="s">
        <v>2600</v>
      </c>
      <c r="AT74" s="2282"/>
      <c r="AU74" s="2282"/>
      <c r="AV74" s="2282"/>
      <c r="AW74" s="2282"/>
      <c r="AX74" s="2282"/>
      <c r="AY74" s="2282" t="s">
        <v>2559</v>
      </c>
      <c r="AZ74" s="2282"/>
      <c r="BA74" s="2282"/>
      <c r="BB74" s="2282">
        <v>1</v>
      </c>
      <c r="BC74" s="2282"/>
      <c r="BD74" s="2282">
        <v>1</v>
      </c>
      <c r="BE74" s="2282"/>
      <c r="BF74" s="2282">
        <f t="shared" si="0"/>
        <v>0</v>
      </c>
      <c r="BG74" s="2282">
        <f t="shared" si="1"/>
        <v>0</v>
      </c>
      <c r="BH74" s="2282">
        <f t="shared" si="2"/>
        <v>5958.6769999999997</v>
      </c>
      <c r="BI74" s="2282">
        <f t="shared" si="3"/>
        <v>0</v>
      </c>
    </row>
    <row r="75" spans="1:61" ht="13.8" thickBot="1">
      <c r="A75" s="3087"/>
      <c r="B75" s="3088"/>
      <c r="C75" s="3088"/>
      <c r="D75" s="3088"/>
      <c r="E75" s="1639"/>
      <c r="F75" s="1639" t="s">
        <v>625</v>
      </c>
      <c r="G75" s="3068" t="s">
        <v>1367</v>
      </c>
      <c r="H75" s="3068"/>
      <c r="I75" s="1641"/>
      <c r="J75" s="1639" t="s">
        <v>625</v>
      </c>
      <c r="K75" s="3068" t="s">
        <v>1367</v>
      </c>
      <c r="L75" s="3068"/>
      <c r="M75" s="1641"/>
      <c r="N75" s="1639" t="s">
        <v>625</v>
      </c>
      <c r="O75" s="3068" t="s">
        <v>1367</v>
      </c>
      <c r="P75" s="3068"/>
      <c r="Q75" s="1641"/>
      <c r="R75" s="1639" t="s">
        <v>625</v>
      </c>
      <c r="S75" s="3068" t="s">
        <v>1367</v>
      </c>
      <c r="T75" s="3068"/>
      <c r="U75" s="1768"/>
      <c r="AD75" s="2285"/>
      <c r="AE75" s="2285"/>
      <c r="AF75" s="2285"/>
      <c r="AG75" s="2285"/>
      <c r="AH75" s="2285"/>
      <c r="AI75" s="2294"/>
      <c r="AJ75" s="2294"/>
      <c r="AK75" s="2295"/>
      <c r="AL75" s="2295"/>
      <c r="AM75" s="2295"/>
      <c r="AN75" s="2295"/>
      <c r="AO75" s="2294"/>
      <c r="AP75" s="2294"/>
      <c r="AQ75" s="2295"/>
      <c r="AR75" s="2295"/>
      <c r="AS75" s="2295"/>
      <c r="AT75" s="2296"/>
      <c r="AU75" s="2296"/>
      <c r="AV75" s="2296"/>
      <c r="AW75" s="2296"/>
      <c r="AX75" s="2296"/>
      <c r="AY75" s="2296" t="s">
        <v>2560</v>
      </c>
      <c r="AZ75" s="2296"/>
      <c r="BA75" s="2296"/>
      <c r="BB75" s="2296">
        <v>1</v>
      </c>
      <c r="BC75" s="2296"/>
      <c r="BD75" s="2296">
        <v>1</v>
      </c>
      <c r="BE75" s="2296"/>
      <c r="BF75" s="2282">
        <f t="shared" si="0"/>
        <v>0</v>
      </c>
      <c r="BG75" s="2282">
        <f t="shared" si="1"/>
        <v>0</v>
      </c>
      <c r="BH75" s="2282">
        <f t="shared" si="2"/>
        <v>16007.102000000001</v>
      </c>
      <c r="BI75" s="2282">
        <f t="shared" si="3"/>
        <v>0</v>
      </c>
    </row>
    <row r="76" spans="1:61">
      <c r="A76" s="3076"/>
      <c r="B76" s="3077"/>
      <c r="C76" s="3077"/>
      <c r="D76" s="3077"/>
      <c r="E76" s="1636"/>
      <c r="F76" s="1638"/>
      <c r="G76" s="1638"/>
      <c r="H76" s="1638"/>
      <c r="I76" s="1638"/>
      <c r="J76" s="1638"/>
      <c r="K76" s="1638"/>
      <c r="L76" s="1638"/>
      <c r="M76" s="1638"/>
      <c r="N76" s="1638"/>
      <c r="O76" s="1638"/>
      <c r="P76" s="1638"/>
      <c r="Q76" s="1638"/>
      <c r="R76" s="1638"/>
      <c r="S76" s="1638"/>
      <c r="T76" s="1638"/>
      <c r="U76" s="1768"/>
      <c r="AD76" s="2285"/>
      <c r="AE76" s="2285"/>
      <c r="AF76" s="2285"/>
      <c r="AG76" s="2285"/>
      <c r="AH76" s="2285"/>
      <c r="AI76" s="2294"/>
      <c r="AJ76" s="2294"/>
      <c r="AK76" s="2295"/>
      <c r="AL76" s="2295"/>
      <c r="AM76" s="2295"/>
      <c r="AN76" s="2295"/>
      <c r="AO76" s="2294"/>
      <c r="AP76" s="2294"/>
      <c r="AQ76" s="2295"/>
      <c r="AR76" s="2295"/>
      <c r="AS76" s="2295"/>
      <c r="AT76" s="2296"/>
      <c r="AU76" s="2296"/>
      <c r="AV76" s="2296"/>
      <c r="AW76" s="2296"/>
      <c r="AX76" s="2296"/>
      <c r="AY76" s="2296" t="s">
        <v>2561</v>
      </c>
      <c r="AZ76" s="2296"/>
      <c r="BA76" s="2296"/>
      <c r="BB76" s="2296">
        <v>0.5</v>
      </c>
      <c r="BC76" s="2296">
        <v>0.5</v>
      </c>
      <c r="BD76" s="2296">
        <v>1</v>
      </c>
      <c r="BE76" s="2296"/>
      <c r="BF76" s="2282">
        <f t="shared" si="0"/>
        <v>0</v>
      </c>
      <c r="BG76" s="2282">
        <f t="shared" si="1"/>
        <v>0</v>
      </c>
      <c r="BH76" s="2282">
        <f t="shared" si="2"/>
        <v>9055.6939999999995</v>
      </c>
      <c r="BI76" s="2282">
        <f t="shared" si="3"/>
        <v>9055.6939999999995</v>
      </c>
    </row>
    <row r="77" spans="1:61">
      <c r="A77" s="3079" t="s">
        <v>1368</v>
      </c>
      <c r="B77" s="3080"/>
      <c r="C77" s="3080"/>
      <c r="D77" s="3080"/>
      <c r="E77" s="3080"/>
      <c r="F77" s="3080"/>
      <c r="G77" s="1638"/>
      <c r="H77" s="1638"/>
      <c r="I77" s="1638"/>
      <c r="J77" s="1638"/>
      <c r="K77" s="1638"/>
      <c r="L77" s="1638"/>
      <c r="M77" s="1638"/>
      <c r="N77" s="1638"/>
      <c r="O77" s="1638"/>
      <c r="P77" s="1638"/>
      <c r="Q77" s="1638"/>
      <c r="R77" s="1638"/>
      <c r="S77" s="1638"/>
      <c r="T77" s="1638"/>
      <c r="U77" s="1768"/>
      <c r="AD77" s="2297" t="s">
        <v>625</v>
      </c>
      <c r="AE77" s="2297"/>
      <c r="AF77" s="2297"/>
      <c r="AG77" s="2297"/>
      <c r="AH77" s="2297"/>
      <c r="AI77" s="2298">
        <v>315601.15299999999</v>
      </c>
      <c r="AJ77" s="2299" t="s">
        <v>1369</v>
      </c>
      <c r="AK77" s="2298">
        <v>18575.482</v>
      </c>
      <c r="AL77" s="2298">
        <v>70.927000000000007</v>
      </c>
      <c r="AM77" s="2298">
        <v>29.073</v>
      </c>
      <c r="AN77" s="2298"/>
      <c r="AO77" s="2298">
        <v>315601.15299999999</v>
      </c>
      <c r="AP77" s="2299" t="s">
        <v>1369</v>
      </c>
      <c r="AQ77" s="2298">
        <v>18575.482</v>
      </c>
      <c r="AR77" s="2298">
        <v>70.927000000000007</v>
      </c>
      <c r="AS77" s="2298">
        <v>29.073</v>
      </c>
      <c r="AT77" s="2296"/>
      <c r="AU77" s="2296"/>
      <c r="AV77" s="2296"/>
      <c r="AW77" s="2296"/>
      <c r="AX77" s="2296"/>
      <c r="AY77" s="2296" t="s">
        <v>2562</v>
      </c>
      <c r="AZ77" s="2296"/>
      <c r="BA77" s="2296"/>
      <c r="BB77" s="2296"/>
      <c r="BC77" s="2296">
        <v>1</v>
      </c>
      <c r="BD77" s="2296">
        <v>1</v>
      </c>
      <c r="BE77" s="2296"/>
      <c r="BF77" s="2282">
        <f t="shared" si="0"/>
        <v>0</v>
      </c>
      <c r="BG77" s="2282">
        <f t="shared" si="1"/>
        <v>0</v>
      </c>
      <c r="BH77" s="2282">
        <f t="shared" si="2"/>
        <v>0</v>
      </c>
      <c r="BI77" s="2282">
        <f t="shared" si="3"/>
        <v>7924.6620000000003</v>
      </c>
    </row>
    <row r="78" spans="1:61">
      <c r="A78" s="3076" t="s">
        <v>625</v>
      </c>
      <c r="B78" s="3077"/>
      <c r="C78" s="3077"/>
      <c r="D78" s="3077"/>
      <c r="E78" s="1636"/>
      <c r="F78" s="1769">
        <v>556.40899999999999</v>
      </c>
      <c r="G78" s="969" t="s">
        <v>1369</v>
      </c>
      <c r="H78" s="1769">
        <v>78.843000000000004</v>
      </c>
      <c r="I78" s="1769" t="s">
        <v>392</v>
      </c>
      <c r="J78" s="1769">
        <v>252565.864</v>
      </c>
      <c r="K78" s="969" t="s">
        <v>1369</v>
      </c>
      <c r="L78" s="1769">
        <v>26602.072</v>
      </c>
      <c r="M78" s="1769" t="s">
        <v>392</v>
      </c>
      <c r="N78" s="1769">
        <v>6473.92</v>
      </c>
      <c r="O78" s="969" t="s">
        <v>1369</v>
      </c>
      <c r="P78" s="1769">
        <v>951.95</v>
      </c>
      <c r="Q78" s="1769" t="s">
        <v>392</v>
      </c>
      <c r="R78" s="1769">
        <v>3535.4589999999998</v>
      </c>
      <c r="S78" s="969" t="s">
        <v>1369</v>
      </c>
      <c r="T78" s="1769">
        <v>421.50200000000001</v>
      </c>
      <c r="U78" s="1768"/>
      <c r="AD78" s="2297"/>
      <c r="AE78" s="2297"/>
      <c r="AF78" s="2297"/>
      <c r="AG78" s="2297"/>
      <c r="AH78" s="2297"/>
      <c r="AI78" s="2298"/>
      <c r="AJ78" s="2300"/>
      <c r="AK78" s="2301"/>
      <c r="AL78" s="2301"/>
      <c r="AM78" s="2301"/>
      <c r="AN78" s="2301"/>
      <c r="AO78" s="2298"/>
      <c r="AP78" s="2300"/>
      <c r="AQ78" s="2301"/>
      <c r="AR78" s="2301"/>
      <c r="AS78" s="2301"/>
      <c r="AT78" s="2296"/>
      <c r="AU78" s="2296"/>
      <c r="AV78" s="2296"/>
      <c r="AW78" s="2296"/>
      <c r="AX78" s="2296"/>
      <c r="AY78" s="2296" t="s">
        <v>2563</v>
      </c>
      <c r="AZ78" s="2296"/>
      <c r="BA78" s="2296"/>
      <c r="BB78" s="2296">
        <v>0.2</v>
      </c>
      <c r="BC78" s="2296">
        <v>0.8</v>
      </c>
      <c r="BD78" s="2296">
        <v>1</v>
      </c>
      <c r="BE78" s="2296"/>
      <c r="BF78" s="2282">
        <f t="shared" si="0"/>
        <v>0</v>
      </c>
      <c r="BG78" s="2282">
        <f t="shared" si="1"/>
        <v>0</v>
      </c>
      <c r="BH78" s="2282">
        <f t="shared" si="2"/>
        <v>2118.5117999999998</v>
      </c>
      <c r="BI78" s="2282">
        <f t="shared" si="3"/>
        <v>8474.0471999999991</v>
      </c>
    </row>
    <row r="79" spans="1:61">
      <c r="A79" s="1770"/>
      <c r="B79" s="968"/>
      <c r="C79" s="968" t="s">
        <v>1370</v>
      </c>
      <c r="D79" s="1771">
        <v>5.9</v>
      </c>
      <c r="E79" s="1771"/>
      <c r="F79" s="1772" t="s">
        <v>390</v>
      </c>
      <c r="G79" s="969" t="s">
        <v>1369</v>
      </c>
      <c r="H79" s="1772" t="s">
        <v>390</v>
      </c>
      <c r="I79" s="1772" t="s">
        <v>392</v>
      </c>
      <c r="J79" s="1772" t="s">
        <v>390</v>
      </c>
      <c r="K79" s="969" t="s">
        <v>1369</v>
      </c>
      <c r="L79" s="1772" t="s">
        <v>390</v>
      </c>
      <c r="M79" s="1772" t="s">
        <v>392</v>
      </c>
      <c r="N79" s="1772" t="s">
        <v>390</v>
      </c>
      <c r="O79" s="969" t="s">
        <v>1369</v>
      </c>
      <c r="P79" s="1772" t="s">
        <v>390</v>
      </c>
      <c r="Q79" s="1772" t="s">
        <v>392</v>
      </c>
      <c r="R79" s="1772" t="s">
        <v>390</v>
      </c>
      <c r="S79" s="969" t="s">
        <v>1369</v>
      </c>
      <c r="T79" s="1772" t="s">
        <v>390</v>
      </c>
      <c r="U79" s="1768"/>
      <c r="AD79" s="2302" t="s">
        <v>1036</v>
      </c>
      <c r="AE79" s="2302"/>
      <c r="AF79" s="2302"/>
      <c r="AG79" s="2302"/>
      <c r="AH79" s="2302"/>
      <c r="AI79" s="2301">
        <v>38283.557000000001</v>
      </c>
      <c r="AJ79" s="2299" t="s">
        <v>1369</v>
      </c>
      <c r="AK79" s="2301">
        <v>9848.8549999999996</v>
      </c>
      <c r="AL79" s="2301">
        <v>76.042000000000002</v>
      </c>
      <c r="AM79" s="2301">
        <v>23.957999999999998</v>
      </c>
      <c r="AN79" s="2301"/>
      <c r="AO79" s="2301">
        <v>38071.279000000002</v>
      </c>
      <c r="AP79" s="2299" t="s">
        <v>1369</v>
      </c>
      <c r="AQ79" s="2301">
        <v>9377.7620000000006</v>
      </c>
      <c r="AR79" s="2301">
        <v>76.465999999999994</v>
      </c>
      <c r="AS79" s="2301">
        <v>23.533999999999999</v>
      </c>
      <c r="AT79" s="2296"/>
      <c r="AU79" s="2296"/>
      <c r="AV79" s="2296"/>
      <c r="AW79" s="2296"/>
      <c r="AX79" s="2296"/>
      <c r="AY79" s="2296" t="s">
        <v>2564</v>
      </c>
      <c r="AZ79" s="2296"/>
      <c r="BA79" s="2296"/>
      <c r="BB79" s="2296">
        <v>1</v>
      </c>
      <c r="BC79" s="2296"/>
      <c r="BD79" s="2296">
        <v>1</v>
      </c>
      <c r="BE79" s="2296"/>
      <c r="BF79" s="2282">
        <f t="shared" si="0"/>
        <v>0</v>
      </c>
      <c r="BG79" s="2282">
        <f t="shared" si="1"/>
        <v>0</v>
      </c>
      <c r="BH79" s="2282">
        <f t="shared" si="2"/>
        <v>1657.9839999999999</v>
      </c>
      <c r="BI79" s="2282">
        <f t="shared" si="3"/>
        <v>0</v>
      </c>
    </row>
    <row r="80" spans="1:61">
      <c r="A80" s="1770"/>
      <c r="B80" s="968">
        <v>6</v>
      </c>
      <c r="C80" s="968" t="s">
        <v>1350</v>
      </c>
      <c r="D80" s="1638">
        <v>7.9</v>
      </c>
      <c r="E80" s="1638"/>
      <c r="F80" s="1772" t="s">
        <v>390</v>
      </c>
      <c r="G80" s="969" t="s">
        <v>1369</v>
      </c>
      <c r="H80" s="1772" t="s">
        <v>390</v>
      </c>
      <c r="I80" s="1772" t="s">
        <v>392</v>
      </c>
      <c r="J80" s="1772" t="s">
        <v>390</v>
      </c>
      <c r="K80" s="969" t="s">
        <v>1369</v>
      </c>
      <c r="L80" s="1772" t="s">
        <v>390</v>
      </c>
      <c r="M80" s="1772" t="s">
        <v>392</v>
      </c>
      <c r="N80" s="1772" t="s">
        <v>390</v>
      </c>
      <c r="O80" s="969" t="s">
        <v>1369</v>
      </c>
      <c r="P80" s="1772" t="s">
        <v>390</v>
      </c>
      <c r="Q80" s="1772" t="s">
        <v>392</v>
      </c>
      <c r="R80" s="1772" t="s">
        <v>390</v>
      </c>
      <c r="S80" s="969" t="s">
        <v>1369</v>
      </c>
      <c r="T80" s="1772" t="s">
        <v>390</v>
      </c>
      <c r="U80" s="1768"/>
      <c r="AD80" s="2302" t="s">
        <v>1051</v>
      </c>
      <c r="AE80" s="2302"/>
      <c r="AF80" s="2302"/>
      <c r="AG80" s="2302"/>
      <c r="AH80" s="2302"/>
      <c r="AI80" s="2301">
        <v>8861.4130000000005</v>
      </c>
      <c r="AJ80" s="2299" t="s">
        <v>1369</v>
      </c>
      <c r="AK80" s="2301">
        <v>3180.6309999999999</v>
      </c>
      <c r="AL80" s="2301">
        <v>60.484999999999999</v>
      </c>
      <c r="AM80" s="2301">
        <v>39.515000000000001</v>
      </c>
      <c r="AN80" s="2301"/>
      <c r="AO80" s="2301">
        <v>10290.848</v>
      </c>
      <c r="AP80" s="2299" t="s">
        <v>1369</v>
      </c>
      <c r="AQ80" s="2301">
        <v>4588.2209999999995</v>
      </c>
      <c r="AR80" s="2301">
        <v>52.082999999999998</v>
      </c>
      <c r="AS80" s="2301">
        <v>47.917000000000002</v>
      </c>
      <c r="AT80" s="2296"/>
      <c r="AU80" s="2296"/>
      <c r="AV80" s="2296"/>
      <c r="AW80" s="2296"/>
      <c r="AX80" s="2296"/>
      <c r="AY80" s="2296" t="s">
        <v>2565</v>
      </c>
      <c r="AZ80" s="2296"/>
      <c r="BA80" s="2296"/>
      <c r="BB80" s="2296"/>
      <c r="BC80" s="2296">
        <v>1</v>
      </c>
      <c r="BD80" s="2296">
        <v>1</v>
      </c>
      <c r="BE80" s="2296"/>
      <c r="BF80" s="2282">
        <f t="shared" si="0"/>
        <v>0</v>
      </c>
      <c r="BG80" s="2282">
        <f t="shared" si="1"/>
        <v>0</v>
      </c>
      <c r="BH80" s="2282">
        <f t="shared" si="2"/>
        <v>0</v>
      </c>
      <c r="BI80" s="2282">
        <f t="shared" si="3"/>
        <v>6349.491</v>
      </c>
    </row>
    <row r="81" spans="1:61">
      <c r="A81" s="1770"/>
      <c r="B81" s="968">
        <v>8</v>
      </c>
      <c r="C81" s="968" t="s">
        <v>1350</v>
      </c>
      <c r="D81" s="1638">
        <v>9.9</v>
      </c>
      <c r="E81" s="1638"/>
      <c r="F81" s="1772">
        <v>0.39100000000000001</v>
      </c>
      <c r="G81" s="969" t="s">
        <v>1369</v>
      </c>
      <c r="H81" s="1772">
        <v>0.76500000000000001</v>
      </c>
      <c r="I81" s="1772" t="s">
        <v>392</v>
      </c>
      <c r="J81" s="1772">
        <v>250.77</v>
      </c>
      <c r="K81" s="969" t="s">
        <v>1369</v>
      </c>
      <c r="L81" s="1772">
        <v>490.87099999999998</v>
      </c>
      <c r="M81" s="1772" t="s">
        <v>392</v>
      </c>
      <c r="N81" s="1772" t="s">
        <v>390</v>
      </c>
      <c r="O81" s="969" t="s">
        <v>1369</v>
      </c>
      <c r="P81" s="1772" t="s">
        <v>390</v>
      </c>
      <c r="Q81" s="1772" t="s">
        <v>392</v>
      </c>
      <c r="R81" s="1772" t="s">
        <v>390</v>
      </c>
      <c r="S81" s="969" t="s">
        <v>1369</v>
      </c>
      <c r="T81" s="1772" t="s">
        <v>390</v>
      </c>
      <c r="U81" s="1768"/>
      <c r="AD81" s="2302" t="s">
        <v>1491</v>
      </c>
      <c r="AE81" s="2302"/>
      <c r="AF81" s="2302"/>
      <c r="AG81" s="2302"/>
      <c r="AH81" s="2302"/>
      <c r="AI81" s="2301">
        <v>5958.6769999999997</v>
      </c>
      <c r="AJ81" s="2299" t="s">
        <v>1369</v>
      </c>
      <c r="AK81" s="2301">
        <v>2064.8609999999999</v>
      </c>
      <c r="AL81" s="2301">
        <v>63.841000000000001</v>
      </c>
      <c r="AM81" s="2301">
        <v>36.158999999999999</v>
      </c>
      <c r="AN81" s="2301"/>
      <c r="AO81" s="2301">
        <v>6498.2430000000004</v>
      </c>
      <c r="AP81" s="2299" t="s">
        <v>1369</v>
      </c>
      <c r="AQ81" s="2301">
        <v>2109.1309999999999</v>
      </c>
      <c r="AR81" s="2301">
        <v>58.54</v>
      </c>
      <c r="AS81" s="2301">
        <v>41.46</v>
      </c>
      <c r="AT81" s="2296"/>
      <c r="AU81" s="2296"/>
      <c r="AV81" s="2296"/>
      <c r="AW81" s="2296"/>
      <c r="AX81" s="2296"/>
      <c r="AY81" s="2296" t="s">
        <v>2566</v>
      </c>
      <c r="AZ81" s="2296"/>
      <c r="BA81" s="2296"/>
      <c r="BB81" s="2296"/>
      <c r="BC81" s="2296">
        <v>1</v>
      </c>
      <c r="BD81" s="2296">
        <v>1</v>
      </c>
      <c r="BE81" s="2296"/>
      <c r="BF81" s="2282">
        <f t="shared" si="0"/>
        <v>0</v>
      </c>
      <c r="BG81" s="2282">
        <f t="shared" si="1"/>
        <v>0</v>
      </c>
      <c r="BH81" s="2282">
        <f t="shared" si="2"/>
        <v>0</v>
      </c>
      <c r="BI81" s="2282">
        <f t="shared" si="3"/>
        <v>36123.124000000003</v>
      </c>
    </row>
    <row r="82" spans="1:61">
      <c r="A82" s="1773"/>
      <c r="B82" s="968">
        <v>10</v>
      </c>
      <c r="C82" s="968" t="s">
        <v>1350</v>
      </c>
      <c r="D82" s="1638">
        <v>11.9</v>
      </c>
      <c r="E82" s="1638"/>
      <c r="F82" s="1772">
        <v>5.8410000000000002</v>
      </c>
      <c r="G82" s="969" t="s">
        <v>1369</v>
      </c>
      <c r="H82" s="1772">
        <v>6.827</v>
      </c>
      <c r="I82" s="1772" t="s">
        <v>392</v>
      </c>
      <c r="J82" s="1772">
        <v>2130.8649999999998</v>
      </c>
      <c r="K82" s="969" t="s">
        <v>1369</v>
      </c>
      <c r="L82" s="1772">
        <v>2529.038</v>
      </c>
      <c r="M82" s="1772" t="s">
        <v>392</v>
      </c>
      <c r="N82" s="1772">
        <v>14.362</v>
      </c>
      <c r="O82" s="969" t="s">
        <v>1369</v>
      </c>
      <c r="P82" s="1772">
        <v>20.879000000000001</v>
      </c>
      <c r="Q82" s="1772" t="s">
        <v>392</v>
      </c>
      <c r="R82" s="1772">
        <v>6.1870000000000003</v>
      </c>
      <c r="S82" s="969" t="s">
        <v>1369</v>
      </c>
      <c r="T82" s="1772">
        <v>7.3879999999999999</v>
      </c>
      <c r="U82" s="1768"/>
      <c r="AD82" s="2302" t="s">
        <v>1492</v>
      </c>
      <c r="AE82" s="2302"/>
      <c r="AF82" s="2302"/>
      <c r="AG82" s="2302"/>
      <c r="AH82" s="2302"/>
      <c r="AI82" s="2301">
        <v>16007.102000000001</v>
      </c>
      <c r="AJ82" s="2299" t="s">
        <v>1369</v>
      </c>
      <c r="AK82" s="2301">
        <v>5340.5910000000003</v>
      </c>
      <c r="AL82" s="2301">
        <v>69.22</v>
      </c>
      <c r="AM82" s="2301">
        <v>30.78</v>
      </c>
      <c r="AN82" s="2301"/>
      <c r="AO82" s="2301">
        <v>15677.628000000001</v>
      </c>
      <c r="AP82" s="2299" t="s">
        <v>1369</v>
      </c>
      <c r="AQ82" s="2301">
        <v>5309.36</v>
      </c>
      <c r="AR82" s="2301">
        <v>70.674999999999997</v>
      </c>
      <c r="AS82" s="2301">
        <v>29.324999999999999</v>
      </c>
      <c r="AT82" s="2296"/>
      <c r="AU82" s="2296"/>
      <c r="AV82" s="2296"/>
      <c r="AW82" s="2296"/>
      <c r="AX82" s="2296"/>
      <c r="AY82" s="2296" t="s">
        <v>2567</v>
      </c>
      <c r="AZ82" s="2296"/>
      <c r="BA82" s="2296"/>
      <c r="BB82" s="2296">
        <v>1</v>
      </c>
      <c r="BC82" s="2296"/>
      <c r="BD82" s="2296">
        <v>1</v>
      </c>
      <c r="BE82" s="2296"/>
      <c r="BF82" s="2282">
        <f t="shared" si="0"/>
        <v>0</v>
      </c>
      <c r="BG82" s="2282">
        <f t="shared" si="1"/>
        <v>0</v>
      </c>
      <c r="BH82" s="2282">
        <f t="shared" si="2"/>
        <v>11573.983</v>
      </c>
      <c r="BI82" s="2282">
        <f t="shared" si="3"/>
        <v>0</v>
      </c>
    </row>
    <row r="83" spans="1:61">
      <c r="A83" s="1773"/>
      <c r="B83" s="968">
        <v>12</v>
      </c>
      <c r="C83" s="968" t="s">
        <v>1350</v>
      </c>
      <c r="D83" s="1638">
        <v>17.899999999999999</v>
      </c>
      <c r="E83" s="1638"/>
      <c r="F83" s="1772">
        <v>2.3359999999999999</v>
      </c>
      <c r="G83" s="969" t="s">
        <v>1369</v>
      </c>
      <c r="H83" s="1772">
        <v>4.569</v>
      </c>
      <c r="I83" s="1772" t="s">
        <v>392</v>
      </c>
      <c r="J83" s="1772">
        <v>658.76900000000001</v>
      </c>
      <c r="K83" s="969" t="s">
        <v>1369</v>
      </c>
      <c r="L83" s="1772">
        <v>1288.3969999999999</v>
      </c>
      <c r="M83" s="1772" t="s">
        <v>392</v>
      </c>
      <c r="N83" s="1772">
        <v>16.75</v>
      </c>
      <c r="O83" s="969" t="s">
        <v>1369</v>
      </c>
      <c r="P83" s="1772">
        <v>32.758000000000003</v>
      </c>
      <c r="Q83" s="1772" t="s">
        <v>392</v>
      </c>
      <c r="R83" s="1772">
        <v>4.7229999999999999</v>
      </c>
      <c r="S83" s="969" t="s">
        <v>1369</v>
      </c>
      <c r="T83" s="1772">
        <v>9.2379999999999995</v>
      </c>
      <c r="U83" s="1768"/>
      <c r="AD83" s="2302" t="s">
        <v>1082</v>
      </c>
      <c r="AE83" s="2302"/>
      <c r="AF83" s="2302"/>
      <c r="AG83" s="2302"/>
      <c r="AH83" s="2302"/>
      <c r="AI83" s="2301">
        <v>18111.387999999999</v>
      </c>
      <c r="AJ83" s="2299" t="s">
        <v>1369</v>
      </c>
      <c r="AK83" s="2301">
        <v>4475.5069999999996</v>
      </c>
      <c r="AL83" s="2301">
        <v>61.209000000000003</v>
      </c>
      <c r="AM83" s="2301">
        <v>38.790999999999997</v>
      </c>
      <c r="AN83" s="2301"/>
      <c r="AO83" s="2301">
        <v>17056.501</v>
      </c>
      <c r="AP83" s="2299" t="s">
        <v>1369</v>
      </c>
      <c r="AQ83" s="2301">
        <v>4278.3320000000003</v>
      </c>
      <c r="AR83" s="2301">
        <v>64.995000000000005</v>
      </c>
      <c r="AS83" s="2301">
        <v>35.005000000000003</v>
      </c>
      <c r="AT83" s="2296"/>
      <c r="AU83" s="2296"/>
      <c r="AV83" s="2296"/>
      <c r="AW83" s="2296"/>
      <c r="AX83" s="2296"/>
      <c r="AY83" s="2296" t="s">
        <v>2568</v>
      </c>
      <c r="AZ83" s="2296"/>
      <c r="BA83" s="2296"/>
      <c r="BB83" s="2296">
        <v>1</v>
      </c>
      <c r="BC83" s="2296"/>
      <c r="BD83" s="2296">
        <v>1</v>
      </c>
      <c r="BE83" s="2296"/>
      <c r="BF83" s="2282">
        <f t="shared" si="0"/>
        <v>0</v>
      </c>
      <c r="BG83" s="2282">
        <f t="shared" si="1"/>
        <v>0</v>
      </c>
      <c r="BH83" s="2282">
        <f t="shared" si="2"/>
        <v>48035.144999999997</v>
      </c>
      <c r="BI83" s="2282">
        <f t="shared" si="3"/>
        <v>0</v>
      </c>
    </row>
    <row r="84" spans="1:61">
      <c r="A84" s="1773"/>
      <c r="B84" s="968">
        <v>18</v>
      </c>
      <c r="C84" s="968" t="s">
        <v>1350</v>
      </c>
      <c r="D84" s="1638">
        <v>23.9</v>
      </c>
      <c r="E84" s="1638"/>
      <c r="F84" s="1772">
        <v>27.992000000000001</v>
      </c>
      <c r="G84" s="969" t="s">
        <v>1369</v>
      </c>
      <c r="H84" s="1772">
        <v>46.179000000000002</v>
      </c>
      <c r="I84" s="1772" t="s">
        <v>392</v>
      </c>
      <c r="J84" s="1772">
        <v>3415.8670000000002</v>
      </c>
      <c r="K84" s="969" t="s">
        <v>1369</v>
      </c>
      <c r="L84" s="1772">
        <v>4431.7150000000001</v>
      </c>
      <c r="M84" s="1772" t="s">
        <v>392</v>
      </c>
      <c r="N84" s="1772">
        <v>28.634</v>
      </c>
      <c r="O84" s="969" t="s">
        <v>1369</v>
      </c>
      <c r="P84" s="1772">
        <v>46.405999999999999</v>
      </c>
      <c r="Q84" s="1772" t="s">
        <v>392</v>
      </c>
      <c r="R84" s="1772">
        <v>5.2869999999999999</v>
      </c>
      <c r="S84" s="969" t="s">
        <v>1369</v>
      </c>
      <c r="T84" s="1772">
        <v>6.8890000000000002</v>
      </c>
      <c r="U84" s="1768"/>
      <c r="AD84" s="2302" t="s">
        <v>1493</v>
      </c>
      <c r="AE84" s="2302"/>
      <c r="AF84" s="2302"/>
      <c r="AG84" s="2302"/>
      <c r="AH84" s="2302"/>
      <c r="AI84" s="2301">
        <v>7924.6620000000003</v>
      </c>
      <c r="AJ84" s="2299" t="s">
        <v>1369</v>
      </c>
      <c r="AK84" s="2301">
        <v>2779.277</v>
      </c>
      <c r="AL84" s="2301">
        <v>55.353999999999999</v>
      </c>
      <c r="AM84" s="2301">
        <v>44.646000000000001</v>
      </c>
      <c r="AN84" s="2301"/>
      <c r="AO84" s="2301">
        <v>7991.9</v>
      </c>
      <c r="AP84" s="2299" t="s">
        <v>1369</v>
      </c>
      <c r="AQ84" s="2301">
        <v>2784.598</v>
      </c>
      <c r="AR84" s="2301">
        <v>54.887999999999998</v>
      </c>
      <c r="AS84" s="2301">
        <v>45.112000000000002</v>
      </c>
      <c r="AT84" s="2296"/>
      <c r="AU84" s="2296"/>
      <c r="AV84" s="2296"/>
      <c r="AW84" s="2296"/>
      <c r="AX84" s="2296"/>
      <c r="AY84" s="2296" t="s">
        <v>2569</v>
      </c>
      <c r="AZ84" s="2296"/>
      <c r="BA84" s="2296"/>
      <c r="BB84" s="2296">
        <v>1</v>
      </c>
      <c r="BC84" s="2296"/>
      <c r="BD84" s="2296">
        <v>1</v>
      </c>
      <c r="BE84" s="2296"/>
      <c r="BF84" s="2282">
        <f t="shared" si="0"/>
        <v>0</v>
      </c>
      <c r="BG84" s="2282">
        <f t="shared" si="1"/>
        <v>0</v>
      </c>
      <c r="BH84" s="2282">
        <f t="shared" si="2"/>
        <v>13216.35</v>
      </c>
      <c r="BI84" s="2282">
        <f t="shared" si="3"/>
        <v>0</v>
      </c>
    </row>
    <row r="85" spans="1:61">
      <c r="A85" s="1773"/>
      <c r="B85" s="968">
        <v>24</v>
      </c>
      <c r="C85" s="968" t="s">
        <v>1350</v>
      </c>
      <c r="D85" s="1638">
        <v>31.9</v>
      </c>
      <c r="E85" s="1638"/>
      <c r="F85" s="1772">
        <v>9.0280000000000005</v>
      </c>
      <c r="G85" s="969" t="s">
        <v>1369</v>
      </c>
      <c r="H85" s="1772">
        <v>7.4240000000000004</v>
      </c>
      <c r="I85" s="1772" t="s">
        <v>392</v>
      </c>
      <c r="J85" s="1772">
        <v>3492.0250000000001</v>
      </c>
      <c r="K85" s="969" t="s">
        <v>1369</v>
      </c>
      <c r="L85" s="1772">
        <v>2902.0239999999999</v>
      </c>
      <c r="M85" s="1772" t="s">
        <v>392</v>
      </c>
      <c r="N85" s="1772">
        <v>28.832000000000001</v>
      </c>
      <c r="O85" s="969" t="s">
        <v>1369</v>
      </c>
      <c r="P85" s="1772">
        <v>28.061</v>
      </c>
      <c r="Q85" s="1772" t="s">
        <v>392</v>
      </c>
      <c r="R85" s="1772">
        <v>11.632</v>
      </c>
      <c r="S85" s="969" t="s">
        <v>1369</v>
      </c>
      <c r="T85" s="1772">
        <v>10.696</v>
      </c>
      <c r="U85" s="1768"/>
      <c r="AD85" s="2302" t="s">
        <v>1103</v>
      </c>
      <c r="AE85" s="2302"/>
      <c r="AF85" s="2302"/>
      <c r="AG85" s="2302"/>
      <c r="AH85" s="2302"/>
      <c r="AI85" s="2301">
        <v>10592.558999999999</v>
      </c>
      <c r="AJ85" s="2299" t="s">
        <v>1369</v>
      </c>
      <c r="AK85" s="2301">
        <v>2505.5810000000001</v>
      </c>
      <c r="AL85" s="2301">
        <v>64.323999999999998</v>
      </c>
      <c r="AM85" s="2301">
        <v>35.676000000000002</v>
      </c>
      <c r="AN85" s="2301"/>
      <c r="AO85" s="2301">
        <v>11030.947</v>
      </c>
      <c r="AP85" s="2299" t="s">
        <v>1369</v>
      </c>
      <c r="AQ85" s="2301">
        <v>2572.3719999999998</v>
      </c>
      <c r="AR85" s="2301">
        <v>61.768000000000001</v>
      </c>
      <c r="AS85" s="2301">
        <v>38.231999999999999</v>
      </c>
      <c r="AT85" s="2296"/>
      <c r="AU85" s="2296"/>
      <c r="AV85" s="2296"/>
      <c r="AW85" s="2296"/>
      <c r="AX85" s="2296"/>
      <c r="AY85" s="2296" t="s">
        <v>2570</v>
      </c>
      <c r="AZ85" s="2296"/>
      <c r="BA85" s="2296"/>
      <c r="BB85" s="2296">
        <v>1</v>
      </c>
      <c r="BC85" s="2296"/>
      <c r="BD85" s="2296">
        <v>1</v>
      </c>
      <c r="BE85" s="2296"/>
      <c r="BF85" s="2282">
        <f t="shared" si="0"/>
        <v>0</v>
      </c>
      <c r="BG85" s="2282">
        <f t="shared" si="1"/>
        <v>0</v>
      </c>
      <c r="BH85" s="2282">
        <f t="shared" si="2"/>
        <v>11978.831</v>
      </c>
      <c r="BI85" s="2282">
        <f t="shared" si="3"/>
        <v>0</v>
      </c>
    </row>
    <row r="86" spans="1:61">
      <c r="A86" s="1773"/>
      <c r="B86" s="968">
        <v>32</v>
      </c>
      <c r="C86" s="968" t="s">
        <v>1350</v>
      </c>
      <c r="D86" s="1638">
        <v>39.9</v>
      </c>
      <c r="E86" s="1638"/>
      <c r="F86" s="1772">
        <v>5.0620000000000003</v>
      </c>
      <c r="G86" s="969" t="s">
        <v>1369</v>
      </c>
      <c r="H86" s="1772">
        <v>3.637</v>
      </c>
      <c r="I86" s="1772" t="s">
        <v>392</v>
      </c>
      <c r="J86" s="1772">
        <v>3555.2559999999999</v>
      </c>
      <c r="K86" s="969" t="s">
        <v>1369</v>
      </c>
      <c r="L86" s="1772">
        <v>3003.8690000000001</v>
      </c>
      <c r="M86" s="1772" t="s">
        <v>392</v>
      </c>
      <c r="N86" s="1772">
        <v>32.628</v>
      </c>
      <c r="O86" s="969" t="s">
        <v>1369</v>
      </c>
      <c r="P86" s="1772">
        <v>27.405000000000001</v>
      </c>
      <c r="Q86" s="1772" t="s">
        <v>392</v>
      </c>
      <c r="R86" s="1772">
        <v>35.631999999999998</v>
      </c>
      <c r="S86" s="969" t="s">
        <v>1369</v>
      </c>
      <c r="T86" s="1772">
        <v>35.700000000000003</v>
      </c>
      <c r="U86" s="1768"/>
      <c r="AD86" s="2302" t="s">
        <v>1109</v>
      </c>
      <c r="AE86" s="2302"/>
      <c r="AF86" s="2302"/>
      <c r="AG86" s="2302"/>
      <c r="AH86" s="2302"/>
      <c r="AI86" s="2301">
        <v>1657.9839999999999</v>
      </c>
      <c r="AJ86" s="2299" t="s">
        <v>1369</v>
      </c>
      <c r="AK86" s="2301">
        <v>553.10400000000004</v>
      </c>
      <c r="AL86" s="2301">
        <v>90.260999999999996</v>
      </c>
      <c r="AM86" s="2301">
        <v>9.7390000000000008</v>
      </c>
      <c r="AN86" s="2301"/>
      <c r="AO86" s="2301">
        <v>1546.749</v>
      </c>
      <c r="AP86" s="2299" t="s">
        <v>1369</v>
      </c>
      <c r="AQ86" s="2301">
        <v>537.44399999999996</v>
      </c>
      <c r="AR86" s="2301">
        <v>96.751999999999995</v>
      </c>
      <c r="AS86" s="2301">
        <v>3.2480000000000002</v>
      </c>
      <c r="AT86" s="2296"/>
      <c r="AU86" s="2296"/>
      <c r="AV86" s="2296"/>
      <c r="AW86" s="2296"/>
      <c r="AX86" s="2296"/>
      <c r="AY86" s="2296" t="s">
        <v>2571</v>
      </c>
      <c r="AZ86" s="2296"/>
      <c r="BA86" s="2296"/>
      <c r="BB86" s="2296">
        <v>1</v>
      </c>
      <c r="BC86" s="2296"/>
      <c r="BD86" s="2296">
        <v>1</v>
      </c>
      <c r="BE86" s="2296"/>
      <c r="BF86" s="2282">
        <f t="shared" si="0"/>
        <v>0</v>
      </c>
      <c r="BG86" s="2282">
        <f t="shared" si="1"/>
        <v>0</v>
      </c>
      <c r="BH86" s="2282">
        <f t="shared" si="2"/>
        <v>8087.1719999999996</v>
      </c>
      <c r="BI86" s="2282">
        <f t="shared" si="3"/>
        <v>0</v>
      </c>
    </row>
    <row r="87" spans="1:61">
      <c r="A87" s="1773"/>
      <c r="B87" s="968">
        <v>40</v>
      </c>
      <c r="C87" s="968" t="s">
        <v>1350</v>
      </c>
      <c r="D87" s="1638">
        <v>43.9</v>
      </c>
      <c r="E87" s="1638"/>
      <c r="F87" s="1772">
        <v>1.877</v>
      </c>
      <c r="G87" s="969" t="s">
        <v>1369</v>
      </c>
      <c r="H87" s="1772">
        <v>2.028</v>
      </c>
      <c r="I87" s="1772" t="s">
        <v>392</v>
      </c>
      <c r="J87" s="1772">
        <v>2040.0650000000001</v>
      </c>
      <c r="K87" s="969" t="s">
        <v>1369</v>
      </c>
      <c r="L87" s="1772">
        <v>3219.85</v>
      </c>
      <c r="M87" s="1772" t="s">
        <v>392</v>
      </c>
      <c r="N87" s="1772">
        <v>18.902000000000001</v>
      </c>
      <c r="O87" s="969" t="s">
        <v>1369</v>
      </c>
      <c r="P87" s="1772">
        <v>22.111999999999998</v>
      </c>
      <c r="Q87" s="1772" t="s">
        <v>392</v>
      </c>
      <c r="R87" s="1772">
        <v>32.624000000000002</v>
      </c>
      <c r="S87" s="969" t="s">
        <v>1369</v>
      </c>
      <c r="T87" s="1772">
        <v>47.197000000000003</v>
      </c>
      <c r="U87" s="1768"/>
      <c r="AD87" s="2302" t="s">
        <v>1494</v>
      </c>
      <c r="AE87" s="2302"/>
      <c r="AF87" s="2302"/>
      <c r="AG87" s="2302"/>
      <c r="AH87" s="2302"/>
      <c r="AI87" s="2301">
        <v>6349.491</v>
      </c>
      <c r="AJ87" s="2299" t="s">
        <v>1369</v>
      </c>
      <c r="AK87" s="2301">
        <v>3100.0839999999998</v>
      </c>
      <c r="AL87" s="2301">
        <v>71.218999999999994</v>
      </c>
      <c r="AM87" s="2301">
        <v>28.780999999999999</v>
      </c>
      <c r="AN87" s="2301"/>
      <c r="AO87" s="2301">
        <v>6599.2690000000002</v>
      </c>
      <c r="AP87" s="2299" t="s">
        <v>1369</v>
      </c>
      <c r="AQ87" s="2301">
        <v>3107.1709999999998</v>
      </c>
      <c r="AR87" s="2301">
        <v>68.522999999999996</v>
      </c>
      <c r="AS87" s="2301">
        <v>31.477</v>
      </c>
      <c r="AT87" s="2296"/>
      <c r="AU87" s="2296"/>
      <c r="AV87" s="2296"/>
      <c r="AW87" s="2296"/>
      <c r="AX87" s="2296"/>
      <c r="AY87" s="2296" t="s">
        <v>2572</v>
      </c>
      <c r="AZ87" s="2296"/>
      <c r="BA87" s="2296"/>
      <c r="BB87" s="2296">
        <v>1</v>
      </c>
      <c r="BC87" s="2296"/>
      <c r="BD87" s="2296">
        <v>1</v>
      </c>
      <c r="BE87" s="2296"/>
      <c r="BF87" s="2282">
        <f t="shared" si="0"/>
        <v>0</v>
      </c>
      <c r="BG87" s="2282">
        <f t="shared" si="1"/>
        <v>0</v>
      </c>
      <c r="BH87" s="2282">
        <f t="shared" si="2"/>
        <v>14014.396000000001</v>
      </c>
      <c r="BI87" s="2282">
        <f t="shared" si="3"/>
        <v>0</v>
      </c>
    </row>
    <row r="88" spans="1:61">
      <c r="A88" s="1773"/>
      <c r="B88" s="968">
        <v>44</v>
      </c>
      <c r="C88" s="968" t="s">
        <v>1350</v>
      </c>
      <c r="D88" s="1638">
        <v>49.9</v>
      </c>
      <c r="E88" s="1638"/>
      <c r="F88" s="1772">
        <v>23.9</v>
      </c>
      <c r="G88" s="969" t="s">
        <v>1369</v>
      </c>
      <c r="H88" s="1772">
        <v>15.919</v>
      </c>
      <c r="I88" s="1772" t="s">
        <v>392</v>
      </c>
      <c r="J88" s="1772">
        <v>11992.790999999999</v>
      </c>
      <c r="K88" s="969" t="s">
        <v>1369</v>
      </c>
      <c r="L88" s="1772">
        <v>7712.9489999999996</v>
      </c>
      <c r="M88" s="1772" t="s">
        <v>392</v>
      </c>
      <c r="N88" s="1772">
        <v>231.91499999999999</v>
      </c>
      <c r="O88" s="969" t="s">
        <v>1369</v>
      </c>
      <c r="P88" s="1772">
        <v>152.654</v>
      </c>
      <c r="Q88" s="1772" t="s">
        <v>392</v>
      </c>
      <c r="R88" s="1772">
        <v>132.96700000000001</v>
      </c>
      <c r="S88" s="969" t="s">
        <v>1369</v>
      </c>
      <c r="T88" s="1772">
        <v>78.852000000000004</v>
      </c>
      <c r="U88" s="1768"/>
      <c r="AD88" s="2302" t="s">
        <v>1495</v>
      </c>
      <c r="AE88" s="2302"/>
      <c r="AF88" s="2302"/>
      <c r="AG88" s="2302"/>
      <c r="AH88" s="2302"/>
      <c r="AI88" s="2301">
        <v>36123.124000000003</v>
      </c>
      <c r="AJ88" s="2299" t="s">
        <v>1369</v>
      </c>
      <c r="AK88" s="2301">
        <v>5274.3739999999998</v>
      </c>
      <c r="AL88" s="2301">
        <v>73.200999999999993</v>
      </c>
      <c r="AM88" s="2301">
        <v>26.798999999999999</v>
      </c>
      <c r="AN88" s="2301"/>
      <c r="AO88" s="2301">
        <v>34814.692999999999</v>
      </c>
      <c r="AP88" s="2299" t="s">
        <v>1369</v>
      </c>
      <c r="AQ88" s="2301">
        <v>5170.9750000000004</v>
      </c>
      <c r="AR88" s="2301">
        <v>75.951999999999998</v>
      </c>
      <c r="AS88" s="2301">
        <v>24.047999999999998</v>
      </c>
      <c r="AT88" s="2296"/>
      <c r="AU88" s="2296"/>
      <c r="AV88" s="2296"/>
      <c r="AW88" s="2296"/>
      <c r="AX88" s="2296"/>
      <c r="AY88" s="2296" t="s">
        <v>2573</v>
      </c>
      <c r="AZ88" s="2296"/>
      <c r="BA88" s="2296">
        <v>0.6</v>
      </c>
      <c r="BB88" s="2296">
        <v>0.4</v>
      </c>
      <c r="BC88" s="2296"/>
      <c r="BD88" s="2296">
        <v>1</v>
      </c>
      <c r="BE88" s="2296"/>
      <c r="BF88" s="2282">
        <f t="shared" si="0"/>
        <v>0</v>
      </c>
      <c r="BG88" s="2282">
        <f t="shared" si="1"/>
        <v>5430.3509999999997</v>
      </c>
      <c r="BH88" s="2282">
        <f t="shared" si="2"/>
        <v>3620.2339999999999</v>
      </c>
      <c r="BI88" s="2282">
        <f t="shared" si="3"/>
        <v>0</v>
      </c>
    </row>
    <row r="89" spans="1:61">
      <c r="A89" s="1773"/>
      <c r="B89" s="968">
        <v>50</v>
      </c>
      <c r="C89" s="968" t="s">
        <v>1350</v>
      </c>
      <c r="D89" s="1638">
        <v>54.9</v>
      </c>
      <c r="E89" s="1638"/>
      <c r="F89" s="1772">
        <v>26.247</v>
      </c>
      <c r="G89" s="969" t="s">
        <v>1369</v>
      </c>
      <c r="H89" s="1772">
        <v>8.1419999999999995</v>
      </c>
      <c r="I89" s="1772" t="s">
        <v>392</v>
      </c>
      <c r="J89" s="1772">
        <v>14827.597</v>
      </c>
      <c r="K89" s="969" t="s">
        <v>1369</v>
      </c>
      <c r="L89" s="1772">
        <v>4479.8869999999997</v>
      </c>
      <c r="M89" s="1772" t="s">
        <v>392</v>
      </c>
      <c r="N89" s="1772">
        <v>306.358</v>
      </c>
      <c r="O89" s="969" t="s">
        <v>1369</v>
      </c>
      <c r="P89" s="1772">
        <v>93.96</v>
      </c>
      <c r="Q89" s="1772" t="s">
        <v>392</v>
      </c>
      <c r="R89" s="1772">
        <v>237.40600000000001</v>
      </c>
      <c r="S89" s="969" t="s">
        <v>1369</v>
      </c>
      <c r="T89" s="1772">
        <v>79.332999999999998</v>
      </c>
      <c r="U89" s="1768"/>
      <c r="AD89" s="2302" t="s">
        <v>1496</v>
      </c>
      <c r="AE89" s="2302"/>
      <c r="AF89" s="2302"/>
      <c r="AG89" s="2302"/>
      <c r="AH89" s="2302"/>
      <c r="AI89" s="2301">
        <v>11573.983</v>
      </c>
      <c r="AJ89" s="2299" t="s">
        <v>1369</v>
      </c>
      <c r="AK89" s="2301">
        <v>3358.9650000000001</v>
      </c>
      <c r="AL89" s="2301">
        <v>60.09</v>
      </c>
      <c r="AM89" s="2301">
        <v>39.909999999999997</v>
      </c>
      <c r="AN89" s="2301"/>
      <c r="AO89" s="2301">
        <v>13516.898999999999</v>
      </c>
      <c r="AP89" s="2299" t="s">
        <v>1369</v>
      </c>
      <c r="AQ89" s="2301">
        <v>3759.433</v>
      </c>
      <c r="AR89" s="2301">
        <v>51.453000000000003</v>
      </c>
      <c r="AS89" s="2301">
        <v>48.546999999999997</v>
      </c>
      <c r="AT89" s="2296"/>
      <c r="AU89" s="2296"/>
      <c r="AV89" s="2296"/>
      <c r="AW89" s="2296"/>
      <c r="AX89" s="2296"/>
      <c r="AY89" s="2296" t="s">
        <v>2574</v>
      </c>
      <c r="AZ89" s="2296"/>
      <c r="BA89" s="2296">
        <v>1</v>
      </c>
      <c r="BB89" s="2296"/>
      <c r="BC89" s="2296"/>
      <c r="BD89" s="2296">
        <v>1</v>
      </c>
      <c r="BE89" s="2296"/>
      <c r="BF89" s="2282">
        <f t="shared" si="0"/>
        <v>0</v>
      </c>
      <c r="BG89" s="2282">
        <f t="shared" si="1"/>
        <v>11863.813</v>
      </c>
      <c r="BH89" s="2282">
        <f t="shared" si="2"/>
        <v>0</v>
      </c>
      <c r="BI89" s="2282">
        <f t="shared" si="3"/>
        <v>0</v>
      </c>
    </row>
    <row r="90" spans="1:61">
      <c r="A90" s="1773"/>
      <c r="B90" s="968">
        <v>55</v>
      </c>
      <c r="C90" s="968" t="s">
        <v>1350</v>
      </c>
      <c r="D90" s="1638"/>
      <c r="E90" s="1638"/>
      <c r="F90" s="1772">
        <v>453.73599999999999</v>
      </c>
      <c r="G90" s="969" t="s">
        <v>1369</v>
      </c>
      <c r="H90" s="1772">
        <v>60.66</v>
      </c>
      <c r="I90" s="1772" t="s">
        <v>392</v>
      </c>
      <c r="J90" s="1772">
        <v>210201.861</v>
      </c>
      <c r="K90" s="969" t="s">
        <v>1369</v>
      </c>
      <c r="L90" s="1772">
        <v>24313.341</v>
      </c>
      <c r="M90" s="1772" t="s">
        <v>392</v>
      </c>
      <c r="N90" s="1772">
        <v>5795.5389999999998</v>
      </c>
      <c r="O90" s="969" t="s">
        <v>1369</v>
      </c>
      <c r="P90" s="1772">
        <v>936.41499999999996</v>
      </c>
      <c r="Q90" s="1772" t="s">
        <v>392</v>
      </c>
      <c r="R90" s="1772">
        <v>3069.0010000000002</v>
      </c>
      <c r="S90" s="969" t="s">
        <v>1369</v>
      </c>
      <c r="T90" s="1772">
        <v>405.911</v>
      </c>
      <c r="U90" s="1768"/>
      <c r="AD90" s="2302" t="s">
        <v>1497</v>
      </c>
      <c r="AE90" s="2302"/>
      <c r="AF90" s="2302"/>
      <c r="AG90" s="2302"/>
      <c r="AH90" s="2302"/>
      <c r="AI90" s="2301">
        <v>48035.144999999997</v>
      </c>
      <c r="AJ90" s="2299" t="s">
        <v>1369</v>
      </c>
      <c r="AK90" s="2301">
        <v>6729.7250000000004</v>
      </c>
      <c r="AL90" s="2301">
        <v>75.094999999999999</v>
      </c>
      <c r="AM90" s="2301">
        <v>24.905000000000001</v>
      </c>
      <c r="AN90" s="2301"/>
      <c r="AO90" s="2301">
        <v>46133.900999999998</v>
      </c>
      <c r="AP90" s="2299" t="s">
        <v>1369</v>
      </c>
      <c r="AQ90" s="2301">
        <v>6476.3869999999997</v>
      </c>
      <c r="AR90" s="2301">
        <v>78.19</v>
      </c>
      <c r="AS90" s="2301">
        <v>21.81</v>
      </c>
      <c r="AT90" s="2296"/>
      <c r="AU90" s="2296"/>
      <c r="AV90" s="2296"/>
      <c r="AW90" s="2296"/>
      <c r="AX90" s="2296"/>
      <c r="AY90" s="2296" t="s">
        <v>2575</v>
      </c>
      <c r="AZ90" s="2296"/>
      <c r="BA90" s="2296">
        <v>1</v>
      </c>
      <c r="BB90" s="2296"/>
      <c r="BC90" s="2296"/>
      <c r="BD90" s="2296">
        <v>1</v>
      </c>
      <c r="BE90" s="2296"/>
      <c r="BF90" s="2282">
        <f t="shared" si="0"/>
        <v>0</v>
      </c>
      <c r="BG90" s="2282">
        <f t="shared" si="1"/>
        <v>9918.0360000000001</v>
      </c>
      <c r="BH90" s="2282">
        <f t="shared" si="2"/>
        <v>0</v>
      </c>
      <c r="BI90" s="2282">
        <f t="shared" si="3"/>
        <v>0</v>
      </c>
    </row>
    <row r="91" spans="1:61">
      <c r="A91" s="1774"/>
      <c r="B91" s="967"/>
      <c r="C91" s="967"/>
      <c r="D91" s="967"/>
      <c r="E91" s="967"/>
      <c r="F91" s="967"/>
      <c r="G91" s="967"/>
      <c r="H91" s="967"/>
      <c r="I91" s="967"/>
      <c r="J91" s="967"/>
      <c r="K91" s="967"/>
      <c r="L91" s="967"/>
      <c r="M91" s="967"/>
      <c r="N91" s="967"/>
      <c r="O91" s="967"/>
      <c r="P91" s="967"/>
      <c r="Q91" s="967"/>
      <c r="R91" s="967"/>
      <c r="S91" s="967"/>
      <c r="T91" s="967"/>
      <c r="U91" s="1768"/>
      <c r="AD91" s="2302" t="s">
        <v>1498</v>
      </c>
      <c r="AE91" s="2302"/>
      <c r="AF91" s="2302"/>
      <c r="AG91" s="2302"/>
      <c r="AH91" s="2302"/>
      <c r="AI91" s="2301">
        <v>13216.35</v>
      </c>
      <c r="AJ91" s="2299" t="s">
        <v>1369</v>
      </c>
      <c r="AK91" s="2301">
        <v>3224.09</v>
      </c>
      <c r="AL91" s="2301">
        <v>79.936000000000007</v>
      </c>
      <c r="AM91" s="2301">
        <v>20.064</v>
      </c>
      <c r="AN91" s="2301"/>
      <c r="AO91" s="2301">
        <v>13595.019</v>
      </c>
      <c r="AP91" s="2299" t="s">
        <v>1369</v>
      </c>
      <c r="AQ91" s="2301">
        <v>3207.1889999999999</v>
      </c>
      <c r="AR91" s="2301">
        <v>77.709000000000003</v>
      </c>
      <c r="AS91" s="2301">
        <v>22.291</v>
      </c>
      <c r="AT91" s="2296"/>
      <c r="AU91" s="2296"/>
      <c r="AV91" s="2296"/>
      <c r="AW91" s="2296"/>
      <c r="AX91" s="2296"/>
      <c r="AY91" s="2296" t="s">
        <v>2576</v>
      </c>
      <c r="AZ91" s="2296">
        <v>0.2</v>
      </c>
      <c r="BA91" s="2296">
        <v>0.8</v>
      </c>
      <c r="BB91" s="2296"/>
      <c r="BC91" s="2296"/>
      <c r="BD91" s="2296">
        <v>1</v>
      </c>
      <c r="BE91" s="2296"/>
      <c r="BF91" s="2282">
        <f t="shared" si="0"/>
        <v>3111.3564000000001</v>
      </c>
      <c r="BG91" s="2282">
        <f t="shared" si="1"/>
        <v>12445.4256</v>
      </c>
      <c r="BH91" s="2282">
        <f t="shared" si="2"/>
        <v>0</v>
      </c>
      <c r="BI91" s="2282">
        <f t="shared" si="3"/>
        <v>0</v>
      </c>
    </row>
    <row r="92" spans="1:61">
      <c r="A92" s="1775"/>
      <c r="B92" s="968"/>
      <c r="C92" s="968"/>
      <c r="D92" s="968"/>
      <c r="E92" s="968"/>
      <c r="F92" s="1776"/>
      <c r="G92" s="969"/>
      <c r="H92" s="970"/>
      <c r="I92" s="970"/>
      <c r="J92" s="970"/>
      <c r="K92" s="969"/>
      <c r="L92" s="970"/>
      <c r="M92" s="970"/>
      <c r="N92" s="970"/>
      <c r="O92" s="969"/>
      <c r="P92" s="970"/>
      <c r="Q92" s="970"/>
      <c r="R92" s="970"/>
      <c r="S92" s="969"/>
      <c r="T92" s="970"/>
      <c r="U92" s="1768"/>
      <c r="AD92" s="2302" t="s">
        <v>1225</v>
      </c>
      <c r="AE92" s="2302"/>
      <c r="AF92" s="2302"/>
      <c r="AG92" s="2302"/>
      <c r="AH92" s="2302"/>
      <c r="AI92" s="2301">
        <v>11978.831</v>
      </c>
      <c r="AJ92" s="2299" t="s">
        <v>1369</v>
      </c>
      <c r="AK92" s="2301">
        <v>2826.9789999999998</v>
      </c>
      <c r="AL92" s="2301">
        <v>60.122</v>
      </c>
      <c r="AM92" s="2301">
        <v>39.878</v>
      </c>
      <c r="AN92" s="2301"/>
      <c r="AO92" s="2301">
        <v>12749.686</v>
      </c>
      <c r="AP92" s="2299" t="s">
        <v>1369</v>
      </c>
      <c r="AQ92" s="2301">
        <v>2787.9140000000002</v>
      </c>
      <c r="AR92" s="2301">
        <v>56.487000000000002</v>
      </c>
      <c r="AS92" s="2301">
        <v>43.512999999999998</v>
      </c>
      <c r="AT92" s="2296"/>
      <c r="AU92" s="2296"/>
      <c r="AV92" s="2296"/>
      <c r="AW92" s="2296"/>
      <c r="AX92" s="2296"/>
      <c r="AY92" s="2296" t="s">
        <v>2577</v>
      </c>
      <c r="AZ92" s="2296">
        <v>1</v>
      </c>
      <c r="BA92" s="2296"/>
      <c r="BB92" s="2296"/>
      <c r="BC92" s="2296"/>
      <c r="BD92" s="2296">
        <v>1</v>
      </c>
      <c r="BE92" s="2296"/>
      <c r="BF92" s="2282">
        <f t="shared" si="0"/>
        <v>12436.102999999999</v>
      </c>
      <c r="BG92" s="2282">
        <f t="shared" si="1"/>
        <v>0</v>
      </c>
      <c r="BH92" s="2282">
        <f t="shared" si="2"/>
        <v>0</v>
      </c>
      <c r="BI92" s="2282">
        <f t="shared" si="3"/>
        <v>0</v>
      </c>
    </row>
    <row r="93" spans="1:61">
      <c r="A93" s="3079" t="s">
        <v>1371</v>
      </c>
      <c r="B93" s="3080"/>
      <c r="C93" s="3080"/>
      <c r="D93" s="3080"/>
      <c r="E93" s="3080"/>
      <c r="F93" s="3080"/>
      <c r="G93" s="969"/>
      <c r="H93" s="1638"/>
      <c r="I93" s="1638"/>
      <c r="J93" s="1638"/>
      <c r="K93" s="969"/>
      <c r="L93" s="1638"/>
      <c r="M93" s="1638"/>
      <c r="N93" s="1638"/>
      <c r="O93" s="969"/>
      <c r="P93" s="1638"/>
      <c r="Q93" s="1638"/>
      <c r="R93" s="1638"/>
      <c r="S93" s="969"/>
      <c r="T93" s="1638"/>
      <c r="U93" s="1768"/>
      <c r="AD93" s="2302" t="s">
        <v>1499</v>
      </c>
      <c r="AE93" s="2302"/>
      <c r="AF93" s="2302"/>
      <c r="AG93" s="2302"/>
      <c r="AH93" s="2302"/>
      <c r="AI93" s="2301">
        <v>8087.1719999999996</v>
      </c>
      <c r="AJ93" s="2299" t="s">
        <v>1369</v>
      </c>
      <c r="AK93" s="2301">
        <v>2181.4690000000001</v>
      </c>
      <c r="AL93" s="2301">
        <v>48.759</v>
      </c>
      <c r="AM93" s="2301">
        <v>51.241</v>
      </c>
      <c r="AN93" s="2301"/>
      <c r="AO93" s="2301">
        <v>7452.585</v>
      </c>
      <c r="AP93" s="2299" t="s">
        <v>1369</v>
      </c>
      <c r="AQ93" s="2301">
        <v>2528.732</v>
      </c>
      <c r="AR93" s="2301">
        <v>52.911000000000001</v>
      </c>
      <c r="AS93" s="2301">
        <v>47.088999999999999</v>
      </c>
      <c r="AT93" s="2296"/>
      <c r="AU93" s="2296"/>
      <c r="AV93" s="2296"/>
      <c r="AW93" s="2296"/>
      <c r="AX93" s="2296"/>
      <c r="AY93" s="2296"/>
      <c r="AZ93" s="2296"/>
      <c r="BA93" s="2296"/>
      <c r="BB93" s="2296"/>
      <c r="BC93" s="2296"/>
      <c r="BD93" s="2296"/>
      <c r="BE93" s="2296"/>
      <c r="BF93" s="2282"/>
      <c r="BG93" s="2296"/>
      <c r="BH93" s="2296"/>
      <c r="BI93" s="2296"/>
    </row>
    <row r="94" spans="1:61">
      <c r="A94" s="3076" t="s">
        <v>625</v>
      </c>
      <c r="B94" s="3077"/>
      <c r="C94" s="3077"/>
      <c r="D94" s="3077"/>
      <c r="E94" s="1636"/>
      <c r="F94" s="1769">
        <v>556.40899999999999</v>
      </c>
      <c r="G94" s="969" t="s">
        <v>1369</v>
      </c>
      <c r="H94" s="1769">
        <v>78.843000000000004</v>
      </c>
      <c r="I94" s="1769" t="s">
        <v>392</v>
      </c>
      <c r="J94" s="1769">
        <v>252565.864</v>
      </c>
      <c r="K94" s="969" t="s">
        <v>1369</v>
      </c>
      <c r="L94" s="1769">
        <v>26602.072</v>
      </c>
      <c r="M94" s="1769" t="s">
        <v>392</v>
      </c>
      <c r="N94" s="1769">
        <v>6473.92</v>
      </c>
      <c r="O94" s="969" t="s">
        <v>1369</v>
      </c>
      <c r="P94" s="1769">
        <v>951.95</v>
      </c>
      <c r="Q94" s="1769" t="s">
        <v>392</v>
      </c>
      <c r="R94" s="1769">
        <v>3535.4589999999998</v>
      </c>
      <c r="S94" s="969" t="s">
        <v>1369</v>
      </c>
      <c r="T94" s="1769">
        <v>421.50200000000001</v>
      </c>
      <c r="U94" s="1768"/>
      <c r="AD94" s="2302" t="s">
        <v>1500</v>
      </c>
      <c r="AE94" s="2302"/>
      <c r="AF94" s="2302"/>
      <c r="AG94" s="2302"/>
      <c r="AH94" s="2302"/>
      <c r="AI94" s="2301">
        <v>14014.396000000001</v>
      </c>
      <c r="AJ94" s="2299" t="s">
        <v>1369</v>
      </c>
      <c r="AK94" s="2301">
        <v>3598.5149999999999</v>
      </c>
      <c r="AL94" s="2301">
        <v>62.17</v>
      </c>
      <c r="AM94" s="2301">
        <v>37.83</v>
      </c>
      <c r="AN94" s="2301"/>
      <c r="AO94" s="2301">
        <v>13591.597</v>
      </c>
      <c r="AP94" s="2299" t="s">
        <v>1369</v>
      </c>
      <c r="AQ94" s="2301">
        <v>2832.9369999999999</v>
      </c>
      <c r="AR94" s="2301">
        <v>64.103999999999999</v>
      </c>
      <c r="AS94" s="2301">
        <v>35.896000000000001</v>
      </c>
      <c r="AT94" s="2296"/>
      <c r="AU94" s="2296"/>
      <c r="AV94" s="2296"/>
      <c r="AW94" s="2296"/>
      <c r="AX94" s="2296"/>
      <c r="AY94" s="2296"/>
      <c r="AZ94" s="2296"/>
      <c r="BA94" s="2296"/>
      <c r="BB94" s="2296"/>
      <c r="BC94" s="2296"/>
      <c r="BD94" s="2296"/>
      <c r="BE94" s="2296"/>
      <c r="BF94" s="2296">
        <f>SUM(BF72:BF92)</f>
        <v>15547.4594</v>
      </c>
      <c r="BG94" s="2296">
        <f>SUM(BG72:BG92)</f>
        <v>39657.625599999999</v>
      </c>
      <c r="BH94" s="2296">
        <f>SUM(BH72:BH92)</f>
        <v>192469.04979999998</v>
      </c>
      <c r="BI94" s="2296">
        <f>SUM(BI72:BI92)</f>
        <v>67927.018200000006</v>
      </c>
    </row>
    <row r="95" spans="1:61">
      <c r="A95" s="1773"/>
      <c r="B95" s="968">
        <v>0</v>
      </c>
      <c r="C95" s="968" t="s">
        <v>1350</v>
      </c>
      <c r="D95" s="1771">
        <v>9.9</v>
      </c>
      <c r="E95" s="1771"/>
      <c r="F95" s="1772">
        <v>14.022</v>
      </c>
      <c r="G95" s="969" t="s">
        <v>1369</v>
      </c>
      <c r="H95" s="1772">
        <v>8.9559999999999995</v>
      </c>
      <c r="I95" s="1772" t="s">
        <v>392</v>
      </c>
      <c r="J95" s="1772">
        <v>4333.1310000000003</v>
      </c>
      <c r="K95" s="969" t="s">
        <v>1369</v>
      </c>
      <c r="L95" s="1772">
        <v>3064.4940000000001</v>
      </c>
      <c r="M95" s="1772" t="s">
        <v>392</v>
      </c>
      <c r="N95" s="1772">
        <v>34.722999999999999</v>
      </c>
      <c r="O95" s="969" t="s">
        <v>1369</v>
      </c>
      <c r="P95" s="1772">
        <v>39.121000000000002</v>
      </c>
      <c r="Q95" s="1772" t="s">
        <v>392</v>
      </c>
      <c r="R95" s="1772">
        <v>12.297000000000001</v>
      </c>
      <c r="S95" s="969" t="s">
        <v>1369</v>
      </c>
      <c r="T95" s="1772">
        <v>12.013999999999999</v>
      </c>
      <c r="U95" s="1768"/>
      <c r="AD95" s="2303" t="s">
        <v>1501</v>
      </c>
      <c r="AE95" s="2303"/>
      <c r="AF95" s="2303"/>
      <c r="AG95" s="2303"/>
      <c r="AH95" s="2303"/>
      <c r="AI95" s="2300">
        <v>9050.5849999999991</v>
      </c>
      <c r="AJ95" s="2299" t="s">
        <v>1369</v>
      </c>
      <c r="AK95" s="2300">
        <v>2006.2739999999999</v>
      </c>
      <c r="AL95" s="2300">
        <v>55.917999999999999</v>
      </c>
      <c r="AM95" s="2300">
        <v>44.082000000000001</v>
      </c>
      <c r="AN95" s="2300"/>
      <c r="AO95" s="2300">
        <v>9347.009</v>
      </c>
      <c r="AP95" s="2299" t="s">
        <v>1369</v>
      </c>
      <c r="AQ95" s="2300">
        <v>1919.9069999999999</v>
      </c>
      <c r="AR95" s="2300">
        <v>54.143999999999998</v>
      </c>
      <c r="AS95" s="2300">
        <v>45.856000000000002</v>
      </c>
      <c r="AT95" s="2296"/>
      <c r="AU95" s="2296"/>
      <c r="AV95" s="2296"/>
      <c r="AW95" s="2296"/>
      <c r="AX95" s="2296"/>
      <c r="AY95" s="2296"/>
      <c r="AZ95" s="2296"/>
      <c r="BA95" s="2296"/>
      <c r="BB95" s="2296"/>
      <c r="BC95" s="2296"/>
      <c r="BD95" s="2296"/>
      <c r="BE95" s="2296"/>
      <c r="BF95" s="2296">
        <f>BF94/SUM($BF$94:$BI$94)</f>
        <v>4.9262999365531468E-2</v>
      </c>
      <c r="BG95" s="2296">
        <f>BG94/SUM($BF$94:$BI$94)</f>
        <v>0.12565741672052763</v>
      </c>
      <c r="BH95" s="2296">
        <f>BH94/SUM($BF$94:$BI$94)</f>
        <v>0.60984900711056644</v>
      </c>
      <c r="BI95" s="2296">
        <f>BI94/SUM($BF$94:$BI$94)</f>
        <v>0.21523057680337437</v>
      </c>
    </row>
    <row r="96" spans="1:61">
      <c r="A96" s="1773"/>
      <c r="B96" s="968">
        <v>10</v>
      </c>
      <c r="C96" s="968" t="s">
        <v>1350</v>
      </c>
      <c r="D96" s="1771">
        <v>19.899999999999999</v>
      </c>
      <c r="E96" s="1771"/>
      <c r="F96" s="1772">
        <v>43.186999999999998</v>
      </c>
      <c r="G96" s="969" t="s">
        <v>1369</v>
      </c>
      <c r="H96" s="1772">
        <v>46.920999999999999</v>
      </c>
      <c r="I96" s="1772" t="s">
        <v>392</v>
      </c>
      <c r="J96" s="1772">
        <v>14352.808999999999</v>
      </c>
      <c r="K96" s="969" t="s">
        <v>1369</v>
      </c>
      <c r="L96" s="1772">
        <v>7039.7030000000004</v>
      </c>
      <c r="M96" s="1772" t="s">
        <v>392</v>
      </c>
      <c r="N96" s="1772">
        <v>189.441</v>
      </c>
      <c r="O96" s="969" t="s">
        <v>1369</v>
      </c>
      <c r="P96" s="1772">
        <v>81.361999999999995</v>
      </c>
      <c r="Q96" s="1772" t="s">
        <v>392</v>
      </c>
      <c r="R96" s="1772">
        <v>150.339</v>
      </c>
      <c r="S96" s="969" t="s">
        <v>1369</v>
      </c>
      <c r="T96" s="1772">
        <v>73.177000000000007</v>
      </c>
      <c r="U96" s="1768"/>
      <c r="AD96" s="2303" t="s">
        <v>1502</v>
      </c>
      <c r="AE96" s="2303"/>
      <c r="AF96" s="2303"/>
      <c r="AG96" s="2303"/>
      <c r="AH96" s="2303"/>
      <c r="AI96" s="2300">
        <v>11863.813</v>
      </c>
      <c r="AJ96" s="2299" t="s">
        <v>1369</v>
      </c>
      <c r="AK96" s="2300">
        <v>3783.3380000000002</v>
      </c>
      <c r="AL96" s="2300">
        <v>78.542000000000002</v>
      </c>
      <c r="AM96" s="2300">
        <v>21.457999999999998</v>
      </c>
      <c r="AN96" s="2300"/>
      <c r="AO96" s="2300">
        <v>12737.495000000001</v>
      </c>
      <c r="AP96" s="2299" t="s">
        <v>1369</v>
      </c>
      <c r="AQ96" s="2300">
        <v>3820.4960000000001</v>
      </c>
      <c r="AR96" s="2300">
        <v>73.153999999999996</v>
      </c>
      <c r="AS96" s="2300">
        <v>26.846</v>
      </c>
      <c r="AT96" s="2296"/>
      <c r="AU96" s="2296"/>
      <c r="AV96" s="2296"/>
      <c r="AW96" s="2296"/>
      <c r="AX96" s="2296"/>
      <c r="AY96" s="2296"/>
      <c r="AZ96" s="2296"/>
      <c r="BA96" s="2296"/>
      <c r="BB96" s="2296"/>
      <c r="BC96" s="2296"/>
      <c r="BD96" s="2296"/>
      <c r="BE96" s="2296"/>
      <c r="BF96" s="2296"/>
      <c r="BG96" s="2296"/>
      <c r="BH96" s="2296"/>
      <c r="BI96" s="2296"/>
    </row>
    <row r="97" spans="1:61">
      <c r="A97" s="1773"/>
      <c r="B97" s="968">
        <v>20</v>
      </c>
      <c r="C97" s="968" t="s">
        <v>1350</v>
      </c>
      <c r="D97" s="1771">
        <v>29.9</v>
      </c>
      <c r="E97" s="1771"/>
      <c r="F97" s="1772">
        <v>66.308000000000007</v>
      </c>
      <c r="G97" s="969" t="s">
        <v>1369</v>
      </c>
      <c r="H97" s="1772">
        <v>27.812000000000001</v>
      </c>
      <c r="I97" s="1772" t="s">
        <v>392</v>
      </c>
      <c r="J97" s="1772">
        <v>32034.48</v>
      </c>
      <c r="K97" s="969" t="s">
        <v>1369</v>
      </c>
      <c r="L97" s="1772">
        <v>10647.362999999999</v>
      </c>
      <c r="M97" s="1772" t="s">
        <v>392</v>
      </c>
      <c r="N97" s="1772">
        <v>740.44100000000003</v>
      </c>
      <c r="O97" s="969" t="s">
        <v>1369</v>
      </c>
      <c r="P97" s="1772">
        <v>283.30099999999999</v>
      </c>
      <c r="Q97" s="1772" t="s">
        <v>392</v>
      </c>
      <c r="R97" s="1772">
        <v>445.27800000000002</v>
      </c>
      <c r="S97" s="969" t="s">
        <v>1369</v>
      </c>
      <c r="T97" s="1772">
        <v>137.74199999999999</v>
      </c>
      <c r="U97" s="1768"/>
      <c r="AD97" s="2303" t="s">
        <v>1503</v>
      </c>
      <c r="AE97" s="2303"/>
      <c r="AF97" s="2303"/>
      <c r="AG97" s="2303"/>
      <c r="AH97" s="2303"/>
      <c r="AI97" s="2300">
        <v>9918.0360000000001</v>
      </c>
      <c r="AJ97" s="2299" t="s">
        <v>1369</v>
      </c>
      <c r="AK97" s="2300">
        <v>3963.6309999999999</v>
      </c>
      <c r="AL97" s="2300">
        <v>82.921999999999997</v>
      </c>
      <c r="AM97" s="2300">
        <v>17.077999999999999</v>
      </c>
      <c r="AN97" s="2300"/>
      <c r="AO97" s="2300">
        <v>9218.4869999999992</v>
      </c>
      <c r="AP97" s="2299" t="s">
        <v>1369</v>
      </c>
      <c r="AQ97" s="2300">
        <v>3915.3879999999999</v>
      </c>
      <c r="AR97" s="2300">
        <v>89.213999999999999</v>
      </c>
      <c r="AS97" s="2300">
        <v>10.786</v>
      </c>
      <c r="AT97" s="2296"/>
      <c r="AU97" s="2296"/>
      <c r="AV97" s="2296"/>
      <c r="AW97" s="2296"/>
      <c r="AX97" s="2296"/>
      <c r="AY97" s="2296"/>
      <c r="AZ97" s="2296"/>
      <c r="BA97" s="2296"/>
      <c r="BB97" s="2296"/>
      <c r="BC97" s="2296"/>
      <c r="BD97" s="2296"/>
      <c r="BE97" s="2296"/>
      <c r="BF97" s="2296"/>
      <c r="BG97" s="2296"/>
      <c r="BH97" s="2296"/>
      <c r="BI97" s="2296"/>
    </row>
    <row r="98" spans="1:61">
      <c r="A98" s="1773"/>
      <c r="B98" s="968">
        <v>30</v>
      </c>
      <c r="C98" s="968" t="s">
        <v>1350</v>
      </c>
      <c r="D98" s="1771">
        <v>39.9</v>
      </c>
      <c r="E98" s="1771"/>
      <c r="F98" s="1772">
        <v>337.23399999999998</v>
      </c>
      <c r="G98" s="969" t="s">
        <v>1369</v>
      </c>
      <c r="H98" s="1772">
        <v>46.991</v>
      </c>
      <c r="I98" s="1772" t="s">
        <v>392</v>
      </c>
      <c r="J98" s="1772">
        <v>170898.89600000001</v>
      </c>
      <c r="K98" s="969" t="s">
        <v>1369</v>
      </c>
      <c r="L98" s="1772">
        <v>21553.737000000001</v>
      </c>
      <c r="M98" s="1772" t="s">
        <v>392</v>
      </c>
      <c r="N98" s="1772">
        <v>4111.7730000000001</v>
      </c>
      <c r="O98" s="969" t="s">
        <v>1369</v>
      </c>
      <c r="P98" s="1772">
        <v>739.60799999999995</v>
      </c>
      <c r="Q98" s="1772" t="s">
        <v>392</v>
      </c>
      <c r="R98" s="1772">
        <v>2451.8240000000001</v>
      </c>
      <c r="S98" s="969" t="s">
        <v>1369</v>
      </c>
      <c r="T98" s="1772">
        <v>364.97399999999999</v>
      </c>
      <c r="U98" s="1768"/>
      <c r="AD98" s="2303" t="s">
        <v>1504</v>
      </c>
      <c r="AE98" s="2303"/>
      <c r="AF98" s="2303"/>
      <c r="AG98" s="2303"/>
      <c r="AH98" s="2303"/>
      <c r="AI98" s="2300">
        <v>15556.781999999999</v>
      </c>
      <c r="AJ98" s="2299" t="s">
        <v>1369</v>
      </c>
      <c r="AK98" s="2300">
        <v>4384.1750000000002</v>
      </c>
      <c r="AL98" s="2300">
        <v>83.879000000000005</v>
      </c>
      <c r="AM98" s="2300">
        <v>16.120999999999999</v>
      </c>
      <c r="AN98" s="2300"/>
      <c r="AO98" s="2300">
        <v>15381.526</v>
      </c>
      <c r="AP98" s="2299" t="s">
        <v>1369</v>
      </c>
      <c r="AQ98" s="2300">
        <v>4352.6570000000002</v>
      </c>
      <c r="AR98" s="2300">
        <v>84.834999999999994</v>
      </c>
      <c r="AS98" s="2300">
        <v>15.164999999999999</v>
      </c>
      <c r="AT98" s="2296"/>
      <c r="AU98" s="2296"/>
      <c r="AV98" s="2296"/>
      <c r="AW98" s="2296"/>
      <c r="AX98" s="2296"/>
      <c r="AY98" s="2296"/>
      <c r="AZ98" s="2296"/>
      <c r="BA98" s="2296"/>
      <c r="BB98" s="2296"/>
      <c r="BC98" s="2296"/>
      <c r="BD98" s="2296"/>
      <c r="BE98" s="2296"/>
      <c r="BF98" s="2296"/>
      <c r="BG98" s="2296"/>
      <c r="BH98" s="2296"/>
      <c r="BI98" s="2296"/>
    </row>
    <row r="99" spans="1:61">
      <c r="A99" s="1773"/>
      <c r="B99" s="968">
        <v>40</v>
      </c>
      <c r="C99" s="968" t="s">
        <v>1350</v>
      </c>
      <c r="D99" s="1771">
        <v>49.9</v>
      </c>
      <c r="E99" s="1771"/>
      <c r="F99" s="1772">
        <v>83.224999999999994</v>
      </c>
      <c r="G99" s="969" t="s">
        <v>1369</v>
      </c>
      <c r="H99" s="1772">
        <v>32.156999999999996</v>
      </c>
      <c r="I99" s="1772" t="s">
        <v>392</v>
      </c>
      <c r="J99" s="1772">
        <v>24851.919000000002</v>
      </c>
      <c r="K99" s="969" t="s">
        <v>1369</v>
      </c>
      <c r="L99" s="1772">
        <v>9361.4680000000008</v>
      </c>
      <c r="M99" s="1772" t="s">
        <v>392</v>
      </c>
      <c r="N99" s="1772">
        <v>1280.787</v>
      </c>
      <c r="O99" s="969" t="s">
        <v>1369</v>
      </c>
      <c r="P99" s="1772">
        <v>539.59100000000001</v>
      </c>
      <c r="Q99" s="1772" t="s">
        <v>392</v>
      </c>
      <c r="R99" s="1772">
        <v>397.80799999999999</v>
      </c>
      <c r="S99" s="969" t="s">
        <v>1369</v>
      </c>
      <c r="T99" s="1772">
        <v>148.071</v>
      </c>
      <c r="U99" s="1768"/>
      <c r="AD99" s="2303" t="s">
        <v>1505</v>
      </c>
      <c r="AE99" s="2303"/>
      <c r="AF99" s="2303"/>
      <c r="AG99" s="2303"/>
      <c r="AH99" s="2303"/>
      <c r="AI99" s="2300">
        <v>12436.102999999999</v>
      </c>
      <c r="AJ99" s="2299" t="s">
        <v>1369</v>
      </c>
      <c r="AK99" s="2300">
        <v>3665.2629999999999</v>
      </c>
      <c r="AL99" s="2300">
        <v>85.575000000000003</v>
      </c>
      <c r="AM99" s="2300">
        <v>14.425000000000001</v>
      </c>
      <c r="AN99" s="2300"/>
      <c r="AO99" s="2300">
        <v>12298.89</v>
      </c>
      <c r="AP99" s="2299" t="s">
        <v>1369</v>
      </c>
      <c r="AQ99" s="2300">
        <v>3611.837</v>
      </c>
      <c r="AR99" s="2300">
        <v>86.528999999999996</v>
      </c>
      <c r="AS99" s="2300">
        <v>13.471</v>
      </c>
      <c r="AT99" s="2296"/>
      <c r="AU99" s="2296"/>
      <c r="AV99" s="2296"/>
      <c r="AW99" s="2296"/>
      <c r="AX99" s="2296"/>
      <c r="AY99" s="2296"/>
      <c r="AZ99" s="2296"/>
      <c r="BA99" s="2296"/>
      <c r="BB99" s="2296"/>
      <c r="BC99" s="2296"/>
      <c r="BD99" s="2296"/>
      <c r="BE99" s="2296"/>
      <c r="BF99" s="2296"/>
      <c r="BG99" s="2296"/>
      <c r="BH99" s="2296"/>
      <c r="BI99" s="2296"/>
    </row>
    <row r="100" spans="1:61" ht="13.8" thickBot="1">
      <c r="A100" s="1773"/>
      <c r="B100" s="968">
        <v>50</v>
      </c>
      <c r="C100" s="968" t="s">
        <v>1350</v>
      </c>
      <c r="D100" s="1771"/>
      <c r="E100" s="1771"/>
      <c r="F100" s="1772">
        <v>12.432</v>
      </c>
      <c r="G100" s="969" t="s">
        <v>1369</v>
      </c>
      <c r="H100" s="1772">
        <v>8.2850000000000001</v>
      </c>
      <c r="I100" s="1772" t="s">
        <v>392</v>
      </c>
      <c r="J100" s="1772">
        <v>6094.6289999999999</v>
      </c>
      <c r="K100" s="969" t="s">
        <v>1369</v>
      </c>
      <c r="L100" s="1772">
        <v>3742.9810000000002</v>
      </c>
      <c r="M100" s="1772" t="s">
        <v>392</v>
      </c>
      <c r="N100" s="1772">
        <v>116.755</v>
      </c>
      <c r="O100" s="969" t="s">
        <v>1369</v>
      </c>
      <c r="P100" s="1772">
        <v>88.881</v>
      </c>
      <c r="Q100" s="1772" t="s">
        <v>392</v>
      </c>
      <c r="R100" s="1772">
        <v>77.914000000000001</v>
      </c>
      <c r="S100" s="969" t="s">
        <v>1369</v>
      </c>
      <c r="T100" s="1772">
        <v>65.350999999999999</v>
      </c>
      <c r="U100" s="1768"/>
      <c r="AD100" s="2304"/>
      <c r="AE100" s="2304"/>
      <c r="AF100" s="2304"/>
      <c r="AG100" s="2304"/>
      <c r="AH100" s="2304"/>
      <c r="AI100" s="2305"/>
      <c r="AJ100" s="2306"/>
      <c r="AK100" s="2307"/>
      <c r="AL100" s="2306"/>
      <c r="AM100" s="2307"/>
      <c r="AN100" s="2307"/>
      <c r="AO100" s="2305"/>
      <c r="AP100" s="2306"/>
      <c r="AQ100" s="2307"/>
      <c r="AR100" s="2306"/>
      <c r="AS100" s="2307"/>
      <c r="AT100" s="2296"/>
      <c r="AU100" s="2296"/>
      <c r="AV100" s="2296"/>
      <c r="AW100" s="2296"/>
      <c r="AX100" s="2296"/>
      <c r="AY100" s="2296"/>
      <c r="AZ100" s="2296"/>
      <c r="BA100" s="2296"/>
      <c r="BB100" s="2296"/>
      <c r="BC100" s="2296"/>
      <c r="BD100" s="2296"/>
      <c r="BE100" s="2296"/>
      <c r="BF100" s="2296"/>
      <c r="BG100" s="2296"/>
      <c r="BH100" s="2296"/>
      <c r="BI100" s="2296"/>
    </row>
    <row r="101" spans="1:61" ht="13.8" thickTop="1">
      <c r="A101" s="1774"/>
      <c r="B101" s="967"/>
      <c r="C101" s="967"/>
      <c r="D101" s="967"/>
      <c r="E101" s="967"/>
      <c r="F101" s="967"/>
      <c r="G101" s="967"/>
      <c r="H101" s="967"/>
      <c r="I101" s="967"/>
      <c r="J101" s="967"/>
      <c r="K101" s="967"/>
      <c r="L101" s="967"/>
      <c r="M101" s="967"/>
      <c r="N101" s="967"/>
      <c r="O101" s="967"/>
      <c r="P101" s="967"/>
      <c r="Q101" s="967"/>
      <c r="R101" s="967"/>
      <c r="S101" s="967"/>
      <c r="T101" s="967"/>
      <c r="U101" s="1777"/>
      <c r="AD101" s="2308" t="s">
        <v>2601</v>
      </c>
      <c r="AE101" s="2308"/>
      <c r="AF101" s="2308"/>
      <c r="AG101" s="2308"/>
      <c r="AH101" s="2308"/>
      <c r="AI101" s="2296"/>
      <c r="AJ101" s="2296"/>
      <c r="AK101" s="2296"/>
      <c r="AL101" s="2296"/>
      <c r="AM101" s="2296"/>
      <c r="AN101" s="2296"/>
      <c r="AO101" s="2296"/>
      <c r="AP101" s="2296"/>
      <c r="AQ101" s="2296"/>
      <c r="AR101" s="2296"/>
      <c r="AS101" s="2296"/>
      <c r="AT101" s="2296"/>
      <c r="AU101" s="2296"/>
      <c r="AV101" s="2296"/>
      <c r="AW101" s="2296"/>
      <c r="AX101" s="2296"/>
      <c r="AY101" s="2296"/>
      <c r="AZ101" s="2296"/>
      <c r="BA101" s="2296"/>
      <c r="BB101" s="2296"/>
      <c r="BC101" s="2296"/>
      <c r="BD101" s="2296"/>
      <c r="BE101" s="2296"/>
      <c r="BF101" s="2296"/>
      <c r="BG101" s="2296"/>
      <c r="BH101" s="2296"/>
      <c r="BI101" s="2296"/>
    </row>
    <row r="102" spans="1:61">
      <c r="A102" s="3081"/>
      <c r="B102" s="3082"/>
      <c r="C102" s="3082"/>
      <c r="D102" s="3082"/>
      <c r="E102" s="968"/>
      <c r="F102" s="970"/>
      <c r="G102" s="969"/>
      <c r="H102" s="970"/>
      <c r="I102" s="970"/>
      <c r="J102" s="970"/>
      <c r="K102" s="969"/>
      <c r="L102" s="970"/>
      <c r="M102" s="970"/>
      <c r="N102" s="970"/>
      <c r="O102" s="969"/>
      <c r="P102" s="970"/>
      <c r="Q102" s="970"/>
      <c r="R102" s="970"/>
      <c r="S102" s="969"/>
      <c r="T102" s="970"/>
      <c r="U102" s="1768"/>
      <c r="AD102" s="2296"/>
      <c r="AE102" s="2296"/>
      <c r="AF102" s="2296"/>
      <c r="AG102" s="2296"/>
      <c r="AH102" s="2296"/>
      <c r="AI102" s="2296"/>
      <c r="AJ102" s="2296"/>
      <c r="AK102" s="2296"/>
      <c r="AL102" s="2296"/>
      <c r="AM102" s="2296"/>
      <c r="AN102" s="2296"/>
      <c r="AO102" s="2296"/>
      <c r="AP102" s="2296"/>
      <c r="AQ102" s="2296"/>
      <c r="AR102" s="2296"/>
      <c r="AS102" s="2296"/>
      <c r="AT102" s="2296"/>
      <c r="AU102" s="2296"/>
      <c r="AV102" s="2296"/>
      <c r="AW102" s="2296"/>
      <c r="AX102" s="2296"/>
      <c r="AY102" s="2296"/>
      <c r="AZ102" s="2296"/>
      <c r="BA102" s="2296"/>
      <c r="BB102" s="2296"/>
      <c r="BC102" s="2296"/>
      <c r="BD102" s="2296"/>
      <c r="BE102" s="2296"/>
      <c r="BF102" s="2296"/>
      <c r="BG102" s="2296"/>
      <c r="BH102" s="2296"/>
      <c r="BI102" s="2296"/>
    </row>
    <row r="103" spans="1:61">
      <c r="A103" s="3079" t="s">
        <v>1372</v>
      </c>
      <c r="B103" s="3080"/>
      <c r="C103" s="3080"/>
      <c r="D103" s="3080"/>
      <c r="E103" s="3080"/>
      <c r="F103" s="3080"/>
      <c r="G103" s="969"/>
      <c r="H103" s="1638"/>
      <c r="I103" s="1638"/>
      <c r="J103" s="1638"/>
      <c r="K103" s="969"/>
      <c r="L103" s="1638"/>
      <c r="M103" s="1638"/>
      <c r="N103" s="1638"/>
      <c r="O103" s="969"/>
      <c r="P103" s="1638"/>
      <c r="Q103" s="1638"/>
      <c r="R103" s="1638"/>
      <c r="S103" s="969"/>
      <c r="T103" s="1638"/>
      <c r="U103" s="1768"/>
      <c r="AD103" s="2296"/>
      <c r="AE103" s="2296"/>
      <c r="AF103" s="2296"/>
      <c r="AG103" s="2296"/>
      <c r="AH103" s="2296"/>
      <c r="AI103" s="2296"/>
      <c r="AJ103" s="2296"/>
      <c r="AK103" s="2296"/>
      <c r="AL103" s="2296"/>
      <c r="AM103" s="2296"/>
      <c r="AN103" s="2296"/>
      <c r="AO103" s="2296"/>
      <c r="AP103" s="2296"/>
      <c r="AQ103" s="2296"/>
      <c r="AR103" s="2296"/>
      <c r="AS103" s="2296"/>
      <c r="AT103" s="2296"/>
      <c r="AU103" s="2296"/>
      <c r="AV103" s="2296"/>
      <c r="AW103" s="2296"/>
      <c r="AX103" s="2296"/>
      <c r="AY103" s="2296"/>
      <c r="AZ103" s="2296"/>
      <c r="BA103" s="2296"/>
      <c r="BB103" s="2296"/>
      <c r="BC103" s="2296"/>
      <c r="BD103" s="2296"/>
      <c r="BE103" s="2296"/>
      <c r="BF103" s="2296"/>
      <c r="BG103" s="2296"/>
      <c r="BH103" s="2296"/>
      <c r="BI103" s="2296"/>
    </row>
    <row r="104" spans="1:61">
      <c r="A104" s="3076" t="s">
        <v>625</v>
      </c>
      <c r="B104" s="3077"/>
      <c r="C104" s="3077"/>
      <c r="D104" s="3077"/>
      <c r="E104" s="1636"/>
      <c r="F104" s="1769">
        <v>556.40899999999999</v>
      </c>
      <c r="G104" s="969" t="s">
        <v>1369</v>
      </c>
      <c r="H104" s="1769">
        <v>78.843000000000004</v>
      </c>
      <c r="I104" s="1769" t="s">
        <v>392</v>
      </c>
      <c r="J104" s="1769">
        <v>252565.864</v>
      </c>
      <c r="K104" s="969" t="s">
        <v>1369</v>
      </c>
      <c r="L104" s="1769">
        <v>26602.072</v>
      </c>
      <c r="M104" s="1769" t="s">
        <v>392</v>
      </c>
      <c r="N104" s="1769">
        <v>6473.92</v>
      </c>
      <c r="O104" s="969" t="s">
        <v>1369</v>
      </c>
      <c r="P104" s="1769">
        <v>951.95</v>
      </c>
      <c r="Q104" s="1769" t="s">
        <v>392</v>
      </c>
      <c r="R104" s="1769">
        <v>3535.4589999999998</v>
      </c>
      <c r="S104" s="969" t="s">
        <v>1369</v>
      </c>
      <c r="T104" s="1769">
        <v>421.50200000000001</v>
      </c>
      <c r="U104" s="1768"/>
      <c r="AD104" s="2296"/>
      <c r="AE104" s="2296"/>
      <c r="AF104" s="2296"/>
      <c r="AG104" s="2296"/>
      <c r="AH104" s="2296"/>
      <c r="AI104" s="2296"/>
      <c r="AJ104" s="2296"/>
      <c r="AK104" s="2296"/>
      <c r="AL104" s="2296"/>
      <c r="AM104" s="2296"/>
      <c r="AN104" s="2296"/>
      <c r="AO104" s="2296"/>
      <c r="AP104" s="2296"/>
      <c r="AQ104" s="2296"/>
      <c r="AR104" s="2296"/>
      <c r="AS104" s="2296"/>
      <c r="AT104" s="2296"/>
      <c r="AU104" s="2296"/>
      <c r="AV104" s="2296"/>
      <c r="AW104" s="2296"/>
      <c r="AX104" s="2296"/>
      <c r="AY104" s="2296"/>
      <c r="AZ104" s="2296"/>
      <c r="BA104" s="2296"/>
      <c r="BB104" s="2296"/>
      <c r="BC104" s="2296"/>
      <c r="BD104" s="2296"/>
      <c r="BE104" s="2296"/>
      <c r="BF104" s="2296"/>
      <c r="BG104" s="2296"/>
      <c r="BH104" s="2296"/>
      <c r="BI104" s="2296"/>
    </row>
    <row r="105" spans="1:61">
      <c r="A105" s="1773"/>
      <c r="B105" s="968">
        <v>2</v>
      </c>
      <c r="C105" s="968"/>
      <c r="D105" s="1638"/>
      <c r="E105" s="1638"/>
      <c r="F105" s="1772">
        <v>36.558999999999997</v>
      </c>
      <c r="G105" s="969" t="s">
        <v>1369</v>
      </c>
      <c r="H105" s="1772">
        <v>46.91</v>
      </c>
      <c r="I105" s="1772" t="s">
        <v>392</v>
      </c>
      <c r="J105" s="1772">
        <v>6456.2709999999997</v>
      </c>
      <c r="K105" s="969" t="s">
        <v>1369</v>
      </c>
      <c r="L105" s="1772">
        <v>5282.1040000000003</v>
      </c>
      <c r="M105" s="1772" t="s">
        <v>392</v>
      </c>
      <c r="N105" s="1772">
        <v>59.746000000000002</v>
      </c>
      <c r="O105" s="969" t="s">
        <v>1369</v>
      </c>
      <c r="P105" s="1772">
        <v>60.518999999999998</v>
      </c>
      <c r="Q105" s="1772" t="s">
        <v>392</v>
      </c>
      <c r="R105" s="1772">
        <v>16.196999999999999</v>
      </c>
      <c r="S105" s="969" t="s">
        <v>1369</v>
      </c>
      <c r="T105" s="1772">
        <v>13.688000000000001</v>
      </c>
      <c r="U105" s="1768"/>
    </row>
    <row r="106" spans="1:61">
      <c r="A106" s="1773"/>
      <c r="B106" s="968">
        <v>3</v>
      </c>
      <c r="C106" s="968"/>
      <c r="D106" s="1638"/>
      <c r="E106" s="1638"/>
      <c r="F106" s="1772">
        <v>9.0280000000000005</v>
      </c>
      <c r="G106" s="969" t="s">
        <v>1369</v>
      </c>
      <c r="H106" s="1772">
        <v>7.4240000000000004</v>
      </c>
      <c r="I106" s="1772" t="s">
        <v>392</v>
      </c>
      <c r="J106" s="1772">
        <v>3492.0250000000001</v>
      </c>
      <c r="K106" s="969" t="s">
        <v>1369</v>
      </c>
      <c r="L106" s="1772">
        <v>2902.0239999999999</v>
      </c>
      <c r="M106" s="1772" t="s">
        <v>392</v>
      </c>
      <c r="N106" s="1772">
        <v>28.832000000000001</v>
      </c>
      <c r="O106" s="969" t="s">
        <v>1369</v>
      </c>
      <c r="P106" s="1772">
        <v>28.061</v>
      </c>
      <c r="Q106" s="1772" t="s">
        <v>392</v>
      </c>
      <c r="R106" s="1772">
        <v>11.632</v>
      </c>
      <c r="S106" s="969" t="s">
        <v>1369</v>
      </c>
      <c r="T106" s="1772">
        <v>10.696</v>
      </c>
      <c r="U106" s="1768"/>
    </row>
    <row r="107" spans="1:61">
      <c r="A107" s="1773"/>
      <c r="B107" s="968">
        <v>4</v>
      </c>
      <c r="C107" s="968"/>
      <c r="D107" s="1638"/>
      <c r="E107" s="1638"/>
      <c r="F107" s="1772">
        <v>19.195</v>
      </c>
      <c r="G107" s="969" t="s">
        <v>1369</v>
      </c>
      <c r="H107" s="1772">
        <v>12.032</v>
      </c>
      <c r="I107" s="1772" t="s">
        <v>392</v>
      </c>
      <c r="J107" s="1772">
        <v>11194.790999999999</v>
      </c>
      <c r="K107" s="969" t="s">
        <v>1369</v>
      </c>
      <c r="L107" s="1772">
        <v>6285.7150000000001</v>
      </c>
      <c r="M107" s="1772" t="s">
        <v>392</v>
      </c>
      <c r="N107" s="1772">
        <v>172.071</v>
      </c>
      <c r="O107" s="969" t="s">
        <v>1369</v>
      </c>
      <c r="P107" s="1772">
        <v>113.18600000000001</v>
      </c>
      <c r="Q107" s="1772" t="s">
        <v>392</v>
      </c>
      <c r="R107" s="1772">
        <v>150.584</v>
      </c>
      <c r="S107" s="969" t="s">
        <v>1369</v>
      </c>
      <c r="T107" s="1772">
        <v>80.009</v>
      </c>
      <c r="U107" s="1768"/>
    </row>
    <row r="108" spans="1:61">
      <c r="A108" s="1773"/>
      <c r="B108" s="968">
        <v>5</v>
      </c>
      <c r="C108" s="968"/>
      <c r="D108" s="1638"/>
      <c r="E108" s="1638"/>
      <c r="F108" s="1772">
        <v>191.26599999999999</v>
      </c>
      <c r="G108" s="969" t="s">
        <v>1369</v>
      </c>
      <c r="H108" s="1772">
        <v>35.045000000000002</v>
      </c>
      <c r="I108" s="1772" t="s">
        <v>392</v>
      </c>
      <c r="J108" s="1772">
        <v>111682.501</v>
      </c>
      <c r="K108" s="969" t="s">
        <v>1369</v>
      </c>
      <c r="L108" s="1772">
        <v>19074.688999999998</v>
      </c>
      <c r="M108" s="1772" t="s">
        <v>392</v>
      </c>
      <c r="N108" s="1772">
        <v>1994.3779999999999</v>
      </c>
      <c r="O108" s="969" t="s">
        <v>1369</v>
      </c>
      <c r="P108" s="1772">
        <v>371.61200000000002</v>
      </c>
      <c r="Q108" s="1772" t="s">
        <v>392</v>
      </c>
      <c r="R108" s="1772">
        <v>1500.933</v>
      </c>
      <c r="S108" s="969" t="s">
        <v>1369</v>
      </c>
      <c r="T108" s="1772">
        <v>294.459</v>
      </c>
      <c r="U108" s="1768"/>
    </row>
    <row r="109" spans="1:61">
      <c r="A109" s="1773"/>
      <c r="B109" s="968">
        <v>6</v>
      </c>
      <c r="C109" s="968"/>
      <c r="D109" s="1638"/>
      <c r="E109" s="1638"/>
      <c r="F109" s="1772">
        <v>196.47399999999999</v>
      </c>
      <c r="G109" s="969" t="s">
        <v>1369</v>
      </c>
      <c r="H109" s="1772">
        <v>39.729999999999997</v>
      </c>
      <c r="I109" s="1772" t="s">
        <v>392</v>
      </c>
      <c r="J109" s="1772">
        <v>86448.317999999999</v>
      </c>
      <c r="K109" s="969" t="s">
        <v>1369</v>
      </c>
      <c r="L109" s="1772">
        <v>14241.625</v>
      </c>
      <c r="M109" s="1772" t="s">
        <v>392</v>
      </c>
      <c r="N109" s="1772">
        <v>2676.694</v>
      </c>
      <c r="O109" s="969" t="s">
        <v>1369</v>
      </c>
      <c r="P109" s="1772">
        <v>678.81200000000001</v>
      </c>
      <c r="Q109" s="1772" t="s">
        <v>392</v>
      </c>
      <c r="R109" s="1772">
        <v>1336.297</v>
      </c>
      <c r="S109" s="969" t="s">
        <v>1369</v>
      </c>
      <c r="T109" s="1772">
        <v>253.833</v>
      </c>
      <c r="U109" s="1768"/>
    </row>
    <row r="110" spans="1:61">
      <c r="A110" s="1773"/>
      <c r="B110" s="968">
        <v>7</v>
      </c>
      <c r="C110" s="968"/>
      <c r="D110" s="1638"/>
      <c r="E110" s="1638"/>
      <c r="F110" s="1772">
        <v>88.971000000000004</v>
      </c>
      <c r="G110" s="969" t="s">
        <v>1369</v>
      </c>
      <c r="H110" s="1772">
        <v>33.31</v>
      </c>
      <c r="I110" s="1772" t="s">
        <v>392</v>
      </c>
      <c r="J110" s="1772">
        <v>24066.306</v>
      </c>
      <c r="K110" s="969" t="s">
        <v>1369</v>
      </c>
      <c r="L110" s="1772">
        <v>7502.723</v>
      </c>
      <c r="M110" s="1772" t="s">
        <v>392</v>
      </c>
      <c r="N110" s="1772">
        <v>1381.769</v>
      </c>
      <c r="O110" s="969" t="s">
        <v>1369</v>
      </c>
      <c r="P110" s="1772">
        <v>556.05100000000004</v>
      </c>
      <c r="Q110" s="1772" t="s">
        <v>392</v>
      </c>
      <c r="R110" s="1772">
        <v>402.76600000000002</v>
      </c>
      <c r="S110" s="969" t="s">
        <v>1369</v>
      </c>
      <c r="T110" s="1772">
        <v>141.471</v>
      </c>
      <c r="U110" s="1768"/>
    </row>
    <row r="111" spans="1:61">
      <c r="A111" s="1773"/>
      <c r="B111" s="3082" t="s">
        <v>1373</v>
      </c>
      <c r="C111" s="3082"/>
      <c r="D111" s="3082"/>
      <c r="E111" s="968"/>
      <c r="F111" s="1772">
        <v>14.916</v>
      </c>
      <c r="G111" s="969" t="s">
        <v>1369</v>
      </c>
      <c r="H111" s="1772">
        <v>9.3859999999999992</v>
      </c>
      <c r="I111" s="1772" t="s">
        <v>392</v>
      </c>
      <c r="J111" s="1772">
        <v>9225.6530000000002</v>
      </c>
      <c r="K111" s="969" t="s">
        <v>1369</v>
      </c>
      <c r="L111" s="1772">
        <v>7104.6040000000003</v>
      </c>
      <c r="M111" s="1772" t="s">
        <v>392</v>
      </c>
      <c r="N111" s="1772">
        <v>160.43</v>
      </c>
      <c r="O111" s="969" t="s">
        <v>1369</v>
      </c>
      <c r="P111" s="1772">
        <v>120.35899999999999</v>
      </c>
      <c r="Q111" s="1772" t="s">
        <v>392</v>
      </c>
      <c r="R111" s="1772">
        <v>117.051</v>
      </c>
      <c r="S111" s="969" t="s">
        <v>1369</v>
      </c>
      <c r="T111" s="1772">
        <v>90.138999999999996</v>
      </c>
      <c r="U111" s="1768"/>
    </row>
    <row r="112" spans="1:61">
      <c r="A112" s="1774"/>
      <c r="B112" s="967"/>
      <c r="C112" s="967"/>
      <c r="D112" s="967"/>
      <c r="E112" s="967"/>
      <c r="F112" s="967"/>
      <c r="G112" s="967"/>
      <c r="H112" s="967"/>
      <c r="I112" s="967"/>
      <c r="J112" s="967"/>
      <c r="K112" s="967"/>
      <c r="L112" s="967"/>
      <c r="M112" s="967"/>
      <c r="N112" s="967"/>
      <c r="O112" s="967"/>
      <c r="P112" s="967"/>
      <c r="Q112" s="967"/>
      <c r="R112" s="967"/>
      <c r="S112" s="967"/>
      <c r="T112" s="967"/>
      <c r="U112" s="1777"/>
    </row>
    <row r="113" spans="1:21">
      <c r="A113" s="3081"/>
      <c r="B113" s="3082"/>
      <c r="C113" s="3082"/>
      <c r="D113" s="3082"/>
      <c r="E113" s="968"/>
      <c r="F113" s="970"/>
      <c r="G113" s="969"/>
      <c r="H113" s="970"/>
      <c r="I113" s="970"/>
      <c r="J113" s="970"/>
      <c r="K113" s="969"/>
      <c r="L113" s="970"/>
      <c r="M113" s="970"/>
      <c r="N113" s="970"/>
      <c r="O113" s="969"/>
      <c r="P113" s="970"/>
      <c r="Q113" s="970"/>
      <c r="R113" s="970"/>
      <c r="S113" s="969"/>
      <c r="T113" s="970"/>
      <c r="U113" s="1768"/>
    </row>
    <row r="114" spans="1:21">
      <c r="A114" s="3079" t="s">
        <v>1374</v>
      </c>
      <c r="B114" s="3080"/>
      <c r="C114" s="3080"/>
      <c r="D114" s="3080"/>
      <c r="E114" s="3080"/>
      <c r="F114" s="3080"/>
      <c r="G114" s="1778"/>
      <c r="H114" s="1779"/>
      <c r="I114" s="1780"/>
      <c r="J114" s="1781"/>
      <c r="K114" s="969"/>
      <c r="L114" s="1781"/>
      <c r="M114" s="1781"/>
      <c r="N114" s="1781"/>
      <c r="O114" s="969"/>
      <c r="P114" s="1781"/>
      <c r="Q114" s="1781"/>
      <c r="R114" s="1781"/>
      <c r="S114" s="969"/>
      <c r="T114" s="1781"/>
      <c r="U114" s="1768"/>
    </row>
    <row r="115" spans="1:21">
      <c r="A115" s="3076" t="s">
        <v>625</v>
      </c>
      <c r="B115" s="3077"/>
      <c r="C115" s="3077"/>
      <c r="D115" s="3077"/>
      <c r="E115" s="1636"/>
      <c r="F115" s="1769">
        <v>556.40899999999999</v>
      </c>
      <c r="G115" s="969" t="s">
        <v>1369</v>
      </c>
      <c r="H115" s="1769">
        <v>78.843000000000004</v>
      </c>
      <c r="I115" s="1769" t="s">
        <v>392</v>
      </c>
      <c r="J115" s="1769">
        <v>252565.864</v>
      </c>
      <c r="K115" s="969" t="s">
        <v>1369</v>
      </c>
      <c r="L115" s="1769">
        <v>26602.072</v>
      </c>
      <c r="M115" s="1769" t="s">
        <v>392</v>
      </c>
      <c r="N115" s="1769">
        <v>6473.92</v>
      </c>
      <c r="O115" s="969" t="s">
        <v>1369</v>
      </c>
      <c r="P115" s="1769">
        <v>951.95</v>
      </c>
      <c r="Q115" s="1769" t="s">
        <v>392</v>
      </c>
      <c r="R115" s="1769">
        <v>3535.4589999999998</v>
      </c>
      <c r="S115" s="969" t="s">
        <v>1369</v>
      </c>
      <c r="T115" s="1769">
        <v>421.50200000000001</v>
      </c>
      <c r="U115" s="1768"/>
    </row>
    <row r="116" spans="1:21">
      <c r="A116" s="1770"/>
      <c r="B116" s="968">
        <v>0</v>
      </c>
      <c r="C116" s="1636"/>
      <c r="D116" s="1636"/>
      <c r="E116" s="1636"/>
      <c r="F116" s="1772">
        <v>17.384</v>
      </c>
      <c r="G116" s="969" t="s">
        <v>1369</v>
      </c>
      <c r="H116" s="1772">
        <v>10.587999999999999</v>
      </c>
      <c r="I116" s="1772" t="s">
        <v>392</v>
      </c>
      <c r="J116" s="1772">
        <v>11466.634</v>
      </c>
      <c r="K116" s="969" t="s">
        <v>1369</v>
      </c>
      <c r="L116" s="1772">
        <v>6186.8450000000003</v>
      </c>
      <c r="M116" s="1772" t="s">
        <v>392</v>
      </c>
      <c r="N116" s="1772">
        <v>229.25800000000001</v>
      </c>
      <c r="O116" s="969" t="s">
        <v>1369</v>
      </c>
      <c r="P116" s="1772">
        <v>146.37</v>
      </c>
      <c r="Q116" s="1772" t="s">
        <v>392</v>
      </c>
      <c r="R116" s="1772">
        <v>195.68299999999999</v>
      </c>
      <c r="S116" s="969" t="s">
        <v>1369</v>
      </c>
      <c r="T116" s="1772">
        <v>113.71599999999999</v>
      </c>
      <c r="U116" s="1768"/>
    </row>
    <row r="117" spans="1:21">
      <c r="A117" s="1770"/>
      <c r="B117" s="968">
        <v>1</v>
      </c>
      <c r="C117" s="1636"/>
      <c r="D117" s="1636"/>
      <c r="E117" s="1636"/>
      <c r="F117" s="1772">
        <v>63.77</v>
      </c>
      <c r="G117" s="969" t="s">
        <v>1369</v>
      </c>
      <c r="H117" s="1772">
        <v>26.515999999999998</v>
      </c>
      <c r="I117" s="1772" t="s">
        <v>392</v>
      </c>
      <c r="J117" s="1772">
        <v>35133.097000000002</v>
      </c>
      <c r="K117" s="969" t="s">
        <v>1369</v>
      </c>
      <c r="L117" s="1772">
        <v>15331.550999999999</v>
      </c>
      <c r="M117" s="1772" t="s">
        <v>392</v>
      </c>
      <c r="N117" s="1772">
        <v>716.37300000000005</v>
      </c>
      <c r="O117" s="969" t="s">
        <v>1369</v>
      </c>
      <c r="P117" s="1772">
        <v>279.39699999999999</v>
      </c>
      <c r="Q117" s="1772" t="s">
        <v>392</v>
      </c>
      <c r="R117" s="1772">
        <v>478.56900000000002</v>
      </c>
      <c r="S117" s="969" t="s">
        <v>1369</v>
      </c>
      <c r="T117" s="1772">
        <v>229.70099999999999</v>
      </c>
      <c r="U117" s="1768"/>
    </row>
    <row r="118" spans="1:21">
      <c r="A118" s="1770"/>
      <c r="B118" s="968">
        <v>2</v>
      </c>
      <c r="C118" s="1636"/>
      <c r="D118" s="1636"/>
      <c r="E118" s="1636"/>
      <c r="F118" s="1772">
        <v>107.271</v>
      </c>
      <c r="G118" s="969" t="s">
        <v>1369</v>
      </c>
      <c r="H118" s="1772">
        <v>34.445999999999998</v>
      </c>
      <c r="I118" s="1772" t="s">
        <v>392</v>
      </c>
      <c r="J118" s="1772">
        <v>49385.885999999999</v>
      </c>
      <c r="K118" s="969" t="s">
        <v>1369</v>
      </c>
      <c r="L118" s="1772">
        <v>11983.817999999999</v>
      </c>
      <c r="M118" s="1772" t="s">
        <v>392</v>
      </c>
      <c r="N118" s="1772">
        <v>1415.135</v>
      </c>
      <c r="O118" s="969" t="s">
        <v>1369</v>
      </c>
      <c r="P118" s="1772">
        <v>632.66300000000001</v>
      </c>
      <c r="Q118" s="1772" t="s">
        <v>392</v>
      </c>
      <c r="R118" s="1772">
        <v>780.529</v>
      </c>
      <c r="S118" s="969" t="s">
        <v>1369</v>
      </c>
      <c r="T118" s="1772">
        <v>233.11</v>
      </c>
      <c r="U118" s="1768"/>
    </row>
    <row r="119" spans="1:21">
      <c r="A119" s="1770"/>
      <c r="B119" s="968">
        <v>3</v>
      </c>
      <c r="C119" s="1636"/>
      <c r="D119" s="1636"/>
      <c r="E119" s="1636"/>
      <c r="F119" s="1772">
        <v>93.287999999999997</v>
      </c>
      <c r="G119" s="969" t="s">
        <v>1369</v>
      </c>
      <c r="H119" s="1772">
        <v>26.884</v>
      </c>
      <c r="I119" s="1772" t="s">
        <v>392</v>
      </c>
      <c r="J119" s="1772">
        <v>37410.031000000003</v>
      </c>
      <c r="K119" s="969" t="s">
        <v>1369</v>
      </c>
      <c r="L119" s="1772">
        <v>8773.0840000000007</v>
      </c>
      <c r="M119" s="1772" t="s">
        <v>392</v>
      </c>
      <c r="N119" s="1772">
        <v>1098.7860000000001</v>
      </c>
      <c r="O119" s="969" t="s">
        <v>1369</v>
      </c>
      <c r="P119" s="1772">
        <v>365.226</v>
      </c>
      <c r="Q119" s="1772" t="s">
        <v>392</v>
      </c>
      <c r="R119" s="1772">
        <v>502.32400000000001</v>
      </c>
      <c r="S119" s="969" t="s">
        <v>1369</v>
      </c>
      <c r="T119" s="1772">
        <v>125.232</v>
      </c>
      <c r="U119" s="1768"/>
    </row>
    <row r="120" spans="1:21">
      <c r="A120" s="1770"/>
      <c r="B120" s="968">
        <v>4</v>
      </c>
      <c r="C120" s="1636"/>
      <c r="D120" s="1636"/>
      <c r="E120" s="1636"/>
      <c r="F120" s="1772">
        <v>60.243000000000002</v>
      </c>
      <c r="G120" s="969" t="s">
        <v>1369</v>
      </c>
      <c r="H120" s="1772">
        <v>16.07</v>
      </c>
      <c r="I120" s="1772" t="s">
        <v>392</v>
      </c>
      <c r="J120" s="1772">
        <v>38021.938000000002</v>
      </c>
      <c r="K120" s="969" t="s">
        <v>1369</v>
      </c>
      <c r="L120" s="1772">
        <v>8236.5630000000001</v>
      </c>
      <c r="M120" s="1772" t="s">
        <v>392</v>
      </c>
      <c r="N120" s="1772">
        <v>837.72900000000004</v>
      </c>
      <c r="O120" s="969" t="s">
        <v>1369</v>
      </c>
      <c r="P120" s="1772">
        <v>292.99799999999999</v>
      </c>
      <c r="Q120" s="1772" t="s">
        <v>392</v>
      </c>
      <c r="R120" s="1772">
        <v>580.80899999999997</v>
      </c>
      <c r="S120" s="969" t="s">
        <v>1369</v>
      </c>
      <c r="T120" s="1772">
        <v>146.91800000000001</v>
      </c>
      <c r="U120" s="1768"/>
    </row>
    <row r="121" spans="1:21">
      <c r="A121" s="1770"/>
      <c r="B121" s="968">
        <v>5</v>
      </c>
      <c r="C121" s="1636"/>
      <c r="D121" s="1636"/>
      <c r="E121" s="1636"/>
      <c r="F121" s="1772">
        <v>62.488</v>
      </c>
      <c r="G121" s="969" t="s">
        <v>1369</v>
      </c>
      <c r="H121" s="1772">
        <v>18.994</v>
      </c>
      <c r="I121" s="1772" t="s">
        <v>392</v>
      </c>
      <c r="J121" s="1772">
        <v>29310.645</v>
      </c>
      <c r="K121" s="969" t="s">
        <v>1369</v>
      </c>
      <c r="L121" s="1772">
        <v>7446.3090000000002</v>
      </c>
      <c r="M121" s="1772" t="s">
        <v>392</v>
      </c>
      <c r="N121" s="1772">
        <v>745.88</v>
      </c>
      <c r="O121" s="969" t="s">
        <v>1369</v>
      </c>
      <c r="P121" s="1772">
        <v>266.44299999999998</v>
      </c>
      <c r="Q121" s="1772" t="s">
        <v>392</v>
      </c>
      <c r="R121" s="1772">
        <v>406.12799999999999</v>
      </c>
      <c r="S121" s="969" t="s">
        <v>1369</v>
      </c>
      <c r="T121" s="1772">
        <v>112.285</v>
      </c>
      <c r="U121" s="1768"/>
    </row>
    <row r="122" spans="1:21">
      <c r="A122" s="1770"/>
      <c r="B122" s="968">
        <v>6</v>
      </c>
      <c r="C122" s="1636"/>
      <c r="D122" s="1636"/>
      <c r="E122" s="1636"/>
      <c r="F122" s="1772">
        <v>41.103000000000002</v>
      </c>
      <c r="G122" s="969" t="s">
        <v>1369</v>
      </c>
      <c r="H122" s="1772">
        <v>15.944000000000001</v>
      </c>
      <c r="I122" s="1772" t="s">
        <v>392</v>
      </c>
      <c r="J122" s="1772">
        <v>17127.492999999999</v>
      </c>
      <c r="K122" s="969" t="s">
        <v>1369</v>
      </c>
      <c r="L122" s="1772">
        <v>4950.317</v>
      </c>
      <c r="M122" s="1772" t="s">
        <v>392</v>
      </c>
      <c r="N122" s="1772">
        <v>451.86500000000001</v>
      </c>
      <c r="O122" s="969" t="s">
        <v>1369</v>
      </c>
      <c r="P122" s="1772">
        <v>214.953</v>
      </c>
      <c r="Q122" s="1772" t="s">
        <v>392</v>
      </c>
      <c r="R122" s="1772">
        <v>216.626</v>
      </c>
      <c r="S122" s="969" t="s">
        <v>1369</v>
      </c>
      <c r="T122" s="1772">
        <v>71.73</v>
      </c>
      <c r="U122" s="1768"/>
    </row>
    <row r="123" spans="1:21">
      <c r="A123" s="1770"/>
      <c r="B123" s="968">
        <v>7</v>
      </c>
      <c r="C123" s="1636"/>
      <c r="D123" s="1636"/>
      <c r="E123" s="1636"/>
      <c r="F123" s="1772">
        <v>49.335000000000001</v>
      </c>
      <c r="G123" s="969" t="s">
        <v>1369</v>
      </c>
      <c r="H123" s="1772">
        <v>48.034999999999997</v>
      </c>
      <c r="I123" s="1772" t="s">
        <v>392</v>
      </c>
      <c r="J123" s="1772">
        <v>12748.916999999999</v>
      </c>
      <c r="K123" s="969" t="s">
        <v>1369</v>
      </c>
      <c r="L123" s="1772">
        <v>6501.5020000000004</v>
      </c>
      <c r="M123" s="1772" t="s">
        <v>392</v>
      </c>
      <c r="N123" s="1772">
        <v>294.98700000000002</v>
      </c>
      <c r="O123" s="969" t="s">
        <v>1369</v>
      </c>
      <c r="P123" s="1772">
        <v>129.30000000000001</v>
      </c>
      <c r="Q123" s="1772" t="s">
        <v>392</v>
      </c>
      <c r="R123" s="1772">
        <v>140.34299999999999</v>
      </c>
      <c r="S123" s="969" t="s">
        <v>1369</v>
      </c>
      <c r="T123" s="1772">
        <v>57.787999999999997</v>
      </c>
      <c r="U123" s="1768"/>
    </row>
    <row r="124" spans="1:21">
      <c r="A124" s="1770"/>
      <c r="B124" s="968">
        <v>8</v>
      </c>
      <c r="C124" s="1636"/>
      <c r="D124" s="1636"/>
      <c r="E124" s="1636"/>
      <c r="F124" s="1772">
        <v>10.526999999999999</v>
      </c>
      <c r="G124" s="969" t="s">
        <v>1369</v>
      </c>
      <c r="H124" s="1772">
        <v>7.1680000000000001</v>
      </c>
      <c r="I124" s="1772" t="s">
        <v>392</v>
      </c>
      <c r="J124" s="1772">
        <v>4058.7220000000002</v>
      </c>
      <c r="K124" s="969" t="s">
        <v>1369</v>
      </c>
      <c r="L124" s="1772">
        <v>2472.848</v>
      </c>
      <c r="M124" s="1772" t="s">
        <v>392</v>
      </c>
      <c r="N124" s="1772">
        <v>109.23699999999999</v>
      </c>
      <c r="O124" s="969" t="s">
        <v>1369</v>
      </c>
      <c r="P124" s="1772">
        <v>113.48699999999999</v>
      </c>
      <c r="Q124" s="1772" t="s">
        <v>392</v>
      </c>
      <c r="R124" s="1772">
        <v>37.892000000000003</v>
      </c>
      <c r="S124" s="969" t="s">
        <v>1369</v>
      </c>
      <c r="T124" s="1772">
        <v>24.193999999999999</v>
      </c>
      <c r="U124" s="1768"/>
    </row>
    <row r="125" spans="1:21">
      <c r="A125" s="1770"/>
      <c r="B125" s="968">
        <v>9</v>
      </c>
      <c r="C125" s="1636"/>
      <c r="D125" s="1636"/>
      <c r="E125" s="1636"/>
      <c r="F125" s="1772">
        <v>15.098000000000001</v>
      </c>
      <c r="G125" s="969" t="s">
        <v>1369</v>
      </c>
      <c r="H125" s="1772">
        <v>9.56</v>
      </c>
      <c r="I125" s="1772" t="s">
        <v>392</v>
      </c>
      <c r="J125" s="1772">
        <v>5666.4989999999998</v>
      </c>
      <c r="K125" s="969" t="s">
        <v>1369</v>
      </c>
      <c r="L125" s="1772">
        <v>3506.5309999999999</v>
      </c>
      <c r="M125" s="1772" t="s">
        <v>392</v>
      </c>
      <c r="N125" s="1772">
        <v>187.28200000000001</v>
      </c>
      <c r="O125" s="969" t="s">
        <v>1369</v>
      </c>
      <c r="P125" s="1772">
        <v>153.37</v>
      </c>
      <c r="Q125" s="1772" t="s">
        <v>392</v>
      </c>
      <c r="R125" s="1772">
        <v>72.516999999999996</v>
      </c>
      <c r="S125" s="969" t="s">
        <v>1369</v>
      </c>
      <c r="T125" s="1772">
        <v>51.540999999999997</v>
      </c>
      <c r="U125" s="1768"/>
    </row>
    <row r="126" spans="1:21">
      <c r="A126" s="1770"/>
      <c r="B126" s="3078" t="s">
        <v>1375</v>
      </c>
      <c r="C126" s="3078"/>
      <c r="D126" s="3078"/>
      <c r="E126" s="968"/>
      <c r="F126" s="1772">
        <v>35.901000000000003</v>
      </c>
      <c r="G126" s="969" t="s">
        <v>1369</v>
      </c>
      <c r="H126" s="1772">
        <v>20.997</v>
      </c>
      <c r="I126" s="1772" t="s">
        <v>392</v>
      </c>
      <c r="J126" s="1772">
        <v>12236.002</v>
      </c>
      <c r="K126" s="969" t="s">
        <v>1369</v>
      </c>
      <c r="L126" s="1772">
        <v>7751.3230000000003</v>
      </c>
      <c r="M126" s="1772" t="s">
        <v>392</v>
      </c>
      <c r="N126" s="1772">
        <v>387.38900000000001</v>
      </c>
      <c r="O126" s="969" t="s">
        <v>1369</v>
      </c>
      <c r="P126" s="1772">
        <v>244.29400000000001</v>
      </c>
      <c r="Q126" s="1772" t="s">
        <v>392</v>
      </c>
      <c r="R126" s="1772">
        <v>124.039</v>
      </c>
      <c r="S126" s="969" t="s">
        <v>1369</v>
      </c>
      <c r="T126" s="1772">
        <v>79.933000000000007</v>
      </c>
      <c r="U126" s="1768"/>
    </row>
    <row r="127" spans="1:21">
      <c r="A127" s="1774"/>
      <c r="B127" s="967"/>
      <c r="C127" s="967"/>
      <c r="D127" s="967"/>
      <c r="E127" s="967"/>
      <c r="F127" s="967"/>
      <c r="G127" s="967"/>
      <c r="H127" s="967"/>
      <c r="I127" s="967"/>
      <c r="J127" s="967"/>
      <c r="K127" s="967"/>
      <c r="L127" s="967"/>
      <c r="M127" s="967"/>
      <c r="N127" s="967"/>
      <c r="O127" s="967"/>
      <c r="P127" s="967"/>
      <c r="Q127" s="967"/>
      <c r="R127" s="967"/>
      <c r="S127" s="967"/>
      <c r="T127" s="967"/>
      <c r="U127" s="1777"/>
    </row>
    <row r="128" spans="1:21">
      <c r="A128" s="3081"/>
      <c r="B128" s="3082"/>
      <c r="C128" s="3082"/>
      <c r="D128" s="3082"/>
      <c r="E128" s="968"/>
      <c r="F128" s="970"/>
      <c r="G128" s="969"/>
      <c r="H128" s="970"/>
      <c r="I128" s="970"/>
      <c r="J128" s="970"/>
      <c r="K128" s="969"/>
      <c r="L128" s="970"/>
      <c r="M128" s="970"/>
      <c r="N128" s="970"/>
      <c r="O128" s="969"/>
      <c r="P128" s="970"/>
      <c r="Q128" s="970"/>
      <c r="R128" s="970"/>
      <c r="S128" s="969"/>
      <c r="T128" s="970"/>
      <c r="U128" s="1768"/>
    </row>
    <row r="129" spans="1:21">
      <c r="A129" s="3079" t="s">
        <v>1376</v>
      </c>
      <c r="B129" s="3080"/>
      <c r="C129" s="3080"/>
      <c r="D129" s="3080"/>
      <c r="E129" s="1780"/>
      <c r="F129" s="1779"/>
      <c r="G129" s="1778"/>
      <c r="H129" s="1779"/>
      <c r="I129" s="1780"/>
      <c r="J129" s="1781"/>
      <c r="K129" s="969"/>
      <c r="L129" s="1781"/>
      <c r="M129" s="1781"/>
      <c r="N129" s="1781"/>
      <c r="O129" s="969"/>
      <c r="P129" s="1781"/>
      <c r="Q129" s="1781"/>
      <c r="R129" s="1781"/>
      <c r="S129" s="969"/>
      <c r="T129" s="1781"/>
      <c r="U129" s="1768"/>
    </row>
    <row r="130" spans="1:21">
      <c r="A130" s="3076" t="s">
        <v>625</v>
      </c>
      <c r="B130" s="3077"/>
      <c r="C130" s="3077"/>
      <c r="D130" s="3077"/>
      <c r="E130" s="1636"/>
      <c r="F130" s="1769">
        <v>556.40899999999999</v>
      </c>
      <c r="G130" s="969" t="s">
        <v>1369</v>
      </c>
      <c r="H130" s="1769">
        <v>78.843000000000004</v>
      </c>
      <c r="I130" s="1769" t="s">
        <v>392</v>
      </c>
      <c r="J130" s="1769">
        <v>252565.864</v>
      </c>
      <c r="K130" s="969" t="s">
        <v>1369</v>
      </c>
      <c r="L130" s="1769">
        <v>26602.072</v>
      </c>
      <c r="M130" s="1769" t="s">
        <v>392</v>
      </c>
      <c r="N130" s="1769">
        <v>6473.92</v>
      </c>
      <c r="O130" s="969" t="s">
        <v>1369</v>
      </c>
      <c r="P130" s="1769">
        <v>951.95</v>
      </c>
      <c r="Q130" s="1769" t="s">
        <v>392</v>
      </c>
      <c r="R130" s="1769">
        <v>3535.4589999999998</v>
      </c>
      <c r="S130" s="969" t="s">
        <v>1369</v>
      </c>
      <c r="T130" s="1769">
        <v>421.50200000000001</v>
      </c>
      <c r="U130" s="1768"/>
    </row>
    <row r="131" spans="1:21">
      <c r="A131" s="1770"/>
      <c r="B131" s="3082" t="s">
        <v>1377</v>
      </c>
      <c r="C131" s="3082"/>
      <c r="D131" s="3082"/>
      <c r="E131" s="968"/>
      <c r="F131" s="1772">
        <v>145.07</v>
      </c>
      <c r="G131" s="969" t="s">
        <v>1369</v>
      </c>
      <c r="H131" s="1772">
        <v>37.798000000000002</v>
      </c>
      <c r="I131" s="1772" t="s">
        <v>392</v>
      </c>
      <c r="J131" s="1772">
        <v>78054.207999999999</v>
      </c>
      <c r="K131" s="969" t="s">
        <v>1369</v>
      </c>
      <c r="L131" s="1772">
        <v>18381.694</v>
      </c>
      <c r="M131" s="1772" t="s">
        <v>392</v>
      </c>
      <c r="N131" s="1772">
        <v>1658.924</v>
      </c>
      <c r="O131" s="969" t="s">
        <v>1369</v>
      </c>
      <c r="P131" s="1772">
        <v>476.89299999999997</v>
      </c>
      <c r="Q131" s="1772" t="s">
        <v>392</v>
      </c>
      <c r="R131" s="1772">
        <v>1120.9549999999999</v>
      </c>
      <c r="S131" s="969" t="s">
        <v>1369</v>
      </c>
      <c r="T131" s="1772">
        <v>288.322</v>
      </c>
      <c r="U131" s="1768"/>
    </row>
    <row r="132" spans="1:21">
      <c r="A132" s="1770"/>
      <c r="B132" s="3082" t="s">
        <v>1378</v>
      </c>
      <c r="C132" s="3082"/>
      <c r="D132" s="3082"/>
      <c r="E132" s="968"/>
      <c r="F132" s="1772">
        <v>144.059</v>
      </c>
      <c r="G132" s="969" t="s">
        <v>1369</v>
      </c>
      <c r="H132" s="1772">
        <v>36.076000000000001</v>
      </c>
      <c r="I132" s="1772" t="s">
        <v>392</v>
      </c>
      <c r="J132" s="1772">
        <v>60584.445</v>
      </c>
      <c r="K132" s="969" t="s">
        <v>1369</v>
      </c>
      <c r="L132" s="1772">
        <v>12635.236000000001</v>
      </c>
      <c r="M132" s="1772" t="s">
        <v>392</v>
      </c>
      <c r="N132" s="1772">
        <v>1881.2760000000001</v>
      </c>
      <c r="O132" s="969" t="s">
        <v>1369</v>
      </c>
      <c r="P132" s="1772">
        <v>639.58799999999997</v>
      </c>
      <c r="Q132" s="1772" t="s">
        <v>392</v>
      </c>
      <c r="R132" s="1772">
        <v>902.88300000000004</v>
      </c>
      <c r="S132" s="969" t="s">
        <v>1369</v>
      </c>
      <c r="T132" s="1772">
        <v>230.745</v>
      </c>
      <c r="U132" s="1768"/>
    </row>
    <row r="133" spans="1:21">
      <c r="A133" s="1770"/>
      <c r="B133" s="3091" t="s">
        <v>1379</v>
      </c>
      <c r="C133" s="3091"/>
      <c r="D133" s="3091"/>
      <c r="E133" s="1782"/>
      <c r="F133" s="1772">
        <v>207.05799999999999</v>
      </c>
      <c r="G133" s="969" t="s">
        <v>1369</v>
      </c>
      <c r="H133" s="1772">
        <v>55.939</v>
      </c>
      <c r="I133" s="1772" t="s">
        <v>392</v>
      </c>
      <c r="J133" s="1772">
        <v>92064.75</v>
      </c>
      <c r="K133" s="969" t="s">
        <v>1369</v>
      </c>
      <c r="L133" s="1772">
        <v>13192.041999999999</v>
      </c>
      <c r="M133" s="1772" t="s">
        <v>392</v>
      </c>
      <c r="N133" s="1772">
        <v>2235.1329999999998</v>
      </c>
      <c r="O133" s="969" t="s">
        <v>1369</v>
      </c>
      <c r="P133" s="1772">
        <v>453.22500000000002</v>
      </c>
      <c r="Q133" s="1772" t="s">
        <v>392</v>
      </c>
      <c r="R133" s="1772">
        <v>1258.779</v>
      </c>
      <c r="S133" s="969" t="s">
        <v>1369</v>
      </c>
      <c r="T133" s="1772">
        <v>194.92400000000001</v>
      </c>
      <c r="U133" s="1768"/>
    </row>
    <row r="134" spans="1:21">
      <c r="A134" s="1770"/>
      <c r="B134" s="1783" t="s">
        <v>1380</v>
      </c>
      <c r="C134" s="1783"/>
      <c r="D134" s="970"/>
      <c r="E134" s="970"/>
      <c r="F134" s="1772">
        <v>50.103000000000002</v>
      </c>
      <c r="G134" s="969" t="s">
        <v>1369</v>
      </c>
      <c r="H134" s="1772">
        <v>22.91</v>
      </c>
      <c r="I134" s="1772" t="s">
        <v>392</v>
      </c>
      <c r="J134" s="1772">
        <v>17257.125</v>
      </c>
      <c r="K134" s="969" t="s">
        <v>1369</v>
      </c>
      <c r="L134" s="1772">
        <v>8360.0110000000004</v>
      </c>
      <c r="M134" s="1772" t="s">
        <v>392</v>
      </c>
      <c r="N134" s="1772">
        <v>541.005</v>
      </c>
      <c r="O134" s="969" t="s">
        <v>1369</v>
      </c>
      <c r="P134" s="1772">
        <v>282.24</v>
      </c>
      <c r="Q134" s="1772" t="s">
        <v>392</v>
      </c>
      <c r="R134" s="1772">
        <v>189.11600000000001</v>
      </c>
      <c r="S134" s="969" t="s">
        <v>1369</v>
      </c>
      <c r="T134" s="1772">
        <v>93.775000000000006</v>
      </c>
      <c r="U134" s="1768"/>
    </row>
    <row r="135" spans="1:21">
      <c r="A135" s="1770"/>
      <c r="B135" s="1783" t="s">
        <v>1381</v>
      </c>
      <c r="C135" s="1783"/>
      <c r="D135" s="970"/>
      <c r="E135" s="970"/>
      <c r="F135" s="1772">
        <v>2.1360000000000001</v>
      </c>
      <c r="G135" s="969" t="s">
        <v>1369</v>
      </c>
      <c r="H135" s="1772">
        <v>2.8679999999999999</v>
      </c>
      <c r="I135" s="1772" t="s">
        <v>392</v>
      </c>
      <c r="J135" s="1772">
        <v>1176.796</v>
      </c>
      <c r="K135" s="969" t="s">
        <v>1369</v>
      </c>
      <c r="L135" s="1772">
        <v>1700.8230000000001</v>
      </c>
      <c r="M135" s="1772" t="s">
        <v>392</v>
      </c>
      <c r="N135" s="1772">
        <v>23.57</v>
      </c>
      <c r="O135" s="969" t="s">
        <v>1369</v>
      </c>
      <c r="P135" s="1772">
        <v>41.113</v>
      </c>
      <c r="Q135" s="1772" t="s">
        <v>392</v>
      </c>
      <c r="R135" s="1772">
        <v>5.9189999999999996</v>
      </c>
      <c r="S135" s="969" t="s">
        <v>1369</v>
      </c>
      <c r="T135" s="1772">
        <v>8.1449999999999996</v>
      </c>
      <c r="U135" s="1768"/>
    </row>
    <row r="136" spans="1:21">
      <c r="A136" s="1770"/>
      <c r="B136" s="1783" t="s">
        <v>1382</v>
      </c>
      <c r="C136" s="1783"/>
      <c r="D136" s="970"/>
      <c r="E136" s="970"/>
      <c r="F136" s="1772" t="s">
        <v>390</v>
      </c>
      <c r="G136" s="969" t="s">
        <v>1369</v>
      </c>
      <c r="H136" s="1772" t="s">
        <v>390</v>
      </c>
      <c r="I136" s="1772" t="s">
        <v>392</v>
      </c>
      <c r="J136" s="1772" t="s">
        <v>390</v>
      </c>
      <c r="K136" s="969" t="s">
        <v>1369</v>
      </c>
      <c r="L136" s="1772" t="s">
        <v>390</v>
      </c>
      <c r="M136" s="1772" t="s">
        <v>392</v>
      </c>
      <c r="N136" s="1772" t="s">
        <v>390</v>
      </c>
      <c r="O136" s="969" t="s">
        <v>1369</v>
      </c>
      <c r="P136" s="1772" t="s">
        <v>390</v>
      </c>
      <c r="Q136" s="1772" t="s">
        <v>392</v>
      </c>
      <c r="R136" s="1772" t="s">
        <v>390</v>
      </c>
      <c r="S136" s="969" t="s">
        <v>1369</v>
      </c>
      <c r="T136" s="1772" t="s">
        <v>390</v>
      </c>
      <c r="U136" s="1768"/>
    </row>
    <row r="137" spans="1:21">
      <c r="A137" s="1770"/>
      <c r="B137" s="3082" t="s">
        <v>632</v>
      </c>
      <c r="C137" s="3082"/>
      <c r="D137" s="3082"/>
      <c r="E137" s="968"/>
      <c r="F137" s="1772">
        <v>7.984</v>
      </c>
      <c r="G137" s="969" t="s">
        <v>1369</v>
      </c>
      <c r="H137" s="1772">
        <v>6.95</v>
      </c>
      <c r="I137" s="1772" t="s">
        <v>392</v>
      </c>
      <c r="J137" s="1772">
        <v>3428.5390000000002</v>
      </c>
      <c r="K137" s="969" t="s">
        <v>1369</v>
      </c>
      <c r="L137" s="1772">
        <v>2801.9639999999999</v>
      </c>
      <c r="M137" s="1772" t="s">
        <v>392</v>
      </c>
      <c r="N137" s="1772">
        <v>134.012</v>
      </c>
      <c r="O137" s="969" t="s">
        <v>1369</v>
      </c>
      <c r="P137" s="1772">
        <v>134.852</v>
      </c>
      <c r="Q137" s="1772" t="s">
        <v>392</v>
      </c>
      <c r="R137" s="1772">
        <v>57.807000000000002</v>
      </c>
      <c r="S137" s="969" t="s">
        <v>1369</v>
      </c>
      <c r="T137" s="1772">
        <v>52.753</v>
      </c>
      <c r="U137" s="1768"/>
    </row>
    <row r="138" spans="1:21" ht="14.4" thickBot="1">
      <c r="A138" s="1784"/>
      <c r="B138" s="971"/>
      <c r="C138" s="486"/>
      <c r="D138" s="486"/>
      <c r="E138" s="486"/>
      <c r="F138" s="486"/>
      <c r="G138" s="972"/>
      <c r="H138" s="486"/>
      <c r="I138" s="486"/>
      <c r="J138" s="486"/>
      <c r="K138" s="972"/>
      <c r="L138" s="486"/>
      <c r="M138" s="486"/>
      <c r="N138" s="486"/>
      <c r="O138" s="972"/>
      <c r="P138" s="486"/>
      <c r="Q138" s="486"/>
      <c r="R138" s="486"/>
      <c r="S138" s="972"/>
      <c r="T138" s="486"/>
      <c r="U138" s="1768"/>
    </row>
    <row r="139" spans="1:21">
      <c r="A139" s="1785" t="s">
        <v>1383</v>
      </c>
      <c r="B139" s="970"/>
      <c r="C139" s="970"/>
      <c r="D139" s="970"/>
      <c r="E139" s="970"/>
      <c r="F139" s="970"/>
      <c r="G139" s="1786"/>
      <c r="H139" s="970"/>
      <c r="I139" s="970"/>
      <c r="J139" s="970"/>
      <c r="K139" s="1786"/>
      <c r="L139" s="970"/>
      <c r="M139" s="970"/>
      <c r="N139" s="970"/>
      <c r="O139" s="1786"/>
      <c r="P139" s="970"/>
      <c r="Q139" s="970"/>
      <c r="R139" s="970"/>
      <c r="S139" s="1786"/>
      <c r="T139" s="970"/>
      <c r="U139" s="1768"/>
    </row>
    <row r="140" spans="1:21">
      <c r="A140" s="1773"/>
      <c r="B140" s="970"/>
      <c r="C140" s="970"/>
      <c r="D140" s="970"/>
      <c r="E140" s="970"/>
      <c r="F140" s="970"/>
      <c r="G140" s="1786"/>
      <c r="H140" s="970"/>
      <c r="I140" s="970"/>
      <c r="J140" s="970"/>
      <c r="K140" s="1786"/>
      <c r="L140" s="970"/>
      <c r="M140" s="970"/>
      <c r="N140" s="970"/>
      <c r="O140" s="1786"/>
      <c r="P140" s="970"/>
      <c r="Q140" s="970"/>
      <c r="R140" s="970"/>
      <c r="S140" s="1786"/>
      <c r="T140" s="970"/>
      <c r="U140" s="1768"/>
    </row>
    <row r="141" spans="1:21">
      <c r="A141" s="1773"/>
      <c r="B141" s="970"/>
      <c r="C141" s="970"/>
      <c r="D141" s="970"/>
      <c r="E141" s="970"/>
      <c r="F141" s="970"/>
      <c r="G141" s="1786"/>
      <c r="H141" s="970"/>
      <c r="I141" s="970"/>
      <c r="J141" s="970"/>
      <c r="K141" s="1786"/>
      <c r="L141" s="970"/>
      <c r="M141" s="970"/>
      <c r="N141" s="970"/>
      <c r="O141" s="1786"/>
      <c r="P141" s="970"/>
      <c r="Q141" s="970"/>
      <c r="R141" s="970"/>
      <c r="S141" s="1786"/>
      <c r="T141" s="970"/>
      <c r="U141" s="1768"/>
    </row>
    <row r="142" spans="1:21">
      <c r="A142" s="1787"/>
      <c r="B142" s="477"/>
      <c r="C142" s="477"/>
      <c r="D142" s="477"/>
      <c r="E142" s="477"/>
      <c r="F142" s="477"/>
      <c r="G142" s="963"/>
      <c r="H142" s="477"/>
      <c r="I142" s="477"/>
      <c r="J142" s="477"/>
      <c r="K142" s="963"/>
      <c r="L142" s="477"/>
      <c r="M142" s="477"/>
      <c r="N142" s="477"/>
      <c r="O142" s="963"/>
      <c r="P142" s="477"/>
      <c r="Q142" s="477"/>
      <c r="R142" s="477"/>
      <c r="S142" s="963"/>
      <c r="T142" s="477"/>
      <c r="U142" s="481"/>
    </row>
    <row r="143" spans="1:21">
      <c r="A143" s="1787"/>
      <c r="B143" s="477"/>
      <c r="C143" s="477"/>
      <c r="D143" s="477"/>
      <c r="E143" s="477"/>
      <c r="F143" s="477"/>
      <c r="G143" s="963"/>
      <c r="H143" s="477"/>
      <c r="I143" s="477"/>
      <c r="J143" s="477"/>
      <c r="K143" s="963"/>
      <c r="L143" s="477"/>
      <c r="M143" s="477"/>
      <c r="N143" s="477"/>
      <c r="O143" s="963"/>
      <c r="P143" s="477"/>
      <c r="Q143" s="477"/>
      <c r="R143" s="477"/>
      <c r="S143" s="963"/>
      <c r="T143" s="477"/>
      <c r="U143" s="481"/>
    </row>
    <row r="144" spans="1:21">
      <c r="A144" s="1787"/>
      <c r="B144" s="477"/>
      <c r="C144" s="477"/>
      <c r="D144" s="477"/>
      <c r="E144" s="477"/>
      <c r="F144" s="477"/>
      <c r="G144" s="963"/>
      <c r="H144" s="477"/>
      <c r="I144" s="477"/>
      <c r="J144" s="477"/>
      <c r="K144" s="963"/>
      <c r="L144" s="477"/>
      <c r="M144" s="477"/>
      <c r="N144" s="477"/>
      <c r="O144" s="963"/>
      <c r="P144" s="477"/>
      <c r="Q144" s="477"/>
      <c r="R144" s="477"/>
      <c r="S144" s="963"/>
      <c r="T144" s="477"/>
      <c r="U144" s="481"/>
    </row>
    <row r="145" spans="1:30">
      <c r="A145" s="1787"/>
      <c r="B145" s="477"/>
      <c r="C145" s="477"/>
      <c r="D145" s="477"/>
      <c r="E145" s="477"/>
      <c r="F145" s="477"/>
      <c r="G145" s="963"/>
      <c r="H145" s="477"/>
      <c r="I145" s="477"/>
      <c r="J145" s="477"/>
      <c r="K145" s="963"/>
      <c r="L145" s="477"/>
      <c r="M145" s="477"/>
      <c r="N145" s="477"/>
      <c r="O145" s="963"/>
      <c r="P145" s="477"/>
      <c r="Q145" s="477"/>
      <c r="R145" s="477"/>
      <c r="S145" s="963"/>
      <c r="T145" s="477"/>
      <c r="U145" s="481"/>
    </row>
    <row r="146" spans="1:30">
      <c r="A146" s="1787"/>
      <c r="B146" s="477"/>
      <c r="C146" s="477"/>
      <c r="D146" s="477"/>
      <c r="E146" s="477"/>
      <c r="F146" s="477"/>
      <c r="G146" s="963"/>
      <c r="H146" s="477"/>
      <c r="I146" s="477"/>
      <c r="J146" s="477"/>
      <c r="K146" s="963"/>
      <c r="L146" s="477"/>
      <c r="M146" s="477"/>
      <c r="N146" s="477"/>
      <c r="O146" s="963"/>
      <c r="P146" s="477"/>
      <c r="Q146" s="477"/>
      <c r="R146" s="477"/>
      <c r="S146" s="963"/>
      <c r="T146" s="477"/>
      <c r="U146" s="481"/>
    </row>
    <row r="147" spans="1:30">
      <c r="A147" s="1788"/>
      <c r="B147" s="1789"/>
      <c r="C147" s="1789"/>
      <c r="D147" s="1789"/>
      <c r="E147" s="1789"/>
      <c r="F147" s="1789"/>
      <c r="G147" s="1790"/>
      <c r="H147" s="1789"/>
      <c r="I147" s="1789"/>
      <c r="J147" s="1789"/>
      <c r="K147" s="1790"/>
      <c r="L147" s="1789"/>
      <c r="M147" s="1789"/>
      <c r="N147" s="1789"/>
      <c r="O147" s="1790"/>
      <c r="P147" s="1789"/>
      <c r="Q147" s="1789"/>
      <c r="R147" s="1789"/>
      <c r="S147" s="1790"/>
      <c r="T147" s="1789"/>
      <c r="U147" s="1791"/>
    </row>
    <row r="149" spans="1:30">
      <c r="C149" s="961"/>
    </row>
    <row r="152" spans="1:30">
      <c r="B152" s="959"/>
      <c r="C152" s="957"/>
      <c r="D152" s="957"/>
      <c r="E152" s="957"/>
      <c r="F152" s="957"/>
      <c r="G152" s="957"/>
      <c r="H152" s="957"/>
      <c r="I152" s="957"/>
      <c r="J152" s="957"/>
      <c r="K152" s="957"/>
      <c r="L152" s="957"/>
      <c r="M152" s="957"/>
      <c r="N152" s="957"/>
      <c r="O152" s="957"/>
      <c r="P152" s="957"/>
      <c r="Q152" s="957"/>
      <c r="R152" s="957"/>
      <c r="S152" s="957"/>
      <c r="T152" s="957"/>
      <c r="U152" s="957"/>
      <c r="V152" s="957"/>
      <c r="W152" s="957"/>
      <c r="X152" s="957"/>
      <c r="Y152" s="957"/>
      <c r="Z152" s="957"/>
      <c r="AA152" s="957"/>
      <c r="AB152" s="957"/>
      <c r="AC152" s="957"/>
      <c r="AD152" s="957"/>
    </row>
    <row r="153" spans="1:30">
      <c r="B153" s="959"/>
      <c r="C153" s="957"/>
      <c r="D153" s="957"/>
      <c r="E153" s="957"/>
      <c r="F153" s="957"/>
      <c r="G153" s="957"/>
      <c r="H153" s="957"/>
      <c r="I153" s="957"/>
      <c r="J153" s="957"/>
      <c r="K153" s="957"/>
      <c r="L153" s="957"/>
      <c r="M153" s="957"/>
      <c r="N153" s="957"/>
      <c r="O153" s="957"/>
      <c r="P153" s="957"/>
      <c r="Q153" s="957"/>
      <c r="R153" s="957"/>
      <c r="S153" s="957"/>
      <c r="T153" s="957"/>
      <c r="U153" s="957"/>
      <c r="V153" s="957"/>
      <c r="W153" s="957"/>
      <c r="X153" s="957"/>
      <c r="Y153" s="957"/>
      <c r="Z153" s="957"/>
      <c r="AA153" s="957"/>
      <c r="AB153" s="957"/>
      <c r="AC153" s="957"/>
      <c r="AD153" s="957"/>
    </row>
    <row r="154" spans="1:30">
      <c r="B154" s="1587"/>
      <c r="C154" s="957"/>
      <c r="D154" s="957"/>
      <c r="E154" s="957"/>
      <c r="F154" s="957"/>
      <c r="G154" s="957"/>
      <c r="H154" s="957"/>
      <c r="I154" s="957"/>
      <c r="J154" s="957"/>
      <c r="K154" s="957"/>
      <c r="L154" s="957"/>
      <c r="M154" s="957"/>
      <c r="N154" s="957"/>
      <c r="O154" s="957"/>
      <c r="P154" s="957"/>
      <c r="Q154" s="957"/>
      <c r="R154" s="957"/>
      <c r="S154" s="957"/>
      <c r="T154" s="957"/>
      <c r="U154" s="957"/>
      <c r="V154" s="957"/>
      <c r="W154" s="957"/>
      <c r="X154" s="957"/>
      <c r="Y154" s="957"/>
      <c r="Z154" s="957"/>
      <c r="AA154" s="957"/>
      <c r="AB154" s="957"/>
      <c r="AC154" s="957"/>
      <c r="AD154" s="957"/>
    </row>
    <row r="155" spans="1:30" ht="13.8">
      <c r="B155" s="2271"/>
      <c r="C155" s="957"/>
      <c r="D155" s="957"/>
      <c r="E155" s="957"/>
      <c r="F155" s="957"/>
      <c r="G155" s="957"/>
      <c r="H155" s="957"/>
      <c r="I155" s="957"/>
      <c r="J155" s="957"/>
      <c r="K155" s="957"/>
      <c r="L155" s="957"/>
      <c r="M155" s="957"/>
      <c r="N155" s="957"/>
      <c r="O155" s="957"/>
      <c r="P155" s="957"/>
      <c r="Q155" s="957"/>
      <c r="R155" s="957"/>
      <c r="S155" s="957"/>
      <c r="T155" s="957"/>
      <c r="U155" s="957"/>
      <c r="V155" s="957"/>
      <c r="W155" s="957"/>
      <c r="X155" s="957"/>
      <c r="Y155" s="957"/>
      <c r="Z155" s="957"/>
      <c r="AA155" s="957"/>
      <c r="AB155" s="957"/>
      <c r="AC155" s="957"/>
      <c r="AD155" s="957"/>
    </row>
    <row r="156" spans="1:30">
      <c r="B156" s="2272"/>
      <c r="C156" s="2272"/>
      <c r="D156" s="2272"/>
      <c r="E156" s="2272"/>
      <c r="F156" s="2272"/>
      <c r="G156" s="3094"/>
      <c r="H156" s="3094"/>
      <c r="I156" s="3094"/>
      <c r="J156" s="3094"/>
      <c r="K156" s="3094"/>
      <c r="L156" s="3094"/>
      <c r="M156" s="3094"/>
      <c r="N156" s="2273"/>
      <c r="O156" s="3094"/>
      <c r="P156" s="3094"/>
      <c r="Q156" s="3094"/>
      <c r="R156" s="3094"/>
      <c r="S156" s="3094"/>
      <c r="T156" s="3094"/>
      <c r="U156" s="3094"/>
      <c r="V156" s="2273"/>
      <c r="W156" s="3094"/>
      <c r="X156" s="3094"/>
      <c r="Y156" s="3094"/>
      <c r="Z156" s="3094"/>
      <c r="AA156" s="3094"/>
      <c r="AB156" s="3094"/>
      <c r="AC156" s="3094"/>
      <c r="AD156" s="957"/>
    </row>
    <row r="157" spans="1:30">
      <c r="B157" s="2272"/>
      <c r="C157" s="2272"/>
      <c r="D157" s="2272"/>
      <c r="E157" s="2272"/>
      <c r="F157" s="2272"/>
      <c r="G157" s="3090"/>
      <c r="H157" s="3090"/>
      <c r="I157" s="3090"/>
      <c r="J157" s="2273"/>
      <c r="K157" s="3090"/>
      <c r="L157" s="3090"/>
      <c r="M157" s="3090"/>
      <c r="N157" s="2273"/>
      <c r="O157" s="3090"/>
      <c r="P157" s="3090"/>
      <c r="Q157" s="3090"/>
      <c r="R157" s="2273"/>
      <c r="S157" s="3090"/>
      <c r="T157" s="3090"/>
      <c r="U157" s="3090"/>
      <c r="V157" s="2273"/>
      <c r="W157" s="3090"/>
      <c r="X157" s="3090"/>
      <c r="Y157" s="3090"/>
      <c r="Z157" s="2273"/>
      <c r="AA157" s="3090"/>
      <c r="AB157" s="3090"/>
      <c r="AC157" s="3090"/>
      <c r="AD157" s="957"/>
    </row>
    <row r="158" spans="1:30">
      <c r="B158" s="2272"/>
      <c r="C158" s="2272"/>
      <c r="D158" s="2272"/>
      <c r="E158" s="2272"/>
      <c r="F158" s="2272"/>
      <c r="G158" s="3090"/>
      <c r="H158" s="3090"/>
      <c r="I158" s="3090"/>
      <c r="J158" s="2273"/>
      <c r="K158" s="3090"/>
      <c r="L158" s="3090"/>
      <c r="M158" s="3090"/>
      <c r="N158" s="2273"/>
      <c r="O158" s="3090"/>
      <c r="P158" s="3090"/>
      <c r="Q158" s="3090"/>
      <c r="R158" s="2273"/>
      <c r="S158" s="3090"/>
      <c r="T158" s="3090"/>
      <c r="U158" s="3090"/>
      <c r="V158" s="2273"/>
      <c r="W158" s="3090"/>
      <c r="X158" s="3090"/>
      <c r="Y158" s="3090"/>
      <c r="Z158" s="2273"/>
      <c r="AA158" s="3090"/>
      <c r="AB158" s="3090"/>
      <c r="AC158" s="3090"/>
      <c r="AD158" s="957"/>
    </row>
    <row r="159" spans="1:30">
      <c r="B159" s="2274"/>
      <c r="C159" s="2274"/>
      <c r="D159" s="2274"/>
      <c r="E159" s="2274"/>
      <c r="F159" s="2274"/>
      <c r="G159" s="913"/>
      <c r="H159" s="913"/>
      <c r="I159" s="913"/>
      <c r="J159" s="913"/>
      <c r="K159" s="913"/>
      <c r="L159" s="913"/>
      <c r="M159" s="913"/>
      <c r="N159" s="913"/>
      <c r="O159" s="913"/>
      <c r="P159" s="913"/>
      <c r="Q159" s="913"/>
      <c r="R159" s="913"/>
      <c r="S159" s="913"/>
      <c r="T159" s="913"/>
      <c r="U159" s="913"/>
      <c r="V159" s="913"/>
      <c r="W159" s="2275"/>
      <c r="X159" s="913"/>
      <c r="Y159" s="913"/>
      <c r="Z159" s="913"/>
      <c r="AA159" s="2275"/>
      <c r="AB159" s="913"/>
      <c r="AC159" s="913"/>
      <c r="AD159" s="957"/>
    </row>
    <row r="160" spans="1:30">
      <c r="B160" s="2274"/>
      <c r="C160" s="2274"/>
      <c r="D160" s="2274"/>
      <c r="E160" s="2274"/>
      <c r="F160" s="2274"/>
      <c r="G160" s="2273"/>
      <c r="H160" s="2273"/>
      <c r="I160" s="2273"/>
      <c r="J160" s="2273"/>
      <c r="K160" s="2273"/>
      <c r="L160" s="2273"/>
      <c r="M160" s="2273"/>
      <c r="N160" s="2273"/>
      <c r="O160" s="2273"/>
      <c r="P160" s="2273"/>
      <c r="Q160" s="2273"/>
      <c r="R160" s="2273"/>
      <c r="S160" s="2273"/>
      <c r="T160" s="2273"/>
      <c r="U160" s="2273"/>
      <c r="V160" s="2273"/>
      <c r="W160" s="2273"/>
      <c r="X160" s="2273"/>
      <c r="Y160" s="2273"/>
      <c r="Z160" s="2273"/>
      <c r="AA160" s="2273"/>
      <c r="AB160" s="2273"/>
      <c r="AC160" s="2273"/>
      <c r="AD160" s="957"/>
    </row>
    <row r="161" spans="2:34">
      <c r="B161" s="2272"/>
      <c r="C161" s="2272"/>
      <c r="D161" s="2272"/>
      <c r="E161" s="2272"/>
      <c r="F161" s="2272"/>
      <c r="G161" s="2276"/>
      <c r="H161" s="2277"/>
      <c r="I161" s="2277"/>
      <c r="J161" s="2277"/>
      <c r="K161" s="2276"/>
      <c r="L161" s="2277"/>
      <c r="M161" s="2277"/>
      <c r="N161" s="2277"/>
      <c r="O161" s="2276"/>
      <c r="P161" s="2277"/>
      <c r="Q161" s="2277"/>
      <c r="R161" s="2277"/>
      <c r="S161" s="2276"/>
      <c r="T161" s="2277"/>
      <c r="U161" s="2277"/>
      <c r="V161" s="2277"/>
      <c r="W161" s="2276"/>
      <c r="X161" s="2277"/>
      <c r="Y161" s="2277"/>
      <c r="Z161" s="2277"/>
      <c r="AA161" s="2276"/>
      <c r="AB161" s="2277"/>
      <c r="AC161" s="2277"/>
      <c r="AD161" s="957"/>
    </row>
    <row r="162" spans="2:34">
      <c r="B162" s="905"/>
      <c r="C162" s="905"/>
      <c r="D162" s="905"/>
      <c r="E162" s="905"/>
      <c r="F162" s="905"/>
      <c r="G162" s="905"/>
      <c r="H162" s="905"/>
      <c r="I162" s="905"/>
      <c r="J162" s="905"/>
      <c r="K162" s="905"/>
      <c r="L162" s="905"/>
      <c r="M162" s="905"/>
      <c r="N162" s="905"/>
      <c r="O162" s="905"/>
      <c r="P162" s="905"/>
      <c r="Q162" s="905"/>
      <c r="R162" s="905"/>
      <c r="S162" s="905"/>
      <c r="T162" s="905"/>
      <c r="U162" s="905"/>
      <c r="V162" s="905"/>
      <c r="W162" s="2278"/>
      <c r="X162" s="2278"/>
      <c r="Y162" s="2278"/>
      <c r="Z162" s="2278"/>
      <c r="AA162" s="2278"/>
      <c r="AB162" s="2278"/>
      <c r="AC162" s="2278"/>
      <c r="AD162" s="957"/>
    </row>
    <row r="163" spans="2:34">
      <c r="B163" s="957"/>
      <c r="C163" s="905"/>
      <c r="D163" s="905"/>
      <c r="E163" s="905"/>
      <c r="F163" s="905"/>
      <c r="G163" s="760"/>
      <c r="H163" s="916"/>
      <c r="I163" s="916"/>
      <c r="J163" s="916"/>
      <c r="K163" s="760"/>
      <c r="L163" s="916"/>
      <c r="M163" s="916"/>
      <c r="N163" s="916"/>
      <c r="O163" s="760"/>
      <c r="P163" s="916"/>
      <c r="Q163" s="916"/>
      <c r="R163" s="916"/>
      <c r="S163" s="760"/>
      <c r="T163" s="916"/>
      <c r="U163" s="916"/>
      <c r="V163" s="916"/>
      <c r="W163" s="760"/>
      <c r="X163" s="916"/>
      <c r="Y163" s="916"/>
      <c r="Z163" s="916"/>
      <c r="AA163" s="760"/>
      <c r="AB163" s="916"/>
      <c r="AC163" s="916"/>
      <c r="AD163" s="957"/>
      <c r="AG163" s="961" t="s">
        <v>2588</v>
      </c>
      <c r="AH163" s="961" t="s">
        <v>2589</v>
      </c>
    </row>
    <row r="164" spans="2:34">
      <c r="B164" s="957"/>
      <c r="C164" s="905"/>
      <c r="D164" s="905"/>
      <c r="E164" s="905"/>
      <c r="F164" s="905"/>
      <c r="G164" s="760"/>
      <c r="H164" s="916"/>
      <c r="I164" s="916"/>
      <c r="J164" s="916"/>
      <c r="K164" s="760"/>
      <c r="L164" s="916"/>
      <c r="M164" s="916"/>
      <c r="N164" s="916"/>
      <c r="O164" s="760"/>
      <c r="P164" s="916"/>
      <c r="Q164" s="916"/>
      <c r="R164" s="916"/>
      <c r="S164" s="760"/>
      <c r="T164" s="916"/>
      <c r="U164" s="916"/>
      <c r="V164" s="916"/>
      <c r="W164" s="760"/>
      <c r="X164" s="916"/>
      <c r="Y164" s="916"/>
      <c r="Z164" s="916"/>
      <c r="AA164" s="760"/>
      <c r="AB164" s="916"/>
      <c r="AC164" s="916"/>
      <c r="AD164" s="957"/>
      <c r="AF164" s="961" t="s">
        <v>399</v>
      </c>
      <c r="AG164" s="2269" t="e">
        <f>SUM(K163:K173)/SUM($K$163:$K$187)</f>
        <v>#DIV/0!</v>
      </c>
      <c r="AH164" s="2269" t="e">
        <f>SUM(G163:G173)/SUM($G$163:$G$187)</f>
        <v>#DIV/0!</v>
      </c>
    </row>
    <row r="165" spans="2:34">
      <c r="B165" s="957"/>
      <c r="C165" s="905"/>
      <c r="D165" s="905"/>
      <c r="E165" s="905"/>
      <c r="F165" s="905"/>
      <c r="G165" s="760"/>
      <c r="H165" s="916"/>
      <c r="I165" s="916"/>
      <c r="J165" s="916"/>
      <c r="K165" s="760"/>
      <c r="L165" s="916"/>
      <c r="M165" s="916"/>
      <c r="N165" s="916"/>
      <c r="O165" s="760"/>
      <c r="P165" s="916"/>
      <c r="Q165" s="916"/>
      <c r="R165" s="916"/>
      <c r="S165" s="760"/>
      <c r="T165" s="916"/>
      <c r="U165" s="916"/>
      <c r="V165" s="916"/>
      <c r="W165" s="760"/>
      <c r="X165" s="916"/>
      <c r="Y165" s="916"/>
      <c r="Z165" s="916"/>
      <c r="AA165" s="760"/>
      <c r="AB165" s="916"/>
      <c r="AC165" s="916"/>
      <c r="AD165" s="957"/>
      <c r="AF165" s="961" t="s">
        <v>2587</v>
      </c>
      <c r="AG165" s="2269" t="e">
        <f>SUM(K175:K187)/SUM($K$163:$K$187)</f>
        <v>#DIV/0!</v>
      </c>
      <c r="AH165" s="2269" t="e">
        <f>SUM(G175:G187)/SUM($G$163:$G$187)</f>
        <v>#DIV/0!</v>
      </c>
    </row>
    <row r="166" spans="2:34">
      <c r="B166" s="957"/>
      <c r="C166" s="905"/>
      <c r="D166" s="905"/>
      <c r="E166" s="905"/>
      <c r="F166" s="905"/>
      <c r="G166" s="760"/>
      <c r="H166" s="916"/>
      <c r="I166" s="916"/>
      <c r="J166" s="916"/>
      <c r="K166" s="760"/>
      <c r="L166" s="916"/>
      <c r="M166" s="916"/>
      <c r="N166" s="916"/>
      <c r="O166" s="760"/>
      <c r="P166" s="916"/>
      <c r="Q166" s="916"/>
      <c r="R166" s="916"/>
      <c r="S166" s="760"/>
      <c r="T166" s="916"/>
      <c r="U166" s="916"/>
      <c r="V166" s="916"/>
      <c r="W166" s="760"/>
      <c r="X166" s="916"/>
      <c r="Y166" s="916"/>
      <c r="Z166" s="916"/>
      <c r="AA166" s="760"/>
      <c r="AB166" s="916"/>
      <c r="AC166" s="916"/>
      <c r="AD166" s="957"/>
      <c r="AG166" s="2269"/>
    </row>
    <row r="167" spans="2:34">
      <c r="B167" s="957"/>
      <c r="C167" s="905"/>
      <c r="D167" s="905"/>
      <c r="E167" s="905"/>
      <c r="F167" s="905"/>
      <c r="G167" s="760"/>
      <c r="H167" s="916"/>
      <c r="I167" s="916"/>
      <c r="J167" s="916"/>
      <c r="K167" s="760"/>
      <c r="L167" s="916"/>
      <c r="M167" s="916"/>
      <c r="N167" s="916"/>
      <c r="O167" s="760"/>
      <c r="P167" s="916"/>
      <c r="Q167" s="916"/>
      <c r="R167" s="916"/>
      <c r="S167" s="760"/>
      <c r="T167" s="916"/>
      <c r="U167" s="916"/>
      <c r="V167" s="916"/>
      <c r="W167" s="760"/>
      <c r="X167" s="916"/>
      <c r="Y167" s="916"/>
      <c r="Z167" s="916"/>
      <c r="AA167" s="760"/>
      <c r="AB167" s="916"/>
      <c r="AC167" s="916"/>
      <c r="AD167" s="957"/>
    </row>
    <row r="168" spans="2:34">
      <c r="B168" s="957"/>
      <c r="C168" s="905"/>
      <c r="D168" s="905"/>
      <c r="E168" s="905"/>
      <c r="F168" s="905"/>
      <c r="G168" s="905"/>
      <c r="H168" s="916"/>
      <c r="I168" s="916"/>
      <c r="J168" s="916"/>
      <c r="K168" s="905"/>
      <c r="L168" s="916"/>
      <c r="M168" s="916"/>
      <c r="N168" s="916"/>
      <c r="O168" s="905"/>
      <c r="P168" s="916"/>
      <c r="Q168" s="916"/>
      <c r="R168" s="916"/>
      <c r="S168" s="905"/>
      <c r="T168" s="916"/>
      <c r="U168" s="916"/>
      <c r="V168" s="916"/>
      <c r="W168" s="905"/>
      <c r="X168" s="916"/>
      <c r="Y168" s="916"/>
      <c r="Z168" s="916"/>
      <c r="AA168" s="905"/>
      <c r="AB168" s="916"/>
      <c r="AC168" s="916"/>
      <c r="AD168" s="957"/>
    </row>
    <row r="169" spans="2:34">
      <c r="B169" s="957"/>
      <c r="C169" s="905"/>
      <c r="D169" s="905"/>
      <c r="E169" s="905"/>
      <c r="F169" s="905"/>
      <c r="G169" s="760"/>
      <c r="H169" s="916"/>
      <c r="I169" s="916"/>
      <c r="J169" s="916"/>
      <c r="K169" s="760"/>
      <c r="L169" s="916"/>
      <c r="M169" s="916"/>
      <c r="N169" s="916"/>
      <c r="O169" s="760"/>
      <c r="P169" s="916"/>
      <c r="Q169" s="916"/>
      <c r="R169" s="916"/>
      <c r="S169" s="760"/>
      <c r="T169" s="916"/>
      <c r="U169" s="916"/>
      <c r="V169" s="916"/>
      <c r="W169" s="760"/>
      <c r="X169" s="916"/>
      <c r="Y169" s="916"/>
      <c r="Z169" s="916"/>
      <c r="AA169" s="760"/>
      <c r="AB169" s="916"/>
      <c r="AC169" s="916"/>
      <c r="AD169" s="957"/>
    </row>
    <row r="170" spans="2:34">
      <c r="B170" s="957"/>
      <c r="C170" s="905"/>
      <c r="D170" s="905"/>
      <c r="E170" s="905"/>
      <c r="F170" s="905"/>
      <c r="G170" s="760"/>
      <c r="H170" s="916"/>
      <c r="I170" s="916"/>
      <c r="J170" s="916"/>
      <c r="K170" s="760"/>
      <c r="L170" s="916"/>
      <c r="M170" s="916"/>
      <c r="N170" s="916"/>
      <c r="O170" s="760"/>
      <c r="P170" s="916"/>
      <c r="Q170" s="916"/>
      <c r="R170" s="916"/>
      <c r="S170" s="760"/>
      <c r="T170" s="916"/>
      <c r="U170" s="916"/>
      <c r="V170" s="916"/>
      <c r="W170" s="760"/>
      <c r="X170" s="916"/>
      <c r="Y170" s="916"/>
      <c r="Z170" s="916"/>
      <c r="AA170" s="760"/>
      <c r="AB170" s="916"/>
      <c r="AC170" s="916"/>
      <c r="AD170" s="957"/>
    </row>
    <row r="171" spans="2:34">
      <c r="B171" s="957"/>
      <c r="C171" s="905"/>
      <c r="D171" s="905"/>
      <c r="E171" s="905"/>
      <c r="F171" s="905"/>
      <c r="G171" s="760"/>
      <c r="H171" s="916"/>
      <c r="I171" s="916"/>
      <c r="J171" s="916"/>
      <c r="K171" s="760"/>
      <c r="L171" s="916"/>
      <c r="M171" s="916"/>
      <c r="N171" s="916"/>
      <c r="O171" s="760"/>
      <c r="P171" s="916"/>
      <c r="Q171" s="916"/>
      <c r="R171" s="916"/>
      <c r="S171" s="760"/>
      <c r="T171" s="916"/>
      <c r="U171" s="916"/>
      <c r="V171" s="916"/>
      <c r="W171" s="760"/>
      <c r="X171" s="916"/>
      <c r="Y171" s="916"/>
      <c r="Z171" s="916"/>
      <c r="AA171" s="760"/>
      <c r="AB171" s="916"/>
      <c r="AC171" s="916"/>
      <c r="AD171" s="957"/>
    </row>
    <row r="172" spans="2:34">
      <c r="B172" s="957"/>
      <c r="C172" s="905"/>
      <c r="D172" s="905"/>
      <c r="E172" s="905"/>
      <c r="F172" s="905"/>
      <c r="G172" s="760"/>
      <c r="H172" s="916"/>
      <c r="I172" s="916"/>
      <c r="J172" s="916"/>
      <c r="K172" s="760"/>
      <c r="L172" s="916"/>
      <c r="M172" s="916"/>
      <c r="N172" s="916"/>
      <c r="O172" s="760"/>
      <c r="P172" s="916"/>
      <c r="Q172" s="916"/>
      <c r="R172" s="916"/>
      <c r="S172" s="760"/>
      <c r="T172" s="916"/>
      <c r="U172" s="916"/>
      <c r="V172" s="916"/>
      <c r="W172" s="760"/>
      <c r="X172" s="916"/>
      <c r="Y172" s="916"/>
      <c r="Z172" s="916"/>
      <c r="AA172" s="760"/>
      <c r="AB172" s="916"/>
      <c r="AC172" s="916"/>
      <c r="AD172" s="957"/>
    </row>
    <row r="173" spans="2:34">
      <c r="B173" s="957"/>
      <c r="C173" s="905"/>
      <c r="D173" s="905"/>
      <c r="E173" s="905"/>
      <c r="F173" s="905"/>
      <c r="G173" s="760"/>
      <c r="H173" s="916"/>
      <c r="I173" s="916"/>
      <c r="J173" s="916"/>
      <c r="K173" s="760"/>
      <c r="L173" s="916"/>
      <c r="M173" s="916"/>
      <c r="N173" s="916"/>
      <c r="O173" s="760"/>
      <c r="P173" s="916"/>
      <c r="Q173" s="916"/>
      <c r="R173" s="916"/>
      <c r="S173" s="760"/>
      <c r="T173" s="916"/>
      <c r="U173" s="916"/>
      <c r="V173" s="916"/>
      <c r="W173" s="760"/>
      <c r="X173" s="916"/>
      <c r="Y173" s="916"/>
      <c r="Z173" s="916"/>
      <c r="AA173" s="760"/>
      <c r="AB173" s="916"/>
      <c r="AC173" s="916"/>
      <c r="AD173" s="957"/>
    </row>
    <row r="174" spans="2:34">
      <c r="B174" s="957"/>
      <c r="C174" s="905"/>
      <c r="D174" s="905"/>
      <c r="E174" s="905"/>
      <c r="F174" s="905"/>
      <c r="G174" s="905"/>
      <c r="H174" s="916"/>
      <c r="I174" s="916"/>
      <c r="J174" s="916"/>
      <c r="K174" s="905"/>
      <c r="L174" s="916"/>
      <c r="M174" s="916"/>
      <c r="N174" s="916"/>
      <c r="O174" s="905"/>
      <c r="P174" s="916"/>
      <c r="Q174" s="916"/>
      <c r="R174" s="916"/>
      <c r="S174" s="905"/>
      <c r="T174" s="916"/>
      <c r="U174" s="916"/>
      <c r="V174" s="916"/>
      <c r="W174" s="905"/>
      <c r="X174" s="916"/>
      <c r="Y174" s="916"/>
      <c r="Z174" s="916"/>
      <c r="AA174" s="905"/>
      <c r="AB174" s="916"/>
      <c r="AC174" s="916"/>
      <c r="AD174" s="957"/>
    </row>
    <row r="175" spans="2:34">
      <c r="B175" s="957"/>
      <c r="C175" s="905"/>
      <c r="D175" s="905"/>
      <c r="E175" s="905"/>
      <c r="F175" s="905"/>
      <c r="G175" s="760"/>
      <c r="H175" s="916"/>
      <c r="I175" s="916"/>
      <c r="J175" s="916"/>
      <c r="K175" s="760"/>
      <c r="L175" s="916"/>
      <c r="M175" s="916"/>
      <c r="N175" s="916"/>
      <c r="O175" s="760"/>
      <c r="P175" s="916"/>
      <c r="Q175" s="916"/>
      <c r="R175" s="916"/>
      <c r="S175" s="760"/>
      <c r="T175" s="916"/>
      <c r="U175" s="916"/>
      <c r="V175" s="916"/>
      <c r="W175" s="760"/>
      <c r="X175" s="916"/>
      <c r="Y175" s="916"/>
      <c r="Z175" s="916"/>
      <c r="AA175" s="760"/>
      <c r="AB175" s="916"/>
      <c r="AC175" s="916"/>
      <c r="AD175" s="957"/>
    </row>
    <row r="176" spans="2:34">
      <c r="B176" s="957"/>
      <c r="C176" s="905"/>
      <c r="D176" s="905"/>
      <c r="E176" s="905"/>
      <c r="F176" s="905"/>
      <c r="G176" s="760"/>
      <c r="H176" s="916"/>
      <c r="I176" s="916"/>
      <c r="J176" s="916"/>
      <c r="K176" s="760"/>
      <c r="L176" s="916"/>
      <c r="M176" s="916"/>
      <c r="N176" s="916"/>
      <c r="O176" s="760"/>
      <c r="P176" s="916"/>
      <c r="Q176" s="916"/>
      <c r="R176" s="916"/>
      <c r="S176" s="760"/>
      <c r="T176" s="916"/>
      <c r="U176" s="916"/>
      <c r="V176" s="916"/>
      <c r="W176" s="760"/>
      <c r="X176" s="916"/>
      <c r="Y176" s="916"/>
      <c r="Z176" s="916"/>
      <c r="AA176" s="760"/>
      <c r="AB176" s="916"/>
      <c r="AC176" s="916"/>
      <c r="AD176" s="957"/>
    </row>
    <row r="177" spans="2:30">
      <c r="B177" s="957"/>
      <c r="C177" s="905"/>
      <c r="D177" s="905"/>
      <c r="E177" s="905"/>
      <c r="F177" s="905"/>
      <c r="G177" s="760"/>
      <c r="H177" s="916"/>
      <c r="I177" s="916"/>
      <c r="J177" s="916"/>
      <c r="K177" s="760"/>
      <c r="L177" s="916"/>
      <c r="M177" s="916"/>
      <c r="N177" s="916"/>
      <c r="O177" s="760"/>
      <c r="P177" s="916"/>
      <c r="Q177" s="916"/>
      <c r="R177" s="916"/>
      <c r="S177" s="760"/>
      <c r="T177" s="916"/>
      <c r="U177" s="916"/>
      <c r="V177" s="916"/>
      <c r="W177" s="760"/>
      <c r="X177" s="916"/>
      <c r="Y177" s="916"/>
      <c r="Z177" s="916"/>
      <c r="AA177" s="760"/>
      <c r="AB177" s="916"/>
      <c r="AC177" s="916"/>
      <c r="AD177" s="957"/>
    </row>
    <row r="178" spans="2:30">
      <c r="B178" s="957"/>
      <c r="C178" s="905"/>
      <c r="D178" s="905"/>
      <c r="E178" s="905"/>
      <c r="F178" s="905"/>
      <c r="G178" s="760"/>
      <c r="H178" s="916"/>
      <c r="I178" s="916"/>
      <c r="J178" s="916"/>
      <c r="K178" s="760"/>
      <c r="L178" s="916"/>
      <c r="M178" s="916"/>
      <c r="N178" s="916"/>
      <c r="O178" s="760"/>
      <c r="P178" s="916"/>
      <c r="Q178" s="916"/>
      <c r="R178" s="916"/>
      <c r="S178" s="760"/>
      <c r="T178" s="916"/>
      <c r="U178" s="916"/>
      <c r="V178" s="916"/>
      <c r="W178" s="760"/>
      <c r="X178" s="916"/>
      <c r="Y178" s="916"/>
      <c r="Z178" s="916"/>
      <c r="AA178" s="760"/>
      <c r="AB178" s="916"/>
      <c r="AC178" s="916"/>
      <c r="AD178" s="957"/>
    </row>
    <row r="179" spans="2:30">
      <c r="B179" s="957"/>
      <c r="C179" s="905"/>
      <c r="D179" s="905"/>
      <c r="E179" s="905"/>
      <c r="F179" s="905"/>
      <c r="G179" s="760"/>
      <c r="H179" s="916"/>
      <c r="I179" s="916"/>
      <c r="J179" s="916"/>
      <c r="K179" s="760"/>
      <c r="L179" s="916"/>
      <c r="M179" s="916"/>
      <c r="N179" s="916"/>
      <c r="O179" s="760"/>
      <c r="P179" s="916"/>
      <c r="Q179" s="916"/>
      <c r="R179" s="916"/>
      <c r="S179" s="760"/>
      <c r="T179" s="916"/>
      <c r="U179" s="916"/>
      <c r="V179" s="916"/>
      <c r="W179" s="760"/>
      <c r="X179" s="916"/>
      <c r="Y179" s="916"/>
      <c r="Z179" s="916"/>
      <c r="AA179" s="760"/>
      <c r="AB179" s="916"/>
      <c r="AC179" s="916"/>
      <c r="AD179" s="957"/>
    </row>
    <row r="180" spans="2:30">
      <c r="B180" s="957"/>
      <c r="C180" s="905"/>
      <c r="D180" s="905"/>
      <c r="E180" s="905"/>
      <c r="F180" s="905"/>
      <c r="G180" s="905"/>
      <c r="H180" s="916"/>
      <c r="I180" s="916"/>
      <c r="J180" s="916"/>
      <c r="K180" s="905"/>
      <c r="L180" s="916"/>
      <c r="M180" s="916"/>
      <c r="N180" s="916"/>
      <c r="O180" s="905"/>
      <c r="P180" s="916"/>
      <c r="Q180" s="916"/>
      <c r="R180" s="916"/>
      <c r="S180" s="905"/>
      <c r="T180" s="916"/>
      <c r="U180" s="916"/>
      <c r="V180" s="916"/>
      <c r="W180" s="905"/>
      <c r="X180" s="916"/>
      <c r="Y180" s="916"/>
      <c r="Z180" s="916"/>
      <c r="AA180" s="905"/>
      <c r="AB180" s="916"/>
      <c r="AC180" s="916"/>
      <c r="AD180" s="957"/>
    </row>
    <row r="181" spans="2:30">
      <c r="B181" s="957"/>
      <c r="C181" s="905"/>
      <c r="D181" s="905"/>
      <c r="E181" s="905"/>
      <c r="F181" s="905"/>
      <c r="G181" s="760"/>
      <c r="H181" s="916"/>
      <c r="I181" s="916"/>
      <c r="J181" s="916"/>
      <c r="K181" s="760"/>
      <c r="L181" s="916"/>
      <c r="M181" s="916"/>
      <c r="N181" s="916"/>
      <c r="O181" s="760"/>
      <c r="P181" s="916"/>
      <c r="Q181" s="916"/>
      <c r="R181" s="916"/>
      <c r="S181" s="760"/>
      <c r="T181" s="916"/>
      <c r="U181" s="916"/>
      <c r="V181" s="916"/>
      <c r="W181" s="760"/>
      <c r="X181" s="916"/>
      <c r="Y181" s="916"/>
      <c r="Z181" s="916"/>
      <c r="AA181" s="760"/>
      <c r="AB181" s="916"/>
      <c r="AC181" s="916"/>
      <c r="AD181" s="957"/>
    </row>
    <row r="182" spans="2:30">
      <c r="B182" s="957"/>
      <c r="C182" s="905"/>
      <c r="D182" s="905"/>
      <c r="E182" s="905"/>
      <c r="F182" s="905"/>
      <c r="G182" s="760"/>
      <c r="H182" s="916"/>
      <c r="I182" s="916"/>
      <c r="J182" s="916"/>
      <c r="K182" s="760"/>
      <c r="L182" s="916"/>
      <c r="M182" s="916"/>
      <c r="N182" s="916"/>
      <c r="O182" s="760"/>
      <c r="P182" s="916"/>
      <c r="Q182" s="916"/>
      <c r="R182" s="916"/>
      <c r="S182" s="760"/>
      <c r="T182" s="916"/>
      <c r="U182" s="916"/>
      <c r="V182" s="916"/>
      <c r="W182" s="760"/>
      <c r="X182" s="916"/>
      <c r="Y182" s="916"/>
      <c r="Z182" s="916"/>
      <c r="AA182" s="760"/>
      <c r="AB182" s="916"/>
      <c r="AC182" s="916"/>
      <c r="AD182" s="957"/>
    </row>
    <row r="183" spans="2:30">
      <c r="B183" s="957"/>
      <c r="C183" s="905"/>
      <c r="D183" s="905"/>
      <c r="E183" s="905"/>
      <c r="F183" s="905"/>
      <c r="G183" s="760"/>
      <c r="H183" s="916"/>
      <c r="I183" s="916"/>
      <c r="J183" s="916"/>
      <c r="K183" s="760"/>
      <c r="L183" s="916"/>
      <c r="M183" s="916"/>
      <c r="N183" s="916"/>
      <c r="O183" s="760"/>
      <c r="P183" s="916"/>
      <c r="Q183" s="916"/>
      <c r="R183" s="916"/>
      <c r="S183" s="760"/>
      <c r="T183" s="916"/>
      <c r="U183" s="916"/>
      <c r="V183" s="916"/>
      <c r="W183" s="760"/>
      <c r="X183" s="916"/>
      <c r="Y183" s="916"/>
      <c r="Z183" s="916"/>
      <c r="AA183" s="760"/>
      <c r="AB183" s="916"/>
      <c r="AC183" s="916"/>
      <c r="AD183" s="957"/>
    </row>
    <row r="184" spans="2:30">
      <c r="B184" s="957"/>
      <c r="C184" s="905"/>
      <c r="D184" s="905"/>
      <c r="E184" s="905"/>
      <c r="F184" s="905"/>
      <c r="G184" s="760"/>
      <c r="H184" s="916"/>
      <c r="I184" s="916"/>
      <c r="J184" s="916"/>
      <c r="K184" s="760"/>
      <c r="L184" s="916"/>
      <c r="M184" s="916"/>
      <c r="N184" s="916"/>
      <c r="O184" s="760"/>
      <c r="P184" s="916"/>
      <c r="Q184" s="916"/>
      <c r="R184" s="916"/>
      <c r="S184" s="760"/>
      <c r="T184" s="916"/>
      <c r="U184" s="916"/>
      <c r="V184" s="916"/>
      <c r="W184" s="760"/>
      <c r="X184" s="916"/>
      <c r="Y184" s="916"/>
      <c r="Z184" s="916"/>
      <c r="AA184" s="760"/>
      <c r="AB184" s="916"/>
      <c r="AC184" s="916"/>
      <c r="AD184" s="957"/>
    </row>
    <row r="185" spans="2:30">
      <c r="B185" s="957"/>
      <c r="C185" s="905"/>
      <c r="D185" s="905"/>
      <c r="E185" s="905"/>
      <c r="F185" s="905"/>
      <c r="G185" s="760"/>
      <c r="H185" s="916"/>
      <c r="I185" s="916"/>
      <c r="J185" s="916"/>
      <c r="K185" s="760"/>
      <c r="L185" s="916"/>
      <c r="M185" s="916"/>
      <c r="N185" s="916"/>
      <c r="O185" s="760"/>
      <c r="P185" s="916"/>
      <c r="Q185" s="916"/>
      <c r="R185" s="916"/>
      <c r="S185" s="760"/>
      <c r="T185" s="916"/>
      <c r="U185" s="916"/>
      <c r="V185" s="916"/>
      <c r="W185" s="760"/>
      <c r="X185" s="916"/>
      <c r="Y185" s="916"/>
      <c r="Z185" s="916"/>
      <c r="AA185" s="760"/>
      <c r="AB185" s="916"/>
      <c r="AC185" s="916"/>
      <c r="AD185" s="957"/>
    </row>
    <row r="186" spans="2:30">
      <c r="B186" s="957"/>
      <c r="C186" s="905"/>
      <c r="D186" s="905"/>
      <c r="E186" s="905"/>
      <c r="F186" s="905"/>
      <c r="G186" s="905"/>
      <c r="H186" s="916"/>
      <c r="I186" s="916"/>
      <c r="J186" s="916"/>
      <c r="K186" s="905"/>
      <c r="L186" s="916"/>
      <c r="M186" s="916"/>
      <c r="N186" s="916"/>
      <c r="O186" s="905"/>
      <c r="P186" s="916"/>
      <c r="Q186" s="916"/>
      <c r="R186" s="916"/>
      <c r="S186" s="905"/>
      <c r="T186" s="916"/>
      <c r="U186" s="916"/>
      <c r="V186" s="916"/>
      <c r="W186" s="905"/>
      <c r="X186" s="916"/>
      <c r="Y186" s="916"/>
      <c r="Z186" s="916"/>
      <c r="AA186" s="905"/>
      <c r="AB186" s="916"/>
      <c r="AC186" s="916"/>
      <c r="AD186" s="957"/>
    </row>
    <row r="187" spans="2:30">
      <c r="B187" s="957"/>
      <c r="C187" s="905"/>
      <c r="D187" s="905"/>
      <c r="E187" s="905"/>
      <c r="F187" s="905"/>
      <c r="G187" s="760"/>
      <c r="H187" s="916"/>
      <c r="I187" s="916"/>
      <c r="J187" s="916"/>
      <c r="K187" s="760"/>
      <c r="L187" s="916"/>
      <c r="M187" s="916"/>
      <c r="N187" s="916"/>
      <c r="O187" s="760"/>
      <c r="P187" s="916"/>
      <c r="Q187" s="916"/>
      <c r="R187" s="916"/>
      <c r="S187" s="760"/>
      <c r="T187" s="916"/>
      <c r="U187" s="916"/>
      <c r="V187" s="916"/>
      <c r="W187" s="760"/>
      <c r="X187" s="916"/>
      <c r="Y187" s="916"/>
      <c r="Z187" s="916"/>
      <c r="AA187" s="760"/>
      <c r="AB187" s="916"/>
      <c r="AC187" s="916"/>
      <c r="AD187" s="957"/>
    </row>
    <row r="188" spans="2:30">
      <c r="B188" s="905"/>
      <c r="C188" s="905"/>
      <c r="D188" s="905"/>
      <c r="E188" s="905"/>
      <c r="F188" s="905"/>
      <c r="G188" s="905"/>
      <c r="H188" s="905"/>
      <c r="I188" s="905"/>
      <c r="J188" s="905"/>
      <c r="K188" s="905"/>
      <c r="L188" s="905"/>
      <c r="M188" s="905"/>
      <c r="N188" s="905"/>
      <c r="O188" s="905"/>
      <c r="P188" s="905"/>
      <c r="Q188" s="905"/>
      <c r="R188" s="905"/>
      <c r="S188" s="905"/>
      <c r="T188" s="905"/>
      <c r="U188" s="905"/>
      <c r="V188" s="905"/>
      <c r="W188" s="2278"/>
      <c r="X188" s="2278"/>
      <c r="Y188" s="2278"/>
      <c r="Z188" s="2278"/>
      <c r="AA188" s="2278"/>
      <c r="AB188" s="2278"/>
      <c r="AC188" s="2278"/>
      <c r="AD188" s="957"/>
    </row>
    <row r="189" spans="2:30">
      <c r="B189" s="2272"/>
      <c r="C189" s="2272"/>
      <c r="D189" s="2272"/>
      <c r="E189" s="2272"/>
      <c r="F189" s="2272"/>
      <c r="G189" s="2276"/>
      <c r="H189" s="2277"/>
      <c r="I189" s="2277"/>
      <c r="J189" s="2277"/>
      <c r="K189" s="2276"/>
      <c r="L189" s="2277"/>
      <c r="M189" s="2277"/>
      <c r="N189" s="2277"/>
      <c r="O189" s="2276"/>
      <c r="P189" s="2277"/>
      <c r="Q189" s="2277"/>
      <c r="R189" s="2277"/>
      <c r="S189" s="2276"/>
      <c r="T189" s="2277"/>
      <c r="U189" s="2277"/>
      <c r="V189" s="2277"/>
      <c r="W189" s="2276"/>
      <c r="X189" s="2277"/>
      <c r="Y189" s="2277"/>
      <c r="Z189" s="2277"/>
      <c r="AA189" s="2276"/>
      <c r="AB189" s="2277"/>
      <c r="AC189" s="2277"/>
      <c r="AD189" s="957"/>
    </row>
    <row r="190" spans="2:30">
      <c r="B190" s="2279"/>
      <c r="C190" s="957"/>
      <c r="D190" s="957"/>
      <c r="E190" s="957"/>
      <c r="F190" s="957"/>
      <c r="G190" s="957"/>
      <c r="H190" s="957"/>
      <c r="I190" s="957"/>
      <c r="J190" s="957"/>
      <c r="K190" s="957"/>
      <c r="L190" s="957"/>
      <c r="M190" s="957"/>
      <c r="N190" s="957"/>
      <c r="O190" s="957"/>
      <c r="P190" s="957"/>
      <c r="Q190" s="957"/>
      <c r="R190" s="957"/>
      <c r="S190" s="957"/>
      <c r="T190" s="957"/>
      <c r="U190" s="957"/>
      <c r="V190" s="957"/>
      <c r="W190" s="957"/>
      <c r="X190" s="957"/>
      <c r="Y190" s="957"/>
      <c r="Z190" s="957"/>
      <c r="AA190" s="957"/>
      <c r="AB190" s="957"/>
      <c r="AC190" s="957"/>
      <c r="AD190" s="957"/>
    </row>
    <row r="191" spans="2:30">
      <c r="B191" s="957"/>
      <c r="C191" s="957"/>
      <c r="D191" s="957"/>
      <c r="E191" s="957"/>
      <c r="F191" s="957"/>
      <c r="G191" s="957"/>
      <c r="H191" s="957"/>
      <c r="I191" s="957"/>
      <c r="J191" s="957"/>
      <c r="K191" s="957"/>
      <c r="L191" s="957"/>
      <c r="M191" s="957"/>
      <c r="N191" s="957"/>
      <c r="O191" s="957"/>
      <c r="P191" s="957"/>
      <c r="Q191" s="957"/>
      <c r="R191" s="957"/>
      <c r="S191" s="957"/>
      <c r="T191" s="957"/>
      <c r="U191" s="957"/>
      <c r="V191" s="957"/>
      <c r="W191" s="957"/>
      <c r="X191" s="957"/>
      <c r="Y191" s="957"/>
      <c r="Z191" s="957"/>
      <c r="AA191" s="957"/>
      <c r="AB191" s="957"/>
      <c r="AC191" s="957"/>
      <c r="AD191" s="957"/>
    </row>
    <row r="192" spans="2:30">
      <c r="B192" s="957"/>
      <c r="C192" s="957"/>
      <c r="D192" s="957"/>
      <c r="E192" s="957"/>
      <c r="F192" s="957"/>
      <c r="G192" s="957"/>
      <c r="H192" s="957"/>
      <c r="I192" s="957"/>
      <c r="J192" s="957"/>
      <c r="K192" s="957"/>
      <c r="L192" s="957"/>
      <c r="M192" s="957"/>
      <c r="N192" s="957"/>
      <c r="O192" s="957"/>
      <c r="P192" s="957"/>
      <c r="Q192" s="957"/>
      <c r="R192" s="957"/>
      <c r="S192" s="957"/>
      <c r="T192" s="957"/>
      <c r="U192" s="957"/>
      <c r="V192" s="957"/>
      <c r="W192" s="957"/>
      <c r="X192" s="957"/>
      <c r="Y192" s="957"/>
      <c r="Z192" s="957"/>
      <c r="AA192" s="957"/>
      <c r="AB192" s="957"/>
      <c r="AC192" s="957"/>
      <c r="AD192" s="957"/>
    </row>
    <row r="193" spans="2:30">
      <c r="B193" s="2845" t="s">
        <v>3244</v>
      </c>
      <c r="C193" s="1139"/>
      <c r="D193" s="1139"/>
      <c r="E193" s="1139"/>
      <c r="F193" s="1139"/>
      <c r="G193" s="1139"/>
      <c r="H193" s="1139"/>
      <c r="I193" s="1139"/>
      <c r="J193" s="1139"/>
      <c r="K193" s="1139"/>
      <c r="L193" s="957"/>
      <c r="M193" s="957"/>
      <c r="N193" s="957"/>
      <c r="O193" s="957"/>
      <c r="P193" s="957"/>
      <c r="Q193" s="957"/>
      <c r="R193" s="957"/>
      <c r="S193" s="957"/>
      <c r="T193" s="957"/>
      <c r="U193" s="957"/>
      <c r="V193" s="957"/>
      <c r="W193" s="957"/>
      <c r="X193" s="957"/>
      <c r="Y193" s="957"/>
      <c r="Z193" s="957"/>
      <c r="AA193" s="957"/>
      <c r="AB193" s="957"/>
      <c r="AC193" s="957"/>
      <c r="AD193" s="957"/>
    </row>
    <row r="194" spans="2:30">
      <c r="B194" s="894" t="s">
        <v>3245</v>
      </c>
      <c r="C194" s="1139"/>
      <c r="D194" s="1139"/>
      <c r="E194" s="1139"/>
      <c r="F194" s="1139"/>
      <c r="G194" s="1139"/>
      <c r="H194" s="1139"/>
      <c r="I194" s="1139"/>
      <c r="J194" s="1139"/>
      <c r="K194" s="1139"/>
      <c r="L194" s="957"/>
      <c r="M194" s="957"/>
      <c r="N194" s="957"/>
      <c r="O194" s="957"/>
      <c r="P194" s="957"/>
      <c r="Q194" s="957"/>
      <c r="R194" s="957"/>
      <c r="S194" s="957"/>
      <c r="T194" s="957"/>
      <c r="U194" s="957"/>
      <c r="V194" s="957"/>
      <c r="W194" s="957"/>
      <c r="X194" s="957"/>
      <c r="Y194" s="957"/>
      <c r="Z194" s="957"/>
      <c r="AA194" s="957"/>
      <c r="AB194" s="957"/>
      <c r="AC194" s="957"/>
      <c r="AD194" s="957"/>
    </row>
    <row r="195" spans="2:30">
      <c r="B195" s="878" t="s">
        <v>3246</v>
      </c>
      <c r="C195" s="1139"/>
      <c r="D195" s="1139"/>
      <c r="E195" s="1139"/>
      <c r="F195" s="1139"/>
      <c r="G195" s="1139"/>
      <c r="H195" s="1139"/>
      <c r="I195" s="1139"/>
      <c r="J195" s="1139"/>
      <c r="K195" s="1139"/>
      <c r="L195" s="957"/>
      <c r="M195" s="957"/>
      <c r="N195" s="957"/>
      <c r="O195" s="957"/>
      <c r="P195" s="957"/>
      <c r="Q195" s="957"/>
      <c r="R195" s="957"/>
      <c r="S195" s="957"/>
      <c r="T195" s="957"/>
      <c r="U195" s="957"/>
      <c r="V195" s="957"/>
      <c r="W195" s="957"/>
      <c r="X195" s="957"/>
      <c r="Y195" s="957"/>
      <c r="Z195" s="957"/>
      <c r="AA195" s="957"/>
      <c r="AB195" s="957"/>
      <c r="AC195" s="957"/>
      <c r="AD195" s="957"/>
    </row>
    <row r="196" spans="2:30">
      <c r="B196" s="1139"/>
      <c r="C196" s="1140"/>
      <c r="D196" s="1140"/>
      <c r="E196" s="1140"/>
      <c r="F196" s="1140"/>
      <c r="G196" s="1140"/>
      <c r="H196" s="1140"/>
      <c r="I196" s="1140"/>
      <c r="J196" s="1140"/>
      <c r="K196" s="1139"/>
      <c r="L196" s="957"/>
      <c r="M196" s="957"/>
      <c r="N196" s="957"/>
      <c r="O196" s="957"/>
      <c r="P196" s="957"/>
      <c r="Q196" s="957"/>
      <c r="R196" s="957"/>
      <c r="S196" s="957"/>
      <c r="T196" s="957"/>
      <c r="U196" s="957"/>
      <c r="V196" s="957"/>
      <c r="W196" s="957"/>
      <c r="X196" s="957"/>
      <c r="Y196" s="957"/>
      <c r="Z196" s="957"/>
      <c r="AA196" s="957"/>
      <c r="AB196" s="957"/>
      <c r="AC196" s="957"/>
      <c r="AD196" s="957"/>
    </row>
    <row r="197" spans="2:30">
      <c r="B197" s="2846" t="s">
        <v>1007</v>
      </c>
      <c r="C197" s="2847" t="s">
        <v>626</v>
      </c>
      <c r="D197" s="2847" t="s">
        <v>61</v>
      </c>
      <c r="E197" s="2847" t="s">
        <v>627</v>
      </c>
      <c r="F197" s="2847" t="s">
        <v>3247</v>
      </c>
      <c r="G197" s="2847" t="s">
        <v>3248</v>
      </c>
      <c r="H197" s="2847" t="s">
        <v>205</v>
      </c>
      <c r="I197" s="2847" t="s">
        <v>632</v>
      </c>
      <c r="J197" s="2847" t="s">
        <v>625</v>
      </c>
      <c r="K197" s="1139"/>
      <c r="L197" s="957"/>
      <c r="M197" s="957"/>
      <c r="N197" s="957"/>
      <c r="O197" s="957"/>
      <c r="P197" s="957"/>
      <c r="Q197" s="957"/>
      <c r="R197" s="957"/>
      <c r="S197" s="957"/>
      <c r="T197" s="957"/>
      <c r="U197" s="957"/>
      <c r="V197" s="957"/>
      <c r="W197" s="957"/>
      <c r="X197" s="957"/>
      <c r="Y197" s="957"/>
      <c r="Z197" s="957"/>
      <c r="AA197" s="957"/>
      <c r="AB197" s="957"/>
      <c r="AC197" s="957"/>
      <c r="AD197" s="957"/>
    </row>
    <row r="198" spans="2:30">
      <c r="B198" s="1140" t="s">
        <v>1002</v>
      </c>
      <c r="C198" s="1140"/>
      <c r="D198" s="1140"/>
      <c r="E198" s="1140"/>
      <c r="F198" s="2848" t="s">
        <v>3249</v>
      </c>
      <c r="G198" s="2848" t="s">
        <v>3250</v>
      </c>
      <c r="H198" s="2848"/>
      <c r="I198" s="2848"/>
      <c r="J198" s="1140"/>
      <c r="K198" s="1139"/>
      <c r="L198" s="957"/>
      <c r="M198" s="957"/>
      <c r="N198" s="957"/>
      <c r="O198" s="957"/>
      <c r="P198" s="957"/>
      <c r="Q198" s="957"/>
      <c r="R198" s="957"/>
      <c r="S198" s="957"/>
      <c r="T198" s="957"/>
      <c r="U198" s="957"/>
      <c r="V198" s="957"/>
      <c r="W198" s="957"/>
      <c r="X198" s="957"/>
      <c r="Y198" s="957"/>
      <c r="Z198" s="957"/>
      <c r="AA198" s="957"/>
      <c r="AB198" s="957"/>
      <c r="AC198" s="957"/>
      <c r="AD198" s="957"/>
    </row>
    <row r="199" spans="2:30">
      <c r="B199" s="2849">
        <v>2003</v>
      </c>
      <c r="C199" s="2850">
        <v>156937</v>
      </c>
      <c r="D199" s="2850">
        <v>188584</v>
      </c>
      <c r="E199" s="2850">
        <v>276</v>
      </c>
      <c r="F199" s="2850">
        <v>16</v>
      </c>
      <c r="G199" s="2850">
        <v>0</v>
      </c>
      <c r="H199" s="2850">
        <v>212</v>
      </c>
      <c r="I199" s="2850">
        <v>380</v>
      </c>
      <c r="J199" s="2850">
        <v>346405</v>
      </c>
      <c r="K199" s="1139"/>
      <c r="L199" s="957"/>
      <c r="M199" s="957"/>
      <c r="N199" s="957"/>
      <c r="O199" s="957"/>
      <c r="P199" s="957"/>
      <c r="Q199" s="957"/>
      <c r="R199" s="957"/>
      <c r="S199" s="957"/>
      <c r="T199" s="957"/>
      <c r="U199" s="957"/>
      <c r="V199" s="957"/>
      <c r="W199" s="957"/>
      <c r="X199" s="957"/>
      <c r="Y199" s="957"/>
      <c r="Z199" s="957"/>
      <c r="AA199" s="957"/>
      <c r="AB199" s="957"/>
      <c r="AC199" s="957"/>
      <c r="AD199" s="957"/>
    </row>
    <row r="200" spans="2:30">
      <c r="B200" s="2849">
        <v>2004</v>
      </c>
      <c r="C200" s="2850">
        <v>147545</v>
      </c>
      <c r="D200" s="2850">
        <v>216033</v>
      </c>
      <c r="E200" s="2850">
        <v>263</v>
      </c>
      <c r="F200" s="2850">
        <v>34</v>
      </c>
      <c r="G200" s="2850">
        <v>0</v>
      </c>
      <c r="H200" s="2850">
        <v>265</v>
      </c>
      <c r="I200" s="2850">
        <v>365</v>
      </c>
      <c r="J200" s="2850">
        <v>364505</v>
      </c>
      <c r="K200" s="1139"/>
      <c r="L200" s="957"/>
      <c r="M200" s="957"/>
      <c r="N200" s="957"/>
      <c r="O200" s="957"/>
      <c r="P200" s="957"/>
      <c r="Q200" s="957"/>
      <c r="R200" s="957"/>
      <c r="S200" s="957"/>
      <c r="T200" s="957"/>
      <c r="U200" s="957"/>
      <c r="V200" s="957"/>
      <c r="W200" s="957"/>
      <c r="X200" s="957"/>
      <c r="Y200" s="957"/>
      <c r="Z200" s="957"/>
      <c r="AA200" s="957"/>
      <c r="AB200" s="957"/>
      <c r="AC200" s="957"/>
      <c r="AD200" s="957"/>
    </row>
    <row r="201" spans="2:30">
      <c r="B201" s="2849">
        <v>2005</v>
      </c>
      <c r="C201" s="2850">
        <v>138436</v>
      </c>
      <c r="D201" s="2850">
        <v>245229</v>
      </c>
      <c r="E201" s="2850">
        <v>241</v>
      </c>
      <c r="F201" s="2850">
        <v>106</v>
      </c>
      <c r="G201" s="2850">
        <v>0</v>
      </c>
      <c r="H201" s="2850">
        <v>637</v>
      </c>
      <c r="I201" s="2850">
        <v>127</v>
      </c>
      <c r="J201" s="2850">
        <v>384776</v>
      </c>
      <c r="K201" s="1139"/>
      <c r="L201" s="957"/>
      <c r="M201" s="957"/>
      <c r="N201" s="957"/>
      <c r="O201" s="957"/>
      <c r="P201" s="957"/>
      <c r="Q201" s="957"/>
      <c r="R201" s="957"/>
      <c r="S201" s="957"/>
      <c r="T201" s="957"/>
      <c r="U201" s="957"/>
      <c r="V201" s="957"/>
      <c r="W201" s="957"/>
      <c r="X201" s="957"/>
      <c r="Y201" s="957"/>
      <c r="Z201" s="957"/>
      <c r="AA201" s="957"/>
      <c r="AB201" s="957"/>
      <c r="AC201" s="957"/>
      <c r="AD201" s="957"/>
    </row>
    <row r="202" spans="2:30">
      <c r="B202" s="2849">
        <v>2006</v>
      </c>
      <c r="C202" s="2850">
        <v>127627</v>
      </c>
      <c r="D202" s="2850">
        <v>271744</v>
      </c>
      <c r="E202" s="2850">
        <v>207</v>
      </c>
      <c r="F202" s="2850">
        <v>224</v>
      </c>
      <c r="G202" s="2850">
        <v>0</v>
      </c>
      <c r="H202" s="2850">
        <v>1240</v>
      </c>
      <c r="I202" s="2850">
        <v>69</v>
      </c>
      <c r="J202" s="2850">
        <v>401111</v>
      </c>
      <c r="K202" s="1139"/>
      <c r="L202" s="957"/>
      <c r="M202" s="957"/>
      <c r="N202" s="957"/>
      <c r="O202" s="957"/>
      <c r="P202" s="957"/>
      <c r="Q202" s="957"/>
      <c r="R202" s="957"/>
      <c r="S202" s="957"/>
      <c r="T202" s="957"/>
      <c r="U202" s="957"/>
      <c r="V202" s="957"/>
      <c r="W202" s="957"/>
      <c r="X202" s="957"/>
      <c r="Y202" s="957"/>
      <c r="Z202" s="957"/>
      <c r="AA202" s="957"/>
      <c r="AB202" s="957"/>
      <c r="AC202" s="957"/>
      <c r="AD202" s="957"/>
    </row>
    <row r="203" spans="2:30">
      <c r="B203" s="2849">
        <v>2007</v>
      </c>
      <c r="C203" s="2850">
        <v>117927</v>
      </c>
      <c r="D203" s="2850">
        <v>303451</v>
      </c>
      <c r="E203" s="2850">
        <v>188</v>
      </c>
      <c r="F203" s="2850">
        <v>412</v>
      </c>
      <c r="G203" s="2850">
        <v>0</v>
      </c>
      <c r="H203" s="2850">
        <v>1879</v>
      </c>
      <c r="I203" s="2850">
        <v>63</v>
      </c>
      <c r="J203" s="2850">
        <v>423920</v>
      </c>
      <c r="K203" s="1139"/>
      <c r="L203" s="957"/>
      <c r="M203" s="957"/>
      <c r="N203" s="957"/>
      <c r="O203" s="957"/>
      <c r="P203" s="957"/>
      <c r="Q203" s="957"/>
      <c r="R203" s="957"/>
      <c r="S203" s="957"/>
      <c r="T203" s="957"/>
      <c r="U203" s="957"/>
      <c r="V203" s="957"/>
      <c r="W203" s="957"/>
      <c r="X203" s="957"/>
      <c r="Y203" s="957"/>
      <c r="Z203" s="957"/>
      <c r="AA203" s="957"/>
      <c r="AB203" s="957"/>
      <c r="AC203" s="957"/>
      <c r="AD203" s="957"/>
    </row>
    <row r="204" spans="2:30">
      <c r="B204" s="2851">
        <v>2008</v>
      </c>
      <c r="C204" s="2852">
        <v>106713</v>
      </c>
      <c r="D204" s="2852">
        <v>320497</v>
      </c>
      <c r="E204" s="2852">
        <v>156</v>
      </c>
      <c r="F204" s="2852">
        <v>669</v>
      </c>
      <c r="G204" s="2852">
        <v>0</v>
      </c>
      <c r="H204" s="2852">
        <v>2779</v>
      </c>
      <c r="I204" s="2852">
        <v>73</v>
      </c>
      <c r="J204" s="2852">
        <v>430887</v>
      </c>
      <c r="K204" s="1139"/>
      <c r="L204" s="957"/>
      <c r="M204" s="957"/>
      <c r="N204" s="957"/>
      <c r="O204" s="957"/>
      <c r="P204" s="957"/>
      <c r="Q204" s="957"/>
      <c r="R204" s="957"/>
      <c r="S204" s="957"/>
      <c r="T204" s="957"/>
      <c r="U204" s="957"/>
      <c r="V204" s="957"/>
      <c r="W204" s="957"/>
      <c r="X204" s="957"/>
      <c r="Y204" s="957"/>
      <c r="Z204" s="957"/>
      <c r="AA204" s="957"/>
      <c r="AB204" s="957"/>
      <c r="AC204" s="957"/>
      <c r="AD204" s="957"/>
    </row>
    <row r="205" spans="2:30">
      <c r="B205" s="2851">
        <v>2009</v>
      </c>
      <c r="C205" s="2852">
        <v>98553</v>
      </c>
      <c r="D205" s="2852">
        <v>332750</v>
      </c>
      <c r="E205" s="2852">
        <v>152</v>
      </c>
      <c r="F205" s="2852">
        <v>1066</v>
      </c>
      <c r="G205" s="2852">
        <v>1</v>
      </c>
      <c r="H205" s="2852">
        <v>3743</v>
      </c>
      <c r="I205" s="2852">
        <v>68</v>
      </c>
      <c r="J205" s="2852">
        <v>436333</v>
      </c>
      <c r="K205" s="1139"/>
      <c r="L205" s="957"/>
      <c r="M205" s="957"/>
      <c r="N205" s="957"/>
      <c r="O205" s="957"/>
      <c r="P205" s="957"/>
      <c r="Q205" s="957"/>
      <c r="R205" s="957"/>
      <c r="S205" s="957"/>
      <c r="T205" s="957"/>
      <c r="U205" s="957"/>
      <c r="V205" s="957"/>
      <c r="W205" s="957"/>
      <c r="X205" s="957"/>
      <c r="Y205" s="957"/>
      <c r="Z205" s="957"/>
      <c r="AA205" s="957"/>
      <c r="AB205" s="957"/>
      <c r="AC205" s="957"/>
      <c r="AD205" s="957"/>
    </row>
    <row r="206" spans="2:30">
      <c r="B206" s="2851">
        <v>2010</v>
      </c>
      <c r="C206" s="2852">
        <v>89068</v>
      </c>
      <c r="D206" s="2852">
        <v>352060</v>
      </c>
      <c r="E206" s="2852">
        <v>133</v>
      </c>
      <c r="F206" s="2852">
        <v>1424</v>
      </c>
      <c r="G206" s="2852">
        <v>9</v>
      </c>
      <c r="H206" s="2852">
        <v>4757</v>
      </c>
      <c r="I206" s="2852">
        <v>67</v>
      </c>
      <c r="J206" s="2852">
        <v>447518</v>
      </c>
      <c r="K206" s="1139"/>
      <c r="L206" s="957"/>
      <c r="M206" s="1021">
        <f>C206/(SUM(C206:D206))</f>
        <v>0.20190964980685877</v>
      </c>
      <c r="N206" s="957"/>
      <c r="O206" s="957"/>
      <c r="P206" s="957"/>
      <c r="Q206" s="957"/>
      <c r="R206" s="957"/>
      <c r="S206" s="957"/>
      <c r="T206" s="957"/>
      <c r="U206" s="957"/>
      <c r="V206" s="957"/>
      <c r="W206" s="957"/>
      <c r="X206" s="957"/>
      <c r="Y206" s="957"/>
      <c r="Z206" s="957"/>
      <c r="AA206" s="957"/>
      <c r="AB206" s="957"/>
      <c r="AC206" s="957"/>
      <c r="AD206" s="957"/>
    </row>
    <row r="207" spans="2:30">
      <c r="B207" s="2851">
        <v>2011</v>
      </c>
      <c r="C207" s="2852">
        <v>81687</v>
      </c>
      <c r="D207" s="2852">
        <v>378520</v>
      </c>
      <c r="E207" s="2852">
        <v>115</v>
      </c>
      <c r="F207" s="2852">
        <v>1583</v>
      </c>
      <c r="G207" s="2852">
        <v>24</v>
      </c>
      <c r="H207" s="2852">
        <v>5538</v>
      </c>
      <c r="I207" s="2852">
        <v>66</v>
      </c>
      <c r="J207" s="2852">
        <v>467533</v>
      </c>
      <c r="K207" s="1139"/>
      <c r="L207" s="957"/>
      <c r="M207" s="957"/>
      <c r="N207" s="957"/>
      <c r="O207" s="957"/>
      <c r="P207" s="957"/>
      <c r="Q207" s="957"/>
      <c r="R207" s="957"/>
      <c r="S207" s="957"/>
      <c r="T207" s="957"/>
      <c r="U207" s="957"/>
      <c r="V207" s="957"/>
      <c r="W207" s="957"/>
      <c r="X207" s="957"/>
      <c r="Y207" s="957"/>
      <c r="Z207" s="957"/>
      <c r="AA207" s="957"/>
      <c r="AB207" s="957"/>
      <c r="AC207" s="957"/>
      <c r="AD207" s="957"/>
    </row>
    <row r="208" spans="2:30">
      <c r="B208" s="2853">
        <v>2012</v>
      </c>
      <c r="C208" s="2854">
        <v>73530</v>
      </c>
      <c r="D208" s="2854">
        <v>395248</v>
      </c>
      <c r="E208" s="2854">
        <v>366</v>
      </c>
      <c r="F208" s="2854">
        <v>1758</v>
      </c>
      <c r="G208" s="2854">
        <v>31</v>
      </c>
      <c r="H208" s="2854">
        <v>6102</v>
      </c>
      <c r="I208" s="2854">
        <v>59</v>
      </c>
      <c r="J208" s="2854">
        <v>477094</v>
      </c>
      <c r="K208" s="1139"/>
      <c r="L208" s="957"/>
      <c r="M208" s="957"/>
      <c r="N208" s="957"/>
      <c r="O208" s="957"/>
      <c r="P208" s="957"/>
      <c r="Q208" s="957"/>
      <c r="R208" s="957"/>
      <c r="S208" s="957"/>
      <c r="T208" s="957"/>
      <c r="U208" s="957"/>
      <c r="V208" s="957"/>
      <c r="W208" s="957"/>
      <c r="X208" s="957"/>
      <c r="Y208" s="957"/>
      <c r="Z208" s="957"/>
      <c r="AA208" s="957"/>
      <c r="AB208" s="957"/>
      <c r="AC208" s="957"/>
      <c r="AD208" s="957"/>
    </row>
    <row r="209" spans="2:30">
      <c r="B209" s="1143"/>
      <c r="C209" s="1139"/>
      <c r="D209" s="1139"/>
      <c r="E209" s="1139"/>
      <c r="F209" s="1139"/>
      <c r="G209" s="1139"/>
      <c r="H209" s="1139"/>
      <c r="I209" s="1139"/>
      <c r="J209" s="1139"/>
      <c r="K209" s="1139"/>
      <c r="L209" s="957"/>
      <c r="M209" s="957"/>
      <c r="N209" s="957"/>
      <c r="O209" s="957"/>
      <c r="P209" s="957"/>
      <c r="Q209" s="957"/>
      <c r="R209" s="957"/>
      <c r="S209" s="957"/>
      <c r="T209" s="957"/>
      <c r="U209" s="957"/>
      <c r="V209" s="957"/>
      <c r="W209" s="957"/>
      <c r="X209" s="957"/>
      <c r="Y209" s="957"/>
      <c r="Z209" s="957"/>
      <c r="AA209" s="957"/>
      <c r="AB209" s="957"/>
      <c r="AC209" s="957"/>
      <c r="AD209" s="957"/>
    </row>
    <row r="210" spans="2:30">
      <c r="B210" s="1143"/>
      <c r="C210" s="1139"/>
      <c r="D210" s="1139"/>
      <c r="E210" s="1139"/>
      <c r="F210" s="1139"/>
      <c r="G210" s="1139"/>
      <c r="H210" s="1139"/>
      <c r="I210" s="1139"/>
      <c r="J210" s="1139"/>
      <c r="K210" s="1139"/>
      <c r="L210" s="957"/>
      <c r="M210" s="957"/>
      <c r="N210" s="957"/>
      <c r="O210" s="957"/>
      <c r="P210" s="957"/>
      <c r="Q210" s="957"/>
      <c r="R210" s="957"/>
      <c r="S210" s="957"/>
      <c r="T210" s="957"/>
      <c r="U210" s="957"/>
      <c r="V210" s="957"/>
      <c r="W210" s="957"/>
      <c r="X210" s="957"/>
      <c r="Y210" s="957"/>
      <c r="Z210" s="957"/>
      <c r="AA210" s="957"/>
      <c r="AB210" s="957"/>
      <c r="AC210" s="957"/>
      <c r="AD210" s="957"/>
    </row>
    <row r="211" spans="2:30">
      <c r="B211" s="1143"/>
      <c r="C211" s="1139"/>
      <c r="D211" s="1139"/>
      <c r="E211" s="1139"/>
      <c r="F211" s="1139"/>
      <c r="G211" s="1139"/>
      <c r="H211" s="1139"/>
      <c r="I211" s="1139"/>
      <c r="J211" s="1139"/>
      <c r="K211" s="1139"/>
      <c r="L211" s="957"/>
      <c r="M211" s="957"/>
      <c r="N211" s="957"/>
      <c r="O211" s="957"/>
      <c r="P211" s="957"/>
      <c r="Q211" s="957"/>
      <c r="R211" s="957"/>
      <c r="S211" s="957"/>
      <c r="T211" s="957"/>
      <c r="U211" s="957"/>
      <c r="V211" s="957"/>
      <c r="W211" s="957"/>
      <c r="X211" s="957"/>
      <c r="Y211" s="957"/>
      <c r="Z211" s="957"/>
      <c r="AA211" s="957"/>
      <c r="AB211" s="957"/>
      <c r="AC211" s="957"/>
      <c r="AD211" s="957"/>
    </row>
    <row r="212" spans="2:30">
      <c r="B212" s="1143"/>
      <c r="C212" s="1139"/>
      <c r="D212" s="1139"/>
      <c r="E212" s="1139"/>
      <c r="F212" s="1139"/>
      <c r="G212" s="1139"/>
      <c r="H212" s="1139"/>
      <c r="I212" s="1139"/>
      <c r="J212" s="1139"/>
      <c r="K212" s="1139"/>
      <c r="L212" s="957"/>
      <c r="M212" s="957"/>
      <c r="N212" s="957"/>
      <c r="O212" s="957"/>
      <c r="P212" s="957"/>
      <c r="Q212" s="957"/>
      <c r="R212" s="957"/>
      <c r="S212" s="957"/>
      <c r="T212" s="957"/>
      <c r="U212" s="957"/>
      <c r="V212" s="957"/>
      <c r="W212" s="957"/>
      <c r="X212" s="957"/>
      <c r="Y212" s="957"/>
      <c r="Z212" s="957"/>
      <c r="AA212" s="957"/>
      <c r="AB212" s="957"/>
      <c r="AC212" s="957"/>
      <c r="AD212" s="957"/>
    </row>
    <row r="213" spans="2:30">
      <c r="B213" s="2845" t="s">
        <v>3251</v>
      </c>
      <c r="C213" s="1139"/>
      <c r="D213" s="1139"/>
      <c r="E213" s="1139"/>
      <c r="F213" s="1139"/>
      <c r="G213" s="1139"/>
      <c r="H213" s="1139"/>
      <c r="I213" s="1139"/>
      <c r="J213" s="1139"/>
      <c r="K213" s="1139"/>
      <c r="L213" s="957"/>
      <c r="M213" s="957"/>
      <c r="N213" s="957"/>
      <c r="O213" s="957"/>
      <c r="P213" s="957"/>
      <c r="Q213" s="957"/>
      <c r="R213" s="957"/>
      <c r="S213" s="957"/>
      <c r="T213" s="957"/>
      <c r="U213" s="957"/>
      <c r="V213" s="957"/>
      <c r="W213" s="957"/>
      <c r="X213" s="957"/>
      <c r="Y213" s="957"/>
      <c r="Z213" s="957"/>
      <c r="AA213" s="957"/>
      <c r="AB213" s="957"/>
      <c r="AC213" s="957"/>
      <c r="AD213" s="957"/>
    </row>
    <row r="214" spans="2:30">
      <c r="B214" s="894" t="s">
        <v>3252</v>
      </c>
      <c r="C214" s="1139"/>
      <c r="D214" s="1139"/>
      <c r="E214" s="1139"/>
      <c r="F214" s="1139"/>
      <c r="G214" s="1139"/>
      <c r="H214" s="1139"/>
      <c r="I214" s="1139"/>
      <c r="J214" s="1139"/>
      <c r="K214" s="1139"/>
      <c r="L214" s="957"/>
      <c r="M214" s="957"/>
      <c r="N214" s="957"/>
      <c r="O214" s="957"/>
      <c r="P214" s="957"/>
      <c r="Q214" s="957"/>
      <c r="R214" s="957"/>
      <c r="S214" s="957"/>
      <c r="T214" s="957"/>
      <c r="U214" s="957"/>
      <c r="V214" s="957"/>
      <c r="W214" s="957"/>
      <c r="X214" s="957"/>
      <c r="Y214" s="957"/>
      <c r="Z214" s="957"/>
      <c r="AA214" s="957"/>
      <c r="AB214" s="957"/>
      <c r="AC214" s="957"/>
      <c r="AD214" s="957"/>
    </row>
    <row r="215" spans="2:30">
      <c r="B215" s="878" t="s">
        <v>3253</v>
      </c>
      <c r="C215" s="1139"/>
      <c r="D215" s="1139"/>
      <c r="E215" s="1139"/>
      <c r="F215" s="1139"/>
      <c r="G215" s="1139"/>
      <c r="H215" s="1139"/>
      <c r="I215" s="1139"/>
      <c r="J215" s="1139"/>
      <c r="K215" s="1139"/>
      <c r="L215" s="957"/>
      <c r="M215" s="957"/>
      <c r="N215" s="957"/>
      <c r="O215" s="957"/>
      <c r="P215" s="957"/>
      <c r="Q215" s="957"/>
      <c r="R215" s="957"/>
      <c r="S215" s="957"/>
      <c r="T215" s="957"/>
      <c r="U215" s="957"/>
      <c r="V215" s="957"/>
      <c r="W215" s="957"/>
      <c r="X215" s="957"/>
      <c r="Y215" s="957"/>
      <c r="Z215" s="957"/>
      <c r="AA215" s="957"/>
      <c r="AB215" s="957"/>
      <c r="AC215" s="957"/>
      <c r="AD215" s="957"/>
    </row>
    <row r="216" spans="2:30">
      <c r="B216" s="1139"/>
      <c r="C216" s="1140"/>
      <c r="D216" s="1140"/>
      <c r="E216" s="1140"/>
      <c r="F216" s="1140"/>
      <c r="G216" s="1140"/>
      <c r="H216" s="1140"/>
      <c r="I216" s="1140"/>
      <c r="J216" s="1140"/>
      <c r="K216" s="1139"/>
      <c r="L216" s="957"/>
      <c r="M216" s="957"/>
      <c r="N216" s="957"/>
      <c r="O216" s="957"/>
      <c r="P216" s="957"/>
      <c r="Q216" s="957"/>
      <c r="R216" s="957"/>
      <c r="S216" s="957"/>
      <c r="T216" s="957"/>
      <c r="U216" s="957"/>
      <c r="V216" s="957"/>
      <c r="W216" s="957"/>
      <c r="X216" s="957"/>
      <c r="Y216" s="957"/>
      <c r="Z216" s="957"/>
      <c r="AA216" s="957"/>
      <c r="AB216" s="957"/>
      <c r="AC216" s="957"/>
      <c r="AD216" s="957"/>
    </row>
    <row r="217" spans="2:30">
      <c r="B217" s="2846" t="s">
        <v>1007</v>
      </c>
      <c r="C217" s="2847" t="s">
        <v>626</v>
      </c>
      <c r="D217" s="2847" t="s">
        <v>61</v>
      </c>
      <c r="E217" s="2847" t="s">
        <v>627</v>
      </c>
      <c r="F217" s="2847" t="s">
        <v>3247</v>
      </c>
      <c r="G217" s="2847" t="s">
        <v>3248</v>
      </c>
      <c r="H217" s="2847" t="s">
        <v>205</v>
      </c>
      <c r="I217" s="2847" t="s">
        <v>632</v>
      </c>
      <c r="J217" s="2847" t="s">
        <v>625</v>
      </c>
      <c r="K217" s="1139"/>
    </row>
    <row r="218" spans="2:30">
      <c r="B218" s="1140" t="s">
        <v>1002</v>
      </c>
      <c r="C218" s="1140"/>
      <c r="D218" s="1140"/>
      <c r="E218" s="1140"/>
      <c r="F218" s="2848" t="s">
        <v>3249</v>
      </c>
      <c r="G218" s="2848" t="s">
        <v>3250</v>
      </c>
      <c r="H218" s="2848"/>
      <c r="I218" s="2848"/>
      <c r="J218" s="1140"/>
      <c r="K218" s="1139"/>
    </row>
    <row r="219" spans="2:30">
      <c r="B219" s="2849">
        <v>2003</v>
      </c>
      <c r="C219" s="2850">
        <v>1748</v>
      </c>
      <c r="D219" s="2850">
        <v>73171</v>
      </c>
      <c r="E219" s="2850">
        <v>1</v>
      </c>
      <c r="F219" s="2850">
        <v>3</v>
      </c>
      <c r="G219" s="2850">
        <v>5</v>
      </c>
      <c r="H219" s="2850">
        <v>85</v>
      </c>
      <c r="I219" s="2850">
        <v>143</v>
      </c>
      <c r="J219" s="2850">
        <v>75156</v>
      </c>
      <c r="K219" s="1139"/>
    </row>
    <row r="220" spans="2:30">
      <c r="B220" s="2849">
        <v>2004</v>
      </c>
      <c r="C220" s="2850">
        <v>1674</v>
      </c>
      <c r="D220" s="2850">
        <v>73547</v>
      </c>
      <c r="E220" s="2850">
        <v>2</v>
      </c>
      <c r="F220" s="2850">
        <v>3</v>
      </c>
      <c r="G220" s="2850">
        <v>0</v>
      </c>
      <c r="H220" s="2850">
        <v>113</v>
      </c>
      <c r="I220" s="2850">
        <v>141</v>
      </c>
      <c r="J220" s="2850">
        <v>75480</v>
      </c>
      <c r="K220" s="1139"/>
    </row>
    <row r="221" spans="2:30">
      <c r="B221" s="2849">
        <v>2005</v>
      </c>
      <c r="C221" s="2850">
        <v>1656</v>
      </c>
      <c r="D221" s="2850">
        <v>74439</v>
      </c>
      <c r="E221" s="2850">
        <v>0</v>
      </c>
      <c r="F221" s="2850">
        <v>2</v>
      </c>
      <c r="G221" s="2850">
        <v>0</v>
      </c>
      <c r="H221" s="2850">
        <v>192</v>
      </c>
      <c r="I221" s="2850">
        <v>96</v>
      </c>
      <c r="J221" s="2850">
        <v>76385</v>
      </c>
      <c r="K221" s="1139"/>
    </row>
    <row r="222" spans="2:30">
      <c r="B222" s="2849">
        <v>2006</v>
      </c>
      <c r="C222" s="2850">
        <v>1587</v>
      </c>
      <c r="D222" s="2850">
        <v>76750</v>
      </c>
      <c r="E222" s="2850">
        <v>0</v>
      </c>
      <c r="F222" s="2850">
        <v>3</v>
      </c>
      <c r="G222" s="2850">
        <v>0</v>
      </c>
      <c r="H222" s="2850">
        <v>255</v>
      </c>
      <c r="I222" s="2850">
        <v>88</v>
      </c>
      <c r="J222" s="2850">
        <v>78683</v>
      </c>
      <c r="K222" s="1139"/>
    </row>
    <row r="223" spans="2:30">
      <c r="B223" s="2849">
        <v>2007</v>
      </c>
      <c r="C223" s="2850">
        <v>1506</v>
      </c>
      <c r="D223" s="2850">
        <v>78267</v>
      </c>
      <c r="E223" s="2850">
        <v>1</v>
      </c>
      <c r="F223" s="2850">
        <v>3</v>
      </c>
      <c r="G223" s="2850">
        <v>0</v>
      </c>
      <c r="H223" s="2850">
        <v>299</v>
      </c>
      <c r="I223" s="2850">
        <v>89</v>
      </c>
      <c r="J223" s="2850">
        <v>80165</v>
      </c>
      <c r="K223" s="1139"/>
    </row>
    <row r="224" spans="2:30">
      <c r="B224" s="2851">
        <v>2008</v>
      </c>
      <c r="C224" s="2852">
        <v>1428</v>
      </c>
      <c r="D224" s="2852">
        <v>77462</v>
      </c>
      <c r="E224" s="2852">
        <v>0</v>
      </c>
      <c r="F224" s="2852">
        <v>2</v>
      </c>
      <c r="G224" s="2852">
        <v>2</v>
      </c>
      <c r="H224" s="2852">
        <v>337</v>
      </c>
      <c r="I224" s="2852">
        <v>81</v>
      </c>
      <c r="J224" s="2852">
        <v>79312</v>
      </c>
      <c r="K224" s="1139"/>
    </row>
    <row r="225" spans="2:11">
      <c r="B225" s="2851">
        <v>2009</v>
      </c>
      <c r="C225" s="2852">
        <v>1370</v>
      </c>
      <c r="D225" s="2852">
        <v>76395</v>
      </c>
      <c r="E225" s="2852">
        <v>0</v>
      </c>
      <c r="F225" s="2852">
        <v>1</v>
      </c>
      <c r="G225" s="2852">
        <v>2</v>
      </c>
      <c r="H225" s="2852">
        <v>403</v>
      </c>
      <c r="I225" s="2852">
        <v>72</v>
      </c>
      <c r="J225" s="2852">
        <v>78243</v>
      </c>
      <c r="K225" s="1139"/>
    </row>
    <row r="226" spans="2:11">
      <c r="B226" s="2851">
        <v>2010</v>
      </c>
      <c r="C226" s="2852">
        <v>1270</v>
      </c>
      <c r="D226" s="2852">
        <v>77099</v>
      </c>
      <c r="E226" s="2852">
        <v>0</v>
      </c>
      <c r="F226" s="2852">
        <v>8</v>
      </c>
      <c r="G226" s="2852">
        <v>1</v>
      </c>
      <c r="H226" s="2852">
        <v>484</v>
      </c>
      <c r="I226" s="2852">
        <v>61</v>
      </c>
      <c r="J226" s="2852">
        <v>78923</v>
      </c>
      <c r="K226" s="1139"/>
    </row>
    <row r="227" spans="2:11">
      <c r="B227" s="2851">
        <v>2011</v>
      </c>
      <c r="C227" s="2852">
        <v>1239</v>
      </c>
      <c r="D227" s="2852">
        <v>78865</v>
      </c>
      <c r="E227" s="2852">
        <v>0</v>
      </c>
      <c r="F227" s="2852">
        <v>20</v>
      </c>
      <c r="G227" s="2852">
        <v>2</v>
      </c>
      <c r="H227" s="2852">
        <v>554</v>
      </c>
      <c r="I227" s="2852">
        <v>59</v>
      </c>
      <c r="J227" s="2852">
        <v>80739</v>
      </c>
      <c r="K227" s="1139"/>
    </row>
    <row r="228" spans="2:11">
      <c r="B228" s="2853">
        <v>2012</v>
      </c>
      <c r="C228" s="2854">
        <v>1196</v>
      </c>
      <c r="D228" s="2854">
        <v>77801</v>
      </c>
      <c r="E228" s="2854">
        <v>0</v>
      </c>
      <c r="F228" s="2854">
        <v>30</v>
      </c>
      <c r="G228" s="2854">
        <v>8</v>
      </c>
      <c r="H228" s="2854">
        <v>639</v>
      </c>
      <c r="I228" s="2854">
        <v>53</v>
      </c>
      <c r="J228" s="2854">
        <v>79727</v>
      </c>
      <c r="K228" s="1139"/>
    </row>
    <row r="229" spans="2:11">
      <c r="B229" s="2168" t="s">
        <v>1009</v>
      </c>
      <c r="C229" s="1139"/>
      <c r="D229" s="1139"/>
      <c r="E229" s="1139"/>
      <c r="F229" s="1139"/>
      <c r="G229" s="1139"/>
      <c r="H229" s="1139"/>
      <c r="I229" s="1139"/>
      <c r="J229" s="1139"/>
      <c r="K229" s="1139"/>
    </row>
    <row r="230" spans="2:11">
      <c r="B230" s="755" t="s">
        <v>1010</v>
      </c>
      <c r="C230" s="2131"/>
      <c r="D230" s="1139"/>
      <c r="E230" s="1139"/>
      <c r="F230" s="1139"/>
      <c r="G230" s="1139"/>
      <c r="H230" s="1139"/>
      <c r="I230" s="1139"/>
      <c r="J230" s="1139"/>
      <c r="K230" s="1139"/>
    </row>
    <row r="231" spans="2:11">
      <c r="B231" s="755" t="s">
        <v>3254</v>
      </c>
      <c r="C231" s="1139"/>
      <c r="D231" s="1139"/>
      <c r="E231" s="1139"/>
      <c r="F231" s="1139"/>
      <c r="G231" s="1139"/>
      <c r="H231" s="1139"/>
      <c r="I231" s="1139"/>
      <c r="J231" s="1139"/>
      <c r="K231" s="1139"/>
    </row>
    <row r="232" spans="2:11">
      <c r="B232" s="755" t="s">
        <v>3255</v>
      </c>
      <c r="C232" s="1139"/>
      <c r="D232" s="1139"/>
      <c r="E232" s="1139"/>
      <c r="F232" s="1139"/>
      <c r="G232" s="1139"/>
      <c r="H232" s="1139"/>
      <c r="I232" s="1139"/>
      <c r="J232" s="1139"/>
      <c r="K232" s="1139"/>
    </row>
    <row r="233" spans="2:11">
      <c r="B233" s="2855" t="s">
        <v>3256</v>
      </c>
      <c r="C233" s="1139"/>
      <c r="D233" s="1139"/>
      <c r="E233" s="1139"/>
      <c r="F233" s="1139"/>
      <c r="G233" s="1139"/>
      <c r="H233" s="1139"/>
      <c r="I233" s="1139"/>
      <c r="J233" s="1139"/>
      <c r="K233" s="1139"/>
    </row>
    <row r="234" spans="2:11">
      <c r="B234" s="755" t="s">
        <v>3257</v>
      </c>
      <c r="C234" s="1139"/>
      <c r="D234" s="1139"/>
      <c r="E234" s="1139"/>
      <c r="F234" s="1139"/>
      <c r="G234" s="1139"/>
      <c r="H234" s="1139"/>
      <c r="I234" s="1139"/>
      <c r="J234" s="1139"/>
      <c r="K234" s="1139"/>
    </row>
    <row r="235" spans="2:11">
      <c r="B235" s="2855" t="s">
        <v>3258</v>
      </c>
      <c r="C235" s="1139"/>
      <c r="D235" s="1139"/>
      <c r="E235" s="1139"/>
      <c r="F235" s="1139"/>
      <c r="G235" s="1139"/>
      <c r="H235" s="1139"/>
      <c r="I235" s="1139"/>
      <c r="J235" s="1139"/>
      <c r="K235" s="1139"/>
    </row>
    <row r="236" spans="2:11">
      <c r="B236" s="1143"/>
      <c r="C236" s="1139"/>
      <c r="D236" s="1139"/>
      <c r="E236" s="1139"/>
      <c r="F236" s="1139"/>
      <c r="G236" s="1139"/>
      <c r="H236" s="1139"/>
      <c r="I236" s="1139"/>
      <c r="J236" s="1139"/>
      <c r="K236" s="1139"/>
    </row>
    <row r="237" spans="2:11">
      <c r="B237" s="1143"/>
      <c r="C237" s="1139"/>
      <c r="D237" s="1139"/>
      <c r="E237" s="1139"/>
      <c r="F237" s="1139"/>
      <c r="G237" s="1139"/>
      <c r="H237" s="1139"/>
      <c r="I237" s="1139"/>
      <c r="J237" s="1139"/>
      <c r="K237" s="1139"/>
    </row>
  </sheetData>
  <mergeCells count="61">
    <mergeCell ref="AI72:AM72"/>
    <mergeCell ref="AO72:AS72"/>
    <mergeCell ref="AL73:AM73"/>
    <mergeCell ref="AR73:AS73"/>
    <mergeCell ref="G156:M156"/>
    <mergeCell ref="O156:U156"/>
    <mergeCell ref="W156:AC156"/>
    <mergeCell ref="J73:L73"/>
    <mergeCell ref="N73:P73"/>
    <mergeCell ref="R73:T73"/>
    <mergeCell ref="F74:H74"/>
    <mergeCell ref="J74:L74"/>
    <mergeCell ref="N74:P74"/>
    <mergeCell ref="R74:T74"/>
    <mergeCell ref="G75:H75"/>
    <mergeCell ref="K75:L75"/>
    <mergeCell ref="A115:D115"/>
    <mergeCell ref="B131:D131"/>
    <mergeCell ref="B132:D132"/>
    <mergeCell ref="AA157:AC157"/>
    <mergeCell ref="K158:M158"/>
    <mergeCell ref="S158:U158"/>
    <mergeCell ref="AA158:AC158"/>
    <mergeCell ref="B137:D137"/>
    <mergeCell ref="G157:I158"/>
    <mergeCell ref="K157:M157"/>
    <mergeCell ref="O157:Q158"/>
    <mergeCell ref="S157:U157"/>
    <mergeCell ref="W157:Y158"/>
    <mergeCell ref="B133:D133"/>
    <mergeCell ref="A128:D128"/>
    <mergeCell ref="A129:D129"/>
    <mergeCell ref="A130:D130"/>
    <mergeCell ref="A76:D76"/>
    <mergeCell ref="R33:T33"/>
    <mergeCell ref="B126:D126"/>
    <mergeCell ref="A77:F77"/>
    <mergeCell ref="A78:D78"/>
    <mergeCell ref="A93:F93"/>
    <mergeCell ref="A94:D94"/>
    <mergeCell ref="A102:D102"/>
    <mergeCell ref="A103:F103"/>
    <mergeCell ref="A104:D104"/>
    <mergeCell ref="B111:D111"/>
    <mergeCell ref="A113:D113"/>
    <mergeCell ref="A114:F114"/>
    <mergeCell ref="A73:D75"/>
    <mergeCell ref="F73:H73"/>
    <mergeCell ref="O75:P75"/>
    <mergeCell ref="S75:T75"/>
    <mergeCell ref="F31:L31"/>
    <mergeCell ref="N31:T31"/>
    <mergeCell ref="V31:AB31"/>
    <mergeCell ref="F32:H33"/>
    <mergeCell ref="J32:L32"/>
    <mergeCell ref="N32:P33"/>
    <mergeCell ref="R32:T32"/>
    <mergeCell ref="V32:X33"/>
    <mergeCell ref="Z32:AB32"/>
    <mergeCell ref="J33:L33"/>
    <mergeCell ref="Z33:AB33"/>
  </mergeCells>
  <hyperlinks>
    <hyperlink ref="A22" r:id="rId1" xr:uid="{00000000-0004-0000-1500-000000000000}"/>
  </hyperlinks>
  <pageMargins left="0.7" right="0.7" top="0.75" bottom="0.75" header="0.3" footer="0.3"/>
  <drawing r:id="rId2"/>
  <legacyDrawing r:id="rId3"/>
  <oleObjects>
    <mc:AlternateContent xmlns:mc="http://schemas.openxmlformats.org/markup-compatibility/2006">
      <mc:Choice Requires="x14">
        <oleObject progId="Paint.Picture" shapeId="619521" r:id="rId4">
          <objectPr defaultSize="0" autoLine="0" autoPict="0" r:id="rId5">
            <anchor moveWithCells="1">
              <from>
                <xdr:col>1</xdr:col>
                <xdr:colOff>0</xdr:colOff>
                <xdr:row>208</xdr:row>
                <xdr:rowOff>99060</xdr:rowOff>
              </from>
              <to>
                <xdr:col>3</xdr:col>
                <xdr:colOff>68580</xdr:colOff>
                <xdr:row>210</xdr:row>
                <xdr:rowOff>30480</xdr:rowOff>
              </to>
            </anchor>
          </objectPr>
        </oleObject>
      </mc:Choice>
      <mc:Fallback>
        <oleObject progId="Paint.Picture" shapeId="619521" r:id="rId4"/>
      </mc:Fallback>
    </mc:AlternateContent>
    <mc:AlternateContent xmlns:mc="http://schemas.openxmlformats.org/markup-compatibility/2006">
      <mc:Choice Requires="x14">
        <oleObject progId="Paint.Picture" shapeId="619522" r:id="rId6">
          <objectPr defaultSize="0" autoLine="0" autoPict="0" r:id="rId5">
            <anchor moveWithCells="1">
              <from>
                <xdr:col>1</xdr:col>
                <xdr:colOff>0</xdr:colOff>
                <xdr:row>235</xdr:row>
                <xdr:rowOff>76200</xdr:rowOff>
              </from>
              <to>
                <xdr:col>3</xdr:col>
                <xdr:colOff>68580</xdr:colOff>
                <xdr:row>237</xdr:row>
                <xdr:rowOff>0</xdr:rowOff>
              </to>
            </anchor>
          </objectPr>
        </oleObject>
      </mc:Choice>
      <mc:Fallback>
        <oleObject progId="Paint.Picture" shapeId="619522" r:id="rId6"/>
      </mc:Fallback>
    </mc:AlternateContent>
  </oleObjects>
</worksheet>
</file>

<file path=xl/worksheets/sheet2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600-000000000000}">
  <sheetPr codeName="Sheet3">
    <tabColor rgb="FFFF0000"/>
  </sheetPr>
  <dimension ref="B1:AV86"/>
  <sheetViews>
    <sheetView zoomScale="55" zoomScaleNormal="55" workbookViewId="0">
      <selection activeCell="L8" sqref="L8"/>
    </sheetView>
  </sheetViews>
  <sheetFormatPr defaultColWidth="9.109375" defaultRowHeight="13.2"/>
  <cols>
    <col min="1" max="1" width="3.6640625" style="323" customWidth="1"/>
    <col min="2" max="2" width="35.6640625" style="323" customWidth="1"/>
    <col min="3" max="3" width="15.6640625" style="323" customWidth="1"/>
    <col min="4" max="4" width="11.44140625" style="323" customWidth="1"/>
    <col min="5" max="8" width="9.6640625" style="323" customWidth="1"/>
    <col min="9" max="9" width="13.88671875" style="323" customWidth="1"/>
    <col min="10" max="54" width="9.6640625" style="323" customWidth="1"/>
    <col min="55" max="16384" width="9.109375" style="323"/>
  </cols>
  <sheetData>
    <row r="1" spans="2:48" s="321" customFormat="1" ht="21">
      <c r="B1" s="322" t="s">
        <v>377</v>
      </c>
      <c r="D1" s="322"/>
      <c r="E1" s="322"/>
    </row>
    <row r="2" spans="2:48">
      <c r="G2" s="324"/>
      <c r="H2" s="324"/>
      <c r="I2" s="324"/>
      <c r="J2" s="324"/>
      <c r="K2" s="324"/>
      <c r="L2" s="324"/>
      <c r="M2" s="324"/>
      <c r="N2" s="324"/>
      <c r="O2" s="324"/>
      <c r="P2" s="324"/>
      <c r="Q2" s="324"/>
      <c r="R2" s="324"/>
      <c r="S2" s="324"/>
      <c r="T2" s="324"/>
      <c r="U2" s="324"/>
      <c r="V2" s="324"/>
      <c r="W2" s="324"/>
      <c r="X2" s="324"/>
      <c r="Y2" s="324"/>
      <c r="Z2" s="324"/>
      <c r="AA2" s="324"/>
      <c r="AB2" s="324"/>
      <c r="AC2" s="324"/>
      <c r="AD2" s="324"/>
      <c r="AE2" s="324"/>
      <c r="AF2" s="324"/>
      <c r="AG2" s="324"/>
      <c r="AH2" s="324"/>
      <c r="AI2" s="324"/>
      <c r="AJ2" s="324"/>
      <c r="AK2" s="324"/>
      <c r="AL2" s="324"/>
      <c r="AM2" s="324"/>
      <c r="AN2" s="325"/>
    </row>
    <row r="3" spans="2:48" ht="18" thickBot="1">
      <c r="B3" s="326" t="s">
        <v>378</v>
      </c>
      <c r="G3" s="327"/>
      <c r="H3" s="327"/>
      <c r="I3" s="327"/>
      <c r="J3" s="327"/>
      <c r="K3" s="327"/>
      <c r="L3" s="327"/>
      <c r="M3" s="327"/>
      <c r="N3" s="327"/>
      <c r="O3" s="327"/>
      <c r="P3" s="327"/>
      <c r="Q3" s="327"/>
      <c r="R3" s="327"/>
      <c r="S3" s="327"/>
      <c r="T3" s="327"/>
      <c r="U3" s="327"/>
      <c r="V3" s="327"/>
      <c r="W3" s="327"/>
      <c r="X3" s="327"/>
      <c r="Y3" s="327"/>
      <c r="Z3" s="327"/>
      <c r="AA3" s="327"/>
      <c r="AB3" s="327"/>
      <c r="AC3" s="328"/>
      <c r="AD3" s="328"/>
      <c r="AE3" s="328"/>
      <c r="AF3" s="328"/>
      <c r="AG3" s="328"/>
      <c r="AH3" s="328"/>
      <c r="AI3" s="328"/>
      <c r="AJ3" s="329"/>
      <c r="AK3" s="328"/>
      <c r="AL3" s="328"/>
      <c r="AM3" s="328"/>
      <c r="AN3" s="330"/>
      <c r="AO3" s="331"/>
    </row>
    <row r="4" spans="2:48">
      <c r="B4" s="332" t="s">
        <v>352</v>
      </c>
      <c r="C4" s="333" t="s">
        <v>353</v>
      </c>
      <c r="D4" s="334"/>
      <c r="E4" s="334"/>
      <c r="F4" s="334"/>
      <c r="G4" s="334"/>
      <c r="H4" s="334"/>
      <c r="I4" s="334"/>
      <c r="J4" s="334"/>
      <c r="K4" s="334"/>
      <c r="L4" s="334"/>
      <c r="M4" s="334"/>
      <c r="N4" s="334"/>
      <c r="O4" s="334"/>
      <c r="P4" s="334"/>
      <c r="Q4" s="334"/>
      <c r="R4" s="334"/>
      <c r="S4" s="334"/>
      <c r="T4" s="334"/>
      <c r="U4" s="334"/>
      <c r="V4" s="334"/>
      <c r="W4" s="334"/>
      <c r="X4" s="334"/>
      <c r="Y4" s="334"/>
      <c r="Z4" s="334"/>
      <c r="AA4" s="334"/>
      <c r="AB4" s="334"/>
      <c r="AC4" s="334"/>
      <c r="AD4" s="334"/>
      <c r="AE4" s="334"/>
      <c r="AF4" s="334"/>
      <c r="AG4" s="334"/>
      <c r="AH4" s="334"/>
      <c r="AI4" s="334"/>
      <c r="AJ4" s="334"/>
      <c r="AK4" s="335"/>
      <c r="AL4" s="335"/>
      <c r="AM4" s="334"/>
      <c r="AN4" s="334"/>
      <c r="AO4" s="334"/>
      <c r="AP4" s="334"/>
      <c r="AQ4" s="334"/>
      <c r="AR4" s="334"/>
      <c r="AS4" s="334"/>
      <c r="AT4" s="334"/>
      <c r="AU4" s="334"/>
      <c r="AV4" s="336"/>
    </row>
    <row r="5" spans="2:48">
      <c r="B5" s="337" t="s">
        <v>354</v>
      </c>
      <c r="C5" s="338" t="s">
        <v>355</v>
      </c>
      <c r="D5" s="339">
        <v>1972</v>
      </c>
      <c r="E5" s="339">
        <v>1973</v>
      </c>
      <c r="F5" s="339">
        <v>1974</v>
      </c>
      <c r="G5" s="339">
        <v>1975</v>
      </c>
      <c r="H5" s="339">
        <v>1976</v>
      </c>
      <c r="I5" s="339">
        <v>1977</v>
      </c>
      <c r="J5" s="339">
        <v>1978</v>
      </c>
      <c r="K5" s="339">
        <v>1979</v>
      </c>
      <c r="L5" s="339">
        <v>1980</v>
      </c>
      <c r="M5" s="339">
        <v>1981</v>
      </c>
      <c r="N5" s="339">
        <v>1982</v>
      </c>
      <c r="O5" s="339">
        <v>1983</v>
      </c>
      <c r="P5" s="339">
        <v>1984</v>
      </c>
      <c r="Q5" s="339">
        <v>1985</v>
      </c>
      <c r="R5" s="339">
        <v>1986</v>
      </c>
      <c r="S5" s="339">
        <v>1987</v>
      </c>
      <c r="T5" s="339">
        <v>1988</v>
      </c>
      <c r="U5" s="339">
        <v>1989</v>
      </c>
      <c r="V5" s="339">
        <v>1990</v>
      </c>
      <c r="W5" s="339">
        <v>1991</v>
      </c>
      <c r="X5" s="339">
        <v>1992</v>
      </c>
      <c r="Y5" s="339">
        <v>1993</v>
      </c>
      <c r="Z5" s="339">
        <v>1994</v>
      </c>
      <c r="AA5" s="339">
        <v>1995</v>
      </c>
      <c r="AB5" s="339">
        <v>1996</v>
      </c>
      <c r="AC5" s="339">
        <v>1997</v>
      </c>
      <c r="AD5" s="339">
        <v>1998</v>
      </c>
      <c r="AE5" s="339">
        <v>1999</v>
      </c>
      <c r="AF5" s="339">
        <v>2000</v>
      </c>
      <c r="AG5" s="339">
        <v>2001</v>
      </c>
      <c r="AH5" s="339">
        <v>2002</v>
      </c>
      <c r="AI5" s="339">
        <v>2003</v>
      </c>
      <c r="AJ5" s="339">
        <v>2004</v>
      </c>
      <c r="AK5" s="339">
        <v>2005</v>
      </c>
      <c r="AL5" s="339">
        <v>2006</v>
      </c>
      <c r="AM5" s="339">
        <v>2007</v>
      </c>
      <c r="AN5" s="339">
        <v>2008</v>
      </c>
      <c r="AO5" s="339">
        <v>2009</v>
      </c>
      <c r="AP5" s="339">
        <v>2010</v>
      </c>
      <c r="AQ5" s="339">
        <v>2011</v>
      </c>
      <c r="AR5" s="339">
        <v>2012</v>
      </c>
      <c r="AS5" s="339">
        <v>2013</v>
      </c>
      <c r="AT5" s="339">
        <v>2014</v>
      </c>
      <c r="AU5" s="339">
        <v>2015</v>
      </c>
      <c r="AV5" s="340">
        <v>2016</v>
      </c>
    </row>
    <row r="6" spans="2:48">
      <c r="B6" s="341" t="s">
        <v>379</v>
      </c>
      <c r="C6" s="342" t="s">
        <v>51</v>
      </c>
      <c r="D6" s="343" t="e">
        <v>#NULL!</v>
      </c>
      <c r="E6" s="343" t="e">
        <v>#NULL!</v>
      </c>
      <c r="F6" s="343" t="e">
        <v>#NULL!</v>
      </c>
      <c r="G6" s="343" t="e">
        <v>#NULL!</v>
      </c>
      <c r="H6" s="343" t="e">
        <v>#NULL!</v>
      </c>
      <c r="I6" s="343" t="e">
        <v>#NULL!</v>
      </c>
      <c r="J6" s="343" t="e">
        <v>#NULL!</v>
      </c>
      <c r="K6" s="343" t="e">
        <v>#NULL!</v>
      </c>
      <c r="L6" s="343" t="e">
        <v>#NULL!</v>
      </c>
      <c r="M6" s="343" t="e">
        <v>#NULL!</v>
      </c>
      <c r="N6" s="343" t="e">
        <v>#NULL!</v>
      </c>
      <c r="O6" s="343" t="e">
        <v>#NULL!</v>
      </c>
      <c r="P6" s="343" t="e">
        <v>#NULL!</v>
      </c>
      <c r="Q6" s="343" t="e">
        <v>#NULL!</v>
      </c>
      <c r="R6" s="343" t="e">
        <v>#NULL!</v>
      </c>
      <c r="S6" s="343" t="e">
        <v>#NULL!</v>
      </c>
      <c r="T6" s="343" t="e">
        <v>#NULL!</v>
      </c>
      <c r="U6" s="343" t="e">
        <v>#NULL!</v>
      </c>
      <c r="V6" s="343" t="e">
        <v>#NULL!</v>
      </c>
      <c r="W6" s="343" t="e">
        <v>#NULL!</v>
      </c>
      <c r="X6" s="343" t="e">
        <v>#NULL!</v>
      </c>
      <c r="Y6" s="343" t="e">
        <v>#NULL!</v>
      </c>
      <c r="Z6" s="343" t="e">
        <v>#NULL!</v>
      </c>
      <c r="AA6" s="343" t="e">
        <v>#NULL!</v>
      </c>
      <c r="AB6" s="343" t="e">
        <v>#NULL!</v>
      </c>
      <c r="AC6" s="343" t="e">
        <v>#NULL!</v>
      </c>
      <c r="AD6" s="343" t="e">
        <v>#NULL!</v>
      </c>
      <c r="AE6" s="343" t="e">
        <v>#NULL!</v>
      </c>
      <c r="AF6" s="343" t="e">
        <v>#NULL!</v>
      </c>
      <c r="AG6" s="343" t="e">
        <v>#NULL!</v>
      </c>
      <c r="AH6" s="343" t="e">
        <v>#NULL!</v>
      </c>
      <c r="AI6" s="343" t="e">
        <v>#NULL!</v>
      </c>
      <c r="AJ6" s="343" t="e">
        <v>#NULL!</v>
      </c>
      <c r="AK6" s="343" t="e">
        <v>#NULL!</v>
      </c>
      <c r="AL6" s="343" t="e">
        <v>#NULL!</v>
      </c>
      <c r="AM6" s="343" t="e">
        <v>#NULL!</v>
      </c>
      <c r="AN6" s="343" t="e">
        <v>#NULL!</v>
      </c>
      <c r="AO6" s="343" t="e">
        <v>#NULL!</v>
      </c>
      <c r="AP6" s="343" t="e">
        <v>#NULL!</v>
      </c>
      <c r="AQ6" s="343" t="e">
        <v>#NULL!</v>
      </c>
      <c r="AR6" s="343" t="e">
        <v>#NULL!</v>
      </c>
      <c r="AS6" s="343" t="e">
        <v>#NULL!</v>
      </c>
      <c r="AT6" s="343" t="e">
        <v>#NULL!</v>
      </c>
      <c r="AU6" s="343" t="e">
        <v>#NULL!</v>
      </c>
      <c r="AV6" s="344" t="e">
        <v>#NULL!</v>
      </c>
    </row>
    <row r="7" spans="2:48">
      <c r="B7" s="345"/>
      <c r="C7" s="342" t="s">
        <v>326</v>
      </c>
      <c r="D7" s="346">
        <v>3.216548239834133</v>
      </c>
      <c r="E7" s="346">
        <v>3.1991773930844514</v>
      </c>
      <c r="F7" s="346">
        <v>3.1818065463347707</v>
      </c>
      <c r="G7" s="346">
        <v>3.1644356995850895</v>
      </c>
      <c r="H7" s="346">
        <v>3.1470648528354088</v>
      </c>
      <c r="I7" s="346">
        <v>3.1296940060857321</v>
      </c>
      <c r="J7" s="346">
        <v>3.112323159336051</v>
      </c>
      <c r="K7" s="346">
        <v>3.0949523125863694</v>
      </c>
      <c r="L7" s="346">
        <v>3.0775814658366887</v>
      </c>
      <c r="M7" s="346">
        <v>3.0602106190870075</v>
      </c>
      <c r="N7" s="346">
        <v>3.0428397723373308</v>
      </c>
      <c r="O7" s="346">
        <v>3.0254689255876501</v>
      </c>
      <c r="P7" s="346">
        <v>3.008098078837969</v>
      </c>
      <c r="Q7" s="346">
        <v>3.0272088392421246</v>
      </c>
      <c r="R7" s="346">
        <v>2.9924507194101406</v>
      </c>
      <c r="S7" s="346">
        <v>2.968391617560465</v>
      </c>
      <c r="T7" s="346">
        <v>2.923755796377363</v>
      </c>
      <c r="U7" s="346">
        <v>2.8976817310591669</v>
      </c>
      <c r="V7" s="346">
        <v>2.8812115948816928</v>
      </c>
      <c r="W7" s="346">
        <v>2.879098073417429</v>
      </c>
      <c r="X7" s="346">
        <v>2.8508009777508105</v>
      </c>
      <c r="Y7" s="346">
        <v>2.8399157946654316</v>
      </c>
      <c r="Z7" s="346">
        <v>2.8146411442015946</v>
      </c>
      <c r="AA7" s="346">
        <v>2.8092423562125686</v>
      </c>
      <c r="AB7" s="346">
        <v>2.8177073929580394</v>
      </c>
      <c r="AC7" s="346">
        <v>2.7894760026219161</v>
      </c>
      <c r="AD7" s="346">
        <v>2.779970631476937</v>
      </c>
      <c r="AE7" s="346">
        <v>2.7654169007722413</v>
      </c>
      <c r="AF7" s="346">
        <v>2.7539184679355735</v>
      </c>
      <c r="AG7" s="346">
        <v>2.7566232379372115</v>
      </c>
      <c r="AH7" s="346">
        <v>2.7599766202900526</v>
      </c>
      <c r="AI7" s="346">
        <v>2.7643888440847411</v>
      </c>
      <c r="AJ7" s="346">
        <v>2.7682249802287613</v>
      </c>
      <c r="AK7" s="346">
        <v>2.7793995216914031</v>
      </c>
      <c r="AL7" s="346">
        <v>2.7929183248866347</v>
      </c>
      <c r="AM7" s="346">
        <v>2.8070633992638032</v>
      </c>
      <c r="AN7" s="346">
        <v>2.8170706519659352</v>
      </c>
      <c r="AO7" s="346">
        <v>2.8274944949643128</v>
      </c>
      <c r="AP7" s="346">
        <v>2.8358104882129362</v>
      </c>
      <c r="AQ7" s="346">
        <v>2.8444925657615201</v>
      </c>
      <c r="AR7" s="346">
        <v>2.7998811019976091</v>
      </c>
      <c r="AS7" s="310">
        <v>2.7998811019976091</v>
      </c>
      <c r="AT7" s="310" t="e">
        <v>#NULL!</v>
      </c>
      <c r="AU7" s="310" t="e">
        <v>#NULL!</v>
      </c>
      <c r="AV7" s="347" t="e">
        <v>#NULL!</v>
      </c>
    </row>
    <row r="8" spans="2:48">
      <c r="B8" s="345"/>
      <c r="C8" s="342" t="s">
        <v>327</v>
      </c>
      <c r="D8" s="346">
        <v>3.2011328159297503</v>
      </c>
      <c r="E8" s="346">
        <v>3.1838452195920817</v>
      </c>
      <c r="F8" s="346">
        <v>3.1665576232544135</v>
      </c>
      <c r="G8" s="346">
        <v>3.1492700269167448</v>
      </c>
      <c r="H8" s="346">
        <v>3.1319824305790767</v>
      </c>
      <c r="I8" s="346">
        <v>3.114694834241412</v>
      </c>
      <c r="J8" s="346">
        <v>3.0974072379037434</v>
      </c>
      <c r="K8" s="346">
        <v>3.0801196415660748</v>
      </c>
      <c r="L8" s="346">
        <v>3.0628320452284066</v>
      </c>
      <c r="M8" s="346">
        <v>3.0455444488907379</v>
      </c>
      <c r="N8" s="346">
        <v>3.0282568525530733</v>
      </c>
      <c r="O8" s="346">
        <v>3.0109692562154056</v>
      </c>
      <c r="P8" s="346">
        <v>2.9936816598777365</v>
      </c>
      <c r="Q8" s="346">
        <v>3.012700831270692</v>
      </c>
      <c r="R8" s="346">
        <v>2.9781092909865272</v>
      </c>
      <c r="S8" s="346">
        <v>2.9541654932535995</v>
      </c>
      <c r="T8" s="346">
        <v>2.9097435908596938</v>
      </c>
      <c r="U8" s="346">
        <v>2.8837944864436267</v>
      </c>
      <c r="V8" s="346">
        <v>2.8674032839901349</v>
      </c>
      <c r="W8" s="346">
        <v>2.8652998916540149</v>
      </c>
      <c r="X8" s="346">
        <v>2.8371384108429618</v>
      </c>
      <c r="Y8" s="346">
        <v>2.826305395391651</v>
      </c>
      <c r="Z8" s="346">
        <v>2.8011518746053081</v>
      </c>
      <c r="AA8" s="346">
        <v>2.7957789605031986</v>
      </c>
      <c r="AB8" s="346">
        <v>2.8042034282535644</v>
      </c>
      <c r="AC8" s="346">
        <v>2.7761073378778311</v>
      </c>
      <c r="AD8" s="346">
        <v>2.7666475215682351</v>
      </c>
      <c r="AE8" s="346">
        <v>2.7521635401449043</v>
      </c>
      <c r="AF8" s="346">
        <v>2.7407202139639422</v>
      </c>
      <c r="AG8" s="346">
        <v>2.7246125240369699</v>
      </c>
      <c r="AH8" s="346">
        <v>2.7122724068203397</v>
      </c>
      <c r="AI8" s="346">
        <v>2.6988652474386354</v>
      </c>
      <c r="AJ8" s="346">
        <v>2.6904727771564492</v>
      </c>
      <c r="AK8" s="346">
        <v>2.6875891724558789</v>
      </c>
      <c r="AL8" s="346">
        <v>2.6933921182166589</v>
      </c>
      <c r="AM8" s="346">
        <v>2.7071453411131303</v>
      </c>
      <c r="AN8" s="346">
        <v>2.5114391834827385</v>
      </c>
      <c r="AO8" s="346">
        <v>2.5005929046183342</v>
      </c>
      <c r="AP8" s="346">
        <v>2.4958829351368337</v>
      </c>
      <c r="AQ8" s="346">
        <v>2.4912859966544563</v>
      </c>
      <c r="AR8" s="346">
        <v>2.5039060692061836</v>
      </c>
      <c r="AS8" s="310">
        <v>2.5039060692061836</v>
      </c>
      <c r="AT8" s="310" t="e">
        <v>#NULL!</v>
      </c>
      <c r="AU8" s="310" t="e">
        <v>#NULL!</v>
      </c>
      <c r="AV8" s="347" t="e">
        <v>#NULL!</v>
      </c>
    </row>
    <row r="9" spans="2:48">
      <c r="B9" s="345"/>
      <c r="C9" s="342" t="s">
        <v>328</v>
      </c>
      <c r="D9" s="343"/>
      <c r="E9" s="343"/>
      <c r="F9" s="343"/>
      <c r="G9" s="343"/>
      <c r="H9" s="343"/>
      <c r="I9" s="343"/>
      <c r="J9" s="343"/>
      <c r="K9" s="343"/>
      <c r="L9" s="343"/>
      <c r="M9" s="343"/>
      <c r="N9" s="343"/>
      <c r="O9" s="343"/>
      <c r="P9" s="343"/>
      <c r="Q9" s="343"/>
      <c r="R9" s="343"/>
      <c r="S9" s="343"/>
      <c r="T9" s="343"/>
      <c r="U9" s="343"/>
      <c r="V9" s="343"/>
      <c r="W9" s="343"/>
      <c r="X9" s="343"/>
      <c r="Y9" s="343"/>
      <c r="Z9" s="343"/>
      <c r="AA9" s="343"/>
      <c r="AB9" s="343"/>
      <c r="AC9" s="343"/>
      <c r="AD9" s="343"/>
      <c r="AE9" s="343"/>
      <c r="AF9" s="343"/>
      <c r="AG9" s="343"/>
      <c r="AH9" s="343"/>
      <c r="AI9" s="343"/>
      <c r="AJ9" s="343"/>
      <c r="AK9" s="343"/>
      <c r="AL9" s="343"/>
      <c r="AM9" s="343"/>
      <c r="AN9" s="343"/>
      <c r="AO9" s="343"/>
      <c r="AP9" s="343"/>
      <c r="AQ9" s="343"/>
      <c r="AR9" s="343"/>
      <c r="AS9" s="343"/>
      <c r="AT9" s="343"/>
      <c r="AU9" s="343"/>
      <c r="AV9" s="344"/>
    </row>
    <row r="10" spans="2:48">
      <c r="B10" s="345"/>
      <c r="C10" s="342" t="s">
        <v>329</v>
      </c>
      <c r="D10" s="343"/>
      <c r="E10" s="343"/>
      <c r="F10" s="343"/>
      <c r="G10" s="343"/>
      <c r="H10" s="343"/>
      <c r="I10" s="343"/>
      <c r="J10" s="343"/>
      <c r="K10" s="343"/>
      <c r="L10" s="343"/>
      <c r="M10" s="343"/>
      <c r="N10" s="343"/>
      <c r="O10" s="343"/>
      <c r="P10" s="343"/>
      <c r="Q10" s="343"/>
      <c r="R10" s="343"/>
      <c r="S10" s="343"/>
      <c r="T10" s="343"/>
      <c r="U10" s="343"/>
      <c r="V10" s="343"/>
      <c r="W10" s="343"/>
      <c r="X10" s="343"/>
      <c r="Y10" s="343"/>
      <c r="Z10" s="343"/>
      <c r="AA10" s="343"/>
      <c r="AB10" s="343"/>
      <c r="AC10" s="343"/>
      <c r="AD10" s="343"/>
      <c r="AE10" s="343"/>
      <c r="AF10" s="343"/>
      <c r="AG10" s="343"/>
      <c r="AH10" s="343"/>
      <c r="AI10" s="343"/>
      <c r="AJ10" s="343"/>
      <c r="AK10" s="343"/>
      <c r="AL10" s="343"/>
      <c r="AM10" s="343"/>
      <c r="AN10" s="343"/>
      <c r="AO10" s="343"/>
      <c r="AP10" s="343"/>
      <c r="AQ10" s="343"/>
      <c r="AR10" s="343"/>
      <c r="AS10" s="343"/>
      <c r="AT10" s="343"/>
      <c r="AU10" s="343"/>
      <c r="AV10" s="344"/>
    </row>
    <row r="11" spans="2:48">
      <c r="B11" s="345"/>
      <c r="C11" s="342" t="s">
        <v>330</v>
      </c>
      <c r="D11" s="310"/>
      <c r="E11" s="310"/>
      <c r="F11" s="310"/>
      <c r="G11" s="310"/>
      <c r="H11" s="310"/>
      <c r="I11" s="310"/>
      <c r="J11" s="310"/>
      <c r="K11" s="310"/>
      <c r="L11" s="310"/>
      <c r="M11" s="310"/>
      <c r="N11" s="310"/>
      <c r="O11" s="310"/>
      <c r="P11" s="310"/>
      <c r="Q11" s="310"/>
      <c r="R11" s="310"/>
      <c r="S11" s="310"/>
      <c r="T11" s="310"/>
      <c r="U11" s="310"/>
      <c r="V11" s="310"/>
      <c r="W11" s="310"/>
      <c r="X11" s="310"/>
      <c r="Y11" s="310"/>
      <c r="Z11" s="310"/>
      <c r="AA11" s="310"/>
      <c r="AB11" s="310"/>
      <c r="AC11" s="310"/>
      <c r="AD11" s="310"/>
      <c r="AE11" s="310"/>
      <c r="AF11" s="310"/>
      <c r="AG11" s="310"/>
      <c r="AH11" s="310"/>
      <c r="AI11" s="310"/>
      <c r="AJ11" s="310"/>
      <c r="AK11" s="310"/>
      <c r="AL11" s="310"/>
      <c r="AM11" s="343"/>
      <c r="AN11" s="310"/>
      <c r="AO11" s="310"/>
      <c r="AP11" s="310"/>
      <c r="AQ11" s="310"/>
      <c r="AR11" s="310"/>
      <c r="AS11" s="310"/>
      <c r="AT11" s="310"/>
      <c r="AU11" s="310"/>
      <c r="AV11" s="347"/>
    </row>
    <row r="12" spans="2:48">
      <c r="B12" s="345"/>
      <c r="C12" s="342" t="s">
        <v>52</v>
      </c>
      <c r="D12" s="310"/>
      <c r="E12" s="310"/>
      <c r="F12" s="310"/>
      <c r="G12" s="310"/>
      <c r="H12" s="310"/>
      <c r="I12" s="310"/>
      <c r="J12" s="310"/>
      <c r="K12" s="310"/>
      <c r="L12" s="310"/>
      <c r="M12" s="310"/>
      <c r="N12" s="310"/>
      <c r="O12" s="310"/>
      <c r="P12" s="310"/>
      <c r="Q12" s="310"/>
      <c r="R12" s="310"/>
      <c r="S12" s="310"/>
      <c r="T12" s="310"/>
      <c r="U12" s="310"/>
      <c r="V12" s="310"/>
      <c r="W12" s="310"/>
      <c r="X12" s="310"/>
      <c r="Y12" s="310"/>
      <c r="Z12" s="310"/>
      <c r="AA12" s="310"/>
      <c r="AB12" s="310"/>
      <c r="AC12" s="310"/>
      <c r="AD12" s="310"/>
      <c r="AE12" s="310"/>
      <c r="AF12" s="310"/>
      <c r="AG12" s="310"/>
      <c r="AH12" s="310"/>
      <c r="AI12" s="310"/>
      <c r="AJ12" s="310"/>
      <c r="AK12" s="310"/>
      <c r="AL12" s="310"/>
      <c r="AM12" s="343"/>
      <c r="AN12" s="310"/>
      <c r="AO12" s="310"/>
      <c r="AP12" s="310"/>
      <c r="AQ12" s="310"/>
      <c r="AR12" s="310"/>
      <c r="AS12" s="310"/>
      <c r="AT12" s="310"/>
      <c r="AU12" s="310"/>
      <c r="AV12" s="347"/>
    </row>
    <row r="13" spans="2:48">
      <c r="B13" s="345"/>
      <c r="C13" s="342" t="s">
        <v>331</v>
      </c>
      <c r="D13" s="343"/>
      <c r="E13" s="343"/>
      <c r="F13" s="343"/>
      <c r="G13" s="343"/>
      <c r="H13" s="343"/>
      <c r="I13" s="343"/>
      <c r="J13" s="343"/>
      <c r="K13" s="343"/>
      <c r="L13" s="343"/>
      <c r="M13" s="343"/>
      <c r="N13" s="343"/>
      <c r="O13" s="343"/>
      <c r="P13" s="343"/>
      <c r="Q13" s="343"/>
      <c r="R13" s="343"/>
      <c r="S13" s="343"/>
      <c r="T13" s="343"/>
      <c r="U13" s="343"/>
      <c r="V13" s="343"/>
      <c r="W13" s="343"/>
      <c r="X13" s="343"/>
      <c r="Y13" s="343"/>
      <c r="Z13" s="343"/>
      <c r="AA13" s="343"/>
      <c r="AB13" s="343"/>
      <c r="AC13" s="343"/>
      <c r="AD13" s="343"/>
      <c r="AE13" s="343"/>
      <c r="AF13" s="343"/>
      <c r="AG13" s="343"/>
      <c r="AH13" s="343"/>
      <c r="AI13" s="343"/>
      <c r="AJ13" s="343"/>
      <c r="AK13" s="343"/>
      <c r="AL13" s="343"/>
      <c r="AM13" s="343"/>
      <c r="AN13" s="343"/>
      <c r="AO13" s="343"/>
      <c r="AP13" s="343"/>
      <c r="AQ13" s="343"/>
      <c r="AR13" s="343"/>
      <c r="AS13" s="343"/>
      <c r="AT13" s="343"/>
      <c r="AU13" s="343"/>
      <c r="AV13" s="344"/>
    </row>
    <row r="14" spans="2:48">
      <c r="B14" s="348"/>
      <c r="C14" s="349" t="s">
        <v>332</v>
      </c>
      <c r="D14" s="350"/>
      <c r="E14" s="350"/>
      <c r="F14" s="350"/>
      <c r="G14" s="350"/>
      <c r="H14" s="350"/>
      <c r="I14" s="350"/>
      <c r="J14" s="350"/>
      <c r="K14" s="350"/>
      <c r="L14" s="350"/>
      <c r="M14" s="350"/>
      <c r="N14" s="350"/>
      <c r="O14" s="350"/>
      <c r="P14" s="350"/>
      <c r="Q14" s="350"/>
      <c r="R14" s="350"/>
      <c r="S14" s="350"/>
      <c r="T14" s="350"/>
      <c r="U14" s="350"/>
      <c r="V14" s="350"/>
      <c r="W14" s="350"/>
      <c r="X14" s="350"/>
      <c r="Y14" s="350"/>
      <c r="Z14" s="350"/>
      <c r="AA14" s="350"/>
      <c r="AB14" s="350"/>
      <c r="AC14" s="350"/>
      <c r="AD14" s="350"/>
      <c r="AE14" s="350"/>
      <c r="AF14" s="350"/>
      <c r="AG14" s="350"/>
      <c r="AH14" s="350"/>
      <c r="AI14" s="350"/>
      <c r="AJ14" s="350"/>
      <c r="AK14" s="350"/>
      <c r="AL14" s="350"/>
      <c r="AM14" s="350"/>
      <c r="AN14" s="350"/>
      <c r="AO14" s="350"/>
      <c r="AP14" s="350"/>
      <c r="AQ14" s="350"/>
      <c r="AR14" s="350"/>
      <c r="AS14" s="350"/>
      <c r="AT14" s="350"/>
      <c r="AU14" s="350"/>
      <c r="AV14" s="351"/>
    </row>
    <row r="15" spans="2:48">
      <c r="B15" s="341" t="s">
        <v>333</v>
      </c>
      <c r="C15" s="342" t="s">
        <v>51</v>
      </c>
      <c r="D15" s="343" t="e">
        <v>#NULL!</v>
      </c>
      <c r="E15" s="343" t="e">
        <v>#NULL!</v>
      </c>
      <c r="F15" s="343" t="e">
        <v>#NULL!</v>
      </c>
      <c r="G15" s="343" t="e">
        <v>#NULL!</v>
      </c>
      <c r="H15" s="343" t="e">
        <v>#NULL!</v>
      </c>
      <c r="I15" s="343" t="e">
        <v>#NULL!</v>
      </c>
      <c r="J15" s="343" t="e">
        <v>#NULL!</v>
      </c>
      <c r="K15" s="343" t="e">
        <v>#NULL!</v>
      </c>
      <c r="L15" s="343" t="e">
        <v>#NULL!</v>
      </c>
      <c r="M15" s="343" t="e">
        <v>#NULL!</v>
      </c>
      <c r="N15" s="343" t="e">
        <v>#NULL!</v>
      </c>
      <c r="O15" s="343" t="e">
        <v>#NULL!</v>
      </c>
      <c r="P15" s="343" t="e">
        <v>#NULL!</v>
      </c>
      <c r="Q15" s="343" t="e">
        <v>#NULL!</v>
      </c>
      <c r="R15" s="343" t="e">
        <v>#NULL!</v>
      </c>
      <c r="S15" s="343" t="e">
        <v>#NULL!</v>
      </c>
      <c r="T15" s="343" t="e">
        <v>#NULL!</v>
      </c>
      <c r="U15" s="343" t="e">
        <v>#NULL!</v>
      </c>
      <c r="V15" s="343" t="e">
        <v>#NULL!</v>
      </c>
      <c r="W15" s="343" t="e">
        <v>#NULL!</v>
      </c>
      <c r="X15" s="343" t="e">
        <v>#NULL!</v>
      </c>
      <c r="Y15" s="343" t="e">
        <v>#NULL!</v>
      </c>
      <c r="Z15" s="343" t="e">
        <v>#NULL!</v>
      </c>
      <c r="AA15" s="343" t="e">
        <v>#NULL!</v>
      </c>
      <c r="AB15" s="343" t="e">
        <v>#NULL!</v>
      </c>
      <c r="AC15" s="343" t="e">
        <v>#NULL!</v>
      </c>
      <c r="AD15" s="343" t="e">
        <v>#NULL!</v>
      </c>
      <c r="AE15" s="343" t="e">
        <v>#NULL!</v>
      </c>
      <c r="AF15" s="343" t="e">
        <v>#NULL!</v>
      </c>
      <c r="AG15" s="343" t="e">
        <v>#NULL!</v>
      </c>
      <c r="AH15" s="343" t="e">
        <v>#NULL!</v>
      </c>
      <c r="AI15" s="343" t="e">
        <v>#NULL!</v>
      </c>
      <c r="AJ15" s="343" t="e">
        <v>#NULL!</v>
      </c>
      <c r="AK15" s="343" t="e">
        <v>#NULL!</v>
      </c>
      <c r="AL15" s="343" t="e">
        <v>#NULL!</v>
      </c>
      <c r="AM15" s="343" t="e">
        <v>#NULL!</v>
      </c>
      <c r="AN15" s="343" t="e">
        <v>#NULL!</v>
      </c>
      <c r="AO15" s="343" t="e">
        <v>#NULL!</v>
      </c>
      <c r="AP15" s="343" t="e">
        <v>#NULL!</v>
      </c>
      <c r="AQ15" s="343" t="e">
        <v>#NULL!</v>
      </c>
      <c r="AR15" s="343" t="e">
        <v>#NULL!</v>
      </c>
      <c r="AS15" s="343" t="e">
        <v>#NULL!</v>
      </c>
      <c r="AT15" s="343" t="e">
        <v>#NULL!</v>
      </c>
      <c r="AU15" s="343" t="e">
        <v>#NULL!</v>
      </c>
      <c r="AV15" s="344" t="e">
        <v>#NULL!</v>
      </c>
    </row>
    <row r="16" spans="2:48">
      <c r="B16" s="345"/>
      <c r="C16" s="342" t="s">
        <v>327</v>
      </c>
      <c r="D16" s="346">
        <v>14.470803185414283</v>
      </c>
      <c r="E16" s="346">
        <v>14.401055607339851</v>
      </c>
      <c r="F16" s="346">
        <v>14.33130802926542</v>
      </c>
      <c r="G16" s="346">
        <v>14.261560451190991</v>
      </c>
      <c r="H16" s="346">
        <v>14.191812873116577</v>
      </c>
      <c r="I16" s="346">
        <v>14.122065295042145</v>
      </c>
      <c r="J16" s="346">
        <v>14.052317716967714</v>
      </c>
      <c r="K16" s="346">
        <v>13.982570138893285</v>
      </c>
      <c r="L16" s="346">
        <v>13.912822560818855</v>
      </c>
      <c r="M16" s="346">
        <v>13.843074982744422</v>
      </c>
      <c r="N16" s="346">
        <v>13.773327404669992</v>
      </c>
      <c r="O16" s="346">
        <v>13.703579826595577</v>
      </c>
      <c r="P16" s="346">
        <v>13.633832248521149</v>
      </c>
      <c r="Q16" s="346">
        <v>13.309542261542733</v>
      </c>
      <c r="R16" s="346">
        <v>13.315306091271443</v>
      </c>
      <c r="S16" s="346">
        <v>13.318583338393536</v>
      </c>
      <c r="T16" s="346">
        <v>13.323338784392369</v>
      </c>
      <c r="U16" s="346">
        <v>13.327040011037248</v>
      </c>
      <c r="V16" s="346">
        <v>13.319660475559536</v>
      </c>
      <c r="W16" s="346">
        <v>13.317105139516789</v>
      </c>
      <c r="X16" s="346">
        <v>13.308980775147692</v>
      </c>
      <c r="Y16" s="346">
        <v>13.302162726065022</v>
      </c>
      <c r="Z16" s="346">
        <v>13.172184355065507</v>
      </c>
      <c r="AA16" s="346">
        <v>12.978139240500948</v>
      </c>
      <c r="AB16" s="346">
        <v>12.827076482422255</v>
      </c>
      <c r="AC16" s="346">
        <v>12.667625805135975</v>
      </c>
      <c r="AD16" s="346">
        <v>12.431457752037145</v>
      </c>
      <c r="AE16" s="346">
        <v>12.219571120797436</v>
      </c>
      <c r="AF16" s="346">
        <v>12.131818818486382</v>
      </c>
      <c r="AG16" s="346">
        <v>12.060275177549753</v>
      </c>
      <c r="AH16" s="346">
        <v>12.001282014235358</v>
      </c>
      <c r="AI16" s="346">
        <v>11.932390967547846</v>
      </c>
      <c r="AJ16" s="346">
        <v>11.887111981634218</v>
      </c>
      <c r="AK16" s="346">
        <v>11.799192022335832</v>
      </c>
      <c r="AL16" s="346">
        <v>11.704091909883513</v>
      </c>
      <c r="AM16" s="346">
        <v>11.622705780979492</v>
      </c>
      <c r="AN16" s="346">
        <v>11.542468058856731</v>
      </c>
      <c r="AO16" s="346">
        <v>11.47402336171136</v>
      </c>
      <c r="AP16" s="346">
        <v>11.444856390083132</v>
      </c>
      <c r="AQ16" s="346">
        <v>11.394511045059495</v>
      </c>
      <c r="AR16" s="346">
        <v>11.374838643322249</v>
      </c>
      <c r="AS16" s="310">
        <v>11.374838643322249</v>
      </c>
      <c r="AT16" s="310" t="e">
        <v>#NULL!</v>
      </c>
      <c r="AU16" s="310" t="e">
        <v>#NULL!</v>
      </c>
      <c r="AV16" s="347" t="e">
        <v>#NULL!</v>
      </c>
    </row>
    <row r="17" spans="2:48">
      <c r="B17" s="345"/>
      <c r="C17" s="342" t="s">
        <v>328</v>
      </c>
      <c r="D17" s="343"/>
      <c r="E17" s="343"/>
      <c r="F17" s="343"/>
      <c r="G17" s="343"/>
      <c r="H17" s="343"/>
      <c r="I17" s="343"/>
      <c r="J17" s="343"/>
      <c r="K17" s="343"/>
      <c r="L17" s="343"/>
      <c r="M17" s="343"/>
      <c r="N17" s="343"/>
      <c r="O17" s="343"/>
      <c r="P17" s="343"/>
      <c r="Q17" s="343"/>
      <c r="R17" s="343"/>
      <c r="S17" s="343"/>
      <c r="T17" s="343"/>
      <c r="U17" s="343"/>
      <c r="V17" s="343"/>
      <c r="W17" s="343"/>
      <c r="X17" s="343"/>
      <c r="Y17" s="343"/>
      <c r="Z17" s="343"/>
      <c r="AA17" s="343"/>
      <c r="AB17" s="343"/>
      <c r="AC17" s="343"/>
      <c r="AD17" s="343"/>
      <c r="AE17" s="343"/>
      <c r="AF17" s="343"/>
      <c r="AG17" s="343"/>
      <c r="AH17" s="343"/>
      <c r="AI17" s="343"/>
      <c r="AJ17" s="343"/>
      <c r="AK17" s="343"/>
      <c r="AL17" s="343"/>
      <c r="AM17" s="343"/>
      <c r="AN17" s="343"/>
      <c r="AO17" s="310"/>
      <c r="AP17" s="310"/>
      <c r="AQ17" s="310"/>
      <c r="AR17" s="310"/>
      <c r="AS17" s="310"/>
      <c r="AT17" s="310"/>
      <c r="AU17" s="310"/>
      <c r="AV17" s="347"/>
    </row>
    <row r="18" spans="2:48">
      <c r="B18" s="345"/>
      <c r="C18" s="342" t="s">
        <v>329</v>
      </c>
      <c r="D18" s="343"/>
      <c r="E18" s="343"/>
      <c r="F18" s="343"/>
      <c r="G18" s="343"/>
      <c r="H18" s="343"/>
      <c r="I18" s="343"/>
      <c r="J18" s="343"/>
      <c r="K18" s="343"/>
      <c r="L18" s="343"/>
      <c r="M18" s="343"/>
      <c r="N18" s="343"/>
      <c r="O18" s="343"/>
      <c r="P18" s="343"/>
      <c r="Q18" s="343"/>
      <c r="R18" s="343"/>
      <c r="S18" s="343"/>
      <c r="T18" s="343"/>
      <c r="U18" s="343"/>
      <c r="V18" s="343"/>
      <c r="W18" s="343"/>
      <c r="X18" s="343"/>
      <c r="Y18" s="343"/>
      <c r="Z18" s="343"/>
      <c r="AA18" s="343"/>
      <c r="AB18" s="343"/>
      <c r="AC18" s="343"/>
      <c r="AD18" s="343"/>
      <c r="AE18" s="343"/>
      <c r="AF18" s="343"/>
      <c r="AG18" s="343"/>
      <c r="AH18" s="343"/>
      <c r="AI18" s="343"/>
      <c r="AJ18" s="343"/>
      <c r="AK18" s="343"/>
      <c r="AL18" s="343"/>
      <c r="AM18" s="343"/>
      <c r="AN18" s="343"/>
      <c r="AO18" s="310"/>
      <c r="AP18" s="310"/>
      <c r="AQ18" s="310"/>
      <c r="AR18" s="310"/>
      <c r="AS18" s="310"/>
      <c r="AT18" s="310"/>
      <c r="AU18" s="310"/>
      <c r="AV18" s="347"/>
    </row>
    <row r="19" spans="2:48">
      <c r="B19" s="345"/>
      <c r="C19" s="342" t="s">
        <v>52</v>
      </c>
      <c r="D19" s="343"/>
      <c r="E19" s="343"/>
      <c r="F19" s="343"/>
      <c r="G19" s="343"/>
      <c r="H19" s="343"/>
      <c r="I19" s="343"/>
      <c r="J19" s="343"/>
      <c r="K19" s="343"/>
      <c r="L19" s="343"/>
      <c r="M19" s="343"/>
      <c r="N19" s="343"/>
      <c r="O19" s="343"/>
      <c r="P19" s="343"/>
      <c r="Q19" s="343"/>
      <c r="R19" s="343"/>
      <c r="S19" s="343"/>
      <c r="T19" s="343"/>
      <c r="U19" s="343"/>
      <c r="V19" s="343"/>
      <c r="W19" s="343"/>
      <c r="X19" s="343"/>
      <c r="Y19" s="343"/>
      <c r="Z19" s="343"/>
      <c r="AA19" s="343"/>
      <c r="AB19" s="343"/>
      <c r="AC19" s="343"/>
      <c r="AD19" s="343"/>
      <c r="AE19" s="343"/>
      <c r="AF19" s="343"/>
      <c r="AG19" s="343"/>
      <c r="AH19" s="343"/>
      <c r="AI19" s="343"/>
      <c r="AJ19" s="343"/>
      <c r="AK19" s="343"/>
      <c r="AL19" s="343"/>
      <c r="AM19" s="343"/>
      <c r="AN19" s="343"/>
      <c r="AO19" s="310"/>
      <c r="AP19" s="310"/>
      <c r="AQ19" s="310"/>
      <c r="AR19" s="310"/>
      <c r="AS19" s="310"/>
      <c r="AT19" s="310"/>
      <c r="AU19" s="310"/>
      <c r="AV19" s="347"/>
    </row>
    <row r="20" spans="2:48">
      <c r="B20" s="345"/>
      <c r="C20" s="342" t="s">
        <v>331</v>
      </c>
      <c r="D20" s="343"/>
      <c r="E20" s="343"/>
      <c r="F20" s="343"/>
      <c r="G20" s="343"/>
      <c r="H20" s="343"/>
      <c r="I20" s="343"/>
      <c r="J20" s="343"/>
      <c r="K20" s="343"/>
      <c r="L20" s="343"/>
      <c r="M20" s="343"/>
      <c r="N20" s="343"/>
      <c r="O20" s="343"/>
      <c r="P20" s="343"/>
      <c r="Q20" s="343"/>
      <c r="R20" s="343"/>
      <c r="S20" s="343"/>
      <c r="T20" s="343"/>
      <c r="U20" s="343"/>
      <c r="V20" s="343"/>
      <c r="W20" s="343"/>
      <c r="X20" s="343"/>
      <c r="Y20" s="343"/>
      <c r="Z20" s="343"/>
      <c r="AA20" s="343"/>
      <c r="AB20" s="343"/>
      <c r="AC20" s="343"/>
      <c r="AD20" s="343"/>
      <c r="AE20" s="343"/>
      <c r="AF20" s="343"/>
      <c r="AG20" s="343"/>
      <c r="AH20" s="343"/>
      <c r="AI20" s="343"/>
      <c r="AJ20" s="343"/>
      <c r="AK20" s="343"/>
      <c r="AL20" s="343"/>
      <c r="AM20" s="343"/>
      <c r="AN20" s="343"/>
      <c r="AO20" s="310"/>
      <c r="AP20" s="310"/>
      <c r="AQ20" s="310"/>
      <c r="AR20" s="310"/>
      <c r="AS20" s="310"/>
      <c r="AT20" s="310"/>
      <c r="AU20" s="310"/>
      <c r="AV20" s="347"/>
    </row>
    <row r="21" spans="2:48">
      <c r="B21" s="348"/>
      <c r="C21" s="349" t="s">
        <v>332</v>
      </c>
      <c r="D21" s="350"/>
      <c r="E21" s="350"/>
      <c r="F21" s="350"/>
      <c r="G21" s="350"/>
      <c r="H21" s="350"/>
      <c r="I21" s="350"/>
      <c r="J21" s="350"/>
      <c r="K21" s="350"/>
      <c r="L21" s="350"/>
      <c r="M21" s="350"/>
      <c r="N21" s="350"/>
      <c r="O21" s="350"/>
      <c r="P21" s="350"/>
      <c r="Q21" s="350"/>
      <c r="R21" s="350"/>
      <c r="S21" s="350"/>
      <c r="T21" s="350"/>
      <c r="U21" s="350"/>
      <c r="V21" s="350"/>
      <c r="W21" s="350"/>
      <c r="X21" s="350"/>
      <c r="Y21" s="350"/>
      <c r="Z21" s="350"/>
      <c r="AA21" s="350"/>
      <c r="AB21" s="350"/>
      <c r="AC21" s="350"/>
      <c r="AD21" s="350"/>
      <c r="AE21" s="350"/>
      <c r="AF21" s="350"/>
      <c r="AG21" s="350"/>
      <c r="AH21" s="350"/>
      <c r="AI21" s="350"/>
      <c r="AJ21" s="350"/>
      <c r="AK21" s="350"/>
      <c r="AL21" s="350"/>
      <c r="AM21" s="350"/>
      <c r="AN21" s="350"/>
      <c r="AO21" s="311"/>
      <c r="AP21" s="311"/>
      <c r="AQ21" s="311"/>
      <c r="AR21" s="311"/>
      <c r="AS21" s="311"/>
      <c r="AT21" s="311"/>
      <c r="AU21" s="311"/>
      <c r="AV21" s="352"/>
    </row>
    <row r="22" spans="2:48">
      <c r="B22" s="337" t="s">
        <v>334</v>
      </c>
      <c r="C22" s="353" t="s">
        <v>326</v>
      </c>
      <c r="D22" s="354">
        <v>1.095</v>
      </c>
      <c r="E22" s="354">
        <v>1.095</v>
      </c>
      <c r="F22" s="354">
        <v>1.095</v>
      </c>
      <c r="G22" s="354">
        <v>1.095</v>
      </c>
      <c r="H22" s="354">
        <v>1.095</v>
      </c>
      <c r="I22" s="354">
        <v>1.095</v>
      </c>
      <c r="J22" s="354">
        <v>1.095</v>
      </c>
      <c r="K22" s="354">
        <v>1.095</v>
      </c>
      <c r="L22" s="354">
        <v>1.095</v>
      </c>
      <c r="M22" s="354">
        <v>1.095</v>
      </c>
      <c r="N22" s="354">
        <v>1.095</v>
      </c>
      <c r="O22" s="354">
        <v>1.095</v>
      </c>
      <c r="P22" s="354">
        <v>1.095</v>
      </c>
      <c r="Q22" s="354">
        <v>1.095</v>
      </c>
      <c r="R22" s="354">
        <v>1.095</v>
      </c>
      <c r="S22" s="354">
        <v>1.095</v>
      </c>
      <c r="T22" s="354">
        <v>1.095</v>
      </c>
      <c r="U22" s="354">
        <v>1.095</v>
      </c>
      <c r="V22" s="354">
        <v>1.095</v>
      </c>
      <c r="W22" s="354">
        <v>1.095</v>
      </c>
      <c r="X22" s="354">
        <v>1.095</v>
      </c>
      <c r="Y22" s="354">
        <v>1.095</v>
      </c>
      <c r="Z22" s="354">
        <v>1.095</v>
      </c>
      <c r="AA22" s="354">
        <v>1.095</v>
      </c>
      <c r="AB22" s="354">
        <v>1.095</v>
      </c>
      <c r="AC22" s="354">
        <v>1.095</v>
      </c>
      <c r="AD22" s="354">
        <v>1.095</v>
      </c>
      <c r="AE22" s="355">
        <v>1.095</v>
      </c>
      <c r="AF22" s="355">
        <v>1.05</v>
      </c>
      <c r="AG22" s="355">
        <v>1.0189999999999999</v>
      </c>
      <c r="AH22" s="355">
        <v>0.98499999999999999</v>
      </c>
      <c r="AI22" s="355">
        <v>0.96899999999999997</v>
      </c>
      <c r="AJ22" s="355">
        <v>0.94</v>
      </c>
      <c r="AK22" s="355">
        <v>0.91</v>
      </c>
      <c r="AL22" s="355">
        <v>0.876</v>
      </c>
      <c r="AM22" s="355">
        <v>0.84799999999999998</v>
      </c>
      <c r="AN22" s="355">
        <v>0.82699999999999996</v>
      </c>
      <c r="AO22" s="355">
        <v>0.80600000000000005</v>
      </c>
      <c r="AP22" s="311">
        <v>0.80600000000000005</v>
      </c>
      <c r="AQ22" s="311">
        <v>0.80600000000000005</v>
      </c>
      <c r="AR22" s="311">
        <v>0.80600000000000005</v>
      </c>
      <c r="AS22" s="311">
        <v>0.80600000000000005</v>
      </c>
      <c r="AT22" s="311" t="e">
        <v>#NULL!</v>
      </c>
      <c r="AU22" s="311" t="e">
        <v>#NULL!</v>
      </c>
      <c r="AV22" s="352" t="e">
        <v>#NULL!</v>
      </c>
    </row>
    <row r="23" spans="2:48">
      <c r="B23" s="356" t="s">
        <v>335</v>
      </c>
      <c r="C23" s="353" t="s">
        <v>326</v>
      </c>
      <c r="D23" s="357">
        <v>1.31</v>
      </c>
      <c r="E23" s="357">
        <v>1.31</v>
      </c>
      <c r="F23" s="357">
        <v>1.31</v>
      </c>
      <c r="G23" s="357">
        <v>1.31</v>
      </c>
      <c r="H23" s="357">
        <v>1.31</v>
      </c>
      <c r="I23" s="357">
        <v>1.31</v>
      </c>
      <c r="J23" s="357">
        <v>1.31</v>
      </c>
      <c r="K23" s="357">
        <v>1.31</v>
      </c>
      <c r="L23" s="357">
        <v>1.31</v>
      </c>
      <c r="M23" s="357">
        <v>1.31</v>
      </c>
      <c r="N23" s="357">
        <v>1.31</v>
      </c>
      <c r="O23" s="357">
        <v>1.31</v>
      </c>
      <c r="P23" s="357">
        <v>1.31</v>
      </c>
      <c r="Q23" s="357">
        <v>1.31</v>
      </c>
      <c r="R23" s="357">
        <v>1.31</v>
      </c>
      <c r="S23" s="357">
        <v>1.31</v>
      </c>
      <c r="T23" s="357">
        <v>1.31</v>
      </c>
      <c r="U23" s="357">
        <v>1.31</v>
      </c>
      <c r="V23" s="357">
        <v>1.31</v>
      </c>
      <c r="W23" s="357">
        <v>1.31</v>
      </c>
      <c r="X23" s="357">
        <v>1.31</v>
      </c>
      <c r="Y23" s="357">
        <v>1.31</v>
      </c>
      <c r="Z23" s="357">
        <v>1.31</v>
      </c>
      <c r="AA23" s="357">
        <v>1.31</v>
      </c>
      <c r="AB23" s="357">
        <v>1.31</v>
      </c>
      <c r="AC23" s="357">
        <v>1.31</v>
      </c>
      <c r="AD23" s="357">
        <v>1.31</v>
      </c>
      <c r="AE23" s="358">
        <v>1.31</v>
      </c>
      <c r="AF23" s="358">
        <v>1.3260000000000001</v>
      </c>
      <c r="AG23" s="358">
        <v>1.3360000000000001</v>
      </c>
      <c r="AH23" s="358">
        <v>1.3460000000000001</v>
      </c>
      <c r="AI23" s="358">
        <v>1.355</v>
      </c>
      <c r="AJ23" s="358">
        <v>1.36</v>
      </c>
      <c r="AK23" s="358">
        <v>1.37</v>
      </c>
      <c r="AL23" s="358">
        <v>1.3779999999999999</v>
      </c>
      <c r="AM23" s="358">
        <v>1.3819999999999999</v>
      </c>
      <c r="AN23" s="358">
        <v>1.383</v>
      </c>
      <c r="AO23" s="358">
        <v>1.3839999999999999</v>
      </c>
      <c r="AP23" s="312">
        <v>1.3839999999999999</v>
      </c>
      <c r="AQ23" s="312">
        <v>1.3839999999999999</v>
      </c>
      <c r="AR23" s="312">
        <v>1.3839999999999999</v>
      </c>
      <c r="AS23" s="312">
        <v>1.3839999999999999</v>
      </c>
      <c r="AT23" s="312" t="e">
        <v>#NULL!</v>
      </c>
      <c r="AU23" s="312" t="e">
        <v>#NULL!</v>
      </c>
      <c r="AV23" s="359" t="e">
        <v>#NULL!</v>
      </c>
    </row>
    <row r="24" spans="2:48">
      <c r="B24" s="360" t="s">
        <v>336</v>
      </c>
      <c r="C24" s="342" t="s">
        <v>51</v>
      </c>
      <c r="D24" s="343" t="e">
        <v>#NULL!</v>
      </c>
      <c r="E24" s="343" t="e">
        <v>#NULL!</v>
      </c>
      <c r="F24" s="343" t="e">
        <v>#NULL!</v>
      </c>
      <c r="G24" s="343" t="e">
        <v>#NULL!</v>
      </c>
      <c r="H24" s="343" t="e">
        <v>#NULL!</v>
      </c>
      <c r="I24" s="343" t="e">
        <v>#NULL!</v>
      </c>
      <c r="J24" s="343" t="e">
        <v>#NULL!</v>
      </c>
      <c r="K24" s="343" t="e">
        <v>#NULL!</v>
      </c>
      <c r="L24" s="343" t="e">
        <v>#NULL!</v>
      </c>
      <c r="M24" s="343" t="e">
        <v>#NULL!</v>
      </c>
      <c r="N24" s="343" t="e">
        <v>#NULL!</v>
      </c>
      <c r="O24" s="343" t="e">
        <v>#NULL!</v>
      </c>
      <c r="P24" s="343" t="e">
        <v>#NULL!</v>
      </c>
      <c r="Q24" s="343" t="e">
        <v>#NULL!</v>
      </c>
      <c r="R24" s="343" t="e">
        <v>#NULL!</v>
      </c>
      <c r="S24" s="343" t="e">
        <v>#NULL!</v>
      </c>
      <c r="T24" s="343" t="e">
        <v>#NULL!</v>
      </c>
      <c r="U24" s="343" t="e">
        <v>#NULL!</v>
      </c>
      <c r="V24" s="343" t="e">
        <v>#NULL!</v>
      </c>
      <c r="W24" s="343" t="e">
        <v>#NULL!</v>
      </c>
      <c r="X24" s="343" t="e">
        <v>#NULL!</v>
      </c>
      <c r="Y24" s="343" t="e">
        <v>#NULL!</v>
      </c>
      <c r="Z24" s="343" t="e">
        <v>#NULL!</v>
      </c>
      <c r="AA24" s="343" t="e">
        <v>#NULL!</v>
      </c>
      <c r="AB24" s="343" t="e">
        <v>#NULL!</v>
      </c>
      <c r="AC24" s="343" t="e">
        <v>#NULL!</v>
      </c>
      <c r="AD24" s="343" t="e">
        <v>#NULL!</v>
      </c>
      <c r="AE24" s="343" t="e">
        <v>#NULL!</v>
      </c>
      <c r="AF24" s="343" t="e">
        <v>#NULL!</v>
      </c>
      <c r="AG24" s="343" t="e">
        <v>#NULL!</v>
      </c>
      <c r="AH24" s="343" t="e">
        <v>#NULL!</v>
      </c>
      <c r="AI24" s="343" t="e">
        <v>#NULL!</v>
      </c>
      <c r="AJ24" s="343" t="e">
        <v>#NULL!</v>
      </c>
      <c r="AK24" s="343" t="e">
        <v>#NULL!</v>
      </c>
      <c r="AL24" s="343" t="e">
        <v>#NULL!</v>
      </c>
      <c r="AM24" s="343" t="e">
        <v>#NULL!</v>
      </c>
      <c r="AN24" s="343" t="e">
        <v>#NULL!</v>
      </c>
      <c r="AO24" s="343" t="e">
        <v>#NULL!</v>
      </c>
      <c r="AP24" s="343" t="e">
        <v>#NULL!</v>
      </c>
      <c r="AQ24" s="343" t="e">
        <v>#NULL!</v>
      </c>
      <c r="AR24" s="343" t="e">
        <v>#NULL!</v>
      </c>
      <c r="AS24" s="343" t="e">
        <v>#NULL!</v>
      </c>
      <c r="AT24" s="343" t="e">
        <v>#NULL!</v>
      </c>
      <c r="AU24" s="343" t="e">
        <v>#NULL!</v>
      </c>
      <c r="AV24" s="344" t="e">
        <v>#NULL!</v>
      </c>
    </row>
    <row r="25" spans="2:48">
      <c r="B25" s="361"/>
      <c r="C25" s="342" t="s">
        <v>326</v>
      </c>
      <c r="D25" s="346">
        <v>3.9785890992953599</v>
      </c>
      <c r="E25" s="346">
        <v>3.9686934806278695</v>
      </c>
      <c r="F25" s="346">
        <v>3.9587978619603752</v>
      </c>
      <c r="G25" s="346">
        <v>3.9489022432928849</v>
      </c>
      <c r="H25" s="346">
        <v>3.9390066246253905</v>
      </c>
      <c r="I25" s="346">
        <v>3.9291110059578993</v>
      </c>
      <c r="J25" s="346">
        <v>3.919215387290405</v>
      </c>
      <c r="K25" s="346">
        <v>3.9093197686229146</v>
      </c>
      <c r="L25" s="346">
        <v>3.8994241499554203</v>
      </c>
      <c r="M25" s="346">
        <v>3.88952853128793</v>
      </c>
      <c r="N25" s="346">
        <v>3.8796329126204347</v>
      </c>
      <c r="O25" s="346">
        <v>3.8697372939529444</v>
      </c>
      <c r="P25" s="346">
        <v>3.8598416752854501</v>
      </c>
      <c r="Q25" s="346">
        <v>3.8270256362628738</v>
      </c>
      <c r="R25" s="346">
        <v>3.8215167266266707</v>
      </c>
      <c r="S25" s="346">
        <v>3.8265164093217132</v>
      </c>
      <c r="T25" s="346">
        <v>3.8036011969694394</v>
      </c>
      <c r="U25" s="346">
        <v>3.7963794330766016</v>
      </c>
      <c r="V25" s="346">
        <v>3.7947360188573982</v>
      </c>
      <c r="W25" s="346">
        <v>3.8101285604879656</v>
      </c>
      <c r="X25" s="346">
        <v>3.8015642892047916</v>
      </c>
      <c r="Y25" s="346">
        <v>3.8169105374770731</v>
      </c>
      <c r="Z25" s="346">
        <v>3.8061936250335342</v>
      </c>
      <c r="AA25" s="346">
        <v>3.7921204441141585</v>
      </c>
      <c r="AB25" s="346">
        <v>3.7699922188527712</v>
      </c>
      <c r="AC25" s="346">
        <v>3.7118940542020562</v>
      </c>
      <c r="AD25" s="346">
        <v>3.682868118555843</v>
      </c>
      <c r="AE25" s="346">
        <v>3.6487036201397256</v>
      </c>
      <c r="AF25" s="346">
        <v>3.6203952315469667</v>
      </c>
      <c r="AG25" s="346">
        <v>3.5860842670098716</v>
      </c>
      <c r="AH25" s="346">
        <v>3.5539903247238414</v>
      </c>
      <c r="AI25" s="346">
        <v>3.5244515376952066</v>
      </c>
      <c r="AJ25" s="346">
        <v>3.4970709435518348</v>
      </c>
      <c r="AK25" s="346">
        <v>3.5382999072594834</v>
      </c>
      <c r="AL25" s="346">
        <v>3.5831889316689947</v>
      </c>
      <c r="AM25" s="346">
        <v>3.6268912165608995</v>
      </c>
      <c r="AN25" s="346">
        <v>3.6617091648197642</v>
      </c>
      <c r="AO25" s="346">
        <v>3.6837022080998669</v>
      </c>
      <c r="AP25" s="346">
        <v>3.6959895320082317</v>
      </c>
      <c r="AQ25" s="346">
        <v>3.7078085520560391</v>
      </c>
      <c r="AR25" s="346">
        <v>3.7239730562483446</v>
      </c>
      <c r="AS25" s="310">
        <v>3.7239730562483446</v>
      </c>
      <c r="AT25" s="310" t="e">
        <v>#NULL!</v>
      </c>
      <c r="AU25" s="310" t="e">
        <v>#NULL!</v>
      </c>
      <c r="AV25" s="347" t="e">
        <v>#NULL!</v>
      </c>
    </row>
    <row r="26" spans="2:48">
      <c r="B26" s="361"/>
      <c r="C26" s="342" t="s">
        <v>327</v>
      </c>
      <c r="D26" s="346">
        <v>3.3405700886202738</v>
      </c>
      <c r="E26" s="346">
        <v>3.3322613623597848</v>
      </c>
      <c r="F26" s="346">
        <v>3.3239526360992926</v>
      </c>
      <c r="G26" s="346">
        <v>3.3156439098388035</v>
      </c>
      <c r="H26" s="346">
        <v>3.3073351835783109</v>
      </c>
      <c r="I26" s="346">
        <v>3.2990264573178214</v>
      </c>
      <c r="J26" s="346">
        <v>3.2907177310573292</v>
      </c>
      <c r="K26" s="346">
        <v>3.2824090047968402</v>
      </c>
      <c r="L26" s="346">
        <v>3.2741002785363476</v>
      </c>
      <c r="M26" s="346">
        <v>3.2657915522758585</v>
      </c>
      <c r="N26" s="346">
        <v>3.2574828260153654</v>
      </c>
      <c r="O26" s="346">
        <v>3.2491740997548764</v>
      </c>
      <c r="P26" s="346">
        <v>3.2408653734943842</v>
      </c>
      <c r="Q26" s="346">
        <v>3.2133118172839104</v>
      </c>
      <c r="R26" s="346">
        <v>3.208686333653326</v>
      </c>
      <c r="S26" s="346">
        <v>3.2128842515701597</v>
      </c>
      <c r="T26" s="346">
        <v>3.1936437944513418</v>
      </c>
      <c r="U26" s="346">
        <v>3.187580135238139</v>
      </c>
      <c r="V26" s="346">
        <v>3.1862002640710316</v>
      </c>
      <c r="W26" s="346">
        <v>3.1991244095094289</v>
      </c>
      <c r="X26" s="346">
        <v>3.1919335315963351</v>
      </c>
      <c r="Y26" s="346">
        <v>3.2048188074243922</v>
      </c>
      <c r="Z26" s="346">
        <v>3.1958204926304399</v>
      </c>
      <c r="AA26" s="346">
        <v>3.1840041310867622</v>
      </c>
      <c r="AB26" s="346">
        <v>3.1654244573437427</v>
      </c>
      <c r="AC26" s="346">
        <v>3.1166430963657299</v>
      </c>
      <c r="AD26" s="346">
        <v>3.092271850681894</v>
      </c>
      <c r="AE26" s="346">
        <v>3.0635860782502022</v>
      </c>
      <c r="AF26" s="346">
        <v>3.0398173115266527</v>
      </c>
      <c r="AG26" s="346">
        <v>3.0598193722970604</v>
      </c>
      <c r="AH26" s="346">
        <v>3.0792638212402546</v>
      </c>
      <c r="AI26" s="346">
        <v>3.0952220675800048</v>
      </c>
      <c r="AJ26" s="346">
        <v>3.1080663237364767</v>
      </c>
      <c r="AK26" s="346">
        <v>3.120437115100632</v>
      </c>
      <c r="AL26" s="346">
        <v>3.1316533673783447</v>
      </c>
      <c r="AM26" s="346">
        <v>3.1399041335357207</v>
      </c>
      <c r="AN26" s="346">
        <v>3.1455861705878672</v>
      </c>
      <c r="AO26" s="346">
        <v>3.1493436076641985</v>
      </c>
      <c r="AP26" s="346">
        <v>3.1523120586358502</v>
      </c>
      <c r="AQ26" s="346">
        <v>3.1546211871613234</v>
      </c>
      <c r="AR26" s="346">
        <v>3.1566675888938711</v>
      </c>
      <c r="AS26" s="310">
        <v>3.1566675888938711</v>
      </c>
      <c r="AT26" s="310" t="e">
        <v>#NULL!</v>
      </c>
      <c r="AU26" s="310" t="e">
        <v>#NULL!</v>
      </c>
      <c r="AV26" s="347" t="e">
        <v>#NULL!</v>
      </c>
    </row>
    <row r="27" spans="2:48">
      <c r="B27" s="361"/>
      <c r="C27" s="342" t="s">
        <v>328</v>
      </c>
      <c r="D27" s="343"/>
      <c r="E27" s="343"/>
      <c r="F27" s="343"/>
      <c r="G27" s="343"/>
      <c r="H27" s="343"/>
      <c r="I27" s="343"/>
      <c r="J27" s="343"/>
      <c r="K27" s="343"/>
      <c r="L27" s="343"/>
      <c r="M27" s="343"/>
      <c r="N27" s="343"/>
      <c r="O27" s="343"/>
      <c r="P27" s="343"/>
      <c r="Q27" s="343"/>
      <c r="R27" s="343"/>
      <c r="S27" s="343"/>
      <c r="T27" s="343"/>
      <c r="U27" s="343"/>
      <c r="V27" s="343"/>
      <c r="W27" s="343"/>
      <c r="X27" s="343"/>
      <c r="Y27" s="343"/>
      <c r="Z27" s="343"/>
      <c r="AA27" s="343"/>
      <c r="AB27" s="343"/>
      <c r="AC27" s="343"/>
      <c r="AD27" s="343"/>
      <c r="AE27" s="343"/>
      <c r="AF27" s="343"/>
      <c r="AG27" s="343"/>
      <c r="AH27" s="343"/>
      <c r="AI27" s="343"/>
      <c r="AJ27" s="343"/>
      <c r="AK27" s="343"/>
      <c r="AL27" s="343"/>
      <c r="AM27" s="343"/>
      <c r="AN27" s="343"/>
      <c r="AO27" s="343"/>
      <c r="AP27" s="343"/>
      <c r="AQ27" s="343"/>
      <c r="AR27" s="343"/>
      <c r="AS27" s="343"/>
      <c r="AT27" s="343"/>
      <c r="AU27" s="343"/>
      <c r="AV27" s="344"/>
    </row>
    <row r="28" spans="2:48">
      <c r="B28" s="361"/>
      <c r="C28" s="342" t="s">
        <v>329</v>
      </c>
      <c r="D28" s="343"/>
      <c r="E28" s="343"/>
      <c r="F28" s="343"/>
      <c r="G28" s="343"/>
      <c r="H28" s="343"/>
      <c r="I28" s="343"/>
      <c r="J28" s="343"/>
      <c r="K28" s="343"/>
      <c r="L28" s="343"/>
      <c r="M28" s="343"/>
      <c r="N28" s="343"/>
      <c r="O28" s="343"/>
      <c r="P28" s="343"/>
      <c r="Q28" s="343"/>
      <c r="R28" s="343"/>
      <c r="S28" s="343"/>
      <c r="T28" s="343"/>
      <c r="U28" s="343"/>
      <c r="V28" s="343"/>
      <c r="W28" s="343"/>
      <c r="X28" s="343"/>
      <c r="Y28" s="343"/>
      <c r="Z28" s="343"/>
      <c r="AA28" s="343"/>
      <c r="AB28" s="343"/>
      <c r="AC28" s="343"/>
      <c r="AD28" s="343"/>
      <c r="AE28" s="343"/>
      <c r="AF28" s="343"/>
      <c r="AG28" s="343"/>
      <c r="AH28" s="343"/>
      <c r="AI28" s="343"/>
      <c r="AJ28" s="343"/>
      <c r="AK28" s="343"/>
      <c r="AL28" s="343"/>
      <c r="AM28" s="343"/>
      <c r="AN28" s="343"/>
      <c r="AO28" s="343"/>
      <c r="AP28" s="343"/>
      <c r="AQ28" s="343"/>
      <c r="AR28" s="343"/>
      <c r="AS28" s="343"/>
      <c r="AT28" s="343"/>
      <c r="AU28" s="343"/>
      <c r="AV28" s="344"/>
    </row>
    <row r="29" spans="2:48">
      <c r="B29" s="361"/>
      <c r="C29" s="342" t="s">
        <v>330</v>
      </c>
      <c r="D29" s="343"/>
      <c r="E29" s="343"/>
      <c r="F29" s="343"/>
      <c r="G29" s="343"/>
      <c r="H29" s="343"/>
      <c r="I29" s="343"/>
      <c r="J29" s="343"/>
      <c r="K29" s="343"/>
      <c r="L29" s="343"/>
      <c r="M29" s="343"/>
      <c r="N29" s="343"/>
      <c r="O29" s="343"/>
      <c r="P29" s="343"/>
      <c r="Q29" s="343"/>
      <c r="R29" s="343"/>
      <c r="S29" s="343"/>
      <c r="T29" s="343"/>
      <c r="U29" s="343"/>
      <c r="V29" s="343"/>
      <c r="W29" s="343"/>
      <c r="X29" s="343"/>
      <c r="Y29" s="343"/>
      <c r="Z29" s="343"/>
      <c r="AA29" s="343"/>
      <c r="AB29" s="343"/>
      <c r="AC29" s="343"/>
      <c r="AD29" s="343"/>
      <c r="AE29" s="343"/>
      <c r="AF29" s="343"/>
      <c r="AG29" s="343"/>
      <c r="AH29" s="343"/>
      <c r="AI29" s="343"/>
      <c r="AJ29" s="343"/>
      <c r="AK29" s="343"/>
      <c r="AL29" s="343"/>
      <c r="AM29" s="343"/>
      <c r="AN29" s="343"/>
      <c r="AO29" s="343"/>
      <c r="AP29" s="343"/>
      <c r="AQ29" s="343"/>
      <c r="AR29" s="343"/>
      <c r="AS29" s="343"/>
      <c r="AT29" s="343"/>
      <c r="AU29" s="343"/>
      <c r="AV29" s="344"/>
    </row>
    <row r="30" spans="2:48">
      <c r="B30" s="361"/>
      <c r="C30" s="342" t="s">
        <v>52</v>
      </c>
      <c r="D30" s="343"/>
      <c r="E30" s="343"/>
      <c r="F30" s="343"/>
      <c r="G30" s="343"/>
      <c r="H30" s="343"/>
      <c r="I30" s="343"/>
      <c r="J30" s="343"/>
      <c r="K30" s="343"/>
      <c r="L30" s="343"/>
      <c r="M30" s="343"/>
      <c r="N30" s="343"/>
      <c r="O30" s="343"/>
      <c r="P30" s="343"/>
      <c r="Q30" s="343"/>
      <c r="R30" s="343"/>
      <c r="S30" s="343"/>
      <c r="T30" s="343"/>
      <c r="U30" s="343"/>
      <c r="V30" s="343"/>
      <c r="W30" s="343"/>
      <c r="X30" s="343"/>
      <c r="Y30" s="343"/>
      <c r="Z30" s="343"/>
      <c r="AA30" s="343"/>
      <c r="AB30" s="343"/>
      <c r="AC30" s="343"/>
      <c r="AD30" s="343"/>
      <c r="AE30" s="343"/>
      <c r="AF30" s="343"/>
      <c r="AG30" s="343"/>
      <c r="AH30" s="343"/>
      <c r="AI30" s="343"/>
      <c r="AJ30" s="343"/>
      <c r="AK30" s="343"/>
      <c r="AL30" s="343"/>
      <c r="AM30" s="343"/>
      <c r="AN30" s="343"/>
      <c r="AO30" s="343"/>
      <c r="AP30" s="343"/>
      <c r="AQ30" s="343"/>
      <c r="AR30" s="343"/>
      <c r="AS30" s="343"/>
      <c r="AT30" s="343"/>
      <c r="AU30" s="343"/>
      <c r="AV30" s="344"/>
    </row>
    <row r="31" spans="2:48">
      <c r="B31" s="361"/>
      <c r="C31" s="342" t="s">
        <v>331</v>
      </c>
      <c r="D31" s="343"/>
      <c r="E31" s="343"/>
      <c r="F31" s="343"/>
      <c r="G31" s="343"/>
      <c r="H31" s="343"/>
      <c r="I31" s="343"/>
      <c r="J31" s="343"/>
      <c r="K31" s="343"/>
      <c r="L31" s="343"/>
      <c r="M31" s="343"/>
      <c r="N31" s="343"/>
      <c r="O31" s="343"/>
      <c r="P31" s="343"/>
      <c r="Q31" s="343"/>
      <c r="R31" s="343"/>
      <c r="S31" s="343"/>
      <c r="T31" s="343"/>
      <c r="U31" s="343"/>
      <c r="V31" s="343"/>
      <c r="W31" s="343"/>
      <c r="X31" s="343"/>
      <c r="Y31" s="343"/>
      <c r="Z31" s="343"/>
      <c r="AA31" s="343"/>
      <c r="AB31" s="343"/>
      <c r="AC31" s="343"/>
      <c r="AD31" s="343"/>
      <c r="AE31" s="343"/>
      <c r="AF31" s="343"/>
      <c r="AG31" s="343"/>
      <c r="AH31" s="343"/>
      <c r="AI31" s="343"/>
      <c r="AJ31" s="343"/>
      <c r="AK31" s="343"/>
      <c r="AL31" s="343"/>
      <c r="AM31" s="343"/>
      <c r="AN31" s="343"/>
      <c r="AO31" s="343"/>
      <c r="AP31" s="343"/>
      <c r="AQ31" s="343"/>
      <c r="AR31" s="343"/>
      <c r="AS31" s="343"/>
      <c r="AT31" s="343"/>
      <c r="AU31" s="343"/>
      <c r="AV31" s="344"/>
    </row>
    <row r="32" spans="2:48">
      <c r="B32" s="362"/>
      <c r="C32" s="349" t="s">
        <v>332</v>
      </c>
      <c r="D32" s="350"/>
      <c r="E32" s="350"/>
      <c r="F32" s="350"/>
      <c r="G32" s="350"/>
      <c r="H32" s="350"/>
      <c r="I32" s="350"/>
      <c r="J32" s="350"/>
      <c r="K32" s="350"/>
      <c r="L32" s="350"/>
      <c r="M32" s="350"/>
      <c r="N32" s="350"/>
      <c r="O32" s="350"/>
      <c r="P32" s="350"/>
      <c r="Q32" s="350"/>
      <c r="R32" s="350"/>
      <c r="S32" s="350"/>
      <c r="T32" s="350"/>
      <c r="U32" s="350"/>
      <c r="V32" s="350"/>
      <c r="W32" s="350"/>
      <c r="X32" s="350"/>
      <c r="Y32" s="350"/>
      <c r="Z32" s="350"/>
      <c r="AA32" s="350"/>
      <c r="AB32" s="350"/>
      <c r="AC32" s="350"/>
      <c r="AD32" s="350"/>
      <c r="AE32" s="350"/>
      <c r="AF32" s="350"/>
      <c r="AG32" s="350"/>
      <c r="AH32" s="350"/>
      <c r="AI32" s="350"/>
      <c r="AJ32" s="350"/>
      <c r="AK32" s="350"/>
      <c r="AL32" s="350"/>
      <c r="AM32" s="350"/>
      <c r="AN32" s="350"/>
      <c r="AO32" s="350"/>
      <c r="AP32" s="350"/>
      <c r="AQ32" s="350"/>
      <c r="AR32" s="350"/>
      <c r="AS32" s="350"/>
      <c r="AT32" s="350"/>
      <c r="AU32" s="350"/>
      <c r="AV32" s="351"/>
    </row>
    <row r="33" spans="2:48">
      <c r="B33" s="360" t="s">
        <v>337</v>
      </c>
      <c r="C33" s="342" t="s">
        <v>51</v>
      </c>
      <c r="D33" s="343" t="e">
        <v>#NULL!</v>
      </c>
      <c r="E33" s="343" t="e">
        <v>#NULL!</v>
      </c>
      <c r="F33" s="343" t="e">
        <v>#NULL!</v>
      </c>
      <c r="G33" s="343" t="e">
        <v>#NULL!</v>
      </c>
      <c r="H33" s="343" t="e">
        <v>#NULL!</v>
      </c>
      <c r="I33" s="343" t="e">
        <v>#NULL!</v>
      </c>
      <c r="J33" s="343" t="e">
        <v>#NULL!</v>
      </c>
      <c r="K33" s="343" t="e">
        <v>#NULL!</v>
      </c>
      <c r="L33" s="343" t="e">
        <v>#NULL!</v>
      </c>
      <c r="M33" s="343" t="e">
        <v>#NULL!</v>
      </c>
      <c r="N33" s="343" t="e">
        <v>#NULL!</v>
      </c>
      <c r="O33" s="343" t="e">
        <v>#NULL!</v>
      </c>
      <c r="P33" s="343" t="e">
        <v>#NULL!</v>
      </c>
      <c r="Q33" s="343" t="e">
        <v>#NULL!</v>
      </c>
      <c r="R33" s="343" t="e">
        <v>#NULL!</v>
      </c>
      <c r="S33" s="343" t="e">
        <v>#NULL!</v>
      </c>
      <c r="T33" s="343" t="e">
        <v>#NULL!</v>
      </c>
      <c r="U33" s="343" t="e">
        <v>#NULL!</v>
      </c>
      <c r="V33" s="343" t="e">
        <v>#NULL!</v>
      </c>
      <c r="W33" s="343" t="e">
        <v>#NULL!</v>
      </c>
      <c r="X33" s="343" t="e">
        <v>#NULL!</v>
      </c>
      <c r="Y33" s="343" t="e">
        <v>#NULL!</v>
      </c>
      <c r="Z33" s="343" t="e">
        <v>#NULL!</v>
      </c>
      <c r="AA33" s="343" t="e">
        <v>#NULL!</v>
      </c>
      <c r="AB33" s="343" t="e">
        <v>#NULL!</v>
      </c>
      <c r="AC33" s="343" t="e">
        <v>#NULL!</v>
      </c>
      <c r="AD33" s="343" t="e">
        <v>#NULL!</v>
      </c>
      <c r="AE33" s="343" t="e">
        <v>#NULL!</v>
      </c>
      <c r="AF33" s="343" t="e">
        <v>#NULL!</v>
      </c>
      <c r="AG33" s="343" t="e">
        <v>#NULL!</v>
      </c>
      <c r="AH33" s="343" t="e">
        <v>#NULL!</v>
      </c>
      <c r="AI33" s="343" t="e">
        <v>#NULL!</v>
      </c>
      <c r="AJ33" s="343" t="e">
        <v>#NULL!</v>
      </c>
      <c r="AK33" s="343" t="e">
        <v>#NULL!</v>
      </c>
      <c r="AL33" s="343" t="e">
        <v>#NULL!</v>
      </c>
      <c r="AM33" s="343" t="e">
        <v>#NULL!</v>
      </c>
      <c r="AN33" s="343" t="e">
        <v>#NULL!</v>
      </c>
      <c r="AO33" s="343" t="e">
        <v>#NULL!</v>
      </c>
      <c r="AP33" s="343" t="e">
        <v>#NULL!</v>
      </c>
      <c r="AQ33" s="343" t="e">
        <v>#NULL!</v>
      </c>
      <c r="AR33" s="343" t="e">
        <v>#NULL!</v>
      </c>
      <c r="AS33" s="343" t="e">
        <v>#NULL!</v>
      </c>
      <c r="AT33" s="343" t="e">
        <v>#NULL!</v>
      </c>
      <c r="AU33" s="343" t="e">
        <v>#NULL!</v>
      </c>
      <c r="AV33" s="344" t="e">
        <v>#NULL!</v>
      </c>
    </row>
    <row r="34" spans="2:48">
      <c r="B34" s="361"/>
      <c r="C34" s="342" t="s">
        <v>326</v>
      </c>
      <c r="D34" s="346">
        <v>4.3846212625398344</v>
      </c>
      <c r="E34" s="346">
        <v>4.3737157533423279</v>
      </c>
      <c r="F34" s="346">
        <v>4.3628102441448169</v>
      </c>
      <c r="G34" s="346">
        <v>4.3519047349473103</v>
      </c>
      <c r="H34" s="346">
        <v>4.3409992257498002</v>
      </c>
      <c r="I34" s="346">
        <v>4.3300937165522928</v>
      </c>
      <c r="J34" s="346">
        <v>4.3191882073547818</v>
      </c>
      <c r="K34" s="346">
        <v>4.3082826981572753</v>
      </c>
      <c r="L34" s="346">
        <v>4.2973771889597643</v>
      </c>
      <c r="M34" s="346">
        <v>4.2864716797622577</v>
      </c>
      <c r="N34" s="346">
        <v>4.2755661705647467</v>
      </c>
      <c r="O34" s="346">
        <v>4.2646606613672402</v>
      </c>
      <c r="P34" s="346">
        <v>4.2537551521697292</v>
      </c>
      <c r="Q34" s="346">
        <v>4.2175900949447431</v>
      </c>
      <c r="R34" s="346">
        <v>4.2115189773396136</v>
      </c>
      <c r="S34" s="346">
        <v>4.2170288991997316</v>
      </c>
      <c r="T34" s="346">
        <v>4.1917750906741942</v>
      </c>
      <c r="U34" s="346">
        <v>4.1838163146540248</v>
      </c>
      <c r="V34" s="346">
        <v>4.1820051829314862</v>
      </c>
      <c r="W34" s="346">
        <v>4.1989685997693469</v>
      </c>
      <c r="X34" s="346">
        <v>4.1895303076941453</v>
      </c>
      <c r="Y34" s="346">
        <v>4.2064427067370058</v>
      </c>
      <c r="Z34" s="346">
        <v>4.194632087194254</v>
      </c>
      <c r="AA34" s="346">
        <v>4.1791226775139245</v>
      </c>
      <c r="AB34" s="346">
        <v>4.1547361715034059</v>
      </c>
      <c r="AC34" s="346">
        <v>4.0907088387770427</v>
      </c>
      <c r="AD34" s="346">
        <v>4.058720681311363</v>
      </c>
      <c r="AE34" s="346">
        <v>4.0210695486005612</v>
      </c>
      <c r="AF34" s="346">
        <v>3.9898721669573973</v>
      </c>
      <c r="AG34" s="346">
        <v>4.0256178255789568</v>
      </c>
      <c r="AH34" s="346">
        <v>4.0603669767782211</v>
      </c>
      <c r="AI34" s="346">
        <v>4.0888859395194705</v>
      </c>
      <c r="AJ34" s="346">
        <v>4.1118398941688028</v>
      </c>
      <c r="AK34" s="346">
        <v>4.1339477204601742</v>
      </c>
      <c r="AL34" s="346">
        <v>4.1539922713459303</v>
      </c>
      <c r="AM34" s="346">
        <v>4.1687372055711176</v>
      </c>
      <c r="AN34" s="346">
        <v>4.178891567117784</v>
      </c>
      <c r="AO34" s="346">
        <v>4.1856064783743898</v>
      </c>
      <c r="AP34" s="346">
        <v>4.1909113935171582</v>
      </c>
      <c r="AQ34" s="346">
        <v>4.1950380343134404</v>
      </c>
      <c r="AR34" s="346">
        <v>4.1986951563757033</v>
      </c>
      <c r="AS34" s="310">
        <v>4.1986951563757033</v>
      </c>
      <c r="AT34" s="310" t="e">
        <v>#NULL!</v>
      </c>
      <c r="AU34" s="310" t="e">
        <v>#NULL!</v>
      </c>
      <c r="AV34" s="347" t="e">
        <v>#NULL!</v>
      </c>
    </row>
    <row r="35" spans="2:48">
      <c r="B35" s="361"/>
      <c r="C35" s="342" t="s">
        <v>327</v>
      </c>
      <c r="D35" s="346">
        <v>4.4156194081566991</v>
      </c>
      <c r="E35" s="346">
        <v>4.4046367998115379</v>
      </c>
      <c r="F35" s="346">
        <v>4.3936541914663723</v>
      </c>
      <c r="G35" s="346">
        <v>4.382671583121212</v>
      </c>
      <c r="H35" s="346">
        <v>4.3716889747760463</v>
      </c>
      <c r="I35" s="346">
        <v>4.3607063664308843</v>
      </c>
      <c r="J35" s="346">
        <v>4.3497237580857187</v>
      </c>
      <c r="K35" s="346">
        <v>4.3387411497405575</v>
      </c>
      <c r="L35" s="346">
        <v>4.3277585413953918</v>
      </c>
      <c r="M35" s="346">
        <v>4.3167759330502307</v>
      </c>
      <c r="N35" s="346">
        <v>4.3057933247050642</v>
      </c>
      <c r="O35" s="346">
        <v>4.294810716359903</v>
      </c>
      <c r="P35" s="346">
        <v>4.2838281080147373</v>
      </c>
      <c r="Q35" s="346">
        <v>4.247407373128449</v>
      </c>
      <c r="R35" s="346">
        <v>4.241293334281937</v>
      </c>
      <c r="S35" s="346">
        <v>4.2468422098737308</v>
      </c>
      <c r="T35" s="346">
        <v>4.2214098634113491</v>
      </c>
      <c r="U35" s="346">
        <v>4.2133948208898717</v>
      </c>
      <c r="V35" s="346">
        <v>4.2115708849314588</v>
      </c>
      <c r="W35" s="346">
        <v>4.2286542287672999</v>
      </c>
      <c r="X35" s="346">
        <v>4.2191492103924695</v>
      </c>
      <c r="Y35" s="346">
        <v>4.2361811757506107</v>
      </c>
      <c r="Z35" s="346">
        <v>4.2242870581626484</v>
      </c>
      <c r="AA35" s="346">
        <v>4.2086680009413078</v>
      </c>
      <c r="AB35" s="346">
        <v>4.1841090885998566</v>
      </c>
      <c r="AC35" s="346">
        <v>4.119629099084122</v>
      </c>
      <c r="AD35" s="346">
        <v>4.0874147935651068</v>
      </c>
      <c r="AE35" s="346">
        <v>4.0494974770211929</v>
      </c>
      <c r="AF35" s="346">
        <v>4.0180795379065541</v>
      </c>
      <c r="AG35" s="346">
        <v>3.9932343283365599</v>
      </c>
      <c r="AH35" s="346">
        <v>3.969081746534517</v>
      </c>
      <c r="AI35" s="346">
        <v>3.9492594902564404</v>
      </c>
      <c r="AJ35" s="346">
        <v>3.9333052223616858</v>
      </c>
      <c r="AK35" s="346">
        <v>3.9179390604688158</v>
      </c>
      <c r="AL35" s="346">
        <v>3.9040069890873519</v>
      </c>
      <c r="AM35" s="346">
        <v>3.8937584443675854</v>
      </c>
      <c r="AN35" s="346">
        <v>3.8867006015300145</v>
      </c>
      <c r="AO35" s="346">
        <v>3.8820333668545945</v>
      </c>
      <c r="AP35" s="346">
        <v>3.878346157454748</v>
      </c>
      <c r="AQ35" s="346">
        <v>3.8754779138873494</v>
      </c>
      <c r="AR35" s="346">
        <v>3.8729360118057028</v>
      </c>
      <c r="AS35" s="310">
        <v>3.8729360118057028</v>
      </c>
      <c r="AT35" s="310" t="e">
        <v>#NULL!</v>
      </c>
      <c r="AU35" s="310" t="e">
        <v>#NULL!</v>
      </c>
      <c r="AV35" s="347" t="e">
        <v>#NULL!</v>
      </c>
    </row>
    <row r="36" spans="2:48">
      <c r="B36" s="361"/>
      <c r="C36" s="342" t="s">
        <v>328</v>
      </c>
      <c r="D36" s="343"/>
      <c r="E36" s="343"/>
      <c r="F36" s="343"/>
      <c r="G36" s="343"/>
      <c r="H36" s="343"/>
      <c r="I36" s="343"/>
      <c r="J36" s="343"/>
      <c r="K36" s="343"/>
      <c r="L36" s="343"/>
      <c r="M36" s="343"/>
      <c r="N36" s="343"/>
      <c r="O36" s="343"/>
      <c r="P36" s="343"/>
      <c r="Q36" s="343"/>
      <c r="R36" s="343"/>
      <c r="S36" s="343"/>
      <c r="T36" s="343"/>
      <c r="U36" s="343"/>
      <c r="V36" s="343"/>
      <c r="W36" s="343"/>
      <c r="X36" s="343"/>
      <c r="Y36" s="343"/>
      <c r="Z36" s="343"/>
      <c r="AA36" s="343"/>
      <c r="AB36" s="343"/>
      <c r="AC36" s="343"/>
      <c r="AD36" s="343"/>
      <c r="AE36" s="343"/>
      <c r="AF36" s="343"/>
      <c r="AG36" s="343"/>
      <c r="AH36" s="343"/>
      <c r="AI36" s="343"/>
      <c r="AJ36" s="343"/>
      <c r="AK36" s="343"/>
      <c r="AL36" s="343"/>
      <c r="AM36" s="343"/>
      <c r="AN36" s="343"/>
      <c r="AO36" s="343"/>
      <c r="AP36" s="343"/>
      <c r="AQ36" s="343"/>
      <c r="AR36" s="343"/>
      <c r="AS36" s="343"/>
      <c r="AT36" s="343"/>
      <c r="AU36" s="343"/>
      <c r="AV36" s="344"/>
    </row>
    <row r="37" spans="2:48">
      <c r="B37" s="361"/>
      <c r="C37" s="342" t="s">
        <v>329</v>
      </c>
      <c r="D37" s="343"/>
      <c r="E37" s="343"/>
      <c r="F37" s="343"/>
      <c r="G37" s="343"/>
      <c r="H37" s="343"/>
      <c r="I37" s="343"/>
      <c r="J37" s="343"/>
      <c r="K37" s="343"/>
      <c r="L37" s="343"/>
      <c r="M37" s="343"/>
      <c r="N37" s="343"/>
      <c r="O37" s="343"/>
      <c r="P37" s="343"/>
      <c r="Q37" s="343"/>
      <c r="R37" s="343"/>
      <c r="S37" s="343"/>
      <c r="T37" s="343"/>
      <c r="U37" s="343"/>
      <c r="V37" s="343"/>
      <c r="W37" s="343"/>
      <c r="X37" s="343"/>
      <c r="Y37" s="343"/>
      <c r="Z37" s="343"/>
      <c r="AA37" s="343"/>
      <c r="AB37" s="343"/>
      <c r="AC37" s="343"/>
      <c r="AD37" s="343"/>
      <c r="AE37" s="343"/>
      <c r="AF37" s="343"/>
      <c r="AG37" s="343"/>
      <c r="AH37" s="343"/>
      <c r="AI37" s="343"/>
      <c r="AJ37" s="343"/>
      <c r="AK37" s="343"/>
      <c r="AL37" s="343"/>
      <c r="AM37" s="343"/>
      <c r="AN37" s="343"/>
      <c r="AO37" s="343"/>
      <c r="AP37" s="343"/>
      <c r="AQ37" s="343"/>
      <c r="AR37" s="343"/>
      <c r="AS37" s="343"/>
      <c r="AT37" s="343"/>
      <c r="AU37" s="343"/>
      <c r="AV37" s="344"/>
    </row>
    <row r="38" spans="2:48">
      <c r="B38" s="361"/>
      <c r="C38" s="342" t="s">
        <v>330</v>
      </c>
      <c r="D38" s="343"/>
      <c r="E38" s="343"/>
      <c r="F38" s="343"/>
      <c r="G38" s="343"/>
      <c r="H38" s="343"/>
      <c r="I38" s="343"/>
      <c r="J38" s="343"/>
      <c r="K38" s="343"/>
      <c r="L38" s="343"/>
      <c r="M38" s="343"/>
      <c r="N38" s="343"/>
      <c r="O38" s="343"/>
      <c r="P38" s="343"/>
      <c r="Q38" s="343"/>
      <c r="R38" s="343"/>
      <c r="S38" s="343"/>
      <c r="T38" s="343"/>
      <c r="U38" s="343"/>
      <c r="V38" s="343"/>
      <c r="W38" s="343"/>
      <c r="X38" s="343"/>
      <c r="Y38" s="343"/>
      <c r="Z38" s="343"/>
      <c r="AA38" s="343"/>
      <c r="AB38" s="343"/>
      <c r="AC38" s="343"/>
      <c r="AD38" s="343"/>
      <c r="AE38" s="343"/>
      <c r="AF38" s="343"/>
      <c r="AG38" s="343"/>
      <c r="AH38" s="343"/>
      <c r="AI38" s="343"/>
      <c r="AJ38" s="343"/>
      <c r="AK38" s="343"/>
      <c r="AL38" s="343"/>
      <c r="AM38" s="343"/>
      <c r="AN38" s="343"/>
      <c r="AO38" s="343"/>
      <c r="AP38" s="343"/>
      <c r="AQ38" s="343"/>
      <c r="AR38" s="343"/>
      <c r="AS38" s="343"/>
      <c r="AT38" s="343"/>
      <c r="AU38" s="343"/>
      <c r="AV38" s="344"/>
    </row>
    <row r="39" spans="2:48">
      <c r="B39" s="361"/>
      <c r="C39" s="342" t="s">
        <v>52</v>
      </c>
      <c r="D39" s="343"/>
      <c r="E39" s="343"/>
      <c r="F39" s="343"/>
      <c r="G39" s="343"/>
      <c r="H39" s="343"/>
      <c r="I39" s="343"/>
      <c r="J39" s="343"/>
      <c r="K39" s="343"/>
      <c r="L39" s="343"/>
      <c r="M39" s="343"/>
      <c r="N39" s="343"/>
      <c r="O39" s="343"/>
      <c r="P39" s="343"/>
      <c r="Q39" s="343"/>
      <c r="R39" s="343"/>
      <c r="S39" s="343"/>
      <c r="T39" s="343"/>
      <c r="U39" s="343"/>
      <c r="V39" s="343"/>
      <c r="W39" s="343"/>
      <c r="X39" s="343"/>
      <c r="Y39" s="343"/>
      <c r="Z39" s="343"/>
      <c r="AA39" s="343"/>
      <c r="AB39" s="343"/>
      <c r="AC39" s="343"/>
      <c r="AD39" s="343"/>
      <c r="AE39" s="343"/>
      <c r="AF39" s="343"/>
      <c r="AG39" s="343"/>
      <c r="AH39" s="343"/>
      <c r="AI39" s="343"/>
      <c r="AJ39" s="343"/>
      <c r="AK39" s="343"/>
      <c r="AL39" s="343"/>
      <c r="AM39" s="343"/>
      <c r="AN39" s="343"/>
      <c r="AO39" s="343"/>
      <c r="AP39" s="343"/>
      <c r="AQ39" s="343"/>
      <c r="AR39" s="343"/>
      <c r="AS39" s="343"/>
      <c r="AT39" s="343"/>
      <c r="AU39" s="343"/>
      <c r="AV39" s="344"/>
    </row>
    <row r="40" spans="2:48">
      <c r="B40" s="361"/>
      <c r="C40" s="342" t="s">
        <v>331</v>
      </c>
      <c r="D40" s="343"/>
      <c r="E40" s="343"/>
      <c r="F40" s="343"/>
      <c r="G40" s="343"/>
      <c r="H40" s="343"/>
      <c r="I40" s="343"/>
      <c r="J40" s="343"/>
      <c r="K40" s="343"/>
      <c r="L40" s="343"/>
      <c r="M40" s="343"/>
      <c r="N40" s="343"/>
      <c r="O40" s="343"/>
      <c r="P40" s="343"/>
      <c r="Q40" s="343"/>
      <c r="R40" s="343"/>
      <c r="S40" s="343"/>
      <c r="T40" s="343"/>
      <c r="U40" s="343"/>
      <c r="V40" s="343"/>
      <c r="W40" s="343"/>
      <c r="X40" s="343"/>
      <c r="Y40" s="343"/>
      <c r="Z40" s="343"/>
      <c r="AA40" s="343"/>
      <c r="AB40" s="343"/>
      <c r="AC40" s="343"/>
      <c r="AD40" s="343"/>
      <c r="AE40" s="343"/>
      <c r="AF40" s="343"/>
      <c r="AG40" s="343"/>
      <c r="AH40" s="343"/>
      <c r="AI40" s="343"/>
      <c r="AJ40" s="343"/>
      <c r="AK40" s="343"/>
      <c r="AL40" s="343"/>
      <c r="AM40" s="343"/>
      <c r="AN40" s="343"/>
      <c r="AO40" s="343"/>
      <c r="AP40" s="343"/>
      <c r="AQ40" s="343"/>
      <c r="AR40" s="343"/>
      <c r="AS40" s="343"/>
      <c r="AT40" s="343"/>
      <c r="AU40" s="343"/>
      <c r="AV40" s="344"/>
    </row>
    <row r="41" spans="2:48">
      <c r="B41" s="362"/>
      <c r="C41" s="349" t="s">
        <v>332</v>
      </c>
      <c r="D41" s="350"/>
      <c r="E41" s="350"/>
      <c r="F41" s="350"/>
      <c r="G41" s="350"/>
      <c r="H41" s="350"/>
      <c r="I41" s="350"/>
      <c r="J41" s="350"/>
      <c r="K41" s="350"/>
      <c r="L41" s="350"/>
      <c r="M41" s="350"/>
      <c r="N41" s="350"/>
      <c r="O41" s="350"/>
      <c r="P41" s="350"/>
      <c r="Q41" s="350"/>
      <c r="R41" s="350"/>
      <c r="S41" s="350"/>
      <c r="T41" s="350"/>
      <c r="U41" s="350"/>
      <c r="V41" s="350"/>
      <c r="W41" s="350"/>
      <c r="X41" s="350"/>
      <c r="Y41" s="350"/>
      <c r="Z41" s="350"/>
      <c r="AA41" s="350"/>
      <c r="AB41" s="350"/>
      <c r="AC41" s="350"/>
      <c r="AD41" s="350"/>
      <c r="AE41" s="350"/>
      <c r="AF41" s="350"/>
      <c r="AG41" s="350"/>
      <c r="AH41" s="350"/>
      <c r="AI41" s="350"/>
      <c r="AJ41" s="350"/>
      <c r="AK41" s="350"/>
      <c r="AL41" s="350"/>
      <c r="AM41" s="350"/>
      <c r="AN41" s="350"/>
      <c r="AO41" s="350"/>
      <c r="AP41" s="350"/>
      <c r="AQ41" s="350"/>
      <c r="AR41" s="350"/>
      <c r="AS41" s="350"/>
      <c r="AT41" s="350"/>
      <c r="AU41" s="350"/>
      <c r="AV41" s="351"/>
    </row>
    <row r="42" spans="2:48">
      <c r="B42" s="360" t="s">
        <v>338</v>
      </c>
      <c r="C42" s="342" t="s">
        <v>51</v>
      </c>
      <c r="D42" s="343" t="e">
        <v>#NULL!</v>
      </c>
      <c r="E42" s="343" t="e">
        <v>#NULL!</v>
      </c>
      <c r="F42" s="343" t="e">
        <v>#NULL!</v>
      </c>
      <c r="G42" s="343" t="e">
        <v>#NULL!</v>
      </c>
      <c r="H42" s="343" t="e">
        <v>#NULL!</v>
      </c>
      <c r="I42" s="343" t="e">
        <v>#NULL!</v>
      </c>
      <c r="J42" s="343" t="e">
        <v>#NULL!</v>
      </c>
      <c r="K42" s="343" t="e">
        <v>#NULL!</v>
      </c>
      <c r="L42" s="343" t="e">
        <v>#NULL!</v>
      </c>
      <c r="M42" s="343" t="e">
        <v>#NULL!</v>
      </c>
      <c r="N42" s="343" t="e">
        <v>#NULL!</v>
      </c>
      <c r="O42" s="343" t="e">
        <v>#NULL!</v>
      </c>
      <c r="P42" s="343" t="e">
        <v>#NULL!</v>
      </c>
      <c r="Q42" s="343" t="e">
        <v>#NULL!</v>
      </c>
      <c r="R42" s="343" t="e">
        <v>#NULL!</v>
      </c>
      <c r="S42" s="343" t="e">
        <v>#NULL!</v>
      </c>
      <c r="T42" s="343" t="e">
        <v>#NULL!</v>
      </c>
      <c r="U42" s="343" t="e">
        <v>#NULL!</v>
      </c>
      <c r="V42" s="343" t="e">
        <v>#NULL!</v>
      </c>
      <c r="W42" s="343" t="e">
        <v>#NULL!</v>
      </c>
      <c r="X42" s="343" t="e">
        <v>#NULL!</v>
      </c>
      <c r="Y42" s="343" t="e">
        <v>#NULL!</v>
      </c>
      <c r="Z42" s="343" t="e">
        <v>#NULL!</v>
      </c>
      <c r="AA42" s="343" t="e">
        <v>#NULL!</v>
      </c>
      <c r="AB42" s="343" t="e">
        <v>#NULL!</v>
      </c>
      <c r="AC42" s="343" t="e">
        <v>#NULL!</v>
      </c>
      <c r="AD42" s="343" t="e">
        <v>#NULL!</v>
      </c>
      <c r="AE42" s="343" t="e">
        <v>#NULL!</v>
      </c>
      <c r="AF42" s="343" t="e">
        <v>#NULL!</v>
      </c>
      <c r="AG42" s="343" t="e">
        <v>#NULL!</v>
      </c>
      <c r="AH42" s="343" t="e">
        <v>#NULL!</v>
      </c>
      <c r="AI42" s="343" t="e">
        <v>#NULL!</v>
      </c>
      <c r="AJ42" s="343" t="e">
        <v>#NULL!</v>
      </c>
      <c r="AK42" s="343" t="e">
        <v>#NULL!</v>
      </c>
      <c r="AL42" s="343" t="e">
        <v>#NULL!</v>
      </c>
      <c r="AM42" s="343" t="e">
        <v>#NULL!</v>
      </c>
      <c r="AN42" s="343" t="e">
        <v>#NULL!</v>
      </c>
      <c r="AO42" s="343" t="e">
        <v>#NULL!</v>
      </c>
      <c r="AP42" s="343" t="e">
        <v>#NULL!</v>
      </c>
      <c r="AQ42" s="343" t="e">
        <v>#NULL!</v>
      </c>
      <c r="AR42" s="343" t="e">
        <v>#NULL!</v>
      </c>
      <c r="AS42" s="343" t="e">
        <v>#NULL!</v>
      </c>
      <c r="AT42" s="343" t="e">
        <v>#NULL!</v>
      </c>
      <c r="AU42" s="343" t="e">
        <v>#NULL!</v>
      </c>
      <c r="AV42" s="344" t="e">
        <v>#NULL!</v>
      </c>
    </row>
    <row r="43" spans="2:48">
      <c r="B43" s="361"/>
      <c r="C43" s="342" t="s">
        <v>327</v>
      </c>
      <c r="D43" s="346">
        <v>4.2749895198841106</v>
      </c>
      <c r="E43" s="346">
        <v>4.2799354878902021</v>
      </c>
      <c r="F43" s="346">
        <v>4.2848814558962935</v>
      </c>
      <c r="G43" s="346">
        <v>4.2898274239023859</v>
      </c>
      <c r="H43" s="346">
        <v>4.2947733919084774</v>
      </c>
      <c r="I43" s="346">
        <v>4.2997193599145689</v>
      </c>
      <c r="J43" s="346">
        <v>4.3046653279206621</v>
      </c>
      <c r="K43" s="346">
        <v>4.3096112959267545</v>
      </c>
      <c r="L43" s="346">
        <v>4.314557263932846</v>
      </c>
      <c r="M43" s="346">
        <v>4.3195032319389393</v>
      </c>
      <c r="N43" s="346">
        <v>4.3244491999450299</v>
      </c>
      <c r="O43" s="346">
        <v>4.3293951679511222</v>
      </c>
      <c r="P43" s="346">
        <v>4.3343411359572137</v>
      </c>
      <c r="Q43" s="346">
        <v>4.2409209800327377</v>
      </c>
      <c r="R43" s="346">
        <v>4.2683035819583237</v>
      </c>
      <c r="S43" s="346">
        <v>4.2903919441329128</v>
      </c>
      <c r="T43" s="346">
        <v>4.3356502002445358</v>
      </c>
      <c r="U43" s="346">
        <v>4.3511562061870137</v>
      </c>
      <c r="V43" s="346">
        <v>4.4307682858091244</v>
      </c>
      <c r="W43" s="346">
        <v>4.426344942421145</v>
      </c>
      <c r="X43" s="346">
        <v>4.4692173475661745</v>
      </c>
      <c r="Y43" s="346">
        <v>4.5335786141335772</v>
      </c>
      <c r="Z43" s="346">
        <v>4.5219572110382362</v>
      </c>
      <c r="AA43" s="346">
        <v>4.424530237441461</v>
      </c>
      <c r="AB43" s="346">
        <v>4.409024231498984</v>
      </c>
      <c r="AC43" s="346">
        <v>4.3619553210884359</v>
      </c>
      <c r="AD43" s="346">
        <v>4.2937459078007212</v>
      </c>
      <c r="AE43" s="346">
        <v>4.2510881887358769</v>
      </c>
      <c r="AF43" s="346">
        <v>4.2612918535658402</v>
      </c>
      <c r="AG43" s="346">
        <v>4.2342092305694488</v>
      </c>
      <c r="AH43" s="346">
        <v>4.2123168459793678</v>
      </c>
      <c r="AI43" s="346">
        <v>4.1943402416579119</v>
      </c>
      <c r="AJ43" s="346">
        <v>4.1824902471859637</v>
      </c>
      <c r="AK43" s="346">
        <v>4.1481153528774293</v>
      </c>
      <c r="AL43" s="346">
        <v>4.111043045768894</v>
      </c>
      <c r="AM43" s="346">
        <v>4.0796569076945755</v>
      </c>
      <c r="AN43" s="346">
        <v>4.0479883206615845</v>
      </c>
      <c r="AO43" s="346">
        <v>4.0244962252582646</v>
      </c>
      <c r="AP43" s="346">
        <v>4.0092533672535398</v>
      </c>
      <c r="AQ43" s="346">
        <v>3.9969448698120145</v>
      </c>
      <c r="AR43" s="346">
        <v>3.9885264792517141</v>
      </c>
      <c r="AS43" s="310">
        <v>3.9885264792517141</v>
      </c>
      <c r="AT43" s="310" t="e">
        <v>#NULL!</v>
      </c>
      <c r="AU43" s="310" t="e">
        <v>#NULL!</v>
      </c>
      <c r="AV43" s="347" t="e">
        <v>#NULL!</v>
      </c>
    </row>
    <row r="44" spans="2:48">
      <c r="B44" s="361"/>
      <c r="C44" s="342" t="s">
        <v>328</v>
      </c>
      <c r="D44" s="343"/>
      <c r="E44" s="343"/>
      <c r="F44" s="343"/>
      <c r="G44" s="343"/>
      <c r="H44" s="343"/>
      <c r="I44" s="343"/>
      <c r="J44" s="343"/>
      <c r="K44" s="343"/>
      <c r="L44" s="343"/>
      <c r="M44" s="343"/>
      <c r="N44" s="343"/>
      <c r="O44" s="343"/>
      <c r="P44" s="343"/>
      <c r="Q44" s="343"/>
      <c r="R44" s="343"/>
      <c r="S44" s="343"/>
      <c r="T44" s="343"/>
      <c r="U44" s="343"/>
      <c r="V44" s="343"/>
      <c r="W44" s="343"/>
      <c r="X44" s="343"/>
      <c r="Y44" s="343"/>
      <c r="Z44" s="343"/>
      <c r="AA44" s="343"/>
      <c r="AB44" s="343"/>
      <c r="AC44" s="343"/>
      <c r="AD44" s="343"/>
      <c r="AE44" s="343"/>
      <c r="AF44" s="343"/>
      <c r="AG44" s="343"/>
      <c r="AH44" s="343"/>
      <c r="AI44" s="343"/>
      <c r="AJ44" s="343"/>
      <c r="AK44" s="343"/>
      <c r="AL44" s="343"/>
      <c r="AM44" s="343"/>
      <c r="AN44" s="343"/>
      <c r="AO44" s="343"/>
      <c r="AP44" s="343"/>
      <c r="AQ44" s="343"/>
      <c r="AR44" s="343"/>
      <c r="AS44" s="343"/>
      <c r="AT44" s="343"/>
      <c r="AU44" s="343"/>
      <c r="AV44" s="344"/>
    </row>
    <row r="45" spans="2:48">
      <c r="B45" s="361"/>
      <c r="C45" s="342" t="s">
        <v>329</v>
      </c>
      <c r="D45" s="343"/>
      <c r="E45" s="343"/>
      <c r="F45" s="343"/>
      <c r="G45" s="343"/>
      <c r="H45" s="343"/>
      <c r="I45" s="343"/>
      <c r="J45" s="343"/>
      <c r="K45" s="343"/>
      <c r="L45" s="343"/>
      <c r="M45" s="343"/>
      <c r="N45" s="343"/>
      <c r="O45" s="343"/>
      <c r="P45" s="343"/>
      <c r="Q45" s="343"/>
      <c r="R45" s="343"/>
      <c r="S45" s="343"/>
      <c r="T45" s="343"/>
      <c r="U45" s="343"/>
      <c r="V45" s="343"/>
      <c r="W45" s="343"/>
      <c r="X45" s="343"/>
      <c r="Y45" s="343"/>
      <c r="Z45" s="343"/>
      <c r="AA45" s="343"/>
      <c r="AB45" s="343"/>
      <c r="AC45" s="343"/>
      <c r="AD45" s="343"/>
      <c r="AE45" s="343"/>
      <c r="AF45" s="343"/>
      <c r="AG45" s="343"/>
      <c r="AH45" s="343"/>
      <c r="AI45" s="343"/>
      <c r="AJ45" s="343"/>
      <c r="AK45" s="343"/>
      <c r="AL45" s="343"/>
      <c r="AM45" s="343"/>
      <c r="AN45" s="343"/>
      <c r="AO45" s="343"/>
      <c r="AP45" s="343"/>
      <c r="AQ45" s="343"/>
      <c r="AR45" s="343"/>
      <c r="AS45" s="343"/>
      <c r="AT45" s="343"/>
      <c r="AU45" s="343"/>
      <c r="AV45" s="344"/>
    </row>
    <row r="46" spans="2:48">
      <c r="B46" s="361"/>
      <c r="C46" s="342" t="s">
        <v>52</v>
      </c>
      <c r="D46" s="343"/>
      <c r="E46" s="343"/>
      <c r="F46" s="343"/>
      <c r="G46" s="343"/>
      <c r="H46" s="343"/>
      <c r="I46" s="343"/>
      <c r="J46" s="343"/>
      <c r="K46" s="343"/>
      <c r="L46" s="343"/>
      <c r="M46" s="343"/>
      <c r="N46" s="343"/>
      <c r="O46" s="343"/>
      <c r="P46" s="343"/>
      <c r="Q46" s="343"/>
      <c r="R46" s="343"/>
      <c r="S46" s="343"/>
      <c r="T46" s="343"/>
      <c r="U46" s="343"/>
      <c r="V46" s="343"/>
      <c r="W46" s="343"/>
      <c r="X46" s="343"/>
      <c r="Y46" s="343"/>
      <c r="Z46" s="343"/>
      <c r="AA46" s="343"/>
      <c r="AB46" s="343"/>
      <c r="AC46" s="343"/>
      <c r="AD46" s="343"/>
      <c r="AE46" s="343"/>
      <c r="AF46" s="343"/>
      <c r="AG46" s="343"/>
      <c r="AH46" s="343"/>
      <c r="AI46" s="343"/>
      <c r="AJ46" s="343"/>
      <c r="AK46" s="343"/>
      <c r="AL46" s="343"/>
      <c r="AM46" s="343"/>
      <c r="AN46" s="343"/>
      <c r="AO46" s="343"/>
      <c r="AP46" s="343"/>
      <c r="AQ46" s="343"/>
      <c r="AR46" s="343"/>
      <c r="AS46" s="343"/>
      <c r="AT46" s="343"/>
      <c r="AU46" s="343"/>
      <c r="AV46" s="344"/>
    </row>
    <row r="47" spans="2:48">
      <c r="B47" s="361"/>
      <c r="C47" s="342" t="s">
        <v>331</v>
      </c>
      <c r="D47" s="343"/>
      <c r="E47" s="343"/>
      <c r="F47" s="343"/>
      <c r="G47" s="343"/>
      <c r="H47" s="343"/>
      <c r="I47" s="343"/>
      <c r="J47" s="343"/>
      <c r="K47" s="343"/>
      <c r="L47" s="343"/>
      <c r="M47" s="343"/>
      <c r="N47" s="343"/>
      <c r="O47" s="343"/>
      <c r="P47" s="343"/>
      <c r="Q47" s="343"/>
      <c r="R47" s="343"/>
      <c r="S47" s="343"/>
      <c r="T47" s="343"/>
      <c r="U47" s="343"/>
      <c r="V47" s="343"/>
      <c r="W47" s="343"/>
      <c r="X47" s="343"/>
      <c r="Y47" s="343"/>
      <c r="Z47" s="343"/>
      <c r="AA47" s="343"/>
      <c r="AB47" s="343"/>
      <c r="AC47" s="343"/>
      <c r="AD47" s="343"/>
      <c r="AE47" s="343"/>
      <c r="AF47" s="343"/>
      <c r="AG47" s="343"/>
      <c r="AH47" s="343"/>
      <c r="AI47" s="343"/>
      <c r="AJ47" s="343"/>
      <c r="AK47" s="343"/>
      <c r="AL47" s="343"/>
      <c r="AM47" s="343"/>
      <c r="AN47" s="343"/>
      <c r="AO47" s="343"/>
      <c r="AP47" s="343"/>
      <c r="AQ47" s="343"/>
      <c r="AR47" s="343"/>
      <c r="AS47" s="343"/>
      <c r="AT47" s="343"/>
      <c r="AU47" s="343"/>
      <c r="AV47" s="344"/>
    </row>
    <row r="48" spans="2:48">
      <c r="B48" s="362"/>
      <c r="C48" s="349" t="s">
        <v>332</v>
      </c>
      <c r="D48" s="350"/>
      <c r="E48" s="350"/>
      <c r="F48" s="350"/>
      <c r="G48" s="350"/>
      <c r="H48" s="350"/>
      <c r="I48" s="350"/>
      <c r="J48" s="350"/>
      <c r="K48" s="350"/>
      <c r="L48" s="350"/>
      <c r="M48" s="350"/>
      <c r="N48" s="350"/>
      <c r="O48" s="350"/>
      <c r="P48" s="350"/>
      <c r="Q48" s="350"/>
      <c r="R48" s="350"/>
      <c r="S48" s="350"/>
      <c r="T48" s="350"/>
      <c r="U48" s="350"/>
      <c r="V48" s="350"/>
      <c r="W48" s="350"/>
      <c r="X48" s="350"/>
      <c r="Y48" s="350"/>
      <c r="Z48" s="350"/>
      <c r="AA48" s="350"/>
      <c r="AB48" s="350"/>
      <c r="AC48" s="350"/>
      <c r="AD48" s="350"/>
      <c r="AE48" s="350"/>
      <c r="AF48" s="350"/>
      <c r="AG48" s="350"/>
      <c r="AH48" s="350"/>
      <c r="AI48" s="350"/>
      <c r="AJ48" s="350"/>
      <c r="AK48" s="350"/>
      <c r="AL48" s="350"/>
      <c r="AM48" s="350"/>
      <c r="AN48" s="350"/>
      <c r="AO48" s="350"/>
      <c r="AP48" s="350"/>
      <c r="AQ48" s="350"/>
      <c r="AR48" s="350"/>
      <c r="AS48" s="350"/>
      <c r="AT48" s="350"/>
      <c r="AU48" s="350"/>
      <c r="AV48" s="351"/>
    </row>
    <row r="49" spans="2:48">
      <c r="B49" s="360" t="s">
        <v>339</v>
      </c>
      <c r="C49" s="342" t="s">
        <v>51</v>
      </c>
      <c r="D49" s="343" t="e">
        <v>#NULL!</v>
      </c>
      <c r="E49" s="343" t="e">
        <v>#NULL!</v>
      </c>
      <c r="F49" s="343" t="e">
        <v>#NULL!</v>
      </c>
      <c r="G49" s="343" t="e">
        <v>#NULL!</v>
      </c>
      <c r="H49" s="343" t="e">
        <v>#NULL!</v>
      </c>
      <c r="I49" s="343" t="e">
        <v>#NULL!</v>
      </c>
      <c r="J49" s="343" t="e">
        <v>#NULL!</v>
      </c>
      <c r="K49" s="343" t="e">
        <v>#NULL!</v>
      </c>
      <c r="L49" s="343" t="e">
        <v>#NULL!</v>
      </c>
      <c r="M49" s="343" t="e">
        <v>#NULL!</v>
      </c>
      <c r="N49" s="343" t="e">
        <v>#NULL!</v>
      </c>
      <c r="O49" s="343" t="e">
        <v>#NULL!</v>
      </c>
      <c r="P49" s="343" t="e">
        <v>#NULL!</v>
      </c>
      <c r="Q49" s="343" t="e">
        <v>#NULL!</v>
      </c>
      <c r="R49" s="343" t="e">
        <v>#NULL!</v>
      </c>
      <c r="S49" s="343" t="e">
        <v>#NULL!</v>
      </c>
      <c r="T49" s="343" t="e">
        <v>#NULL!</v>
      </c>
      <c r="U49" s="343" t="e">
        <v>#NULL!</v>
      </c>
      <c r="V49" s="343" t="e">
        <v>#NULL!</v>
      </c>
      <c r="W49" s="343" t="e">
        <v>#NULL!</v>
      </c>
      <c r="X49" s="343" t="e">
        <v>#NULL!</v>
      </c>
      <c r="Y49" s="343" t="e">
        <v>#NULL!</v>
      </c>
      <c r="Z49" s="343" t="e">
        <v>#NULL!</v>
      </c>
      <c r="AA49" s="343" t="e">
        <v>#NULL!</v>
      </c>
      <c r="AB49" s="343" t="e">
        <v>#NULL!</v>
      </c>
      <c r="AC49" s="343" t="e">
        <v>#NULL!</v>
      </c>
      <c r="AD49" s="343" t="e">
        <v>#NULL!</v>
      </c>
      <c r="AE49" s="343" t="e">
        <v>#NULL!</v>
      </c>
      <c r="AF49" s="343" t="e">
        <v>#NULL!</v>
      </c>
      <c r="AG49" s="343" t="e">
        <v>#NULL!</v>
      </c>
      <c r="AH49" s="343" t="e">
        <v>#NULL!</v>
      </c>
      <c r="AI49" s="343" t="e">
        <v>#NULL!</v>
      </c>
      <c r="AJ49" s="343" t="e">
        <v>#NULL!</v>
      </c>
      <c r="AK49" s="343" t="e">
        <v>#NULL!</v>
      </c>
      <c r="AL49" s="343" t="e">
        <v>#NULL!</v>
      </c>
      <c r="AM49" s="343" t="e">
        <v>#NULL!</v>
      </c>
      <c r="AN49" s="343" t="e">
        <v>#NULL!</v>
      </c>
      <c r="AO49" s="343" t="e">
        <v>#NULL!</v>
      </c>
      <c r="AP49" s="343" t="e">
        <v>#NULL!</v>
      </c>
      <c r="AQ49" s="343" t="e">
        <v>#NULL!</v>
      </c>
      <c r="AR49" s="343" t="e">
        <v>#NULL!</v>
      </c>
      <c r="AS49" s="343" t="e">
        <v>#NULL!</v>
      </c>
      <c r="AT49" s="343" t="e">
        <v>#NULL!</v>
      </c>
      <c r="AU49" s="343" t="e">
        <v>#NULL!</v>
      </c>
      <c r="AV49" s="344" t="e">
        <v>#NULL!</v>
      </c>
    </row>
    <row r="50" spans="2:48">
      <c r="B50" s="360"/>
      <c r="C50" s="342" t="s">
        <v>327</v>
      </c>
      <c r="D50" s="363">
        <v>10.544078417387906</v>
      </c>
      <c r="E50" s="363">
        <v>10.556277435482231</v>
      </c>
      <c r="F50" s="363">
        <v>10.568476453576558</v>
      </c>
      <c r="G50" s="363">
        <v>10.580675471670885</v>
      </c>
      <c r="H50" s="363">
        <v>10.592874489765213</v>
      </c>
      <c r="I50" s="363">
        <v>10.605073507859538</v>
      </c>
      <c r="J50" s="363">
        <v>10.617272525953867</v>
      </c>
      <c r="K50" s="363">
        <v>10.629471544048197</v>
      </c>
      <c r="L50" s="363">
        <v>10.641670562142522</v>
      </c>
      <c r="M50" s="363">
        <v>10.653869580236851</v>
      </c>
      <c r="N50" s="363">
        <v>10.666068598331176</v>
      </c>
      <c r="O50" s="363">
        <v>10.678267616425504</v>
      </c>
      <c r="P50" s="363">
        <v>10.690466634519831</v>
      </c>
      <c r="Q50" s="363">
        <v>10.460049824080729</v>
      </c>
      <c r="R50" s="363">
        <v>10.527587838064756</v>
      </c>
      <c r="S50" s="363">
        <v>10.582067836623173</v>
      </c>
      <c r="T50" s="363">
        <v>10.693695385475763</v>
      </c>
      <c r="U50" s="363">
        <v>10.731940284518791</v>
      </c>
      <c r="V50" s="363">
        <v>10.928300066596016</v>
      </c>
      <c r="W50" s="363">
        <v>10.917390079721674</v>
      </c>
      <c r="X50" s="363">
        <v>11.023133029426839</v>
      </c>
      <c r="Y50" s="363">
        <v>11.181877334780713</v>
      </c>
      <c r="Z50" s="363">
        <v>11.153213642159386</v>
      </c>
      <c r="AA50" s="363">
        <v>10.91291418767066</v>
      </c>
      <c r="AB50" s="363">
        <v>10.874669288627635</v>
      </c>
      <c r="AC50" s="363">
        <v>10.758575838554503</v>
      </c>
      <c r="AD50" s="363">
        <v>10.590340244253168</v>
      </c>
      <c r="AE50" s="363">
        <v>10.485126808562963</v>
      </c>
      <c r="AF50" s="363">
        <v>10.510293710519438</v>
      </c>
      <c r="AG50" s="363">
        <v>10.275025760168333</v>
      </c>
      <c r="AH50" s="363">
        <v>10.484040295492044</v>
      </c>
      <c r="AI50" s="363">
        <v>10.427828013348474</v>
      </c>
      <c r="AJ50" s="363">
        <v>10.39462965105783</v>
      </c>
      <c r="AK50" s="363">
        <v>10.290192343901257</v>
      </c>
      <c r="AL50" s="363">
        <v>10.078666485119003</v>
      </c>
      <c r="AM50" s="363">
        <v>10.202909620353303</v>
      </c>
      <c r="AN50" s="346">
        <v>10.300322142250486</v>
      </c>
      <c r="AO50" s="346">
        <v>9.8490166666123322</v>
      </c>
      <c r="AP50" s="346">
        <v>10.2556113817535</v>
      </c>
      <c r="AQ50" s="346">
        <v>10.321493772557584</v>
      </c>
      <c r="AR50" s="364">
        <v>10.321493772557584</v>
      </c>
      <c r="AS50" s="310">
        <v>10.321493772557584</v>
      </c>
      <c r="AT50" s="310" t="e">
        <v>#NULL!</v>
      </c>
      <c r="AU50" s="310" t="e">
        <v>#NULL!</v>
      </c>
      <c r="AV50" s="347" t="e">
        <v>#NULL!</v>
      </c>
    </row>
    <row r="51" spans="2:48">
      <c r="B51" s="360"/>
      <c r="C51" s="342" t="s">
        <v>328</v>
      </c>
      <c r="D51" s="343"/>
      <c r="E51" s="343"/>
      <c r="F51" s="343"/>
      <c r="G51" s="343"/>
      <c r="H51" s="343"/>
      <c r="I51" s="343"/>
      <c r="J51" s="343"/>
      <c r="K51" s="343"/>
      <c r="L51" s="343"/>
      <c r="M51" s="343"/>
      <c r="N51" s="343"/>
      <c r="O51" s="343"/>
      <c r="P51" s="343"/>
      <c r="Q51" s="343"/>
      <c r="R51" s="343"/>
      <c r="S51" s="343"/>
      <c r="T51" s="343"/>
      <c r="U51" s="343"/>
      <c r="V51" s="343"/>
      <c r="W51" s="343"/>
      <c r="X51" s="343"/>
      <c r="Y51" s="343"/>
      <c r="Z51" s="343"/>
      <c r="AA51" s="343"/>
      <c r="AB51" s="343"/>
      <c r="AC51" s="343"/>
      <c r="AD51" s="343"/>
      <c r="AE51" s="343"/>
      <c r="AF51" s="343"/>
      <c r="AG51" s="343"/>
      <c r="AH51" s="343"/>
      <c r="AI51" s="343"/>
      <c r="AJ51" s="343"/>
      <c r="AK51" s="343"/>
      <c r="AL51" s="343"/>
      <c r="AM51" s="343"/>
      <c r="AN51" s="310"/>
      <c r="AO51" s="310"/>
      <c r="AP51" s="310"/>
      <c r="AQ51" s="310"/>
      <c r="AR51" s="310"/>
      <c r="AS51" s="310"/>
      <c r="AT51" s="310"/>
      <c r="AU51" s="310"/>
      <c r="AV51" s="347"/>
    </row>
    <row r="52" spans="2:48">
      <c r="B52" s="360"/>
      <c r="C52" s="342" t="s">
        <v>329</v>
      </c>
      <c r="D52" s="343"/>
      <c r="E52" s="343"/>
      <c r="F52" s="343"/>
      <c r="G52" s="343"/>
      <c r="H52" s="343"/>
      <c r="I52" s="343"/>
      <c r="J52" s="343"/>
      <c r="K52" s="343"/>
      <c r="L52" s="343"/>
      <c r="M52" s="343"/>
      <c r="N52" s="343"/>
      <c r="O52" s="343"/>
      <c r="P52" s="343"/>
      <c r="Q52" s="343"/>
      <c r="R52" s="343"/>
      <c r="S52" s="343"/>
      <c r="T52" s="343"/>
      <c r="U52" s="343"/>
      <c r="V52" s="343"/>
      <c r="W52" s="343"/>
      <c r="X52" s="343"/>
      <c r="Y52" s="343"/>
      <c r="Z52" s="343"/>
      <c r="AA52" s="343"/>
      <c r="AB52" s="343"/>
      <c r="AC52" s="343"/>
      <c r="AD52" s="343"/>
      <c r="AE52" s="343"/>
      <c r="AF52" s="343"/>
      <c r="AG52" s="343"/>
      <c r="AH52" s="343"/>
      <c r="AI52" s="343"/>
      <c r="AJ52" s="343"/>
      <c r="AK52" s="343"/>
      <c r="AL52" s="343"/>
      <c r="AM52" s="343"/>
      <c r="AN52" s="310"/>
      <c r="AO52" s="310"/>
      <c r="AP52" s="310"/>
      <c r="AQ52" s="310"/>
      <c r="AR52" s="310"/>
      <c r="AS52" s="310"/>
      <c r="AT52" s="310"/>
      <c r="AU52" s="310"/>
      <c r="AV52" s="347"/>
    </row>
    <row r="53" spans="2:48">
      <c r="B53" s="360"/>
      <c r="C53" s="342" t="s">
        <v>52</v>
      </c>
      <c r="D53" s="343"/>
      <c r="E53" s="343"/>
      <c r="F53" s="343"/>
      <c r="G53" s="343"/>
      <c r="H53" s="343"/>
      <c r="I53" s="343"/>
      <c r="J53" s="343"/>
      <c r="K53" s="343"/>
      <c r="L53" s="343"/>
      <c r="M53" s="343"/>
      <c r="N53" s="343"/>
      <c r="O53" s="343"/>
      <c r="P53" s="343"/>
      <c r="Q53" s="343"/>
      <c r="R53" s="343"/>
      <c r="S53" s="343"/>
      <c r="T53" s="343"/>
      <c r="U53" s="343"/>
      <c r="V53" s="343"/>
      <c r="W53" s="343"/>
      <c r="X53" s="343"/>
      <c r="Y53" s="343"/>
      <c r="Z53" s="343"/>
      <c r="AA53" s="343"/>
      <c r="AB53" s="343"/>
      <c r="AC53" s="343"/>
      <c r="AD53" s="343"/>
      <c r="AE53" s="343"/>
      <c r="AF53" s="343"/>
      <c r="AG53" s="343"/>
      <c r="AH53" s="343"/>
      <c r="AI53" s="343"/>
      <c r="AJ53" s="343"/>
      <c r="AK53" s="343"/>
      <c r="AL53" s="343"/>
      <c r="AM53" s="343"/>
      <c r="AN53" s="310"/>
      <c r="AO53" s="310"/>
      <c r="AP53" s="310"/>
      <c r="AQ53" s="310"/>
      <c r="AR53" s="310"/>
      <c r="AS53" s="310"/>
      <c r="AT53" s="310"/>
      <c r="AU53" s="310"/>
      <c r="AV53" s="347"/>
    </row>
    <row r="54" spans="2:48">
      <c r="B54" s="360"/>
      <c r="C54" s="342" t="s">
        <v>331</v>
      </c>
      <c r="D54" s="343"/>
      <c r="E54" s="343"/>
      <c r="F54" s="343"/>
      <c r="G54" s="343"/>
      <c r="H54" s="343"/>
      <c r="I54" s="343"/>
      <c r="J54" s="343"/>
      <c r="K54" s="343"/>
      <c r="L54" s="343"/>
      <c r="M54" s="343"/>
      <c r="N54" s="343"/>
      <c r="O54" s="343"/>
      <c r="P54" s="343"/>
      <c r="Q54" s="343"/>
      <c r="R54" s="343"/>
      <c r="S54" s="343"/>
      <c r="T54" s="343"/>
      <c r="U54" s="343"/>
      <c r="V54" s="343"/>
      <c r="W54" s="343"/>
      <c r="X54" s="343"/>
      <c r="Y54" s="343"/>
      <c r="Z54" s="343"/>
      <c r="AA54" s="343"/>
      <c r="AB54" s="343"/>
      <c r="AC54" s="343"/>
      <c r="AD54" s="343"/>
      <c r="AE54" s="343"/>
      <c r="AF54" s="343"/>
      <c r="AG54" s="343"/>
      <c r="AH54" s="343"/>
      <c r="AI54" s="343"/>
      <c r="AJ54" s="343"/>
      <c r="AK54" s="343"/>
      <c r="AL54" s="343"/>
      <c r="AM54" s="343"/>
      <c r="AN54" s="310"/>
      <c r="AO54" s="310"/>
      <c r="AP54" s="310"/>
      <c r="AQ54" s="310"/>
      <c r="AR54" s="310"/>
      <c r="AS54" s="310"/>
      <c r="AT54" s="310"/>
      <c r="AU54" s="310"/>
      <c r="AV54" s="347"/>
    </row>
    <row r="55" spans="2:48">
      <c r="B55" s="365"/>
      <c r="C55" s="349" t="s">
        <v>332</v>
      </c>
      <c r="D55" s="350"/>
      <c r="E55" s="350"/>
      <c r="F55" s="350"/>
      <c r="G55" s="350"/>
      <c r="H55" s="350"/>
      <c r="I55" s="350"/>
      <c r="J55" s="350"/>
      <c r="K55" s="350"/>
      <c r="L55" s="350"/>
      <c r="M55" s="350"/>
      <c r="N55" s="350"/>
      <c r="O55" s="350"/>
      <c r="P55" s="350"/>
      <c r="Q55" s="350"/>
      <c r="R55" s="350"/>
      <c r="S55" s="350"/>
      <c r="T55" s="350"/>
      <c r="U55" s="350"/>
      <c r="V55" s="350"/>
      <c r="W55" s="350"/>
      <c r="X55" s="350"/>
      <c r="Y55" s="350"/>
      <c r="Z55" s="350"/>
      <c r="AA55" s="350"/>
      <c r="AB55" s="350"/>
      <c r="AC55" s="350"/>
      <c r="AD55" s="350"/>
      <c r="AE55" s="350"/>
      <c r="AF55" s="350"/>
      <c r="AG55" s="350"/>
      <c r="AH55" s="350"/>
      <c r="AI55" s="350"/>
      <c r="AJ55" s="350"/>
      <c r="AK55" s="350"/>
      <c r="AL55" s="350"/>
      <c r="AM55" s="350"/>
      <c r="AN55" s="311"/>
      <c r="AO55" s="311"/>
      <c r="AP55" s="311"/>
      <c r="AQ55" s="311"/>
      <c r="AR55" s="311"/>
      <c r="AS55" s="311"/>
      <c r="AT55" s="311"/>
      <c r="AU55" s="311"/>
      <c r="AV55" s="352"/>
    </row>
    <row r="56" spans="2:48">
      <c r="B56" s="360" t="s">
        <v>351</v>
      </c>
      <c r="C56" s="342" t="s">
        <v>327</v>
      </c>
      <c r="D56" s="366">
        <v>53.598847535636629</v>
      </c>
      <c r="E56" s="367">
        <v>53.598847535636629</v>
      </c>
      <c r="F56" s="367">
        <v>53.598847535636629</v>
      </c>
      <c r="G56" s="367">
        <v>53.598847535636629</v>
      </c>
      <c r="H56" s="367">
        <v>53.598847535636629</v>
      </c>
      <c r="I56" s="367">
        <v>53.598847535636629</v>
      </c>
      <c r="J56" s="367">
        <v>53.598847535636629</v>
      </c>
      <c r="K56" s="367">
        <v>53.598847535636629</v>
      </c>
      <c r="L56" s="367">
        <v>53.598847535636629</v>
      </c>
      <c r="M56" s="367">
        <v>53.598847535636629</v>
      </c>
      <c r="N56" s="367">
        <v>53.598847535636629</v>
      </c>
      <c r="O56" s="367">
        <v>53.598847535636629</v>
      </c>
      <c r="P56" s="367">
        <v>53.598847535636629</v>
      </c>
      <c r="Q56" s="367">
        <v>53.598847535636629</v>
      </c>
      <c r="R56" s="367">
        <v>53.598847535636629</v>
      </c>
      <c r="S56" s="367">
        <v>53.598847535636629</v>
      </c>
      <c r="T56" s="367">
        <v>53.598847535636629</v>
      </c>
      <c r="U56" s="367">
        <v>53.598847535636629</v>
      </c>
      <c r="V56" s="367">
        <v>53.598847535636629</v>
      </c>
      <c r="W56" s="367">
        <v>53.598847535636629</v>
      </c>
      <c r="X56" s="367">
        <v>53.598847535636629</v>
      </c>
      <c r="Y56" s="367">
        <v>53.598847535636629</v>
      </c>
      <c r="Z56" s="367">
        <v>53.598847535636629</v>
      </c>
      <c r="AA56" s="367">
        <v>53.598847535636629</v>
      </c>
      <c r="AB56" s="367">
        <v>53.598847535636629</v>
      </c>
      <c r="AC56" s="368">
        <v>53.237333137611984</v>
      </c>
      <c r="AD56" s="368">
        <v>52.875818739587345</v>
      </c>
      <c r="AE56" s="368">
        <v>52.514304341562706</v>
      </c>
      <c r="AF56" s="367">
        <v>52.152789943538068</v>
      </c>
      <c r="AG56" s="368">
        <v>52.531181058706167</v>
      </c>
      <c r="AH56" s="368">
        <v>52.909572173874253</v>
      </c>
      <c r="AI56" s="368">
        <v>53.287963289042338</v>
      </c>
      <c r="AJ56" s="368">
        <v>53.666354404210423</v>
      </c>
      <c r="AK56" s="367">
        <v>54.044745519378509</v>
      </c>
      <c r="AL56" s="367">
        <v>54.044745519378509</v>
      </c>
      <c r="AM56" s="367">
        <v>54.044745519378509</v>
      </c>
      <c r="AN56" s="310">
        <v>54.044745519378509</v>
      </c>
      <c r="AO56" s="310">
        <v>54.044745519378509</v>
      </c>
      <c r="AP56" s="310">
        <v>54.044745519378509</v>
      </c>
      <c r="AQ56" s="310">
        <v>54.044745519378509</v>
      </c>
      <c r="AR56" s="310">
        <v>54.044745519378509</v>
      </c>
      <c r="AS56" s="310">
        <v>54.044745519378509</v>
      </c>
      <c r="AT56" s="310" t="e">
        <v>#NULL!</v>
      </c>
      <c r="AU56" s="310" t="e">
        <v>#NULL!</v>
      </c>
      <c r="AV56" s="347" t="e">
        <v>#NULL!</v>
      </c>
    </row>
    <row r="57" spans="2:48">
      <c r="B57" s="360"/>
      <c r="C57" s="342" t="s">
        <v>52</v>
      </c>
      <c r="D57" s="367"/>
      <c r="E57" s="367"/>
      <c r="F57" s="367"/>
      <c r="G57" s="367"/>
      <c r="H57" s="367"/>
      <c r="I57" s="367"/>
      <c r="J57" s="367"/>
      <c r="K57" s="367"/>
      <c r="L57" s="367"/>
      <c r="M57" s="367"/>
      <c r="N57" s="367"/>
      <c r="O57" s="367"/>
      <c r="P57" s="367"/>
      <c r="Q57" s="367"/>
      <c r="R57" s="367"/>
      <c r="S57" s="367"/>
      <c r="T57" s="367"/>
      <c r="U57" s="367"/>
      <c r="V57" s="367"/>
      <c r="W57" s="367"/>
      <c r="X57" s="367"/>
      <c r="Y57" s="367"/>
      <c r="Z57" s="367"/>
      <c r="AA57" s="367"/>
      <c r="AB57" s="369"/>
      <c r="AC57" s="368"/>
      <c r="AD57" s="368"/>
      <c r="AE57" s="368"/>
      <c r="AF57" s="369"/>
      <c r="AG57" s="368"/>
      <c r="AH57" s="368"/>
      <c r="AI57" s="368"/>
      <c r="AJ57" s="368"/>
      <c r="AK57" s="369"/>
      <c r="AL57" s="367"/>
      <c r="AM57" s="369"/>
      <c r="AN57" s="310"/>
      <c r="AO57" s="310"/>
      <c r="AP57" s="310"/>
      <c r="AQ57" s="310"/>
      <c r="AR57" s="310"/>
      <c r="AS57" s="310"/>
      <c r="AT57" s="310"/>
      <c r="AU57" s="310"/>
      <c r="AV57" s="347"/>
    </row>
    <row r="58" spans="2:48">
      <c r="B58" s="360"/>
      <c r="C58" s="342" t="s">
        <v>331</v>
      </c>
      <c r="D58" s="366">
        <v>35.838984740171519</v>
      </c>
      <c r="E58" s="367">
        <v>35.838984740171519</v>
      </c>
      <c r="F58" s="367">
        <v>35.838984740171519</v>
      </c>
      <c r="G58" s="367">
        <v>35.838984740171519</v>
      </c>
      <c r="H58" s="367">
        <v>35.838984740171519</v>
      </c>
      <c r="I58" s="367">
        <v>35.838984740171519</v>
      </c>
      <c r="J58" s="367">
        <v>35.838984740171519</v>
      </c>
      <c r="K58" s="367">
        <v>35.838984740171519</v>
      </c>
      <c r="L58" s="367">
        <v>35.838984740171519</v>
      </c>
      <c r="M58" s="367">
        <v>35.838984740171519</v>
      </c>
      <c r="N58" s="367">
        <v>35.838984740171519</v>
      </c>
      <c r="O58" s="367">
        <v>35.838984740171519</v>
      </c>
      <c r="P58" s="367">
        <v>35.838984740171519</v>
      </c>
      <c r="Q58" s="367">
        <v>35.838984740171519</v>
      </c>
      <c r="R58" s="367">
        <v>35.838984740171519</v>
      </c>
      <c r="S58" s="367">
        <v>35.838984740171519</v>
      </c>
      <c r="T58" s="367">
        <v>35.838984740171519</v>
      </c>
      <c r="U58" s="367">
        <v>35.838984740171519</v>
      </c>
      <c r="V58" s="367">
        <v>35.838984740171519</v>
      </c>
      <c r="W58" s="367">
        <v>35.838984740171519</v>
      </c>
      <c r="X58" s="367">
        <v>35.838984740171519</v>
      </c>
      <c r="Y58" s="367">
        <v>35.838984740171519</v>
      </c>
      <c r="Z58" s="367">
        <v>35.838984740171519</v>
      </c>
      <c r="AA58" s="367">
        <v>35.838984740171519</v>
      </c>
      <c r="AB58" s="367">
        <v>35.838984740171519</v>
      </c>
      <c r="AC58" s="368">
        <v>35.167656603681806</v>
      </c>
      <c r="AD58" s="368">
        <v>34.496328467192093</v>
      </c>
      <c r="AE58" s="368">
        <v>33.82500033070238</v>
      </c>
      <c r="AF58" s="367">
        <v>33.153672194212668</v>
      </c>
      <c r="AG58" s="368">
        <v>35.072513950877493</v>
      </c>
      <c r="AH58" s="368">
        <v>36.991355707542304</v>
      </c>
      <c r="AI58" s="368">
        <v>38.910197464207116</v>
      </c>
      <c r="AJ58" s="368">
        <v>40.829039220871927</v>
      </c>
      <c r="AK58" s="367">
        <v>42.747880977536738</v>
      </c>
      <c r="AL58" s="367">
        <v>42.747880977536738</v>
      </c>
      <c r="AM58" s="367">
        <v>42.747880977536738</v>
      </c>
      <c r="AN58" s="310">
        <v>42.747880977536738</v>
      </c>
      <c r="AO58" s="310">
        <v>42.747880977536738</v>
      </c>
      <c r="AP58" s="310">
        <v>42.747880977536738</v>
      </c>
      <c r="AQ58" s="310">
        <v>42.747880977536738</v>
      </c>
      <c r="AR58" s="310">
        <v>42.747880977536738</v>
      </c>
      <c r="AS58" s="310">
        <v>42.747880977536738</v>
      </c>
      <c r="AT58" s="310" t="e">
        <v>#NULL!</v>
      </c>
      <c r="AU58" s="310" t="e">
        <v>#NULL!</v>
      </c>
      <c r="AV58" s="347" t="e">
        <v>#NULL!</v>
      </c>
    </row>
    <row r="59" spans="2:48">
      <c r="B59" s="370" t="s">
        <v>207</v>
      </c>
      <c r="C59" s="353" t="s">
        <v>331</v>
      </c>
      <c r="D59" s="371">
        <v>23.688000000000002</v>
      </c>
      <c r="E59" s="372">
        <v>23.688000000000002</v>
      </c>
      <c r="F59" s="372">
        <v>23.688000000000002</v>
      </c>
      <c r="G59" s="372">
        <v>23.688000000000002</v>
      </c>
      <c r="H59" s="372">
        <v>23.688000000000002</v>
      </c>
      <c r="I59" s="372">
        <v>23.688000000000002</v>
      </c>
      <c r="J59" s="372">
        <v>23.688000000000002</v>
      </c>
      <c r="K59" s="372">
        <v>23.688000000000002</v>
      </c>
      <c r="L59" s="372">
        <v>23.688000000000002</v>
      </c>
      <c r="M59" s="372">
        <v>23.688000000000002</v>
      </c>
      <c r="N59" s="372">
        <v>23.688000000000002</v>
      </c>
      <c r="O59" s="372">
        <v>23.688000000000002</v>
      </c>
      <c r="P59" s="372">
        <v>23.688000000000002</v>
      </c>
      <c r="Q59" s="372">
        <v>23.688000000000002</v>
      </c>
      <c r="R59" s="372">
        <v>23.688000000000002</v>
      </c>
      <c r="S59" s="372">
        <v>23.688000000000002</v>
      </c>
      <c r="T59" s="372">
        <v>23.688000000000002</v>
      </c>
      <c r="U59" s="372">
        <v>23.688000000000002</v>
      </c>
      <c r="V59" s="372">
        <v>23.688000000000002</v>
      </c>
      <c r="W59" s="372">
        <v>23.688000000000002</v>
      </c>
      <c r="X59" s="372">
        <v>23.688000000000002</v>
      </c>
      <c r="Y59" s="372">
        <v>23.688000000000002</v>
      </c>
      <c r="Z59" s="372">
        <v>23.688000000000002</v>
      </c>
      <c r="AA59" s="372">
        <v>23.688000000000002</v>
      </c>
      <c r="AB59" s="372">
        <v>23.688000000000002</v>
      </c>
      <c r="AC59" s="373">
        <v>22.185000000000002</v>
      </c>
      <c r="AD59" s="373">
        <v>20.682000000000002</v>
      </c>
      <c r="AE59" s="373">
        <v>19.179000000000002</v>
      </c>
      <c r="AF59" s="372">
        <v>17.676000000000002</v>
      </c>
      <c r="AG59" s="373">
        <v>16.473600000000005</v>
      </c>
      <c r="AH59" s="373">
        <v>15.271200000000004</v>
      </c>
      <c r="AI59" s="373">
        <v>14.068800000000003</v>
      </c>
      <c r="AJ59" s="373">
        <v>12.866400000000002</v>
      </c>
      <c r="AK59" s="372">
        <v>11.664000000000001</v>
      </c>
      <c r="AL59" s="372">
        <v>11.664000000000001</v>
      </c>
      <c r="AM59" s="372">
        <v>11.664000000000001</v>
      </c>
      <c r="AN59" s="312">
        <v>11.664000000000001</v>
      </c>
      <c r="AO59" s="312">
        <v>11.664000000000001</v>
      </c>
      <c r="AP59" s="312">
        <v>11.664000000000001</v>
      </c>
      <c r="AQ59" s="312">
        <v>11.664000000000001</v>
      </c>
      <c r="AR59" s="312">
        <v>11.664000000000001</v>
      </c>
      <c r="AS59" s="312">
        <v>11.664000000000001</v>
      </c>
      <c r="AT59" s="312" t="e">
        <v>#NULL!</v>
      </c>
      <c r="AU59" s="312" t="e">
        <v>#NULL!</v>
      </c>
      <c r="AV59" s="359" t="e">
        <v>#NULL!</v>
      </c>
    </row>
    <row r="60" spans="2:48">
      <c r="B60" s="365" t="s">
        <v>349</v>
      </c>
      <c r="C60" s="349" t="s">
        <v>331</v>
      </c>
      <c r="D60" s="374">
        <v>3.6</v>
      </c>
      <c r="E60" s="375">
        <v>3.6</v>
      </c>
      <c r="F60" s="375">
        <v>3.6</v>
      </c>
      <c r="G60" s="375">
        <v>3.6</v>
      </c>
      <c r="H60" s="375">
        <v>3.6</v>
      </c>
      <c r="I60" s="375">
        <v>3.6</v>
      </c>
      <c r="J60" s="375">
        <v>3.6</v>
      </c>
      <c r="K60" s="375">
        <v>3.6</v>
      </c>
      <c r="L60" s="375">
        <v>3.6</v>
      </c>
      <c r="M60" s="375">
        <v>3.6</v>
      </c>
      <c r="N60" s="375">
        <v>3.6</v>
      </c>
      <c r="O60" s="375">
        <v>3.6</v>
      </c>
      <c r="P60" s="375">
        <v>3.6</v>
      </c>
      <c r="Q60" s="375">
        <v>3.6</v>
      </c>
      <c r="R60" s="375">
        <v>3.6</v>
      </c>
      <c r="S60" s="375">
        <v>3.6</v>
      </c>
      <c r="T60" s="375">
        <v>3.6</v>
      </c>
      <c r="U60" s="375">
        <v>3.6</v>
      </c>
      <c r="V60" s="375">
        <v>3.6</v>
      </c>
      <c r="W60" s="375">
        <v>3.6</v>
      </c>
      <c r="X60" s="375">
        <v>3.6</v>
      </c>
      <c r="Y60" s="375">
        <v>3.6</v>
      </c>
      <c r="Z60" s="375">
        <v>3.6</v>
      </c>
      <c r="AA60" s="375">
        <v>3.6</v>
      </c>
      <c r="AB60" s="375">
        <v>3.6</v>
      </c>
      <c r="AC60" s="376">
        <v>3.6</v>
      </c>
      <c r="AD60" s="376">
        <v>3.6</v>
      </c>
      <c r="AE60" s="376">
        <v>3.6</v>
      </c>
      <c r="AF60" s="375">
        <v>3.6</v>
      </c>
      <c r="AG60" s="376">
        <v>3.6</v>
      </c>
      <c r="AH60" s="376">
        <v>3.6</v>
      </c>
      <c r="AI60" s="376">
        <v>3.6</v>
      </c>
      <c r="AJ60" s="376">
        <v>3.6</v>
      </c>
      <c r="AK60" s="375">
        <v>3.6</v>
      </c>
      <c r="AL60" s="375">
        <v>3.6</v>
      </c>
      <c r="AM60" s="375">
        <v>3.6</v>
      </c>
      <c r="AN60" s="311">
        <v>3.6</v>
      </c>
      <c r="AO60" s="311">
        <v>3.6</v>
      </c>
      <c r="AP60" s="311">
        <v>3.6</v>
      </c>
      <c r="AQ60" s="311">
        <v>3.6</v>
      </c>
      <c r="AR60" s="311">
        <v>3.6</v>
      </c>
      <c r="AS60" s="311">
        <v>3.6</v>
      </c>
      <c r="AT60" s="311" t="e">
        <v>#NULL!</v>
      </c>
      <c r="AU60" s="311" t="e">
        <v>#NULL!</v>
      </c>
      <c r="AV60" s="352" t="e">
        <v>#NULL!</v>
      </c>
    </row>
    <row r="61" spans="2:48">
      <c r="B61" s="360" t="s">
        <v>350</v>
      </c>
      <c r="C61" s="342" t="s">
        <v>327</v>
      </c>
      <c r="D61" s="366">
        <v>29.380000000000003</v>
      </c>
      <c r="E61" s="367">
        <v>29.380000000000003</v>
      </c>
      <c r="F61" s="367">
        <v>29.380000000000003</v>
      </c>
      <c r="G61" s="367">
        <v>29.380000000000003</v>
      </c>
      <c r="H61" s="367">
        <v>29.380000000000003</v>
      </c>
      <c r="I61" s="367">
        <v>29.380000000000003</v>
      </c>
      <c r="J61" s="367">
        <v>29.380000000000003</v>
      </c>
      <c r="K61" s="367">
        <v>29.380000000000003</v>
      </c>
      <c r="L61" s="367">
        <v>29.380000000000003</v>
      </c>
      <c r="M61" s="367">
        <v>29.380000000000003</v>
      </c>
      <c r="N61" s="367">
        <v>29.380000000000003</v>
      </c>
      <c r="O61" s="367">
        <v>29.380000000000003</v>
      </c>
      <c r="P61" s="367">
        <v>29.380000000000003</v>
      </c>
      <c r="Q61" s="367">
        <v>29.380000000000003</v>
      </c>
      <c r="R61" s="367">
        <v>29.380000000000003</v>
      </c>
      <c r="S61" s="367">
        <v>29.380000000000003</v>
      </c>
      <c r="T61" s="367">
        <v>29.380000000000003</v>
      </c>
      <c r="U61" s="367">
        <v>29.380000000000003</v>
      </c>
      <c r="V61" s="367">
        <v>29.380000000000003</v>
      </c>
      <c r="W61" s="367">
        <v>29.380000000000003</v>
      </c>
      <c r="X61" s="367">
        <v>29.380000000000003</v>
      </c>
      <c r="Y61" s="367">
        <v>29.380000000000003</v>
      </c>
      <c r="Z61" s="367">
        <v>29.380000000000003</v>
      </c>
      <c r="AA61" s="367">
        <v>29.380000000000003</v>
      </c>
      <c r="AB61" s="367">
        <v>29.380000000000003</v>
      </c>
      <c r="AC61" s="368">
        <v>29.380000000000003</v>
      </c>
      <c r="AD61" s="368">
        <v>29.380000000000003</v>
      </c>
      <c r="AE61" s="368">
        <v>29.380000000000003</v>
      </c>
      <c r="AF61" s="367">
        <v>29.380000000000003</v>
      </c>
      <c r="AG61" s="368">
        <v>29.380000000000003</v>
      </c>
      <c r="AH61" s="368">
        <v>29.380000000000003</v>
      </c>
      <c r="AI61" s="368">
        <v>29.380000000000003</v>
      </c>
      <c r="AJ61" s="368">
        <v>29.380000000000003</v>
      </c>
      <c r="AK61" s="367">
        <v>29.380000000000003</v>
      </c>
      <c r="AL61" s="367">
        <v>29.380000000000003</v>
      </c>
      <c r="AM61" s="367">
        <v>29.380000000000003</v>
      </c>
      <c r="AN61" s="310">
        <v>29.380000000000003</v>
      </c>
      <c r="AO61" s="310">
        <v>29.380000000000003</v>
      </c>
      <c r="AP61" s="310">
        <v>29.380000000000003</v>
      </c>
      <c r="AQ61" s="310">
        <v>29.380000000000003</v>
      </c>
      <c r="AR61" s="310">
        <v>29.380000000000003</v>
      </c>
      <c r="AS61" s="310">
        <v>29.380000000000003</v>
      </c>
      <c r="AT61" s="310" t="e">
        <v>#NULL!</v>
      </c>
      <c r="AU61" s="310" t="e">
        <v>#NULL!</v>
      </c>
      <c r="AV61" s="347" t="e">
        <v>#NULL!</v>
      </c>
    </row>
    <row r="62" spans="2:48">
      <c r="B62" s="365"/>
      <c r="C62" s="349" t="s">
        <v>52</v>
      </c>
      <c r="D62" s="375"/>
      <c r="E62" s="375"/>
      <c r="F62" s="375"/>
      <c r="G62" s="375"/>
      <c r="H62" s="375"/>
      <c r="I62" s="375"/>
      <c r="J62" s="375"/>
      <c r="K62" s="375"/>
      <c r="L62" s="375"/>
      <c r="M62" s="375"/>
      <c r="N62" s="375"/>
      <c r="O62" s="375"/>
      <c r="P62" s="375"/>
      <c r="Q62" s="375"/>
      <c r="R62" s="375"/>
      <c r="S62" s="375"/>
      <c r="T62" s="375"/>
      <c r="U62" s="375"/>
      <c r="V62" s="375"/>
      <c r="W62" s="375"/>
      <c r="X62" s="375"/>
      <c r="Y62" s="375"/>
      <c r="Z62" s="375"/>
      <c r="AA62" s="375"/>
      <c r="AB62" s="377"/>
      <c r="AC62" s="376"/>
      <c r="AD62" s="376"/>
      <c r="AE62" s="376"/>
      <c r="AF62" s="377"/>
      <c r="AG62" s="376"/>
      <c r="AH62" s="376"/>
      <c r="AI62" s="376"/>
      <c r="AJ62" s="376"/>
      <c r="AK62" s="377"/>
      <c r="AL62" s="375"/>
      <c r="AM62" s="377"/>
      <c r="AN62" s="311"/>
      <c r="AO62" s="311"/>
      <c r="AP62" s="311"/>
      <c r="AQ62" s="311"/>
      <c r="AR62" s="311"/>
      <c r="AS62" s="311"/>
      <c r="AT62" s="311"/>
      <c r="AU62" s="311"/>
      <c r="AV62" s="352"/>
    </row>
    <row r="63" spans="2:48">
      <c r="B63" s="378" t="s">
        <v>380</v>
      </c>
      <c r="C63" s="342" t="s">
        <v>327</v>
      </c>
      <c r="D63" s="367">
        <v>107.57066666666667</v>
      </c>
      <c r="E63" s="367">
        <v>107.57066666666667</v>
      </c>
      <c r="F63" s="367">
        <v>107.57066666666667</v>
      </c>
      <c r="G63" s="367">
        <v>107.57066666666667</v>
      </c>
      <c r="H63" s="367">
        <v>107.57066666666667</v>
      </c>
      <c r="I63" s="367">
        <v>107.57066666666667</v>
      </c>
      <c r="J63" s="367">
        <v>107.57066666666667</v>
      </c>
      <c r="K63" s="367">
        <v>107.57066666666667</v>
      </c>
      <c r="L63" s="367">
        <v>107.57066666666667</v>
      </c>
      <c r="M63" s="367">
        <v>107.57066666666667</v>
      </c>
      <c r="N63" s="367">
        <v>107.57066666666667</v>
      </c>
      <c r="O63" s="367">
        <v>107.57066666666667</v>
      </c>
      <c r="P63" s="367">
        <v>107.57066666666667</v>
      </c>
      <c r="Q63" s="367">
        <v>107.57066666666667</v>
      </c>
      <c r="R63" s="367">
        <v>107.57066666666667</v>
      </c>
      <c r="S63" s="367">
        <v>107.57066666666667</v>
      </c>
      <c r="T63" s="367">
        <v>107.57066666666667</v>
      </c>
      <c r="U63" s="367">
        <v>107.57066666666667</v>
      </c>
      <c r="V63" s="367">
        <v>107.57066666666667</v>
      </c>
      <c r="W63" s="367">
        <v>107.57066666666667</v>
      </c>
      <c r="X63" s="367">
        <v>107.57066666666667</v>
      </c>
      <c r="Y63" s="367">
        <v>107.57066666666667</v>
      </c>
      <c r="Z63" s="367">
        <v>107.57066666666667</v>
      </c>
      <c r="AA63" s="367">
        <v>107.57066666666667</v>
      </c>
      <c r="AB63" s="367">
        <v>107.57066666666667</v>
      </c>
      <c r="AC63" s="368">
        <v>106.77799999999999</v>
      </c>
      <c r="AD63" s="368">
        <v>105.98533333333333</v>
      </c>
      <c r="AE63" s="368">
        <v>105.19266666666667</v>
      </c>
      <c r="AF63" s="367">
        <v>104.39999999999999</v>
      </c>
      <c r="AG63" s="368">
        <v>104.29403328504026</v>
      </c>
      <c r="AH63" s="368">
        <v>104.18806657008052</v>
      </c>
      <c r="AI63" s="368">
        <v>104.08209985512079</v>
      </c>
      <c r="AJ63" s="368">
        <v>103.97613314016105</v>
      </c>
      <c r="AK63" s="367">
        <v>103.87016642520132</v>
      </c>
      <c r="AL63" s="367">
        <v>103.87016642520132</v>
      </c>
      <c r="AM63" s="367">
        <v>103.87016642520132</v>
      </c>
      <c r="AN63" s="310">
        <v>103.87016642520132</v>
      </c>
      <c r="AO63" s="310">
        <v>103.87016642520132</v>
      </c>
      <c r="AP63" s="310">
        <v>103.87016642520132</v>
      </c>
      <c r="AQ63" s="310">
        <v>103.87016642520132</v>
      </c>
      <c r="AR63" s="310">
        <v>103.87016642520132</v>
      </c>
      <c r="AS63" s="310">
        <v>103.87016642520132</v>
      </c>
      <c r="AT63" s="310" t="e">
        <v>#NULL!</v>
      </c>
      <c r="AU63" s="310" t="e">
        <v>#NULL!</v>
      </c>
      <c r="AV63" s="347" t="e">
        <v>#NULL!</v>
      </c>
    </row>
    <row r="64" spans="2:48">
      <c r="B64" s="378"/>
      <c r="C64" s="342" t="s">
        <v>52</v>
      </c>
      <c r="D64" s="367"/>
      <c r="E64" s="367"/>
      <c r="F64" s="367"/>
      <c r="G64" s="367"/>
      <c r="H64" s="367"/>
      <c r="I64" s="367"/>
      <c r="J64" s="367"/>
      <c r="K64" s="367"/>
      <c r="L64" s="367"/>
      <c r="M64" s="367"/>
      <c r="N64" s="367"/>
      <c r="O64" s="367"/>
      <c r="P64" s="367"/>
      <c r="Q64" s="367"/>
      <c r="R64" s="367"/>
      <c r="S64" s="367"/>
      <c r="T64" s="367"/>
      <c r="U64" s="367"/>
      <c r="V64" s="367"/>
      <c r="W64" s="367"/>
      <c r="X64" s="367"/>
      <c r="Y64" s="367"/>
      <c r="Z64" s="367"/>
      <c r="AA64" s="367"/>
      <c r="AB64" s="369"/>
      <c r="AC64" s="368"/>
      <c r="AD64" s="368"/>
      <c r="AE64" s="368"/>
      <c r="AF64" s="369"/>
      <c r="AG64" s="368"/>
      <c r="AH64" s="368"/>
      <c r="AI64" s="368"/>
      <c r="AJ64" s="368"/>
      <c r="AK64" s="369"/>
      <c r="AL64" s="367"/>
      <c r="AM64" s="369"/>
      <c r="AN64" s="310"/>
      <c r="AO64" s="310"/>
      <c r="AP64" s="310"/>
      <c r="AQ64" s="310"/>
      <c r="AR64" s="310"/>
      <c r="AS64" s="310"/>
      <c r="AT64" s="310"/>
      <c r="AU64" s="310"/>
      <c r="AV64" s="347"/>
    </row>
    <row r="65" spans="2:48">
      <c r="B65" s="379"/>
      <c r="C65" s="349" t="s">
        <v>331</v>
      </c>
      <c r="D65" s="375">
        <v>40.320000000000007</v>
      </c>
      <c r="E65" s="375">
        <v>40.320000000000007</v>
      </c>
      <c r="F65" s="375">
        <v>40.320000000000007</v>
      </c>
      <c r="G65" s="375">
        <v>40.320000000000007</v>
      </c>
      <c r="H65" s="375">
        <v>40.320000000000007</v>
      </c>
      <c r="I65" s="375">
        <v>40.320000000000007</v>
      </c>
      <c r="J65" s="375">
        <v>40.320000000000007</v>
      </c>
      <c r="K65" s="375">
        <v>40.320000000000007</v>
      </c>
      <c r="L65" s="375">
        <v>40.320000000000007</v>
      </c>
      <c r="M65" s="375">
        <v>40.320000000000007</v>
      </c>
      <c r="N65" s="375">
        <v>40.320000000000007</v>
      </c>
      <c r="O65" s="375">
        <v>40.320000000000007</v>
      </c>
      <c r="P65" s="375">
        <v>40.320000000000007</v>
      </c>
      <c r="Q65" s="375">
        <v>40.320000000000007</v>
      </c>
      <c r="R65" s="375">
        <v>40.320000000000007</v>
      </c>
      <c r="S65" s="375">
        <v>40.320000000000007</v>
      </c>
      <c r="T65" s="375">
        <v>40.320000000000007</v>
      </c>
      <c r="U65" s="375">
        <v>40.320000000000007</v>
      </c>
      <c r="V65" s="375">
        <v>40.320000000000007</v>
      </c>
      <c r="W65" s="375">
        <v>40.320000000000007</v>
      </c>
      <c r="X65" s="375">
        <v>40.320000000000007</v>
      </c>
      <c r="Y65" s="375">
        <v>40.320000000000007</v>
      </c>
      <c r="Z65" s="375">
        <v>40.320000000000007</v>
      </c>
      <c r="AA65" s="375">
        <v>40.320000000000007</v>
      </c>
      <c r="AB65" s="375">
        <v>40.320000000000007</v>
      </c>
      <c r="AC65" s="376">
        <v>41.040000000000006</v>
      </c>
      <c r="AD65" s="376">
        <v>41.760000000000005</v>
      </c>
      <c r="AE65" s="376">
        <v>42.480000000000004</v>
      </c>
      <c r="AF65" s="375">
        <v>43.2</v>
      </c>
      <c r="AG65" s="376">
        <v>44.16702156541384</v>
      </c>
      <c r="AH65" s="376">
        <v>45.134043130827692</v>
      </c>
      <c r="AI65" s="376">
        <v>46.101064696241544</v>
      </c>
      <c r="AJ65" s="376">
        <v>47.068086261655395</v>
      </c>
      <c r="AK65" s="375">
        <v>48.035107827069247</v>
      </c>
      <c r="AL65" s="375">
        <v>48.035107827069247</v>
      </c>
      <c r="AM65" s="375">
        <v>48.035107827069247</v>
      </c>
      <c r="AN65" s="311">
        <v>48.035107827069247</v>
      </c>
      <c r="AO65" s="311">
        <v>48.035107827069247</v>
      </c>
      <c r="AP65" s="311">
        <v>48.035107827069247</v>
      </c>
      <c r="AQ65" s="311">
        <v>48.035107827069247</v>
      </c>
      <c r="AR65" s="311">
        <v>48.035107827069247</v>
      </c>
      <c r="AS65" s="311">
        <v>48.035107827069247</v>
      </c>
      <c r="AT65" s="311" t="e">
        <v>#NULL!</v>
      </c>
      <c r="AU65" s="311" t="e">
        <v>#NULL!</v>
      </c>
      <c r="AV65" s="352" t="e">
        <v>#NULL!</v>
      </c>
    </row>
    <row r="66" spans="2:48">
      <c r="B66" s="341" t="s">
        <v>409</v>
      </c>
      <c r="C66" s="380" t="s">
        <v>327</v>
      </c>
      <c r="D66" s="343"/>
      <c r="E66" s="343"/>
      <c r="F66" s="343"/>
      <c r="G66" s="343"/>
      <c r="H66" s="343"/>
      <c r="I66" s="343"/>
      <c r="J66" s="343"/>
      <c r="K66" s="343"/>
      <c r="L66" s="343"/>
      <c r="M66" s="343"/>
      <c r="N66" s="343"/>
      <c r="O66" s="343"/>
      <c r="P66" s="343"/>
      <c r="Q66" s="343"/>
      <c r="R66" s="343"/>
      <c r="S66" s="343"/>
      <c r="T66" s="343"/>
      <c r="U66" s="343"/>
      <c r="V66" s="343"/>
      <c r="W66" s="343"/>
      <c r="X66" s="343"/>
      <c r="Y66" s="343"/>
      <c r="Z66" s="343"/>
      <c r="AA66" s="343"/>
      <c r="AB66" s="343"/>
      <c r="AC66" s="343"/>
      <c r="AD66" s="343"/>
      <c r="AE66" s="343"/>
      <c r="AF66" s="343"/>
      <c r="AG66" s="343"/>
      <c r="AH66" s="343"/>
      <c r="AI66" s="343"/>
      <c r="AJ66" s="343"/>
      <c r="AK66" s="343"/>
      <c r="AL66" s="343"/>
      <c r="AM66" s="343"/>
      <c r="AN66" s="343"/>
      <c r="AO66" s="343"/>
      <c r="AP66" s="343"/>
      <c r="AQ66" s="343"/>
      <c r="AR66" s="343"/>
      <c r="AS66" s="343"/>
      <c r="AT66" s="343"/>
      <c r="AU66" s="343"/>
      <c r="AV66" s="344"/>
    </row>
    <row r="67" spans="2:48">
      <c r="B67" s="341"/>
      <c r="C67" s="342" t="s">
        <v>410</v>
      </c>
      <c r="D67" s="343"/>
      <c r="E67" s="343"/>
      <c r="F67" s="343"/>
      <c r="G67" s="343"/>
      <c r="H67" s="343"/>
      <c r="I67" s="343"/>
      <c r="J67" s="343"/>
      <c r="K67" s="343"/>
      <c r="L67" s="343"/>
      <c r="M67" s="343"/>
      <c r="N67" s="343"/>
      <c r="O67" s="343"/>
      <c r="P67" s="343"/>
      <c r="Q67" s="343"/>
      <c r="R67" s="343"/>
      <c r="S67" s="343"/>
      <c r="T67" s="343"/>
      <c r="U67" s="343"/>
      <c r="V67" s="343"/>
      <c r="W67" s="343"/>
      <c r="X67" s="343"/>
      <c r="Y67" s="343"/>
      <c r="Z67" s="343"/>
      <c r="AA67" s="343"/>
      <c r="AB67" s="343"/>
      <c r="AC67" s="343"/>
      <c r="AD67" s="343"/>
      <c r="AE67" s="343"/>
      <c r="AF67" s="343"/>
      <c r="AG67" s="343"/>
      <c r="AH67" s="343"/>
      <c r="AI67" s="343"/>
      <c r="AJ67" s="343"/>
      <c r="AK67" s="343"/>
      <c r="AL67" s="343"/>
      <c r="AM67" s="343"/>
      <c r="AN67" s="343"/>
      <c r="AO67" s="343"/>
      <c r="AP67" s="343"/>
      <c r="AQ67" s="343"/>
      <c r="AR67" s="343"/>
      <c r="AS67" s="343"/>
      <c r="AT67" s="343"/>
      <c r="AU67" s="343"/>
      <c r="AV67" s="344"/>
    </row>
    <row r="68" spans="2:48">
      <c r="B68" s="337"/>
      <c r="C68" s="349" t="s">
        <v>52</v>
      </c>
      <c r="D68" s="350"/>
      <c r="E68" s="350"/>
      <c r="F68" s="350"/>
      <c r="G68" s="350"/>
      <c r="H68" s="350"/>
      <c r="I68" s="350"/>
      <c r="J68" s="350"/>
      <c r="K68" s="350"/>
      <c r="L68" s="350"/>
      <c r="M68" s="350"/>
      <c r="N68" s="350"/>
      <c r="O68" s="350"/>
      <c r="P68" s="350"/>
      <c r="Q68" s="350"/>
      <c r="R68" s="350"/>
      <c r="S68" s="350"/>
      <c r="T68" s="350"/>
      <c r="U68" s="350"/>
      <c r="V68" s="350"/>
      <c r="W68" s="350"/>
      <c r="X68" s="350"/>
      <c r="Y68" s="350"/>
      <c r="Z68" s="350"/>
      <c r="AA68" s="350"/>
      <c r="AB68" s="350"/>
      <c r="AC68" s="350"/>
      <c r="AD68" s="350"/>
      <c r="AE68" s="350"/>
      <c r="AF68" s="350"/>
      <c r="AG68" s="350"/>
      <c r="AH68" s="350"/>
      <c r="AI68" s="350"/>
      <c r="AJ68" s="350"/>
      <c r="AK68" s="350"/>
      <c r="AL68" s="350"/>
      <c r="AM68" s="350"/>
      <c r="AN68" s="350"/>
      <c r="AO68" s="350"/>
      <c r="AP68" s="350"/>
      <c r="AQ68" s="350"/>
      <c r="AR68" s="350"/>
      <c r="AS68" s="350"/>
      <c r="AT68" s="350"/>
      <c r="AU68" s="350"/>
      <c r="AV68" s="351"/>
    </row>
    <row r="69" spans="2:48">
      <c r="B69" s="341" t="s">
        <v>411</v>
      </c>
      <c r="C69" s="342" t="s">
        <v>327</v>
      </c>
      <c r="D69" s="343"/>
      <c r="E69" s="343"/>
      <c r="F69" s="343"/>
      <c r="G69" s="343"/>
      <c r="H69" s="343"/>
      <c r="I69" s="343"/>
      <c r="J69" s="343"/>
      <c r="K69" s="343"/>
      <c r="L69" s="343"/>
      <c r="M69" s="343"/>
      <c r="N69" s="343"/>
      <c r="O69" s="343"/>
      <c r="P69" s="343"/>
      <c r="Q69" s="343"/>
      <c r="R69" s="343"/>
      <c r="S69" s="343"/>
      <c r="T69" s="343"/>
      <c r="U69" s="343"/>
      <c r="V69" s="343"/>
      <c r="W69" s="343"/>
      <c r="X69" s="343"/>
      <c r="Y69" s="343"/>
      <c r="Z69" s="343"/>
      <c r="AA69" s="343"/>
      <c r="AB69" s="343"/>
      <c r="AC69" s="343"/>
      <c r="AD69" s="343"/>
      <c r="AE69" s="343"/>
      <c r="AF69" s="343"/>
      <c r="AG69" s="343"/>
      <c r="AH69" s="343"/>
      <c r="AI69" s="343"/>
      <c r="AJ69" s="343"/>
      <c r="AK69" s="343"/>
      <c r="AL69" s="343"/>
      <c r="AM69" s="343"/>
      <c r="AN69" s="343"/>
      <c r="AO69" s="343"/>
      <c r="AP69" s="343"/>
      <c r="AQ69" s="343"/>
      <c r="AR69" s="343"/>
      <c r="AS69" s="343"/>
      <c r="AT69" s="343"/>
      <c r="AU69" s="343"/>
      <c r="AV69" s="344"/>
    </row>
    <row r="70" spans="2:48">
      <c r="B70" s="341"/>
      <c r="C70" s="342" t="s">
        <v>410</v>
      </c>
      <c r="D70" s="343"/>
      <c r="E70" s="343"/>
      <c r="F70" s="343"/>
      <c r="G70" s="343"/>
      <c r="H70" s="343"/>
      <c r="I70" s="343"/>
      <c r="J70" s="343"/>
      <c r="K70" s="343"/>
      <c r="L70" s="343"/>
      <c r="M70" s="343"/>
      <c r="N70" s="343"/>
      <c r="O70" s="343"/>
      <c r="P70" s="343"/>
      <c r="Q70" s="343"/>
      <c r="R70" s="343"/>
      <c r="S70" s="343"/>
      <c r="T70" s="343"/>
      <c r="U70" s="343"/>
      <c r="V70" s="343"/>
      <c r="W70" s="343"/>
      <c r="X70" s="343"/>
      <c r="Y70" s="343"/>
      <c r="Z70" s="343"/>
      <c r="AA70" s="343"/>
      <c r="AB70" s="343"/>
      <c r="AC70" s="343"/>
      <c r="AD70" s="343"/>
      <c r="AE70" s="343"/>
      <c r="AF70" s="343"/>
      <c r="AG70" s="343"/>
      <c r="AH70" s="343"/>
      <c r="AI70" s="343"/>
      <c r="AJ70" s="343"/>
      <c r="AK70" s="343"/>
      <c r="AL70" s="343"/>
      <c r="AM70" s="343"/>
      <c r="AN70" s="343"/>
      <c r="AO70" s="343"/>
      <c r="AP70" s="343"/>
      <c r="AQ70" s="343"/>
      <c r="AR70" s="343"/>
      <c r="AS70" s="343"/>
      <c r="AT70" s="343"/>
      <c r="AU70" s="343"/>
      <c r="AV70" s="344"/>
    </row>
    <row r="71" spans="2:48">
      <c r="B71" s="337"/>
      <c r="C71" s="349" t="s">
        <v>52</v>
      </c>
      <c r="D71" s="350"/>
      <c r="E71" s="350"/>
      <c r="F71" s="350"/>
      <c r="G71" s="350"/>
      <c r="H71" s="350"/>
      <c r="I71" s="350"/>
      <c r="J71" s="350"/>
      <c r="K71" s="350"/>
      <c r="L71" s="350"/>
      <c r="M71" s="350"/>
      <c r="N71" s="350"/>
      <c r="O71" s="350"/>
      <c r="P71" s="350"/>
      <c r="Q71" s="350"/>
      <c r="R71" s="350"/>
      <c r="S71" s="350"/>
      <c r="T71" s="350"/>
      <c r="U71" s="350"/>
      <c r="V71" s="350"/>
      <c r="W71" s="350"/>
      <c r="X71" s="350"/>
      <c r="Y71" s="350"/>
      <c r="Z71" s="350"/>
      <c r="AA71" s="350"/>
      <c r="AB71" s="350"/>
      <c r="AC71" s="350"/>
      <c r="AD71" s="350"/>
      <c r="AE71" s="350"/>
      <c r="AF71" s="350"/>
      <c r="AG71" s="350"/>
      <c r="AH71" s="350"/>
      <c r="AI71" s="350"/>
      <c r="AJ71" s="350"/>
      <c r="AK71" s="350"/>
      <c r="AL71" s="350"/>
      <c r="AM71" s="350"/>
      <c r="AN71" s="350"/>
      <c r="AO71" s="350"/>
      <c r="AP71" s="350"/>
      <c r="AQ71" s="350"/>
      <c r="AR71" s="350"/>
      <c r="AS71" s="350"/>
      <c r="AT71" s="350"/>
      <c r="AU71" s="350"/>
      <c r="AV71" s="351"/>
    </row>
    <row r="72" spans="2:48">
      <c r="B72" s="341" t="s">
        <v>412</v>
      </c>
      <c r="C72" s="342" t="s">
        <v>327</v>
      </c>
      <c r="D72" s="343"/>
      <c r="E72" s="343"/>
      <c r="F72" s="343"/>
      <c r="G72" s="343"/>
      <c r="H72" s="343"/>
      <c r="I72" s="343"/>
      <c r="J72" s="343"/>
      <c r="K72" s="343"/>
      <c r="L72" s="343"/>
      <c r="M72" s="343"/>
      <c r="N72" s="343"/>
      <c r="O72" s="343"/>
      <c r="P72" s="343"/>
      <c r="Q72" s="343"/>
      <c r="R72" s="343"/>
      <c r="S72" s="343"/>
      <c r="T72" s="343"/>
      <c r="U72" s="343"/>
      <c r="V72" s="343"/>
      <c r="W72" s="343"/>
      <c r="X72" s="343"/>
      <c r="Y72" s="343"/>
      <c r="Z72" s="343"/>
      <c r="AA72" s="343"/>
      <c r="AB72" s="343"/>
      <c r="AC72" s="343"/>
      <c r="AD72" s="343"/>
      <c r="AE72" s="343"/>
      <c r="AF72" s="343"/>
      <c r="AG72" s="343"/>
      <c r="AH72" s="343"/>
      <c r="AI72" s="343"/>
      <c r="AJ72" s="343"/>
      <c r="AK72" s="343"/>
      <c r="AL72" s="343"/>
      <c r="AM72" s="343"/>
      <c r="AN72" s="343"/>
      <c r="AO72" s="343"/>
      <c r="AP72" s="343"/>
      <c r="AQ72" s="343"/>
      <c r="AR72" s="343"/>
      <c r="AS72" s="343"/>
      <c r="AT72" s="343"/>
      <c r="AU72" s="343"/>
      <c r="AV72" s="344"/>
    </row>
    <row r="73" spans="2:48">
      <c r="B73" s="341"/>
      <c r="C73" s="342" t="s">
        <v>410</v>
      </c>
      <c r="D73" s="343"/>
      <c r="E73" s="343"/>
      <c r="F73" s="343"/>
      <c r="G73" s="343"/>
      <c r="H73" s="343"/>
      <c r="I73" s="343"/>
      <c r="J73" s="343"/>
      <c r="K73" s="343"/>
      <c r="L73" s="343"/>
      <c r="M73" s="343"/>
      <c r="N73" s="343"/>
      <c r="O73" s="343"/>
      <c r="P73" s="343"/>
      <c r="Q73" s="343"/>
      <c r="R73" s="343"/>
      <c r="S73" s="343"/>
      <c r="T73" s="343"/>
      <c r="U73" s="343"/>
      <c r="V73" s="343"/>
      <c r="W73" s="343"/>
      <c r="X73" s="343"/>
      <c r="Y73" s="343"/>
      <c r="Z73" s="343"/>
      <c r="AA73" s="343"/>
      <c r="AB73" s="343"/>
      <c r="AC73" s="343"/>
      <c r="AD73" s="343"/>
      <c r="AE73" s="343"/>
      <c r="AF73" s="343"/>
      <c r="AG73" s="343"/>
      <c r="AH73" s="343"/>
      <c r="AI73" s="343"/>
      <c r="AJ73" s="343"/>
      <c r="AK73" s="343"/>
      <c r="AL73" s="343"/>
      <c r="AM73" s="343"/>
      <c r="AN73" s="343"/>
      <c r="AO73" s="343"/>
      <c r="AP73" s="343"/>
      <c r="AQ73" s="343"/>
      <c r="AR73" s="343"/>
      <c r="AS73" s="343"/>
      <c r="AT73" s="343"/>
      <c r="AU73" s="343"/>
      <c r="AV73" s="344"/>
    </row>
    <row r="74" spans="2:48">
      <c r="B74" s="337"/>
      <c r="C74" s="349" t="s">
        <v>52</v>
      </c>
      <c r="D74" s="350"/>
      <c r="E74" s="350"/>
      <c r="F74" s="350"/>
      <c r="G74" s="350"/>
      <c r="H74" s="350"/>
      <c r="I74" s="350"/>
      <c r="J74" s="350"/>
      <c r="K74" s="350"/>
      <c r="L74" s="350"/>
      <c r="M74" s="350"/>
      <c r="N74" s="350"/>
      <c r="O74" s="350"/>
      <c r="P74" s="350"/>
      <c r="Q74" s="350"/>
      <c r="R74" s="350"/>
      <c r="S74" s="350"/>
      <c r="T74" s="350"/>
      <c r="U74" s="350"/>
      <c r="V74" s="350"/>
      <c r="W74" s="350"/>
      <c r="X74" s="350"/>
      <c r="Y74" s="350"/>
      <c r="Z74" s="350"/>
      <c r="AA74" s="350"/>
      <c r="AB74" s="350"/>
      <c r="AC74" s="350"/>
      <c r="AD74" s="350"/>
      <c r="AE74" s="350"/>
      <c r="AF74" s="350"/>
      <c r="AG74" s="350"/>
      <c r="AH74" s="350"/>
      <c r="AI74" s="350"/>
      <c r="AJ74" s="350"/>
      <c r="AK74" s="350"/>
      <c r="AL74" s="350"/>
      <c r="AM74" s="350"/>
      <c r="AN74" s="350"/>
      <c r="AO74" s="350"/>
      <c r="AP74" s="350"/>
      <c r="AQ74" s="350"/>
      <c r="AR74" s="350"/>
      <c r="AS74" s="350"/>
      <c r="AT74" s="350"/>
      <c r="AU74" s="350"/>
      <c r="AV74" s="351"/>
    </row>
    <row r="75" spans="2:48">
      <c r="B75" s="341" t="s">
        <v>413</v>
      </c>
      <c r="C75" s="342" t="s">
        <v>414</v>
      </c>
      <c r="D75" s="343"/>
      <c r="E75" s="343"/>
      <c r="F75" s="343"/>
      <c r="G75" s="343"/>
      <c r="H75" s="343"/>
      <c r="I75" s="343"/>
      <c r="J75" s="343"/>
      <c r="K75" s="343"/>
      <c r="L75" s="343"/>
      <c r="M75" s="343"/>
      <c r="N75" s="343"/>
      <c r="O75" s="343"/>
      <c r="P75" s="343"/>
      <c r="Q75" s="343"/>
      <c r="R75" s="343"/>
      <c r="S75" s="343"/>
      <c r="T75" s="343"/>
      <c r="U75" s="343"/>
      <c r="V75" s="343"/>
      <c r="W75" s="343"/>
      <c r="X75" s="343"/>
      <c r="Y75" s="343"/>
      <c r="Z75" s="343"/>
      <c r="AA75" s="343"/>
      <c r="AB75" s="343"/>
      <c r="AC75" s="343"/>
      <c r="AD75" s="343"/>
      <c r="AE75" s="343"/>
      <c r="AF75" s="343"/>
      <c r="AG75" s="343"/>
      <c r="AH75" s="343"/>
      <c r="AI75" s="343"/>
      <c r="AJ75" s="343"/>
      <c r="AK75" s="343"/>
      <c r="AL75" s="343"/>
      <c r="AM75" s="343"/>
      <c r="AN75" s="343"/>
      <c r="AO75" s="343"/>
      <c r="AP75" s="343"/>
      <c r="AQ75" s="343"/>
      <c r="AR75" s="343"/>
      <c r="AS75" s="343"/>
      <c r="AT75" s="343"/>
      <c r="AU75" s="343"/>
      <c r="AV75" s="344"/>
    </row>
    <row r="76" spans="2:48">
      <c r="B76" s="341"/>
      <c r="C76" s="342" t="s">
        <v>415</v>
      </c>
      <c r="D76" s="343"/>
      <c r="E76" s="343"/>
      <c r="F76" s="343"/>
      <c r="G76" s="343"/>
      <c r="H76" s="343"/>
      <c r="I76" s="343"/>
      <c r="J76" s="343"/>
      <c r="K76" s="343"/>
      <c r="L76" s="343"/>
      <c r="M76" s="343"/>
      <c r="N76" s="343"/>
      <c r="O76" s="343"/>
      <c r="P76" s="343"/>
      <c r="Q76" s="343"/>
      <c r="R76" s="343"/>
      <c r="S76" s="343"/>
      <c r="T76" s="343"/>
      <c r="U76" s="343"/>
      <c r="V76" s="343"/>
      <c r="W76" s="343"/>
      <c r="X76" s="343"/>
      <c r="Y76" s="343"/>
      <c r="Z76" s="343"/>
      <c r="AA76" s="343"/>
      <c r="AB76" s="343"/>
      <c r="AC76" s="343"/>
      <c r="AD76" s="343"/>
      <c r="AE76" s="343"/>
      <c r="AF76" s="343"/>
      <c r="AG76" s="343"/>
      <c r="AH76" s="343"/>
      <c r="AI76" s="343"/>
      <c r="AJ76" s="343"/>
      <c r="AK76" s="343"/>
      <c r="AL76" s="343"/>
      <c r="AM76" s="343"/>
      <c r="AN76" s="343"/>
      <c r="AO76" s="343"/>
      <c r="AP76" s="343"/>
      <c r="AQ76" s="343"/>
      <c r="AR76" s="343"/>
      <c r="AS76" s="343"/>
      <c r="AT76" s="343"/>
      <c r="AU76" s="343"/>
      <c r="AV76" s="344"/>
    </row>
    <row r="77" spans="2:48">
      <c r="B77" s="337"/>
      <c r="C77" s="349" t="s">
        <v>371</v>
      </c>
      <c r="D77" s="350"/>
      <c r="E77" s="350"/>
      <c r="F77" s="350"/>
      <c r="G77" s="350"/>
      <c r="H77" s="350"/>
      <c r="I77" s="350"/>
      <c r="J77" s="350"/>
      <c r="K77" s="350"/>
      <c r="L77" s="350"/>
      <c r="M77" s="350"/>
      <c r="N77" s="350"/>
      <c r="O77" s="350"/>
      <c r="P77" s="350"/>
      <c r="Q77" s="350"/>
      <c r="R77" s="350"/>
      <c r="S77" s="350"/>
      <c r="T77" s="350"/>
      <c r="U77" s="350"/>
      <c r="V77" s="350"/>
      <c r="W77" s="350"/>
      <c r="X77" s="350"/>
      <c r="Y77" s="350"/>
      <c r="Z77" s="350"/>
      <c r="AA77" s="350"/>
      <c r="AB77" s="350"/>
      <c r="AC77" s="350"/>
      <c r="AD77" s="350"/>
      <c r="AE77" s="350"/>
      <c r="AF77" s="350"/>
      <c r="AG77" s="350"/>
      <c r="AH77" s="350"/>
      <c r="AI77" s="350"/>
      <c r="AJ77" s="350"/>
      <c r="AK77" s="350"/>
      <c r="AL77" s="350"/>
      <c r="AM77" s="350"/>
      <c r="AN77" s="350"/>
      <c r="AO77" s="350"/>
      <c r="AP77" s="350"/>
      <c r="AQ77" s="350"/>
      <c r="AR77" s="350"/>
      <c r="AS77" s="350"/>
      <c r="AT77" s="350"/>
      <c r="AU77" s="350"/>
      <c r="AV77" s="351"/>
    </row>
    <row r="78" spans="2:48">
      <c r="B78" s="341" t="s">
        <v>416</v>
      </c>
      <c r="C78" s="342" t="s">
        <v>414</v>
      </c>
      <c r="D78" s="343"/>
      <c r="E78" s="343"/>
      <c r="F78" s="343"/>
      <c r="G78" s="343"/>
      <c r="H78" s="343"/>
      <c r="I78" s="343"/>
      <c r="J78" s="343"/>
      <c r="K78" s="343"/>
      <c r="L78" s="343"/>
      <c r="M78" s="343"/>
      <c r="N78" s="343"/>
      <c r="O78" s="343"/>
      <c r="P78" s="343"/>
      <c r="Q78" s="343"/>
      <c r="R78" s="343"/>
      <c r="S78" s="343"/>
      <c r="T78" s="343"/>
      <c r="U78" s="343"/>
      <c r="V78" s="343"/>
      <c r="W78" s="343"/>
      <c r="X78" s="343"/>
      <c r="Y78" s="343"/>
      <c r="Z78" s="343"/>
      <c r="AA78" s="343"/>
      <c r="AB78" s="343"/>
      <c r="AC78" s="343"/>
      <c r="AD78" s="343"/>
      <c r="AE78" s="343"/>
      <c r="AF78" s="343"/>
      <c r="AG78" s="343"/>
      <c r="AH78" s="343"/>
      <c r="AI78" s="343"/>
      <c r="AJ78" s="343"/>
      <c r="AK78" s="343"/>
      <c r="AL78" s="343"/>
      <c r="AM78" s="343"/>
      <c r="AN78" s="343"/>
      <c r="AO78" s="343"/>
      <c r="AP78" s="343"/>
      <c r="AQ78" s="343"/>
      <c r="AR78" s="343"/>
      <c r="AS78" s="343"/>
      <c r="AT78" s="343"/>
      <c r="AU78" s="343"/>
      <c r="AV78" s="344"/>
    </row>
    <row r="79" spans="2:48">
      <c r="B79" s="341"/>
      <c r="C79" s="342" t="s">
        <v>415</v>
      </c>
      <c r="D79" s="343"/>
      <c r="E79" s="343"/>
      <c r="F79" s="343"/>
      <c r="G79" s="343"/>
      <c r="H79" s="343"/>
      <c r="I79" s="343"/>
      <c r="J79" s="343"/>
      <c r="K79" s="343"/>
      <c r="L79" s="343"/>
      <c r="M79" s="343"/>
      <c r="N79" s="343"/>
      <c r="O79" s="343"/>
      <c r="P79" s="343"/>
      <c r="Q79" s="343"/>
      <c r="R79" s="343"/>
      <c r="S79" s="343"/>
      <c r="T79" s="343"/>
      <c r="U79" s="343"/>
      <c r="V79" s="343"/>
      <c r="W79" s="343"/>
      <c r="X79" s="343"/>
      <c r="Y79" s="343"/>
      <c r="Z79" s="343"/>
      <c r="AA79" s="343"/>
      <c r="AB79" s="343"/>
      <c r="AC79" s="343"/>
      <c r="AD79" s="343"/>
      <c r="AE79" s="343"/>
      <c r="AF79" s="343"/>
      <c r="AG79" s="343"/>
      <c r="AH79" s="343"/>
      <c r="AI79" s="343"/>
      <c r="AJ79" s="343"/>
      <c r="AK79" s="343"/>
      <c r="AL79" s="343"/>
      <c r="AM79" s="343"/>
      <c r="AN79" s="343"/>
      <c r="AO79" s="343"/>
      <c r="AP79" s="343"/>
      <c r="AQ79" s="343"/>
      <c r="AR79" s="343"/>
      <c r="AS79" s="343"/>
      <c r="AT79" s="343"/>
      <c r="AU79" s="343"/>
      <c r="AV79" s="344"/>
    </row>
    <row r="80" spans="2:48">
      <c r="B80" s="337"/>
      <c r="C80" s="349" t="s">
        <v>371</v>
      </c>
      <c r="D80" s="350"/>
      <c r="E80" s="350"/>
      <c r="F80" s="350"/>
      <c r="G80" s="350"/>
      <c r="H80" s="350"/>
      <c r="I80" s="350"/>
      <c r="J80" s="350"/>
      <c r="K80" s="350"/>
      <c r="L80" s="350"/>
      <c r="M80" s="350"/>
      <c r="N80" s="350"/>
      <c r="O80" s="350"/>
      <c r="P80" s="350"/>
      <c r="Q80" s="350"/>
      <c r="R80" s="350"/>
      <c r="S80" s="350"/>
      <c r="T80" s="350"/>
      <c r="U80" s="350"/>
      <c r="V80" s="350"/>
      <c r="W80" s="350"/>
      <c r="X80" s="350"/>
      <c r="Y80" s="350"/>
      <c r="Z80" s="350"/>
      <c r="AA80" s="350"/>
      <c r="AB80" s="350"/>
      <c r="AC80" s="350"/>
      <c r="AD80" s="350"/>
      <c r="AE80" s="350"/>
      <c r="AF80" s="350"/>
      <c r="AG80" s="350"/>
      <c r="AH80" s="350"/>
      <c r="AI80" s="350"/>
      <c r="AJ80" s="350"/>
      <c r="AK80" s="350"/>
      <c r="AL80" s="350"/>
      <c r="AM80" s="350"/>
      <c r="AN80" s="350"/>
      <c r="AO80" s="350"/>
      <c r="AP80" s="350"/>
      <c r="AQ80" s="350"/>
      <c r="AR80" s="350"/>
      <c r="AS80" s="350"/>
      <c r="AT80" s="350"/>
      <c r="AU80" s="350"/>
      <c r="AV80" s="351"/>
    </row>
    <row r="81" spans="2:48">
      <c r="B81" s="341" t="s">
        <v>417</v>
      </c>
      <c r="C81" s="342" t="s">
        <v>414</v>
      </c>
      <c r="D81" s="343"/>
      <c r="E81" s="343"/>
      <c r="F81" s="343"/>
      <c r="G81" s="343"/>
      <c r="H81" s="343"/>
      <c r="I81" s="343"/>
      <c r="J81" s="343"/>
      <c r="K81" s="343"/>
      <c r="L81" s="343"/>
      <c r="M81" s="343"/>
      <c r="N81" s="343"/>
      <c r="O81" s="343"/>
      <c r="P81" s="343"/>
      <c r="Q81" s="343"/>
      <c r="R81" s="343"/>
      <c r="S81" s="343"/>
      <c r="T81" s="343"/>
      <c r="U81" s="343"/>
      <c r="V81" s="343"/>
      <c r="W81" s="343"/>
      <c r="X81" s="343"/>
      <c r="Y81" s="343"/>
      <c r="Z81" s="343"/>
      <c r="AA81" s="343"/>
      <c r="AB81" s="343"/>
      <c r="AC81" s="343"/>
      <c r="AD81" s="343"/>
      <c r="AE81" s="343"/>
      <c r="AF81" s="343"/>
      <c r="AG81" s="343"/>
      <c r="AH81" s="343"/>
      <c r="AI81" s="343"/>
      <c r="AJ81" s="343"/>
      <c r="AK81" s="343"/>
      <c r="AL81" s="343"/>
      <c r="AM81" s="343"/>
      <c r="AN81" s="343"/>
      <c r="AO81" s="343"/>
      <c r="AP81" s="343"/>
      <c r="AQ81" s="343"/>
      <c r="AR81" s="343"/>
      <c r="AS81" s="343"/>
      <c r="AT81" s="343"/>
      <c r="AU81" s="343"/>
      <c r="AV81" s="344"/>
    </row>
    <row r="82" spans="2:48">
      <c r="B82" s="337"/>
      <c r="C82" s="349" t="s">
        <v>371</v>
      </c>
      <c r="D82" s="350"/>
      <c r="E82" s="350"/>
      <c r="F82" s="350"/>
      <c r="G82" s="350"/>
      <c r="H82" s="350"/>
      <c r="I82" s="350"/>
      <c r="J82" s="350"/>
      <c r="K82" s="350"/>
      <c r="L82" s="350"/>
      <c r="M82" s="350"/>
      <c r="N82" s="350"/>
      <c r="O82" s="350"/>
      <c r="P82" s="350"/>
      <c r="Q82" s="350"/>
      <c r="R82" s="350"/>
      <c r="S82" s="350"/>
      <c r="T82" s="350"/>
      <c r="U82" s="350"/>
      <c r="V82" s="350"/>
      <c r="W82" s="350"/>
      <c r="X82" s="350"/>
      <c r="Y82" s="350"/>
      <c r="Z82" s="350"/>
      <c r="AA82" s="350"/>
      <c r="AB82" s="350"/>
      <c r="AC82" s="350"/>
      <c r="AD82" s="350"/>
      <c r="AE82" s="350"/>
      <c r="AF82" s="350"/>
      <c r="AG82" s="350"/>
      <c r="AH82" s="350"/>
      <c r="AI82" s="350"/>
      <c r="AJ82" s="350"/>
      <c r="AK82" s="350"/>
      <c r="AL82" s="350"/>
      <c r="AM82" s="350"/>
      <c r="AN82" s="350"/>
      <c r="AO82" s="350"/>
      <c r="AP82" s="350"/>
      <c r="AQ82" s="350"/>
      <c r="AR82" s="350"/>
      <c r="AS82" s="350"/>
      <c r="AT82" s="350"/>
      <c r="AU82" s="350"/>
      <c r="AV82" s="351"/>
    </row>
    <row r="83" spans="2:48">
      <c r="B83" s="341" t="s">
        <v>418</v>
      </c>
      <c r="C83" s="342" t="s">
        <v>414</v>
      </c>
      <c r="D83" s="343"/>
      <c r="E83" s="343"/>
      <c r="F83" s="343"/>
      <c r="G83" s="343"/>
      <c r="H83" s="343"/>
      <c r="I83" s="343"/>
      <c r="J83" s="343"/>
      <c r="K83" s="343"/>
      <c r="L83" s="343"/>
      <c r="M83" s="343"/>
      <c r="N83" s="343"/>
      <c r="O83" s="343"/>
      <c r="P83" s="343"/>
      <c r="Q83" s="343"/>
      <c r="R83" s="343"/>
      <c r="S83" s="343"/>
      <c r="T83" s="343"/>
      <c r="U83" s="343"/>
      <c r="V83" s="343"/>
      <c r="W83" s="343"/>
      <c r="X83" s="343"/>
      <c r="Y83" s="343"/>
      <c r="Z83" s="343"/>
      <c r="AA83" s="343"/>
      <c r="AB83" s="343"/>
      <c r="AC83" s="343"/>
      <c r="AD83" s="343"/>
      <c r="AE83" s="343"/>
      <c r="AF83" s="343"/>
      <c r="AG83" s="343"/>
      <c r="AH83" s="343"/>
      <c r="AI83" s="343"/>
      <c r="AJ83" s="343"/>
      <c r="AK83" s="343"/>
      <c r="AL83" s="343"/>
      <c r="AM83" s="343"/>
      <c r="AN83" s="343"/>
      <c r="AO83" s="343"/>
      <c r="AP83" s="343"/>
      <c r="AQ83" s="343"/>
      <c r="AR83" s="343"/>
      <c r="AS83" s="343"/>
      <c r="AT83" s="343"/>
      <c r="AU83" s="343"/>
      <c r="AV83" s="344"/>
    </row>
    <row r="84" spans="2:48" ht="13.8" thickBot="1">
      <c r="B84" s="381"/>
      <c r="C84" s="382" t="s">
        <v>371</v>
      </c>
      <c r="D84" s="383"/>
      <c r="E84" s="383"/>
      <c r="F84" s="383"/>
      <c r="G84" s="383"/>
      <c r="H84" s="383"/>
      <c r="I84" s="383"/>
      <c r="J84" s="383"/>
      <c r="K84" s="383"/>
      <c r="L84" s="383"/>
      <c r="M84" s="383"/>
      <c r="N84" s="383"/>
      <c r="O84" s="383"/>
      <c r="P84" s="383"/>
      <c r="Q84" s="383"/>
      <c r="R84" s="383"/>
      <c r="S84" s="383"/>
      <c r="T84" s="383"/>
      <c r="U84" s="383"/>
      <c r="V84" s="383"/>
      <c r="W84" s="383"/>
      <c r="X84" s="383"/>
      <c r="Y84" s="383"/>
      <c r="Z84" s="383"/>
      <c r="AA84" s="383"/>
      <c r="AB84" s="383"/>
      <c r="AC84" s="383"/>
      <c r="AD84" s="383"/>
      <c r="AE84" s="383"/>
      <c r="AF84" s="383"/>
      <c r="AG84" s="383"/>
      <c r="AH84" s="383"/>
      <c r="AI84" s="383"/>
      <c r="AJ84" s="383"/>
      <c r="AK84" s="383"/>
      <c r="AL84" s="383"/>
      <c r="AM84" s="383"/>
      <c r="AN84" s="383"/>
      <c r="AO84" s="383"/>
      <c r="AP84" s="383"/>
      <c r="AQ84" s="383"/>
      <c r="AR84" s="383"/>
      <c r="AS84" s="383"/>
      <c r="AT84" s="383"/>
      <c r="AU84" s="383"/>
      <c r="AV84" s="384"/>
    </row>
    <row r="85" spans="2:48">
      <c r="B85" s="385" t="s">
        <v>381</v>
      </c>
    </row>
    <row r="86" spans="2:48">
      <c r="B86" s="385"/>
    </row>
  </sheetData>
  <pageMargins left="0.7" right="0.7" top="0.75" bottom="0.75" header="0.3" footer="0.3"/>
  <legacyDrawing r:id="rId1"/>
</worksheet>
</file>

<file path=xl/worksheets/sheet2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700-000000000000}">
  <sheetPr>
    <tabColor rgb="FF00B0F0"/>
  </sheetPr>
  <dimension ref="A1:S463"/>
  <sheetViews>
    <sheetView zoomScale="85" zoomScaleNormal="85" workbookViewId="0">
      <selection activeCell="J246" sqref="J246"/>
    </sheetView>
  </sheetViews>
  <sheetFormatPr defaultColWidth="9.109375" defaultRowHeight="13.2"/>
  <cols>
    <col min="1" max="1" width="22.33203125" style="754" customWidth="1"/>
    <col min="2" max="2" width="13.33203125" style="754" customWidth="1"/>
    <col min="3" max="3" width="24.5546875" style="754" customWidth="1"/>
    <col min="4" max="7" width="13.33203125" style="754" customWidth="1"/>
    <col min="8" max="8" width="15.33203125" style="754" customWidth="1"/>
    <col min="9" max="9" width="28.6640625" style="754" customWidth="1"/>
    <col min="10" max="10" width="12.88671875" style="754" customWidth="1"/>
    <col min="11" max="18" width="9.109375" style="754"/>
    <col min="19" max="19" width="23.88671875" style="754" customWidth="1"/>
    <col min="20" max="20" width="52.44140625" style="754" bestFit="1" customWidth="1"/>
    <col min="21" max="25" width="23" style="754" customWidth="1"/>
    <col min="26" max="16384" width="9.109375" style="754"/>
  </cols>
  <sheetData>
    <row r="1" spans="1:9" ht="17.399999999999999">
      <c r="A1" s="1666" t="s">
        <v>2146</v>
      </c>
      <c r="B1" s="1667"/>
      <c r="C1" s="1667"/>
      <c r="D1" s="304"/>
    </row>
    <row r="2" spans="1:9" s="545" customFormat="1" ht="15" customHeight="1">
      <c r="A2" s="1664"/>
      <c r="B2" s="1665"/>
      <c r="C2" s="1665"/>
    </row>
    <row r="3" spans="1:9" s="545" customFormat="1" ht="15" customHeight="1">
      <c r="A3" s="1664"/>
      <c r="B3" s="1665"/>
      <c r="C3" s="1665"/>
    </row>
    <row r="4" spans="1:9" s="1663" customFormat="1" ht="15" customHeight="1">
      <c r="A4" s="1661" t="s">
        <v>2098</v>
      </c>
    </row>
    <row r="7" spans="1:9">
      <c r="A7" s="603" t="s">
        <v>1337</v>
      </c>
    </row>
    <row r="9" spans="1:9" ht="14.4">
      <c r="A9" s="1870" t="s">
        <v>1313</v>
      </c>
      <c r="B9" s="400"/>
      <c r="C9" s="400"/>
      <c r="D9" s="400"/>
      <c r="E9" s="400"/>
      <c r="F9" s="400"/>
      <c r="G9" s="1871"/>
      <c r="H9" s="400"/>
      <c r="I9" s="401"/>
    </row>
    <row r="10" spans="1:9" ht="14.4">
      <c r="A10" s="1872" t="s">
        <v>1314</v>
      </c>
      <c r="B10" s="234"/>
      <c r="C10" s="234"/>
      <c r="D10" s="234"/>
      <c r="E10" s="234"/>
      <c r="F10" s="1873"/>
      <c r="G10" s="234"/>
      <c r="H10" s="234"/>
      <c r="I10" s="235"/>
    </row>
    <row r="11" spans="1:9">
      <c r="A11" s="233"/>
      <c r="B11" s="1676"/>
      <c r="C11" s="234"/>
      <c r="D11" s="234"/>
      <c r="E11" s="234"/>
      <c r="F11" s="234"/>
      <c r="G11" s="234"/>
      <c r="H11" s="234"/>
      <c r="I11" s="1677"/>
    </row>
    <row r="12" spans="1:9">
      <c r="A12" s="1874" t="s">
        <v>353</v>
      </c>
      <c r="B12" s="1632" t="s">
        <v>1315</v>
      </c>
      <c r="C12" s="1632" t="s">
        <v>1316</v>
      </c>
      <c r="D12" s="1632" t="s">
        <v>1317</v>
      </c>
      <c r="E12" s="1632" t="s">
        <v>1318</v>
      </c>
      <c r="F12" s="1632" t="s">
        <v>1319</v>
      </c>
      <c r="G12" s="1632" t="s">
        <v>1319</v>
      </c>
      <c r="H12" s="1632" t="s">
        <v>1319</v>
      </c>
      <c r="I12" s="1865" t="s">
        <v>1319</v>
      </c>
    </row>
    <row r="13" spans="1:9">
      <c r="A13" s="1874"/>
      <c r="B13" s="1632"/>
      <c r="C13" s="1632"/>
      <c r="D13" s="1632"/>
      <c r="E13" s="1632"/>
      <c r="F13" s="1632" t="s">
        <v>1320</v>
      </c>
      <c r="G13" s="1632" t="s">
        <v>1321</v>
      </c>
      <c r="H13" s="1632" t="s">
        <v>1322</v>
      </c>
      <c r="I13" s="1865" t="s">
        <v>1323</v>
      </c>
    </row>
    <row r="14" spans="1:9">
      <c r="A14" s="1874"/>
      <c r="B14" s="1632"/>
      <c r="C14" s="1632"/>
      <c r="D14" s="1632"/>
      <c r="E14" s="1632"/>
      <c r="F14" s="1632" t="s">
        <v>1324</v>
      </c>
      <c r="G14" s="1632" t="s">
        <v>1324</v>
      </c>
      <c r="H14" s="1632" t="s">
        <v>1324</v>
      </c>
      <c r="I14" s="1865" t="s">
        <v>1324</v>
      </c>
    </row>
    <row r="15" spans="1:9">
      <c r="A15" s="1875" t="s">
        <v>54</v>
      </c>
      <c r="B15" s="1867" t="s">
        <v>124</v>
      </c>
      <c r="C15" s="1867" t="s">
        <v>214</v>
      </c>
      <c r="D15" s="1867" t="s">
        <v>1325</v>
      </c>
      <c r="E15" s="1867" t="s">
        <v>1318</v>
      </c>
      <c r="F15" s="1867" t="s">
        <v>1326</v>
      </c>
      <c r="G15" s="1867" t="s">
        <v>1326</v>
      </c>
      <c r="H15" s="1867" t="s">
        <v>1326</v>
      </c>
      <c r="I15" s="1866" t="s">
        <v>1326</v>
      </c>
    </row>
    <row r="16" spans="1:9" ht="13.8" thickBot="1">
      <c r="A16" s="1876"/>
      <c r="B16" s="1868"/>
      <c r="C16" s="1868"/>
      <c r="D16" s="1868"/>
      <c r="E16" s="1868"/>
      <c r="F16" s="1868" t="s">
        <v>1327</v>
      </c>
      <c r="G16" s="1868" t="s">
        <v>1328</v>
      </c>
      <c r="H16" s="1868" t="s">
        <v>1329</v>
      </c>
      <c r="I16" s="1877" t="s">
        <v>1330</v>
      </c>
    </row>
    <row r="17" spans="1:15">
      <c r="A17" s="395">
        <v>1990</v>
      </c>
      <c r="B17" s="1869">
        <v>64309.68</v>
      </c>
      <c r="C17" s="1869">
        <v>300.0129013504361</v>
      </c>
      <c r="D17" s="1869">
        <v>55763.998653349612</v>
      </c>
      <c r="E17" s="1869">
        <v>983.78095829393749</v>
      </c>
      <c r="F17" s="1869">
        <v>3605.6814662827073</v>
      </c>
      <c r="G17" s="1869">
        <v>695.03552860345269</v>
      </c>
      <c r="H17" s="1869">
        <v>2627.2827290466626</v>
      </c>
      <c r="I17" s="1878">
        <v>333.88776307319017</v>
      </c>
      <c r="M17" s="12">
        <f>D90*1000/C17</f>
        <v>1.1027392439152488</v>
      </c>
      <c r="N17" s="12">
        <f>C90*1000/D17</f>
        <v>1.7013561131040074</v>
      </c>
      <c r="O17" s="12">
        <f>E90*1000/E17</f>
        <v>9.8228831478057828</v>
      </c>
    </row>
    <row r="18" spans="1:15">
      <c r="A18" s="395">
        <v>1991</v>
      </c>
      <c r="B18" s="1869">
        <v>64866.58</v>
      </c>
      <c r="C18" s="1869">
        <v>308.94543112740331</v>
      </c>
      <c r="D18" s="1869">
        <v>56380.115905076098</v>
      </c>
      <c r="E18" s="1869">
        <v>987.49318859324296</v>
      </c>
      <c r="F18" s="1869">
        <v>3727.5180005821735</v>
      </c>
      <c r="G18" s="1869">
        <v>678.23971656205481</v>
      </c>
      <c r="H18" s="1869">
        <v>2388.4880862637683</v>
      </c>
      <c r="I18" s="1878">
        <v>395.77967179525052</v>
      </c>
      <c r="M18" s="12">
        <f t="shared" ref="M18:M41" si="0">D91*1000/C18</f>
        <v>1.1265290401931094</v>
      </c>
      <c r="N18" s="12">
        <f t="shared" ref="N18:N26" si="1">C91*1000/D18</f>
        <v>1.6935131910823824</v>
      </c>
      <c r="O18" s="12">
        <f t="shared" ref="O18:O40" si="2">E91*1000/E18</f>
        <v>9.8004434778199521</v>
      </c>
    </row>
    <row r="19" spans="1:15">
      <c r="A19" s="395">
        <v>1992</v>
      </c>
      <c r="B19" s="1869">
        <v>65537.02</v>
      </c>
      <c r="C19" s="1869">
        <v>339.74821942563767</v>
      </c>
      <c r="D19" s="1869">
        <v>56955.603781413112</v>
      </c>
      <c r="E19" s="1869">
        <v>993.32361602363835</v>
      </c>
      <c r="F19" s="1869">
        <v>3764.4155862231728</v>
      </c>
      <c r="G19" s="1869">
        <v>664.99507270326205</v>
      </c>
      <c r="H19" s="1869">
        <v>2339.1579502600175</v>
      </c>
      <c r="I19" s="1878">
        <v>479.77577395116271</v>
      </c>
      <c r="M19" s="12">
        <f t="shared" si="0"/>
        <v>1.0996260720117497</v>
      </c>
      <c r="N19" s="12">
        <f t="shared" si="1"/>
        <v>1.6969150282546979</v>
      </c>
      <c r="O19" s="12">
        <f t="shared" si="2"/>
        <v>9.7647727133239268</v>
      </c>
    </row>
    <row r="20" spans="1:15">
      <c r="A20" s="395">
        <v>1993</v>
      </c>
      <c r="B20" s="1869">
        <v>64135.74</v>
      </c>
      <c r="C20" s="1869">
        <v>349.93969434668702</v>
      </c>
      <c r="D20" s="1869">
        <v>55681.453346970651</v>
      </c>
      <c r="E20" s="1869">
        <v>971.38952621155045</v>
      </c>
      <c r="F20" s="1869">
        <v>3659.1138462076565</v>
      </c>
      <c r="G20" s="1869">
        <v>641.30807306295173</v>
      </c>
      <c r="H20" s="1869">
        <v>2296.4729600542814</v>
      </c>
      <c r="I20" s="1878">
        <v>536.06255314622433</v>
      </c>
      <c r="M20" s="12">
        <f t="shared" si="0"/>
        <v>1.0670752876353</v>
      </c>
      <c r="N20" s="12">
        <f t="shared" si="1"/>
        <v>1.6986819544850458</v>
      </c>
      <c r="O20" s="12">
        <f t="shared" si="2"/>
        <v>9.6986906071644654</v>
      </c>
    </row>
    <row r="21" spans="1:15">
      <c r="A21" s="395">
        <v>1994</v>
      </c>
      <c r="B21" s="1869">
        <v>64904.33</v>
      </c>
      <c r="C21" s="1869">
        <v>355.31466749891325</v>
      </c>
      <c r="D21" s="1869">
        <v>56289.34942754951</v>
      </c>
      <c r="E21" s="1869">
        <v>981.40726293731393</v>
      </c>
      <c r="F21" s="1869">
        <v>3678.5426770245526</v>
      </c>
      <c r="G21" s="1869">
        <v>641.88307461876491</v>
      </c>
      <c r="H21" s="1869">
        <v>2318.9055352580081</v>
      </c>
      <c r="I21" s="1878">
        <v>638.92735511293665</v>
      </c>
      <c r="M21" s="12">
        <f t="shared" si="0"/>
        <v>1.1200944863927331</v>
      </c>
      <c r="N21" s="12">
        <f t="shared" si="1"/>
        <v>1.6993086786891318</v>
      </c>
      <c r="O21" s="12">
        <f t="shared" si="2"/>
        <v>9.7119280547607225</v>
      </c>
    </row>
    <row r="22" spans="1:15">
      <c r="A22" s="395">
        <v>1995</v>
      </c>
      <c r="B22" s="1869">
        <v>65700</v>
      </c>
      <c r="C22" s="1869">
        <v>363.13385028048327</v>
      </c>
      <c r="D22" s="1869">
        <v>56897.712998182535</v>
      </c>
      <c r="E22" s="1869">
        <v>994.3084653804583</v>
      </c>
      <c r="F22" s="1869">
        <v>3747.3149287267124</v>
      </c>
      <c r="G22" s="1869">
        <v>634.09054649514746</v>
      </c>
      <c r="H22" s="1869">
        <v>2311.2431087125906</v>
      </c>
      <c r="I22" s="1878">
        <v>752.19610222207075</v>
      </c>
      <c r="M22" s="12">
        <f t="shared" si="0"/>
        <v>1.1068232820750656</v>
      </c>
      <c r="N22" s="12">
        <f t="shared" si="1"/>
        <v>1.6999976783441137</v>
      </c>
      <c r="O22" s="12">
        <f t="shared" si="2"/>
        <v>9.758725110152886</v>
      </c>
    </row>
    <row r="23" spans="1:15">
      <c r="A23" s="395">
        <v>1996</v>
      </c>
      <c r="B23" s="1869">
        <v>66028.5</v>
      </c>
      <c r="C23" s="1869">
        <v>378.08478548013431</v>
      </c>
      <c r="D23" s="1869">
        <v>57117.039541093378</v>
      </c>
      <c r="E23" s="1869">
        <v>999.11857775596354</v>
      </c>
      <c r="F23" s="1869">
        <v>3831.9213827847543</v>
      </c>
      <c r="G23" s="1869">
        <v>622.60823157377877</v>
      </c>
      <c r="H23" s="1869">
        <v>2210.4281324513599</v>
      </c>
      <c r="I23" s="1878">
        <v>869.29934886063336</v>
      </c>
      <c r="M23" s="12">
        <f t="shared" si="0"/>
        <v>1.0728122780315161</v>
      </c>
      <c r="N23" s="12">
        <f t="shared" si="1"/>
        <v>1.7004426486446844</v>
      </c>
      <c r="O23" s="12">
        <f t="shared" si="2"/>
        <v>9.82454121163018</v>
      </c>
    </row>
    <row r="24" spans="1:15">
      <c r="A24" s="395">
        <v>1997</v>
      </c>
      <c r="B24" s="1869">
        <v>66226.585500000001</v>
      </c>
      <c r="C24" s="1869">
        <v>401.24272094948526</v>
      </c>
      <c r="D24" s="1869">
        <v>57111.936970942646</v>
      </c>
      <c r="E24" s="1869">
        <v>989.81785092375605</v>
      </c>
      <c r="F24" s="1869">
        <v>3938.1900054489679</v>
      </c>
      <c r="G24" s="1869">
        <v>604.8296258185801</v>
      </c>
      <c r="H24" s="1869">
        <v>2176.197706912933</v>
      </c>
      <c r="I24" s="1878">
        <v>1004.3706190036289</v>
      </c>
      <c r="M24" s="12">
        <f t="shared" si="0"/>
        <v>1.0739409776214976</v>
      </c>
      <c r="N24" s="12">
        <f t="shared" si="1"/>
        <v>1.7029833894354551</v>
      </c>
      <c r="O24" s="12">
        <f t="shared" si="2"/>
        <v>9.9232583451506837</v>
      </c>
    </row>
    <row r="25" spans="1:15">
      <c r="A25" s="395">
        <v>1998</v>
      </c>
      <c r="B25" s="1869">
        <v>66955.077940499992</v>
      </c>
      <c r="C25" s="1869">
        <v>419.52962891833585</v>
      </c>
      <c r="D25" s="1869">
        <v>57516.938642024485</v>
      </c>
      <c r="E25" s="1869">
        <v>976.16334713478363</v>
      </c>
      <c r="F25" s="1869">
        <v>4120.3517302674582</v>
      </c>
      <c r="G25" s="1869">
        <v>588.13323560233641</v>
      </c>
      <c r="H25" s="1869">
        <v>2179.706675792017</v>
      </c>
      <c r="I25" s="1878">
        <v>1154.254680760569</v>
      </c>
      <c r="M25" s="12">
        <f t="shared" si="0"/>
        <v>1.0437022079440139</v>
      </c>
      <c r="N25" s="12">
        <f t="shared" si="1"/>
        <v>1.7045163097113896</v>
      </c>
      <c r="O25" s="12">
        <f t="shared" si="2"/>
        <v>10.016275850683849</v>
      </c>
    </row>
    <row r="26" spans="1:15" ht="16.2">
      <c r="A26" s="1879" t="s">
        <v>1331</v>
      </c>
      <c r="B26" s="1869">
        <v>68636.98949836535</v>
      </c>
      <c r="C26" s="1869">
        <v>459.65104835424955</v>
      </c>
      <c r="D26" s="1869">
        <v>58756.966029032308</v>
      </c>
      <c r="E26" s="1869">
        <v>968.47459027196237</v>
      </c>
      <c r="F26" s="1869">
        <v>4346.8485258598475</v>
      </c>
      <c r="G26" s="1869">
        <v>587.77841158730291</v>
      </c>
      <c r="H26" s="1869">
        <v>2137.7544007727283</v>
      </c>
      <c r="I26" s="1878">
        <v>1379.5164924869423</v>
      </c>
      <c r="M26" s="12">
        <f t="shared" si="0"/>
        <v>1.0509798720782877</v>
      </c>
      <c r="N26" s="12">
        <f t="shared" si="1"/>
        <v>1.7050492353621269</v>
      </c>
      <c r="O26" s="12">
        <f t="shared" si="2"/>
        <v>10.073316041361371</v>
      </c>
    </row>
    <row r="27" spans="1:15" ht="16.2">
      <c r="A27" s="1879" t="s">
        <v>1332</v>
      </c>
      <c r="B27" s="1869">
        <v>69266.610851598671</v>
      </c>
      <c r="C27" s="1869">
        <v>524.84366599398663</v>
      </c>
      <c r="D27" s="1869">
        <v>58894.791873672999</v>
      </c>
      <c r="E27" s="1869">
        <v>922.38032725417384</v>
      </c>
      <c r="F27" s="1869">
        <v>4600.5151607217422</v>
      </c>
      <c r="G27" s="1869">
        <v>581.45253888287596</v>
      </c>
      <c r="H27" s="1869">
        <v>2153.9026962740072</v>
      </c>
      <c r="I27" s="1878">
        <v>1588.7245887988809</v>
      </c>
      <c r="M27" s="12">
        <f t="shared" si="0"/>
        <v>0.96570470949687914</v>
      </c>
      <c r="N27" s="12">
        <f>C100*1000/D27</f>
        <v>1.7219254330251421</v>
      </c>
      <c r="O27" s="12">
        <f t="shared" si="2"/>
        <v>10.24687577593696</v>
      </c>
    </row>
    <row r="28" spans="1:15">
      <c r="A28" s="395">
        <v>2001</v>
      </c>
      <c r="B28" s="1869">
        <v>70229.370501316065</v>
      </c>
      <c r="C28" s="1869">
        <v>553.95938800007161</v>
      </c>
      <c r="D28" s="1869">
        <v>59564.930454227229</v>
      </c>
      <c r="E28" s="1869">
        <v>921.99952117383634</v>
      </c>
      <c r="F28" s="1869">
        <v>4910.7759975075305</v>
      </c>
      <c r="G28" s="1869">
        <v>561.29421147028586</v>
      </c>
      <c r="H28" s="1869">
        <v>1991.1922375007241</v>
      </c>
      <c r="I28" s="1878">
        <v>1725.2186914363811</v>
      </c>
      <c r="M28" s="12">
        <f t="shared" si="0"/>
        <v>1.0266871765695693</v>
      </c>
      <c r="N28" s="12">
        <f t="shared" ref="N28:N41" si="3">C101*1000/D28</f>
        <v>1.7194535311126427</v>
      </c>
      <c r="O28" s="12">
        <f t="shared" si="2"/>
        <v>9.9703829207228676</v>
      </c>
    </row>
    <row r="29" spans="1:15">
      <c r="A29" s="395">
        <v>2002</v>
      </c>
      <c r="B29" s="1869">
        <v>71624.01234896011</v>
      </c>
      <c r="C29" s="1869">
        <v>607.06560713234819</v>
      </c>
      <c r="D29" s="1869">
        <v>60580.976078922351</v>
      </c>
      <c r="E29" s="1869">
        <v>930.599094093649</v>
      </c>
      <c r="F29" s="1869">
        <v>5246.3698417940823</v>
      </c>
      <c r="G29" s="1869">
        <v>545.08045043421032</v>
      </c>
      <c r="H29" s="1869">
        <v>1891.2976512944197</v>
      </c>
      <c r="I29" s="1878">
        <v>1822.6236252890633</v>
      </c>
      <c r="M29" s="12">
        <f t="shared" si="0"/>
        <v>1.079705376649847</v>
      </c>
      <c r="N29" s="12">
        <f t="shared" si="3"/>
        <v>1.7387222329131169</v>
      </c>
      <c r="O29" s="12">
        <f t="shared" si="2"/>
        <v>9.9612506626221045</v>
      </c>
    </row>
    <row r="30" spans="1:15">
      <c r="A30" s="395">
        <v>2003</v>
      </c>
      <c r="B30" s="1869">
        <v>72726.195051802628</v>
      </c>
      <c r="C30" s="1869">
        <v>670.80491027101834</v>
      </c>
      <c r="D30" s="1869">
        <v>61326.907620646489</v>
      </c>
      <c r="E30" s="1869">
        <v>932.65035379321841</v>
      </c>
      <c r="F30" s="1869">
        <v>5537.7853865267034</v>
      </c>
      <c r="G30" s="1869">
        <v>526.66833764936348</v>
      </c>
      <c r="H30" s="1869">
        <v>1792.2558805502115</v>
      </c>
      <c r="I30" s="1878">
        <v>1939.1225623656337</v>
      </c>
      <c r="M30" s="12">
        <f t="shared" si="0"/>
        <v>1.028615010765539</v>
      </c>
      <c r="N30" s="12">
        <f t="shared" si="3"/>
        <v>1.7338674674051513</v>
      </c>
      <c r="O30" s="12">
        <f t="shared" si="2"/>
        <v>9.7856337334720074</v>
      </c>
    </row>
    <row r="31" spans="1:15">
      <c r="A31" s="395">
        <v>2004</v>
      </c>
      <c r="B31" s="1869">
        <v>73801.449905629677</v>
      </c>
      <c r="C31" s="1869">
        <v>687.1363536405114</v>
      </c>
      <c r="D31" s="1869">
        <v>61919.915140971701</v>
      </c>
      <c r="E31" s="1869">
        <v>925.51820468387564</v>
      </c>
      <c r="F31" s="1869">
        <v>5866.794884142937</v>
      </c>
      <c r="G31" s="1869">
        <v>514.79059142914309</v>
      </c>
      <c r="H31" s="1869">
        <v>1772.9551575790856</v>
      </c>
      <c r="I31" s="1878">
        <v>2114.3395731824289</v>
      </c>
      <c r="M31" s="12">
        <f t="shared" si="0"/>
        <v>1.0848560057266208</v>
      </c>
      <c r="N31" s="12">
        <f t="shared" si="3"/>
        <v>1.7288539520165767</v>
      </c>
      <c r="O31" s="12">
        <f t="shared" si="2"/>
        <v>9.6114847374031331</v>
      </c>
    </row>
    <row r="32" spans="1:15">
      <c r="A32" s="395">
        <v>2005</v>
      </c>
      <c r="B32" s="1869">
        <v>74620.059335706639</v>
      </c>
      <c r="C32" s="1869">
        <v>706.58464638549037</v>
      </c>
      <c r="D32" s="1869">
        <v>62059.262015010034</v>
      </c>
      <c r="E32" s="1869">
        <v>925.35498290836961</v>
      </c>
      <c r="F32" s="1869">
        <v>6365.1612954749662</v>
      </c>
      <c r="G32" s="1869">
        <v>498.86685497046028</v>
      </c>
      <c r="H32" s="1869">
        <v>1748.6859153075698</v>
      </c>
      <c r="I32" s="1878">
        <v>2316.1436256497532</v>
      </c>
      <c r="M32" s="12">
        <f t="shared" si="0"/>
        <v>1.1084305383741819</v>
      </c>
      <c r="N32" s="12">
        <f t="shared" si="3"/>
        <v>1.7309197130642455</v>
      </c>
      <c r="O32" s="12">
        <f t="shared" si="2"/>
        <v>9.4666373033055056</v>
      </c>
    </row>
    <row r="33" spans="1:18">
      <c r="A33" s="395">
        <v>2006</v>
      </c>
      <c r="B33" s="1869">
        <v>75257.092049616898</v>
      </c>
      <c r="C33" s="1869">
        <v>772.16790376300071</v>
      </c>
      <c r="D33" s="1869">
        <v>62147.719623984856</v>
      </c>
      <c r="E33" s="1869">
        <v>933.18666150304364</v>
      </c>
      <c r="F33" s="1869">
        <v>6749.8032082188392</v>
      </c>
      <c r="G33" s="1869">
        <v>494.15412210206046</v>
      </c>
      <c r="H33" s="1869">
        <v>1683.2475224254754</v>
      </c>
      <c r="I33" s="1878">
        <v>2476.8130076196248</v>
      </c>
      <c r="M33" s="12">
        <f t="shared" si="0"/>
        <v>1.079977548841442</v>
      </c>
      <c r="N33" s="12">
        <f t="shared" si="3"/>
        <v>1.7227639348279442</v>
      </c>
      <c r="O33" s="12">
        <f t="shared" si="2"/>
        <v>9.3481624467297948</v>
      </c>
    </row>
    <row r="34" spans="1:18">
      <c r="A34" s="395">
        <v>2007</v>
      </c>
      <c r="B34" s="1869">
        <v>77262.499727769027</v>
      </c>
      <c r="C34" s="1869">
        <v>848.34555463372863</v>
      </c>
      <c r="D34" s="1869">
        <v>63355.497643719791</v>
      </c>
      <c r="E34" s="1869">
        <v>941.7802537340749</v>
      </c>
      <c r="F34" s="1869">
        <v>7238.125823254074</v>
      </c>
      <c r="G34" s="1869">
        <v>487.51126358138799</v>
      </c>
      <c r="H34" s="1869">
        <v>1638.4983235706911</v>
      </c>
      <c r="I34" s="1878">
        <v>2752.740865275277</v>
      </c>
      <c r="M34" s="12">
        <f t="shared" si="0"/>
        <v>1.0528728477697242</v>
      </c>
      <c r="N34" s="12">
        <f t="shared" si="3"/>
        <v>1.7277856550914623</v>
      </c>
      <c r="O34" s="12">
        <f t="shared" si="2"/>
        <v>9.29723975222395</v>
      </c>
    </row>
    <row r="35" spans="1:18">
      <c r="A35" s="395">
        <v>2008</v>
      </c>
      <c r="B35" s="1869">
        <v>77325.363868179396</v>
      </c>
      <c r="C35" s="1869">
        <v>842.01849879045733</v>
      </c>
      <c r="D35" s="1869">
        <v>63276.561951988639</v>
      </c>
      <c r="E35" s="1869">
        <v>916.73647911625051</v>
      </c>
      <c r="F35" s="1869">
        <v>7434.842321929068</v>
      </c>
      <c r="G35" s="1869">
        <v>461.85947999732127</v>
      </c>
      <c r="H35" s="1869">
        <v>1497.1354532152993</v>
      </c>
      <c r="I35" s="1878">
        <v>2896.2096831423542</v>
      </c>
      <c r="M35" s="12">
        <f t="shared" si="0"/>
        <v>1.0659528279833703</v>
      </c>
      <c r="N35" s="12">
        <f t="shared" si="3"/>
        <v>1.7102602711271184</v>
      </c>
      <c r="O35" s="12">
        <f t="shared" si="2"/>
        <v>9.2992550164134542</v>
      </c>
    </row>
    <row r="36" spans="1:18">
      <c r="A36" s="395">
        <v>2009</v>
      </c>
      <c r="B36" s="1869">
        <v>76714.330398137739</v>
      </c>
      <c r="C36" s="1869">
        <v>817.34843474495801</v>
      </c>
      <c r="D36" s="1869">
        <v>62946.264745977103</v>
      </c>
      <c r="E36" s="1869">
        <v>923.87058358891079</v>
      </c>
      <c r="F36" s="1869">
        <v>7447.8694616106595</v>
      </c>
      <c r="G36" s="1869">
        <v>426.57221423227236</v>
      </c>
      <c r="H36" s="1869">
        <v>1299.1602190934682</v>
      </c>
      <c r="I36" s="1878">
        <v>2853.2447388903634</v>
      </c>
      <c r="M36" s="12">
        <f t="shared" si="0"/>
        <v>1.1321462924055699</v>
      </c>
      <c r="N36" s="12">
        <f t="shared" si="3"/>
        <v>1.7212041165147012</v>
      </c>
      <c r="O36" s="12">
        <f t="shared" si="2"/>
        <v>9.2240536687677874</v>
      </c>
    </row>
    <row r="37" spans="1:18">
      <c r="A37" s="395">
        <v>2010</v>
      </c>
      <c r="B37" s="926">
        <v>76731.286773427375</v>
      </c>
      <c r="C37" s="926">
        <v>749.27454912295207</v>
      </c>
      <c r="D37" s="926">
        <v>62798.156169542759</v>
      </c>
      <c r="E37" s="926">
        <v>937.3842463846629</v>
      </c>
      <c r="F37" s="926">
        <v>7587.6116076760227</v>
      </c>
      <c r="G37" s="926">
        <v>409.01517106186009</v>
      </c>
      <c r="H37" s="926">
        <v>1257.9341385393502</v>
      </c>
      <c r="I37" s="2468">
        <v>2991.9108910997797</v>
      </c>
      <c r="J37" s="170">
        <f>SUM(G37:I37)</f>
        <v>4658.8602007009904</v>
      </c>
      <c r="M37" s="1523">
        <f>D110*1000/C37</f>
        <v>1.2213947491893615</v>
      </c>
      <c r="N37" s="1523">
        <f t="shared" si="3"/>
        <v>1.7189998335071497</v>
      </c>
      <c r="O37" s="1523">
        <f>E110*1000/E37</f>
        <v>9.1327129396134676</v>
      </c>
      <c r="R37" s="754">
        <f>(B190*1000)/SUM(G37:I37)</f>
        <v>7.7858419092597364</v>
      </c>
    </row>
    <row r="38" spans="1:18" ht="16.2">
      <c r="A38" s="1879" t="s">
        <v>1333</v>
      </c>
      <c r="B38" s="1869">
        <v>77788.532585733803</v>
      </c>
      <c r="C38" s="1869">
        <v>740.29151444460786</v>
      </c>
      <c r="D38" s="1869">
        <v>63388.944799975121</v>
      </c>
      <c r="E38" s="1869">
        <v>964.68118271842138</v>
      </c>
      <c r="F38" s="1869">
        <v>7990.7873560744492</v>
      </c>
      <c r="G38" s="1869">
        <v>400.56802540617088</v>
      </c>
      <c r="H38" s="1869">
        <v>1200.2364053344525</v>
      </c>
      <c r="I38" s="1878">
        <v>3103.023301780579</v>
      </c>
      <c r="M38" s="12">
        <f t="shared" si="0"/>
        <v>1.2286619287840808</v>
      </c>
      <c r="N38" s="12">
        <f t="shared" si="3"/>
        <v>1.7226631606595675</v>
      </c>
      <c r="O38" s="12">
        <f t="shared" si="2"/>
        <v>9.0496219439041141</v>
      </c>
    </row>
    <row r="39" spans="1:18" ht="16.2">
      <c r="A39" s="1879" t="s">
        <v>1334</v>
      </c>
      <c r="B39" s="1869">
        <v>77275.791257117438</v>
      </c>
      <c r="C39" s="1869">
        <v>622.79428692419447</v>
      </c>
      <c r="D39" s="1869">
        <v>63006.021448664789</v>
      </c>
      <c r="E39" s="1869">
        <v>952.31315625884429</v>
      </c>
      <c r="F39" s="1869">
        <v>8106.1676425852065</v>
      </c>
      <c r="G39" s="1869">
        <v>377.4361919255665</v>
      </c>
      <c r="H39" s="1869">
        <v>1083.0195918659256</v>
      </c>
      <c r="I39" s="1878">
        <v>3128.0389388929179</v>
      </c>
      <c r="M39" s="12">
        <f t="shared" si="0"/>
        <v>1.4187965831366491</v>
      </c>
      <c r="N39" s="12">
        <f t="shared" si="3"/>
        <v>1.7394556376248445</v>
      </c>
      <c r="O39" s="12">
        <f t="shared" si="2"/>
        <v>9.0845555879099962</v>
      </c>
    </row>
    <row r="40" spans="1:18" ht="16.2">
      <c r="A40" s="1879" t="s">
        <v>1335</v>
      </c>
      <c r="B40" s="1869">
        <v>77764.82447999384</v>
      </c>
      <c r="C40" s="1869">
        <v>691.41923268459118</v>
      </c>
      <c r="D40" s="1869">
        <v>63275.152583929965</v>
      </c>
      <c r="E40" s="1869">
        <v>970.34647403863562</v>
      </c>
      <c r="F40" s="1869">
        <v>8173.1341849750925</v>
      </c>
      <c r="G40" s="1869">
        <v>362.14981669448622</v>
      </c>
      <c r="H40" s="1869">
        <v>1046.9172868318312</v>
      </c>
      <c r="I40" s="1878">
        <v>3245.704900839236</v>
      </c>
      <c r="M40" s="12">
        <f t="shared" si="0"/>
        <v>1.3359652448351076</v>
      </c>
      <c r="N40" s="12">
        <f t="shared" si="3"/>
        <v>1.7000392216120237</v>
      </c>
      <c r="O40" s="12">
        <f t="shared" si="2"/>
        <v>8.9304111123746051</v>
      </c>
    </row>
    <row r="41" spans="1:18" ht="16.2">
      <c r="A41" s="1880" t="s">
        <v>1336</v>
      </c>
      <c r="B41" s="1881">
        <v>79227.264387095624</v>
      </c>
      <c r="C41" s="1881">
        <v>665.34878263817006</v>
      </c>
      <c r="D41" s="1881">
        <v>64521.446377427856</v>
      </c>
      <c r="E41" s="1881">
        <v>969.18130478741898</v>
      </c>
      <c r="F41" s="1881">
        <v>8395.5337641232018</v>
      </c>
      <c r="G41" s="1881">
        <v>355.12037530286557</v>
      </c>
      <c r="H41" s="1881">
        <v>998.26545572415955</v>
      </c>
      <c r="I41" s="1882">
        <v>3322.3683270919541</v>
      </c>
      <c r="M41" s="12">
        <f t="shared" si="0"/>
        <v>1.398040494931464</v>
      </c>
      <c r="N41" s="12">
        <f t="shared" si="3"/>
        <v>1.780098776082544</v>
      </c>
      <c r="O41" s="12">
        <f>E114*1000/E41</f>
        <v>8.9297582909269053</v>
      </c>
    </row>
    <row r="48" spans="1:18">
      <c r="A48" s="1673" t="s">
        <v>1396</v>
      </c>
      <c r="B48" s="1674"/>
      <c r="C48" s="400"/>
      <c r="D48" s="400"/>
      <c r="E48" s="400"/>
      <c r="F48" s="400"/>
      <c r="G48" s="400"/>
      <c r="H48" s="400"/>
      <c r="I48" s="400"/>
      <c r="J48" s="400"/>
      <c r="K48" s="400"/>
      <c r="L48" s="400"/>
      <c r="M48" s="400"/>
      <c r="N48" s="400"/>
      <c r="O48" s="401"/>
    </row>
    <row r="49" spans="1:17" ht="40.200000000000003" thickBot="1">
      <c r="A49" s="1850"/>
      <c r="B49" s="1851"/>
      <c r="C49" s="1844" t="s">
        <v>1397</v>
      </c>
      <c r="D49" s="1845" t="s">
        <v>1316</v>
      </c>
      <c r="E49" s="1845" t="s">
        <v>1318</v>
      </c>
      <c r="F49" s="1845" t="s">
        <v>1398</v>
      </c>
      <c r="G49" s="1845" t="s">
        <v>1399</v>
      </c>
      <c r="H49" s="1845" t="s">
        <v>1400</v>
      </c>
      <c r="I49" s="1845" t="s">
        <v>1401</v>
      </c>
      <c r="J49" s="1845" t="s">
        <v>1402</v>
      </c>
      <c r="K49" s="1845" t="s">
        <v>1403</v>
      </c>
      <c r="L49" s="1845" t="s">
        <v>1404</v>
      </c>
      <c r="M49" s="1845" t="s">
        <v>1405</v>
      </c>
      <c r="N49" s="1845" t="s">
        <v>625</v>
      </c>
      <c r="O49" s="1852" t="s">
        <v>1406</v>
      </c>
      <c r="P49" s="1002"/>
      <c r="Q49" s="1002"/>
    </row>
    <row r="50" spans="1:17">
      <c r="A50" s="1750">
        <v>1950</v>
      </c>
      <c r="B50" s="1751"/>
      <c r="C50" s="1846">
        <v>3.8676900000000001</v>
      </c>
      <c r="D50" s="1847">
        <v>0.47473813923714409</v>
      </c>
      <c r="E50" s="1847">
        <v>2.9</v>
      </c>
      <c r="F50" s="1853">
        <f>SUM(C50:E50)</f>
        <v>7.2424281392371448</v>
      </c>
      <c r="G50" s="1847">
        <v>6.6</v>
      </c>
      <c r="H50" s="1847">
        <v>1</v>
      </c>
      <c r="I50" s="1847" t="s">
        <v>218</v>
      </c>
      <c r="J50" s="1853">
        <f>SUM(G50:I50)</f>
        <v>7.6</v>
      </c>
      <c r="K50" s="1847" t="s">
        <v>218</v>
      </c>
      <c r="L50" s="1847" t="s">
        <v>218</v>
      </c>
      <c r="M50" s="1847">
        <v>3.4364125519999997</v>
      </c>
      <c r="N50" s="1853">
        <f>SUM(F50,J50,K50,L50,M50)</f>
        <v>18.278840691237143</v>
      </c>
      <c r="O50" s="1854" t="s">
        <v>218</v>
      </c>
    </row>
    <row r="51" spans="1:17">
      <c r="A51" s="1750">
        <v>1951</v>
      </c>
      <c r="B51" s="1751"/>
      <c r="C51" s="1846">
        <v>5.1597400000000002</v>
      </c>
      <c r="D51" s="1847">
        <v>0.61526578882206173</v>
      </c>
      <c r="E51" s="1847">
        <v>3.5</v>
      </c>
      <c r="F51" s="1853">
        <f t="shared" ref="F51:F111" si="4">SUM(C51:E51)</f>
        <v>9.2750057888220621</v>
      </c>
      <c r="G51" s="1847">
        <v>6.5</v>
      </c>
      <c r="H51" s="1847">
        <v>1</v>
      </c>
      <c r="I51" s="1847" t="s">
        <v>218</v>
      </c>
      <c r="J51" s="1853">
        <f t="shared" ref="J51:J114" si="5">SUM(G51:I51)</f>
        <v>7.5</v>
      </c>
      <c r="K51" s="1847" t="s">
        <v>218</v>
      </c>
      <c r="L51" s="1847" t="s">
        <v>218</v>
      </c>
      <c r="M51" s="1847">
        <v>3.4586720864</v>
      </c>
      <c r="N51" s="1853">
        <f>SUM(F51,J51,K51,L51,M51)</f>
        <v>20.233677875222064</v>
      </c>
      <c r="O51" s="1854" t="s">
        <v>218</v>
      </c>
    </row>
    <row r="52" spans="1:17">
      <c r="A52" s="1750">
        <v>1952</v>
      </c>
      <c r="B52" s="1751"/>
      <c r="C52" s="1846">
        <v>5.9764799999999996</v>
      </c>
      <c r="D52" s="1847">
        <v>0.69779767316961838</v>
      </c>
      <c r="E52" s="1847">
        <v>3.8</v>
      </c>
      <c r="F52" s="1853">
        <f t="shared" si="4"/>
        <v>10.474277673169617</v>
      </c>
      <c r="G52" s="1847">
        <v>6.3</v>
      </c>
      <c r="H52" s="1847">
        <v>1</v>
      </c>
      <c r="I52" s="1847" t="s">
        <v>218</v>
      </c>
      <c r="J52" s="1853">
        <f t="shared" si="5"/>
        <v>7.3</v>
      </c>
      <c r="K52" s="1847" t="s">
        <v>218</v>
      </c>
      <c r="L52" s="1847" t="s">
        <v>218</v>
      </c>
      <c r="M52" s="1847">
        <v>3.4809316207999994</v>
      </c>
      <c r="N52" s="1853">
        <f t="shared" ref="N52:N114" si="6">SUM(F52,J52,K52,L52,M52)</f>
        <v>21.255209293969617</v>
      </c>
      <c r="O52" s="1854" t="s">
        <v>218</v>
      </c>
    </row>
    <row r="53" spans="1:17">
      <c r="A53" s="1750">
        <v>1953</v>
      </c>
      <c r="B53" s="1751"/>
      <c r="C53" s="1846">
        <v>7.4613100000000001</v>
      </c>
      <c r="D53" s="1847">
        <v>0.82512390832283355</v>
      </c>
      <c r="E53" s="1847">
        <v>4.0999999999999996</v>
      </c>
      <c r="F53" s="1853">
        <f t="shared" si="4"/>
        <v>12.386433908322834</v>
      </c>
      <c r="G53" s="1847">
        <v>6.1</v>
      </c>
      <c r="H53" s="1847">
        <v>1.1000000000000001</v>
      </c>
      <c r="I53" s="1847" t="s">
        <v>218</v>
      </c>
      <c r="J53" s="1853">
        <f t="shared" si="5"/>
        <v>7.1999999999999993</v>
      </c>
      <c r="K53" s="1847" t="s">
        <v>218</v>
      </c>
      <c r="L53" s="1847" t="s">
        <v>218</v>
      </c>
      <c r="M53" s="1847">
        <v>3.5031911551999997</v>
      </c>
      <c r="N53" s="1853">
        <f t="shared" si="6"/>
        <v>23.089625063522831</v>
      </c>
      <c r="O53" s="1854" t="s">
        <v>218</v>
      </c>
    </row>
    <row r="54" spans="1:17">
      <c r="A54" s="1750">
        <v>1954</v>
      </c>
      <c r="B54" s="1751"/>
      <c r="C54" s="1846">
        <v>9.5010999999999992</v>
      </c>
      <c r="D54" s="1847">
        <v>0.9403667718910399</v>
      </c>
      <c r="E54" s="1847">
        <v>4.4000000000000004</v>
      </c>
      <c r="F54" s="1853">
        <f t="shared" si="4"/>
        <v>14.841466771891039</v>
      </c>
      <c r="G54" s="1847">
        <v>6.1</v>
      </c>
      <c r="H54" s="1847">
        <v>1.1000000000000001</v>
      </c>
      <c r="I54" s="1847" t="s">
        <v>218</v>
      </c>
      <c r="J54" s="1853">
        <f t="shared" si="5"/>
        <v>7.1999999999999993</v>
      </c>
      <c r="K54" s="1847" t="s">
        <v>218</v>
      </c>
      <c r="L54" s="1847" t="s">
        <v>218</v>
      </c>
      <c r="M54" s="1847">
        <v>3.5254506895999995</v>
      </c>
      <c r="N54" s="1853">
        <f t="shared" si="6"/>
        <v>25.566917461491037</v>
      </c>
      <c r="O54" s="1854" t="s">
        <v>218</v>
      </c>
    </row>
    <row r="55" spans="1:17">
      <c r="A55" s="1750">
        <v>1955</v>
      </c>
      <c r="B55" s="1751"/>
      <c r="C55" s="1846">
        <v>11.48922</v>
      </c>
      <c r="D55" s="1847">
        <v>0.97065897866084117</v>
      </c>
      <c r="E55" s="1847">
        <v>4.4000000000000004</v>
      </c>
      <c r="F55" s="1853">
        <f t="shared" si="4"/>
        <v>16.859878978660841</v>
      </c>
      <c r="G55" s="1847">
        <v>6.2</v>
      </c>
      <c r="H55" s="1847">
        <v>1.1000000000000001</v>
      </c>
      <c r="I55" s="1847" t="s">
        <v>218</v>
      </c>
      <c r="J55" s="1853">
        <f t="shared" si="5"/>
        <v>7.3000000000000007</v>
      </c>
      <c r="K55" s="1847" t="s">
        <v>218</v>
      </c>
      <c r="L55" s="1847" t="s">
        <v>218</v>
      </c>
      <c r="M55" s="1847">
        <v>3.5477102239999994</v>
      </c>
      <c r="N55" s="1853">
        <f t="shared" si="6"/>
        <v>27.707589202660841</v>
      </c>
      <c r="O55" s="1854" t="s">
        <v>218</v>
      </c>
    </row>
    <row r="56" spans="1:17">
      <c r="A56" s="1750">
        <v>1956</v>
      </c>
      <c r="B56" s="1751"/>
      <c r="C56" s="1846">
        <v>13.57302</v>
      </c>
      <c r="D56" s="1847">
        <v>0.95624532816569618</v>
      </c>
      <c r="E56" s="1847">
        <v>4.5999999999999996</v>
      </c>
      <c r="F56" s="1853">
        <f t="shared" si="4"/>
        <v>19.129265328165694</v>
      </c>
      <c r="G56" s="1847">
        <v>6.2</v>
      </c>
      <c r="H56" s="1847">
        <v>1.1000000000000001</v>
      </c>
      <c r="I56" s="1847" t="s">
        <v>218</v>
      </c>
      <c r="J56" s="1853">
        <f t="shared" si="5"/>
        <v>7.3000000000000007</v>
      </c>
      <c r="K56" s="1847" t="s">
        <v>218</v>
      </c>
      <c r="L56" s="1847" t="s">
        <v>218</v>
      </c>
      <c r="M56" s="1847">
        <v>3.5699697583999996</v>
      </c>
      <c r="N56" s="1853">
        <f t="shared" si="6"/>
        <v>29.999235086565694</v>
      </c>
      <c r="O56" s="1854" t="s">
        <v>218</v>
      </c>
    </row>
    <row r="57" spans="1:17">
      <c r="A57" s="1750">
        <v>1957</v>
      </c>
      <c r="B57" s="1751"/>
      <c r="C57" s="1846">
        <v>16.34591</v>
      </c>
      <c r="D57" s="1847">
        <v>0.95383514053641838</v>
      </c>
      <c r="E57" s="1847">
        <v>4.9000000000000004</v>
      </c>
      <c r="F57" s="1853">
        <f t="shared" si="4"/>
        <v>22.199745140536422</v>
      </c>
      <c r="G57" s="1847">
        <v>5.6</v>
      </c>
      <c r="H57" s="1847">
        <v>1.1000000000000001</v>
      </c>
      <c r="I57" s="1847" t="s">
        <v>218</v>
      </c>
      <c r="J57" s="1853">
        <f t="shared" si="5"/>
        <v>6.6999999999999993</v>
      </c>
      <c r="K57" s="1847">
        <v>0.10199999999999999</v>
      </c>
      <c r="L57" s="1847" t="s">
        <v>218</v>
      </c>
      <c r="M57" s="1847">
        <v>3.5922292927999995</v>
      </c>
      <c r="N57" s="1853">
        <f t="shared" si="6"/>
        <v>32.59397443333642</v>
      </c>
      <c r="O57" s="1854" t="s">
        <v>218</v>
      </c>
    </row>
    <row r="58" spans="1:17">
      <c r="A58" s="1750">
        <v>1958</v>
      </c>
      <c r="B58" s="1751"/>
      <c r="C58" s="1846">
        <v>18.89799</v>
      </c>
      <c r="D58" s="1847">
        <v>0.90901718688587463</v>
      </c>
      <c r="E58" s="1847">
        <v>5.3</v>
      </c>
      <c r="F58" s="1853">
        <f t="shared" si="4"/>
        <v>25.107007186885877</v>
      </c>
      <c r="G58" s="1847">
        <v>5.3</v>
      </c>
      <c r="H58" s="1847">
        <v>1.3</v>
      </c>
      <c r="I58" s="1847" t="s">
        <v>218</v>
      </c>
      <c r="J58" s="1853">
        <f t="shared" si="5"/>
        <v>6.6</v>
      </c>
      <c r="K58" s="1847">
        <v>0.12</v>
      </c>
      <c r="L58" s="1847" t="s">
        <v>218</v>
      </c>
      <c r="M58" s="1847">
        <v>3.6144888271999993</v>
      </c>
      <c r="N58" s="1853">
        <f t="shared" si="6"/>
        <v>35.441496014085878</v>
      </c>
      <c r="O58" s="1854" t="s">
        <v>218</v>
      </c>
    </row>
    <row r="59" spans="1:17">
      <c r="A59" s="1750">
        <v>1959</v>
      </c>
      <c r="B59" s="1751"/>
      <c r="C59" s="1846">
        <v>21.650110000000002</v>
      </c>
      <c r="D59" s="1847">
        <v>0.84666698078388825</v>
      </c>
      <c r="E59" s="1847">
        <v>5.8</v>
      </c>
      <c r="F59" s="1853">
        <f t="shared" si="4"/>
        <v>28.296776980783889</v>
      </c>
      <c r="G59" s="1847">
        <v>5.0999999999999996</v>
      </c>
      <c r="H59" s="1847">
        <v>1.2</v>
      </c>
      <c r="I59" s="1847" t="s">
        <v>218</v>
      </c>
      <c r="J59" s="1853">
        <f t="shared" si="5"/>
        <v>6.3</v>
      </c>
      <c r="K59" s="1847">
        <v>0.14000000000000001</v>
      </c>
      <c r="L59" s="1847" t="s">
        <v>218</v>
      </c>
      <c r="M59" s="1847">
        <v>3.6367483615999991</v>
      </c>
      <c r="N59" s="1853">
        <f t="shared" si="6"/>
        <v>38.373525342383886</v>
      </c>
      <c r="O59" s="1854" t="s">
        <v>218</v>
      </c>
    </row>
    <row r="60" spans="1:17">
      <c r="A60" s="1750">
        <v>1960</v>
      </c>
      <c r="B60" s="1751"/>
      <c r="C60" s="1846">
        <v>24.39565</v>
      </c>
      <c r="D60" s="1847">
        <v>0.77256909255808726</v>
      </c>
      <c r="E60" s="1847">
        <v>6</v>
      </c>
      <c r="F60" s="1853">
        <f t="shared" si="4"/>
        <v>31.168219092558086</v>
      </c>
      <c r="G60" s="1847">
        <v>5.2</v>
      </c>
      <c r="H60" s="1847">
        <v>1.2</v>
      </c>
      <c r="I60" s="1847" t="s">
        <v>218</v>
      </c>
      <c r="J60" s="1853">
        <f t="shared" si="5"/>
        <v>6.4</v>
      </c>
      <c r="K60" s="1847">
        <v>0.155</v>
      </c>
      <c r="L60" s="1847" t="s">
        <v>218</v>
      </c>
      <c r="M60" s="1847">
        <v>3.6590078959999999</v>
      </c>
      <c r="N60" s="1853">
        <f t="shared" si="6"/>
        <v>41.382226988558088</v>
      </c>
      <c r="O60" s="1854" t="s">
        <v>218</v>
      </c>
    </row>
    <row r="61" spans="1:17">
      <c r="A61" s="1750">
        <v>1961</v>
      </c>
      <c r="B61" s="1751"/>
      <c r="C61" s="1846">
        <v>26.354410000000001</v>
      </c>
      <c r="D61" s="1847">
        <v>0.67769590952819647</v>
      </c>
      <c r="E61" s="1847">
        <v>6.2</v>
      </c>
      <c r="F61" s="1853">
        <f t="shared" si="4"/>
        <v>33.232105909528201</v>
      </c>
      <c r="G61" s="1847">
        <v>5.3</v>
      </c>
      <c r="H61" s="1847">
        <v>1.2</v>
      </c>
      <c r="I61" s="1847" t="s">
        <v>218</v>
      </c>
      <c r="J61" s="1853">
        <f t="shared" si="5"/>
        <v>6.5</v>
      </c>
      <c r="K61" s="1847">
        <v>0.21199999999999999</v>
      </c>
      <c r="L61" s="1847" t="s">
        <v>218</v>
      </c>
      <c r="M61" s="1847">
        <v>3.6874710815999996</v>
      </c>
      <c r="N61" s="1853">
        <f t="shared" si="6"/>
        <v>43.631576991128206</v>
      </c>
      <c r="O61" s="1854" t="s">
        <v>218</v>
      </c>
    </row>
    <row r="62" spans="1:17">
      <c r="A62" s="1750">
        <v>1962</v>
      </c>
      <c r="B62" s="1751"/>
      <c r="C62" s="1846">
        <v>29.386590000000002</v>
      </c>
      <c r="D62" s="1847">
        <v>0.60865671809932431</v>
      </c>
      <c r="E62" s="1847">
        <v>6.5</v>
      </c>
      <c r="F62" s="1853">
        <f t="shared" si="4"/>
        <v>36.495246718099324</v>
      </c>
      <c r="G62" s="1847">
        <v>5.4</v>
      </c>
      <c r="H62" s="1847">
        <v>1.2</v>
      </c>
      <c r="I62" s="1847" t="s">
        <v>218</v>
      </c>
      <c r="J62" s="1853">
        <f t="shared" si="5"/>
        <v>6.6000000000000005</v>
      </c>
      <c r="K62" s="1847">
        <v>0.26400000000000001</v>
      </c>
      <c r="L62" s="1847" t="s">
        <v>218</v>
      </c>
      <c r="M62" s="1847">
        <v>3.7159342672000002</v>
      </c>
      <c r="N62" s="1853">
        <f t="shared" si="6"/>
        <v>47.075180985299326</v>
      </c>
      <c r="O62" s="1854" t="s">
        <v>218</v>
      </c>
    </row>
    <row r="63" spans="1:17">
      <c r="A63" s="1750">
        <v>1963</v>
      </c>
      <c r="B63" s="1751"/>
      <c r="C63" s="1846">
        <v>31.01362</v>
      </c>
      <c r="D63" s="1847">
        <v>0.51237600397384508</v>
      </c>
      <c r="E63" s="1847">
        <v>6.4</v>
      </c>
      <c r="F63" s="1853">
        <f t="shared" si="4"/>
        <v>37.925996003973843</v>
      </c>
      <c r="G63" s="1847">
        <v>5.2</v>
      </c>
      <c r="H63" s="1847">
        <v>1.2</v>
      </c>
      <c r="I63" s="1847" t="s">
        <v>218</v>
      </c>
      <c r="J63" s="1853">
        <f t="shared" si="5"/>
        <v>6.4</v>
      </c>
      <c r="K63" s="1847">
        <v>0.26200000000000001</v>
      </c>
      <c r="L63" s="1847" t="s">
        <v>218</v>
      </c>
      <c r="M63" s="1847">
        <v>3.7443974528000004</v>
      </c>
      <c r="N63" s="1853">
        <f t="shared" si="6"/>
        <v>48.332393456773843</v>
      </c>
      <c r="O63" s="1854" t="s">
        <v>218</v>
      </c>
    </row>
    <row r="64" spans="1:17">
      <c r="A64" s="1750">
        <v>1964</v>
      </c>
      <c r="B64" s="1751"/>
      <c r="C64" s="1846">
        <v>35.181319999999999</v>
      </c>
      <c r="D64" s="1847">
        <v>0.46094048852577335</v>
      </c>
      <c r="E64" s="1847">
        <v>6.7</v>
      </c>
      <c r="F64" s="1853">
        <f t="shared" si="4"/>
        <v>42.342260488525774</v>
      </c>
      <c r="G64" s="1847">
        <v>5.4</v>
      </c>
      <c r="H64" s="1847">
        <v>1.2</v>
      </c>
      <c r="I64" s="1847" t="s">
        <v>218</v>
      </c>
      <c r="J64" s="1853">
        <f t="shared" si="5"/>
        <v>6.6000000000000005</v>
      </c>
      <c r="K64" s="1847">
        <v>0.30199999999999999</v>
      </c>
      <c r="L64" s="1847" t="s">
        <v>218</v>
      </c>
      <c r="M64" s="1847">
        <v>3.7728606384000005</v>
      </c>
      <c r="N64" s="1853">
        <f t="shared" si="6"/>
        <v>53.017121126925773</v>
      </c>
      <c r="O64" s="1854" t="s">
        <v>218</v>
      </c>
    </row>
    <row r="65" spans="1:15">
      <c r="A65" s="1750">
        <v>1965</v>
      </c>
      <c r="B65" s="1751"/>
      <c r="C65" s="1846">
        <v>39.308120000000002</v>
      </c>
      <c r="D65" s="1847">
        <v>0.39526715148724673</v>
      </c>
      <c r="E65" s="1847">
        <v>6.8</v>
      </c>
      <c r="F65" s="1853">
        <f t="shared" si="4"/>
        <v>46.503387151487246</v>
      </c>
      <c r="G65" s="1847">
        <v>5.3</v>
      </c>
      <c r="H65" s="1847">
        <v>1.2</v>
      </c>
      <c r="I65" s="1847" t="s">
        <v>218</v>
      </c>
      <c r="J65" s="1853">
        <f t="shared" si="5"/>
        <v>6.5</v>
      </c>
      <c r="K65" s="1847">
        <v>0.30299999999999999</v>
      </c>
      <c r="L65" s="1847" t="s">
        <v>218</v>
      </c>
      <c r="M65" s="1847">
        <v>3.8013238240000007</v>
      </c>
      <c r="N65" s="1853">
        <f t="shared" si="6"/>
        <v>57.107710975487244</v>
      </c>
      <c r="O65" s="1854" t="s">
        <v>218</v>
      </c>
    </row>
    <row r="66" spans="1:15">
      <c r="A66" s="1750">
        <v>1966</v>
      </c>
      <c r="B66" s="1751"/>
      <c r="C66" s="1846">
        <v>42.522289999999998</v>
      </c>
      <c r="D66" s="1847">
        <v>0.3125618756864626</v>
      </c>
      <c r="E66" s="1847">
        <v>7.4</v>
      </c>
      <c r="F66" s="1853">
        <f t="shared" si="4"/>
        <v>50.234851875686459</v>
      </c>
      <c r="G66" s="1847">
        <v>5.0999999999999996</v>
      </c>
      <c r="H66" s="1847">
        <v>1.2</v>
      </c>
      <c r="I66" s="1847" t="s">
        <v>218</v>
      </c>
      <c r="J66" s="1853">
        <f t="shared" si="5"/>
        <v>6.3</v>
      </c>
      <c r="K66" s="1847">
        <v>0.32100000000000001</v>
      </c>
      <c r="L66" s="1847" t="s">
        <v>218</v>
      </c>
      <c r="M66" s="1847">
        <v>3.8297870096000004</v>
      </c>
      <c r="N66" s="1853">
        <f t="shared" si="6"/>
        <v>60.685638885286451</v>
      </c>
      <c r="O66" s="1854" t="s">
        <v>218</v>
      </c>
    </row>
    <row r="67" spans="1:15">
      <c r="A67" s="1750">
        <v>1967</v>
      </c>
      <c r="B67" s="1751"/>
      <c r="C67" s="1846">
        <v>44.65795</v>
      </c>
      <c r="D67" s="1847">
        <v>0.25538354002366714</v>
      </c>
      <c r="E67" s="1847">
        <v>7.7</v>
      </c>
      <c r="F67" s="1853">
        <f t="shared" si="4"/>
        <v>52.613333540023667</v>
      </c>
      <c r="G67" s="1847">
        <v>4.8</v>
      </c>
      <c r="H67" s="1847">
        <v>1.2</v>
      </c>
      <c r="I67" s="1847" t="s">
        <v>218</v>
      </c>
      <c r="J67" s="1853">
        <f t="shared" si="5"/>
        <v>6</v>
      </c>
      <c r="K67" s="1847">
        <v>0.38500000000000001</v>
      </c>
      <c r="L67" s="1847" t="s">
        <v>218</v>
      </c>
      <c r="M67" s="1847">
        <v>3.8582501952000006</v>
      </c>
      <c r="N67" s="1853">
        <f t="shared" si="6"/>
        <v>62.856583735223666</v>
      </c>
      <c r="O67" s="1854" t="s">
        <v>218</v>
      </c>
    </row>
    <row r="68" spans="1:15">
      <c r="A68" s="1750">
        <v>1968</v>
      </c>
      <c r="B68" s="1751"/>
      <c r="C68" s="1846">
        <v>46.935009999999998</v>
      </c>
      <c r="D68" s="1847">
        <v>0.23231814383278079</v>
      </c>
      <c r="E68" s="1847">
        <v>7.9</v>
      </c>
      <c r="F68" s="1853">
        <f t="shared" si="4"/>
        <v>55.067328143832775</v>
      </c>
      <c r="G68" s="1847">
        <v>4.5999999999999996</v>
      </c>
      <c r="H68" s="1847">
        <v>1.2</v>
      </c>
      <c r="I68" s="1847" t="s">
        <v>218</v>
      </c>
      <c r="J68" s="1853">
        <f t="shared" si="5"/>
        <v>5.8</v>
      </c>
      <c r="K68" s="1847">
        <v>0.42199999999999999</v>
      </c>
      <c r="L68" s="1847" t="s">
        <v>218</v>
      </c>
      <c r="M68" s="1847">
        <v>3.8867133808000007</v>
      </c>
      <c r="N68" s="1853">
        <f t="shared" si="6"/>
        <v>65.176041524632765</v>
      </c>
      <c r="O68" s="1854" t="s">
        <v>218</v>
      </c>
    </row>
    <row r="69" spans="1:15">
      <c r="A69" s="1750">
        <v>1969</v>
      </c>
      <c r="B69" s="1751"/>
      <c r="C69" s="1846">
        <v>49.662880000000001</v>
      </c>
      <c r="D69" s="1847">
        <v>0.21908839709634789</v>
      </c>
      <c r="E69" s="1847">
        <v>8.3000000000000007</v>
      </c>
      <c r="F69" s="1853">
        <f t="shared" si="4"/>
        <v>58.181968397096355</v>
      </c>
      <c r="G69" s="1847">
        <v>4.8</v>
      </c>
      <c r="H69" s="1847">
        <v>1.2</v>
      </c>
      <c r="I69" s="1847" t="s">
        <v>218</v>
      </c>
      <c r="J69" s="1853">
        <f t="shared" si="5"/>
        <v>6</v>
      </c>
      <c r="K69" s="1847">
        <v>0.505</v>
      </c>
      <c r="L69" s="1847" t="s">
        <v>218</v>
      </c>
      <c r="M69" s="1847">
        <v>3.9151765664000009</v>
      </c>
      <c r="N69" s="1853">
        <f t="shared" si="6"/>
        <v>68.602144963496357</v>
      </c>
      <c r="O69" s="1854" t="s">
        <v>218</v>
      </c>
    </row>
    <row r="70" spans="1:15">
      <c r="A70" s="1750">
        <v>1970</v>
      </c>
      <c r="B70" s="1751"/>
      <c r="C70" s="1846">
        <v>52.736289999999997</v>
      </c>
      <c r="D70" s="1847">
        <v>0.21503304229383385</v>
      </c>
      <c r="E70" s="1847">
        <v>8.5</v>
      </c>
      <c r="F70" s="1853">
        <f t="shared" si="4"/>
        <v>61.451323042293829</v>
      </c>
      <c r="G70" s="1847">
        <v>4.5999999999999996</v>
      </c>
      <c r="H70" s="1847">
        <v>1.1000000000000001</v>
      </c>
      <c r="I70" s="1847" t="s">
        <v>218</v>
      </c>
      <c r="J70" s="1853">
        <f t="shared" si="5"/>
        <v>5.6999999999999993</v>
      </c>
      <c r="K70" s="1847">
        <v>0.56699999999999995</v>
      </c>
      <c r="L70" s="1847" t="s">
        <v>218</v>
      </c>
      <c r="M70" s="1847">
        <v>3.9436397520000002</v>
      </c>
      <c r="N70" s="1853">
        <f t="shared" si="6"/>
        <v>71.661962794293814</v>
      </c>
      <c r="O70" s="1854" t="s">
        <v>218</v>
      </c>
    </row>
    <row r="71" spans="1:15">
      <c r="A71" s="1750">
        <v>1971</v>
      </c>
      <c r="B71" s="1751"/>
      <c r="C71" s="1846">
        <v>55.87426</v>
      </c>
      <c r="D71" s="1847">
        <v>0.21709247457622197</v>
      </c>
      <c r="E71" s="1847">
        <v>8.5</v>
      </c>
      <c r="F71" s="1853">
        <f t="shared" si="4"/>
        <v>64.591352474576212</v>
      </c>
      <c r="G71" s="1847">
        <v>4</v>
      </c>
      <c r="H71" s="1847">
        <v>1.2</v>
      </c>
      <c r="I71" s="1847" t="s">
        <v>218</v>
      </c>
      <c r="J71" s="1853">
        <f t="shared" si="5"/>
        <v>5.2</v>
      </c>
      <c r="K71" s="1847">
        <v>0.67400000000000004</v>
      </c>
      <c r="L71" s="1847" t="s">
        <v>218</v>
      </c>
      <c r="M71" s="1847">
        <v>3.9551911024000002</v>
      </c>
      <c r="N71" s="1853">
        <f t="shared" si="6"/>
        <v>74.420543576976215</v>
      </c>
      <c r="O71" s="1854" t="s">
        <v>218</v>
      </c>
    </row>
    <row r="72" spans="1:15">
      <c r="A72" s="1750">
        <v>1972</v>
      </c>
      <c r="B72" s="1751"/>
      <c r="C72" s="1846">
        <v>59.029269999999997</v>
      </c>
      <c r="D72" s="1847">
        <v>0.22149530322085509</v>
      </c>
      <c r="E72" s="1847">
        <v>8.9</v>
      </c>
      <c r="F72" s="1853">
        <f t="shared" si="4"/>
        <v>68.150765303220851</v>
      </c>
      <c r="G72" s="1847">
        <v>4.5</v>
      </c>
      <c r="H72" s="1847">
        <v>1.2</v>
      </c>
      <c r="I72" s="1847" t="s">
        <v>218</v>
      </c>
      <c r="J72" s="1853">
        <f t="shared" si="5"/>
        <v>5.7</v>
      </c>
      <c r="K72" s="1847">
        <v>0.68400000000000005</v>
      </c>
      <c r="L72" s="1847" t="s">
        <v>218</v>
      </c>
      <c r="M72" s="1847">
        <v>3.9667424527999997</v>
      </c>
      <c r="N72" s="1853">
        <f t="shared" si="6"/>
        <v>78.501507756020857</v>
      </c>
      <c r="O72" s="1854" t="s">
        <v>218</v>
      </c>
    </row>
    <row r="73" spans="1:15">
      <c r="A73" s="1750">
        <v>1973</v>
      </c>
      <c r="B73" s="1751"/>
      <c r="C73" s="1846">
        <v>65.398250000000004</v>
      </c>
      <c r="D73" s="1847">
        <v>0.24520645449850734</v>
      </c>
      <c r="E73" s="1847">
        <v>9.6999999999999993</v>
      </c>
      <c r="F73" s="1853">
        <f t="shared" si="4"/>
        <v>75.343456454498508</v>
      </c>
      <c r="G73" s="1847">
        <v>4.5999999999999996</v>
      </c>
      <c r="H73" s="1847">
        <v>1.2</v>
      </c>
      <c r="I73" s="1847" t="s">
        <v>218</v>
      </c>
      <c r="J73" s="1853">
        <f t="shared" si="5"/>
        <v>5.8</v>
      </c>
      <c r="K73" s="1847">
        <v>0.73199999999999998</v>
      </c>
      <c r="L73" s="1847" t="s">
        <v>218</v>
      </c>
      <c r="M73" s="1847">
        <v>3.9782938031999997</v>
      </c>
      <c r="N73" s="1853">
        <f t="shared" si="6"/>
        <v>85.853750257698508</v>
      </c>
      <c r="O73" s="1854" t="s">
        <v>218</v>
      </c>
    </row>
    <row r="74" spans="1:15">
      <c r="A74" s="1750">
        <v>1974</v>
      </c>
      <c r="B74" s="1751"/>
      <c r="C74" s="1846">
        <v>62.592689999999997</v>
      </c>
      <c r="D74" s="1847">
        <v>0.23947675864219461</v>
      </c>
      <c r="E74" s="1847">
        <v>8.8000000000000007</v>
      </c>
      <c r="F74" s="1853">
        <f t="shared" si="4"/>
        <v>71.6321667586422</v>
      </c>
      <c r="G74" s="1847">
        <v>5.5</v>
      </c>
      <c r="H74" s="1847">
        <v>1.3</v>
      </c>
      <c r="I74" s="1847" t="s">
        <v>218</v>
      </c>
      <c r="J74" s="1853">
        <f t="shared" si="5"/>
        <v>6.8</v>
      </c>
      <c r="K74" s="1847">
        <v>0.79200000000000004</v>
      </c>
      <c r="L74" s="1847" t="s">
        <v>218</v>
      </c>
      <c r="M74" s="1847">
        <v>3.9898451535999993</v>
      </c>
      <c r="N74" s="1853">
        <f t="shared" si="6"/>
        <v>83.214011912242199</v>
      </c>
      <c r="O74" s="1854" t="s">
        <v>218</v>
      </c>
    </row>
    <row r="75" spans="1:15">
      <c r="A75" s="1750">
        <v>1975</v>
      </c>
      <c r="B75" s="1751"/>
      <c r="C75" s="1846">
        <v>64.057169999999999</v>
      </c>
      <c r="D75" s="1847">
        <v>0.23885715270937236</v>
      </c>
      <c r="E75" s="1847">
        <v>8.1</v>
      </c>
      <c r="F75" s="1853">
        <f t="shared" si="4"/>
        <v>72.396027152709365</v>
      </c>
      <c r="G75" s="1847">
        <v>5.6150000000000002</v>
      </c>
      <c r="H75" s="1847">
        <v>1.3</v>
      </c>
      <c r="I75" s="1847" t="s">
        <v>218</v>
      </c>
      <c r="J75" s="1853">
        <f t="shared" si="5"/>
        <v>6.915</v>
      </c>
      <c r="K75" s="1847">
        <v>0.80900000000000005</v>
      </c>
      <c r="L75" s="1847" t="s">
        <v>218</v>
      </c>
      <c r="M75" s="1847">
        <v>4.0013965039999997</v>
      </c>
      <c r="N75" s="1853">
        <f t="shared" si="6"/>
        <v>84.121423656709368</v>
      </c>
      <c r="O75" s="1854" t="s">
        <v>218</v>
      </c>
    </row>
    <row r="76" spans="1:15">
      <c r="A76" s="1750">
        <v>1976</v>
      </c>
      <c r="B76" s="1751"/>
      <c r="C76" s="1846">
        <v>69.329539999999994</v>
      </c>
      <c r="D76" s="1847">
        <v>0.24581919347026596</v>
      </c>
      <c r="E76" s="1847">
        <v>7.7</v>
      </c>
      <c r="F76" s="1853">
        <f t="shared" si="4"/>
        <v>77.275359193470265</v>
      </c>
      <c r="G76" s="1847">
        <v>5.617</v>
      </c>
      <c r="H76" s="1847">
        <v>1.4</v>
      </c>
      <c r="I76" s="1847" t="s">
        <v>218</v>
      </c>
      <c r="J76" s="1853">
        <f t="shared" si="5"/>
        <v>7.0169999999999995</v>
      </c>
      <c r="K76" s="1847">
        <v>0.92500000000000004</v>
      </c>
      <c r="L76" s="1847" t="s">
        <v>218</v>
      </c>
      <c r="M76" s="1847">
        <v>4.0129478543999992</v>
      </c>
      <c r="N76" s="1853">
        <f t="shared" si="6"/>
        <v>89.230307047870255</v>
      </c>
      <c r="O76" s="1854" t="s">
        <v>218</v>
      </c>
    </row>
    <row r="77" spans="1:15">
      <c r="A77" s="1750">
        <v>1977</v>
      </c>
      <c r="B77" s="1751"/>
      <c r="C77" s="1846">
        <v>72.793040000000005</v>
      </c>
      <c r="D77" s="1847">
        <v>0.24479029612779249</v>
      </c>
      <c r="E77" s="1847">
        <v>7.5</v>
      </c>
      <c r="F77" s="1853">
        <f t="shared" si="4"/>
        <v>80.537830296127794</v>
      </c>
      <c r="G77" s="1847">
        <v>5.5629999999999997</v>
      </c>
      <c r="H77" s="1847">
        <v>1.4</v>
      </c>
      <c r="I77" s="1847" t="s">
        <v>218</v>
      </c>
      <c r="J77" s="1853">
        <f t="shared" si="5"/>
        <v>6.9629999999999992</v>
      </c>
      <c r="K77" s="1847">
        <v>0.85599999999999998</v>
      </c>
      <c r="L77" s="1847" t="s">
        <v>218</v>
      </c>
      <c r="M77" s="1847">
        <v>4.0244992047999997</v>
      </c>
      <c r="N77" s="1853">
        <f t="shared" si="6"/>
        <v>92.381329500927777</v>
      </c>
      <c r="O77" s="1854" t="s">
        <v>218</v>
      </c>
    </row>
    <row r="78" spans="1:15">
      <c r="A78" s="1750">
        <v>1978</v>
      </c>
      <c r="B78" s="1751"/>
      <c r="C78" s="1846">
        <v>74.804209999999998</v>
      </c>
      <c r="D78" s="1847">
        <v>0.24305603913446458</v>
      </c>
      <c r="E78" s="1847">
        <v>7.4</v>
      </c>
      <c r="F78" s="1853">
        <f t="shared" si="4"/>
        <v>82.447266039134462</v>
      </c>
      <c r="G78" s="1847">
        <v>5.5570000000000004</v>
      </c>
      <c r="H78" s="1847">
        <v>1.3380000000000001</v>
      </c>
      <c r="I78" s="1847" t="s">
        <v>218</v>
      </c>
      <c r="J78" s="1853">
        <f t="shared" si="5"/>
        <v>6.8950000000000005</v>
      </c>
      <c r="K78" s="1847">
        <v>1.032</v>
      </c>
      <c r="L78" s="1847" t="s">
        <v>218</v>
      </c>
      <c r="M78" s="1847">
        <v>4.0360505551999992</v>
      </c>
      <c r="N78" s="1853">
        <f t="shared" si="6"/>
        <v>94.410316594334461</v>
      </c>
      <c r="O78" s="1854" t="s">
        <v>218</v>
      </c>
    </row>
    <row r="79" spans="1:15">
      <c r="A79" s="1750">
        <v>1979</v>
      </c>
      <c r="B79" s="1751"/>
      <c r="C79" s="1846">
        <v>76.306870000000004</v>
      </c>
      <c r="D79" s="1847">
        <v>0.25032414561059907</v>
      </c>
      <c r="E79" s="1847">
        <v>7.4</v>
      </c>
      <c r="F79" s="1853">
        <f t="shared" si="4"/>
        <v>83.957194145610615</v>
      </c>
      <c r="G79" s="1847">
        <v>6.2240000000000002</v>
      </c>
      <c r="H79" s="1847">
        <v>1.3979999999999999</v>
      </c>
      <c r="I79" s="1847" t="s">
        <v>218</v>
      </c>
      <c r="J79" s="1853">
        <f t="shared" si="5"/>
        <v>7.6219999999999999</v>
      </c>
      <c r="K79" s="1847">
        <v>1.3320000000000001</v>
      </c>
      <c r="L79" s="1847" t="s">
        <v>218</v>
      </c>
      <c r="M79" s="1847">
        <v>4.0476019055999988</v>
      </c>
      <c r="N79" s="1853">
        <f t="shared" si="6"/>
        <v>96.958796051210612</v>
      </c>
      <c r="O79" s="1854" t="s">
        <v>218</v>
      </c>
    </row>
    <row r="80" spans="1:15">
      <c r="A80" s="1750">
        <v>1980</v>
      </c>
      <c r="B80" s="1751"/>
      <c r="C80" s="1846">
        <v>76.825869999999995</v>
      </c>
      <c r="D80" s="1847">
        <v>0.27391532798155821</v>
      </c>
      <c r="E80" s="1847">
        <v>7.3</v>
      </c>
      <c r="F80" s="1853">
        <f t="shared" si="4"/>
        <v>84.399785327981547</v>
      </c>
      <c r="G80" s="1847">
        <v>6.9980000000000002</v>
      </c>
      <c r="H80" s="1847">
        <v>1.498</v>
      </c>
      <c r="I80" s="1847" t="s">
        <v>218</v>
      </c>
      <c r="J80" s="1853">
        <f t="shared" si="5"/>
        <v>8.4960000000000004</v>
      </c>
      <c r="K80" s="1847">
        <v>1.3859999999999999</v>
      </c>
      <c r="L80" s="1847" t="s">
        <v>218</v>
      </c>
      <c r="M80" s="1847">
        <v>4.0591532560000001</v>
      </c>
      <c r="N80" s="1853">
        <f t="shared" si="6"/>
        <v>98.34093858398154</v>
      </c>
      <c r="O80" s="1854" t="s">
        <v>218</v>
      </c>
    </row>
    <row r="81" spans="1:15">
      <c r="A81" s="1750">
        <v>1981</v>
      </c>
      <c r="B81" s="1751"/>
      <c r="C81" s="1846">
        <v>76.23621</v>
      </c>
      <c r="D81" s="1847">
        <v>0.32868508390992351</v>
      </c>
      <c r="E81" s="1847">
        <v>7.4</v>
      </c>
      <c r="F81" s="1853">
        <f t="shared" si="4"/>
        <v>83.964895083909923</v>
      </c>
      <c r="G81" s="1847">
        <v>7.0620000000000003</v>
      </c>
      <c r="H81" s="1847">
        <v>1.5009999999999999</v>
      </c>
      <c r="I81" s="1847" t="s">
        <v>218</v>
      </c>
      <c r="J81" s="1853">
        <f t="shared" si="5"/>
        <v>8.5630000000000006</v>
      </c>
      <c r="K81" s="1847">
        <v>1.597</v>
      </c>
      <c r="L81" s="1847" t="s">
        <v>218</v>
      </c>
      <c r="M81" s="1847">
        <v>4.0724606744000003</v>
      </c>
      <c r="N81" s="1853">
        <f t="shared" si="6"/>
        <v>98.197355758309925</v>
      </c>
      <c r="O81" s="1854" t="s">
        <v>218</v>
      </c>
    </row>
    <row r="82" spans="1:15">
      <c r="A82" s="1750">
        <v>1982</v>
      </c>
      <c r="B82" s="1751"/>
      <c r="C82" s="1846">
        <v>77.032229999999998</v>
      </c>
      <c r="D82" s="1847">
        <v>0.4114784485625943</v>
      </c>
      <c r="E82" s="1847">
        <v>7.5</v>
      </c>
      <c r="F82" s="1853">
        <f t="shared" si="4"/>
        <v>84.943708448562589</v>
      </c>
      <c r="G82" s="1847">
        <v>6.6950000000000003</v>
      </c>
      <c r="H82" s="1847">
        <v>1.5369999999999999</v>
      </c>
      <c r="I82" s="1847" t="s">
        <v>218</v>
      </c>
      <c r="J82" s="1853">
        <f t="shared" si="5"/>
        <v>8.2319999999999993</v>
      </c>
      <c r="K82" s="1847">
        <v>1.8</v>
      </c>
      <c r="L82" s="1847" t="s">
        <v>218</v>
      </c>
      <c r="M82" s="1847">
        <v>4.0857680927999995</v>
      </c>
      <c r="N82" s="1853">
        <f t="shared" si="6"/>
        <v>99.06147654136258</v>
      </c>
      <c r="O82" s="1854" t="s">
        <v>218</v>
      </c>
    </row>
    <row r="83" spans="1:15">
      <c r="A83" s="1750">
        <v>1983</v>
      </c>
      <c r="B83" s="1751"/>
      <c r="C83" s="1846">
        <v>78.161630000000002</v>
      </c>
      <c r="D83" s="1847">
        <v>0.49087455100065813</v>
      </c>
      <c r="E83" s="1847">
        <v>7.5</v>
      </c>
      <c r="F83" s="1853">
        <f t="shared" si="4"/>
        <v>86.152504551000661</v>
      </c>
      <c r="G83" s="1847">
        <v>6.7759999999999998</v>
      </c>
      <c r="H83" s="1847">
        <v>1.544</v>
      </c>
      <c r="I83" s="1847" t="s">
        <v>218</v>
      </c>
      <c r="J83" s="1853">
        <f t="shared" si="5"/>
        <v>8.32</v>
      </c>
      <c r="K83" s="1847">
        <v>1.9650000000000001</v>
      </c>
      <c r="L83" s="1847" t="s">
        <v>218</v>
      </c>
      <c r="M83" s="1847">
        <v>4.0990755112000006</v>
      </c>
      <c r="N83" s="1853">
        <f t="shared" si="6"/>
        <v>100.53658006220067</v>
      </c>
      <c r="O83" s="1854" t="s">
        <v>218</v>
      </c>
    </row>
    <row r="84" spans="1:15">
      <c r="A84" s="1750">
        <v>1984</v>
      </c>
      <c r="B84" s="1751"/>
      <c r="C84" s="1846">
        <v>78.831919999999997</v>
      </c>
      <c r="D84" s="1847">
        <v>0.53980683806686358</v>
      </c>
      <c r="E84" s="1847">
        <v>7.5</v>
      </c>
      <c r="F84" s="1853">
        <f t="shared" si="4"/>
        <v>86.871726838066863</v>
      </c>
      <c r="G84" s="1847">
        <v>6.7969999999999997</v>
      </c>
      <c r="H84" s="1847">
        <v>1.5209999999999999</v>
      </c>
      <c r="I84" s="1847" t="s">
        <v>218</v>
      </c>
      <c r="J84" s="1853">
        <f t="shared" si="5"/>
        <v>8.3179999999999996</v>
      </c>
      <c r="K84" s="1847">
        <v>2.2229999999999999</v>
      </c>
      <c r="L84" s="1847" t="s">
        <v>218</v>
      </c>
      <c r="M84" s="1847">
        <v>4.1123829296000007</v>
      </c>
      <c r="N84" s="1853">
        <f t="shared" si="6"/>
        <v>101.52510976766686</v>
      </c>
      <c r="O84" s="1854" t="s">
        <v>218</v>
      </c>
    </row>
    <row r="85" spans="1:15">
      <c r="A85" s="1750">
        <v>1985</v>
      </c>
      <c r="B85" s="1751"/>
      <c r="C85" s="1846">
        <v>81.242990000000006</v>
      </c>
      <c r="D85" s="1847">
        <v>0.54318599999999995</v>
      </c>
      <c r="E85" s="1847">
        <v>7.7</v>
      </c>
      <c r="F85" s="1853">
        <f t="shared" si="4"/>
        <v>89.486176000000015</v>
      </c>
      <c r="G85" s="1847">
        <v>6.9109999999999996</v>
      </c>
      <c r="H85" s="1847">
        <v>1.508</v>
      </c>
      <c r="I85" s="1847" t="s">
        <v>218</v>
      </c>
      <c r="J85" s="1853">
        <f t="shared" si="5"/>
        <v>8.4190000000000005</v>
      </c>
      <c r="K85" s="1847">
        <v>2.3140000000000001</v>
      </c>
      <c r="L85" s="1847" t="s">
        <v>218</v>
      </c>
      <c r="M85" s="1847">
        <v>4.1256903480000009</v>
      </c>
      <c r="N85" s="1853">
        <f t="shared" si="6"/>
        <v>104.34486634800001</v>
      </c>
      <c r="O85" s="1854" t="s">
        <v>218</v>
      </c>
    </row>
    <row r="86" spans="1:15">
      <c r="A86" s="1750">
        <v>1986</v>
      </c>
      <c r="B86" s="1751"/>
      <c r="C86" s="1846">
        <v>81.725899999999996</v>
      </c>
      <c r="D86" s="1847">
        <v>0.53498000000000001</v>
      </c>
      <c r="E86" s="1847">
        <v>7.9</v>
      </c>
      <c r="F86" s="1853">
        <f t="shared" si="4"/>
        <v>90.160880000000006</v>
      </c>
      <c r="G86" s="1847">
        <v>6.5709999999999997</v>
      </c>
      <c r="H86" s="1847">
        <v>1.4870000000000001</v>
      </c>
      <c r="I86" s="1847" t="s">
        <v>218</v>
      </c>
      <c r="J86" s="1853">
        <f t="shared" si="5"/>
        <v>8.0579999999999998</v>
      </c>
      <c r="K86" s="1847">
        <v>2.6779999999999999</v>
      </c>
      <c r="L86" s="1847" t="s">
        <v>218</v>
      </c>
      <c r="M86" s="1847">
        <v>4.1389977664000011</v>
      </c>
      <c r="N86" s="1853">
        <f t="shared" si="6"/>
        <v>105.03587776640001</v>
      </c>
      <c r="O86" s="1854" t="s">
        <v>218</v>
      </c>
    </row>
    <row r="87" spans="1:15">
      <c r="A87" s="1750">
        <v>1987</v>
      </c>
      <c r="B87" s="1751"/>
      <c r="C87" s="1846">
        <v>86.449020000000004</v>
      </c>
      <c r="D87" s="1847">
        <v>0.52185199999999998</v>
      </c>
      <c r="E87" s="1847">
        <v>8.3000000000000007</v>
      </c>
      <c r="F87" s="1853">
        <f t="shared" si="4"/>
        <v>95.270871999999997</v>
      </c>
      <c r="G87" s="1847">
        <v>6.4329999999999998</v>
      </c>
      <c r="H87" s="1847">
        <v>1.496</v>
      </c>
      <c r="I87" s="1847" t="s">
        <v>218</v>
      </c>
      <c r="J87" s="1853">
        <f t="shared" si="5"/>
        <v>7.9290000000000003</v>
      </c>
      <c r="K87" s="1847">
        <v>2.923</v>
      </c>
      <c r="L87" s="1847" t="s">
        <v>218</v>
      </c>
      <c r="M87" s="1847">
        <v>4.1523051848000012</v>
      </c>
      <c r="N87" s="1853">
        <f t="shared" si="6"/>
        <v>110.2751771848</v>
      </c>
      <c r="O87" s="1854" t="s">
        <v>218</v>
      </c>
    </row>
    <row r="88" spans="1:15">
      <c r="A88" s="1750">
        <v>1988</v>
      </c>
      <c r="B88" s="1751"/>
      <c r="C88" s="1846">
        <v>90.576419999999999</v>
      </c>
      <c r="D88" s="1847">
        <v>0.52900000000000003</v>
      </c>
      <c r="E88" s="1847">
        <v>9</v>
      </c>
      <c r="F88" s="1853">
        <f t="shared" si="4"/>
        <v>100.10542</v>
      </c>
      <c r="G88" s="1847">
        <v>6.6689999999999996</v>
      </c>
      <c r="H88" s="1847">
        <v>1.4</v>
      </c>
      <c r="I88" s="1847" t="s">
        <v>218</v>
      </c>
      <c r="J88" s="1853">
        <f t="shared" si="5"/>
        <v>8.0689999999999991</v>
      </c>
      <c r="K88" s="1847">
        <v>3.173</v>
      </c>
      <c r="L88" s="1847" t="s">
        <v>218</v>
      </c>
      <c r="M88" s="1847">
        <v>4.1656126032000023</v>
      </c>
      <c r="N88" s="1853">
        <f t="shared" si="6"/>
        <v>115.5130326032</v>
      </c>
      <c r="O88" s="1854" t="s">
        <v>218</v>
      </c>
    </row>
    <row r="89" spans="1:15">
      <c r="A89" s="1750">
        <v>1989</v>
      </c>
      <c r="B89" s="1751"/>
      <c r="C89" s="1846">
        <v>94.567430000000002</v>
      </c>
      <c r="D89" s="1847">
        <v>0.52325999999999995</v>
      </c>
      <c r="E89" s="1847">
        <v>10</v>
      </c>
      <c r="F89" s="1853">
        <f t="shared" si="4"/>
        <v>105.09069</v>
      </c>
      <c r="G89" s="1847">
        <v>6.6470000000000002</v>
      </c>
      <c r="H89" s="1847">
        <v>1.5</v>
      </c>
      <c r="I89" s="1847" t="s">
        <v>218</v>
      </c>
      <c r="J89" s="1853">
        <f t="shared" si="5"/>
        <v>8.1470000000000002</v>
      </c>
      <c r="K89" s="1847">
        <v>3.3079999999999998</v>
      </c>
      <c r="L89" s="1847" t="s">
        <v>218</v>
      </c>
      <c r="M89" s="1847">
        <v>4.1789200216000024</v>
      </c>
      <c r="N89" s="1853">
        <f t="shared" si="6"/>
        <v>120.72461002160001</v>
      </c>
      <c r="O89" s="1854" t="s">
        <v>218</v>
      </c>
    </row>
    <row r="90" spans="1:15">
      <c r="A90" s="1750">
        <v>1990</v>
      </c>
      <c r="B90" s="1751"/>
      <c r="C90" s="1846">
        <v>94.874420000000001</v>
      </c>
      <c r="D90" s="1847">
        <v>0.33083600000000002</v>
      </c>
      <c r="E90" s="1847">
        <v>9.6635653963577433</v>
      </c>
      <c r="F90" s="1853">
        <f t="shared" si="4"/>
        <v>104.86882139635775</v>
      </c>
      <c r="G90" s="1847">
        <v>6.6</v>
      </c>
      <c r="H90" s="1847">
        <v>1.5</v>
      </c>
      <c r="I90" s="1847" t="s">
        <v>218</v>
      </c>
      <c r="J90" s="1853">
        <f t="shared" si="5"/>
        <v>8.1</v>
      </c>
      <c r="K90" s="1847">
        <v>3.9237668999999999</v>
      </c>
      <c r="L90" s="1847" t="s">
        <v>218</v>
      </c>
      <c r="M90" s="1847">
        <v>4.1922274399999999</v>
      </c>
      <c r="N90" s="1853">
        <f t="shared" si="6"/>
        <v>121.08481573635774</v>
      </c>
      <c r="O90" s="1854" t="s">
        <v>218</v>
      </c>
    </row>
    <row r="91" spans="1:15">
      <c r="A91" s="1750">
        <v>1991</v>
      </c>
      <c r="B91" s="1751"/>
      <c r="C91" s="1846">
        <v>95.480469999999997</v>
      </c>
      <c r="D91" s="1847">
        <v>0.34803600000000001</v>
      </c>
      <c r="E91" s="1847">
        <v>9.6778711795402756</v>
      </c>
      <c r="F91" s="1853">
        <f t="shared" si="4"/>
        <v>105.50637717954027</v>
      </c>
      <c r="G91" s="1847">
        <v>5.9850000000000003</v>
      </c>
      <c r="H91" s="1847">
        <v>1.4</v>
      </c>
      <c r="I91" s="1847" t="s">
        <v>218</v>
      </c>
      <c r="J91" s="1853">
        <f t="shared" si="5"/>
        <v>7.3849999999999998</v>
      </c>
      <c r="K91" s="1847">
        <v>3.2439212999999998</v>
      </c>
      <c r="L91" s="1847" t="s">
        <v>218</v>
      </c>
      <c r="M91" s="1847">
        <v>4.2173560239999999</v>
      </c>
      <c r="N91" s="1853">
        <f t="shared" si="6"/>
        <v>120.35265450354026</v>
      </c>
      <c r="O91" s="1854" t="s">
        <v>218</v>
      </c>
    </row>
    <row r="92" spans="1:15">
      <c r="A92" s="1750">
        <v>1992</v>
      </c>
      <c r="B92" s="1751"/>
      <c r="C92" s="1846">
        <v>96.648820000000001</v>
      </c>
      <c r="D92" s="1847">
        <v>0.37359599999999998</v>
      </c>
      <c r="E92" s="1847">
        <v>9.6995793412478779</v>
      </c>
      <c r="F92" s="1853">
        <f t="shared" si="4"/>
        <v>106.72199534124789</v>
      </c>
      <c r="G92" s="1847">
        <v>5.9630000000000001</v>
      </c>
      <c r="H92" s="1847">
        <v>1.4</v>
      </c>
      <c r="I92" s="1847" t="s">
        <v>218</v>
      </c>
      <c r="J92" s="1853">
        <f t="shared" si="5"/>
        <v>7.3629999999999995</v>
      </c>
      <c r="K92" s="1847">
        <v>3.09</v>
      </c>
      <c r="L92" s="1847">
        <v>0.45963431786216602</v>
      </c>
      <c r="M92" s="1847">
        <v>4.2457019919999999</v>
      </c>
      <c r="N92" s="1853">
        <f t="shared" si="6"/>
        <v>121.88033165111005</v>
      </c>
      <c r="O92" s="1854" t="s">
        <v>218</v>
      </c>
    </row>
    <row r="93" spans="1:15">
      <c r="A93" s="1750">
        <v>1993</v>
      </c>
      <c r="B93" s="1751"/>
      <c r="C93" s="1846">
        <v>94.585080000000005</v>
      </c>
      <c r="D93" s="1847">
        <v>0.37341200000000002</v>
      </c>
      <c r="E93" s="1847">
        <v>9.4212064737659045</v>
      </c>
      <c r="F93" s="1853">
        <f t="shared" si="4"/>
        <v>104.37969847376591</v>
      </c>
      <c r="G93" s="1847">
        <v>6.4219999999999997</v>
      </c>
      <c r="H93" s="1847">
        <v>1.4</v>
      </c>
      <c r="I93" s="1847" t="s">
        <v>218</v>
      </c>
      <c r="J93" s="1853">
        <f t="shared" si="5"/>
        <v>7.8219999999999992</v>
      </c>
      <c r="K93" s="1847">
        <v>3.03</v>
      </c>
      <c r="L93" s="1847">
        <v>0.5237693389592124</v>
      </c>
      <c r="M93" s="1847">
        <v>4.2676131919999998</v>
      </c>
      <c r="N93" s="1853">
        <f t="shared" si="6"/>
        <v>120.02308100472513</v>
      </c>
      <c r="O93" s="1854" t="s">
        <v>218</v>
      </c>
    </row>
    <row r="94" spans="1:15">
      <c r="A94" s="1750">
        <v>1994</v>
      </c>
      <c r="B94" s="1751"/>
      <c r="C94" s="1846">
        <v>95.652979999999999</v>
      </c>
      <c r="D94" s="1847">
        <v>0.39798600000000001</v>
      </c>
      <c r="E94" s="1847">
        <v>9.5313567300668325</v>
      </c>
      <c r="F94" s="1853">
        <f t="shared" si="4"/>
        <v>105.58232273006683</v>
      </c>
      <c r="G94" s="1847">
        <v>6.5069999999999997</v>
      </c>
      <c r="H94" s="1847">
        <v>1.4</v>
      </c>
      <c r="I94" s="1847" t="s">
        <v>218</v>
      </c>
      <c r="J94" s="1853">
        <f t="shared" si="5"/>
        <v>7.907</v>
      </c>
      <c r="K94" s="1847">
        <v>3.14</v>
      </c>
      <c r="L94" s="1847">
        <v>0.59296765119549932</v>
      </c>
      <c r="M94" s="1847">
        <v>4.3023939280000008</v>
      </c>
      <c r="N94" s="1853">
        <f t="shared" si="6"/>
        <v>121.52468430926233</v>
      </c>
      <c r="O94" s="1854" t="s">
        <v>218</v>
      </c>
    </row>
    <row r="95" spans="1:15">
      <c r="A95" s="1750">
        <v>1995</v>
      </c>
      <c r="B95" s="1751"/>
      <c r="C95" s="1846">
        <v>96.725980000000007</v>
      </c>
      <c r="D95" s="1847">
        <v>0.40192499999999998</v>
      </c>
      <c r="E95" s="1847">
        <v>9.7031829883458602</v>
      </c>
      <c r="F95" s="1853">
        <f t="shared" si="4"/>
        <v>106.83108798834587</v>
      </c>
      <c r="G95" s="1847">
        <v>6.8390000000000004</v>
      </c>
      <c r="H95" s="1847">
        <v>1.4</v>
      </c>
      <c r="I95" s="1847" t="s">
        <v>218</v>
      </c>
      <c r="J95" s="1853">
        <f t="shared" si="5"/>
        <v>8.2390000000000008</v>
      </c>
      <c r="K95" s="1847">
        <v>2.96</v>
      </c>
      <c r="L95" s="1847">
        <v>0.57383966244725737</v>
      </c>
      <c r="M95" s="1847">
        <v>4.8612109999999999</v>
      </c>
      <c r="N95" s="1853">
        <f t="shared" si="6"/>
        <v>123.46513865079312</v>
      </c>
      <c r="O95" s="1854" t="s">
        <v>218</v>
      </c>
    </row>
    <row r="96" spans="1:15">
      <c r="A96" s="1750">
        <v>1996</v>
      </c>
      <c r="B96" s="1751"/>
      <c r="C96" s="1846">
        <v>97.124250000000004</v>
      </c>
      <c r="D96" s="1847">
        <v>0.40561399999999997</v>
      </c>
      <c r="E96" s="1847">
        <v>9.8158816424687956</v>
      </c>
      <c r="F96" s="1853">
        <f t="shared" si="4"/>
        <v>107.3457456424688</v>
      </c>
      <c r="G96" s="1847">
        <v>6.97</v>
      </c>
      <c r="H96" s="1847">
        <v>1.5</v>
      </c>
      <c r="I96" s="1847" t="s">
        <v>218</v>
      </c>
      <c r="J96" s="1853">
        <f t="shared" si="5"/>
        <v>8.4699999999999989</v>
      </c>
      <c r="K96" s="1847">
        <v>2.97</v>
      </c>
      <c r="L96" s="1847">
        <v>0.61997187060478209</v>
      </c>
      <c r="M96" s="1847">
        <v>4.3226550000000001</v>
      </c>
      <c r="N96" s="1853">
        <f t="shared" si="6"/>
        <v>123.72837251307358</v>
      </c>
      <c r="O96" s="1854" t="s">
        <v>218</v>
      </c>
    </row>
    <row r="97" spans="1:19">
      <c r="A97" s="1750">
        <v>1997</v>
      </c>
      <c r="B97" s="1751"/>
      <c r="C97" s="1846">
        <v>97.260679999999994</v>
      </c>
      <c r="D97" s="1847">
        <v>0.43091099999999999</v>
      </c>
      <c r="E97" s="1847">
        <v>9.8222182493582775</v>
      </c>
      <c r="F97" s="1853">
        <f t="shared" si="4"/>
        <v>107.51380924935826</v>
      </c>
      <c r="G97" s="1847">
        <v>7.0389999999999997</v>
      </c>
      <c r="H97" s="1847">
        <v>1.496</v>
      </c>
      <c r="I97" s="1847">
        <v>0.375</v>
      </c>
      <c r="J97" s="1853">
        <f t="shared" si="5"/>
        <v>8.91</v>
      </c>
      <c r="K97" s="1847">
        <v>3.08</v>
      </c>
      <c r="L97" s="1847">
        <v>0.65654008438818567</v>
      </c>
      <c r="M97" s="1847">
        <v>4.6959210000000002</v>
      </c>
      <c r="N97" s="1853">
        <f t="shared" si="6"/>
        <v>124.85627033374644</v>
      </c>
      <c r="O97" s="1855">
        <f>SUM(E97,J97,K97,L97)</f>
        <v>22.468758333746461</v>
      </c>
    </row>
    <row r="98" spans="1:19">
      <c r="A98" s="1750">
        <v>1998</v>
      </c>
      <c r="B98" s="1751"/>
      <c r="C98" s="1846">
        <v>98.038560000000004</v>
      </c>
      <c r="D98" s="1847">
        <v>0.43786399999999998</v>
      </c>
      <c r="E98" s="1847">
        <v>9.7775213602288478</v>
      </c>
      <c r="F98" s="1853">
        <f t="shared" si="4"/>
        <v>108.25394536022885</v>
      </c>
      <c r="G98" s="1847">
        <v>7.23</v>
      </c>
      <c r="H98" s="1847">
        <v>1.5049999999999999</v>
      </c>
      <c r="I98" s="1847">
        <v>0.374</v>
      </c>
      <c r="J98" s="1853">
        <f t="shared" si="5"/>
        <v>9.109</v>
      </c>
      <c r="K98" s="1847">
        <v>3.3</v>
      </c>
      <c r="L98" s="1847">
        <v>0.65316455696202536</v>
      </c>
      <c r="M98" s="1847">
        <v>4.5732400000000002</v>
      </c>
      <c r="N98" s="1853">
        <f t="shared" si="6"/>
        <v>125.88934991719087</v>
      </c>
      <c r="O98" s="1855">
        <f>SUM(E98,J98,K98,L98)</f>
        <v>22.839685917190874</v>
      </c>
    </row>
    <row r="99" spans="1:19">
      <c r="A99" s="1750">
        <v>1999</v>
      </c>
      <c r="B99" s="1856">
        <v>1</v>
      </c>
      <c r="C99" s="1846">
        <v>100.18352</v>
      </c>
      <c r="D99" s="1847">
        <v>0.48308400000000001</v>
      </c>
      <c r="E99" s="1848">
        <v>9.7557506258374396</v>
      </c>
      <c r="F99" s="1853">
        <f t="shared" si="4"/>
        <v>110.42235462583744</v>
      </c>
      <c r="G99" s="1847">
        <v>7.7009999999999996</v>
      </c>
      <c r="H99" s="1847">
        <v>1.526</v>
      </c>
      <c r="I99" s="1847">
        <v>0.38</v>
      </c>
      <c r="J99" s="1853">
        <f t="shared" si="5"/>
        <v>9.6070000000000011</v>
      </c>
      <c r="K99" s="1847">
        <v>3.49</v>
      </c>
      <c r="L99" s="1847">
        <v>0.68860759493670898</v>
      </c>
      <c r="M99" s="1847">
        <v>4.4900919999999998</v>
      </c>
      <c r="N99" s="1853">
        <f t="shared" si="6"/>
        <v>128.69805422077414</v>
      </c>
      <c r="O99" s="1855">
        <f>SUM(E99,J99,K99,L99)</f>
        <v>23.541358220774153</v>
      </c>
    </row>
    <row r="100" spans="1:19">
      <c r="A100" s="1750">
        <v>2000</v>
      </c>
      <c r="B100" s="1751"/>
      <c r="C100" s="1846">
        <v>101.41244</v>
      </c>
      <c r="D100" s="1847">
        <v>0.50684399999999996</v>
      </c>
      <c r="E100" s="1847">
        <v>9.4515166315415993</v>
      </c>
      <c r="F100" s="1853">
        <f t="shared" si="4"/>
        <v>111.3708006315416</v>
      </c>
      <c r="G100" s="1847">
        <v>8.2430000000000003</v>
      </c>
      <c r="H100" s="1847">
        <v>1.5880000000000001</v>
      </c>
      <c r="I100" s="1847">
        <v>0.39400000000000002</v>
      </c>
      <c r="J100" s="1853">
        <f t="shared" si="5"/>
        <v>10.225</v>
      </c>
      <c r="K100" s="1847">
        <v>3.62</v>
      </c>
      <c r="L100" s="1847">
        <v>0.8</v>
      </c>
      <c r="M100" s="1847">
        <v>4.4264159999999997</v>
      </c>
      <c r="N100" s="1853">
        <f t="shared" si="6"/>
        <v>130.44221663154158</v>
      </c>
      <c r="O100" s="1855">
        <f>SUM(E100,J100,K100,L100)</f>
        <v>24.096516631541601</v>
      </c>
    </row>
    <row r="101" spans="1:19">
      <c r="A101" s="1750">
        <v>2001</v>
      </c>
      <c r="B101" s="1751"/>
      <c r="C101" s="1846">
        <v>102.41913</v>
      </c>
      <c r="D101" s="1847">
        <v>0.568743</v>
      </c>
      <c r="E101" s="1847">
        <v>9.1926882788262798</v>
      </c>
      <c r="F101" s="1853">
        <f t="shared" si="4"/>
        <v>112.18056127882627</v>
      </c>
      <c r="G101" s="1847">
        <v>8.7319999999999993</v>
      </c>
      <c r="H101" s="1847">
        <v>1.581</v>
      </c>
      <c r="I101" s="1847">
        <v>0.41</v>
      </c>
      <c r="J101" s="1853">
        <f t="shared" si="5"/>
        <v>10.722999999999999</v>
      </c>
      <c r="K101" s="1847">
        <v>3.66</v>
      </c>
      <c r="L101" s="1847">
        <v>0.8</v>
      </c>
      <c r="M101" s="1847">
        <v>4.7465529999999996</v>
      </c>
      <c r="N101" s="1853">
        <f t="shared" si="6"/>
        <v>132.11011427882627</v>
      </c>
      <c r="O101" s="1855">
        <f t="shared" ref="O101:O111" si="7">SUM(E101,J101,K101,L101)</f>
        <v>24.375688278826281</v>
      </c>
    </row>
    <row r="102" spans="1:19">
      <c r="A102" s="1750">
        <v>2002</v>
      </c>
      <c r="B102" s="1751"/>
      <c r="C102" s="1846">
        <v>105.33349</v>
      </c>
      <c r="D102" s="1847">
        <v>0.65545200000000003</v>
      </c>
      <c r="E102" s="1847">
        <v>9.2699308426758904</v>
      </c>
      <c r="F102" s="1853">
        <f t="shared" si="4"/>
        <v>115.25887284267588</v>
      </c>
      <c r="G102" s="1847">
        <v>8.8740000000000006</v>
      </c>
      <c r="H102" s="1847">
        <v>1.5780000000000001</v>
      </c>
      <c r="I102" s="1847">
        <v>0.41499999999999998</v>
      </c>
      <c r="J102" s="1853">
        <f t="shared" si="5"/>
        <v>10.866999999999999</v>
      </c>
      <c r="K102" s="1847">
        <v>3.4</v>
      </c>
      <c r="L102" s="1847">
        <v>0.8</v>
      </c>
      <c r="M102" s="1847">
        <v>4.3631045439999996</v>
      </c>
      <c r="N102" s="1853">
        <f t="shared" si="6"/>
        <v>134.6889773866759</v>
      </c>
      <c r="O102" s="1855">
        <f t="shared" si="7"/>
        <v>24.336930842675887</v>
      </c>
    </row>
    <row r="103" spans="1:19">
      <c r="A103" s="1750">
        <v>2003</v>
      </c>
      <c r="B103" s="1751"/>
      <c r="C103" s="1846">
        <v>106.33273</v>
      </c>
      <c r="D103" s="1847">
        <v>0.69</v>
      </c>
      <c r="E103" s="1847">
        <v>9.1265747636135206</v>
      </c>
      <c r="F103" s="1853">
        <f t="shared" si="4"/>
        <v>116.14930476361351</v>
      </c>
      <c r="G103" s="1847">
        <v>8.8339999999999996</v>
      </c>
      <c r="H103" s="1847">
        <v>1.5580000000000001</v>
      </c>
      <c r="I103" s="1847">
        <v>0.436</v>
      </c>
      <c r="J103" s="1853">
        <f t="shared" si="5"/>
        <v>10.827999999999999</v>
      </c>
      <c r="K103" s="1847">
        <v>3.17</v>
      </c>
      <c r="L103" s="1847">
        <v>0.8</v>
      </c>
      <c r="M103" s="1847">
        <v>4.3801269599999992</v>
      </c>
      <c r="N103" s="1853">
        <f t="shared" si="6"/>
        <v>135.32743172361353</v>
      </c>
      <c r="O103" s="1855">
        <f t="shared" si="7"/>
        <v>23.924574763613524</v>
      </c>
    </row>
    <row r="104" spans="1:19">
      <c r="A104" s="1750">
        <v>2004</v>
      </c>
      <c r="B104" s="1751"/>
      <c r="C104" s="1846">
        <v>107.05049</v>
      </c>
      <c r="D104" s="1847">
        <v>0.745444</v>
      </c>
      <c r="E104" s="1847">
        <v>8.8956040985078193</v>
      </c>
      <c r="F104" s="1853">
        <f t="shared" si="4"/>
        <v>116.69153809850782</v>
      </c>
      <c r="G104" s="1847">
        <v>8.6579999999999995</v>
      </c>
      <c r="H104" s="1847">
        <v>1.556</v>
      </c>
      <c r="I104" s="1847">
        <v>0.46200000000000002</v>
      </c>
      <c r="J104" s="1853">
        <f t="shared" si="5"/>
        <v>10.675999999999998</v>
      </c>
      <c r="K104" s="1847">
        <v>3.274</v>
      </c>
      <c r="L104" s="1847">
        <v>0.8</v>
      </c>
      <c r="M104" s="1847">
        <v>4.3975592960000007</v>
      </c>
      <c r="N104" s="1853">
        <f t="shared" si="6"/>
        <v>135.83909739450783</v>
      </c>
      <c r="O104" s="1855">
        <f t="shared" si="7"/>
        <v>23.645604098507821</v>
      </c>
    </row>
    <row r="105" spans="1:19">
      <c r="A105" s="1750">
        <v>2005</v>
      </c>
      <c r="B105" s="1751"/>
      <c r="C105" s="1846">
        <v>107.4196</v>
      </c>
      <c r="D105" s="1847">
        <v>0.78320000000000001</v>
      </c>
      <c r="E105" s="1847">
        <v>8.76</v>
      </c>
      <c r="F105" s="1853">
        <f t="shared" si="4"/>
        <v>116.9628</v>
      </c>
      <c r="G105" s="1847">
        <v>8.9359999999999999</v>
      </c>
      <c r="H105" s="1847">
        <v>1.5409999999999999</v>
      </c>
      <c r="I105" s="1847">
        <v>0.47299999999999998</v>
      </c>
      <c r="J105" s="1853">
        <f t="shared" si="5"/>
        <v>10.950000000000001</v>
      </c>
      <c r="K105" s="1847">
        <v>3.3281890000000001</v>
      </c>
      <c r="L105" s="1847">
        <v>0.81655299999999997</v>
      </c>
      <c r="M105" s="1847">
        <v>4.4153029999999998</v>
      </c>
      <c r="N105" s="1853">
        <f t="shared" si="6"/>
        <v>136.47284500000001</v>
      </c>
      <c r="O105" s="1855">
        <f t="shared" si="7"/>
        <v>23.854742000000002</v>
      </c>
    </row>
    <row r="106" spans="1:19">
      <c r="A106" s="1750">
        <v>2006</v>
      </c>
      <c r="B106" s="1751"/>
      <c r="C106" s="1846">
        <v>107.06585</v>
      </c>
      <c r="D106" s="1847">
        <v>0.833924</v>
      </c>
      <c r="E106" s="1847">
        <v>8.7235805048519008</v>
      </c>
      <c r="F106" s="1853">
        <f t="shared" si="4"/>
        <v>116.62335450485189</v>
      </c>
      <c r="G106" s="1847">
        <v>9.6170000000000009</v>
      </c>
      <c r="H106" s="1847">
        <v>1.657</v>
      </c>
      <c r="I106" s="1847">
        <v>0.48199999999999998</v>
      </c>
      <c r="J106" s="1853">
        <f t="shared" si="5"/>
        <v>11.756</v>
      </c>
      <c r="K106" s="1847">
        <v>3.2900320000000001</v>
      </c>
      <c r="L106" s="1847">
        <v>0.81312200000000001</v>
      </c>
      <c r="M106" s="1847">
        <v>5.2025269999999999</v>
      </c>
      <c r="N106" s="1853">
        <f t="shared" si="6"/>
        <v>137.6850355048519</v>
      </c>
      <c r="O106" s="1855">
        <f t="shared" si="7"/>
        <v>24.582734504851903</v>
      </c>
    </row>
    <row r="107" spans="1:19">
      <c r="A107" s="1750">
        <v>2007</v>
      </c>
      <c r="B107" s="1751"/>
      <c r="C107" s="1846">
        <v>109.46472</v>
      </c>
      <c r="D107" s="1847">
        <v>0.89319999999999999</v>
      </c>
      <c r="E107" s="1847">
        <v>8.7559568128760006</v>
      </c>
      <c r="F107" s="1853">
        <f t="shared" si="4"/>
        <v>119.11387681287599</v>
      </c>
      <c r="G107" s="1847">
        <v>10.260999999999999</v>
      </c>
      <c r="H107" s="1847">
        <v>1.69</v>
      </c>
      <c r="I107" s="1847">
        <v>0.51400000000000001</v>
      </c>
      <c r="J107" s="1853">
        <f t="shared" si="5"/>
        <v>12.464999999999998</v>
      </c>
      <c r="K107" s="1847">
        <v>3.2482340000000001</v>
      </c>
      <c r="L107" s="1847">
        <v>0.83845999999999998</v>
      </c>
      <c r="M107" s="1847">
        <v>5.2025269999999999</v>
      </c>
      <c r="N107" s="1853">
        <f t="shared" si="6"/>
        <v>140.86809781287599</v>
      </c>
      <c r="O107" s="1855">
        <f t="shared" si="7"/>
        <v>25.307650812875998</v>
      </c>
    </row>
    <row r="108" spans="1:19">
      <c r="A108" s="1750">
        <v>2008</v>
      </c>
      <c r="B108" s="1849"/>
      <c r="C108" s="1847">
        <v>108.21939</v>
      </c>
      <c r="D108" s="1847">
        <v>0.89755200000000002</v>
      </c>
      <c r="E108" s="1847">
        <v>8.5249663021510003</v>
      </c>
      <c r="F108" s="1853">
        <f t="shared" si="4"/>
        <v>117.64190830215101</v>
      </c>
      <c r="G108" s="1847">
        <v>11.146000000000001</v>
      </c>
      <c r="H108" s="1857">
        <v>1.7150000000000001</v>
      </c>
      <c r="I108" s="1857">
        <v>0.52400000000000002</v>
      </c>
      <c r="J108" s="1853">
        <f t="shared" si="5"/>
        <v>13.385000000000002</v>
      </c>
      <c r="K108" s="1857">
        <v>3.2334049999999999</v>
      </c>
      <c r="L108" s="1857">
        <v>0.83549899999999999</v>
      </c>
      <c r="M108" s="1847">
        <v>5.2025269999999999</v>
      </c>
      <c r="N108" s="1853">
        <f t="shared" si="6"/>
        <v>140.29833930215102</v>
      </c>
      <c r="O108" s="1855">
        <f t="shared" si="7"/>
        <v>25.978870302151002</v>
      </c>
    </row>
    <row r="109" spans="1:19">
      <c r="A109" s="1750">
        <v>2009</v>
      </c>
      <c r="B109" s="1849"/>
      <c r="C109" s="1847">
        <v>108.34336999999999</v>
      </c>
      <c r="D109" s="1847">
        <v>0.92535800000000001</v>
      </c>
      <c r="E109" s="1847">
        <v>8.5218318460199303</v>
      </c>
      <c r="F109" s="1853">
        <f t="shared" si="4"/>
        <v>117.79055984601993</v>
      </c>
      <c r="G109" s="1847">
        <v>11.321</v>
      </c>
      <c r="H109" s="1857">
        <v>1.7150000000000001</v>
      </c>
      <c r="I109" s="1857">
        <v>0.52400000000000002</v>
      </c>
      <c r="J109" s="1853">
        <f t="shared" si="5"/>
        <v>13.559999999999999</v>
      </c>
      <c r="K109" s="1847">
        <v>2.8856280000000001</v>
      </c>
      <c r="L109" s="1847">
        <f>0.569091+0.234617</f>
        <v>0.80370799999999998</v>
      </c>
      <c r="M109" s="1847">
        <v>5.2025269999999999</v>
      </c>
      <c r="N109" s="1853">
        <f t="shared" si="6"/>
        <v>140.24242284601993</v>
      </c>
      <c r="O109" s="1855">
        <f t="shared" si="7"/>
        <v>25.771167846019932</v>
      </c>
      <c r="Q109" s="765" t="s">
        <v>3217</v>
      </c>
      <c r="R109" s="765" t="s">
        <v>1612</v>
      </c>
    </row>
    <row r="110" spans="1:19">
      <c r="A110" s="2141">
        <v>2010</v>
      </c>
      <c r="B110" s="2142"/>
      <c r="C110" s="2143">
        <v>107.95001999999999</v>
      </c>
      <c r="D110" s="2143">
        <v>0.91515999999999997</v>
      </c>
      <c r="E110" s="2143">
        <v>8.56086123634703</v>
      </c>
      <c r="F110" s="2144">
        <f t="shared" si="4"/>
        <v>117.42604123634703</v>
      </c>
      <c r="G110" s="2143">
        <v>11.154999999999999</v>
      </c>
      <c r="H110" s="2145">
        <v>1.7310000000000001</v>
      </c>
      <c r="I110" s="2145">
        <v>0.54800000000000004</v>
      </c>
      <c r="J110" s="2144">
        <f t="shared" si="5"/>
        <v>13.433999999999999</v>
      </c>
      <c r="K110" s="2143">
        <v>2.9792299999999998</v>
      </c>
      <c r="L110" s="2788">
        <f>0.570774+0.238968</f>
        <v>0.80974199999999996</v>
      </c>
      <c r="M110" s="2143">
        <v>5.2025269999999999</v>
      </c>
      <c r="N110" s="2144">
        <f t="shared" si="6"/>
        <v>139.85154023634703</v>
      </c>
      <c r="O110" s="2146">
        <f t="shared" si="7"/>
        <v>25.783833236347029</v>
      </c>
      <c r="Q110" s="32">
        <v>0.570774</v>
      </c>
      <c r="R110" s="32">
        <v>0.23896800000000001</v>
      </c>
      <c r="S110" s="754">
        <f>SUM(Q110:R110)</f>
        <v>0.80974199999999996</v>
      </c>
    </row>
    <row r="111" spans="1:19">
      <c r="A111" s="1750">
        <v>2011</v>
      </c>
      <c r="B111" s="1849"/>
      <c r="C111" s="1847">
        <v>109.1978</v>
      </c>
      <c r="D111" s="1847">
        <v>0.90956800000000004</v>
      </c>
      <c r="E111" s="1847">
        <v>8.73</v>
      </c>
      <c r="F111" s="1853">
        <f t="shared" si="4"/>
        <v>118.837368</v>
      </c>
      <c r="G111" s="1847">
        <v>11.378</v>
      </c>
      <c r="H111" s="1857">
        <v>1.7250000000000001</v>
      </c>
      <c r="I111" s="1857">
        <v>0.61499999999999999</v>
      </c>
      <c r="J111" s="1853">
        <f t="shared" si="5"/>
        <v>13.718</v>
      </c>
      <c r="K111" s="1847">
        <v>3.3536280000000001</v>
      </c>
      <c r="L111" s="1847">
        <f>0.558738+0.227017</f>
        <v>0.78575499999999998</v>
      </c>
      <c r="M111" s="1847">
        <v>5.6374180000000003</v>
      </c>
      <c r="N111" s="1853">
        <f t="shared" si="6"/>
        <v>142.33216899999996</v>
      </c>
      <c r="O111" s="1855">
        <f t="shared" si="7"/>
        <v>26.587383000000003</v>
      </c>
    </row>
    <row r="112" spans="1:19">
      <c r="A112" s="1750">
        <v>2012</v>
      </c>
      <c r="B112" s="1849"/>
      <c r="C112" s="1847">
        <v>109.59617921319183</v>
      </c>
      <c r="D112" s="1847">
        <v>0.88361840628507293</v>
      </c>
      <c r="E112" s="1847">
        <v>8.651341805131489</v>
      </c>
      <c r="F112" s="1853">
        <f>SUM(C112:E112)</f>
        <v>119.13113942460839</v>
      </c>
      <c r="G112" s="1847">
        <v>11.792</v>
      </c>
      <c r="H112" s="1847">
        <v>1.796</v>
      </c>
      <c r="I112" s="1847">
        <v>0.57699999999999996</v>
      </c>
      <c r="J112" s="1853">
        <f t="shared" si="5"/>
        <v>14.164999999999999</v>
      </c>
      <c r="K112" s="1847">
        <v>3.3958699999999999</v>
      </c>
      <c r="L112" s="1847">
        <f>0.558499+0.230301</f>
        <v>0.78879999999999995</v>
      </c>
      <c r="M112" s="1847">
        <f>AVERAGE(5.64,5.27)</f>
        <v>5.4550000000000001</v>
      </c>
      <c r="N112" s="1853">
        <f t="shared" si="6"/>
        <v>142.93580942460841</v>
      </c>
      <c r="O112" s="1855">
        <f>SUM(E112,J112,K112,L112)</f>
        <v>27.001011805131483</v>
      </c>
    </row>
    <row r="113" spans="1:15">
      <c r="A113" s="1750">
        <v>2013</v>
      </c>
      <c r="B113" s="1849"/>
      <c r="C113" s="1847">
        <v>107.57024114616632</v>
      </c>
      <c r="D113" s="1847">
        <v>0.92371206447717213</v>
      </c>
      <c r="E113" s="1847">
        <v>8.6655929346081493</v>
      </c>
      <c r="F113" s="1853">
        <f>SUM(C113:E113)</f>
        <v>117.15954614525165</v>
      </c>
      <c r="G113" s="1847">
        <v>11.858000000000001</v>
      </c>
      <c r="H113" s="1847">
        <v>1.841</v>
      </c>
      <c r="I113" s="1847">
        <v>0.60799999999999998</v>
      </c>
      <c r="J113" s="1853">
        <f t="shared" si="5"/>
        <v>14.307</v>
      </c>
      <c r="K113" s="1847">
        <v>3.4183110000000001</v>
      </c>
      <c r="L113" s="1847">
        <f>0.550536+0.229412</f>
        <v>0.77994800000000009</v>
      </c>
      <c r="M113" s="1847">
        <f>AVERAGE(5.27,4.68)</f>
        <v>4.9749999999999996</v>
      </c>
      <c r="N113" s="1853">
        <f t="shared" si="6"/>
        <v>140.63980514525161</v>
      </c>
      <c r="O113" s="1855">
        <f>SUM(E113,J113,K113,L113)</f>
        <v>27.170851934608152</v>
      </c>
    </row>
    <row r="114" spans="1:15">
      <c r="A114" s="1750">
        <v>2014</v>
      </c>
      <c r="B114" s="1849"/>
      <c r="C114" s="1847">
        <v>114.85454772753481</v>
      </c>
      <c r="D114" s="1847">
        <v>0.9301845413815143</v>
      </c>
      <c r="E114" s="1847">
        <v>8.6545547918368104</v>
      </c>
      <c r="F114" s="1853">
        <f>SUM(C114:E114)</f>
        <v>124.43928706075313</v>
      </c>
      <c r="G114" s="1847">
        <v>12.026999999999999</v>
      </c>
      <c r="H114" s="1847">
        <v>1.8480000000000001</v>
      </c>
      <c r="I114" s="1847">
        <v>0.59499999999999997</v>
      </c>
      <c r="J114" s="1853">
        <f t="shared" si="5"/>
        <v>14.47</v>
      </c>
      <c r="K114" s="1847">
        <v>3.571717</v>
      </c>
      <c r="L114" s="1847">
        <f>0.548565+0.236038</f>
        <v>0.78460299999999994</v>
      </c>
      <c r="M114" s="1847">
        <f>AVERAGE(4.68,6)</f>
        <v>5.34</v>
      </c>
      <c r="N114" s="1853">
        <f t="shared" si="6"/>
        <v>148.60560706075316</v>
      </c>
      <c r="O114" s="1855">
        <f>SUM(E114,J114,K114,L114)</f>
        <v>27.480874791836811</v>
      </c>
    </row>
    <row r="115" spans="1:15">
      <c r="A115" s="1750"/>
      <c r="B115" s="1751"/>
      <c r="C115" s="1847"/>
      <c r="D115" s="1847"/>
      <c r="E115" s="1847"/>
      <c r="F115" s="1853"/>
      <c r="G115" s="1847"/>
      <c r="H115" s="1857"/>
      <c r="I115" s="1857"/>
      <c r="J115" s="1853"/>
      <c r="K115" s="1847"/>
      <c r="L115" s="1847"/>
      <c r="M115" s="1847"/>
      <c r="N115" s="1853"/>
      <c r="O115" s="1855"/>
    </row>
    <row r="116" spans="1:15">
      <c r="A116" s="1858"/>
      <c r="B116" s="1859"/>
      <c r="C116" s="1860" t="s">
        <v>1407</v>
      </c>
      <c r="D116" s="1861"/>
      <c r="E116" s="1861"/>
      <c r="F116" s="1862"/>
      <c r="G116" s="1861"/>
      <c r="H116" s="1863"/>
      <c r="I116" s="1863"/>
      <c r="J116" s="1862"/>
      <c r="K116" s="1861"/>
      <c r="L116" s="1861"/>
      <c r="M116" s="1861"/>
      <c r="N116" s="1862"/>
      <c r="O116" s="1864"/>
    </row>
    <row r="117" spans="1:15">
      <c r="C117" s="1026"/>
      <c r="D117" s="1026"/>
      <c r="E117" s="1026"/>
      <c r="N117" s="1027"/>
    </row>
    <row r="118" spans="1:15">
      <c r="C118" s="1026"/>
      <c r="D118" s="1026"/>
      <c r="E118" s="1026"/>
      <c r="K118" s="1028"/>
    </row>
    <row r="119" spans="1:15">
      <c r="C119" s="1026"/>
      <c r="D119" s="1026"/>
      <c r="E119" s="1026"/>
      <c r="M119" s="1029"/>
    </row>
    <row r="120" spans="1:15">
      <c r="C120" s="1026"/>
      <c r="D120" s="1026"/>
      <c r="E120" s="1026"/>
      <c r="L120" s="1030"/>
    </row>
    <row r="121" spans="1:15">
      <c r="C121" s="1026"/>
      <c r="D121" s="1026"/>
      <c r="E121" s="1026"/>
    </row>
    <row r="122" spans="1:15">
      <c r="C122" s="1026"/>
      <c r="D122" s="1026"/>
      <c r="E122" s="1026"/>
    </row>
    <row r="123" spans="1:15">
      <c r="C123" s="1026"/>
      <c r="D123" s="1026"/>
      <c r="E123" s="1026"/>
    </row>
    <row r="124" spans="1:15">
      <c r="C124" s="1026"/>
      <c r="D124" s="1026"/>
      <c r="E124" s="1026"/>
    </row>
    <row r="127" spans="1:15">
      <c r="A127" s="1673" t="s">
        <v>1408</v>
      </c>
      <c r="B127" s="400"/>
      <c r="C127" s="400"/>
      <c r="D127" s="400"/>
      <c r="E127" s="400"/>
      <c r="F127" s="400"/>
      <c r="G127" s="400"/>
      <c r="H127" s="401"/>
    </row>
    <row r="128" spans="1:15">
      <c r="A128" s="233"/>
      <c r="B128" s="234"/>
      <c r="C128" s="234"/>
      <c r="D128" s="234"/>
      <c r="E128" s="234"/>
      <c r="F128" s="234"/>
      <c r="G128" s="1676"/>
      <c r="H128" s="1677"/>
    </row>
    <row r="129" spans="1:9" ht="68.400000000000006">
      <c r="A129" s="1834"/>
      <c r="B129" s="1831" t="s">
        <v>1409</v>
      </c>
      <c r="C129" s="1831" t="s">
        <v>1399</v>
      </c>
      <c r="D129" s="1831" t="s">
        <v>1410</v>
      </c>
      <c r="E129" s="1831" t="s">
        <v>1403</v>
      </c>
      <c r="F129" s="1831" t="s">
        <v>625</v>
      </c>
      <c r="G129" s="1831" t="s">
        <v>1411</v>
      </c>
      <c r="H129" s="1835" t="s">
        <v>1412</v>
      </c>
      <c r="I129" s="1002"/>
    </row>
    <row r="130" spans="1:9">
      <c r="A130" s="1836">
        <v>1950</v>
      </c>
      <c r="B130" s="1837">
        <v>2.7</v>
      </c>
      <c r="C130" s="1837">
        <v>8.64</v>
      </c>
      <c r="D130" s="1838" t="s">
        <v>218</v>
      </c>
      <c r="E130" s="1838" t="s">
        <v>218</v>
      </c>
      <c r="F130" s="1838"/>
      <c r="G130" s="1838" t="s">
        <v>218</v>
      </c>
      <c r="H130" s="1839" t="s">
        <v>218</v>
      </c>
    </row>
    <row r="131" spans="1:9">
      <c r="A131" s="1836">
        <v>1951</v>
      </c>
      <c r="B131" s="1837">
        <v>3</v>
      </c>
      <c r="C131" s="1837">
        <v>10.034000000000001</v>
      </c>
      <c r="D131" s="1838" t="s">
        <v>218</v>
      </c>
      <c r="E131" s="1838" t="s">
        <v>218</v>
      </c>
      <c r="F131" s="1838"/>
      <c r="G131" s="1838" t="s">
        <v>218</v>
      </c>
      <c r="H131" s="1839" t="s">
        <v>218</v>
      </c>
    </row>
    <row r="132" spans="1:9">
      <c r="A132" s="1836">
        <v>1952</v>
      </c>
      <c r="B132" s="1837">
        <v>3.2</v>
      </c>
      <c r="C132" s="1837">
        <v>9.6389999999999993</v>
      </c>
      <c r="D132" s="1838" t="s">
        <v>218</v>
      </c>
      <c r="E132" s="1838" t="s">
        <v>218</v>
      </c>
      <c r="F132" s="1838"/>
      <c r="G132" s="1838" t="s">
        <v>218</v>
      </c>
      <c r="H132" s="1839" t="s">
        <v>218</v>
      </c>
    </row>
    <row r="133" spans="1:9">
      <c r="A133" s="1836">
        <v>1953</v>
      </c>
      <c r="B133" s="1837">
        <v>3.7</v>
      </c>
      <c r="C133" s="1837">
        <v>9.0229999999999997</v>
      </c>
      <c r="D133" s="1838" t="s">
        <v>218</v>
      </c>
      <c r="E133" s="1838" t="s">
        <v>218</v>
      </c>
      <c r="F133" s="1838"/>
      <c r="G133" s="1838" t="s">
        <v>218</v>
      </c>
      <c r="H133" s="1839" t="s">
        <v>218</v>
      </c>
    </row>
    <row r="134" spans="1:9">
      <c r="A134" s="1836">
        <v>1954</v>
      </c>
      <c r="B134" s="1837">
        <v>4.4000000000000004</v>
      </c>
      <c r="C134" s="1837">
        <v>9.2420000000000009</v>
      </c>
      <c r="D134" s="1838" t="s">
        <v>218</v>
      </c>
      <c r="E134" s="1838" t="s">
        <v>218</v>
      </c>
      <c r="F134" s="1838"/>
      <c r="G134" s="1838" t="s">
        <v>218</v>
      </c>
      <c r="H134" s="1839" t="s">
        <v>218</v>
      </c>
    </row>
    <row r="135" spans="1:9">
      <c r="A135" s="1836">
        <v>1955</v>
      </c>
      <c r="B135" s="1837">
        <v>5</v>
      </c>
      <c r="C135" s="1837">
        <v>10.33</v>
      </c>
      <c r="D135" s="1838" t="s">
        <v>218</v>
      </c>
      <c r="E135" s="1838" t="s">
        <v>218</v>
      </c>
      <c r="F135" s="1838"/>
      <c r="G135" s="1838" t="s">
        <v>218</v>
      </c>
      <c r="H135" s="1839" t="s">
        <v>218</v>
      </c>
    </row>
    <row r="136" spans="1:9">
      <c r="A136" s="1836">
        <v>1956</v>
      </c>
      <c r="B136" s="1837">
        <v>6.7</v>
      </c>
      <c r="C136" s="1837">
        <v>10.974</v>
      </c>
      <c r="D136" s="1838" t="s">
        <v>218</v>
      </c>
      <c r="E136" s="1838" t="s">
        <v>218</v>
      </c>
      <c r="F136" s="1838"/>
      <c r="G136" s="1838" t="s">
        <v>218</v>
      </c>
      <c r="H136" s="1839" t="s">
        <v>218</v>
      </c>
    </row>
    <row r="137" spans="1:9">
      <c r="A137" s="1836">
        <v>1957</v>
      </c>
      <c r="B137" s="1837">
        <v>6.1</v>
      </c>
      <c r="C137" s="1837">
        <v>10.414999999999999</v>
      </c>
      <c r="D137" s="1838" t="s">
        <v>218</v>
      </c>
      <c r="E137" s="1838" t="s">
        <v>218</v>
      </c>
      <c r="F137" s="1838"/>
      <c r="G137" s="1838" t="s">
        <v>218</v>
      </c>
      <c r="H137" s="1839" t="s">
        <v>218</v>
      </c>
    </row>
    <row r="138" spans="1:9">
      <c r="A138" s="1836">
        <v>1958</v>
      </c>
      <c r="B138" s="1837">
        <v>6.3</v>
      </c>
      <c r="C138" s="1837">
        <v>9.4949999999999992</v>
      </c>
      <c r="D138" s="1838" t="s">
        <v>218</v>
      </c>
      <c r="E138" s="1838" t="s">
        <v>218</v>
      </c>
      <c r="F138" s="1838"/>
      <c r="G138" s="1838" t="s">
        <v>218</v>
      </c>
      <c r="H138" s="1839" t="s">
        <v>218</v>
      </c>
    </row>
    <row r="139" spans="1:9">
      <c r="A139" s="1836">
        <v>1959</v>
      </c>
      <c r="B139" s="1837">
        <v>6.5</v>
      </c>
      <c r="C139" s="1837">
        <v>9.7050000000000001</v>
      </c>
      <c r="D139" s="1837">
        <v>22.161251603979643</v>
      </c>
      <c r="E139" s="1838" t="s">
        <v>218</v>
      </c>
      <c r="F139" s="1840">
        <f>SUM(B139,C139,D139,E139)</f>
        <v>38.366251603979642</v>
      </c>
      <c r="G139" s="1838" t="s">
        <v>218</v>
      </c>
      <c r="H139" s="1841">
        <v>4.38</v>
      </c>
    </row>
    <row r="140" spans="1:9">
      <c r="A140" s="1836">
        <v>1960</v>
      </c>
      <c r="B140" s="1837">
        <v>6.8</v>
      </c>
      <c r="C140" s="1837">
        <v>10.928000000000001</v>
      </c>
      <c r="D140" s="1837">
        <v>24.335275853260946</v>
      </c>
      <c r="E140" s="1838" t="s">
        <v>218</v>
      </c>
      <c r="F140" s="1840">
        <f t="shared" ref="F140:F194" si="8">SUM(B140,C140,D140,E140)</f>
        <v>42.063275853260947</v>
      </c>
      <c r="G140" s="1838" t="s">
        <v>218</v>
      </c>
      <c r="H140" s="1841">
        <v>4.38</v>
      </c>
    </row>
    <row r="141" spans="1:9">
      <c r="A141" s="1836">
        <v>1961</v>
      </c>
      <c r="B141" s="1837">
        <v>7.5</v>
      </c>
      <c r="C141" s="1837">
        <v>11.12</v>
      </c>
      <c r="D141" s="1837">
        <v>24.663369235708391</v>
      </c>
      <c r="E141" s="1838" t="s">
        <v>218</v>
      </c>
      <c r="F141" s="1840">
        <f t="shared" si="8"/>
        <v>43.283369235708392</v>
      </c>
      <c r="G141" s="1838" t="s">
        <v>218</v>
      </c>
      <c r="H141" s="1841">
        <v>4.8</v>
      </c>
    </row>
    <row r="142" spans="1:9">
      <c r="A142" s="1836">
        <v>1962</v>
      </c>
      <c r="B142" s="1837">
        <v>8.1999999999999993</v>
      </c>
      <c r="C142" s="1837">
        <v>11.083</v>
      </c>
      <c r="D142" s="1837">
        <v>24.607672668169439</v>
      </c>
      <c r="E142" s="1838" t="s">
        <v>218</v>
      </c>
      <c r="F142" s="1840">
        <f t="shared" si="8"/>
        <v>43.890672668169444</v>
      </c>
      <c r="G142" s="1838" t="s">
        <v>218</v>
      </c>
      <c r="H142" s="1841">
        <v>4.734</v>
      </c>
    </row>
    <row r="143" spans="1:9">
      <c r="A143" s="1836">
        <v>1963</v>
      </c>
      <c r="B143" s="1837">
        <v>9</v>
      </c>
      <c r="C143" s="1837">
        <v>12.035</v>
      </c>
      <c r="D143" s="1837">
        <v>26.347042951442628</v>
      </c>
      <c r="E143" s="1838" t="s">
        <v>218</v>
      </c>
      <c r="F143" s="1840">
        <f t="shared" si="8"/>
        <v>47.382042951442628</v>
      </c>
      <c r="G143" s="1838" t="s">
        <v>218</v>
      </c>
      <c r="H143" s="1841">
        <v>4.9056000000000006</v>
      </c>
    </row>
    <row r="144" spans="1:9">
      <c r="A144" s="1836">
        <v>1964</v>
      </c>
      <c r="B144" s="1837">
        <v>9.9</v>
      </c>
      <c r="C144" s="1837">
        <v>12.94</v>
      </c>
      <c r="D144" s="1837">
        <v>29.030079301912878</v>
      </c>
      <c r="E144" s="1838" t="s">
        <v>218</v>
      </c>
      <c r="F144" s="1840">
        <f t="shared" si="8"/>
        <v>51.870079301912881</v>
      </c>
      <c r="G144" s="1838" t="s">
        <v>218</v>
      </c>
      <c r="H144" s="1841">
        <v>5.5703999999999994</v>
      </c>
    </row>
    <row r="145" spans="1:9">
      <c r="A145" s="1836">
        <v>1965</v>
      </c>
      <c r="B145" s="1837">
        <v>11.2</v>
      </c>
      <c r="C145" s="1837">
        <v>13.904</v>
      </c>
      <c r="D145" s="1837">
        <v>29.765962851003717</v>
      </c>
      <c r="E145" s="1838" t="s">
        <v>218</v>
      </c>
      <c r="F145" s="1840">
        <f t="shared" si="8"/>
        <v>54.86996285100372</v>
      </c>
      <c r="G145" s="1838" t="s">
        <v>218</v>
      </c>
      <c r="H145" s="1841">
        <v>5.5632000000000001</v>
      </c>
    </row>
    <row r="146" spans="1:9">
      <c r="A146" s="1836">
        <v>1966</v>
      </c>
      <c r="B146" s="1837">
        <v>12.2</v>
      </c>
      <c r="C146" s="1837">
        <v>14.082000000000001</v>
      </c>
      <c r="D146" s="1837">
        <v>31.418115580164123</v>
      </c>
      <c r="E146" s="1838" t="s">
        <v>218</v>
      </c>
      <c r="F146" s="1840">
        <f t="shared" si="8"/>
        <v>57.700115580164123</v>
      </c>
      <c r="G146" s="1838" t="s">
        <v>218</v>
      </c>
      <c r="H146" s="1841">
        <v>6.2526000000000002</v>
      </c>
    </row>
    <row r="147" spans="1:9">
      <c r="A147" s="1836">
        <v>1967</v>
      </c>
      <c r="B147" s="1837">
        <v>13.4</v>
      </c>
      <c r="C147" s="1837">
        <v>13.558</v>
      </c>
      <c r="D147" s="1837">
        <v>30.726153898796788</v>
      </c>
      <c r="E147" s="1838" t="s">
        <v>218</v>
      </c>
      <c r="F147" s="1840">
        <f t="shared" si="8"/>
        <v>57.684153898796787</v>
      </c>
      <c r="G147" s="1838" t="s">
        <v>218</v>
      </c>
      <c r="H147" s="1841">
        <v>6.4421999999999997</v>
      </c>
    </row>
    <row r="148" spans="1:9">
      <c r="A148" s="1836">
        <v>1968</v>
      </c>
      <c r="B148" s="1837">
        <v>14.6</v>
      </c>
      <c r="C148" s="1837">
        <v>14.811999999999999</v>
      </c>
      <c r="D148" s="1837">
        <v>35.507875185040547</v>
      </c>
      <c r="E148" s="1838" t="s">
        <v>218</v>
      </c>
      <c r="F148" s="1840">
        <f t="shared" si="8"/>
        <v>64.919875185040553</v>
      </c>
      <c r="G148" s="1838" t="s">
        <v>218</v>
      </c>
      <c r="H148" s="1841">
        <v>7.0296000000000003</v>
      </c>
    </row>
    <row r="149" spans="1:9">
      <c r="A149" s="1836">
        <v>1969</v>
      </c>
      <c r="B149" s="1837">
        <v>16</v>
      </c>
      <c r="C149" s="1837">
        <v>16.035</v>
      </c>
      <c r="D149" s="1837">
        <v>39.389197031993284</v>
      </c>
      <c r="E149" s="1838" t="s">
        <v>218</v>
      </c>
      <c r="F149" s="1840">
        <f t="shared" si="8"/>
        <v>71.424197031993288</v>
      </c>
      <c r="G149" s="1838" t="s">
        <v>218</v>
      </c>
      <c r="H149" s="1841">
        <v>7.8953999999999995</v>
      </c>
    </row>
    <row r="150" spans="1:9">
      <c r="A150" s="1836">
        <v>1970</v>
      </c>
      <c r="B150" s="1837">
        <v>17.5</v>
      </c>
      <c r="C150" s="1837">
        <v>17.311</v>
      </c>
      <c r="D150" s="1837">
        <v>42.844421886521133</v>
      </c>
      <c r="E150" s="1838" t="s">
        <v>218</v>
      </c>
      <c r="F150" s="1840">
        <f t="shared" si="8"/>
        <v>77.65542188652114</v>
      </c>
      <c r="G150" s="1838" t="s">
        <v>218</v>
      </c>
      <c r="H150" s="1841">
        <v>8.3327999999999989</v>
      </c>
    </row>
    <row r="151" spans="1:9">
      <c r="A151" s="1836">
        <v>1971</v>
      </c>
      <c r="B151" s="1837">
        <v>18.7</v>
      </c>
      <c r="C151" s="1837">
        <v>15.657999999999999</v>
      </c>
      <c r="D151" s="1837">
        <v>40.695501159586755</v>
      </c>
      <c r="E151" s="1838" t="s">
        <v>218</v>
      </c>
      <c r="F151" s="1840">
        <f t="shared" si="8"/>
        <v>75.053501159586745</v>
      </c>
      <c r="G151" s="1838" t="s">
        <v>218</v>
      </c>
      <c r="H151" s="1841">
        <v>8.2373999999999992</v>
      </c>
    </row>
    <row r="152" spans="1:9">
      <c r="A152" s="1836">
        <v>1972</v>
      </c>
      <c r="B152" s="1837">
        <v>19.100000000000001</v>
      </c>
      <c r="C152" s="1837">
        <v>16.213999999999999</v>
      </c>
      <c r="D152" s="1837">
        <v>40.955022082350474</v>
      </c>
      <c r="E152" s="1838" t="s">
        <v>218</v>
      </c>
      <c r="F152" s="1840">
        <f t="shared" si="8"/>
        <v>76.269022082350475</v>
      </c>
      <c r="G152" s="1837">
        <v>17.952000000000002</v>
      </c>
      <c r="H152" s="1841">
        <v>7.4669999999999996</v>
      </c>
      <c r="I152" s="1031"/>
    </row>
    <row r="153" spans="1:9">
      <c r="A153" s="1836">
        <v>1973</v>
      </c>
      <c r="B153" s="1837">
        <v>21.6</v>
      </c>
      <c r="C153" s="1837">
        <v>18.260000000000002</v>
      </c>
      <c r="D153" s="1837">
        <v>40.639788475854651</v>
      </c>
      <c r="E153" s="1838" t="s">
        <v>218</v>
      </c>
      <c r="F153" s="1840">
        <f t="shared" si="8"/>
        <v>80.499788475854643</v>
      </c>
      <c r="G153" s="1837">
        <v>20.417000000000002</v>
      </c>
      <c r="H153" s="1841">
        <v>7.5918000000000001</v>
      </c>
      <c r="I153" s="1031"/>
    </row>
    <row r="154" spans="1:9">
      <c r="A154" s="1836">
        <v>1974</v>
      </c>
      <c r="B154" s="1837">
        <v>22.5</v>
      </c>
      <c r="C154" s="1837">
        <v>19.597999999999999</v>
      </c>
      <c r="D154" s="1837">
        <v>37.393267967630202</v>
      </c>
      <c r="E154" s="1838" t="s">
        <v>218</v>
      </c>
      <c r="F154" s="1840">
        <f t="shared" si="8"/>
        <v>79.491267967630193</v>
      </c>
      <c r="G154" s="1837">
        <v>21.224</v>
      </c>
      <c r="H154" s="1841">
        <v>8.1617999999999995</v>
      </c>
      <c r="I154" s="1031"/>
    </row>
    <row r="155" spans="1:9">
      <c r="A155" s="1836">
        <v>1975</v>
      </c>
      <c r="B155" s="1837">
        <v>21.5</v>
      </c>
      <c r="C155" s="1837">
        <v>16.056999999999999</v>
      </c>
      <c r="D155" s="1837">
        <v>36.022825848738258</v>
      </c>
      <c r="E155" s="1838" t="s">
        <v>218</v>
      </c>
      <c r="F155" s="1840">
        <f t="shared" si="8"/>
        <v>73.579825848738267</v>
      </c>
      <c r="G155" s="1837">
        <v>19.98</v>
      </c>
      <c r="H155" s="1841">
        <v>9.2429850000000009</v>
      </c>
      <c r="I155" s="1031"/>
    </row>
    <row r="156" spans="1:9">
      <c r="A156" s="1836">
        <v>1976</v>
      </c>
      <c r="B156" s="1837">
        <v>22</v>
      </c>
      <c r="C156" s="1837">
        <v>16.238</v>
      </c>
      <c r="D156" s="1837">
        <v>36.293005678872618</v>
      </c>
      <c r="E156" s="1838" t="s">
        <v>218</v>
      </c>
      <c r="F156" s="1840">
        <f t="shared" si="8"/>
        <v>74.531005678872617</v>
      </c>
      <c r="G156" s="1837">
        <v>20.347999999999999</v>
      </c>
      <c r="H156" s="1841">
        <v>9.2929999999999993</v>
      </c>
      <c r="I156" s="1031"/>
    </row>
    <row r="157" spans="1:9">
      <c r="A157" s="1836">
        <v>1977</v>
      </c>
      <c r="B157" s="1837">
        <v>21.5</v>
      </c>
      <c r="C157" s="1837">
        <v>14.782</v>
      </c>
      <c r="D157" s="1837">
        <v>32.20277434514837</v>
      </c>
      <c r="E157" s="1838" t="s">
        <v>218</v>
      </c>
      <c r="F157" s="1840">
        <f t="shared" si="8"/>
        <v>68.484774345148367</v>
      </c>
      <c r="G157" s="1837">
        <v>19.745999999999999</v>
      </c>
      <c r="H157" s="1841">
        <v>9.34</v>
      </c>
      <c r="I157" s="1031"/>
    </row>
    <row r="158" spans="1:9">
      <c r="A158" s="1836">
        <v>1978</v>
      </c>
      <c r="B158" s="1837">
        <v>21.9</v>
      </c>
      <c r="C158" s="1837">
        <v>14.763999999999999</v>
      </c>
      <c r="D158" s="1837">
        <v>28.656642302387045</v>
      </c>
      <c r="E158" s="1838" t="s">
        <v>218</v>
      </c>
      <c r="F158" s="1840">
        <f t="shared" si="8"/>
        <v>65.320642302387043</v>
      </c>
      <c r="G158" s="1837">
        <v>20.158000000000001</v>
      </c>
      <c r="H158" s="1841">
        <v>8.65</v>
      </c>
      <c r="I158" s="1031"/>
    </row>
    <row r="159" spans="1:9">
      <c r="A159" s="1836">
        <v>1979</v>
      </c>
      <c r="B159" s="1837">
        <v>24.2</v>
      </c>
      <c r="C159" s="1837">
        <v>17.347000000000001</v>
      </c>
      <c r="D159" s="1837">
        <v>32.234686261963603</v>
      </c>
      <c r="E159" s="1838" t="s">
        <v>218</v>
      </c>
      <c r="F159" s="1840">
        <f t="shared" si="8"/>
        <v>73.7816862619636</v>
      </c>
      <c r="G159" s="1837">
        <v>22.414000000000001</v>
      </c>
      <c r="H159" s="1841">
        <v>10.163</v>
      </c>
      <c r="I159" s="1031"/>
    </row>
    <row r="160" spans="1:9">
      <c r="A160" s="1836">
        <v>1980</v>
      </c>
      <c r="B160" s="1837">
        <v>23</v>
      </c>
      <c r="C160" s="1837">
        <v>16.648</v>
      </c>
      <c r="D160" s="1837">
        <v>30.334678436989172</v>
      </c>
      <c r="E160" s="1838" t="s">
        <v>218</v>
      </c>
      <c r="F160" s="1840">
        <f t="shared" si="8"/>
        <v>69.982678436989175</v>
      </c>
      <c r="G160" s="1837">
        <v>20.109000000000002</v>
      </c>
      <c r="H160" s="1841">
        <v>10.256</v>
      </c>
      <c r="I160" s="1031"/>
    </row>
    <row r="161" spans="1:9">
      <c r="A161" s="1836">
        <v>1981</v>
      </c>
      <c r="B161" s="1837">
        <v>22.8</v>
      </c>
      <c r="C161" s="1837">
        <v>15.29</v>
      </c>
      <c r="D161" s="1837">
        <v>28.370775645797028</v>
      </c>
      <c r="E161" s="1838" t="s">
        <v>218</v>
      </c>
      <c r="F161" s="1840">
        <f t="shared" si="8"/>
        <v>66.460775645797028</v>
      </c>
      <c r="G161" s="1837">
        <v>19.245999999999999</v>
      </c>
      <c r="H161" s="1841">
        <v>9.3640000000000008</v>
      </c>
      <c r="I161" s="1031"/>
    </row>
    <row r="162" spans="1:9">
      <c r="A162" s="1836">
        <v>1982</v>
      </c>
      <c r="B162" s="1837">
        <v>23</v>
      </c>
      <c r="C162" s="1837">
        <v>14.433</v>
      </c>
      <c r="D162" s="1837">
        <v>28.431323819590123</v>
      </c>
      <c r="E162" s="1838" t="s">
        <v>218</v>
      </c>
      <c r="F162" s="1840">
        <f t="shared" si="8"/>
        <v>65.864323819590126</v>
      </c>
      <c r="G162" s="1837">
        <v>19.492000000000001</v>
      </c>
      <c r="H162" s="1841">
        <v>9.3810000000000002</v>
      </c>
      <c r="I162" s="1031"/>
    </row>
    <row r="163" spans="1:9">
      <c r="A163" s="1836">
        <v>1983</v>
      </c>
      <c r="B163" s="1837">
        <v>23.6</v>
      </c>
      <c r="C163" s="1837">
        <v>15.528</v>
      </c>
      <c r="D163" s="1837">
        <v>28.441712403345161</v>
      </c>
      <c r="E163" s="1838" t="s">
        <v>218</v>
      </c>
      <c r="F163" s="1840">
        <f t="shared" si="8"/>
        <v>67.569712403345164</v>
      </c>
      <c r="G163" s="1837">
        <v>19.350999999999999</v>
      </c>
      <c r="H163" s="1841">
        <v>9.2089999999999996</v>
      </c>
      <c r="I163" s="1031"/>
    </row>
    <row r="164" spans="1:9">
      <c r="A164" s="1836">
        <v>1984</v>
      </c>
      <c r="B164" s="1837">
        <v>25.4</v>
      </c>
      <c r="C164" s="1837">
        <v>17.776</v>
      </c>
      <c r="D164" s="1837">
        <v>29.712904907767495</v>
      </c>
      <c r="E164" s="1838" t="s">
        <v>218</v>
      </c>
      <c r="F164" s="1840">
        <f t="shared" si="8"/>
        <v>72.888904907767497</v>
      </c>
      <c r="G164" s="1837">
        <v>20.821000000000002</v>
      </c>
      <c r="H164" s="1841">
        <v>9.1440000000000001</v>
      </c>
      <c r="I164" s="1031"/>
    </row>
    <row r="165" spans="1:9">
      <c r="A165" s="1836">
        <v>1985</v>
      </c>
      <c r="B165" s="1837">
        <v>23.8</v>
      </c>
      <c r="C165" s="1837">
        <v>18.419</v>
      </c>
      <c r="D165" s="1837">
        <v>31.309350067142876</v>
      </c>
      <c r="E165" s="1838" t="s">
        <v>218</v>
      </c>
      <c r="F165" s="1840">
        <f t="shared" si="8"/>
        <v>73.528350067142881</v>
      </c>
      <c r="G165" s="1837">
        <v>19.399999999999999</v>
      </c>
      <c r="H165" s="1841">
        <v>9.1829999999999998</v>
      </c>
      <c r="I165" s="1031"/>
    </row>
    <row r="166" spans="1:9">
      <c r="A166" s="1836">
        <v>1986</v>
      </c>
      <c r="B166" s="1837">
        <v>25.4</v>
      </c>
      <c r="C166" s="1837">
        <v>18.552</v>
      </c>
      <c r="D166" s="1837">
        <v>31.832562736426105</v>
      </c>
      <c r="E166" s="1838" t="s">
        <v>218</v>
      </c>
      <c r="F166" s="1840">
        <f t="shared" si="8"/>
        <v>75.784562736426096</v>
      </c>
      <c r="G166" s="1837">
        <v>21.041</v>
      </c>
      <c r="H166" s="1841">
        <v>9.4469999999999992</v>
      </c>
      <c r="I166" s="1031"/>
    </row>
    <row r="167" spans="1:9">
      <c r="A167" s="1836">
        <v>1987</v>
      </c>
      <c r="B167" s="1837">
        <v>25.8</v>
      </c>
      <c r="C167" s="1837">
        <v>18.405999999999999</v>
      </c>
      <c r="D167" s="1837">
        <v>31.223009658668921</v>
      </c>
      <c r="E167" s="1838" t="s">
        <v>218</v>
      </c>
      <c r="F167" s="1840">
        <f t="shared" si="8"/>
        <v>75.429009658668917</v>
      </c>
      <c r="G167" s="1837">
        <v>21.733000000000001</v>
      </c>
      <c r="H167" s="1841">
        <v>8.6649999999999991</v>
      </c>
      <c r="I167" s="1031"/>
    </row>
    <row r="168" spans="1:9">
      <c r="A168" s="1836">
        <v>1988</v>
      </c>
      <c r="B168" s="1837">
        <v>27.4</v>
      </c>
      <c r="C168" s="1837">
        <v>18.687000000000001</v>
      </c>
      <c r="D168" s="1837">
        <v>31.203324241222649</v>
      </c>
      <c r="E168" s="1838" t="s">
        <v>218</v>
      </c>
      <c r="F168" s="1840">
        <f t="shared" si="8"/>
        <v>77.290324241222649</v>
      </c>
      <c r="G168" s="1837">
        <v>22.352</v>
      </c>
      <c r="H168" s="1841">
        <v>7.859</v>
      </c>
      <c r="I168" s="1031"/>
    </row>
    <row r="169" spans="1:9">
      <c r="A169" s="1836">
        <v>1989</v>
      </c>
      <c r="B169" s="1837">
        <v>28.5</v>
      </c>
      <c r="C169" s="1837">
        <v>19.137</v>
      </c>
      <c r="D169" s="1837">
        <v>30.350273635740635</v>
      </c>
      <c r="E169" s="1838" t="s">
        <v>218</v>
      </c>
      <c r="F169" s="1840">
        <f t="shared" si="8"/>
        <v>77.987273635740635</v>
      </c>
      <c r="G169" s="1837">
        <v>24.757000000000001</v>
      </c>
      <c r="H169" s="1841">
        <v>7.8529999999999998</v>
      </c>
      <c r="I169" s="1031"/>
    </row>
    <row r="170" spans="1:9">
      <c r="A170" s="1836">
        <v>1990</v>
      </c>
      <c r="B170" s="1837">
        <v>29.2</v>
      </c>
      <c r="C170" s="1837">
        <v>19.102</v>
      </c>
      <c r="D170" s="1837">
        <v>29.23549018901323</v>
      </c>
      <c r="E170" s="1838" t="s">
        <v>218</v>
      </c>
      <c r="F170" s="1840">
        <f t="shared" si="8"/>
        <v>77.537490189013226</v>
      </c>
      <c r="G170" s="1837">
        <v>25.649000000000001</v>
      </c>
      <c r="H170" s="1841">
        <v>8.3000000000000007</v>
      </c>
      <c r="I170" s="1031"/>
    </row>
    <row r="171" spans="1:9">
      <c r="A171" s="1836">
        <v>1991</v>
      </c>
      <c r="B171" s="1837">
        <v>28</v>
      </c>
      <c r="C171" s="1837">
        <v>18.815999999999999</v>
      </c>
      <c r="D171" s="1837">
        <v>27.811861382160277</v>
      </c>
      <c r="E171" s="1838" t="s">
        <v>218</v>
      </c>
      <c r="F171" s="1840">
        <f t="shared" si="8"/>
        <v>74.627861382160276</v>
      </c>
      <c r="G171" s="1837">
        <v>26.626999999999999</v>
      </c>
      <c r="H171" s="1841">
        <v>7.5</v>
      </c>
      <c r="I171" s="1031"/>
    </row>
    <row r="172" spans="1:9">
      <c r="A172" s="1836">
        <v>1992</v>
      </c>
      <c r="B172" s="1837">
        <v>26.8</v>
      </c>
      <c r="C172" s="1837">
        <v>19.202000000000002</v>
      </c>
      <c r="D172" s="1837">
        <v>28.0072913212251</v>
      </c>
      <c r="E172" s="1838" t="s">
        <v>218</v>
      </c>
      <c r="F172" s="1840">
        <f t="shared" si="8"/>
        <v>74.009291321225106</v>
      </c>
      <c r="G172" s="1837">
        <v>25.658000000000001</v>
      </c>
      <c r="H172" s="1841">
        <v>7.1</v>
      </c>
      <c r="I172" s="1031"/>
    </row>
    <row r="173" spans="1:9">
      <c r="A173" s="1836">
        <v>1993</v>
      </c>
      <c r="B173" s="1837">
        <v>28.6</v>
      </c>
      <c r="C173" s="1837">
        <v>18.577999999999999</v>
      </c>
      <c r="D173" s="1837">
        <v>28.649796631131199</v>
      </c>
      <c r="E173" s="1838" t="s">
        <v>218</v>
      </c>
      <c r="F173" s="1840">
        <f t="shared" si="8"/>
        <v>75.827796631131193</v>
      </c>
      <c r="G173" s="1837">
        <v>25.3</v>
      </c>
      <c r="H173" s="1841">
        <v>7.3</v>
      </c>
      <c r="I173" s="1031"/>
    </row>
    <row r="174" spans="1:9">
      <c r="A174" s="1836">
        <v>1994</v>
      </c>
      <c r="B174" s="1837">
        <v>29.8</v>
      </c>
      <c r="C174" s="1837">
        <v>19.068999999999999</v>
      </c>
      <c r="D174" s="1837">
        <v>30.368416595241921</v>
      </c>
      <c r="E174" s="1838" t="s">
        <v>218</v>
      </c>
      <c r="F174" s="1840">
        <f t="shared" si="8"/>
        <v>79.237416595241925</v>
      </c>
      <c r="G174" s="1837">
        <v>27.251999999999999</v>
      </c>
      <c r="H174" s="1841">
        <v>7.6</v>
      </c>
      <c r="I174" s="1031"/>
    </row>
    <row r="175" spans="1:9">
      <c r="A175" s="1836">
        <v>1995</v>
      </c>
      <c r="B175" s="1837">
        <v>32.4</v>
      </c>
      <c r="C175" s="1837">
        <v>19.390999999999998</v>
      </c>
      <c r="D175" s="1837">
        <v>32.026123252312587</v>
      </c>
      <c r="E175" s="1838" t="s">
        <v>218</v>
      </c>
      <c r="F175" s="1840">
        <f t="shared" si="8"/>
        <v>83.817123252312584</v>
      </c>
      <c r="G175" s="1837">
        <v>28.247</v>
      </c>
      <c r="H175" s="1841">
        <v>8.2739999999999991</v>
      </c>
      <c r="I175" s="1031"/>
    </row>
    <row r="176" spans="1:9">
      <c r="A176" s="1836">
        <v>1996</v>
      </c>
      <c r="B176" s="1837">
        <v>34.5</v>
      </c>
      <c r="C176" s="1837">
        <v>18.846</v>
      </c>
      <c r="D176" s="1837">
        <v>33.514077963837934</v>
      </c>
      <c r="E176" s="1838" t="s">
        <v>218</v>
      </c>
      <c r="F176" s="1840">
        <f t="shared" si="8"/>
        <v>86.860077963837938</v>
      </c>
      <c r="G176" s="1837">
        <v>30.212</v>
      </c>
      <c r="H176" s="1841">
        <v>8.6340000000000003</v>
      </c>
      <c r="I176" s="1031"/>
    </row>
    <row r="177" spans="1:13">
      <c r="A177" s="1836">
        <v>1997</v>
      </c>
      <c r="B177" s="1837">
        <v>36.799999999999997</v>
      </c>
      <c r="C177" s="1837">
        <v>19.181000000000001</v>
      </c>
      <c r="D177" s="1837">
        <v>33.258401389133887</v>
      </c>
      <c r="E177" s="1838" t="s">
        <v>218</v>
      </c>
      <c r="F177" s="1840">
        <f t="shared" si="8"/>
        <v>89.239401389133889</v>
      </c>
      <c r="G177" s="1837">
        <v>31.855</v>
      </c>
      <c r="H177" s="1841">
        <v>8.3870000000000005</v>
      </c>
      <c r="I177" s="1031"/>
    </row>
    <row r="178" spans="1:13">
      <c r="A178" s="1836">
        <v>1998</v>
      </c>
      <c r="B178" s="1837">
        <v>36.5</v>
      </c>
      <c r="C178" s="1837">
        <v>19.163</v>
      </c>
      <c r="D178" s="1837">
        <v>32.299783904399597</v>
      </c>
      <c r="E178" s="1838" t="s">
        <v>218</v>
      </c>
      <c r="F178" s="1840">
        <f t="shared" si="8"/>
        <v>87.9627839043996</v>
      </c>
      <c r="G178" s="1837">
        <v>31.471</v>
      </c>
      <c r="H178" s="1841">
        <v>8.3339999999999996</v>
      </c>
      <c r="I178" s="1031"/>
    </row>
    <row r="179" spans="1:13">
      <c r="A179" s="1836">
        <v>1999</v>
      </c>
      <c r="B179" s="1837">
        <v>37.200000000000003</v>
      </c>
      <c r="C179" s="1837">
        <v>19.09</v>
      </c>
      <c r="D179" s="1837">
        <v>32.054060622405437</v>
      </c>
      <c r="E179" s="1838" t="s">
        <v>218</v>
      </c>
      <c r="F179" s="1840">
        <f t="shared" si="8"/>
        <v>88.344060622405436</v>
      </c>
      <c r="G179" s="1837">
        <v>32.223999999999997</v>
      </c>
      <c r="H179" s="1841">
        <v>7.7</v>
      </c>
      <c r="I179" s="1031"/>
    </row>
    <row r="180" spans="1:13">
      <c r="A180" s="1836">
        <v>2000</v>
      </c>
      <c r="B180" s="1837">
        <v>35.552</v>
      </c>
      <c r="C180" s="1837">
        <v>20.088000000000001</v>
      </c>
      <c r="D180" s="1837">
        <v>33.256</v>
      </c>
      <c r="E180" s="1838" t="s">
        <v>218</v>
      </c>
      <c r="F180" s="1840">
        <f t="shared" si="8"/>
        <v>88.896000000000001</v>
      </c>
      <c r="G180" s="1837">
        <v>31.355</v>
      </c>
      <c r="H180" s="1841">
        <v>8.1180000000000003</v>
      </c>
      <c r="I180" s="1031"/>
    </row>
    <row r="181" spans="1:13">
      <c r="A181" s="1836">
        <v>2001</v>
      </c>
      <c r="B181" s="1837">
        <v>34.161000000000001</v>
      </c>
      <c r="C181" s="1837">
        <v>19.547000000000001</v>
      </c>
      <c r="D181" s="1837">
        <v>33.134999999999998</v>
      </c>
      <c r="E181" s="1838" t="s">
        <v>218</v>
      </c>
      <c r="F181" s="1840">
        <f t="shared" si="8"/>
        <v>86.842999999999989</v>
      </c>
      <c r="G181" s="1837">
        <v>29.97</v>
      </c>
      <c r="H181" s="1841">
        <v>7.5789999999999997</v>
      </c>
      <c r="I181" s="1031"/>
    </row>
    <row r="182" spans="1:13">
      <c r="A182" s="1836">
        <v>2002</v>
      </c>
      <c r="B182" s="1837">
        <v>36.619999999999997</v>
      </c>
      <c r="C182" s="1837">
        <v>19.196999999999999</v>
      </c>
      <c r="D182" s="1837">
        <v>33.116999999999997</v>
      </c>
      <c r="E182" s="1838" t="s">
        <v>218</v>
      </c>
      <c r="F182" s="1840">
        <f t="shared" si="8"/>
        <v>88.933999999999997</v>
      </c>
      <c r="G182" s="1837">
        <v>31.803999999999998</v>
      </c>
      <c r="H182" s="1841">
        <v>7.1829999999999998</v>
      </c>
      <c r="I182" s="1031"/>
    </row>
    <row r="183" spans="1:13">
      <c r="A183" s="1836">
        <v>2003</v>
      </c>
      <c r="B183" s="1837">
        <v>36.603000000000002</v>
      </c>
      <c r="C183" s="1837">
        <v>20.170000000000002</v>
      </c>
      <c r="D183" s="1837">
        <v>34.313000000000002</v>
      </c>
      <c r="E183" s="1838" t="s">
        <v>218</v>
      </c>
      <c r="F183" s="1840">
        <f t="shared" si="8"/>
        <v>91.086000000000013</v>
      </c>
      <c r="G183" s="1837">
        <v>31.431999999999999</v>
      </c>
      <c r="H183" s="1841">
        <v>7.4560000000000004</v>
      </c>
      <c r="I183" s="1031"/>
      <c r="J183" s="765" t="s">
        <v>1446</v>
      </c>
      <c r="K183" s="463">
        <v>40.6</v>
      </c>
      <c r="L183" s="765" t="s">
        <v>1389</v>
      </c>
    </row>
    <row r="184" spans="1:13">
      <c r="A184" s="1836">
        <v>2004</v>
      </c>
      <c r="B184" s="1837">
        <v>36.926000000000002</v>
      </c>
      <c r="C184" s="1837">
        <v>20.856000000000002</v>
      </c>
      <c r="D184" s="1837">
        <v>35.235999999999997</v>
      </c>
      <c r="E184" s="1838" t="s">
        <v>218</v>
      </c>
      <c r="F184" s="1840">
        <f t="shared" si="8"/>
        <v>93.018000000000001</v>
      </c>
      <c r="G184" s="1837">
        <v>32.668999999999997</v>
      </c>
      <c r="H184" s="1841">
        <v>7.1509999999999998</v>
      </c>
      <c r="I184" s="1031"/>
      <c r="J184" s="765" t="s">
        <v>1447</v>
      </c>
      <c r="K184" s="754">
        <v>68.3</v>
      </c>
      <c r="L184" s="765" t="s">
        <v>1448</v>
      </c>
    </row>
    <row r="185" spans="1:13">
      <c r="A185" s="1836">
        <v>2005</v>
      </c>
      <c r="B185" s="1837">
        <v>38.555999999999997</v>
      </c>
      <c r="C185" s="1837">
        <v>21.675000000000001</v>
      </c>
      <c r="D185" s="1837">
        <v>38.369999999999997</v>
      </c>
      <c r="E185" s="1838" t="s">
        <v>218</v>
      </c>
      <c r="F185" s="1840">
        <f t="shared" si="8"/>
        <v>98.600999999999999</v>
      </c>
      <c r="G185" s="1837">
        <v>34.682000000000002</v>
      </c>
      <c r="H185" s="1841">
        <v>8.2053581985133377</v>
      </c>
      <c r="I185" s="1031"/>
      <c r="K185" s="754">
        <v>23500</v>
      </c>
      <c r="L185" s="765" t="s">
        <v>1352</v>
      </c>
      <c r="M185" s="754">
        <f>K185/K183</f>
        <v>578.81773399014776</v>
      </c>
    </row>
    <row r="186" spans="1:13">
      <c r="A186" s="1836">
        <v>2006</v>
      </c>
      <c r="B186" s="1837">
        <v>39.899000000000001</v>
      </c>
      <c r="C186" s="1837">
        <v>22.271000000000001</v>
      </c>
      <c r="D186" s="1837">
        <v>36.94</v>
      </c>
      <c r="E186" s="1838" t="s">
        <v>218</v>
      </c>
      <c r="F186" s="1840">
        <f t="shared" si="8"/>
        <v>99.11</v>
      </c>
      <c r="G186" s="1837">
        <v>35.454999999999998</v>
      </c>
      <c r="H186" s="1841">
        <v>7.1920000000000002</v>
      </c>
    </row>
    <row r="187" spans="1:13">
      <c r="A187" s="1836">
        <v>2007</v>
      </c>
      <c r="B187" s="1837">
        <v>40.524999999999999</v>
      </c>
      <c r="C187" s="1837">
        <v>23.25</v>
      </c>
      <c r="D187" s="1837">
        <v>38.549999999999997</v>
      </c>
      <c r="E187" s="1838" t="s">
        <v>218</v>
      </c>
      <c r="F187" s="1840">
        <f t="shared" si="8"/>
        <v>102.32499999999999</v>
      </c>
      <c r="G187" s="1837">
        <v>36.375</v>
      </c>
      <c r="H187" s="1841">
        <v>7.8659999999999997</v>
      </c>
      <c r="J187" s="765"/>
    </row>
    <row r="188" spans="1:13">
      <c r="A188" s="1836">
        <v>2008</v>
      </c>
      <c r="B188" s="1837">
        <v>42.366999999999997</v>
      </c>
      <c r="C188" s="1837">
        <v>22.923999999999999</v>
      </c>
      <c r="D188" s="1682">
        <v>38.866999999999997</v>
      </c>
      <c r="E188" s="1832">
        <v>8.6920000000000001E-3</v>
      </c>
      <c r="F188" s="1840">
        <f t="shared" si="8"/>
        <v>104.16669199999998</v>
      </c>
      <c r="G188" s="1837">
        <v>37.933999999999997</v>
      </c>
      <c r="H188" s="1841">
        <v>8.2553000000000001</v>
      </c>
    </row>
    <row r="189" spans="1:13">
      <c r="A189" s="1836">
        <v>2009</v>
      </c>
      <c r="B189" s="1837">
        <v>35.041092999999996</v>
      </c>
      <c r="C189" s="1837">
        <v>20.388999999999999</v>
      </c>
      <c r="D189" s="1837">
        <v>34.006</v>
      </c>
      <c r="E189" s="1832">
        <v>7.051E-3</v>
      </c>
      <c r="F189" s="1840">
        <f t="shared" si="8"/>
        <v>89.443144000000004</v>
      </c>
      <c r="G189" s="1837">
        <f>8.023+7.858+7.404+8.832</f>
        <v>32.117000000000004</v>
      </c>
      <c r="H189" s="1841">
        <v>6.5041000000000002</v>
      </c>
    </row>
    <row r="190" spans="1:13">
      <c r="A190" s="2727">
        <v>2010</v>
      </c>
      <c r="B190" s="2728">
        <v>36.273148999999997</v>
      </c>
      <c r="C190" s="2730">
        <v>23.463999999999999</v>
      </c>
      <c r="D190" s="2728">
        <v>37.878</v>
      </c>
      <c r="E190" s="2729">
        <v>6.679E-3</v>
      </c>
      <c r="F190" s="2730">
        <f t="shared" si="8"/>
        <v>97.621828000000008</v>
      </c>
      <c r="G190" s="2728">
        <f>7.154+9.257+7.476+8.851</f>
        <v>32.738</v>
      </c>
      <c r="H190" s="2732">
        <v>7.8514999999999997</v>
      </c>
    </row>
    <row r="191" spans="1:13">
      <c r="A191" s="1836">
        <v>2011</v>
      </c>
      <c r="B191" s="1837">
        <v>36.946095999999997</v>
      </c>
      <c r="C191" s="1837">
        <v>22.864000000000001</v>
      </c>
      <c r="D191" s="1837">
        <f>30.169+7.5078</f>
        <v>37.6768</v>
      </c>
      <c r="E191" s="1832">
        <v>6.509E-3</v>
      </c>
      <c r="F191" s="1840">
        <f t="shared" si="8"/>
        <v>97.493404999999996</v>
      </c>
      <c r="G191" s="1837">
        <f>8.621+8.875+7.403+8.518</f>
        <v>33.417000000000002</v>
      </c>
      <c r="H191" s="1841">
        <v>7.5077999999999996</v>
      </c>
    </row>
    <row r="192" spans="1:13">
      <c r="A192" s="1836">
        <v>2012</v>
      </c>
      <c r="B192" s="1837">
        <v>41.011290000000002</v>
      </c>
      <c r="C192" s="1837">
        <v>22.042999999999999</v>
      </c>
      <c r="D192" s="1837">
        <f>29.738+6.759</f>
        <v>36.497</v>
      </c>
      <c r="E192" s="1833">
        <v>6.267E-3</v>
      </c>
      <c r="F192" s="1840">
        <f t="shared" si="8"/>
        <v>99.557556999999989</v>
      </c>
      <c r="G192" s="1837">
        <v>37.305</v>
      </c>
      <c r="H192" s="1841">
        <v>6.7590000000000003</v>
      </c>
      <c r="K192" s="765" t="s">
        <v>3218</v>
      </c>
      <c r="L192" s="765" t="s">
        <v>3219</v>
      </c>
    </row>
    <row r="193" spans="1:15">
      <c r="A193" s="1836">
        <v>2013</v>
      </c>
      <c r="B193" s="1837">
        <v>42.090116000000002</v>
      </c>
      <c r="C193" s="1837">
        <v>20.97</v>
      </c>
      <c r="D193" s="1837">
        <f>27.25+6.693</f>
        <v>33.942999999999998</v>
      </c>
      <c r="E193" s="1833">
        <v>5.9509999999999997E-3</v>
      </c>
      <c r="F193" s="1840">
        <f t="shared" si="8"/>
        <v>97.009067000000002</v>
      </c>
      <c r="G193" s="1837">
        <v>38.628697000000003</v>
      </c>
      <c r="H193" s="1841">
        <v>6.6929999999999996</v>
      </c>
      <c r="K193" s="2121">
        <v>27250</v>
      </c>
      <c r="L193" s="2121">
        <v>6764</v>
      </c>
      <c r="M193" s="1495">
        <f>SUM(K193:L193)</f>
        <v>34014</v>
      </c>
      <c r="N193" s="754">
        <f>M193/1000</f>
        <v>34.014000000000003</v>
      </c>
      <c r="O193" s="12">
        <f>D193/N193</f>
        <v>0.99791262421355897</v>
      </c>
    </row>
    <row r="194" spans="1:15">
      <c r="A194" s="1836">
        <v>2014</v>
      </c>
      <c r="B194" s="1837">
        <v>41.955694000000001</v>
      </c>
      <c r="C194" s="1837">
        <v>21.295999999999999</v>
      </c>
      <c r="D194" s="1837">
        <f>29.506+6.643</f>
        <v>36.149000000000001</v>
      </c>
      <c r="E194" s="1833">
        <f>0.005892</f>
        <v>5.8919999999999997E-3</v>
      </c>
      <c r="F194" s="1840">
        <f t="shared" si="8"/>
        <v>99.406586000000004</v>
      </c>
      <c r="G194" s="1837">
        <v>38.807645999999998</v>
      </c>
      <c r="H194" s="1841">
        <v>6.6429999999999998</v>
      </c>
      <c r="K194" s="1413">
        <v>28395</v>
      </c>
      <c r="L194" s="1413">
        <v>6637</v>
      </c>
      <c r="M194" s="1495">
        <f>SUM(K194:L194)</f>
        <v>35032</v>
      </c>
      <c r="N194" s="754">
        <f>M194/1000</f>
        <v>35.031999999999996</v>
      </c>
      <c r="O194" s="12">
        <f>D194/N194</f>
        <v>1.0318851335921444</v>
      </c>
    </row>
    <row r="195" spans="1:15">
      <c r="A195" s="1842"/>
      <c r="B195" s="1843"/>
      <c r="C195" s="234"/>
      <c r="D195" s="1837"/>
      <c r="E195" s="234"/>
      <c r="F195" s="234"/>
      <c r="G195" s="234"/>
      <c r="H195" s="235"/>
    </row>
    <row r="196" spans="1:15">
      <c r="A196" s="242"/>
      <c r="B196" s="3096" t="s">
        <v>1413</v>
      </c>
      <c r="C196" s="3096"/>
      <c r="D196" s="3096"/>
      <c r="E196" s="3096"/>
      <c r="F196" s="3096"/>
      <c r="G196" s="3096"/>
      <c r="H196" s="3097"/>
    </row>
    <row r="197" spans="1:15">
      <c r="B197" s="1032"/>
    </row>
    <row r="198" spans="1:15">
      <c r="B198" s="1033"/>
    </row>
    <row r="199" spans="1:15">
      <c r="B199" s="1033"/>
    </row>
    <row r="200" spans="1:15">
      <c r="B200" s="1033"/>
    </row>
    <row r="201" spans="1:15">
      <c r="B201" s="1033"/>
    </row>
    <row r="208" spans="1:15">
      <c r="A208" s="629"/>
      <c r="B208" s="629"/>
      <c r="C208" s="629"/>
      <c r="D208" s="629"/>
      <c r="E208" s="629"/>
      <c r="F208" s="629"/>
      <c r="G208" s="629"/>
      <c r="H208" s="629"/>
      <c r="I208" s="629"/>
    </row>
    <row r="209" spans="1:9">
      <c r="A209" s="1035" t="s">
        <v>1418</v>
      </c>
      <c r="B209" s="629"/>
      <c r="C209" s="629"/>
      <c r="D209" s="629"/>
      <c r="E209" s="629"/>
      <c r="F209" s="629"/>
      <c r="G209" s="629"/>
      <c r="H209" s="629"/>
      <c r="I209" s="629"/>
    </row>
    <row r="210" spans="1:9">
      <c r="A210" s="629"/>
      <c r="B210" s="629"/>
      <c r="C210" s="629"/>
      <c r="D210" s="629"/>
      <c r="E210" s="629"/>
      <c r="F210" s="629"/>
      <c r="G210" s="629"/>
      <c r="H210" s="629"/>
      <c r="I210" s="629"/>
    </row>
    <row r="211" spans="1:9">
      <c r="A211" s="260"/>
      <c r="B211" s="400"/>
      <c r="C211" s="400"/>
      <c r="D211" s="400"/>
      <c r="E211" s="400"/>
      <c r="F211" s="400"/>
      <c r="G211" s="400"/>
      <c r="H211" s="400"/>
      <c r="I211" s="401"/>
    </row>
    <row r="212" spans="1:9">
      <c r="A212" s="233"/>
      <c r="B212" s="234"/>
      <c r="C212" s="234"/>
      <c r="D212" s="234"/>
      <c r="E212" s="234"/>
      <c r="F212" s="234"/>
      <c r="G212" s="234"/>
      <c r="H212" s="234"/>
      <c r="I212" s="235"/>
    </row>
    <row r="213" spans="1:9">
      <c r="A213" s="320" t="s">
        <v>1419</v>
      </c>
      <c r="B213" s="234"/>
      <c r="C213" s="234"/>
      <c r="D213" s="234"/>
      <c r="E213" s="234"/>
      <c r="F213" s="234"/>
      <c r="G213" s="234"/>
      <c r="H213" s="234"/>
      <c r="I213" s="235"/>
    </row>
    <row r="214" spans="1:9">
      <c r="A214" s="233"/>
      <c r="B214" s="234"/>
      <c r="C214" s="234"/>
      <c r="D214" s="234"/>
      <c r="E214" s="234"/>
      <c r="F214" s="234"/>
      <c r="G214" s="234"/>
      <c r="H214" s="234"/>
      <c r="I214" s="235"/>
    </row>
    <row r="215" spans="1:9">
      <c r="A215" s="320" t="s">
        <v>353</v>
      </c>
      <c r="B215" s="1676">
        <v>2008</v>
      </c>
      <c r="C215" s="1676">
        <v>2009</v>
      </c>
      <c r="D215" s="1676">
        <v>2010</v>
      </c>
      <c r="E215" s="1676">
        <v>2011</v>
      </c>
      <c r="F215" s="1676">
        <v>2012</v>
      </c>
      <c r="G215" s="1676">
        <v>2013</v>
      </c>
      <c r="H215" s="1676">
        <v>2014</v>
      </c>
      <c r="I215" s="1677">
        <v>2015</v>
      </c>
    </row>
    <row r="216" spans="1:9">
      <c r="A216" s="471" t="s">
        <v>1414</v>
      </c>
      <c r="B216" s="234">
        <v>93</v>
      </c>
      <c r="C216" s="234">
        <v>147</v>
      </c>
      <c r="D216" s="873">
        <v>217</v>
      </c>
      <c r="E216" s="234">
        <v>136</v>
      </c>
      <c r="F216" s="234">
        <v>76</v>
      </c>
      <c r="G216" s="234">
        <v>79</v>
      </c>
      <c r="H216" s="234">
        <v>89</v>
      </c>
      <c r="I216" s="235">
        <v>77</v>
      </c>
    </row>
    <row r="217" spans="1:9">
      <c r="A217" s="471" t="s">
        <v>1415</v>
      </c>
      <c r="B217" s="234">
        <v>24</v>
      </c>
      <c r="C217" s="234">
        <v>35</v>
      </c>
      <c r="D217" s="234">
        <v>36</v>
      </c>
      <c r="E217" s="234">
        <v>35</v>
      </c>
      <c r="F217" s="234">
        <v>3</v>
      </c>
      <c r="G217" s="234">
        <v>4</v>
      </c>
      <c r="H217" s="234">
        <v>7</v>
      </c>
      <c r="I217" s="235">
        <v>11</v>
      </c>
    </row>
    <row r="218" spans="1:9">
      <c r="A218" s="471" t="s">
        <v>1416</v>
      </c>
      <c r="B218" s="234">
        <v>26</v>
      </c>
      <c r="C218" s="234">
        <v>20</v>
      </c>
      <c r="D218" s="234">
        <v>18</v>
      </c>
      <c r="E218" s="234">
        <v>19</v>
      </c>
      <c r="F218" s="234">
        <v>23</v>
      </c>
      <c r="G218" s="234">
        <v>26</v>
      </c>
      <c r="H218" s="234">
        <v>30</v>
      </c>
      <c r="I218" s="235">
        <v>43</v>
      </c>
    </row>
    <row r="219" spans="1:9">
      <c r="A219" s="471" t="s">
        <v>1417</v>
      </c>
      <c r="B219" s="234">
        <v>42</v>
      </c>
      <c r="C219" s="234">
        <v>92</v>
      </c>
      <c r="D219" s="234">
        <v>162</v>
      </c>
      <c r="E219" s="234">
        <v>82</v>
      </c>
      <c r="F219" s="234">
        <v>50</v>
      </c>
      <c r="G219" s="234">
        <v>49</v>
      </c>
      <c r="H219" s="234">
        <v>51</v>
      </c>
      <c r="I219" s="235">
        <v>23</v>
      </c>
    </row>
    <row r="220" spans="1:9">
      <c r="A220" s="233"/>
      <c r="B220" s="234"/>
      <c r="C220" s="234"/>
      <c r="D220" s="234"/>
      <c r="E220" s="234"/>
      <c r="F220" s="234"/>
      <c r="G220" s="234"/>
      <c r="H220" s="234"/>
      <c r="I220" s="235"/>
    </row>
    <row r="221" spans="1:9">
      <c r="A221" s="471" t="s">
        <v>1420</v>
      </c>
      <c r="B221" s="234"/>
      <c r="C221" s="234"/>
      <c r="D221" s="234"/>
      <c r="E221" s="234"/>
      <c r="F221" s="234"/>
      <c r="G221" s="234"/>
      <c r="H221" s="234"/>
      <c r="I221" s="235"/>
    </row>
    <row r="222" spans="1:9">
      <c r="A222" s="233"/>
      <c r="B222" s="234"/>
      <c r="C222" s="234"/>
      <c r="D222" s="234"/>
      <c r="E222" s="234"/>
      <c r="F222" s="234"/>
      <c r="G222" s="234"/>
      <c r="H222" s="234"/>
      <c r="I222" s="235"/>
    </row>
    <row r="223" spans="1:9">
      <c r="A223" s="233"/>
      <c r="B223" s="234"/>
      <c r="C223" s="234"/>
      <c r="D223" s="234"/>
      <c r="E223" s="234"/>
      <c r="F223" s="234"/>
      <c r="G223" s="234"/>
      <c r="H223" s="234"/>
      <c r="I223" s="235"/>
    </row>
    <row r="224" spans="1:9">
      <c r="A224" s="233"/>
      <c r="B224" s="234"/>
      <c r="C224" s="234"/>
      <c r="D224" s="234"/>
      <c r="E224" s="234"/>
      <c r="F224" s="234"/>
      <c r="G224" s="234"/>
      <c r="H224" s="234"/>
      <c r="I224" s="235"/>
    </row>
    <row r="225" spans="1:17">
      <c r="A225" s="1820" t="s">
        <v>44</v>
      </c>
      <c r="B225" s="1821"/>
      <c r="C225" s="1821"/>
      <c r="D225" s="1821"/>
      <c r="E225" s="1821"/>
      <c r="F225" s="1821"/>
      <c r="G225" s="1821"/>
      <c r="H225" s="1821"/>
      <c r="I225" s="1822"/>
      <c r="O225" s="765" t="s">
        <v>1836</v>
      </c>
    </row>
    <row r="226" spans="1:17">
      <c r="A226" s="1823" t="s">
        <v>353</v>
      </c>
      <c r="B226" s="1821">
        <v>2008</v>
      </c>
      <c r="C226" s="1821">
        <v>2009</v>
      </c>
      <c r="D226" s="1821">
        <v>2010</v>
      </c>
      <c r="E226" s="1821">
        <v>2011</v>
      </c>
      <c r="F226" s="1821">
        <v>2012</v>
      </c>
      <c r="G226" s="1821">
        <v>2013</v>
      </c>
      <c r="H226" s="1821">
        <v>2014</v>
      </c>
      <c r="I226" s="1822">
        <v>2015</v>
      </c>
      <c r="N226" s="765" t="s">
        <v>227</v>
      </c>
      <c r="O226" s="765" t="s">
        <v>1837</v>
      </c>
      <c r="P226" s="12">
        <v>0.9</v>
      </c>
      <c r="Q226" s="754">
        <f>P226*D227</f>
        <v>7.2768780000000008</v>
      </c>
    </row>
    <row r="227" spans="1:17" ht="14.4">
      <c r="A227" s="1824" t="s">
        <v>1414</v>
      </c>
      <c r="B227" s="1147">
        <f>B228+B230+B229</f>
        <v>3.3778200000000003</v>
      </c>
      <c r="C227" s="1147">
        <f t="shared" ref="C227:I227" si="9">C228+C230+C229</f>
        <v>5.4554799999999997</v>
      </c>
      <c r="D227" s="1328">
        <f t="shared" si="9"/>
        <v>8.0854200000000009</v>
      </c>
      <c r="E227" s="1147">
        <f t="shared" si="9"/>
        <v>5.0387599999999999</v>
      </c>
      <c r="F227" s="1147">
        <f t="shared" si="9"/>
        <v>2.8342000000000001</v>
      </c>
      <c r="G227" s="1147">
        <f t="shared" si="9"/>
        <v>2.93885</v>
      </c>
      <c r="H227" s="1147">
        <f t="shared" si="9"/>
        <v>3.2641499999999999</v>
      </c>
      <c r="I227" s="1825">
        <f t="shared" si="9"/>
        <v>2.8044099999999998</v>
      </c>
      <c r="N227" s="418"/>
      <c r="O227" s="765" t="s">
        <v>1838</v>
      </c>
      <c r="P227" s="12">
        <v>0.1</v>
      </c>
      <c r="Q227" s="754">
        <f>P227*D227</f>
        <v>0.80854200000000009</v>
      </c>
    </row>
    <row r="228" spans="1:17">
      <c r="A228" s="1824" t="s">
        <v>1415</v>
      </c>
      <c r="B228" s="1147">
        <f t="shared" ref="B228:I230" si="10">(B217*$D287)/1000</f>
        <v>0.84672000000000003</v>
      </c>
      <c r="C228" s="1147">
        <f t="shared" si="10"/>
        <v>1.2347999999999999</v>
      </c>
      <c r="D228" s="1147">
        <f t="shared" si="10"/>
        <v>1.2700799999999999</v>
      </c>
      <c r="E228" s="1147">
        <f t="shared" si="10"/>
        <v>1.2347999999999999</v>
      </c>
      <c r="F228" s="1147">
        <f t="shared" si="10"/>
        <v>0.10584</v>
      </c>
      <c r="G228" s="1147">
        <f t="shared" si="10"/>
        <v>0.14112</v>
      </c>
      <c r="H228" s="1147">
        <f t="shared" si="10"/>
        <v>0.24696000000000001</v>
      </c>
      <c r="I228" s="1825">
        <f t="shared" si="10"/>
        <v>0.38808000000000004</v>
      </c>
      <c r="N228" s="765" t="s">
        <v>228</v>
      </c>
      <c r="O228" s="765" t="s">
        <v>1837</v>
      </c>
      <c r="P228" s="754">
        <v>0.75</v>
      </c>
      <c r="Q228" s="754">
        <f>P228*D244</f>
        <v>62.711737500000012</v>
      </c>
    </row>
    <row r="229" spans="1:17">
      <c r="A229" s="1824" t="s">
        <v>1416</v>
      </c>
      <c r="B229" s="1147">
        <f t="shared" si="10"/>
        <v>0.93132000000000004</v>
      </c>
      <c r="C229" s="1147">
        <f t="shared" si="10"/>
        <v>0.71639999999999993</v>
      </c>
      <c r="D229" s="1147">
        <f t="shared" si="10"/>
        <v>0.64476</v>
      </c>
      <c r="E229" s="1147">
        <f t="shared" si="10"/>
        <v>0.68058000000000007</v>
      </c>
      <c r="F229" s="1147">
        <f t="shared" si="10"/>
        <v>0.82386000000000004</v>
      </c>
      <c r="G229" s="1147">
        <f t="shared" si="10"/>
        <v>0.93132000000000004</v>
      </c>
      <c r="H229" s="1147">
        <f t="shared" si="10"/>
        <v>1.0746</v>
      </c>
      <c r="I229" s="1825">
        <f t="shared" si="10"/>
        <v>1.54026</v>
      </c>
      <c r="O229" s="765" t="s">
        <v>1838</v>
      </c>
      <c r="P229" s="754">
        <v>0.25</v>
      </c>
      <c r="Q229" s="754">
        <f>P229*D244</f>
        <v>20.903912500000004</v>
      </c>
    </row>
    <row r="230" spans="1:17">
      <c r="A230" s="1824" t="s">
        <v>1417</v>
      </c>
      <c r="B230" s="1147">
        <f t="shared" si="10"/>
        <v>1.5997800000000002</v>
      </c>
      <c r="C230" s="1147">
        <f t="shared" si="10"/>
        <v>3.5042800000000001</v>
      </c>
      <c r="D230" s="1147">
        <f t="shared" si="10"/>
        <v>6.1705800000000011</v>
      </c>
      <c r="E230" s="1147">
        <f t="shared" si="10"/>
        <v>3.12338</v>
      </c>
      <c r="F230" s="1147">
        <f t="shared" si="10"/>
        <v>1.9045000000000003</v>
      </c>
      <c r="G230" s="1147">
        <f t="shared" si="10"/>
        <v>1.8664100000000001</v>
      </c>
      <c r="H230" s="1147">
        <f t="shared" si="10"/>
        <v>1.94259</v>
      </c>
      <c r="I230" s="1825">
        <f t="shared" si="10"/>
        <v>0.87607000000000002</v>
      </c>
    </row>
    <row r="231" spans="1:17">
      <c r="A231" s="233"/>
      <c r="B231" s="234"/>
      <c r="C231" s="234"/>
      <c r="D231" s="234"/>
      <c r="E231" s="234"/>
      <c r="F231" s="234"/>
      <c r="G231" s="234"/>
      <c r="H231" s="234"/>
      <c r="I231" s="235"/>
    </row>
    <row r="232" spans="1:17">
      <c r="A232" s="233"/>
      <c r="B232" s="234"/>
      <c r="C232" s="234"/>
      <c r="D232" s="234"/>
      <c r="E232" s="234"/>
      <c r="F232" s="234"/>
      <c r="G232" s="234"/>
      <c r="H232" s="234"/>
      <c r="I232" s="235"/>
    </row>
    <row r="233" spans="1:17">
      <c r="A233" s="233"/>
      <c r="B233" s="234"/>
      <c r="C233" s="234"/>
      <c r="D233" s="234"/>
      <c r="E233" s="234"/>
      <c r="F233" s="234"/>
      <c r="G233" s="234"/>
      <c r="H233" s="234"/>
      <c r="I233" s="235"/>
    </row>
    <row r="234" spans="1:17">
      <c r="A234" s="233"/>
      <c r="B234" s="234"/>
      <c r="C234" s="234"/>
      <c r="D234" s="234"/>
      <c r="E234" s="234"/>
      <c r="F234" s="234"/>
      <c r="G234" s="234"/>
      <c r="H234" s="234"/>
      <c r="I234" s="235"/>
    </row>
    <row r="235" spans="1:17">
      <c r="A235" s="320" t="s">
        <v>1421</v>
      </c>
      <c r="B235" s="234"/>
      <c r="C235" s="234"/>
      <c r="D235" s="234"/>
      <c r="E235" s="234"/>
      <c r="F235" s="234"/>
      <c r="G235" s="234"/>
      <c r="H235" s="234"/>
      <c r="I235" s="235"/>
    </row>
    <row r="236" spans="1:17">
      <c r="A236" s="233"/>
      <c r="B236" s="234"/>
      <c r="C236" s="234"/>
      <c r="D236" s="234"/>
      <c r="E236" s="234"/>
      <c r="F236" s="234"/>
      <c r="G236" s="234"/>
      <c r="H236" s="234"/>
      <c r="I236" s="235"/>
    </row>
    <row r="237" spans="1:17">
      <c r="A237" s="320" t="s">
        <v>353</v>
      </c>
      <c r="B237" s="1676">
        <v>2008</v>
      </c>
      <c r="C237" s="1676">
        <v>2009</v>
      </c>
      <c r="D237" s="1676">
        <v>2010</v>
      </c>
      <c r="E237" s="1676">
        <v>2011</v>
      </c>
      <c r="F237" s="1676">
        <v>2012</v>
      </c>
      <c r="G237" s="1676">
        <v>2013</v>
      </c>
      <c r="H237" s="1676">
        <v>2014</v>
      </c>
      <c r="I237" s="1677">
        <v>2015</v>
      </c>
    </row>
    <row r="238" spans="1:17">
      <c r="A238" s="471" t="s">
        <v>1835</v>
      </c>
      <c r="B238" s="234">
        <v>2292</v>
      </c>
      <c r="C238" s="234">
        <v>2384</v>
      </c>
      <c r="D238" s="873">
        <v>2211</v>
      </c>
      <c r="E238" s="234">
        <v>1943</v>
      </c>
      <c r="F238" s="234">
        <v>1912</v>
      </c>
      <c r="G238" s="234">
        <v>1809</v>
      </c>
      <c r="H238" s="234">
        <v>1948</v>
      </c>
      <c r="I238" s="235">
        <v>2048</v>
      </c>
    </row>
    <row r="239" spans="1:17">
      <c r="A239" s="471" t="s">
        <v>1422</v>
      </c>
      <c r="B239" s="234">
        <v>121</v>
      </c>
      <c r="C239" s="234">
        <v>102</v>
      </c>
      <c r="D239" s="234">
        <v>214</v>
      </c>
      <c r="E239" s="234">
        <v>242</v>
      </c>
      <c r="F239" s="234">
        <v>282</v>
      </c>
      <c r="G239" s="234">
        <v>287</v>
      </c>
      <c r="H239" s="234">
        <v>374</v>
      </c>
      <c r="I239" s="235">
        <v>885</v>
      </c>
    </row>
    <row r="240" spans="1:17">
      <c r="A240" s="471" t="s">
        <v>1417</v>
      </c>
      <c r="B240" s="234">
        <v>2171</v>
      </c>
      <c r="C240" s="234">
        <v>2283</v>
      </c>
      <c r="D240" s="234">
        <v>1997</v>
      </c>
      <c r="E240" s="234">
        <v>1701</v>
      </c>
      <c r="F240" s="234">
        <v>1630</v>
      </c>
      <c r="G240" s="234">
        <v>1522</v>
      </c>
      <c r="H240" s="234">
        <v>1574</v>
      </c>
      <c r="I240" s="235">
        <v>1163</v>
      </c>
    </row>
    <row r="241" spans="1:9">
      <c r="A241" s="233"/>
      <c r="B241" s="234"/>
      <c r="C241" s="234"/>
      <c r="D241" s="234"/>
      <c r="E241" s="234"/>
      <c r="F241" s="234"/>
      <c r="G241" s="234"/>
      <c r="H241" s="234"/>
      <c r="I241" s="235"/>
    </row>
    <row r="242" spans="1:9">
      <c r="A242" s="1820" t="s">
        <v>44</v>
      </c>
      <c r="B242" s="1821"/>
      <c r="C242" s="1821"/>
      <c r="D242" s="1821"/>
      <c r="E242" s="1821"/>
      <c r="F242" s="1821"/>
      <c r="G242" s="1821"/>
      <c r="H242" s="1821"/>
      <c r="I242" s="1822"/>
    </row>
    <row r="243" spans="1:9">
      <c r="A243" s="1823" t="s">
        <v>353</v>
      </c>
      <c r="B243" s="1821">
        <v>2008</v>
      </c>
      <c r="C243" s="1821">
        <v>2009</v>
      </c>
      <c r="D243" s="1821">
        <v>2010</v>
      </c>
      <c r="E243" s="1821">
        <v>2011</v>
      </c>
      <c r="F243" s="1821">
        <v>2012</v>
      </c>
      <c r="G243" s="1821">
        <v>2013</v>
      </c>
      <c r="H243" s="1821">
        <v>2014</v>
      </c>
      <c r="I243" s="1822">
        <v>2015</v>
      </c>
    </row>
    <row r="244" spans="1:9">
      <c r="A244" s="1824" t="s">
        <v>1835</v>
      </c>
      <c r="B244" s="1826">
        <f>B245+B246</f>
        <v>86.962270000000004</v>
      </c>
      <c r="C244" s="1826">
        <f t="shared" ref="C244:I244" si="11">C245+C246</f>
        <v>90.558030000000002</v>
      </c>
      <c r="D244" s="1827">
        <f t="shared" si="11"/>
        <v>83.615650000000016</v>
      </c>
      <c r="E244" s="1826">
        <f t="shared" si="11"/>
        <v>73.328850000000003</v>
      </c>
      <c r="F244" s="1826">
        <f t="shared" si="11"/>
        <v>72.035660000000007</v>
      </c>
      <c r="G244" s="1826">
        <f t="shared" si="11"/>
        <v>68.098340000000007</v>
      </c>
      <c r="H244" s="1826">
        <f t="shared" si="11"/>
        <v>73.148380000000003</v>
      </c>
      <c r="I244" s="871">
        <f t="shared" si="11"/>
        <v>75.521470000000008</v>
      </c>
    </row>
    <row r="245" spans="1:9">
      <c r="A245" s="1824" t="s">
        <v>1422</v>
      </c>
      <c r="B245" s="1147">
        <f t="shared" ref="B245:I245" si="12">(B239*$D287)/1000</f>
        <v>4.2688800000000002</v>
      </c>
      <c r="C245" s="1147">
        <f t="shared" si="12"/>
        <v>3.59856</v>
      </c>
      <c r="D245" s="1147">
        <f t="shared" si="12"/>
        <v>7.5499200000000002</v>
      </c>
      <c r="E245" s="1147">
        <f t="shared" si="12"/>
        <v>8.5377600000000005</v>
      </c>
      <c r="F245" s="1147">
        <f t="shared" si="12"/>
        <v>9.9489600000000014</v>
      </c>
      <c r="G245" s="1147">
        <f t="shared" si="12"/>
        <v>10.125360000000001</v>
      </c>
      <c r="H245" s="1147">
        <f t="shared" si="12"/>
        <v>13.194720000000002</v>
      </c>
      <c r="I245" s="1825">
        <f t="shared" si="12"/>
        <v>31.222799999999999</v>
      </c>
    </row>
    <row r="246" spans="1:9">
      <c r="A246" s="1824" t="s">
        <v>1417</v>
      </c>
      <c r="B246" s="1826">
        <f t="shared" ref="B246:I246" si="13">(B240*$D289)/1000</f>
        <v>82.693390000000008</v>
      </c>
      <c r="C246" s="1826">
        <f t="shared" si="13"/>
        <v>86.959469999999996</v>
      </c>
      <c r="D246" s="1826">
        <f t="shared" si="13"/>
        <v>76.065730000000016</v>
      </c>
      <c r="E246" s="1826">
        <f t="shared" si="13"/>
        <v>64.791089999999997</v>
      </c>
      <c r="F246" s="1826">
        <f t="shared" si="13"/>
        <v>62.086700000000008</v>
      </c>
      <c r="G246" s="1826">
        <f t="shared" si="13"/>
        <v>57.97298</v>
      </c>
      <c r="H246" s="1826">
        <f t="shared" si="13"/>
        <v>59.953660000000006</v>
      </c>
      <c r="I246" s="871">
        <f t="shared" si="13"/>
        <v>44.298670000000008</v>
      </c>
    </row>
    <row r="247" spans="1:9">
      <c r="A247" s="233"/>
      <c r="B247" s="234"/>
      <c r="C247" s="234"/>
      <c r="D247" s="234"/>
      <c r="E247" s="234"/>
      <c r="F247" s="234"/>
      <c r="G247" s="234"/>
      <c r="H247" s="234"/>
      <c r="I247" s="235"/>
    </row>
    <row r="248" spans="1:9">
      <c r="A248" s="233"/>
      <c r="B248" s="234"/>
      <c r="C248" s="234"/>
      <c r="D248" s="234"/>
      <c r="E248" s="234"/>
      <c r="F248" s="234"/>
      <c r="G248" s="234"/>
      <c r="H248" s="234"/>
      <c r="I248" s="235"/>
    </row>
    <row r="249" spans="1:9">
      <c r="A249" s="320" t="s">
        <v>1423</v>
      </c>
      <c r="B249" s="234"/>
      <c r="C249" s="234"/>
      <c r="D249" s="234"/>
      <c r="E249" s="234"/>
      <c r="F249" s="234"/>
      <c r="G249" s="234"/>
      <c r="H249" s="234"/>
      <c r="I249" s="235"/>
    </row>
    <row r="250" spans="1:9">
      <c r="A250" s="233"/>
      <c r="B250" s="234"/>
      <c r="C250" s="234"/>
      <c r="D250" s="234"/>
      <c r="E250" s="234"/>
      <c r="F250" s="234"/>
      <c r="G250" s="234"/>
      <c r="H250" s="234"/>
      <c r="I250" s="235"/>
    </row>
    <row r="251" spans="1:9">
      <c r="A251" s="320" t="s">
        <v>353</v>
      </c>
      <c r="B251" s="1676">
        <v>2008</v>
      </c>
      <c r="C251" s="1676">
        <v>2009</v>
      </c>
      <c r="D251" s="1676">
        <v>2010</v>
      </c>
      <c r="E251" s="1676">
        <v>2011</v>
      </c>
      <c r="F251" s="1676">
        <v>2012</v>
      </c>
      <c r="G251" s="1676">
        <v>2013</v>
      </c>
      <c r="H251" s="1676">
        <v>2014</v>
      </c>
      <c r="I251" s="1677">
        <v>2015</v>
      </c>
    </row>
    <row r="252" spans="1:9">
      <c r="A252" s="471" t="s">
        <v>1424</v>
      </c>
      <c r="B252" s="234">
        <v>1247</v>
      </c>
      <c r="C252" s="234">
        <v>1101</v>
      </c>
      <c r="D252" s="234">
        <v>1075</v>
      </c>
      <c r="E252" s="234">
        <v>1163</v>
      </c>
      <c r="F252" s="234">
        <v>1109</v>
      </c>
      <c r="G252" s="234">
        <v>1135</v>
      </c>
      <c r="H252" s="234">
        <v>1149</v>
      </c>
      <c r="I252" s="235">
        <v>1112</v>
      </c>
    </row>
    <row r="253" spans="1:9">
      <c r="A253" s="471" t="s">
        <v>1425</v>
      </c>
      <c r="B253" s="234">
        <v>241</v>
      </c>
      <c r="C253" s="234">
        <v>211</v>
      </c>
      <c r="D253" s="234">
        <v>199</v>
      </c>
      <c r="E253" s="234">
        <v>218</v>
      </c>
      <c r="F253" s="234">
        <v>214</v>
      </c>
      <c r="G253" s="234">
        <v>216</v>
      </c>
      <c r="H253" s="234">
        <v>213</v>
      </c>
      <c r="I253" s="235">
        <v>210</v>
      </c>
    </row>
    <row r="254" spans="1:9">
      <c r="A254" s="471" t="s">
        <v>1426</v>
      </c>
      <c r="B254" s="234">
        <v>1006</v>
      </c>
      <c r="C254" s="234">
        <v>890</v>
      </c>
      <c r="D254" s="234">
        <v>876</v>
      </c>
      <c r="E254" s="234">
        <v>945</v>
      </c>
      <c r="F254" s="234">
        <v>895</v>
      </c>
      <c r="G254" s="234">
        <v>919</v>
      </c>
      <c r="H254" s="234">
        <v>936</v>
      </c>
      <c r="I254" s="235">
        <v>902</v>
      </c>
    </row>
    <row r="255" spans="1:9">
      <c r="A255" s="233"/>
      <c r="B255" s="234"/>
      <c r="C255" s="234"/>
      <c r="D255" s="234"/>
      <c r="E255" s="234"/>
      <c r="F255" s="234"/>
      <c r="G255" s="234"/>
      <c r="H255" s="234"/>
      <c r="I255" s="235"/>
    </row>
    <row r="256" spans="1:9">
      <c r="A256" s="1820" t="s">
        <v>44</v>
      </c>
      <c r="B256" s="1821"/>
      <c r="C256" s="1821"/>
      <c r="D256" s="1821"/>
      <c r="E256" s="1821"/>
      <c r="F256" s="1821"/>
      <c r="G256" s="1821"/>
      <c r="H256" s="1821"/>
      <c r="I256" s="1822"/>
    </row>
    <row r="257" spans="1:9">
      <c r="A257" s="1823" t="s">
        <v>353</v>
      </c>
      <c r="B257" s="1821">
        <v>2008</v>
      </c>
      <c r="C257" s="1821">
        <v>2009</v>
      </c>
      <c r="D257" s="1821">
        <v>2010</v>
      </c>
      <c r="E257" s="1821">
        <v>2011</v>
      </c>
      <c r="F257" s="1821">
        <v>2012</v>
      </c>
      <c r="G257" s="1821">
        <v>2013</v>
      </c>
      <c r="H257" s="1821">
        <v>2014</v>
      </c>
      <c r="I257" s="1822">
        <v>2015</v>
      </c>
    </row>
    <row r="258" spans="1:9">
      <c r="A258" s="1824" t="s">
        <v>1424</v>
      </c>
      <c r="B258" s="1826">
        <f>B259+B260</f>
        <v>43.096320000000006</v>
      </c>
      <c r="C258" s="1826">
        <f t="shared" ref="C258:I258" si="14">C259+C260</f>
        <v>38.050560000000004</v>
      </c>
      <c r="D258" s="1826">
        <f t="shared" si="14"/>
        <v>37.152000000000001</v>
      </c>
      <c r="E258" s="1826">
        <f t="shared" si="14"/>
        <v>40.193280000000001</v>
      </c>
      <c r="F258" s="1826">
        <f t="shared" si="14"/>
        <v>38.327039999999997</v>
      </c>
      <c r="G258" s="1826">
        <f t="shared" si="14"/>
        <v>39.2256</v>
      </c>
      <c r="H258" s="1826">
        <f t="shared" si="14"/>
        <v>39.709440000000001</v>
      </c>
      <c r="I258" s="871">
        <f t="shared" si="14"/>
        <v>38.430720000000008</v>
      </c>
    </row>
    <row r="259" spans="1:9">
      <c r="A259" s="1824" t="s">
        <v>1425</v>
      </c>
      <c r="B259" s="1147">
        <f t="shared" ref="B259:I259" si="15">(B253*$D286)/1000</f>
        <v>8.3289600000000004</v>
      </c>
      <c r="C259" s="1147">
        <f t="shared" si="15"/>
        <v>7.2921600000000009</v>
      </c>
      <c r="D259" s="1147">
        <f t="shared" si="15"/>
        <v>6.8774400000000009</v>
      </c>
      <c r="E259" s="1147">
        <f t="shared" si="15"/>
        <v>7.5340800000000012</v>
      </c>
      <c r="F259" s="1147">
        <f t="shared" si="15"/>
        <v>7.3958399999999997</v>
      </c>
      <c r="G259" s="1147">
        <f t="shared" si="15"/>
        <v>7.4649600000000014</v>
      </c>
      <c r="H259" s="1147">
        <f t="shared" si="15"/>
        <v>7.3612800000000007</v>
      </c>
      <c r="I259" s="1825">
        <f t="shared" si="15"/>
        <v>7.2576000000000001</v>
      </c>
    </row>
    <row r="260" spans="1:9">
      <c r="A260" s="1824" t="s">
        <v>1426</v>
      </c>
      <c r="B260" s="1826">
        <f t="shared" ref="B260:I260" si="16">(B254*$D286)/1000</f>
        <v>34.767360000000004</v>
      </c>
      <c r="C260" s="1826">
        <f t="shared" si="16"/>
        <v>30.758400000000002</v>
      </c>
      <c r="D260" s="1826">
        <f t="shared" si="16"/>
        <v>30.274560000000001</v>
      </c>
      <c r="E260" s="1826">
        <f t="shared" si="16"/>
        <v>32.659199999999998</v>
      </c>
      <c r="F260" s="1826">
        <f t="shared" si="16"/>
        <v>30.9312</v>
      </c>
      <c r="G260" s="1826">
        <f t="shared" si="16"/>
        <v>31.760640000000002</v>
      </c>
      <c r="H260" s="1826">
        <f t="shared" si="16"/>
        <v>32.34816</v>
      </c>
      <c r="I260" s="871">
        <f t="shared" si="16"/>
        <v>31.173120000000004</v>
      </c>
    </row>
    <row r="261" spans="1:9">
      <c r="A261" s="233"/>
      <c r="B261" s="234"/>
      <c r="C261" s="234"/>
      <c r="D261" s="234"/>
      <c r="E261" s="234"/>
      <c r="F261" s="234"/>
      <c r="G261" s="234"/>
      <c r="H261" s="234"/>
      <c r="I261" s="235"/>
    </row>
    <row r="262" spans="1:9">
      <c r="A262" s="233"/>
      <c r="B262" s="234"/>
      <c r="C262" s="234"/>
      <c r="D262" s="234"/>
      <c r="E262" s="234"/>
      <c r="F262" s="234"/>
      <c r="G262" s="234"/>
      <c r="H262" s="234"/>
      <c r="I262" s="235"/>
    </row>
    <row r="263" spans="1:9">
      <c r="A263" s="233"/>
      <c r="B263" s="234"/>
      <c r="C263" s="234"/>
      <c r="D263" s="234"/>
      <c r="E263" s="234"/>
      <c r="F263" s="234"/>
      <c r="G263" s="234"/>
      <c r="H263" s="234"/>
      <c r="I263" s="235"/>
    </row>
    <row r="264" spans="1:9">
      <c r="A264" s="320" t="s">
        <v>1427</v>
      </c>
      <c r="B264" s="234"/>
      <c r="C264" s="234"/>
      <c r="D264" s="234"/>
      <c r="E264" s="234"/>
      <c r="F264" s="234"/>
      <c r="G264" s="234"/>
      <c r="H264" s="234"/>
      <c r="I264" s="235"/>
    </row>
    <row r="265" spans="1:9">
      <c r="A265" s="233"/>
      <c r="B265" s="234"/>
      <c r="C265" s="234"/>
      <c r="D265" s="234"/>
      <c r="E265" s="234"/>
      <c r="F265" s="234"/>
      <c r="G265" s="234"/>
      <c r="H265" s="234"/>
      <c r="I265" s="235"/>
    </row>
    <row r="266" spans="1:9">
      <c r="A266" s="320" t="s">
        <v>353</v>
      </c>
      <c r="B266" s="1676">
        <v>2008</v>
      </c>
      <c r="C266" s="1676">
        <v>2009</v>
      </c>
      <c r="D266" s="1676">
        <v>2010</v>
      </c>
      <c r="E266" s="1676">
        <v>2011</v>
      </c>
      <c r="F266" s="1676">
        <v>2012</v>
      </c>
      <c r="G266" s="1676">
        <v>2013</v>
      </c>
      <c r="H266" s="1676">
        <v>2014</v>
      </c>
      <c r="I266" s="1677">
        <v>2015</v>
      </c>
    </row>
    <row r="267" spans="1:9">
      <c r="A267" s="233"/>
      <c r="B267" s="234"/>
      <c r="C267" s="234"/>
      <c r="D267" s="234"/>
      <c r="E267" s="234"/>
      <c r="F267" s="234"/>
      <c r="G267" s="234"/>
      <c r="H267" s="234"/>
      <c r="I267" s="235"/>
    </row>
    <row r="268" spans="1:9">
      <c r="A268" s="471" t="s">
        <v>1428</v>
      </c>
      <c r="B268" s="234">
        <v>2361</v>
      </c>
      <c r="C268" s="234">
        <v>2442</v>
      </c>
      <c r="D268" s="234">
        <v>2405</v>
      </c>
      <c r="E268" s="234">
        <v>2640</v>
      </c>
      <c r="F268" s="234">
        <v>2685</v>
      </c>
      <c r="G268" s="234">
        <v>2750</v>
      </c>
      <c r="H268" s="234">
        <v>2616</v>
      </c>
      <c r="I268" s="235"/>
    </row>
    <row r="269" spans="1:9">
      <c r="A269" s="1828" t="s">
        <v>1429</v>
      </c>
      <c r="B269" s="234">
        <v>2175</v>
      </c>
      <c r="C269" s="234">
        <v>2205</v>
      </c>
      <c r="D269" s="234">
        <v>2183</v>
      </c>
      <c r="E269" s="234">
        <v>2390</v>
      </c>
      <c r="F269" s="234">
        <v>2425</v>
      </c>
      <c r="G269" s="234">
        <v>2499</v>
      </c>
      <c r="H269" s="234">
        <v>2383</v>
      </c>
      <c r="I269" s="235"/>
    </row>
    <row r="270" spans="1:9">
      <c r="A270" s="1828" t="s">
        <v>1430</v>
      </c>
      <c r="B270" s="234">
        <v>186</v>
      </c>
      <c r="C270" s="234">
        <v>237</v>
      </c>
      <c r="D270" s="234">
        <v>222</v>
      </c>
      <c r="E270" s="234">
        <v>250</v>
      </c>
      <c r="F270" s="234">
        <v>260</v>
      </c>
      <c r="G270" s="234">
        <v>251</v>
      </c>
      <c r="H270" s="234">
        <v>232</v>
      </c>
      <c r="I270" s="235"/>
    </row>
    <row r="271" spans="1:9">
      <c r="A271" s="471" t="s">
        <v>1431</v>
      </c>
      <c r="B271" s="234">
        <v>27</v>
      </c>
      <c r="C271" s="234">
        <v>24</v>
      </c>
      <c r="D271" s="234">
        <v>24</v>
      </c>
      <c r="E271" s="234">
        <v>23</v>
      </c>
      <c r="F271" s="234">
        <v>23</v>
      </c>
      <c r="G271" s="234">
        <v>22</v>
      </c>
      <c r="H271" s="234">
        <v>22</v>
      </c>
      <c r="I271" s="235"/>
    </row>
    <row r="272" spans="1:9">
      <c r="A272" s="233"/>
      <c r="B272" s="234"/>
      <c r="C272" s="234"/>
      <c r="D272" s="234"/>
      <c r="E272" s="234"/>
      <c r="F272" s="234"/>
      <c r="G272" s="234"/>
      <c r="H272" s="234"/>
      <c r="I272" s="235"/>
    </row>
    <row r="273" spans="1:9">
      <c r="A273" s="1820" t="s">
        <v>44</v>
      </c>
      <c r="B273" s="1821"/>
      <c r="C273" s="1821"/>
      <c r="D273" s="1821"/>
      <c r="E273" s="1821"/>
      <c r="F273" s="1821"/>
      <c r="G273" s="1821"/>
      <c r="H273" s="1821"/>
      <c r="I273" s="1822"/>
    </row>
    <row r="274" spans="1:9">
      <c r="A274" s="1823" t="s">
        <v>353</v>
      </c>
      <c r="B274" s="1821">
        <v>2008</v>
      </c>
      <c r="C274" s="1821">
        <v>2009</v>
      </c>
      <c r="D274" s="1127">
        <v>2010</v>
      </c>
      <c r="E274" s="1821">
        <v>2011</v>
      </c>
      <c r="F274" s="1821">
        <v>2012</v>
      </c>
      <c r="G274" s="1821">
        <v>2013</v>
      </c>
      <c r="H274" s="1821">
        <v>2014</v>
      </c>
      <c r="I274" s="1822">
        <v>2015</v>
      </c>
    </row>
    <row r="275" spans="1:9">
      <c r="A275" s="868"/>
      <c r="B275" s="869"/>
      <c r="C275" s="869"/>
      <c r="D275" s="873"/>
      <c r="E275" s="869"/>
      <c r="F275" s="869"/>
      <c r="G275" s="869"/>
      <c r="H275" s="869"/>
      <c r="I275" s="870"/>
    </row>
    <row r="276" spans="1:9">
      <c r="A276" s="1824" t="s">
        <v>1428</v>
      </c>
      <c r="B276" s="1147">
        <f>B277+B278</f>
        <v>8.4996000000000009</v>
      </c>
      <c r="C276" s="1147">
        <f t="shared" ref="C276:H276" si="17">C277+C278</f>
        <v>8.7911999999999999</v>
      </c>
      <c r="D276" s="1328">
        <f t="shared" si="17"/>
        <v>8.6579999999999995</v>
      </c>
      <c r="E276" s="1147">
        <f t="shared" si="17"/>
        <v>9.5039999999999996</v>
      </c>
      <c r="F276" s="1147">
        <f t="shared" si="17"/>
        <v>9.6660000000000004</v>
      </c>
      <c r="G276" s="1147">
        <f t="shared" si="17"/>
        <v>9.8999999999999986</v>
      </c>
      <c r="H276" s="1147">
        <f t="shared" si="17"/>
        <v>9.4139999999999997</v>
      </c>
      <c r="I276" s="870"/>
    </row>
    <row r="277" spans="1:9">
      <c r="A277" s="1829" t="s">
        <v>1429</v>
      </c>
      <c r="B277" s="1147">
        <f t="shared" ref="B277:H277" si="18">(B269*$D296)/1000000</f>
        <v>7.83</v>
      </c>
      <c r="C277" s="1147">
        <f t="shared" si="18"/>
        <v>7.9379999999999997</v>
      </c>
      <c r="D277" s="1328">
        <f t="shared" si="18"/>
        <v>7.8587999999999996</v>
      </c>
      <c r="E277" s="1147">
        <f t="shared" si="18"/>
        <v>8.6039999999999992</v>
      </c>
      <c r="F277" s="1147">
        <f t="shared" si="18"/>
        <v>8.73</v>
      </c>
      <c r="G277" s="1147">
        <f t="shared" si="18"/>
        <v>8.9963999999999995</v>
      </c>
      <c r="H277" s="1147">
        <f t="shared" si="18"/>
        <v>8.5787999999999993</v>
      </c>
      <c r="I277" s="870"/>
    </row>
    <row r="278" spans="1:9">
      <c r="A278" s="1829" t="s">
        <v>1430</v>
      </c>
      <c r="B278" s="1147">
        <f t="shared" ref="B278:H278" si="19">(B270*$D296)/1000000</f>
        <v>0.66959999999999997</v>
      </c>
      <c r="C278" s="1147">
        <f t="shared" si="19"/>
        <v>0.85319999999999996</v>
      </c>
      <c r="D278" s="1328">
        <f t="shared" si="19"/>
        <v>0.79920000000000002</v>
      </c>
      <c r="E278" s="1147">
        <f t="shared" si="19"/>
        <v>0.9</v>
      </c>
      <c r="F278" s="1147">
        <f t="shared" si="19"/>
        <v>0.93600000000000005</v>
      </c>
      <c r="G278" s="1147">
        <f t="shared" si="19"/>
        <v>0.90359999999999996</v>
      </c>
      <c r="H278" s="1147">
        <f t="shared" si="19"/>
        <v>0.83520000000000005</v>
      </c>
      <c r="I278" s="870"/>
    </row>
    <row r="279" spans="1:9">
      <c r="A279" s="1824" t="s">
        <v>1431</v>
      </c>
      <c r="B279" s="1150">
        <f t="shared" ref="B279:H279" si="20">(B271*$D287)/1000</f>
        <v>0.95256000000000007</v>
      </c>
      <c r="C279" s="1150">
        <f t="shared" si="20"/>
        <v>0.84672000000000003</v>
      </c>
      <c r="D279" s="1830">
        <f t="shared" si="20"/>
        <v>0.84672000000000003</v>
      </c>
      <c r="E279" s="1150">
        <f t="shared" si="20"/>
        <v>0.81144000000000005</v>
      </c>
      <c r="F279" s="1150">
        <f t="shared" si="20"/>
        <v>0.81144000000000005</v>
      </c>
      <c r="G279" s="1150">
        <f t="shared" si="20"/>
        <v>0.77616000000000007</v>
      </c>
      <c r="H279" s="1150">
        <f t="shared" si="20"/>
        <v>0.77616000000000007</v>
      </c>
      <c r="I279" s="871"/>
    </row>
    <row r="280" spans="1:9">
      <c r="A280" s="233"/>
      <c r="B280" s="234"/>
      <c r="C280" s="234"/>
      <c r="D280" s="234"/>
      <c r="E280" s="234"/>
      <c r="F280" s="234"/>
      <c r="G280" s="234"/>
      <c r="H280" s="234"/>
      <c r="I280" s="235"/>
    </row>
    <row r="281" spans="1:9">
      <c r="A281" s="233"/>
      <c r="B281" s="234"/>
      <c r="C281" s="234"/>
      <c r="D281" s="234"/>
      <c r="E281" s="234"/>
      <c r="F281" s="234"/>
      <c r="G281" s="234"/>
      <c r="H281" s="234"/>
      <c r="I281" s="235"/>
    </row>
    <row r="282" spans="1:9">
      <c r="A282" s="320" t="s">
        <v>1432</v>
      </c>
      <c r="B282" s="234"/>
      <c r="C282" s="234"/>
      <c r="D282" s="234"/>
      <c r="E282" s="234"/>
      <c r="F282" s="234"/>
      <c r="G282" s="234"/>
      <c r="H282" s="234"/>
      <c r="I282" s="235"/>
    </row>
    <row r="283" spans="1:9">
      <c r="A283" s="233"/>
      <c r="B283" s="234"/>
      <c r="C283" s="234"/>
      <c r="D283" s="234"/>
      <c r="E283" s="234"/>
      <c r="F283" s="234"/>
      <c r="G283" s="234"/>
      <c r="H283" s="234"/>
      <c r="I283" s="235"/>
    </row>
    <row r="284" spans="1:9">
      <c r="A284" s="320" t="s">
        <v>1433</v>
      </c>
      <c r="B284" s="543"/>
      <c r="C284" s="1676" t="s">
        <v>1434</v>
      </c>
      <c r="D284" s="1676" t="s">
        <v>1435</v>
      </c>
      <c r="E284" s="234"/>
      <c r="F284" s="234"/>
      <c r="G284" s="234"/>
      <c r="H284" s="234"/>
      <c r="I284" s="235"/>
    </row>
    <row r="285" spans="1:9">
      <c r="A285" s="471" t="s">
        <v>1436</v>
      </c>
      <c r="B285" s="234"/>
      <c r="C285" s="697" t="s">
        <v>1443</v>
      </c>
      <c r="D285" s="234">
        <v>32.76</v>
      </c>
      <c r="E285" s="234"/>
      <c r="F285" s="234"/>
      <c r="G285" s="234"/>
      <c r="H285" s="234"/>
      <c r="I285" s="235"/>
    </row>
    <row r="286" spans="1:9">
      <c r="A286" s="471" t="s">
        <v>1437</v>
      </c>
      <c r="B286" s="234"/>
      <c r="C286" s="697" t="s">
        <v>1443</v>
      </c>
      <c r="D286" s="234">
        <v>34.56</v>
      </c>
      <c r="E286" s="234"/>
      <c r="F286" s="234"/>
      <c r="G286" s="234"/>
      <c r="H286" s="234"/>
      <c r="I286" s="235"/>
    </row>
    <row r="287" spans="1:9">
      <c r="A287" s="471" t="s">
        <v>61</v>
      </c>
      <c r="B287" s="234"/>
      <c r="C287" s="697" t="s">
        <v>1443</v>
      </c>
      <c r="D287" s="234">
        <v>35.28</v>
      </c>
      <c r="E287" s="234"/>
      <c r="F287" s="234"/>
      <c r="G287" s="234"/>
      <c r="H287" s="234"/>
      <c r="I287" s="235"/>
    </row>
    <row r="288" spans="1:9">
      <c r="A288" s="471" t="s">
        <v>1438</v>
      </c>
      <c r="B288" s="234"/>
      <c r="C288" s="697" t="s">
        <v>1443</v>
      </c>
      <c r="D288" s="234">
        <v>35.82</v>
      </c>
      <c r="E288" s="234"/>
      <c r="F288" s="234"/>
      <c r="G288" s="234"/>
      <c r="H288" s="234"/>
      <c r="I288" s="235"/>
    </row>
    <row r="289" spans="1:9">
      <c r="A289" s="471" t="s">
        <v>1439</v>
      </c>
      <c r="B289" s="234"/>
      <c r="C289" s="697" t="s">
        <v>1443</v>
      </c>
      <c r="D289" s="234">
        <v>38.090000000000003</v>
      </c>
      <c r="E289" s="234"/>
      <c r="F289" s="234"/>
      <c r="G289" s="234"/>
      <c r="H289" s="234"/>
      <c r="I289" s="235"/>
    </row>
    <row r="290" spans="1:9">
      <c r="A290" s="471" t="s">
        <v>328</v>
      </c>
      <c r="B290" s="234"/>
      <c r="C290" s="697" t="s">
        <v>1444</v>
      </c>
      <c r="D290" s="234">
        <v>39.78</v>
      </c>
      <c r="E290" s="234"/>
      <c r="F290" s="234"/>
      <c r="G290" s="234"/>
      <c r="H290" s="234"/>
      <c r="I290" s="235"/>
    </row>
    <row r="291" spans="1:9">
      <c r="A291" s="471" t="s">
        <v>1440</v>
      </c>
      <c r="B291" s="234"/>
      <c r="C291" s="697" t="s">
        <v>1443</v>
      </c>
      <c r="D291" s="234">
        <v>21.24</v>
      </c>
      <c r="E291" s="234"/>
      <c r="F291" s="234"/>
      <c r="G291" s="234"/>
      <c r="H291" s="234"/>
      <c r="I291" s="235"/>
    </row>
    <row r="292" spans="1:9">
      <c r="A292" s="471" t="s">
        <v>1441</v>
      </c>
      <c r="B292" s="234"/>
      <c r="C292" s="697" t="s">
        <v>1443</v>
      </c>
      <c r="D292" s="234">
        <v>33.01</v>
      </c>
      <c r="E292" s="234"/>
      <c r="F292" s="234"/>
      <c r="G292" s="234"/>
      <c r="H292" s="234"/>
      <c r="I292" s="235"/>
    </row>
    <row r="293" spans="1:9">
      <c r="A293" s="471" t="s">
        <v>329</v>
      </c>
      <c r="B293" s="234"/>
      <c r="C293" s="697" t="s">
        <v>1444</v>
      </c>
      <c r="D293" s="234">
        <v>34.92</v>
      </c>
      <c r="E293" s="234"/>
      <c r="F293" s="234"/>
      <c r="G293" s="234"/>
      <c r="H293" s="234"/>
      <c r="I293" s="235"/>
    </row>
    <row r="294" spans="1:9">
      <c r="A294" s="471" t="s">
        <v>1442</v>
      </c>
      <c r="B294" s="234"/>
      <c r="C294" s="697" t="s">
        <v>1443</v>
      </c>
      <c r="D294" s="234">
        <v>33.979999999999997</v>
      </c>
      <c r="E294" s="234"/>
      <c r="F294" s="234"/>
      <c r="G294" s="234"/>
      <c r="H294" s="234"/>
      <c r="I294" s="235"/>
    </row>
    <row r="295" spans="1:9">
      <c r="A295" s="233"/>
      <c r="B295" s="234"/>
      <c r="C295" s="234"/>
      <c r="D295" s="234"/>
      <c r="E295" s="234"/>
      <c r="F295" s="234"/>
      <c r="G295" s="234"/>
      <c r="H295" s="234"/>
      <c r="I295" s="235"/>
    </row>
    <row r="296" spans="1:9">
      <c r="A296" s="1688"/>
      <c r="B296" s="404"/>
      <c r="C296" s="736" t="s">
        <v>1445</v>
      </c>
      <c r="D296" s="404">
        <v>3600</v>
      </c>
      <c r="E296" s="404"/>
      <c r="F296" s="404"/>
      <c r="G296" s="404"/>
      <c r="H296" s="404"/>
      <c r="I296" s="405"/>
    </row>
    <row r="300" spans="1:9">
      <c r="A300" s="603" t="s">
        <v>1337</v>
      </c>
    </row>
    <row r="301" spans="1:9" ht="13.8">
      <c r="A301" s="1793" t="s">
        <v>1761</v>
      </c>
      <c r="B301" s="1794"/>
      <c r="C301" s="1795"/>
      <c r="D301" s="1794"/>
      <c r="E301" s="1796"/>
      <c r="F301" s="765"/>
    </row>
    <row r="302" spans="1:9" ht="13.8">
      <c r="A302" s="1797" t="s">
        <v>1762</v>
      </c>
      <c r="B302" s="1631"/>
      <c r="C302" s="1229"/>
      <c r="D302" s="1631"/>
      <c r="E302" s="1798"/>
    </row>
    <row r="303" spans="1:9" ht="13.8">
      <c r="A303" s="1799"/>
      <c r="B303" s="1168"/>
      <c r="C303" s="1168"/>
      <c r="D303" s="1168"/>
      <c r="E303" s="1800"/>
    </row>
    <row r="304" spans="1:9" ht="13.8">
      <c r="A304" s="1801"/>
      <c r="B304" s="1171"/>
      <c r="C304" s="1171"/>
      <c r="D304" s="1171"/>
      <c r="E304" s="1802"/>
    </row>
    <row r="305" spans="1:10" ht="14.4" thickBot="1">
      <c r="A305" s="1803"/>
      <c r="B305" s="1168"/>
      <c r="C305" s="1168"/>
      <c r="D305" s="1168"/>
      <c r="E305" s="1800"/>
    </row>
    <row r="306" spans="1:10" ht="13.8">
      <c r="A306" s="3098" t="s">
        <v>1763</v>
      </c>
      <c r="B306" s="3099"/>
      <c r="C306" s="3099"/>
      <c r="D306" s="3100">
        <v>2010</v>
      </c>
      <c r="E306" s="3101"/>
      <c r="H306" s="1533"/>
      <c r="I306" s="1118"/>
      <c r="J306" s="1313"/>
    </row>
    <row r="307" spans="1:10" ht="13.8">
      <c r="A307" s="1804"/>
      <c r="B307" s="1633"/>
      <c r="C307" s="1633"/>
      <c r="D307" s="1634"/>
      <c r="E307" s="1805"/>
      <c r="H307" s="1108"/>
      <c r="I307" s="467"/>
      <c r="J307" s="1534">
        <v>2010</v>
      </c>
    </row>
    <row r="308" spans="1:10">
      <c r="A308" s="1806"/>
      <c r="B308" s="1206"/>
      <c r="C308" s="1206"/>
      <c r="D308" s="1206"/>
      <c r="E308" s="1807"/>
      <c r="H308" s="1108"/>
      <c r="I308" s="467"/>
      <c r="J308" s="1534" t="s">
        <v>2056</v>
      </c>
    </row>
    <row r="309" spans="1:10">
      <c r="A309" s="1808">
        <v>1</v>
      </c>
      <c r="B309" s="1631"/>
      <c r="C309" s="1206" t="s">
        <v>1765</v>
      </c>
      <c r="D309" s="1186">
        <v>1211.3499999999999</v>
      </c>
      <c r="E309" s="1809"/>
      <c r="H309" s="1108" t="s">
        <v>1815</v>
      </c>
      <c r="I309" s="467" t="s">
        <v>2061</v>
      </c>
      <c r="J309" s="1535">
        <f>D309*D$296/1000000</f>
        <v>4.3608599999999997</v>
      </c>
    </row>
    <row r="310" spans="1:10">
      <c r="A310" s="1808">
        <v>2</v>
      </c>
      <c r="B310" s="1631"/>
      <c r="C310" s="1206" t="s">
        <v>1767</v>
      </c>
      <c r="D310" s="1186">
        <v>886.91</v>
      </c>
      <c r="E310" s="1809"/>
      <c r="H310" s="1108" t="s">
        <v>1815</v>
      </c>
      <c r="I310" s="467" t="s">
        <v>2062</v>
      </c>
      <c r="J310" s="1535">
        <f>D310*D$296/1000000</f>
        <v>3.192876</v>
      </c>
    </row>
    <row r="311" spans="1:10">
      <c r="A311" s="1808">
        <v>3</v>
      </c>
      <c r="B311" s="1631"/>
      <c r="C311" s="1224" t="s">
        <v>1769</v>
      </c>
      <c r="D311" s="1225">
        <v>2098.2600000000002</v>
      </c>
      <c r="E311" s="1810"/>
      <c r="H311" s="1108" t="s">
        <v>1815</v>
      </c>
      <c r="I311" s="467" t="s">
        <v>1769</v>
      </c>
      <c r="J311" s="1535">
        <f>D311*D$296/1000000</f>
        <v>7.5537360000000007</v>
      </c>
    </row>
    <row r="312" spans="1:10">
      <c r="A312" s="1811"/>
      <c r="B312" s="1232"/>
      <c r="C312" s="1233"/>
      <c r="D312" s="1239"/>
      <c r="E312" s="1812"/>
      <c r="H312" s="1108"/>
      <c r="I312" s="467"/>
      <c r="J312" s="1311"/>
    </row>
    <row r="313" spans="1:10">
      <c r="A313" s="1808"/>
      <c r="B313" s="1631"/>
      <c r="C313" s="1206"/>
      <c r="D313" s="1186"/>
      <c r="E313" s="1809"/>
      <c r="H313" s="1108"/>
      <c r="I313" s="467"/>
      <c r="J313" s="1311"/>
    </row>
    <row r="314" spans="1:10">
      <c r="A314" s="1808">
        <v>4</v>
      </c>
      <c r="B314" s="1631"/>
      <c r="C314" s="1206" t="s">
        <v>1771</v>
      </c>
      <c r="D314" s="1186">
        <v>6599.8</v>
      </c>
      <c r="E314" s="1813"/>
      <c r="H314" s="1108" t="s">
        <v>1815</v>
      </c>
      <c r="I314" s="467" t="s">
        <v>2059</v>
      </c>
      <c r="J314" s="1535">
        <f>(D314*D$287)/1000000</f>
        <v>0.23284094400000002</v>
      </c>
    </row>
    <row r="315" spans="1:10">
      <c r="A315" s="1808">
        <v>5</v>
      </c>
      <c r="B315" s="1631"/>
      <c r="C315" s="1206" t="s">
        <v>1773</v>
      </c>
      <c r="D315" s="1186">
        <v>17085.460118360814</v>
      </c>
      <c r="E315" s="1813"/>
      <c r="H315" s="1108" t="s">
        <v>1815</v>
      </c>
      <c r="I315" s="467" t="s">
        <v>2060</v>
      </c>
      <c r="J315" s="1535">
        <f>(D315*D$287)/1000000</f>
        <v>0.60277503297576951</v>
      </c>
    </row>
    <row r="316" spans="1:10">
      <c r="A316" s="1808">
        <v>6</v>
      </c>
      <c r="B316" s="1631"/>
      <c r="C316" s="1224" t="s">
        <v>1769</v>
      </c>
      <c r="D316" s="1225">
        <v>23685.260118360813</v>
      </c>
      <c r="E316" s="1814"/>
      <c r="H316" s="1108" t="s">
        <v>1815</v>
      </c>
      <c r="I316" s="467" t="s">
        <v>1769</v>
      </c>
      <c r="J316" s="1535">
        <f>(D316*D$287)/1000000</f>
        <v>0.8356159769757695</v>
      </c>
    </row>
    <row r="317" spans="1:10">
      <c r="A317" s="1815"/>
      <c r="B317" s="1635"/>
      <c r="C317" s="1255"/>
      <c r="D317" s="1256"/>
      <c r="E317" s="1816"/>
      <c r="H317" s="1108"/>
      <c r="I317" s="467"/>
      <c r="J317" s="1311"/>
    </row>
    <row r="318" spans="1:10">
      <c r="A318" s="1808"/>
      <c r="B318" s="1631"/>
      <c r="C318" s="1229"/>
      <c r="D318" s="1246"/>
      <c r="E318" s="1813"/>
      <c r="H318" s="1108" t="s">
        <v>2063</v>
      </c>
      <c r="I318" s="467" t="s">
        <v>2061</v>
      </c>
      <c r="J318" s="1535">
        <f>D330*D$296/1000000</f>
        <v>0.26291160000000002</v>
      </c>
    </row>
    <row r="319" spans="1:10">
      <c r="A319" s="1808"/>
      <c r="B319" s="1631"/>
      <c r="C319" s="1229"/>
      <c r="D319" s="1246"/>
      <c r="E319" s="1813"/>
      <c r="H319" s="1108"/>
      <c r="I319" s="467"/>
      <c r="J319" s="1311"/>
    </row>
    <row r="320" spans="1:10">
      <c r="A320" s="1808"/>
      <c r="B320" s="1631"/>
      <c r="C320" s="1229"/>
      <c r="D320" s="1246"/>
      <c r="E320" s="1813"/>
      <c r="H320" s="1108" t="s">
        <v>1822</v>
      </c>
      <c r="I320" s="467" t="s">
        <v>2061</v>
      </c>
      <c r="J320" s="1535">
        <f>D344*D$296/1000000</f>
        <v>0.72757440000000007</v>
      </c>
    </row>
    <row r="321" spans="1:10">
      <c r="A321" s="1808"/>
      <c r="B321" s="1631"/>
      <c r="C321" s="1229"/>
      <c r="D321" s="1246"/>
      <c r="E321" s="1813"/>
      <c r="H321" s="1108"/>
      <c r="I321" s="467"/>
      <c r="J321" s="1311"/>
    </row>
    <row r="322" spans="1:10" ht="13.8">
      <c r="A322" s="1817" t="s">
        <v>1775</v>
      </c>
      <c r="B322" s="1168"/>
      <c r="C322" s="1168"/>
      <c r="D322" s="1168"/>
      <c r="E322" s="1800"/>
      <c r="H322" s="1105" t="s">
        <v>2064</v>
      </c>
      <c r="I322" s="561" t="s">
        <v>2057</v>
      </c>
      <c r="J322" s="1536">
        <f>J320+J318+J309+J310</f>
        <v>8.5442219999999995</v>
      </c>
    </row>
    <row r="323" spans="1:10" ht="13.8">
      <c r="A323" s="1797" t="s">
        <v>1776</v>
      </c>
      <c r="B323" s="1168"/>
      <c r="C323" s="1168"/>
      <c r="D323" s="1168"/>
      <c r="E323" s="1800"/>
      <c r="H323" s="1105" t="s">
        <v>2064</v>
      </c>
      <c r="I323" s="561" t="s">
        <v>2058</v>
      </c>
      <c r="J323" s="1536">
        <f>J316</f>
        <v>0.8356159769757695</v>
      </c>
    </row>
    <row r="324" spans="1:10" ht="14.4" thickBot="1">
      <c r="A324" s="1817"/>
      <c r="B324" s="1168"/>
      <c r="C324" s="1168"/>
      <c r="D324" s="1168"/>
      <c r="E324" s="1800"/>
      <c r="H324" s="427"/>
      <c r="I324" s="390"/>
      <c r="J324" s="428"/>
    </row>
    <row r="325" spans="1:10" ht="13.8">
      <c r="A325" s="1818"/>
      <c r="B325" s="1171"/>
      <c r="C325" s="1171"/>
      <c r="D325" s="1171"/>
      <c r="E325" s="1802"/>
    </row>
    <row r="326" spans="1:10" ht="13.8">
      <c r="A326" s="1278"/>
      <c r="B326" s="1168"/>
      <c r="C326" s="1168"/>
      <c r="D326" s="1168"/>
      <c r="E326" s="1800"/>
    </row>
    <row r="327" spans="1:10" ht="13.8">
      <c r="A327" s="3098" t="s">
        <v>1763</v>
      </c>
      <c r="B327" s="3099"/>
      <c r="C327" s="3099"/>
      <c r="D327" s="3100">
        <v>2010</v>
      </c>
      <c r="E327" s="3101"/>
    </row>
    <row r="328" spans="1:10" ht="13.8">
      <c r="A328" s="1804"/>
      <c r="B328" s="1633"/>
      <c r="C328" s="1633"/>
      <c r="D328" s="1634"/>
      <c r="E328" s="1805"/>
    </row>
    <row r="329" spans="1:10">
      <c r="A329" s="1806"/>
      <c r="B329" s="1206"/>
      <c r="C329" s="1206"/>
      <c r="D329" s="1206"/>
      <c r="E329" s="1807"/>
    </row>
    <row r="330" spans="1:10">
      <c r="A330" s="1808">
        <v>1</v>
      </c>
      <c r="B330" s="1631"/>
      <c r="C330" s="1224" t="s">
        <v>1765</v>
      </c>
      <c r="D330" s="1225">
        <v>73.031000000000006</v>
      </c>
      <c r="E330" s="1819"/>
    </row>
    <row r="331" spans="1:10">
      <c r="A331" s="1815"/>
      <c r="B331" s="1635"/>
      <c r="C331" s="1255"/>
      <c r="D331" s="1256"/>
      <c r="E331" s="1816"/>
    </row>
    <row r="332" spans="1:10">
      <c r="A332" s="1808"/>
      <c r="B332" s="1631"/>
      <c r="C332" s="1229"/>
      <c r="D332" s="1246"/>
      <c r="E332" s="1813"/>
    </row>
    <row r="333" spans="1:10">
      <c r="A333" s="1808"/>
      <c r="B333" s="1631"/>
      <c r="C333" s="1229"/>
      <c r="D333" s="1246"/>
      <c r="E333" s="1813"/>
    </row>
    <row r="334" spans="1:10">
      <c r="A334" s="1808"/>
      <c r="B334" s="1631"/>
      <c r="C334" s="1229"/>
      <c r="D334" s="1246"/>
      <c r="E334" s="1813"/>
    </row>
    <row r="335" spans="1:10">
      <c r="A335" s="1808"/>
      <c r="B335" s="1631"/>
      <c r="C335" s="1229"/>
      <c r="D335" s="1246"/>
      <c r="E335" s="1813"/>
    </row>
    <row r="336" spans="1:10" ht="13.8">
      <c r="A336" s="1817" t="s">
        <v>1777</v>
      </c>
      <c r="B336" s="1168"/>
      <c r="C336" s="1168"/>
      <c r="D336" s="1168"/>
      <c r="E336" s="1800"/>
    </row>
    <row r="337" spans="1:10" ht="13.8">
      <c r="A337" s="1797" t="s">
        <v>1778</v>
      </c>
      <c r="B337" s="1168"/>
      <c r="C337" s="1168"/>
      <c r="D337" s="1168"/>
      <c r="E337" s="1800"/>
    </row>
    <row r="338" spans="1:10" ht="13.8">
      <c r="A338" s="1817"/>
      <c r="B338" s="1168"/>
      <c r="C338" s="1168"/>
      <c r="D338" s="1168"/>
      <c r="E338" s="1800"/>
    </row>
    <row r="339" spans="1:10" ht="13.8">
      <c r="A339" s="1818"/>
      <c r="B339" s="1171"/>
      <c r="C339" s="1171"/>
      <c r="D339" s="1171"/>
      <c r="E339" s="1802"/>
    </row>
    <row r="340" spans="1:10" ht="13.8">
      <c r="A340" s="1278"/>
      <c r="B340" s="1168"/>
      <c r="C340" s="1168"/>
      <c r="D340" s="1168"/>
      <c r="E340" s="1800"/>
    </row>
    <row r="341" spans="1:10" ht="13.8">
      <c r="A341" s="3098" t="s">
        <v>1763</v>
      </c>
      <c r="B341" s="3099"/>
      <c r="C341" s="3099"/>
      <c r="D341" s="3100">
        <v>2010</v>
      </c>
      <c r="E341" s="3101"/>
    </row>
    <row r="342" spans="1:10" ht="13.8">
      <c r="A342" s="1804"/>
      <c r="B342" s="1633"/>
      <c r="C342" s="1633"/>
      <c r="D342" s="1634"/>
      <c r="E342" s="1805"/>
    </row>
    <row r="343" spans="1:10">
      <c r="A343" s="1806"/>
      <c r="B343" s="1206"/>
      <c r="C343" s="1206"/>
      <c r="D343" s="1206"/>
      <c r="E343" s="1807"/>
    </row>
    <row r="344" spans="1:10">
      <c r="A344" s="1808">
        <v>1</v>
      </c>
      <c r="B344" s="1631"/>
      <c r="C344" s="1224" t="s">
        <v>1765</v>
      </c>
      <c r="D344" s="1225">
        <v>202.10400000000001</v>
      </c>
      <c r="E344" s="1819"/>
    </row>
    <row r="345" spans="1:10">
      <c r="A345" s="1815"/>
      <c r="B345" s="1635"/>
      <c r="C345" s="1255"/>
      <c r="D345" s="1256"/>
      <c r="E345" s="1816"/>
    </row>
    <row r="348" spans="1:10">
      <c r="A348" s="31" t="s">
        <v>2184</v>
      </c>
    </row>
    <row r="350" spans="1:10" ht="15.6">
      <c r="A350" s="1957" t="s">
        <v>2175</v>
      </c>
      <c r="B350" s="1958"/>
      <c r="C350" s="1958"/>
      <c r="D350" s="1958"/>
      <c r="E350" s="1958"/>
      <c r="F350" s="1958"/>
      <c r="G350" s="1958"/>
      <c r="H350" s="1958"/>
      <c r="I350" s="1958"/>
      <c r="J350" s="1959"/>
    </row>
    <row r="351" spans="1:10" ht="15.6">
      <c r="A351" s="1960"/>
      <c r="B351" s="1961"/>
      <c r="C351" s="1961"/>
      <c r="D351" s="1961"/>
      <c r="E351" s="1961"/>
      <c r="F351" s="1961"/>
      <c r="G351" s="1961"/>
      <c r="H351" s="1961"/>
      <c r="I351" s="1961"/>
      <c r="J351" s="1962"/>
    </row>
    <row r="352" spans="1:10" ht="15.6">
      <c r="A352" s="1960"/>
      <c r="B352" s="1961"/>
      <c r="C352" s="1961"/>
      <c r="D352" s="1961"/>
      <c r="E352" s="1961"/>
      <c r="F352" s="1961"/>
      <c r="G352" s="1961"/>
      <c r="H352" s="1961"/>
      <c r="I352" s="1961"/>
      <c r="J352" s="1962"/>
    </row>
    <row r="353" spans="1:10" ht="27.6">
      <c r="A353" s="1963"/>
      <c r="B353" s="1949" t="s">
        <v>626</v>
      </c>
      <c r="C353" s="1950" t="s">
        <v>2176</v>
      </c>
      <c r="D353" s="1950" t="s">
        <v>2177</v>
      </c>
      <c r="E353" s="1956" t="s">
        <v>2178</v>
      </c>
      <c r="F353" s="1950" t="s">
        <v>2179</v>
      </c>
      <c r="G353" s="1950" t="s">
        <v>328</v>
      </c>
      <c r="H353" s="1950" t="s">
        <v>2180</v>
      </c>
      <c r="I353" s="1949" t="s">
        <v>627</v>
      </c>
      <c r="J353" s="1964" t="s">
        <v>625</v>
      </c>
    </row>
    <row r="354" spans="1:10" ht="13.8">
      <c r="A354" s="1965">
        <v>1970</v>
      </c>
      <c r="B354" s="1951">
        <v>33</v>
      </c>
      <c r="C354" s="1951">
        <v>14.3</v>
      </c>
      <c r="D354" s="1951"/>
      <c r="E354" s="1951">
        <v>1</v>
      </c>
      <c r="F354" s="1951">
        <v>6</v>
      </c>
      <c r="G354" s="1951"/>
      <c r="H354" s="1951"/>
      <c r="I354" s="1951">
        <v>2.1</v>
      </c>
      <c r="J354" s="1966">
        <v>56.4</v>
      </c>
    </row>
    <row r="355" spans="1:10" ht="13.8">
      <c r="A355" s="1965">
        <v>1971</v>
      </c>
      <c r="B355" s="1951">
        <v>33.700000000000003</v>
      </c>
      <c r="C355" s="1951">
        <v>14</v>
      </c>
      <c r="D355" s="1951"/>
      <c r="E355" s="1951">
        <v>0.5</v>
      </c>
      <c r="F355" s="1951">
        <v>5.8</v>
      </c>
      <c r="G355" s="1951"/>
      <c r="H355" s="1951"/>
      <c r="I355" s="1951">
        <v>1.9</v>
      </c>
      <c r="J355" s="1966">
        <v>55.9</v>
      </c>
    </row>
    <row r="356" spans="1:10" ht="13.8">
      <c r="A356" s="1965">
        <v>1972</v>
      </c>
      <c r="B356" s="1951">
        <v>35.1</v>
      </c>
      <c r="C356" s="1951">
        <v>14.3</v>
      </c>
      <c r="D356" s="1951"/>
      <c r="E356" s="1951">
        <v>0.2</v>
      </c>
      <c r="F356" s="1951">
        <v>6.6</v>
      </c>
      <c r="G356" s="1951"/>
      <c r="H356" s="1951"/>
      <c r="I356" s="1951">
        <v>2</v>
      </c>
      <c r="J356" s="1966">
        <v>58.20000000000001</v>
      </c>
    </row>
    <row r="357" spans="1:10" ht="13.8">
      <c r="A357" s="1965">
        <v>1973</v>
      </c>
      <c r="B357" s="1951">
        <v>37.1</v>
      </c>
      <c r="C357" s="1951">
        <v>15.1</v>
      </c>
      <c r="D357" s="1951"/>
      <c r="E357" s="1951">
        <v>0.3</v>
      </c>
      <c r="F357" s="1951">
        <v>7</v>
      </c>
      <c r="G357" s="1951"/>
      <c r="H357" s="1951"/>
      <c r="I357" s="1951">
        <v>2.1</v>
      </c>
      <c r="J357" s="1966">
        <v>61.6</v>
      </c>
    </row>
    <row r="358" spans="1:10" ht="13.8">
      <c r="A358" s="1965">
        <v>1974</v>
      </c>
      <c r="B358" s="1951">
        <v>34.200000000000003</v>
      </c>
      <c r="C358" s="1951">
        <v>15.3</v>
      </c>
      <c r="D358" s="1951"/>
      <c r="E358" s="1951">
        <v>0.3</v>
      </c>
      <c r="F358" s="1951">
        <v>6.2</v>
      </c>
      <c r="G358" s="1951"/>
      <c r="H358" s="1951"/>
      <c r="I358" s="1951">
        <v>2.1</v>
      </c>
      <c r="J358" s="1966">
        <v>58.1</v>
      </c>
    </row>
    <row r="359" spans="1:10" ht="13.8">
      <c r="A359" s="1965">
        <v>1975</v>
      </c>
      <c r="B359" s="1951">
        <v>38.200000000000003</v>
      </c>
      <c r="C359" s="1951">
        <v>15.7</v>
      </c>
      <c r="D359" s="1951"/>
      <c r="E359" s="1951">
        <v>0.3</v>
      </c>
      <c r="F359" s="1951">
        <v>6.1</v>
      </c>
      <c r="G359" s="1951"/>
      <c r="H359" s="1951"/>
      <c r="I359" s="1951">
        <v>2</v>
      </c>
      <c r="J359" s="1966">
        <v>62.300000000000004</v>
      </c>
    </row>
    <row r="360" spans="1:10" ht="13.8">
      <c r="A360" s="1965">
        <v>1976</v>
      </c>
      <c r="B360" s="1951">
        <v>40.4</v>
      </c>
      <c r="C360" s="1951">
        <v>17.8</v>
      </c>
      <c r="D360" s="1951"/>
      <c r="E360" s="1951">
        <v>0.4</v>
      </c>
      <c r="F360" s="1951">
        <v>6.4</v>
      </c>
      <c r="G360" s="1951"/>
      <c r="H360" s="1951"/>
      <c r="I360" s="1951">
        <v>2.1</v>
      </c>
      <c r="J360" s="1966">
        <v>67.099999999999994</v>
      </c>
    </row>
    <row r="361" spans="1:10" ht="13.8">
      <c r="A361" s="1965">
        <v>1977</v>
      </c>
      <c r="B361" s="1951">
        <v>42</v>
      </c>
      <c r="C361" s="1951">
        <v>18.600000000000001</v>
      </c>
      <c r="D361" s="1951"/>
      <c r="E361" s="1951">
        <v>0.3</v>
      </c>
      <c r="F361" s="1951">
        <v>6.7</v>
      </c>
      <c r="G361" s="1951"/>
      <c r="H361" s="1951"/>
      <c r="I361" s="1951">
        <v>2.1</v>
      </c>
      <c r="J361" s="1966">
        <v>69.699999999999989</v>
      </c>
    </row>
    <row r="362" spans="1:10" ht="13.8">
      <c r="A362" s="1965">
        <v>1978</v>
      </c>
      <c r="B362" s="1951">
        <v>43.1</v>
      </c>
      <c r="C362" s="1951">
        <v>18.100000000000001</v>
      </c>
      <c r="D362" s="1951"/>
      <c r="E362" s="1951">
        <v>0.3</v>
      </c>
      <c r="F362" s="1951">
        <v>6.9</v>
      </c>
      <c r="G362" s="1951"/>
      <c r="H362" s="1951"/>
      <c r="I362" s="1951">
        <v>2.2000000000000002</v>
      </c>
      <c r="J362" s="1966">
        <v>70.600000000000009</v>
      </c>
    </row>
    <row r="363" spans="1:10" ht="13.8">
      <c r="A363" s="1965">
        <v>1979</v>
      </c>
      <c r="B363" s="1951">
        <v>42.9</v>
      </c>
      <c r="C363" s="1951">
        <v>18.8</v>
      </c>
      <c r="D363" s="1951"/>
      <c r="E363" s="1951">
        <v>0.4</v>
      </c>
      <c r="F363" s="1951">
        <v>6.6</v>
      </c>
      <c r="G363" s="1951"/>
      <c r="H363" s="1951"/>
      <c r="I363" s="1951">
        <v>2.2999999999999998</v>
      </c>
      <c r="J363" s="1966">
        <v>71</v>
      </c>
    </row>
    <row r="364" spans="1:10" ht="13.8">
      <c r="A364" s="1965">
        <v>1980</v>
      </c>
      <c r="B364" s="1951">
        <v>41.4</v>
      </c>
      <c r="C364" s="1951">
        <v>17.2</v>
      </c>
      <c r="D364" s="1951"/>
      <c r="E364" s="1951">
        <v>0.7</v>
      </c>
      <c r="F364" s="1951">
        <v>6.5</v>
      </c>
      <c r="G364" s="1951"/>
      <c r="H364" s="1951"/>
      <c r="I364" s="1951">
        <v>2.2999999999999998</v>
      </c>
      <c r="J364" s="1966">
        <v>68.099999999999994</v>
      </c>
    </row>
    <row r="365" spans="1:10" ht="13.8">
      <c r="A365" s="1965">
        <v>1981</v>
      </c>
      <c r="B365" s="1951">
        <v>40.799999999999997</v>
      </c>
      <c r="C365" s="1951">
        <v>16.7</v>
      </c>
      <c r="D365" s="1951"/>
      <c r="E365" s="1951">
        <v>0.5</v>
      </c>
      <c r="F365" s="1951">
        <v>6.8</v>
      </c>
      <c r="G365" s="1951"/>
      <c r="H365" s="1951"/>
      <c r="I365" s="1951">
        <v>2.2999999999999998</v>
      </c>
      <c r="J365" s="1966">
        <v>67.099999999999994</v>
      </c>
    </row>
    <row r="366" spans="1:10" ht="13.8">
      <c r="A366" s="1965">
        <v>1982</v>
      </c>
      <c r="B366" s="1951">
        <v>41.1</v>
      </c>
      <c r="C366" s="1951">
        <v>16.5</v>
      </c>
      <c r="D366" s="1951"/>
      <c r="E366" s="1951">
        <v>0.6</v>
      </c>
      <c r="F366" s="1951">
        <v>7</v>
      </c>
      <c r="G366" s="1951"/>
      <c r="H366" s="1951"/>
      <c r="I366" s="1951">
        <v>2.2999999999999998</v>
      </c>
      <c r="J366" s="1966">
        <v>67.5</v>
      </c>
    </row>
    <row r="367" spans="1:10" ht="13.8">
      <c r="A367" s="1965">
        <v>1983</v>
      </c>
      <c r="B367" s="1951">
        <v>41.841944444444444</v>
      </c>
      <c r="C367" s="1951">
        <v>18.45611111111111</v>
      </c>
      <c r="D367" s="1951">
        <v>0.70194444444444448</v>
      </c>
      <c r="E367" s="1951">
        <v>1.1030555555555555</v>
      </c>
      <c r="F367" s="1951">
        <v>6.2938888888888886</v>
      </c>
      <c r="G367" s="1951">
        <v>0.11527777777777777</v>
      </c>
      <c r="H367" s="1951"/>
      <c r="I367" s="1951">
        <v>2.355</v>
      </c>
      <c r="J367" s="1966">
        <v>70.867222222222225</v>
      </c>
    </row>
    <row r="368" spans="1:10" ht="13.8">
      <c r="A368" s="1965">
        <v>1984</v>
      </c>
      <c r="B368" s="1951">
        <v>43.490555555555552</v>
      </c>
      <c r="C368" s="1951">
        <v>19.286666666666669</v>
      </c>
      <c r="D368" s="1951">
        <v>0.87</v>
      </c>
      <c r="E368" s="1951">
        <v>1.6225000000000001</v>
      </c>
      <c r="F368" s="1951">
        <v>6.7125000000000004</v>
      </c>
      <c r="G368" s="1951">
        <v>0.12805555555555553</v>
      </c>
      <c r="H368" s="1951"/>
      <c r="I368" s="1951">
        <v>2.4619444444444443</v>
      </c>
      <c r="J368" s="1966">
        <v>74.572222222222223</v>
      </c>
    </row>
    <row r="369" spans="1:10" ht="13.8">
      <c r="A369" s="1965">
        <v>1985</v>
      </c>
      <c r="B369" s="1951">
        <v>43.865833333333335</v>
      </c>
      <c r="C369" s="1951">
        <v>19.919444444444444</v>
      </c>
      <c r="D369" s="1951">
        <v>0.91944444444444451</v>
      </c>
      <c r="E369" s="1951">
        <v>1.8172222222222221</v>
      </c>
      <c r="F369" s="1951">
        <v>6.4138888888888888</v>
      </c>
      <c r="G369" s="1951">
        <v>0.11527777777777777</v>
      </c>
      <c r="H369" s="1951"/>
      <c r="I369" s="1951">
        <v>2.6188888888888888</v>
      </c>
      <c r="J369" s="1966">
        <v>75.670000000000016</v>
      </c>
    </row>
    <row r="370" spans="1:10" ht="13.8">
      <c r="A370" s="1965">
        <v>1986</v>
      </c>
      <c r="B370" s="1951">
        <v>46.054722222222217</v>
      </c>
      <c r="C370" s="1951">
        <v>20.047777777777778</v>
      </c>
      <c r="D370" s="1951">
        <v>0.85</v>
      </c>
      <c r="E370" s="1951">
        <v>1.7413888888888889</v>
      </c>
      <c r="F370" s="1951">
        <v>7.5944444444444441</v>
      </c>
      <c r="G370" s="1951">
        <v>7.6666666666666675E-2</v>
      </c>
      <c r="H370" s="1951"/>
      <c r="I370" s="1951">
        <v>2.6150000000000002</v>
      </c>
      <c r="J370" s="1966">
        <v>78.97999999999999</v>
      </c>
    </row>
    <row r="371" spans="1:10" ht="13.8">
      <c r="A371" s="1965">
        <v>1987</v>
      </c>
      <c r="B371" s="1951">
        <v>47.93888888888889</v>
      </c>
      <c r="C371" s="1951">
        <v>20.354166666666668</v>
      </c>
      <c r="D371" s="1951">
        <v>1.1566666666666667</v>
      </c>
      <c r="E371" s="1951">
        <v>1.2113888888888888</v>
      </c>
      <c r="F371" s="1951">
        <v>8.0250000000000004</v>
      </c>
      <c r="G371" s="1951">
        <v>6.3888888888888884E-2</v>
      </c>
      <c r="H371" s="1951"/>
      <c r="I371" s="1951">
        <v>2.6319444444444442</v>
      </c>
      <c r="J371" s="1966">
        <v>81.381944444444443</v>
      </c>
    </row>
    <row r="372" spans="1:10" ht="13.8">
      <c r="A372" s="1965">
        <v>1988</v>
      </c>
      <c r="B372" s="1951">
        <v>49.726944444444442</v>
      </c>
      <c r="C372" s="1951">
        <v>21.402222222222221</v>
      </c>
      <c r="D372" s="1951">
        <v>1.2555555555555555</v>
      </c>
      <c r="E372" s="1951">
        <v>1.1355555555555554</v>
      </c>
      <c r="F372" s="1951">
        <v>8.9152777777777779</v>
      </c>
      <c r="G372" s="1951">
        <v>5.1111111111111107E-2</v>
      </c>
      <c r="H372" s="1951"/>
      <c r="I372" s="1951">
        <v>2.6080555555555556</v>
      </c>
      <c r="J372" s="1966">
        <v>85.094722222222217</v>
      </c>
    </row>
    <row r="373" spans="1:10" ht="13.8">
      <c r="A373" s="1965">
        <v>1989</v>
      </c>
      <c r="B373" s="1951">
        <v>51.532499999999999</v>
      </c>
      <c r="C373" s="1951">
        <v>20.571666666666669</v>
      </c>
      <c r="D373" s="1951">
        <v>0.79083333333333328</v>
      </c>
      <c r="E373" s="1951">
        <v>1.0708333333333333</v>
      </c>
      <c r="F373" s="1951">
        <v>9.8772222222222226</v>
      </c>
      <c r="G373" s="1951">
        <v>3.8333333333333337E-2</v>
      </c>
      <c r="H373" s="1951"/>
      <c r="I373" s="1951">
        <v>2.5099999999999998</v>
      </c>
      <c r="J373" s="1966">
        <v>86.391388888888898</v>
      </c>
    </row>
    <row r="374" spans="1:10" ht="13.8">
      <c r="A374" s="1965">
        <v>1990</v>
      </c>
      <c r="B374" s="1951">
        <v>48.750277777777775</v>
      </c>
      <c r="C374" s="1951">
        <v>20.285</v>
      </c>
      <c r="D374" s="1951">
        <v>0.94888888888888889</v>
      </c>
      <c r="E374" s="1951">
        <v>0.69222222222222218</v>
      </c>
      <c r="F374" s="1951">
        <v>3.44379218533664</v>
      </c>
      <c r="G374" s="1951">
        <v>2.5555555555555554E-2</v>
      </c>
      <c r="H374" s="1951"/>
      <c r="I374" s="1951">
        <v>2.4750000000000001</v>
      </c>
      <c r="J374" s="1966">
        <v>76.620736629781078</v>
      </c>
    </row>
    <row r="375" spans="1:10" ht="13.8">
      <c r="A375" s="1965">
        <v>1991</v>
      </c>
      <c r="B375" s="1951">
        <v>49.814444444444447</v>
      </c>
      <c r="C375" s="1951">
        <v>19.010000000000002</v>
      </c>
      <c r="D375" s="1951">
        <v>0.59305555555555556</v>
      </c>
      <c r="E375" s="1951">
        <v>0.5625</v>
      </c>
      <c r="F375" s="1951">
        <v>3.2303770197643513</v>
      </c>
      <c r="G375" s="1951">
        <v>1.2777777777777777E-2</v>
      </c>
      <c r="H375" s="1951"/>
      <c r="I375" s="1951">
        <v>2.4030555555555555</v>
      </c>
      <c r="J375" s="1966">
        <v>75.626210353097676</v>
      </c>
    </row>
    <row r="376" spans="1:10" ht="13.8">
      <c r="A376" s="1965">
        <v>1992</v>
      </c>
      <c r="B376" s="1951">
        <v>50.922222222222217</v>
      </c>
      <c r="C376" s="1951">
        <v>18.466111111111111</v>
      </c>
      <c r="D376" s="1951">
        <v>0.56361111111111106</v>
      </c>
      <c r="E376" s="1951">
        <v>0.48666666666666664</v>
      </c>
      <c r="F376" s="1951">
        <v>3.953751425319906</v>
      </c>
      <c r="G376" s="1951">
        <v>2.361111111111111E-2</v>
      </c>
      <c r="H376" s="1951"/>
      <c r="I376" s="1951">
        <v>2.4719444444444445</v>
      </c>
      <c r="J376" s="1966">
        <v>76.887918091986563</v>
      </c>
    </row>
    <row r="377" spans="1:10" ht="13.8">
      <c r="A377" s="1965">
        <v>1993</v>
      </c>
      <c r="B377" s="1951">
        <v>48.392499999999998</v>
      </c>
      <c r="C377" s="1951">
        <v>18.693333333333332</v>
      </c>
      <c r="D377" s="1951">
        <v>0.44472222222222224</v>
      </c>
      <c r="E377" s="1951">
        <v>0.30277777777777776</v>
      </c>
      <c r="F377" s="1951">
        <v>3.1059664831594644</v>
      </c>
      <c r="G377" s="1951">
        <v>3.2222222222222222E-2</v>
      </c>
      <c r="H377" s="1951"/>
      <c r="I377" s="1951">
        <v>2.34</v>
      </c>
      <c r="J377" s="1966">
        <v>73.311522038715012</v>
      </c>
    </row>
    <row r="378" spans="1:10" ht="13.8">
      <c r="A378" s="1965">
        <v>1994</v>
      </c>
      <c r="B378" s="1951">
        <v>48.950555555555553</v>
      </c>
      <c r="C378" s="1951">
        <v>19.71166666666667</v>
      </c>
      <c r="D378" s="1951">
        <v>0.47444444444444445</v>
      </c>
      <c r="E378" s="1951">
        <v>0.21638888888888888</v>
      </c>
      <c r="F378" s="1951">
        <v>3.0596113267922749</v>
      </c>
      <c r="G378" s="1951">
        <v>2.2499999999999999E-2</v>
      </c>
      <c r="H378" s="1951"/>
      <c r="I378" s="1951">
        <v>2.4688888888888885</v>
      </c>
      <c r="J378" s="1966">
        <v>74.904055771236713</v>
      </c>
    </row>
    <row r="379" spans="1:10" ht="13.8">
      <c r="A379" s="1965">
        <v>1995</v>
      </c>
      <c r="B379" s="1951">
        <v>49.910277777777772</v>
      </c>
      <c r="C379" s="1951">
        <v>20.205833333333331</v>
      </c>
      <c r="D379" s="1951">
        <v>0.58333333333333337</v>
      </c>
      <c r="E379" s="1951">
        <v>0.19472222222222224</v>
      </c>
      <c r="F379" s="1951">
        <v>2.9832704421296894</v>
      </c>
      <c r="G379" s="1951">
        <v>3.2222222222222222E-2</v>
      </c>
      <c r="H379" s="1951"/>
      <c r="I379" s="1951">
        <v>2.7180555555555554</v>
      </c>
      <c r="J379" s="1966">
        <v>76.627714886574125</v>
      </c>
    </row>
    <row r="380" spans="1:10" ht="13.8">
      <c r="A380" s="1965">
        <v>1996</v>
      </c>
      <c r="B380" s="1951">
        <v>49.334444444444443</v>
      </c>
      <c r="C380" s="1951">
        <v>20.295000000000002</v>
      </c>
      <c r="D380" s="1951">
        <v>0.73138888888888887</v>
      </c>
      <c r="E380" s="1951">
        <v>0.11888888888888889</v>
      </c>
      <c r="F380" s="1951">
        <v>2.8600649121670996</v>
      </c>
      <c r="G380" s="1951">
        <v>5.1666666666666666E-2</v>
      </c>
      <c r="H380" s="1951">
        <v>9.2150000000000001E-4</v>
      </c>
      <c r="I380" s="1951">
        <v>3.0680555555555555</v>
      </c>
      <c r="J380" s="1966">
        <v>76.460430856611552</v>
      </c>
    </row>
    <row r="381" spans="1:10" ht="13.8">
      <c r="A381" s="1965">
        <v>1997</v>
      </c>
      <c r="B381" s="1951">
        <v>48.322777777777773</v>
      </c>
      <c r="C381" s="1951">
        <v>20.73</v>
      </c>
      <c r="D381" s="1951">
        <v>0.74138888888888888</v>
      </c>
      <c r="E381" s="1951">
        <v>0.35694444444444445</v>
      </c>
      <c r="F381" s="1951">
        <v>2.9959010404488273</v>
      </c>
      <c r="G381" s="1951">
        <v>7.7777777777777765E-2</v>
      </c>
      <c r="H381" s="1951">
        <v>1.0863999999999999E-2</v>
      </c>
      <c r="I381" s="1951">
        <v>2.9538888888888888</v>
      </c>
      <c r="J381" s="1966">
        <v>76.189542818226613</v>
      </c>
    </row>
    <row r="382" spans="1:10" ht="13.8">
      <c r="A382" s="1965">
        <v>1998</v>
      </c>
      <c r="B382" s="1951">
        <v>47.023055555555558</v>
      </c>
      <c r="C382" s="1951">
        <v>25.356388888888887</v>
      </c>
      <c r="D382" s="1951">
        <v>0.92916666666666659</v>
      </c>
      <c r="E382" s="1951">
        <v>0.42194444444444446</v>
      </c>
      <c r="F382" s="1951">
        <v>2.7467679063156223</v>
      </c>
      <c r="G382" s="1951">
        <v>3.8888888888888883E-2</v>
      </c>
      <c r="H382" s="1951">
        <v>0.17921359999999997</v>
      </c>
      <c r="I382" s="1951">
        <v>2.7788888888888885</v>
      </c>
      <c r="J382" s="1966">
        <v>79.474314839648954</v>
      </c>
    </row>
    <row r="383" spans="1:10" ht="13.8">
      <c r="A383" s="1965">
        <v>1999</v>
      </c>
      <c r="B383" s="1951">
        <v>47.228611111111107</v>
      </c>
      <c r="C383" s="1951">
        <v>25.675555555555555</v>
      </c>
      <c r="D383" s="1951">
        <v>1.1369444444444443</v>
      </c>
      <c r="E383" s="1951">
        <v>0.4433333333333333</v>
      </c>
      <c r="F383" s="1951">
        <v>2.6326608432594094</v>
      </c>
      <c r="G383" s="1951">
        <v>4.3611111111111107E-2</v>
      </c>
      <c r="H383" s="1951">
        <v>0.19856589999999996</v>
      </c>
      <c r="I383" s="1951">
        <v>3.016111111111111</v>
      </c>
      <c r="J383" s="1966">
        <v>80.375393409926076</v>
      </c>
    </row>
    <row r="384" spans="1:10" ht="13.8">
      <c r="A384" s="1965">
        <v>2000</v>
      </c>
      <c r="B384" s="1951">
        <v>46.534444444444446</v>
      </c>
      <c r="C384" s="1951">
        <v>24.997222222222224</v>
      </c>
      <c r="D384" s="1951">
        <v>1.131388888888889</v>
      </c>
      <c r="E384" s="1951">
        <v>0.44611111111111107</v>
      </c>
      <c r="F384" s="1951">
        <v>2.7136580472370722</v>
      </c>
      <c r="G384" s="1951">
        <v>0.12499999999999999</v>
      </c>
      <c r="H384" s="1951">
        <v>0.22937966666666665</v>
      </c>
      <c r="I384" s="1951">
        <v>3.1949999999999998</v>
      </c>
      <c r="J384" s="1966">
        <v>79.372204380570409</v>
      </c>
    </row>
    <row r="385" spans="1:10" ht="13.8">
      <c r="A385" s="1965">
        <v>2001</v>
      </c>
      <c r="B385" s="1951">
        <v>48.450850799999998</v>
      </c>
      <c r="C385" s="1951">
        <v>25.456245694444441</v>
      </c>
      <c r="D385" s="1951">
        <v>1.1855555555555555</v>
      </c>
      <c r="E385" s="1951">
        <v>0.48499999999999999</v>
      </c>
      <c r="F385" s="1951">
        <v>2.5516108167896889</v>
      </c>
      <c r="G385" s="1951">
        <v>0.12666666666666665</v>
      </c>
      <c r="H385" s="1951">
        <v>0.31590943333333332</v>
      </c>
      <c r="I385" s="1951">
        <v>2.8630555555555555</v>
      </c>
      <c r="J385" s="1966">
        <v>81.434894522345232</v>
      </c>
    </row>
    <row r="386" spans="1:10" ht="13.8">
      <c r="A386" s="1965">
        <v>2002</v>
      </c>
      <c r="B386" s="1951">
        <v>48.884982000000001</v>
      </c>
      <c r="C386" s="1951">
        <v>29.142668749999999</v>
      </c>
      <c r="D386" s="1951">
        <v>1.1263888888888889</v>
      </c>
      <c r="E386" s="1951">
        <v>0.51611111111111108</v>
      </c>
      <c r="F386" s="1951">
        <v>2.5253007068914028</v>
      </c>
      <c r="G386" s="1951">
        <v>0.14583333333333331</v>
      </c>
      <c r="H386" s="1951">
        <v>0.58026613333333321</v>
      </c>
      <c r="I386" s="1951">
        <v>2.8680555555555558</v>
      </c>
      <c r="J386" s="1966">
        <v>85.789606479113615</v>
      </c>
    </row>
    <row r="387" spans="1:10" ht="13.8">
      <c r="A387" s="1965">
        <v>2003</v>
      </c>
      <c r="B387" s="1951">
        <v>48.563688734399996</v>
      </c>
      <c r="C387" s="1951">
        <v>30.517604916666663</v>
      </c>
      <c r="D387" s="1951">
        <v>1.0455555555555553</v>
      </c>
      <c r="E387" s="1951">
        <v>0.7844444444444445</v>
      </c>
      <c r="F387" s="1951">
        <v>2.4476259777080385</v>
      </c>
      <c r="G387" s="1951">
        <v>0.22750000000000001</v>
      </c>
      <c r="H387" s="1951">
        <v>1.0426552333333334</v>
      </c>
      <c r="I387" s="1951">
        <v>2.8388888888888886</v>
      </c>
      <c r="J387" s="1966">
        <v>87.46796375099693</v>
      </c>
    </row>
    <row r="388" spans="1:10" ht="13.8">
      <c r="A388" s="1965">
        <v>2004</v>
      </c>
      <c r="B388" s="1951">
        <v>47.067057599999998</v>
      </c>
      <c r="C388" s="1951">
        <v>33.815459055555557</v>
      </c>
      <c r="D388" s="1951">
        <v>0.78055555555555556</v>
      </c>
      <c r="E388" s="1951">
        <v>0.79833333333333323</v>
      </c>
      <c r="F388" s="1951">
        <v>2.7474946607524231</v>
      </c>
      <c r="G388" s="1951">
        <v>0.24027777777777778</v>
      </c>
      <c r="H388" s="1951">
        <v>1.748731</v>
      </c>
      <c r="I388" s="1951">
        <v>2.99</v>
      </c>
      <c r="J388" s="1966">
        <v>90.187908982974633</v>
      </c>
    </row>
    <row r="389" spans="1:10" ht="13.8">
      <c r="A389" s="1965">
        <v>2005</v>
      </c>
      <c r="B389" s="1951">
        <v>46.662202580499283</v>
      </c>
      <c r="C389" s="1951">
        <v>35.333000985735488</v>
      </c>
      <c r="D389" s="1951">
        <v>0.67265856000000246</v>
      </c>
      <c r="E389" s="1951">
        <v>0.79720721000000272</v>
      </c>
      <c r="F389" s="1951">
        <v>2.6704311276000099</v>
      </c>
      <c r="G389" s="1951">
        <v>0.2192483300000008</v>
      </c>
      <c r="H389" s="1951">
        <v>1.9268126896810061</v>
      </c>
      <c r="I389" s="1951">
        <v>2.8176595300000118</v>
      </c>
      <c r="J389" s="1966">
        <v>91.099221013515802</v>
      </c>
    </row>
    <row r="390" spans="1:10" ht="13.8">
      <c r="A390" s="1965">
        <v>2006</v>
      </c>
      <c r="B390" s="1951">
        <v>45.777728988884519</v>
      </c>
      <c r="C390" s="1951">
        <v>36.392765858393481</v>
      </c>
      <c r="D390" s="1951">
        <v>0.65699148000000229</v>
      </c>
      <c r="E390" s="1951">
        <v>0.62941982000000218</v>
      </c>
      <c r="F390" s="1951">
        <v>2.5248273804000094</v>
      </c>
      <c r="G390" s="1951">
        <v>0.27211939000000096</v>
      </c>
      <c r="H390" s="1951">
        <v>2.7347867607420091</v>
      </c>
      <c r="I390" s="1951">
        <v>2.8850042700000094</v>
      </c>
      <c r="J390" s="1966">
        <v>91.873643948420039</v>
      </c>
    </row>
    <row r="391" spans="1:10" ht="13.8">
      <c r="A391" s="1965">
        <v>2007</v>
      </c>
      <c r="B391" s="1951">
        <v>45.132954626989772</v>
      </c>
      <c r="C391" s="1951">
        <v>37.618280182527485</v>
      </c>
      <c r="D391" s="1951">
        <v>0.6259660800000022</v>
      </c>
      <c r="E391" s="1951">
        <v>0.53087185000000181</v>
      </c>
      <c r="F391" s="1951">
        <v>2.4678659184000087</v>
      </c>
      <c r="G391" s="1951">
        <v>0.29112477000000103</v>
      </c>
      <c r="H391" s="1951">
        <v>3.6777623473480121</v>
      </c>
      <c r="I391" s="1951">
        <v>2.42114608000001</v>
      </c>
      <c r="J391" s="1966">
        <v>92.765971855265278</v>
      </c>
    </row>
    <row r="392" spans="1:10" ht="13.8">
      <c r="A392" s="1965">
        <v>2008</v>
      </c>
      <c r="B392" s="1951">
        <v>41.898849286854187</v>
      </c>
      <c r="C392" s="1951">
        <v>37.827632507572801</v>
      </c>
      <c r="D392" s="1951">
        <v>0.26143625000000087</v>
      </c>
      <c r="E392" s="1951">
        <v>0.44365870000000163</v>
      </c>
      <c r="F392" s="1951">
        <v>2.3110802016000078</v>
      </c>
      <c r="G392" s="1951">
        <v>0.28577855000000102</v>
      </c>
      <c r="H392" s="1951">
        <v>4.2921709865150133</v>
      </c>
      <c r="I392" s="1951">
        <v>2.3609139100000078</v>
      </c>
      <c r="J392" s="1966">
        <v>89.681520392542026</v>
      </c>
    </row>
    <row r="393" spans="1:10" ht="13.8">
      <c r="A393" s="1967">
        <v>2009</v>
      </c>
      <c r="B393" s="1952">
        <v>41.131265936369417</v>
      </c>
      <c r="C393" s="1952">
        <v>36.866523381061199</v>
      </c>
      <c r="D393" s="1952">
        <v>0.19570655000000067</v>
      </c>
      <c r="E393" s="1952">
        <v>0.97837085000000357</v>
      </c>
      <c r="F393" s="1952">
        <v>2.0248493172000073</v>
      </c>
      <c r="G393" s="1952">
        <v>0.261412596000001</v>
      </c>
      <c r="H393" s="1952">
        <v>4.5591186842230167</v>
      </c>
      <c r="I393" s="1952">
        <v>2.4421648900000088</v>
      </c>
      <c r="J393" s="1968">
        <v>88.459412204853663</v>
      </c>
    </row>
    <row r="394" spans="1:10" ht="13.8">
      <c r="A394" s="1965">
        <v>2010</v>
      </c>
      <c r="B394" s="1951">
        <v>38.552475968369215</v>
      </c>
      <c r="C394" s="1951">
        <v>40.407137908407982</v>
      </c>
      <c r="D394" s="1951">
        <v>0.17786620000000061</v>
      </c>
      <c r="E394" s="1951">
        <v>1.726111250000006</v>
      </c>
      <c r="F394" s="1951">
        <v>1.9030580400000066</v>
      </c>
      <c r="G394" s="1951">
        <v>0.33897497350000116</v>
      </c>
      <c r="H394" s="1951">
        <v>4.968282181399017</v>
      </c>
      <c r="I394" s="1951">
        <v>2.4052883400000109</v>
      </c>
      <c r="J394" s="1966">
        <v>90.479194861676234</v>
      </c>
    </row>
    <row r="395" spans="1:10" ht="13.8">
      <c r="A395" s="1965">
        <v>2011</v>
      </c>
      <c r="B395" s="1951">
        <v>35.682083314792948</v>
      </c>
      <c r="C395" s="1951">
        <v>41.331229174628092</v>
      </c>
      <c r="D395" s="1951">
        <v>0.19354740000000073</v>
      </c>
      <c r="E395" s="1951">
        <v>0.8631458500000031</v>
      </c>
      <c r="F395" s="1951">
        <v>2.0909731140000072</v>
      </c>
      <c r="G395" s="1951">
        <v>0.45404616110000173</v>
      </c>
      <c r="H395" s="1951">
        <v>5.8914746884660198</v>
      </c>
      <c r="I395" s="1951">
        <v>2.6397677900000094</v>
      </c>
      <c r="J395" s="1966">
        <v>89.146267492987079</v>
      </c>
    </row>
    <row r="396" spans="1:10" ht="13.8">
      <c r="A396" s="1965">
        <v>2012</v>
      </c>
      <c r="B396" s="1951">
        <v>32.700381026767545</v>
      </c>
      <c r="C396" s="1951">
        <v>40.091588994965257</v>
      </c>
      <c r="D396" s="1951">
        <v>0.23123800000000083</v>
      </c>
      <c r="E396" s="1951">
        <v>0.53002565000000201</v>
      </c>
      <c r="F396" s="1951">
        <v>2.0545746948000074</v>
      </c>
      <c r="G396" s="1951">
        <v>0.55500702341997421</v>
      </c>
      <c r="H396" s="1951">
        <v>6.9189096347200252</v>
      </c>
      <c r="I396" s="1951">
        <v>2.6845462200000103</v>
      </c>
      <c r="J396" s="1966">
        <v>85.766271244672822</v>
      </c>
    </row>
    <row r="397" spans="1:10" ht="13.8">
      <c r="A397" s="1965">
        <v>2013</v>
      </c>
      <c r="B397" s="1951">
        <v>30.947365509648137</v>
      </c>
      <c r="C397" s="1951">
        <v>39.545171413699585</v>
      </c>
      <c r="D397" s="1951">
        <v>0.25826220000000089</v>
      </c>
      <c r="E397" s="1951">
        <v>0.52074780000000176</v>
      </c>
      <c r="F397" s="1951">
        <v>2.0683430820000073</v>
      </c>
      <c r="G397" s="1951">
        <v>0.55576474284000188</v>
      </c>
      <c r="H397" s="1951">
        <v>8.3590011973380296</v>
      </c>
      <c r="I397" s="1951">
        <v>2.7531154500000099</v>
      </c>
      <c r="J397" s="1966">
        <v>85.007771395525779</v>
      </c>
    </row>
    <row r="398" spans="1:10" ht="13.8">
      <c r="A398" s="1965"/>
      <c r="B398" s="1951"/>
      <c r="C398" s="1951"/>
      <c r="D398" s="1951"/>
      <c r="E398" s="1951"/>
      <c r="F398" s="1951"/>
      <c r="G398" s="1951"/>
      <c r="H398" s="1951"/>
      <c r="I398" s="1951"/>
      <c r="J398" s="1966"/>
    </row>
    <row r="399" spans="1:10" ht="13.8">
      <c r="A399" s="1969" t="s">
        <v>2181</v>
      </c>
      <c r="B399" s="1953"/>
      <c r="C399" s="1953"/>
      <c r="D399" s="1953"/>
      <c r="E399" s="1954"/>
      <c r="F399" s="1954"/>
      <c r="G399" s="1954"/>
      <c r="H399" s="1954"/>
      <c r="I399" s="1954"/>
      <c r="J399" s="1970"/>
    </row>
    <row r="400" spans="1:10" ht="15">
      <c r="A400" s="1971" t="s">
        <v>2182</v>
      </c>
      <c r="B400" s="1954"/>
      <c r="C400" s="1954"/>
      <c r="D400" s="1954"/>
      <c r="E400" s="1955"/>
      <c r="F400" s="1955"/>
      <c r="G400" s="1955"/>
      <c r="H400" s="1955"/>
      <c r="I400" s="1955"/>
      <c r="J400" s="1970"/>
    </row>
    <row r="401" spans="1:10" ht="15">
      <c r="A401" s="1972" t="s">
        <v>2183</v>
      </c>
      <c r="B401" s="1973"/>
      <c r="C401" s="1973"/>
      <c r="D401" s="1973"/>
      <c r="E401" s="1974"/>
      <c r="F401" s="1974"/>
      <c r="G401" s="1974"/>
      <c r="H401" s="1974"/>
      <c r="I401" s="1974"/>
      <c r="J401" s="1975"/>
    </row>
    <row r="408" spans="1:10" ht="27.6">
      <c r="B408" s="1949" t="s">
        <v>626</v>
      </c>
      <c r="C408" s="1950" t="s">
        <v>2176</v>
      </c>
      <c r="D408" s="1950" t="s">
        <v>2177</v>
      </c>
      <c r="E408" s="1956" t="s">
        <v>2178</v>
      </c>
      <c r="F408" s="1950" t="s">
        <v>2179</v>
      </c>
      <c r="G408" s="1950" t="s">
        <v>328</v>
      </c>
      <c r="H408" s="1950" t="s">
        <v>2180</v>
      </c>
      <c r="I408" s="1949" t="s">
        <v>627</v>
      </c>
    </row>
    <row r="409" spans="1:10">
      <c r="A409" s="754">
        <v>2010</v>
      </c>
      <c r="B409" s="754">
        <f>B394*3.6</f>
        <v>138.78891348612919</v>
      </c>
      <c r="C409" s="754">
        <f t="shared" ref="C409:I409" si="21">C394*3.6</f>
        <v>145.46569647026874</v>
      </c>
      <c r="D409" s="754">
        <f t="shared" si="21"/>
        <v>0.64031832000000222</v>
      </c>
      <c r="E409" s="754">
        <f t="shared" si="21"/>
        <v>6.2140005000000214</v>
      </c>
      <c r="F409" s="754">
        <f t="shared" si="21"/>
        <v>6.8510089440000241</v>
      </c>
      <c r="G409" s="754">
        <f t="shared" si="21"/>
        <v>1.2203099046000043</v>
      </c>
      <c r="H409" s="754">
        <f t="shared" si="21"/>
        <v>17.885815853036462</v>
      </c>
      <c r="I409" s="754">
        <f t="shared" si="21"/>
        <v>8.65903802400004</v>
      </c>
    </row>
    <row r="421" spans="1:10">
      <c r="A421" s="2876" t="s">
        <v>3280</v>
      </c>
      <c r="B421" s="1138"/>
      <c r="C421" s="1138"/>
      <c r="D421" s="1138"/>
      <c r="E421" s="1139"/>
      <c r="F421" s="1139"/>
      <c r="G421" s="1139"/>
      <c r="H421" s="1139"/>
      <c r="I421" s="1139"/>
      <c r="J421" s="2131"/>
    </row>
    <row r="422" spans="1:10" ht="13.8">
      <c r="A422" s="894" t="s">
        <v>3281</v>
      </c>
      <c r="B422" s="1138"/>
      <c r="C422" s="1138"/>
      <c r="D422" s="1138"/>
      <c r="E422" s="1139"/>
      <c r="F422" s="1139"/>
      <c r="G422" s="1139"/>
      <c r="H422" s="1139"/>
      <c r="I422" s="1139"/>
      <c r="J422" s="2131"/>
    </row>
    <row r="423" spans="1:10">
      <c r="A423" s="878" t="s">
        <v>3282</v>
      </c>
      <c r="B423" s="1138"/>
      <c r="C423" s="1138"/>
      <c r="D423" s="1138"/>
      <c r="E423" s="1139"/>
      <c r="F423" s="1139"/>
      <c r="G423" s="1139"/>
      <c r="H423" s="1139"/>
      <c r="I423" s="1139"/>
      <c r="J423" s="2131"/>
    </row>
    <row r="424" spans="1:10">
      <c r="A424" s="1140"/>
      <c r="B424" s="1487"/>
      <c r="C424" s="1487"/>
      <c r="D424" s="1487"/>
      <c r="E424" s="1487"/>
      <c r="F424" s="1487"/>
      <c r="G424" s="1487"/>
      <c r="H424" s="1140"/>
      <c r="I424" s="1140"/>
      <c r="J424" s="1140"/>
    </row>
    <row r="425" spans="1:10">
      <c r="A425" s="1466"/>
      <c r="B425" s="2877" t="s">
        <v>3283</v>
      </c>
      <c r="C425" s="2878"/>
      <c r="D425" s="2879"/>
      <c r="E425" s="2877" t="s">
        <v>619</v>
      </c>
      <c r="F425" s="2880"/>
      <c r="G425" s="2212"/>
      <c r="H425" s="2877" t="s">
        <v>620</v>
      </c>
      <c r="I425" s="2878"/>
      <c r="J425" s="2881"/>
    </row>
    <row r="426" spans="1:10">
      <c r="A426" s="2167" t="s">
        <v>3284</v>
      </c>
      <c r="B426" s="2882" t="s">
        <v>621</v>
      </c>
      <c r="C426" s="2882" t="s">
        <v>622</v>
      </c>
      <c r="D426" s="2882"/>
      <c r="E426" s="2882" t="s">
        <v>621</v>
      </c>
      <c r="F426" s="2882" t="s">
        <v>622</v>
      </c>
      <c r="G426" s="2882"/>
      <c r="H426" s="2882" t="s">
        <v>621</v>
      </c>
      <c r="I426" s="2883" t="s">
        <v>622</v>
      </c>
      <c r="J426" s="2131"/>
    </row>
    <row r="427" spans="1:10">
      <c r="A427" s="2884" t="s">
        <v>3285</v>
      </c>
      <c r="B427" s="2885" t="s">
        <v>624</v>
      </c>
      <c r="C427" s="2885" t="s">
        <v>624</v>
      </c>
      <c r="D427" s="2885"/>
      <c r="E427" s="2885" t="s">
        <v>624</v>
      </c>
      <c r="F427" s="2885" t="s">
        <v>624</v>
      </c>
      <c r="G427" s="2885"/>
      <c r="H427" s="2885" t="s">
        <v>624</v>
      </c>
      <c r="I427" s="2885" t="s">
        <v>624</v>
      </c>
      <c r="J427" s="2886" t="s">
        <v>625</v>
      </c>
    </row>
    <row r="428" spans="1:10">
      <c r="A428" s="2887" t="s">
        <v>3286</v>
      </c>
      <c r="B428" s="2888">
        <v>29050860.800000001</v>
      </c>
      <c r="C428" s="2888">
        <v>6577936.7000000002</v>
      </c>
      <c r="D428" s="2888"/>
      <c r="E428" s="2888">
        <v>52633</v>
      </c>
      <c r="F428" s="2888">
        <v>13733</v>
      </c>
      <c r="G428" s="2888"/>
      <c r="H428" s="2888">
        <f>B428/E428</f>
        <v>551.95145251078225</v>
      </c>
      <c r="I428" s="2888">
        <f>C428/F428</f>
        <v>478.98759921357316</v>
      </c>
      <c r="J428" s="2888">
        <f>(B428+C428)/(E428+F428)</f>
        <v>536.85317029804423</v>
      </c>
    </row>
    <row r="429" spans="1:10">
      <c r="A429" s="2889" t="s">
        <v>3287</v>
      </c>
      <c r="B429" s="2888">
        <v>80375540.400000006</v>
      </c>
      <c r="C429" s="2888">
        <v>16629440.300000001</v>
      </c>
      <c r="D429" s="2888"/>
      <c r="E429" s="2888">
        <v>102729</v>
      </c>
      <c r="F429" s="2888">
        <v>23347</v>
      </c>
      <c r="G429" s="2888"/>
      <c r="H429" s="2888">
        <f>B429/E429</f>
        <v>782.40360949683156</v>
      </c>
      <c r="I429" s="2888">
        <f>C429/F429</f>
        <v>712.27311003555064</v>
      </c>
      <c r="J429" s="2888">
        <f>(B429+C429)/(E429+F429)</f>
        <v>769.4167065896761</v>
      </c>
    </row>
    <row r="430" spans="1:10">
      <c r="A430" s="2889" t="s">
        <v>3288</v>
      </c>
      <c r="B430" s="2888">
        <v>232625687.80000001</v>
      </c>
      <c r="C430" s="2888">
        <v>37381181.200000003</v>
      </c>
      <c r="D430" s="2888"/>
      <c r="E430" s="2888">
        <v>273094</v>
      </c>
      <c r="F430" s="2888">
        <v>51258</v>
      </c>
      <c r="G430" s="2888"/>
      <c r="H430" s="2888">
        <f t="shared" ref="H430:I441" si="22">B430/E430</f>
        <v>851.81544742835808</v>
      </c>
      <c r="I430" s="2888">
        <f t="shared" si="22"/>
        <v>729.2750634047369</v>
      </c>
      <c r="J430" s="2888">
        <f t="shared" ref="J430:J441" si="23">(B430+C430)/(E430+F430)</f>
        <v>832.45014367107342</v>
      </c>
    </row>
    <row r="431" spans="1:10">
      <c r="A431" s="2889" t="s">
        <v>3289</v>
      </c>
      <c r="B431" s="2888">
        <v>333814219.30000001</v>
      </c>
      <c r="C431" s="2888">
        <v>71621748.299999997</v>
      </c>
      <c r="D431" s="2888"/>
      <c r="E431" s="2888">
        <v>358726</v>
      </c>
      <c r="F431" s="2888">
        <v>78518</v>
      </c>
      <c r="G431" s="2888"/>
      <c r="H431" s="2888">
        <f t="shared" si="22"/>
        <v>930.55485049870936</v>
      </c>
      <c r="I431" s="2888">
        <f t="shared" si="22"/>
        <v>912.16979928169337</v>
      </c>
      <c r="J431" s="2888">
        <f t="shared" si="23"/>
        <v>927.25335876535758</v>
      </c>
    </row>
    <row r="432" spans="1:10">
      <c r="A432" s="2889" t="s">
        <v>3290</v>
      </c>
      <c r="B432" s="2888">
        <v>411935396</v>
      </c>
      <c r="C432" s="2888">
        <v>87428920.900000006</v>
      </c>
      <c r="D432" s="2888"/>
      <c r="E432" s="2888">
        <v>387416</v>
      </c>
      <c r="F432" s="2888">
        <v>87025</v>
      </c>
      <c r="G432" s="2888"/>
      <c r="H432" s="2888">
        <f t="shared" si="22"/>
        <v>1063.2895801928676</v>
      </c>
      <c r="I432" s="2888">
        <f t="shared" si="22"/>
        <v>1004.6414352197645</v>
      </c>
      <c r="J432" s="2888">
        <f t="shared" si="23"/>
        <v>1052.5319626676446</v>
      </c>
    </row>
    <row r="433" spans="1:10">
      <c r="A433" s="2889" t="s">
        <v>3291</v>
      </c>
      <c r="B433" s="2888">
        <v>775502478.70000005</v>
      </c>
      <c r="C433" s="2888">
        <v>221355988.30000001</v>
      </c>
      <c r="D433" s="2888"/>
      <c r="E433" s="2888">
        <v>652448</v>
      </c>
      <c r="F433" s="2888">
        <v>170178</v>
      </c>
      <c r="G433" s="2888"/>
      <c r="H433" s="2888">
        <f t="shared" si="22"/>
        <v>1188.6042699188288</v>
      </c>
      <c r="I433" s="2888">
        <f t="shared" si="22"/>
        <v>1300.7321057951087</v>
      </c>
      <c r="J433" s="2888">
        <f t="shared" si="23"/>
        <v>1211.8003406165135</v>
      </c>
    </row>
    <row r="434" spans="1:10">
      <c r="A434" s="2889" t="s">
        <v>3292</v>
      </c>
      <c r="B434" s="2888">
        <v>729489351.5</v>
      </c>
      <c r="C434" s="2888">
        <v>196540912.90000001</v>
      </c>
      <c r="D434" s="2888"/>
      <c r="E434" s="2888">
        <v>600642</v>
      </c>
      <c r="F434" s="2888">
        <v>163598</v>
      </c>
      <c r="G434" s="2888"/>
      <c r="H434" s="2888">
        <f t="shared" si="22"/>
        <v>1214.5160536559215</v>
      </c>
      <c r="I434" s="2888">
        <f t="shared" si="22"/>
        <v>1201.3650099634469</v>
      </c>
      <c r="J434" s="2888">
        <f t="shared" si="23"/>
        <v>1211.7008588924946</v>
      </c>
    </row>
    <row r="435" spans="1:10">
      <c r="A435" s="2889" t="s">
        <v>3293</v>
      </c>
      <c r="B435" s="2888">
        <v>831788625.89999998</v>
      </c>
      <c r="C435" s="2888">
        <v>296034215.5</v>
      </c>
      <c r="D435" s="2888"/>
      <c r="E435" s="2888">
        <v>575612</v>
      </c>
      <c r="F435" s="2888">
        <v>183813</v>
      </c>
      <c r="G435" s="2888"/>
      <c r="H435" s="2888">
        <f t="shared" si="22"/>
        <v>1445.0508778482726</v>
      </c>
      <c r="I435" s="2888">
        <f t="shared" si="22"/>
        <v>1610.5183828129675</v>
      </c>
      <c r="J435" s="2888">
        <f t="shared" si="23"/>
        <v>1485.1010190604736</v>
      </c>
    </row>
    <row r="436" spans="1:10">
      <c r="A436" s="2889" t="s">
        <v>3294</v>
      </c>
      <c r="B436" s="2888">
        <v>661459571.10000002</v>
      </c>
      <c r="C436" s="2888">
        <v>380412592.30000001</v>
      </c>
      <c r="D436" s="2888"/>
      <c r="E436" s="2888">
        <v>406215</v>
      </c>
      <c r="F436" s="2888">
        <v>191916</v>
      </c>
      <c r="G436" s="2888"/>
      <c r="H436" s="2888">
        <f t="shared" si="22"/>
        <v>1628.3484634983938</v>
      </c>
      <c r="I436" s="2888">
        <f t="shared" si="22"/>
        <v>1982.1827898663998</v>
      </c>
      <c r="J436" s="2888">
        <f t="shared" si="23"/>
        <v>1741.8795604976169</v>
      </c>
    </row>
    <row r="437" spans="1:10">
      <c r="A437" s="2889" t="s">
        <v>3295</v>
      </c>
      <c r="B437" s="2888">
        <v>377528641.69999999</v>
      </c>
      <c r="C437" s="2888">
        <v>279903630.80000001</v>
      </c>
      <c r="D437" s="2888"/>
      <c r="E437" s="2888">
        <v>262664</v>
      </c>
      <c r="F437" s="2888">
        <v>160936</v>
      </c>
      <c r="G437" s="2888"/>
      <c r="H437" s="2888">
        <f t="shared" si="22"/>
        <v>1437.3063750647214</v>
      </c>
      <c r="I437" s="2888">
        <f t="shared" si="22"/>
        <v>1739.2232365660884</v>
      </c>
      <c r="J437" s="2888">
        <f t="shared" si="23"/>
        <v>1552.011974740321</v>
      </c>
    </row>
    <row r="438" spans="1:10">
      <c r="A438" s="2889" t="s">
        <v>3296</v>
      </c>
      <c r="B438" s="2888">
        <v>79149716.900000006</v>
      </c>
      <c r="C438" s="2888">
        <v>92097791.5</v>
      </c>
      <c r="D438" s="2888"/>
      <c r="E438" s="2888">
        <v>61409</v>
      </c>
      <c r="F438" s="2888">
        <v>46075</v>
      </c>
      <c r="G438" s="2888"/>
      <c r="H438" s="2888">
        <f t="shared" si="22"/>
        <v>1288.8944112426518</v>
      </c>
      <c r="I438" s="2888">
        <f t="shared" si="22"/>
        <v>1998.8668800868149</v>
      </c>
      <c r="J438" s="2888">
        <f t="shared" si="23"/>
        <v>1593.2372111197947</v>
      </c>
    </row>
    <row r="439" spans="1:10">
      <c r="A439" s="2889" t="s">
        <v>3297</v>
      </c>
      <c r="B439" s="2888">
        <v>10055103.6</v>
      </c>
      <c r="C439" s="2888">
        <v>18772967</v>
      </c>
      <c r="D439" s="2888"/>
      <c r="E439" s="2888">
        <v>9262</v>
      </c>
      <c r="F439" s="2888">
        <v>7134</v>
      </c>
      <c r="G439" s="2888"/>
      <c r="H439" s="2888">
        <f t="shared" si="22"/>
        <v>1085.6298423666594</v>
      </c>
      <c r="I439" s="2888">
        <f t="shared" si="22"/>
        <v>2631.478413232408</v>
      </c>
      <c r="J439" s="2888">
        <f t="shared" si="23"/>
        <v>1758.2380214686509</v>
      </c>
    </row>
    <row r="440" spans="1:10">
      <c r="A440" s="2889" t="s">
        <v>3298</v>
      </c>
      <c r="B440" s="2888">
        <v>9296450</v>
      </c>
      <c r="C440" s="2888">
        <v>4412737.9000000004</v>
      </c>
      <c r="D440" s="2888"/>
      <c r="E440" s="2888">
        <v>10399</v>
      </c>
      <c r="F440" s="2888">
        <v>3662</v>
      </c>
      <c r="G440" s="2888"/>
      <c r="H440" s="2888">
        <f t="shared" si="22"/>
        <v>893.97538224829316</v>
      </c>
      <c r="I440" s="2888">
        <f t="shared" si="22"/>
        <v>1205.0076187875479</v>
      </c>
      <c r="J440" s="2888">
        <f t="shared" si="23"/>
        <v>974.97958182206105</v>
      </c>
    </row>
    <row r="441" spans="1:10">
      <c r="A441" s="2890" t="s">
        <v>3299</v>
      </c>
      <c r="B441" s="2888">
        <v>45.6</v>
      </c>
      <c r="C441" s="2888">
        <v>2432.3000000000002</v>
      </c>
      <c r="D441" s="2888"/>
      <c r="E441" s="2888">
        <v>1</v>
      </c>
      <c r="F441" s="2888">
        <v>4</v>
      </c>
      <c r="G441" s="2888"/>
      <c r="H441" s="2888">
        <f t="shared" si="22"/>
        <v>45.6</v>
      </c>
      <c r="I441" s="2888">
        <f t="shared" si="22"/>
        <v>608.07500000000005</v>
      </c>
      <c r="J441" s="2888">
        <f t="shared" si="23"/>
        <v>495.58000000000004</v>
      </c>
    </row>
    <row r="442" spans="1:10">
      <c r="A442" s="2891" t="s">
        <v>625</v>
      </c>
      <c r="B442" s="2892">
        <f>SUM(B428:B441)</f>
        <v>4562071689.3000002</v>
      </c>
      <c r="C442" s="2892">
        <f>SUM(C428:C441)</f>
        <v>1709172495.9000001</v>
      </c>
      <c r="D442" s="2892"/>
      <c r="E442" s="2892">
        <f>SUM(E428:E441)</f>
        <v>3753250</v>
      </c>
      <c r="F442" s="2892">
        <f>SUM(F428:F441)</f>
        <v>1181197</v>
      </c>
      <c r="G442" s="1521"/>
      <c r="H442" s="1521">
        <f>B442/E442</f>
        <v>1215.4990179977353</v>
      </c>
      <c r="I442" s="1521">
        <f>C442/F442</f>
        <v>1446.9834379023991</v>
      </c>
      <c r="J442" s="1521">
        <f>(B442+C442)/(E442+F442)</f>
        <v>1270.9112460220974</v>
      </c>
    </row>
    <row r="443" spans="1:10">
      <c r="A443" s="2168"/>
      <c r="B443" s="1139" t="s">
        <v>3311</v>
      </c>
      <c r="C443" s="2916">
        <f>C442+B442</f>
        <v>6271244185.2000008</v>
      </c>
      <c r="D443" s="1139"/>
      <c r="E443" s="1139"/>
      <c r="F443" s="1139"/>
      <c r="G443" s="1139"/>
      <c r="H443" s="1139"/>
      <c r="I443" s="1139"/>
      <c r="J443" s="2131"/>
    </row>
    <row r="444" spans="1:10">
      <c r="A444" s="1139"/>
      <c r="B444" s="1139" t="s">
        <v>3312</v>
      </c>
      <c r="C444" s="1139">
        <f>C443*10/1000000</f>
        <v>62712.441852000011</v>
      </c>
      <c r="D444" s="1139"/>
      <c r="E444" s="1139"/>
      <c r="F444" s="1139"/>
      <c r="G444" s="1139"/>
      <c r="H444" s="1139"/>
      <c r="I444" s="1139"/>
      <c r="J444" s="2131"/>
    </row>
    <row r="445" spans="1:10">
      <c r="A445" s="1139"/>
      <c r="B445" s="2893"/>
      <c r="C445" s="2893"/>
      <c r="D445" s="2893"/>
      <c r="E445" s="2893"/>
      <c r="F445" s="1139"/>
      <c r="G445" s="1139"/>
      <c r="H445" s="1139"/>
      <c r="I445" s="1139"/>
      <c r="J445" s="2131"/>
    </row>
    <row r="446" spans="1:10">
      <c r="A446" s="1139"/>
      <c r="B446" s="1139"/>
      <c r="C446" s="1139"/>
      <c r="D446" s="1139"/>
      <c r="E446" s="1139"/>
      <c r="F446" s="1139"/>
      <c r="G446" s="1139"/>
      <c r="H446" s="1139"/>
      <c r="I446" s="1139"/>
      <c r="J446" s="2131"/>
    </row>
    <row r="447" spans="1:10">
      <c r="A447" s="2876" t="s">
        <v>3300</v>
      </c>
      <c r="B447" s="1138"/>
      <c r="C447" s="1138"/>
      <c r="D447" s="1138"/>
      <c r="E447" s="1139"/>
      <c r="F447" s="1139"/>
      <c r="G447" s="1139"/>
      <c r="H447" s="1139"/>
      <c r="I447" s="1139"/>
      <c r="J447" s="2131"/>
    </row>
    <row r="448" spans="1:10">
      <c r="A448" s="894" t="s">
        <v>3301</v>
      </c>
      <c r="B448" s="1138"/>
      <c r="C448" s="1138"/>
      <c r="D448" s="1138"/>
      <c r="E448" s="1139"/>
      <c r="F448" s="1139"/>
      <c r="G448" s="1139"/>
      <c r="H448" s="1139"/>
      <c r="I448" s="1139"/>
      <c r="J448" s="2131"/>
    </row>
    <row r="449" spans="1:10">
      <c r="A449" s="878" t="s">
        <v>3302</v>
      </c>
      <c r="B449" s="1138"/>
      <c r="C449" s="1138"/>
      <c r="D449" s="1138"/>
      <c r="E449" s="1139"/>
      <c r="F449" s="1139"/>
      <c r="G449" s="1139"/>
      <c r="H449" s="1139"/>
      <c r="I449" s="1139"/>
      <c r="J449" s="2131"/>
    </row>
    <row r="450" spans="1:10">
      <c r="A450" s="1140"/>
      <c r="B450" s="1487"/>
      <c r="C450" s="1487"/>
      <c r="D450" s="1487"/>
      <c r="E450" s="1140"/>
      <c r="F450" s="1140"/>
      <c r="G450" s="1140"/>
      <c r="H450" s="1140"/>
      <c r="I450" s="1140"/>
      <c r="J450" s="2131"/>
    </row>
    <row r="451" spans="1:10">
      <c r="A451" s="2894" t="s">
        <v>3303</v>
      </c>
      <c r="B451" s="2881"/>
      <c r="C451" s="2895" t="s">
        <v>618</v>
      </c>
      <c r="D451" s="2895"/>
      <c r="E451" s="2878"/>
      <c r="F451" s="2895" t="s">
        <v>619</v>
      </c>
      <c r="G451" s="2895"/>
      <c r="H451" s="2878"/>
      <c r="I451" s="2895" t="s">
        <v>620</v>
      </c>
      <c r="J451" s="2167"/>
    </row>
    <row r="452" spans="1:10">
      <c r="A452" s="2896" t="s">
        <v>3304</v>
      </c>
      <c r="B452" s="2897"/>
      <c r="C452" s="2898">
        <v>4562071689.3000002</v>
      </c>
      <c r="D452" s="2898"/>
      <c r="E452" s="2898"/>
      <c r="F452" s="2898">
        <v>3753250</v>
      </c>
      <c r="G452" s="2898"/>
      <c r="H452" s="2899"/>
      <c r="I452" s="2898">
        <f>C452/F452</f>
        <v>1215.4990179977353</v>
      </c>
      <c r="J452" s="2900"/>
    </row>
    <row r="453" spans="1:10">
      <c r="A453" s="2901" t="s">
        <v>3305</v>
      </c>
      <c r="B453" s="2897"/>
      <c r="C453" s="2888">
        <v>1482792208.5999999</v>
      </c>
      <c r="D453" s="2888"/>
      <c r="E453" s="2888"/>
      <c r="F453" s="2888">
        <v>1268136</v>
      </c>
      <c r="G453" s="2888"/>
      <c r="H453" s="2902"/>
      <c r="I453" s="2888">
        <f t="shared" ref="I453:I459" si="24">C453/F453</f>
        <v>1169.2690757142766</v>
      </c>
      <c r="J453" s="2900"/>
    </row>
    <row r="454" spans="1:10">
      <c r="A454" s="2903" t="s">
        <v>3306</v>
      </c>
      <c r="B454" s="2904"/>
      <c r="C454" s="2888">
        <v>3079279480.6999998</v>
      </c>
      <c r="D454" s="2888"/>
      <c r="E454" s="2888"/>
      <c r="F454" s="2888">
        <v>2485114</v>
      </c>
      <c r="G454" s="2888"/>
      <c r="H454" s="2902"/>
      <c r="I454" s="2888">
        <f t="shared" si="24"/>
        <v>1239.0898287563466</v>
      </c>
      <c r="J454" s="2900"/>
    </row>
    <row r="455" spans="1:10">
      <c r="A455" s="2905" t="s">
        <v>3307</v>
      </c>
      <c r="B455" s="2904"/>
      <c r="C455" s="2888">
        <v>1709172495.9000001</v>
      </c>
      <c r="D455" s="2888"/>
      <c r="E455" s="2888"/>
      <c r="F455" s="2888">
        <v>1181197</v>
      </c>
      <c r="G455" s="2888"/>
      <c r="H455" s="2902"/>
      <c r="I455" s="2906">
        <f t="shared" si="24"/>
        <v>1446.9834379023991</v>
      </c>
      <c r="J455" s="2900"/>
    </row>
    <row r="456" spans="1:10">
      <c r="A456" s="2905" t="s">
        <v>3308</v>
      </c>
      <c r="B456" s="2904"/>
      <c r="C456" s="2907">
        <v>764708792.39999998</v>
      </c>
      <c r="D456" s="2888"/>
      <c r="E456" s="2888"/>
      <c r="F456" s="2908">
        <v>547784</v>
      </c>
      <c r="G456" s="2888"/>
      <c r="H456" s="2902"/>
      <c r="I456" s="2888">
        <f t="shared" si="24"/>
        <v>1396.0042505805206</v>
      </c>
      <c r="J456" s="2900"/>
    </row>
    <row r="457" spans="1:10">
      <c r="A457" s="2891" t="s">
        <v>625</v>
      </c>
      <c r="B457" s="2909"/>
      <c r="C457" s="2892">
        <f>C452+C455</f>
        <v>6271244185.2000008</v>
      </c>
      <c r="D457" s="2892"/>
      <c r="E457" s="2892"/>
      <c r="F457" s="2892">
        <f>F452+F455</f>
        <v>4934447</v>
      </c>
      <c r="G457" s="2892"/>
      <c r="H457" s="2892"/>
      <c r="I457" s="2892">
        <f t="shared" si="24"/>
        <v>1270.9112460220974</v>
      </c>
      <c r="J457" s="2900"/>
    </row>
    <row r="458" spans="1:10">
      <c r="A458" s="2896" t="s">
        <v>3309</v>
      </c>
      <c r="B458" s="2888"/>
      <c r="C458" s="2888">
        <v>529797413.19999999</v>
      </c>
      <c r="D458" s="2888"/>
      <c r="E458" s="2888"/>
      <c r="F458" s="2888">
        <v>279219</v>
      </c>
      <c r="G458" s="2902"/>
      <c r="H458" s="2898"/>
      <c r="I458" s="2898">
        <f t="shared" si="24"/>
        <v>1897.4260820359646</v>
      </c>
      <c r="J458" s="2900"/>
    </row>
    <row r="459" spans="1:10">
      <c r="A459" s="2910" t="s">
        <v>3310</v>
      </c>
      <c r="B459" s="2911"/>
      <c r="C459" s="2912">
        <v>105018616.2</v>
      </c>
      <c r="D459" s="2912"/>
      <c r="E459" s="2913"/>
      <c r="F459" s="2912">
        <v>15468</v>
      </c>
      <c r="G459" s="2912"/>
      <c r="H459" s="2913"/>
      <c r="I459" s="2914">
        <f t="shared" si="24"/>
        <v>6789.4114429790534</v>
      </c>
      <c r="J459" s="2900"/>
    </row>
    <row r="460" spans="1:10">
      <c r="A460" s="2915"/>
      <c r="B460" s="2131"/>
      <c r="C460" s="2131"/>
      <c r="D460" s="2131"/>
      <c r="E460" s="2131"/>
      <c r="F460" s="2131"/>
      <c r="G460" s="2131"/>
      <c r="H460" s="2131"/>
      <c r="I460" s="2131"/>
      <c r="J460" s="2131"/>
    </row>
    <row r="461" spans="1:10">
      <c r="A461" s="2131"/>
      <c r="B461" s="2131"/>
      <c r="C461" s="2131"/>
      <c r="D461" s="2131"/>
      <c r="E461" s="2131"/>
      <c r="F461" s="2131"/>
      <c r="G461" s="2131"/>
      <c r="H461" s="2131"/>
      <c r="I461" s="2131"/>
      <c r="J461" s="2131"/>
    </row>
    <row r="462" spans="1:10">
      <c r="A462" s="2131"/>
      <c r="B462" s="2131"/>
      <c r="C462" s="2131"/>
      <c r="D462" s="2131"/>
      <c r="E462" s="2131"/>
      <c r="F462" s="2131"/>
      <c r="G462" s="2131"/>
      <c r="H462" s="2131"/>
      <c r="I462" s="2131"/>
      <c r="J462" s="2131"/>
    </row>
    <row r="463" spans="1:10">
      <c r="A463" s="2131"/>
      <c r="B463" s="2131"/>
      <c r="C463" s="2131"/>
      <c r="D463" s="2131"/>
      <c r="E463" s="2131"/>
      <c r="F463" s="2131"/>
      <c r="G463" s="2131"/>
      <c r="H463" s="2131"/>
      <c r="I463" s="2131"/>
      <c r="J463" s="2131"/>
    </row>
  </sheetData>
  <mergeCells count="7">
    <mergeCell ref="B196:H196"/>
    <mergeCell ref="A306:C306"/>
    <mergeCell ref="A327:C327"/>
    <mergeCell ref="A341:C341"/>
    <mergeCell ref="D306:E306"/>
    <mergeCell ref="D327:E327"/>
    <mergeCell ref="D341:E341"/>
  </mergeCells>
  <hyperlinks>
    <hyperlink ref="A300" r:id="rId1" xr:uid="{00000000-0004-0000-1700-000000000000}"/>
    <hyperlink ref="A7" r:id="rId2" xr:uid="{00000000-0004-0000-1700-000001000000}"/>
  </hyperlinks>
  <pageMargins left="0.7" right="0.7" top="0.75" bottom="0.75" header="0.3" footer="0.3"/>
  <pageSetup paperSize="9" orientation="portrait"/>
  <drawing r:id="rId3"/>
  <legacyDrawing r:id="rId4"/>
  <oleObjects>
    <mc:AlternateContent xmlns:mc="http://schemas.openxmlformats.org/markup-compatibility/2006">
      <mc:Choice Requires="x14">
        <oleObject progId="Paint.Picture" shapeId="622593" r:id="rId5">
          <objectPr defaultSize="0" autoLine="0" autoPict="0" r:id="rId6">
            <anchor moveWithCells="1">
              <from>
                <xdr:col>0</xdr:col>
                <xdr:colOff>45720</xdr:colOff>
                <xdr:row>459</xdr:row>
                <xdr:rowOff>60960</xdr:rowOff>
              </from>
              <to>
                <xdr:col>1</xdr:col>
                <xdr:colOff>144780</xdr:colOff>
                <xdr:row>460</xdr:row>
                <xdr:rowOff>137160</xdr:rowOff>
              </to>
            </anchor>
          </objectPr>
        </oleObject>
      </mc:Choice>
      <mc:Fallback>
        <oleObject progId="Paint.Picture" shapeId="622593" r:id="rId5"/>
      </mc:Fallback>
    </mc:AlternateContent>
  </oleObjects>
</worksheet>
</file>

<file path=xl/worksheets/sheet2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800-000000000000}">
  <sheetPr>
    <tabColor rgb="FF00B0F0"/>
  </sheetPr>
  <dimension ref="A1:AZ556"/>
  <sheetViews>
    <sheetView topLeftCell="A525" zoomScale="80" zoomScaleNormal="80" workbookViewId="0">
      <selection activeCell="G566" sqref="G566"/>
    </sheetView>
  </sheetViews>
  <sheetFormatPr defaultRowHeight="13.2"/>
  <cols>
    <col min="4" max="4" width="46.6640625" customWidth="1"/>
    <col min="5" max="5" width="19.44140625" customWidth="1"/>
    <col min="6" max="6" width="17.44140625" customWidth="1"/>
    <col min="7" max="12" width="11.88671875" customWidth="1"/>
    <col min="13" max="13" width="21.109375" customWidth="1"/>
    <col min="14" max="18" width="11.88671875" customWidth="1"/>
    <col min="19" max="19" width="21.6640625" customWidth="1"/>
    <col min="20" max="21" width="11.88671875" customWidth="1"/>
    <col min="22" max="22" width="12.88671875" customWidth="1"/>
    <col min="23" max="23" width="19.88671875" customWidth="1"/>
    <col min="24" max="24" width="18.109375" customWidth="1"/>
    <col min="25" max="25" width="7.88671875" customWidth="1"/>
    <col min="26" max="26" width="19.44140625" customWidth="1"/>
    <col min="27" max="27" width="32.44140625" customWidth="1"/>
    <col min="28" max="36" width="7.88671875" customWidth="1"/>
    <col min="46" max="46" width="17.109375" customWidth="1"/>
  </cols>
  <sheetData>
    <row r="1" spans="1:36" s="754" customFormat="1">
      <c r="A1" s="603" t="s">
        <v>1337</v>
      </c>
    </row>
    <row r="2" spans="1:36" s="754" customFormat="1">
      <c r="J2" s="866" t="s">
        <v>1814</v>
      </c>
      <c r="K2" s="304"/>
      <c r="L2" s="304"/>
      <c r="M2" s="304"/>
      <c r="N2" s="304"/>
    </row>
    <row r="5" spans="1:36" ht="13.8">
      <c r="A5" s="1168"/>
      <c r="B5" s="1169" t="s">
        <v>1625</v>
      </c>
      <c r="C5" s="1169"/>
      <c r="D5" s="1168"/>
      <c r="E5" s="1168"/>
      <c r="F5" s="1168"/>
      <c r="G5" s="1168"/>
      <c r="H5" s="1168"/>
      <c r="I5" s="1168"/>
      <c r="J5" s="1168"/>
      <c r="K5" s="1168"/>
      <c r="L5" s="1168"/>
      <c r="M5" s="1168"/>
      <c r="N5" s="1168"/>
      <c r="O5" s="1168"/>
      <c r="P5" s="1168"/>
      <c r="Q5" s="1168"/>
      <c r="R5" s="1168"/>
      <c r="S5" s="1168"/>
      <c r="T5" s="1168"/>
      <c r="U5" s="1168"/>
      <c r="V5" s="1168"/>
      <c r="W5" s="1168"/>
      <c r="X5" s="1168"/>
      <c r="Y5" s="1168"/>
      <c r="Z5" s="1168"/>
      <c r="AA5" s="1168"/>
      <c r="AB5" s="1168"/>
      <c r="AC5" s="1168"/>
      <c r="AD5" s="1168"/>
      <c r="AE5" s="1168"/>
      <c r="AF5" s="1168"/>
      <c r="AG5" s="1168"/>
      <c r="AH5" s="1168"/>
      <c r="AI5" s="1168"/>
      <c r="AJ5" s="1168"/>
    </row>
    <row r="6" spans="1:36" ht="13.8">
      <c r="A6" s="1168"/>
      <c r="B6" s="1170" t="s">
        <v>1626</v>
      </c>
      <c r="C6" s="1169"/>
      <c r="D6" s="1168"/>
      <c r="E6" s="1168"/>
      <c r="F6" s="1168"/>
      <c r="G6" s="1168"/>
      <c r="H6" s="1168"/>
      <c r="I6" s="1168"/>
      <c r="J6" s="1168"/>
      <c r="K6" s="1168"/>
      <c r="L6" s="1168"/>
      <c r="M6" s="1168"/>
      <c r="N6" s="1168"/>
      <c r="O6" s="1168"/>
      <c r="P6" s="1168"/>
      <c r="Q6" s="1168"/>
      <c r="R6" s="1168"/>
      <c r="S6" s="1168"/>
      <c r="T6" s="1168"/>
      <c r="U6" s="1168"/>
      <c r="V6" s="1168"/>
      <c r="W6" s="1168"/>
      <c r="X6" s="1168"/>
      <c r="Y6" s="1168"/>
      <c r="Z6" s="1168"/>
      <c r="AA6" s="1168"/>
      <c r="AB6" s="1168"/>
      <c r="AC6" s="1168"/>
      <c r="AD6" s="1168"/>
      <c r="AE6" s="1168"/>
      <c r="AF6" s="1168"/>
      <c r="AG6" s="1168"/>
      <c r="AH6" s="1168"/>
      <c r="AI6" s="1168"/>
      <c r="AJ6" s="1168"/>
    </row>
    <row r="7" spans="1:36" ht="13.8">
      <c r="A7" s="1168"/>
      <c r="B7" s="1171"/>
      <c r="C7" s="1172"/>
      <c r="D7" s="1171"/>
      <c r="E7" s="1171"/>
      <c r="F7" s="1171"/>
      <c r="G7" s="1171"/>
      <c r="H7" s="1171"/>
      <c r="I7" s="1171"/>
      <c r="J7" s="1171"/>
      <c r="K7" s="1171"/>
      <c r="L7" s="1171"/>
      <c r="M7" s="1171"/>
      <c r="N7" s="1171"/>
      <c r="O7" s="1171"/>
      <c r="P7" s="1171"/>
      <c r="Q7" s="1171"/>
      <c r="R7" s="1171"/>
      <c r="S7" s="1171"/>
      <c r="T7" s="1171"/>
      <c r="U7" s="1171"/>
      <c r="V7" s="1171"/>
      <c r="W7" s="1171"/>
      <c r="X7" s="1171"/>
      <c r="Y7" s="1171"/>
      <c r="Z7" s="1171"/>
      <c r="AA7" s="1171"/>
      <c r="AB7" s="1171"/>
      <c r="AC7" s="1171"/>
      <c r="AD7" s="1171"/>
      <c r="AE7" s="1171"/>
      <c r="AF7" s="1171"/>
      <c r="AG7" s="1171"/>
      <c r="AH7" s="1171"/>
      <c r="AI7" s="1171"/>
      <c r="AJ7" s="1171"/>
    </row>
    <row r="8" spans="1:36" ht="13.8">
      <c r="A8" s="1168"/>
      <c r="B8" s="3128" t="s">
        <v>353</v>
      </c>
      <c r="C8" s="3128"/>
      <c r="D8" s="3128"/>
      <c r="E8" s="3129" t="s">
        <v>1627</v>
      </c>
      <c r="F8" s="3129"/>
      <c r="G8" s="3129"/>
      <c r="H8" s="3129"/>
      <c r="I8" s="3129"/>
      <c r="J8" s="3129"/>
      <c r="K8" s="3129"/>
      <c r="L8" s="3129"/>
      <c r="M8" s="3129"/>
      <c r="N8" s="3129"/>
      <c r="O8" s="3129"/>
      <c r="P8" s="3129"/>
      <c r="Q8" s="3129"/>
      <c r="R8" s="3129"/>
      <c r="S8" s="3129"/>
      <c r="T8" s="3129"/>
      <c r="U8" s="3129"/>
      <c r="V8" s="3129"/>
      <c r="W8" s="3129"/>
      <c r="X8" s="3129"/>
      <c r="Y8" s="3129"/>
      <c r="Z8" s="3129"/>
      <c r="AA8" s="3129"/>
      <c r="AB8" s="1173"/>
      <c r="AC8" s="3129" t="s">
        <v>1628</v>
      </c>
      <c r="AD8" s="3129"/>
      <c r="AE8" s="3129"/>
      <c r="AF8" s="3129"/>
      <c r="AG8" s="3129"/>
      <c r="AH8" s="3129"/>
      <c r="AI8" s="3129"/>
      <c r="AJ8" s="3129"/>
    </row>
    <row r="9" spans="1:36" ht="13.8">
      <c r="A9" s="1168"/>
      <c r="B9" s="3128"/>
      <c r="C9" s="3128"/>
      <c r="D9" s="3128"/>
      <c r="E9" s="3128" t="s">
        <v>1629</v>
      </c>
      <c r="F9" s="3128"/>
      <c r="G9" s="1173"/>
      <c r="H9" s="3131" t="s">
        <v>1630</v>
      </c>
      <c r="I9" s="3132"/>
      <c r="J9" s="3132"/>
      <c r="K9" s="3132"/>
      <c r="L9" s="3132"/>
      <c r="M9" s="3132"/>
      <c r="N9" s="3132"/>
      <c r="O9" s="3132"/>
      <c r="P9" s="1174"/>
      <c r="Q9" s="3129" t="s">
        <v>1631</v>
      </c>
      <c r="R9" s="3133"/>
      <c r="S9" s="3133"/>
      <c r="T9" s="3133"/>
      <c r="U9" s="3133"/>
      <c r="V9" s="3133"/>
      <c r="W9" s="3133"/>
      <c r="X9" s="3133"/>
      <c r="Y9" s="3133"/>
      <c r="Z9" s="3133"/>
      <c r="AA9" s="3133"/>
      <c r="AB9" s="1168"/>
      <c r="AC9" s="3128" t="s">
        <v>627</v>
      </c>
      <c r="AD9" s="3128"/>
      <c r="AE9" s="1173"/>
      <c r="AF9" s="3128" t="s">
        <v>1632</v>
      </c>
      <c r="AG9" s="3128"/>
      <c r="AH9" s="1173"/>
      <c r="AI9" s="3128" t="s">
        <v>61</v>
      </c>
      <c r="AJ9" s="3128"/>
    </row>
    <row r="10" spans="1:36" ht="13.8">
      <c r="A10" s="1168"/>
      <c r="B10" s="3128"/>
      <c r="C10" s="3128"/>
      <c r="D10" s="3128"/>
      <c r="E10" s="3130"/>
      <c r="F10" s="3130"/>
      <c r="G10" s="1173"/>
      <c r="H10" s="3130" t="s">
        <v>1633</v>
      </c>
      <c r="I10" s="3134"/>
      <c r="J10" s="1175"/>
      <c r="K10" s="3130" t="s">
        <v>1634</v>
      </c>
      <c r="L10" s="3136"/>
      <c r="M10" s="1176"/>
      <c r="N10" s="3130" t="s">
        <v>625</v>
      </c>
      <c r="O10" s="3130"/>
      <c r="P10" s="1173"/>
      <c r="Q10" s="3130" t="s">
        <v>1635</v>
      </c>
      <c r="R10" s="3130"/>
      <c r="S10" s="1173"/>
      <c r="T10" s="3130" t="s">
        <v>1636</v>
      </c>
      <c r="U10" s="3130"/>
      <c r="V10" s="1173"/>
      <c r="W10" s="3130" t="s">
        <v>1637</v>
      </c>
      <c r="X10" s="3130"/>
      <c r="Y10" s="1173"/>
      <c r="Z10" s="3130" t="s">
        <v>625</v>
      </c>
      <c r="AA10" s="3130"/>
      <c r="AB10" s="1173"/>
      <c r="AC10" s="3130"/>
      <c r="AD10" s="3130"/>
      <c r="AE10" s="1173"/>
      <c r="AF10" s="3130"/>
      <c r="AG10" s="3130"/>
      <c r="AH10" s="1173"/>
      <c r="AI10" s="3130"/>
      <c r="AJ10" s="3130"/>
    </row>
    <row r="11" spans="1:36" ht="13.8">
      <c r="A11" s="1168"/>
      <c r="B11" s="3128"/>
      <c r="C11" s="3128"/>
      <c r="D11" s="3128"/>
      <c r="E11" s="3130" t="s">
        <v>1638</v>
      </c>
      <c r="F11" s="3130"/>
      <c r="G11" s="1173"/>
      <c r="H11" s="3130" t="s">
        <v>1639</v>
      </c>
      <c r="I11" s="3135"/>
      <c r="J11" s="3135"/>
      <c r="K11" s="3135"/>
      <c r="L11" s="3135"/>
      <c r="M11" s="3135"/>
      <c r="N11" s="3135"/>
      <c r="O11" s="3135"/>
      <c r="P11" s="1177"/>
      <c r="Q11" s="3130" t="s">
        <v>1640</v>
      </c>
      <c r="R11" s="3130"/>
      <c r="S11" s="3130"/>
      <c r="T11" s="3130"/>
      <c r="U11" s="3130"/>
      <c r="V11" s="3130"/>
      <c r="W11" s="3130"/>
      <c r="X11" s="3130"/>
      <c r="Y11" s="3130"/>
      <c r="Z11" s="3130"/>
      <c r="AA11" s="3130"/>
      <c r="AB11" s="1173"/>
      <c r="AC11" s="3130" t="s">
        <v>1641</v>
      </c>
      <c r="AD11" s="3130"/>
      <c r="AE11" s="1173"/>
      <c r="AF11" s="3130" t="s">
        <v>1642</v>
      </c>
      <c r="AG11" s="3130"/>
      <c r="AH11" s="1173"/>
      <c r="AI11" s="3130" t="s">
        <v>1643</v>
      </c>
      <c r="AJ11" s="3130"/>
    </row>
    <row r="12" spans="1:36" ht="13.8">
      <c r="A12" s="1168"/>
      <c r="B12" s="1173"/>
      <c r="C12" s="1173"/>
      <c r="D12" s="1173"/>
      <c r="E12" s="1173"/>
      <c r="F12" s="1173"/>
      <c r="G12" s="1173"/>
      <c r="H12" s="1173"/>
      <c r="I12" s="1177"/>
      <c r="J12" s="1177"/>
      <c r="K12" s="1177"/>
      <c r="L12" s="1177"/>
      <c r="M12" s="1177"/>
      <c r="N12" s="1177"/>
      <c r="O12" s="1177"/>
      <c r="P12" s="1177"/>
      <c r="Q12" s="1173"/>
      <c r="R12" s="1173"/>
      <c r="S12" s="1173"/>
      <c r="T12" s="1173"/>
      <c r="U12" s="1173"/>
      <c r="V12" s="1173"/>
      <c r="W12" s="1173"/>
      <c r="X12" s="1173"/>
      <c r="Y12" s="1173"/>
      <c r="Z12" s="1173"/>
      <c r="AA12" s="1173"/>
      <c r="AB12" s="1173"/>
      <c r="AC12" s="1173"/>
      <c r="AD12" s="1173"/>
      <c r="AE12" s="1173"/>
      <c r="AF12" s="1173"/>
      <c r="AG12" s="1173"/>
      <c r="AH12" s="1173"/>
      <c r="AI12" s="1173"/>
      <c r="AJ12" s="1173"/>
    </row>
    <row r="13" spans="1:36" ht="13.8">
      <c r="A13" s="1168"/>
      <c r="B13" s="3105">
        <v>1</v>
      </c>
      <c r="C13" s="3105"/>
      <c r="D13" s="3105"/>
      <c r="E13" s="3105">
        <v>29</v>
      </c>
      <c r="F13" s="3105"/>
      <c r="G13" s="1178"/>
      <c r="H13" s="3105">
        <v>30</v>
      </c>
      <c r="I13" s="3105"/>
      <c r="J13" s="1178"/>
      <c r="K13" s="3105">
        <v>31</v>
      </c>
      <c r="L13" s="3105"/>
      <c r="M13" s="1178"/>
      <c r="N13" s="3105">
        <v>32</v>
      </c>
      <c r="O13" s="3105"/>
      <c r="P13" s="1178"/>
      <c r="Q13" s="3105">
        <v>33</v>
      </c>
      <c r="R13" s="3105"/>
      <c r="S13" s="1178"/>
      <c r="T13" s="3105">
        <v>34</v>
      </c>
      <c r="U13" s="3105"/>
      <c r="V13" s="1178"/>
      <c r="W13" s="3105">
        <v>35</v>
      </c>
      <c r="X13" s="3105"/>
      <c r="Y13" s="1178"/>
      <c r="Z13" s="3105">
        <v>36</v>
      </c>
      <c r="AA13" s="3105"/>
      <c r="AB13" s="1178"/>
      <c r="AC13" s="3105">
        <v>37</v>
      </c>
      <c r="AD13" s="3105"/>
      <c r="AE13" s="1178"/>
      <c r="AF13" s="3105">
        <v>38</v>
      </c>
      <c r="AG13" s="3105"/>
      <c r="AH13" s="1178"/>
      <c r="AI13" s="3105">
        <v>39</v>
      </c>
      <c r="AJ13" s="3105"/>
    </row>
    <row r="14" spans="1:36" ht="13.8">
      <c r="A14" s="1168"/>
      <c r="B14" s="1179"/>
      <c r="C14" s="1180"/>
      <c r="D14" s="1181"/>
      <c r="E14" s="1179"/>
      <c r="F14" s="1181"/>
      <c r="G14" s="1181"/>
      <c r="H14" s="1179"/>
      <c r="I14" s="1181"/>
      <c r="J14" s="1181"/>
      <c r="K14" s="1179"/>
      <c r="L14" s="1181"/>
      <c r="M14" s="1181"/>
      <c r="N14" s="1179"/>
      <c r="O14" s="1181"/>
      <c r="P14" s="1181"/>
      <c r="Q14" s="1179"/>
      <c r="R14" s="1181"/>
      <c r="S14" s="1181"/>
      <c r="T14" s="1181"/>
      <c r="U14" s="1181"/>
      <c r="V14" s="1181"/>
      <c r="W14" s="1179"/>
      <c r="X14" s="1181"/>
      <c r="Y14" s="1181"/>
      <c r="Z14" s="1179"/>
      <c r="AA14" s="1181"/>
      <c r="AB14" s="1181"/>
      <c r="AC14" s="1179"/>
      <c r="AD14" s="1181"/>
      <c r="AE14" s="1181"/>
      <c r="AF14" s="1179"/>
      <c r="AG14" s="1181"/>
      <c r="AH14" s="1181"/>
      <c r="AI14" s="1179"/>
      <c r="AJ14" s="1181"/>
    </row>
    <row r="15" spans="1:36" ht="13.8">
      <c r="A15" s="1168"/>
      <c r="B15" s="1182"/>
      <c r="C15" s="1183">
        <v>1856</v>
      </c>
      <c r="D15" s="1184"/>
      <c r="E15" s="1182" t="s">
        <v>218</v>
      </c>
      <c r="F15" s="1184"/>
      <c r="G15" s="1184"/>
      <c r="H15" s="1182" t="s">
        <v>218</v>
      </c>
      <c r="I15" s="1185"/>
      <c r="J15" s="1185"/>
      <c r="K15" s="1182" t="s">
        <v>218</v>
      </c>
      <c r="L15" s="1184"/>
      <c r="M15" s="1184"/>
      <c r="N15" s="1182" t="s">
        <v>218</v>
      </c>
      <c r="O15" s="1184"/>
      <c r="P15" s="1184"/>
      <c r="Q15" s="1182" t="s">
        <v>218</v>
      </c>
      <c r="R15" s="1184"/>
      <c r="S15" s="1184"/>
      <c r="T15" s="1182" t="s">
        <v>218</v>
      </c>
      <c r="U15" s="1184"/>
      <c r="V15" s="1184"/>
      <c r="W15" s="1182" t="s">
        <v>218</v>
      </c>
      <c r="X15" s="1184"/>
      <c r="Y15" s="1184"/>
      <c r="Z15" s="1182" t="s">
        <v>218</v>
      </c>
      <c r="AA15" s="1184"/>
      <c r="AB15" s="1184"/>
      <c r="AC15" s="1182" t="s">
        <v>1350</v>
      </c>
      <c r="AD15" s="1184"/>
      <c r="AE15" s="1184"/>
      <c r="AF15" s="1182" t="s">
        <v>218</v>
      </c>
      <c r="AG15" s="1184"/>
      <c r="AH15" s="1184"/>
      <c r="AI15" s="1182" t="s">
        <v>1350</v>
      </c>
      <c r="AJ15" s="1184"/>
    </row>
    <row r="16" spans="1:36" ht="13.8">
      <c r="A16" s="1168"/>
      <c r="B16" s="1182"/>
      <c r="C16" s="1183">
        <v>1860</v>
      </c>
      <c r="D16" s="1184"/>
      <c r="E16" s="1182" t="s">
        <v>218</v>
      </c>
      <c r="F16" s="1184"/>
      <c r="G16" s="1184"/>
      <c r="H16" s="1182" t="s">
        <v>218</v>
      </c>
      <c r="I16" s="1185"/>
      <c r="J16" s="1185"/>
      <c r="K16" s="1182" t="s">
        <v>218</v>
      </c>
      <c r="L16" s="1184"/>
      <c r="M16" s="1184"/>
      <c r="N16" s="1182" t="s">
        <v>218</v>
      </c>
      <c r="O16" s="1184"/>
      <c r="P16" s="1184"/>
      <c r="Q16" s="1182" t="s">
        <v>218</v>
      </c>
      <c r="R16" s="1184"/>
      <c r="S16" s="1184"/>
      <c r="T16" s="1182" t="s">
        <v>218</v>
      </c>
      <c r="U16" s="1184"/>
      <c r="V16" s="1184"/>
      <c r="W16" s="1182" t="s">
        <v>218</v>
      </c>
      <c r="X16" s="1184"/>
      <c r="Y16" s="1184"/>
      <c r="Z16" s="1182" t="s">
        <v>218</v>
      </c>
      <c r="AA16" s="1184"/>
      <c r="AB16" s="1184"/>
      <c r="AC16" s="1182" t="s">
        <v>1350</v>
      </c>
      <c r="AD16" s="1184"/>
      <c r="AE16" s="1184"/>
      <c r="AF16" s="1182" t="s">
        <v>218</v>
      </c>
      <c r="AG16" s="1184"/>
      <c r="AH16" s="1184"/>
      <c r="AI16" s="1182" t="s">
        <v>1350</v>
      </c>
      <c r="AJ16" s="1184"/>
    </row>
    <row r="17" spans="1:36" ht="13.8">
      <c r="A17" s="1168"/>
      <c r="B17" s="1182"/>
      <c r="C17" s="1183">
        <v>1870</v>
      </c>
      <c r="D17" s="1184"/>
      <c r="E17" s="1186">
        <v>14314</v>
      </c>
      <c r="F17" s="1184"/>
      <c r="G17" s="1184"/>
      <c r="H17" s="1182" t="s">
        <v>218</v>
      </c>
      <c r="I17" s="1185"/>
      <c r="J17" s="1185"/>
      <c r="K17" s="1182" t="s">
        <v>218</v>
      </c>
      <c r="L17" s="1184"/>
      <c r="M17" s="1184"/>
      <c r="N17" s="1186">
        <v>101</v>
      </c>
      <c r="O17" s="1184"/>
      <c r="P17" s="1184"/>
      <c r="Q17" s="1182" t="s">
        <v>218</v>
      </c>
      <c r="R17" s="1184"/>
      <c r="S17" s="1184"/>
      <c r="T17" s="1182" t="s">
        <v>218</v>
      </c>
      <c r="U17" s="1184"/>
      <c r="V17" s="1184"/>
      <c r="W17" s="1182" t="s">
        <v>218</v>
      </c>
      <c r="X17" s="1184"/>
      <c r="Y17" s="1184"/>
      <c r="Z17" s="1186">
        <v>117</v>
      </c>
      <c r="AA17" s="1184"/>
      <c r="AB17" s="1184"/>
      <c r="AC17" s="1182" t="s">
        <v>1350</v>
      </c>
      <c r="AD17" s="1184"/>
      <c r="AE17" s="1184"/>
      <c r="AF17" s="1182" t="s">
        <v>218</v>
      </c>
      <c r="AG17" s="1184"/>
      <c r="AH17" s="1184"/>
      <c r="AI17" s="1182" t="s">
        <v>1350</v>
      </c>
      <c r="AJ17" s="1184"/>
    </row>
    <row r="18" spans="1:36" ht="13.8">
      <c r="A18" s="1168"/>
      <c r="B18" s="1182"/>
      <c r="C18" s="1183">
        <v>1880</v>
      </c>
      <c r="D18" s="1184"/>
      <c r="E18" s="1186">
        <v>19182</v>
      </c>
      <c r="F18" s="1184"/>
      <c r="G18" s="1184"/>
      <c r="H18" s="1182" t="s">
        <v>218</v>
      </c>
      <c r="I18" s="1185"/>
      <c r="J18" s="1185"/>
      <c r="K18" s="1182" t="s">
        <v>218</v>
      </c>
      <c r="L18" s="1184"/>
      <c r="M18" s="1184"/>
      <c r="N18" s="1186">
        <v>250</v>
      </c>
      <c r="O18" s="1184"/>
      <c r="P18" s="1184"/>
      <c r="Q18" s="1182" t="s">
        <v>218</v>
      </c>
      <c r="R18" s="1184"/>
      <c r="S18" s="1184"/>
      <c r="T18" s="1182" t="s">
        <v>218</v>
      </c>
      <c r="U18" s="1184"/>
      <c r="V18" s="1184"/>
      <c r="W18" s="1182" t="s">
        <v>218</v>
      </c>
      <c r="X18" s="1184"/>
      <c r="Y18" s="1184"/>
      <c r="Z18" s="1186">
        <v>341</v>
      </c>
      <c r="AA18" s="1184"/>
      <c r="AB18" s="1184"/>
      <c r="AC18" s="1182" t="s">
        <v>1350</v>
      </c>
      <c r="AD18" s="1184"/>
      <c r="AE18" s="1184"/>
      <c r="AF18" s="1182" t="s">
        <v>218</v>
      </c>
      <c r="AG18" s="1184"/>
      <c r="AH18" s="1184"/>
      <c r="AI18" s="1182" t="s">
        <v>1350</v>
      </c>
      <c r="AJ18" s="1184"/>
    </row>
    <row r="19" spans="1:36" ht="13.8">
      <c r="A19" s="1168"/>
      <c r="B19" s="1182"/>
      <c r="C19" s="1183">
        <v>1890</v>
      </c>
      <c r="D19" s="1184"/>
      <c r="E19" s="1186">
        <v>30023</v>
      </c>
      <c r="F19" s="1184"/>
      <c r="G19" s="1184"/>
      <c r="H19" s="1182" t="s">
        <v>218</v>
      </c>
      <c r="I19" s="1185"/>
      <c r="J19" s="1185"/>
      <c r="K19" s="1182" t="s">
        <v>218</v>
      </c>
      <c r="L19" s="1184"/>
      <c r="M19" s="1184"/>
      <c r="N19" s="1186">
        <v>383</v>
      </c>
      <c r="O19" s="1184"/>
      <c r="P19" s="1184"/>
      <c r="Q19" s="1182" t="s">
        <v>218</v>
      </c>
      <c r="R19" s="1184"/>
      <c r="S19" s="1184"/>
      <c r="T19" s="1182" t="s">
        <v>218</v>
      </c>
      <c r="U19" s="1184"/>
      <c r="V19" s="1184"/>
      <c r="W19" s="1182" t="s">
        <v>218</v>
      </c>
      <c r="X19" s="1184"/>
      <c r="Y19" s="1184"/>
      <c r="Z19" s="1186">
        <v>591</v>
      </c>
      <c r="AA19" s="1184"/>
      <c r="AB19" s="1184"/>
      <c r="AC19" s="1182" t="s">
        <v>1350</v>
      </c>
      <c r="AD19" s="1184"/>
      <c r="AE19" s="1184"/>
      <c r="AF19" s="1182" t="s">
        <v>218</v>
      </c>
      <c r="AG19" s="1184"/>
      <c r="AH19" s="1184"/>
      <c r="AI19" s="1182" t="s">
        <v>1350</v>
      </c>
      <c r="AJ19" s="1184"/>
    </row>
    <row r="20" spans="1:36" ht="13.8">
      <c r="A20" s="1168"/>
      <c r="B20" s="1182"/>
      <c r="C20" s="1183"/>
      <c r="D20" s="1184"/>
      <c r="E20" s="1182"/>
      <c r="F20" s="1184"/>
      <c r="G20" s="1184"/>
      <c r="H20" s="1182"/>
      <c r="I20" s="1185"/>
      <c r="J20" s="1185"/>
      <c r="K20" s="1182"/>
      <c r="L20" s="1184"/>
      <c r="M20" s="1184"/>
      <c r="N20" s="1186"/>
      <c r="O20" s="1184"/>
      <c r="P20" s="1184"/>
      <c r="Q20" s="1182"/>
      <c r="R20" s="1184"/>
      <c r="S20" s="1184"/>
      <c r="T20" s="1182"/>
      <c r="U20" s="1184"/>
      <c r="V20" s="1184"/>
      <c r="W20" s="1182"/>
      <c r="X20" s="1184"/>
      <c r="Y20" s="1184"/>
      <c r="Z20" s="1186"/>
      <c r="AA20" s="1184"/>
      <c r="AB20" s="1184"/>
      <c r="AC20" s="1182"/>
      <c r="AD20" s="1184"/>
      <c r="AE20" s="1184"/>
      <c r="AF20" s="1182"/>
      <c r="AG20" s="1184"/>
      <c r="AH20" s="1184"/>
      <c r="AI20" s="1182"/>
      <c r="AJ20" s="1184"/>
    </row>
    <row r="21" spans="1:36" ht="13.8">
      <c r="A21" s="1168"/>
      <c r="B21" s="1182"/>
      <c r="C21" s="1183">
        <v>1900</v>
      </c>
      <c r="D21" s="1184"/>
      <c r="E21" s="1182" t="s">
        <v>218</v>
      </c>
      <c r="F21" s="1184"/>
      <c r="G21" s="1184"/>
      <c r="H21" s="1182" t="s">
        <v>218</v>
      </c>
      <c r="I21" s="1185"/>
      <c r="J21" s="1185"/>
      <c r="K21" s="1182" t="s">
        <v>218</v>
      </c>
      <c r="L21" s="1184"/>
      <c r="M21" s="1184"/>
      <c r="N21" s="1186">
        <v>823</v>
      </c>
      <c r="O21" s="1184"/>
      <c r="P21" s="1184"/>
      <c r="Q21" s="1182" t="s">
        <v>218</v>
      </c>
      <c r="R21" s="1184"/>
      <c r="S21" s="1184"/>
      <c r="T21" s="1182" t="s">
        <v>218</v>
      </c>
      <c r="U21" s="1184"/>
      <c r="V21" s="1184"/>
      <c r="W21" s="1182" t="s">
        <v>218</v>
      </c>
      <c r="X21" s="1184"/>
      <c r="Y21" s="1184"/>
      <c r="Z21" s="1186">
        <v>1459</v>
      </c>
      <c r="AA21" s="1184"/>
      <c r="AB21" s="1184"/>
      <c r="AC21" s="1182" t="s">
        <v>1350</v>
      </c>
      <c r="AD21" s="1184"/>
      <c r="AE21" s="1184"/>
      <c r="AF21" s="1182" t="s">
        <v>218</v>
      </c>
      <c r="AG21" s="1184"/>
      <c r="AH21" s="1184"/>
      <c r="AI21" s="1182" t="s">
        <v>1350</v>
      </c>
      <c r="AJ21" s="1184"/>
    </row>
    <row r="22" spans="1:36" ht="13.8">
      <c r="A22" s="1168"/>
      <c r="B22" s="1182"/>
      <c r="C22" s="1183">
        <v>1910</v>
      </c>
      <c r="D22" s="1184"/>
      <c r="E22" s="1182" t="s">
        <v>218</v>
      </c>
      <c r="F22" s="1184"/>
      <c r="G22" s="1184"/>
      <c r="H22" s="1182" t="s">
        <v>218</v>
      </c>
      <c r="I22" s="1185"/>
      <c r="J22" s="1185"/>
      <c r="K22" s="1182" t="s">
        <v>218</v>
      </c>
      <c r="L22" s="1184"/>
      <c r="M22" s="1184"/>
      <c r="N22" s="1186">
        <v>1576</v>
      </c>
      <c r="O22" s="1184"/>
      <c r="P22" s="1184"/>
      <c r="Q22" s="1182" t="s">
        <v>218</v>
      </c>
      <c r="R22" s="1184"/>
      <c r="S22" s="1184"/>
      <c r="T22" s="1182" t="s">
        <v>218</v>
      </c>
      <c r="U22" s="1184"/>
      <c r="V22" s="1184"/>
      <c r="W22" s="1182" t="s">
        <v>218</v>
      </c>
      <c r="X22" s="1184"/>
      <c r="Y22" s="1184"/>
      <c r="Z22" s="1186">
        <v>2492</v>
      </c>
      <c r="AA22" s="1184"/>
      <c r="AB22" s="1184"/>
      <c r="AC22" s="1182" t="s">
        <v>1350</v>
      </c>
      <c r="AD22" s="1184"/>
      <c r="AE22" s="1184"/>
      <c r="AF22" s="1182" t="s">
        <v>218</v>
      </c>
      <c r="AG22" s="1184"/>
      <c r="AH22" s="1184"/>
      <c r="AI22" s="1182" t="s">
        <v>1350</v>
      </c>
      <c r="AJ22" s="1184"/>
    </row>
    <row r="23" spans="1:36" ht="13.8">
      <c r="A23" s="1168"/>
      <c r="B23" s="1182"/>
      <c r="C23" s="1183">
        <v>1920</v>
      </c>
      <c r="D23" s="1184"/>
      <c r="E23" s="1186">
        <v>14314</v>
      </c>
      <c r="F23" s="1184"/>
      <c r="G23" s="1184"/>
      <c r="H23" s="1182" t="s">
        <v>218</v>
      </c>
      <c r="I23" s="1185"/>
      <c r="J23" s="1185"/>
      <c r="K23" s="1182" t="s">
        <v>218</v>
      </c>
      <c r="L23" s="1184"/>
      <c r="M23" s="1184"/>
      <c r="N23" s="1186">
        <v>2409</v>
      </c>
      <c r="O23" s="1184"/>
      <c r="P23" s="1184"/>
      <c r="Q23" s="1182" t="s">
        <v>218</v>
      </c>
      <c r="R23" s="1184"/>
      <c r="S23" s="1184"/>
      <c r="T23" s="1182" t="s">
        <v>218</v>
      </c>
      <c r="U23" s="1184"/>
      <c r="V23" s="1184"/>
      <c r="W23" s="1182" t="s">
        <v>218</v>
      </c>
      <c r="X23" s="1184"/>
      <c r="Y23" s="1184"/>
      <c r="Z23" s="1186">
        <v>3299</v>
      </c>
      <c r="AA23" s="1184"/>
      <c r="AB23" s="1184"/>
      <c r="AC23" s="1182" t="s">
        <v>218</v>
      </c>
      <c r="AD23" s="1184"/>
      <c r="AE23" s="1184"/>
      <c r="AF23" s="1186">
        <v>948</v>
      </c>
      <c r="AG23" s="1184"/>
      <c r="AH23" s="1184"/>
      <c r="AI23" s="1182" t="s">
        <v>218</v>
      </c>
      <c r="AJ23" s="1184"/>
    </row>
    <row r="24" spans="1:36" ht="13.8">
      <c r="A24" s="1168"/>
      <c r="B24" s="1182"/>
      <c r="C24" s="1183">
        <v>1930</v>
      </c>
      <c r="D24" s="1184"/>
      <c r="E24" s="1186">
        <v>19182</v>
      </c>
      <c r="F24" s="1187"/>
      <c r="G24" s="1187"/>
      <c r="H24" s="1182" t="s">
        <v>218</v>
      </c>
      <c r="I24" s="1185"/>
      <c r="J24" s="1185"/>
      <c r="K24" s="1182" t="s">
        <v>218</v>
      </c>
      <c r="L24" s="1184"/>
      <c r="M24" s="1184"/>
      <c r="N24" s="1186">
        <v>2436</v>
      </c>
      <c r="O24" s="1184"/>
      <c r="P24" s="1184"/>
      <c r="Q24" s="1186">
        <v>226</v>
      </c>
      <c r="R24" s="1184"/>
      <c r="S24" s="1184"/>
      <c r="T24" s="1182" t="s">
        <v>218</v>
      </c>
      <c r="U24" s="1184"/>
      <c r="V24" s="1184"/>
      <c r="W24" s="1186">
        <v>4038</v>
      </c>
      <c r="X24" s="1184"/>
      <c r="Y24" s="1184"/>
      <c r="Z24" s="1186">
        <v>4264</v>
      </c>
      <c r="AA24" s="1184"/>
      <c r="AB24" s="1184"/>
      <c r="AC24" s="1182" t="s">
        <v>218</v>
      </c>
      <c r="AD24" s="1184"/>
      <c r="AE24" s="1184"/>
      <c r="AF24" s="1186">
        <v>801</v>
      </c>
      <c r="AG24" s="1184"/>
      <c r="AH24" s="1184"/>
      <c r="AI24" s="1182" t="s">
        <v>218</v>
      </c>
      <c r="AJ24" s="1184"/>
    </row>
    <row r="25" spans="1:36" ht="13.8">
      <c r="A25" s="1168"/>
      <c r="B25" s="1182"/>
      <c r="C25" s="1183">
        <v>1940</v>
      </c>
      <c r="D25" s="1184"/>
      <c r="E25" s="1186">
        <v>30023</v>
      </c>
      <c r="F25" s="1187"/>
      <c r="G25" s="1187"/>
      <c r="H25" s="1182" t="s">
        <v>218</v>
      </c>
      <c r="I25" s="1185"/>
      <c r="J25" s="1185"/>
      <c r="K25" s="1182" t="s">
        <v>218</v>
      </c>
      <c r="L25" s="1184"/>
      <c r="M25" s="1184"/>
      <c r="N25" s="1186">
        <v>4495</v>
      </c>
      <c r="O25" s="1184"/>
      <c r="P25" s="1184"/>
      <c r="Q25" s="1186">
        <v>406</v>
      </c>
      <c r="R25" s="1184"/>
      <c r="S25" s="1184"/>
      <c r="T25" s="1182" t="s">
        <v>218</v>
      </c>
      <c r="U25" s="1184"/>
      <c r="V25" s="1184"/>
      <c r="W25" s="1186">
        <v>6810</v>
      </c>
      <c r="X25" s="1184"/>
      <c r="Y25" s="1184"/>
      <c r="Z25" s="1186">
        <v>7216</v>
      </c>
      <c r="AA25" s="1184"/>
      <c r="AB25" s="1184"/>
      <c r="AC25" s="1186">
        <v>671</v>
      </c>
      <c r="AD25" s="1184"/>
      <c r="AE25" s="1184"/>
      <c r="AF25" s="1186">
        <v>675</v>
      </c>
      <c r="AG25" s="1184"/>
      <c r="AH25" s="1184"/>
      <c r="AI25" s="1182" t="s">
        <v>218</v>
      </c>
      <c r="AJ25" s="1184"/>
    </row>
    <row r="26" spans="1:36" ht="13.8">
      <c r="A26" s="1168"/>
      <c r="B26" s="1182"/>
      <c r="C26" s="1183"/>
      <c r="D26" s="1184"/>
      <c r="E26" s="1186"/>
      <c r="F26" s="1187"/>
      <c r="G26" s="1187"/>
      <c r="H26" s="1182"/>
      <c r="I26" s="1185"/>
      <c r="J26" s="1185"/>
      <c r="K26" s="1182"/>
      <c r="L26" s="1184"/>
      <c r="M26" s="1184"/>
      <c r="N26" s="1186"/>
      <c r="O26" s="1184"/>
      <c r="P26" s="1184"/>
      <c r="Q26" s="1186"/>
      <c r="R26" s="1184"/>
      <c r="S26" s="1184"/>
      <c r="T26" s="1182"/>
      <c r="U26" s="1184"/>
      <c r="V26" s="1184"/>
      <c r="W26" s="1186"/>
      <c r="X26" s="1184"/>
      <c r="Y26" s="1184"/>
      <c r="Z26" s="1186"/>
      <c r="AA26" s="1184"/>
      <c r="AB26" s="1184"/>
      <c r="AC26" s="1186"/>
      <c r="AD26" s="1184"/>
      <c r="AE26" s="1184"/>
      <c r="AF26" s="1186"/>
      <c r="AG26" s="1184"/>
      <c r="AH26" s="1184"/>
      <c r="AI26" s="1182"/>
      <c r="AJ26" s="1184"/>
    </row>
    <row r="27" spans="1:36" ht="13.8">
      <c r="A27" s="1168"/>
      <c r="B27" s="1182"/>
      <c r="C27" s="1183">
        <v>1950</v>
      </c>
      <c r="D27" s="1184"/>
      <c r="E27" s="1186">
        <v>33929</v>
      </c>
      <c r="F27" s="1187"/>
      <c r="G27" s="1187"/>
      <c r="H27" s="1182" t="s">
        <v>218</v>
      </c>
      <c r="I27" s="1185"/>
      <c r="J27" s="1185"/>
      <c r="K27" s="1182" t="s">
        <v>218</v>
      </c>
      <c r="L27" s="1184"/>
      <c r="M27" s="1184"/>
      <c r="N27" s="1186">
        <v>6637</v>
      </c>
      <c r="O27" s="1184"/>
      <c r="P27" s="1184"/>
      <c r="Q27" s="1186">
        <v>477</v>
      </c>
      <c r="R27" s="1184"/>
      <c r="S27" s="1184"/>
      <c r="T27" s="1182" t="s">
        <v>218</v>
      </c>
      <c r="U27" s="1184"/>
      <c r="V27" s="1184"/>
      <c r="W27" s="1186">
        <v>8163</v>
      </c>
      <c r="X27" s="1184"/>
      <c r="Y27" s="1184"/>
      <c r="Z27" s="1186">
        <v>8640</v>
      </c>
      <c r="AA27" s="1184"/>
      <c r="AB27" s="1184"/>
      <c r="AC27" s="1186">
        <v>1197</v>
      </c>
      <c r="AD27" s="1184"/>
      <c r="AE27" s="1184"/>
      <c r="AF27" s="1186">
        <v>543</v>
      </c>
      <c r="AG27" s="1184"/>
      <c r="AH27" s="1184"/>
      <c r="AI27" s="1186">
        <v>15574</v>
      </c>
      <c r="AJ27" s="1184"/>
    </row>
    <row r="28" spans="1:36" ht="13.8">
      <c r="A28" s="1168"/>
      <c r="B28" s="1182"/>
      <c r="C28" s="1183">
        <v>1960</v>
      </c>
      <c r="D28" s="1184"/>
      <c r="E28" s="1186">
        <v>38356</v>
      </c>
      <c r="F28" s="1187"/>
      <c r="G28" s="1187"/>
      <c r="H28" s="1182" t="s">
        <v>218</v>
      </c>
      <c r="I28" s="1185"/>
      <c r="J28" s="1185"/>
      <c r="K28" s="1182" t="s">
        <v>218</v>
      </c>
      <c r="L28" s="1184"/>
      <c r="M28" s="1184"/>
      <c r="N28" s="1186">
        <v>5150</v>
      </c>
      <c r="O28" s="1184"/>
      <c r="P28" s="1184"/>
      <c r="Q28" s="1186">
        <v>459</v>
      </c>
      <c r="R28" s="1184"/>
      <c r="S28" s="1184"/>
      <c r="T28" s="1182" t="s">
        <v>218</v>
      </c>
      <c r="U28" s="1184"/>
      <c r="V28" s="1184"/>
      <c r="W28" s="1186">
        <v>10469</v>
      </c>
      <c r="X28" s="1184"/>
      <c r="Y28" s="1184"/>
      <c r="Z28" s="1186">
        <v>10928</v>
      </c>
      <c r="AA28" s="1184"/>
      <c r="AB28" s="1184"/>
      <c r="AC28" s="1186">
        <v>1351</v>
      </c>
      <c r="AD28" s="1184"/>
      <c r="AE28" s="1184"/>
      <c r="AF28" s="1186">
        <v>80</v>
      </c>
      <c r="AG28" s="1184"/>
      <c r="AH28" s="1184"/>
      <c r="AI28" s="1186">
        <v>45292</v>
      </c>
      <c r="AJ28" s="1184"/>
    </row>
    <row r="29" spans="1:36" ht="13.8">
      <c r="A29" s="1168"/>
      <c r="B29" s="1182"/>
      <c r="C29" s="1183">
        <v>1970</v>
      </c>
      <c r="D29" s="1184"/>
      <c r="E29" s="1186">
        <v>47342</v>
      </c>
      <c r="F29" s="1187"/>
      <c r="G29" s="1187"/>
      <c r="H29" s="1182" t="s">
        <v>218</v>
      </c>
      <c r="I29" s="1187"/>
      <c r="J29" s="1187"/>
      <c r="K29" s="1182" t="s">
        <v>218</v>
      </c>
      <c r="L29" s="1184"/>
      <c r="M29" s="1184"/>
      <c r="N29" s="1186">
        <v>4640</v>
      </c>
      <c r="O29" s="1184"/>
      <c r="P29" s="1184"/>
      <c r="Q29" s="1186">
        <v>366</v>
      </c>
      <c r="R29" s="1184"/>
      <c r="S29" s="1184"/>
      <c r="T29" s="1182" t="s">
        <v>218</v>
      </c>
      <c r="U29" s="1184"/>
      <c r="V29" s="1184"/>
      <c r="W29" s="1186">
        <v>16945</v>
      </c>
      <c r="X29" s="1184"/>
      <c r="Y29" s="1184"/>
      <c r="Z29" s="1186">
        <v>17311</v>
      </c>
      <c r="AA29" s="1184"/>
      <c r="AB29" s="1184"/>
      <c r="AC29" s="1186">
        <v>1553</v>
      </c>
      <c r="AD29" s="1184"/>
      <c r="AE29" s="1184"/>
      <c r="AF29" s="1186">
        <v>1</v>
      </c>
      <c r="AG29" s="1184"/>
      <c r="AH29" s="1184"/>
      <c r="AI29" s="1186">
        <v>42403</v>
      </c>
      <c r="AJ29" s="1184"/>
    </row>
    <row r="30" spans="1:36" ht="13.8">
      <c r="A30" s="1168"/>
      <c r="B30" s="1182"/>
      <c r="C30" s="1183">
        <v>1980</v>
      </c>
      <c r="D30" s="1184"/>
      <c r="E30" s="1186">
        <v>47269</v>
      </c>
      <c r="F30" s="1187"/>
      <c r="G30" s="1187"/>
      <c r="H30" s="1186">
        <v>1787</v>
      </c>
      <c r="I30" s="1187"/>
      <c r="J30" s="1187"/>
      <c r="K30" s="1186">
        <v>5211</v>
      </c>
      <c r="L30" s="1184"/>
      <c r="M30" s="1184"/>
      <c r="N30" s="1186">
        <v>6998</v>
      </c>
      <c r="O30" s="1184"/>
      <c r="P30" s="1184"/>
      <c r="Q30" s="1186">
        <v>310</v>
      </c>
      <c r="R30" s="1184"/>
      <c r="S30" s="1184"/>
      <c r="T30" s="1186">
        <v>1480</v>
      </c>
      <c r="U30" s="1184"/>
      <c r="V30" s="1184"/>
      <c r="W30" s="1186">
        <v>14857</v>
      </c>
      <c r="X30" s="1184"/>
      <c r="Y30" s="1184"/>
      <c r="Z30" s="1186">
        <v>16648</v>
      </c>
      <c r="AA30" s="1184"/>
      <c r="AB30" s="1184"/>
      <c r="AC30" s="1186">
        <v>1609</v>
      </c>
      <c r="AD30" s="1184"/>
      <c r="AE30" s="1184"/>
      <c r="AF30" s="1182" t="s">
        <v>1350</v>
      </c>
      <c r="AG30" s="1184"/>
      <c r="AH30" s="1184"/>
      <c r="AI30" s="1186">
        <v>38798</v>
      </c>
      <c r="AJ30" s="1184"/>
    </row>
    <row r="31" spans="1:36" ht="13.8">
      <c r="A31" s="1168"/>
      <c r="B31" s="1182"/>
      <c r="C31" s="1183">
        <v>1990</v>
      </c>
      <c r="D31" s="1184"/>
      <c r="E31" s="1186">
        <v>48887.003900000003</v>
      </c>
      <c r="F31" s="1187"/>
      <c r="G31" s="1187"/>
      <c r="H31" s="1186">
        <v>1978</v>
      </c>
      <c r="I31" s="1187"/>
      <c r="J31" s="1187"/>
      <c r="K31" s="1186">
        <v>4622</v>
      </c>
      <c r="L31" s="1184"/>
      <c r="M31" s="1184"/>
      <c r="N31" s="1186">
        <v>6600</v>
      </c>
      <c r="O31" s="1184"/>
      <c r="P31" s="1184"/>
      <c r="Q31" s="1186">
        <v>6</v>
      </c>
      <c r="R31" s="1187">
        <v>12</v>
      </c>
      <c r="S31" s="1187"/>
      <c r="T31" s="1186">
        <v>2402</v>
      </c>
      <c r="U31" s="1184"/>
      <c r="V31" s="1184"/>
      <c r="W31" s="1186">
        <v>16694</v>
      </c>
      <c r="X31" s="1184"/>
      <c r="Y31" s="1184"/>
      <c r="Z31" s="1186">
        <v>19102</v>
      </c>
      <c r="AA31" s="1184"/>
      <c r="AB31" s="1184"/>
      <c r="AC31" s="1186">
        <v>1669</v>
      </c>
      <c r="AD31" s="1184"/>
      <c r="AE31" s="1184"/>
      <c r="AF31" s="1182" t="s">
        <v>1350</v>
      </c>
      <c r="AG31" s="1184"/>
      <c r="AH31" s="1184"/>
      <c r="AI31" s="1186">
        <v>38701</v>
      </c>
      <c r="AJ31" s="1184"/>
    </row>
    <row r="32" spans="1:36" ht="13.8">
      <c r="A32" s="1188"/>
      <c r="B32" s="1189"/>
      <c r="C32" s="1190">
        <v>1991</v>
      </c>
      <c r="D32" s="1191"/>
      <c r="E32" s="1192">
        <v>51106.455161302219</v>
      </c>
      <c r="F32" s="1193"/>
      <c r="G32" s="1193"/>
      <c r="H32" s="1192">
        <v>1914.1</v>
      </c>
      <c r="I32" s="1193"/>
      <c r="J32" s="1193"/>
      <c r="K32" s="1192">
        <v>4070.8599999999992</v>
      </c>
      <c r="L32" s="1191"/>
      <c r="M32" s="1191"/>
      <c r="N32" s="1192">
        <v>5984.9599999999991</v>
      </c>
      <c r="O32" s="1191"/>
      <c r="P32" s="1191"/>
      <c r="Q32" s="1192">
        <v>6</v>
      </c>
      <c r="R32" s="1191"/>
      <c r="S32" s="1191"/>
      <c r="T32" s="1192">
        <v>2446</v>
      </c>
      <c r="U32" s="1191"/>
      <c r="V32" s="1191"/>
      <c r="W32" s="1192">
        <v>16364</v>
      </c>
      <c r="X32" s="1191"/>
      <c r="Y32" s="1191"/>
      <c r="Z32" s="1192">
        <v>18816</v>
      </c>
      <c r="AA32" s="1191"/>
      <c r="AB32" s="1191"/>
      <c r="AC32" s="1192">
        <v>1652</v>
      </c>
      <c r="AD32" s="1191"/>
      <c r="AE32" s="1191"/>
      <c r="AF32" s="1189" t="s">
        <v>1350</v>
      </c>
      <c r="AG32" s="1191"/>
      <c r="AH32" s="1191"/>
      <c r="AI32" s="1192">
        <v>34283</v>
      </c>
      <c r="AJ32" s="1191"/>
    </row>
    <row r="33" spans="1:36" ht="13.8">
      <c r="A33" s="1168"/>
      <c r="B33" s="1182"/>
      <c r="C33" s="1183">
        <v>1992</v>
      </c>
      <c r="D33" s="1184"/>
      <c r="E33" s="1186">
        <v>51438.970767505241</v>
      </c>
      <c r="F33" s="1187"/>
      <c r="G33" s="1187"/>
      <c r="H33" s="1186">
        <v>2020.7</v>
      </c>
      <c r="I33" s="1187"/>
      <c r="J33" s="1187"/>
      <c r="K33" s="1186">
        <v>3942</v>
      </c>
      <c r="L33" s="1187"/>
      <c r="M33" s="1187"/>
      <c r="N33" s="1186">
        <v>5962.7</v>
      </c>
      <c r="O33" s="1184"/>
      <c r="P33" s="1184"/>
      <c r="Q33" s="1186">
        <v>6</v>
      </c>
      <c r="R33" s="1184"/>
      <c r="S33" s="1184"/>
      <c r="T33" s="1186">
        <v>2724</v>
      </c>
      <c r="U33" s="1184"/>
      <c r="V33" s="1184"/>
      <c r="W33" s="1186">
        <v>16472</v>
      </c>
      <c r="X33" s="1184"/>
      <c r="Y33" s="1184"/>
      <c r="Z33" s="1186">
        <v>19202</v>
      </c>
      <c r="AA33" s="1184"/>
      <c r="AB33" s="1184"/>
      <c r="AC33" s="1186">
        <v>1633</v>
      </c>
      <c r="AD33" s="1184"/>
      <c r="AE33" s="1184"/>
      <c r="AF33" s="1182" t="s">
        <v>1350</v>
      </c>
      <c r="AG33" s="1184"/>
      <c r="AH33" s="1184"/>
      <c r="AI33" s="1186">
        <v>32799</v>
      </c>
      <c r="AJ33" s="1184"/>
    </row>
    <row r="34" spans="1:36" ht="13.8">
      <c r="A34" s="1168"/>
      <c r="B34" s="1182"/>
      <c r="C34" s="1183">
        <v>1993</v>
      </c>
      <c r="D34" s="1184"/>
      <c r="E34" s="1186">
        <v>50307.391039974857</v>
      </c>
      <c r="F34" s="1187"/>
      <c r="G34" s="1187"/>
      <c r="H34" s="1186">
        <v>2097.9589990000004</v>
      </c>
      <c r="I34" s="1187"/>
      <c r="J34" s="1187"/>
      <c r="K34" s="1186">
        <v>4323.9130000000005</v>
      </c>
      <c r="L34" s="1187"/>
      <c r="M34" s="1187"/>
      <c r="N34" s="1186">
        <v>6421.8719990000009</v>
      </c>
      <c r="O34" s="1184"/>
      <c r="P34" s="1184"/>
      <c r="Q34" s="1186">
        <v>7</v>
      </c>
      <c r="R34" s="1184"/>
      <c r="S34" s="1184"/>
      <c r="T34" s="1186">
        <v>2374</v>
      </c>
      <c r="U34" s="1184"/>
      <c r="V34" s="1184"/>
      <c r="W34" s="1186">
        <v>16197</v>
      </c>
      <c r="X34" s="1184"/>
      <c r="Y34" s="1184"/>
      <c r="Z34" s="1186">
        <v>18578</v>
      </c>
      <c r="AA34" s="1184"/>
      <c r="AB34" s="1184"/>
      <c r="AC34" s="1186">
        <v>1647</v>
      </c>
      <c r="AD34" s="1184"/>
      <c r="AE34" s="1184"/>
      <c r="AF34" s="1182" t="s">
        <v>1350</v>
      </c>
      <c r="AG34" s="1184"/>
      <c r="AH34" s="1184"/>
      <c r="AI34" s="1186">
        <v>31531.05</v>
      </c>
      <c r="AJ34" s="1184"/>
    </row>
    <row r="35" spans="1:36" ht="13.8">
      <c r="A35" s="1168"/>
      <c r="B35" s="1182"/>
      <c r="C35" s="1183">
        <v>1994</v>
      </c>
      <c r="D35" s="1184"/>
      <c r="E35" s="1186">
        <v>52211.491632517274</v>
      </c>
      <c r="F35" s="1187"/>
      <c r="G35" s="1187"/>
      <c r="H35" s="1186">
        <v>2127.2399</v>
      </c>
      <c r="I35" s="1187"/>
      <c r="J35" s="1187"/>
      <c r="K35" s="1186">
        <v>4379.9149999999991</v>
      </c>
      <c r="L35" s="1187"/>
      <c r="M35" s="1187"/>
      <c r="N35" s="1186">
        <v>6507.1548999999995</v>
      </c>
      <c r="O35" s="1184"/>
      <c r="P35" s="1184"/>
      <c r="Q35" s="1186">
        <v>5</v>
      </c>
      <c r="R35" s="1184"/>
      <c r="S35" s="1184"/>
      <c r="T35" s="1186">
        <v>2779</v>
      </c>
      <c r="U35" s="1184"/>
      <c r="V35" s="1184"/>
      <c r="W35" s="1186">
        <v>16285</v>
      </c>
      <c r="X35" s="1184"/>
      <c r="Y35" s="1184"/>
      <c r="Z35" s="1186">
        <v>19069</v>
      </c>
      <c r="AA35" s="1184"/>
      <c r="AB35" s="1184"/>
      <c r="AC35" s="1186">
        <v>1733</v>
      </c>
      <c r="AD35" s="1184"/>
      <c r="AE35" s="1184"/>
      <c r="AF35" s="1182" t="s">
        <v>1350</v>
      </c>
      <c r="AG35" s="1184"/>
      <c r="AH35" s="1184"/>
      <c r="AI35" s="1186">
        <v>29820.037333333334</v>
      </c>
      <c r="AJ35" s="1184"/>
    </row>
    <row r="36" spans="1:36" ht="13.8">
      <c r="A36" s="1168"/>
      <c r="B36" s="1182"/>
      <c r="C36" s="1183">
        <v>1995</v>
      </c>
      <c r="D36" s="1184"/>
      <c r="E36" s="1186">
        <v>51822.351362902984</v>
      </c>
      <c r="F36" s="1187"/>
      <c r="G36" s="1187"/>
      <c r="H36" s="1186">
        <v>2241.4040569999993</v>
      </c>
      <c r="I36" s="1187"/>
      <c r="J36" s="1187"/>
      <c r="K36" s="1186">
        <v>4591.3680000000004</v>
      </c>
      <c r="L36" s="1187"/>
      <c r="M36" s="1187"/>
      <c r="N36" s="1186">
        <v>6832.7720570000001</v>
      </c>
      <c r="O36" s="1194"/>
      <c r="P36" s="1194"/>
      <c r="Q36" s="1186">
        <v>6</v>
      </c>
      <c r="R36" s="1184"/>
      <c r="S36" s="1184"/>
      <c r="T36" s="1186">
        <v>2585</v>
      </c>
      <c r="U36" s="1184"/>
      <c r="V36" s="1184"/>
      <c r="W36" s="1186">
        <v>16800</v>
      </c>
      <c r="X36" s="1184"/>
      <c r="Y36" s="1184"/>
      <c r="Z36" s="1186">
        <v>19391</v>
      </c>
      <c r="AA36" s="1184"/>
      <c r="AB36" s="1184"/>
      <c r="AC36" s="1186">
        <v>1736</v>
      </c>
      <c r="AD36" s="1184"/>
      <c r="AE36" s="1184"/>
      <c r="AF36" s="1182" t="s">
        <v>1350</v>
      </c>
      <c r="AG36" s="1184"/>
      <c r="AH36" s="1184"/>
      <c r="AI36" s="1186">
        <v>29046.32</v>
      </c>
      <c r="AJ36" s="1184"/>
    </row>
    <row r="37" spans="1:36" ht="13.8">
      <c r="A37" s="1188"/>
      <c r="B37" s="1189"/>
      <c r="C37" s="1190">
        <v>1996</v>
      </c>
      <c r="D37" s="1191"/>
      <c r="E37" s="1192">
        <v>50844.169097457634</v>
      </c>
      <c r="F37" s="1193"/>
      <c r="G37" s="1193"/>
      <c r="H37" s="1192">
        <v>2339.3624520000003</v>
      </c>
      <c r="I37" s="1193"/>
      <c r="J37" s="1193"/>
      <c r="K37" s="1192">
        <v>4614</v>
      </c>
      <c r="L37" s="1193"/>
      <c r="M37" s="1193"/>
      <c r="N37" s="1192">
        <v>6953.3624520000003</v>
      </c>
      <c r="O37" s="1195"/>
      <c r="P37" s="1195"/>
      <c r="Q37" s="1192">
        <v>5</v>
      </c>
      <c r="R37" s="1191"/>
      <c r="S37" s="1191"/>
      <c r="T37" s="1192">
        <v>2463</v>
      </c>
      <c r="U37" s="1193"/>
      <c r="V37" s="1193"/>
      <c r="W37" s="1192">
        <v>16378</v>
      </c>
      <c r="X37" s="1191"/>
      <c r="Y37" s="1191"/>
      <c r="Z37" s="1192">
        <v>18846</v>
      </c>
      <c r="AA37" s="1191"/>
      <c r="AB37" s="1191"/>
      <c r="AC37" s="1192">
        <v>1800</v>
      </c>
      <c r="AD37" s="1191"/>
      <c r="AE37" s="1191"/>
      <c r="AF37" s="1189" t="s">
        <v>1350</v>
      </c>
      <c r="AG37" s="1191"/>
      <c r="AH37" s="1191"/>
      <c r="AI37" s="1192">
        <v>26570.35</v>
      </c>
      <c r="AJ37" s="1191"/>
    </row>
    <row r="38" spans="1:36" ht="13.8">
      <c r="A38" s="1168"/>
      <c r="B38" s="1182"/>
      <c r="C38" s="1183">
        <v>1997</v>
      </c>
      <c r="D38" s="1184"/>
      <c r="E38" s="1186">
        <v>51313.019908741095</v>
      </c>
      <c r="F38" s="1187"/>
      <c r="G38" s="1187"/>
      <c r="H38" s="1186">
        <v>2558.2794319999994</v>
      </c>
      <c r="I38" s="1187"/>
      <c r="J38" s="1187"/>
      <c r="K38" s="1186">
        <v>4463.53</v>
      </c>
      <c r="L38" s="1187"/>
      <c r="M38" s="1187"/>
      <c r="N38" s="1186">
        <v>7021.8094319999991</v>
      </c>
      <c r="O38" s="1194"/>
      <c r="P38" s="1194"/>
      <c r="Q38" s="1186">
        <v>6</v>
      </c>
      <c r="R38" s="1184"/>
      <c r="S38" s="1184"/>
      <c r="T38" s="1186">
        <v>2466</v>
      </c>
      <c r="U38" s="1187"/>
      <c r="V38" s="1187"/>
      <c r="W38" s="1186">
        <v>16709</v>
      </c>
      <c r="X38" s="1187"/>
      <c r="Y38" s="1187"/>
      <c r="Z38" s="1186">
        <v>19181</v>
      </c>
      <c r="AA38" s="1184"/>
      <c r="AB38" s="1184"/>
      <c r="AC38" s="1186">
        <v>1722</v>
      </c>
      <c r="AD38" s="1184"/>
      <c r="AE38" s="1184"/>
      <c r="AF38" s="1182" t="s">
        <v>1350</v>
      </c>
      <c r="AG38" s="1184"/>
      <c r="AH38" s="1184"/>
      <c r="AI38" s="1186">
        <v>25766.598629032262</v>
      </c>
      <c r="AJ38" s="1184"/>
    </row>
    <row r="39" spans="1:36" ht="13.8">
      <c r="A39" s="1168"/>
      <c r="B39" s="1182"/>
      <c r="C39" s="1183">
        <v>1998</v>
      </c>
      <c r="D39" s="1184"/>
      <c r="E39" s="1186">
        <v>51061.611028672996</v>
      </c>
      <c r="F39" s="1187"/>
      <c r="G39" s="1187"/>
      <c r="H39" s="1186">
        <v>2650.6099740999994</v>
      </c>
      <c r="I39" s="1187"/>
      <c r="J39" s="1187"/>
      <c r="K39" s="1186">
        <v>4559.8900000000012</v>
      </c>
      <c r="L39" s="1187"/>
      <c r="M39" s="1187"/>
      <c r="N39" s="1186">
        <v>7210.4999741000001</v>
      </c>
      <c r="O39" s="1194"/>
      <c r="P39" s="1194"/>
      <c r="Q39" s="1186">
        <v>5</v>
      </c>
      <c r="R39" s="1184"/>
      <c r="S39" s="1184"/>
      <c r="T39" s="1186">
        <v>2538</v>
      </c>
      <c r="U39" s="1187"/>
      <c r="V39" s="1187"/>
      <c r="W39" s="1186">
        <v>16620</v>
      </c>
      <c r="X39" s="1187"/>
      <c r="Y39" s="1187"/>
      <c r="Z39" s="1186">
        <v>19163</v>
      </c>
      <c r="AA39" s="1184"/>
      <c r="AB39" s="1184"/>
      <c r="AC39" s="1186">
        <v>1736</v>
      </c>
      <c r="AD39" s="1184"/>
      <c r="AE39" s="1184"/>
      <c r="AF39" s="1182" t="s">
        <v>1350</v>
      </c>
      <c r="AG39" s="1184"/>
      <c r="AH39" s="1184"/>
      <c r="AI39" s="1186">
        <v>27256.38058064516</v>
      </c>
      <c r="AJ39" s="1184"/>
    </row>
    <row r="40" spans="1:36" ht="13.8">
      <c r="A40" s="1168"/>
      <c r="B40" s="1182"/>
      <c r="C40" s="1183">
        <v>1999</v>
      </c>
      <c r="D40" s="1184"/>
      <c r="E40" s="1186">
        <v>51361.983040719693</v>
      </c>
      <c r="F40" s="1187"/>
      <c r="G40" s="1187"/>
      <c r="H40" s="1186">
        <v>2811.8933329999995</v>
      </c>
      <c r="I40" s="1187"/>
      <c r="J40" s="1187"/>
      <c r="K40" s="1186">
        <v>4889</v>
      </c>
      <c r="L40" s="1187"/>
      <c r="M40" s="1187"/>
      <c r="N40" s="1186">
        <v>7700.893333</v>
      </c>
      <c r="O40" s="1194"/>
      <c r="P40" s="1194"/>
      <c r="Q40" s="1186">
        <v>5</v>
      </c>
      <c r="R40" s="1184"/>
      <c r="S40" s="1184"/>
      <c r="T40" s="1186">
        <v>2597</v>
      </c>
      <c r="U40" s="1187"/>
      <c r="V40" s="1187"/>
      <c r="W40" s="1186">
        <v>16488</v>
      </c>
      <c r="X40" s="1187"/>
      <c r="Y40" s="1187"/>
      <c r="Z40" s="1186">
        <v>19090</v>
      </c>
      <c r="AA40" s="1184"/>
      <c r="AB40" s="1184"/>
      <c r="AC40" s="1186">
        <v>1746</v>
      </c>
      <c r="AD40" s="1184"/>
      <c r="AE40" s="1184"/>
      <c r="AF40" s="1182" t="s">
        <v>1350</v>
      </c>
      <c r="AG40" s="1184"/>
      <c r="AH40" s="1184"/>
      <c r="AI40" s="1186">
        <v>29231.720967741934</v>
      </c>
      <c r="AJ40" s="1184"/>
    </row>
    <row r="41" spans="1:36" ht="13.8">
      <c r="A41" s="1168"/>
      <c r="B41" s="1182"/>
      <c r="C41" s="1183">
        <v>2000</v>
      </c>
      <c r="D41" s="1184"/>
      <c r="E41" s="1186">
        <v>54940.175542635654</v>
      </c>
      <c r="F41" s="1187"/>
      <c r="G41" s="1187"/>
      <c r="H41" s="1186">
        <v>3009.2469999999998</v>
      </c>
      <c r="I41" s="1187"/>
      <c r="J41" s="1187"/>
      <c r="K41" s="1186">
        <v>5233.9475000000002</v>
      </c>
      <c r="L41" s="1187"/>
      <c r="M41" s="1187"/>
      <c r="N41" s="1186">
        <v>8243.1944999999996</v>
      </c>
      <c r="O41" s="1194"/>
      <c r="P41" s="1194"/>
      <c r="Q41" s="1186">
        <v>5</v>
      </c>
      <c r="R41" s="1187">
        <v>13</v>
      </c>
      <c r="S41" s="1187"/>
      <c r="T41" s="1186">
        <v>2682</v>
      </c>
      <c r="U41" s="1187"/>
      <c r="V41" s="1187"/>
      <c r="W41" s="1186">
        <v>17401</v>
      </c>
      <c r="X41" s="1187"/>
      <c r="Y41" s="1187"/>
      <c r="Z41" s="1186">
        <v>20088</v>
      </c>
      <c r="AA41" s="1184"/>
      <c r="AB41" s="1184"/>
      <c r="AC41" s="1186">
        <v>1917.9906290322579</v>
      </c>
      <c r="AD41" s="1184"/>
      <c r="AE41" s="1184"/>
      <c r="AF41" s="1182" t="s">
        <v>1350</v>
      </c>
      <c r="AG41" s="1184"/>
      <c r="AH41" s="1184"/>
      <c r="AI41" s="1186">
        <v>29536</v>
      </c>
      <c r="AJ41" s="1184"/>
    </row>
    <row r="42" spans="1:36" ht="13.8">
      <c r="A42" s="1188"/>
      <c r="B42" s="1189"/>
      <c r="C42" s="1190">
        <v>2001</v>
      </c>
      <c r="D42" s="1191"/>
      <c r="E42" s="1192">
        <v>55555.344999999994</v>
      </c>
      <c r="F42" s="1193"/>
      <c r="G42" s="1193"/>
      <c r="H42" s="1192">
        <v>3191.2594999999997</v>
      </c>
      <c r="I42" s="1193"/>
      <c r="J42" s="1193"/>
      <c r="K42" s="1192">
        <v>5540.5</v>
      </c>
      <c r="L42" s="1193"/>
      <c r="M42" s="1193"/>
      <c r="N42" s="1192">
        <v>8731.7595000000001</v>
      </c>
      <c r="O42" s="1195"/>
      <c r="P42" s="1195"/>
      <c r="Q42" s="1189" t="s">
        <v>1350</v>
      </c>
      <c r="R42" s="1191"/>
      <c r="S42" s="1191"/>
      <c r="T42" s="1192">
        <v>2458</v>
      </c>
      <c r="U42" s="1193"/>
      <c r="V42" s="1193"/>
      <c r="W42" s="1196">
        <v>17089</v>
      </c>
      <c r="X42" s="1193"/>
      <c r="Y42" s="1193"/>
      <c r="Z42" s="1196">
        <v>19547</v>
      </c>
      <c r="AA42" s="1193"/>
      <c r="AB42" s="1193"/>
      <c r="AC42" s="1192">
        <v>1971.905</v>
      </c>
      <c r="AD42" s="1191"/>
      <c r="AE42" s="1191"/>
      <c r="AF42" s="1189" t="s">
        <v>1350</v>
      </c>
      <c r="AG42" s="1191"/>
      <c r="AH42" s="1191"/>
      <c r="AI42" s="1192">
        <v>28142</v>
      </c>
      <c r="AJ42" s="1191"/>
    </row>
    <row r="43" spans="1:36" ht="13.8">
      <c r="A43" s="1168"/>
      <c r="B43" s="1182"/>
      <c r="C43" s="1183">
        <v>2002</v>
      </c>
      <c r="D43" s="1184"/>
      <c r="E43" s="1186">
        <v>56103.844999999994</v>
      </c>
      <c r="F43" s="1187"/>
      <c r="G43" s="1187"/>
      <c r="H43" s="1186">
        <v>3323.6</v>
      </c>
      <c r="I43" s="1187"/>
      <c r="J43" s="1187"/>
      <c r="K43" s="1186">
        <v>5550.6</v>
      </c>
      <c r="L43" s="1187"/>
      <c r="M43" s="1187"/>
      <c r="N43" s="1186">
        <v>8874.2000000000007</v>
      </c>
      <c r="O43" s="1194"/>
      <c r="P43" s="1194"/>
      <c r="Q43" s="1182" t="s">
        <v>1350</v>
      </c>
      <c r="R43" s="1184"/>
      <c r="S43" s="1184"/>
      <c r="T43" s="1186">
        <v>2781</v>
      </c>
      <c r="U43" s="1187"/>
      <c r="V43" s="1187"/>
      <c r="W43" s="1186">
        <v>16416</v>
      </c>
      <c r="X43" s="1187">
        <v>14</v>
      </c>
      <c r="Y43" s="1187"/>
      <c r="Z43" s="1186">
        <v>19197</v>
      </c>
      <c r="AA43" s="1187">
        <v>14</v>
      </c>
      <c r="AB43" s="1187"/>
      <c r="AC43" s="1186">
        <v>1974</v>
      </c>
      <c r="AD43" s="1184"/>
      <c r="AE43" s="1184"/>
      <c r="AF43" s="1182" t="s">
        <v>1350</v>
      </c>
      <c r="AG43" s="1184"/>
      <c r="AH43" s="1184"/>
      <c r="AI43" s="1186">
        <v>27100.688000000002</v>
      </c>
      <c r="AJ43" s="1184"/>
    </row>
    <row r="44" spans="1:36" ht="13.8">
      <c r="A44" s="1168"/>
      <c r="B44" s="1182"/>
      <c r="C44" s="1183">
        <v>2003</v>
      </c>
      <c r="D44" s="1184"/>
      <c r="E44" s="1186">
        <v>56970.108651686278</v>
      </c>
      <c r="F44" s="1187"/>
      <c r="G44" s="1187"/>
      <c r="H44" s="1186">
        <v>3397.9959653326532</v>
      </c>
      <c r="I44" s="1187"/>
      <c r="J44" s="1187"/>
      <c r="K44" s="1186">
        <v>5435.6</v>
      </c>
      <c r="L44" s="1187"/>
      <c r="M44" s="1187"/>
      <c r="N44" s="1186">
        <v>8833.5959653326536</v>
      </c>
      <c r="O44" s="1194"/>
      <c r="P44" s="1194"/>
      <c r="Q44" s="1182" t="s">
        <v>1350</v>
      </c>
      <c r="R44" s="1184"/>
      <c r="S44" s="1184"/>
      <c r="T44" s="1186">
        <v>2974</v>
      </c>
      <c r="U44" s="1187"/>
      <c r="V44" s="1187"/>
      <c r="W44" s="1186">
        <v>17196</v>
      </c>
      <c r="X44" s="1187"/>
      <c r="Y44" s="1187"/>
      <c r="Z44" s="1186">
        <v>20170</v>
      </c>
      <c r="AA44" s="1187"/>
      <c r="AB44" s="1187"/>
      <c r="AC44" s="1186">
        <v>2018.1</v>
      </c>
      <c r="AD44" s="1184"/>
      <c r="AE44" s="1184"/>
      <c r="AF44" s="1182" t="s">
        <v>1350</v>
      </c>
      <c r="AG44" s="1184"/>
      <c r="AH44" s="1184"/>
      <c r="AI44" s="1186">
        <v>26673.06109090909</v>
      </c>
      <c r="AJ44" s="1194"/>
    </row>
    <row r="45" spans="1:36" ht="13.8">
      <c r="A45" s="1168"/>
      <c r="B45" s="1182"/>
      <c r="C45" s="1183">
        <v>2004</v>
      </c>
      <c r="D45" s="1184"/>
      <c r="E45" s="1186">
        <v>58769.723077999995</v>
      </c>
      <c r="F45" s="1187"/>
      <c r="G45" s="1187"/>
      <c r="H45" s="1186">
        <v>3445.6951726784346</v>
      </c>
      <c r="I45" s="1187"/>
      <c r="J45" s="1187"/>
      <c r="K45" s="1186">
        <v>5212.13</v>
      </c>
      <c r="L45" s="1187"/>
      <c r="M45" s="1187"/>
      <c r="N45" s="1186">
        <v>8657.8251726784347</v>
      </c>
      <c r="O45" s="1194"/>
      <c r="P45" s="1194"/>
      <c r="Q45" s="1182" t="s">
        <v>1350</v>
      </c>
      <c r="R45" s="1184"/>
      <c r="S45" s="1184"/>
      <c r="T45" s="1186">
        <v>3319</v>
      </c>
      <c r="U45" s="1187"/>
      <c r="V45" s="1187"/>
      <c r="W45" s="1186">
        <v>17537</v>
      </c>
      <c r="X45" s="1187"/>
      <c r="Y45" s="1187"/>
      <c r="Z45" s="1186">
        <v>20856</v>
      </c>
      <c r="AA45" s="1187"/>
      <c r="AB45" s="1187"/>
      <c r="AC45" s="1186">
        <v>2004.595</v>
      </c>
      <c r="AD45" s="1184"/>
      <c r="AE45" s="1184"/>
      <c r="AF45" s="1182" t="s">
        <v>1350</v>
      </c>
      <c r="AG45" s="1184"/>
      <c r="AH45" s="1184"/>
      <c r="AI45" s="1186">
        <v>26369.686909090909</v>
      </c>
      <c r="AJ45" s="1194"/>
    </row>
    <row r="46" spans="1:36" ht="13.8">
      <c r="A46" s="1168"/>
      <c r="B46" s="1182"/>
      <c r="C46" s="1183">
        <v>2005</v>
      </c>
      <c r="D46" s="1184"/>
      <c r="E46" s="1186">
        <v>59691.611122581875</v>
      </c>
      <c r="F46" s="1187"/>
      <c r="G46" s="1187"/>
      <c r="H46" s="1186">
        <v>3723.4940000000001</v>
      </c>
      <c r="I46" s="1187"/>
      <c r="J46" s="1187"/>
      <c r="K46" s="1186">
        <v>5212.5639999999985</v>
      </c>
      <c r="L46" s="1187"/>
      <c r="M46" s="1187"/>
      <c r="N46" s="1186">
        <v>8936.0579999999991</v>
      </c>
      <c r="O46" s="1194"/>
      <c r="P46" s="1194"/>
      <c r="Q46" s="1182" t="s">
        <v>1350</v>
      </c>
      <c r="R46" s="1184"/>
      <c r="S46" s="1184"/>
      <c r="T46" s="1186">
        <v>3747.9111754918304</v>
      </c>
      <c r="U46" s="1187"/>
      <c r="V46" s="1187"/>
      <c r="W46" s="1186">
        <v>17926.975502000001</v>
      </c>
      <c r="X46" s="1187"/>
      <c r="Y46" s="1187"/>
      <c r="Z46" s="1186">
        <v>21674.886677491828</v>
      </c>
      <c r="AA46" s="1187"/>
      <c r="AB46" s="1187"/>
      <c r="AC46" s="1186">
        <v>2039.133</v>
      </c>
      <c r="AD46" s="1184"/>
      <c r="AE46" s="1184"/>
      <c r="AF46" s="1182" t="s">
        <v>1350</v>
      </c>
      <c r="AG46" s="1184"/>
      <c r="AH46" s="1184"/>
      <c r="AI46" s="1186">
        <v>25318.610230769231</v>
      </c>
      <c r="AJ46" s="1184"/>
    </row>
    <row r="47" spans="1:36" ht="13.8">
      <c r="A47" s="1188"/>
      <c r="B47" s="1189"/>
      <c r="C47" s="1190">
        <v>2006</v>
      </c>
      <c r="D47" s="1191"/>
      <c r="E47" s="1192">
        <v>62752.557536</v>
      </c>
      <c r="F47" s="1193"/>
      <c r="G47" s="1193"/>
      <c r="H47" s="1192">
        <v>3936.4919629629626</v>
      </c>
      <c r="I47" s="1193"/>
      <c r="J47" s="1193"/>
      <c r="K47" s="1192">
        <v>5680.3498421052645</v>
      </c>
      <c r="L47" s="1193"/>
      <c r="M47" s="1193"/>
      <c r="N47" s="1192">
        <v>9616.8418050682267</v>
      </c>
      <c r="O47" s="1195"/>
      <c r="P47" s="1195"/>
      <c r="Q47" s="1189" t="s">
        <v>1350</v>
      </c>
      <c r="R47" s="1191"/>
      <c r="S47" s="1191"/>
      <c r="T47" s="1192">
        <v>4144.7763348000008</v>
      </c>
      <c r="U47" s="1193"/>
      <c r="V47" s="1193"/>
      <c r="W47" s="1192">
        <v>18126.656261299213</v>
      </c>
      <c r="X47" s="1193"/>
      <c r="Y47" s="1193"/>
      <c r="Z47" s="1192">
        <v>22271.43259609921</v>
      </c>
      <c r="AA47" s="1193"/>
      <c r="AB47" s="1193"/>
      <c r="AC47" s="1192">
        <v>2141.7190000000001</v>
      </c>
      <c r="AD47" s="1191"/>
      <c r="AE47" s="1191"/>
      <c r="AF47" s="1189" t="s">
        <v>1350</v>
      </c>
      <c r="AG47" s="1191"/>
      <c r="AH47" s="1191"/>
      <c r="AI47" s="1192">
        <v>26829</v>
      </c>
      <c r="AJ47" s="1191"/>
    </row>
    <row r="48" spans="1:36" ht="13.8">
      <c r="A48" s="1168"/>
      <c r="B48" s="1182"/>
      <c r="C48" s="1183">
        <v>2007</v>
      </c>
      <c r="D48" s="1184"/>
      <c r="E48" s="1186">
        <v>65140.058709000004</v>
      </c>
      <c r="F48" s="1187"/>
      <c r="G48" s="1187"/>
      <c r="H48" s="1186">
        <v>4233.1000000000004</v>
      </c>
      <c r="I48" s="1187"/>
      <c r="J48" s="1187"/>
      <c r="K48" s="1186">
        <v>6027.4410000000007</v>
      </c>
      <c r="L48" s="1187"/>
      <c r="M48" s="1187"/>
      <c r="N48" s="1186">
        <v>10260.541000000001</v>
      </c>
      <c r="O48" s="1194"/>
      <c r="P48" s="1194"/>
      <c r="Q48" s="1182" t="s">
        <v>1350</v>
      </c>
      <c r="R48" s="1184"/>
      <c r="S48" s="1184"/>
      <c r="T48" s="1186">
        <v>4669.7584529984942</v>
      </c>
      <c r="U48" s="1187"/>
      <c r="V48" s="1187"/>
      <c r="W48" s="1186">
        <v>18580.549650431029</v>
      </c>
      <c r="X48" s="1187"/>
      <c r="Y48" s="1187"/>
      <c r="Z48" s="1186">
        <v>23250.308103429514</v>
      </c>
      <c r="AA48" s="1187"/>
      <c r="AB48" s="1187"/>
      <c r="AC48" s="1186">
        <v>2114.9490000000001</v>
      </c>
      <c r="AD48" s="1184"/>
      <c r="AE48" s="1184"/>
      <c r="AF48" s="1182" t="s">
        <v>1350</v>
      </c>
      <c r="AG48" s="1184"/>
      <c r="AH48" s="1184"/>
      <c r="AI48" s="1186">
        <v>25754.843999999997</v>
      </c>
      <c r="AJ48" s="1184"/>
    </row>
    <row r="49" spans="1:36" ht="13.8">
      <c r="A49" s="1168"/>
      <c r="B49" s="1182"/>
      <c r="C49" s="1183">
        <v>2008</v>
      </c>
      <c r="D49" s="1184"/>
      <c r="E49" s="1186">
        <v>66026.612065604655</v>
      </c>
      <c r="F49" s="1187"/>
      <c r="G49" s="1187"/>
      <c r="H49" s="1186">
        <v>4664.660141450252</v>
      </c>
      <c r="I49" s="1187"/>
      <c r="J49" s="1187"/>
      <c r="K49" s="1186">
        <v>6481.5608585497494</v>
      </c>
      <c r="L49" s="1187"/>
      <c r="M49" s="1187"/>
      <c r="N49" s="1186">
        <v>11146.221000000001</v>
      </c>
      <c r="O49" s="1194"/>
      <c r="P49" s="1194"/>
      <c r="Q49" s="1182" t="s">
        <v>1350</v>
      </c>
      <c r="R49" s="1184"/>
      <c r="S49" s="1184"/>
      <c r="T49" s="1197">
        <v>5089.2164257336308</v>
      </c>
      <c r="U49" s="1187"/>
      <c r="V49" s="1187"/>
      <c r="W49" s="1186">
        <v>17834.55585847301</v>
      </c>
      <c r="X49" s="1187"/>
      <c r="Y49" s="1187"/>
      <c r="Z49" s="1197">
        <v>22923.772284206636</v>
      </c>
      <c r="AA49" s="1187"/>
      <c r="AB49" s="1187"/>
      <c r="AC49" s="1186">
        <v>2229.2170000000001</v>
      </c>
      <c r="AD49" s="1184"/>
      <c r="AE49" s="1184"/>
      <c r="AF49" s="1182" t="s">
        <v>1350</v>
      </c>
      <c r="AG49" s="1184"/>
      <c r="AH49" s="1184"/>
      <c r="AI49" s="1186">
        <v>27417.7</v>
      </c>
      <c r="AJ49" s="1184"/>
    </row>
    <row r="50" spans="1:36" ht="13.8">
      <c r="A50" s="1168"/>
      <c r="B50" s="1182"/>
      <c r="C50" s="1183">
        <v>2009</v>
      </c>
      <c r="D50" s="1184"/>
      <c r="E50" s="1186">
        <v>59596.864950647003</v>
      </c>
      <c r="F50" s="1187"/>
      <c r="G50" s="1187"/>
      <c r="H50" s="1186">
        <v>4876.8581458172803</v>
      </c>
      <c r="I50" s="1187"/>
      <c r="J50" s="1187"/>
      <c r="K50" s="1186">
        <v>6444.4753421827181</v>
      </c>
      <c r="L50" s="1187"/>
      <c r="M50" s="1187"/>
      <c r="N50" s="1186">
        <v>11321.333487999998</v>
      </c>
      <c r="O50" s="1194"/>
      <c r="P50" s="1194"/>
      <c r="Q50" s="1182" t="s">
        <v>1350</v>
      </c>
      <c r="R50" s="1184"/>
      <c r="S50" s="1184"/>
      <c r="T50" s="1186">
        <v>5593.943779107105</v>
      </c>
      <c r="U50" s="1187">
        <v>16</v>
      </c>
      <c r="V50" s="1187"/>
      <c r="W50" s="1186">
        <v>14794.838904308561</v>
      </c>
      <c r="X50" s="1187"/>
      <c r="Y50" s="1187"/>
      <c r="Z50" s="1186">
        <v>20388.782683415666</v>
      </c>
      <c r="AA50" s="1187">
        <v>16</v>
      </c>
      <c r="AB50" s="1187"/>
      <c r="AC50" s="1186">
        <v>2124.7109999999998</v>
      </c>
      <c r="AD50" s="1184"/>
      <c r="AE50" s="1184"/>
      <c r="AF50" s="1182" t="s">
        <v>1350</v>
      </c>
      <c r="AG50" s="1184"/>
      <c r="AH50" s="1184"/>
      <c r="AI50" s="1186">
        <v>24487.954476190476</v>
      </c>
      <c r="AJ50" s="1184"/>
    </row>
    <row r="51" spans="1:36" ht="13.8">
      <c r="A51" s="1168"/>
      <c r="B51" s="1182"/>
      <c r="C51" s="1183">
        <v>2010</v>
      </c>
      <c r="D51" s="1184"/>
      <c r="E51" s="1186">
        <v>65598.920030827692</v>
      </c>
      <c r="F51" s="1187"/>
      <c r="G51" s="1187"/>
      <c r="H51" s="1214">
        <v>5047.079999999999</v>
      </c>
      <c r="I51" s="1215"/>
      <c r="J51" s="1215"/>
      <c r="K51" s="1214">
        <v>6108.3396630000016</v>
      </c>
      <c r="L51" s="1215"/>
      <c r="M51" s="1215"/>
      <c r="N51" s="1214">
        <v>11155.419663000001</v>
      </c>
      <c r="O51" s="1194"/>
      <c r="P51" s="1194"/>
      <c r="Q51" s="1182" t="s">
        <v>1350</v>
      </c>
      <c r="R51" s="1216"/>
      <c r="S51" s="1216"/>
      <c r="T51" s="1214">
        <v>5954.785784192487</v>
      </c>
      <c r="U51" s="1215"/>
      <c r="V51" s="1215"/>
      <c r="W51" s="1214">
        <v>17508.993762671093</v>
      </c>
      <c r="X51" s="1215"/>
      <c r="Y51" s="1215"/>
      <c r="Z51" s="1290">
        <v>23463.779546863581</v>
      </c>
      <c r="AA51" s="1215"/>
      <c r="AB51" s="1187"/>
      <c r="AC51" s="1214">
        <v>2098.2600000000002</v>
      </c>
      <c r="AD51" s="1216"/>
      <c r="AE51" s="1216"/>
      <c r="AF51" s="1217" t="s">
        <v>1350</v>
      </c>
      <c r="AG51" s="1216"/>
      <c r="AH51" s="1216"/>
      <c r="AI51" s="1214">
        <v>23685.260118360813</v>
      </c>
      <c r="AJ51" s="1216"/>
    </row>
    <row r="52" spans="1:36" ht="13.8">
      <c r="A52" s="1188"/>
      <c r="B52" s="1189"/>
      <c r="C52" s="1190">
        <v>2011</v>
      </c>
      <c r="D52" s="1191"/>
      <c r="E52" s="1192">
        <v>66909.613105459139</v>
      </c>
      <c r="F52" s="1193"/>
      <c r="G52" s="1193"/>
      <c r="H52" s="1192">
        <v>5184.3911050142588</v>
      </c>
      <c r="I52" s="1193"/>
      <c r="J52" s="1193"/>
      <c r="K52" s="1192">
        <v>6193.9852390000042</v>
      </c>
      <c r="L52" s="1193"/>
      <c r="M52" s="1193"/>
      <c r="N52" s="1192">
        <v>11378.376344014263</v>
      </c>
      <c r="O52" s="1195"/>
      <c r="P52" s="1195"/>
      <c r="Q52" s="1189" t="s">
        <v>1350</v>
      </c>
      <c r="R52" s="1191"/>
      <c r="S52" s="1191"/>
      <c r="T52" s="1192">
        <v>5939.9356581101601</v>
      </c>
      <c r="U52" s="1193"/>
      <c r="V52" s="1193"/>
      <c r="W52" s="1192">
        <v>16924.378016239338</v>
      </c>
      <c r="X52" s="1193"/>
      <c r="Y52" s="1193"/>
      <c r="Z52" s="1192">
        <v>22864.313674349502</v>
      </c>
      <c r="AA52" s="1193"/>
      <c r="AB52" s="1193"/>
      <c r="AC52" s="1192">
        <v>2188.808</v>
      </c>
      <c r="AD52" s="1191"/>
      <c r="AE52" s="1191"/>
      <c r="AF52" s="1189" t="s">
        <v>1350</v>
      </c>
      <c r="AG52" s="1191"/>
      <c r="AH52" s="1191"/>
      <c r="AI52" s="1192">
        <v>23290.3</v>
      </c>
      <c r="AJ52" s="1191"/>
    </row>
    <row r="53" spans="1:36" ht="13.8">
      <c r="A53" s="1188"/>
      <c r="B53" s="1189"/>
      <c r="C53" s="1190">
        <v>2012</v>
      </c>
      <c r="D53" s="1191"/>
      <c r="E53" s="1192">
        <v>64776.735545876436</v>
      </c>
      <c r="F53" s="1193"/>
      <c r="G53" s="1193"/>
      <c r="H53" s="1192">
        <v>5535.4518477769479</v>
      </c>
      <c r="I53" s="1193"/>
      <c r="J53" s="1193"/>
      <c r="K53" s="1192">
        <v>6256.6861584135977</v>
      </c>
      <c r="L53" s="1193"/>
      <c r="M53" s="1193"/>
      <c r="N53" s="1192">
        <v>11792.138006190546</v>
      </c>
      <c r="O53" s="1195"/>
      <c r="P53" s="1195"/>
      <c r="Q53" s="1189" t="s">
        <v>1350</v>
      </c>
      <c r="R53" s="1191"/>
      <c r="S53" s="1191"/>
      <c r="T53" s="1192">
        <v>5375.1636941101078</v>
      </c>
      <c r="U53" s="1193"/>
      <c r="V53" s="1193"/>
      <c r="W53" s="1192">
        <v>16667.475956644252</v>
      </c>
      <c r="X53" s="1193"/>
      <c r="Y53" s="1193"/>
      <c r="Z53" s="1192">
        <v>22042.639650754358</v>
      </c>
      <c r="AA53" s="1193"/>
      <c r="AB53" s="1193"/>
      <c r="AC53" s="1192">
        <v>2123.2069729999998</v>
      </c>
      <c r="AD53" s="1191"/>
      <c r="AE53" s="1191"/>
      <c r="AF53" s="1189" t="s">
        <v>1350</v>
      </c>
      <c r="AG53" s="1191"/>
      <c r="AH53" s="1191"/>
      <c r="AI53" s="1192">
        <v>22902.168746439143</v>
      </c>
      <c r="AJ53" s="1191"/>
    </row>
    <row r="54" spans="1:36" ht="13.8">
      <c r="A54" s="1188"/>
      <c r="B54" s="1189"/>
      <c r="C54" s="1190">
        <v>2013</v>
      </c>
      <c r="D54" s="1191"/>
      <c r="E54" s="1192">
        <v>65471.77123760181</v>
      </c>
      <c r="F54" s="1193" t="s">
        <v>203</v>
      </c>
      <c r="G54" s="1193"/>
      <c r="H54" s="1192">
        <v>5733.2901064768421</v>
      </c>
      <c r="I54" s="1193" t="s">
        <v>203</v>
      </c>
      <c r="J54" s="1193"/>
      <c r="K54" s="1192">
        <v>6108.3746144055249</v>
      </c>
      <c r="L54" s="1193" t="s">
        <v>203</v>
      </c>
      <c r="M54" s="1193"/>
      <c r="N54" s="1192">
        <v>11841.664720882367</v>
      </c>
      <c r="O54" s="1193" t="s">
        <v>203</v>
      </c>
      <c r="P54" s="1195"/>
      <c r="Q54" s="1189" t="s">
        <v>1350</v>
      </c>
      <c r="R54" s="1191"/>
      <c r="S54" s="1191"/>
      <c r="T54" s="1192">
        <v>4873.8014953793518</v>
      </c>
      <c r="U54" s="1193" t="s">
        <v>203</v>
      </c>
      <c r="V54" s="1193"/>
      <c r="W54" s="1192">
        <v>16096.173016023004</v>
      </c>
      <c r="X54" s="1193" t="s">
        <v>203</v>
      </c>
      <c r="Y54" s="1193"/>
      <c r="Z54" s="1192">
        <v>20969.97451140235</v>
      </c>
      <c r="AA54" s="1193" t="s">
        <v>203</v>
      </c>
      <c r="AB54" s="1193"/>
      <c r="AC54" s="1192">
        <v>2250.143</v>
      </c>
      <c r="AD54" s="1191"/>
      <c r="AE54" s="1191"/>
      <c r="AF54" s="1189" t="s">
        <v>1350</v>
      </c>
      <c r="AG54" s="1191"/>
      <c r="AH54" s="1191"/>
      <c r="AI54" s="1192">
        <v>20172.4197517215</v>
      </c>
      <c r="AJ54" s="1193" t="s">
        <v>203</v>
      </c>
    </row>
    <row r="55" spans="1:36" ht="13.8">
      <c r="A55" s="1188"/>
      <c r="B55" s="1189"/>
      <c r="C55" s="1190">
        <v>2014</v>
      </c>
      <c r="D55" s="1191"/>
      <c r="E55" s="1192">
        <v>65527.156904877906</v>
      </c>
      <c r="F55" s="1193"/>
      <c r="G55" s="1193"/>
      <c r="H55" s="1192">
        <v>5914.6483578056141</v>
      </c>
      <c r="I55" s="1193"/>
      <c r="J55" s="1193"/>
      <c r="K55" s="1192">
        <v>6206.5291468511132</v>
      </c>
      <c r="L55" s="1193"/>
      <c r="M55" s="1193"/>
      <c r="N55" s="1192">
        <v>12121.177504656727</v>
      </c>
      <c r="O55" s="1195"/>
      <c r="P55" s="1195"/>
      <c r="Q55" s="1189" t="s">
        <v>1350</v>
      </c>
      <c r="R55" s="1191"/>
      <c r="S55" s="1191"/>
      <c r="T55" s="1192">
        <v>5045.9290727865064</v>
      </c>
      <c r="U55" s="1193"/>
      <c r="V55" s="1193"/>
      <c r="W55" s="1192">
        <v>16250.399346323349</v>
      </c>
      <c r="X55" s="1193"/>
      <c r="Y55" s="1193"/>
      <c r="Z55" s="1192">
        <v>21296.328419109857</v>
      </c>
      <c r="AA55" s="1193"/>
      <c r="AB55" s="1193"/>
      <c r="AC55" s="1192">
        <v>2275.8595300000002</v>
      </c>
      <c r="AD55" s="1191"/>
      <c r="AE55" s="1191"/>
      <c r="AF55" s="1189" t="s">
        <v>1350</v>
      </c>
      <c r="AG55" s="1191"/>
      <c r="AH55" s="1191"/>
      <c r="AI55" s="1192">
        <v>18457.979600273364</v>
      </c>
      <c r="AJ55" s="1191"/>
    </row>
    <row r="56" spans="1:36" ht="13.8">
      <c r="A56" s="1168"/>
      <c r="B56" s="1171"/>
      <c r="C56" s="1172"/>
      <c r="D56" s="1171"/>
      <c r="E56" s="1171"/>
      <c r="F56" s="1171"/>
      <c r="G56" s="1171"/>
      <c r="H56" s="1171"/>
      <c r="I56" s="1171"/>
      <c r="J56" s="1171"/>
      <c r="K56" s="1171"/>
      <c r="L56" s="1171"/>
      <c r="M56" s="1171"/>
      <c r="N56" s="1171"/>
      <c r="O56" s="1171"/>
      <c r="P56" s="1171"/>
      <c r="Q56" s="1171"/>
      <c r="R56" s="1171"/>
      <c r="S56" s="1171"/>
      <c r="T56" s="1171"/>
      <c r="U56" s="1171"/>
      <c r="V56" s="1171"/>
      <c r="W56" s="1171"/>
      <c r="X56" s="1171"/>
      <c r="Y56" s="1171"/>
      <c r="Z56" s="1171"/>
      <c r="AA56" s="1171"/>
      <c r="AB56" s="1171"/>
      <c r="AC56" s="1171"/>
      <c r="AD56" s="1171"/>
      <c r="AE56" s="1171"/>
      <c r="AF56" s="1171"/>
      <c r="AG56" s="1171"/>
      <c r="AH56" s="1171"/>
      <c r="AI56" s="1171"/>
      <c r="AJ56" s="1171"/>
    </row>
    <row r="57" spans="1:36" ht="13.8">
      <c r="A57" s="1168"/>
      <c r="B57" s="3119" t="s">
        <v>54</v>
      </c>
      <c r="C57" s="3119"/>
      <c r="D57" s="3119"/>
      <c r="E57" s="3120" t="s">
        <v>1644</v>
      </c>
      <c r="F57" s="3120"/>
      <c r="G57" s="3120"/>
      <c r="H57" s="3120"/>
      <c r="I57" s="3120"/>
      <c r="J57" s="3120"/>
      <c r="K57" s="3120"/>
      <c r="L57" s="3120"/>
      <c r="M57" s="3120"/>
      <c r="N57" s="3120"/>
      <c r="O57" s="3120"/>
      <c r="P57" s="3120"/>
      <c r="Q57" s="3120"/>
      <c r="R57" s="3120"/>
      <c r="S57" s="3120"/>
      <c r="T57" s="3120"/>
      <c r="U57" s="3120"/>
      <c r="V57" s="3120"/>
      <c r="W57" s="3120"/>
      <c r="X57" s="3120"/>
      <c r="Y57" s="3120"/>
      <c r="Z57" s="3120"/>
      <c r="AA57" s="3120"/>
      <c r="AB57" s="1198"/>
      <c r="AC57" s="3120" t="s">
        <v>1645</v>
      </c>
      <c r="AD57" s="3120"/>
      <c r="AE57" s="3120"/>
      <c r="AF57" s="3120"/>
      <c r="AG57" s="3120"/>
      <c r="AH57" s="3120"/>
      <c r="AI57" s="3120"/>
      <c r="AJ57" s="3120"/>
    </row>
    <row r="58" spans="1:36" ht="14.4">
      <c r="A58" s="1168"/>
      <c r="B58" s="3119"/>
      <c r="C58" s="3119"/>
      <c r="D58" s="3119"/>
      <c r="E58" s="3119" t="s">
        <v>1646</v>
      </c>
      <c r="F58" s="3119"/>
      <c r="G58" s="1198"/>
      <c r="H58" s="3122" t="s">
        <v>1647</v>
      </c>
      <c r="I58" s="3123"/>
      <c r="J58" s="3123"/>
      <c r="K58" s="3123"/>
      <c r="L58" s="3123"/>
      <c r="M58" s="3123"/>
      <c r="N58" s="3123"/>
      <c r="O58" s="3123"/>
      <c r="P58" s="1199"/>
      <c r="Q58" s="3120" t="s">
        <v>1648</v>
      </c>
      <c r="R58" s="3124"/>
      <c r="S58" s="3124"/>
      <c r="T58" s="3124"/>
      <c r="U58" s="3124"/>
      <c r="V58" s="3124"/>
      <c r="W58" s="3124"/>
      <c r="X58" s="3124"/>
      <c r="Y58" s="3124"/>
      <c r="Z58" s="3124"/>
      <c r="AA58" s="3124"/>
      <c r="AB58" s="1200"/>
      <c r="AC58" s="3119" t="s">
        <v>567</v>
      </c>
      <c r="AD58" s="3119"/>
      <c r="AE58" s="1198"/>
      <c r="AF58" s="3119" t="s">
        <v>1649</v>
      </c>
      <c r="AG58" s="3119"/>
      <c r="AH58" s="1198"/>
      <c r="AI58" s="3119" t="s">
        <v>61</v>
      </c>
      <c r="AJ58" s="3119"/>
    </row>
    <row r="59" spans="1:36" ht="13.8">
      <c r="A59" s="1168"/>
      <c r="B59" s="3119"/>
      <c r="C59" s="3119"/>
      <c r="D59" s="3119"/>
      <c r="E59" s="3121"/>
      <c r="F59" s="3121"/>
      <c r="G59" s="1198"/>
      <c r="H59" s="3121" t="s">
        <v>1650</v>
      </c>
      <c r="I59" s="3125"/>
      <c r="J59" s="1201"/>
      <c r="K59" s="3121" t="s">
        <v>1651</v>
      </c>
      <c r="L59" s="3127"/>
      <c r="M59" s="1170"/>
      <c r="N59" s="3121" t="s">
        <v>124</v>
      </c>
      <c r="O59" s="3121"/>
      <c r="P59" s="1198"/>
      <c r="Q59" s="3121" t="s">
        <v>1652</v>
      </c>
      <c r="R59" s="3121"/>
      <c r="S59" s="1198"/>
      <c r="T59" s="3121" t="s">
        <v>1653</v>
      </c>
      <c r="U59" s="3121"/>
      <c r="V59" s="1198"/>
      <c r="W59" s="3121" t="s">
        <v>1654</v>
      </c>
      <c r="X59" s="3121"/>
      <c r="Y59" s="1198"/>
      <c r="Z59" s="3121" t="s">
        <v>124</v>
      </c>
      <c r="AA59" s="3121"/>
      <c r="AB59" s="1198"/>
      <c r="AC59" s="3121" t="s">
        <v>567</v>
      </c>
      <c r="AD59" s="3121"/>
      <c r="AE59" s="1198"/>
      <c r="AF59" s="3121" t="s">
        <v>1649</v>
      </c>
      <c r="AG59" s="3121"/>
      <c r="AH59" s="1198"/>
      <c r="AI59" s="3121" t="s">
        <v>61</v>
      </c>
      <c r="AJ59" s="3121"/>
    </row>
    <row r="60" spans="1:36" ht="14.4">
      <c r="A60" s="1168"/>
      <c r="B60" s="3119"/>
      <c r="C60" s="3119"/>
      <c r="D60" s="3119"/>
      <c r="E60" s="3121" t="s">
        <v>1655</v>
      </c>
      <c r="F60" s="3121"/>
      <c r="G60" s="1198"/>
      <c r="H60" s="3121" t="s">
        <v>1656</v>
      </c>
      <c r="I60" s="3126"/>
      <c r="J60" s="3126"/>
      <c r="K60" s="3126"/>
      <c r="L60" s="3126"/>
      <c r="M60" s="3126"/>
      <c r="N60" s="3126"/>
      <c r="O60" s="3126"/>
      <c r="P60" s="1202"/>
      <c r="Q60" s="3121" t="s">
        <v>1657</v>
      </c>
      <c r="R60" s="3121"/>
      <c r="S60" s="3121"/>
      <c r="T60" s="3121"/>
      <c r="U60" s="3121"/>
      <c r="V60" s="3121"/>
      <c r="W60" s="3121"/>
      <c r="X60" s="3121"/>
      <c r="Y60" s="3121"/>
      <c r="Z60" s="3121"/>
      <c r="AA60" s="3121"/>
      <c r="AB60" s="1198"/>
      <c r="AC60" s="3121" t="s">
        <v>1641</v>
      </c>
      <c r="AD60" s="3121"/>
      <c r="AE60" s="1198"/>
      <c r="AF60" s="3121" t="s">
        <v>1658</v>
      </c>
      <c r="AG60" s="3121"/>
      <c r="AH60" s="1198"/>
      <c r="AI60" s="3121" t="s">
        <v>1659</v>
      </c>
      <c r="AJ60" s="3121"/>
    </row>
    <row r="61" spans="1:36" ht="13.8">
      <c r="A61" s="1168"/>
      <c r="B61" s="1173"/>
      <c r="C61" s="1173"/>
      <c r="D61" s="1173"/>
      <c r="E61" s="1173"/>
      <c r="F61" s="1173"/>
      <c r="G61" s="1173"/>
      <c r="H61" s="1173"/>
      <c r="I61" s="1177"/>
      <c r="J61" s="1177"/>
      <c r="K61" s="1177"/>
      <c r="L61" s="1177"/>
      <c r="M61" s="1177"/>
      <c r="N61" s="1177"/>
      <c r="O61" s="1177"/>
      <c r="P61" s="1177"/>
      <c r="Q61" s="1173"/>
      <c r="R61" s="1173"/>
      <c r="S61" s="1173"/>
      <c r="T61" s="1173"/>
      <c r="U61" s="1173"/>
      <c r="V61" s="1173"/>
      <c r="W61" s="1173"/>
      <c r="X61" s="1173"/>
      <c r="Y61" s="1173"/>
      <c r="Z61" s="1173"/>
      <c r="AA61" s="1173"/>
      <c r="AB61" s="1173"/>
      <c r="AC61" s="1173"/>
      <c r="AD61" s="1173"/>
      <c r="AE61" s="1173"/>
      <c r="AF61" s="1173"/>
      <c r="AG61" s="1173"/>
      <c r="AH61" s="1173"/>
      <c r="AI61" s="1173"/>
      <c r="AJ61" s="1173"/>
    </row>
    <row r="62" spans="1:36" ht="13.8">
      <c r="A62" s="1168"/>
      <c r="B62" s="1173"/>
      <c r="C62" s="1173"/>
      <c r="D62" s="1173"/>
      <c r="E62" s="1173"/>
      <c r="F62" s="1173"/>
      <c r="G62" s="1173"/>
      <c r="H62" s="1173"/>
      <c r="I62" s="1177"/>
      <c r="J62" s="1177"/>
      <c r="K62" s="1177"/>
      <c r="L62" s="1177"/>
      <c r="M62" s="1177"/>
      <c r="N62" s="1177"/>
      <c r="O62" s="1177"/>
      <c r="P62" s="1177"/>
      <c r="Q62" s="1173"/>
      <c r="R62" s="1173"/>
      <c r="S62" s="1173"/>
      <c r="T62" s="1173"/>
      <c r="U62" s="1173"/>
      <c r="V62" s="1173"/>
      <c r="W62" s="1173"/>
      <c r="X62" s="1173"/>
      <c r="Y62" s="1173"/>
      <c r="Z62" s="1173"/>
      <c r="AA62" s="1173"/>
      <c r="AB62" s="1173"/>
      <c r="AC62" s="1173"/>
      <c r="AD62" s="1173"/>
      <c r="AE62" s="1173"/>
      <c r="AF62" s="1173"/>
      <c r="AG62" s="1173"/>
      <c r="AH62" s="1173"/>
      <c r="AI62" s="1173"/>
      <c r="AJ62" s="1173"/>
    </row>
    <row r="63" spans="1:36" ht="13.8">
      <c r="A63" s="1168"/>
      <c r="B63" s="1203">
        <v>14</v>
      </c>
      <c r="C63" s="1204" t="s">
        <v>1660</v>
      </c>
      <c r="D63" s="1168"/>
      <c r="E63" s="1168"/>
      <c r="F63" s="1168"/>
      <c r="G63" s="1168"/>
      <c r="H63" s="1168"/>
      <c r="I63" s="1168"/>
      <c r="J63" s="1168"/>
      <c r="K63" s="1168"/>
      <c r="L63" s="1168"/>
      <c r="M63" s="1168"/>
      <c r="N63" s="1168"/>
      <c r="O63" s="1168"/>
      <c r="P63" s="1168"/>
      <c r="Q63" s="1168"/>
      <c r="R63" s="1203">
        <v>15</v>
      </c>
      <c r="S63" s="1203"/>
      <c r="T63" s="1205" t="s">
        <v>1661</v>
      </c>
      <c r="U63" s="1168"/>
      <c r="V63" s="1168"/>
      <c r="W63" s="1206"/>
      <c r="X63" s="1206"/>
      <c r="Y63" s="1206"/>
      <c r="Z63" s="1206"/>
      <c r="AA63" s="1206"/>
      <c r="AB63" s="1206"/>
      <c r="AC63" s="1206"/>
      <c r="AD63" s="1206"/>
      <c r="AE63" s="1206"/>
      <c r="AF63" s="1206"/>
      <c r="AG63" s="1206"/>
      <c r="AH63" s="1206"/>
      <c r="AI63" s="1168"/>
      <c r="AJ63" s="1168"/>
    </row>
    <row r="64" spans="1:36" ht="13.8">
      <c r="A64" s="1168"/>
      <c r="B64" s="1168"/>
      <c r="C64" s="1204" t="s">
        <v>1662</v>
      </c>
      <c r="D64" s="1168"/>
      <c r="E64" s="1168"/>
      <c r="F64" s="1168"/>
      <c r="G64" s="1168"/>
      <c r="H64" s="1168"/>
      <c r="I64" s="1168"/>
      <c r="J64" s="1168"/>
      <c r="K64" s="1168"/>
      <c r="L64" s="1168"/>
      <c r="M64" s="1168"/>
      <c r="N64" s="1168"/>
      <c r="O64" s="1168"/>
      <c r="P64" s="1168"/>
      <c r="Q64" s="1168"/>
      <c r="R64" s="1168"/>
      <c r="S64" s="1168"/>
      <c r="T64" s="1207" t="s">
        <v>1663</v>
      </c>
      <c r="U64" s="1168"/>
      <c r="V64" s="1168"/>
      <c r="W64" s="1168"/>
      <c r="X64" s="1206"/>
      <c r="Y64" s="1206"/>
      <c r="Z64" s="1206"/>
      <c r="AA64" s="1206"/>
      <c r="AB64" s="1206"/>
      <c r="AC64" s="1206"/>
      <c r="AD64" s="1206"/>
      <c r="AE64" s="1206"/>
      <c r="AF64" s="1206"/>
      <c r="AG64" s="1206"/>
      <c r="AH64" s="1206"/>
      <c r="AI64" s="1168"/>
      <c r="AJ64" s="1168"/>
    </row>
    <row r="65" spans="1:36" ht="13.8">
      <c r="A65" s="1168"/>
      <c r="B65" s="1168"/>
      <c r="C65" s="1204" t="s">
        <v>1664</v>
      </c>
      <c r="D65" s="1168"/>
      <c r="E65" s="1168"/>
      <c r="F65" s="1168"/>
      <c r="G65" s="1168"/>
      <c r="H65" s="1168"/>
      <c r="I65" s="1168"/>
      <c r="J65" s="1168"/>
      <c r="K65" s="1168"/>
      <c r="L65" s="1168"/>
      <c r="M65" s="1168"/>
      <c r="N65" s="1168"/>
      <c r="O65" s="1168"/>
      <c r="P65" s="1168"/>
      <c r="Q65" s="1168"/>
      <c r="R65" s="1168"/>
      <c r="S65" s="1168"/>
      <c r="T65" s="1207" t="s">
        <v>1665</v>
      </c>
      <c r="U65" s="1208"/>
      <c r="V65" s="1208"/>
      <c r="W65" s="1168"/>
      <c r="X65" s="1206"/>
      <c r="Y65" s="1206"/>
      <c r="Z65" s="1206"/>
      <c r="AA65" s="1206"/>
      <c r="AB65" s="1206"/>
      <c r="AC65" s="1206"/>
      <c r="AD65" s="1206"/>
      <c r="AE65" s="1206"/>
      <c r="AF65" s="1206"/>
      <c r="AG65" s="1206"/>
      <c r="AH65" s="1206"/>
      <c r="AI65" s="1168"/>
      <c r="AJ65" s="1168"/>
    </row>
    <row r="66" spans="1:36" ht="13.8">
      <c r="A66" s="1168"/>
      <c r="B66" s="1168"/>
      <c r="C66" s="1204" t="s">
        <v>1666</v>
      </c>
      <c r="D66" s="1168"/>
      <c r="E66" s="1168"/>
      <c r="F66" s="1168"/>
      <c r="G66" s="1168"/>
      <c r="H66" s="1168"/>
      <c r="I66" s="1168"/>
      <c r="J66" s="1168"/>
      <c r="K66" s="1168"/>
      <c r="L66" s="1168"/>
      <c r="M66" s="1168"/>
      <c r="N66" s="1168"/>
      <c r="O66" s="1168"/>
      <c r="P66" s="1168"/>
      <c r="Q66" s="1168"/>
      <c r="R66" s="1168"/>
      <c r="S66" s="1168"/>
      <c r="T66" s="1206" t="s">
        <v>1667</v>
      </c>
      <c r="U66" s="1206"/>
      <c r="V66" s="1206"/>
      <c r="W66" s="1168"/>
      <c r="X66" s="1206"/>
      <c r="Y66" s="1206"/>
      <c r="Z66" s="1206"/>
      <c r="AA66" s="1206"/>
      <c r="AB66" s="1206"/>
      <c r="AC66" s="1206"/>
      <c r="AD66" s="1206"/>
      <c r="AE66" s="1206"/>
      <c r="AF66" s="1206"/>
      <c r="AG66" s="1206"/>
      <c r="AH66" s="1206"/>
      <c r="AI66" s="1168"/>
      <c r="AJ66" s="1168"/>
    </row>
    <row r="67" spans="1:36" ht="22.8">
      <c r="A67" s="1168"/>
      <c r="B67" s="1168"/>
      <c r="C67" s="1209" t="s">
        <v>1668</v>
      </c>
      <c r="D67" s="1168"/>
      <c r="E67" s="1168"/>
      <c r="F67" s="1168"/>
      <c r="G67" s="1168"/>
      <c r="H67" s="1168"/>
      <c r="I67" s="1168"/>
      <c r="J67" s="1168"/>
      <c r="K67" s="1168"/>
      <c r="L67" s="1168"/>
      <c r="M67" s="1168"/>
      <c r="N67" s="1168"/>
      <c r="O67" s="1168"/>
      <c r="P67" s="1168"/>
      <c r="Q67" s="1168"/>
      <c r="R67" s="1168"/>
      <c r="S67" s="1168"/>
      <c r="T67" s="1206" t="s">
        <v>1669</v>
      </c>
      <c r="U67" s="1168"/>
      <c r="V67" s="1168"/>
      <c r="W67" s="1210"/>
      <c r="X67" s="1168"/>
      <c r="Y67" s="1168"/>
      <c r="Z67" s="1168"/>
      <c r="AA67" s="1168"/>
      <c r="AB67" s="1168"/>
      <c r="AC67" s="1168"/>
      <c r="AD67" s="1168"/>
      <c r="AE67" s="1168"/>
      <c r="AF67" s="1168"/>
      <c r="AG67" s="1206"/>
      <c r="AH67" s="1206"/>
      <c r="AI67" s="1168"/>
      <c r="AJ67" s="1168"/>
    </row>
    <row r="68" spans="1:36" ht="13.8">
      <c r="A68" s="1168"/>
      <c r="B68" s="1168"/>
      <c r="C68" s="1209" t="s">
        <v>1670</v>
      </c>
      <c r="D68" s="1168"/>
      <c r="E68" s="1168"/>
      <c r="F68" s="1168"/>
      <c r="G68" s="1168"/>
      <c r="H68" s="1168"/>
      <c r="I68" s="1168"/>
      <c r="J68" s="1168"/>
      <c r="K68" s="1168"/>
      <c r="L68" s="1168"/>
      <c r="M68" s="1168"/>
      <c r="N68" s="1168"/>
      <c r="O68" s="1168"/>
      <c r="P68" s="1168"/>
      <c r="Q68" s="1168"/>
      <c r="R68" s="1168"/>
      <c r="S68" s="1168"/>
      <c r="T68" s="1211" t="s">
        <v>1671</v>
      </c>
      <c r="U68" s="1168"/>
      <c r="V68" s="1168"/>
      <c r="W68" s="1168"/>
      <c r="X68" s="1168"/>
      <c r="Y68" s="1168"/>
      <c r="Z68" s="1168"/>
      <c r="AA68" s="1168"/>
      <c r="AB68" s="1168"/>
      <c r="AC68" s="1168"/>
      <c r="AD68" s="1168"/>
      <c r="AE68" s="1168"/>
      <c r="AF68" s="1168"/>
      <c r="AG68" s="1206"/>
      <c r="AH68" s="1206"/>
      <c r="AI68" s="1168"/>
      <c r="AJ68" s="1168"/>
    </row>
    <row r="69" spans="1:36" ht="13.8">
      <c r="A69" s="1168"/>
      <c r="B69" s="1168"/>
      <c r="C69" s="1209" t="s">
        <v>1672</v>
      </c>
      <c r="D69" s="1168"/>
      <c r="E69" s="1168"/>
      <c r="F69" s="1168"/>
      <c r="G69" s="1168"/>
      <c r="H69" s="1168"/>
      <c r="I69" s="1168"/>
      <c r="J69" s="1168"/>
      <c r="K69" s="1168"/>
      <c r="L69" s="1168"/>
      <c r="M69" s="1168"/>
      <c r="N69" s="1168"/>
      <c r="O69" s="1168"/>
      <c r="P69" s="1168"/>
      <c r="Q69" s="1168"/>
      <c r="R69" s="1168"/>
      <c r="S69" s="1168"/>
      <c r="T69" s="1212" t="s">
        <v>1673</v>
      </c>
      <c r="U69" s="1168"/>
      <c r="V69" s="1168"/>
      <c r="W69" s="1168"/>
      <c r="X69" s="1168"/>
      <c r="Y69" s="1168"/>
      <c r="Z69" s="1168"/>
      <c r="AA69" s="1168"/>
      <c r="AB69" s="1168"/>
      <c r="AC69" s="1168"/>
      <c r="AD69" s="1168"/>
      <c r="AE69" s="1168"/>
      <c r="AF69" s="1168"/>
      <c r="AG69" s="1206"/>
      <c r="AH69" s="1206"/>
      <c r="AI69" s="1168"/>
      <c r="AJ69" s="1168"/>
    </row>
    <row r="70" spans="1:36" ht="13.8">
      <c r="A70" s="1168"/>
      <c r="B70" s="1168"/>
      <c r="C70" s="1209" t="s">
        <v>1674</v>
      </c>
      <c r="D70" s="1168"/>
      <c r="E70" s="1168"/>
      <c r="F70" s="1168"/>
      <c r="G70" s="1168"/>
      <c r="H70" s="1168"/>
      <c r="I70" s="1168"/>
      <c r="J70" s="1168"/>
      <c r="K70" s="1168"/>
      <c r="L70" s="1168"/>
      <c r="M70" s="1168"/>
      <c r="N70" s="1168"/>
      <c r="O70" s="1168"/>
      <c r="P70" s="1168"/>
      <c r="Q70" s="1168"/>
      <c r="R70" s="1168"/>
      <c r="S70" s="1168"/>
      <c r="T70" s="1212" t="s">
        <v>1675</v>
      </c>
      <c r="U70" s="1206"/>
      <c r="V70" s="1206"/>
      <c r="W70" s="1206"/>
      <c r="X70" s="1206"/>
      <c r="Y70" s="1206"/>
      <c r="Z70" s="1206"/>
      <c r="AA70" s="1206"/>
      <c r="AB70" s="1206"/>
      <c r="AC70" s="1206"/>
      <c r="AD70" s="1206"/>
      <c r="AE70" s="1206"/>
      <c r="AF70" s="1206"/>
      <c r="AG70" s="1206"/>
      <c r="AH70" s="1206"/>
      <c r="AI70" s="1168"/>
      <c r="AJ70" s="1168"/>
    </row>
    <row r="71" spans="1:36" ht="13.8">
      <c r="A71" s="1168"/>
      <c r="B71" s="1213">
        <v>16</v>
      </c>
      <c r="C71" s="1204" t="s">
        <v>1676</v>
      </c>
      <c r="D71" s="1168"/>
      <c r="E71" s="1168"/>
      <c r="F71" s="1168"/>
      <c r="G71" s="1168"/>
      <c r="H71" s="1168"/>
      <c r="I71" s="1168"/>
      <c r="J71" s="1168"/>
      <c r="K71" s="1168"/>
      <c r="L71" s="1168"/>
      <c r="M71" s="1168"/>
      <c r="N71" s="1168"/>
      <c r="O71" s="1168"/>
      <c r="P71" s="1168"/>
      <c r="Q71" s="1168"/>
      <c r="R71" s="1168"/>
      <c r="S71" s="1168"/>
      <c r="T71" s="1208" t="s">
        <v>1677</v>
      </c>
      <c r="U71" s="1168"/>
      <c r="V71" s="1168"/>
      <c r="W71" s="1168"/>
      <c r="X71" s="1168"/>
      <c r="Y71" s="1168"/>
      <c r="Z71" s="1168"/>
      <c r="AA71" s="1168"/>
      <c r="AB71" s="1168"/>
      <c r="AC71" s="1168"/>
      <c r="AD71" s="1168"/>
      <c r="AE71" s="1168"/>
      <c r="AF71" s="1168"/>
      <c r="AG71" s="1168"/>
      <c r="AH71" s="1168"/>
      <c r="AI71" s="1168"/>
      <c r="AJ71" s="1168"/>
    </row>
    <row r="72" spans="1:36" ht="13.8">
      <c r="A72" s="1168"/>
      <c r="B72" s="1168"/>
      <c r="C72" s="1204" t="s">
        <v>1678</v>
      </c>
      <c r="D72" s="1168"/>
      <c r="E72" s="1168"/>
      <c r="F72" s="1168"/>
      <c r="G72" s="1168"/>
      <c r="H72" s="1168"/>
      <c r="I72" s="1168"/>
      <c r="J72" s="1168"/>
      <c r="K72" s="1168"/>
      <c r="L72" s="1168"/>
      <c r="M72" s="1168"/>
      <c r="N72" s="1168"/>
      <c r="O72" s="1168"/>
      <c r="P72" s="1168"/>
      <c r="Q72" s="1168"/>
      <c r="R72" s="1168"/>
      <c r="S72" s="1168"/>
      <c r="T72" s="1208" t="s">
        <v>1679</v>
      </c>
      <c r="U72" s="1168"/>
      <c r="V72" s="1168"/>
      <c r="W72" s="1168"/>
      <c r="X72" s="1168"/>
      <c r="Y72" s="1168"/>
      <c r="Z72" s="1168"/>
      <c r="AA72" s="1168"/>
      <c r="AB72" s="1168"/>
      <c r="AC72" s="1168"/>
      <c r="AD72" s="1168"/>
      <c r="AE72" s="1168"/>
      <c r="AF72" s="1168"/>
      <c r="AG72" s="1168"/>
      <c r="AH72" s="1168"/>
      <c r="AI72" s="1168"/>
      <c r="AJ72" s="1168"/>
    </row>
    <row r="73" spans="1:36" ht="13.8">
      <c r="A73" s="1168"/>
      <c r="B73" s="1168"/>
      <c r="C73" s="1209" t="s">
        <v>1680</v>
      </c>
      <c r="D73" s="1168"/>
      <c r="E73" s="1168"/>
      <c r="F73" s="1168"/>
      <c r="G73" s="1168"/>
      <c r="H73" s="1168"/>
      <c r="I73" s="1168"/>
      <c r="J73" s="1168"/>
      <c r="K73" s="1168"/>
      <c r="L73" s="1168"/>
      <c r="M73" s="1168"/>
      <c r="N73" s="1168"/>
      <c r="O73" s="1168"/>
      <c r="P73" s="1168"/>
      <c r="Q73" s="1168"/>
      <c r="R73" s="1168"/>
      <c r="S73" s="1168"/>
      <c r="T73" s="1208"/>
      <c r="U73" s="1168"/>
      <c r="V73" s="1168"/>
      <c r="W73" s="1168"/>
      <c r="X73" s="1168"/>
      <c r="Y73" s="1168"/>
      <c r="Z73" s="1168"/>
      <c r="AA73" s="1168"/>
      <c r="AB73" s="1168"/>
      <c r="AC73" s="1168"/>
      <c r="AD73" s="1168"/>
      <c r="AE73" s="1168"/>
      <c r="AF73" s="1168"/>
      <c r="AG73" s="1168"/>
      <c r="AH73" s="1168"/>
      <c r="AI73" s="1168"/>
      <c r="AJ73" s="1168"/>
    </row>
    <row r="74" spans="1:36" ht="13.8">
      <c r="A74" s="1168"/>
      <c r="B74" s="1168"/>
      <c r="C74" s="1209" t="s">
        <v>1681</v>
      </c>
      <c r="D74" s="1168"/>
      <c r="E74" s="1168"/>
      <c r="F74" s="1168"/>
      <c r="G74" s="1168"/>
      <c r="H74" s="1168"/>
      <c r="I74" s="1168"/>
      <c r="J74" s="1168"/>
      <c r="K74" s="1168"/>
      <c r="L74" s="1168"/>
      <c r="M74" s="1168"/>
      <c r="N74" s="1168"/>
      <c r="O74" s="1168"/>
      <c r="P74" s="1168"/>
      <c r="Q74" s="1168"/>
      <c r="R74" s="1168"/>
      <c r="S74" s="1168"/>
      <c r="T74" s="1208"/>
      <c r="U74" s="1168"/>
      <c r="V74" s="1168"/>
      <c r="W74" s="1168"/>
      <c r="X74" s="1168"/>
      <c r="Y74" s="1168"/>
      <c r="Z74" s="1168"/>
      <c r="AA74" s="1168"/>
      <c r="AB74" s="1168"/>
      <c r="AC74" s="1168"/>
      <c r="AD74" s="1168"/>
      <c r="AE74" s="1168"/>
      <c r="AF74" s="1168"/>
      <c r="AG74" s="1168"/>
      <c r="AH74" s="1168"/>
      <c r="AI74" s="1168"/>
      <c r="AJ74" s="1168"/>
    </row>
    <row r="75" spans="1:36" ht="13.8">
      <c r="A75" s="1168"/>
      <c r="B75" s="1168"/>
      <c r="C75" s="1168"/>
      <c r="D75" s="1168"/>
      <c r="E75" s="1168"/>
      <c r="F75" s="1168"/>
      <c r="G75" s="1168"/>
      <c r="H75" s="1168"/>
      <c r="I75" s="1168"/>
      <c r="J75" s="1168"/>
      <c r="K75" s="1168"/>
      <c r="L75" s="1168"/>
      <c r="M75" s="1168"/>
      <c r="N75" s="1168"/>
      <c r="O75" s="1168"/>
      <c r="P75" s="1168"/>
      <c r="Q75" s="1168"/>
      <c r="R75" s="1168"/>
      <c r="S75" s="1168"/>
      <c r="T75" s="1168"/>
      <c r="U75" s="1168"/>
      <c r="V75" s="1168"/>
      <c r="W75" s="1168"/>
      <c r="X75" s="1168"/>
      <c r="Y75" s="1168"/>
      <c r="Z75" s="1168"/>
      <c r="AA75" s="1168"/>
      <c r="AB75" s="1168"/>
      <c r="AC75" s="1168"/>
      <c r="AD75" s="1168"/>
      <c r="AE75" s="1168"/>
      <c r="AF75" s="1168"/>
      <c r="AG75" s="1168"/>
      <c r="AH75" s="1168"/>
      <c r="AI75" s="1168"/>
      <c r="AJ75" s="1168"/>
    </row>
    <row r="76" spans="1:36" ht="13.8">
      <c r="A76" s="1168"/>
      <c r="B76" s="1168"/>
      <c r="C76" s="1168"/>
      <c r="D76" s="1168"/>
      <c r="E76" s="1168"/>
      <c r="F76" s="1168"/>
      <c r="G76" s="1168"/>
      <c r="H76" s="1168"/>
      <c r="I76" s="1168"/>
      <c r="J76" s="1168"/>
      <c r="K76" s="1168"/>
      <c r="L76" s="1168"/>
      <c r="M76" s="1168"/>
      <c r="N76" s="1168"/>
      <c r="O76" s="1168"/>
      <c r="P76" s="1168"/>
      <c r="Q76" s="1168"/>
      <c r="R76" s="1168"/>
      <c r="S76" s="1168"/>
      <c r="T76" s="1168"/>
      <c r="U76" s="1168"/>
      <c r="V76" s="1168"/>
      <c r="W76" s="1168"/>
      <c r="X76" s="1168"/>
      <c r="Y76" s="1168"/>
      <c r="Z76" s="1168"/>
      <c r="AA76" s="1168"/>
      <c r="AB76" s="1168"/>
      <c r="AC76" s="1168"/>
      <c r="AD76" s="1168"/>
      <c r="AE76" s="1168"/>
      <c r="AF76" s="1168"/>
      <c r="AG76" s="1168"/>
      <c r="AH76" s="1168"/>
      <c r="AI76" s="1168"/>
      <c r="AJ76" s="1168"/>
    </row>
    <row r="77" spans="1:36" ht="13.8">
      <c r="A77" s="1168"/>
      <c r="B77" s="1168"/>
      <c r="C77" s="1168"/>
      <c r="D77" s="1168"/>
      <c r="E77" s="1168"/>
      <c r="F77" s="1168"/>
      <c r="G77" s="1168"/>
      <c r="H77" s="1168"/>
      <c r="I77" s="1168"/>
      <c r="J77" s="1168"/>
      <c r="K77" s="1168"/>
      <c r="L77" s="1168"/>
      <c r="M77" s="1168"/>
      <c r="N77" s="1168"/>
      <c r="O77" s="1168"/>
      <c r="P77" s="1168"/>
      <c r="Q77" s="1168"/>
      <c r="R77" s="1168"/>
      <c r="S77" s="1168"/>
      <c r="T77" s="1168"/>
      <c r="U77" s="1168"/>
      <c r="V77" s="1168"/>
      <c r="W77" s="1168"/>
      <c r="X77" s="1168"/>
      <c r="Y77" s="1168"/>
      <c r="Z77" s="1168"/>
      <c r="AA77" s="1168"/>
      <c r="AB77" s="1168"/>
      <c r="AC77" s="1168"/>
      <c r="AD77" s="1168"/>
      <c r="AE77" s="1168"/>
      <c r="AF77" s="1168"/>
      <c r="AG77" s="1168"/>
      <c r="AH77" s="1168"/>
      <c r="AI77" s="1168"/>
      <c r="AJ77" s="1168"/>
    </row>
    <row r="81" spans="3:3" s="754" customFormat="1"/>
    <row r="82" spans="3:3" s="754" customFormat="1"/>
    <row r="83" spans="3:3" s="754" customFormat="1"/>
    <row r="84" spans="3:3" s="754" customFormat="1"/>
    <row r="85" spans="3:3" s="754" customFormat="1"/>
    <row r="86" spans="3:3" s="754" customFormat="1"/>
    <row r="87" spans="3:3" s="754" customFormat="1"/>
    <row r="88" spans="3:3">
      <c r="C88" s="754"/>
    </row>
    <row r="89" spans="3:3" s="754" customFormat="1"/>
    <row r="90" spans="3:3" s="754" customFormat="1"/>
    <row r="91" spans="3:3" s="754" customFormat="1"/>
    <row r="92" spans="3:3" s="754" customFormat="1"/>
    <row r="93" spans="3:3" s="754" customFormat="1"/>
    <row r="94" spans="3:3" s="754" customFormat="1"/>
    <row r="95" spans="3:3" s="754" customFormat="1"/>
    <row r="96" spans="3:3" s="754" customFormat="1"/>
    <row r="97" spans="1:42" s="754" customFormat="1"/>
    <row r="99" spans="1:42" s="754" customFormat="1"/>
    <row r="100" spans="1:42" s="754" customFormat="1"/>
    <row r="101" spans="1:42" s="754" customFormat="1"/>
    <row r="102" spans="1:42" s="754" customFormat="1"/>
    <row r="103" spans="1:42" s="754" customFormat="1"/>
    <row r="104" spans="1:42" s="754" customFormat="1"/>
    <row r="105" spans="1:42" s="754" customFormat="1"/>
    <row r="106" spans="1:42" s="754" customFormat="1"/>
    <row r="107" spans="1:42" s="754" customFormat="1"/>
    <row r="108" spans="1:42" s="754" customFormat="1"/>
    <row r="109" spans="1:42" s="754" customFormat="1"/>
    <row r="112" spans="1:42" ht="13.8">
      <c r="A112" s="1168"/>
      <c r="B112" s="1169" t="s">
        <v>1682</v>
      </c>
      <c r="C112" s="1169"/>
      <c r="D112" s="1176"/>
      <c r="E112" s="1176"/>
      <c r="F112" s="1176"/>
      <c r="G112" s="1176"/>
      <c r="H112" s="1176"/>
      <c r="I112" s="1176"/>
      <c r="J112" s="1176"/>
      <c r="K112" s="1176"/>
      <c r="L112" s="1176"/>
      <c r="M112" s="1176"/>
      <c r="N112" s="1176"/>
      <c r="O112" s="1176"/>
      <c r="P112" s="1176"/>
      <c r="Q112" s="1176"/>
      <c r="R112" s="1176"/>
      <c r="S112" s="1176"/>
      <c r="T112" s="1176"/>
      <c r="U112" s="1176"/>
      <c r="V112" s="1176"/>
      <c r="W112" s="1176"/>
      <c r="X112" s="1176"/>
      <c r="Y112" s="1176"/>
      <c r="Z112" s="1176"/>
      <c r="AA112" s="1176"/>
      <c r="AB112" s="1176"/>
      <c r="AC112" s="1176"/>
      <c r="AD112" s="1176"/>
      <c r="AE112" s="1176"/>
      <c r="AF112" s="1176"/>
      <c r="AG112" s="1176"/>
      <c r="AH112" s="1176"/>
      <c r="AI112" s="1176"/>
      <c r="AJ112" s="1176"/>
      <c r="AK112" s="1176"/>
      <c r="AL112" s="1176"/>
      <c r="AM112" s="1176"/>
      <c r="AN112" s="1176"/>
      <c r="AO112" s="1176"/>
      <c r="AP112" s="1176"/>
    </row>
    <row r="113" spans="1:42" ht="13.8">
      <c r="A113" s="1168"/>
      <c r="B113" s="1170" t="s">
        <v>1683</v>
      </c>
      <c r="C113" s="1169"/>
      <c r="D113" s="1176"/>
      <c r="E113" s="1176"/>
      <c r="F113" s="1176"/>
      <c r="G113" s="1176"/>
      <c r="H113" s="1176"/>
      <c r="I113" s="1176"/>
      <c r="J113" s="1176"/>
      <c r="K113" s="1176"/>
      <c r="L113" s="1176"/>
      <c r="M113" s="1176"/>
      <c r="N113" s="1176"/>
      <c r="O113" s="1176"/>
      <c r="P113" s="1176"/>
      <c r="Q113" s="1176"/>
      <c r="R113" s="1176"/>
      <c r="S113" s="1176"/>
      <c r="T113" s="1176"/>
      <c r="U113" s="1176"/>
      <c r="V113" s="1176"/>
      <c r="W113" s="1176"/>
      <c r="X113" s="1176"/>
      <c r="Y113" s="1176"/>
      <c r="Z113" s="1176"/>
      <c r="AA113" s="1176"/>
      <c r="AB113" s="1176"/>
      <c r="AC113" s="1176"/>
      <c r="AD113" s="1176"/>
      <c r="AE113" s="1176"/>
      <c r="AF113" s="1176"/>
      <c r="AG113" s="1176"/>
      <c r="AH113" s="1176"/>
      <c r="AI113" s="1176"/>
      <c r="AJ113" s="1176"/>
      <c r="AK113" s="1176"/>
      <c r="AL113" s="1176"/>
      <c r="AM113" s="1176"/>
      <c r="AN113" s="1176"/>
      <c r="AO113" s="1176"/>
      <c r="AP113" s="1176"/>
    </row>
    <row r="114" spans="1:42" ht="13.8">
      <c r="A114" s="1168"/>
      <c r="B114" s="1172"/>
      <c r="C114" s="1172"/>
      <c r="D114" s="1218"/>
      <c r="E114" s="1218"/>
      <c r="F114" s="1218"/>
      <c r="G114" s="1218"/>
      <c r="H114" s="1218"/>
      <c r="I114" s="1218"/>
      <c r="J114" s="1218"/>
      <c r="K114" s="1218"/>
      <c r="L114" s="1218"/>
      <c r="M114" s="1218"/>
      <c r="N114" s="1218"/>
      <c r="O114" s="1218"/>
      <c r="P114" s="1218"/>
      <c r="Q114" s="1218"/>
      <c r="R114" s="1218"/>
      <c r="S114" s="1218"/>
      <c r="T114" s="1218"/>
      <c r="U114" s="1218"/>
      <c r="V114" s="1218"/>
      <c r="W114" s="1218"/>
      <c r="X114" s="1218"/>
      <c r="Y114" s="1218"/>
      <c r="Z114" s="1218"/>
      <c r="AA114" s="1218"/>
      <c r="AB114" s="1218"/>
      <c r="AC114" s="1218"/>
      <c r="AD114" s="1218"/>
      <c r="AE114" s="1218"/>
      <c r="AF114" s="1218"/>
      <c r="AG114" s="1218"/>
      <c r="AH114" s="1218"/>
      <c r="AI114" s="1218"/>
      <c r="AJ114" s="1218"/>
      <c r="AK114" s="1218"/>
      <c r="AL114" s="1218"/>
      <c r="AM114" s="1218"/>
      <c r="AN114" s="1218"/>
      <c r="AO114" s="1218"/>
      <c r="AP114" s="1218"/>
    </row>
    <row r="115" spans="1:42" ht="13.8">
      <c r="A115" s="1168"/>
      <c r="B115" s="1176"/>
      <c r="C115" s="1176"/>
      <c r="D115" s="1176"/>
      <c r="E115" s="1176"/>
      <c r="F115" s="1176"/>
      <c r="G115" s="1176"/>
      <c r="H115" s="1176"/>
      <c r="I115" s="1176"/>
      <c r="J115" s="1176"/>
      <c r="K115" s="1176"/>
      <c r="L115" s="1176"/>
      <c r="M115" s="1176"/>
      <c r="N115" s="1176"/>
      <c r="O115" s="1176"/>
      <c r="P115" s="1176"/>
      <c r="Q115" s="1176"/>
      <c r="R115" s="1176"/>
      <c r="S115" s="1176"/>
      <c r="T115" s="1176"/>
      <c r="U115" s="1176"/>
      <c r="V115" s="1176"/>
      <c r="W115" s="1176"/>
      <c r="X115" s="1176"/>
      <c r="Y115" s="1285"/>
      <c r="Z115" s="1285"/>
      <c r="AA115" s="1176"/>
      <c r="AB115" s="1176"/>
      <c r="AC115" s="1176"/>
      <c r="AD115" s="1176"/>
      <c r="AE115" s="1176"/>
      <c r="AF115" s="1176"/>
      <c r="AG115" s="1176"/>
      <c r="AH115" s="1176"/>
      <c r="AI115" s="1176"/>
      <c r="AJ115" s="1176"/>
      <c r="AK115" s="1176"/>
      <c r="AL115" s="1176"/>
      <c r="AM115" s="1176"/>
      <c r="AN115" s="1176"/>
      <c r="AO115" s="1176"/>
      <c r="AP115" s="1176"/>
    </row>
    <row r="116" spans="1:42" ht="13.8">
      <c r="A116" s="1206"/>
      <c r="B116" s="3099" t="s">
        <v>1684</v>
      </c>
      <c r="C116" s="3099"/>
      <c r="D116" s="3099"/>
      <c r="E116" s="3100">
        <v>2000</v>
      </c>
      <c r="F116" s="3113"/>
      <c r="G116" s="3100">
        <v>2001</v>
      </c>
      <c r="H116" s="3113"/>
      <c r="I116" s="3100">
        <v>2002</v>
      </c>
      <c r="J116" s="3113"/>
      <c r="K116" s="3100">
        <v>2003</v>
      </c>
      <c r="L116" s="3113"/>
      <c r="M116" s="3100">
        <v>2004</v>
      </c>
      <c r="N116" s="3113"/>
      <c r="O116" s="3100">
        <v>2005</v>
      </c>
      <c r="P116" s="3113"/>
      <c r="Q116" s="3100">
        <v>2006</v>
      </c>
      <c r="R116" s="3113"/>
      <c r="S116" s="3100">
        <v>2007</v>
      </c>
      <c r="T116" s="3117"/>
      <c r="U116" s="3100">
        <v>2008</v>
      </c>
      <c r="V116" s="3117"/>
      <c r="W116" s="3100">
        <v>2009</v>
      </c>
      <c r="X116" s="3117"/>
      <c r="Y116" s="3110">
        <v>2010</v>
      </c>
      <c r="Z116" s="3118"/>
      <c r="AA116" s="3100">
        <v>2011</v>
      </c>
      <c r="AB116" s="3117"/>
      <c r="AC116" s="3100">
        <v>2012</v>
      </c>
      <c r="AD116" s="3117"/>
      <c r="AE116" s="3100">
        <v>2013</v>
      </c>
      <c r="AF116" s="3117"/>
      <c r="AG116" s="3100">
        <v>2014</v>
      </c>
      <c r="AH116" s="3117"/>
      <c r="AI116" s="3100">
        <v>2015</v>
      </c>
      <c r="AJ116" s="3117"/>
      <c r="AK116" s="3100">
        <v>2016</v>
      </c>
      <c r="AL116" s="3117"/>
      <c r="AM116" s="3100">
        <v>2017</v>
      </c>
      <c r="AN116" s="3117"/>
      <c r="AO116" s="3099" t="s">
        <v>1685</v>
      </c>
      <c r="AP116" s="3099"/>
    </row>
    <row r="117" spans="1:42" ht="13.8">
      <c r="A117" s="1206"/>
      <c r="B117" s="1219"/>
      <c r="C117" s="1219"/>
      <c r="D117" s="1219"/>
      <c r="E117" s="1219"/>
      <c r="F117" s="1220"/>
      <c r="G117" s="1219"/>
      <c r="H117" s="1220"/>
      <c r="I117" s="1219"/>
      <c r="J117" s="1220"/>
      <c r="K117" s="1219"/>
      <c r="L117" s="1220"/>
      <c r="M117" s="1219"/>
      <c r="N117" s="1220"/>
      <c r="O117" s="1219"/>
      <c r="P117" s="1220"/>
      <c r="Q117" s="1219"/>
      <c r="R117" s="1220"/>
      <c r="S117" s="1219"/>
      <c r="T117" s="1221"/>
      <c r="U117" s="1219"/>
      <c r="V117" s="1221"/>
      <c r="W117" s="1219"/>
      <c r="X117" s="1221"/>
      <c r="Y117" s="1297"/>
      <c r="Z117" s="1303"/>
      <c r="AA117" s="1219"/>
      <c r="AB117" s="1221"/>
      <c r="AC117" s="1219"/>
      <c r="AD117" s="1221"/>
      <c r="AE117" s="1219"/>
      <c r="AF117" s="1221"/>
      <c r="AG117" s="1219"/>
      <c r="AH117" s="1221"/>
      <c r="AI117" s="1219"/>
      <c r="AJ117" s="1221"/>
      <c r="AK117" s="1219"/>
      <c r="AL117" s="1221"/>
      <c r="AM117" s="1219"/>
      <c r="AN117" s="1221"/>
      <c r="AO117" s="1219"/>
      <c r="AP117" s="1221"/>
    </row>
    <row r="118" spans="1:42">
      <c r="A118" s="1206"/>
      <c r="B118" s="1178"/>
      <c r="C118" s="1178"/>
      <c r="D118" s="1206"/>
      <c r="E118" s="1222"/>
      <c r="F118" s="1222"/>
      <c r="G118" s="1222"/>
      <c r="H118" s="1222"/>
      <c r="I118" s="1222"/>
      <c r="J118" s="1222"/>
      <c r="K118" s="1222"/>
      <c r="L118" s="1222"/>
      <c r="M118" s="1222"/>
      <c r="N118" s="1222"/>
      <c r="O118" s="1222"/>
      <c r="P118" s="1222"/>
      <c r="Q118" s="1222"/>
      <c r="R118" s="1222"/>
      <c r="S118" s="1222"/>
      <c r="T118" s="1222"/>
      <c r="U118" s="1222"/>
      <c r="V118" s="1222"/>
      <c r="W118" s="1222"/>
      <c r="X118" s="1222"/>
      <c r="Y118" s="1287"/>
      <c r="Z118" s="1287"/>
      <c r="AA118" s="1222"/>
      <c r="AB118" s="1222"/>
      <c r="AC118" s="1222"/>
      <c r="AD118" s="1222"/>
      <c r="AE118" s="1222"/>
      <c r="AF118" s="1222"/>
      <c r="AG118" s="1222"/>
      <c r="AH118" s="1222"/>
      <c r="AI118" s="1222"/>
      <c r="AJ118" s="1222"/>
      <c r="AK118" s="1222"/>
      <c r="AL118" s="1222"/>
      <c r="AM118" s="1222"/>
      <c r="AN118" s="1222"/>
      <c r="AO118" s="1222"/>
      <c r="AP118" s="1206"/>
    </row>
    <row r="119" spans="1:42">
      <c r="A119" s="1206"/>
      <c r="B119" s="1178"/>
      <c r="C119" s="1178"/>
      <c r="D119" s="1223" t="s">
        <v>625</v>
      </c>
      <c r="E119" s="1182"/>
      <c r="F119" s="1182"/>
      <c r="G119" s="1182"/>
      <c r="H119" s="1182"/>
      <c r="I119" s="1182"/>
      <c r="J119" s="1182"/>
      <c r="K119" s="1182"/>
      <c r="L119" s="1182"/>
      <c r="M119" s="1182"/>
      <c r="N119" s="1182"/>
      <c r="O119" s="1182"/>
      <c r="P119" s="1182"/>
      <c r="Q119" s="1182"/>
      <c r="R119" s="1182"/>
      <c r="S119" s="1182"/>
      <c r="T119" s="1182"/>
      <c r="U119" s="1182"/>
      <c r="V119" s="1182"/>
      <c r="W119" s="1182"/>
      <c r="X119" s="1182"/>
      <c r="Y119" s="1217"/>
      <c r="Z119" s="1215"/>
      <c r="AA119" s="1182"/>
      <c r="AB119" s="1182"/>
      <c r="AC119" s="1182"/>
      <c r="AD119" s="1182"/>
      <c r="AE119" s="1182"/>
      <c r="AF119" s="1182"/>
      <c r="AG119" s="1182"/>
      <c r="AH119" s="1182"/>
      <c r="AI119" s="1182"/>
      <c r="AJ119" s="1182"/>
      <c r="AK119" s="1182"/>
      <c r="AL119" s="1182"/>
      <c r="AM119" s="1182"/>
      <c r="AN119" s="1182"/>
      <c r="AO119" s="1222"/>
      <c r="AP119" s="1223" t="s">
        <v>124</v>
      </c>
    </row>
    <row r="120" spans="1:42">
      <c r="A120" s="1206"/>
      <c r="B120" s="1178"/>
      <c r="C120" s="1178"/>
      <c r="D120" s="1206"/>
      <c r="E120" s="1182"/>
      <c r="F120" s="1182"/>
      <c r="G120" s="1182"/>
      <c r="H120" s="1182"/>
      <c r="I120" s="1182"/>
      <c r="J120" s="1182"/>
      <c r="K120" s="1182"/>
      <c r="L120" s="1182"/>
      <c r="M120" s="1182"/>
      <c r="N120" s="1182"/>
      <c r="O120" s="1182"/>
      <c r="P120" s="1182"/>
      <c r="Q120" s="1182"/>
      <c r="R120" s="1182"/>
      <c r="S120" s="1182"/>
      <c r="T120" s="1182"/>
      <c r="U120" s="1182"/>
      <c r="V120" s="1182"/>
      <c r="W120" s="1182"/>
      <c r="X120" s="1182"/>
      <c r="Y120" s="1217"/>
      <c r="Z120" s="1215"/>
      <c r="AA120" s="1182"/>
      <c r="AB120" s="1182"/>
      <c r="AC120" s="1182"/>
      <c r="AD120" s="1182"/>
      <c r="AE120" s="1182"/>
      <c r="AF120" s="1182"/>
      <c r="AG120" s="1182"/>
      <c r="AH120" s="1182"/>
      <c r="AI120" s="1182"/>
      <c r="AJ120" s="1182"/>
      <c r="AK120" s="1182"/>
      <c r="AL120" s="1182"/>
      <c r="AM120" s="1182"/>
      <c r="AN120" s="1182"/>
      <c r="AO120" s="1222"/>
      <c r="AP120" s="1206"/>
    </row>
    <row r="121" spans="1:42">
      <c r="A121" s="1206"/>
      <c r="B121" s="1178">
        <v>1</v>
      </c>
      <c r="C121" s="1178"/>
      <c r="D121" s="1224" t="s">
        <v>1686</v>
      </c>
      <c r="E121" s="1225">
        <v>1120</v>
      </c>
      <c r="F121" s="1226"/>
      <c r="G121" s="1225">
        <v>1191</v>
      </c>
      <c r="H121" s="1226"/>
      <c r="I121" s="1225">
        <v>1247</v>
      </c>
      <c r="J121" s="1226"/>
      <c r="K121" s="1225">
        <v>1287</v>
      </c>
      <c r="L121" s="1226"/>
      <c r="M121" s="1225">
        <v>1298</v>
      </c>
      <c r="N121" s="1226"/>
      <c r="O121" s="1225">
        <v>1443</v>
      </c>
      <c r="P121" s="1226"/>
      <c r="Q121" s="1225">
        <v>1526</v>
      </c>
      <c r="R121" s="1226"/>
      <c r="S121" s="1225">
        <v>1750</v>
      </c>
      <c r="T121" s="1226"/>
      <c r="U121" s="1225">
        <v>1876</v>
      </c>
      <c r="V121" s="1226"/>
      <c r="W121" s="1225">
        <v>1879</v>
      </c>
      <c r="X121" s="1226"/>
      <c r="Y121" s="1309">
        <v>1985</v>
      </c>
      <c r="Z121" s="1304"/>
      <c r="AA121" s="1225">
        <v>2078</v>
      </c>
      <c r="AB121" s="1224"/>
      <c r="AC121" s="1225">
        <v>2335</v>
      </c>
      <c r="AD121" s="1227"/>
      <c r="AE121" s="1225">
        <v>2349</v>
      </c>
      <c r="AF121" s="1187" t="s">
        <v>203</v>
      </c>
      <c r="AG121" s="1225">
        <v>2429</v>
      </c>
      <c r="AH121" s="1187"/>
      <c r="AI121" s="1225"/>
      <c r="AJ121" s="1224"/>
      <c r="AK121" s="1225"/>
      <c r="AL121" s="1224"/>
      <c r="AM121" s="1225"/>
      <c r="AN121" s="1224"/>
      <c r="AO121" s="1228"/>
      <c r="AP121" s="1224" t="s">
        <v>1687</v>
      </c>
    </row>
    <row r="122" spans="1:42">
      <c r="A122" s="1206"/>
      <c r="B122" s="1178">
        <v>2</v>
      </c>
      <c r="C122" s="1178"/>
      <c r="D122" s="1229" t="s">
        <v>1688</v>
      </c>
      <c r="E122" s="1186">
        <v>569</v>
      </c>
      <c r="F122" s="1230"/>
      <c r="G122" s="1186">
        <v>656</v>
      </c>
      <c r="H122" s="1230"/>
      <c r="I122" s="1186">
        <v>716</v>
      </c>
      <c r="J122" s="1230"/>
      <c r="K122" s="1186">
        <v>757</v>
      </c>
      <c r="L122" s="1230"/>
      <c r="M122" s="1186">
        <v>753</v>
      </c>
      <c r="N122" s="1230"/>
      <c r="O122" s="1186">
        <v>875</v>
      </c>
      <c r="P122" s="1230"/>
      <c r="Q122" s="1186">
        <v>947</v>
      </c>
      <c r="R122" s="1230"/>
      <c r="S122" s="1186">
        <v>1174</v>
      </c>
      <c r="T122" s="1230"/>
      <c r="U122" s="1186">
        <v>1283</v>
      </c>
      <c r="V122" s="1230"/>
      <c r="W122" s="1186">
        <v>1281</v>
      </c>
      <c r="X122" s="1230"/>
      <c r="Y122" s="1214">
        <v>1375</v>
      </c>
      <c r="Z122" s="1215"/>
      <c r="AA122" s="1186">
        <v>1442</v>
      </c>
      <c r="AB122" s="1206"/>
      <c r="AC122" s="1186">
        <v>1715</v>
      </c>
      <c r="AD122" s="1206"/>
      <c r="AE122" s="1186">
        <v>1786</v>
      </c>
      <c r="AF122" s="1187" t="s">
        <v>203</v>
      </c>
      <c r="AG122" s="1186">
        <v>1871</v>
      </c>
      <c r="AH122" s="1187"/>
      <c r="AI122" s="1186"/>
      <c r="AJ122" s="1206"/>
      <c r="AK122" s="1186"/>
      <c r="AL122" s="1206"/>
      <c r="AM122" s="1186"/>
      <c r="AN122" s="1206"/>
      <c r="AO122" s="1182"/>
      <c r="AP122" s="1229" t="s">
        <v>1689</v>
      </c>
    </row>
    <row r="123" spans="1:42">
      <c r="A123" s="1206"/>
      <c r="B123" s="1178">
        <v>3</v>
      </c>
      <c r="C123" s="1178"/>
      <c r="D123" s="1229" t="s">
        <v>1690</v>
      </c>
      <c r="E123" s="1186">
        <v>551</v>
      </c>
      <c r="F123" s="1230"/>
      <c r="G123" s="1186">
        <v>535</v>
      </c>
      <c r="H123" s="1230"/>
      <c r="I123" s="1186">
        <v>531</v>
      </c>
      <c r="J123" s="1230"/>
      <c r="K123" s="1186">
        <v>530</v>
      </c>
      <c r="L123" s="1230"/>
      <c r="M123" s="1186">
        <v>545</v>
      </c>
      <c r="N123" s="1230"/>
      <c r="O123" s="1186">
        <v>568</v>
      </c>
      <c r="P123" s="1230"/>
      <c r="Q123" s="1186">
        <v>579</v>
      </c>
      <c r="R123" s="1230"/>
      <c r="S123" s="1186">
        <v>576</v>
      </c>
      <c r="T123" s="1230"/>
      <c r="U123" s="1186">
        <v>593</v>
      </c>
      <c r="V123" s="1230"/>
      <c r="W123" s="1186">
        <v>598</v>
      </c>
      <c r="X123" s="1230"/>
      <c r="Y123" s="1214">
        <v>610</v>
      </c>
      <c r="Z123" s="1215"/>
      <c r="AA123" s="1186">
        <v>636</v>
      </c>
      <c r="AB123" s="1206"/>
      <c r="AC123" s="1186">
        <v>620</v>
      </c>
      <c r="AD123" s="1187"/>
      <c r="AE123" s="1186">
        <v>563</v>
      </c>
      <c r="AF123" s="1187" t="s">
        <v>203</v>
      </c>
      <c r="AG123" s="1186">
        <v>558</v>
      </c>
      <c r="AH123" s="1187"/>
      <c r="AI123" s="1186"/>
      <c r="AJ123" s="1206"/>
      <c r="AK123" s="1186"/>
      <c r="AL123" s="1206"/>
      <c r="AM123" s="1186"/>
      <c r="AN123" s="1206"/>
      <c r="AO123" s="1182"/>
      <c r="AP123" s="1229" t="s">
        <v>1691</v>
      </c>
    </row>
    <row r="124" spans="1:42">
      <c r="A124" s="1206"/>
      <c r="B124" s="1178"/>
      <c r="C124" s="1178"/>
      <c r="D124" s="1224"/>
      <c r="E124" s="1186"/>
      <c r="F124" s="1230"/>
      <c r="G124" s="1186"/>
      <c r="H124" s="1230"/>
      <c r="I124" s="1186"/>
      <c r="J124" s="1230"/>
      <c r="K124" s="1186"/>
      <c r="L124" s="1230"/>
      <c r="M124" s="1186"/>
      <c r="N124" s="1230"/>
      <c r="O124" s="1186"/>
      <c r="P124" s="1230"/>
      <c r="Q124" s="1186"/>
      <c r="R124" s="1230"/>
      <c r="S124" s="1186"/>
      <c r="T124" s="1230"/>
      <c r="U124" s="1186"/>
      <c r="V124" s="1230"/>
      <c r="W124" s="1186"/>
      <c r="X124" s="1230"/>
      <c r="Y124" s="1214"/>
      <c r="Z124" s="1215"/>
      <c r="AA124" s="1186"/>
      <c r="AB124" s="1206"/>
      <c r="AC124" s="1186"/>
      <c r="AD124" s="1206"/>
      <c r="AE124" s="1186"/>
      <c r="AF124" s="1187"/>
      <c r="AG124" s="1186"/>
      <c r="AH124" s="1187"/>
      <c r="AI124" s="1186"/>
      <c r="AJ124" s="1206"/>
      <c r="AK124" s="1186"/>
      <c r="AL124" s="1206"/>
      <c r="AM124" s="1186"/>
      <c r="AN124" s="1206"/>
      <c r="AO124" s="1222"/>
      <c r="AP124" s="1224"/>
    </row>
    <row r="125" spans="1:42">
      <c r="A125" s="1206"/>
      <c r="B125" s="1178"/>
      <c r="C125" s="1178"/>
      <c r="D125" s="1223" t="s">
        <v>1692</v>
      </c>
      <c r="E125" s="1186"/>
      <c r="F125" s="1230"/>
      <c r="G125" s="1186"/>
      <c r="H125" s="1230"/>
      <c r="I125" s="1186"/>
      <c r="J125" s="1230"/>
      <c r="K125" s="1186"/>
      <c r="L125" s="1230"/>
      <c r="M125" s="1186"/>
      <c r="N125" s="1230"/>
      <c r="O125" s="1186"/>
      <c r="P125" s="1230"/>
      <c r="Q125" s="1186"/>
      <c r="R125" s="1230"/>
      <c r="S125" s="1186"/>
      <c r="T125" s="1230"/>
      <c r="U125" s="1186"/>
      <c r="V125" s="1230"/>
      <c r="W125" s="1186"/>
      <c r="X125" s="1230"/>
      <c r="Y125" s="1214"/>
      <c r="Z125" s="1215"/>
      <c r="AA125" s="1186"/>
      <c r="AB125" s="1206"/>
      <c r="AC125" s="1186"/>
      <c r="AD125" s="1206"/>
      <c r="AE125" s="1186"/>
      <c r="AF125" s="1187"/>
      <c r="AG125" s="1186"/>
      <c r="AH125" s="1187"/>
      <c r="AI125" s="1186"/>
      <c r="AJ125" s="1206"/>
      <c r="AK125" s="1186"/>
      <c r="AL125" s="1206"/>
      <c r="AM125" s="1186"/>
      <c r="AN125" s="1206"/>
      <c r="AO125" s="1182"/>
      <c r="AP125" s="1223" t="s">
        <v>1693</v>
      </c>
    </row>
    <row r="126" spans="1:42">
      <c r="A126" s="1206"/>
      <c r="B126" s="1178"/>
      <c r="C126" s="1178"/>
      <c r="D126" s="1206"/>
      <c r="E126" s="1186"/>
      <c r="F126" s="1230"/>
      <c r="G126" s="1186"/>
      <c r="H126" s="1230"/>
      <c r="I126" s="1186"/>
      <c r="J126" s="1230"/>
      <c r="K126" s="1186"/>
      <c r="L126" s="1230"/>
      <c r="M126" s="1186"/>
      <c r="N126" s="1230"/>
      <c r="O126" s="1186"/>
      <c r="P126" s="1230"/>
      <c r="Q126" s="1186"/>
      <c r="R126" s="1230"/>
      <c r="S126" s="1186"/>
      <c r="T126" s="1230"/>
      <c r="U126" s="1186"/>
      <c r="V126" s="1230"/>
      <c r="W126" s="1186"/>
      <c r="X126" s="1230"/>
      <c r="Y126" s="1214"/>
      <c r="Z126" s="1215"/>
      <c r="AA126" s="1186"/>
      <c r="AB126" s="1206"/>
      <c r="AC126" s="1186"/>
      <c r="AD126" s="1206"/>
      <c r="AE126" s="1186"/>
      <c r="AF126" s="1187"/>
      <c r="AG126" s="1186"/>
      <c r="AH126" s="1187"/>
      <c r="AI126" s="1186"/>
      <c r="AJ126" s="1206"/>
      <c r="AK126" s="1186"/>
      <c r="AL126" s="1206"/>
      <c r="AM126" s="1186"/>
      <c r="AN126" s="1206"/>
      <c r="AO126" s="1222"/>
      <c r="AP126" s="1206"/>
    </row>
    <row r="127" spans="1:42">
      <c r="A127" s="1206"/>
      <c r="B127" s="1178">
        <v>4</v>
      </c>
      <c r="C127" s="1178"/>
      <c r="D127" s="1206" t="s">
        <v>1694</v>
      </c>
      <c r="E127" s="1186">
        <v>402</v>
      </c>
      <c r="F127" s="1230"/>
      <c r="G127" s="1186">
        <v>402</v>
      </c>
      <c r="H127" s="1230"/>
      <c r="I127" s="1186">
        <v>401</v>
      </c>
      <c r="J127" s="1230"/>
      <c r="K127" s="1186">
        <v>406</v>
      </c>
      <c r="L127" s="1230"/>
      <c r="M127" s="1186">
        <v>415</v>
      </c>
      <c r="N127" s="1230"/>
      <c r="O127" s="1186">
        <v>414</v>
      </c>
      <c r="P127" s="1230"/>
      <c r="Q127" s="1186">
        <v>425</v>
      </c>
      <c r="R127" s="1230"/>
      <c r="S127" s="1186">
        <v>424</v>
      </c>
      <c r="T127" s="1230"/>
      <c r="U127" s="1186">
        <v>431</v>
      </c>
      <c r="V127" s="1230"/>
      <c r="W127" s="1186">
        <v>444</v>
      </c>
      <c r="X127" s="1230"/>
      <c r="Y127" s="1214">
        <v>458</v>
      </c>
      <c r="Z127" s="1215"/>
      <c r="AA127" s="1186">
        <v>470</v>
      </c>
      <c r="AB127" s="1206"/>
      <c r="AC127" s="1186">
        <v>455</v>
      </c>
      <c r="AD127" s="1187"/>
      <c r="AE127" s="1186">
        <v>436</v>
      </c>
      <c r="AF127" s="1187" t="s">
        <v>203</v>
      </c>
      <c r="AG127" s="1186">
        <v>436</v>
      </c>
      <c r="AH127" s="1187"/>
      <c r="AI127" s="1186"/>
      <c r="AJ127" s="1206"/>
      <c r="AK127" s="1186"/>
      <c r="AL127" s="1206"/>
      <c r="AM127" s="1186"/>
      <c r="AN127" s="1206"/>
      <c r="AO127" s="1222"/>
      <c r="AP127" s="1206" t="s">
        <v>260</v>
      </c>
    </row>
    <row r="128" spans="1:42">
      <c r="A128" s="1206"/>
      <c r="B128" s="1178">
        <v>5</v>
      </c>
      <c r="C128" s="1178"/>
      <c r="D128" s="1206" t="s">
        <v>1695</v>
      </c>
      <c r="E128" s="1186">
        <v>201</v>
      </c>
      <c r="F128" s="1230"/>
      <c r="G128" s="1186">
        <v>202</v>
      </c>
      <c r="H128" s="1230"/>
      <c r="I128" s="1186">
        <v>193</v>
      </c>
      <c r="J128" s="1230"/>
      <c r="K128" s="1186">
        <v>188</v>
      </c>
      <c r="L128" s="1230"/>
      <c r="M128" s="1186">
        <v>196</v>
      </c>
      <c r="N128" s="1230"/>
      <c r="O128" s="1186">
        <v>207</v>
      </c>
      <c r="P128" s="1230"/>
      <c r="Q128" s="1186">
        <v>214</v>
      </c>
      <c r="R128" s="1230"/>
      <c r="S128" s="1186">
        <v>213</v>
      </c>
      <c r="T128" s="1230"/>
      <c r="U128" s="1186">
        <v>222</v>
      </c>
      <c r="V128" s="1230"/>
      <c r="W128" s="1186">
        <v>218</v>
      </c>
      <c r="X128" s="1230"/>
      <c r="Y128" s="1214">
        <v>219</v>
      </c>
      <c r="Z128" s="1215"/>
      <c r="AA128" s="1186">
        <v>221</v>
      </c>
      <c r="AB128" s="1206"/>
      <c r="AC128" s="1186">
        <v>219</v>
      </c>
      <c r="AD128" s="1206"/>
      <c r="AE128" s="1186">
        <v>211</v>
      </c>
      <c r="AF128" s="1187"/>
      <c r="AG128" s="1186">
        <v>207</v>
      </c>
      <c r="AH128" s="1187"/>
      <c r="AI128" s="1186"/>
      <c r="AJ128" s="1206"/>
      <c r="AK128" s="1186"/>
      <c r="AL128" s="1206"/>
      <c r="AM128" s="1186"/>
      <c r="AN128" s="1206"/>
      <c r="AO128" s="1222"/>
      <c r="AP128" s="1206" t="s">
        <v>259</v>
      </c>
    </row>
    <row r="129" spans="1:52">
      <c r="A129" s="1206"/>
      <c r="B129" s="1178">
        <v>6</v>
      </c>
      <c r="C129" s="1178"/>
      <c r="D129" s="1206" t="s">
        <v>1696</v>
      </c>
      <c r="E129" s="1182" t="s">
        <v>1350</v>
      </c>
      <c r="F129" s="1230"/>
      <c r="G129" s="1182" t="s">
        <v>1350</v>
      </c>
      <c r="H129" s="1230"/>
      <c r="I129" s="1182" t="s">
        <v>1350</v>
      </c>
      <c r="J129" s="1230"/>
      <c r="K129" s="1182" t="s">
        <v>1350</v>
      </c>
      <c r="L129" s="1187"/>
      <c r="M129" s="1182" t="s">
        <v>1350</v>
      </c>
      <c r="N129" s="1230"/>
      <c r="O129" s="1182" t="s">
        <v>1350</v>
      </c>
      <c r="P129" s="1230"/>
      <c r="Q129" s="1182" t="s">
        <v>1350</v>
      </c>
      <c r="R129" s="1230"/>
      <c r="S129" s="1182" t="s">
        <v>1350</v>
      </c>
      <c r="T129" s="1230"/>
      <c r="U129" s="1182" t="s">
        <v>1350</v>
      </c>
      <c r="V129" s="1230"/>
      <c r="W129" s="1182" t="s">
        <v>1350</v>
      </c>
      <c r="X129" s="1230"/>
      <c r="Y129" s="1217" t="s">
        <v>1350</v>
      </c>
      <c r="Z129" s="1215"/>
      <c r="AA129" s="1182" t="s">
        <v>1350</v>
      </c>
      <c r="AB129" s="1206"/>
      <c r="AC129" s="1182" t="s">
        <v>1350</v>
      </c>
      <c r="AD129" s="1206"/>
      <c r="AE129" s="1182" t="s">
        <v>1350</v>
      </c>
      <c r="AF129" s="1187"/>
      <c r="AG129" s="1182" t="s">
        <v>1350</v>
      </c>
      <c r="AH129" s="1187"/>
      <c r="AI129" s="1182" t="s">
        <v>1350</v>
      </c>
      <c r="AJ129" s="1206"/>
      <c r="AK129" s="1182" t="s">
        <v>1350</v>
      </c>
      <c r="AL129" s="1206"/>
      <c r="AM129" s="1182" t="s">
        <v>1350</v>
      </c>
      <c r="AN129" s="1206"/>
      <c r="AO129" s="1222"/>
      <c r="AP129" s="1206" t="s">
        <v>1697</v>
      </c>
    </row>
    <row r="130" spans="1:52">
      <c r="A130" s="1206"/>
      <c r="B130" s="1178">
        <v>7</v>
      </c>
      <c r="C130" s="1178"/>
      <c r="D130" s="1206" t="s">
        <v>1698</v>
      </c>
      <c r="E130" s="1186">
        <v>88</v>
      </c>
      <c r="F130" s="1230"/>
      <c r="G130" s="1186">
        <v>70</v>
      </c>
      <c r="H130" s="1230"/>
      <c r="I130" s="1186">
        <v>69</v>
      </c>
      <c r="J130" s="1230"/>
      <c r="K130" s="1186">
        <v>70</v>
      </c>
      <c r="L130" s="1230"/>
      <c r="M130" s="1186">
        <v>67</v>
      </c>
      <c r="N130" s="1230"/>
      <c r="O130" s="1186">
        <v>66</v>
      </c>
      <c r="P130" s="1230"/>
      <c r="Q130" s="1186">
        <v>64</v>
      </c>
      <c r="R130" s="1230"/>
      <c r="S130" s="1186">
        <v>56</v>
      </c>
      <c r="T130" s="1230"/>
      <c r="U130" s="1186">
        <v>56</v>
      </c>
      <c r="V130" s="1230"/>
      <c r="W130" s="1186">
        <v>56</v>
      </c>
      <c r="X130" s="1230"/>
      <c r="Y130" s="1214">
        <v>58</v>
      </c>
      <c r="Z130" s="1215"/>
      <c r="AA130" s="1186">
        <v>51</v>
      </c>
      <c r="AB130" s="1206"/>
      <c r="AC130" s="1186">
        <v>50</v>
      </c>
      <c r="AD130" s="1206"/>
      <c r="AE130" s="1186">
        <v>18</v>
      </c>
      <c r="AF130" s="1187" t="s">
        <v>203</v>
      </c>
      <c r="AG130" s="1186">
        <v>18</v>
      </c>
      <c r="AH130" s="1187"/>
      <c r="AI130" s="1186"/>
      <c r="AJ130" s="1206"/>
      <c r="AK130" s="1186"/>
      <c r="AL130" s="1206"/>
      <c r="AM130" s="1186"/>
      <c r="AN130" s="1206"/>
      <c r="AO130" s="1222"/>
      <c r="AP130" s="1206" t="s">
        <v>1699</v>
      </c>
    </row>
    <row r="131" spans="1:52">
      <c r="A131" s="1206"/>
      <c r="B131" s="1178">
        <v>8</v>
      </c>
      <c r="C131" s="1178"/>
      <c r="D131" s="1224" t="s">
        <v>1315</v>
      </c>
      <c r="E131" s="1225">
        <v>691</v>
      </c>
      <c r="F131" s="1226"/>
      <c r="G131" s="1225">
        <v>674</v>
      </c>
      <c r="H131" s="1226"/>
      <c r="I131" s="1225">
        <v>663</v>
      </c>
      <c r="J131" s="1226"/>
      <c r="K131" s="1225">
        <v>664</v>
      </c>
      <c r="L131" s="1226"/>
      <c r="M131" s="1225">
        <v>678</v>
      </c>
      <c r="N131" s="1226"/>
      <c r="O131" s="1225">
        <v>687</v>
      </c>
      <c r="P131" s="1226"/>
      <c r="Q131" s="1225">
        <v>703</v>
      </c>
      <c r="R131" s="1226"/>
      <c r="S131" s="1225">
        <v>693</v>
      </c>
      <c r="T131" s="1226"/>
      <c r="U131" s="1225">
        <v>709</v>
      </c>
      <c r="V131" s="1226"/>
      <c r="W131" s="1225">
        <v>718</v>
      </c>
      <c r="X131" s="1226"/>
      <c r="Y131" s="1309">
        <v>735</v>
      </c>
      <c r="Z131" s="1304"/>
      <c r="AA131" s="1225">
        <v>742</v>
      </c>
      <c r="AB131" s="1224"/>
      <c r="AC131" s="1225">
        <v>724</v>
      </c>
      <c r="AD131" s="1227"/>
      <c r="AE131" s="1225">
        <v>665</v>
      </c>
      <c r="AF131" s="1187" t="s">
        <v>203</v>
      </c>
      <c r="AG131" s="1225">
        <v>661</v>
      </c>
      <c r="AH131" s="1187"/>
      <c r="AI131" s="1225"/>
      <c r="AJ131" s="1224"/>
      <c r="AK131" s="1225"/>
      <c r="AL131" s="1224"/>
      <c r="AM131" s="1225"/>
      <c r="AN131" s="1224"/>
      <c r="AO131" s="1231"/>
      <c r="AP131" s="1224" t="s">
        <v>124</v>
      </c>
    </row>
    <row r="132" spans="1:52">
      <c r="A132" s="1206"/>
      <c r="B132" s="1232"/>
      <c r="C132" s="1232"/>
      <c r="D132" s="1233"/>
      <c r="E132" s="1234"/>
      <c r="F132" s="1235"/>
      <c r="G132" s="1234"/>
      <c r="H132" s="1235"/>
      <c r="I132" s="1234"/>
      <c r="J132" s="1235"/>
      <c r="K132" s="1234"/>
      <c r="L132" s="1235"/>
      <c r="M132" s="1234"/>
      <c r="N132" s="1235"/>
      <c r="O132" s="1234"/>
      <c r="P132" s="1235"/>
      <c r="Q132" s="1234"/>
      <c r="R132" s="1235"/>
      <c r="S132" s="1234"/>
      <c r="T132" s="1235"/>
      <c r="U132" s="1234"/>
      <c r="V132" s="1235"/>
      <c r="W132" s="1234"/>
      <c r="X132" s="1235"/>
      <c r="Y132" s="1305"/>
      <c r="Z132" s="1306"/>
      <c r="AA132" s="1234"/>
      <c r="AB132" s="1237"/>
      <c r="AC132" s="1234"/>
      <c r="AD132" s="1237"/>
      <c r="AE132" s="1234"/>
      <c r="AF132" s="1237"/>
      <c r="AG132" s="1234"/>
      <c r="AH132" s="1237"/>
      <c r="AI132" s="1234"/>
      <c r="AJ132" s="1237"/>
      <c r="AK132" s="1234"/>
      <c r="AL132" s="1237"/>
      <c r="AM132" s="1234"/>
      <c r="AN132" s="1237"/>
      <c r="AO132" s="1238"/>
      <c r="AP132" s="1233"/>
    </row>
    <row r="133" spans="1:52">
      <c r="A133" s="1206"/>
      <c r="B133" s="1178"/>
      <c r="C133" s="1178"/>
      <c r="D133" s="1224"/>
      <c r="E133" s="1186"/>
      <c r="F133" s="1230"/>
      <c r="G133" s="1186"/>
      <c r="H133" s="1230"/>
      <c r="I133" s="1186"/>
      <c r="J133" s="1230"/>
      <c r="K133" s="1186"/>
      <c r="L133" s="1230"/>
      <c r="M133" s="1186"/>
      <c r="N133" s="1230"/>
      <c r="O133" s="1186"/>
      <c r="P133" s="1230"/>
      <c r="Q133" s="1186"/>
      <c r="R133" s="1230"/>
      <c r="S133" s="1186"/>
      <c r="T133" s="1230"/>
      <c r="U133" s="1186"/>
      <c r="V133" s="1230"/>
      <c r="W133" s="1186"/>
      <c r="X133" s="1230"/>
      <c r="Y133" s="1214"/>
      <c r="Z133" s="1215"/>
      <c r="AA133" s="1186"/>
      <c r="AB133" s="1206"/>
      <c r="AC133" s="1186"/>
      <c r="AD133" s="1206"/>
      <c r="AE133" s="1186"/>
      <c r="AF133" s="1206"/>
      <c r="AG133" s="1186"/>
      <c r="AH133" s="1206"/>
      <c r="AI133" s="1186"/>
      <c r="AJ133" s="1206"/>
      <c r="AK133" s="1186"/>
      <c r="AL133" s="1206"/>
      <c r="AM133" s="1186"/>
      <c r="AN133" s="1206"/>
      <c r="AO133" s="1222"/>
      <c r="AP133" s="1224"/>
    </row>
    <row r="134" spans="1:52">
      <c r="A134" s="1206"/>
      <c r="B134" s="1178"/>
      <c r="C134" s="1178"/>
      <c r="D134" s="1223" t="s">
        <v>1688</v>
      </c>
      <c r="E134" s="1186"/>
      <c r="F134" s="1230"/>
      <c r="G134" s="1186"/>
      <c r="H134" s="1230"/>
      <c r="I134" s="1186"/>
      <c r="J134" s="1230"/>
      <c r="K134" s="1186"/>
      <c r="L134" s="1230"/>
      <c r="M134" s="1186"/>
      <c r="N134" s="1230"/>
      <c r="O134" s="1186"/>
      <c r="P134" s="1230"/>
      <c r="Q134" s="1186"/>
      <c r="R134" s="1230"/>
      <c r="S134" s="1186"/>
      <c r="T134" s="1230"/>
      <c r="U134" s="1186"/>
      <c r="V134" s="1230"/>
      <c r="W134" s="1186"/>
      <c r="X134" s="1230"/>
      <c r="Y134" s="1214"/>
      <c r="Z134" s="1215"/>
      <c r="AA134" s="1186"/>
      <c r="AB134" s="1206"/>
      <c r="AC134" s="1186"/>
      <c r="AD134" s="1206"/>
      <c r="AE134" s="1186"/>
      <c r="AF134" s="1206"/>
      <c r="AG134" s="1186"/>
      <c r="AH134" s="1206"/>
      <c r="AI134" s="1186"/>
      <c r="AJ134" s="1206"/>
      <c r="AK134" s="1186"/>
      <c r="AL134" s="1206"/>
      <c r="AM134" s="1186"/>
      <c r="AN134" s="1206"/>
      <c r="AO134" s="1222"/>
      <c r="AP134" s="1223" t="s">
        <v>1689</v>
      </c>
    </row>
    <row r="135" spans="1:52">
      <c r="A135" s="1206"/>
      <c r="B135" s="1178"/>
      <c r="C135" s="1178"/>
      <c r="D135" s="1206"/>
      <c r="E135" s="1186"/>
      <c r="F135" s="1230"/>
      <c r="G135" s="1186"/>
      <c r="H135" s="1230"/>
      <c r="I135" s="1186"/>
      <c r="J135" s="1230"/>
      <c r="K135" s="1186"/>
      <c r="L135" s="1230"/>
      <c r="M135" s="1186"/>
      <c r="N135" s="1230"/>
      <c r="O135" s="1186"/>
      <c r="P135" s="1230"/>
      <c r="Q135" s="1186"/>
      <c r="R135" s="1230"/>
      <c r="S135" s="1186"/>
      <c r="T135" s="1230"/>
      <c r="U135" s="1186"/>
      <c r="V135" s="1230"/>
      <c r="W135" s="1186"/>
      <c r="X135" s="1230"/>
      <c r="Y135" s="1214"/>
      <c r="Z135" s="1215"/>
      <c r="AA135" s="1186"/>
      <c r="AB135" s="1206"/>
      <c r="AC135" s="1186"/>
      <c r="AD135" s="1206"/>
      <c r="AE135" s="1186"/>
      <c r="AF135" s="1206"/>
      <c r="AG135" s="1186"/>
      <c r="AH135" s="1206"/>
      <c r="AI135" s="1186"/>
      <c r="AJ135" s="1206"/>
      <c r="AK135" s="1186"/>
      <c r="AL135" s="1206"/>
      <c r="AM135" s="1186"/>
      <c r="AN135" s="1206"/>
      <c r="AO135" s="1222"/>
      <c r="AP135" s="1206"/>
    </row>
    <row r="136" spans="1:52">
      <c r="A136" s="1206"/>
      <c r="B136" s="1178">
        <v>9</v>
      </c>
      <c r="C136" s="1178"/>
      <c r="D136" s="1206" t="s">
        <v>1694</v>
      </c>
      <c r="E136" s="1186">
        <v>139</v>
      </c>
      <c r="F136" s="1230"/>
      <c r="G136" s="1186">
        <v>138</v>
      </c>
      <c r="H136" s="1230"/>
      <c r="I136" s="1186">
        <v>131</v>
      </c>
      <c r="J136" s="1230"/>
      <c r="K136" s="1186">
        <v>133</v>
      </c>
      <c r="L136" s="1230"/>
      <c r="M136" s="1186">
        <v>132</v>
      </c>
      <c r="N136" s="1230"/>
      <c r="O136" s="1186">
        <v>116</v>
      </c>
      <c r="P136" s="1230"/>
      <c r="Q136" s="1186">
        <v>121</v>
      </c>
      <c r="R136" s="1230"/>
      <c r="S136" s="1186">
        <v>116</v>
      </c>
      <c r="T136" s="1230"/>
      <c r="U136" s="1186">
        <v>115</v>
      </c>
      <c r="V136" s="1230"/>
      <c r="W136" s="1186">
        <v>119</v>
      </c>
      <c r="X136" s="1230"/>
      <c r="Y136" s="1214">
        <v>124</v>
      </c>
      <c r="Z136" s="1215"/>
      <c r="AA136" s="1186">
        <v>105</v>
      </c>
      <c r="AB136" s="1206"/>
      <c r="AC136" s="1186">
        <v>103</v>
      </c>
      <c r="AD136" s="1206"/>
      <c r="AE136" s="1186">
        <v>101</v>
      </c>
      <c r="AF136" s="1206"/>
      <c r="AG136" s="1186">
        <v>102</v>
      </c>
      <c r="AH136" s="1206"/>
      <c r="AI136" s="1186"/>
      <c r="AJ136" s="1206"/>
      <c r="AK136" s="1186"/>
      <c r="AL136" s="1206"/>
      <c r="AM136" s="1186"/>
      <c r="AN136" s="1206"/>
      <c r="AO136" s="1222"/>
      <c r="AP136" s="1206" t="s">
        <v>260</v>
      </c>
    </row>
    <row r="137" spans="1:52">
      <c r="A137" s="1206"/>
      <c r="B137" s="1178">
        <v>10</v>
      </c>
      <c r="C137" s="1178"/>
      <c r="D137" s="1206" t="s">
        <v>1695</v>
      </c>
      <c r="E137" s="1182">
        <v>1</v>
      </c>
      <c r="F137" s="1230"/>
      <c r="G137" s="1182" t="s">
        <v>1350</v>
      </c>
      <c r="H137" s="1230"/>
      <c r="I137" s="1182" t="s">
        <v>1350</v>
      </c>
      <c r="J137" s="1230"/>
      <c r="K137" s="1182" t="s">
        <v>1350</v>
      </c>
      <c r="L137" s="1230"/>
      <c r="M137" s="1182" t="s">
        <v>1350</v>
      </c>
      <c r="N137" s="1187"/>
      <c r="O137" s="1182">
        <v>2</v>
      </c>
      <c r="P137" s="1230"/>
      <c r="Q137" s="1182">
        <v>2</v>
      </c>
      <c r="R137" s="1230"/>
      <c r="S137" s="1182" t="s">
        <v>1350</v>
      </c>
      <c r="T137" s="1230"/>
      <c r="U137" s="1182" t="s">
        <v>1350</v>
      </c>
      <c r="V137" s="1230"/>
      <c r="W137" s="1182" t="s">
        <v>1350</v>
      </c>
      <c r="X137" s="1230"/>
      <c r="Y137" s="1217" t="s">
        <v>1350</v>
      </c>
      <c r="Z137" s="1215"/>
      <c r="AA137" s="1182" t="s">
        <v>1350</v>
      </c>
      <c r="AB137" s="1206"/>
      <c r="AC137" s="1182" t="s">
        <v>1350</v>
      </c>
      <c r="AD137" s="1206"/>
      <c r="AE137" s="1182" t="s">
        <v>1350</v>
      </c>
      <c r="AF137" s="1206"/>
      <c r="AG137" s="1182" t="s">
        <v>1350</v>
      </c>
      <c r="AH137" s="1206"/>
      <c r="AI137" s="1182" t="s">
        <v>1350</v>
      </c>
      <c r="AJ137" s="1206"/>
      <c r="AK137" s="1182" t="s">
        <v>1350</v>
      </c>
      <c r="AL137" s="1206"/>
      <c r="AM137" s="1182" t="s">
        <v>1350</v>
      </c>
      <c r="AN137" s="1206"/>
      <c r="AO137" s="1222"/>
      <c r="AP137" s="1206" t="s">
        <v>259</v>
      </c>
    </row>
    <row r="138" spans="1:52">
      <c r="A138" s="1206"/>
      <c r="B138" s="1178">
        <v>11</v>
      </c>
      <c r="C138" s="1178"/>
      <c r="D138" s="1206" t="s">
        <v>1696</v>
      </c>
      <c r="E138" s="1182" t="s">
        <v>1350</v>
      </c>
      <c r="F138" s="1230"/>
      <c r="G138" s="1182" t="s">
        <v>1350</v>
      </c>
      <c r="H138" s="1230"/>
      <c r="I138" s="1182" t="s">
        <v>1350</v>
      </c>
      <c r="J138" s="1230"/>
      <c r="K138" s="1182" t="s">
        <v>1350</v>
      </c>
      <c r="L138" s="1187"/>
      <c r="M138" s="1182" t="s">
        <v>1350</v>
      </c>
      <c r="N138" s="1230"/>
      <c r="O138" s="1182" t="s">
        <v>1350</v>
      </c>
      <c r="P138" s="1230"/>
      <c r="Q138" s="1182" t="s">
        <v>1350</v>
      </c>
      <c r="R138" s="1230"/>
      <c r="S138" s="1182" t="s">
        <v>1350</v>
      </c>
      <c r="T138" s="1187"/>
      <c r="U138" s="1182" t="s">
        <v>1350</v>
      </c>
      <c r="V138" s="1230"/>
      <c r="W138" s="1182" t="s">
        <v>1350</v>
      </c>
      <c r="X138" s="1230"/>
      <c r="Y138" s="1217" t="s">
        <v>1350</v>
      </c>
      <c r="Z138" s="1215"/>
      <c r="AA138" s="1182" t="s">
        <v>1350</v>
      </c>
      <c r="AB138" s="1206"/>
      <c r="AC138" s="1182" t="s">
        <v>1350</v>
      </c>
      <c r="AD138" s="1206"/>
      <c r="AE138" s="1182" t="s">
        <v>1350</v>
      </c>
      <c r="AF138" s="1206"/>
      <c r="AG138" s="1182" t="s">
        <v>1350</v>
      </c>
      <c r="AH138" s="1206"/>
      <c r="AI138" s="1182" t="s">
        <v>1350</v>
      </c>
      <c r="AJ138" s="1206"/>
      <c r="AK138" s="1182" t="s">
        <v>1350</v>
      </c>
      <c r="AL138" s="1206"/>
      <c r="AM138" s="1182" t="s">
        <v>1350</v>
      </c>
      <c r="AN138" s="1206"/>
      <c r="AO138" s="1222"/>
      <c r="AP138" s="1206" t="s">
        <v>1697</v>
      </c>
    </row>
    <row r="139" spans="1:52">
      <c r="A139" s="1206"/>
      <c r="B139" s="1178">
        <v>12</v>
      </c>
      <c r="C139" s="1178"/>
      <c r="D139" s="1206" t="s">
        <v>1698</v>
      </c>
      <c r="E139" s="1182" t="s">
        <v>1350</v>
      </c>
      <c r="F139" s="1230"/>
      <c r="G139" s="1186">
        <v>1</v>
      </c>
      <c r="H139" s="1230"/>
      <c r="I139" s="1186">
        <v>1</v>
      </c>
      <c r="J139" s="1230"/>
      <c r="K139" s="1186">
        <v>1</v>
      </c>
      <c r="L139" s="1230"/>
      <c r="M139" s="1186">
        <v>1</v>
      </c>
      <c r="N139" s="1230"/>
      <c r="O139" s="1186">
        <v>1</v>
      </c>
      <c r="P139" s="1230"/>
      <c r="Q139" s="1186">
        <v>1</v>
      </c>
      <c r="R139" s="1230"/>
      <c r="S139" s="1186">
        <v>1</v>
      </c>
      <c r="T139" s="1230"/>
      <c r="U139" s="1186">
        <v>1</v>
      </c>
      <c r="V139" s="1230"/>
      <c r="W139" s="1186">
        <v>1</v>
      </c>
      <c r="X139" s="1230"/>
      <c r="Y139" s="1214">
        <v>1</v>
      </c>
      <c r="Z139" s="1215"/>
      <c r="AA139" s="1186">
        <v>1</v>
      </c>
      <c r="AB139" s="1206"/>
      <c r="AC139" s="1186">
        <v>1</v>
      </c>
      <c r="AD139" s="1206"/>
      <c r="AE139" s="1186">
        <v>1</v>
      </c>
      <c r="AF139" s="1206"/>
      <c r="AG139" s="1186">
        <v>1</v>
      </c>
      <c r="AH139" s="1206"/>
      <c r="AI139" s="1186"/>
      <c r="AJ139" s="1206"/>
      <c r="AK139" s="1186"/>
      <c r="AL139" s="1206"/>
      <c r="AM139" s="1186"/>
      <c r="AN139" s="1206"/>
      <c r="AO139" s="1222"/>
      <c r="AP139" s="1206" t="s">
        <v>1699</v>
      </c>
    </row>
    <row r="140" spans="1:52">
      <c r="A140" s="1206"/>
      <c r="B140" s="1178">
        <v>13</v>
      </c>
      <c r="C140" s="1178"/>
      <c r="D140" s="1224" t="s">
        <v>1315</v>
      </c>
      <c r="E140" s="1225">
        <v>140</v>
      </c>
      <c r="F140" s="1226"/>
      <c r="G140" s="1225">
        <v>139</v>
      </c>
      <c r="H140" s="1226"/>
      <c r="I140" s="1225">
        <v>132</v>
      </c>
      <c r="J140" s="1226"/>
      <c r="K140" s="1225">
        <v>134</v>
      </c>
      <c r="L140" s="1226"/>
      <c r="M140" s="1225">
        <v>133</v>
      </c>
      <c r="N140" s="1226"/>
      <c r="O140" s="1225">
        <v>119</v>
      </c>
      <c r="P140" s="1226"/>
      <c r="Q140" s="1225">
        <v>124</v>
      </c>
      <c r="R140" s="1226"/>
      <c r="S140" s="1225">
        <v>117</v>
      </c>
      <c r="T140" s="1226"/>
      <c r="U140" s="1225">
        <v>116</v>
      </c>
      <c r="V140" s="1226"/>
      <c r="W140" s="1225">
        <v>120</v>
      </c>
      <c r="X140" s="1226"/>
      <c r="Y140" s="1290">
        <v>125</v>
      </c>
      <c r="Z140" s="1304"/>
      <c r="AA140" s="1225">
        <v>106</v>
      </c>
      <c r="AB140" s="1224"/>
      <c r="AC140" s="1225">
        <v>104</v>
      </c>
      <c r="AD140" s="1224"/>
      <c r="AE140" s="1225">
        <v>102</v>
      </c>
      <c r="AF140" s="1224"/>
      <c r="AG140" s="1225">
        <v>103</v>
      </c>
      <c r="AH140" s="1224"/>
      <c r="AI140" s="1225"/>
      <c r="AJ140" s="1224"/>
      <c r="AK140" s="1225"/>
      <c r="AL140" s="1224"/>
      <c r="AM140" s="1225"/>
      <c r="AN140" s="1224"/>
      <c r="AO140" s="1231"/>
      <c r="AP140" s="1224" t="s">
        <v>124</v>
      </c>
    </row>
    <row r="141" spans="1:52">
      <c r="A141" s="1206"/>
      <c r="B141" s="1232"/>
      <c r="C141" s="1232"/>
      <c r="D141" s="1233"/>
      <c r="E141" s="1239"/>
      <c r="F141" s="1240"/>
      <c r="G141" s="1239"/>
      <c r="H141" s="1240"/>
      <c r="I141" s="1239"/>
      <c r="J141" s="1240"/>
      <c r="K141" s="1239"/>
      <c r="L141" s="1240"/>
      <c r="M141" s="1239"/>
      <c r="N141" s="1240"/>
      <c r="O141" s="1239"/>
      <c r="P141" s="1240"/>
      <c r="Q141" s="1239"/>
      <c r="R141" s="1240"/>
      <c r="S141" s="1239"/>
      <c r="T141" s="1240"/>
      <c r="U141" s="1239"/>
      <c r="V141" s="1240"/>
      <c r="W141" s="1239"/>
      <c r="X141" s="1240"/>
      <c r="Y141" s="1292"/>
      <c r="Z141" s="1307"/>
      <c r="AA141" s="1239"/>
      <c r="AB141" s="1233"/>
      <c r="AC141" s="1239"/>
      <c r="AD141" s="1233"/>
      <c r="AE141" s="1239"/>
      <c r="AF141" s="1233"/>
      <c r="AG141" s="1239"/>
      <c r="AH141" s="1233"/>
      <c r="AI141" s="1239"/>
      <c r="AJ141" s="1233"/>
      <c r="AK141" s="1239"/>
      <c r="AL141" s="1233"/>
      <c r="AM141" s="1239"/>
      <c r="AN141" s="1233"/>
      <c r="AO141" s="1242"/>
      <c r="AP141" s="1233"/>
    </row>
    <row r="142" spans="1:52">
      <c r="A142" s="1206"/>
      <c r="B142" s="1178"/>
      <c r="C142" s="1178"/>
      <c r="D142" s="1206"/>
      <c r="E142" s="1186"/>
      <c r="F142" s="1230"/>
      <c r="G142" s="1186"/>
      <c r="H142" s="1230"/>
      <c r="I142" s="1186"/>
      <c r="J142" s="1230"/>
      <c r="K142" s="1186"/>
      <c r="L142" s="1230"/>
      <c r="M142" s="1186"/>
      <c r="N142" s="1230"/>
      <c r="O142" s="1186"/>
      <c r="P142" s="1230"/>
      <c r="Q142" s="1186"/>
      <c r="R142" s="1230"/>
      <c r="S142" s="1186"/>
      <c r="T142" s="1230"/>
      <c r="U142" s="1186"/>
      <c r="V142" s="1230"/>
      <c r="W142" s="1186"/>
      <c r="X142" s="1230"/>
      <c r="Y142" s="1214"/>
      <c r="Z142" s="1215"/>
      <c r="AA142" s="1186"/>
      <c r="AB142" s="1206"/>
      <c r="AC142" s="1186"/>
      <c r="AD142" s="1206"/>
      <c r="AE142" s="1186"/>
      <c r="AF142" s="1206"/>
      <c r="AG142" s="1186"/>
      <c r="AH142" s="1206"/>
      <c r="AI142" s="1186"/>
      <c r="AJ142" s="1206"/>
      <c r="AK142" s="1186"/>
      <c r="AL142" s="1206"/>
      <c r="AM142" s="1186"/>
      <c r="AN142" s="1206"/>
      <c r="AO142" s="1222"/>
      <c r="AP142" s="1206"/>
    </row>
    <row r="143" spans="1:52">
      <c r="A143" s="1206"/>
      <c r="B143" s="1178"/>
      <c r="C143" s="1178"/>
      <c r="D143" s="1223" t="s">
        <v>1690</v>
      </c>
      <c r="E143" s="1186"/>
      <c r="F143" s="1230"/>
      <c r="G143" s="1186"/>
      <c r="H143" s="1230"/>
      <c r="I143" s="1186"/>
      <c r="J143" s="1230"/>
      <c r="K143" s="1186"/>
      <c r="L143" s="1230"/>
      <c r="M143" s="1186"/>
      <c r="N143" s="1230"/>
      <c r="O143" s="1186"/>
      <c r="P143" s="1230"/>
      <c r="Q143" s="1186"/>
      <c r="R143" s="1230"/>
      <c r="S143" s="1186"/>
      <c r="T143" s="1230"/>
      <c r="U143" s="1186"/>
      <c r="V143" s="1230"/>
      <c r="W143" s="1186"/>
      <c r="X143" s="1230"/>
      <c r="Y143" s="1214"/>
      <c r="Z143" s="1215"/>
      <c r="AA143" s="1186"/>
      <c r="AB143" s="1206"/>
      <c r="AC143" s="1186"/>
      <c r="AD143" s="1206"/>
      <c r="AE143" s="1186"/>
      <c r="AF143" s="1206"/>
      <c r="AG143" s="1186"/>
      <c r="AH143" s="1206"/>
      <c r="AI143" s="1186"/>
      <c r="AJ143" s="1206"/>
      <c r="AK143" s="1186"/>
      <c r="AL143" s="1206"/>
      <c r="AM143" s="1186"/>
      <c r="AN143" s="1206"/>
      <c r="AO143" s="1222"/>
      <c r="AP143" s="1223" t="s">
        <v>1691</v>
      </c>
      <c r="AT143" s="1223" t="s">
        <v>1690</v>
      </c>
    </row>
    <row r="144" spans="1:52">
      <c r="A144" s="1206"/>
      <c r="B144" s="1178"/>
      <c r="C144" s="1178"/>
      <c r="D144" s="1206"/>
      <c r="E144" s="1186"/>
      <c r="F144" s="1230"/>
      <c r="G144" s="1186"/>
      <c r="H144" s="1230"/>
      <c r="I144" s="1186"/>
      <c r="J144" s="1230"/>
      <c r="K144" s="1186"/>
      <c r="L144" s="1230"/>
      <c r="M144" s="1186"/>
      <c r="N144" s="1230"/>
      <c r="O144" s="1186"/>
      <c r="P144" s="1230"/>
      <c r="Q144" s="1186"/>
      <c r="R144" s="1230"/>
      <c r="S144" s="1186"/>
      <c r="T144" s="1230"/>
      <c r="U144" s="1186"/>
      <c r="V144" s="1230"/>
      <c r="W144" s="1186"/>
      <c r="X144" s="1230"/>
      <c r="Y144" s="1214"/>
      <c r="Z144" s="1215"/>
      <c r="AA144" s="1186"/>
      <c r="AB144" s="1206"/>
      <c r="AC144" s="1186"/>
      <c r="AD144" s="1206"/>
      <c r="AE144" s="1186"/>
      <c r="AF144" s="1206"/>
      <c r="AG144" s="1186"/>
      <c r="AH144" s="1206"/>
      <c r="AI144" s="1186"/>
      <c r="AJ144" s="1206"/>
      <c r="AK144" s="1186"/>
      <c r="AL144" s="1206"/>
      <c r="AM144" s="1186"/>
      <c r="AN144" s="1206"/>
      <c r="AO144" s="1222"/>
      <c r="AP144" s="1206"/>
      <c r="AT144" s="1206"/>
      <c r="AW144" t="s">
        <v>601</v>
      </c>
      <c r="AX144" t="s">
        <v>602</v>
      </c>
      <c r="AY144" t="s">
        <v>603</v>
      </c>
      <c r="AZ144" t="s">
        <v>604</v>
      </c>
    </row>
    <row r="145" spans="1:52">
      <c r="A145" s="1206"/>
      <c r="B145" s="1178">
        <v>14</v>
      </c>
      <c r="C145" s="1178"/>
      <c r="D145" s="1206" t="s">
        <v>1694</v>
      </c>
      <c r="E145" s="1186">
        <v>263</v>
      </c>
      <c r="F145" s="1230"/>
      <c r="G145" s="1186">
        <v>264</v>
      </c>
      <c r="H145" s="1230"/>
      <c r="I145" s="1186">
        <v>270</v>
      </c>
      <c r="J145" s="1230"/>
      <c r="K145" s="1186">
        <v>273</v>
      </c>
      <c r="L145" s="1230"/>
      <c r="M145" s="1186">
        <v>283</v>
      </c>
      <c r="N145" s="1230"/>
      <c r="O145" s="1186">
        <v>298</v>
      </c>
      <c r="P145" s="1230"/>
      <c r="Q145" s="1186">
        <v>304</v>
      </c>
      <c r="R145" s="1230"/>
      <c r="S145" s="1186">
        <v>308</v>
      </c>
      <c r="T145" s="1230"/>
      <c r="U145" s="1186">
        <v>316</v>
      </c>
      <c r="V145" s="1230"/>
      <c r="W145" s="1186">
        <v>325</v>
      </c>
      <c r="X145" s="1230"/>
      <c r="Y145" s="1214">
        <v>334</v>
      </c>
      <c r="Z145" s="1215"/>
      <c r="AA145" s="1186">
        <v>365</v>
      </c>
      <c r="AB145" s="1206"/>
      <c r="AC145" s="1186">
        <v>352</v>
      </c>
      <c r="AD145" s="1187"/>
      <c r="AE145" s="1186">
        <v>335</v>
      </c>
      <c r="AF145" s="1187" t="s">
        <v>203</v>
      </c>
      <c r="AG145" s="1186">
        <v>334</v>
      </c>
      <c r="AH145" s="1187"/>
      <c r="AI145" s="1186"/>
      <c r="AJ145" s="1206"/>
      <c r="AK145" s="1186"/>
      <c r="AL145" s="1206"/>
      <c r="AM145" s="1186"/>
      <c r="AN145" s="1206"/>
      <c r="AO145" s="1222"/>
      <c r="AP145" s="1206" t="s">
        <v>260</v>
      </c>
      <c r="AT145" s="1206" t="s">
        <v>1694</v>
      </c>
      <c r="AU145" s="1214">
        <v>334</v>
      </c>
      <c r="AV145" s="170">
        <f>AU145</f>
        <v>334</v>
      </c>
      <c r="AW145">
        <f>$AV$145*0.25</f>
        <v>83.5</v>
      </c>
      <c r="AX145" s="754">
        <f>$AV$145*0.25</f>
        <v>83.5</v>
      </c>
      <c r="AY145" s="754">
        <f>$AV$145*0.25</f>
        <v>83.5</v>
      </c>
      <c r="AZ145" s="754">
        <f>$AV$145*0.25</f>
        <v>83.5</v>
      </c>
    </row>
    <row r="146" spans="1:52">
      <c r="A146" s="1206"/>
      <c r="B146" s="1178">
        <v>15</v>
      </c>
      <c r="C146" s="1178"/>
      <c r="D146" s="1206" t="s">
        <v>1695</v>
      </c>
      <c r="E146" s="1186">
        <v>200</v>
      </c>
      <c r="F146" s="1230"/>
      <c r="G146" s="1186">
        <v>202</v>
      </c>
      <c r="H146" s="1230"/>
      <c r="I146" s="1186">
        <v>193</v>
      </c>
      <c r="J146" s="1230"/>
      <c r="K146" s="1186">
        <v>188</v>
      </c>
      <c r="L146" s="1230"/>
      <c r="M146" s="1186">
        <v>196</v>
      </c>
      <c r="N146" s="1230"/>
      <c r="O146" s="1186">
        <v>205</v>
      </c>
      <c r="P146" s="1230"/>
      <c r="Q146" s="1186">
        <v>212</v>
      </c>
      <c r="R146" s="1230"/>
      <c r="S146" s="1186">
        <v>213</v>
      </c>
      <c r="T146" s="1230"/>
      <c r="U146" s="1186">
        <v>222</v>
      </c>
      <c r="V146" s="1230"/>
      <c r="W146" s="1186">
        <v>218</v>
      </c>
      <c r="X146" s="1230"/>
      <c r="Y146" s="1214">
        <v>219</v>
      </c>
      <c r="Z146" s="1215"/>
      <c r="AA146" s="1186">
        <v>221</v>
      </c>
      <c r="AB146" s="1206"/>
      <c r="AC146" s="1186">
        <v>219</v>
      </c>
      <c r="AD146" s="1206"/>
      <c r="AE146" s="1186">
        <v>211</v>
      </c>
      <c r="AF146" s="1187"/>
      <c r="AG146" s="1186">
        <v>207</v>
      </c>
      <c r="AH146" s="1187"/>
      <c r="AI146" s="1186"/>
      <c r="AJ146" s="1206"/>
      <c r="AK146" s="1186"/>
      <c r="AL146" s="1206"/>
      <c r="AM146" s="1186"/>
      <c r="AN146" s="1206"/>
      <c r="AO146" s="1222"/>
      <c r="AP146" s="1206" t="s">
        <v>259</v>
      </c>
      <c r="AT146" s="1206" t="s">
        <v>1695</v>
      </c>
      <c r="AU146" s="1214">
        <v>219</v>
      </c>
      <c r="AV146" s="170">
        <f>AU146+AU148</f>
        <v>276</v>
      </c>
      <c r="AW146" s="754">
        <f>$AV$146*0.25</f>
        <v>69</v>
      </c>
      <c r="AX146" s="754">
        <f>$AV$146*0.25</f>
        <v>69</v>
      </c>
      <c r="AY146" s="754">
        <f>$AV$146*0.25</f>
        <v>69</v>
      </c>
      <c r="AZ146" s="754">
        <f>$AV$146*0.25</f>
        <v>69</v>
      </c>
    </row>
    <row r="147" spans="1:52">
      <c r="A147" s="1206"/>
      <c r="B147" s="1178">
        <v>16</v>
      </c>
      <c r="C147" s="1178"/>
      <c r="D147" s="1206" t="s">
        <v>1696</v>
      </c>
      <c r="E147" s="1182" t="s">
        <v>1350</v>
      </c>
      <c r="F147" s="1230"/>
      <c r="G147" s="1182" t="s">
        <v>1350</v>
      </c>
      <c r="H147" s="1230"/>
      <c r="I147" s="1182" t="s">
        <v>1350</v>
      </c>
      <c r="J147" s="1230"/>
      <c r="K147" s="1182" t="s">
        <v>1350</v>
      </c>
      <c r="L147" s="1187"/>
      <c r="M147" s="1182" t="s">
        <v>1350</v>
      </c>
      <c r="N147" s="1230"/>
      <c r="O147" s="1182" t="s">
        <v>1350</v>
      </c>
      <c r="P147" s="1187"/>
      <c r="Q147" s="1182" t="s">
        <v>1350</v>
      </c>
      <c r="R147" s="1230"/>
      <c r="S147" s="1182" t="s">
        <v>1350</v>
      </c>
      <c r="T147" s="1230"/>
      <c r="U147" s="1182" t="s">
        <v>1350</v>
      </c>
      <c r="V147" s="1230"/>
      <c r="W147" s="1182" t="s">
        <v>1350</v>
      </c>
      <c r="X147" s="1230"/>
      <c r="Y147" s="1217" t="s">
        <v>1350</v>
      </c>
      <c r="Z147" s="1215"/>
      <c r="AA147" s="1182" t="s">
        <v>1350</v>
      </c>
      <c r="AB147" s="1206"/>
      <c r="AC147" s="1182" t="s">
        <v>1350</v>
      </c>
      <c r="AD147" s="1206"/>
      <c r="AE147" s="1182" t="s">
        <v>1350</v>
      </c>
      <c r="AF147" s="1187"/>
      <c r="AG147" s="1182" t="s">
        <v>1350</v>
      </c>
      <c r="AH147" s="1187"/>
      <c r="AI147" s="1182" t="s">
        <v>1350</v>
      </c>
      <c r="AJ147" s="1206"/>
      <c r="AK147" s="1182" t="s">
        <v>1350</v>
      </c>
      <c r="AL147" s="1206"/>
      <c r="AM147" s="1182" t="s">
        <v>1350</v>
      </c>
      <c r="AN147" s="1206"/>
      <c r="AO147" s="1222"/>
      <c r="AP147" s="1206" t="s">
        <v>1697</v>
      </c>
      <c r="AT147" s="1206" t="s">
        <v>1696</v>
      </c>
      <c r="AU147" s="1217" t="s">
        <v>1350</v>
      </c>
      <c r="AX147" s="754"/>
      <c r="AY147" s="754"/>
      <c r="AZ147" s="754"/>
    </row>
    <row r="148" spans="1:52">
      <c r="A148" s="1206"/>
      <c r="B148" s="1178">
        <v>17</v>
      </c>
      <c r="C148" s="1178"/>
      <c r="D148" s="1206" t="s">
        <v>1698</v>
      </c>
      <c r="E148" s="1186">
        <v>88</v>
      </c>
      <c r="F148" s="1230"/>
      <c r="G148" s="1186">
        <v>69</v>
      </c>
      <c r="H148" s="1230"/>
      <c r="I148" s="1186">
        <v>68</v>
      </c>
      <c r="J148" s="1230"/>
      <c r="K148" s="1186">
        <v>69</v>
      </c>
      <c r="L148" s="1230"/>
      <c r="M148" s="1186">
        <v>66</v>
      </c>
      <c r="N148" s="1230"/>
      <c r="O148" s="1186">
        <v>65</v>
      </c>
      <c r="P148" s="1230"/>
      <c r="Q148" s="1186">
        <v>63</v>
      </c>
      <c r="R148" s="1230"/>
      <c r="S148" s="1186">
        <v>55</v>
      </c>
      <c r="T148" s="1230"/>
      <c r="U148" s="1186">
        <v>55</v>
      </c>
      <c r="V148" s="1230"/>
      <c r="W148" s="1186">
        <v>55</v>
      </c>
      <c r="X148" s="1230"/>
      <c r="Y148" s="1214">
        <v>57</v>
      </c>
      <c r="Z148" s="1215"/>
      <c r="AA148" s="1186">
        <v>50</v>
      </c>
      <c r="AB148" s="1206"/>
      <c r="AC148" s="1186">
        <v>49</v>
      </c>
      <c r="AD148" s="1206"/>
      <c r="AE148" s="1186">
        <v>17</v>
      </c>
      <c r="AF148" s="1187" t="s">
        <v>203</v>
      </c>
      <c r="AG148" s="1186">
        <v>17</v>
      </c>
      <c r="AH148" s="1187"/>
      <c r="AI148" s="1186"/>
      <c r="AJ148" s="1206"/>
      <c r="AK148" s="1186"/>
      <c r="AL148" s="1206"/>
      <c r="AM148" s="1186"/>
      <c r="AN148" s="1206"/>
      <c r="AO148" s="1222"/>
      <c r="AP148" s="1206" t="s">
        <v>1699</v>
      </c>
      <c r="AT148" s="1206" t="s">
        <v>1698</v>
      </c>
      <c r="AU148" s="1214">
        <v>57</v>
      </c>
    </row>
    <row r="149" spans="1:52">
      <c r="A149" s="1206"/>
      <c r="B149" s="1178">
        <v>18</v>
      </c>
      <c r="C149" s="1178"/>
      <c r="D149" s="1224" t="s">
        <v>1315</v>
      </c>
      <c r="E149" s="1225">
        <v>551</v>
      </c>
      <c r="F149" s="1226"/>
      <c r="G149" s="1225">
        <v>535</v>
      </c>
      <c r="H149" s="1226"/>
      <c r="I149" s="1225">
        <v>531</v>
      </c>
      <c r="J149" s="1226"/>
      <c r="K149" s="1225">
        <v>530</v>
      </c>
      <c r="L149" s="1226"/>
      <c r="M149" s="1225">
        <v>545</v>
      </c>
      <c r="N149" s="1226"/>
      <c r="O149" s="1225">
        <v>568</v>
      </c>
      <c r="P149" s="1226"/>
      <c r="Q149" s="1225">
        <v>579</v>
      </c>
      <c r="R149" s="1226"/>
      <c r="S149" s="1225">
        <v>576</v>
      </c>
      <c r="T149" s="1226"/>
      <c r="U149" s="1225">
        <v>593</v>
      </c>
      <c r="V149" s="1226"/>
      <c r="W149" s="1225">
        <v>598</v>
      </c>
      <c r="X149" s="1226"/>
      <c r="Y149" s="1290">
        <v>610</v>
      </c>
      <c r="Z149" s="1304"/>
      <c r="AA149" s="1225">
        <v>636</v>
      </c>
      <c r="AB149" s="1224"/>
      <c r="AC149" s="1225">
        <v>620</v>
      </c>
      <c r="AD149" s="1227"/>
      <c r="AE149" s="1225">
        <v>563</v>
      </c>
      <c r="AF149" s="1187" t="s">
        <v>203</v>
      </c>
      <c r="AG149" s="1225">
        <v>558</v>
      </c>
      <c r="AH149" s="1187"/>
      <c r="AI149" s="1225"/>
      <c r="AJ149" s="1224"/>
      <c r="AK149" s="1225"/>
      <c r="AL149" s="1224"/>
      <c r="AM149" s="1225"/>
      <c r="AN149" s="1224"/>
      <c r="AO149" s="1231"/>
      <c r="AP149" s="1224" t="s">
        <v>124</v>
      </c>
      <c r="AT149" s="1224" t="s">
        <v>1315</v>
      </c>
      <c r="AU149" s="1290">
        <v>610</v>
      </c>
    </row>
    <row r="150" spans="1:52">
      <c r="A150" s="1206"/>
      <c r="B150" s="1232"/>
      <c r="C150" s="1232"/>
      <c r="D150" s="1233"/>
      <c r="E150" s="1239"/>
      <c r="F150" s="1240"/>
      <c r="G150" s="1239"/>
      <c r="H150" s="1240"/>
      <c r="I150" s="1239"/>
      <c r="J150" s="1240"/>
      <c r="K150" s="1239"/>
      <c r="L150" s="1240"/>
      <c r="M150" s="1239"/>
      <c r="N150" s="1240"/>
      <c r="O150" s="1239"/>
      <c r="P150" s="1240"/>
      <c r="Q150" s="1239"/>
      <c r="R150" s="1240"/>
      <c r="S150" s="1239"/>
      <c r="T150" s="1240"/>
      <c r="U150" s="1239"/>
      <c r="V150" s="1240"/>
      <c r="W150" s="1239"/>
      <c r="X150" s="1240"/>
      <c r="Y150" s="1292"/>
      <c r="Z150" s="1307"/>
      <c r="AA150" s="1239"/>
      <c r="AB150" s="1233"/>
      <c r="AC150" s="1239"/>
      <c r="AD150" s="1233"/>
      <c r="AE150" s="1239"/>
      <c r="AF150" s="1233"/>
      <c r="AG150" s="1239"/>
      <c r="AH150" s="1233"/>
      <c r="AI150" s="1239"/>
      <c r="AJ150" s="1233"/>
      <c r="AK150" s="1239"/>
      <c r="AL150" s="1233"/>
      <c r="AM150" s="1239"/>
      <c r="AN150" s="1233"/>
      <c r="AO150" s="1242"/>
      <c r="AP150" s="1233"/>
    </row>
    <row r="151" spans="1:52">
      <c r="A151" s="1206"/>
      <c r="B151" s="1178"/>
      <c r="C151" s="1178"/>
      <c r="D151" s="1206"/>
      <c r="E151" s="1186"/>
      <c r="F151" s="1230"/>
      <c r="G151" s="1186"/>
      <c r="H151" s="1230"/>
      <c r="I151" s="1186"/>
      <c r="J151" s="1230"/>
      <c r="K151" s="1186"/>
      <c r="L151" s="1230"/>
      <c r="M151" s="1186"/>
      <c r="N151" s="1230"/>
      <c r="O151" s="1186"/>
      <c r="P151" s="1230"/>
      <c r="Q151" s="1186"/>
      <c r="R151" s="1230"/>
      <c r="S151" s="1186"/>
      <c r="T151" s="1230"/>
      <c r="U151" s="1186"/>
      <c r="V151" s="1230"/>
      <c r="W151" s="1186"/>
      <c r="X151" s="1230"/>
      <c r="Y151" s="1214"/>
      <c r="Z151" s="1215"/>
      <c r="AA151" s="1186"/>
      <c r="AB151" s="1206"/>
      <c r="AC151" s="1186"/>
      <c r="AD151" s="1206"/>
      <c r="AE151" s="1186"/>
      <c r="AF151" s="1206"/>
      <c r="AG151" s="1186"/>
      <c r="AH151" s="1206"/>
      <c r="AI151" s="1186"/>
      <c r="AJ151" s="1206"/>
      <c r="AK151" s="1186"/>
      <c r="AL151" s="1206"/>
      <c r="AM151" s="1186"/>
      <c r="AN151" s="1206"/>
      <c r="AO151" s="1222"/>
      <c r="AP151" s="1206"/>
    </row>
    <row r="152" spans="1:52">
      <c r="A152" s="1206"/>
      <c r="B152" s="1178"/>
      <c r="C152" s="1178"/>
      <c r="D152" s="1223" t="s">
        <v>1700</v>
      </c>
      <c r="E152" s="1186"/>
      <c r="F152" s="1230"/>
      <c r="G152" s="1186"/>
      <c r="H152" s="1230"/>
      <c r="I152" s="1186"/>
      <c r="J152" s="1230"/>
      <c r="K152" s="1186"/>
      <c r="L152" s="1230"/>
      <c r="M152" s="1186"/>
      <c r="N152" s="1230"/>
      <c r="O152" s="1186"/>
      <c r="P152" s="1230"/>
      <c r="Q152" s="1186"/>
      <c r="R152" s="1230"/>
      <c r="S152" s="1186"/>
      <c r="T152" s="1230"/>
      <c r="U152" s="1186"/>
      <c r="V152" s="1230"/>
      <c r="W152" s="1186"/>
      <c r="X152" s="1230"/>
      <c r="Y152" s="1214"/>
      <c r="Z152" s="1215"/>
      <c r="AA152" s="1186"/>
      <c r="AB152" s="1206"/>
      <c r="AC152" s="1186"/>
      <c r="AD152" s="1206"/>
      <c r="AE152" s="1186"/>
      <c r="AF152" s="1206"/>
      <c r="AG152" s="1186"/>
      <c r="AH152" s="1206"/>
      <c r="AI152" s="1186"/>
      <c r="AJ152" s="1206"/>
      <c r="AK152" s="1186"/>
      <c r="AL152" s="1206"/>
      <c r="AM152" s="1186"/>
      <c r="AN152" s="1206"/>
      <c r="AO152" s="1222"/>
      <c r="AP152" s="1223" t="s">
        <v>1701</v>
      </c>
    </row>
    <row r="153" spans="1:52">
      <c r="A153" s="1206"/>
      <c r="B153" s="1178"/>
      <c r="C153" s="1178"/>
      <c r="D153" s="1206"/>
      <c r="E153" s="1186"/>
      <c r="F153" s="1230"/>
      <c r="G153" s="1186"/>
      <c r="H153" s="1230"/>
      <c r="I153" s="1186"/>
      <c r="J153" s="1230"/>
      <c r="K153" s="1186"/>
      <c r="L153" s="1230"/>
      <c r="M153" s="1186"/>
      <c r="N153" s="1230"/>
      <c r="O153" s="1186"/>
      <c r="P153" s="1230"/>
      <c r="Q153" s="1186"/>
      <c r="R153" s="1230"/>
      <c r="S153" s="1186"/>
      <c r="T153" s="1230"/>
      <c r="U153" s="1186"/>
      <c r="V153" s="1230"/>
      <c r="W153" s="1186"/>
      <c r="X153" s="1230"/>
      <c r="Y153" s="1214"/>
      <c r="Z153" s="1215"/>
      <c r="AA153" s="1186"/>
      <c r="AB153" s="1206"/>
      <c r="AC153" s="1186"/>
      <c r="AD153" s="1206"/>
      <c r="AE153" s="1186"/>
      <c r="AF153" s="1206"/>
      <c r="AG153" s="1186"/>
      <c r="AH153" s="1206"/>
      <c r="AI153" s="1186"/>
      <c r="AJ153" s="1206"/>
      <c r="AK153" s="1186"/>
      <c r="AL153" s="1206"/>
      <c r="AM153" s="1186"/>
      <c r="AN153" s="1206"/>
      <c r="AO153" s="1222"/>
      <c r="AP153" s="1206"/>
    </row>
    <row r="154" spans="1:52">
      <c r="A154" s="1206"/>
      <c r="B154" s="1178"/>
      <c r="C154" s="1178"/>
      <c r="D154" s="1223" t="s">
        <v>1702</v>
      </c>
      <c r="E154" s="1186"/>
      <c r="F154" s="1230"/>
      <c r="G154" s="1186"/>
      <c r="H154" s="1230"/>
      <c r="I154" s="1186"/>
      <c r="J154" s="1230"/>
      <c r="K154" s="1186"/>
      <c r="L154" s="1230"/>
      <c r="M154" s="1186"/>
      <c r="N154" s="1230"/>
      <c r="O154" s="1186"/>
      <c r="P154" s="1230"/>
      <c r="Q154" s="1186"/>
      <c r="R154" s="1230"/>
      <c r="S154" s="1186"/>
      <c r="T154" s="1230"/>
      <c r="U154" s="1186"/>
      <c r="V154" s="1230"/>
      <c r="W154" s="1186"/>
      <c r="X154" s="1230"/>
      <c r="Y154" s="1214"/>
      <c r="Z154" s="1215"/>
      <c r="AA154" s="1186"/>
      <c r="AB154" s="1206"/>
      <c r="AC154" s="1186"/>
      <c r="AD154" s="1206"/>
      <c r="AE154" s="1186"/>
      <c r="AF154" s="1206"/>
      <c r="AG154" s="1186"/>
      <c r="AH154" s="1206"/>
      <c r="AI154" s="1186"/>
      <c r="AJ154" s="1206"/>
      <c r="AK154" s="1186"/>
      <c r="AL154" s="1206"/>
      <c r="AM154" s="1186"/>
      <c r="AN154" s="1206"/>
      <c r="AO154" s="1222"/>
      <c r="AP154" s="1223" t="s">
        <v>1703</v>
      </c>
    </row>
    <row r="155" spans="1:52">
      <c r="A155" s="1206"/>
      <c r="B155" s="1178">
        <v>19</v>
      </c>
      <c r="C155" s="1178"/>
      <c r="D155" s="1206" t="s">
        <v>1704</v>
      </c>
      <c r="E155" s="1186">
        <v>332</v>
      </c>
      <c r="F155" s="1230"/>
      <c r="G155" s="1186">
        <v>381</v>
      </c>
      <c r="H155" s="1230"/>
      <c r="I155" s="1186">
        <v>414</v>
      </c>
      <c r="J155" s="1230"/>
      <c r="K155" s="1186">
        <v>423</v>
      </c>
      <c r="L155" s="1230"/>
      <c r="M155" s="1186">
        <v>435</v>
      </c>
      <c r="N155" s="1230"/>
      <c r="O155" s="1186">
        <v>474</v>
      </c>
      <c r="P155" s="1230"/>
      <c r="Q155" s="1186">
        <v>495</v>
      </c>
      <c r="R155" s="1230"/>
      <c r="S155" s="1186">
        <v>502</v>
      </c>
      <c r="T155" s="1230"/>
      <c r="U155" s="1186">
        <v>517</v>
      </c>
      <c r="V155" s="1230"/>
      <c r="W155" s="1186">
        <v>505</v>
      </c>
      <c r="X155" s="1230"/>
      <c r="Y155" s="1214">
        <v>520</v>
      </c>
      <c r="Z155" s="1215"/>
      <c r="AA155" s="1186">
        <v>542</v>
      </c>
      <c r="AB155" s="1206"/>
      <c r="AC155" s="1186">
        <v>601</v>
      </c>
      <c r="AD155" s="1187"/>
      <c r="AE155" s="1186">
        <v>612</v>
      </c>
      <c r="AF155" s="1206"/>
      <c r="AG155" s="1186">
        <v>646</v>
      </c>
      <c r="AH155" s="1206"/>
      <c r="AI155" s="1186"/>
      <c r="AJ155" s="1206"/>
      <c r="AK155" s="1186"/>
      <c r="AL155" s="1206"/>
      <c r="AM155" s="1186"/>
      <c r="AN155" s="1206"/>
      <c r="AO155" s="1222"/>
      <c r="AP155" s="1206" t="s">
        <v>1705</v>
      </c>
    </row>
    <row r="156" spans="1:52">
      <c r="A156" s="1206"/>
      <c r="B156" s="1178">
        <v>20</v>
      </c>
      <c r="C156" s="1178"/>
      <c r="D156" s="1229" t="s">
        <v>1706</v>
      </c>
      <c r="E156" s="1186">
        <v>54</v>
      </c>
      <c r="F156" s="1230"/>
      <c r="G156" s="1186">
        <v>56</v>
      </c>
      <c r="H156" s="1230"/>
      <c r="I156" s="1186">
        <v>77</v>
      </c>
      <c r="J156" s="1230"/>
      <c r="K156" s="1186">
        <v>79</v>
      </c>
      <c r="L156" s="1230"/>
      <c r="M156" s="1186">
        <v>84</v>
      </c>
      <c r="N156" s="1230"/>
      <c r="O156" s="1186">
        <v>118</v>
      </c>
      <c r="P156" s="1230"/>
      <c r="Q156" s="1186">
        <v>129</v>
      </c>
      <c r="R156" s="1230"/>
      <c r="S156" s="1186">
        <v>126</v>
      </c>
      <c r="T156" s="1230"/>
      <c r="U156" s="1186">
        <v>125</v>
      </c>
      <c r="V156" s="1230"/>
      <c r="W156" s="1186">
        <v>125</v>
      </c>
      <c r="X156" s="1230"/>
      <c r="Y156" s="1214">
        <v>128</v>
      </c>
      <c r="Z156" s="1215"/>
      <c r="AA156" s="1186">
        <v>137</v>
      </c>
      <c r="AB156" s="1206"/>
      <c r="AC156" s="1186">
        <v>151</v>
      </c>
      <c r="AD156" s="1187"/>
      <c r="AE156" s="1186">
        <v>162</v>
      </c>
      <c r="AF156" s="1206"/>
      <c r="AG156" s="1186">
        <v>163</v>
      </c>
      <c r="AH156" s="1206"/>
      <c r="AI156" s="1186"/>
      <c r="AJ156" s="1206"/>
      <c r="AK156" s="1186"/>
      <c r="AL156" s="1206"/>
      <c r="AM156" s="1186"/>
      <c r="AN156" s="1206"/>
      <c r="AO156" s="1222"/>
      <c r="AP156" s="1229" t="s">
        <v>1707</v>
      </c>
    </row>
    <row r="157" spans="1:52">
      <c r="A157" s="1206"/>
      <c r="B157" s="1178">
        <v>21</v>
      </c>
      <c r="C157" s="1178"/>
      <c r="D157" s="1206" t="s">
        <v>1700</v>
      </c>
      <c r="E157" s="1182" t="s">
        <v>1350</v>
      </c>
      <c r="F157" s="1230"/>
      <c r="G157" s="1182" t="s">
        <v>1350</v>
      </c>
      <c r="H157" s="1230"/>
      <c r="I157" s="1182" t="s">
        <v>1350</v>
      </c>
      <c r="J157" s="1230"/>
      <c r="K157" s="1182" t="s">
        <v>1350</v>
      </c>
      <c r="L157" s="1187"/>
      <c r="M157" s="1182" t="s">
        <v>1350</v>
      </c>
      <c r="N157" s="1230"/>
      <c r="O157" s="1182" t="s">
        <v>1350</v>
      </c>
      <c r="P157" s="1230"/>
      <c r="Q157" s="1182" t="s">
        <v>1350</v>
      </c>
      <c r="R157" s="1230"/>
      <c r="S157" s="1182" t="s">
        <v>1350</v>
      </c>
      <c r="T157" s="1230"/>
      <c r="U157" s="1182" t="s">
        <v>1350</v>
      </c>
      <c r="V157" s="1230"/>
      <c r="W157" s="1182" t="s">
        <v>1350</v>
      </c>
      <c r="X157" s="1230"/>
      <c r="Y157" s="1217" t="s">
        <v>1350</v>
      </c>
      <c r="Z157" s="1215"/>
      <c r="AA157" s="1182" t="s">
        <v>1350</v>
      </c>
      <c r="AB157" s="1206"/>
      <c r="AC157" s="1182" t="s">
        <v>1350</v>
      </c>
      <c r="AD157" s="1187"/>
      <c r="AE157" s="1182" t="s">
        <v>1350</v>
      </c>
      <c r="AF157" s="1206"/>
      <c r="AG157" s="1182" t="s">
        <v>1350</v>
      </c>
      <c r="AH157" s="1206"/>
      <c r="AI157" s="1182" t="s">
        <v>1350</v>
      </c>
      <c r="AJ157" s="1206"/>
      <c r="AK157" s="1182" t="s">
        <v>1350</v>
      </c>
      <c r="AL157" s="1206"/>
      <c r="AM157" s="1182" t="s">
        <v>1350</v>
      </c>
      <c r="AN157" s="1206"/>
      <c r="AO157" s="1222"/>
      <c r="AP157" s="1206" t="s">
        <v>1701</v>
      </c>
    </row>
    <row r="158" spans="1:52">
      <c r="A158" s="1206"/>
      <c r="B158" s="1178"/>
      <c r="C158" s="1178"/>
      <c r="D158" s="1206"/>
      <c r="E158" s="1186"/>
      <c r="F158" s="1230"/>
      <c r="G158" s="1186"/>
      <c r="H158" s="1230"/>
      <c r="I158" s="1186"/>
      <c r="J158" s="1230"/>
      <c r="K158" s="1186"/>
      <c r="L158" s="1230"/>
      <c r="M158" s="1186"/>
      <c r="N158" s="1230"/>
      <c r="O158" s="1186"/>
      <c r="P158" s="1230"/>
      <c r="Q158" s="1186"/>
      <c r="R158" s="1230"/>
      <c r="S158" s="1186"/>
      <c r="T158" s="1230"/>
      <c r="U158" s="1186"/>
      <c r="V158" s="1230"/>
      <c r="W158" s="1186"/>
      <c r="X158" s="1230"/>
      <c r="Y158" s="1214"/>
      <c r="Z158" s="1215"/>
      <c r="AA158" s="1186"/>
      <c r="AB158" s="1206"/>
      <c r="AC158" s="1186"/>
      <c r="AD158" s="1187"/>
      <c r="AE158" s="1186"/>
      <c r="AF158" s="1206"/>
      <c r="AG158" s="1186"/>
      <c r="AH158" s="1206"/>
      <c r="AI158" s="1186"/>
      <c r="AJ158" s="1206"/>
      <c r="AK158" s="1186"/>
      <c r="AL158" s="1206"/>
      <c r="AM158" s="1186"/>
      <c r="AN158" s="1206"/>
      <c r="AO158" s="1222"/>
      <c r="AP158" s="1206"/>
    </row>
    <row r="159" spans="1:52">
      <c r="A159" s="1206"/>
      <c r="B159" s="1178"/>
      <c r="C159" s="1178"/>
      <c r="D159" s="1206"/>
      <c r="E159" s="1186"/>
      <c r="F159" s="1230"/>
      <c r="G159" s="1186"/>
      <c r="H159" s="1230"/>
      <c r="I159" s="1186"/>
      <c r="J159" s="1230"/>
      <c r="K159" s="1186"/>
      <c r="L159" s="1230"/>
      <c r="M159" s="1186"/>
      <c r="N159" s="1230"/>
      <c r="O159" s="1186"/>
      <c r="P159" s="1230"/>
      <c r="Q159" s="1186"/>
      <c r="R159" s="1230"/>
      <c r="S159" s="1186"/>
      <c r="T159" s="1230"/>
      <c r="U159" s="1186"/>
      <c r="V159" s="1230"/>
      <c r="W159" s="1186"/>
      <c r="X159" s="1230"/>
      <c r="Y159" s="1214"/>
      <c r="Z159" s="1215"/>
      <c r="AA159" s="1186"/>
      <c r="AB159" s="1206"/>
      <c r="AC159" s="1186"/>
      <c r="AD159" s="1187"/>
      <c r="AE159" s="1186"/>
      <c r="AF159" s="1206"/>
      <c r="AG159" s="1186"/>
      <c r="AH159" s="1206"/>
      <c r="AI159" s="1186"/>
      <c r="AJ159" s="1206"/>
      <c r="AK159" s="1186"/>
      <c r="AL159" s="1206"/>
      <c r="AM159" s="1186"/>
      <c r="AN159" s="1206"/>
      <c r="AO159" s="1222"/>
      <c r="AP159" s="1206"/>
    </row>
    <row r="160" spans="1:52">
      <c r="A160" s="1206"/>
      <c r="B160" s="1178"/>
      <c r="C160" s="1178"/>
      <c r="D160" s="1223" t="s">
        <v>1708</v>
      </c>
      <c r="E160" s="1186"/>
      <c r="F160" s="1230"/>
      <c r="G160" s="1186"/>
      <c r="H160" s="1230"/>
      <c r="I160" s="1186"/>
      <c r="J160" s="1230"/>
      <c r="K160" s="1186"/>
      <c r="L160" s="1230"/>
      <c r="M160" s="1186"/>
      <c r="N160" s="1230"/>
      <c r="O160" s="1186"/>
      <c r="P160" s="1230"/>
      <c r="Q160" s="1186"/>
      <c r="R160" s="1230"/>
      <c r="S160" s="1186"/>
      <c r="T160" s="1230"/>
      <c r="U160" s="1186"/>
      <c r="V160" s="1230"/>
      <c r="W160" s="1186"/>
      <c r="X160" s="1230"/>
      <c r="Y160" s="1214"/>
      <c r="Z160" s="1215"/>
      <c r="AA160" s="1186"/>
      <c r="AB160" s="1206"/>
      <c r="AC160" s="1186"/>
      <c r="AD160" s="1187"/>
      <c r="AE160" s="1186"/>
      <c r="AF160" s="1206"/>
      <c r="AG160" s="1186"/>
      <c r="AH160" s="1206"/>
      <c r="AI160" s="1186"/>
      <c r="AJ160" s="1206"/>
      <c r="AK160" s="1186"/>
      <c r="AL160" s="1206"/>
      <c r="AM160" s="1186"/>
      <c r="AN160" s="1206"/>
      <c r="AO160" s="1222"/>
      <c r="AP160" s="1223" t="s">
        <v>1709</v>
      </c>
    </row>
    <row r="161" spans="1:42">
      <c r="A161" s="1206"/>
      <c r="B161" s="1178">
        <v>22</v>
      </c>
      <c r="C161" s="1178"/>
      <c r="D161" s="1206" t="s">
        <v>1710</v>
      </c>
      <c r="E161" s="1186">
        <v>343</v>
      </c>
      <c r="F161" s="1230"/>
      <c r="G161" s="1186">
        <v>431</v>
      </c>
      <c r="H161" s="1230"/>
      <c r="I161" s="1186">
        <v>497</v>
      </c>
      <c r="J161" s="1230"/>
      <c r="K161" s="1186">
        <v>511</v>
      </c>
      <c r="L161" s="1230"/>
      <c r="M161" s="1186">
        <v>535</v>
      </c>
      <c r="N161" s="1230"/>
      <c r="O161" s="1186">
        <v>674</v>
      </c>
      <c r="P161" s="1230"/>
      <c r="Q161" s="1186">
        <v>735</v>
      </c>
      <c r="R161" s="1230"/>
      <c r="S161" s="1186">
        <v>976</v>
      </c>
      <c r="T161" s="1230"/>
      <c r="U161" s="1186">
        <v>1084</v>
      </c>
      <c r="V161" s="1230"/>
      <c r="W161" s="1186">
        <v>1071</v>
      </c>
      <c r="X161" s="1230"/>
      <c r="Y161" s="1214">
        <v>1151</v>
      </c>
      <c r="Z161" s="1215"/>
      <c r="AA161" s="1186">
        <v>1240</v>
      </c>
      <c r="AB161" s="1206"/>
      <c r="AC161" s="1186">
        <v>1521</v>
      </c>
      <c r="AD161" s="1187"/>
      <c r="AE161" s="1186">
        <v>1601</v>
      </c>
      <c r="AF161" s="1206"/>
      <c r="AG161" s="1186">
        <v>1687</v>
      </c>
      <c r="AH161" s="1206"/>
      <c r="AI161" s="1186"/>
      <c r="AJ161" s="1206"/>
      <c r="AK161" s="1186"/>
      <c r="AL161" s="1206"/>
      <c r="AM161" s="1186"/>
      <c r="AN161" s="1206"/>
      <c r="AO161" s="1222"/>
      <c r="AP161" s="1206" t="s">
        <v>1711</v>
      </c>
    </row>
    <row r="162" spans="1:42">
      <c r="A162" s="1206"/>
      <c r="B162" s="1178">
        <v>23</v>
      </c>
      <c r="C162" s="1178"/>
      <c r="D162" s="1229" t="s">
        <v>1706</v>
      </c>
      <c r="E162" s="1186">
        <v>61</v>
      </c>
      <c r="F162" s="1230"/>
      <c r="G162" s="1186">
        <v>69</v>
      </c>
      <c r="H162" s="1230"/>
      <c r="I162" s="1186">
        <v>111</v>
      </c>
      <c r="J162" s="1230"/>
      <c r="K162" s="1186">
        <v>115</v>
      </c>
      <c r="L162" s="1230"/>
      <c r="M162" s="1186">
        <v>125</v>
      </c>
      <c r="N162" s="1230"/>
      <c r="O162" s="1186">
        <v>212</v>
      </c>
      <c r="P162" s="1230"/>
      <c r="Q162" s="1186">
        <v>241</v>
      </c>
      <c r="R162" s="1230"/>
      <c r="S162" s="1186">
        <v>236</v>
      </c>
      <c r="T162" s="1230"/>
      <c r="U162" s="1186">
        <v>234</v>
      </c>
      <c r="V162" s="1230"/>
      <c r="W162" s="1186">
        <v>234</v>
      </c>
      <c r="X162" s="1230"/>
      <c r="Y162" s="1214">
        <v>240</v>
      </c>
      <c r="Z162" s="1215"/>
      <c r="AA162" s="1186">
        <v>259</v>
      </c>
      <c r="AB162" s="1206"/>
      <c r="AC162" s="1186">
        <v>319</v>
      </c>
      <c r="AD162" s="1187"/>
      <c r="AE162" s="1186">
        <v>339</v>
      </c>
      <c r="AF162" s="1206"/>
      <c r="AG162" s="1186">
        <v>345</v>
      </c>
      <c r="AH162" s="1206"/>
      <c r="AI162" s="1186"/>
      <c r="AJ162" s="1206"/>
      <c r="AK162" s="1186"/>
      <c r="AL162" s="1206"/>
      <c r="AM162" s="1186"/>
      <c r="AN162" s="1206"/>
      <c r="AO162" s="1222"/>
      <c r="AP162" s="1229" t="s">
        <v>1707</v>
      </c>
    </row>
    <row r="163" spans="1:42">
      <c r="A163" s="1206"/>
      <c r="B163" s="1178">
        <v>24</v>
      </c>
      <c r="C163" s="1178"/>
      <c r="D163" s="1206" t="s">
        <v>1712</v>
      </c>
      <c r="E163" s="1182" t="s">
        <v>1350</v>
      </c>
      <c r="F163" s="1230"/>
      <c r="G163" s="1182" t="s">
        <v>1350</v>
      </c>
      <c r="H163" s="1230"/>
      <c r="I163" s="1182" t="s">
        <v>1350</v>
      </c>
      <c r="J163" s="1230"/>
      <c r="K163" s="1182" t="s">
        <v>1350</v>
      </c>
      <c r="L163" s="1187"/>
      <c r="M163" s="1182" t="s">
        <v>1350</v>
      </c>
      <c r="N163" s="1230"/>
      <c r="O163" s="1182" t="s">
        <v>1350</v>
      </c>
      <c r="P163" s="1230"/>
      <c r="Q163" s="1182" t="s">
        <v>1350</v>
      </c>
      <c r="R163" s="1230"/>
      <c r="S163" s="1182" t="s">
        <v>1350</v>
      </c>
      <c r="T163" s="1230"/>
      <c r="U163" s="1182" t="s">
        <v>1350</v>
      </c>
      <c r="V163" s="1230"/>
      <c r="W163" s="1182" t="s">
        <v>1350</v>
      </c>
      <c r="X163" s="1230"/>
      <c r="Y163" s="1217" t="s">
        <v>1350</v>
      </c>
      <c r="Z163" s="1215"/>
      <c r="AA163" s="1182" t="s">
        <v>1350</v>
      </c>
      <c r="AB163" s="1206"/>
      <c r="AC163" s="1182" t="s">
        <v>1350</v>
      </c>
      <c r="AD163" s="1187"/>
      <c r="AE163" s="1182" t="s">
        <v>1350</v>
      </c>
      <c r="AF163" s="1206"/>
      <c r="AG163" s="1182" t="s">
        <v>1350</v>
      </c>
      <c r="AH163" s="1206"/>
      <c r="AI163" s="1182" t="s">
        <v>1350</v>
      </c>
      <c r="AJ163" s="1206"/>
      <c r="AK163" s="1182" t="s">
        <v>1350</v>
      </c>
      <c r="AL163" s="1206"/>
      <c r="AM163" s="1182" t="s">
        <v>1350</v>
      </c>
      <c r="AN163" s="1206"/>
      <c r="AO163" s="1222"/>
      <c r="AP163" s="1206" t="s">
        <v>1713</v>
      </c>
    </row>
    <row r="164" spans="1:42">
      <c r="A164" s="1206"/>
      <c r="B164" s="1178"/>
      <c r="C164" s="1178"/>
      <c r="D164" s="1206"/>
      <c r="E164" s="1186"/>
      <c r="F164" s="1230"/>
      <c r="G164" s="1186"/>
      <c r="H164" s="1230"/>
      <c r="I164" s="1186"/>
      <c r="J164" s="1230"/>
      <c r="K164" s="1186"/>
      <c r="L164" s="1230"/>
      <c r="M164" s="1186"/>
      <c r="N164" s="1230"/>
      <c r="O164" s="1186"/>
      <c r="P164" s="1230"/>
      <c r="Q164" s="1186"/>
      <c r="R164" s="1230"/>
      <c r="S164" s="1186"/>
      <c r="T164" s="1230"/>
      <c r="U164" s="1186"/>
      <c r="V164" s="1230"/>
      <c r="W164" s="1186"/>
      <c r="X164" s="1230"/>
      <c r="Y164" s="1214"/>
      <c r="Z164" s="1215"/>
      <c r="AA164" s="1186"/>
      <c r="AB164" s="1206"/>
      <c r="AC164" s="1186"/>
      <c r="AD164" s="1187"/>
      <c r="AE164" s="1186"/>
      <c r="AF164" s="1206"/>
      <c r="AG164" s="1186"/>
      <c r="AH164" s="1206"/>
      <c r="AI164" s="1186"/>
      <c r="AJ164" s="1206"/>
      <c r="AK164" s="1186"/>
      <c r="AL164" s="1206"/>
      <c r="AM164" s="1186"/>
      <c r="AN164" s="1206"/>
      <c r="AO164" s="1222"/>
      <c r="AP164" s="1206"/>
    </row>
    <row r="165" spans="1:42">
      <c r="A165" s="1206"/>
      <c r="B165" s="1178"/>
      <c r="C165" s="1178"/>
      <c r="D165" s="1208"/>
      <c r="E165" s="1186"/>
      <c r="F165" s="1230"/>
      <c r="G165" s="1186"/>
      <c r="H165" s="1230"/>
      <c r="I165" s="1186"/>
      <c r="J165" s="1230"/>
      <c r="K165" s="1186"/>
      <c r="L165" s="1230"/>
      <c r="M165" s="1186"/>
      <c r="N165" s="1230"/>
      <c r="O165" s="1186"/>
      <c r="P165" s="1230"/>
      <c r="Q165" s="1186"/>
      <c r="R165" s="1230"/>
      <c r="S165" s="1186"/>
      <c r="T165" s="1230"/>
      <c r="U165" s="1186"/>
      <c r="V165" s="1230"/>
      <c r="W165" s="1186"/>
      <c r="X165" s="1230"/>
      <c r="Y165" s="1214"/>
      <c r="Z165" s="1215"/>
      <c r="AA165" s="1186"/>
      <c r="AB165" s="1206"/>
      <c r="AC165" s="1186"/>
      <c r="AD165" s="1187"/>
      <c r="AE165" s="1186"/>
      <c r="AF165" s="1206"/>
      <c r="AG165" s="1186"/>
      <c r="AH165" s="1206"/>
      <c r="AI165" s="1186"/>
      <c r="AJ165" s="1206"/>
      <c r="AK165" s="1186"/>
      <c r="AL165" s="1206"/>
      <c r="AM165" s="1186"/>
      <c r="AN165" s="1206"/>
      <c r="AO165" s="1222"/>
      <c r="AP165" s="1208"/>
    </row>
    <row r="166" spans="1:42">
      <c r="A166" s="1206"/>
      <c r="B166" s="1178"/>
      <c r="C166" s="1178"/>
      <c r="D166" s="1223" t="s">
        <v>1714</v>
      </c>
      <c r="E166" s="1186"/>
      <c r="F166" s="1230"/>
      <c r="G166" s="1186"/>
      <c r="H166" s="1230"/>
      <c r="I166" s="1186"/>
      <c r="J166" s="1230"/>
      <c r="K166" s="1186"/>
      <c r="L166" s="1230"/>
      <c r="M166" s="1186"/>
      <c r="N166" s="1230"/>
      <c r="O166" s="1186"/>
      <c r="P166" s="1230"/>
      <c r="Q166" s="1186"/>
      <c r="R166" s="1230"/>
      <c r="S166" s="1186"/>
      <c r="T166" s="1230"/>
      <c r="U166" s="1186"/>
      <c r="V166" s="1230"/>
      <c r="W166" s="1186"/>
      <c r="X166" s="1230"/>
      <c r="Y166" s="1214"/>
      <c r="Z166" s="1215"/>
      <c r="AA166" s="1186"/>
      <c r="AB166" s="1206"/>
      <c r="AC166" s="1186"/>
      <c r="AD166" s="1187"/>
      <c r="AE166" s="1186"/>
      <c r="AF166" s="1206"/>
      <c r="AG166" s="1186"/>
      <c r="AH166" s="1206"/>
      <c r="AI166" s="1186"/>
      <c r="AJ166" s="1206"/>
      <c r="AK166" s="1186"/>
      <c r="AL166" s="1206"/>
      <c r="AM166" s="1186"/>
      <c r="AN166" s="1206"/>
      <c r="AO166" s="1222"/>
      <c r="AP166" s="1223" t="s">
        <v>1715</v>
      </c>
    </row>
    <row r="167" spans="1:42">
      <c r="A167" s="1206"/>
      <c r="B167" s="1178">
        <v>25</v>
      </c>
      <c r="C167" s="1178"/>
      <c r="D167" s="1206" t="s">
        <v>1704</v>
      </c>
      <c r="E167" s="1186">
        <v>20</v>
      </c>
      <c r="F167" s="1230"/>
      <c r="G167" s="1186">
        <v>20</v>
      </c>
      <c r="H167" s="1230"/>
      <c r="I167" s="1186">
        <v>22</v>
      </c>
      <c r="J167" s="1230"/>
      <c r="K167" s="1186">
        <v>18</v>
      </c>
      <c r="L167" s="1230"/>
      <c r="M167" s="1186">
        <v>17</v>
      </c>
      <c r="N167" s="1230"/>
      <c r="O167" s="1186">
        <v>20</v>
      </c>
      <c r="P167" s="1230"/>
      <c r="Q167" s="1186">
        <v>25</v>
      </c>
      <c r="R167" s="1230"/>
      <c r="S167" s="1186">
        <v>23</v>
      </c>
      <c r="T167" s="1230"/>
      <c r="U167" s="1186">
        <v>24</v>
      </c>
      <c r="V167" s="1230"/>
      <c r="W167" s="1186">
        <v>27</v>
      </c>
      <c r="X167" s="1230"/>
      <c r="Y167" s="1214">
        <v>35</v>
      </c>
      <c r="Z167" s="1215"/>
      <c r="AA167" s="1186">
        <v>36</v>
      </c>
      <c r="AB167" s="1206"/>
      <c r="AC167" s="1186">
        <v>34</v>
      </c>
      <c r="AD167" s="1187"/>
      <c r="AE167" s="1186">
        <v>34</v>
      </c>
      <c r="AF167" s="1206"/>
      <c r="AG167" s="1186">
        <v>33</v>
      </c>
      <c r="AH167" s="1206"/>
      <c r="AI167" s="1186"/>
      <c r="AJ167" s="1206"/>
      <c r="AK167" s="1186"/>
      <c r="AL167" s="1206"/>
      <c r="AM167" s="1186"/>
      <c r="AN167" s="1206"/>
      <c r="AO167" s="1222"/>
      <c r="AP167" s="1206" t="s">
        <v>1705</v>
      </c>
    </row>
    <row r="168" spans="1:42">
      <c r="A168" s="1206"/>
      <c r="B168" s="1178">
        <v>26</v>
      </c>
      <c r="C168" s="1178"/>
      <c r="D168" s="1206" t="s">
        <v>1700</v>
      </c>
      <c r="E168" s="1186">
        <v>66</v>
      </c>
      <c r="F168" s="1230"/>
      <c r="G168" s="1186">
        <v>66</v>
      </c>
      <c r="H168" s="1230"/>
      <c r="I168" s="1186">
        <v>63</v>
      </c>
      <c r="J168" s="1230"/>
      <c r="K168" s="1186">
        <v>65</v>
      </c>
      <c r="L168" s="1230"/>
      <c r="M168" s="1186">
        <v>46</v>
      </c>
      <c r="N168" s="1230"/>
      <c r="O168" s="1186">
        <v>42</v>
      </c>
      <c r="P168" s="1230"/>
      <c r="Q168" s="1186">
        <v>38</v>
      </c>
      <c r="R168" s="1230"/>
      <c r="S168" s="1186">
        <v>35</v>
      </c>
      <c r="T168" s="1230"/>
      <c r="U168" s="1186">
        <v>36</v>
      </c>
      <c r="V168" s="1230"/>
      <c r="W168" s="1186">
        <v>37</v>
      </c>
      <c r="X168" s="1230"/>
      <c r="Y168" s="1214">
        <v>30</v>
      </c>
      <c r="Z168" s="1215"/>
      <c r="AA168" s="1186">
        <v>25</v>
      </c>
      <c r="AB168" s="1206"/>
      <c r="AC168" s="1186">
        <v>22</v>
      </c>
      <c r="AD168" s="1187"/>
      <c r="AE168" s="1186">
        <v>15</v>
      </c>
      <c r="AF168" s="1187" t="s">
        <v>203</v>
      </c>
      <c r="AG168" s="1186">
        <v>15</v>
      </c>
      <c r="AH168" s="1206"/>
      <c r="AI168" s="1186"/>
      <c r="AJ168" s="1206"/>
      <c r="AK168" s="1186"/>
      <c r="AL168" s="1206"/>
      <c r="AM168" s="1186"/>
      <c r="AN168" s="1206"/>
      <c r="AO168" s="1182"/>
      <c r="AP168" s="1206" t="s">
        <v>1701</v>
      </c>
    </row>
    <row r="169" spans="1:42">
      <c r="A169" s="1206"/>
      <c r="B169" s="1178"/>
      <c r="C169" s="1178"/>
      <c r="D169" s="1176"/>
      <c r="E169" s="1186"/>
      <c r="F169" s="1230"/>
      <c r="G169" s="1186"/>
      <c r="H169" s="1230"/>
      <c r="I169" s="1186"/>
      <c r="J169" s="1230"/>
      <c r="K169" s="1186"/>
      <c r="L169" s="1230"/>
      <c r="M169" s="1186"/>
      <c r="N169" s="1230"/>
      <c r="O169" s="1186"/>
      <c r="P169" s="1230"/>
      <c r="Q169" s="1186"/>
      <c r="R169" s="1230"/>
      <c r="S169" s="1186"/>
      <c r="T169" s="1230"/>
      <c r="U169" s="1186"/>
      <c r="V169" s="1230"/>
      <c r="W169" s="1186"/>
      <c r="X169" s="1230"/>
      <c r="Y169" s="1214"/>
      <c r="Z169" s="1215"/>
      <c r="AA169" s="1186"/>
      <c r="AB169" s="1206"/>
      <c r="AC169" s="1186"/>
      <c r="AD169" s="1187"/>
      <c r="AE169" s="1186"/>
      <c r="AF169" s="1206"/>
      <c r="AG169" s="1186"/>
      <c r="AH169" s="1206"/>
      <c r="AI169" s="1186"/>
      <c r="AJ169" s="1206"/>
      <c r="AK169" s="1186"/>
      <c r="AL169" s="1206"/>
      <c r="AM169" s="1186"/>
      <c r="AN169" s="1206"/>
      <c r="AO169" s="1182"/>
      <c r="AP169" s="1176"/>
    </row>
    <row r="170" spans="1:42">
      <c r="A170" s="1206"/>
      <c r="B170" s="1178"/>
      <c r="C170" s="1178"/>
      <c r="D170" s="1208"/>
      <c r="E170" s="1186"/>
      <c r="F170" s="1230"/>
      <c r="G170" s="1186"/>
      <c r="H170" s="1230"/>
      <c r="I170" s="1186"/>
      <c r="J170" s="1230"/>
      <c r="K170" s="1186"/>
      <c r="L170" s="1230"/>
      <c r="M170" s="1186"/>
      <c r="N170" s="1230"/>
      <c r="O170" s="1186"/>
      <c r="P170" s="1230"/>
      <c r="Q170" s="1186"/>
      <c r="R170" s="1230"/>
      <c r="S170" s="1186"/>
      <c r="T170" s="1230"/>
      <c r="U170" s="1186"/>
      <c r="V170" s="1230"/>
      <c r="W170" s="1186"/>
      <c r="X170" s="1230"/>
      <c r="Y170" s="1214"/>
      <c r="Z170" s="1215"/>
      <c r="AA170" s="1186"/>
      <c r="AB170" s="1206"/>
      <c r="AC170" s="1186"/>
      <c r="AD170" s="1187"/>
      <c r="AE170" s="1186"/>
      <c r="AF170" s="1206"/>
      <c r="AG170" s="1186"/>
      <c r="AH170" s="1206"/>
      <c r="AI170" s="1186"/>
      <c r="AJ170" s="1206"/>
      <c r="AK170" s="1186"/>
      <c r="AL170" s="1206"/>
      <c r="AM170" s="1186"/>
      <c r="AN170" s="1206"/>
      <c r="AO170" s="1182"/>
      <c r="AP170" s="1208"/>
    </row>
    <row r="171" spans="1:42">
      <c r="A171" s="1206"/>
      <c r="B171" s="1178"/>
      <c r="C171" s="1178"/>
      <c r="D171" s="1223" t="s">
        <v>1716</v>
      </c>
      <c r="E171" s="1186"/>
      <c r="F171" s="1230"/>
      <c r="G171" s="1186"/>
      <c r="H171" s="1230"/>
      <c r="I171" s="1186"/>
      <c r="J171" s="1230"/>
      <c r="K171" s="1186"/>
      <c r="L171" s="1230"/>
      <c r="M171" s="1186"/>
      <c r="N171" s="1230"/>
      <c r="O171" s="1186"/>
      <c r="P171" s="1230"/>
      <c r="Q171" s="1186"/>
      <c r="R171" s="1230"/>
      <c r="S171" s="1186"/>
      <c r="T171" s="1230"/>
      <c r="U171" s="1186"/>
      <c r="V171" s="1230"/>
      <c r="W171" s="1186"/>
      <c r="X171" s="1230"/>
      <c r="Y171" s="1214"/>
      <c r="Z171" s="1215"/>
      <c r="AA171" s="1186"/>
      <c r="AB171" s="1206"/>
      <c r="AC171" s="1186"/>
      <c r="AD171" s="1187"/>
      <c r="AE171" s="1186"/>
      <c r="AF171" s="1206"/>
      <c r="AG171" s="1186"/>
      <c r="AH171" s="1206"/>
      <c r="AI171" s="1186"/>
      <c r="AJ171" s="1206"/>
      <c r="AK171" s="1186"/>
      <c r="AL171" s="1206"/>
      <c r="AM171" s="1186"/>
      <c r="AN171" s="1206"/>
      <c r="AO171" s="1222"/>
      <c r="AP171" s="1223" t="s">
        <v>1717</v>
      </c>
    </row>
    <row r="172" spans="1:42">
      <c r="A172" s="1206"/>
      <c r="B172" s="1178">
        <v>27</v>
      </c>
      <c r="C172" s="1178"/>
      <c r="D172" s="1206" t="s">
        <v>1710</v>
      </c>
      <c r="E172" s="1186">
        <v>20</v>
      </c>
      <c r="F172" s="1230"/>
      <c r="G172" s="1186">
        <v>20</v>
      </c>
      <c r="H172" s="1230"/>
      <c r="I172" s="1186">
        <v>24</v>
      </c>
      <c r="J172" s="1230"/>
      <c r="K172" s="1186">
        <v>47</v>
      </c>
      <c r="L172" s="1230"/>
      <c r="M172" s="1186">
        <v>39</v>
      </c>
      <c r="N172" s="1230"/>
      <c r="O172" s="1186">
        <v>40</v>
      </c>
      <c r="P172" s="1230"/>
      <c r="Q172" s="1186">
        <v>50</v>
      </c>
      <c r="R172" s="1230"/>
      <c r="S172" s="1186">
        <v>46</v>
      </c>
      <c r="T172" s="1230"/>
      <c r="U172" s="1186">
        <v>47</v>
      </c>
      <c r="V172" s="1230"/>
      <c r="W172" s="1186">
        <v>53</v>
      </c>
      <c r="X172" s="1230"/>
      <c r="Y172" s="1214">
        <v>69</v>
      </c>
      <c r="Z172" s="1215"/>
      <c r="AA172" s="1186">
        <v>71</v>
      </c>
      <c r="AB172" s="1206"/>
      <c r="AC172" s="1186">
        <v>68</v>
      </c>
      <c r="AD172" s="1187"/>
      <c r="AE172" s="1186">
        <v>68</v>
      </c>
      <c r="AF172" s="1206"/>
      <c r="AG172" s="1186">
        <v>66</v>
      </c>
      <c r="AH172" s="1206"/>
      <c r="AI172" s="1186"/>
      <c r="AJ172" s="1206"/>
      <c r="AK172" s="1186"/>
      <c r="AL172" s="1206"/>
      <c r="AM172" s="1186"/>
      <c r="AN172" s="1206"/>
      <c r="AO172" s="1222"/>
      <c r="AP172" s="1206" t="s">
        <v>1711</v>
      </c>
    </row>
    <row r="173" spans="1:42">
      <c r="A173" s="1206"/>
      <c r="B173" s="1178">
        <v>28</v>
      </c>
      <c r="C173" s="1178"/>
      <c r="D173" s="1206" t="s">
        <v>1712</v>
      </c>
      <c r="E173" s="1186">
        <v>66</v>
      </c>
      <c r="F173" s="1230"/>
      <c r="G173" s="1186">
        <v>66</v>
      </c>
      <c r="H173" s="1230"/>
      <c r="I173" s="1186">
        <v>63</v>
      </c>
      <c r="J173" s="1230"/>
      <c r="K173" s="1186">
        <v>65</v>
      </c>
      <c r="L173" s="1230"/>
      <c r="M173" s="1186">
        <v>46</v>
      </c>
      <c r="N173" s="1230"/>
      <c r="O173" s="1186">
        <v>42</v>
      </c>
      <c r="P173" s="1230"/>
      <c r="Q173" s="1186">
        <v>38</v>
      </c>
      <c r="R173" s="1230"/>
      <c r="S173" s="1186">
        <v>35</v>
      </c>
      <c r="T173" s="1230"/>
      <c r="U173" s="1186">
        <v>36</v>
      </c>
      <c r="V173" s="1230"/>
      <c r="W173" s="1186">
        <v>37</v>
      </c>
      <c r="X173" s="1230"/>
      <c r="Y173" s="1214">
        <v>30</v>
      </c>
      <c r="Z173" s="1215"/>
      <c r="AA173" s="1186">
        <v>25</v>
      </c>
      <c r="AB173" s="1206"/>
      <c r="AC173" s="1186">
        <v>22</v>
      </c>
      <c r="AD173" s="1187"/>
      <c r="AE173" s="1186">
        <v>15</v>
      </c>
      <c r="AF173" s="1187" t="s">
        <v>203</v>
      </c>
      <c r="AG173" s="1186">
        <v>15</v>
      </c>
      <c r="AH173" s="1206"/>
      <c r="AI173" s="1186"/>
      <c r="AJ173" s="1206"/>
      <c r="AK173" s="1186"/>
      <c r="AL173" s="1206"/>
      <c r="AM173" s="1186"/>
      <c r="AN173" s="1206"/>
      <c r="AO173" s="1182"/>
      <c r="AP173" s="1206" t="s">
        <v>1713</v>
      </c>
    </row>
    <row r="174" spans="1:42">
      <c r="A174" s="1206"/>
      <c r="B174" s="1178"/>
      <c r="C174" s="1178"/>
      <c r="D174" s="1176"/>
      <c r="E174" s="1186"/>
      <c r="F174" s="1230"/>
      <c r="G174" s="1186"/>
      <c r="H174" s="1230"/>
      <c r="I174" s="1186"/>
      <c r="J174" s="1230"/>
      <c r="K174" s="1186"/>
      <c r="L174" s="1230"/>
      <c r="M174" s="1186"/>
      <c r="N174" s="1230"/>
      <c r="O174" s="1186"/>
      <c r="P174" s="1230"/>
      <c r="Q174" s="1186"/>
      <c r="R174" s="1230"/>
      <c r="S174" s="1186"/>
      <c r="T174" s="1230"/>
      <c r="U174" s="1186"/>
      <c r="V174" s="1230"/>
      <c r="W174" s="1186"/>
      <c r="X174" s="1230"/>
      <c r="Y174" s="1214">
        <f>SUM(Y172:Y173)</f>
        <v>99</v>
      </c>
      <c r="Z174" s="1215"/>
      <c r="AA174" s="1186"/>
      <c r="AB174" s="1206"/>
      <c r="AC174" s="1186"/>
      <c r="AD174" s="1206"/>
      <c r="AE174" s="1186"/>
      <c r="AF174" s="1206"/>
      <c r="AG174" s="1186"/>
      <c r="AH174" s="1206"/>
      <c r="AI174" s="1186"/>
      <c r="AJ174" s="1206"/>
      <c r="AK174" s="1186"/>
      <c r="AL174" s="1206"/>
      <c r="AM174" s="1186"/>
      <c r="AN174" s="1206"/>
      <c r="AO174" s="1182"/>
      <c r="AP174" s="1176"/>
    </row>
    <row r="175" spans="1:42">
      <c r="A175" s="1206"/>
      <c r="B175" s="1178"/>
      <c r="C175" s="1178"/>
      <c r="D175" s="1176"/>
      <c r="E175" s="1186"/>
      <c r="F175" s="1230"/>
      <c r="G175" s="1186"/>
      <c r="H175" s="1230"/>
      <c r="I175" s="1186"/>
      <c r="J175" s="1230"/>
      <c r="K175" s="1186"/>
      <c r="L175" s="1230"/>
      <c r="M175" s="1186"/>
      <c r="N175" s="1230"/>
      <c r="O175" s="1186"/>
      <c r="P175" s="1230"/>
      <c r="Q175" s="1186"/>
      <c r="R175" s="1230"/>
      <c r="S175" s="1186"/>
      <c r="T175" s="1230"/>
      <c r="U175" s="1186"/>
      <c r="V175" s="1230"/>
      <c r="W175" s="1186"/>
      <c r="X175" s="1230"/>
      <c r="Y175" s="1214"/>
      <c r="Z175" s="1215"/>
      <c r="AA175" s="1186"/>
      <c r="AB175" s="1206"/>
      <c r="AC175" s="1186"/>
      <c r="AD175" s="1206"/>
      <c r="AE175" s="1186"/>
      <c r="AF175" s="1206"/>
      <c r="AG175" s="1186"/>
      <c r="AH175" s="1206"/>
      <c r="AI175" s="1186"/>
      <c r="AJ175" s="1206"/>
      <c r="AK175" s="1186"/>
      <c r="AL175" s="1206"/>
      <c r="AM175" s="1186"/>
      <c r="AN175" s="1206"/>
      <c r="AO175" s="1182"/>
      <c r="AP175" s="1176"/>
    </row>
    <row r="176" spans="1:42">
      <c r="A176" s="1206"/>
      <c r="B176" s="1178"/>
      <c r="C176" s="1178"/>
      <c r="D176" s="1206"/>
      <c r="E176" s="1186"/>
      <c r="F176" s="1230"/>
      <c r="G176" s="1186"/>
      <c r="H176" s="1230"/>
      <c r="I176" s="1186"/>
      <c r="J176" s="1230"/>
      <c r="K176" s="1186"/>
      <c r="L176" s="1230"/>
      <c r="M176" s="1186"/>
      <c r="N176" s="1230"/>
      <c r="O176" s="1186"/>
      <c r="P176" s="1230"/>
      <c r="Q176" s="1186"/>
      <c r="R176" s="1230"/>
      <c r="S176" s="1186"/>
      <c r="T176" s="1230"/>
      <c r="U176" s="1186"/>
      <c r="V176" s="1230"/>
      <c r="W176" s="1186"/>
      <c r="X176" s="1230"/>
      <c r="Y176" s="1214"/>
      <c r="Z176" s="1215"/>
      <c r="AA176" s="1186"/>
      <c r="AB176" s="1206"/>
      <c r="AC176" s="1186"/>
      <c r="AD176" s="1206"/>
      <c r="AE176" s="1186"/>
      <c r="AF176" s="1206"/>
      <c r="AG176" s="1186"/>
      <c r="AH176" s="1206"/>
      <c r="AI176" s="1186"/>
      <c r="AJ176" s="1206"/>
      <c r="AK176" s="1186"/>
      <c r="AL176" s="1206"/>
      <c r="AM176" s="1186"/>
      <c r="AN176" s="1206"/>
      <c r="AO176" s="1222"/>
      <c r="AP176" s="1206"/>
    </row>
    <row r="177" spans="1:42">
      <c r="A177" s="1206"/>
      <c r="B177" s="1178">
        <v>29</v>
      </c>
      <c r="C177" s="1178"/>
      <c r="D177" s="1224" t="s">
        <v>1718</v>
      </c>
      <c r="E177" s="1225">
        <v>418</v>
      </c>
      <c r="F177" s="1226"/>
      <c r="G177" s="1225">
        <v>467</v>
      </c>
      <c r="H177" s="1226"/>
      <c r="I177" s="1225">
        <v>499</v>
      </c>
      <c r="J177" s="1226"/>
      <c r="K177" s="1225">
        <v>506</v>
      </c>
      <c r="L177" s="1226"/>
      <c r="M177" s="1225">
        <v>498</v>
      </c>
      <c r="N177" s="1226"/>
      <c r="O177" s="1225">
        <v>536</v>
      </c>
      <c r="P177" s="1226"/>
      <c r="Q177" s="1225">
        <v>558</v>
      </c>
      <c r="R177" s="1226"/>
      <c r="S177" s="1225">
        <v>560</v>
      </c>
      <c r="T177" s="1226"/>
      <c r="U177" s="1225">
        <v>577</v>
      </c>
      <c r="V177" s="1226"/>
      <c r="W177" s="1225">
        <v>569</v>
      </c>
      <c r="X177" s="1226"/>
      <c r="Y177" s="1290">
        <v>585</v>
      </c>
      <c r="Z177" s="1304"/>
      <c r="AA177" s="1225">
        <v>603</v>
      </c>
      <c r="AB177" s="1224"/>
      <c r="AC177" s="1225">
        <v>657</v>
      </c>
      <c r="AD177" s="1227"/>
      <c r="AE177" s="1225">
        <v>661</v>
      </c>
      <c r="AF177" s="1187" t="s">
        <v>203</v>
      </c>
      <c r="AG177" s="1225">
        <v>694</v>
      </c>
      <c r="AH177" s="1187"/>
      <c r="AI177" s="1225"/>
      <c r="AJ177" s="1187"/>
      <c r="AK177" s="1225"/>
      <c r="AL177" s="1187"/>
      <c r="AM177" s="1225"/>
      <c r="AN177" s="1187"/>
      <c r="AO177" s="1231"/>
      <c r="AP177" s="1224" t="s">
        <v>1719</v>
      </c>
    </row>
    <row r="178" spans="1:42">
      <c r="A178" s="1206"/>
      <c r="B178" s="1178"/>
      <c r="C178" s="1178"/>
      <c r="D178" s="1224" t="s">
        <v>1720</v>
      </c>
      <c r="E178" s="1225"/>
      <c r="F178" s="1226"/>
      <c r="G178" s="1225"/>
      <c r="H178" s="1226"/>
      <c r="I178" s="1225"/>
      <c r="J178" s="1226"/>
      <c r="K178" s="1225"/>
      <c r="L178" s="1226"/>
      <c r="M178" s="1225"/>
      <c r="N178" s="1226"/>
      <c r="O178" s="1225"/>
      <c r="P178" s="1226"/>
      <c r="Q178" s="1225"/>
      <c r="R178" s="1226"/>
      <c r="S178" s="1225"/>
      <c r="T178" s="1226"/>
      <c r="U178" s="1225"/>
      <c r="V178" s="1226"/>
      <c r="W178" s="1225"/>
      <c r="X178" s="1226"/>
      <c r="Y178" s="1290"/>
      <c r="Z178" s="1304"/>
      <c r="AA178" s="1225"/>
      <c r="AB178" s="1224"/>
      <c r="AC178" s="1225"/>
      <c r="AD178" s="1187"/>
      <c r="AE178" s="1225"/>
      <c r="AF178" s="1187"/>
      <c r="AG178" s="1225"/>
      <c r="AH178" s="1187"/>
      <c r="AI178" s="1225"/>
      <c r="AJ178" s="1187"/>
      <c r="AK178" s="1225"/>
      <c r="AL178" s="1187"/>
      <c r="AM178" s="1225"/>
      <c r="AN178" s="1187"/>
      <c r="AO178" s="1231"/>
      <c r="AP178" s="1224"/>
    </row>
    <row r="179" spans="1:42">
      <c r="A179" s="1206"/>
      <c r="B179" s="1178">
        <v>30</v>
      </c>
      <c r="C179" s="1178"/>
      <c r="D179" s="1224" t="s">
        <v>1721</v>
      </c>
      <c r="E179" s="1225">
        <v>429</v>
      </c>
      <c r="F179" s="1226"/>
      <c r="G179" s="1225">
        <v>517</v>
      </c>
      <c r="H179" s="1226"/>
      <c r="I179" s="1225">
        <v>584</v>
      </c>
      <c r="J179" s="1226"/>
      <c r="K179" s="1225">
        <v>623</v>
      </c>
      <c r="L179" s="1226"/>
      <c r="M179" s="1225">
        <v>620</v>
      </c>
      <c r="N179" s="1226"/>
      <c r="O179" s="1225">
        <v>756</v>
      </c>
      <c r="P179" s="1226"/>
      <c r="Q179" s="1225">
        <v>823</v>
      </c>
      <c r="R179" s="1226"/>
      <c r="S179" s="1225">
        <v>1057</v>
      </c>
      <c r="T179" s="1226"/>
      <c r="U179" s="1225">
        <v>1167</v>
      </c>
      <c r="V179" s="1226"/>
      <c r="W179" s="1225">
        <v>1161</v>
      </c>
      <c r="X179" s="1226"/>
      <c r="Y179" s="1309">
        <v>1250</v>
      </c>
      <c r="Z179" s="1304"/>
      <c r="AA179" s="1225">
        <v>1336</v>
      </c>
      <c r="AB179" s="1224"/>
      <c r="AC179" s="1225">
        <v>1611</v>
      </c>
      <c r="AD179" s="1187"/>
      <c r="AE179" s="1225">
        <v>1684</v>
      </c>
      <c r="AF179" s="1187" t="s">
        <v>203</v>
      </c>
      <c r="AG179" s="1225">
        <v>1768</v>
      </c>
      <c r="AH179" s="1187"/>
      <c r="AI179" s="1225"/>
      <c r="AJ179" s="1187"/>
      <c r="AK179" s="1225"/>
      <c r="AL179" s="1187"/>
      <c r="AM179" s="1225"/>
      <c r="AN179" s="1187"/>
      <c r="AO179" s="1231"/>
      <c r="AP179" s="1224" t="s">
        <v>1722</v>
      </c>
    </row>
    <row r="180" spans="1:42">
      <c r="A180" s="1206"/>
      <c r="B180" s="1178"/>
      <c r="C180" s="1178"/>
      <c r="D180" s="1224" t="s">
        <v>1723</v>
      </c>
      <c r="E180" s="1224"/>
      <c r="F180" s="1226"/>
      <c r="G180" s="1224"/>
      <c r="H180" s="1226"/>
      <c r="I180" s="1224"/>
      <c r="J180" s="1226"/>
      <c r="K180" s="1224"/>
      <c r="L180" s="1226"/>
      <c r="M180" s="1224"/>
      <c r="N180" s="1226"/>
      <c r="O180" s="1224"/>
      <c r="P180" s="1226"/>
      <c r="Q180" s="1224"/>
      <c r="R180" s="1226"/>
      <c r="S180" s="1224"/>
      <c r="T180" s="1226"/>
      <c r="U180" s="1224"/>
      <c r="V180" s="1226"/>
      <c r="W180" s="1224"/>
      <c r="X180" s="1226"/>
      <c r="Y180" s="1308"/>
      <c r="Z180" s="1304"/>
      <c r="AA180" s="1225"/>
      <c r="AB180" s="1224"/>
      <c r="AC180" s="1225"/>
      <c r="AD180" s="1224"/>
      <c r="AE180" s="1225"/>
      <c r="AF180" s="1224"/>
      <c r="AG180" s="1225"/>
      <c r="AH180" s="1224"/>
      <c r="AI180" s="1225"/>
      <c r="AJ180" s="1224"/>
      <c r="AK180" s="1225"/>
      <c r="AL180" s="1224"/>
      <c r="AM180" s="1225"/>
      <c r="AN180" s="1224"/>
      <c r="AO180" s="1231"/>
      <c r="AP180" s="1224" t="s">
        <v>1724</v>
      </c>
    </row>
    <row r="181" spans="1:42">
      <c r="A181" s="1206"/>
      <c r="B181" s="1243"/>
      <c r="C181" s="1243"/>
      <c r="D181" s="1243"/>
      <c r="E181" s="1243"/>
      <c r="F181" s="1243"/>
      <c r="G181" s="1243"/>
      <c r="H181" s="1243"/>
      <c r="I181" s="1243"/>
      <c r="J181" s="1243"/>
      <c r="K181" s="1243"/>
      <c r="L181" s="1243"/>
      <c r="M181" s="1243"/>
      <c r="N181" s="1243"/>
      <c r="O181" s="1243"/>
      <c r="P181" s="1243"/>
      <c r="Q181" s="1243"/>
      <c r="R181" s="1243"/>
      <c r="S181" s="1243"/>
      <c r="T181" s="1243"/>
      <c r="U181" s="1243"/>
      <c r="V181" s="1243"/>
      <c r="W181" s="1218"/>
      <c r="X181" s="1218"/>
      <c r="Y181" s="1310">
        <f>Y179+Y131</f>
        <v>1985</v>
      </c>
      <c r="Z181" s="1298"/>
      <c r="AA181" s="1243"/>
      <c r="AB181" s="1243"/>
      <c r="AC181" s="1243"/>
      <c r="AD181" s="1243"/>
      <c r="AE181" s="1243"/>
      <c r="AF181" s="1243"/>
      <c r="AG181" s="1243"/>
      <c r="AH181" s="1243"/>
      <c r="AI181" s="1243"/>
      <c r="AJ181" s="1243"/>
      <c r="AK181" s="1243"/>
      <c r="AL181" s="1243"/>
      <c r="AM181" s="1243"/>
      <c r="AN181" s="1243"/>
      <c r="AO181" s="1243"/>
      <c r="AP181" s="1243"/>
    </row>
    <row r="182" spans="1:42" ht="13.8">
      <c r="A182" s="1168"/>
      <c r="B182" s="1176"/>
      <c r="C182" s="1176"/>
      <c r="D182" s="1176"/>
      <c r="E182" s="1176"/>
      <c r="F182" s="1176"/>
      <c r="G182" s="1176"/>
      <c r="H182" s="1176"/>
      <c r="I182" s="1176"/>
      <c r="J182" s="1176"/>
      <c r="K182" s="1176"/>
      <c r="L182" s="1176"/>
      <c r="M182" s="1176"/>
      <c r="N182" s="1176"/>
      <c r="O182" s="1176"/>
      <c r="P182" s="1176"/>
      <c r="Q182" s="1176"/>
      <c r="R182" s="1176"/>
      <c r="S182" s="1176"/>
      <c r="T182" s="1176"/>
      <c r="U182" s="1176"/>
      <c r="V182" s="1176"/>
      <c r="W182" s="1176"/>
      <c r="X182" s="1176"/>
      <c r="Y182" s="1295">
        <f>Y161+Y172+Y173</f>
        <v>1250</v>
      </c>
      <c r="Z182" s="1285"/>
      <c r="AA182" s="1176"/>
      <c r="AB182" s="1176"/>
      <c r="AC182" s="1176"/>
      <c r="AD182" s="1176"/>
      <c r="AE182" s="1176"/>
      <c r="AF182" s="1176"/>
      <c r="AG182" s="1176"/>
      <c r="AH182" s="1176"/>
      <c r="AI182" s="1176"/>
      <c r="AJ182" s="1176"/>
      <c r="AK182" s="1176"/>
      <c r="AL182" s="1176"/>
      <c r="AM182" s="1176"/>
      <c r="AN182" s="1176"/>
      <c r="AO182" s="1176"/>
      <c r="AP182" s="1176"/>
    </row>
    <row r="183" spans="1:42" ht="13.8">
      <c r="A183" s="1168"/>
      <c r="B183" s="1176"/>
      <c r="C183" s="1176"/>
      <c r="D183" s="1176"/>
      <c r="E183" s="1176"/>
      <c r="F183" s="1176"/>
      <c r="G183" s="1176"/>
      <c r="H183" s="1176"/>
      <c r="I183" s="1176"/>
      <c r="J183" s="1176"/>
      <c r="K183" s="1176"/>
      <c r="L183" s="1176"/>
      <c r="M183" s="1176"/>
      <c r="N183" s="1176"/>
      <c r="O183" s="1176"/>
      <c r="P183" s="1176"/>
      <c r="Q183" s="1176"/>
      <c r="R183" s="1176"/>
      <c r="S183" s="1176"/>
      <c r="T183" s="1176"/>
      <c r="U183" s="1176"/>
      <c r="V183" s="1176"/>
      <c r="W183" s="1176"/>
      <c r="X183" s="1176"/>
      <c r="Y183" s="1285"/>
      <c r="Z183" s="1285"/>
      <c r="AA183" s="1176"/>
      <c r="AB183" s="1176"/>
      <c r="AC183" s="1176"/>
      <c r="AD183" s="1176"/>
      <c r="AE183" s="1176"/>
      <c r="AF183" s="1176"/>
      <c r="AG183" s="1176"/>
      <c r="AH183" s="1176"/>
      <c r="AI183" s="1176"/>
      <c r="AJ183" s="1176"/>
      <c r="AK183" s="1176"/>
      <c r="AL183" s="1176"/>
      <c r="AM183" s="1176"/>
      <c r="AN183" s="1176"/>
      <c r="AO183" s="1176"/>
      <c r="AP183" s="1176"/>
    </row>
    <row r="184" spans="1:42" ht="13.8">
      <c r="A184" s="1168"/>
      <c r="B184" s="1176"/>
      <c r="C184" s="1176"/>
      <c r="D184" s="1176"/>
      <c r="E184" s="1176"/>
      <c r="F184" s="1176"/>
      <c r="G184" s="1176"/>
      <c r="H184" s="1176"/>
      <c r="I184" s="1176"/>
      <c r="J184" s="1176"/>
      <c r="K184" s="1176"/>
      <c r="L184" s="1176"/>
      <c r="M184" s="1176"/>
      <c r="N184" s="1176"/>
      <c r="O184" s="1176"/>
      <c r="P184" s="1176"/>
      <c r="Q184" s="1176"/>
      <c r="R184" s="1176"/>
      <c r="S184" s="1176"/>
      <c r="T184" s="1176"/>
      <c r="U184" s="1176"/>
      <c r="V184" s="1176"/>
      <c r="W184" s="1176"/>
      <c r="X184" s="1176"/>
      <c r="Y184" s="1285"/>
      <c r="Z184" s="1285"/>
      <c r="AA184" s="1176"/>
      <c r="AB184" s="1176"/>
      <c r="AC184" s="1176"/>
      <c r="AD184" s="1176"/>
      <c r="AE184" s="1176"/>
      <c r="AF184" s="1176"/>
      <c r="AG184" s="1176"/>
      <c r="AH184" s="1176"/>
      <c r="AI184" s="1176"/>
      <c r="AJ184" s="1176"/>
      <c r="AK184" s="1176"/>
      <c r="AL184" s="1176"/>
      <c r="AM184" s="1176"/>
      <c r="AN184" s="1176"/>
      <c r="AO184" s="1176"/>
      <c r="AP184" s="1176"/>
    </row>
    <row r="185" spans="1:42" ht="13.8">
      <c r="A185" s="1168"/>
      <c r="B185" s="1169" t="s">
        <v>1725</v>
      </c>
      <c r="C185" s="1176"/>
      <c r="D185" s="1176"/>
      <c r="E185" s="1176"/>
      <c r="F185" s="1176"/>
      <c r="G185" s="1176"/>
      <c r="H185" s="1176"/>
      <c r="I185" s="1176"/>
      <c r="J185" s="1176"/>
      <c r="K185" s="1176"/>
      <c r="L185" s="1176"/>
      <c r="M185" s="1176"/>
      <c r="N185" s="1176"/>
      <c r="O185" s="1176"/>
      <c r="P185" s="1176"/>
      <c r="Q185" s="1176"/>
      <c r="R185" s="1176"/>
      <c r="S185" s="1176"/>
      <c r="T185" s="1176"/>
      <c r="U185" s="1176"/>
      <c r="V185" s="1176"/>
      <c r="W185" s="1176"/>
      <c r="X185" s="1176"/>
      <c r="Y185" s="1285"/>
      <c r="Z185" s="1285"/>
      <c r="AA185" s="1176"/>
      <c r="AB185" s="1176"/>
      <c r="AC185" s="1176"/>
      <c r="AD185" s="1176"/>
      <c r="AE185" s="1176"/>
      <c r="AF185" s="1176"/>
      <c r="AG185" s="1176"/>
      <c r="AH185" s="1176"/>
      <c r="AI185" s="1176"/>
      <c r="AJ185" s="1176"/>
      <c r="AK185" s="1176"/>
      <c r="AL185" s="1176"/>
      <c r="AM185" s="1176"/>
      <c r="AN185" s="1176"/>
      <c r="AO185" s="1176"/>
      <c r="AP185" s="1176"/>
    </row>
    <row r="186" spans="1:42" ht="13.8">
      <c r="A186" s="1168"/>
      <c r="B186" s="1170" t="s">
        <v>1726</v>
      </c>
      <c r="C186" s="1176"/>
      <c r="D186" s="1176"/>
      <c r="E186" s="1176"/>
      <c r="F186" s="1176"/>
      <c r="G186" s="1176"/>
      <c r="H186" s="1176"/>
      <c r="I186" s="1176"/>
      <c r="J186" s="1176"/>
      <c r="K186" s="1176"/>
      <c r="L186" s="1176"/>
      <c r="M186" s="1176"/>
      <c r="N186" s="1176"/>
      <c r="O186" s="1176"/>
      <c r="P186" s="1176"/>
      <c r="Q186" s="1176"/>
      <c r="R186" s="1176"/>
      <c r="S186" s="1176"/>
      <c r="T186" s="1176"/>
      <c r="U186" s="1176"/>
      <c r="V186" s="1176"/>
      <c r="W186" s="1176"/>
      <c r="X186" s="1176"/>
      <c r="Y186" s="1285"/>
      <c r="Z186" s="1285"/>
      <c r="AA186" s="1176"/>
      <c r="AB186" s="1176"/>
      <c r="AC186" s="1176"/>
      <c r="AD186" s="1176"/>
      <c r="AE186" s="1176"/>
      <c r="AF186" s="1176"/>
      <c r="AG186" s="1176"/>
      <c r="AH186" s="1176"/>
      <c r="AI186" s="1176"/>
      <c r="AJ186" s="1176"/>
      <c r="AK186" s="1176"/>
      <c r="AL186" s="1176"/>
      <c r="AM186" s="1176"/>
      <c r="AN186" s="1176"/>
      <c r="AO186" s="1176"/>
      <c r="AP186" s="1176"/>
    </row>
    <row r="187" spans="1:42" ht="13.8">
      <c r="A187" s="1168"/>
      <c r="B187" s="1172"/>
      <c r="C187" s="1218"/>
      <c r="D187" s="1218"/>
      <c r="E187" s="1218"/>
      <c r="F187" s="1218"/>
      <c r="G187" s="1218"/>
      <c r="H187" s="1218"/>
      <c r="I187" s="1218"/>
      <c r="J187" s="1218"/>
      <c r="K187" s="1218"/>
      <c r="L187" s="1218"/>
      <c r="M187" s="1218"/>
      <c r="N187" s="1218"/>
      <c r="O187" s="1218"/>
      <c r="P187" s="1218"/>
      <c r="Q187" s="1218"/>
      <c r="R187" s="1218"/>
      <c r="S187" s="1218"/>
      <c r="T187" s="1218"/>
      <c r="U187" s="1218"/>
      <c r="V187" s="1218"/>
      <c r="W187" s="1218"/>
      <c r="X187" s="1218"/>
      <c r="Y187" s="1296"/>
      <c r="Z187" s="1296"/>
      <c r="AA187" s="1218"/>
      <c r="AB187" s="1218"/>
      <c r="AC187" s="1218"/>
      <c r="AD187" s="1218"/>
      <c r="AE187" s="1218"/>
      <c r="AF187" s="1218"/>
      <c r="AG187" s="1218"/>
      <c r="AH187" s="1218"/>
      <c r="AI187" s="1218"/>
      <c r="AJ187" s="1218"/>
      <c r="AK187" s="1218"/>
      <c r="AL187" s="1218"/>
      <c r="AM187" s="1218"/>
      <c r="AN187" s="1218"/>
      <c r="AO187" s="1218"/>
      <c r="AP187" s="1218"/>
    </row>
    <row r="188" spans="1:42" ht="13.8">
      <c r="A188" s="1168"/>
      <c r="B188" s="1176"/>
      <c r="C188" s="1176"/>
      <c r="D188" s="1176"/>
      <c r="E188" s="1176"/>
      <c r="F188" s="1176"/>
      <c r="G188" s="1176"/>
      <c r="H188" s="1176"/>
      <c r="I188" s="1176"/>
      <c r="J188" s="1176"/>
      <c r="K188" s="1176"/>
      <c r="L188" s="1176"/>
      <c r="M188" s="1176"/>
      <c r="N188" s="1176"/>
      <c r="O188" s="1176"/>
      <c r="P188" s="1176"/>
      <c r="Q188" s="1176"/>
      <c r="R188" s="1176"/>
      <c r="S188" s="1176"/>
      <c r="T188" s="1176"/>
      <c r="U188" s="1176"/>
      <c r="V188" s="1176"/>
      <c r="W188" s="1176"/>
      <c r="X188" s="1176"/>
      <c r="Y188" s="1285"/>
      <c r="Z188" s="1285"/>
      <c r="AA188" s="1176"/>
      <c r="AB188" s="1176"/>
      <c r="AC188" s="1176"/>
      <c r="AD188" s="1176"/>
      <c r="AE188" s="1176"/>
      <c r="AF188" s="1176"/>
      <c r="AG188" s="1176"/>
      <c r="AH188" s="1176"/>
      <c r="AI188" s="1176"/>
      <c r="AJ188" s="1176"/>
      <c r="AK188" s="1176"/>
      <c r="AL188" s="1176"/>
      <c r="AM188" s="1176"/>
      <c r="AN188" s="1176"/>
      <c r="AO188" s="1176"/>
      <c r="AP188" s="1176"/>
    </row>
    <row r="189" spans="1:42" ht="13.8">
      <c r="A189" s="1168"/>
      <c r="B189" s="3099" t="s">
        <v>1684</v>
      </c>
      <c r="C189" s="3099"/>
      <c r="D189" s="3099"/>
      <c r="E189" s="3100">
        <v>2000</v>
      </c>
      <c r="F189" s="3100"/>
      <c r="G189" s="3100">
        <v>2001</v>
      </c>
      <c r="H189" s="3113"/>
      <c r="I189" s="3100">
        <v>2002</v>
      </c>
      <c r="J189" s="3113"/>
      <c r="K189" s="3100">
        <v>2003</v>
      </c>
      <c r="L189" s="3113"/>
      <c r="M189" s="3100">
        <v>2004</v>
      </c>
      <c r="N189" s="3113"/>
      <c r="O189" s="3100">
        <v>2005</v>
      </c>
      <c r="P189" s="3113"/>
      <c r="Q189" s="3100">
        <v>2006</v>
      </c>
      <c r="R189" s="3113"/>
      <c r="S189" s="3100">
        <v>2007</v>
      </c>
      <c r="T189" s="3117"/>
      <c r="U189" s="3100">
        <v>2008</v>
      </c>
      <c r="V189" s="3117"/>
      <c r="W189" s="3100">
        <v>2009</v>
      </c>
      <c r="X189" s="3117"/>
      <c r="Y189" s="3110">
        <v>2010</v>
      </c>
      <c r="Z189" s="3118"/>
      <c r="AA189" s="3100">
        <v>2011</v>
      </c>
      <c r="AB189" s="3117"/>
      <c r="AC189" s="3100">
        <v>2012</v>
      </c>
      <c r="AD189" s="3117"/>
      <c r="AE189" s="3100">
        <v>2013</v>
      </c>
      <c r="AF189" s="3117"/>
      <c r="AG189" s="3100">
        <v>2014</v>
      </c>
      <c r="AH189" s="3117"/>
      <c r="AI189" s="3100">
        <v>2015</v>
      </c>
      <c r="AJ189" s="3117"/>
      <c r="AK189" s="3100">
        <v>2016</v>
      </c>
      <c r="AL189" s="3117"/>
      <c r="AM189" s="3100">
        <v>2017</v>
      </c>
      <c r="AN189" s="3117"/>
      <c r="AO189" s="3099" t="s">
        <v>1727</v>
      </c>
      <c r="AP189" s="3099"/>
    </row>
    <row r="190" spans="1:42" ht="13.8">
      <c r="A190" s="1168"/>
      <c r="B190" s="1244"/>
      <c r="C190" s="1244"/>
      <c r="D190" s="1244"/>
      <c r="E190" s="1219"/>
      <c r="F190" s="1219"/>
      <c r="G190" s="1219"/>
      <c r="H190" s="1220"/>
      <c r="I190" s="1219"/>
      <c r="J190" s="1220"/>
      <c r="K190" s="1219"/>
      <c r="L190" s="1220"/>
      <c r="M190" s="1219"/>
      <c r="N190" s="1220"/>
      <c r="O190" s="1219"/>
      <c r="P190" s="1220"/>
      <c r="Q190" s="1219"/>
      <c r="R190" s="1220"/>
      <c r="S190" s="1219"/>
      <c r="T190" s="1221"/>
      <c r="U190" s="1219"/>
      <c r="V190" s="1221"/>
      <c r="W190" s="1219"/>
      <c r="X190" s="1221"/>
      <c r="Y190" s="1297"/>
      <c r="Z190" s="1303"/>
      <c r="AA190" s="1219"/>
      <c r="AB190" s="1221"/>
      <c r="AC190" s="1219"/>
      <c r="AD190" s="1221"/>
      <c r="AE190" s="1219"/>
      <c r="AF190" s="1221"/>
      <c r="AG190" s="1219"/>
      <c r="AH190" s="1221"/>
      <c r="AI190" s="1219"/>
      <c r="AJ190" s="1221"/>
      <c r="AK190" s="1219"/>
      <c r="AL190" s="1221"/>
      <c r="AM190" s="1219"/>
      <c r="AN190" s="1221"/>
      <c r="AO190" s="1244"/>
      <c r="AP190" s="1244"/>
    </row>
    <row r="191" spans="1:42" ht="13.8">
      <c r="A191" s="1168"/>
      <c r="B191" s="1178"/>
      <c r="C191" s="1178"/>
      <c r="D191" s="1206"/>
      <c r="E191" s="1222"/>
      <c r="F191" s="1222"/>
      <c r="G191" s="1222"/>
      <c r="H191" s="1222"/>
      <c r="I191" s="1222"/>
      <c r="J191" s="1222"/>
      <c r="K191" s="1222"/>
      <c r="L191" s="1222"/>
      <c r="M191" s="1222"/>
      <c r="N191" s="1222"/>
      <c r="O191" s="1222"/>
      <c r="P191" s="1222"/>
      <c r="Q191" s="1222"/>
      <c r="R191" s="1222"/>
      <c r="S191" s="1222"/>
      <c r="T191" s="1222"/>
      <c r="U191" s="1222"/>
      <c r="V191" s="1222"/>
      <c r="W191" s="1222"/>
      <c r="X191" s="1222"/>
      <c r="Y191" s="1287"/>
      <c r="Z191" s="1287"/>
      <c r="AA191" s="1222"/>
      <c r="AB191" s="1222"/>
      <c r="AC191" s="1222"/>
      <c r="AD191" s="1222"/>
      <c r="AE191" s="1222"/>
      <c r="AF191" s="1222"/>
      <c r="AG191" s="1222"/>
      <c r="AH191" s="1222"/>
      <c r="AI191" s="1222"/>
      <c r="AJ191" s="1222"/>
      <c r="AK191" s="1222"/>
      <c r="AL191" s="1222"/>
      <c r="AM191" s="1222"/>
      <c r="AN191" s="1222"/>
      <c r="AO191" s="1222"/>
      <c r="AP191" s="1206"/>
    </row>
    <row r="192" spans="1:42" ht="13.8">
      <c r="A192" s="1168"/>
      <c r="B192" s="1178">
        <v>1</v>
      </c>
      <c r="C192" s="1178"/>
      <c r="D192" s="1206" t="s">
        <v>1708</v>
      </c>
      <c r="E192" s="1182">
        <v>352</v>
      </c>
      <c r="F192" s="1182"/>
      <c r="G192" s="1182">
        <v>353</v>
      </c>
      <c r="H192" s="1182"/>
      <c r="I192" s="1182">
        <v>363</v>
      </c>
      <c r="J192" s="1182"/>
      <c r="K192" s="1182">
        <v>383</v>
      </c>
      <c r="L192" s="1182"/>
      <c r="M192" s="1182">
        <v>383</v>
      </c>
      <c r="N192" s="1182"/>
      <c r="O192" s="1182">
        <v>389</v>
      </c>
      <c r="P192" s="1182"/>
      <c r="Q192" s="1182">
        <v>407</v>
      </c>
      <c r="R192" s="1182"/>
      <c r="S192" s="1182">
        <v>439</v>
      </c>
      <c r="T192" s="1182"/>
      <c r="U192" s="1182">
        <v>472</v>
      </c>
      <c r="V192" s="1182"/>
      <c r="W192" s="1182">
        <v>484</v>
      </c>
      <c r="X192" s="1182"/>
      <c r="Y192" s="1217">
        <v>490</v>
      </c>
      <c r="Z192" s="1217"/>
      <c r="AA192" s="1182">
        <v>526</v>
      </c>
      <c r="AB192" s="1187"/>
      <c r="AC192" s="1182">
        <v>558</v>
      </c>
      <c r="AD192" s="1187"/>
      <c r="AE192" s="1182">
        <v>563</v>
      </c>
      <c r="AF192" s="1187" t="s">
        <v>203</v>
      </c>
      <c r="AG192" s="1182">
        <v>568</v>
      </c>
      <c r="AH192" s="1187"/>
      <c r="AI192" s="1182"/>
      <c r="AJ192" s="1187"/>
      <c r="AK192" s="1182"/>
      <c r="AL192" s="1187"/>
      <c r="AM192" s="1182"/>
      <c r="AN192" s="1187"/>
      <c r="AO192" s="1222"/>
      <c r="AP192" s="1206" t="s">
        <v>1709</v>
      </c>
    </row>
    <row r="193" spans="1:42" ht="13.8">
      <c r="A193" s="1168"/>
      <c r="B193" s="1243"/>
      <c r="C193" s="1243"/>
      <c r="D193" s="1243"/>
      <c r="E193" s="1243"/>
      <c r="F193" s="1243"/>
      <c r="G193" s="1243"/>
      <c r="H193" s="1243"/>
      <c r="I193" s="1243"/>
      <c r="J193" s="1243"/>
      <c r="K193" s="1243"/>
      <c r="L193" s="1243"/>
      <c r="M193" s="1243"/>
      <c r="N193" s="1243"/>
      <c r="O193" s="1243"/>
      <c r="P193" s="1243"/>
      <c r="Q193" s="1243"/>
      <c r="R193" s="1243"/>
      <c r="S193" s="1243"/>
      <c r="T193" s="1243"/>
      <c r="U193" s="1243"/>
      <c r="V193" s="1243"/>
      <c r="W193" s="1243"/>
      <c r="X193" s="1243"/>
      <c r="Y193" s="1298"/>
      <c r="Z193" s="1298"/>
      <c r="AA193" s="1243"/>
      <c r="AB193" s="1243"/>
      <c r="AC193" s="1243"/>
      <c r="AD193" s="1243"/>
      <c r="AE193" s="1243"/>
      <c r="AF193" s="1243"/>
      <c r="AG193" s="1243"/>
      <c r="AH193" s="1243"/>
      <c r="AI193" s="1243"/>
      <c r="AJ193" s="1243"/>
      <c r="AK193" s="1243"/>
      <c r="AL193" s="1243"/>
      <c r="AM193" s="1243"/>
      <c r="AN193" s="1243"/>
      <c r="AO193" s="1243"/>
      <c r="AP193" s="1243"/>
    </row>
    <row r="194" spans="1:42" ht="13.8">
      <c r="A194" s="1168"/>
      <c r="B194" s="1176"/>
      <c r="C194" s="1176"/>
      <c r="D194" s="1176"/>
      <c r="E194" s="1176"/>
      <c r="F194" s="1176"/>
      <c r="G194" s="1176"/>
      <c r="H194" s="1176"/>
      <c r="I194" s="1176"/>
      <c r="J194" s="1176"/>
      <c r="K194" s="1176"/>
      <c r="L194" s="1176"/>
      <c r="M194" s="1176"/>
      <c r="N194" s="1176"/>
      <c r="O194" s="1176"/>
      <c r="P194" s="1176"/>
      <c r="Q194" s="1176"/>
      <c r="R194" s="1176"/>
      <c r="S194" s="1176"/>
      <c r="T194" s="1176"/>
      <c r="U194" s="1176"/>
      <c r="V194" s="1176"/>
      <c r="W194" s="1176"/>
      <c r="X194" s="1176"/>
      <c r="Y194" s="1285"/>
      <c r="Z194" s="1285"/>
      <c r="AA194" s="1176"/>
      <c r="AB194" s="1176"/>
      <c r="AC194" s="1176"/>
      <c r="AD194" s="1176"/>
      <c r="AE194" s="1176"/>
      <c r="AF194" s="1176"/>
      <c r="AG194" s="1176"/>
      <c r="AH194" s="1176"/>
      <c r="AI194" s="1176"/>
      <c r="AJ194" s="1176"/>
      <c r="AK194" s="1176"/>
      <c r="AL194" s="1176"/>
      <c r="AM194" s="1176"/>
      <c r="AN194" s="1176"/>
      <c r="AO194" s="1176"/>
      <c r="AP194" s="1176"/>
    </row>
    <row r="195" spans="1:42" ht="13.8">
      <c r="A195" s="1168"/>
      <c r="B195" s="1176"/>
      <c r="C195" s="1176"/>
      <c r="D195" s="1176"/>
      <c r="E195" s="1176"/>
      <c r="F195" s="1176"/>
      <c r="G195" s="1176"/>
      <c r="H195" s="1176"/>
      <c r="I195" s="1176"/>
      <c r="J195" s="1176"/>
      <c r="K195" s="1176"/>
      <c r="L195" s="1176"/>
      <c r="M195" s="1176"/>
      <c r="N195" s="1176"/>
      <c r="O195" s="1176"/>
      <c r="P195" s="1176"/>
      <c r="Q195" s="1176"/>
      <c r="R195" s="1176"/>
      <c r="S195" s="1176"/>
      <c r="T195" s="1176"/>
      <c r="U195" s="1176"/>
      <c r="V195" s="1176"/>
      <c r="W195" s="1176"/>
      <c r="X195" s="1176"/>
      <c r="Y195" s="1285"/>
      <c r="Z195" s="1285"/>
      <c r="AA195" s="1176"/>
      <c r="AB195" s="1176"/>
      <c r="AC195" s="1176"/>
      <c r="AD195" s="1176"/>
      <c r="AE195" s="1176"/>
      <c r="AF195" s="1176"/>
      <c r="AG195" s="1176"/>
      <c r="AH195" s="1176"/>
      <c r="AI195" s="1176"/>
      <c r="AJ195" s="1176"/>
      <c r="AK195" s="1176"/>
      <c r="AL195" s="1176"/>
      <c r="AM195" s="1176"/>
      <c r="AN195" s="1176"/>
      <c r="AO195" s="1176"/>
      <c r="AP195" s="1176"/>
    </row>
    <row r="196" spans="1:42" ht="13.8">
      <c r="A196" s="1168"/>
      <c r="B196" s="1176"/>
      <c r="C196" s="1176"/>
      <c r="D196" s="1176"/>
      <c r="E196" s="1176"/>
      <c r="F196" s="1176"/>
      <c r="G196" s="1176"/>
      <c r="H196" s="1176"/>
      <c r="I196" s="1176"/>
      <c r="J196" s="1176"/>
      <c r="K196" s="1176"/>
      <c r="L196" s="1176"/>
      <c r="M196" s="1176"/>
      <c r="N196" s="1176"/>
      <c r="O196" s="1176"/>
      <c r="P196" s="1176"/>
      <c r="Q196" s="1176"/>
      <c r="R196" s="1176"/>
      <c r="S196" s="1176"/>
      <c r="T196" s="1176"/>
      <c r="U196" s="1176"/>
      <c r="V196" s="1176"/>
      <c r="W196" s="1176"/>
      <c r="X196" s="1176"/>
      <c r="Y196" s="1285"/>
      <c r="Z196" s="1285"/>
      <c r="AA196" s="1176"/>
      <c r="AB196" s="1176"/>
      <c r="AC196" s="1176"/>
      <c r="AD196" s="1176"/>
      <c r="AE196" s="1176"/>
      <c r="AF196" s="1176"/>
      <c r="AG196" s="1176"/>
      <c r="AH196" s="1176"/>
      <c r="AI196" s="1176"/>
      <c r="AJ196" s="1176"/>
      <c r="AK196" s="1176"/>
      <c r="AL196" s="1176"/>
      <c r="AM196" s="1176"/>
      <c r="AN196" s="1176"/>
      <c r="AO196" s="1176"/>
      <c r="AP196" s="1176"/>
    </row>
    <row r="197" spans="1:42" ht="13.8">
      <c r="A197" s="1168"/>
      <c r="B197" s="1169" t="s">
        <v>1728</v>
      </c>
      <c r="C197" s="1176"/>
      <c r="D197" s="1176"/>
      <c r="E197" s="1176"/>
      <c r="F197" s="1176"/>
      <c r="G197" s="1176"/>
      <c r="H197" s="1176"/>
      <c r="I197" s="1176"/>
      <c r="J197" s="1176"/>
      <c r="K197" s="1176"/>
      <c r="L197" s="1176"/>
      <c r="M197" s="1176"/>
      <c r="N197" s="1176"/>
      <c r="O197" s="1176"/>
      <c r="P197" s="1176"/>
      <c r="Q197" s="1176"/>
      <c r="R197" s="1176"/>
      <c r="S197" s="1176"/>
      <c r="T197" s="1176"/>
      <c r="U197" s="1176"/>
      <c r="V197" s="1176"/>
      <c r="W197" s="1176"/>
      <c r="X197" s="1176"/>
      <c r="Y197" s="1285"/>
      <c r="Z197" s="1285"/>
      <c r="AA197" s="1176"/>
      <c r="AB197" s="1176"/>
      <c r="AC197" s="1176"/>
      <c r="AD197" s="1176"/>
      <c r="AE197" s="1176"/>
      <c r="AF197" s="1176"/>
      <c r="AG197" s="1176"/>
      <c r="AH197" s="1176"/>
      <c r="AI197" s="1176"/>
      <c r="AJ197" s="1176"/>
      <c r="AK197" s="1176"/>
      <c r="AL197" s="1176"/>
      <c r="AM197" s="1176"/>
      <c r="AN197" s="1176"/>
      <c r="AO197" s="1176"/>
      <c r="AP197" s="1176"/>
    </row>
    <row r="198" spans="1:42" ht="13.8">
      <c r="A198" s="1168"/>
      <c r="B198" s="1170" t="s">
        <v>1729</v>
      </c>
      <c r="C198" s="1176"/>
      <c r="D198" s="1176"/>
      <c r="E198" s="1176"/>
      <c r="F198" s="1176"/>
      <c r="G198" s="1176"/>
      <c r="H198" s="1176"/>
      <c r="I198" s="1176"/>
      <c r="J198" s="1176"/>
      <c r="K198" s="1176"/>
      <c r="L198" s="1176"/>
      <c r="M198" s="1176"/>
      <c r="N198" s="1176"/>
      <c r="O198" s="1176"/>
      <c r="P198" s="1176"/>
      <c r="Q198" s="1176"/>
      <c r="R198" s="1176"/>
      <c r="S198" s="1176"/>
      <c r="T198" s="1176"/>
      <c r="U198" s="1176"/>
      <c r="V198" s="1176"/>
      <c r="W198" s="1176"/>
      <c r="X198" s="1176"/>
      <c r="Y198" s="1285"/>
      <c r="Z198" s="1285"/>
      <c r="AA198" s="1176"/>
      <c r="AB198" s="1176"/>
      <c r="AC198" s="1176"/>
      <c r="AD198" s="1176"/>
      <c r="AE198" s="1176"/>
      <c r="AF198" s="1176"/>
      <c r="AG198" s="1176"/>
      <c r="AH198" s="1176"/>
      <c r="AI198" s="1176"/>
      <c r="AJ198" s="1176"/>
      <c r="AK198" s="1176"/>
      <c r="AL198" s="1176"/>
      <c r="AM198" s="1176"/>
      <c r="AN198" s="1176"/>
      <c r="AO198" s="1176"/>
      <c r="AP198" s="1176"/>
    </row>
    <row r="199" spans="1:42" ht="13.8">
      <c r="A199" s="1168"/>
      <c r="B199" s="1172"/>
      <c r="C199" s="1218"/>
      <c r="D199" s="1218"/>
      <c r="E199" s="1218"/>
      <c r="F199" s="1218"/>
      <c r="G199" s="1218"/>
      <c r="H199" s="1218"/>
      <c r="I199" s="1218"/>
      <c r="J199" s="1218"/>
      <c r="K199" s="1218"/>
      <c r="L199" s="1218"/>
      <c r="M199" s="1218"/>
      <c r="N199" s="1218"/>
      <c r="O199" s="1218"/>
      <c r="P199" s="1218"/>
      <c r="Q199" s="1218"/>
      <c r="R199" s="1218"/>
      <c r="S199" s="1218"/>
      <c r="T199" s="1218"/>
      <c r="U199" s="1218"/>
      <c r="V199" s="1218"/>
      <c r="W199" s="1218"/>
      <c r="X199" s="1218"/>
      <c r="Y199" s="1296"/>
      <c r="Z199" s="1296"/>
      <c r="AA199" s="1218"/>
      <c r="AB199" s="1218"/>
      <c r="AC199" s="1218"/>
      <c r="AD199" s="1218"/>
      <c r="AE199" s="1218"/>
      <c r="AF199" s="1218"/>
      <c r="AG199" s="1218"/>
      <c r="AH199" s="1218"/>
      <c r="AI199" s="1218"/>
      <c r="AJ199" s="1218"/>
      <c r="AK199" s="1218"/>
      <c r="AL199" s="1218"/>
      <c r="AM199" s="1218"/>
      <c r="AN199" s="1218"/>
      <c r="AO199" s="1218"/>
      <c r="AP199" s="1218"/>
    </row>
    <row r="200" spans="1:42" ht="13.8">
      <c r="A200" s="1168"/>
      <c r="B200" s="1176"/>
      <c r="C200" s="1176"/>
      <c r="D200" s="1176"/>
      <c r="E200" s="1176"/>
      <c r="F200" s="1176"/>
      <c r="G200" s="1176"/>
      <c r="H200" s="1176"/>
      <c r="I200" s="1176"/>
      <c r="J200" s="1176"/>
      <c r="K200" s="1176"/>
      <c r="L200" s="1176"/>
      <c r="M200" s="1176"/>
      <c r="N200" s="1176"/>
      <c r="O200" s="1176"/>
      <c r="P200" s="1176"/>
      <c r="Q200" s="1176"/>
      <c r="R200" s="1176"/>
      <c r="S200" s="1176"/>
      <c r="T200" s="1176"/>
      <c r="U200" s="1176"/>
      <c r="V200" s="1176"/>
      <c r="W200" s="1176"/>
      <c r="X200" s="1176"/>
      <c r="Y200" s="1285"/>
      <c r="Z200" s="1285"/>
      <c r="AA200" s="1176"/>
      <c r="AB200" s="1176"/>
      <c r="AC200" s="1176"/>
      <c r="AD200" s="1176"/>
      <c r="AE200" s="1176"/>
      <c r="AF200" s="1176"/>
      <c r="AG200" s="1176"/>
      <c r="AH200" s="1176"/>
      <c r="AI200" s="1176"/>
      <c r="AJ200" s="1176"/>
      <c r="AK200" s="1176"/>
      <c r="AL200" s="1176"/>
      <c r="AM200" s="1176"/>
      <c r="AN200" s="1176"/>
      <c r="AO200" s="1176"/>
      <c r="AP200" s="1176"/>
    </row>
    <row r="201" spans="1:42" ht="13.8">
      <c r="A201" s="1168"/>
      <c r="B201" s="3099" t="s">
        <v>1684</v>
      </c>
      <c r="C201" s="3099"/>
      <c r="D201" s="3099"/>
      <c r="E201" s="3100">
        <v>2000</v>
      </c>
      <c r="F201" s="3113"/>
      <c r="G201" s="3100">
        <v>2001</v>
      </c>
      <c r="H201" s="3113"/>
      <c r="I201" s="3100">
        <v>2002</v>
      </c>
      <c r="J201" s="3113"/>
      <c r="K201" s="3100">
        <v>2003</v>
      </c>
      <c r="L201" s="3113"/>
      <c r="M201" s="3100">
        <v>2004</v>
      </c>
      <c r="N201" s="3113"/>
      <c r="O201" s="3100">
        <v>2005</v>
      </c>
      <c r="P201" s="3113"/>
      <c r="Q201" s="3100">
        <v>2006</v>
      </c>
      <c r="R201" s="3113"/>
      <c r="S201" s="3100">
        <v>2007</v>
      </c>
      <c r="T201" s="3117"/>
      <c r="U201" s="3100">
        <v>2008</v>
      </c>
      <c r="V201" s="3117"/>
      <c r="W201" s="3100">
        <v>2009</v>
      </c>
      <c r="X201" s="3117"/>
      <c r="Y201" s="3110">
        <v>2010</v>
      </c>
      <c r="Z201" s="3118"/>
      <c r="AA201" s="3100">
        <v>2011</v>
      </c>
      <c r="AB201" s="3117"/>
      <c r="AC201" s="3100">
        <v>2012</v>
      </c>
      <c r="AD201" s="3117"/>
      <c r="AE201" s="3100">
        <v>2013</v>
      </c>
      <c r="AF201" s="3117"/>
      <c r="AG201" s="3100">
        <v>2014</v>
      </c>
      <c r="AH201" s="3117"/>
      <c r="AI201" s="3100">
        <v>2015</v>
      </c>
      <c r="AJ201" s="3117"/>
      <c r="AK201" s="3100">
        <v>2016</v>
      </c>
      <c r="AL201" s="3117"/>
      <c r="AM201" s="3100">
        <v>2017</v>
      </c>
      <c r="AN201" s="3117"/>
      <c r="AO201" s="3099" t="s">
        <v>1727</v>
      </c>
      <c r="AP201" s="3099"/>
    </row>
    <row r="202" spans="1:42" ht="13.8">
      <c r="A202" s="1168"/>
      <c r="B202" s="1244"/>
      <c r="C202" s="1244"/>
      <c r="D202" s="1244"/>
      <c r="E202" s="1219"/>
      <c r="F202" s="1220"/>
      <c r="G202" s="1219"/>
      <c r="H202" s="1220"/>
      <c r="I202" s="1219"/>
      <c r="J202" s="1220"/>
      <c r="K202" s="1219"/>
      <c r="L202" s="1220"/>
      <c r="M202" s="1219"/>
      <c r="N202" s="1220"/>
      <c r="O202" s="1219"/>
      <c r="P202" s="1220"/>
      <c r="Q202" s="1219"/>
      <c r="R202" s="1220"/>
      <c r="S202" s="1219"/>
      <c r="T202" s="1221"/>
      <c r="U202" s="1219"/>
      <c r="V202" s="1221"/>
      <c r="W202" s="1219"/>
      <c r="X202" s="1221"/>
      <c r="Y202" s="1297"/>
      <c r="Z202" s="1303"/>
      <c r="AA202" s="1219"/>
      <c r="AB202" s="1221"/>
      <c r="AC202" s="1219"/>
      <c r="AD202" s="1221"/>
      <c r="AE202" s="1219"/>
      <c r="AF202" s="1221"/>
      <c r="AG202" s="1219"/>
      <c r="AH202" s="1221"/>
      <c r="AI202" s="1219"/>
      <c r="AJ202" s="1221"/>
      <c r="AK202" s="1219"/>
      <c r="AL202" s="1221"/>
      <c r="AM202" s="1219"/>
      <c r="AN202" s="1221"/>
      <c r="AO202" s="1244"/>
      <c r="AP202" s="1244"/>
    </row>
    <row r="203" spans="1:42" ht="13.8">
      <c r="A203" s="1168"/>
      <c r="B203" s="1178"/>
      <c r="C203" s="1178"/>
      <c r="D203" s="1245"/>
      <c r="E203" s="1206"/>
      <c r="F203" s="1206"/>
      <c r="G203" s="1206"/>
      <c r="H203" s="1206"/>
      <c r="I203" s="1206"/>
      <c r="J203" s="1206"/>
      <c r="K203" s="1206"/>
      <c r="L203" s="1206"/>
      <c r="M203" s="1206"/>
      <c r="N203" s="1206"/>
      <c r="O203" s="1206"/>
      <c r="P203" s="1206"/>
      <c r="Q203" s="1206"/>
      <c r="R203" s="1206"/>
      <c r="S203" s="1206"/>
      <c r="T203" s="1206"/>
      <c r="U203" s="1206"/>
      <c r="V203" s="1206"/>
      <c r="W203" s="1222"/>
      <c r="X203" s="1206"/>
      <c r="Y203" s="1287"/>
      <c r="Z203" s="1284"/>
      <c r="AA203" s="1222"/>
      <c r="AB203" s="1206"/>
      <c r="AC203" s="1222"/>
      <c r="AD203" s="1206"/>
      <c r="AE203" s="1222"/>
      <c r="AF203" s="1206"/>
      <c r="AG203" s="1222"/>
      <c r="AH203" s="1206"/>
      <c r="AI203" s="1222"/>
      <c r="AJ203" s="1206"/>
      <c r="AK203" s="1222"/>
      <c r="AL203" s="1206"/>
      <c r="AM203" s="1222"/>
      <c r="AN203" s="1206"/>
      <c r="AO203" s="1222"/>
      <c r="AP203" s="1206"/>
    </row>
    <row r="204" spans="1:42" ht="13.8">
      <c r="A204" s="1168"/>
      <c r="B204" s="1178">
        <v>1</v>
      </c>
      <c r="C204" s="1178"/>
      <c r="D204" s="1206" t="s">
        <v>1708</v>
      </c>
      <c r="E204" s="1206">
        <v>800</v>
      </c>
      <c r="F204" s="1186"/>
      <c r="G204" s="1206">
        <v>741</v>
      </c>
      <c r="H204" s="1186"/>
      <c r="I204" s="1206">
        <v>617</v>
      </c>
      <c r="J204" s="1186"/>
      <c r="K204" s="1206">
        <v>584</v>
      </c>
      <c r="L204" s="1186"/>
      <c r="M204" s="1206">
        <v>535</v>
      </c>
      <c r="N204" s="1186"/>
      <c r="O204" s="1206">
        <v>535</v>
      </c>
      <c r="P204" s="1186"/>
      <c r="Q204" s="1206">
        <v>535</v>
      </c>
      <c r="R204" s="1186"/>
      <c r="S204" s="1206">
        <v>535</v>
      </c>
      <c r="T204" s="1186"/>
      <c r="U204" s="1206">
        <v>515</v>
      </c>
      <c r="V204" s="1186"/>
      <c r="W204" s="1206">
        <v>515</v>
      </c>
      <c r="X204" s="1186"/>
      <c r="Y204" s="1284">
        <v>513</v>
      </c>
      <c r="Z204" s="1215"/>
      <c r="AA204" s="1206">
        <v>513</v>
      </c>
      <c r="AB204" s="1186"/>
      <c r="AC204" s="1206">
        <v>513</v>
      </c>
      <c r="AD204" s="1187"/>
      <c r="AE204" s="1206">
        <v>513</v>
      </c>
      <c r="AF204" s="1187"/>
      <c r="AG204" s="1206">
        <v>497</v>
      </c>
      <c r="AH204" s="1187"/>
      <c r="AI204" s="1206"/>
      <c r="AJ204" s="1187"/>
      <c r="AK204" s="1206"/>
      <c r="AL204" s="1187"/>
      <c r="AM204" s="1206"/>
      <c r="AN204" s="1187"/>
      <c r="AO204" s="1222"/>
      <c r="AP204" s="1206" t="s">
        <v>1709</v>
      </c>
    </row>
    <row r="205" spans="1:42" ht="13.8">
      <c r="A205" s="1168"/>
      <c r="B205" s="1243"/>
      <c r="C205" s="1243"/>
      <c r="D205" s="1243"/>
      <c r="E205" s="1243"/>
      <c r="F205" s="1243"/>
      <c r="G205" s="1243"/>
      <c r="H205" s="1243"/>
      <c r="I205" s="1243"/>
      <c r="J205" s="1243"/>
      <c r="K205" s="1243"/>
      <c r="L205" s="1243"/>
      <c r="M205" s="1243"/>
      <c r="N205" s="1243"/>
      <c r="O205" s="1243"/>
      <c r="P205" s="1243"/>
      <c r="Q205" s="1243"/>
      <c r="R205" s="1243"/>
      <c r="S205" s="1243"/>
      <c r="T205" s="1243"/>
      <c r="U205" s="1243"/>
      <c r="V205" s="1243"/>
      <c r="W205" s="1243"/>
      <c r="X205" s="1243"/>
      <c r="Y205" s="1298"/>
      <c r="Z205" s="1298"/>
      <c r="AA205" s="1243"/>
      <c r="AB205" s="1243"/>
      <c r="AC205" s="1243"/>
      <c r="AD205" s="1243"/>
      <c r="AE205" s="1243"/>
      <c r="AF205" s="1243"/>
      <c r="AG205" s="1243"/>
      <c r="AH205" s="1243"/>
      <c r="AI205" s="1243"/>
      <c r="AJ205" s="1243"/>
      <c r="AK205" s="1243"/>
      <c r="AL205" s="1243"/>
      <c r="AM205" s="1243"/>
      <c r="AN205" s="1243"/>
      <c r="AO205" s="1243"/>
      <c r="AP205" s="1243"/>
    </row>
    <row r="206" spans="1:42" ht="13.8">
      <c r="A206" s="1168"/>
      <c r="B206" s="1168"/>
      <c r="C206" s="1168"/>
      <c r="D206" s="1168"/>
      <c r="E206" s="1168"/>
      <c r="F206" s="1168"/>
      <c r="G206" s="1168"/>
      <c r="H206" s="1168"/>
      <c r="I206" s="1168"/>
      <c r="J206" s="1168"/>
      <c r="K206" s="1168"/>
      <c r="L206" s="1168"/>
      <c r="M206" s="1168"/>
      <c r="N206" s="1168"/>
      <c r="O206" s="1168"/>
      <c r="P206" s="1168"/>
      <c r="Q206" s="1168"/>
      <c r="R206" s="1168"/>
      <c r="S206" s="1168"/>
      <c r="T206" s="1168"/>
      <c r="U206" s="1168"/>
      <c r="V206" s="1168"/>
      <c r="W206" s="1168"/>
      <c r="X206" s="1168"/>
      <c r="Y206" s="1168"/>
      <c r="Z206" s="1168"/>
      <c r="AA206" s="1168"/>
      <c r="AB206" s="1168"/>
      <c r="AC206" s="1168"/>
      <c r="AD206" s="1168"/>
      <c r="AE206" s="1168"/>
      <c r="AF206" s="1168"/>
      <c r="AG206" s="1168"/>
      <c r="AH206" s="1168"/>
      <c r="AI206" s="1168"/>
      <c r="AJ206" s="1168"/>
      <c r="AK206" s="1168"/>
      <c r="AL206" s="1168"/>
      <c r="AM206" s="1168"/>
      <c r="AN206" s="1168"/>
      <c r="AO206" s="1168"/>
      <c r="AP206" s="1168"/>
    </row>
    <row r="207" spans="1:42" ht="13.8">
      <c r="A207" s="1168"/>
      <c r="B207" s="1168"/>
      <c r="C207" s="1168"/>
      <c r="D207" s="1168"/>
      <c r="E207" s="1168"/>
      <c r="F207" s="1168"/>
      <c r="G207" s="1168"/>
      <c r="H207" s="1168"/>
      <c r="I207" s="1168"/>
      <c r="J207" s="1168"/>
      <c r="K207" s="1168"/>
      <c r="L207" s="1168"/>
      <c r="M207" s="1168"/>
      <c r="N207" s="1168"/>
      <c r="O207" s="1168"/>
      <c r="P207" s="1168"/>
      <c r="Q207" s="1168"/>
      <c r="R207" s="1168"/>
      <c r="S207" s="1168"/>
      <c r="T207" s="1168"/>
      <c r="U207" s="1168"/>
      <c r="V207" s="1168"/>
      <c r="W207" s="1168"/>
      <c r="X207" s="1168"/>
      <c r="Y207" s="1168"/>
      <c r="Z207" s="1168"/>
      <c r="AA207" s="1168"/>
      <c r="AB207" s="1168"/>
      <c r="AC207" s="1168"/>
      <c r="AD207" s="1168"/>
      <c r="AE207" s="1168"/>
      <c r="AF207" s="1168"/>
      <c r="AG207" s="1168"/>
      <c r="AH207" s="1168"/>
      <c r="AI207" s="1168"/>
      <c r="AJ207" s="1168"/>
      <c r="AK207" s="1168"/>
      <c r="AL207" s="1168"/>
      <c r="AM207" s="1168"/>
      <c r="AN207" s="1168"/>
      <c r="AO207" s="1168"/>
      <c r="AP207" s="1168"/>
    </row>
    <row r="208" spans="1:42" ht="13.8">
      <c r="A208" s="1168"/>
      <c r="B208" s="1168"/>
      <c r="C208" s="1168"/>
      <c r="D208" s="1168"/>
      <c r="E208" s="1168"/>
      <c r="F208" s="1168"/>
      <c r="G208" s="1168"/>
      <c r="H208" s="1168"/>
      <c r="I208" s="1168"/>
      <c r="J208" s="1168"/>
      <c r="K208" s="1168"/>
      <c r="L208" s="1168"/>
      <c r="M208" s="1168"/>
      <c r="N208" s="1168"/>
      <c r="O208" s="1168"/>
      <c r="P208" s="1168"/>
      <c r="Q208" s="1168"/>
      <c r="R208" s="1168"/>
      <c r="S208" s="1168"/>
      <c r="T208" s="1168"/>
      <c r="U208" s="1168"/>
      <c r="V208" s="1168"/>
      <c r="W208" s="1168"/>
      <c r="X208" s="1168"/>
      <c r="Y208" s="1168"/>
      <c r="Z208" s="1168"/>
      <c r="AA208" s="1168"/>
      <c r="AB208" s="1168"/>
      <c r="AC208" s="1168"/>
      <c r="AD208" s="1168"/>
      <c r="AE208" s="1168"/>
      <c r="AF208" s="1168"/>
      <c r="AG208" s="1168"/>
      <c r="AH208" s="1168"/>
      <c r="AI208" s="1168"/>
      <c r="AJ208" s="1168"/>
      <c r="AK208" s="1168"/>
      <c r="AL208" s="1168"/>
      <c r="AM208" s="1168"/>
      <c r="AN208" s="1168"/>
      <c r="AO208" s="1168"/>
      <c r="AP208" s="1168"/>
    </row>
    <row r="209" spans="1:42" ht="13.8">
      <c r="A209" s="1168"/>
      <c r="B209" s="1168"/>
      <c r="C209" s="1168"/>
      <c r="D209" s="1168"/>
      <c r="E209" s="1168"/>
      <c r="F209" s="1168"/>
      <c r="G209" s="1168"/>
      <c r="H209" s="1168"/>
      <c r="I209" s="1168"/>
      <c r="J209" s="1168"/>
      <c r="K209" s="1168"/>
      <c r="L209" s="1168"/>
      <c r="M209" s="1168"/>
      <c r="N209" s="1168"/>
      <c r="O209" s="1168"/>
      <c r="P209" s="1168"/>
      <c r="Q209" s="1168"/>
      <c r="R209" s="1168"/>
      <c r="S209" s="1168"/>
      <c r="T209" s="1168"/>
      <c r="U209" s="1168"/>
      <c r="V209" s="1168"/>
      <c r="W209" s="1168"/>
      <c r="X209" s="1168"/>
      <c r="Y209" s="1168"/>
      <c r="Z209" s="1168"/>
      <c r="AA209" s="1168"/>
      <c r="AB209" s="1168"/>
      <c r="AC209" s="1168"/>
      <c r="AD209" s="1168"/>
      <c r="AE209" s="1168"/>
      <c r="AF209" s="1168"/>
      <c r="AG209" s="1168"/>
      <c r="AH209" s="1168"/>
      <c r="AI209" s="1168"/>
      <c r="AJ209" s="1168"/>
      <c r="AK209" s="1168"/>
      <c r="AL209" s="1168"/>
      <c r="AM209" s="1168"/>
      <c r="AN209" s="1168"/>
      <c r="AO209" s="1168"/>
      <c r="AP209" s="1168"/>
    </row>
    <row r="215" spans="1:42" ht="13.8">
      <c r="A215" s="1168"/>
      <c r="B215" s="1169" t="s">
        <v>1730</v>
      </c>
      <c r="C215" s="1169"/>
      <c r="D215" s="1176"/>
      <c r="E215" s="1176"/>
      <c r="F215" s="1176"/>
      <c r="G215" s="1176"/>
      <c r="H215" s="1176"/>
      <c r="I215" s="1176"/>
      <c r="J215" s="1176"/>
      <c r="K215" s="1176"/>
      <c r="L215" s="1176"/>
      <c r="M215" s="1176"/>
      <c r="N215" s="1176"/>
      <c r="O215" s="1176"/>
      <c r="P215" s="1176"/>
      <c r="Q215" s="1176"/>
      <c r="R215" s="1176"/>
      <c r="S215" s="1168"/>
      <c r="T215" s="1168"/>
      <c r="U215" s="1168"/>
      <c r="V215" s="1168"/>
      <c r="W215" s="1168"/>
      <c r="X215" s="1168"/>
      <c r="Y215" s="1168"/>
      <c r="Z215" s="1168"/>
      <c r="AA215" s="1168"/>
      <c r="AB215" s="1168"/>
      <c r="AC215" s="1168"/>
      <c r="AD215" s="1168"/>
      <c r="AE215" s="1168"/>
      <c r="AF215" s="1168"/>
      <c r="AG215" s="1168"/>
      <c r="AH215" s="1168"/>
      <c r="AI215" s="1168"/>
      <c r="AJ215" s="1168"/>
      <c r="AK215" s="1168"/>
      <c r="AL215" s="1168"/>
      <c r="AM215" s="1168"/>
      <c r="AN215" s="1168"/>
      <c r="AO215" s="1168"/>
      <c r="AP215" s="1168"/>
    </row>
    <row r="216" spans="1:42" ht="13.8">
      <c r="A216" s="1168"/>
      <c r="B216" s="1170" t="s">
        <v>1731</v>
      </c>
      <c r="C216" s="1169"/>
      <c r="D216" s="1176"/>
      <c r="E216" s="1176"/>
      <c r="F216" s="1176"/>
      <c r="G216" s="1176"/>
      <c r="H216" s="1176"/>
      <c r="I216" s="1176"/>
      <c r="J216" s="1176"/>
      <c r="K216" s="1176"/>
      <c r="L216" s="1176"/>
      <c r="M216" s="1176"/>
      <c r="N216" s="1176"/>
      <c r="O216" s="1176"/>
      <c r="P216" s="1176"/>
      <c r="Q216" s="1176"/>
      <c r="R216" s="1176"/>
      <c r="S216" s="1168"/>
      <c r="T216" s="1168"/>
      <c r="U216" s="1168"/>
      <c r="V216" s="1168"/>
      <c r="W216" s="1168"/>
      <c r="X216" s="1168"/>
      <c r="Y216" s="1168"/>
      <c r="Z216" s="1168"/>
      <c r="AA216" s="1168"/>
      <c r="AB216" s="1168"/>
      <c r="AC216" s="1168"/>
      <c r="AD216" s="1168"/>
      <c r="AE216" s="1168"/>
      <c r="AF216" s="1168"/>
      <c r="AG216" s="1168"/>
      <c r="AH216" s="1168"/>
      <c r="AI216" s="1168"/>
      <c r="AJ216" s="1168"/>
      <c r="AK216" s="1168"/>
      <c r="AL216" s="1168"/>
      <c r="AM216" s="1168"/>
      <c r="AN216" s="1168"/>
      <c r="AO216" s="1168"/>
      <c r="AP216" s="1168"/>
    </row>
    <row r="217" spans="1:42" ht="13.8">
      <c r="A217" s="1168"/>
      <c r="B217" s="1176"/>
      <c r="C217" s="1176"/>
      <c r="D217" s="1176"/>
      <c r="E217" s="1176"/>
      <c r="F217" s="1176"/>
      <c r="G217" s="1176"/>
      <c r="H217" s="1176"/>
      <c r="I217" s="1176"/>
      <c r="J217" s="1176"/>
      <c r="K217" s="1176"/>
      <c r="L217" s="1176"/>
      <c r="M217" s="1176"/>
      <c r="N217" s="1176"/>
      <c r="O217" s="1176"/>
      <c r="P217" s="1176"/>
      <c r="Q217" s="1176"/>
      <c r="R217" s="1176"/>
      <c r="S217" s="1168"/>
      <c r="T217" s="1168"/>
      <c r="U217" s="1168"/>
      <c r="V217" s="1168"/>
      <c r="W217" s="1168"/>
      <c r="X217" s="1168"/>
      <c r="Y217" s="1168"/>
      <c r="Z217" s="1168"/>
      <c r="AA217" s="1168"/>
      <c r="AB217" s="1168"/>
      <c r="AC217" s="1168"/>
      <c r="AD217" s="1168"/>
      <c r="AE217" s="1168"/>
      <c r="AF217" s="1168"/>
      <c r="AG217" s="1168"/>
      <c r="AH217" s="1168"/>
      <c r="AI217" s="1168"/>
      <c r="AJ217" s="1168"/>
      <c r="AK217" s="1168"/>
      <c r="AL217" s="1168"/>
      <c r="AM217" s="1168"/>
      <c r="AN217" s="1168"/>
      <c r="AO217" s="1168"/>
      <c r="AP217" s="1168"/>
    </row>
    <row r="218" spans="1:42" ht="13.8">
      <c r="A218" s="1168"/>
      <c r="B218" s="1218"/>
      <c r="C218" s="1218"/>
      <c r="D218" s="1218"/>
      <c r="E218" s="1218"/>
      <c r="F218" s="1218"/>
      <c r="G218" s="1218"/>
      <c r="H218" s="1218"/>
      <c r="I218" s="1218"/>
      <c r="J218" s="1218"/>
      <c r="K218" s="1218"/>
      <c r="L218" s="1218"/>
      <c r="M218" s="1218"/>
      <c r="N218" s="1218"/>
      <c r="O218" s="1218"/>
      <c r="P218" s="1218"/>
      <c r="Q218" s="1218"/>
      <c r="R218" s="1218"/>
      <c r="S218" s="1171"/>
      <c r="T218" s="1171"/>
      <c r="U218" s="1171"/>
      <c r="V218" s="1171"/>
      <c r="W218" s="1171"/>
      <c r="X218" s="1171"/>
      <c r="Y218" s="1171"/>
      <c r="Z218" s="1171"/>
      <c r="AA218" s="1171"/>
      <c r="AB218" s="1171"/>
      <c r="AC218" s="1171"/>
      <c r="AD218" s="1171"/>
      <c r="AE218" s="1171"/>
      <c r="AF218" s="1171"/>
      <c r="AG218" s="1171"/>
      <c r="AH218" s="1171"/>
      <c r="AI218" s="1171"/>
      <c r="AJ218" s="1171"/>
      <c r="AK218" s="1171"/>
      <c r="AL218" s="1171"/>
      <c r="AM218" s="1171"/>
      <c r="AN218" s="1171"/>
      <c r="AO218" s="1171"/>
      <c r="AP218" s="1171"/>
    </row>
    <row r="219" spans="1:42" ht="13.8">
      <c r="A219" s="1168"/>
      <c r="B219" s="1176"/>
      <c r="C219" s="1176"/>
      <c r="D219" s="1176"/>
      <c r="E219" s="1176"/>
      <c r="F219" s="1176"/>
      <c r="G219" s="1176"/>
      <c r="H219" s="1176"/>
      <c r="I219" s="1176"/>
      <c r="J219" s="1176"/>
      <c r="K219" s="1176"/>
      <c r="L219" s="1176"/>
      <c r="M219" s="1176"/>
      <c r="N219" s="1176"/>
      <c r="O219" s="1176"/>
      <c r="P219" s="1176"/>
      <c r="Q219" s="1176"/>
      <c r="R219" s="1176"/>
      <c r="S219" s="1168"/>
      <c r="T219" s="1168"/>
      <c r="U219" s="1168"/>
      <c r="V219" s="1168"/>
      <c r="W219" s="1168"/>
      <c r="X219" s="1168"/>
      <c r="Y219" s="1168"/>
      <c r="Z219" s="1168"/>
      <c r="AA219" s="1168"/>
      <c r="AB219" s="1168"/>
      <c r="AC219" s="1168"/>
      <c r="AD219" s="1168"/>
      <c r="AE219" s="1168"/>
      <c r="AF219" s="1168"/>
      <c r="AG219" s="1168"/>
      <c r="AH219" s="1168"/>
      <c r="AI219" s="1168"/>
      <c r="AJ219" s="1168"/>
      <c r="AK219" s="1168"/>
      <c r="AL219" s="1168"/>
      <c r="AM219" s="1168"/>
      <c r="AN219" s="1168"/>
      <c r="AO219" s="1168"/>
      <c r="AP219" s="1168"/>
    </row>
    <row r="220" spans="1:42" ht="13.8">
      <c r="A220" s="1168"/>
      <c r="B220" s="3099" t="s">
        <v>1732</v>
      </c>
      <c r="C220" s="3099"/>
      <c r="D220" s="3099"/>
      <c r="E220" s="3100">
        <v>2000</v>
      </c>
      <c r="F220" s="3113"/>
      <c r="G220" s="3100">
        <v>2001</v>
      </c>
      <c r="H220" s="3113"/>
      <c r="I220" s="3100">
        <v>2002</v>
      </c>
      <c r="J220" s="3113"/>
      <c r="K220" s="3100">
        <v>2003</v>
      </c>
      <c r="L220" s="3113"/>
      <c r="M220" s="3100">
        <v>2004</v>
      </c>
      <c r="N220" s="3113"/>
      <c r="O220" s="3100">
        <v>2005</v>
      </c>
      <c r="P220" s="3113"/>
      <c r="Q220" s="3100">
        <v>2006</v>
      </c>
      <c r="R220" s="3113"/>
      <c r="S220" s="3100">
        <v>2007</v>
      </c>
      <c r="T220" s="3117"/>
      <c r="U220" s="3100">
        <v>2008</v>
      </c>
      <c r="V220" s="3117"/>
      <c r="W220" s="3100">
        <v>2009</v>
      </c>
      <c r="X220" s="3117"/>
      <c r="Y220" s="3100">
        <v>2010</v>
      </c>
      <c r="Z220" s="3117"/>
      <c r="AA220" s="3100">
        <v>2011</v>
      </c>
      <c r="AB220" s="3117"/>
      <c r="AC220" s="3100">
        <v>2012</v>
      </c>
      <c r="AD220" s="3117"/>
      <c r="AE220" s="3100">
        <v>2013</v>
      </c>
      <c r="AF220" s="3117"/>
      <c r="AG220" s="3100">
        <v>2014</v>
      </c>
      <c r="AH220" s="3117"/>
      <c r="AI220" s="3100">
        <v>2015</v>
      </c>
      <c r="AJ220" s="3117"/>
      <c r="AK220" s="3100">
        <v>2016</v>
      </c>
      <c r="AL220" s="3117"/>
      <c r="AM220" s="3100">
        <v>2017</v>
      </c>
      <c r="AN220" s="3117"/>
      <c r="AO220" s="3099" t="s">
        <v>1733</v>
      </c>
      <c r="AP220" s="3099"/>
    </row>
    <row r="221" spans="1:42" ht="13.8">
      <c r="A221" s="1168"/>
      <c r="B221" s="1244"/>
      <c r="C221" s="1244"/>
      <c r="D221" s="1244"/>
      <c r="E221" s="1219"/>
      <c r="F221" s="1220"/>
      <c r="G221" s="1219"/>
      <c r="H221" s="1220"/>
      <c r="I221" s="1219"/>
      <c r="J221" s="1220"/>
      <c r="K221" s="1219"/>
      <c r="L221" s="1220"/>
      <c r="M221" s="1219"/>
      <c r="N221" s="1220"/>
      <c r="O221" s="1219"/>
      <c r="P221" s="1220"/>
      <c r="Q221" s="1219"/>
      <c r="R221" s="1220"/>
      <c r="S221" s="1219"/>
      <c r="T221" s="1221"/>
      <c r="U221" s="1219"/>
      <c r="V221" s="1221"/>
      <c r="W221" s="1219"/>
      <c r="X221" s="1221"/>
      <c r="Y221" s="1219"/>
      <c r="Z221" s="1221"/>
      <c r="AA221" s="1219"/>
      <c r="AB221" s="1221"/>
      <c r="AC221" s="1219"/>
      <c r="AD221" s="1221"/>
      <c r="AE221" s="1219"/>
      <c r="AF221" s="1221"/>
      <c r="AG221" s="1219"/>
      <c r="AH221" s="1221"/>
      <c r="AI221" s="1219"/>
      <c r="AJ221" s="1221"/>
      <c r="AK221" s="1219"/>
      <c r="AL221" s="1221"/>
      <c r="AM221" s="1219"/>
      <c r="AN221" s="1221"/>
      <c r="AO221" s="1219"/>
      <c r="AP221" s="1218"/>
    </row>
    <row r="222" spans="1:42" ht="13.8">
      <c r="A222" s="1168"/>
      <c r="B222" s="1206"/>
      <c r="C222" s="1206"/>
      <c r="D222" s="1206"/>
      <c r="E222" s="1206"/>
      <c r="F222" s="1206"/>
      <c r="G222" s="1206"/>
      <c r="H222" s="1206"/>
      <c r="I222" s="1206"/>
      <c r="J222" s="1206"/>
      <c r="K222" s="1206"/>
      <c r="L222" s="1206"/>
      <c r="M222" s="1206"/>
      <c r="N222" s="1206"/>
      <c r="O222" s="1206"/>
      <c r="P222" s="1206"/>
      <c r="Q222" s="1206"/>
      <c r="R222" s="1206"/>
      <c r="S222" s="1206"/>
      <c r="T222" s="1206"/>
      <c r="U222" s="1206"/>
      <c r="V222" s="1206"/>
      <c r="W222" s="1206"/>
      <c r="X222" s="1206"/>
      <c r="Y222" s="1206"/>
      <c r="Z222" s="1206"/>
      <c r="AA222" s="1206"/>
      <c r="AB222" s="1206"/>
      <c r="AC222" s="1206"/>
      <c r="AD222" s="1206"/>
      <c r="AE222" s="1206"/>
      <c r="AF222" s="1206"/>
      <c r="AG222" s="1206"/>
      <c r="AH222" s="1206"/>
      <c r="AI222" s="1206"/>
      <c r="AJ222" s="1206"/>
      <c r="AK222" s="1206"/>
      <c r="AL222" s="1206"/>
      <c r="AM222" s="1206"/>
      <c r="AN222" s="1206"/>
      <c r="AO222" s="1206"/>
      <c r="AP222" s="1206"/>
    </row>
    <row r="223" spans="1:42" ht="13.8">
      <c r="A223" s="1168"/>
      <c r="B223" s="1178"/>
      <c r="C223" s="1178"/>
      <c r="D223" s="1223" t="s">
        <v>1630</v>
      </c>
      <c r="E223" s="1246"/>
      <c r="F223" s="1247"/>
      <c r="G223" s="1246"/>
      <c r="H223" s="1247"/>
      <c r="I223" s="1246"/>
      <c r="J223" s="1247"/>
      <c r="K223" s="1246"/>
      <c r="L223" s="1247"/>
      <c r="M223" s="1246"/>
      <c r="N223" s="1247"/>
      <c r="O223" s="1246"/>
      <c r="P223" s="1247"/>
      <c r="Q223" s="1246"/>
      <c r="R223" s="1247"/>
      <c r="S223" s="1246"/>
      <c r="T223" s="1247"/>
      <c r="U223" s="1246"/>
      <c r="V223" s="1247"/>
      <c r="W223" s="1246"/>
      <c r="X223" s="1247"/>
      <c r="Y223" s="1246"/>
      <c r="Z223" s="1247"/>
      <c r="AA223" s="1246"/>
      <c r="AB223" s="1247"/>
      <c r="AC223" s="1246"/>
      <c r="AD223" s="1247"/>
      <c r="AE223" s="1246"/>
      <c r="AF223" s="1247"/>
      <c r="AG223" s="1246"/>
      <c r="AH223" s="1247"/>
      <c r="AI223" s="1246"/>
      <c r="AJ223" s="1247"/>
      <c r="AK223" s="1246"/>
      <c r="AL223" s="1247"/>
      <c r="AM223" s="1246"/>
      <c r="AN223" s="1247"/>
      <c r="AO223" s="1222"/>
      <c r="AP223" s="1223" t="s">
        <v>1647</v>
      </c>
    </row>
    <row r="224" spans="1:42" ht="13.8">
      <c r="A224" s="1168"/>
      <c r="B224" s="1178">
        <v>1</v>
      </c>
      <c r="C224" s="1178"/>
      <c r="D224" s="1206" t="s">
        <v>1734</v>
      </c>
      <c r="E224" s="1186">
        <v>67700</v>
      </c>
      <c r="F224" s="1222"/>
      <c r="G224" s="1186">
        <v>73799</v>
      </c>
      <c r="H224" s="1222"/>
      <c r="I224" s="1186">
        <v>76943</v>
      </c>
      <c r="J224" s="1222"/>
      <c r="K224" s="1186">
        <v>78518.489176470568</v>
      </c>
      <c r="L224" s="1222"/>
      <c r="M224" s="1186">
        <v>78552.044999999998</v>
      </c>
      <c r="N224" s="1222"/>
      <c r="O224" s="1186">
        <v>77531.799999999988</v>
      </c>
      <c r="P224" s="1222"/>
      <c r="Q224" s="1186">
        <v>80029.961999999985</v>
      </c>
      <c r="R224" s="1222"/>
      <c r="S224" s="1186">
        <v>84266.137000000002</v>
      </c>
      <c r="T224" s="1222"/>
      <c r="U224" s="1186">
        <v>88112.297000000006</v>
      </c>
      <c r="V224" s="1222"/>
      <c r="W224" s="1186">
        <v>88681.3</v>
      </c>
      <c r="X224" s="1222"/>
      <c r="Y224" s="1537">
        <v>91344.455991400013</v>
      </c>
      <c r="Z224" s="1187"/>
      <c r="AA224" s="1186">
        <v>97083.94645944002</v>
      </c>
      <c r="AB224" s="1187"/>
      <c r="AC224" s="1186">
        <v>99488.369557931175</v>
      </c>
      <c r="AD224" s="1247"/>
      <c r="AE224" s="1186">
        <v>106877.54413924715</v>
      </c>
      <c r="AF224" s="1247"/>
      <c r="AG224" s="1182">
        <v>109912.21011183987</v>
      </c>
      <c r="AH224" s="1247"/>
      <c r="AI224" s="1186"/>
      <c r="AJ224" s="1247"/>
      <c r="AK224" s="1186"/>
      <c r="AL224" s="1247"/>
      <c r="AM224" s="1186"/>
      <c r="AN224" s="1247"/>
      <c r="AO224" s="1222"/>
      <c r="AP224" s="1206" t="s">
        <v>1735</v>
      </c>
    </row>
    <row r="225" spans="1:42" ht="13.8">
      <c r="A225" s="1168"/>
      <c r="B225" s="1178">
        <v>2</v>
      </c>
      <c r="C225" s="1178"/>
      <c r="D225" s="1206" t="s">
        <v>1736</v>
      </c>
      <c r="E225" s="1186">
        <v>9575</v>
      </c>
      <c r="F225" s="1222"/>
      <c r="G225" s="1186">
        <v>9683</v>
      </c>
      <c r="H225" s="1222"/>
      <c r="I225" s="1186">
        <v>8938</v>
      </c>
      <c r="J225" s="1222"/>
      <c r="K225" s="1186">
        <v>9362.2000000000007</v>
      </c>
      <c r="L225" s="1222"/>
      <c r="M225" s="1186">
        <v>7254.0590000000002</v>
      </c>
      <c r="N225" s="1222"/>
      <c r="O225" s="1186">
        <v>6286</v>
      </c>
      <c r="P225" s="1222"/>
      <c r="Q225" s="1186">
        <v>5965.549</v>
      </c>
      <c r="R225" s="1222"/>
      <c r="S225" s="1186">
        <v>6175.4989999999998</v>
      </c>
      <c r="T225" s="1222"/>
      <c r="U225" s="1186">
        <v>6682.6</v>
      </c>
      <c r="V225" s="1222"/>
      <c r="W225" s="1186">
        <v>6712.8</v>
      </c>
      <c r="X225" s="1222"/>
      <c r="Y225" s="1537">
        <v>6790.3300000000008</v>
      </c>
      <c r="Z225" s="1187"/>
      <c r="AA225" s="1186">
        <v>6742.2749999999996</v>
      </c>
      <c r="AB225" s="1247"/>
      <c r="AC225" s="1186">
        <v>6523.0895</v>
      </c>
      <c r="AD225" s="1247"/>
      <c r="AE225" s="1186">
        <v>6158.4347377517279</v>
      </c>
      <c r="AF225" s="1247"/>
      <c r="AG225" s="1182">
        <v>5974.107</v>
      </c>
      <c r="AH225" s="1247"/>
      <c r="AI225" s="1186"/>
      <c r="AJ225" s="1247"/>
      <c r="AK225" s="1186"/>
      <c r="AL225" s="1247"/>
      <c r="AM225" s="1186"/>
      <c r="AN225" s="1247"/>
      <c r="AO225" s="1222"/>
      <c r="AP225" s="1206" t="s">
        <v>1737</v>
      </c>
    </row>
    <row r="226" spans="1:42" ht="13.8">
      <c r="A226" s="1168"/>
      <c r="B226" s="1178">
        <v>3</v>
      </c>
      <c r="C226" s="1178"/>
      <c r="D226" s="1224" t="s">
        <v>1315</v>
      </c>
      <c r="E226" s="1225">
        <v>77275</v>
      </c>
      <c r="F226" s="1231"/>
      <c r="G226" s="1225">
        <v>83482</v>
      </c>
      <c r="H226" s="1231"/>
      <c r="I226" s="1225">
        <v>85881</v>
      </c>
      <c r="J226" s="1231"/>
      <c r="K226" s="1225">
        <v>87880.689176470565</v>
      </c>
      <c r="L226" s="1231"/>
      <c r="M226" s="1225">
        <v>85806.103999999992</v>
      </c>
      <c r="N226" s="1231"/>
      <c r="O226" s="1225">
        <v>83817.799999999988</v>
      </c>
      <c r="P226" s="1231"/>
      <c r="Q226" s="1225">
        <v>85995.510999999984</v>
      </c>
      <c r="R226" s="1231"/>
      <c r="S226" s="1225">
        <v>90441.635999999999</v>
      </c>
      <c r="T226" s="1231"/>
      <c r="U226" s="1225">
        <v>94794.897000000012</v>
      </c>
      <c r="V226" s="1231"/>
      <c r="W226" s="1225">
        <v>95394.1</v>
      </c>
      <c r="X226" s="1231"/>
      <c r="Y226" s="1309">
        <v>98134.785991400015</v>
      </c>
      <c r="Z226" s="1227"/>
      <c r="AA226" s="1225">
        <v>103826.22145944001</v>
      </c>
      <c r="AB226" s="1227"/>
      <c r="AC226" s="1225">
        <v>106011.45905793118</v>
      </c>
      <c r="AD226" s="1247"/>
      <c r="AE226" s="1225">
        <v>113035.97887699888</v>
      </c>
      <c r="AF226" s="1247"/>
      <c r="AG226" s="1225">
        <v>115886.31711183987</v>
      </c>
      <c r="AH226" s="1247"/>
      <c r="AI226" s="1225"/>
      <c r="AJ226" s="1247"/>
      <c r="AK226" s="1225"/>
      <c r="AL226" s="1247"/>
      <c r="AM226" s="1225"/>
      <c r="AN226" s="1247"/>
      <c r="AO226" s="1222"/>
      <c r="AP226" s="1224" t="s">
        <v>124</v>
      </c>
    </row>
    <row r="227" spans="1:42" ht="13.8">
      <c r="A227" s="1168"/>
      <c r="B227" s="1232"/>
      <c r="C227" s="1232"/>
      <c r="D227" s="1233"/>
      <c r="E227" s="1239"/>
      <c r="F227" s="1242"/>
      <c r="G227" s="1239"/>
      <c r="H227" s="1242"/>
      <c r="I227" s="1239"/>
      <c r="J227" s="1242"/>
      <c r="K227" s="1239"/>
      <c r="L227" s="1242"/>
      <c r="M227" s="1239"/>
      <c r="N227" s="1242"/>
      <c r="O227" s="1239"/>
      <c r="P227" s="1242"/>
      <c r="Q227" s="1239"/>
      <c r="R227" s="1242"/>
      <c r="S227" s="1239"/>
      <c r="T227" s="1242"/>
      <c r="U227" s="1239"/>
      <c r="V227" s="1242"/>
      <c r="W227" s="1239"/>
      <c r="X227" s="1242"/>
      <c r="Y227" s="1239"/>
      <c r="Z227" s="1241"/>
      <c r="AA227" s="1239"/>
      <c r="AB227" s="1248"/>
      <c r="AC227" s="1239"/>
      <c r="AD227" s="1248"/>
      <c r="AE227" s="1239"/>
      <c r="AF227" s="1248"/>
      <c r="AG227" s="1239"/>
      <c r="AH227" s="1248"/>
      <c r="AI227" s="1239"/>
      <c r="AJ227" s="1248"/>
      <c r="AK227" s="1239"/>
      <c r="AL227" s="1248"/>
      <c r="AM227" s="1239"/>
      <c r="AN227" s="1248"/>
      <c r="AO227" s="1238"/>
      <c r="AP227" s="1233"/>
    </row>
    <row r="228" spans="1:42" ht="13.8">
      <c r="A228" s="1168"/>
      <c r="B228" s="1178"/>
      <c r="C228" s="1178"/>
      <c r="D228" s="1206"/>
      <c r="E228" s="1186"/>
      <c r="F228" s="1247"/>
      <c r="G228" s="1186"/>
      <c r="H228" s="1247"/>
      <c r="I228" s="1186"/>
      <c r="J228" s="1247"/>
      <c r="K228" s="1186"/>
      <c r="L228" s="1247"/>
      <c r="M228" s="1186"/>
      <c r="N228" s="1247"/>
      <c r="O228" s="1186"/>
      <c r="P228" s="1247"/>
      <c r="Q228" s="1186"/>
      <c r="R228" s="1247"/>
      <c r="S228" s="1186"/>
      <c r="T228" s="1247"/>
      <c r="U228" s="1186"/>
      <c r="V228" s="1247"/>
      <c r="W228" s="1186"/>
      <c r="X228" s="1222"/>
      <c r="Y228" s="1186"/>
      <c r="Z228" s="1187"/>
      <c r="AA228" s="1186"/>
      <c r="AB228" s="1247"/>
      <c r="AC228" s="1186"/>
      <c r="AD228" s="1247"/>
      <c r="AE228" s="1186"/>
      <c r="AF228" s="1247"/>
      <c r="AG228" s="1186"/>
      <c r="AH228" s="1247"/>
      <c r="AI228" s="1186"/>
      <c r="AJ228" s="1247"/>
      <c r="AK228" s="1186"/>
      <c r="AL228" s="1247"/>
      <c r="AM228" s="1186"/>
      <c r="AN228" s="1247"/>
      <c r="AO228" s="1222"/>
      <c r="AP228" s="1206"/>
    </row>
    <row r="229" spans="1:42" ht="13.8">
      <c r="A229" s="1168"/>
      <c r="B229" s="1206"/>
      <c r="C229" s="1178"/>
      <c r="D229" s="1223" t="s">
        <v>1631</v>
      </c>
      <c r="E229" s="1186"/>
      <c r="F229" s="1247"/>
      <c r="G229" s="1186"/>
      <c r="H229" s="1247"/>
      <c r="I229" s="1186"/>
      <c r="J229" s="1247"/>
      <c r="K229" s="1186"/>
      <c r="L229" s="1247"/>
      <c r="M229" s="1186"/>
      <c r="N229" s="1247"/>
      <c r="O229" s="1186"/>
      <c r="P229" s="1247"/>
      <c r="Q229" s="1186"/>
      <c r="R229" s="1247"/>
      <c r="S229" s="1186"/>
      <c r="T229" s="1247"/>
      <c r="U229" s="1186"/>
      <c r="V229" s="1247"/>
      <c r="W229" s="1186"/>
      <c r="X229" s="1222"/>
      <c r="Y229" s="1186"/>
      <c r="Z229" s="1187"/>
      <c r="AA229" s="1186"/>
      <c r="AB229" s="1247"/>
      <c r="AC229" s="1186"/>
      <c r="AD229" s="1247"/>
      <c r="AE229" s="1186"/>
      <c r="AF229" s="1247"/>
      <c r="AG229" s="1186"/>
      <c r="AH229" s="1247"/>
      <c r="AI229" s="1186"/>
      <c r="AJ229" s="1247"/>
      <c r="AK229" s="1186"/>
      <c r="AL229" s="1247"/>
      <c r="AM229" s="1186"/>
      <c r="AN229" s="1247"/>
      <c r="AO229" s="1222"/>
      <c r="AP229" s="1223" t="s">
        <v>1648</v>
      </c>
    </row>
    <row r="230" spans="1:42" ht="13.8">
      <c r="A230" s="1168"/>
      <c r="B230" s="1178">
        <v>4</v>
      </c>
      <c r="C230" s="1178"/>
      <c r="D230" s="1206" t="s">
        <v>1734</v>
      </c>
      <c r="E230" s="1186">
        <v>35624.195999999996</v>
      </c>
      <c r="F230" s="1222"/>
      <c r="G230" s="1186">
        <v>36073</v>
      </c>
      <c r="H230" s="1222"/>
      <c r="I230" s="1186">
        <v>35893.845000000001</v>
      </c>
      <c r="J230" s="1222"/>
      <c r="K230" s="1186">
        <v>36284.996666666666</v>
      </c>
      <c r="L230" s="1222"/>
      <c r="M230" s="1186">
        <v>38500.9</v>
      </c>
      <c r="N230" s="1222"/>
      <c r="O230" s="1186">
        <v>40130.4617</v>
      </c>
      <c r="P230" s="1222"/>
      <c r="Q230" s="1186">
        <v>41824.706889999994</v>
      </c>
      <c r="R230" s="1222"/>
      <c r="S230" s="1186">
        <v>41927.991000000002</v>
      </c>
      <c r="T230" s="1222"/>
      <c r="U230" s="1186">
        <v>43706.37887</v>
      </c>
      <c r="V230" s="1222"/>
      <c r="W230" s="1186">
        <v>37218</v>
      </c>
      <c r="X230" s="1222"/>
      <c r="Y230" s="1214">
        <v>39166.830999999998</v>
      </c>
      <c r="Z230" s="1187"/>
      <c r="AA230" s="1186">
        <v>40198.431114255654</v>
      </c>
      <c r="AB230" s="1227" t="s">
        <v>203</v>
      </c>
      <c r="AC230" s="1186">
        <v>36924.149224728273</v>
      </c>
      <c r="AD230" s="1227" t="s">
        <v>203</v>
      </c>
      <c r="AE230" s="1186">
        <v>35361.96652546079</v>
      </c>
      <c r="AF230" s="1227" t="s">
        <v>203</v>
      </c>
      <c r="AG230" s="1186">
        <v>34832.380430831225</v>
      </c>
      <c r="AH230" s="1247"/>
      <c r="AI230" s="1186"/>
      <c r="AJ230" s="1247"/>
      <c r="AK230" s="1186"/>
      <c r="AL230" s="1247"/>
      <c r="AM230" s="1186"/>
      <c r="AN230" s="1247"/>
      <c r="AO230" s="1222"/>
      <c r="AP230" s="1206" t="s">
        <v>1735</v>
      </c>
    </row>
    <row r="231" spans="1:42" ht="13.8">
      <c r="A231" s="1168"/>
      <c r="B231" s="1178">
        <v>5</v>
      </c>
      <c r="C231" s="1178"/>
      <c r="D231" s="1206" t="s">
        <v>1736</v>
      </c>
      <c r="E231" s="1186">
        <v>3304.5</v>
      </c>
      <c r="F231" s="1222"/>
      <c r="G231" s="1186">
        <v>3125</v>
      </c>
      <c r="H231" s="1222"/>
      <c r="I231" s="1186">
        <v>2965.0749999999998</v>
      </c>
      <c r="J231" s="1222"/>
      <c r="K231" s="1186">
        <v>3143.8919999999998</v>
      </c>
      <c r="L231" s="1222"/>
      <c r="M231" s="1186">
        <v>3394.7036666666663</v>
      </c>
      <c r="N231" s="1222"/>
      <c r="O231" s="1186">
        <v>3734.6666666666665</v>
      </c>
      <c r="P231" s="1222"/>
      <c r="Q231" s="1186">
        <v>3630.8969099999999</v>
      </c>
      <c r="R231" s="1222"/>
      <c r="S231" s="1186">
        <v>3534.6666666666665</v>
      </c>
      <c r="T231" s="1222"/>
      <c r="U231" s="1186">
        <v>3966.9349999999999</v>
      </c>
      <c r="V231" s="1222"/>
      <c r="W231" s="1186">
        <v>3200.2749999999996</v>
      </c>
      <c r="X231" s="1222"/>
      <c r="Y231" s="1214">
        <v>3280.2979999999998</v>
      </c>
      <c r="Z231" s="1187"/>
      <c r="AA231" s="1186">
        <v>3165.9688857443489</v>
      </c>
      <c r="AB231" s="1227" t="s">
        <v>203</v>
      </c>
      <c r="AC231" s="1186">
        <v>2795.095742306115</v>
      </c>
      <c r="AD231" s="1227" t="s">
        <v>203</v>
      </c>
      <c r="AE231" s="1186">
        <v>2787.2721703392053</v>
      </c>
      <c r="AF231" s="1227" t="s">
        <v>203</v>
      </c>
      <c r="AG231" s="1186">
        <v>2265.2666811887784</v>
      </c>
      <c r="AH231" s="1247"/>
      <c r="AI231" s="1186"/>
      <c r="AJ231" s="1247"/>
      <c r="AK231" s="1186"/>
      <c r="AL231" s="1247"/>
      <c r="AM231" s="1186"/>
      <c r="AN231" s="1247"/>
      <c r="AO231" s="1222"/>
      <c r="AP231" s="1206" t="s">
        <v>1737</v>
      </c>
    </row>
    <row r="232" spans="1:42" ht="13.8">
      <c r="A232" s="1168"/>
      <c r="B232" s="1178">
        <v>6</v>
      </c>
      <c r="C232" s="1178"/>
      <c r="D232" s="1224" t="s">
        <v>1315</v>
      </c>
      <c r="E232" s="1225">
        <v>38928.695999999996</v>
      </c>
      <c r="F232" s="1231"/>
      <c r="G232" s="1225">
        <v>39198</v>
      </c>
      <c r="H232" s="1231"/>
      <c r="I232" s="1225">
        <v>38858.92</v>
      </c>
      <c r="J232" s="1231"/>
      <c r="K232" s="1225">
        <v>39428.888666666666</v>
      </c>
      <c r="L232" s="1231"/>
      <c r="M232" s="1225">
        <v>41895.60366666667</v>
      </c>
      <c r="N232" s="1231"/>
      <c r="O232" s="1225">
        <v>43865.128366666664</v>
      </c>
      <c r="P232" s="1231"/>
      <c r="Q232" s="1225">
        <v>45455.603799999997</v>
      </c>
      <c r="R232" s="1231"/>
      <c r="S232" s="1225">
        <v>45462.657666666666</v>
      </c>
      <c r="T232" s="1231"/>
      <c r="U232" s="1225">
        <v>47673.313869999998</v>
      </c>
      <c r="V232" s="1231"/>
      <c r="W232" s="1225">
        <v>40418.275000000001</v>
      </c>
      <c r="X232" s="1231"/>
      <c r="Y232" s="1290">
        <v>42447.129000000001</v>
      </c>
      <c r="Z232" s="1227"/>
      <c r="AA232" s="1225">
        <v>43364.4</v>
      </c>
      <c r="AB232" s="1227"/>
      <c r="AC232" s="1225">
        <v>39719.244967034392</v>
      </c>
      <c r="AD232" s="1227"/>
      <c r="AE232" s="1225">
        <v>38149.238695799999</v>
      </c>
      <c r="AF232" s="1227" t="s">
        <v>203</v>
      </c>
      <c r="AG232" s="1225">
        <v>37097.64711202</v>
      </c>
      <c r="AH232" s="1247"/>
      <c r="AI232" s="1225"/>
      <c r="AJ232" s="1247"/>
      <c r="AK232" s="1225"/>
      <c r="AL232" s="1247"/>
      <c r="AM232" s="1225"/>
      <c r="AN232" s="1247"/>
      <c r="AO232" s="1222"/>
      <c r="AP232" s="1224" t="s">
        <v>124</v>
      </c>
    </row>
    <row r="233" spans="1:42" ht="13.8">
      <c r="A233" s="1168"/>
      <c r="B233" s="1232"/>
      <c r="C233" s="1232"/>
      <c r="D233" s="1237"/>
      <c r="E233" s="1234"/>
      <c r="F233" s="1238"/>
      <c r="G233" s="1234"/>
      <c r="H233" s="1238"/>
      <c r="I233" s="1234"/>
      <c r="J233" s="1238"/>
      <c r="K233" s="1234"/>
      <c r="L233" s="1238"/>
      <c r="M233" s="1234"/>
      <c r="N233" s="1238"/>
      <c r="O233" s="1234"/>
      <c r="P233" s="1238"/>
      <c r="Q233" s="1234"/>
      <c r="R233" s="1238"/>
      <c r="S233" s="1234"/>
      <c r="T233" s="1238"/>
      <c r="U233" s="1234"/>
      <c r="V233" s="1238"/>
      <c r="W233" s="1234"/>
      <c r="X233" s="1238"/>
      <c r="Y233" s="1234"/>
      <c r="Z233" s="1236"/>
      <c r="AA233" s="1234"/>
      <c r="AB233" s="1248"/>
      <c r="AC233" s="1234"/>
      <c r="AD233" s="1248"/>
      <c r="AE233" s="1234"/>
      <c r="AF233" s="1248"/>
      <c r="AG233" s="1234"/>
      <c r="AH233" s="1248"/>
      <c r="AI233" s="1234"/>
      <c r="AJ233" s="1248"/>
      <c r="AK233" s="1234"/>
      <c r="AL233" s="1248"/>
      <c r="AM233" s="1234"/>
      <c r="AN233" s="1248"/>
      <c r="AO233" s="1238"/>
      <c r="AP233" s="1237"/>
    </row>
    <row r="234" spans="1:42" ht="13.8">
      <c r="A234" s="1168"/>
      <c r="B234" s="1178"/>
      <c r="C234" s="1178"/>
      <c r="D234" s="1206"/>
      <c r="E234" s="1186"/>
      <c r="F234" s="1222"/>
      <c r="G234" s="1186"/>
      <c r="H234" s="1222"/>
      <c r="I234" s="1186"/>
      <c r="J234" s="1222"/>
      <c r="K234" s="1186"/>
      <c r="L234" s="1222"/>
      <c r="M234" s="1186"/>
      <c r="N234" s="1222"/>
      <c r="O234" s="1186"/>
      <c r="P234" s="1222"/>
      <c r="Q234" s="1186"/>
      <c r="R234" s="1222"/>
      <c r="S234" s="1186"/>
      <c r="T234" s="1222"/>
      <c r="U234" s="1186"/>
      <c r="V234" s="1222"/>
      <c r="W234" s="1186"/>
      <c r="X234" s="1222"/>
      <c r="Y234" s="1186"/>
      <c r="Z234" s="1187"/>
      <c r="AA234" s="1186"/>
      <c r="AB234" s="1247"/>
      <c r="AC234" s="1186"/>
      <c r="AD234" s="1247"/>
      <c r="AE234" s="1186"/>
      <c r="AF234" s="1247"/>
      <c r="AG234" s="1186"/>
      <c r="AH234" s="1247"/>
      <c r="AI234" s="1186"/>
      <c r="AJ234" s="1247"/>
      <c r="AK234" s="1186"/>
      <c r="AL234" s="1247"/>
      <c r="AM234" s="1186"/>
      <c r="AN234" s="1247"/>
      <c r="AO234" s="1222"/>
      <c r="AP234" s="1206"/>
    </row>
    <row r="235" spans="1:42" ht="13.8">
      <c r="A235" s="1168"/>
      <c r="B235" s="1178">
        <v>7</v>
      </c>
      <c r="C235" s="1178"/>
      <c r="D235" s="1206" t="s">
        <v>1738</v>
      </c>
      <c r="E235" s="1186">
        <v>103324.196</v>
      </c>
      <c r="F235" s="1222"/>
      <c r="G235" s="1186">
        <v>109872</v>
      </c>
      <c r="H235" s="1222"/>
      <c r="I235" s="1186">
        <v>112836.845</v>
      </c>
      <c r="J235" s="1222"/>
      <c r="K235" s="1186">
        <v>114803.48584313723</v>
      </c>
      <c r="L235" s="1222"/>
      <c r="M235" s="1186">
        <v>117052.94500000001</v>
      </c>
      <c r="N235" s="1222"/>
      <c r="O235" s="1186">
        <v>117662.26169999999</v>
      </c>
      <c r="P235" s="1222"/>
      <c r="Q235" s="1186">
        <v>121854.66888999997</v>
      </c>
      <c r="R235" s="1222"/>
      <c r="S235" s="1186">
        <v>126194.128</v>
      </c>
      <c r="T235" s="1222"/>
      <c r="U235" s="1186">
        <v>131818.67587000001</v>
      </c>
      <c r="V235" s="1222"/>
      <c r="W235" s="1186">
        <v>125899.3</v>
      </c>
      <c r="X235" s="1222"/>
      <c r="Y235" s="1186">
        <v>130511.2869914</v>
      </c>
      <c r="Z235" s="1187"/>
      <c r="AA235" s="1186">
        <v>137282.37757369567</v>
      </c>
      <c r="AB235" s="1227" t="s">
        <v>203</v>
      </c>
      <c r="AC235" s="1186">
        <v>136412.51878265943</v>
      </c>
      <c r="AD235" s="1227" t="s">
        <v>203</v>
      </c>
      <c r="AE235" s="1186">
        <v>142239.51066470795</v>
      </c>
      <c r="AF235" s="1227" t="s">
        <v>203</v>
      </c>
      <c r="AG235" s="1182">
        <v>144744.5905426711</v>
      </c>
      <c r="AH235" s="1247"/>
      <c r="AI235" s="1186"/>
      <c r="AJ235" s="1247"/>
      <c r="AK235" s="1186"/>
      <c r="AL235" s="1247"/>
      <c r="AM235" s="1186"/>
      <c r="AN235" s="1247"/>
      <c r="AO235" s="1222"/>
      <c r="AP235" s="1206" t="s">
        <v>1739</v>
      </c>
    </row>
    <row r="236" spans="1:42" ht="13.8">
      <c r="A236" s="1168"/>
      <c r="B236" s="1178">
        <v>8</v>
      </c>
      <c r="C236" s="1178"/>
      <c r="D236" s="1206" t="s">
        <v>1740</v>
      </c>
      <c r="E236" s="1186">
        <v>12879.5</v>
      </c>
      <c r="F236" s="1222"/>
      <c r="G236" s="1186">
        <v>12808</v>
      </c>
      <c r="H236" s="1222"/>
      <c r="I236" s="1186">
        <v>11903.075000000001</v>
      </c>
      <c r="J236" s="1222"/>
      <c r="K236" s="1186">
        <v>12506.092000000001</v>
      </c>
      <c r="L236" s="1222"/>
      <c r="M236" s="1186">
        <v>10648.762666666666</v>
      </c>
      <c r="N236" s="1222"/>
      <c r="O236" s="1186">
        <v>10020.666666666666</v>
      </c>
      <c r="P236" s="1222"/>
      <c r="Q236" s="1186">
        <v>9596.4459100000004</v>
      </c>
      <c r="R236" s="1222"/>
      <c r="S236" s="1186">
        <v>9710.1656666666659</v>
      </c>
      <c r="T236" s="1222"/>
      <c r="U236" s="1186">
        <v>10649.535</v>
      </c>
      <c r="V236" s="1222"/>
      <c r="W236" s="1186">
        <v>9913.0750000000007</v>
      </c>
      <c r="X236" s="1222"/>
      <c r="Y236" s="1186">
        <v>10070.628000000001</v>
      </c>
      <c r="Z236" s="1187"/>
      <c r="AA236" s="1186">
        <v>9908.2438857443485</v>
      </c>
      <c r="AB236" s="1227" t="s">
        <v>203</v>
      </c>
      <c r="AC236" s="1186">
        <v>9318.1852423061155</v>
      </c>
      <c r="AD236" s="1227" t="s">
        <v>203</v>
      </c>
      <c r="AE236" s="1186">
        <v>8945.7069080909332</v>
      </c>
      <c r="AF236" s="1227" t="s">
        <v>203</v>
      </c>
      <c r="AG236" s="1182">
        <v>8239.3736811887793</v>
      </c>
      <c r="AH236" s="1247"/>
      <c r="AI236" s="1186"/>
      <c r="AJ236" s="1247"/>
      <c r="AK236" s="1186"/>
      <c r="AL236" s="1247"/>
      <c r="AM236" s="1186"/>
      <c r="AN236" s="1247"/>
      <c r="AO236" s="1222"/>
      <c r="AP236" s="1206" t="s">
        <v>1741</v>
      </c>
    </row>
    <row r="237" spans="1:42" ht="13.8">
      <c r="A237" s="1168"/>
      <c r="B237" s="1178">
        <v>9</v>
      </c>
      <c r="C237" s="1178"/>
      <c r="D237" s="1224" t="s">
        <v>625</v>
      </c>
      <c r="E237" s="1225">
        <v>116203.696</v>
      </c>
      <c r="F237" s="1231"/>
      <c r="G237" s="1225">
        <v>122680</v>
      </c>
      <c r="H237" s="1231"/>
      <c r="I237" s="1225">
        <v>124739.92</v>
      </c>
      <c r="J237" s="1231"/>
      <c r="K237" s="1225">
        <v>127309.57784313723</v>
      </c>
      <c r="L237" s="1231"/>
      <c r="M237" s="1225">
        <v>127701.70766666667</v>
      </c>
      <c r="N237" s="1231"/>
      <c r="O237" s="1225">
        <v>127682.92836666666</v>
      </c>
      <c r="P237" s="1231"/>
      <c r="Q237" s="1225">
        <v>131451.11479999998</v>
      </c>
      <c r="R237" s="1231"/>
      <c r="S237" s="1225">
        <v>135904.29366666666</v>
      </c>
      <c r="T237" s="1231"/>
      <c r="U237" s="1225">
        <v>142468.21087000001</v>
      </c>
      <c r="V237" s="1231"/>
      <c r="W237" s="1225">
        <v>135812.375</v>
      </c>
      <c r="X237" s="1231"/>
      <c r="Y237" s="1225">
        <v>140581.91499140003</v>
      </c>
      <c r="Z237" s="1227"/>
      <c r="AA237" s="1225">
        <v>147190.62145944001</v>
      </c>
      <c r="AB237" s="1227"/>
      <c r="AC237" s="1225">
        <v>145730.70402496558</v>
      </c>
      <c r="AD237" s="1247"/>
      <c r="AE237" s="1225">
        <v>151185.21757279889</v>
      </c>
      <c r="AF237" s="1227" t="s">
        <v>203</v>
      </c>
      <c r="AG237" s="1225">
        <v>152983.96422385989</v>
      </c>
      <c r="AH237" s="1247"/>
      <c r="AI237" s="1225"/>
      <c r="AJ237" s="1247"/>
      <c r="AK237" s="1225"/>
      <c r="AL237" s="1247"/>
      <c r="AM237" s="1225"/>
      <c r="AN237" s="1247"/>
      <c r="AO237" s="1222"/>
      <c r="AP237" s="1224" t="s">
        <v>1742</v>
      </c>
    </row>
    <row r="238" spans="1:42" ht="13.8">
      <c r="A238" s="1249"/>
      <c r="B238" s="1232"/>
      <c r="C238" s="1232"/>
      <c r="D238" s="1250"/>
      <c r="E238" s="1251"/>
      <c r="F238" s="1238"/>
      <c r="G238" s="1251"/>
      <c r="H238" s="1238"/>
      <c r="I238" s="1251"/>
      <c r="J238" s="1238"/>
      <c r="K238" s="1251"/>
      <c r="L238" s="1238"/>
      <c r="M238" s="1251"/>
      <c r="N238" s="1238"/>
      <c r="O238" s="1251"/>
      <c r="P238" s="1238"/>
      <c r="Q238" s="1251"/>
      <c r="R238" s="1238"/>
      <c r="S238" s="1251"/>
      <c r="T238" s="1238"/>
      <c r="U238" s="1251"/>
      <c r="V238" s="1238"/>
      <c r="W238" s="1251"/>
      <c r="X238" s="1238"/>
      <c r="Y238" s="1251"/>
      <c r="Z238" s="1238"/>
      <c r="AA238" s="1251"/>
      <c r="AB238" s="1238"/>
      <c r="AC238" s="1251"/>
      <c r="AD238" s="1238"/>
      <c r="AE238" s="1251"/>
      <c r="AF238" s="1238"/>
      <c r="AG238" s="1251"/>
      <c r="AH238" s="1238"/>
      <c r="AI238" s="1251"/>
      <c r="AJ238" s="1238"/>
      <c r="AK238" s="1251"/>
      <c r="AL238" s="1238"/>
      <c r="AM238" s="1251"/>
      <c r="AN238" s="1238"/>
      <c r="AO238" s="1238"/>
      <c r="AP238" s="1250"/>
    </row>
    <row r="239" spans="1:42" ht="13.8">
      <c r="A239" s="1168"/>
      <c r="B239" s="1178"/>
      <c r="C239" s="1178"/>
      <c r="D239" s="1229"/>
      <c r="E239" s="1246"/>
      <c r="F239" s="1222"/>
      <c r="G239" s="1246"/>
      <c r="H239" s="1222"/>
      <c r="I239" s="1246"/>
      <c r="J239" s="1222"/>
      <c r="K239" s="1246"/>
      <c r="L239" s="1222"/>
      <c r="M239" s="1246"/>
      <c r="N239" s="1222"/>
      <c r="O239" s="1246"/>
      <c r="P239" s="1222"/>
      <c r="Q239" s="1246"/>
      <c r="R239" s="1222"/>
      <c r="S239" s="1246"/>
      <c r="T239" s="1222"/>
      <c r="U239" s="1246"/>
      <c r="V239" s="1222"/>
      <c r="W239" s="1246"/>
      <c r="X239" s="1222"/>
      <c r="Y239" s="1246"/>
      <c r="Z239" s="1222"/>
      <c r="AA239" s="1246"/>
      <c r="AB239" s="1222"/>
      <c r="AC239" s="1246"/>
      <c r="AD239" s="1222"/>
      <c r="AE239" s="1246"/>
      <c r="AF239" s="1222"/>
      <c r="AG239" s="1246"/>
      <c r="AH239" s="1222"/>
      <c r="AI239" s="1246"/>
      <c r="AJ239" s="1222"/>
      <c r="AK239" s="1246"/>
      <c r="AL239" s="1222"/>
      <c r="AM239" s="1246"/>
      <c r="AN239" s="1222"/>
      <c r="AO239" s="1222"/>
      <c r="AP239" s="1229"/>
    </row>
    <row r="240" spans="1:42" ht="13.8">
      <c r="A240" s="1168"/>
      <c r="B240" s="1176"/>
      <c r="C240" s="1176"/>
      <c r="D240" s="1176"/>
      <c r="E240" s="1176"/>
      <c r="F240" s="1176"/>
      <c r="G240" s="1176"/>
      <c r="H240" s="1176"/>
      <c r="I240" s="1176"/>
      <c r="J240" s="1176"/>
      <c r="K240" s="1176"/>
      <c r="L240" s="1176"/>
      <c r="M240" s="1176"/>
      <c r="N240" s="1176"/>
      <c r="O240" s="1176"/>
      <c r="P240" s="1176"/>
      <c r="Q240" s="1176"/>
      <c r="R240" s="1176"/>
      <c r="S240" s="1176"/>
      <c r="T240" s="1176"/>
      <c r="U240" s="1176"/>
      <c r="V240" s="1176"/>
      <c r="W240" s="1176"/>
      <c r="X240" s="1176"/>
      <c r="Y240" s="1176"/>
      <c r="Z240" s="1176"/>
      <c r="AA240" s="1176"/>
      <c r="AB240" s="1176"/>
      <c r="AC240" s="1176"/>
      <c r="AD240" s="1176"/>
      <c r="AE240" s="1176"/>
      <c r="AF240" s="1176"/>
      <c r="AG240" s="1176"/>
      <c r="AH240" s="1176"/>
      <c r="AI240" s="1176"/>
      <c r="AJ240" s="1176"/>
      <c r="AK240" s="1176"/>
      <c r="AL240" s="1176"/>
      <c r="AM240" s="1176"/>
      <c r="AN240" s="1176"/>
      <c r="AO240" s="1176"/>
      <c r="AP240" s="1176"/>
    </row>
    <row r="241" spans="1:42" ht="13.8">
      <c r="A241" s="1168"/>
      <c r="B241" s="3099" t="s">
        <v>1743</v>
      </c>
      <c r="C241" s="3099"/>
      <c r="D241" s="3099"/>
      <c r="E241" s="3105"/>
      <c r="F241" s="3116"/>
      <c r="G241" s="3105"/>
      <c r="H241" s="3116"/>
      <c r="I241" s="3105"/>
      <c r="J241" s="3116"/>
      <c r="K241" s="3105"/>
      <c r="L241" s="3116"/>
      <c r="M241" s="3105"/>
      <c r="N241" s="3116"/>
      <c r="O241" s="3105"/>
      <c r="P241" s="3116"/>
      <c r="Q241" s="3105"/>
      <c r="R241" s="3116"/>
      <c r="S241" s="3105"/>
      <c r="T241" s="3115"/>
      <c r="U241" s="3105"/>
      <c r="V241" s="3115"/>
      <c r="W241" s="3105"/>
      <c r="X241" s="3115"/>
      <c r="Y241" s="3105"/>
      <c r="Z241" s="3115"/>
      <c r="AA241" s="3105"/>
      <c r="AB241" s="3115"/>
      <c r="AC241" s="3105"/>
      <c r="AD241" s="3115"/>
      <c r="AE241" s="3105"/>
      <c r="AF241" s="3115"/>
      <c r="AG241" s="3105"/>
      <c r="AH241" s="3115"/>
      <c r="AI241" s="3105"/>
      <c r="AJ241" s="3115"/>
      <c r="AK241" s="3105"/>
      <c r="AL241" s="3115"/>
      <c r="AM241" s="3105"/>
      <c r="AN241" s="3115"/>
      <c r="AO241" s="3099" t="s">
        <v>1744</v>
      </c>
      <c r="AP241" s="3099"/>
    </row>
    <row r="242" spans="1:42" ht="13.8">
      <c r="A242" s="1168"/>
      <c r="B242" s="1244"/>
      <c r="C242" s="1244"/>
      <c r="D242" s="1244"/>
      <c r="E242" s="1219"/>
      <c r="F242" s="1220"/>
      <c r="G242" s="1219"/>
      <c r="H242" s="1220"/>
      <c r="I242" s="1219"/>
      <c r="J242" s="1220"/>
      <c r="K242" s="1219"/>
      <c r="L242" s="1220"/>
      <c r="M242" s="1219"/>
      <c r="N242" s="1220"/>
      <c r="O242" s="1219"/>
      <c r="P242" s="1220"/>
      <c r="Q242" s="1219"/>
      <c r="R242" s="1220"/>
      <c r="S242" s="1219"/>
      <c r="T242" s="1221"/>
      <c r="U242" s="1219"/>
      <c r="V242" s="1221"/>
      <c r="W242" s="1219"/>
      <c r="X242" s="1221"/>
      <c r="Y242" s="1219"/>
      <c r="Z242" s="1221"/>
      <c r="AA242" s="1219"/>
      <c r="AB242" s="1221"/>
      <c r="AC242" s="1219"/>
      <c r="AD242" s="1221"/>
      <c r="AE242" s="1219"/>
      <c r="AF242" s="1221"/>
      <c r="AG242" s="1219"/>
      <c r="AH242" s="1221"/>
      <c r="AI242" s="1219"/>
      <c r="AJ242" s="1221"/>
      <c r="AK242" s="1219"/>
      <c r="AL242" s="1221"/>
      <c r="AM242" s="1219"/>
      <c r="AN242" s="1221"/>
      <c r="AO242" s="1244"/>
      <c r="AP242" s="1244"/>
    </row>
    <row r="243" spans="1:42" ht="13.8">
      <c r="A243" s="1168"/>
      <c r="B243" s="1206"/>
      <c r="C243" s="1206"/>
      <c r="D243" s="1206"/>
      <c r="E243" s="1206"/>
      <c r="F243" s="1206"/>
      <c r="G243" s="1206"/>
      <c r="H243" s="1206"/>
      <c r="I243" s="1206"/>
      <c r="J243" s="1206"/>
      <c r="K243" s="1206"/>
      <c r="L243" s="1206"/>
      <c r="M243" s="1206"/>
      <c r="N243" s="1206"/>
      <c r="O243" s="1206"/>
      <c r="P243" s="1206"/>
      <c r="Q243" s="1206"/>
      <c r="R243" s="1206"/>
      <c r="S243" s="1206"/>
      <c r="T243" s="1206"/>
      <c r="U243" s="1206"/>
      <c r="V243" s="1206"/>
      <c r="W243" s="1206"/>
      <c r="X243" s="1206"/>
      <c r="Y243" s="1206"/>
      <c r="Z243" s="1206"/>
      <c r="AA243" s="1206"/>
      <c r="AB243" s="1206"/>
      <c r="AC243" s="1206"/>
      <c r="AD243" s="1206"/>
      <c r="AE243" s="1206"/>
      <c r="AF243" s="1206"/>
      <c r="AG243" s="1206"/>
      <c r="AH243" s="1206"/>
      <c r="AI243" s="1206"/>
      <c r="AJ243" s="1206"/>
      <c r="AK243" s="1206"/>
      <c r="AL243" s="1206"/>
      <c r="AM243" s="1206"/>
      <c r="AN243" s="1206"/>
      <c r="AO243" s="1206"/>
      <c r="AP243" s="1206"/>
    </row>
    <row r="244" spans="1:42" ht="13.8">
      <c r="A244" s="1168"/>
      <c r="B244" s="1178"/>
      <c r="C244" s="1178"/>
      <c r="D244" s="1223" t="s">
        <v>1630</v>
      </c>
      <c r="E244" s="1246"/>
      <c r="F244" s="1247"/>
      <c r="G244" s="1246"/>
      <c r="H244" s="1247"/>
      <c r="I244" s="1246"/>
      <c r="J244" s="1247"/>
      <c r="K244" s="1246"/>
      <c r="L244" s="1247"/>
      <c r="M244" s="1246"/>
      <c r="N244" s="1247"/>
      <c r="O244" s="1246"/>
      <c r="P244" s="1247"/>
      <c r="Q244" s="1246"/>
      <c r="R244" s="1247"/>
      <c r="S244" s="1246"/>
      <c r="T244" s="1247"/>
      <c r="U244" s="1246"/>
      <c r="V244" s="1247"/>
      <c r="W244" s="1246"/>
      <c r="X244" s="1247"/>
      <c r="Y244" s="1246"/>
      <c r="Z244" s="1247"/>
      <c r="AA244" s="1246"/>
      <c r="AB244" s="1247"/>
      <c r="AC244" s="1246"/>
      <c r="AD244" s="1247"/>
      <c r="AE244" s="1246"/>
      <c r="AF244" s="1247"/>
      <c r="AG244" s="1246"/>
      <c r="AH244" s="1247"/>
      <c r="AI244" s="1246"/>
      <c r="AJ244" s="1247"/>
      <c r="AK244" s="1246"/>
      <c r="AL244" s="1247"/>
      <c r="AM244" s="1246"/>
      <c r="AN244" s="1247"/>
      <c r="AO244" s="1222"/>
      <c r="AP244" s="1223" t="s">
        <v>1647</v>
      </c>
    </row>
    <row r="245" spans="1:42" ht="13.8">
      <c r="A245" s="1168"/>
      <c r="B245" s="1178">
        <v>10</v>
      </c>
      <c r="C245" s="1178"/>
      <c r="D245" s="1206" t="s">
        <v>1734</v>
      </c>
      <c r="E245" s="1186">
        <v>15084.2</v>
      </c>
      <c r="F245" s="1182"/>
      <c r="G245" s="1186">
        <v>15858.286</v>
      </c>
      <c r="H245" s="1182"/>
      <c r="I245" s="1186">
        <v>16379.1</v>
      </c>
      <c r="J245" s="1182"/>
      <c r="K245" s="1186">
        <v>16367.725882352941</v>
      </c>
      <c r="L245" s="1182"/>
      <c r="M245" s="1186">
        <v>16346.223452</v>
      </c>
      <c r="N245" s="1182"/>
      <c r="O245" s="1186">
        <v>16009.000000000002</v>
      </c>
      <c r="P245" s="1182"/>
      <c r="Q245" s="1186">
        <v>17240.373838</v>
      </c>
      <c r="R245" s="1182"/>
      <c r="S245" s="1186">
        <v>18549.293728000001</v>
      </c>
      <c r="T245" s="1182"/>
      <c r="U245" s="1186">
        <v>19675.478999999996</v>
      </c>
      <c r="V245" s="1182"/>
      <c r="W245" s="1186">
        <v>20298.969000000005</v>
      </c>
      <c r="X245" s="1182"/>
      <c r="Y245" s="1186">
        <v>20338.562327767198</v>
      </c>
      <c r="Z245" s="1187"/>
      <c r="AA245" s="1186">
        <v>22034.38460545913</v>
      </c>
      <c r="AB245" s="1187"/>
      <c r="AC245" s="1186">
        <v>23339.559224818302</v>
      </c>
      <c r="AD245" s="1206"/>
      <c r="AE245" s="1186">
        <v>25366.475533547909</v>
      </c>
      <c r="AF245" s="1206"/>
      <c r="AG245" s="1182">
        <v>25450.251134194121</v>
      </c>
      <c r="AH245" s="1206"/>
      <c r="AI245" s="1186"/>
      <c r="AJ245" s="1206"/>
      <c r="AK245" s="1186"/>
      <c r="AL245" s="1206"/>
      <c r="AM245" s="1186"/>
      <c r="AN245" s="1206"/>
      <c r="AO245" s="1222"/>
      <c r="AP245" s="1206" t="s">
        <v>1735</v>
      </c>
    </row>
    <row r="246" spans="1:42" ht="13.8">
      <c r="A246" s="1168"/>
      <c r="B246" s="1178">
        <v>11</v>
      </c>
      <c r="C246" s="1178"/>
      <c r="D246" s="1206" t="s">
        <v>1736</v>
      </c>
      <c r="E246" s="1186">
        <v>740.2</v>
      </c>
      <c r="F246" s="1182"/>
      <c r="G246" s="1186">
        <v>746.5</v>
      </c>
      <c r="H246" s="1182"/>
      <c r="I246" s="1186">
        <v>679.5</v>
      </c>
      <c r="J246" s="1182"/>
      <c r="K246" s="1186">
        <v>694.8</v>
      </c>
      <c r="L246" s="1182"/>
      <c r="M246" s="1186">
        <v>609.45329900000002</v>
      </c>
      <c r="N246" s="1182"/>
      <c r="O246" s="1186">
        <v>512.6</v>
      </c>
      <c r="P246" s="1182"/>
      <c r="Q246" s="1186">
        <v>476.18369799999999</v>
      </c>
      <c r="R246" s="1182"/>
      <c r="S246" s="1186">
        <v>471.90967000000001</v>
      </c>
      <c r="T246" s="1182"/>
      <c r="U246" s="1186">
        <v>511.4</v>
      </c>
      <c r="V246" s="1182"/>
      <c r="W246" s="1186">
        <v>488.81</v>
      </c>
      <c r="X246" s="1182"/>
      <c r="Y246" s="1186">
        <v>490.84903706050045</v>
      </c>
      <c r="Z246" s="1187"/>
      <c r="AA246" s="1186">
        <v>403.05</v>
      </c>
      <c r="AB246" s="1187"/>
      <c r="AC246" s="1186">
        <v>395.065</v>
      </c>
      <c r="AD246" s="1187"/>
      <c r="AE246" s="1186">
        <v>347.31364047589352</v>
      </c>
      <c r="AF246" s="1206"/>
      <c r="AG246" s="1182">
        <v>354.32824799999997</v>
      </c>
      <c r="AH246" s="1206"/>
      <c r="AI246" s="1186"/>
      <c r="AJ246" s="1206"/>
      <c r="AK246" s="1186"/>
      <c r="AL246" s="1206"/>
      <c r="AM246" s="1186"/>
      <c r="AN246" s="1206"/>
      <c r="AO246" s="1222"/>
      <c r="AP246" s="1206" t="s">
        <v>1737</v>
      </c>
    </row>
    <row r="247" spans="1:42" ht="13.8">
      <c r="A247" s="1168"/>
      <c r="B247" s="1178">
        <v>12</v>
      </c>
      <c r="C247" s="1178"/>
      <c r="D247" s="1224" t="s">
        <v>1315</v>
      </c>
      <c r="E247" s="1225">
        <v>15824.400000000001</v>
      </c>
      <c r="F247" s="1228"/>
      <c r="G247" s="1225">
        <v>16604.786</v>
      </c>
      <c r="H247" s="1228"/>
      <c r="I247" s="1225">
        <v>17058.599999999999</v>
      </c>
      <c r="J247" s="1228"/>
      <c r="K247" s="1225">
        <v>17062.52588235294</v>
      </c>
      <c r="L247" s="1228"/>
      <c r="M247" s="1225">
        <v>16955.676750999999</v>
      </c>
      <c r="N247" s="1228"/>
      <c r="O247" s="1225">
        <v>16521.600000000002</v>
      </c>
      <c r="P247" s="1228"/>
      <c r="Q247" s="1225">
        <v>17716.557536</v>
      </c>
      <c r="R247" s="1228"/>
      <c r="S247" s="1225">
        <v>19021.203398000001</v>
      </c>
      <c r="T247" s="1228"/>
      <c r="U247" s="1225">
        <v>20186.878999999997</v>
      </c>
      <c r="V247" s="1228"/>
      <c r="W247" s="1225">
        <v>20787.779000000006</v>
      </c>
      <c r="X247" s="1228"/>
      <c r="Y247" s="1225">
        <v>20829.411364827687</v>
      </c>
      <c r="Z247" s="1227"/>
      <c r="AA247" s="1225">
        <v>22437.43460545913</v>
      </c>
      <c r="AB247" s="1227"/>
      <c r="AC247" s="1225">
        <v>23734.624224818301</v>
      </c>
      <c r="AD247" s="1227"/>
      <c r="AE247" s="1225">
        <v>25713.789174023805</v>
      </c>
      <c r="AF247" s="1206"/>
      <c r="AG247" s="1225">
        <v>25804.579382194122</v>
      </c>
      <c r="AH247" s="1206"/>
      <c r="AI247" s="1225"/>
      <c r="AJ247" s="1206"/>
      <c r="AK247" s="1225"/>
      <c r="AL247" s="1206"/>
      <c r="AM247" s="1225"/>
      <c r="AN247" s="1206"/>
      <c r="AO247" s="1222"/>
      <c r="AP247" s="1224" t="s">
        <v>124</v>
      </c>
    </row>
    <row r="248" spans="1:42" ht="13.8">
      <c r="A248" s="1168"/>
      <c r="B248" s="1232"/>
      <c r="C248" s="1232"/>
      <c r="D248" s="1233"/>
      <c r="E248" s="1239"/>
      <c r="F248" s="1252"/>
      <c r="G248" s="1239"/>
      <c r="H248" s="1252"/>
      <c r="I248" s="1239"/>
      <c r="J248" s="1252"/>
      <c r="K248" s="1239"/>
      <c r="L248" s="1252"/>
      <c r="M248" s="1239"/>
      <c r="N248" s="1252"/>
      <c r="O248" s="1239"/>
      <c r="P248" s="1252"/>
      <c r="Q248" s="1239"/>
      <c r="R248" s="1252"/>
      <c r="S248" s="1239"/>
      <c r="T248" s="1252"/>
      <c r="U248" s="1239"/>
      <c r="V248" s="1252"/>
      <c r="W248" s="1239"/>
      <c r="X248" s="1252"/>
      <c r="Y248" s="1239"/>
      <c r="Z248" s="1241"/>
      <c r="AA248" s="1239"/>
      <c r="AB248" s="1237"/>
      <c r="AC248" s="1239"/>
      <c r="AD248" s="1237"/>
      <c r="AE248" s="1239"/>
      <c r="AF248" s="1237"/>
      <c r="AG248" s="1239"/>
      <c r="AH248" s="1237"/>
      <c r="AI248" s="1239"/>
      <c r="AJ248" s="1237"/>
      <c r="AK248" s="1239"/>
      <c r="AL248" s="1237"/>
      <c r="AM248" s="1239"/>
      <c r="AN248" s="1237"/>
      <c r="AO248" s="1238"/>
      <c r="AP248" s="1233"/>
    </row>
    <row r="249" spans="1:42" ht="13.8">
      <c r="A249" s="1168"/>
      <c r="B249" s="1178"/>
      <c r="C249" s="1178"/>
      <c r="D249" s="1206"/>
      <c r="E249" s="1186"/>
      <c r="F249" s="1182"/>
      <c r="G249" s="1186"/>
      <c r="H249" s="1182"/>
      <c r="I249" s="1186"/>
      <c r="J249" s="1182"/>
      <c r="K249" s="1186"/>
      <c r="L249" s="1182"/>
      <c r="M249" s="1186"/>
      <c r="N249" s="1182"/>
      <c r="O249" s="1186"/>
      <c r="P249" s="1182"/>
      <c r="Q249" s="1186"/>
      <c r="R249" s="1182"/>
      <c r="S249" s="1186"/>
      <c r="T249" s="1182"/>
      <c r="U249" s="1186"/>
      <c r="V249" s="1182"/>
      <c r="W249" s="1186"/>
      <c r="X249" s="1182"/>
      <c r="Y249" s="1186"/>
      <c r="Z249" s="1187"/>
      <c r="AA249" s="1186"/>
      <c r="AB249" s="1206"/>
      <c r="AC249" s="1186"/>
      <c r="AD249" s="1206"/>
      <c r="AE249" s="1186"/>
      <c r="AF249" s="1206"/>
      <c r="AG249" s="1186"/>
      <c r="AH249" s="1206"/>
      <c r="AI249" s="1186"/>
      <c r="AJ249" s="1206"/>
      <c r="AK249" s="1186"/>
      <c r="AL249" s="1206"/>
      <c r="AM249" s="1186"/>
      <c r="AN249" s="1206"/>
      <c r="AO249" s="1222"/>
      <c r="AP249" s="1206"/>
    </row>
    <row r="250" spans="1:42" ht="13.8">
      <c r="A250" s="1168"/>
      <c r="B250" s="1206"/>
      <c r="C250" s="1178"/>
      <c r="D250" s="1223" t="s">
        <v>1631</v>
      </c>
      <c r="E250" s="1186"/>
      <c r="F250" s="1182"/>
      <c r="G250" s="1186"/>
      <c r="H250" s="1182"/>
      <c r="I250" s="1186"/>
      <c r="J250" s="1182"/>
      <c r="K250" s="1186"/>
      <c r="L250" s="1182"/>
      <c r="M250" s="1186"/>
      <c r="N250" s="1182"/>
      <c r="O250" s="1186"/>
      <c r="P250" s="1182"/>
      <c r="Q250" s="1186"/>
      <c r="R250" s="1182"/>
      <c r="S250" s="1186"/>
      <c r="T250" s="1182"/>
      <c r="U250" s="1186"/>
      <c r="V250" s="1182"/>
      <c r="W250" s="1186"/>
      <c r="X250" s="1182"/>
      <c r="Y250" s="1186"/>
      <c r="Z250" s="1187"/>
      <c r="AA250" s="1186"/>
      <c r="AB250" s="1206"/>
      <c r="AC250" s="1186"/>
      <c r="AD250" s="1206"/>
      <c r="AE250" s="1186"/>
      <c r="AF250" s="1206"/>
      <c r="AG250" s="1186"/>
      <c r="AH250" s="1206"/>
      <c r="AI250" s="1186"/>
      <c r="AJ250" s="1206"/>
      <c r="AK250" s="1186"/>
      <c r="AL250" s="1206"/>
      <c r="AM250" s="1186"/>
      <c r="AN250" s="1206"/>
      <c r="AO250" s="1222"/>
      <c r="AP250" s="1223" t="s">
        <v>1648</v>
      </c>
    </row>
    <row r="251" spans="1:42" ht="13.8">
      <c r="A251" s="1168"/>
      <c r="B251" s="1178">
        <v>13</v>
      </c>
      <c r="C251" s="1178"/>
      <c r="D251" s="1206" t="s">
        <v>1734</v>
      </c>
      <c r="E251" s="1186">
        <v>37353.093999999997</v>
      </c>
      <c r="F251" s="1182"/>
      <c r="G251" s="1186">
        <v>37197.787999999993</v>
      </c>
      <c r="H251" s="1182"/>
      <c r="I251" s="1186">
        <v>37459.21</v>
      </c>
      <c r="J251" s="1182"/>
      <c r="K251" s="1186">
        <v>38008.650278000001</v>
      </c>
      <c r="L251" s="1182"/>
      <c r="M251" s="1186">
        <v>39726.457389999996</v>
      </c>
      <c r="N251" s="1182"/>
      <c r="O251" s="1186">
        <v>40874.528548581875</v>
      </c>
      <c r="P251" s="1182"/>
      <c r="Q251" s="1186">
        <v>42696.884474226805</v>
      </c>
      <c r="R251" s="1182"/>
      <c r="S251" s="1186">
        <v>44013.365311000001</v>
      </c>
      <c r="T251" s="1182"/>
      <c r="U251" s="1186">
        <v>43686.57332464413</v>
      </c>
      <c r="V251" s="1182"/>
      <c r="W251" s="1186">
        <v>37065.697987446998</v>
      </c>
      <c r="X251" s="1182"/>
      <c r="Y251" s="1186">
        <v>42887.062985999997</v>
      </c>
      <c r="Z251" s="1187"/>
      <c r="AA251" s="1186">
        <v>42301.069536045332</v>
      </c>
      <c r="AB251" s="1227" t="s">
        <v>203</v>
      </c>
      <c r="AC251" s="1186">
        <v>39359.107830679328</v>
      </c>
      <c r="AD251" s="1227" t="s">
        <v>203</v>
      </c>
      <c r="AE251" s="1186">
        <v>37720.14534321391</v>
      </c>
      <c r="AF251" s="1227" t="s">
        <v>203</v>
      </c>
      <c r="AG251" s="1186">
        <v>38428.499268540319</v>
      </c>
      <c r="AH251" s="1206"/>
      <c r="AI251" s="1186"/>
      <c r="AJ251" s="1206"/>
      <c r="AK251" s="1186"/>
      <c r="AL251" s="1206"/>
      <c r="AM251" s="1186"/>
      <c r="AN251" s="1206"/>
      <c r="AO251" s="1222"/>
      <c r="AP251" s="1206" t="s">
        <v>1735</v>
      </c>
    </row>
    <row r="252" spans="1:42" ht="13.8">
      <c r="A252" s="1168"/>
      <c r="B252" s="1178">
        <v>14</v>
      </c>
      <c r="C252" s="1178"/>
      <c r="D252" s="1206" t="s">
        <v>1736</v>
      </c>
      <c r="E252" s="1186">
        <v>1762.6815426356591</v>
      </c>
      <c r="F252" s="1182"/>
      <c r="G252" s="1186">
        <v>1752.771</v>
      </c>
      <c r="H252" s="1182"/>
      <c r="I252" s="1186">
        <v>1586.0349999999992</v>
      </c>
      <c r="J252" s="1182"/>
      <c r="K252" s="1186">
        <v>1898.9324913333335</v>
      </c>
      <c r="L252" s="1182"/>
      <c r="M252" s="1186">
        <v>2087.588937</v>
      </c>
      <c r="N252" s="1182"/>
      <c r="O252" s="1186">
        <v>2295.4825739999997</v>
      </c>
      <c r="P252" s="1182"/>
      <c r="Q252" s="1186">
        <v>2339.1155257731962</v>
      </c>
      <c r="R252" s="1182"/>
      <c r="S252" s="1186">
        <v>2105.4899999999998</v>
      </c>
      <c r="T252" s="1182"/>
      <c r="U252" s="1186">
        <v>2153.1597409605201</v>
      </c>
      <c r="V252" s="1182"/>
      <c r="W252" s="1186">
        <v>1743.3879632000007</v>
      </c>
      <c r="X252" s="1182"/>
      <c r="Y252" s="1186">
        <v>1882.4086799999998</v>
      </c>
      <c r="Z252" s="1187"/>
      <c r="AA252" s="1186">
        <v>2171.1089639546726</v>
      </c>
      <c r="AB252" s="1227" t="s">
        <v>203</v>
      </c>
      <c r="AC252" s="1186">
        <v>1683.0034903788076</v>
      </c>
      <c r="AD252" s="1227" t="s">
        <v>203</v>
      </c>
      <c r="AE252" s="1186">
        <v>2037.8367203640939</v>
      </c>
      <c r="AF252" s="1227" t="s">
        <v>203</v>
      </c>
      <c r="AG252" s="1186">
        <v>1294.0782541434639</v>
      </c>
      <c r="AH252" s="1206"/>
      <c r="AI252" s="1186"/>
      <c r="AJ252" s="1206"/>
      <c r="AK252" s="1186"/>
      <c r="AL252" s="1206"/>
      <c r="AM252" s="1186"/>
      <c r="AN252" s="1206"/>
      <c r="AO252" s="1222"/>
      <c r="AP252" s="1206" t="s">
        <v>1737</v>
      </c>
    </row>
    <row r="253" spans="1:42" ht="13.8">
      <c r="A253" s="1168"/>
      <c r="B253" s="1178">
        <v>15</v>
      </c>
      <c r="C253" s="1178"/>
      <c r="D253" s="1224" t="s">
        <v>1315</v>
      </c>
      <c r="E253" s="1225">
        <v>39115.77554263566</v>
      </c>
      <c r="F253" s="1228"/>
      <c r="G253" s="1225">
        <v>38950.558999999994</v>
      </c>
      <c r="H253" s="1228"/>
      <c r="I253" s="1225">
        <v>39045.244999999995</v>
      </c>
      <c r="J253" s="1228"/>
      <c r="K253" s="1225">
        <v>39907.582769333334</v>
      </c>
      <c r="L253" s="1228"/>
      <c r="M253" s="1225">
        <v>41814.046326999996</v>
      </c>
      <c r="N253" s="1228"/>
      <c r="O253" s="1225">
        <v>43170.011122581876</v>
      </c>
      <c r="P253" s="1228"/>
      <c r="Q253" s="1225">
        <v>45036</v>
      </c>
      <c r="R253" s="1228"/>
      <c r="S253" s="1225">
        <v>46118.855310999999</v>
      </c>
      <c r="T253" s="1228"/>
      <c r="U253" s="1225">
        <v>45839.733065604654</v>
      </c>
      <c r="V253" s="1228"/>
      <c r="W253" s="1225">
        <v>38809.085950647001</v>
      </c>
      <c r="X253" s="1228"/>
      <c r="Y253" s="1225">
        <v>44769.471665999998</v>
      </c>
      <c r="Z253" s="1227"/>
      <c r="AA253" s="1225">
        <v>44472.178500000002</v>
      </c>
      <c r="AB253" s="1227"/>
      <c r="AC253" s="1225">
        <v>41042.111321058132</v>
      </c>
      <c r="AD253" s="1227"/>
      <c r="AE253" s="1225">
        <v>39757.982063578005</v>
      </c>
      <c r="AF253" s="1227" t="s">
        <v>203</v>
      </c>
      <c r="AG253" s="1225">
        <v>39722.57752268378</v>
      </c>
      <c r="AH253" s="1206"/>
      <c r="AI253" s="1225"/>
      <c r="AJ253" s="1206"/>
      <c r="AK253" s="1225"/>
      <c r="AL253" s="1206"/>
      <c r="AM253" s="1225"/>
      <c r="AN253" s="1206"/>
      <c r="AO253" s="1222"/>
      <c r="AP253" s="1224" t="s">
        <v>124</v>
      </c>
    </row>
    <row r="254" spans="1:42" ht="13.8">
      <c r="A254" s="1168"/>
      <c r="B254" s="1232"/>
      <c r="C254" s="1232"/>
      <c r="D254" s="1233"/>
      <c r="E254" s="1239"/>
      <c r="F254" s="1252"/>
      <c r="G254" s="1239"/>
      <c r="H254" s="1252"/>
      <c r="I254" s="1239"/>
      <c r="J254" s="1252"/>
      <c r="K254" s="1239"/>
      <c r="L254" s="1252"/>
      <c r="M254" s="1239"/>
      <c r="N254" s="1252"/>
      <c r="O254" s="1239"/>
      <c r="P254" s="1252"/>
      <c r="Q254" s="1239"/>
      <c r="R254" s="1252"/>
      <c r="S254" s="1239"/>
      <c r="T254" s="1252"/>
      <c r="U254" s="1239"/>
      <c r="V254" s="1252"/>
      <c r="W254" s="1239"/>
      <c r="X254" s="1252"/>
      <c r="Y254" s="1239"/>
      <c r="Z254" s="1241"/>
      <c r="AA254" s="1239"/>
      <c r="AB254" s="1237"/>
      <c r="AC254" s="1239"/>
      <c r="AD254" s="1237"/>
      <c r="AE254" s="1239"/>
      <c r="AF254" s="1237"/>
      <c r="AG254" s="1239"/>
      <c r="AH254" s="1237"/>
      <c r="AI254" s="1239"/>
      <c r="AJ254" s="1237"/>
      <c r="AK254" s="1239"/>
      <c r="AL254" s="1237"/>
      <c r="AM254" s="1239"/>
      <c r="AN254" s="1237"/>
      <c r="AO254" s="1238"/>
      <c r="AP254" s="1233"/>
    </row>
    <row r="255" spans="1:42" ht="13.8">
      <c r="A255" s="1168"/>
      <c r="B255" s="1178"/>
      <c r="C255" s="1178"/>
      <c r="D255" s="1206"/>
      <c r="E255" s="1186"/>
      <c r="F255" s="1182"/>
      <c r="G255" s="1186"/>
      <c r="H255" s="1182"/>
      <c r="I255" s="1186"/>
      <c r="J255" s="1182"/>
      <c r="K255" s="1186"/>
      <c r="L255" s="1182"/>
      <c r="M255" s="1186"/>
      <c r="N255" s="1182"/>
      <c r="O255" s="1186"/>
      <c r="P255" s="1182"/>
      <c r="Q255" s="1186"/>
      <c r="R255" s="1182"/>
      <c r="S255" s="1186"/>
      <c r="T255" s="1182"/>
      <c r="U255" s="1186"/>
      <c r="V255" s="1182"/>
      <c r="W255" s="1186"/>
      <c r="X255" s="1182"/>
      <c r="Y255" s="1186"/>
      <c r="Z255" s="1187"/>
      <c r="AA255" s="1186"/>
      <c r="AB255" s="1206"/>
      <c r="AC255" s="1186"/>
      <c r="AD255" s="1206"/>
      <c r="AE255" s="1186"/>
      <c r="AF255" s="1206"/>
      <c r="AG255" s="1186"/>
      <c r="AH255" s="1206"/>
      <c r="AI255" s="1186"/>
      <c r="AJ255" s="1206"/>
      <c r="AK255" s="1186"/>
      <c r="AL255" s="1206"/>
      <c r="AM255" s="1186"/>
      <c r="AN255" s="1206"/>
      <c r="AO255" s="1222"/>
      <c r="AP255" s="1206"/>
    </row>
    <row r="256" spans="1:42" ht="13.8">
      <c r="A256" s="1168"/>
      <c r="B256" s="1178">
        <v>16</v>
      </c>
      <c r="C256" s="1178"/>
      <c r="D256" s="1206" t="s">
        <v>1738</v>
      </c>
      <c r="E256" s="1186">
        <v>52437.293999999994</v>
      </c>
      <c r="F256" s="1182"/>
      <c r="G256" s="1186">
        <v>53056.073999999993</v>
      </c>
      <c r="H256" s="1182"/>
      <c r="I256" s="1186">
        <v>53838.31</v>
      </c>
      <c r="J256" s="1182"/>
      <c r="K256" s="1186">
        <v>54376.376160352942</v>
      </c>
      <c r="L256" s="1182"/>
      <c r="M256" s="1186">
        <v>56072.680841999994</v>
      </c>
      <c r="N256" s="1182"/>
      <c r="O256" s="1186">
        <v>56883.528548581875</v>
      </c>
      <c r="P256" s="1182"/>
      <c r="Q256" s="1186">
        <v>59937.258312226804</v>
      </c>
      <c r="R256" s="1182"/>
      <c r="S256" s="1186">
        <v>62562.659039000006</v>
      </c>
      <c r="T256" s="1182"/>
      <c r="U256" s="1186">
        <v>63362.05232464413</v>
      </c>
      <c r="V256" s="1182"/>
      <c r="W256" s="1186">
        <v>57364.666987447003</v>
      </c>
      <c r="X256" s="1182"/>
      <c r="Y256" s="1186">
        <v>63225.625313767196</v>
      </c>
      <c r="Z256" s="1187"/>
      <c r="AA256" s="1186">
        <v>64335.454141504466</v>
      </c>
      <c r="AB256" s="1227" t="s">
        <v>203</v>
      </c>
      <c r="AC256" s="1186">
        <v>62698.66705549763</v>
      </c>
      <c r="AD256" s="1227" t="s">
        <v>203</v>
      </c>
      <c r="AE256" s="1186">
        <v>63086.620876761823</v>
      </c>
      <c r="AF256" s="1227" t="s">
        <v>203</v>
      </c>
      <c r="AG256" s="1182">
        <v>63878.75040273444</v>
      </c>
      <c r="AH256" s="1206"/>
      <c r="AI256" s="1186"/>
      <c r="AJ256" s="1206"/>
      <c r="AK256" s="1186"/>
      <c r="AL256" s="1206"/>
      <c r="AM256" s="1186"/>
      <c r="AN256" s="1206"/>
      <c r="AO256" s="1222"/>
      <c r="AP256" s="1206" t="s">
        <v>1739</v>
      </c>
    </row>
    <row r="257" spans="1:42" ht="13.8">
      <c r="A257" s="1168"/>
      <c r="B257" s="1178">
        <v>17</v>
      </c>
      <c r="C257" s="1178"/>
      <c r="D257" s="1206" t="s">
        <v>1740</v>
      </c>
      <c r="E257" s="1186">
        <v>2502.8815426356591</v>
      </c>
      <c r="F257" s="1182"/>
      <c r="G257" s="1186">
        <v>2499.2709999999997</v>
      </c>
      <c r="H257" s="1182"/>
      <c r="I257" s="1186">
        <v>2265.5349999999989</v>
      </c>
      <c r="J257" s="1182"/>
      <c r="K257" s="1186">
        <v>2593.7324913333332</v>
      </c>
      <c r="L257" s="1182"/>
      <c r="M257" s="1186">
        <v>2697.0422360000002</v>
      </c>
      <c r="N257" s="1182"/>
      <c r="O257" s="1186">
        <v>2808.0825739999996</v>
      </c>
      <c r="P257" s="1182"/>
      <c r="Q257" s="1186">
        <v>2815.299223773196</v>
      </c>
      <c r="R257" s="1182"/>
      <c r="S257" s="1186">
        <v>2577.3996699999998</v>
      </c>
      <c r="T257" s="1182"/>
      <c r="U257" s="1186">
        <v>2664.5597409605202</v>
      </c>
      <c r="V257" s="1182"/>
      <c r="W257" s="1186">
        <v>2232.1979632000007</v>
      </c>
      <c r="X257" s="1182"/>
      <c r="Y257" s="1186">
        <v>2373.2577170605</v>
      </c>
      <c r="Z257" s="1187"/>
      <c r="AA257" s="1186">
        <v>2574.1589639546728</v>
      </c>
      <c r="AB257" s="1227" t="s">
        <v>203</v>
      </c>
      <c r="AC257" s="1186">
        <v>2078.0684903788074</v>
      </c>
      <c r="AD257" s="1227" t="s">
        <v>203</v>
      </c>
      <c r="AE257" s="1186">
        <v>2385.1503608399876</v>
      </c>
      <c r="AF257" s="1227" t="s">
        <v>203</v>
      </c>
      <c r="AG257" s="1182">
        <v>2385.1503608399876</v>
      </c>
      <c r="AH257" s="1206"/>
      <c r="AI257" s="1186"/>
      <c r="AJ257" s="1206"/>
      <c r="AK257" s="1186"/>
      <c r="AL257" s="1206"/>
      <c r="AM257" s="1186"/>
      <c r="AN257" s="1206"/>
      <c r="AO257" s="1222"/>
      <c r="AP257" s="1206" t="s">
        <v>1741</v>
      </c>
    </row>
    <row r="258" spans="1:42" ht="13.8">
      <c r="A258" s="1168"/>
      <c r="B258" s="1178">
        <v>18</v>
      </c>
      <c r="C258" s="1178"/>
      <c r="D258" s="1224" t="s">
        <v>625</v>
      </c>
      <c r="E258" s="1225">
        <v>54940.175542635654</v>
      </c>
      <c r="F258" s="1228"/>
      <c r="G258" s="1225">
        <v>55555.344999999994</v>
      </c>
      <c r="H258" s="1228"/>
      <c r="I258" s="1225">
        <v>56103.844999999994</v>
      </c>
      <c r="J258" s="1228"/>
      <c r="K258" s="1225">
        <v>56970.108651686278</v>
      </c>
      <c r="L258" s="1228"/>
      <c r="M258" s="1225">
        <v>58769.723077999995</v>
      </c>
      <c r="N258" s="1228"/>
      <c r="O258" s="1225">
        <v>59691.611122581875</v>
      </c>
      <c r="P258" s="1228"/>
      <c r="Q258" s="1225">
        <v>62752.557536</v>
      </c>
      <c r="R258" s="1228"/>
      <c r="S258" s="1225">
        <v>65140.058709000004</v>
      </c>
      <c r="T258" s="1228"/>
      <c r="U258" s="1225">
        <v>66026.612065604655</v>
      </c>
      <c r="V258" s="1228"/>
      <c r="W258" s="1225">
        <v>59596.864950647003</v>
      </c>
      <c r="X258" s="1228"/>
      <c r="Y258" s="1225">
        <v>65598.883030827681</v>
      </c>
      <c r="Z258" s="1227"/>
      <c r="AA258" s="1225">
        <v>66909.613105459139</v>
      </c>
      <c r="AB258" s="1227"/>
      <c r="AC258" s="1225">
        <v>64776.735545876436</v>
      </c>
      <c r="AD258" s="1227"/>
      <c r="AE258" s="1225">
        <v>65471.77123760181</v>
      </c>
      <c r="AF258" s="1227" t="s">
        <v>203</v>
      </c>
      <c r="AG258" s="1225">
        <v>65527.156904877906</v>
      </c>
      <c r="AH258" s="1206"/>
      <c r="AI258" s="1225"/>
      <c r="AJ258" s="1206"/>
      <c r="AK258" s="1225"/>
      <c r="AL258" s="1206"/>
      <c r="AM258" s="1225"/>
      <c r="AN258" s="1206"/>
      <c r="AO258" s="1222"/>
      <c r="AP258" s="1224" t="s">
        <v>1742</v>
      </c>
    </row>
    <row r="259" spans="1:42" ht="13.8">
      <c r="A259" s="1168"/>
      <c r="B259" s="1232"/>
      <c r="C259" s="1232"/>
      <c r="D259" s="1250"/>
      <c r="E259" s="1251"/>
      <c r="F259" s="1238"/>
      <c r="G259" s="1251"/>
      <c r="H259" s="1238"/>
      <c r="I259" s="1251"/>
      <c r="J259" s="1238"/>
      <c r="K259" s="1251"/>
      <c r="L259" s="1238"/>
      <c r="M259" s="1251"/>
      <c r="N259" s="1238"/>
      <c r="O259" s="1251"/>
      <c r="P259" s="1238"/>
      <c r="Q259" s="1251"/>
      <c r="R259" s="1238"/>
      <c r="S259" s="1251"/>
      <c r="T259" s="1238"/>
      <c r="U259" s="1251"/>
      <c r="V259" s="1238"/>
      <c r="W259" s="1251"/>
      <c r="X259" s="1238"/>
      <c r="Y259" s="1251"/>
      <c r="Z259" s="1238"/>
      <c r="AA259" s="1251"/>
      <c r="AB259" s="1238"/>
      <c r="AC259" s="1251"/>
      <c r="AD259" s="1238"/>
      <c r="AE259" s="1251"/>
      <c r="AF259" s="1238"/>
      <c r="AG259" s="1251"/>
      <c r="AH259" s="1238"/>
      <c r="AI259" s="1251"/>
      <c r="AJ259" s="1238"/>
      <c r="AK259" s="1251"/>
      <c r="AL259" s="1238"/>
      <c r="AM259" s="1251"/>
      <c r="AN259" s="1238"/>
      <c r="AO259" s="1238"/>
      <c r="AP259" s="1250"/>
    </row>
    <row r="260" spans="1:42" ht="13.8">
      <c r="A260" s="1168"/>
      <c r="B260" s="1178"/>
      <c r="C260" s="1178"/>
      <c r="D260" s="1229"/>
      <c r="E260" s="1246"/>
      <c r="F260" s="1222"/>
      <c r="G260" s="1246"/>
      <c r="H260" s="1222"/>
      <c r="I260" s="1246"/>
      <c r="J260" s="1222"/>
      <c r="K260" s="1246"/>
      <c r="L260" s="1222"/>
      <c r="M260" s="1246"/>
      <c r="N260" s="1222"/>
      <c r="O260" s="1246"/>
      <c r="P260" s="1222"/>
      <c r="Q260" s="1246"/>
      <c r="R260" s="1222"/>
      <c r="S260" s="1246"/>
      <c r="T260" s="1222"/>
      <c r="U260" s="1246"/>
      <c r="V260" s="1222"/>
      <c r="W260" s="1246"/>
      <c r="X260" s="1222"/>
      <c r="Y260" s="1246"/>
      <c r="Z260" s="1222"/>
      <c r="AA260" s="1246"/>
      <c r="AB260" s="1222"/>
      <c r="AC260" s="1246"/>
      <c r="AD260" s="1222"/>
      <c r="AE260" s="1246"/>
      <c r="AF260" s="1222"/>
      <c r="AG260" s="1246"/>
      <c r="AH260" s="1222"/>
      <c r="AI260" s="1246"/>
      <c r="AJ260" s="1222"/>
      <c r="AK260" s="1246"/>
      <c r="AL260" s="1222"/>
      <c r="AM260" s="1246"/>
      <c r="AN260" s="1222"/>
      <c r="AO260" s="1222"/>
      <c r="AP260" s="1229"/>
    </row>
    <row r="261" spans="1:42" ht="13.8">
      <c r="A261" s="1168"/>
      <c r="B261" s="1176"/>
      <c r="C261" s="1176"/>
      <c r="D261" s="1176"/>
      <c r="E261" s="1176"/>
      <c r="F261" s="1176"/>
      <c r="G261" s="1176"/>
      <c r="H261" s="1176"/>
      <c r="I261" s="1176"/>
      <c r="J261" s="1176"/>
      <c r="K261" s="1176"/>
      <c r="L261" s="1176"/>
      <c r="M261" s="1176"/>
      <c r="N261" s="1176"/>
      <c r="O261" s="1176"/>
      <c r="P261" s="1176"/>
      <c r="Q261" s="1176"/>
      <c r="R261" s="1176"/>
      <c r="S261" s="1176"/>
      <c r="T261" s="1176"/>
      <c r="U261" s="1176"/>
      <c r="V261" s="1176"/>
      <c r="W261" s="1176"/>
      <c r="X261" s="1176"/>
      <c r="Y261" s="1253"/>
      <c r="Z261" s="1176"/>
      <c r="AA261" s="1176"/>
      <c r="AB261" s="1176"/>
      <c r="AC261" s="1176"/>
      <c r="AD261" s="1176"/>
      <c r="AE261" s="1176"/>
      <c r="AF261" s="1176"/>
      <c r="AG261" s="1176"/>
      <c r="AH261" s="1176"/>
      <c r="AI261" s="1176"/>
      <c r="AJ261" s="1176"/>
      <c r="AK261" s="1176"/>
      <c r="AL261" s="1176"/>
      <c r="AM261" s="1176"/>
      <c r="AN261" s="1176"/>
      <c r="AO261" s="1176"/>
      <c r="AP261" s="1176"/>
    </row>
    <row r="262" spans="1:42" ht="13.8">
      <c r="A262" s="1168"/>
      <c r="B262" s="3099" t="s">
        <v>1745</v>
      </c>
      <c r="C262" s="3099"/>
      <c r="D262" s="3099"/>
      <c r="E262" s="3105"/>
      <c r="F262" s="3116"/>
      <c r="G262" s="3105"/>
      <c r="H262" s="3116"/>
      <c r="I262" s="3105"/>
      <c r="J262" s="3116"/>
      <c r="K262" s="3105"/>
      <c r="L262" s="3116"/>
      <c r="M262" s="3105"/>
      <c r="N262" s="3116"/>
      <c r="O262" s="3105"/>
      <c r="P262" s="3116"/>
      <c r="Q262" s="3105"/>
      <c r="R262" s="3116"/>
      <c r="S262" s="3105"/>
      <c r="T262" s="3115"/>
      <c r="U262" s="3105"/>
      <c r="V262" s="3115"/>
      <c r="W262" s="3105"/>
      <c r="X262" s="3115"/>
      <c r="Y262" s="3105"/>
      <c r="Z262" s="3115"/>
      <c r="AA262" s="3105"/>
      <c r="AB262" s="3115"/>
      <c r="AC262" s="3105"/>
      <c r="AD262" s="3115"/>
      <c r="AE262" s="3105"/>
      <c r="AF262" s="3115"/>
      <c r="AG262" s="3105"/>
      <c r="AH262" s="3115"/>
      <c r="AI262" s="3105"/>
      <c r="AJ262" s="3115"/>
      <c r="AK262" s="3105"/>
      <c r="AL262" s="3115"/>
      <c r="AM262" s="3105"/>
      <c r="AN262" s="3115"/>
      <c r="AO262" s="3099" t="s">
        <v>1746</v>
      </c>
      <c r="AP262" s="3099"/>
    </row>
    <row r="263" spans="1:42" ht="13.8">
      <c r="A263" s="1168"/>
      <c r="B263" s="1244"/>
      <c r="C263" s="1244"/>
      <c r="D263" s="1244"/>
      <c r="E263" s="1219"/>
      <c r="F263" s="1220"/>
      <c r="G263" s="1219"/>
      <c r="H263" s="1220"/>
      <c r="I263" s="1219"/>
      <c r="J263" s="1220"/>
      <c r="K263" s="1219"/>
      <c r="L263" s="1220"/>
      <c r="M263" s="1219"/>
      <c r="N263" s="1220"/>
      <c r="O263" s="1219"/>
      <c r="P263" s="1220"/>
      <c r="Q263" s="1219"/>
      <c r="R263" s="1220"/>
      <c r="S263" s="1219"/>
      <c r="T263" s="1221"/>
      <c r="U263" s="1219"/>
      <c r="V263" s="1221"/>
      <c r="W263" s="1219"/>
      <c r="X263" s="1221"/>
      <c r="Y263" s="1219"/>
      <c r="Z263" s="1221"/>
      <c r="AA263" s="1219"/>
      <c r="AB263" s="1221"/>
      <c r="AC263" s="1219"/>
      <c r="AD263" s="1221"/>
      <c r="AE263" s="1219"/>
      <c r="AF263" s="1221"/>
      <c r="AG263" s="1219"/>
      <c r="AH263" s="1221"/>
      <c r="AI263" s="1219"/>
      <c r="AJ263" s="1221"/>
      <c r="AK263" s="1219"/>
      <c r="AL263" s="1221"/>
      <c r="AM263" s="1219"/>
      <c r="AN263" s="1221"/>
      <c r="AO263" s="1244"/>
      <c r="AP263" s="1244"/>
    </row>
    <row r="264" spans="1:42" ht="13.8">
      <c r="A264" s="1168"/>
      <c r="B264" s="1206"/>
      <c r="C264" s="1206"/>
      <c r="D264" s="1206"/>
      <c r="E264" s="1206"/>
      <c r="F264" s="1206"/>
      <c r="G264" s="1206"/>
      <c r="H264" s="1206"/>
      <c r="I264" s="1206"/>
      <c r="J264" s="1206"/>
      <c r="K264" s="1206"/>
      <c r="L264" s="1206"/>
      <c r="M264" s="1206"/>
      <c r="N264" s="1206"/>
      <c r="O264" s="1206"/>
      <c r="P264" s="1206"/>
      <c r="Q264" s="1206"/>
      <c r="R264" s="1206"/>
      <c r="S264" s="1206"/>
      <c r="T264" s="1206"/>
      <c r="U264" s="1206"/>
      <c r="V264" s="1206"/>
      <c r="W264" s="1206"/>
      <c r="X264" s="1206"/>
      <c r="Y264" s="1206"/>
      <c r="Z264" s="1206"/>
      <c r="AA264" s="1206"/>
      <c r="AB264" s="1206"/>
      <c r="AC264" s="1206"/>
      <c r="AD264" s="1206"/>
      <c r="AE264" s="1206"/>
      <c r="AF264" s="1206"/>
      <c r="AG264" s="1206"/>
      <c r="AH264" s="1206"/>
      <c r="AI264" s="1206"/>
      <c r="AJ264" s="1206"/>
      <c r="AK264" s="1206"/>
      <c r="AL264" s="1206"/>
      <c r="AM264" s="1206"/>
      <c r="AN264" s="1206"/>
      <c r="AO264" s="1206"/>
      <c r="AP264" s="1206"/>
    </row>
    <row r="265" spans="1:42" ht="13.8">
      <c r="A265" s="1168"/>
      <c r="B265" s="1178">
        <v>19</v>
      </c>
      <c r="C265" s="1178"/>
      <c r="D265" s="1206" t="s">
        <v>1734</v>
      </c>
      <c r="E265" s="1186">
        <v>19497.094099999998</v>
      </c>
      <c r="F265" s="1222"/>
      <c r="G265" s="1186">
        <v>20713.094099999998</v>
      </c>
      <c r="H265" s="1222"/>
      <c r="I265" s="1186">
        <v>21818.3</v>
      </c>
      <c r="J265" s="1222"/>
      <c r="K265" s="1186">
        <v>22215.154901960785</v>
      </c>
      <c r="L265" s="1222"/>
      <c r="M265" s="1186">
        <v>22115.358426000003</v>
      </c>
      <c r="N265" s="1222"/>
      <c r="O265" s="1186">
        <v>21751.1</v>
      </c>
      <c r="P265" s="1222"/>
      <c r="Q265" s="1186">
        <v>22976.432077008998</v>
      </c>
      <c r="R265" s="1222"/>
      <c r="S265" s="1186">
        <v>24302.998186000001</v>
      </c>
      <c r="T265" s="1222"/>
      <c r="U265" s="1186">
        <v>25882.105</v>
      </c>
      <c r="V265" s="1222"/>
      <c r="W265" s="1186">
        <v>26645.292000000001</v>
      </c>
      <c r="X265" s="1222"/>
      <c r="Y265" s="1537">
        <v>27037.0192976625</v>
      </c>
      <c r="Z265" s="1187"/>
      <c r="AA265" s="1186">
        <v>29214.579505369009</v>
      </c>
      <c r="AB265" s="1187"/>
      <c r="AC265" s="1186">
        <v>30104.194749860646</v>
      </c>
      <c r="AD265" s="1254"/>
      <c r="AE265" s="1186">
        <v>32882.985329965355</v>
      </c>
      <c r="AF265" s="1227" t="s">
        <v>203</v>
      </c>
      <c r="AG265" s="1182">
        <v>33524.680347612157</v>
      </c>
      <c r="AH265" s="1254"/>
      <c r="AI265" s="1186"/>
      <c r="AJ265" s="1254"/>
      <c r="AK265" s="1186"/>
      <c r="AL265" s="1254"/>
      <c r="AM265" s="1186"/>
      <c r="AN265" s="1254"/>
      <c r="AO265" s="1222"/>
      <c r="AP265" s="1206" t="s">
        <v>1735</v>
      </c>
    </row>
    <row r="266" spans="1:42" ht="13.8">
      <c r="A266" s="1168"/>
      <c r="B266" s="1178">
        <v>20</v>
      </c>
      <c r="C266" s="1178"/>
      <c r="D266" s="1206" t="s">
        <v>1736</v>
      </c>
      <c r="E266" s="1186">
        <v>1043.8</v>
      </c>
      <c r="F266" s="1182"/>
      <c r="G266" s="1186">
        <v>1046.9000000000001</v>
      </c>
      <c r="H266" s="1182"/>
      <c r="I266" s="1186">
        <v>960.9</v>
      </c>
      <c r="J266" s="1182"/>
      <c r="K266" s="1186">
        <v>1009.4000000000001</v>
      </c>
      <c r="L266" s="1182"/>
      <c r="M266" s="1186">
        <v>883.39062200000012</v>
      </c>
      <c r="N266" s="1182"/>
      <c r="O266" s="1186">
        <v>697.10000000000014</v>
      </c>
      <c r="P266" s="1182"/>
      <c r="Q266" s="1186">
        <v>627.98822300000006</v>
      </c>
      <c r="R266" s="1182"/>
      <c r="S266" s="1186">
        <v>653.94197400000007</v>
      </c>
      <c r="T266" s="1182"/>
      <c r="U266" s="1186">
        <v>704.7</v>
      </c>
      <c r="V266" s="1182"/>
      <c r="W266" s="1186">
        <v>685.8</v>
      </c>
      <c r="X266" s="1182"/>
      <c r="Y266" s="1537">
        <v>721.81438074121002</v>
      </c>
      <c r="Z266" s="1187"/>
      <c r="AA266" s="1186">
        <v>683.95212224108661</v>
      </c>
      <c r="AB266" s="1187"/>
      <c r="AC266" s="1186">
        <v>654.01689367700362</v>
      </c>
      <c r="AD266" s="1227"/>
      <c r="AE266" s="1186">
        <v>591.01488000835559</v>
      </c>
      <c r="AF266" s="1227"/>
      <c r="AG266" s="1182">
        <v>747.63698488233297</v>
      </c>
      <c r="AH266" s="1254"/>
      <c r="AI266" s="1186"/>
      <c r="AJ266" s="1254"/>
      <c r="AK266" s="1186"/>
      <c r="AL266" s="1254"/>
      <c r="AM266" s="1186"/>
      <c r="AN266" s="1254"/>
      <c r="AO266" s="1222"/>
      <c r="AP266" s="1206" t="s">
        <v>1737</v>
      </c>
    </row>
    <row r="267" spans="1:42" ht="13.8">
      <c r="A267" s="1168"/>
      <c r="B267" s="1178">
        <v>21</v>
      </c>
      <c r="C267" s="1178"/>
      <c r="D267" s="1224" t="s">
        <v>625</v>
      </c>
      <c r="E267" s="1225">
        <v>20540.894099999998</v>
      </c>
      <c r="F267" s="1231"/>
      <c r="G267" s="1225">
        <v>21759.9941</v>
      </c>
      <c r="H267" s="1231"/>
      <c r="I267" s="1225">
        <v>22779.200000000001</v>
      </c>
      <c r="J267" s="1231"/>
      <c r="K267" s="1225">
        <v>23224.554901960786</v>
      </c>
      <c r="L267" s="1231"/>
      <c r="M267" s="1225">
        <v>22998.749048000005</v>
      </c>
      <c r="N267" s="1231"/>
      <c r="O267" s="1225">
        <v>22448.2</v>
      </c>
      <c r="P267" s="1231"/>
      <c r="Q267" s="1225">
        <v>23604.420300008998</v>
      </c>
      <c r="R267" s="1231"/>
      <c r="S267" s="1225">
        <v>24956.940159999998</v>
      </c>
      <c r="T267" s="1231"/>
      <c r="U267" s="1225">
        <v>26586.804999999997</v>
      </c>
      <c r="V267" s="1231"/>
      <c r="W267" s="1225">
        <v>27331.091999999997</v>
      </c>
      <c r="X267" s="1231"/>
      <c r="Y267" s="1309">
        <v>27758.833678403713</v>
      </c>
      <c r="Z267" s="1227"/>
      <c r="AA267" s="1225">
        <v>29898.5316276101</v>
      </c>
      <c r="AB267" s="1227"/>
      <c r="AC267" s="1225">
        <v>30758.211643537652</v>
      </c>
      <c r="AD267" s="1227"/>
      <c r="AE267" s="1225">
        <v>33474.00020997371</v>
      </c>
      <c r="AF267" s="1227" t="s">
        <v>203</v>
      </c>
      <c r="AG267" s="1225">
        <v>34272.317332494487</v>
      </c>
      <c r="AH267" s="1254"/>
      <c r="AI267" s="1225"/>
      <c r="AJ267" s="1254"/>
      <c r="AK267" s="1225"/>
      <c r="AL267" s="1254"/>
      <c r="AM267" s="1225"/>
      <c r="AN267" s="1254"/>
      <c r="AO267" s="1222"/>
      <c r="AP267" s="1224" t="s">
        <v>124</v>
      </c>
    </row>
    <row r="268" spans="1:42" ht="13.8">
      <c r="A268" s="1168"/>
      <c r="B268" s="1219"/>
      <c r="C268" s="1219"/>
      <c r="D268" s="1255"/>
      <c r="E268" s="1256"/>
      <c r="F268" s="1257"/>
      <c r="G268" s="1256"/>
      <c r="H268" s="1257"/>
      <c r="I268" s="1256"/>
      <c r="J268" s="1257"/>
      <c r="K268" s="1256"/>
      <c r="L268" s="1257"/>
      <c r="M268" s="1256"/>
      <c r="N268" s="1257"/>
      <c r="O268" s="1256"/>
      <c r="P268" s="1257"/>
      <c r="Q268" s="1256"/>
      <c r="R268" s="1257"/>
      <c r="S268" s="1256"/>
      <c r="T268" s="1257"/>
      <c r="U268" s="1256"/>
      <c r="V268" s="1257"/>
      <c r="W268" s="1256"/>
      <c r="X268" s="1257"/>
      <c r="Y268" s="1256"/>
      <c r="Z268" s="1257"/>
      <c r="AA268" s="1256"/>
      <c r="AB268" s="1257"/>
      <c r="AC268" s="1256"/>
      <c r="AD268" s="1257"/>
      <c r="AE268" s="1256"/>
      <c r="AF268" s="1257"/>
      <c r="AG268" s="1256"/>
      <c r="AH268" s="1257"/>
      <c r="AI268" s="1256"/>
      <c r="AJ268" s="1257"/>
      <c r="AK268" s="1256"/>
      <c r="AL268" s="1257"/>
      <c r="AM268" s="1256"/>
      <c r="AN268" s="1257"/>
      <c r="AO268" s="1257"/>
      <c r="AP268" s="1255"/>
    </row>
    <row r="269" spans="1:42" ht="20.25" customHeight="1">
      <c r="A269" s="1168"/>
      <c r="B269" s="1168"/>
      <c r="C269" s="1168"/>
      <c r="D269" s="1168"/>
      <c r="E269" s="1168"/>
      <c r="F269" s="1168"/>
      <c r="G269" s="1168"/>
      <c r="H269" s="1168"/>
      <c r="I269" s="1168"/>
      <c r="J269" s="1168"/>
      <c r="K269" s="1168"/>
      <c r="L269" s="1168"/>
      <c r="M269" s="1168"/>
      <c r="N269" s="1168"/>
      <c r="O269" s="1168"/>
      <c r="P269" s="1168"/>
      <c r="Q269" s="1168"/>
      <c r="R269" s="1168"/>
      <c r="S269" s="1168"/>
      <c r="T269" s="1168"/>
      <c r="U269" s="1168"/>
      <c r="V269" s="1168"/>
      <c r="W269" s="1168"/>
      <c r="X269" s="1168"/>
      <c r="Y269" s="1168"/>
      <c r="Z269" s="1168"/>
      <c r="AA269" s="1168"/>
      <c r="AB269" s="1168"/>
      <c r="AC269" s="1168"/>
      <c r="AD269" s="1168"/>
      <c r="AE269" s="1168"/>
      <c r="AF269" s="1168"/>
      <c r="AG269" s="1168"/>
      <c r="AH269" s="1168"/>
      <c r="AI269" s="1168"/>
      <c r="AJ269" s="1168"/>
      <c r="AK269" s="1168"/>
      <c r="AL269" s="1168"/>
      <c r="AM269" s="1168"/>
      <c r="AN269" s="1168"/>
      <c r="AO269" s="1168"/>
      <c r="AP269" s="1168"/>
    </row>
    <row r="270" spans="1:42" ht="23.25" customHeight="1">
      <c r="A270" s="1168"/>
      <c r="B270" s="1169" t="s">
        <v>1747</v>
      </c>
      <c r="C270" s="1168"/>
      <c r="D270" s="1168"/>
      <c r="E270" s="1168"/>
      <c r="F270" s="1168"/>
      <c r="G270" s="1168"/>
      <c r="H270" s="1168"/>
      <c r="I270" s="1168"/>
      <c r="J270" s="1168"/>
      <c r="K270" s="1168"/>
      <c r="L270" s="1168"/>
      <c r="M270" s="1168"/>
      <c r="N270" s="1168"/>
      <c r="O270" s="1168"/>
      <c r="P270" s="1168"/>
      <c r="Q270" s="1168"/>
      <c r="R270" s="1168"/>
      <c r="S270" s="1168"/>
      <c r="T270" s="1168"/>
      <c r="U270" s="1168"/>
      <c r="V270" s="1168"/>
      <c r="W270" s="1168"/>
      <c r="X270" s="1168"/>
      <c r="Y270" s="1168"/>
      <c r="Z270" s="1168"/>
      <c r="AA270" s="1168"/>
      <c r="AB270" s="1168"/>
      <c r="AC270" s="1168"/>
      <c r="AD270" s="1168"/>
      <c r="AE270" s="1168"/>
      <c r="AF270" s="1168"/>
      <c r="AG270" s="1168"/>
      <c r="AH270" s="1168"/>
      <c r="AI270" s="1168"/>
      <c r="AJ270" s="1168"/>
      <c r="AK270" s="1168"/>
      <c r="AL270" s="1168"/>
      <c r="AM270" s="1168"/>
      <c r="AN270" s="1168"/>
      <c r="AO270" s="1168"/>
      <c r="AP270" s="1168"/>
    </row>
    <row r="271" spans="1:42" ht="13.8">
      <c r="A271" s="1168"/>
      <c r="B271" s="1170" t="s">
        <v>1748</v>
      </c>
      <c r="C271" s="1168"/>
      <c r="D271" s="1168"/>
      <c r="E271" s="1168"/>
      <c r="F271" s="1168"/>
      <c r="G271" s="1168"/>
      <c r="H271" s="1168"/>
      <c r="I271" s="1168"/>
      <c r="J271" s="1168"/>
      <c r="K271" s="1168"/>
      <c r="L271" s="1168"/>
      <c r="M271" s="1168"/>
      <c r="N271" s="1168"/>
      <c r="O271" s="1168"/>
      <c r="P271" s="1168"/>
      <c r="Q271" s="1168"/>
      <c r="R271" s="1168"/>
      <c r="S271" s="1168"/>
      <c r="T271" s="1168"/>
      <c r="U271" s="1168"/>
      <c r="V271" s="1168"/>
      <c r="W271" s="1168"/>
      <c r="X271" s="1168"/>
      <c r="Y271" s="1168"/>
      <c r="Z271" s="1168"/>
      <c r="AA271" s="1168"/>
      <c r="AB271" s="1168"/>
      <c r="AC271" s="1168"/>
      <c r="AD271" s="1168"/>
      <c r="AE271" s="1168"/>
      <c r="AF271" s="1168"/>
      <c r="AG271" s="1168"/>
      <c r="AH271" s="1168"/>
      <c r="AI271" s="1168"/>
      <c r="AJ271" s="1168"/>
      <c r="AK271" s="1168"/>
      <c r="AL271" s="1168"/>
      <c r="AM271" s="1168"/>
      <c r="AN271" s="1168"/>
      <c r="AO271" s="1168"/>
      <c r="AP271" s="1168"/>
    </row>
    <row r="272" spans="1:42" ht="13.8">
      <c r="A272" s="1168"/>
      <c r="B272" s="1258"/>
      <c r="C272" s="1171"/>
      <c r="D272" s="1171"/>
      <c r="E272" s="1171"/>
      <c r="F272" s="1171"/>
      <c r="G272" s="1171"/>
      <c r="H272" s="1171"/>
      <c r="I272" s="1171"/>
      <c r="J272" s="1171"/>
      <c r="K272" s="1171"/>
      <c r="L272" s="1171"/>
      <c r="M272" s="1171"/>
      <c r="N272" s="1171"/>
      <c r="O272" s="1171"/>
      <c r="P272" s="1171"/>
      <c r="Q272" s="1171"/>
      <c r="R272" s="1171"/>
      <c r="S272" s="1171"/>
      <c r="T272" s="1171"/>
      <c r="U272" s="1171"/>
      <c r="V272" s="1171"/>
      <c r="W272" s="1171"/>
      <c r="X272" s="1171"/>
      <c r="Y272" s="1171"/>
      <c r="Z272" s="1171"/>
      <c r="AA272" s="1171"/>
      <c r="AB272" s="1171"/>
      <c r="AC272" s="1171"/>
      <c r="AD272" s="1171"/>
      <c r="AE272" s="1171"/>
      <c r="AF272" s="1171"/>
      <c r="AG272" s="1171"/>
      <c r="AH272" s="1171"/>
      <c r="AI272" s="1171"/>
      <c r="AJ272" s="1171"/>
      <c r="AK272" s="1171"/>
      <c r="AL272" s="1171"/>
      <c r="AM272" s="1171"/>
      <c r="AN272" s="1171"/>
      <c r="AO272" s="1171"/>
      <c r="AP272" s="1171"/>
    </row>
    <row r="273" spans="1:42" ht="13.8">
      <c r="A273" s="1168"/>
      <c r="B273" s="1168"/>
      <c r="C273" s="1168"/>
      <c r="D273" s="1168"/>
      <c r="E273" s="1168"/>
      <c r="F273" s="1168"/>
      <c r="G273" s="1168"/>
      <c r="H273" s="1168"/>
      <c r="I273" s="1168"/>
      <c r="J273" s="1168"/>
      <c r="K273" s="1168"/>
      <c r="L273" s="1168"/>
      <c r="M273" s="1168"/>
      <c r="N273" s="1168"/>
      <c r="O273" s="1168"/>
      <c r="P273" s="1168"/>
      <c r="Q273" s="1168"/>
      <c r="R273" s="1168"/>
      <c r="S273" s="1168"/>
      <c r="T273" s="1168"/>
      <c r="U273" s="1168"/>
      <c r="V273" s="1168"/>
      <c r="W273" s="1168"/>
      <c r="X273" s="1168"/>
      <c r="Y273" s="1168"/>
      <c r="Z273" s="1168"/>
      <c r="AA273" s="1168"/>
      <c r="AB273" s="1168"/>
      <c r="AC273" s="1168"/>
      <c r="AD273" s="1168"/>
      <c r="AE273" s="1168"/>
      <c r="AF273" s="1168"/>
      <c r="AG273" s="1168"/>
      <c r="AH273" s="1168"/>
      <c r="AI273" s="1168"/>
      <c r="AJ273" s="1168"/>
      <c r="AK273" s="1168"/>
      <c r="AL273" s="1168"/>
      <c r="AM273" s="1168"/>
      <c r="AN273" s="1168"/>
      <c r="AO273" s="1168"/>
      <c r="AP273" s="1168"/>
    </row>
    <row r="274" spans="1:42" ht="13.8">
      <c r="A274" s="1168"/>
      <c r="B274" s="3099" t="s">
        <v>1749</v>
      </c>
      <c r="C274" s="3099"/>
      <c r="D274" s="3099"/>
      <c r="E274" s="3100">
        <v>2000</v>
      </c>
      <c r="F274" s="3113"/>
      <c r="G274" s="3100">
        <v>2001</v>
      </c>
      <c r="H274" s="3113"/>
      <c r="I274" s="3100">
        <v>2002</v>
      </c>
      <c r="J274" s="3113"/>
      <c r="K274" s="3100">
        <v>2003</v>
      </c>
      <c r="L274" s="3113"/>
      <c r="M274" s="3100">
        <v>2004</v>
      </c>
      <c r="N274" s="3113"/>
      <c r="O274" s="3100">
        <v>2005</v>
      </c>
      <c r="P274" s="3113"/>
      <c r="Q274" s="3100">
        <v>2006</v>
      </c>
      <c r="R274" s="3113"/>
      <c r="S274" s="3100">
        <v>2007</v>
      </c>
      <c r="T274" s="3113"/>
      <c r="U274" s="3100">
        <v>2008</v>
      </c>
      <c r="V274" s="3113"/>
      <c r="W274" s="3100">
        <v>2009</v>
      </c>
      <c r="X274" s="3113"/>
      <c r="Y274" s="3100">
        <v>2010</v>
      </c>
      <c r="Z274" s="3113"/>
      <c r="AA274" s="3100">
        <v>2011</v>
      </c>
      <c r="AB274" s="3113"/>
      <c r="AC274" s="3100">
        <v>2012</v>
      </c>
      <c r="AD274" s="3113"/>
      <c r="AE274" s="3100">
        <v>2013</v>
      </c>
      <c r="AF274" s="3113"/>
      <c r="AG274" s="3100">
        <v>2014</v>
      </c>
      <c r="AH274" s="3113"/>
      <c r="AI274" s="3100">
        <v>2015</v>
      </c>
      <c r="AJ274" s="3113"/>
      <c r="AK274" s="3100">
        <v>2016</v>
      </c>
      <c r="AL274" s="3113"/>
      <c r="AM274" s="3100">
        <v>2017</v>
      </c>
      <c r="AN274" s="3113"/>
      <c r="AO274" s="3099" t="s">
        <v>1750</v>
      </c>
      <c r="AP274" s="3099"/>
    </row>
    <row r="275" spans="1:42" ht="13.8">
      <c r="A275" s="1168"/>
      <c r="B275" s="1244"/>
      <c r="C275" s="1244"/>
      <c r="D275" s="1244"/>
      <c r="E275" s="1219"/>
      <c r="F275" s="1220"/>
      <c r="G275" s="1219"/>
      <c r="H275" s="1220"/>
      <c r="I275" s="1219"/>
      <c r="J275" s="1220"/>
      <c r="K275" s="1219"/>
      <c r="L275" s="1220"/>
      <c r="M275" s="1219"/>
      <c r="N275" s="1220"/>
      <c r="O275" s="1219"/>
      <c r="P275" s="1220"/>
      <c r="Q275" s="1219"/>
      <c r="R275" s="1220"/>
      <c r="S275" s="1219"/>
      <c r="T275" s="1220"/>
      <c r="U275" s="1219"/>
      <c r="V275" s="1220"/>
      <c r="W275" s="1219"/>
      <c r="X275" s="1220"/>
      <c r="Y275" s="1219"/>
      <c r="Z275" s="1220"/>
      <c r="AA275" s="1219"/>
      <c r="AB275" s="1220"/>
      <c r="AC275" s="1219"/>
      <c r="AD275" s="1220"/>
      <c r="AE275" s="1219"/>
      <c r="AF275" s="1220"/>
      <c r="AG275" s="1219"/>
      <c r="AH275" s="1220"/>
      <c r="AI275" s="1219"/>
      <c r="AJ275" s="1220"/>
      <c r="AK275" s="1219"/>
      <c r="AL275" s="1220"/>
      <c r="AM275" s="1219"/>
      <c r="AN275" s="1220"/>
      <c r="AO275" s="1219"/>
      <c r="AP275" s="1171"/>
    </row>
    <row r="276" spans="1:42" ht="13.8">
      <c r="A276" s="1168"/>
      <c r="B276" s="1206"/>
      <c r="C276" s="1206"/>
      <c r="D276" s="1206"/>
      <c r="E276" s="1186"/>
      <c r="F276" s="1186"/>
      <c r="G276" s="1186"/>
      <c r="H276" s="1186"/>
      <c r="I276" s="1186"/>
      <c r="J276" s="1186"/>
      <c r="K276" s="1186"/>
      <c r="L276" s="1186"/>
      <c r="M276" s="1186"/>
      <c r="N276" s="1186"/>
      <c r="O276" s="1186"/>
      <c r="P276" s="1186"/>
      <c r="Q276" s="1186"/>
      <c r="R276" s="1186"/>
      <c r="S276" s="1186"/>
      <c r="T276" s="1186"/>
      <c r="U276" s="1186"/>
      <c r="V276" s="1186"/>
      <c r="W276" s="1186"/>
      <c r="X276" s="1186"/>
      <c r="Y276" s="1186"/>
      <c r="Z276" s="1186"/>
      <c r="AA276" s="1186"/>
      <c r="AB276" s="1186"/>
      <c r="AC276" s="1186"/>
      <c r="AD276" s="1186"/>
      <c r="AE276" s="1186"/>
      <c r="AF276" s="1186"/>
      <c r="AG276" s="1186"/>
      <c r="AH276" s="1186"/>
      <c r="AI276" s="1186"/>
      <c r="AJ276" s="1186"/>
      <c r="AK276" s="1186"/>
      <c r="AL276" s="1186"/>
      <c r="AM276" s="1186"/>
      <c r="AN276" s="1186"/>
      <c r="AO276" s="1206"/>
      <c r="AP276" s="1206"/>
    </row>
    <row r="277" spans="1:42" ht="13.8">
      <c r="A277" s="1168"/>
      <c r="B277" s="1178">
        <v>1</v>
      </c>
      <c r="C277" s="1178"/>
      <c r="D277" s="1224" t="s">
        <v>1732</v>
      </c>
      <c r="E277" s="1225">
        <v>11095</v>
      </c>
      <c r="F277" s="1259"/>
      <c r="G277" s="1225">
        <v>11068</v>
      </c>
      <c r="H277" s="1259"/>
      <c r="I277" s="1225">
        <v>12800</v>
      </c>
      <c r="J277" s="1259"/>
      <c r="K277" s="1225">
        <v>12913</v>
      </c>
      <c r="L277" s="1259"/>
      <c r="M277" s="1225">
        <v>13296</v>
      </c>
      <c r="N277" s="1259"/>
      <c r="O277" s="1225">
        <v>13397</v>
      </c>
      <c r="P277" s="1259"/>
      <c r="Q277" s="1225">
        <v>14003.5</v>
      </c>
      <c r="R277" s="1259"/>
      <c r="S277" s="1225">
        <v>14452.5</v>
      </c>
      <c r="T277" s="1259"/>
      <c r="U277" s="1225">
        <v>15139.2</v>
      </c>
      <c r="V277" s="1259"/>
      <c r="W277" s="1225">
        <v>15810.9</v>
      </c>
      <c r="X277" s="1228"/>
      <c r="Y277" s="1225">
        <v>16326</v>
      </c>
      <c r="Z277" s="1227"/>
      <c r="AA277" s="1225">
        <v>16868.222068999999</v>
      </c>
      <c r="AB277" s="1259"/>
      <c r="AC277" s="1225">
        <v>17281.440962999997</v>
      </c>
      <c r="AD277" s="1259"/>
      <c r="AE277" s="1225">
        <v>17682.118558999999</v>
      </c>
      <c r="AF277" s="1259"/>
      <c r="AG277" s="1225">
        <v>17388.519</v>
      </c>
      <c r="AH277" s="1259"/>
      <c r="AI277" s="1225"/>
      <c r="AJ277" s="1259"/>
      <c r="AK277" s="1225"/>
      <c r="AL277" s="1259"/>
      <c r="AM277" s="1225"/>
      <c r="AN277" s="1259"/>
      <c r="AO277" s="1231"/>
      <c r="AP277" s="1224" t="s">
        <v>1733</v>
      </c>
    </row>
    <row r="278" spans="1:42" ht="13.8">
      <c r="A278" s="1168"/>
      <c r="B278" s="1178">
        <v>2</v>
      </c>
      <c r="C278" s="1178"/>
      <c r="D278" s="1224" t="s">
        <v>1751</v>
      </c>
      <c r="E278" s="1225">
        <v>382.28399999999999</v>
      </c>
      <c r="F278" s="1259"/>
      <c r="G278" s="1225">
        <v>386.48200000000003</v>
      </c>
      <c r="H278" s="1259"/>
      <c r="I278" s="1225">
        <v>435.11799999999999</v>
      </c>
      <c r="J278" s="1259"/>
      <c r="K278" s="1225">
        <v>442.40699999999998</v>
      </c>
      <c r="L278" s="1259"/>
      <c r="M278" s="1225">
        <v>442.54</v>
      </c>
      <c r="N278" s="1259"/>
      <c r="O278" s="1225">
        <v>446.097256097561</v>
      </c>
      <c r="P278" s="1259"/>
      <c r="Q278" s="1225">
        <v>448.38600000000002</v>
      </c>
      <c r="R278" s="1259"/>
      <c r="S278" s="1225">
        <v>507.57</v>
      </c>
      <c r="T278" s="1259"/>
      <c r="U278" s="1225">
        <v>518.29899999999998</v>
      </c>
      <c r="V278" s="1259"/>
      <c r="W278" s="1225">
        <v>551.029</v>
      </c>
      <c r="X278" s="1228"/>
      <c r="Y278" s="1225">
        <v>570.09</v>
      </c>
      <c r="Z278" s="1227"/>
      <c r="AA278" s="1225">
        <v>605.54276486059996</v>
      </c>
      <c r="AB278" s="1259"/>
      <c r="AC278" s="1225">
        <v>621.99624011100002</v>
      </c>
      <c r="AD278" s="1259"/>
      <c r="AE278" s="1225">
        <v>635.93822424494999</v>
      </c>
      <c r="AF278" s="1259"/>
      <c r="AG278" s="1225">
        <v>648.90964599999995</v>
      </c>
      <c r="AH278" s="1259"/>
      <c r="AI278" s="1225"/>
      <c r="AJ278" s="1259"/>
      <c r="AK278" s="1225"/>
      <c r="AL278" s="1259"/>
      <c r="AM278" s="1225"/>
      <c r="AN278" s="1259"/>
      <c r="AO278" s="1231"/>
      <c r="AP278" s="1224" t="s">
        <v>1752</v>
      </c>
    </row>
    <row r="279" spans="1:42" ht="13.8">
      <c r="A279" s="1168"/>
      <c r="B279" s="1178">
        <v>3</v>
      </c>
      <c r="C279" s="1178"/>
      <c r="D279" s="1224" t="s">
        <v>1753</v>
      </c>
      <c r="E279" s="1225">
        <v>2262.6510217821783</v>
      </c>
      <c r="F279" s="1259"/>
      <c r="G279" s="1225">
        <v>2318.7750000000001</v>
      </c>
      <c r="H279" s="1259"/>
      <c r="I279" s="1225">
        <v>2731.047</v>
      </c>
      <c r="J279" s="1259"/>
      <c r="K279" s="1225">
        <v>2702.5889999999999</v>
      </c>
      <c r="L279" s="1259"/>
      <c r="M279" s="1225">
        <v>2694.2820000000002</v>
      </c>
      <c r="N279" s="1259"/>
      <c r="O279" s="1225">
        <v>2716.6010000000001</v>
      </c>
      <c r="P279" s="1259"/>
      <c r="Q279" s="1225">
        <v>2879.056</v>
      </c>
      <c r="R279" s="1259"/>
      <c r="S279" s="1225">
        <v>2997.9679999999998</v>
      </c>
      <c r="T279" s="1259"/>
      <c r="U279" s="1225">
        <v>3124.4090000000001</v>
      </c>
      <c r="V279" s="1259"/>
      <c r="W279" s="1225">
        <v>3305.2510000000002</v>
      </c>
      <c r="X279" s="1228"/>
      <c r="Y279" s="1225">
        <v>3418.9810000000002</v>
      </c>
      <c r="Z279" s="1227"/>
      <c r="AA279" s="1225">
        <v>3541.1411153560002</v>
      </c>
      <c r="AB279" s="1259"/>
      <c r="AC279" s="1225">
        <v>3598.0514972370001</v>
      </c>
      <c r="AD279" s="1259"/>
      <c r="AE279" s="1225">
        <v>3698.2705728332203</v>
      </c>
      <c r="AF279" s="1259"/>
      <c r="AG279" s="1225">
        <v>3636.0789340000001</v>
      </c>
      <c r="AH279" s="1259"/>
      <c r="AI279" s="1225"/>
      <c r="AJ279" s="1259"/>
      <c r="AK279" s="1225"/>
      <c r="AL279" s="1259"/>
      <c r="AM279" s="1225"/>
      <c r="AN279" s="1259"/>
      <c r="AO279" s="1231"/>
      <c r="AP279" s="1224" t="s">
        <v>1754</v>
      </c>
    </row>
    <row r="280" spans="1:42" ht="13.8">
      <c r="A280" s="1168"/>
      <c r="B280" s="1178">
        <v>4</v>
      </c>
      <c r="C280" s="1178"/>
      <c r="D280" s="1229" t="s">
        <v>1755</v>
      </c>
      <c r="E280" s="1186">
        <v>811.20044356435642</v>
      </c>
      <c r="F280" s="1254"/>
      <c r="G280" s="1186">
        <v>847.81600000000003</v>
      </c>
      <c r="H280" s="1254"/>
      <c r="I280" s="1186">
        <v>1025.3800000000001</v>
      </c>
      <c r="J280" s="1254"/>
      <c r="K280" s="1186">
        <v>1034.192</v>
      </c>
      <c r="L280" s="1254"/>
      <c r="M280" s="1186">
        <v>1040.0540000000001</v>
      </c>
      <c r="N280" s="1254"/>
      <c r="O280" s="1186">
        <v>1048.0350000000001</v>
      </c>
      <c r="P280" s="1254"/>
      <c r="Q280" s="1186">
        <v>1111.8710000000001</v>
      </c>
      <c r="R280" s="1254"/>
      <c r="S280" s="1186">
        <v>1161.92</v>
      </c>
      <c r="T280" s="1254"/>
      <c r="U280" s="1186">
        <v>1215.1790000000001</v>
      </c>
      <c r="V280" s="1254"/>
      <c r="W280" s="1186">
        <v>1288.711</v>
      </c>
      <c r="X280" s="1182"/>
      <c r="Y280" s="1537">
        <v>1335.4970000000001</v>
      </c>
      <c r="Z280" s="1187"/>
      <c r="AA280" s="1186">
        <v>1379.3450427839998</v>
      </c>
      <c r="AB280" s="1254"/>
      <c r="AC280" s="1186">
        <v>1410.9258606420001</v>
      </c>
      <c r="AD280" s="1254"/>
      <c r="AE280" s="1186">
        <v>1439.7929457395601</v>
      </c>
      <c r="AF280" s="1254"/>
      <c r="AG280" s="1186">
        <v>1421.371607</v>
      </c>
      <c r="AH280" s="1254"/>
      <c r="AI280" s="1186"/>
      <c r="AJ280" s="1254"/>
      <c r="AK280" s="1186"/>
      <c r="AL280" s="1254"/>
      <c r="AM280" s="1186"/>
      <c r="AN280" s="1254"/>
      <c r="AO280" s="1222"/>
      <c r="AP280" s="1229" t="s">
        <v>1756</v>
      </c>
    </row>
    <row r="281" spans="1:42" ht="13.8">
      <c r="A281" s="1168"/>
      <c r="B281" s="1178">
        <v>5</v>
      </c>
      <c r="C281" s="1178"/>
      <c r="D281" s="1229" t="s">
        <v>1757</v>
      </c>
      <c r="E281" s="1186">
        <v>1451.4505782178219</v>
      </c>
      <c r="F281" s="1182"/>
      <c r="G281" s="1186">
        <v>1470.9590000000001</v>
      </c>
      <c r="H281" s="1182"/>
      <c r="I281" s="1186">
        <v>1705.6669999999999</v>
      </c>
      <c r="J281" s="1182"/>
      <c r="K281" s="1186">
        <v>1668.3969999999999</v>
      </c>
      <c r="L281" s="1182"/>
      <c r="M281" s="1186">
        <v>1654.2280000000001</v>
      </c>
      <c r="N281" s="1182"/>
      <c r="O281" s="1186">
        <v>1668.566</v>
      </c>
      <c r="P281" s="1182"/>
      <c r="Q281" s="1186">
        <v>1767.1849999999999</v>
      </c>
      <c r="R281" s="1182"/>
      <c r="S281" s="1186">
        <v>1836.048</v>
      </c>
      <c r="T281" s="1182"/>
      <c r="U281" s="1186">
        <v>1909.23</v>
      </c>
      <c r="V281" s="1182"/>
      <c r="W281" s="1186">
        <v>2016.54</v>
      </c>
      <c r="X281" s="1182"/>
      <c r="Y281" s="1186">
        <v>2083.4839999999999</v>
      </c>
      <c r="Z281" s="1187"/>
      <c r="AA281" s="1186">
        <v>2161.796072572</v>
      </c>
      <c r="AB281" s="1182"/>
      <c r="AC281" s="1186">
        <v>2187.1256365949998</v>
      </c>
      <c r="AD281" s="1182"/>
      <c r="AE281" s="1186">
        <v>2258.47762709366</v>
      </c>
      <c r="AF281" s="1182"/>
      <c r="AG281" s="1186">
        <v>2214.7073270000001</v>
      </c>
      <c r="AH281" s="1182"/>
      <c r="AI281" s="1186"/>
      <c r="AJ281" s="1182"/>
      <c r="AK281" s="1186"/>
      <c r="AL281" s="1182"/>
      <c r="AM281" s="1186"/>
      <c r="AN281" s="1182"/>
      <c r="AO281" s="1222"/>
      <c r="AP281" s="1229" t="s">
        <v>1758</v>
      </c>
    </row>
    <row r="282" spans="1:42" ht="13.8">
      <c r="A282" s="1168"/>
      <c r="B282" s="1219"/>
      <c r="C282" s="1219"/>
      <c r="D282" s="1255"/>
      <c r="E282" s="1256"/>
      <c r="F282" s="1257"/>
      <c r="G282" s="1256"/>
      <c r="H282" s="1257"/>
      <c r="I282" s="1256"/>
      <c r="J282" s="1257"/>
      <c r="K282" s="1256"/>
      <c r="L282" s="1257"/>
      <c r="M282" s="1256"/>
      <c r="N282" s="1257"/>
      <c r="O282" s="1256"/>
      <c r="P282" s="1257"/>
      <c r="Q282" s="1256"/>
      <c r="R282" s="1257"/>
      <c r="S282" s="1256"/>
      <c r="T282" s="1257"/>
      <c r="U282" s="1256"/>
      <c r="V282" s="1257"/>
      <c r="W282" s="1256"/>
      <c r="X282" s="1257"/>
      <c r="Y282" s="1256"/>
      <c r="Z282" s="1257"/>
      <c r="AA282" s="1256"/>
      <c r="AB282" s="1257"/>
      <c r="AC282" s="1256"/>
      <c r="AD282" s="1257"/>
      <c r="AE282" s="1256"/>
      <c r="AF282" s="1257"/>
      <c r="AG282" s="1256"/>
      <c r="AH282" s="1257"/>
      <c r="AI282" s="1256"/>
      <c r="AJ282" s="1257"/>
      <c r="AK282" s="1256"/>
      <c r="AL282" s="1257"/>
      <c r="AM282" s="1256"/>
      <c r="AN282" s="1257"/>
      <c r="AO282" s="1257"/>
      <c r="AP282" s="1255"/>
    </row>
    <row r="283" spans="1:42" s="754" customFormat="1" ht="13.8">
      <c r="A283" s="1168"/>
      <c r="B283" s="1302"/>
      <c r="C283" s="1302"/>
      <c r="D283" s="1229"/>
      <c r="E283" s="1246"/>
      <c r="F283" s="1222"/>
      <c r="G283" s="1246"/>
      <c r="H283" s="1222"/>
      <c r="I283" s="1246"/>
      <c r="J283" s="1222"/>
      <c r="K283" s="1246"/>
      <c r="L283" s="1222"/>
      <c r="M283" s="1246"/>
      <c r="N283" s="1222"/>
      <c r="O283" s="1246"/>
      <c r="P283" s="1222"/>
      <c r="Q283" s="1246"/>
      <c r="R283" s="1222"/>
      <c r="S283" s="1246"/>
      <c r="T283" s="1222"/>
      <c r="U283" s="1246"/>
      <c r="V283" s="1222"/>
      <c r="W283" s="1246"/>
      <c r="X283" s="1222"/>
      <c r="Y283" s="1246"/>
      <c r="Z283" s="1222"/>
      <c r="AA283" s="1246"/>
      <c r="AB283" s="1222"/>
      <c r="AC283" s="1246"/>
      <c r="AD283" s="1222"/>
      <c r="AE283" s="1246"/>
      <c r="AF283" s="1222"/>
      <c r="AG283" s="1246"/>
      <c r="AH283" s="1222"/>
      <c r="AI283" s="1246"/>
      <c r="AJ283" s="1222"/>
      <c r="AK283" s="1246"/>
      <c r="AL283" s="1222"/>
      <c r="AM283" s="1246"/>
      <c r="AN283" s="1222"/>
      <c r="AO283" s="1222"/>
      <c r="AP283" s="1229"/>
    </row>
    <row r="284" spans="1:42" s="754" customFormat="1" ht="13.8">
      <c r="A284" s="1168"/>
      <c r="B284" s="1302"/>
      <c r="C284" s="1302"/>
      <c r="D284" s="1229"/>
      <c r="E284" s="1246"/>
      <c r="F284" s="1222"/>
      <c r="G284" s="1246"/>
      <c r="H284" s="1222"/>
      <c r="I284" s="1246"/>
      <c r="J284" s="1222"/>
      <c r="K284" s="1246"/>
      <c r="L284" s="1222"/>
      <c r="M284" s="1246"/>
      <c r="N284" s="1222"/>
      <c r="O284" s="1246"/>
      <c r="P284" s="1222"/>
      <c r="Q284" s="1246"/>
      <c r="R284" s="1222"/>
      <c r="S284" s="1246"/>
      <c r="T284" s="1222"/>
      <c r="U284" s="1246"/>
      <c r="V284" s="1222"/>
      <c r="W284" s="1246"/>
      <c r="X284" s="1222"/>
      <c r="Y284" s="1246"/>
      <c r="Z284" s="1222"/>
      <c r="AA284" s="1246"/>
      <c r="AB284" s="1222"/>
      <c r="AC284" s="1246"/>
      <c r="AD284" s="1222"/>
      <c r="AE284" s="1246"/>
      <c r="AF284" s="1222"/>
      <c r="AG284" s="1246"/>
      <c r="AH284" s="1222"/>
      <c r="AI284" s="1246"/>
      <c r="AJ284" s="1222"/>
      <c r="AK284" s="1246"/>
      <c r="AL284" s="1222"/>
      <c r="AM284" s="1246"/>
      <c r="AN284" s="1222"/>
      <c r="AO284" s="1222"/>
      <c r="AP284" s="1229"/>
    </row>
    <row r="285" spans="1:42" s="754" customFormat="1" ht="13.8">
      <c r="A285" s="1168"/>
      <c r="B285" s="1302"/>
      <c r="C285" s="1302"/>
      <c r="D285" s="1229"/>
      <c r="E285" s="1246"/>
      <c r="F285" s="1222"/>
      <c r="G285" s="1246"/>
      <c r="H285" s="1222"/>
      <c r="I285" s="1246"/>
      <c r="J285" s="1222"/>
      <c r="K285" s="1246"/>
      <c r="L285" s="1222"/>
      <c r="M285" s="1246"/>
      <c r="N285" s="1222"/>
      <c r="O285" s="1246"/>
      <c r="P285" s="1222"/>
      <c r="Q285" s="1246"/>
      <c r="R285" s="1222"/>
      <c r="S285" s="1246"/>
      <c r="T285" s="1222"/>
      <c r="U285" s="1246"/>
      <c r="V285" s="1222"/>
      <c r="W285" s="1246"/>
      <c r="X285" s="1222"/>
      <c r="Y285" s="1246"/>
      <c r="Z285" s="1222"/>
      <c r="AA285" s="1246"/>
      <c r="AB285" s="1222"/>
      <c r="AC285" s="1246"/>
      <c r="AD285" s="1222"/>
      <c r="AE285" s="1246"/>
      <c r="AF285" s="1222"/>
      <c r="AG285" s="1246"/>
      <c r="AH285" s="1222"/>
      <c r="AI285" s="1246"/>
      <c r="AJ285" s="1222"/>
      <c r="AK285" s="1246"/>
      <c r="AL285" s="1222"/>
      <c r="AM285" s="1246"/>
      <c r="AN285" s="1222"/>
      <c r="AO285" s="1222"/>
      <c r="AP285" s="1229"/>
    </row>
    <row r="286" spans="1:42" ht="13.8">
      <c r="A286" s="1168"/>
      <c r="B286" s="1168"/>
      <c r="C286" s="1168"/>
      <c r="D286" s="1168"/>
      <c r="E286" s="1168"/>
      <c r="F286" s="1168"/>
      <c r="G286" s="1168"/>
      <c r="H286" s="1168"/>
      <c r="I286" s="1168"/>
      <c r="J286" s="1168"/>
      <c r="K286" s="1168"/>
      <c r="L286" s="1168"/>
      <c r="M286" s="1168"/>
      <c r="N286" s="1168"/>
      <c r="O286" s="1168"/>
      <c r="P286" s="1168"/>
      <c r="Q286" s="1168"/>
      <c r="R286" s="1168"/>
      <c r="S286" s="1168"/>
      <c r="T286" s="1168"/>
      <c r="U286" s="1168"/>
      <c r="V286" s="1168"/>
      <c r="W286" s="1168"/>
      <c r="X286" s="1168"/>
      <c r="Y286" s="1168"/>
      <c r="Z286" s="1168"/>
      <c r="AA286" s="1168"/>
      <c r="AB286" s="1168"/>
      <c r="AC286" s="1168"/>
      <c r="AD286" s="1168"/>
      <c r="AE286" s="1168"/>
      <c r="AF286" s="1168"/>
      <c r="AG286" s="1168"/>
      <c r="AH286" s="1168"/>
      <c r="AI286" s="1168"/>
      <c r="AJ286" s="1168"/>
      <c r="AK286" s="1168"/>
      <c r="AL286" s="1168"/>
      <c r="AM286" s="1168"/>
      <c r="AN286" s="1168"/>
      <c r="AO286" s="1168"/>
      <c r="AP286" s="1168"/>
    </row>
    <row r="287" spans="1:42" ht="13.8">
      <c r="A287" s="1168"/>
      <c r="B287" s="1168"/>
      <c r="C287" s="1168"/>
      <c r="D287" s="1168"/>
      <c r="E287" s="1168"/>
      <c r="F287" s="1168"/>
      <c r="G287" s="1168"/>
      <c r="H287" s="1168"/>
      <c r="I287" s="1168"/>
      <c r="J287" s="1168"/>
      <c r="K287" s="1168"/>
      <c r="L287" s="1168"/>
      <c r="M287" s="1168"/>
      <c r="N287" s="1168"/>
      <c r="O287" s="1168"/>
      <c r="P287" s="1168"/>
      <c r="Q287" s="1168"/>
      <c r="R287" s="1168"/>
      <c r="S287" s="1168"/>
      <c r="T287" s="1168"/>
      <c r="U287" s="1168"/>
      <c r="V287" s="1168"/>
      <c r="W287" s="1168"/>
      <c r="X287" s="1168"/>
      <c r="Y287" s="1168"/>
      <c r="Z287" s="1168"/>
      <c r="AA287" s="1168"/>
      <c r="AB287" s="1168"/>
      <c r="AC287" s="1168"/>
      <c r="AD287" s="1168"/>
      <c r="AE287" s="1168"/>
      <c r="AF287" s="1168"/>
      <c r="AG287" s="1168"/>
      <c r="AH287" s="1168"/>
      <c r="AI287" s="1168"/>
      <c r="AJ287" s="1168"/>
      <c r="AK287" s="1168"/>
      <c r="AL287" s="1168"/>
      <c r="AM287" s="1168"/>
      <c r="AN287" s="1168"/>
      <c r="AO287" s="1168"/>
      <c r="AP287" s="1168"/>
    </row>
    <row r="288" spans="1:42" ht="13.8">
      <c r="A288" s="1168"/>
      <c r="B288" s="1168"/>
      <c r="C288" s="1168"/>
      <c r="D288" s="1168"/>
      <c r="E288" s="1168"/>
      <c r="F288" s="1168"/>
      <c r="G288" s="1168"/>
      <c r="H288" s="1168"/>
      <c r="I288" s="1168"/>
      <c r="J288" s="1168"/>
      <c r="K288" s="1168"/>
      <c r="L288" s="1168"/>
      <c r="M288" s="1168"/>
      <c r="N288" s="1168"/>
      <c r="O288" s="1168"/>
      <c r="P288" s="1168"/>
      <c r="Q288" s="1168"/>
      <c r="R288" s="1168"/>
      <c r="S288" s="1168"/>
      <c r="T288" s="1168"/>
      <c r="U288" s="1168"/>
      <c r="V288" s="1168"/>
      <c r="W288" s="1168"/>
      <c r="X288" s="1168"/>
      <c r="Y288" s="1168"/>
      <c r="Z288" s="1168"/>
      <c r="AA288" s="1168"/>
      <c r="AB288" s="1168"/>
      <c r="AC288" s="1168"/>
      <c r="AD288" s="1168"/>
      <c r="AE288" s="1168"/>
      <c r="AF288" s="1168"/>
      <c r="AG288" s="1168"/>
      <c r="AH288" s="1168"/>
      <c r="AI288" s="1168"/>
      <c r="AJ288" s="1168"/>
      <c r="AK288" s="1168"/>
      <c r="AL288" s="1168"/>
      <c r="AM288" s="1168"/>
      <c r="AN288" s="1168"/>
      <c r="AO288" s="1168"/>
      <c r="AP288" s="1168"/>
    </row>
    <row r="289" spans="1:42" ht="13.8">
      <c r="A289" s="1168"/>
      <c r="B289" s="1168"/>
      <c r="C289" s="1168"/>
      <c r="D289" s="1168"/>
      <c r="E289" s="1168"/>
      <c r="F289" s="1168"/>
      <c r="G289" s="1168"/>
      <c r="H289" s="1168"/>
      <c r="I289" s="1168"/>
      <c r="J289" s="1168"/>
      <c r="K289" s="1168"/>
      <c r="L289" s="1168"/>
      <c r="M289" s="1168"/>
      <c r="N289" s="1168"/>
      <c r="O289" s="1168"/>
      <c r="P289" s="1168"/>
      <c r="Q289" s="1168"/>
      <c r="R289" s="1168"/>
      <c r="S289" s="1168"/>
      <c r="T289" s="1168"/>
      <c r="U289" s="1168"/>
      <c r="V289" s="1168"/>
      <c r="W289" s="1168"/>
      <c r="X289" s="1168"/>
      <c r="Y289" s="1168"/>
      <c r="Z289" s="1168"/>
      <c r="AA289" s="1168"/>
      <c r="AB289" s="1168"/>
      <c r="AC289" s="1168"/>
      <c r="AD289" s="1168"/>
      <c r="AE289" s="1168"/>
      <c r="AF289" s="1168"/>
      <c r="AG289" s="1168"/>
      <c r="AH289" s="1168"/>
      <c r="AI289" s="1168"/>
      <c r="AJ289" s="1168"/>
      <c r="AK289" s="1168"/>
      <c r="AL289" s="1168"/>
      <c r="AM289" s="1168"/>
      <c r="AN289" s="1168"/>
      <c r="AO289" s="1168"/>
      <c r="AP289" s="1168"/>
    </row>
    <row r="290" spans="1:42" ht="13.8">
      <c r="A290" s="1168"/>
      <c r="B290" s="1169" t="s">
        <v>1759</v>
      </c>
      <c r="C290" s="1168"/>
      <c r="D290" s="1168"/>
      <c r="E290" s="1168"/>
      <c r="F290" s="1168"/>
      <c r="G290" s="1168"/>
      <c r="H290" s="1168"/>
      <c r="I290" s="1168"/>
      <c r="J290" s="1168"/>
      <c r="K290" s="1168"/>
      <c r="L290" s="1168"/>
      <c r="M290" s="1168"/>
      <c r="N290" s="1168"/>
      <c r="O290" s="1168"/>
      <c r="P290" s="1168"/>
      <c r="Q290" s="1168"/>
      <c r="R290" s="1168"/>
      <c r="S290" s="1168"/>
      <c r="T290" s="1168"/>
      <c r="U290" s="1168"/>
      <c r="V290" s="1168"/>
      <c r="W290" s="1168"/>
      <c r="X290" s="1168"/>
      <c r="Y290" s="1168"/>
      <c r="Z290" s="1168"/>
      <c r="AA290" s="1168"/>
      <c r="AB290" s="1168"/>
      <c r="AC290" s="1168"/>
      <c r="AD290" s="1168"/>
      <c r="AE290" s="1168"/>
      <c r="AF290" s="1168"/>
      <c r="AG290" s="1168"/>
      <c r="AH290" s="1168"/>
      <c r="AI290" s="1168"/>
      <c r="AJ290" s="1168"/>
      <c r="AK290" s="1168"/>
      <c r="AL290" s="1168"/>
      <c r="AM290" s="1168"/>
      <c r="AN290" s="1168"/>
      <c r="AO290" s="1168"/>
      <c r="AP290" s="1168"/>
    </row>
    <row r="291" spans="1:42" ht="13.8">
      <c r="A291" s="1168"/>
      <c r="B291" s="1170" t="s">
        <v>1760</v>
      </c>
      <c r="C291" s="1168"/>
      <c r="D291" s="1168"/>
      <c r="E291" s="1168"/>
      <c r="F291" s="1168"/>
      <c r="G291" s="1168"/>
      <c r="H291" s="1168"/>
      <c r="I291" s="1168"/>
      <c r="J291" s="1168"/>
      <c r="K291" s="1168"/>
      <c r="L291" s="1168"/>
      <c r="M291" s="1168"/>
      <c r="N291" s="1168"/>
      <c r="O291" s="1168"/>
      <c r="P291" s="1168"/>
      <c r="Q291" s="1168"/>
      <c r="R291" s="1168"/>
      <c r="S291" s="1168"/>
      <c r="T291" s="1168"/>
      <c r="U291" s="1168"/>
      <c r="V291" s="1168"/>
      <c r="W291" s="1168"/>
      <c r="X291" s="1168"/>
      <c r="Y291" s="1168"/>
      <c r="Z291" s="1168"/>
      <c r="AA291" s="1168"/>
      <c r="AB291" s="1168"/>
      <c r="AC291" s="1168"/>
      <c r="AD291" s="1168"/>
      <c r="AE291" s="1168"/>
      <c r="AF291" s="1168"/>
      <c r="AG291" s="1168"/>
      <c r="AH291" s="1168"/>
      <c r="AI291" s="1168"/>
      <c r="AJ291" s="1168"/>
      <c r="AK291" s="1168"/>
      <c r="AL291" s="1168"/>
      <c r="AM291" s="1168"/>
      <c r="AN291" s="1168"/>
      <c r="AO291" s="1168"/>
      <c r="AP291" s="1168"/>
    </row>
    <row r="292" spans="1:42" ht="13.8">
      <c r="A292" s="1168"/>
      <c r="B292" s="1258"/>
      <c r="C292" s="1171"/>
      <c r="D292" s="1171"/>
      <c r="E292" s="1171"/>
      <c r="F292" s="1171"/>
      <c r="G292" s="1171"/>
      <c r="H292" s="1171"/>
      <c r="I292" s="1171"/>
      <c r="J292" s="1171"/>
      <c r="K292" s="1171"/>
      <c r="L292" s="1171"/>
      <c r="M292" s="1171"/>
      <c r="N292" s="1171"/>
      <c r="O292" s="1171"/>
      <c r="P292" s="1171"/>
      <c r="Q292" s="1171"/>
      <c r="R292" s="1171"/>
      <c r="S292" s="1171"/>
      <c r="T292" s="1171"/>
      <c r="U292" s="1171"/>
      <c r="V292" s="1171"/>
      <c r="W292" s="1171"/>
      <c r="X292" s="1171"/>
      <c r="Y292" s="1171"/>
      <c r="Z292" s="1171"/>
      <c r="AA292" s="1171"/>
      <c r="AB292" s="1171"/>
      <c r="AC292" s="1171"/>
      <c r="AD292" s="1171"/>
      <c r="AE292" s="1171"/>
      <c r="AF292" s="1171"/>
      <c r="AG292" s="1171"/>
      <c r="AH292" s="1171"/>
      <c r="AI292" s="1171"/>
      <c r="AJ292" s="1171"/>
      <c r="AK292" s="1171"/>
      <c r="AL292" s="1171"/>
      <c r="AM292" s="1171"/>
      <c r="AN292" s="1171"/>
      <c r="AO292" s="1171"/>
      <c r="AP292" s="1171"/>
    </row>
    <row r="293" spans="1:42" ht="13.8">
      <c r="A293" s="1168"/>
      <c r="B293" s="1168"/>
      <c r="C293" s="1168"/>
      <c r="D293" s="1168"/>
      <c r="E293" s="1168"/>
      <c r="F293" s="1168"/>
      <c r="G293" s="1168"/>
      <c r="H293" s="1168"/>
      <c r="I293" s="1168"/>
      <c r="J293" s="1168"/>
      <c r="K293" s="1168"/>
      <c r="L293" s="1168"/>
      <c r="M293" s="1168"/>
      <c r="N293" s="1168"/>
      <c r="O293" s="1168"/>
      <c r="P293" s="1168"/>
      <c r="Q293" s="1168"/>
      <c r="R293" s="1168"/>
      <c r="S293" s="1168"/>
      <c r="T293" s="1168"/>
      <c r="U293" s="1168"/>
      <c r="V293" s="1168"/>
      <c r="W293" s="1168"/>
      <c r="X293" s="1168"/>
      <c r="Y293" s="1168"/>
      <c r="Z293" s="1168"/>
      <c r="AA293" s="1168"/>
      <c r="AB293" s="1168"/>
      <c r="AC293" s="1168"/>
      <c r="AD293" s="1168"/>
      <c r="AE293" s="1168"/>
      <c r="AF293" s="1168"/>
      <c r="AG293" s="1168"/>
      <c r="AH293" s="1168"/>
      <c r="AI293" s="1168"/>
      <c r="AJ293" s="1168"/>
      <c r="AK293" s="1168"/>
      <c r="AL293" s="1168"/>
      <c r="AM293" s="1168"/>
      <c r="AN293" s="1168"/>
      <c r="AO293" s="1168"/>
      <c r="AP293" s="1168"/>
    </row>
    <row r="294" spans="1:42" ht="13.8">
      <c r="A294" s="1168"/>
      <c r="B294" s="3099" t="s">
        <v>1749</v>
      </c>
      <c r="C294" s="3099"/>
      <c r="D294" s="3099"/>
      <c r="E294" s="3100">
        <v>2000</v>
      </c>
      <c r="F294" s="3113"/>
      <c r="G294" s="3100">
        <v>2001</v>
      </c>
      <c r="H294" s="3113"/>
      <c r="I294" s="3100">
        <v>2002</v>
      </c>
      <c r="J294" s="3113"/>
      <c r="K294" s="3100">
        <v>2003</v>
      </c>
      <c r="L294" s="3113"/>
      <c r="M294" s="3100">
        <v>2004</v>
      </c>
      <c r="N294" s="3113"/>
      <c r="O294" s="3100">
        <v>2005</v>
      </c>
      <c r="P294" s="3113"/>
      <c r="Q294" s="3100">
        <v>2006</v>
      </c>
      <c r="R294" s="3113"/>
      <c r="S294" s="3100">
        <v>2007</v>
      </c>
      <c r="T294" s="3113"/>
      <c r="U294" s="3100">
        <v>2008</v>
      </c>
      <c r="V294" s="3113"/>
      <c r="W294" s="3100">
        <v>2009</v>
      </c>
      <c r="X294" s="3113"/>
      <c r="Y294" s="3100">
        <v>2010</v>
      </c>
      <c r="Z294" s="3113"/>
      <c r="AA294" s="3100">
        <v>2011</v>
      </c>
      <c r="AB294" s="3113"/>
      <c r="AC294" s="3100">
        <v>2012</v>
      </c>
      <c r="AD294" s="3113"/>
      <c r="AE294" s="3100">
        <v>2013</v>
      </c>
      <c r="AF294" s="3113"/>
      <c r="AG294" s="3100">
        <v>2014</v>
      </c>
      <c r="AH294" s="3113"/>
      <c r="AI294" s="3100">
        <v>2015</v>
      </c>
      <c r="AJ294" s="3113"/>
      <c r="AK294" s="3100">
        <v>2016</v>
      </c>
      <c r="AL294" s="3113"/>
      <c r="AM294" s="3100">
        <v>2017</v>
      </c>
      <c r="AN294" s="3113"/>
      <c r="AO294" s="3099" t="s">
        <v>1750</v>
      </c>
      <c r="AP294" s="3099"/>
    </row>
    <row r="295" spans="1:42" ht="13.8">
      <c r="A295" s="1168"/>
      <c r="B295" s="1244"/>
      <c r="C295" s="1244"/>
      <c r="D295" s="1244"/>
      <c r="E295" s="1219"/>
      <c r="F295" s="1220"/>
      <c r="G295" s="1219"/>
      <c r="H295" s="1220"/>
      <c r="I295" s="1219"/>
      <c r="J295" s="1220"/>
      <c r="K295" s="1219"/>
      <c r="L295" s="1220"/>
      <c r="M295" s="1219"/>
      <c r="N295" s="1220"/>
      <c r="O295" s="1219"/>
      <c r="P295" s="1220"/>
      <c r="Q295" s="1219"/>
      <c r="R295" s="1220"/>
      <c r="S295" s="1219"/>
      <c r="T295" s="1220"/>
      <c r="U295" s="1219"/>
      <c r="V295" s="1220"/>
      <c r="W295" s="1219"/>
      <c r="X295" s="1220"/>
      <c r="Y295" s="1219"/>
      <c r="Z295" s="1220"/>
      <c r="AA295" s="1219"/>
      <c r="AB295" s="1220"/>
      <c r="AC295" s="1219"/>
      <c r="AD295" s="1220"/>
      <c r="AE295" s="1219"/>
      <c r="AF295" s="1220"/>
      <c r="AG295" s="1219"/>
      <c r="AH295" s="1220"/>
      <c r="AI295" s="1219"/>
      <c r="AJ295" s="1220"/>
      <c r="AK295" s="1219"/>
      <c r="AL295" s="1220"/>
      <c r="AM295" s="1219"/>
      <c r="AN295" s="1220"/>
      <c r="AO295" s="1219"/>
      <c r="AP295" s="1171"/>
    </row>
    <row r="296" spans="1:42" ht="13.8">
      <c r="A296" s="1168"/>
      <c r="B296" s="1206"/>
      <c r="C296" s="1206"/>
      <c r="D296" s="1206"/>
      <c r="E296" s="1186"/>
      <c r="F296" s="1186"/>
      <c r="G296" s="1186"/>
      <c r="H296" s="1186"/>
      <c r="I296" s="1186"/>
      <c r="J296" s="1186"/>
      <c r="K296" s="1186"/>
      <c r="L296" s="1186"/>
      <c r="M296" s="1186"/>
      <c r="N296" s="1186"/>
      <c r="O296" s="1186"/>
      <c r="P296" s="1186"/>
      <c r="Q296" s="1186"/>
      <c r="R296" s="1186"/>
      <c r="S296" s="1186"/>
      <c r="T296" s="1186"/>
      <c r="U296" s="1186"/>
      <c r="V296" s="1186"/>
      <c r="W296" s="1186"/>
      <c r="X296" s="1186"/>
      <c r="Y296" s="1186"/>
      <c r="Z296" s="1186"/>
      <c r="AA296" s="1186"/>
      <c r="AB296" s="1186"/>
      <c r="AC296" s="1186"/>
      <c r="AD296" s="1186"/>
      <c r="AE296" s="1186"/>
      <c r="AF296" s="1186"/>
      <c r="AG296" s="1186"/>
      <c r="AH296" s="1186"/>
      <c r="AI296" s="1186"/>
      <c r="AJ296" s="1186"/>
      <c r="AK296" s="1186"/>
      <c r="AL296" s="1186"/>
      <c r="AM296" s="1186"/>
      <c r="AN296" s="1186"/>
      <c r="AO296" s="1206"/>
      <c r="AP296" s="1206"/>
    </row>
    <row r="297" spans="1:42" ht="13.8">
      <c r="A297" s="1168"/>
      <c r="B297" s="1178">
        <v>1</v>
      </c>
      <c r="C297" s="1178"/>
      <c r="D297" s="1224" t="s">
        <v>1732</v>
      </c>
      <c r="E297" s="1225">
        <v>12362</v>
      </c>
      <c r="F297" s="1228"/>
      <c r="G297" s="1225">
        <v>12400</v>
      </c>
      <c r="H297" s="1228"/>
      <c r="I297" s="1225">
        <v>12843</v>
      </c>
      <c r="J297" s="1228"/>
      <c r="K297" s="1225">
        <v>12474</v>
      </c>
      <c r="L297" s="1228"/>
      <c r="M297" s="1225">
        <v>12263</v>
      </c>
      <c r="N297" s="1228"/>
      <c r="O297" s="1225">
        <v>12381</v>
      </c>
      <c r="P297" s="1228"/>
      <c r="Q297" s="1225">
        <v>12757</v>
      </c>
      <c r="R297" s="1228"/>
      <c r="S297" s="1225">
        <v>12541</v>
      </c>
      <c r="T297" s="1228"/>
      <c r="U297" s="1225">
        <v>12300</v>
      </c>
      <c r="V297" s="1228"/>
      <c r="W297" s="1225">
        <v>12661.94</v>
      </c>
      <c r="X297" s="1228"/>
      <c r="Y297" s="1309">
        <v>12590</v>
      </c>
      <c r="Z297" s="1227"/>
      <c r="AA297" s="1225">
        <v>12372</v>
      </c>
      <c r="AB297" s="1228"/>
      <c r="AC297" s="1225">
        <v>12679.566999999999</v>
      </c>
      <c r="AD297" s="1228"/>
      <c r="AE297" s="1225">
        <v>12874.15</v>
      </c>
      <c r="AF297" s="1228"/>
      <c r="AG297" s="1225">
        <v>12993.768</v>
      </c>
      <c r="AH297" s="1228"/>
      <c r="AI297" s="1225"/>
      <c r="AJ297" s="1228"/>
      <c r="AK297" s="1225"/>
      <c r="AL297" s="1228"/>
      <c r="AM297" s="1225"/>
      <c r="AN297" s="1228"/>
      <c r="AO297" s="1231"/>
      <c r="AP297" s="1224" t="s">
        <v>1733</v>
      </c>
    </row>
    <row r="298" spans="1:42" ht="13.8">
      <c r="A298" s="1168"/>
      <c r="B298" s="1178">
        <v>2</v>
      </c>
      <c r="C298" s="1178"/>
      <c r="D298" s="1224" t="s">
        <v>1751</v>
      </c>
      <c r="E298" s="1225">
        <v>2243</v>
      </c>
      <c r="F298" s="1228"/>
      <c r="G298" s="1225">
        <v>2314</v>
      </c>
      <c r="H298" s="1228"/>
      <c r="I298" s="1225">
        <v>2330</v>
      </c>
      <c r="J298" s="1228"/>
      <c r="K298" s="1225">
        <v>2164</v>
      </c>
      <c r="L298" s="1228"/>
      <c r="M298" s="1225">
        <v>2167</v>
      </c>
      <c r="N298" s="1228"/>
      <c r="O298" s="1225">
        <v>2210</v>
      </c>
      <c r="P298" s="1228"/>
      <c r="Q298" s="1225">
        <v>2305</v>
      </c>
      <c r="R298" s="1228"/>
      <c r="S298" s="1225">
        <v>2316</v>
      </c>
      <c r="T298" s="1228"/>
      <c r="U298" s="1225">
        <v>2593</v>
      </c>
      <c r="V298" s="1228"/>
      <c r="W298" s="1225">
        <v>2419.21</v>
      </c>
      <c r="X298" s="1228"/>
      <c r="Y298" s="1225">
        <v>2274</v>
      </c>
      <c r="Z298" s="1227"/>
      <c r="AA298" s="1225">
        <v>2262</v>
      </c>
      <c r="AB298" s="1228"/>
      <c r="AC298" s="1225">
        <v>2318.2634493982305</v>
      </c>
      <c r="AD298" s="1228"/>
      <c r="AE298" s="1225">
        <v>2336.7007831504425</v>
      </c>
      <c r="AF298" s="1228"/>
      <c r="AG298" s="1225">
        <v>2381.4341570619472</v>
      </c>
      <c r="AH298" s="1228"/>
      <c r="AI298" s="1225"/>
      <c r="AJ298" s="1228"/>
      <c r="AK298" s="1225"/>
      <c r="AL298" s="1228"/>
      <c r="AM298" s="1225"/>
      <c r="AN298" s="1228"/>
      <c r="AO298" s="1231"/>
      <c r="AP298" s="1224" t="s">
        <v>1752</v>
      </c>
    </row>
    <row r="299" spans="1:42" ht="13.8">
      <c r="A299" s="1168"/>
      <c r="B299" s="1178">
        <v>3</v>
      </c>
      <c r="C299" s="1178"/>
      <c r="D299" s="1224" t="s">
        <v>1753</v>
      </c>
      <c r="E299" s="1225">
        <v>13635</v>
      </c>
      <c r="F299" s="1228"/>
      <c r="G299" s="1225">
        <v>13896</v>
      </c>
      <c r="H299" s="1228"/>
      <c r="I299" s="1225">
        <v>13805</v>
      </c>
      <c r="J299" s="1228"/>
      <c r="K299" s="1225">
        <v>13094</v>
      </c>
      <c r="L299" s="1228"/>
      <c r="M299" s="1225">
        <v>13199</v>
      </c>
      <c r="N299" s="1228"/>
      <c r="O299" s="1225">
        <v>13462.453977218651</v>
      </c>
      <c r="P299" s="1228"/>
      <c r="Q299" s="1225">
        <v>14118.88398687168</v>
      </c>
      <c r="R299" s="1228"/>
      <c r="S299" s="1225">
        <v>13658</v>
      </c>
      <c r="T299" s="1228"/>
      <c r="U299" s="1225">
        <v>14100</v>
      </c>
      <c r="V299" s="1228"/>
      <c r="W299" s="1225">
        <v>14330.849999999999</v>
      </c>
      <c r="X299" s="1228"/>
      <c r="Y299" s="1225">
        <v>13582</v>
      </c>
      <c r="Z299" s="1227"/>
      <c r="AA299" s="1225">
        <v>13500</v>
      </c>
      <c r="AB299" s="1228"/>
      <c r="AC299" s="1225">
        <v>13932.720412000001</v>
      </c>
      <c r="AD299" s="1228"/>
      <c r="AE299" s="1225">
        <v>14057.179255999998</v>
      </c>
      <c r="AF299" s="1228"/>
      <c r="AG299" s="1225">
        <v>14334.358808000001</v>
      </c>
      <c r="AH299" s="1228"/>
      <c r="AI299" s="1225"/>
      <c r="AJ299" s="1228"/>
      <c r="AK299" s="1225"/>
      <c r="AL299" s="1228"/>
      <c r="AM299" s="1225"/>
      <c r="AN299" s="1228"/>
      <c r="AO299" s="1231"/>
      <c r="AP299" s="1224" t="s">
        <v>1754</v>
      </c>
    </row>
    <row r="300" spans="1:42" ht="13.8">
      <c r="A300" s="1168"/>
      <c r="B300" s="1178">
        <v>4</v>
      </c>
      <c r="C300" s="1178"/>
      <c r="D300" s="1229" t="s">
        <v>1755</v>
      </c>
      <c r="E300" s="1186">
        <v>4168</v>
      </c>
      <c r="F300" s="1182"/>
      <c r="G300" s="1186">
        <v>4236</v>
      </c>
      <c r="H300" s="1182"/>
      <c r="I300" s="1186">
        <v>4270</v>
      </c>
      <c r="J300" s="1182"/>
      <c r="K300" s="1186">
        <v>4253</v>
      </c>
      <c r="L300" s="1182"/>
      <c r="M300" s="1186">
        <v>4305</v>
      </c>
      <c r="N300" s="1182"/>
      <c r="O300" s="1186">
        <v>4390.9284318453101</v>
      </c>
      <c r="P300" s="1182"/>
      <c r="Q300" s="1186">
        <v>4579.0975092556801</v>
      </c>
      <c r="R300" s="1182"/>
      <c r="S300" s="1186">
        <v>4367</v>
      </c>
      <c r="T300" s="1182"/>
      <c r="U300" s="1186">
        <v>4289</v>
      </c>
      <c r="V300" s="1182"/>
      <c r="W300" s="1186">
        <v>4394.6400000000003</v>
      </c>
      <c r="X300" s="1182"/>
      <c r="Y300" s="1537">
        <v>4269</v>
      </c>
      <c r="Z300" s="1187"/>
      <c r="AA300" s="1186">
        <v>4244</v>
      </c>
      <c r="AB300" s="1182"/>
      <c r="AC300" s="1186">
        <v>4379.5691939999997</v>
      </c>
      <c r="AD300" s="1182"/>
      <c r="AE300" s="1186">
        <v>4417.3346519999996</v>
      </c>
      <c r="AF300" s="1182"/>
      <c r="AG300" s="1186">
        <v>4503.6343559999996</v>
      </c>
      <c r="AH300" s="1182"/>
      <c r="AI300" s="1186"/>
      <c r="AJ300" s="1182"/>
      <c r="AK300" s="1186"/>
      <c r="AL300" s="1182"/>
      <c r="AM300" s="1186"/>
      <c r="AN300" s="1182"/>
      <c r="AO300" s="1222"/>
      <c r="AP300" s="1229" t="s">
        <v>1756</v>
      </c>
    </row>
    <row r="301" spans="1:42" ht="13.8">
      <c r="A301" s="1168"/>
      <c r="B301" s="1178">
        <v>5</v>
      </c>
      <c r="C301" s="1178"/>
      <c r="D301" s="1229" t="s">
        <v>1757</v>
      </c>
      <c r="E301" s="1186">
        <v>9467</v>
      </c>
      <c r="F301" s="1182"/>
      <c r="G301" s="1186">
        <v>9660</v>
      </c>
      <c r="H301" s="1182"/>
      <c r="I301" s="1186">
        <v>9535</v>
      </c>
      <c r="J301" s="1182"/>
      <c r="K301" s="1186">
        <v>8841</v>
      </c>
      <c r="L301" s="1182"/>
      <c r="M301" s="1186">
        <v>8894</v>
      </c>
      <c r="N301" s="1182"/>
      <c r="O301" s="1186">
        <v>9071.5255453733407</v>
      </c>
      <c r="P301" s="1182"/>
      <c r="Q301" s="1186">
        <v>9539.7864776160004</v>
      </c>
      <c r="R301" s="1182"/>
      <c r="S301" s="1186">
        <v>9291</v>
      </c>
      <c r="T301" s="1182"/>
      <c r="U301" s="1186">
        <v>9811</v>
      </c>
      <c r="V301" s="1182"/>
      <c r="W301" s="1186">
        <v>9936.2099999999991</v>
      </c>
      <c r="X301" s="1182"/>
      <c r="Y301" s="1186">
        <v>9313</v>
      </c>
      <c r="Z301" s="1187"/>
      <c r="AA301" s="1186">
        <v>9256</v>
      </c>
      <c r="AB301" s="1182"/>
      <c r="AC301" s="1186">
        <v>9553.1512180000009</v>
      </c>
      <c r="AD301" s="1182"/>
      <c r="AE301" s="1186">
        <v>9639.8446039999981</v>
      </c>
      <c r="AF301" s="1182"/>
      <c r="AG301" s="1186">
        <v>9830.7244520000004</v>
      </c>
      <c r="AH301" s="1182"/>
      <c r="AI301" s="1186"/>
      <c r="AJ301" s="1182"/>
      <c r="AK301" s="1186"/>
      <c r="AL301" s="1182"/>
      <c r="AM301" s="1186"/>
      <c r="AN301" s="1182"/>
      <c r="AO301" s="1222"/>
      <c r="AP301" s="1229" t="s">
        <v>1758</v>
      </c>
    </row>
    <row r="302" spans="1:42" ht="13.8">
      <c r="A302" s="1168"/>
      <c r="B302" s="1219"/>
      <c r="C302" s="1219"/>
      <c r="D302" s="1255"/>
      <c r="E302" s="1256"/>
      <c r="F302" s="1257"/>
      <c r="G302" s="1256"/>
      <c r="H302" s="1257"/>
      <c r="I302" s="1256"/>
      <c r="J302" s="1257"/>
      <c r="K302" s="1256"/>
      <c r="L302" s="1257"/>
      <c r="M302" s="1256"/>
      <c r="N302" s="1257"/>
      <c r="O302" s="1256"/>
      <c r="P302" s="1257"/>
      <c r="Q302" s="1256"/>
      <c r="R302" s="1257"/>
      <c r="S302" s="1256"/>
      <c r="T302" s="1257"/>
      <c r="U302" s="1256"/>
      <c r="V302" s="1257"/>
      <c r="W302" s="1256"/>
      <c r="X302" s="1257"/>
      <c r="Y302" s="1256"/>
      <c r="Z302" s="1257"/>
      <c r="AA302" s="1256"/>
      <c r="AB302" s="1257"/>
      <c r="AC302" s="1256"/>
      <c r="AD302" s="1257"/>
      <c r="AE302" s="1256"/>
      <c r="AF302" s="1257"/>
      <c r="AG302" s="1256"/>
      <c r="AH302" s="1257"/>
      <c r="AI302" s="1256"/>
      <c r="AJ302" s="1257"/>
      <c r="AK302" s="1256"/>
      <c r="AL302" s="1257"/>
      <c r="AM302" s="1256"/>
      <c r="AN302" s="1257"/>
      <c r="AO302" s="1257"/>
      <c r="AP302" s="1255"/>
    </row>
    <row r="303" spans="1:42" ht="13.8">
      <c r="A303" s="1168"/>
      <c r="B303" s="1168"/>
      <c r="C303" s="1168"/>
      <c r="D303" s="1168"/>
      <c r="E303" s="1168"/>
      <c r="F303" s="1168"/>
      <c r="G303" s="1168"/>
      <c r="H303" s="1168"/>
      <c r="I303" s="1168"/>
      <c r="J303" s="1168"/>
      <c r="K303" s="1168"/>
      <c r="L303" s="1168"/>
      <c r="M303" s="1168"/>
      <c r="N303" s="1168"/>
      <c r="O303" s="1168"/>
      <c r="P303" s="1168"/>
      <c r="Q303" s="1168"/>
      <c r="R303" s="1168"/>
      <c r="S303" s="1168"/>
      <c r="T303" s="1168"/>
      <c r="U303" s="1168"/>
      <c r="V303" s="1168"/>
      <c r="W303" s="1168"/>
      <c r="X303" s="1168"/>
      <c r="Y303" s="1168"/>
      <c r="Z303" s="1168"/>
      <c r="AA303" s="1168"/>
      <c r="AB303" s="1168"/>
      <c r="AC303" s="1168"/>
      <c r="AD303" s="1168"/>
      <c r="AE303" s="1168"/>
      <c r="AF303" s="1168"/>
      <c r="AG303" s="1168"/>
      <c r="AH303" s="1168"/>
      <c r="AI303" s="1168"/>
      <c r="AJ303" s="1168"/>
      <c r="AK303" s="1168"/>
      <c r="AL303" s="1168"/>
      <c r="AM303" s="1168"/>
      <c r="AN303" s="1168"/>
      <c r="AO303" s="1168"/>
      <c r="AP303" s="1168"/>
    </row>
    <row r="304" spans="1:42" ht="13.8">
      <c r="A304" s="1168"/>
      <c r="B304" s="1168"/>
      <c r="C304" s="1168"/>
      <c r="D304" s="1168"/>
      <c r="E304" s="1168"/>
      <c r="F304" s="1168"/>
      <c r="G304" s="1168"/>
      <c r="H304" s="1168"/>
      <c r="I304" s="1168"/>
      <c r="J304" s="1168"/>
      <c r="K304" s="1168"/>
      <c r="L304" s="1168"/>
      <c r="M304" s="1168"/>
      <c r="N304" s="1168"/>
      <c r="O304" s="1168"/>
      <c r="P304" s="1168"/>
      <c r="Q304" s="1168"/>
      <c r="R304" s="1168"/>
      <c r="S304" s="1168"/>
      <c r="T304" s="1168"/>
      <c r="U304" s="1168"/>
      <c r="V304" s="1168"/>
      <c r="W304" s="1168"/>
      <c r="X304" s="1168"/>
      <c r="Y304" s="1168"/>
      <c r="Z304" s="1168"/>
      <c r="AA304" s="1168"/>
      <c r="AB304" s="1168"/>
      <c r="AC304" s="1168"/>
      <c r="AD304" s="1168"/>
      <c r="AE304" s="1168"/>
      <c r="AF304" s="1168"/>
      <c r="AG304" s="1168"/>
      <c r="AH304" s="1168"/>
      <c r="AI304" s="1168"/>
      <c r="AJ304" s="1168"/>
      <c r="AK304" s="1168"/>
      <c r="AL304" s="1168"/>
      <c r="AM304" s="1168"/>
      <c r="AN304" s="1168"/>
      <c r="AO304" s="1168"/>
      <c r="AP304" s="1168"/>
    </row>
    <row r="305" spans="1:42" ht="13.8">
      <c r="A305" s="1168"/>
      <c r="B305" s="1168"/>
      <c r="C305" s="1168"/>
      <c r="D305" s="1168"/>
      <c r="E305" s="1168"/>
      <c r="F305" s="1168"/>
      <c r="G305" s="1168"/>
      <c r="H305" s="1168"/>
      <c r="I305" s="1168"/>
      <c r="J305" s="1168"/>
      <c r="K305" s="1168"/>
      <c r="L305" s="1168"/>
      <c r="M305" s="1168"/>
      <c r="N305" s="1168"/>
      <c r="O305" s="1168"/>
      <c r="P305" s="1168"/>
      <c r="Q305" s="1168"/>
      <c r="R305" s="1168"/>
      <c r="S305" s="1168"/>
      <c r="T305" s="1168"/>
      <c r="U305" s="1168"/>
      <c r="V305" s="1168"/>
      <c r="W305" s="1168"/>
      <c r="X305" s="1168"/>
      <c r="Y305" s="1168"/>
      <c r="Z305" s="1168"/>
      <c r="AA305" s="1168"/>
      <c r="AB305" s="1168"/>
      <c r="AC305" s="1168"/>
      <c r="AD305" s="1168"/>
      <c r="AE305" s="1168"/>
      <c r="AF305" s="1168"/>
      <c r="AG305" s="1168"/>
      <c r="AH305" s="1168"/>
      <c r="AI305" s="1168"/>
      <c r="AJ305" s="1168"/>
      <c r="AK305" s="1168"/>
      <c r="AL305" s="1168"/>
      <c r="AM305" s="1168"/>
      <c r="AN305" s="1168"/>
      <c r="AO305" s="1168"/>
      <c r="AP305" s="1168"/>
    </row>
    <row r="306" spans="1:42" ht="13.8">
      <c r="A306" s="1168"/>
      <c r="B306" s="1168"/>
      <c r="C306" s="1168"/>
      <c r="D306" s="1168"/>
      <c r="E306" s="1168"/>
      <c r="F306" s="1168"/>
      <c r="G306" s="1168"/>
      <c r="H306" s="1168"/>
      <c r="I306" s="1168"/>
      <c r="J306" s="1168"/>
      <c r="K306" s="1168"/>
      <c r="L306" s="1168"/>
      <c r="M306" s="1168"/>
      <c r="N306" s="1168"/>
      <c r="O306" s="1168"/>
      <c r="P306" s="1168"/>
      <c r="Q306" s="1168"/>
      <c r="R306" s="1168"/>
      <c r="S306" s="1168"/>
      <c r="T306" s="1168"/>
      <c r="U306" s="1168"/>
      <c r="V306" s="1168"/>
      <c r="W306" s="1168"/>
      <c r="X306" s="1168"/>
      <c r="Y306" s="1168"/>
      <c r="Z306" s="1168"/>
      <c r="AA306" s="1168"/>
      <c r="AB306" s="1168"/>
      <c r="AC306" s="1168"/>
      <c r="AD306" s="1168"/>
      <c r="AE306" s="1168"/>
      <c r="AF306" s="1168"/>
      <c r="AG306" s="1168"/>
      <c r="AH306" s="1168"/>
      <c r="AI306" s="1168"/>
      <c r="AJ306" s="1168"/>
      <c r="AK306" s="1168"/>
      <c r="AL306" s="1168"/>
      <c r="AM306" s="1168"/>
      <c r="AN306" s="1168"/>
      <c r="AO306" s="1168"/>
      <c r="AP306" s="1168"/>
    </row>
    <row r="307" spans="1:42" ht="13.8">
      <c r="A307" s="1168"/>
      <c r="B307" s="1168"/>
      <c r="C307" s="1168"/>
      <c r="D307" s="1168"/>
      <c r="E307" s="1168"/>
      <c r="F307" s="1168"/>
      <c r="G307" s="1168"/>
      <c r="H307" s="1168"/>
      <c r="I307" s="1168"/>
      <c r="J307" s="1168"/>
      <c r="K307" s="1168"/>
      <c r="L307" s="1168"/>
      <c r="M307" s="1168"/>
      <c r="N307" s="1168"/>
      <c r="O307" s="1168"/>
      <c r="P307" s="1168"/>
      <c r="Q307" s="1168"/>
      <c r="R307" s="1168"/>
      <c r="S307" s="1168"/>
      <c r="T307" s="1168"/>
      <c r="U307" s="1168"/>
      <c r="V307" s="1168"/>
      <c r="W307" s="1168"/>
      <c r="X307" s="1168"/>
      <c r="Y307" s="1168"/>
      <c r="Z307" s="1168"/>
      <c r="AA307" s="1168"/>
      <c r="AB307" s="1168"/>
      <c r="AC307" s="1168"/>
      <c r="AD307" s="1168"/>
      <c r="AE307" s="1168"/>
      <c r="AF307" s="1168"/>
      <c r="AG307" s="1168"/>
      <c r="AH307" s="1168"/>
      <c r="AI307" s="1168"/>
      <c r="AJ307" s="1168"/>
      <c r="AK307" s="1168"/>
      <c r="AL307" s="1168"/>
      <c r="AM307" s="1168"/>
      <c r="AN307" s="1168"/>
      <c r="AO307" s="1168"/>
      <c r="AP307" s="1168"/>
    </row>
    <row r="308" spans="1:42" ht="13.8">
      <c r="A308" s="1168"/>
      <c r="B308" s="1168"/>
      <c r="C308" s="1168"/>
      <c r="D308" s="1168"/>
      <c r="E308" s="1168"/>
      <c r="F308" s="1168"/>
      <c r="G308" s="1168"/>
      <c r="H308" s="1168"/>
      <c r="I308" s="1168"/>
      <c r="J308" s="1168"/>
      <c r="K308" s="1168"/>
      <c r="L308" s="1168"/>
      <c r="M308" s="1168"/>
      <c r="N308" s="1168"/>
      <c r="O308" s="1168"/>
      <c r="P308" s="1168"/>
      <c r="Q308" s="1168"/>
      <c r="R308" s="1168"/>
      <c r="S308" s="1168"/>
      <c r="T308" s="1168"/>
      <c r="U308" s="1168"/>
      <c r="V308" s="1168"/>
      <c r="W308" s="1168"/>
      <c r="X308" s="1168"/>
      <c r="Y308" s="1168"/>
      <c r="Z308" s="1168"/>
      <c r="AA308" s="1168"/>
      <c r="AB308" s="1168"/>
      <c r="AC308" s="1168"/>
      <c r="AD308" s="1168"/>
      <c r="AE308" s="1168"/>
      <c r="AF308" s="1168"/>
      <c r="AG308" s="1168"/>
      <c r="AH308" s="1168"/>
      <c r="AI308" s="1168"/>
      <c r="AJ308" s="1168"/>
      <c r="AK308" s="1168"/>
      <c r="AL308" s="1168"/>
      <c r="AM308" s="1168"/>
      <c r="AN308" s="1168"/>
      <c r="AO308" s="1168"/>
      <c r="AP308" s="1168"/>
    </row>
    <row r="309" spans="1:42">
      <c r="D309" s="765" t="s">
        <v>2534</v>
      </c>
      <c r="E309" s="765" t="s">
        <v>2535</v>
      </c>
      <c r="F309" s="765" t="s">
        <v>2536</v>
      </c>
      <c r="G309" s="765" t="s">
        <v>2537</v>
      </c>
      <c r="I309" s="765" t="s">
        <v>44</v>
      </c>
    </row>
    <row r="310" spans="1:42">
      <c r="D310">
        <v>35.299999999999997</v>
      </c>
      <c r="E310" s="170">
        <f>Y322</f>
        <v>886.91</v>
      </c>
      <c r="F310" s="170">
        <f>Y327</f>
        <v>17085.460118360814</v>
      </c>
      <c r="G310" s="784">
        <f>((F310*D310*1000)/3.6)/1000000</f>
        <v>167.53242838281574</v>
      </c>
      <c r="I310">
        <f>(Y326*1000*D310)/1000000000</f>
        <v>0.23297293999999996</v>
      </c>
    </row>
    <row r="313" spans="1:42" ht="13.8">
      <c r="A313" s="1168"/>
      <c r="B313" s="1169" t="s">
        <v>1761</v>
      </c>
      <c r="C313" s="1178"/>
      <c r="D313" s="1229"/>
      <c r="E313" s="1229"/>
      <c r="F313" s="1229"/>
      <c r="G313" s="1229"/>
      <c r="H313" s="1229"/>
      <c r="I313" s="1229"/>
      <c r="J313" s="1229"/>
      <c r="K313" s="1229"/>
      <c r="L313" s="1229"/>
      <c r="M313" s="1229"/>
      <c r="N313" s="1229"/>
      <c r="O313" s="1229"/>
      <c r="P313" s="1229"/>
      <c r="Q313" s="1229"/>
      <c r="R313" s="1229"/>
      <c r="S313" s="1178"/>
      <c r="T313" s="1174"/>
      <c r="U313" s="1178"/>
      <c r="V313" s="1174"/>
      <c r="W313" s="1178"/>
      <c r="X313" s="1174"/>
      <c r="Y313" s="1178"/>
      <c r="Z313" s="1174"/>
      <c r="AA313" s="1178"/>
      <c r="AB313" s="1174"/>
      <c r="AC313" s="1178"/>
      <c r="AD313" s="1174"/>
      <c r="AE313" s="1178"/>
      <c r="AF313" s="1174"/>
      <c r="AG313" s="1178"/>
      <c r="AH313" s="1174"/>
      <c r="AI313" s="1178"/>
      <c r="AJ313" s="1174"/>
      <c r="AK313" s="1178"/>
      <c r="AL313" s="1174"/>
      <c r="AM313" s="1178"/>
      <c r="AN313" s="1174"/>
      <c r="AO313" s="1222"/>
      <c r="AP313" s="1178"/>
    </row>
    <row r="314" spans="1:42" ht="13.8">
      <c r="A314" s="1168"/>
      <c r="B314" s="1170" t="s">
        <v>1762</v>
      </c>
      <c r="C314" s="1178"/>
      <c r="D314" s="1229"/>
      <c r="E314" s="1229"/>
      <c r="F314" s="1229"/>
      <c r="G314" s="1229"/>
      <c r="H314" s="1229"/>
      <c r="I314" s="1229"/>
      <c r="J314" s="1229"/>
      <c r="K314" s="1229"/>
      <c r="L314" s="1229"/>
      <c r="M314" s="1229"/>
      <c r="N314" s="1229"/>
      <c r="O314" s="1229"/>
      <c r="P314" s="1229"/>
      <c r="Q314" s="1229"/>
      <c r="R314" s="1229"/>
      <c r="S314" s="1178"/>
      <c r="T314" s="1174"/>
      <c r="U314" s="1178"/>
      <c r="V314" s="1174"/>
      <c r="W314" s="1178"/>
      <c r="X314" s="1174"/>
      <c r="Y314" s="1178"/>
      <c r="Z314" s="1174"/>
      <c r="AA314" s="1178"/>
      <c r="AB314" s="1174"/>
      <c r="AC314" s="1178"/>
      <c r="AD314" s="1174"/>
      <c r="AE314" s="1178"/>
      <c r="AF314" s="1174"/>
      <c r="AG314" s="1178"/>
      <c r="AH314" s="1174"/>
      <c r="AI314" s="1178"/>
      <c r="AJ314" s="1174"/>
      <c r="AK314" s="1178"/>
      <c r="AL314" s="1174"/>
      <c r="AM314" s="1178"/>
      <c r="AN314" s="1174"/>
      <c r="AO314" s="1222"/>
      <c r="AP314" s="1178"/>
    </row>
    <row r="315" spans="1:42" ht="13.8">
      <c r="A315" s="1168"/>
      <c r="B315" s="1260"/>
      <c r="C315" s="1168"/>
      <c r="D315" s="1168"/>
      <c r="E315" s="1168"/>
      <c r="F315" s="1168"/>
      <c r="G315" s="1168"/>
      <c r="H315" s="1168"/>
      <c r="I315" s="1168"/>
      <c r="J315" s="1168"/>
      <c r="K315" s="1168"/>
      <c r="L315" s="1168"/>
      <c r="M315" s="1168"/>
      <c r="N315" s="1168"/>
      <c r="O315" s="1168"/>
      <c r="P315" s="1168"/>
      <c r="Q315" s="1168"/>
      <c r="R315" s="1168"/>
      <c r="S315" s="1168"/>
      <c r="T315" s="1168"/>
      <c r="U315" s="1168"/>
      <c r="V315" s="1168"/>
      <c r="W315" s="1168"/>
      <c r="X315" s="1168"/>
      <c r="Y315" s="1168"/>
      <c r="Z315" s="1168"/>
      <c r="AA315" s="1168"/>
      <c r="AB315" s="1168"/>
      <c r="AC315" s="1168"/>
      <c r="AD315" s="1168"/>
      <c r="AE315" s="1168"/>
      <c r="AF315" s="1168"/>
      <c r="AG315" s="1168"/>
      <c r="AH315" s="1168"/>
      <c r="AI315" s="1168"/>
      <c r="AJ315" s="1168"/>
      <c r="AK315" s="1168"/>
      <c r="AL315" s="1168"/>
      <c r="AM315" s="1168"/>
      <c r="AN315" s="1168"/>
      <c r="AO315" s="1168"/>
      <c r="AP315" s="1168"/>
    </row>
    <row r="316" spans="1:42" ht="13.8">
      <c r="A316" s="1168"/>
      <c r="B316" s="1258"/>
      <c r="C316" s="1171"/>
      <c r="D316" s="1171"/>
      <c r="E316" s="1171"/>
      <c r="F316" s="1171"/>
      <c r="G316" s="1171"/>
      <c r="H316" s="1171"/>
      <c r="I316" s="1171"/>
      <c r="J316" s="1171"/>
      <c r="K316" s="1171"/>
      <c r="L316" s="1171"/>
      <c r="M316" s="1171"/>
      <c r="N316" s="1171"/>
      <c r="O316" s="1171"/>
      <c r="P316" s="1171"/>
      <c r="Q316" s="1171"/>
      <c r="R316" s="1171"/>
      <c r="S316" s="1171"/>
      <c r="T316" s="1171"/>
      <c r="U316" s="1171"/>
      <c r="V316" s="1171"/>
      <c r="W316" s="1171"/>
      <c r="X316" s="1171"/>
      <c r="Y316" s="1171"/>
      <c r="Z316" s="1171"/>
      <c r="AA316" s="1171"/>
      <c r="AB316" s="1171"/>
      <c r="AC316" s="1171"/>
      <c r="AD316" s="1171"/>
      <c r="AE316" s="1171"/>
      <c r="AF316" s="1171"/>
      <c r="AG316" s="1171"/>
      <c r="AH316" s="1171"/>
      <c r="AI316" s="1171"/>
      <c r="AJ316" s="1171"/>
      <c r="AK316" s="1171"/>
      <c r="AL316" s="1171"/>
      <c r="AM316" s="1171"/>
      <c r="AN316" s="1171"/>
      <c r="AO316" s="1171"/>
      <c r="AP316" s="1171"/>
    </row>
    <row r="317" spans="1:42" ht="13.8">
      <c r="A317" s="1168"/>
      <c r="B317" s="1261"/>
      <c r="C317" s="1168"/>
      <c r="D317" s="1168"/>
      <c r="E317" s="1168"/>
      <c r="F317" s="1168"/>
      <c r="G317" s="1168"/>
      <c r="H317" s="1168"/>
      <c r="I317" s="1168"/>
      <c r="J317" s="1168"/>
      <c r="K317" s="1168"/>
      <c r="L317" s="1168"/>
      <c r="M317" s="1168"/>
      <c r="N317" s="1168"/>
      <c r="O317" s="1168"/>
      <c r="P317" s="1168"/>
      <c r="Q317" s="1168"/>
      <c r="R317" s="1168"/>
      <c r="S317" s="1168"/>
      <c r="T317" s="1168"/>
      <c r="U317" s="1168"/>
      <c r="V317" s="1168"/>
      <c r="W317" s="1168"/>
      <c r="X317" s="1168"/>
      <c r="Y317" s="1288"/>
      <c r="Z317" s="1288"/>
      <c r="AA317" s="1168"/>
      <c r="AB317" s="1168"/>
      <c r="AC317" s="1168"/>
      <c r="AD317" s="1168"/>
      <c r="AE317" s="1168"/>
      <c r="AF317" s="1168"/>
      <c r="AG317" s="1168"/>
      <c r="AH317" s="1168"/>
      <c r="AI317" s="1168"/>
      <c r="AJ317" s="1168"/>
      <c r="AK317" s="1168"/>
      <c r="AL317" s="1168"/>
      <c r="AM317" s="1168"/>
      <c r="AN317" s="1168"/>
      <c r="AO317" s="1168"/>
      <c r="AP317" s="1168"/>
    </row>
    <row r="318" spans="1:42" ht="13.8">
      <c r="A318" s="1168"/>
      <c r="B318" s="3099" t="s">
        <v>1763</v>
      </c>
      <c r="C318" s="3099"/>
      <c r="D318" s="3099"/>
      <c r="E318" s="3100">
        <v>2000</v>
      </c>
      <c r="F318" s="3113"/>
      <c r="G318" s="3100">
        <v>2001</v>
      </c>
      <c r="H318" s="3113"/>
      <c r="I318" s="3100">
        <v>2002</v>
      </c>
      <c r="J318" s="3113"/>
      <c r="K318" s="3100">
        <v>2003</v>
      </c>
      <c r="L318" s="3113"/>
      <c r="M318" s="3100">
        <v>2004</v>
      </c>
      <c r="N318" s="3113"/>
      <c r="O318" s="3100">
        <v>2005</v>
      </c>
      <c r="P318" s="3113"/>
      <c r="Q318" s="3100">
        <v>2006</v>
      </c>
      <c r="R318" s="3113"/>
      <c r="S318" s="3100">
        <v>2007</v>
      </c>
      <c r="T318" s="3113"/>
      <c r="U318" s="3100">
        <v>2008</v>
      </c>
      <c r="V318" s="3113"/>
      <c r="W318" s="3100">
        <v>2009</v>
      </c>
      <c r="X318" s="3113"/>
      <c r="Y318" s="3110">
        <v>2010</v>
      </c>
      <c r="Z318" s="3114"/>
      <c r="AA318" s="3100">
        <v>2011</v>
      </c>
      <c r="AB318" s="3113"/>
      <c r="AC318" s="3100">
        <v>2012</v>
      </c>
      <c r="AD318" s="3113"/>
      <c r="AE318" s="3100">
        <v>2013</v>
      </c>
      <c r="AF318" s="3113"/>
      <c r="AG318" s="3100">
        <v>2014</v>
      </c>
      <c r="AH318" s="3113"/>
      <c r="AI318" s="3100">
        <v>2015</v>
      </c>
      <c r="AJ318" s="3113"/>
      <c r="AK318" s="3100">
        <v>2016</v>
      </c>
      <c r="AL318" s="3113"/>
      <c r="AM318" s="3100">
        <v>2017</v>
      </c>
      <c r="AN318" s="3113"/>
      <c r="AO318" s="3099" t="s">
        <v>1764</v>
      </c>
      <c r="AP318" s="3112"/>
    </row>
    <row r="319" spans="1:42" ht="13.8">
      <c r="A319" s="1168"/>
      <c r="B319" s="1244"/>
      <c r="C319" s="1244"/>
      <c r="D319" s="1244"/>
      <c r="E319" s="1262"/>
      <c r="F319" s="1263"/>
      <c r="G319" s="1262"/>
      <c r="H319" s="1263"/>
      <c r="I319" s="1262"/>
      <c r="J319" s="1263"/>
      <c r="K319" s="1262"/>
      <c r="L319" s="1263"/>
      <c r="M319" s="1262"/>
      <c r="N319" s="1263"/>
      <c r="O319" s="1262"/>
      <c r="P319" s="1263"/>
      <c r="Q319" s="1262"/>
      <c r="R319" s="1263"/>
      <c r="S319" s="1262"/>
      <c r="T319" s="1263"/>
      <c r="U319" s="1262"/>
      <c r="V319" s="1263"/>
      <c r="W319" s="1262"/>
      <c r="X319" s="1263"/>
      <c r="Y319" s="1286"/>
      <c r="Z319" s="1314"/>
      <c r="AA319" s="1262"/>
      <c r="AB319" s="1263"/>
      <c r="AC319" s="1262"/>
      <c r="AD319" s="1263"/>
      <c r="AE319" s="1262"/>
      <c r="AF319" s="1263"/>
      <c r="AG319" s="1262"/>
      <c r="AH319" s="1263"/>
      <c r="AI319" s="1262"/>
      <c r="AJ319" s="1263"/>
      <c r="AK319" s="1262"/>
      <c r="AL319" s="1263"/>
      <c r="AM319" s="1262"/>
      <c r="AN319" s="1263"/>
      <c r="AO319" s="1244"/>
      <c r="AP319" s="1264"/>
    </row>
    <row r="320" spans="1:42" ht="13.8">
      <c r="A320" s="1168"/>
      <c r="B320" s="1206"/>
      <c r="C320" s="1206"/>
      <c r="D320" s="1206"/>
      <c r="E320" s="1206"/>
      <c r="F320" s="1206"/>
      <c r="G320" s="1206"/>
      <c r="H320" s="1206"/>
      <c r="I320" s="1206"/>
      <c r="J320" s="1206"/>
      <c r="K320" s="1206"/>
      <c r="L320" s="1206"/>
      <c r="M320" s="1206"/>
      <c r="N320" s="1206"/>
      <c r="O320" s="1206"/>
      <c r="P320" s="1206"/>
      <c r="Q320" s="1206"/>
      <c r="R320" s="1206"/>
      <c r="S320" s="1206"/>
      <c r="T320" s="1206"/>
      <c r="U320" s="1206"/>
      <c r="V320" s="1206"/>
      <c r="W320" s="1206"/>
      <c r="X320" s="1206"/>
      <c r="Y320" s="1284"/>
      <c r="Z320" s="1284"/>
      <c r="AA320" s="1206"/>
      <c r="AB320" s="1206"/>
      <c r="AC320" s="1206"/>
      <c r="AD320" s="1206"/>
      <c r="AE320" s="1206"/>
      <c r="AF320" s="1206"/>
      <c r="AG320" s="1206"/>
      <c r="AH320" s="1206"/>
      <c r="AI320" s="1206"/>
      <c r="AJ320" s="1206"/>
      <c r="AK320" s="1206"/>
      <c r="AL320" s="1206"/>
      <c r="AM320" s="1206"/>
      <c r="AN320" s="1206"/>
      <c r="AO320" s="1206"/>
      <c r="AP320" s="1206"/>
    </row>
    <row r="321" spans="1:42" ht="13.8">
      <c r="A321" s="1168"/>
      <c r="B321" s="1178">
        <v>1</v>
      </c>
      <c r="C321" s="1178"/>
      <c r="D321" s="1206" t="s">
        <v>1765</v>
      </c>
      <c r="E321" s="1182">
        <v>1016.9906290322581</v>
      </c>
      <c r="F321" s="1247"/>
      <c r="G321" s="1182">
        <v>1008.905</v>
      </c>
      <c r="H321" s="1247"/>
      <c r="I321" s="1182">
        <v>1042</v>
      </c>
      <c r="J321" s="1247"/>
      <c r="K321" s="1182">
        <v>1085.5999999999999</v>
      </c>
      <c r="L321" s="1247"/>
      <c r="M321" s="1182">
        <v>1087.182</v>
      </c>
      <c r="N321" s="1247"/>
      <c r="O321" s="1182">
        <v>1072.133</v>
      </c>
      <c r="P321" s="1247"/>
      <c r="Q321" s="1182">
        <v>1115.7190000000001</v>
      </c>
      <c r="R321" s="1247"/>
      <c r="S321" s="1182">
        <v>1087.1489999999999</v>
      </c>
      <c r="T321" s="1247"/>
      <c r="U321" s="1182">
        <v>1086.817</v>
      </c>
      <c r="V321" s="1247"/>
      <c r="W321" s="1186">
        <v>1224.0609999999999</v>
      </c>
      <c r="X321" s="1247"/>
      <c r="Y321" s="1214">
        <v>1211.3499999999999</v>
      </c>
      <c r="Z321" s="1315"/>
      <c r="AA321" s="1186">
        <v>1250.058</v>
      </c>
      <c r="AB321" s="1247"/>
      <c r="AC321" s="1186">
        <v>1290.5809730000001</v>
      </c>
      <c r="AD321" s="1247"/>
      <c r="AE321" s="1186">
        <v>1406.8889999999999</v>
      </c>
      <c r="AF321" s="1247"/>
      <c r="AG321" s="1186">
        <v>1418.1193000000001</v>
      </c>
      <c r="AH321" s="1247"/>
      <c r="AI321" s="1186"/>
      <c r="AJ321" s="1247"/>
      <c r="AK321" s="1186"/>
      <c r="AL321" s="1247"/>
      <c r="AM321" s="1186"/>
      <c r="AN321" s="1247"/>
      <c r="AO321" s="1222"/>
      <c r="AP321" s="1206" t="s">
        <v>1766</v>
      </c>
    </row>
    <row r="322" spans="1:42" ht="13.8">
      <c r="A322" s="1168"/>
      <c r="B322" s="1178">
        <v>2</v>
      </c>
      <c r="C322" s="1178"/>
      <c r="D322" s="1206" t="s">
        <v>1767</v>
      </c>
      <c r="E322" s="1182">
        <v>901</v>
      </c>
      <c r="F322" s="1254"/>
      <c r="G322" s="1182">
        <v>963</v>
      </c>
      <c r="H322" s="1254"/>
      <c r="I322" s="1182">
        <v>932</v>
      </c>
      <c r="J322" s="1254"/>
      <c r="K322" s="1182">
        <v>932.5</v>
      </c>
      <c r="L322" s="1254"/>
      <c r="M322" s="1182">
        <v>917.41300000000001</v>
      </c>
      <c r="N322" s="1254"/>
      <c r="O322" s="1182">
        <v>967</v>
      </c>
      <c r="P322" s="1254"/>
      <c r="Q322" s="1182">
        <v>1026</v>
      </c>
      <c r="R322" s="1254"/>
      <c r="S322" s="1182">
        <v>1027.8</v>
      </c>
      <c r="T322" s="1254"/>
      <c r="U322" s="1182">
        <v>1142.4000000000001</v>
      </c>
      <c r="V322" s="1254"/>
      <c r="W322" s="1186">
        <v>900.65</v>
      </c>
      <c r="X322" s="1247"/>
      <c r="Y322" s="1214">
        <v>886.91</v>
      </c>
      <c r="Z322" s="1315"/>
      <c r="AA322" s="1186">
        <v>938.75</v>
      </c>
      <c r="AB322" s="1247"/>
      <c r="AC322" s="1186">
        <v>832.62599999999998</v>
      </c>
      <c r="AD322" s="1247"/>
      <c r="AE322" s="1186">
        <v>843.25400000000002</v>
      </c>
      <c r="AF322" s="1247"/>
      <c r="AG322" s="1186">
        <v>857.74023</v>
      </c>
      <c r="AH322" s="1247"/>
      <c r="AI322" s="1186"/>
      <c r="AJ322" s="1247"/>
      <c r="AK322" s="1186"/>
      <c r="AL322" s="1247"/>
      <c r="AM322" s="1186"/>
      <c r="AN322" s="1247"/>
      <c r="AO322" s="1222"/>
      <c r="AP322" s="1206" t="s">
        <v>1768</v>
      </c>
    </row>
    <row r="323" spans="1:42" ht="13.8">
      <c r="A323" s="1168"/>
      <c r="B323" s="1178">
        <v>3</v>
      </c>
      <c r="C323" s="1178"/>
      <c r="D323" s="1224" t="s">
        <v>1769</v>
      </c>
      <c r="E323" s="1228">
        <v>1917.9906290322579</v>
      </c>
      <c r="F323" s="1259"/>
      <c r="G323" s="1228">
        <v>1971.905</v>
      </c>
      <c r="H323" s="1259"/>
      <c r="I323" s="1228">
        <v>1974</v>
      </c>
      <c r="J323" s="1259"/>
      <c r="K323" s="1228">
        <v>2018.1</v>
      </c>
      <c r="L323" s="1259"/>
      <c r="M323" s="1228">
        <v>2004.595</v>
      </c>
      <c r="N323" s="1259"/>
      <c r="O323" s="1228">
        <v>2039.133</v>
      </c>
      <c r="P323" s="1259"/>
      <c r="Q323" s="1228">
        <v>2141.7190000000001</v>
      </c>
      <c r="R323" s="1259"/>
      <c r="S323" s="1228">
        <v>2114.9490000000001</v>
      </c>
      <c r="T323" s="1259"/>
      <c r="U323" s="1228">
        <v>2229.2170000000001</v>
      </c>
      <c r="V323" s="1259"/>
      <c r="W323" s="1225">
        <v>2124.7109999999998</v>
      </c>
      <c r="X323" s="1265"/>
      <c r="Y323" s="1290">
        <v>2098.2600000000002</v>
      </c>
      <c r="Z323" s="1316"/>
      <c r="AA323" s="1225">
        <v>2188.808</v>
      </c>
      <c r="AB323" s="1247"/>
      <c r="AC323" s="1225">
        <v>2123.2069729999998</v>
      </c>
      <c r="AD323" s="1247"/>
      <c r="AE323" s="1225">
        <v>2250.143</v>
      </c>
      <c r="AF323" s="1247"/>
      <c r="AG323" s="1225">
        <v>2275.8595300000002</v>
      </c>
      <c r="AH323" s="1247"/>
      <c r="AI323" s="1225"/>
      <c r="AJ323" s="1247"/>
      <c r="AK323" s="1225"/>
      <c r="AL323" s="1247"/>
      <c r="AM323" s="1225"/>
      <c r="AN323" s="1247"/>
      <c r="AO323" s="1222"/>
      <c r="AP323" s="1224" t="s">
        <v>1770</v>
      </c>
    </row>
    <row r="324" spans="1:42" ht="13.8">
      <c r="A324" s="1168"/>
      <c r="B324" s="1232"/>
      <c r="C324" s="1232"/>
      <c r="D324" s="1233"/>
      <c r="E324" s="1252"/>
      <c r="F324" s="1266"/>
      <c r="G324" s="1252"/>
      <c r="H324" s="1266"/>
      <c r="I324" s="1252"/>
      <c r="J324" s="1266"/>
      <c r="K324" s="1252"/>
      <c r="L324" s="1266"/>
      <c r="M324" s="1252"/>
      <c r="N324" s="1266"/>
      <c r="O324" s="1252"/>
      <c r="P324" s="1266"/>
      <c r="Q324" s="1252"/>
      <c r="R324" s="1266"/>
      <c r="S324" s="1252"/>
      <c r="T324" s="1266"/>
      <c r="U324" s="1252"/>
      <c r="V324" s="1266"/>
      <c r="W324" s="1239"/>
      <c r="X324" s="1267"/>
      <c r="Y324" s="1292"/>
      <c r="Z324" s="1317"/>
      <c r="AA324" s="1239"/>
      <c r="AB324" s="1248"/>
      <c r="AC324" s="1268"/>
      <c r="AD324" s="1248"/>
      <c r="AE324" s="1268"/>
      <c r="AF324" s="1248"/>
      <c r="AG324" s="1268"/>
      <c r="AH324" s="1248"/>
      <c r="AI324" s="1268"/>
      <c r="AJ324" s="1248"/>
      <c r="AK324" s="1268"/>
      <c r="AL324" s="1248"/>
      <c r="AM324" s="1268"/>
      <c r="AN324" s="1248"/>
      <c r="AO324" s="1238"/>
      <c r="AP324" s="1233"/>
    </row>
    <row r="325" spans="1:42" ht="13.8">
      <c r="A325" s="1168"/>
      <c r="B325" s="1178"/>
      <c r="C325" s="1178"/>
      <c r="D325" s="1206"/>
      <c r="E325" s="1182"/>
      <c r="F325" s="1254"/>
      <c r="G325" s="1182"/>
      <c r="H325" s="1254"/>
      <c r="I325" s="1182"/>
      <c r="J325" s="1254"/>
      <c r="K325" s="1182"/>
      <c r="L325" s="1254"/>
      <c r="M325" s="1182"/>
      <c r="N325" s="1254"/>
      <c r="O325" s="1182"/>
      <c r="P325" s="1254"/>
      <c r="Q325" s="1182"/>
      <c r="R325" s="1254"/>
      <c r="S325" s="1182"/>
      <c r="T325" s="1254"/>
      <c r="U325" s="1182"/>
      <c r="V325" s="1254"/>
      <c r="W325" s="1186"/>
      <c r="X325" s="1247"/>
      <c r="Y325" s="1214"/>
      <c r="Z325" s="1315"/>
      <c r="AA325" s="1186"/>
      <c r="AB325" s="1247"/>
      <c r="AC325" s="1269"/>
      <c r="AD325" s="1247"/>
      <c r="AE325" s="1269"/>
      <c r="AF325" s="1247"/>
      <c r="AG325" s="1269"/>
      <c r="AH325" s="1247"/>
      <c r="AI325" s="1269"/>
      <c r="AJ325" s="1247"/>
      <c r="AK325" s="1269"/>
      <c r="AL325" s="1247"/>
      <c r="AM325" s="1269"/>
      <c r="AN325" s="1247"/>
      <c r="AO325" s="1222"/>
      <c r="AP325" s="1206"/>
    </row>
    <row r="326" spans="1:42" ht="13.8">
      <c r="A326" s="1168"/>
      <c r="B326" s="1178">
        <v>4</v>
      </c>
      <c r="C326" s="1178"/>
      <c r="D326" s="1206" t="s">
        <v>1771</v>
      </c>
      <c r="E326" s="1182">
        <v>8118</v>
      </c>
      <c r="F326" s="1254"/>
      <c r="G326" s="1182">
        <v>7954</v>
      </c>
      <c r="H326" s="1254"/>
      <c r="I326" s="1182">
        <v>7885.4380000000001</v>
      </c>
      <c r="J326" s="1254"/>
      <c r="K326" s="1182">
        <v>7515.5959999999995</v>
      </c>
      <c r="L326" s="1254"/>
      <c r="M326" s="1182">
        <v>6631.6</v>
      </c>
      <c r="N326" s="1254"/>
      <c r="O326" s="1182">
        <v>6190.2692307692305</v>
      </c>
      <c r="P326" s="1254"/>
      <c r="Q326" s="1182">
        <v>6115</v>
      </c>
      <c r="R326" s="1254"/>
      <c r="S326" s="1182">
        <v>6171.8805581014731</v>
      </c>
      <c r="T326" s="1254"/>
      <c r="U326" s="1182">
        <v>6583.7</v>
      </c>
      <c r="V326" s="1254"/>
      <c r="W326" s="1186">
        <v>6502</v>
      </c>
      <c r="X326" s="1247"/>
      <c r="Y326" s="1214">
        <v>6599.8</v>
      </c>
      <c r="Z326" s="1287"/>
      <c r="AA326" s="1186">
        <v>6744.3</v>
      </c>
      <c r="AB326" s="1247"/>
      <c r="AC326" s="1186">
        <v>6637.1106</v>
      </c>
      <c r="AD326" s="1247"/>
      <c r="AE326" s="1186">
        <v>6263.3619580637478</v>
      </c>
      <c r="AF326" s="1187"/>
      <c r="AG326" s="1186">
        <v>6028.0227763323037</v>
      </c>
      <c r="AH326" s="1187"/>
      <c r="AI326" s="1186"/>
      <c r="AJ326" s="1187"/>
      <c r="AK326" s="1186"/>
      <c r="AL326" s="1187"/>
      <c r="AM326" s="1186"/>
      <c r="AN326" s="1187"/>
      <c r="AO326" s="1222"/>
      <c r="AP326" s="1206" t="s">
        <v>1772</v>
      </c>
    </row>
    <row r="327" spans="1:42" ht="13.8">
      <c r="A327" s="1168"/>
      <c r="B327" s="1178">
        <v>5</v>
      </c>
      <c r="C327" s="1178"/>
      <c r="D327" s="1206" t="s">
        <v>1773</v>
      </c>
      <c r="E327" s="1182">
        <v>21418</v>
      </c>
      <c r="F327" s="1254"/>
      <c r="G327" s="1182">
        <v>20188</v>
      </c>
      <c r="H327" s="1254"/>
      <c r="I327" s="1182">
        <v>19215.25</v>
      </c>
      <c r="J327" s="1254"/>
      <c r="K327" s="1182">
        <v>19157.465090909092</v>
      </c>
      <c r="L327" s="1254"/>
      <c r="M327" s="1182">
        <v>19738.086909090911</v>
      </c>
      <c r="N327" s="1254"/>
      <c r="O327" s="1182">
        <v>19128.341</v>
      </c>
      <c r="P327" s="1254"/>
      <c r="Q327" s="1182">
        <v>20714</v>
      </c>
      <c r="R327" s="1254"/>
      <c r="S327" s="1182">
        <v>19582.963441898526</v>
      </c>
      <c r="T327" s="1254"/>
      <c r="U327" s="1182">
        <v>20834</v>
      </c>
      <c r="V327" s="1254"/>
      <c r="W327" s="1186">
        <v>17985.954476190476</v>
      </c>
      <c r="X327" s="1222"/>
      <c r="Y327" s="1214">
        <v>17085.460118360814</v>
      </c>
      <c r="Z327" s="1287"/>
      <c r="AA327" s="1186">
        <v>16546</v>
      </c>
      <c r="AB327" s="1247"/>
      <c r="AC327" s="1186">
        <v>16265.058146439142</v>
      </c>
      <c r="AD327" s="1247"/>
      <c r="AE327" s="1186">
        <v>13909.057793657752</v>
      </c>
      <c r="AF327" s="1187" t="s">
        <v>203</v>
      </c>
      <c r="AG327" s="1186">
        <v>12429.95682394106</v>
      </c>
      <c r="AH327" s="1187"/>
      <c r="AI327" s="1186"/>
      <c r="AJ327" s="1187"/>
      <c r="AK327" s="1186"/>
      <c r="AL327" s="1187"/>
      <c r="AM327" s="1186"/>
      <c r="AN327" s="1187"/>
      <c r="AO327" s="1222"/>
      <c r="AP327" s="1206" t="s">
        <v>1774</v>
      </c>
    </row>
    <row r="328" spans="1:42" ht="13.8">
      <c r="A328" s="1168"/>
      <c r="B328" s="1178">
        <v>6</v>
      </c>
      <c r="C328" s="1178"/>
      <c r="D328" s="1224" t="s">
        <v>1769</v>
      </c>
      <c r="E328" s="1225">
        <v>29536</v>
      </c>
      <c r="F328" s="1259"/>
      <c r="G328" s="1225">
        <v>28142</v>
      </c>
      <c r="H328" s="1259"/>
      <c r="I328" s="1225">
        <v>27100.688000000002</v>
      </c>
      <c r="J328" s="1259"/>
      <c r="K328" s="1225">
        <v>26673.06109090909</v>
      </c>
      <c r="L328" s="1259"/>
      <c r="M328" s="1225">
        <v>26369.686909090909</v>
      </c>
      <c r="N328" s="1259"/>
      <c r="O328" s="1225">
        <v>25318.610230769231</v>
      </c>
      <c r="P328" s="1259"/>
      <c r="Q328" s="1225">
        <v>26829</v>
      </c>
      <c r="R328" s="1259"/>
      <c r="S328" s="1225">
        <v>25754.843999999997</v>
      </c>
      <c r="T328" s="1259"/>
      <c r="U328" s="1225">
        <v>27417.7</v>
      </c>
      <c r="V328" s="1259"/>
      <c r="W328" s="1225">
        <v>24487.954476190476</v>
      </c>
      <c r="X328" s="1231"/>
      <c r="Y328" s="1290">
        <v>23685.260118360813</v>
      </c>
      <c r="Z328" s="1318"/>
      <c r="AA328" s="1225">
        <v>23290.3</v>
      </c>
      <c r="AB328" s="1247"/>
      <c r="AC328" s="1225">
        <v>22902.168746439143</v>
      </c>
      <c r="AD328" s="1247"/>
      <c r="AE328" s="1225">
        <v>20172.4197517215</v>
      </c>
      <c r="AF328" s="1227" t="s">
        <v>203</v>
      </c>
      <c r="AG328" s="1225">
        <v>18457.979600273364</v>
      </c>
      <c r="AH328" s="1227"/>
      <c r="AI328" s="1225"/>
      <c r="AJ328" s="1227"/>
      <c r="AK328" s="1225"/>
      <c r="AL328" s="1227"/>
      <c r="AM328" s="1225"/>
      <c r="AN328" s="1227"/>
      <c r="AO328" s="1222"/>
      <c r="AP328" s="1224" t="s">
        <v>1770</v>
      </c>
    </row>
    <row r="329" spans="1:42" ht="13.8">
      <c r="A329" s="1168"/>
      <c r="B329" s="1219"/>
      <c r="C329" s="1219"/>
      <c r="D329" s="1255"/>
      <c r="E329" s="1256"/>
      <c r="F329" s="1257"/>
      <c r="G329" s="1256"/>
      <c r="H329" s="1257"/>
      <c r="I329" s="1256"/>
      <c r="J329" s="1257"/>
      <c r="K329" s="1256"/>
      <c r="L329" s="1257"/>
      <c r="M329" s="1256"/>
      <c r="N329" s="1257"/>
      <c r="O329" s="1256"/>
      <c r="P329" s="1257"/>
      <c r="Q329" s="1256"/>
      <c r="R329" s="1257"/>
      <c r="S329" s="1256"/>
      <c r="T329" s="1257"/>
      <c r="U329" s="1256"/>
      <c r="V329" s="1257"/>
      <c r="W329" s="1256"/>
      <c r="X329" s="1257"/>
      <c r="Y329" s="1319"/>
      <c r="Z329" s="1320"/>
      <c r="AA329" s="1256"/>
      <c r="AB329" s="1257"/>
      <c r="AC329" s="1256"/>
      <c r="AD329" s="1257"/>
      <c r="AE329" s="1256"/>
      <c r="AF329" s="1257"/>
      <c r="AG329" s="1256"/>
      <c r="AH329" s="1257"/>
      <c r="AI329" s="1256"/>
      <c r="AJ329" s="1257"/>
      <c r="AK329" s="1256"/>
      <c r="AL329" s="1257"/>
      <c r="AM329" s="1256"/>
      <c r="AN329" s="1257"/>
      <c r="AO329" s="1257"/>
      <c r="AP329" s="1255"/>
    </row>
    <row r="330" spans="1:42" ht="13.8">
      <c r="A330" s="1168"/>
      <c r="B330" s="1178"/>
      <c r="C330" s="1178"/>
      <c r="D330" s="1229"/>
      <c r="E330" s="1246"/>
      <c r="F330" s="1222"/>
      <c r="G330" s="1246"/>
      <c r="H330" s="1222"/>
      <c r="I330" s="1246"/>
      <c r="J330" s="1222"/>
      <c r="K330" s="1246"/>
      <c r="L330" s="1222"/>
      <c r="M330" s="1246"/>
      <c r="N330" s="1222"/>
      <c r="O330" s="1246"/>
      <c r="P330" s="1222"/>
      <c r="Q330" s="1246"/>
      <c r="R330" s="1222"/>
      <c r="S330" s="1246"/>
      <c r="T330" s="1222"/>
      <c r="U330" s="1246"/>
      <c r="V330" s="1222"/>
      <c r="W330" s="1246"/>
      <c r="X330" s="1222"/>
      <c r="Y330" s="1321"/>
      <c r="Z330" s="1287"/>
      <c r="AA330" s="1246"/>
      <c r="AB330" s="1222"/>
      <c r="AC330" s="1246"/>
      <c r="AD330" s="1222"/>
      <c r="AE330" s="1246"/>
      <c r="AF330" s="1222"/>
      <c r="AG330" s="1246"/>
      <c r="AH330" s="1222"/>
      <c r="AI330" s="1246"/>
      <c r="AJ330" s="1222"/>
      <c r="AK330" s="1246"/>
      <c r="AL330" s="1222"/>
      <c r="AM330" s="1246"/>
      <c r="AN330" s="1222"/>
      <c r="AO330" s="1225">
        <f>AG326+AG327</f>
        <v>18457.979600273364</v>
      </c>
      <c r="AP330" s="1229"/>
    </row>
    <row r="331" spans="1:42" ht="13.8">
      <c r="A331" s="1168"/>
      <c r="B331" s="1178"/>
      <c r="C331" s="1178"/>
      <c r="D331" s="1229"/>
      <c r="E331" s="1246"/>
      <c r="F331" s="1222"/>
      <c r="G331" s="1246"/>
      <c r="H331" s="1222"/>
      <c r="I331" s="1246"/>
      <c r="J331" s="1222"/>
      <c r="K331" s="1246"/>
      <c r="L331" s="1222"/>
      <c r="M331" s="1246"/>
      <c r="N331" s="1222"/>
      <c r="O331" s="1246"/>
      <c r="P331" s="1222"/>
      <c r="Q331" s="1246"/>
      <c r="R331" s="1222"/>
      <c r="S331" s="1246"/>
      <c r="T331" s="1222"/>
      <c r="U331" s="1246"/>
      <c r="V331" s="1222"/>
      <c r="W331" s="1246"/>
      <c r="X331" s="1222"/>
      <c r="Y331" s="1321"/>
      <c r="Z331" s="1287"/>
      <c r="AA331" s="1246"/>
      <c r="AB331" s="1222"/>
      <c r="AC331" s="1246"/>
      <c r="AD331" s="1222"/>
      <c r="AE331" s="1246"/>
      <c r="AF331" s="1222"/>
      <c r="AG331" s="1246"/>
      <c r="AH331" s="1222"/>
      <c r="AI331" s="1246"/>
      <c r="AJ331" s="1222"/>
      <c r="AK331" s="1246"/>
      <c r="AL331" s="1222"/>
      <c r="AM331" s="1246"/>
      <c r="AN331" s="1222"/>
      <c r="AO331" s="1222"/>
      <c r="AP331" s="1229"/>
    </row>
    <row r="332" spans="1:42" ht="13.8">
      <c r="A332" s="1168"/>
      <c r="B332" s="1178"/>
      <c r="C332" s="1178"/>
      <c r="D332" s="1229"/>
      <c r="E332" s="1246"/>
      <c r="F332" s="1222"/>
      <c r="G332" s="1246"/>
      <c r="H332" s="1222"/>
      <c r="I332" s="1246"/>
      <c r="J332" s="1222"/>
      <c r="K332" s="1246"/>
      <c r="L332" s="1222"/>
      <c r="M332" s="1246"/>
      <c r="N332" s="1222"/>
      <c r="O332" s="1246"/>
      <c r="P332" s="1222"/>
      <c r="Q332" s="1246"/>
      <c r="R332" s="1222"/>
      <c r="S332" s="1246"/>
      <c r="T332" s="1222"/>
      <c r="U332" s="1246"/>
      <c r="V332" s="1222"/>
      <c r="W332" s="1246"/>
      <c r="X332" s="1222"/>
      <c r="Y332" s="1321"/>
      <c r="Z332" s="1287"/>
      <c r="AA332" s="1246"/>
      <c r="AB332" s="1222"/>
      <c r="AC332" s="1246"/>
      <c r="AD332" s="1222"/>
      <c r="AE332" s="1246"/>
      <c r="AF332" s="1222"/>
      <c r="AG332" s="1246"/>
      <c r="AH332" s="1222"/>
      <c r="AI332" s="1246"/>
      <c r="AJ332" s="1222"/>
      <c r="AK332" s="1246"/>
      <c r="AL332" s="1222"/>
      <c r="AM332" s="1246"/>
      <c r="AN332" s="1222"/>
      <c r="AO332" s="1222"/>
      <c r="AP332" s="1229"/>
    </row>
    <row r="333" spans="1:42" ht="13.8">
      <c r="A333" s="1168"/>
      <c r="B333" s="1178"/>
      <c r="C333" s="1178"/>
      <c r="D333" s="1229"/>
      <c r="E333" s="1246"/>
      <c r="F333" s="1222"/>
      <c r="G333" s="1246"/>
      <c r="H333" s="1222"/>
      <c r="I333" s="1246"/>
      <c r="J333" s="1222"/>
      <c r="K333" s="1246"/>
      <c r="L333" s="1222"/>
      <c r="M333" s="1246"/>
      <c r="N333" s="1222"/>
      <c r="O333" s="1246"/>
      <c r="P333" s="1222"/>
      <c r="Q333" s="1246"/>
      <c r="R333" s="1222"/>
      <c r="S333" s="1246"/>
      <c r="T333" s="1222"/>
      <c r="U333" s="1246"/>
      <c r="V333" s="1222"/>
      <c r="W333" s="1246"/>
      <c r="X333" s="1222"/>
      <c r="Y333" s="1321"/>
      <c r="Z333" s="1287"/>
      <c r="AA333" s="1246"/>
      <c r="AB333" s="1222"/>
      <c r="AC333" s="1246"/>
      <c r="AD333" s="1222"/>
      <c r="AE333" s="1246"/>
      <c r="AF333" s="1222"/>
      <c r="AG333" s="1246"/>
      <c r="AH333" s="1222"/>
      <c r="AI333" s="1246"/>
      <c r="AJ333" s="1222"/>
      <c r="AK333" s="1246"/>
      <c r="AL333" s="1222"/>
      <c r="AM333" s="1246"/>
      <c r="AN333" s="1222"/>
      <c r="AO333" s="1222"/>
      <c r="AP333" s="1229"/>
    </row>
    <row r="334" spans="1:42" ht="13.8">
      <c r="A334" s="1168"/>
      <c r="B334" s="1169" t="s">
        <v>1775</v>
      </c>
      <c r="C334" s="1168"/>
      <c r="D334" s="1168"/>
      <c r="E334" s="1168"/>
      <c r="F334" s="1168"/>
      <c r="G334" s="1168"/>
      <c r="H334" s="1168"/>
      <c r="I334" s="1168"/>
      <c r="J334" s="1168"/>
      <c r="K334" s="1168"/>
      <c r="L334" s="1168"/>
      <c r="M334" s="1168"/>
      <c r="N334" s="1168"/>
      <c r="O334" s="1168"/>
      <c r="P334" s="1168"/>
      <c r="Q334" s="1168"/>
      <c r="R334" s="1168"/>
      <c r="S334" s="1168"/>
      <c r="T334" s="1168"/>
      <c r="U334" s="1168"/>
      <c r="V334" s="1168"/>
      <c r="W334" s="1168"/>
      <c r="X334" s="1168"/>
      <c r="Y334" s="1288"/>
      <c r="Z334" s="1288"/>
      <c r="AA334" s="1168"/>
      <c r="AB334" s="1168"/>
      <c r="AC334" s="1168"/>
      <c r="AD334" s="1168"/>
      <c r="AE334" s="1168"/>
      <c r="AF334" s="1168"/>
      <c r="AG334" s="1168"/>
      <c r="AH334" s="1168"/>
      <c r="AI334" s="1168"/>
      <c r="AJ334" s="1168"/>
      <c r="AK334" s="1168"/>
      <c r="AL334" s="1168"/>
      <c r="AM334" s="1168"/>
      <c r="AN334" s="1168"/>
      <c r="AO334" s="1168"/>
      <c r="AP334" s="1168"/>
    </row>
    <row r="335" spans="1:42" ht="13.8">
      <c r="A335" s="1168"/>
      <c r="B335" s="1170" t="s">
        <v>1776</v>
      </c>
      <c r="C335" s="1168"/>
      <c r="D335" s="1168"/>
      <c r="E335" s="1168"/>
      <c r="F335" s="1168"/>
      <c r="G335" s="1168"/>
      <c r="H335" s="1168"/>
      <c r="I335" s="1168"/>
      <c r="J335" s="1168"/>
      <c r="K335" s="1168"/>
      <c r="L335" s="1168"/>
      <c r="M335" s="1168"/>
      <c r="N335" s="1168"/>
      <c r="O335" s="1168"/>
      <c r="P335" s="1168"/>
      <c r="Q335" s="1168"/>
      <c r="R335" s="1168"/>
      <c r="S335" s="1168"/>
      <c r="T335" s="1168"/>
      <c r="U335" s="1168"/>
      <c r="V335" s="1168"/>
      <c r="W335" s="1168"/>
      <c r="X335" s="1168"/>
      <c r="Y335" s="1288"/>
      <c r="Z335" s="1288"/>
      <c r="AA335" s="1168"/>
      <c r="AB335" s="1168"/>
      <c r="AC335" s="1168"/>
      <c r="AD335" s="1168"/>
      <c r="AE335" s="1168"/>
      <c r="AF335" s="1168"/>
      <c r="AG335" s="1168"/>
      <c r="AH335" s="1168"/>
      <c r="AI335" s="1168"/>
      <c r="AJ335" s="1168"/>
      <c r="AK335" s="1168"/>
      <c r="AL335" s="1168"/>
      <c r="AM335" s="1168"/>
      <c r="AN335" s="1168"/>
      <c r="AO335" s="1168"/>
      <c r="AP335" s="1168"/>
    </row>
    <row r="336" spans="1:42" ht="13.8">
      <c r="A336" s="1168"/>
      <c r="B336" s="1169"/>
      <c r="C336" s="1168"/>
      <c r="D336" s="1168"/>
      <c r="E336" s="1168"/>
      <c r="F336" s="1168"/>
      <c r="G336" s="1168"/>
      <c r="H336" s="1168"/>
      <c r="I336" s="1168"/>
      <c r="J336" s="1168"/>
      <c r="K336" s="1168"/>
      <c r="L336" s="1168"/>
      <c r="M336" s="1168"/>
      <c r="N336" s="1168"/>
      <c r="O336" s="1168"/>
      <c r="P336" s="1168"/>
      <c r="Q336" s="1168"/>
      <c r="R336" s="1168"/>
      <c r="S336" s="1168"/>
      <c r="T336" s="1168"/>
      <c r="U336" s="1168"/>
      <c r="V336" s="1168"/>
      <c r="W336" s="1168"/>
      <c r="X336" s="1168"/>
      <c r="Y336" s="1288"/>
      <c r="Z336" s="1288"/>
      <c r="AA336" s="1168"/>
      <c r="AB336" s="1168"/>
      <c r="AC336" s="1168"/>
      <c r="AD336" s="1168"/>
      <c r="AE336" s="1168"/>
      <c r="AF336" s="1168"/>
      <c r="AG336" s="1168"/>
      <c r="AH336" s="1168"/>
      <c r="AI336" s="1168"/>
      <c r="AJ336" s="1168"/>
      <c r="AK336" s="1168"/>
      <c r="AL336" s="1168"/>
      <c r="AM336" s="1168"/>
      <c r="AN336" s="1168"/>
      <c r="AO336" s="1168"/>
      <c r="AP336" s="1168"/>
    </row>
    <row r="337" spans="1:42" ht="13.8">
      <c r="A337" s="1168"/>
      <c r="B337" s="1171"/>
      <c r="C337" s="1171"/>
      <c r="D337" s="1171"/>
      <c r="E337" s="1171"/>
      <c r="F337" s="1171"/>
      <c r="G337" s="1171"/>
      <c r="H337" s="1171"/>
      <c r="I337" s="1171"/>
      <c r="J337" s="1171"/>
      <c r="K337" s="1171"/>
      <c r="L337" s="1171"/>
      <c r="M337" s="1171"/>
      <c r="N337" s="1171"/>
      <c r="O337" s="1171"/>
      <c r="P337" s="1171"/>
      <c r="Q337" s="1171"/>
      <c r="R337" s="1171"/>
      <c r="S337" s="1171"/>
      <c r="T337" s="1171"/>
      <c r="U337" s="1171"/>
      <c r="V337" s="1171"/>
      <c r="W337" s="1171"/>
      <c r="X337" s="1171"/>
      <c r="Y337" s="1322"/>
      <c r="Z337" s="1322"/>
      <c r="AA337" s="1171"/>
      <c r="AB337" s="1171"/>
      <c r="AC337" s="1171"/>
      <c r="AD337" s="1171"/>
      <c r="AE337" s="1171"/>
      <c r="AF337" s="1171"/>
      <c r="AG337" s="1171"/>
      <c r="AH337" s="1171"/>
      <c r="AI337" s="1171"/>
      <c r="AJ337" s="1171"/>
      <c r="AK337" s="1171"/>
      <c r="AL337" s="1171"/>
      <c r="AM337" s="1171"/>
      <c r="AN337" s="1171"/>
      <c r="AO337" s="1171"/>
      <c r="AP337" s="1171"/>
    </row>
    <row r="338" spans="1:42" ht="13.8">
      <c r="A338" s="1168"/>
      <c r="B338" s="1168"/>
      <c r="C338" s="1168"/>
      <c r="D338" s="1168"/>
      <c r="E338" s="1168"/>
      <c r="F338" s="1168"/>
      <c r="G338" s="1168"/>
      <c r="H338" s="1168"/>
      <c r="I338" s="1168"/>
      <c r="J338" s="1168"/>
      <c r="K338" s="1168"/>
      <c r="L338" s="1168"/>
      <c r="M338" s="1168"/>
      <c r="N338" s="1168"/>
      <c r="O338" s="1168"/>
      <c r="P338" s="1168"/>
      <c r="Q338" s="1168"/>
      <c r="R338" s="1168"/>
      <c r="S338" s="1168"/>
      <c r="T338" s="1168"/>
      <c r="U338" s="1168"/>
      <c r="V338" s="1168"/>
      <c r="W338" s="1168"/>
      <c r="X338" s="1168"/>
      <c r="Y338" s="1288"/>
      <c r="Z338" s="1288"/>
      <c r="AA338" s="1168"/>
      <c r="AB338" s="1168"/>
      <c r="AC338" s="1168"/>
      <c r="AD338" s="1168"/>
      <c r="AE338" s="1168"/>
      <c r="AF338" s="1168"/>
      <c r="AG338" s="1168"/>
      <c r="AH338" s="1168"/>
      <c r="AI338" s="1168"/>
      <c r="AJ338" s="1168"/>
      <c r="AK338" s="1168"/>
      <c r="AL338" s="1168"/>
      <c r="AM338" s="1168"/>
      <c r="AN338" s="1168"/>
      <c r="AO338" s="1168"/>
      <c r="AP338" s="1168"/>
    </row>
    <row r="339" spans="1:42" ht="13.8">
      <c r="A339" s="1168"/>
      <c r="B339" s="3099" t="s">
        <v>1763</v>
      </c>
      <c r="C339" s="3099"/>
      <c r="D339" s="3099"/>
      <c r="E339" s="3100">
        <v>2000</v>
      </c>
      <c r="F339" s="3113"/>
      <c r="G339" s="3100">
        <v>2001</v>
      </c>
      <c r="H339" s="3113"/>
      <c r="I339" s="3100">
        <v>2002</v>
      </c>
      <c r="J339" s="3113"/>
      <c r="K339" s="3100">
        <v>2003</v>
      </c>
      <c r="L339" s="3113"/>
      <c r="M339" s="3100">
        <v>2004</v>
      </c>
      <c r="N339" s="3113"/>
      <c r="O339" s="3100">
        <v>2005</v>
      </c>
      <c r="P339" s="3113"/>
      <c r="Q339" s="3100">
        <v>2006</v>
      </c>
      <c r="R339" s="3113"/>
      <c r="S339" s="3100">
        <v>2007</v>
      </c>
      <c r="T339" s="3113"/>
      <c r="U339" s="3100">
        <v>2008</v>
      </c>
      <c r="V339" s="3113"/>
      <c r="W339" s="3100">
        <v>2009</v>
      </c>
      <c r="X339" s="3113"/>
      <c r="Y339" s="3110">
        <v>2010</v>
      </c>
      <c r="Z339" s="3114"/>
      <c r="AA339" s="3100">
        <v>2011</v>
      </c>
      <c r="AB339" s="3113"/>
      <c r="AC339" s="3100">
        <v>2012</v>
      </c>
      <c r="AD339" s="3113"/>
      <c r="AE339" s="3100">
        <v>2013</v>
      </c>
      <c r="AF339" s="3113"/>
      <c r="AG339" s="3100">
        <v>2014</v>
      </c>
      <c r="AH339" s="3113"/>
      <c r="AI339" s="3100">
        <v>2015</v>
      </c>
      <c r="AJ339" s="3113"/>
      <c r="AK339" s="3100">
        <v>2016</v>
      </c>
      <c r="AL339" s="3113"/>
      <c r="AM339" s="3100">
        <v>2017</v>
      </c>
      <c r="AN339" s="3113"/>
      <c r="AO339" s="3099" t="s">
        <v>1764</v>
      </c>
      <c r="AP339" s="3112"/>
    </row>
    <row r="340" spans="1:42" ht="13.8">
      <c r="A340" s="1168"/>
      <c r="B340" s="1244"/>
      <c r="C340" s="1244"/>
      <c r="D340" s="1244"/>
      <c r="E340" s="1262"/>
      <c r="F340" s="1263"/>
      <c r="G340" s="1262"/>
      <c r="H340" s="1263"/>
      <c r="I340" s="1262"/>
      <c r="J340" s="1263"/>
      <c r="K340" s="1262"/>
      <c r="L340" s="1263"/>
      <c r="M340" s="1262"/>
      <c r="N340" s="1263"/>
      <c r="O340" s="1262"/>
      <c r="P340" s="1263"/>
      <c r="Q340" s="1262"/>
      <c r="R340" s="1263"/>
      <c r="S340" s="1262"/>
      <c r="T340" s="1263"/>
      <c r="U340" s="1262"/>
      <c r="V340" s="1263"/>
      <c r="W340" s="1262"/>
      <c r="X340" s="1263"/>
      <c r="Y340" s="1286"/>
      <c r="Z340" s="1314"/>
      <c r="AA340" s="1262"/>
      <c r="AB340" s="1263"/>
      <c r="AC340" s="1262"/>
      <c r="AD340" s="1263"/>
      <c r="AE340" s="1262"/>
      <c r="AF340" s="1263"/>
      <c r="AG340" s="1262"/>
      <c r="AH340" s="1263"/>
      <c r="AI340" s="1262"/>
      <c r="AJ340" s="1263"/>
      <c r="AK340" s="1262"/>
      <c r="AL340" s="1263"/>
      <c r="AM340" s="1262"/>
      <c r="AN340" s="1263"/>
      <c r="AO340" s="1244"/>
      <c r="AP340" s="1264"/>
    </row>
    <row r="341" spans="1:42" ht="13.8">
      <c r="A341" s="1168"/>
      <c r="B341" s="1206"/>
      <c r="C341" s="1206"/>
      <c r="D341" s="1206"/>
      <c r="E341" s="1206"/>
      <c r="F341" s="1206"/>
      <c r="G341" s="1206"/>
      <c r="H341" s="1206"/>
      <c r="I341" s="1206"/>
      <c r="J341" s="1206"/>
      <c r="K341" s="1206"/>
      <c r="L341" s="1206"/>
      <c r="M341" s="1206"/>
      <c r="N341" s="1206"/>
      <c r="O341" s="1206"/>
      <c r="P341" s="1206"/>
      <c r="Q341" s="1206"/>
      <c r="R341" s="1206"/>
      <c r="S341" s="1206"/>
      <c r="T341" s="1206"/>
      <c r="U341" s="1206"/>
      <c r="V341" s="1206"/>
      <c r="W341" s="1206"/>
      <c r="X341" s="1206"/>
      <c r="Y341" s="1284"/>
      <c r="Z341" s="1284"/>
      <c r="AA341" s="1206"/>
      <c r="AB341" s="1206"/>
      <c r="AC341" s="1206"/>
      <c r="AD341" s="1206"/>
      <c r="AE341" s="1206"/>
      <c r="AF341" s="1206"/>
      <c r="AG341" s="1206"/>
      <c r="AH341" s="1206"/>
      <c r="AI341" s="1206"/>
      <c r="AJ341" s="1206"/>
      <c r="AK341" s="1206"/>
      <c r="AL341" s="1206"/>
      <c r="AM341" s="1206"/>
      <c r="AN341" s="1206"/>
      <c r="AO341" s="1206"/>
      <c r="AP341" s="1206"/>
    </row>
    <row r="342" spans="1:42" ht="13.8">
      <c r="A342" s="1168"/>
      <c r="B342" s="1178">
        <v>1</v>
      </c>
      <c r="C342" s="1178"/>
      <c r="D342" s="1224" t="s">
        <v>1765</v>
      </c>
      <c r="E342" s="1270">
        <v>53.912999999999997</v>
      </c>
      <c r="F342" s="1231"/>
      <c r="G342" s="1270">
        <v>55.002000000000002</v>
      </c>
      <c r="H342" s="1231"/>
      <c r="I342" s="1270">
        <v>51.521994880000001</v>
      </c>
      <c r="J342" s="1231"/>
      <c r="K342" s="1270">
        <v>53.576999999999998</v>
      </c>
      <c r="L342" s="1231"/>
      <c r="M342" s="1270">
        <v>55.25</v>
      </c>
      <c r="N342" s="1231"/>
      <c r="O342" s="1270">
        <v>56.593000000000004</v>
      </c>
      <c r="P342" s="1231"/>
      <c r="Q342" s="1270">
        <v>59.915999999999997</v>
      </c>
      <c r="R342" s="1231"/>
      <c r="S342" s="1270">
        <v>60.06</v>
      </c>
      <c r="T342" s="1231"/>
      <c r="U342" s="1270">
        <v>63.264574999999994</v>
      </c>
      <c r="V342" s="1231"/>
      <c r="W342" s="1225">
        <v>67.423000000000002</v>
      </c>
      <c r="X342" s="1231"/>
      <c r="Y342" s="1290">
        <v>73.031000000000006</v>
      </c>
      <c r="Z342" s="1304"/>
      <c r="AA342" s="1270">
        <v>71.742999999999995</v>
      </c>
      <c r="AB342" s="1187"/>
      <c r="AC342" s="1270">
        <v>75.838999999999999</v>
      </c>
      <c r="AD342" s="1187"/>
      <c r="AE342" s="1270">
        <v>77.382999999999996</v>
      </c>
      <c r="AF342" s="1187"/>
      <c r="AG342" s="1270">
        <v>73.081999999999994</v>
      </c>
      <c r="AH342" s="1187"/>
      <c r="AI342" s="1270"/>
      <c r="AJ342" s="1187"/>
      <c r="AK342" s="1270"/>
      <c r="AL342" s="1187"/>
      <c r="AM342" s="1270"/>
      <c r="AN342" s="1187"/>
      <c r="AO342" s="1222"/>
      <c r="AP342" s="1224" t="s">
        <v>1766</v>
      </c>
    </row>
    <row r="343" spans="1:42" ht="13.8">
      <c r="A343" s="1168"/>
      <c r="B343" s="1219"/>
      <c r="C343" s="1219"/>
      <c r="D343" s="1255"/>
      <c r="E343" s="1256"/>
      <c r="F343" s="1257"/>
      <c r="G343" s="1256"/>
      <c r="H343" s="1257"/>
      <c r="I343" s="1256"/>
      <c r="J343" s="1257"/>
      <c r="K343" s="1256"/>
      <c r="L343" s="1257"/>
      <c r="M343" s="1256"/>
      <c r="N343" s="1257"/>
      <c r="O343" s="1256"/>
      <c r="P343" s="1257"/>
      <c r="Q343" s="1256"/>
      <c r="R343" s="1257"/>
      <c r="S343" s="1256"/>
      <c r="T343" s="1257"/>
      <c r="U343" s="1256"/>
      <c r="V343" s="1257"/>
      <c r="W343" s="1256"/>
      <c r="X343" s="1257"/>
      <c r="Y343" s="1319"/>
      <c r="Z343" s="1320"/>
      <c r="AA343" s="1256"/>
      <c r="AB343" s="1257"/>
      <c r="AC343" s="1256"/>
      <c r="AD343" s="1257"/>
      <c r="AE343" s="1256"/>
      <c r="AF343" s="1257"/>
      <c r="AG343" s="1256"/>
      <c r="AH343" s="1257"/>
      <c r="AI343" s="1256"/>
      <c r="AJ343" s="1257"/>
      <c r="AK343" s="1256"/>
      <c r="AL343" s="1257"/>
      <c r="AM343" s="1256"/>
      <c r="AN343" s="1257"/>
      <c r="AO343" s="1257"/>
      <c r="AP343" s="1255"/>
    </row>
    <row r="344" spans="1:42" ht="13.8">
      <c r="A344" s="1168"/>
      <c r="B344" s="1178"/>
      <c r="C344" s="1178"/>
      <c r="D344" s="1229"/>
      <c r="E344" s="1246"/>
      <c r="F344" s="1222"/>
      <c r="G344" s="1246"/>
      <c r="H344" s="1222"/>
      <c r="I344" s="1246"/>
      <c r="J344" s="1222"/>
      <c r="K344" s="1246"/>
      <c r="L344" s="1222"/>
      <c r="M344" s="1246"/>
      <c r="N344" s="1222"/>
      <c r="O344" s="1246"/>
      <c r="P344" s="1222"/>
      <c r="Q344" s="1246"/>
      <c r="R344" s="1222"/>
      <c r="S344" s="1246"/>
      <c r="T344" s="1222"/>
      <c r="U344" s="1246"/>
      <c r="V344" s="1222"/>
      <c r="W344" s="1246"/>
      <c r="X344" s="1222"/>
      <c r="Y344" s="1321"/>
      <c r="Z344" s="1287"/>
      <c r="AA344" s="1246"/>
      <c r="AB344" s="1222"/>
      <c r="AC344" s="1246"/>
      <c r="AD344" s="1222"/>
      <c r="AE344" s="1246"/>
      <c r="AF344" s="1222"/>
      <c r="AG344" s="1246"/>
      <c r="AH344" s="1222"/>
      <c r="AI344" s="1246"/>
      <c r="AJ344" s="1222"/>
      <c r="AK344" s="1246"/>
      <c r="AL344" s="1222"/>
      <c r="AM344" s="1246"/>
      <c r="AN344" s="1222"/>
      <c r="AO344" s="1222"/>
      <c r="AP344" s="1229"/>
    </row>
    <row r="345" spans="1:42" ht="13.8">
      <c r="A345" s="1168"/>
      <c r="B345" s="1178"/>
      <c r="C345" s="1178"/>
      <c r="D345" s="1229"/>
      <c r="E345" s="1246"/>
      <c r="F345" s="1222"/>
      <c r="G345" s="1246"/>
      <c r="H345" s="1222"/>
      <c r="I345" s="1246"/>
      <c r="J345" s="1222"/>
      <c r="K345" s="1246"/>
      <c r="L345" s="1222"/>
      <c r="M345" s="1246"/>
      <c r="N345" s="1222"/>
      <c r="O345" s="1246"/>
      <c r="P345" s="1222"/>
      <c r="Q345" s="1246"/>
      <c r="R345" s="1222"/>
      <c r="S345" s="1246"/>
      <c r="T345" s="1222"/>
      <c r="U345" s="1246"/>
      <c r="V345" s="1222"/>
      <c r="W345" s="1246"/>
      <c r="X345" s="1222"/>
      <c r="Y345" s="1321"/>
      <c r="Z345" s="1287"/>
      <c r="AA345" s="1246"/>
      <c r="AB345" s="1222"/>
      <c r="AC345" s="1246"/>
      <c r="AD345" s="1222"/>
      <c r="AE345" s="1246"/>
      <c r="AF345" s="1222"/>
      <c r="AG345" s="1246"/>
      <c r="AH345" s="1222"/>
      <c r="AI345" s="1246"/>
      <c r="AJ345" s="1222"/>
      <c r="AK345" s="1246"/>
      <c r="AL345" s="1222"/>
      <c r="AM345" s="1246"/>
      <c r="AN345" s="1222"/>
      <c r="AO345" s="1222"/>
      <c r="AP345" s="1229"/>
    </row>
    <row r="346" spans="1:42" ht="13.8">
      <c r="A346" s="1168"/>
      <c r="B346" s="1178"/>
      <c r="C346" s="1178"/>
      <c r="D346" s="1229"/>
      <c r="E346" s="1246"/>
      <c r="F346" s="1222"/>
      <c r="G346" s="1246"/>
      <c r="H346" s="1222"/>
      <c r="I346" s="1246"/>
      <c r="J346" s="1222"/>
      <c r="K346" s="1246"/>
      <c r="L346" s="1222"/>
      <c r="M346" s="1246"/>
      <c r="N346" s="1222"/>
      <c r="O346" s="1246"/>
      <c r="P346" s="1222"/>
      <c r="Q346" s="1246"/>
      <c r="R346" s="1222"/>
      <c r="S346" s="1246"/>
      <c r="T346" s="1222"/>
      <c r="U346" s="1246"/>
      <c r="V346" s="1222"/>
      <c r="W346" s="1246"/>
      <c r="X346" s="1222"/>
      <c r="Y346" s="1321"/>
      <c r="Z346" s="1287"/>
      <c r="AA346" s="1246"/>
      <c r="AB346" s="1222"/>
      <c r="AC346" s="1246"/>
      <c r="AD346" s="1222"/>
      <c r="AE346" s="1246"/>
      <c r="AF346" s="1222"/>
      <c r="AG346" s="1246"/>
      <c r="AH346" s="1222"/>
      <c r="AI346" s="1246"/>
      <c r="AJ346" s="1222"/>
      <c r="AK346" s="1246"/>
      <c r="AL346" s="1222"/>
      <c r="AM346" s="1246"/>
      <c r="AN346" s="1222"/>
      <c r="AO346" s="1222"/>
      <c r="AP346" s="1229"/>
    </row>
    <row r="347" spans="1:42" ht="13.8">
      <c r="A347" s="1168"/>
      <c r="B347" s="1178"/>
      <c r="C347" s="1178"/>
      <c r="D347" s="1229"/>
      <c r="E347" s="1246"/>
      <c r="F347" s="1222"/>
      <c r="G347" s="1246"/>
      <c r="H347" s="1222"/>
      <c r="I347" s="1246"/>
      <c r="J347" s="1222"/>
      <c r="K347" s="1246"/>
      <c r="L347" s="1222"/>
      <c r="M347" s="1246"/>
      <c r="N347" s="1222"/>
      <c r="O347" s="1246"/>
      <c r="P347" s="1222"/>
      <c r="Q347" s="1246"/>
      <c r="R347" s="1222"/>
      <c r="S347" s="1246"/>
      <c r="T347" s="1222"/>
      <c r="U347" s="1246"/>
      <c r="V347" s="1222"/>
      <c r="W347" s="1246"/>
      <c r="X347" s="1222"/>
      <c r="Y347" s="1321"/>
      <c r="Z347" s="1287"/>
      <c r="AA347" s="1246"/>
      <c r="AB347" s="1222"/>
      <c r="AC347" s="1246"/>
      <c r="AD347" s="1222"/>
      <c r="AE347" s="1246"/>
      <c r="AF347" s="1222"/>
      <c r="AG347" s="1246"/>
      <c r="AH347" s="1222"/>
      <c r="AI347" s="1246"/>
      <c r="AJ347" s="1222"/>
      <c r="AK347" s="1246"/>
      <c r="AL347" s="1222"/>
      <c r="AM347" s="1246"/>
      <c r="AN347" s="1222"/>
      <c r="AO347" s="1222"/>
      <c r="AP347" s="1229"/>
    </row>
    <row r="348" spans="1:42" ht="13.8">
      <c r="A348" s="1168"/>
      <c r="B348" s="1169" t="s">
        <v>1777</v>
      </c>
      <c r="C348" s="1168"/>
      <c r="D348" s="1168"/>
      <c r="E348" s="1168"/>
      <c r="F348" s="1168"/>
      <c r="G348" s="1168"/>
      <c r="H348" s="1168"/>
      <c r="I348" s="1168"/>
      <c r="J348" s="1168"/>
      <c r="K348" s="1168"/>
      <c r="L348" s="1168"/>
      <c r="M348" s="1168"/>
      <c r="N348" s="1168"/>
      <c r="O348" s="1168"/>
      <c r="P348" s="1168"/>
      <c r="Q348" s="1168"/>
      <c r="R348" s="1168"/>
      <c r="S348" s="1168"/>
      <c r="T348" s="1168"/>
      <c r="U348" s="1168"/>
      <c r="V348" s="1168"/>
      <c r="W348" s="1168"/>
      <c r="X348" s="1168"/>
      <c r="Y348" s="1288"/>
      <c r="Z348" s="1288"/>
      <c r="AA348" s="1168"/>
      <c r="AB348" s="1168"/>
      <c r="AC348" s="1168"/>
      <c r="AD348" s="1168"/>
      <c r="AE348" s="1168"/>
      <c r="AF348" s="1168"/>
      <c r="AG348" s="1168"/>
      <c r="AH348" s="1168"/>
      <c r="AI348" s="1168"/>
      <c r="AJ348" s="1168"/>
      <c r="AK348" s="1168"/>
      <c r="AL348" s="1168"/>
      <c r="AM348" s="1168"/>
      <c r="AN348" s="1168"/>
      <c r="AO348" s="1168"/>
      <c r="AP348" s="1168"/>
    </row>
    <row r="349" spans="1:42" ht="13.8">
      <c r="A349" s="1168"/>
      <c r="B349" s="1170" t="s">
        <v>1778</v>
      </c>
      <c r="C349" s="1168"/>
      <c r="D349" s="1168"/>
      <c r="E349" s="1168"/>
      <c r="F349" s="1168"/>
      <c r="G349" s="1168"/>
      <c r="H349" s="1168"/>
      <c r="I349" s="1168"/>
      <c r="J349" s="1168"/>
      <c r="K349" s="1168"/>
      <c r="L349" s="1168"/>
      <c r="M349" s="1168"/>
      <c r="N349" s="1168"/>
      <c r="O349" s="1168"/>
      <c r="P349" s="1168"/>
      <c r="Q349" s="1168"/>
      <c r="R349" s="1168"/>
      <c r="S349" s="1168"/>
      <c r="T349" s="1168"/>
      <c r="U349" s="1168"/>
      <c r="V349" s="1168"/>
      <c r="W349" s="1168"/>
      <c r="X349" s="1168"/>
      <c r="Y349" s="1288"/>
      <c r="Z349" s="1288"/>
      <c r="AA349" s="1168"/>
      <c r="AB349" s="1168"/>
      <c r="AC349" s="1168"/>
      <c r="AD349" s="1168"/>
      <c r="AE349" s="1168"/>
      <c r="AF349" s="1168"/>
      <c r="AG349" s="1168"/>
      <c r="AH349" s="1168"/>
      <c r="AI349" s="1168"/>
      <c r="AJ349" s="1168"/>
      <c r="AK349" s="1168"/>
      <c r="AL349" s="1168"/>
      <c r="AM349" s="1168"/>
      <c r="AN349" s="1168"/>
      <c r="AO349" s="1168"/>
      <c r="AP349" s="1168"/>
    </row>
    <row r="350" spans="1:42" ht="13.8">
      <c r="A350" s="1168"/>
      <c r="B350" s="1169"/>
      <c r="C350" s="1168"/>
      <c r="D350" s="1168"/>
      <c r="E350" s="1168"/>
      <c r="F350" s="1168"/>
      <c r="G350" s="1168"/>
      <c r="H350" s="1168"/>
      <c r="I350" s="1168"/>
      <c r="J350" s="1168"/>
      <c r="K350" s="1168"/>
      <c r="L350" s="1168"/>
      <c r="M350" s="1168"/>
      <c r="N350" s="1168"/>
      <c r="O350" s="1168"/>
      <c r="P350" s="1168"/>
      <c r="Q350" s="1168"/>
      <c r="R350" s="1168"/>
      <c r="S350" s="1168"/>
      <c r="T350" s="1168"/>
      <c r="U350" s="1168"/>
      <c r="V350" s="1168"/>
      <c r="W350" s="1168"/>
      <c r="X350" s="1168"/>
      <c r="Y350" s="1288"/>
      <c r="Z350" s="1288"/>
      <c r="AA350" s="1168"/>
      <c r="AB350" s="1168"/>
      <c r="AC350" s="1168"/>
      <c r="AD350" s="1168"/>
      <c r="AE350" s="1168"/>
      <c r="AF350" s="1168"/>
      <c r="AG350" s="1168"/>
      <c r="AH350" s="1168"/>
      <c r="AI350" s="1168"/>
      <c r="AJ350" s="1168"/>
      <c r="AK350" s="1168"/>
      <c r="AL350" s="1168"/>
      <c r="AM350" s="1168"/>
      <c r="AN350" s="1168"/>
      <c r="AO350" s="1168"/>
      <c r="AP350" s="1168"/>
    </row>
    <row r="351" spans="1:42" ht="13.8">
      <c r="A351" s="1168"/>
      <c r="B351" s="1171"/>
      <c r="C351" s="1171"/>
      <c r="D351" s="1171"/>
      <c r="E351" s="1171"/>
      <c r="F351" s="1171"/>
      <c r="G351" s="1171"/>
      <c r="H351" s="1171"/>
      <c r="I351" s="1171"/>
      <c r="J351" s="1171"/>
      <c r="K351" s="1171"/>
      <c r="L351" s="1171"/>
      <c r="M351" s="1171"/>
      <c r="N351" s="1171"/>
      <c r="O351" s="1171"/>
      <c r="P351" s="1171"/>
      <c r="Q351" s="1171"/>
      <c r="R351" s="1171"/>
      <c r="S351" s="1171"/>
      <c r="T351" s="1171"/>
      <c r="U351" s="1171"/>
      <c r="V351" s="1171"/>
      <c r="W351" s="1171"/>
      <c r="X351" s="1171"/>
      <c r="Y351" s="1322"/>
      <c r="Z351" s="1322"/>
      <c r="AA351" s="1171"/>
      <c r="AB351" s="1171"/>
      <c r="AC351" s="1171"/>
      <c r="AD351" s="1171"/>
      <c r="AE351" s="1171"/>
      <c r="AF351" s="1171"/>
      <c r="AG351" s="1171"/>
      <c r="AH351" s="1171"/>
      <c r="AI351" s="1171"/>
      <c r="AJ351" s="1171"/>
      <c r="AK351" s="1171"/>
      <c r="AL351" s="1171"/>
      <c r="AM351" s="1171"/>
      <c r="AN351" s="1171"/>
      <c r="AO351" s="1171"/>
      <c r="AP351" s="1171"/>
    </row>
    <row r="352" spans="1:42" ht="13.8">
      <c r="A352" s="1168"/>
      <c r="B352" s="1168"/>
      <c r="C352" s="1168"/>
      <c r="D352" s="1168"/>
      <c r="E352" s="1168"/>
      <c r="F352" s="1168"/>
      <c r="G352" s="1168"/>
      <c r="H352" s="1168"/>
      <c r="I352" s="1168"/>
      <c r="J352" s="1168"/>
      <c r="K352" s="1168"/>
      <c r="L352" s="1168"/>
      <c r="M352" s="1168"/>
      <c r="N352" s="1168"/>
      <c r="O352" s="1168"/>
      <c r="P352" s="1168"/>
      <c r="Q352" s="1168"/>
      <c r="R352" s="1168"/>
      <c r="S352" s="1168"/>
      <c r="T352" s="1168"/>
      <c r="U352" s="1168"/>
      <c r="V352" s="1168"/>
      <c r="W352" s="1168"/>
      <c r="X352" s="1168"/>
      <c r="Y352" s="1288"/>
      <c r="Z352" s="1288"/>
      <c r="AA352" s="1168"/>
      <c r="AB352" s="1168"/>
      <c r="AC352" s="1168"/>
      <c r="AD352" s="1168"/>
      <c r="AE352" s="1168"/>
      <c r="AF352" s="1168"/>
      <c r="AG352" s="1168"/>
      <c r="AH352" s="1168"/>
      <c r="AI352" s="1168"/>
      <c r="AJ352" s="1168"/>
      <c r="AK352" s="1168"/>
      <c r="AL352" s="1168"/>
      <c r="AM352" s="1168"/>
      <c r="AN352" s="1168"/>
      <c r="AO352" s="1168"/>
      <c r="AP352" s="1168"/>
    </row>
    <row r="353" spans="1:43" ht="13.8">
      <c r="A353" s="1168"/>
      <c r="B353" s="3099" t="s">
        <v>1763</v>
      </c>
      <c r="C353" s="3099"/>
      <c r="D353" s="3099"/>
      <c r="E353" s="3100">
        <v>2000</v>
      </c>
      <c r="F353" s="3113"/>
      <c r="G353" s="3100">
        <v>2001</v>
      </c>
      <c r="H353" s="3113"/>
      <c r="I353" s="3100">
        <v>2002</v>
      </c>
      <c r="J353" s="3113"/>
      <c r="K353" s="3100">
        <v>2003</v>
      </c>
      <c r="L353" s="3113"/>
      <c r="M353" s="3100">
        <v>2004</v>
      </c>
      <c r="N353" s="3113"/>
      <c r="O353" s="3100">
        <v>2005</v>
      </c>
      <c r="P353" s="3113"/>
      <c r="Q353" s="3100">
        <v>2006</v>
      </c>
      <c r="R353" s="3113"/>
      <c r="S353" s="3100">
        <v>2007</v>
      </c>
      <c r="T353" s="3113"/>
      <c r="U353" s="3100">
        <v>2008</v>
      </c>
      <c r="V353" s="3113"/>
      <c r="W353" s="3100">
        <v>2009</v>
      </c>
      <c r="X353" s="3113"/>
      <c r="Y353" s="3110">
        <v>2010</v>
      </c>
      <c r="Z353" s="3114"/>
      <c r="AA353" s="3100">
        <v>2011</v>
      </c>
      <c r="AB353" s="3113"/>
      <c r="AC353" s="3100">
        <v>2012</v>
      </c>
      <c r="AD353" s="3113"/>
      <c r="AE353" s="3100">
        <v>2013</v>
      </c>
      <c r="AF353" s="3113"/>
      <c r="AG353" s="3100">
        <v>2014</v>
      </c>
      <c r="AH353" s="3113"/>
      <c r="AI353" s="3100">
        <v>2015</v>
      </c>
      <c r="AJ353" s="3113"/>
      <c r="AK353" s="3100">
        <v>2016</v>
      </c>
      <c r="AL353" s="3113"/>
      <c r="AM353" s="3100">
        <v>2017</v>
      </c>
      <c r="AN353" s="3113"/>
      <c r="AO353" s="3099" t="s">
        <v>1764</v>
      </c>
      <c r="AP353" s="3112"/>
    </row>
    <row r="354" spans="1:43" ht="13.8">
      <c r="A354" s="1168"/>
      <c r="B354" s="1244"/>
      <c r="C354" s="1244"/>
      <c r="D354" s="1244"/>
      <c r="E354" s="1262"/>
      <c r="F354" s="1263"/>
      <c r="G354" s="1262"/>
      <c r="H354" s="1263"/>
      <c r="I354" s="1262"/>
      <c r="J354" s="1263"/>
      <c r="K354" s="1262"/>
      <c r="L354" s="1263"/>
      <c r="M354" s="1262"/>
      <c r="N354" s="1263"/>
      <c r="O354" s="1262"/>
      <c r="P354" s="1263"/>
      <c r="Q354" s="1262"/>
      <c r="R354" s="1263"/>
      <c r="S354" s="1262"/>
      <c r="T354" s="1263"/>
      <c r="U354" s="1262"/>
      <c r="V354" s="1263"/>
      <c r="W354" s="1262"/>
      <c r="X354" s="1263"/>
      <c r="Y354" s="1286"/>
      <c r="Z354" s="1314"/>
      <c r="AA354" s="1262"/>
      <c r="AB354" s="1263"/>
      <c r="AC354" s="1262"/>
      <c r="AD354" s="1263"/>
      <c r="AE354" s="1262"/>
      <c r="AF354" s="1263"/>
      <c r="AG354" s="1262"/>
      <c r="AH354" s="1263"/>
      <c r="AI354" s="1262"/>
      <c r="AJ354" s="1263"/>
      <c r="AK354" s="1262"/>
      <c r="AL354" s="1263"/>
      <c r="AM354" s="1262"/>
      <c r="AN354" s="1263"/>
      <c r="AO354" s="1244"/>
      <c r="AP354" s="1264"/>
    </row>
    <row r="355" spans="1:43" ht="13.8">
      <c r="A355" s="1168"/>
      <c r="B355" s="1206"/>
      <c r="C355" s="1206"/>
      <c r="D355" s="1206"/>
      <c r="E355" s="1206"/>
      <c r="F355" s="1206"/>
      <c r="G355" s="1206"/>
      <c r="H355" s="1206"/>
      <c r="I355" s="1206"/>
      <c r="J355" s="1206"/>
      <c r="K355" s="1206"/>
      <c r="L355" s="1206"/>
      <c r="M355" s="1206"/>
      <c r="N355" s="1206"/>
      <c r="O355" s="1206"/>
      <c r="P355" s="1206"/>
      <c r="Q355" s="1206"/>
      <c r="R355" s="1206"/>
      <c r="S355" s="1206"/>
      <c r="T355" s="1206"/>
      <c r="U355" s="1206"/>
      <c r="V355" s="1206"/>
      <c r="W355" s="1206"/>
      <c r="X355" s="1206"/>
      <c r="Y355" s="1284"/>
      <c r="Z355" s="1284"/>
      <c r="AA355" s="1206"/>
      <c r="AB355" s="1206"/>
      <c r="AC355" s="1206"/>
      <c r="AD355" s="1206"/>
      <c r="AE355" s="1206"/>
      <c r="AF355" s="1206"/>
      <c r="AG355" s="1206"/>
      <c r="AH355" s="1206"/>
      <c r="AI355" s="1206"/>
      <c r="AJ355" s="1206"/>
      <c r="AK355" s="1206"/>
      <c r="AL355" s="1206"/>
      <c r="AM355" s="1206"/>
      <c r="AN355" s="1206"/>
      <c r="AO355" s="1206"/>
      <c r="AP355" s="1206"/>
    </row>
    <row r="356" spans="1:43" ht="13.8">
      <c r="A356" s="1168"/>
      <c r="B356" s="1178">
        <v>1</v>
      </c>
      <c r="C356" s="1178"/>
      <c r="D356" s="1224" t="s">
        <v>1765</v>
      </c>
      <c r="E356" s="1270">
        <v>219.36</v>
      </c>
      <c r="F356" s="1231"/>
      <c r="G356" s="1270">
        <v>220.81800000000001</v>
      </c>
      <c r="H356" s="1231"/>
      <c r="I356" s="1270">
        <v>204</v>
      </c>
      <c r="J356" s="1231"/>
      <c r="K356" s="1270">
        <v>212.73599999999999</v>
      </c>
      <c r="L356" s="1231"/>
      <c r="M356" s="1270">
        <v>205.04300000000001</v>
      </c>
      <c r="N356" s="1231"/>
      <c r="O356" s="1270">
        <v>191.399</v>
      </c>
      <c r="P356" s="1231"/>
      <c r="Q356" s="1270">
        <v>201.40100000000001</v>
      </c>
      <c r="R356" s="1231"/>
      <c r="S356" s="1270">
        <v>197.60599999999999</v>
      </c>
      <c r="T356" s="1231"/>
      <c r="U356" s="1270">
        <v>199.36099999999999</v>
      </c>
      <c r="V356" s="1231"/>
      <c r="W356" s="1225">
        <v>196.14099999999999</v>
      </c>
      <c r="X356" s="1231"/>
      <c r="Y356" s="1290">
        <v>202.10400000000001</v>
      </c>
      <c r="Z356" s="1304"/>
      <c r="AA356" s="1270">
        <v>196.81100000000001</v>
      </c>
      <c r="AB356" s="1187"/>
      <c r="AC356" s="1270">
        <v>213.405</v>
      </c>
      <c r="AD356" s="1187"/>
      <c r="AE356" s="1270">
        <v>207.49600000000001</v>
      </c>
      <c r="AF356" s="1187"/>
      <c r="AG356" s="1270">
        <v>201.74700000000001</v>
      </c>
      <c r="AH356" s="1187"/>
      <c r="AI356" s="1270"/>
      <c r="AJ356" s="1187"/>
      <c r="AK356" s="1270"/>
      <c r="AL356" s="1187"/>
      <c r="AM356" s="1270"/>
      <c r="AN356" s="1187"/>
      <c r="AO356" s="1222"/>
      <c r="AP356" s="1224" t="s">
        <v>1766</v>
      </c>
    </row>
    <row r="357" spans="1:43" ht="13.8">
      <c r="A357" s="1168"/>
      <c r="B357" s="1219"/>
      <c r="C357" s="1219"/>
      <c r="D357" s="1255"/>
      <c r="E357" s="1256"/>
      <c r="F357" s="1257"/>
      <c r="G357" s="1256"/>
      <c r="H357" s="1257"/>
      <c r="I357" s="1256"/>
      <c r="J357" s="1257"/>
      <c r="K357" s="1256"/>
      <c r="L357" s="1257"/>
      <c r="M357" s="1256"/>
      <c r="N357" s="1257"/>
      <c r="O357" s="1256"/>
      <c r="P357" s="1257"/>
      <c r="Q357" s="1256"/>
      <c r="R357" s="1257"/>
      <c r="S357" s="1256"/>
      <c r="T357" s="1257"/>
      <c r="U357" s="1256"/>
      <c r="V357" s="1257"/>
      <c r="W357" s="1256"/>
      <c r="X357" s="1257"/>
      <c r="Y357" s="1319"/>
      <c r="Z357" s="1320"/>
      <c r="AA357" s="1256"/>
      <c r="AB357" s="1257"/>
      <c r="AC357" s="1256"/>
      <c r="AD357" s="1257"/>
      <c r="AE357" s="1256"/>
      <c r="AF357" s="1257"/>
      <c r="AG357" s="1256"/>
      <c r="AH357" s="1257"/>
      <c r="AI357" s="1256"/>
      <c r="AJ357" s="1257"/>
      <c r="AK357" s="1256"/>
      <c r="AL357" s="1257"/>
      <c r="AM357" s="1256"/>
      <c r="AN357" s="1257"/>
      <c r="AO357" s="1257"/>
      <c r="AP357" s="1255"/>
    </row>
    <row r="358" spans="1:43" ht="13.8">
      <c r="A358" s="1168"/>
      <c r="B358" s="1203"/>
      <c r="C358" s="1168"/>
      <c r="D358" s="1168"/>
      <c r="E358" s="1168"/>
      <c r="F358" s="1168"/>
      <c r="G358" s="1168"/>
      <c r="H358" s="1168"/>
      <c r="I358" s="1168"/>
      <c r="J358" s="1168"/>
      <c r="K358" s="1168"/>
      <c r="L358" s="1168"/>
      <c r="M358" s="1168"/>
      <c r="N358" s="1168"/>
      <c r="O358" s="1168"/>
      <c r="P358" s="1168"/>
      <c r="Q358" s="1168"/>
      <c r="R358" s="1168"/>
      <c r="S358" s="1168"/>
      <c r="T358" s="1168"/>
      <c r="U358" s="1168"/>
      <c r="V358" s="1168"/>
      <c r="W358" s="1168"/>
      <c r="X358" s="1168"/>
      <c r="Y358" s="1168"/>
      <c r="Z358" s="1168"/>
      <c r="AA358" s="1168"/>
      <c r="AB358" s="1168"/>
      <c r="AC358" s="1168"/>
      <c r="AD358" s="1168"/>
      <c r="AE358" s="1168"/>
      <c r="AF358" s="1168"/>
      <c r="AG358" s="1168"/>
      <c r="AH358" s="1168"/>
      <c r="AI358" s="1168"/>
      <c r="AJ358" s="1168"/>
      <c r="AK358" s="1168"/>
      <c r="AL358" s="1168"/>
      <c r="AM358" s="1168"/>
      <c r="AN358" s="1168"/>
      <c r="AO358" s="1168"/>
      <c r="AP358" s="1168"/>
    </row>
    <row r="359" spans="1:43" ht="13.8">
      <c r="A359" s="1168"/>
      <c r="B359" s="1208"/>
      <c r="C359" s="1168"/>
      <c r="D359" s="1168"/>
      <c r="E359" s="1168"/>
      <c r="F359" s="1168"/>
      <c r="G359" s="1168"/>
      <c r="H359" s="1168"/>
      <c r="I359" s="1168"/>
      <c r="J359" s="1168"/>
      <c r="K359" s="1168"/>
      <c r="L359" s="1168"/>
      <c r="M359" s="1168"/>
      <c r="N359" s="1168"/>
      <c r="O359" s="1168"/>
      <c r="P359" s="1168"/>
      <c r="Q359" s="1168"/>
      <c r="R359" s="1168"/>
      <c r="S359" s="1168"/>
      <c r="T359" s="1168"/>
      <c r="U359" s="1168"/>
      <c r="V359" s="1168"/>
      <c r="W359" s="1168"/>
      <c r="X359" s="1168"/>
      <c r="Y359" s="1168"/>
      <c r="Z359" s="1168"/>
      <c r="AA359" s="1168"/>
      <c r="AB359" s="1168"/>
      <c r="AC359" s="1168"/>
      <c r="AD359" s="1168"/>
      <c r="AE359" s="1168"/>
      <c r="AF359" s="1168"/>
      <c r="AG359" s="1168"/>
      <c r="AH359" s="1168"/>
      <c r="AI359" s="1168"/>
      <c r="AJ359" s="1168"/>
      <c r="AK359" s="1168"/>
      <c r="AL359" s="1168"/>
      <c r="AM359" s="1168"/>
      <c r="AN359" s="1168"/>
      <c r="AO359" s="1168"/>
      <c r="AP359" s="1168"/>
    </row>
    <row r="360" spans="1:43" ht="13.8">
      <c r="A360" s="1168"/>
      <c r="B360" s="1168"/>
      <c r="C360" s="1168"/>
      <c r="D360" s="1168"/>
      <c r="E360" s="1168"/>
      <c r="F360" s="1168"/>
      <c r="G360" s="1168"/>
      <c r="H360" s="1168"/>
      <c r="I360" s="1168"/>
      <c r="J360" s="1168"/>
      <c r="K360" s="1168"/>
      <c r="L360" s="1168"/>
      <c r="M360" s="1168"/>
      <c r="N360" s="1168"/>
      <c r="O360" s="1168"/>
      <c r="P360" s="1168"/>
      <c r="Q360" s="1168"/>
      <c r="R360" s="1168"/>
      <c r="S360" s="1168"/>
      <c r="T360" s="1168"/>
      <c r="U360" s="1168"/>
      <c r="V360" s="1168"/>
      <c r="W360" s="1168"/>
      <c r="X360" s="1168"/>
      <c r="Y360" s="1168"/>
      <c r="Z360" s="1168"/>
      <c r="AA360" s="1168"/>
      <c r="AB360" s="1168"/>
      <c r="AC360" s="1168"/>
      <c r="AD360" s="1168"/>
      <c r="AE360" s="1168"/>
      <c r="AF360" s="1168"/>
      <c r="AG360" s="1168"/>
      <c r="AH360" s="1168"/>
      <c r="AI360" s="1168"/>
      <c r="AJ360" s="1168"/>
      <c r="AK360" s="1168"/>
      <c r="AL360" s="1168"/>
      <c r="AM360" s="1168"/>
      <c r="AN360" s="1168"/>
      <c r="AO360" s="1168"/>
      <c r="AP360" s="1168"/>
    </row>
    <row r="363" spans="1:43">
      <c r="Y363">
        <f>(Y379*1000)/AU149</f>
        <v>66228.441880272629</v>
      </c>
    </row>
    <row r="366" spans="1:43" ht="13.8">
      <c r="A366" s="1168"/>
      <c r="B366" s="1169" t="s">
        <v>1779</v>
      </c>
      <c r="C366" s="1169"/>
      <c r="D366" s="1176"/>
      <c r="E366" s="1176"/>
      <c r="F366" s="1176"/>
      <c r="G366" s="1176"/>
      <c r="H366" s="1176"/>
      <c r="I366" s="1176"/>
      <c r="J366" s="1176"/>
      <c r="K366" s="1176"/>
      <c r="L366" s="1176"/>
      <c r="M366" s="1176"/>
      <c r="N366" s="1176"/>
      <c r="O366" s="1176"/>
      <c r="P366" s="1176"/>
      <c r="Q366" s="1176"/>
      <c r="R366" s="1176"/>
      <c r="S366" s="1176"/>
      <c r="T366" s="1176"/>
      <c r="U366" s="1176"/>
      <c r="V366" s="1176"/>
      <c r="W366" s="1176"/>
      <c r="X366" s="1176"/>
      <c r="Y366" s="1176"/>
      <c r="Z366" s="1176"/>
      <c r="AA366" s="1176"/>
      <c r="AB366" s="1176"/>
      <c r="AC366" s="1176"/>
      <c r="AD366" s="1176"/>
      <c r="AE366" s="1176"/>
      <c r="AF366" s="1176"/>
      <c r="AG366" s="1176"/>
      <c r="AH366" s="1176"/>
      <c r="AI366" s="1176"/>
      <c r="AJ366" s="1176"/>
      <c r="AK366" s="1176"/>
      <c r="AL366" s="1176"/>
      <c r="AM366" s="1176"/>
      <c r="AN366" s="1176"/>
      <c r="AO366" s="1168"/>
      <c r="AP366" s="1168"/>
      <c r="AQ366" s="1168"/>
    </row>
    <row r="367" spans="1:43" ht="13.8">
      <c r="A367" s="1168"/>
      <c r="B367" s="1170" t="s">
        <v>1780</v>
      </c>
      <c r="C367" s="1169"/>
      <c r="D367" s="1176"/>
      <c r="E367" s="1176"/>
      <c r="F367" s="1176"/>
      <c r="G367" s="1176"/>
      <c r="H367" s="1176"/>
      <c r="I367" s="1176"/>
      <c r="J367" s="1176"/>
      <c r="K367" s="1176"/>
      <c r="L367" s="1176"/>
      <c r="M367" s="1176"/>
      <c r="N367" s="1176"/>
      <c r="O367" s="1176"/>
      <c r="P367" s="1176"/>
      <c r="Q367" s="1176"/>
      <c r="R367" s="1176"/>
      <c r="S367" s="1176"/>
      <c r="T367" s="1176"/>
      <c r="U367" s="1176"/>
      <c r="V367" s="1176"/>
      <c r="W367" s="1176"/>
      <c r="X367" s="1176"/>
      <c r="Y367" s="1176"/>
      <c r="Z367" s="1176"/>
      <c r="AA367" s="1176"/>
      <c r="AB367" s="1176"/>
      <c r="AC367" s="1176"/>
      <c r="AD367" s="1176"/>
      <c r="AE367" s="1176"/>
      <c r="AF367" s="1176"/>
      <c r="AG367" s="1176"/>
      <c r="AH367" s="1176"/>
      <c r="AI367" s="1176"/>
      <c r="AJ367" s="1176"/>
      <c r="AK367" s="1176"/>
      <c r="AL367" s="1176"/>
      <c r="AM367" s="1176"/>
      <c r="AN367" s="1176"/>
      <c r="AO367" s="1168"/>
      <c r="AP367" s="1168"/>
      <c r="AQ367" s="1168"/>
    </row>
    <row r="368" spans="1:43" ht="13.8">
      <c r="A368" s="1168"/>
      <c r="B368" s="1169"/>
      <c r="C368" s="1169"/>
      <c r="D368" s="1176"/>
      <c r="E368" s="1176"/>
      <c r="F368" s="1176"/>
      <c r="G368" s="1176"/>
      <c r="H368" s="1176"/>
      <c r="I368" s="1176"/>
      <c r="J368" s="1176"/>
      <c r="K368" s="1176"/>
      <c r="L368" s="1176"/>
      <c r="M368" s="1176"/>
      <c r="N368" s="1176"/>
      <c r="O368" s="1176"/>
      <c r="P368" s="1176"/>
      <c r="Q368" s="1176"/>
      <c r="R368" s="1176"/>
      <c r="S368" s="1176"/>
      <c r="T368" s="1176"/>
      <c r="U368" s="1176"/>
      <c r="V368" s="1176"/>
      <c r="W368" s="1176"/>
      <c r="X368" s="1176"/>
      <c r="Y368" s="1176"/>
      <c r="Z368" s="1176"/>
      <c r="AA368" s="1176"/>
      <c r="AB368" s="1176"/>
      <c r="AC368" s="1176"/>
      <c r="AD368" s="1176"/>
      <c r="AE368" s="1176"/>
      <c r="AF368" s="1176"/>
      <c r="AG368" s="1176"/>
      <c r="AH368" s="1176"/>
      <c r="AI368" s="1176"/>
      <c r="AJ368" s="1176"/>
      <c r="AK368" s="1176"/>
      <c r="AL368" s="1176"/>
      <c r="AM368" s="1176"/>
      <c r="AN368" s="1176"/>
      <c r="AO368" s="1168"/>
      <c r="AP368" s="1168"/>
      <c r="AQ368" s="1168"/>
    </row>
    <row r="369" spans="1:43" ht="13.8">
      <c r="A369" s="1168"/>
      <c r="B369" s="1261" t="s">
        <v>1781</v>
      </c>
      <c r="C369" s="1261"/>
      <c r="D369" s="1169"/>
      <c r="E369" s="1169"/>
      <c r="F369" s="1169"/>
      <c r="G369" s="1169"/>
      <c r="H369" s="1169"/>
      <c r="I369" s="1169"/>
      <c r="J369" s="1169"/>
      <c r="K369" s="1169"/>
      <c r="L369" s="1169"/>
      <c r="M369" s="1169"/>
      <c r="N369" s="1169"/>
      <c r="O369" s="1169"/>
      <c r="P369" s="1169"/>
      <c r="Q369" s="1169"/>
      <c r="R369" s="1169"/>
      <c r="S369" s="1176"/>
      <c r="T369" s="1176"/>
      <c r="U369" s="1176"/>
      <c r="V369" s="1176"/>
      <c r="W369" s="1176"/>
      <c r="X369" s="1176"/>
      <c r="Y369" s="1176"/>
      <c r="Z369" s="1176"/>
      <c r="AA369" s="1176"/>
      <c r="AB369" s="1176"/>
      <c r="AC369" s="1176"/>
      <c r="AD369" s="1176"/>
      <c r="AE369" s="1176"/>
      <c r="AF369" s="1176"/>
      <c r="AG369" s="1176"/>
      <c r="AH369" s="1176"/>
      <c r="AI369" s="1176"/>
      <c r="AJ369" s="1176"/>
      <c r="AK369" s="1176"/>
      <c r="AL369" s="1176"/>
      <c r="AM369" s="1176"/>
      <c r="AN369" s="1176"/>
      <c r="AO369" s="1168"/>
      <c r="AP369" s="1271"/>
      <c r="AQ369" s="1168"/>
    </row>
    <row r="370" spans="1:43" ht="13.8">
      <c r="A370" s="1168"/>
      <c r="B370" s="1218"/>
      <c r="C370" s="1218"/>
      <c r="D370" s="1218"/>
      <c r="E370" s="1218"/>
      <c r="F370" s="1218"/>
      <c r="G370" s="1218"/>
      <c r="H370" s="1218"/>
      <c r="I370" s="1218"/>
      <c r="J370" s="1218"/>
      <c r="K370" s="1218"/>
      <c r="L370" s="1218"/>
      <c r="M370" s="1218"/>
      <c r="N370" s="1218"/>
      <c r="O370" s="1218"/>
      <c r="P370" s="1218"/>
      <c r="Q370" s="1218"/>
      <c r="R370" s="1218"/>
      <c r="S370" s="1218"/>
      <c r="T370" s="1218"/>
      <c r="U370" s="1218"/>
      <c r="V370" s="1218"/>
      <c r="W370" s="1218"/>
      <c r="X370" s="1218"/>
      <c r="Y370" s="1218"/>
      <c r="Z370" s="1218"/>
      <c r="AA370" s="1218"/>
      <c r="AB370" s="1218"/>
      <c r="AC370" s="1218"/>
      <c r="AD370" s="1218"/>
      <c r="AE370" s="1218"/>
      <c r="AF370" s="1218"/>
      <c r="AG370" s="1218"/>
      <c r="AH370" s="1218"/>
      <c r="AI370" s="1218"/>
      <c r="AJ370" s="1218"/>
      <c r="AK370" s="1218"/>
      <c r="AL370" s="1218"/>
      <c r="AM370" s="1218"/>
      <c r="AN370" s="1218"/>
      <c r="AO370" s="1171"/>
      <c r="AP370" s="1171"/>
      <c r="AQ370" s="1168"/>
    </row>
    <row r="371" spans="1:43" ht="13.8">
      <c r="A371" s="1168"/>
      <c r="B371" s="1176"/>
      <c r="C371" s="1176"/>
      <c r="D371" s="1176"/>
      <c r="E371" s="1176"/>
      <c r="F371" s="1176"/>
      <c r="G371" s="1176"/>
      <c r="H371" s="1176"/>
      <c r="I371" s="1176"/>
      <c r="J371" s="1176"/>
      <c r="K371" s="1176"/>
      <c r="L371" s="1176"/>
      <c r="M371" s="1176"/>
      <c r="N371" s="1176"/>
      <c r="O371" s="1176"/>
      <c r="P371" s="1176"/>
      <c r="Q371" s="1176"/>
      <c r="R371" s="1176"/>
      <c r="S371" s="1176"/>
      <c r="T371" s="1176"/>
      <c r="U371" s="1176"/>
      <c r="V371" s="1176"/>
      <c r="W371" s="1176"/>
      <c r="X371" s="1176"/>
      <c r="Y371" s="1285"/>
      <c r="Z371" s="1285"/>
      <c r="AA371" s="1176"/>
      <c r="AB371" s="1176"/>
      <c r="AC371" s="1176"/>
      <c r="AD371" s="1176"/>
      <c r="AE371" s="1176"/>
      <c r="AF371" s="1176"/>
      <c r="AG371" s="1176"/>
      <c r="AH371" s="1176"/>
      <c r="AI371" s="1176"/>
      <c r="AJ371" s="1176"/>
      <c r="AK371" s="1176"/>
      <c r="AL371" s="1176"/>
      <c r="AM371" s="1176"/>
      <c r="AN371" s="1176"/>
      <c r="AO371" s="1168"/>
      <c r="AP371" s="1168"/>
      <c r="AQ371" s="1168"/>
    </row>
    <row r="372" spans="1:43" ht="13.8">
      <c r="A372" s="1206"/>
      <c r="B372" s="3099" t="s">
        <v>1782</v>
      </c>
      <c r="C372" s="3099"/>
      <c r="D372" s="3099"/>
      <c r="E372" s="3100">
        <v>2000</v>
      </c>
      <c r="F372" s="3100"/>
      <c r="G372" s="3100">
        <v>2001</v>
      </c>
      <c r="H372" s="3100"/>
      <c r="I372" s="3100">
        <v>2002</v>
      </c>
      <c r="J372" s="3100"/>
      <c r="K372" s="3100">
        <v>2003</v>
      </c>
      <c r="L372" s="3100"/>
      <c r="M372" s="3100">
        <v>2004</v>
      </c>
      <c r="N372" s="3100"/>
      <c r="O372" s="3100">
        <v>2005</v>
      </c>
      <c r="P372" s="3100"/>
      <c r="Q372" s="3100">
        <v>2006</v>
      </c>
      <c r="R372" s="3100"/>
      <c r="S372" s="3100">
        <v>2007</v>
      </c>
      <c r="T372" s="3100"/>
      <c r="U372" s="3100">
        <v>2008</v>
      </c>
      <c r="V372" s="3100"/>
      <c r="W372" s="3100">
        <v>2009</v>
      </c>
      <c r="X372" s="3100"/>
      <c r="Y372" s="3110">
        <v>2010</v>
      </c>
      <c r="Z372" s="3110"/>
      <c r="AA372" s="3100">
        <v>2011</v>
      </c>
      <c r="AB372" s="3100"/>
      <c r="AC372" s="3100">
        <v>2012</v>
      </c>
      <c r="AD372" s="3100"/>
      <c r="AE372" s="3100">
        <v>2013</v>
      </c>
      <c r="AF372" s="3100"/>
      <c r="AG372" s="3100">
        <v>2014</v>
      </c>
      <c r="AH372" s="3100"/>
      <c r="AI372" s="3100">
        <v>2015</v>
      </c>
      <c r="AJ372" s="3100"/>
      <c r="AK372" s="3100">
        <v>2016</v>
      </c>
      <c r="AL372" s="3100"/>
      <c r="AM372" s="3100">
        <v>2017</v>
      </c>
      <c r="AN372" s="3100"/>
      <c r="AO372" s="3108" t="s">
        <v>1783</v>
      </c>
      <c r="AP372" s="3108"/>
      <c r="AQ372" s="1168"/>
    </row>
    <row r="373" spans="1:43" ht="13.8">
      <c r="A373" s="1206"/>
      <c r="B373" s="3102" t="s">
        <v>1784</v>
      </c>
      <c r="C373" s="3102"/>
      <c r="D373" s="3102"/>
      <c r="E373" s="3107"/>
      <c r="F373" s="3107"/>
      <c r="G373" s="3107"/>
      <c r="H373" s="3107"/>
      <c r="I373" s="3107"/>
      <c r="J373" s="3107"/>
      <c r="K373" s="3107"/>
      <c r="L373" s="3107"/>
      <c r="M373" s="3107"/>
      <c r="N373" s="3107"/>
      <c r="O373" s="3107"/>
      <c r="P373" s="3107"/>
      <c r="Q373" s="3107"/>
      <c r="R373" s="3107"/>
      <c r="S373" s="3107"/>
      <c r="T373" s="3107"/>
      <c r="U373" s="3107"/>
      <c r="V373" s="3107"/>
      <c r="W373" s="3107"/>
      <c r="X373" s="3107"/>
      <c r="Y373" s="3111"/>
      <c r="Z373" s="3111"/>
      <c r="AA373" s="3107"/>
      <c r="AB373" s="3107"/>
      <c r="AC373" s="3107"/>
      <c r="AD373" s="3107"/>
      <c r="AE373" s="3107"/>
      <c r="AF373" s="3107"/>
      <c r="AG373" s="3107"/>
      <c r="AH373" s="3107"/>
      <c r="AI373" s="3107"/>
      <c r="AJ373" s="3107"/>
      <c r="AK373" s="3107"/>
      <c r="AL373" s="3107"/>
      <c r="AM373" s="3107"/>
      <c r="AN373" s="3107"/>
      <c r="AO373" s="3109"/>
      <c r="AP373" s="3109"/>
      <c r="AQ373" s="1168"/>
    </row>
    <row r="374" spans="1:43" ht="13.8">
      <c r="A374" s="1206"/>
      <c r="B374" s="1178"/>
      <c r="C374" s="1178"/>
      <c r="D374" s="1206"/>
      <c r="E374" s="1222"/>
      <c r="F374" s="1222"/>
      <c r="G374" s="1222"/>
      <c r="H374" s="1222"/>
      <c r="I374" s="1222"/>
      <c r="J374" s="1222"/>
      <c r="K374" s="1222"/>
      <c r="L374" s="1222"/>
      <c r="M374" s="1222"/>
      <c r="N374" s="1222"/>
      <c r="O374" s="1222"/>
      <c r="P374" s="1222"/>
      <c r="Q374" s="1222"/>
      <c r="R374" s="1222"/>
      <c r="S374" s="1222"/>
      <c r="T374" s="1222"/>
      <c r="U374" s="1222"/>
      <c r="V374" s="1222"/>
      <c r="W374" s="1222"/>
      <c r="X374" s="1222"/>
      <c r="Y374" s="1287"/>
      <c r="Z374" s="1287"/>
      <c r="AA374" s="1222"/>
      <c r="AB374" s="1222"/>
      <c r="AC374" s="1222"/>
      <c r="AD374" s="1222"/>
      <c r="AE374" s="1222"/>
      <c r="AF374" s="1222"/>
      <c r="AG374" s="1222"/>
      <c r="AH374" s="1222"/>
      <c r="AI374" s="1222"/>
      <c r="AJ374" s="1222"/>
      <c r="AK374" s="1222"/>
      <c r="AL374" s="1222"/>
      <c r="AM374" s="1222"/>
      <c r="AN374" s="1222"/>
      <c r="AO374" s="1222"/>
      <c r="AP374" s="1206"/>
      <c r="AQ374" s="1168"/>
    </row>
    <row r="375" spans="1:43" ht="13.8">
      <c r="A375" s="1206"/>
      <c r="B375" s="1178"/>
      <c r="C375" s="1178"/>
      <c r="D375" s="1223" t="s">
        <v>1785</v>
      </c>
      <c r="E375" s="1182"/>
      <c r="F375" s="1182"/>
      <c r="G375" s="1182"/>
      <c r="H375" s="1182"/>
      <c r="I375" s="1182"/>
      <c r="J375" s="1182"/>
      <c r="K375" s="1182"/>
      <c r="L375" s="1182"/>
      <c r="M375" s="1182"/>
      <c r="N375" s="1182"/>
      <c r="O375" s="1182"/>
      <c r="P375" s="1182"/>
      <c r="Q375" s="1182"/>
      <c r="R375" s="1182"/>
      <c r="S375" s="1182"/>
      <c r="T375" s="1182"/>
      <c r="U375" s="1182"/>
      <c r="V375" s="1182"/>
      <c r="W375" s="1182"/>
      <c r="X375" s="1182"/>
      <c r="Y375" s="1217"/>
      <c r="Z375" s="1217"/>
      <c r="AA375" s="1182"/>
      <c r="AB375" s="1182"/>
      <c r="AC375" s="1182"/>
      <c r="AD375" s="1182"/>
      <c r="AE375" s="1182"/>
      <c r="AF375" s="1182"/>
      <c r="AG375" s="1182"/>
      <c r="AH375" s="1182"/>
      <c r="AI375" s="1182"/>
      <c r="AJ375" s="1182"/>
      <c r="AK375" s="1182"/>
      <c r="AL375" s="1182"/>
      <c r="AM375" s="1182"/>
      <c r="AN375" s="1182"/>
      <c r="AO375" s="1222"/>
      <c r="AP375" s="1223" t="s">
        <v>1786</v>
      </c>
      <c r="AQ375" s="1168"/>
    </row>
    <row r="376" spans="1:43" ht="13.8">
      <c r="A376" s="1206"/>
      <c r="B376" s="1178">
        <v>1</v>
      </c>
      <c r="C376" s="1178"/>
      <c r="D376" s="1206" t="s">
        <v>1787</v>
      </c>
      <c r="E376" s="1186">
        <v>19970.572999999997</v>
      </c>
      <c r="F376" s="1168"/>
      <c r="G376" s="1186">
        <v>19953.643</v>
      </c>
      <c r="H376" s="1168"/>
      <c r="I376" s="1272">
        <v>19495.746999999996</v>
      </c>
      <c r="J376" s="1168"/>
      <c r="K376" s="1186">
        <v>19471.704803333334</v>
      </c>
      <c r="L376" s="1168"/>
      <c r="M376" s="1186">
        <v>19525.845000000001</v>
      </c>
      <c r="N376" s="1168"/>
      <c r="O376" s="1186">
        <v>20917.802489999998</v>
      </c>
      <c r="P376" s="1213"/>
      <c r="Q376" s="1186">
        <v>22002.038256314616</v>
      </c>
      <c r="R376" s="1168"/>
      <c r="S376" s="1186">
        <v>23116.876626000005</v>
      </c>
      <c r="T376" s="1186"/>
      <c r="U376" s="1186">
        <v>22445.253621333308</v>
      </c>
      <c r="V376" s="1186"/>
      <c r="W376" s="1186">
        <v>19029.119860000006</v>
      </c>
      <c r="X376" s="1186"/>
      <c r="Y376" s="1214">
        <v>20978.453410000016</v>
      </c>
      <c r="Z376" s="1214"/>
      <c r="AA376" s="1186">
        <v>20710.961759999984</v>
      </c>
      <c r="AB376" s="1206"/>
      <c r="AC376" s="1186">
        <v>20135.769316647125</v>
      </c>
      <c r="AD376" s="1206"/>
      <c r="AE376" s="1186">
        <v>20991.080334940867</v>
      </c>
      <c r="AF376" s="1273" t="s">
        <v>203</v>
      </c>
      <c r="AG376" s="1186">
        <v>21348.171976416321</v>
      </c>
      <c r="AH376" s="1206"/>
      <c r="AI376" s="1186"/>
      <c r="AJ376" s="1206"/>
      <c r="AK376" s="1186"/>
      <c r="AL376" s="1206"/>
      <c r="AM376" s="1186"/>
      <c r="AN376" s="1206"/>
      <c r="AO376" s="1182"/>
      <c r="AP376" s="1206" t="s">
        <v>1788</v>
      </c>
      <c r="AQ376" s="1168"/>
    </row>
    <row r="377" spans="1:43" ht="13.8">
      <c r="A377" s="1206"/>
      <c r="B377" s="1178">
        <v>2</v>
      </c>
      <c r="C377" s="1178"/>
      <c r="D377" s="1206" t="s">
        <v>1789</v>
      </c>
      <c r="E377" s="1186">
        <v>10220.6</v>
      </c>
      <c r="F377" s="1168"/>
      <c r="G377" s="1186">
        <v>10776.5</v>
      </c>
      <c r="H377" s="1168"/>
      <c r="I377" s="1272">
        <v>10390.543</v>
      </c>
      <c r="J377" s="1168"/>
      <c r="K377" s="1186">
        <v>11867.189</v>
      </c>
      <c r="L377" s="1168"/>
      <c r="M377" s="1186">
        <v>12078.606</v>
      </c>
      <c r="N377" s="1168"/>
      <c r="O377" s="1186">
        <v>12344.967000000001</v>
      </c>
      <c r="P377" s="1168"/>
      <c r="Q377" s="1186">
        <v>12730.424999999999</v>
      </c>
      <c r="R377" s="1168"/>
      <c r="S377" s="1186">
        <v>13682.791999999999</v>
      </c>
      <c r="T377" s="1168"/>
      <c r="U377" s="1186">
        <v>13945.531999999999</v>
      </c>
      <c r="V377" s="1168"/>
      <c r="W377" s="1186">
        <v>9303.1630000000005</v>
      </c>
      <c r="X377" s="1168"/>
      <c r="Y377" s="1214">
        <v>12742.844999999999</v>
      </c>
      <c r="Z377" s="1288"/>
      <c r="AA377" s="1186">
        <v>11514.169000000004</v>
      </c>
      <c r="AB377" s="1206"/>
      <c r="AC377" s="1186">
        <v>10158.731</v>
      </c>
      <c r="AD377" s="1206"/>
      <c r="AE377" s="1186">
        <v>9923.6075000000001</v>
      </c>
      <c r="AF377" s="1273"/>
      <c r="AG377" s="1186">
        <v>9826.496000000001</v>
      </c>
      <c r="AH377" s="1206"/>
      <c r="AI377" s="1186"/>
      <c r="AJ377" s="1206"/>
      <c r="AK377" s="1186"/>
      <c r="AL377" s="1206"/>
      <c r="AM377" s="1186"/>
      <c r="AN377" s="1206"/>
      <c r="AO377" s="1182"/>
      <c r="AP377" s="1206" t="s">
        <v>1790</v>
      </c>
      <c r="AQ377" s="1168"/>
    </row>
    <row r="378" spans="1:43" ht="13.8">
      <c r="A378" s="1206"/>
      <c r="B378" s="1178">
        <v>3</v>
      </c>
      <c r="C378" s="1178"/>
      <c r="D378" s="1206" t="s">
        <v>1636</v>
      </c>
      <c r="E378" s="1186">
        <v>4138.5780000000004</v>
      </c>
      <c r="F378" s="1168"/>
      <c r="G378" s="1186">
        <v>4064.6960000000004</v>
      </c>
      <c r="H378" s="1168"/>
      <c r="I378" s="1186">
        <v>4324.7020599999996</v>
      </c>
      <c r="J378" s="1168"/>
      <c r="K378" s="1186">
        <v>4488.1374633333326</v>
      </c>
      <c r="L378" s="1168"/>
      <c r="M378" s="1186">
        <v>4948.9796200000001</v>
      </c>
      <c r="N378" s="1168"/>
      <c r="O378" s="1186">
        <v>5476.8410000000013</v>
      </c>
      <c r="P378" s="1168"/>
      <c r="Q378" s="1186">
        <v>5842.6381000000001</v>
      </c>
      <c r="R378" s="1168"/>
      <c r="S378" s="1186">
        <v>6046.8862739999995</v>
      </c>
      <c r="T378" s="1168"/>
      <c r="U378" s="1186">
        <v>5997.5369926666699</v>
      </c>
      <c r="V378" s="1168"/>
      <c r="W378" s="1186">
        <v>6500.2748159999983</v>
      </c>
      <c r="X378" s="1168"/>
      <c r="Y378" s="1214">
        <v>6678.0511369662881</v>
      </c>
      <c r="Z378" s="1289"/>
      <c r="AA378" s="1186">
        <v>7169.1093581999994</v>
      </c>
      <c r="AB378" s="1206"/>
      <c r="AC378" s="1186">
        <v>6818.5471337562967</v>
      </c>
      <c r="AD378" s="1206"/>
      <c r="AE378" s="1186">
        <v>5599.2449488778357</v>
      </c>
      <c r="AF378" s="1273" t="s">
        <v>203</v>
      </c>
      <c r="AG378" s="1186">
        <v>6156.624904681219</v>
      </c>
      <c r="AH378" s="1206"/>
      <c r="AI378" s="1186"/>
      <c r="AJ378" s="1206"/>
      <c r="AK378" s="1186"/>
      <c r="AL378" s="1206"/>
      <c r="AM378" s="1186"/>
      <c r="AN378" s="1206"/>
      <c r="AO378" s="1182"/>
      <c r="AP378" s="1206" t="s">
        <v>1653</v>
      </c>
      <c r="AQ378" s="1168"/>
    </row>
    <row r="379" spans="1:43" ht="13.8">
      <c r="A379" s="1206"/>
      <c r="B379" s="1178">
        <v>4</v>
      </c>
      <c r="C379" s="1178"/>
      <c r="D379" s="1224" t="s">
        <v>1791</v>
      </c>
      <c r="E379" s="1225">
        <v>34329.750999999997</v>
      </c>
      <c r="F379" s="1274"/>
      <c r="G379" s="1225">
        <v>34794.839</v>
      </c>
      <c r="H379" s="1274"/>
      <c r="I379" s="1275">
        <v>34210.992059999997</v>
      </c>
      <c r="J379" s="1274"/>
      <c r="K379" s="1225">
        <v>35827.031266666665</v>
      </c>
      <c r="L379" s="1274"/>
      <c r="M379" s="1225">
        <v>36553.430619999999</v>
      </c>
      <c r="N379" s="1274"/>
      <c r="O379" s="1225">
        <v>38739.610489999999</v>
      </c>
      <c r="P379" s="1213"/>
      <c r="Q379" s="1225">
        <v>40575.101356314612</v>
      </c>
      <c r="R379" s="1274"/>
      <c r="S379" s="1225">
        <v>42846.554900000003</v>
      </c>
      <c r="T379" s="1274"/>
      <c r="U379" s="1225">
        <v>42388.322613999975</v>
      </c>
      <c r="V379" s="1274"/>
      <c r="W379" s="1225">
        <v>34832.557676000004</v>
      </c>
      <c r="X379" s="1274"/>
      <c r="Y379" s="1290">
        <v>40399.349546966303</v>
      </c>
      <c r="Z379" s="1291"/>
      <c r="AA379" s="1225">
        <v>39394.240118199989</v>
      </c>
      <c r="AB379" s="1206"/>
      <c r="AC379" s="1225">
        <v>37113.047450403421</v>
      </c>
      <c r="AD379" s="1206"/>
      <c r="AE379" s="1225">
        <v>36513.932783818702</v>
      </c>
      <c r="AF379" s="1273" t="s">
        <v>203</v>
      </c>
      <c r="AG379" s="1225">
        <v>37331.292881097543</v>
      </c>
      <c r="AH379" s="1206"/>
      <c r="AI379" s="1225"/>
      <c r="AJ379" s="1206"/>
      <c r="AK379" s="1225"/>
      <c r="AL379" s="1206"/>
      <c r="AM379" s="1225"/>
      <c r="AN379" s="1206"/>
      <c r="AO379" s="1182"/>
      <c r="AP379" s="1224" t="s">
        <v>124</v>
      </c>
      <c r="AQ379" s="1168"/>
    </row>
    <row r="380" spans="1:43" ht="13.8">
      <c r="A380" s="1206"/>
      <c r="B380" s="1232"/>
      <c r="C380" s="1232"/>
      <c r="D380" s="1233"/>
      <c r="E380" s="1239"/>
      <c r="F380" s="1276"/>
      <c r="G380" s="1239"/>
      <c r="H380" s="1276"/>
      <c r="I380" s="1239"/>
      <c r="J380" s="1276"/>
      <c r="K380" s="1239"/>
      <c r="L380" s="1276"/>
      <c r="M380" s="1239"/>
      <c r="N380" s="1276"/>
      <c r="O380" s="1239"/>
      <c r="P380" s="1276"/>
      <c r="Q380" s="1239"/>
      <c r="R380" s="1276"/>
      <c r="S380" s="1239"/>
      <c r="T380" s="1276"/>
      <c r="U380" s="1239"/>
      <c r="V380" s="1276"/>
      <c r="W380" s="1239"/>
      <c r="X380" s="1276"/>
      <c r="Y380" s="1292"/>
      <c r="Z380" s="1293"/>
      <c r="AA380" s="1239"/>
      <c r="AB380" s="1237"/>
      <c r="AC380" s="1239"/>
      <c r="AD380" s="1237"/>
      <c r="AE380" s="1239"/>
      <c r="AF380" s="1239"/>
      <c r="AG380" s="1239"/>
      <c r="AH380" s="1237"/>
      <c r="AI380" s="1239"/>
      <c r="AJ380" s="1237"/>
      <c r="AK380" s="1239"/>
      <c r="AL380" s="1237"/>
      <c r="AM380" s="1239"/>
      <c r="AN380" s="1237"/>
      <c r="AO380" s="1277"/>
      <c r="AP380" s="1233"/>
      <c r="AQ380" s="1168"/>
    </row>
    <row r="381" spans="1:43" ht="13.8">
      <c r="A381" s="1206"/>
      <c r="B381" s="1178"/>
      <c r="C381" s="1178"/>
      <c r="D381" s="1206"/>
      <c r="E381" s="1186"/>
      <c r="F381" s="1168"/>
      <c r="G381" s="1186"/>
      <c r="H381" s="1168"/>
      <c r="I381" s="1186"/>
      <c r="J381" s="1168"/>
      <c r="K381" s="1186"/>
      <c r="L381" s="1168"/>
      <c r="M381" s="1186"/>
      <c r="N381" s="1168"/>
      <c r="O381" s="1186"/>
      <c r="P381" s="1168"/>
      <c r="Q381" s="1186"/>
      <c r="R381" s="1168"/>
      <c r="S381" s="1186"/>
      <c r="T381" s="1168"/>
      <c r="U381" s="1186"/>
      <c r="V381" s="1168"/>
      <c r="W381" s="1186"/>
      <c r="X381" s="1168"/>
      <c r="Y381" s="1214"/>
      <c r="Z381" s="1288"/>
      <c r="AA381" s="1186"/>
      <c r="AB381" s="1206"/>
      <c r="AC381" s="1186"/>
      <c r="AD381" s="1206"/>
      <c r="AE381" s="1186"/>
      <c r="AF381" s="1273"/>
      <c r="AG381" s="1186"/>
      <c r="AH381" s="1206"/>
      <c r="AI381" s="1186"/>
      <c r="AJ381" s="1206"/>
      <c r="AK381" s="1186"/>
      <c r="AL381" s="1206"/>
      <c r="AM381" s="1186"/>
      <c r="AN381" s="1206"/>
      <c r="AO381" s="1222"/>
      <c r="AP381" s="1206"/>
      <c r="AQ381" s="1168"/>
    </row>
    <row r="382" spans="1:43" ht="13.8">
      <c r="A382" s="1206"/>
      <c r="B382" s="1178"/>
      <c r="C382" s="1178"/>
      <c r="D382" s="1223" t="s">
        <v>1792</v>
      </c>
      <c r="E382" s="1186"/>
      <c r="F382" s="1168"/>
      <c r="G382" s="1186"/>
      <c r="H382" s="1168"/>
      <c r="I382" s="1186"/>
      <c r="J382" s="1168"/>
      <c r="K382" s="1186"/>
      <c r="L382" s="1168"/>
      <c r="M382" s="1186"/>
      <c r="N382" s="1168"/>
      <c r="O382" s="1186"/>
      <c r="P382" s="1168"/>
      <c r="Q382" s="1186"/>
      <c r="R382" s="1168"/>
      <c r="S382" s="1186"/>
      <c r="T382" s="1168"/>
      <c r="U382" s="1186"/>
      <c r="V382" s="1168"/>
      <c r="W382" s="1186"/>
      <c r="X382" s="1168"/>
      <c r="Y382" s="1214"/>
      <c r="Z382" s="1288"/>
      <c r="AA382" s="1186"/>
      <c r="AB382" s="1206"/>
      <c r="AC382" s="1186"/>
      <c r="AD382" s="1206"/>
      <c r="AE382" s="1186"/>
      <c r="AF382" s="1273"/>
      <c r="AG382" s="1186"/>
      <c r="AH382" s="1206"/>
      <c r="AI382" s="1186"/>
      <c r="AJ382" s="1206"/>
      <c r="AK382" s="1186"/>
      <c r="AL382" s="1206"/>
      <c r="AM382" s="1186"/>
      <c r="AN382" s="1206"/>
      <c r="AO382" s="1222"/>
      <c r="AP382" s="1223" t="s">
        <v>1793</v>
      </c>
      <c r="AQ382" s="1168"/>
    </row>
    <row r="383" spans="1:43" ht="13.8">
      <c r="A383" s="1206"/>
      <c r="B383" s="1178">
        <v>5</v>
      </c>
      <c r="C383" s="1178"/>
      <c r="D383" s="1206" t="s">
        <v>1787</v>
      </c>
      <c r="E383" s="1186">
        <v>8080.2880000000005</v>
      </c>
      <c r="F383" s="1168"/>
      <c r="G383" s="1186">
        <v>7346.5759999999973</v>
      </c>
      <c r="H383" s="1168"/>
      <c r="I383" s="1272">
        <v>6798.7769999999964</v>
      </c>
      <c r="J383" s="1168"/>
      <c r="K383" s="1186">
        <v>7177.5992200000001</v>
      </c>
      <c r="L383" s="1168"/>
      <c r="M383" s="1186">
        <v>7180.1010000000006</v>
      </c>
      <c r="N383" s="1168"/>
      <c r="O383" s="1186">
        <v>7115.4120799999982</v>
      </c>
      <c r="P383" s="1168"/>
      <c r="Q383" s="1186">
        <v>6787.5403536853883</v>
      </c>
      <c r="R383" s="1168"/>
      <c r="S383" s="1186">
        <v>6791.1129529999889</v>
      </c>
      <c r="T383" s="1186"/>
      <c r="U383" s="1186">
        <v>6681.4534569999869</v>
      </c>
      <c r="V383" s="1186"/>
      <c r="W383" s="1186">
        <v>5338.888004999988</v>
      </c>
      <c r="X383" s="1186"/>
      <c r="Y383" s="1214">
        <v>5817.2133121810912</v>
      </c>
      <c r="Z383" s="1214"/>
      <c r="AA383" s="1186">
        <v>6254.360931999996</v>
      </c>
      <c r="AB383" s="1206"/>
      <c r="AC383" s="1186">
        <v>5424.3691276621139</v>
      </c>
      <c r="AD383" s="1206"/>
      <c r="AE383" s="1186">
        <v>6843.1200139999892</v>
      </c>
      <c r="AF383" s="1273" t="s">
        <v>203</v>
      </c>
      <c r="AG383" s="1186">
        <v>7675.3195130000022</v>
      </c>
      <c r="AH383" s="1206"/>
      <c r="AI383" s="1186"/>
      <c r="AJ383" s="1206"/>
      <c r="AK383" s="1186"/>
      <c r="AL383" s="1206"/>
      <c r="AM383" s="1186"/>
      <c r="AN383" s="1206"/>
      <c r="AO383" s="1182"/>
      <c r="AP383" s="1206" t="s">
        <v>1788</v>
      </c>
      <c r="AQ383" s="1168"/>
    </row>
    <row r="384" spans="1:43" ht="13.8">
      <c r="A384" s="1206"/>
      <c r="B384" s="1178">
        <v>6</v>
      </c>
      <c r="C384" s="1178"/>
      <c r="D384" s="1206" t="s">
        <v>1789</v>
      </c>
      <c r="E384" s="1186">
        <v>13986.400000000001</v>
      </c>
      <c r="F384" s="1168"/>
      <c r="G384" s="1186">
        <v>12226.099999999999</v>
      </c>
      <c r="H384" s="1168"/>
      <c r="I384" s="1272">
        <v>12772.029</v>
      </c>
      <c r="J384" s="1168"/>
      <c r="K384" s="1186">
        <v>13730.608</v>
      </c>
      <c r="L384" s="1168"/>
      <c r="M384" s="1186">
        <v>15162.62</v>
      </c>
      <c r="N384" s="1168"/>
      <c r="O384" s="1186">
        <v>15948.52</v>
      </c>
      <c r="P384" s="1168"/>
      <c r="Q384" s="1186">
        <v>15924.748</v>
      </c>
      <c r="R384" s="1168"/>
      <c r="S384" s="1186">
        <v>16241.407999999999</v>
      </c>
      <c r="T384" s="1168"/>
      <c r="U384" s="1186">
        <v>14299.225</v>
      </c>
      <c r="V384" s="1168"/>
      <c r="W384" s="1186">
        <v>12681.933999999999</v>
      </c>
      <c r="X384" s="1168"/>
      <c r="Y384" s="1214">
        <v>17471.867000000002</v>
      </c>
      <c r="Z384" s="1288"/>
      <c r="AA384" s="1186">
        <v>17816.271000000001</v>
      </c>
      <c r="AB384" s="1206"/>
      <c r="AC384" s="1186">
        <v>18897.03</v>
      </c>
      <c r="AD384" s="1206"/>
      <c r="AE384" s="1186">
        <v>18880.906999999999</v>
      </c>
      <c r="AF384" s="1273"/>
      <c r="AG384" s="1186">
        <v>18771.606999999996</v>
      </c>
      <c r="AH384" s="1206"/>
      <c r="AI384" s="1186"/>
      <c r="AJ384" s="1206"/>
      <c r="AK384" s="1186"/>
      <c r="AL384" s="1206"/>
      <c r="AM384" s="1186"/>
      <c r="AN384" s="1206"/>
      <c r="AO384" s="1182"/>
      <c r="AP384" s="1206" t="s">
        <v>1790</v>
      </c>
      <c r="AQ384" s="1168"/>
    </row>
    <row r="385" spans="1:43" ht="13.8">
      <c r="A385" s="1206"/>
      <c r="B385" s="1178">
        <v>7</v>
      </c>
      <c r="C385" s="1178"/>
      <c r="D385" s="1206" t="s">
        <v>1636</v>
      </c>
      <c r="E385" s="1186">
        <v>856.69900000000007</v>
      </c>
      <c r="F385" s="1168"/>
      <c r="G385" s="1186">
        <v>837.82899999999995</v>
      </c>
      <c r="H385" s="1168"/>
      <c r="I385" s="1186">
        <v>997.82812999999999</v>
      </c>
      <c r="J385" s="1168"/>
      <c r="K385" s="1186">
        <v>1138.8009499999998</v>
      </c>
      <c r="L385" s="1168"/>
      <c r="M385" s="1186">
        <v>1261.2552800000001</v>
      </c>
      <c r="N385" s="1168"/>
      <c r="O385" s="1186">
        <v>1394.5485103425451</v>
      </c>
      <c r="P385" s="1168"/>
      <c r="Q385" s="1186">
        <v>1657.08457</v>
      </c>
      <c r="R385" s="1168"/>
      <c r="S385" s="1186">
        <v>1929.513922383939</v>
      </c>
      <c r="T385" s="1168"/>
      <c r="U385" s="1186">
        <v>2263.2604378867045</v>
      </c>
      <c r="V385" s="1278"/>
      <c r="W385" s="1186">
        <v>3613.0008970000004</v>
      </c>
      <c r="X385" s="1273">
        <v>1</v>
      </c>
      <c r="Y385" s="1214">
        <v>4640.1250918189135</v>
      </c>
      <c r="Z385" s="1289"/>
      <c r="AA385" s="1186">
        <v>4441.8127391684793</v>
      </c>
      <c r="AB385" s="1206"/>
      <c r="AC385" s="1186">
        <v>4354.24884336385</v>
      </c>
      <c r="AD385" s="1206"/>
      <c r="AE385" s="1186">
        <v>4808.6179863522439</v>
      </c>
      <c r="AF385" s="1273" t="s">
        <v>203</v>
      </c>
      <c r="AG385" s="1186">
        <v>4256.6700959999998</v>
      </c>
      <c r="AH385" s="1206"/>
      <c r="AI385" s="1186"/>
      <c r="AJ385" s="1206"/>
      <c r="AK385" s="1186"/>
      <c r="AL385" s="1206"/>
      <c r="AM385" s="1186"/>
      <c r="AN385" s="1206"/>
      <c r="AO385" s="1222"/>
      <c r="AP385" s="1206" t="s">
        <v>1653</v>
      </c>
      <c r="AQ385" s="1168"/>
    </row>
    <row r="386" spans="1:43" ht="13.8">
      <c r="A386" s="1206"/>
      <c r="B386" s="1178">
        <v>8</v>
      </c>
      <c r="C386" s="1178"/>
      <c r="D386" s="1224" t="s">
        <v>1794</v>
      </c>
      <c r="E386" s="1225">
        <v>22923.387000000002</v>
      </c>
      <c r="F386" s="1274"/>
      <c r="G386" s="1225">
        <v>20410.504999999997</v>
      </c>
      <c r="H386" s="1274"/>
      <c r="I386" s="1275">
        <v>20568.634129999999</v>
      </c>
      <c r="J386" s="1274"/>
      <c r="K386" s="1225">
        <v>22047.008170000001</v>
      </c>
      <c r="L386" s="1274"/>
      <c r="M386" s="1225">
        <v>23603.976280000003</v>
      </c>
      <c r="N386" s="1274"/>
      <c r="O386" s="1225">
        <v>24458.480590342544</v>
      </c>
      <c r="P386" s="1274"/>
      <c r="Q386" s="1225">
        <v>24369.372923685387</v>
      </c>
      <c r="R386" s="1274"/>
      <c r="S386" s="1225">
        <v>24962.034875383928</v>
      </c>
      <c r="T386" s="1274"/>
      <c r="U386" s="1225">
        <v>23243.938894886691</v>
      </c>
      <c r="V386" s="1279"/>
      <c r="W386" s="1225">
        <v>21633.822901999989</v>
      </c>
      <c r="X386" s="1273">
        <v>1</v>
      </c>
      <c r="Y386" s="1290">
        <v>27929.205404000008</v>
      </c>
      <c r="Z386" s="1291"/>
      <c r="AA386" s="1225">
        <v>28512.444671168476</v>
      </c>
      <c r="AB386" s="1206"/>
      <c r="AC386" s="1225">
        <v>28675.647971025963</v>
      </c>
      <c r="AD386" s="1206"/>
      <c r="AE386" s="1225">
        <v>30532.645000352233</v>
      </c>
      <c r="AF386" s="1273" t="s">
        <v>203</v>
      </c>
      <c r="AG386" s="1225">
        <v>30703.596609</v>
      </c>
      <c r="AH386" s="1206"/>
      <c r="AI386" s="1225"/>
      <c r="AJ386" s="1206"/>
      <c r="AK386" s="1225"/>
      <c r="AL386" s="1206"/>
      <c r="AM386" s="1225"/>
      <c r="AN386" s="1206"/>
      <c r="AO386" s="1182"/>
      <c r="AP386" s="1224" t="s">
        <v>124</v>
      </c>
      <c r="AQ386" s="1168"/>
    </row>
    <row r="387" spans="1:43" ht="13.8">
      <c r="A387" s="1206"/>
      <c r="B387" s="1232"/>
      <c r="C387" s="1232"/>
      <c r="D387" s="1233"/>
      <c r="E387" s="1239"/>
      <c r="F387" s="1276"/>
      <c r="G387" s="1239"/>
      <c r="H387" s="1276"/>
      <c r="I387" s="1239"/>
      <c r="J387" s="1276"/>
      <c r="K387" s="1239"/>
      <c r="L387" s="1276"/>
      <c r="M387" s="1239"/>
      <c r="N387" s="1276"/>
      <c r="O387" s="1239"/>
      <c r="P387" s="1276"/>
      <c r="Q387" s="1239"/>
      <c r="R387" s="1276"/>
      <c r="S387" s="1239"/>
      <c r="T387" s="1276"/>
      <c r="U387" s="1239"/>
      <c r="V387" s="1276"/>
      <c r="W387" s="1239"/>
      <c r="X387" s="1280"/>
      <c r="Y387" s="1292"/>
      <c r="Z387" s="1293"/>
      <c r="AA387" s="1239"/>
      <c r="AB387" s="1237"/>
      <c r="AC387" s="1239"/>
      <c r="AD387" s="1237"/>
      <c r="AE387" s="1239"/>
      <c r="AF387" s="1239"/>
      <c r="AG387" s="1239"/>
      <c r="AH387" s="1237"/>
      <c r="AI387" s="1239"/>
      <c r="AJ387" s="1237"/>
      <c r="AK387" s="1239"/>
      <c r="AL387" s="1237"/>
      <c r="AM387" s="1239"/>
      <c r="AN387" s="1237"/>
      <c r="AO387" s="1277"/>
      <c r="AP387" s="1233"/>
      <c r="AQ387" s="1168"/>
    </row>
    <row r="388" spans="1:43" ht="13.8">
      <c r="A388" s="1206"/>
      <c r="B388" s="1178"/>
      <c r="C388" s="1178"/>
      <c r="D388" s="1206"/>
      <c r="E388" s="1186"/>
      <c r="F388" s="1168"/>
      <c r="G388" s="1186"/>
      <c r="H388" s="1168"/>
      <c r="I388" s="1186"/>
      <c r="J388" s="1168"/>
      <c r="K388" s="1186"/>
      <c r="L388" s="1168"/>
      <c r="M388" s="1186"/>
      <c r="N388" s="1168"/>
      <c r="O388" s="1186"/>
      <c r="P388" s="1168"/>
      <c r="Q388" s="1186"/>
      <c r="R388" s="1168"/>
      <c r="S388" s="1186"/>
      <c r="T388" s="1168"/>
      <c r="U388" s="1186"/>
      <c r="V388" s="1168"/>
      <c r="W388" s="1186"/>
      <c r="X388" s="1168"/>
      <c r="Y388" s="1214"/>
      <c r="Z388" s="1288"/>
      <c r="AA388" s="1186"/>
      <c r="AB388" s="1206"/>
      <c r="AC388" s="1186"/>
      <c r="AD388" s="1206"/>
      <c r="AE388" s="1186"/>
      <c r="AF388" s="1273"/>
      <c r="AG388" s="1186"/>
      <c r="AH388" s="1206"/>
      <c r="AI388" s="1186"/>
      <c r="AJ388" s="1206"/>
      <c r="AK388" s="1186"/>
      <c r="AL388" s="1206"/>
      <c r="AM388" s="1186"/>
      <c r="AN388" s="1206"/>
      <c r="AO388" s="1222"/>
      <c r="AP388" s="1206"/>
      <c r="AQ388" s="1168"/>
    </row>
    <row r="389" spans="1:43" ht="13.8">
      <c r="A389" s="1206"/>
      <c r="B389" s="1178"/>
      <c r="C389" s="1178"/>
      <c r="D389" s="1223" t="s">
        <v>1795</v>
      </c>
      <c r="E389" s="1186"/>
      <c r="F389" s="1168"/>
      <c r="G389" s="1186"/>
      <c r="H389" s="1168"/>
      <c r="I389" s="1186"/>
      <c r="J389" s="1168"/>
      <c r="K389" s="1186"/>
      <c r="L389" s="1168"/>
      <c r="M389" s="1186"/>
      <c r="N389" s="1168"/>
      <c r="O389" s="1186"/>
      <c r="P389" s="1168"/>
      <c r="Q389" s="1186"/>
      <c r="R389" s="1168"/>
      <c r="S389" s="1186"/>
      <c r="T389" s="1168"/>
      <c r="U389" s="1186"/>
      <c r="V389" s="1168"/>
      <c r="W389" s="1186"/>
      <c r="X389" s="1168"/>
      <c r="Y389" s="1214"/>
      <c r="Z389" s="1288"/>
      <c r="AA389" s="1186"/>
      <c r="AB389" s="1206"/>
      <c r="AC389" s="1186"/>
      <c r="AD389" s="1206"/>
      <c r="AE389" s="1186"/>
      <c r="AF389" s="1273"/>
      <c r="AG389" s="1186"/>
      <c r="AH389" s="1206"/>
      <c r="AI389" s="1186"/>
      <c r="AJ389" s="1206"/>
      <c r="AK389" s="1186"/>
      <c r="AL389" s="1206"/>
      <c r="AM389" s="1186"/>
      <c r="AN389" s="1206"/>
      <c r="AO389" s="1222"/>
      <c r="AP389" s="1223" t="s">
        <v>1796</v>
      </c>
      <c r="AQ389" s="1168"/>
    </row>
    <row r="390" spans="1:43" ht="13.8">
      <c r="A390" s="1206"/>
      <c r="B390" s="1178">
        <v>9</v>
      </c>
      <c r="C390" s="1178"/>
      <c r="D390" s="1206" t="s">
        <v>1787</v>
      </c>
      <c r="E390" s="1186">
        <v>28050.860999999997</v>
      </c>
      <c r="F390" s="1168"/>
      <c r="G390" s="1186">
        <v>27300.218999999997</v>
      </c>
      <c r="H390" s="1168"/>
      <c r="I390" s="1272">
        <v>26294.52399999999</v>
      </c>
      <c r="J390" s="1168"/>
      <c r="K390" s="1186">
        <v>26649.304023333334</v>
      </c>
      <c r="L390" s="1168"/>
      <c r="M390" s="1186">
        <v>26705.946000000004</v>
      </c>
      <c r="N390" s="1168"/>
      <c r="O390" s="1186">
        <v>28033.214569999996</v>
      </c>
      <c r="P390" s="1168"/>
      <c r="Q390" s="1186">
        <v>28789.578610000004</v>
      </c>
      <c r="R390" s="1168"/>
      <c r="S390" s="1186">
        <v>29907.989578999994</v>
      </c>
      <c r="T390" s="1186"/>
      <c r="U390" s="1186">
        <v>29126.707078333297</v>
      </c>
      <c r="V390" s="1186"/>
      <c r="W390" s="1186">
        <v>24368.007864999992</v>
      </c>
      <c r="X390" s="1186"/>
      <c r="Y390" s="1214">
        <v>26795.666722181108</v>
      </c>
      <c r="Z390" s="1214"/>
      <c r="AA390" s="1186">
        <v>26965.32269199998</v>
      </c>
      <c r="AB390" s="1206"/>
      <c r="AC390" s="1186">
        <v>25560.138444309217</v>
      </c>
      <c r="AD390" s="1206"/>
      <c r="AE390" s="1186">
        <v>27834.20034894086</v>
      </c>
      <c r="AF390" s="1273" t="s">
        <v>203</v>
      </c>
      <c r="AG390" s="1186">
        <v>29023.491489416327</v>
      </c>
      <c r="AH390" s="1206"/>
      <c r="AI390" s="1186"/>
      <c r="AJ390" s="1206"/>
      <c r="AK390" s="1186"/>
      <c r="AL390" s="1206"/>
      <c r="AM390" s="1186"/>
      <c r="AN390" s="1206"/>
      <c r="AO390" s="1222"/>
      <c r="AP390" s="1206" t="s">
        <v>1788</v>
      </c>
      <c r="AQ390" s="1168"/>
    </row>
    <row r="391" spans="1:43" ht="13.8">
      <c r="A391" s="1206"/>
      <c r="B391" s="1178">
        <v>10</v>
      </c>
      <c r="C391" s="1178"/>
      <c r="D391" s="1206" t="s">
        <v>1789</v>
      </c>
      <c r="E391" s="1186">
        <v>24207</v>
      </c>
      <c r="F391" s="1168"/>
      <c r="G391" s="1186">
        <v>23002.6</v>
      </c>
      <c r="H391" s="1168"/>
      <c r="I391" s="1272">
        <v>23162.572</v>
      </c>
      <c r="J391" s="1168"/>
      <c r="K391" s="1186">
        <v>25597.796999999999</v>
      </c>
      <c r="L391" s="1168"/>
      <c r="M391" s="1186">
        <v>27241.226000000002</v>
      </c>
      <c r="N391" s="1168"/>
      <c r="O391" s="1186">
        <v>28293.487000000001</v>
      </c>
      <c r="P391" s="1168"/>
      <c r="Q391" s="1186">
        <v>28655.172999999999</v>
      </c>
      <c r="R391" s="1168"/>
      <c r="S391" s="1186">
        <v>29924.199999999997</v>
      </c>
      <c r="T391" s="1186"/>
      <c r="U391" s="1186">
        <v>28244.756999999998</v>
      </c>
      <c r="V391" s="1186"/>
      <c r="W391" s="1186">
        <v>21985.097000000002</v>
      </c>
      <c r="X391" s="1186"/>
      <c r="Y391" s="1214">
        <v>30214.712</v>
      </c>
      <c r="Z391" s="1214"/>
      <c r="AA391" s="1186">
        <v>29330.440000000002</v>
      </c>
      <c r="AB391" s="1206"/>
      <c r="AC391" s="1186">
        <v>29055.760999999999</v>
      </c>
      <c r="AD391" s="1206"/>
      <c r="AE391" s="1186">
        <v>28804.514499999997</v>
      </c>
      <c r="AF391" s="1273"/>
      <c r="AG391" s="1186">
        <v>28598.102999999999</v>
      </c>
      <c r="AH391" s="1206"/>
      <c r="AI391" s="1186"/>
      <c r="AJ391" s="1206"/>
      <c r="AK391" s="1186"/>
      <c r="AL391" s="1206"/>
      <c r="AM391" s="1186"/>
      <c r="AN391" s="1206"/>
      <c r="AO391" s="1222"/>
      <c r="AP391" s="1206" t="s">
        <v>1790</v>
      </c>
      <c r="AQ391" s="1168"/>
    </row>
    <row r="392" spans="1:43" ht="13.8">
      <c r="A392" s="1206"/>
      <c r="B392" s="1178">
        <v>11</v>
      </c>
      <c r="C392" s="1178"/>
      <c r="D392" s="1206" t="s">
        <v>1636</v>
      </c>
      <c r="E392" s="1186">
        <v>4995.277</v>
      </c>
      <c r="F392" s="1168"/>
      <c r="G392" s="1186">
        <v>4902.5250000000005</v>
      </c>
      <c r="H392" s="1168"/>
      <c r="I392" s="1186">
        <v>5322.5301899999995</v>
      </c>
      <c r="J392" s="1168"/>
      <c r="K392" s="1186">
        <v>5626.9384133333324</v>
      </c>
      <c r="L392" s="1168"/>
      <c r="M392" s="1186">
        <v>6210.2349000000004</v>
      </c>
      <c r="N392" s="1168"/>
      <c r="O392" s="1186">
        <v>6871.3895103425466</v>
      </c>
      <c r="P392" s="1168"/>
      <c r="Q392" s="1186">
        <v>7499.7226700000001</v>
      </c>
      <c r="R392" s="1168"/>
      <c r="S392" s="1186">
        <v>7976.4001963839382</v>
      </c>
      <c r="T392" s="1186"/>
      <c r="U392" s="1186">
        <v>8260.7974305533753</v>
      </c>
      <c r="V392" s="1278"/>
      <c r="W392" s="1186">
        <v>10113.275712999999</v>
      </c>
      <c r="X392" s="1273">
        <v>1</v>
      </c>
      <c r="Y392" s="1214">
        <v>11318.176228785202</v>
      </c>
      <c r="Z392" s="1289"/>
      <c r="AA392" s="1186">
        <v>11610.922097368479</v>
      </c>
      <c r="AB392" s="1206"/>
      <c r="AC392" s="1186">
        <v>11172.795977120148</v>
      </c>
      <c r="AD392" s="1206"/>
      <c r="AE392" s="1186">
        <v>10407.86293523008</v>
      </c>
      <c r="AF392" s="1273" t="s">
        <v>203</v>
      </c>
      <c r="AG392" s="1186">
        <v>10413.295000681219</v>
      </c>
      <c r="AH392" s="1206"/>
      <c r="AI392" s="1186"/>
      <c r="AJ392" s="1206"/>
      <c r="AK392" s="1186"/>
      <c r="AL392" s="1206"/>
      <c r="AM392" s="1186"/>
      <c r="AN392" s="1206"/>
      <c r="AO392" s="1222"/>
      <c r="AP392" s="1206" t="s">
        <v>1653</v>
      </c>
      <c r="AQ392" s="1168"/>
    </row>
    <row r="393" spans="1:43" ht="13.8">
      <c r="A393" s="1206"/>
      <c r="B393" s="1178">
        <v>12</v>
      </c>
      <c r="C393" s="1178"/>
      <c r="D393" s="1229" t="s">
        <v>1797</v>
      </c>
      <c r="E393" s="1186">
        <v>3950.4780000000005</v>
      </c>
      <c r="F393" s="1168"/>
      <c r="G393" s="1186">
        <v>3884.181</v>
      </c>
      <c r="H393" s="1168"/>
      <c r="I393" s="1186">
        <v>4163.4066899999998</v>
      </c>
      <c r="J393" s="1168"/>
      <c r="K393" s="1186">
        <v>4174.3646233333329</v>
      </c>
      <c r="L393" s="1168"/>
      <c r="M393" s="1186">
        <v>4667.0225086349355</v>
      </c>
      <c r="N393" s="1168"/>
      <c r="O393" s="1186">
        <v>5205.1842300333155</v>
      </c>
      <c r="P393" s="1168"/>
      <c r="Q393" s="1186">
        <v>5239.6030287793528</v>
      </c>
      <c r="R393" s="1168"/>
      <c r="S393" s="1186">
        <v>5512.949003664372</v>
      </c>
      <c r="T393" s="1186"/>
      <c r="U393" s="1186">
        <v>5651.2593651660836</v>
      </c>
      <c r="V393" s="1278"/>
      <c r="W393" s="1186">
        <v>7132.6194373333328</v>
      </c>
      <c r="X393" s="1273"/>
      <c r="Y393" s="1214">
        <v>7373.0977298044518</v>
      </c>
      <c r="Z393" s="1289"/>
      <c r="AA393" s="1186">
        <v>7617.8692827324721</v>
      </c>
      <c r="AB393" s="1206"/>
      <c r="AC393" s="1186">
        <v>7453.3541823200103</v>
      </c>
      <c r="AD393" s="1206"/>
      <c r="AE393" s="1186">
        <v>6284.505722089867</v>
      </c>
      <c r="AF393" s="1273" t="s">
        <v>203</v>
      </c>
      <c r="AG393" s="1186">
        <v>6326.9940601004664</v>
      </c>
      <c r="AH393" s="1206"/>
      <c r="AI393" s="1186"/>
      <c r="AJ393" s="1206"/>
      <c r="AK393" s="1186"/>
      <c r="AL393" s="1206"/>
      <c r="AM393" s="1186"/>
      <c r="AN393" s="1206"/>
      <c r="AO393" s="1222"/>
      <c r="AP393" s="1206" t="s">
        <v>1798</v>
      </c>
      <c r="AQ393" s="1168"/>
    </row>
    <row r="394" spans="1:43" ht="13.8">
      <c r="A394" s="1206"/>
      <c r="B394" s="1178">
        <v>13</v>
      </c>
      <c r="C394" s="1178"/>
      <c r="D394" s="1229" t="s">
        <v>1799</v>
      </c>
      <c r="E394" s="1186">
        <v>1044.799</v>
      </c>
      <c r="F394" s="1168"/>
      <c r="G394" s="1186">
        <v>1018.3439999999999</v>
      </c>
      <c r="H394" s="1168"/>
      <c r="I394" s="1186">
        <v>1159.1234999999999</v>
      </c>
      <c r="J394" s="1168"/>
      <c r="K394" s="1186">
        <v>1452.5737899999999</v>
      </c>
      <c r="L394" s="1168"/>
      <c r="M394" s="1186">
        <v>1543.2123913650646</v>
      </c>
      <c r="N394" s="1168"/>
      <c r="O394" s="1186">
        <v>1666.2052803092297</v>
      </c>
      <c r="P394" s="1168"/>
      <c r="Q394" s="1186">
        <v>2260.1196412206464</v>
      </c>
      <c r="R394" s="1168"/>
      <c r="S394" s="1186">
        <v>2463.4511927195658</v>
      </c>
      <c r="T394" s="1186"/>
      <c r="U394" s="1186">
        <v>2609.5380653872908</v>
      </c>
      <c r="V394" s="1278"/>
      <c r="W394" s="1186">
        <v>2980.6562756666667</v>
      </c>
      <c r="X394" s="1273"/>
      <c r="Y394" s="1214">
        <v>3945.0784989807503</v>
      </c>
      <c r="Z394" s="1289"/>
      <c r="AA394" s="1186">
        <v>3993.0528146360061</v>
      </c>
      <c r="AB394" s="1206"/>
      <c r="AC394" s="1186">
        <v>3719.4417948001374</v>
      </c>
      <c r="AD394" s="1206"/>
      <c r="AE394" s="1186">
        <v>4123.3572131402125</v>
      </c>
      <c r="AF394" s="1273" t="s">
        <v>203</v>
      </c>
      <c r="AG394" s="1186">
        <v>4086.3009405807516</v>
      </c>
      <c r="AH394" s="1206"/>
      <c r="AI394" s="1186"/>
      <c r="AJ394" s="1206"/>
      <c r="AK394" s="1186"/>
      <c r="AL394" s="1206"/>
      <c r="AM394" s="1186"/>
      <c r="AN394" s="1206"/>
      <c r="AO394" s="1222"/>
      <c r="AP394" s="1281" t="s">
        <v>1800</v>
      </c>
      <c r="AQ394" s="1168"/>
    </row>
    <row r="395" spans="1:43" ht="13.8">
      <c r="A395" s="1206"/>
      <c r="B395" s="1178">
        <v>14</v>
      </c>
      <c r="C395" s="1178"/>
      <c r="D395" s="1224" t="s">
        <v>625</v>
      </c>
      <c r="E395" s="1225">
        <v>57253.137999999999</v>
      </c>
      <c r="F395" s="1274"/>
      <c r="G395" s="1225">
        <v>55205.343999999997</v>
      </c>
      <c r="H395" s="1274"/>
      <c r="I395" s="1275">
        <v>54779.626189999995</v>
      </c>
      <c r="J395" s="1274"/>
      <c r="K395" s="1225">
        <v>57874.039436666666</v>
      </c>
      <c r="L395" s="1274"/>
      <c r="M395" s="1225">
        <v>60157.406900000002</v>
      </c>
      <c r="N395" s="1274"/>
      <c r="O395" s="1225">
        <v>63198.091080342543</v>
      </c>
      <c r="P395" s="1213"/>
      <c r="Q395" s="1225">
        <v>64944.474279999995</v>
      </c>
      <c r="R395" s="1274"/>
      <c r="S395" s="1225">
        <v>67808.589775383924</v>
      </c>
      <c r="T395" s="1274"/>
      <c r="U395" s="1225">
        <v>65632.261508886673</v>
      </c>
      <c r="V395" s="1279"/>
      <c r="W395" s="1225">
        <v>56466.380577999997</v>
      </c>
      <c r="X395" s="1273">
        <v>1</v>
      </c>
      <c r="Y395" s="1290">
        <v>68328.554950966311</v>
      </c>
      <c r="Z395" s="1291"/>
      <c r="AA395" s="1225">
        <v>67906.684789368461</v>
      </c>
      <c r="AB395" s="1206"/>
      <c r="AC395" s="1225">
        <f>AC390+AC391+AC392</f>
        <v>65788.695421429366</v>
      </c>
      <c r="AD395" s="1206"/>
      <c r="AE395" s="1225">
        <v>67046.57778417095</v>
      </c>
      <c r="AF395" s="1273" t="s">
        <v>203</v>
      </c>
      <c r="AG395" s="1225">
        <v>68034.889490097543</v>
      </c>
      <c r="AH395" s="1206"/>
      <c r="AI395" s="1225"/>
      <c r="AJ395" s="1206"/>
      <c r="AK395" s="1225"/>
      <c r="AL395" s="1206"/>
      <c r="AM395" s="1225"/>
      <c r="AN395" s="1206"/>
      <c r="AO395" s="1222"/>
      <c r="AP395" s="1224" t="s">
        <v>1742</v>
      </c>
      <c r="AQ395" s="1168"/>
    </row>
    <row r="396" spans="1:43" ht="13.8">
      <c r="A396" s="1206"/>
      <c r="B396" s="1178">
        <v>15</v>
      </c>
      <c r="C396" s="1178"/>
      <c r="D396" s="1206" t="s">
        <v>1801</v>
      </c>
      <c r="E396" s="1186">
        <v>10605.648999999998</v>
      </c>
      <c r="F396" s="1168"/>
      <c r="G396" s="1186">
        <v>11812.550000000003</v>
      </c>
      <c r="H396" s="1168"/>
      <c r="I396" s="1272">
        <v>12735.878080000002</v>
      </c>
      <c r="J396" s="1168"/>
      <c r="K396" s="1186">
        <v>12640.489243333337</v>
      </c>
      <c r="L396" s="1168"/>
      <c r="M396" s="1186">
        <v>13464.916999999994</v>
      </c>
      <c r="N396" s="1168"/>
      <c r="O396" s="1186">
        <v>15318.488244819651</v>
      </c>
      <c r="P396" s="1213"/>
      <c r="Q396" s="1186">
        <v>17701.759770000001</v>
      </c>
      <c r="R396" s="1168"/>
      <c r="S396" s="1186">
        <v>16414.449854736842</v>
      </c>
      <c r="T396" s="1168"/>
      <c r="U396" s="1186">
        <v>16621.339736000009</v>
      </c>
      <c r="V396" s="1168"/>
      <c r="W396" s="1186">
        <v>14621.278086000006</v>
      </c>
      <c r="X396" s="1213"/>
      <c r="Y396" s="1214">
        <v>15237.879890000004</v>
      </c>
      <c r="Z396" s="1289"/>
      <c r="AA396" s="1186">
        <v>13262.268778199999</v>
      </c>
      <c r="AB396" s="1206"/>
      <c r="AC396" s="1186">
        <v>12828.778210000019</v>
      </c>
      <c r="AD396" s="1206"/>
      <c r="AE396" s="1186">
        <v>9277.7831027289722</v>
      </c>
      <c r="AF396" s="1273" t="s">
        <v>203</v>
      </c>
      <c r="AG396" s="1186">
        <v>9088.9625757882422</v>
      </c>
      <c r="AH396" s="1206"/>
      <c r="AI396" s="1186"/>
      <c r="AJ396" s="1206"/>
      <c r="AK396" s="1186"/>
      <c r="AL396" s="1206"/>
      <c r="AM396" s="1186"/>
      <c r="AN396" s="1206"/>
      <c r="AO396" s="1222"/>
      <c r="AP396" s="1206" t="s">
        <v>1802</v>
      </c>
      <c r="AQ396" s="1168"/>
    </row>
    <row r="397" spans="1:43" ht="13.8">
      <c r="A397" s="1206"/>
      <c r="B397" s="1178"/>
      <c r="C397" s="1178"/>
      <c r="D397" s="1206" t="s">
        <v>1803</v>
      </c>
      <c r="E397" s="1182"/>
      <c r="F397" s="1182"/>
      <c r="G397" s="1182"/>
      <c r="H397" s="1182"/>
      <c r="I397" s="1182"/>
      <c r="J397" s="1182"/>
      <c r="K397" s="1182"/>
      <c r="L397" s="1182"/>
      <c r="M397" s="1182"/>
      <c r="N397" s="1182"/>
      <c r="O397" s="1182"/>
      <c r="P397" s="1182"/>
      <c r="Q397" s="1182"/>
      <c r="R397" s="1182"/>
      <c r="S397" s="1182"/>
      <c r="T397" s="1182"/>
      <c r="U397" s="1182"/>
      <c r="V397" s="1182"/>
      <c r="W397" s="1168"/>
      <c r="X397" s="1168"/>
      <c r="Y397" s="1217"/>
      <c r="Z397" s="1217"/>
      <c r="AA397" s="1186"/>
      <c r="AB397" s="1182"/>
      <c r="AC397" s="1186"/>
      <c r="AD397" s="1182"/>
      <c r="AE397" s="1186"/>
      <c r="AF397" s="1182"/>
      <c r="AG397" s="1186"/>
      <c r="AH397" s="1182"/>
      <c r="AI397" s="1186"/>
      <c r="AJ397" s="1182"/>
      <c r="AK397" s="1186"/>
      <c r="AL397" s="1182"/>
      <c r="AM397" s="1186"/>
      <c r="AN397" s="1182"/>
      <c r="AO397" s="1222"/>
      <c r="AP397" s="1206" t="s">
        <v>1804</v>
      </c>
      <c r="AQ397" s="1168"/>
    </row>
    <row r="398" spans="1:43" ht="13.8">
      <c r="A398" s="1206"/>
      <c r="B398" s="1237"/>
      <c r="C398" s="1237"/>
      <c r="D398" s="1237"/>
      <c r="E398" s="1237"/>
      <c r="F398" s="1237"/>
      <c r="G398" s="1237"/>
      <c r="H398" s="1237"/>
      <c r="I398" s="1237"/>
      <c r="J398" s="1237"/>
      <c r="K398" s="1237"/>
      <c r="L398" s="1237"/>
      <c r="M398" s="1237"/>
      <c r="N398" s="1237"/>
      <c r="O398" s="1237"/>
      <c r="P398" s="1237"/>
      <c r="Q398" s="1237"/>
      <c r="R398" s="1237"/>
      <c r="S398" s="1237"/>
      <c r="T398" s="1237"/>
      <c r="U398" s="1237"/>
      <c r="V398" s="1237"/>
      <c r="W398" s="1237"/>
      <c r="X398" s="1237"/>
      <c r="Y398" s="1294"/>
      <c r="Z398" s="1294"/>
      <c r="AA398" s="1237"/>
      <c r="AB398" s="1237"/>
      <c r="AC398" s="1237"/>
      <c r="AD398" s="1237"/>
      <c r="AE398" s="1237"/>
      <c r="AF398" s="1237"/>
      <c r="AG398" s="1237"/>
      <c r="AH398" s="1237"/>
      <c r="AI398" s="1237"/>
      <c r="AJ398" s="1237"/>
      <c r="AK398" s="1237"/>
      <c r="AL398" s="1237"/>
      <c r="AM398" s="1237"/>
      <c r="AN398" s="1237"/>
      <c r="AO398" s="1237"/>
      <c r="AP398" s="1237"/>
      <c r="AQ398" s="1168"/>
    </row>
    <row r="399" spans="1:43" ht="13.8">
      <c r="A399" s="1168"/>
      <c r="B399" s="1168"/>
      <c r="C399" s="1176"/>
      <c r="D399" s="1176"/>
      <c r="E399" s="1176"/>
      <c r="F399" s="1176"/>
      <c r="G399" s="1176"/>
      <c r="H399" s="1176"/>
      <c r="I399" s="1176"/>
      <c r="J399" s="1176"/>
      <c r="K399" s="1176"/>
      <c r="L399" s="1176"/>
      <c r="M399" s="1176"/>
      <c r="N399" s="1176"/>
      <c r="O399" s="1176"/>
      <c r="P399" s="1176"/>
      <c r="Q399" s="1176"/>
      <c r="R399" s="1176"/>
      <c r="S399" s="1176"/>
      <c r="T399" s="1176"/>
      <c r="U399" s="1176"/>
      <c r="V399" s="1176"/>
      <c r="W399" s="1176"/>
      <c r="X399" s="1176"/>
      <c r="Y399" s="1295"/>
      <c r="Z399" s="1285"/>
      <c r="AA399" s="1176"/>
      <c r="AB399" s="1176"/>
      <c r="AC399" s="1176"/>
      <c r="AD399" s="1176"/>
      <c r="AE399" s="1176"/>
      <c r="AF399" s="1176"/>
      <c r="AG399" s="1176"/>
      <c r="AH399" s="1176"/>
      <c r="AI399" s="1176"/>
      <c r="AJ399" s="1176"/>
      <c r="AK399" s="1176"/>
      <c r="AL399" s="1176"/>
      <c r="AM399" s="1176"/>
      <c r="AN399" s="1176"/>
      <c r="AO399" s="1168"/>
      <c r="AP399" s="1168"/>
      <c r="AQ399" s="1168"/>
    </row>
    <row r="400" spans="1:43" ht="13.8">
      <c r="A400" s="1168"/>
      <c r="B400" s="1261" t="s">
        <v>1805</v>
      </c>
      <c r="C400" s="1261"/>
      <c r="D400" s="1169"/>
      <c r="E400" s="1169"/>
      <c r="F400" s="1169"/>
      <c r="G400" s="1169"/>
      <c r="H400" s="1169"/>
      <c r="I400" s="1169"/>
      <c r="J400" s="1169"/>
      <c r="K400" s="1169"/>
      <c r="L400" s="1169"/>
      <c r="M400" s="1169"/>
      <c r="N400" s="1169"/>
      <c r="O400" s="1169"/>
      <c r="P400" s="1169"/>
      <c r="Q400" s="1169"/>
      <c r="R400" s="1169"/>
      <c r="S400" s="1176"/>
      <c r="T400" s="1176"/>
      <c r="U400" s="1176"/>
      <c r="V400" s="1176"/>
      <c r="W400" s="1176"/>
      <c r="X400" s="1176"/>
      <c r="Y400" s="1285"/>
      <c r="Z400" s="1285"/>
      <c r="AA400" s="1176"/>
      <c r="AB400" s="1176"/>
      <c r="AC400" s="1176"/>
      <c r="AD400" s="1176"/>
      <c r="AE400" s="1176"/>
      <c r="AF400" s="1176"/>
      <c r="AG400" s="1176"/>
      <c r="AH400" s="1176"/>
      <c r="AI400" s="1176"/>
      <c r="AJ400" s="1176"/>
      <c r="AK400" s="1176"/>
      <c r="AL400" s="1176"/>
      <c r="AM400" s="1176"/>
      <c r="AN400" s="1176"/>
      <c r="AO400" s="1168"/>
      <c r="AP400" s="1168"/>
      <c r="AQ400" s="1168"/>
    </row>
    <row r="401" spans="1:43" ht="13.8">
      <c r="A401" s="1168"/>
      <c r="B401" s="1218"/>
      <c r="C401" s="1218"/>
      <c r="D401" s="1218"/>
      <c r="E401" s="1218"/>
      <c r="F401" s="1218"/>
      <c r="G401" s="1218"/>
      <c r="H401" s="1218"/>
      <c r="I401" s="1218"/>
      <c r="J401" s="1218"/>
      <c r="K401" s="1218"/>
      <c r="L401" s="1218"/>
      <c r="M401" s="1218"/>
      <c r="N401" s="1218"/>
      <c r="O401" s="1218"/>
      <c r="P401" s="1218"/>
      <c r="Q401" s="1218"/>
      <c r="R401" s="1218"/>
      <c r="S401" s="1218"/>
      <c r="T401" s="1218"/>
      <c r="U401" s="1218"/>
      <c r="V401" s="1218"/>
      <c r="W401" s="1218"/>
      <c r="X401" s="1218"/>
      <c r="Y401" s="1296"/>
      <c r="Z401" s="1296"/>
      <c r="AA401" s="1218"/>
      <c r="AB401" s="1218"/>
      <c r="AC401" s="1218"/>
      <c r="AD401" s="1218"/>
      <c r="AE401" s="1218"/>
      <c r="AF401" s="1218"/>
      <c r="AG401" s="1218"/>
      <c r="AH401" s="1218"/>
      <c r="AI401" s="1218"/>
      <c r="AJ401" s="1218"/>
      <c r="AK401" s="1218"/>
      <c r="AL401" s="1218"/>
      <c r="AM401" s="1218"/>
      <c r="AN401" s="1218"/>
      <c r="AO401" s="1171"/>
      <c r="AP401" s="1171"/>
      <c r="AQ401" s="1168"/>
    </row>
    <row r="402" spans="1:43" ht="13.8">
      <c r="A402" s="1168"/>
      <c r="B402" s="1176"/>
      <c r="C402" s="1176"/>
      <c r="D402" s="1176"/>
      <c r="E402" s="1176"/>
      <c r="F402" s="1176"/>
      <c r="G402" s="1176"/>
      <c r="H402" s="1176"/>
      <c r="I402" s="1176"/>
      <c r="J402" s="1176"/>
      <c r="K402" s="1176"/>
      <c r="L402" s="1176"/>
      <c r="M402" s="1176"/>
      <c r="N402" s="1176"/>
      <c r="O402" s="1176"/>
      <c r="P402" s="1176"/>
      <c r="Q402" s="1176"/>
      <c r="R402" s="1176"/>
      <c r="S402" s="1176"/>
      <c r="T402" s="1176"/>
      <c r="U402" s="1176"/>
      <c r="V402" s="1176"/>
      <c r="W402" s="1176"/>
      <c r="X402" s="1176"/>
      <c r="Y402" s="1285"/>
      <c r="Z402" s="1285"/>
      <c r="AA402" s="1176"/>
      <c r="AB402" s="1176"/>
      <c r="AC402" s="1176"/>
      <c r="AD402" s="1176"/>
      <c r="AE402" s="1176"/>
      <c r="AF402" s="1176"/>
      <c r="AG402" s="1176"/>
      <c r="AH402" s="1176"/>
      <c r="AI402" s="1176"/>
      <c r="AJ402" s="1176"/>
      <c r="AK402" s="1176"/>
      <c r="AL402" s="1176"/>
      <c r="AM402" s="1176"/>
      <c r="AN402" s="1176"/>
      <c r="AO402" s="1168"/>
      <c r="AP402" s="1168"/>
      <c r="AQ402" s="1168"/>
    </row>
    <row r="403" spans="1:43" ht="13.8">
      <c r="A403" s="1168"/>
      <c r="B403" s="3099" t="s">
        <v>1627</v>
      </c>
      <c r="C403" s="3099"/>
      <c r="D403" s="3099"/>
      <c r="E403" s="3105"/>
      <c r="F403" s="3105"/>
      <c r="G403" s="3105"/>
      <c r="H403" s="3105"/>
      <c r="I403" s="3105"/>
      <c r="J403" s="3105"/>
      <c r="K403" s="3105"/>
      <c r="L403" s="3105"/>
      <c r="M403" s="3105"/>
      <c r="N403" s="3105"/>
      <c r="O403" s="3105"/>
      <c r="P403" s="3105"/>
      <c r="Q403" s="3105"/>
      <c r="R403" s="3105"/>
      <c r="S403" s="3105"/>
      <c r="T403" s="3105"/>
      <c r="U403" s="3105"/>
      <c r="V403" s="3105"/>
      <c r="W403" s="3105"/>
      <c r="X403" s="3105"/>
      <c r="Y403" s="3103"/>
      <c r="Z403" s="3103"/>
      <c r="AA403" s="3105"/>
      <c r="AB403" s="3105"/>
      <c r="AC403" s="3105"/>
      <c r="AD403" s="3105"/>
      <c r="AE403" s="3105"/>
      <c r="AF403" s="3105"/>
      <c r="AG403" s="3105"/>
      <c r="AH403" s="3105"/>
      <c r="AI403" s="3105"/>
      <c r="AJ403" s="3105"/>
      <c r="AK403" s="3105"/>
      <c r="AL403" s="3105"/>
      <c r="AM403" s="3105"/>
      <c r="AN403" s="3105"/>
      <c r="AO403" s="3108" t="s">
        <v>1806</v>
      </c>
      <c r="AP403" s="3108"/>
      <c r="AQ403" s="1168"/>
    </row>
    <row r="404" spans="1:43" ht="13.8">
      <c r="A404" s="1168"/>
      <c r="B404" s="3102" t="s">
        <v>1807</v>
      </c>
      <c r="C404" s="3102"/>
      <c r="D404" s="3102"/>
      <c r="E404" s="3106"/>
      <c r="F404" s="3106"/>
      <c r="G404" s="3106"/>
      <c r="H404" s="3106"/>
      <c r="I404" s="3106"/>
      <c r="J404" s="3106"/>
      <c r="K404" s="3106"/>
      <c r="L404" s="3106"/>
      <c r="M404" s="3106"/>
      <c r="N404" s="3106"/>
      <c r="O404" s="3106"/>
      <c r="P404" s="3106"/>
      <c r="Q404" s="3106"/>
      <c r="R404" s="3106"/>
      <c r="S404" s="3106"/>
      <c r="T404" s="3106"/>
      <c r="U404" s="3106"/>
      <c r="V404" s="3106"/>
      <c r="W404" s="3106"/>
      <c r="X404" s="3106"/>
      <c r="Y404" s="3104"/>
      <c r="Z404" s="3104"/>
      <c r="AA404" s="3106"/>
      <c r="AB404" s="3106"/>
      <c r="AC404" s="3106"/>
      <c r="AD404" s="3106"/>
      <c r="AE404" s="3106"/>
      <c r="AF404" s="3106"/>
      <c r="AG404" s="3106"/>
      <c r="AH404" s="3106"/>
      <c r="AI404" s="3106"/>
      <c r="AJ404" s="3106"/>
      <c r="AK404" s="3106"/>
      <c r="AL404" s="3106"/>
      <c r="AM404" s="3106"/>
      <c r="AN404" s="3106"/>
      <c r="AO404" s="3109"/>
      <c r="AP404" s="3109"/>
      <c r="AQ404" s="1168"/>
    </row>
    <row r="405" spans="1:43" ht="13.8">
      <c r="A405" s="1168"/>
      <c r="B405" s="1178"/>
      <c r="C405" s="1178"/>
      <c r="D405" s="1206"/>
      <c r="E405" s="1222"/>
      <c r="F405" s="1222"/>
      <c r="G405" s="1222"/>
      <c r="H405" s="1222"/>
      <c r="I405" s="1222"/>
      <c r="J405" s="1222"/>
      <c r="K405" s="1222"/>
      <c r="L405" s="1222"/>
      <c r="M405" s="1222"/>
      <c r="N405" s="1222"/>
      <c r="O405" s="1222"/>
      <c r="P405" s="1222"/>
      <c r="Q405" s="1222"/>
      <c r="R405" s="1222"/>
      <c r="S405" s="1222"/>
      <c r="T405" s="1222"/>
      <c r="U405" s="1222"/>
      <c r="V405" s="1222"/>
      <c r="W405" s="1222"/>
      <c r="X405" s="1222"/>
      <c r="Y405" s="1287"/>
      <c r="Z405" s="1287"/>
      <c r="AA405" s="1222"/>
      <c r="AB405" s="1222"/>
      <c r="AC405" s="1222"/>
      <c r="AD405" s="1222"/>
      <c r="AE405" s="1222"/>
      <c r="AF405" s="1222"/>
      <c r="AG405" s="1222"/>
      <c r="AH405" s="1222"/>
      <c r="AI405" s="1222"/>
      <c r="AJ405" s="1222"/>
      <c r="AK405" s="1222"/>
      <c r="AL405" s="1222"/>
      <c r="AM405" s="1222"/>
      <c r="AN405" s="1222"/>
      <c r="AO405" s="1222"/>
      <c r="AP405" s="1206"/>
      <c r="AQ405" s="1168"/>
    </row>
    <row r="406" spans="1:43" ht="13.8">
      <c r="A406" s="1168"/>
      <c r="B406" s="1178"/>
      <c r="C406" s="1178"/>
      <c r="D406" s="1223" t="s">
        <v>1785</v>
      </c>
      <c r="E406" s="1182"/>
      <c r="F406" s="1222"/>
      <c r="G406" s="1182"/>
      <c r="H406" s="1222"/>
      <c r="I406" s="1182"/>
      <c r="J406" s="1222"/>
      <c r="K406" s="1182"/>
      <c r="L406" s="1222"/>
      <c r="M406" s="1182"/>
      <c r="N406" s="1222"/>
      <c r="O406" s="1182"/>
      <c r="P406" s="1222"/>
      <c r="Q406" s="1182"/>
      <c r="R406" s="1222"/>
      <c r="S406" s="1182"/>
      <c r="T406" s="1222"/>
      <c r="U406" s="1182"/>
      <c r="V406" s="1222"/>
      <c r="W406" s="1182"/>
      <c r="X406" s="1222"/>
      <c r="Y406" s="1217"/>
      <c r="Z406" s="1287"/>
      <c r="AA406" s="1182"/>
      <c r="AB406" s="1222"/>
      <c r="AC406" s="1182"/>
      <c r="AD406" s="1222"/>
      <c r="AE406" s="1182"/>
      <c r="AF406" s="1222"/>
      <c r="AG406" s="1182"/>
      <c r="AH406" s="1222"/>
      <c r="AI406" s="1182"/>
      <c r="AJ406" s="1222"/>
      <c r="AK406" s="1182"/>
      <c r="AL406" s="1222"/>
      <c r="AM406" s="1182"/>
      <c r="AN406" s="1222"/>
      <c r="AO406" s="1222"/>
      <c r="AP406" s="1223" t="s">
        <v>1786</v>
      </c>
      <c r="AQ406" s="1168"/>
    </row>
    <row r="407" spans="1:43" ht="13.8">
      <c r="A407" s="1168"/>
      <c r="B407" s="1178">
        <v>16</v>
      </c>
      <c r="C407" s="1178"/>
      <c r="D407" s="1206" t="s">
        <v>1787</v>
      </c>
      <c r="E407" s="1186">
        <v>8310.59</v>
      </c>
      <c r="F407" s="1168"/>
      <c r="G407" s="1186">
        <v>8509.7767640000002</v>
      </c>
      <c r="H407" s="1168"/>
      <c r="I407" s="1272">
        <v>8202.0906240000004</v>
      </c>
      <c r="J407" s="1168"/>
      <c r="K407" s="1186">
        <v>8328.0352099999982</v>
      </c>
      <c r="L407" s="1168"/>
      <c r="M407" s="1186">
        <v>8365.6000289999993</v>
      </c>
      <c r="N407" s="1168"/>
      <c r="O407" s="1186">
        <v>8922.7132299999994</v>
      </c>
      <c r="P407" s="1213"/>
      <c r="Q407" s="1186">
        <v>9339.1090661589442</v>
      </c>
      <c r="R407" s="1168"/>
      <c r="S407" s="1186">
        <v>9824.4742190000015</v>
      </c>
      <c r="T407" s="1186"/>
      <c r="U407" s="1186">
        <v>9579.2644307000082</v>
      </c>
      <c r="V407" s="1186"/>
      <c r="W407" s="1186">
        <v>8028.3917348350024</v>
      </c>
      <c r="X407" s="1186"/>
      <c r="Y407" s="1214">
        <v>8911.3189830649972</v>
      </c>
      <c r="Z407" s="1214"/>
      <c r="AA407" s="1186">
        <v>8550.1856218295379</v>
      </c>
      <c r="AB407" s="1187"/>
      <c r="AC407" s="1186">
        <v>8507.2815084795966</v>
      </c>
      <c r="AD407" s="1187"/>
      <c r="AE407" s="1186">
        <v>8331.1942377620035</v>
      </c>
      <c r="AF407" s="1273" t="s">
        <v>203</v>
      </c>
      <c r="AG407" s="1186">
        <v>8416.4943228653501</v>
      </c>
      <c r="AH407" s="1187"/>
      <c r="AI407" s="1186"/>
      <c r="AJ407" s="1187"/>
      <c r="AK407" s="1186"/>
      <c r="AL407" s="1187"/>
      <c r="AM407" s="1186"/>
      <c r="AN407" s="1187"/>
      <c r="AO407" s="1182"/>
      <c r="AP407" s="1206" t="s">
        <v>1788</v>
      </c>
      <c r="AQ407" s="1168"/>
    </row>
    <row r="408" spans="1:43" ht="13.8">
      <c r="A408" s="1168"/>
      <c r="B408" s="1178">
        <v>17</v>
      </c>
      <c r="C408" s="1178"/>
      <c r="D408" s="1284" t="s">
        <v>1789</v>
      </c>
      <c r="E408" s="1186">
        <v>1727</v>
      </c>
      <c r="F408" s="1168"/>
      <c r="G408" s="1186">
        <v>1830.5989999999999</v>
      </c>
      <c r="H408" s="1168"/>
      <c r="I408" s="1272">
        <v>1833.9860000000001</v>
      </c>
      <c r="J408" s="1168"/>
      <c r="K408" s="1186">
        <v>2031.297</v>
      </c>
      <c r="L408" s="1168"/>
      <c r="M408" s="1186">
        <v>2050.2689999999998</v>
      </c>
      <c r="N408" s="1168"/>
      <c r="O408" s="1186">
        <v>2048.3139999999999</v>
      </c>
      <c r="P408" s="1168"/>
      <c r="Q408" s="1186">
        <v>2164.476071</v>
      </c>
      <c r="R408" s="1168"/>
      <c r="S408" s="1186">
        <v>2238.1519819999999</v>
      </c>
      <c r="T408" s="1168"/>
      <c r="U408" s="1186">
        <v>2331.9744529999998</v>
      </c>
      <c r="V408" s="1168"/>
      <c r="W408" s="1186">
        <v>1548.2078388999998</v>
      </c>
      <c r="X408" s="1168"/>
      <c r="Y408" s="1214">
        <v>2173.39</v>
      </c>
      <c r="Z408" s="1288"/>
      <c r="AA408" s="1186">
        <v>2072.5857216000004</v>
      </c>
      <c r="AB408" s="1182"/>
      <c r="AC408" s="1186">
        <v>1868.5061555</v>
      </c>
      <c r="AD408" s="1182"/>
      <c r="AE408" s="1186">
        <v>1807.9601235000005</v>
      </c>
      <c r="AF408" s="1273"/>
      <c r="AG408" s="1186">
        <v>1794.6449457999997</v>
      </c>
      <c r="AH408" s="1182"/>
      <c r="AI408" s="1186"/>
      <c r="AJ408" s="1182"/>
      <c r="AK408" s="1186"/>
      <c r="AL408" s="1182"/>
      <c r="AM408" s="1186"/>
      <c r="AN408" s="1182"/>
      <c r="AO408" s="1182"/>
      <c r="AP408" s="1206" t="s">
        <v>1790</v>
      </c>
      <c r="AQ408" s="1168"/>
    </row>
    <row r="409" spans="1:43" ht="13.8">
      <c r="A409" s="1168"/>
      <c r="B409" s="1178">
        <v>18</v>
      </c>
      <c r="C409" s="1178"/>
      <c r="D409" s="1206" t="s">
        <v>1636</v>
      </c>
      <c r="E409" s="1186">
        <v>2377.0003120000001</v>
      </c>
      <c r="F409" s="1168"/>
      <c r="G409" s="1186">
        <v>2160.3369429999998</v>
      </c>
      <c r="H409" s="1168"/>
      <c r="I409" s="1186">
        <v>2367.5386750000002</v>
      </c>
      <c r="J409" s="1168"/>
      <c r="K409" s="1186">
        <v>2496.7207666666668</v>
      </c>
      <c r="L409" s="1168"/>
      <c r="M409" s="1186">
        <v>2773.9110589999996</v>
      </c>
      <c r="N409" s="1168"/>
      <c r="O409" s="1186">
        <v>3153.4780850000002</v>
      </c>
      <c r="P409" s="1168"/>
      <c r="Q409" s="1186">
        <v>3390.8223730000004</v>
      </c>
      <c r="R409" s="1168"/>
      <c r="S409" s="1186">
        <v>3618.7122810000001</v>
      </c>
      <c r="T409" s="1168"/>
      <c r="U409" s="1186">
        <v>3871.2196871181645</v>
      </c>
      <c r="V409" s="1168"/>
      <c r="W409" s="1186">
        <v>3599.5893994749999</v>
      </c>
      <c r="X409" s="1168"/>
      <c r="Y409" s="1214">
        <v>3743.5352238959545</v>
      </c>
      <c r="Z409" s="1289"/>
      <c r="AA409" s="1186">
        <v>3826.3990244284528</v>
      </c>
      <c r="AB409" s="1182"/>
      <c r="AC409" s="1186">
        <v>3545.8177144869442</v>
      </c>
      <c r="AD409" s="1182"/>
      <c r="AE409" s="1186">
        <v>2989.5948993392758</v>
      </c>
      <c r="AF409" s="1273" t="s">
        <v>203</v>
      </c>
      <c r="AG409" s="1186">
        <v>3244.5811397545062</v>
      </c>
      <c r="AH409" s="1182"/>
      <c r="AI409" s="1186"/>
      <c r="AJ409" s="1182"/>
      <c r="AK409" s="1186"/>
      <c r="AL409" s="1182"/>
      <c r="AM409" s="1186"/>
      <c r="AN409" s="1182"/>
      <c r="AO409" s="1182"/>
      <c r="AP409" s="1206" t="s">
        <v>1653</v>
      </c>
      <c r="AQ409" s="1168"/>
    </row>
    <row r="410" spans="1:43" ht="13.8">
      <c r="A410" s="1168"/>
      <c r="B410" s="1178">
        <v>19</v>
      </c>
      <c r="C410" s="1178"/>
      <c r="D410" s="1224" t="s">
        <v>1791</v>
      </c>
      <c r="E410" s="1225">
        <v>12414.590312</v>
      </c>
      <c r="F410" s="1274"/>
      <c r="G410" s="1225">
        <v>12500.712707000001</v>
      </c>
      <c r="H410" s="1274"/>
      <c r="I410" s="1275">
        <v>12403.615299000001</v>
      </c>
      <c r="J410" s="1274"/>
      <c r="K410" s="1225">
        <v>12856.052976666666</v>
      </c>
      <c r="L410" s="1274"/>
      <c r="M410" s="1225">
        <v>13189.780088</v>
      </c>
      <c r="N410" s="1274"/>
      <c r="O410" s="1225">
        <v>14124.505315</v>
      </c>
      <c r="P410" s="1213"/>
      <c r="Q410" s="1225">
        <v>14894.407510158946</v>
      </c>
      <c r="R410" s="1274"/>
      <c r="S410" s="1225">
        <v>15681.338482000001</v>
      </c>
      <c r="T410" s="1274"/>
      <c r="U410" s="1225">
        <v>15782.458570818171</v>
      </c>
      <c r="V410" s="1274"/>
      <c r="W410" s="1225">
        <v>13176.188973210003</v>
      </c>
      <c r="X410" s="1274"/>
      <c r="Y410" s="1290">
        <v>14828.244206961001</v>
      </c>
      <c r="Z410" s="1291"/>
      <c r="AA410" s="1225">
        <v>14449.170367857991</v>
      </c>
      <c r="AB410" s="1182"/>
      <c r="AC410" s="1225">
        <v>13921.60537846654</v>
      </c>
      <c r="AD410" s="1182"/>
      <c r="AE410" s="1225">
        <v>13128.74926060128</v>
      </c>
      <c r="AF410" s="1273" t="s">
        <v>203</v>
      </c>
      <c r="AG410" s="1225">
        <v>13455.720408419855</v>
      </c>
      <c r="AH410" s="1182"/>
      <c r="AI410" s="1225"/>
      <c r="AJ410" s="1182"/>
      <c r="AK410" s="1225"/>
      <c r="AL410" s="1182"/>
      <c r="AM410" s="1225"/>
      <c r="AN410" s="1182"/>
      <c r="AO410" s="1182"/>
      <c r="AP410" s="1224" t="s">
        <v>124</v>
      </c>
      <c r="AQ410" s="1168"/>
    </row>
    <row r="411" spans="1:43" ht="13.8">
      <c r="A411" s="1168"/>
      <c r="B411" s="1232"/>
      <c r="C411" s="1232"/>
      <c r="D411" s="1233"/>
      <c r="E411" s="1239"/>
      <c r="F411" s="1276"/>
      <c r="G411" s="1239"/>
      <c r="H411" s="1276"/>
      <c r="I411" s="1239"/>
      <c r="J411" s="1276"/>
      <c r="K411" s="1239"/>
      <c r="L411" s="1276"/>
      <c r="M411" s="1239"/>
      <c r="N411" s="1276"/>
      <c r="O411" s="1239"/>
      <c r="P411" s="1276"/>
      <c r="Q411" s="1239"/>
      <c r="R411" s="1276"/>
      <c r="S411" s="1239"/>
      <c r="T411" s="1276"/>
      <c r="U411" s="1239"/>
      <c r="V411" s="1276"/>
      <c r="W411" s="1239"/>
      <c r="X411" s="1276"/>
      <c r="Y411" s="1292"/>
      <c r="Z411" s="1293"/>
      <c r="AA411" s="1239"/>
      <c r="AB411" s="1277"/>
      <c r="AC411" s="1239"/>
      <c r="AD411" s="1277"/>
      <c r="AE411" s="1239"/>
      <c r="AF411" s="1239"/>
      <c r="AG411" s="1239"/>
      <c r="AH411" s="1277"/>
      <c r="AI411" s="1239"/>
      <c r="AJ411" s="1277"/>
      <c r="AK411" s="1239"/>
      <c r="AL411" s="1277"/>
      <c r="AM411" s="1239"/>
      <c r="AN411" s="1277"/>
      <c r="AO411" s="1277"/>
      <c r="AP411" s="1233"/>
      <c r="AQ411" s="1168"/>
    </row>
    <row r="412" spans="1:43" ht="13.8">
      <c r="A412" s="1168"/>
      <c r="B412" s="1178"/>
      <c r="C412" s="1178"/>
      <c r="D412" s="1206"/>
      <c r="E412" s="1186"/>
      <c r="F412" s="1168"/>
      <c r="G412" s="1186"/>
      <c r="H412" s="1168"/>
      <c r="I412" s="1186"/>
      <c r="J412" s="1168"/>
      <c r="K412" s="1186"/>
      <c r="L412" s="1168"/>
      <c r="M412" s="1186"/>
      <c r="N412" s="1168"/>
      <c r="O412" s="1186"/>
      <c r="P412" s="1168"/>
      <c r="Q412" s="1186"/>
      <c r="R412" s="1168"/>
      <c r="S412" s="1186"/>
      <c r="T412" s="1168"/>
      <c r="U412" s="1186"/>
      <c r="V412" s="1168"/>
      <c r="W412" s="1186"/>
      <c r="X412" s="1168"/>
      <c r="Y412" s="1214"/>
      <c r="Z412" s="1288"/>
      <c r="AA412" s="1186"/>
      <c r="AB412" s="1182"/>
      <c r="AC412" s="1186"/>
      <c r="AD412" s="1182"/>
      <c r="AE412" s="1186"/>
      <c r="AF412" s="1273"/>
      <c r="AG412" s="1186"/>
      <c r="AH412" s="1182"/>
      <c r="AI412" s="1186"/>
      <c r="AJ412" s="1182"/>
      <c r="AK412" s="1186"/>
      <c r="AL412" s="1182"/>
      <c r="AM412" s="1186"/>
      <c r="AN412" s="1182"/>
      <c r="AO412" s="1222"/>
      <c r="AP412" s="1206"/>
      <c r="AQ412" s="1168"/>
    </row>
    <row r="413" spans="1:43" ht="13.8">
      <c r="A413" s="1168"/>
      <c r="B413" s="1178"/>
      <c r="C413" s="1178"/>
      <c r="D413" s="1223" t="s">
        <v>1792</v>
      </c>
      <c r="E413" s="1186"/>
      <c r="F413" s="1168"/>
      <c r="G413" s="1186"/>
      <c r="H413" s="1168"/>
      <c r="I413" s="1186"/>
      <c r="J413" s="1168"/>
      <c r="K413" s="1186"/>
      <c r="L413" s="1168"/>
      <c r="M413" s="1186"/>
      <c r="N413" s="1168"/>
      <c r="O413" s="1186"/>
      <c r="P413" s="1168"/>
      <c r="Q413" s="1186"/>
      <c r="R413" s="1168"/>
      <c r="S413" s="1186"/>
      <c r="T413" s="1168"/>
      <c r="U413" s="1186"/>
      <c r="V413" s="1168"/>
      <c r="W413" s="1186"/>
      <c r="X413" s="1168"/>
      <c r="Y413" s="1214"/>
      <c r="Z413" s="1288"/>
      <c r="AA413" s="1186"/>
      <c r="AB413" s="1182"/>
      <c r="AC413" s="1186"/>
      <c r="AD413" s="1182"/>
      <c r="AE413" s="1186"/>
      <c r="AF413" s="1273"/>
      <c r="AG413" s="1186"/>
      <c r="AH413" s="1182"/>
      <c r="AI413" s="1186"/>
      <c r="AJ413" s="1182"/>
      <c r="AK413" s="1186"/>
      <c r="AL413" s="1182"/>
      <c r="AM413" s="1186"/>
      <c r="AN413" s="1182"/>
      <c r="AO413" s="1222"/>
      <c r="AP413" s="1223" t="s">
        <v>1793</v>
      </c>
      <c r="AQ413" s="1168"/>
    </row>
    <row r="414" spans="1:43" ht="13.8">
      <c r="A414" s="1168"/>
      <c r="B414" s="1178">
        <v>20</v>
      </c>
      <c r="C414" s="1178"/>
      <c r="D414" s="1206" t="s">
        <v>1787</v>
      </c>
      <c r="E414" s="1186">
        <v>5334.9230000000007</v>
      </c>
      <c r="F414" s="1168"/>
      <c r="G414" s="1186">
        <v>4932.259</v>
      </c>
      <c r="H414" s="1168"/>
      <c r="I414" s="1272">
        <v>4476.5595460000004</v>
      </c>
      <c r="J414" s="1168"/>
      <c r="K414" s="1186">
        <v>4781.6172029999998</v>
      </c>
      <c r="L414" s="1168"/>
      <c r="M414" s="1186">
        <v>4860.3758569999991</v>
      </c>
      <c r="N414" s="1168"/>
      <c r="O414" s="1186">
        <v>4604.3712719999985</v>
      </c>
      <c r="P414" s="1168"/>
      <c r="Q414" s="1186">
        <v>4268.8893621402676</v>
      </c>
      <c r="R414" s="1168"/>
      <c r="S414" s="1186">
        <v>4153.9430194310244</v>
      </c>
      <c r="T414" s="1186"/>
      <c r="U414" s="1186">
        <v>3891.961866773001</v>
      </c>
      <c r="V414" s="1186"/>
      <c r="W414" s="1186">
        <v>3350.0220066735569</v>
      </c>
      <c r="X414" s="1186"/>
      <c r="Y414" s="1214">
        <v>3977.9211396060964</v>
      </c>
      <c r="Z414" s="1214"/>
      <c r="AA414" s="1186">
        <v>3704.2664494097976</v>
      </c>
      <c r="AB414" s="1182"/>
      <c r="AC414" s="1186">
        <f>AC417-AC416-AC415</f>
        <v>3572.250587764654</v>
      </c>
      <c r="AD414" s="1182"/>
      <c r="AE414" s="1186">
        <v>3254.1733754609995</v>
      </c>
      <c r="AF414" s="1273"/>
      <c r="AG414" s="1186">
        <v>3330.0676957580013</v>
      </c>
      <c r="AH414" s="1182"/>
      <c r="AI414" s="1186"/>
      <c r="AJ414" s="1182"/>
      <c r="AK414" s="1186"/>
      <c r="AL414" s="1182"/>
      <c r="AM414" s="1186"/>
      <c r="AN414" s="1182"/>
      <c r="AO414" s="1182"/>
      <c r="AP414" s="1206" t="s">
        <v>1788</v>
      </c>
      <c r="AQ414" s="1168"/>
    </row>
    <row r="415" spans="1:43" ht="13.8">
      <c r="A415" s="1168"/>
      <c r="B415" s="1178">
        <v>21</v>
      </c>
      <c r="C415" s="1178"/>
      <c r="D415" s="1284" t="s">
        <v>1789</v>
      </c>
      <c r="E415" s="1186">
        <v>2029</v>
      </c>
      <c r="F415" s="1168"/>
      <c r="G415" s="1186">
        <v>1816.5</v>
      </c>
      <c r="H415" s="1168"/>
      <c r="I415" s="1272">
        <v>1903.0070000000001</v>
      </c>
      <c r="J415" s="1168"/>
      <c r="K415" s="1186">
        <v>2054.453</v>
      </c>
      <c r="L415" s="1168"/>
      <c r="M415" s="1186">
        <v>2260.5160000000001</v>
      </c>
      <c r="N415" s="1168"/>
      <c r="O415" s="1186">
        <v>2351.5769999999998</v>
      </c>
      <c r="P415" s="1168"/>
      <c r="Q415" s="1186">
        <v>2354.1817620000002</v>
      </c>
      <c r="R415" s="1168"/>
      <c r="S415" s="1186">
        <v>2363.9804300000001</v>
      </c>
      <c r="T415" s="1168"/>
      <c r="U415" s="1186">
        <v>2031.355108</v>
      </c>
      <c r="V415" s="1168"/>
      <c r="W415" s="1186">
        <v>1868.2173238999999</v>
      </c>
      <c r="X415" s="1168"/>
      <c r="Y415" s="1214">
        <v>2446.3636399999996</v>
      </c>
      <c r="Z415" s="1288"/>
      <c r="AA415" s="1186">
        <v>2597.3402234</v>
      </c>
      <c r="AB415" s="1182"/>
      <c r="AC415" s="1186">
        <v>2719.4377049</v>
      </c>
      <c r="AD415" s="1182"/>
      <c r="AE415" s="1186">
        <v>2702.8452792999997</v>
      </c>
      <c r="AF415" s="1273"/>
      <c r="AG415" s="1186">
        <v>2709.192381899999</v>
      </c>
      <c r="AH415" s="1182"/>
      <c r="AI415" s="1186"/>
      <c r="AJ415" s="1182"/>
      <c r="AK415" s="1186"/>
      <c r="AL415" s="1182"/>
      <c r="AM415" s="1186"/>
      <c r="AN415" s="1182"/>
      <c r="AO415" s="1182"/>
      <c r="AP415" s="1206" t="s">
        <v>1790</v>
      </c>
      <c r="AQ415" s="1168"/>
    </row>
    <row r="416" spans="1:43" ht="13.8">
      <c r="A416" s="1168"/>
      <c r="B416" s="1178">
        <v>22</v>
      </c>
      <c r="C416" s="1178"/>
      <c r="D416" s="1206" t="s">
        <v>1636</v>
      </c>
      <c r="E416" s="1186">
        <v>304.52331299999997</v>
      </c>
      <c r="F416" s="1168"/>
      <c r="G416" s="1186">
        <v>297.84922700000004</v>
      </c>
      <c r="H416" s="1168"/>
      <c r="I416" s="1186">
        <v>413.45740900000004</v>
      </c>
      <c r="J416" s="1168"/>
      <c r="K416" s="1186">
        <v>477.47364899999997</v>
      </c>
      <c r="L416" s="1168"/>
      <c r="M416" s="1186">
        <v>545.56483800000012</v>
      </c>
      <c r="N416" s="1168"/>
      <c r="O416" s="1186">
        <v>594.43309049182983</v>
      </c>
      <c r="P416" s="1168"/>
      <c r="Q416" s="1186">
        <v>753.95396180000012</v>
      </c>
      <c r="R416" s="1168"/>
      <c r="S416" s="1186">
        <v>1051.0461719984946</v>
      </c>
      <c r="T416" s="1168"/>
      <c r="U416" s="1186">
        <v>1217.9967386154653</v>
      </c>
      <c r="V416" s="1278"/>
      <c r="W416" s="1186">
        <v>1994.3543796321051</v>
      </c>
      <c r="X416" s="1273">
        <v>1</v>
      </c>
      <c r="Y416" s="1214">
        <v>2211.2505602965325</v>
      </c>
      <c r="Z416" s="1289"/>
      <c r="AA416" s="1186">
        <v>2113.5366336817083</v>
      </c>
      <c r="AB416" s="1182"/>
      <c r="AC416" s="1186">
        <v>1829.3459796231632</v>
      </c>
      <c r="AD416" s="1182"/>
      <c r="AE416" s="1186">
        <v>1884.206596040076</v>
      </c>
      <c r="AF416" s="1273" t="s">
        <v>203</v>
      </c>
      <c r="AG416" s="1186">
        <v>1801.3479330319999</v>
      </c>
      <c r="AH416" s="1182"/>
      <c r="AI416" s="1186"/>
      <c r="AJ416" s="1182"/>
      <c r="AK416" s="1186"/>
      <c r="AL416" s="1182"/>
      <c r="AM416" s="1186"/>
      <c r="AN416" s="1182"/>
      <c r="AO416" s="1222"/>
      <c r="AP416" s="1206" t="s">
        <v>1653</v>
      </c>
      <c r="AQ416" s="1168"/>
    </row>
    <row r="417" spans="1:43" ht="13.8">
      <c r="A417" s="1168"/>
      <c r="B417" s="1178">
        <v>23</v>
      </c>
      <c r="C417" s="1178"/>
      <c r="D417" s="1224" t="s">
        <v>1794</v>
      </c>
      <c r="E417" s="1225">
        <v>7668.4463130000004</v>
      </c>
      <c r="F417" s="1274"/>
      <c r="G417" s="1225">
        <v>7046.6082269999997</v>
      </c>
      <c r="H417" s="1274"/>
      <c r="I417" s="1275">
        <v>6793.0239550000006</v>
      </c>
      <c r="J417" s="1274"/>
      <c r="K417" s="1225">
        <v>7313.5438519999989</v>
      </c>
      <c r="L417" s="1274"/>
      <c r="M417" s="1225">
        <v>7666.4566949999989</v>
      </c>
      <c r="N417" s="1274"/>
      <c r="O417" s="1225">
        <v>7550.3813624918284</v>
      </c>
      <c r="P417" s="1274"/>
      <c r="Q417" s="1225">
        <v>7377.0250859402677</v>
      </c>
      <c r="R417" s="1274"/>
      <c r="S417" s="1225">
        <v>7568.9696214295191</v>
      </c>
      <c r="T417" s="1274"/>
      <c r="U417" s="1225">
        <v>7141.3137133884657</v>
      </c>
      <c r="V417" s="1279"/>
      <c r="W417" s="1225">
        <v>7212.5937102056623</v>
      </c>
      <c r="X417" s="1273">
        <v>1</v>
      </c>
      <c r="Y417" s="1290">
        <v>8635.535339902628</v>
      </c>
      <c r="Z417" s="1291"/>
      <c r="AA417" s="1225">
        <v>8415.1433064915054</v>
      </c>
      <c r="AB417" s="1182"/>
      <c r="AC417" s="1225">
        <v>8121.0342722878167</v>
      </c>
      <c r="AD417" s="1182"/>
      <c r="AE417" s="1225">
        <v>7841.2252508010752</v>
      </c>
      <c r="AF417" s="1273" t="s">
        <v>203</v>
      </c>
      <c r="AG417" s="1225">
        <v>7840.6080106900017</v>
      </c>
      <c r="AH417" s="1182"/>
      <c r="AI417" s="1225"/>
      <c r="AJ417" s="1182"/>
      <c r="AK417" s="1225"/>
      <c r="AL417" s="1182"/>
      <c r="AM417" s="1225"/>
      <c r="AN417" s="1182"/>
      <c r="AO417" s="1182"/>
      <c r="AP417" s="1224" t="s">
        <v>124</v>
      </c>
      <c r="AQ417" s="1168"/>
    </row>
    <row r="418" spans="1:43" ht="13.8">
      <c r="A418" s="1168"/>
      <c r="B418" s="1232"/>
      <c r="C418" s="1232"/>
      <c r="D418" s="1233"/>
      <c r="E418" s="1239"/>
      <c r="F418" s="1276"/>
      <c r="G418" s="1239"/>
      <c r="H418" s="1276"/>
      <c r="I418" s="1239"/>
      <c r="J418" s="1276"/>
      <c r="K418" s="1239"/>
      <c r="L418" s="1276"/>
      <c r="M418" s="1239"/>
      <c r="N418" s="1276"/>
      <c r="O418" s="1239"/>
      <c r="P418" s="1276"/>
      <c r="Q418" s="1239"/>
      <c r="R418" s="1276"/>
      <c r="S418" s="1239"/>
      <c r="T418" s="1276"/>
      <c r="U418" s="1239"/>
      <c r="V418" s="1276"/>
      <c r="W418" s="1239"/>
      <c r="X418" s="1280"/>
      <c r="Y418" s="1292"/>
      <c r="Z418" s="1293"/>
      <c r="AA418" s="1239"/>
      <c r="AB418" s="1277"/>
      <c r="AC418" s="1239"/>
      <c r="AD418" s="1277"/>
      <c r="AE418" s="1239"/>
      <c r="AF418" s="1239"/>
      <c r="AG418" s="1239"/>
      <c r="AH418" s="1277"/>
      <c r="AI418" s="1239"/>
      <c r="AJ418" s="1277"/>
      <c r="AK418" s="1239"/>
      <c r="AL418" s="1277"/>
      <c r="AM418" s="1239"/>
      <c r="AN418" s="1277"/>
      <c r="AO418" s="1277"/>
      <c r="AP418" s="1233"/>
      <c r="AQ418" s="1168"/>
    </row>
    <row r="419" spans="1:43" ht="13.8">
      <c r="A419" s="1168"/>
      <c r="B419" s="1178"/>
      <c r="C419" s="1178"/>
      <c r="D419" s="1206"/>
      <c r="E419" s="1186"/>
      <c r="F419" s="1168"/>
      <c r="G419" s="1186"/>
      <c r="H419" s="1168"/>
      <c r="I419" s="1186"/>
      <c r="J419" s="1168"/>
      <c r="K419" s="1186"/>
      <c r="L419" s="1168"/>
      <c r="M419" s="1186"/>
      <c r="N419" s="1168"/>
      <c r="O419" s="1186"/>
      <c r="P419" s="1168"/>
      <c r="Q419" s="1186"/>
      <c r="R419" s="1168"/>
      <c r="S419" s="1186"/>
      <c r="T419" s="1168"/>
      <c r="U419" s="1186"/>
      <c r="V419" s="1168"/>
      <c r="W419" s="1186"/>
      <c r="X419" s="1168"/>
      <c r="Y419" s="1214"/>
      <c r="Z419" s="1288"/>
      <c r="AA419" s="1186"/>
      <c r="AB419" s="1182"/>
      <c r="AC419" s="1186"/>
      <c r="AD419" s="1182"/>
      <c r="AE419" s="1186"/>
      <c r="AF419" s="1273"/>
      <c r="AG419" s="1186"/>
      <c r="AH419" s="1182"/>
      <c r="AI419" s="1186"/>
      <c r="AJ419" s="1182"/>
      <c r="AK419" s="1186"/>
      <c r="AL419" s="1182"/>
      <c r="AM419" s="1186"/>
      <c r="AN419" s="1182"/>
      <c r="AO419" s="1222"/>
      <c r="AP419" s="1206"/>
      <c r="AQ419" s="1168"/>
    </row>
    <row r="420" spans="1:43" ht="13.8">
      <c r="A420" s="1168"/>
      <c r="B420" s="1178"/>
      <c r="C420" s="1178"/>
      <c r="D420" s="1223" t="s">
        <v>1795</v>
      </c>
      <c r="E420" s="1186"/>
      <c r="F420" s="1168"/>
      <c r="G420" s="1186"/>
      <c r="H420" s="1168"/>
      <c r="I420" s="1186"/>
      <c r="J420" s="1168"/>
      <c r="K420" s="1186"/>
      <c r="L420" s="1168"/>
      <c r="M420" s="1186"/>
      <c r="N420" s="1168"/>
      <c r="O420" s="1186"/>
      <c r="P420" s="1168"/>
      <c r="Q420" s="1186"/>
      <c r="R420" s="1168"/>
      <c r="S420" s="1186"/>
      <c r="T420" s="1168"/>
      <c r="U420" s="1186"/>
      <c r="V420" s="1168"/>
      <c r="W420" s="1186"/>
      <c r="X420" s="1168"/>
      <c r="Y420" s="1214"/>
      <c r="Z420" s="1288"/>
      <c r="AA420" s="1186"/>
      <c r="AB420" s="1182"/>
      <c r="AC420" s="1186"/>
      <c r="AD420" s="1182"/>
      <c r="AE420" s="1186"/>
      <c r="AF420" s="1273"/>
      <c r="AG420" s="1186"/>
      <c r="AH420" s="1182"/>
      <c r="AI420" s="1186"/>
      <c r="AJ420" s="1182"/>
      <c r="AK420" s="1186"/>
      <c r="AL420" s="1182"/>
      <c r="AM420" s="1186"/>
      <c r="AN420" s="1182"/>
      <c r="AO420" s="1222"/>
      <c r="AP420" s="1223" t="s">
        <v>1796</v>
      </c>
      <c r="AQ420" s="1168"/>
    </row>
    <row r="421" spans="1:43" ht="13.8">
      <c r="A421" s="1168"/>
      <c r="B421" s="1178">
        <v>24</v>
      </c>
      <c r="C421" s="1178"/>
      <c r="D421" s="1206" t="s">
        <v>1787</v>
      </c>
      <c r="E421" s="1186">
        <v>13645.513000000001</v>
      </c>
      <c r="F421" s="1168"/>
      <c r="G421" s="1186">
        <v>13442.035764</v>
      </c>
      <c r="H421" s="1168"/>
      <c r="I421" s="1272">
        <v>12678.650170000001</v>
      </c>
      <c r="J421" s="1168"/>
      <c r="K421" s="1186">
        <v>13109.652412999998</v>
      </c>
      <c r="L421" s="1168"/>
      <c r="M421" s="1186">
        <v>13225.975885999998</v>
      </c>
      <c r="N421" s="1168"/>
      <c r="O421" s="1186">
        <v>13527.084501999998</v>
      </c>
      <c r="P421" s="1168"/>
      <c r="Q421" s="1186">
        <v>13607.998428299212</v>
      </c>
      <c r="R421" s="1168"/>
      <c r="S421" s="1186">
        <v>13978.417238431026</v>
      </c>
      <c r="T421" s="1186"/>
      <c r="U421" s="1186">
        <v>13471.226297473009</v>
      </c>
      <c r="V421" s="1186"/>
      <c r="W421" s="1186">
        <v>11378.413741508559</v>
      </c>
      <c r="X421" s="1186"/>
      <c r="Y421" s="1214">
        <v>12889.240122671094</v>
      </c>
      <c r="Z421" s="1299">
        <f>Y421/Y$426</f>
        <v>0.5493249754127526</v>
      </c>
      <c r="AA421" s="1186">
        <v>12254.452071239335</v>
      </c>
      <c r="AB421" s="1206"/>
      <c r="AC421" s="1186">
        <f>AC426-AC423-AC422</f>
        <v>12079.532096244253</v>
      </c>
      <c r="AD421" s="1182"/>
      <c r="AE421" s="1186">
        <v>11585.367613223003</v>
      </c>
      <c r="AF421" s="1273" t="s">
        <v>203</v>
      </c>
      <c r="AG421" s="1186">
        <v>11746.56201862335</v>
      </c>
      <c r="AH421" s="1182"/>
      <c r="AI421" s="1186"/>
      <c r="AJ421" s="1182"/>
      <c r="AK421" s="1186"/>
      <c r="AL421" s="1182"/>
      <c r="AM421" s="1186"/>
      <c r="AN421" s="1182"/>
      <c r="AO421" s="1222"/>
      <c r="AP421" s="1206" t="s">
        <v>1788</v>
      </c>
      <c r="AQ421" s="1168"/>
    </row>
    <row r="422" spans="1:43" ht="13.8">
      <c r="A422" s="1176"/>
      <c r="B422" s="1178">
        <v>25</v>
      </c>
      <c r="C422" s="1178"/>
      <c r="D422" s="1284" t="s">
        <v>1789</v>
      </c>
      <c r="E422" s="1186">
        <v>3756</v>
      </c>
      <c r="F422" s="1168"/>
      <c r="G422" s="1186">
        <v>3647.0990000000002</v>
      </c>
      <c r="H422" s="1168"/>
      <c r="I422" s="1272">
        <v>3736.9930000000004</v>
      </c>
      <c r="J422" s="1168"/>
      <c r="K422" s="1186">
        <v>4085.75</v>
      </c>
      <c r="L422" s="1168"/>
      <c r="M422" s="1186">
        <v>4310.7849999999999</v>
      </c>
      <c r="N422" s="1168"/>
      <c r="O422" s="1186">
        <v>4399.8909999999996</v>
      </c>
      <c r="P422" s="1168"/>
      <c r="Q422" s="1186">
        <v>4518.6578330000002</v>
      </c>
      <c r="R422" s="1168"/>
      <c r="S422" s="1186">
        <v>4602.1324119999999</v>
      </c>
      <c r="T422" s="1186"/>
      <c r="U422" s="1186">
        <v>4363.3295609999996</v>
      </c>
      <c r="V422" s="1186"/>
      <c r="W422" s="1186">
        <v>3416.4251627999997</v>
      </c>
      <c r="X422" s="1186"/>
      <c r="Y422" s="1214">
        <v>4619.753639999999</v>
      </c>
      <c r="Z422" s="1299">
        <f>Y422/Y$426</f>
        <v>0.19688872505697919</v>
      </c>
      <c r="AA422" s="1186">
        <v>4669.9259450000009</v>
      </c>
      <c r="AB422" s="1206"/>
      <c r="AC422" s="1186">
        <f>AC408+AC415</f>
        <v>4587.9438603999997</v>
      </c>
      <c r="AD422" s="1182"/>
      <c r="AE422" s="1186">
        <v>4510.8054028000006</v>
      </c>
      <c r="AF422" s="1273"/>
      <c r="AG422" s="1186">
        <v>4503.8373276999992</v>
      </c>
      <c r="AH422" s="1182"/>
      <c r="AI422" s="1186"/>
      <c r="AJ422" s="1182"/>
      <c r="AK422" s="1186"/>
      <c r="AL422" s="1182"/>
      <c r="AM422" s="1186"/>
      <c r="AN422" s="1182"/>
      <c r="AO422" s="1222"/>
      <c r="AP422" s="1206" t="s">
        <v>1790</v>
      </c>
      <c r="AQ422" s="1168"/>
    </row>
    <row r="423" spans="1:43" ht="13.8">
      <c r="A423" s="1176"/>
      <c r="B423" s="1178">
        <v>26</v>
      </c>
      <c r="C423" s="1178"/>
      <c r="D423" s="1206" t="s">
        <v>1636</v>
      </c>
      <c r="E423" s="1186">
        <v>2681.5236250000003</v>
      </c>
      <c r="F423" s="1168"/>
      <c r="G423" s="1186">
        <v>2458.1861699999999</v>
      </c>
      <c r="H423" s="1168"/>
      <c r="I423" s="1186">
        <v>2780.9960840000003</v>
      </c>
      <c r="J423" s="1168"/>
      <c r="K423" s="1186">
        <v>2974.1944156666668</v>
      </c>
      <c r="L423" s="1168"/>
      <c r="M423" s="1186">
        <v>3319.4758969999998</v>
      </c>
      <c r="N423" s="1168"/>
      <c r="O423" s="1186">
        <v>3747.9111754918299</v>
      </c>
      <c r="P423" s="1168"/>
      <c r="Q423" s="1186">
        <v>4144.7763348000008</v>
      </c>
      <c r="R423" s="1168"/>
      <c r="S423" s="1186">
        <v>4669.7584529984942</v>
      </c>
      <c r="T423" s="1186"/>
      <c r="U423" s="1186">
        <v>5089.2164257336299</v>
      </c>
      <c r="V423" s="1278"/>
      <c r="W423" s="1186">
        <v>5593.943779107105</v>
      </c>
      <c r="X423" s="1273">
        <v>1</v>
      </c>
      <c r="Y423" s="1214">
        <v>5954.785784192487</v>
      </c>
      <c r="Z423" s="1299">
        <f>Y423/Y$426</f>
        <v>0.25378629953026738</v>
      </c>
      <c r="AA423" s="1186">
        <v>5939.9356581101611</v>
      </c>
      <c r="AB423" s="1206"/>
      <c r="AC423" s="1186">
        <f>AC409+AC416</f>
        <v>5375.1636941101078</v>
      </c>
      <c r="AD423" s="1182"/>
      <c r="AE423" s="1186">
        <v>4873.8014953793518</v>
      </c>
      <c r="AF423" s="1273" t="s">
        <v>203</v>
      </c>
      <c r="AG423" s="1186">
        <v>5045.9290727865064</v>
      </c>
      <c r="AH423" s="1182"/>
      <c r="AI423" s="1186"/>
      <c r="AJ423" s="1182"/>
      <c r="AK423" s="1186"/>
      <c r="AL423" s="1182"/>
      <c r="AM423" s="1186"/>
      <c r="AN423" s="1182"/>
      <c r="AO423" s="1222"/>
      <c r="AP423" s="1206" t="s">
        <v>1653</v>
      </c>
      <c r="AQ423" s="1168"/>
    </row>
    <row r="424" spans="1:43" ht="13.8">
      <c r="A424" s="1176"/>
      <c r="B424" s="1178">
        <v>27</v>
      </c>
      <c r="C424" s="1178"/>
      <c r="D424" s="1229" t="s">
        <v>1797</v>
      </c>
      <c r="E424" s="1186">
        <v>1992.3546809999998</v>
      </c>
      <c r="F424" s="1168"/>
      <c r="G424" s="1186">
        <v>1794.0111699999998</v>
      </c>
      <c r="H424" s="1168"/>
      <c r="I424" s="1186">
        <v>2044.094272</v>
      </c>
      <c r="J424" s="1168"/>
      <c r="K424" s="1186">
        <v>2110.0979296666665</v>
      </c>
      <c r="L424" s="1168"/>
      <c r="M424" s="1186">
        <v>2319.4921646064158</v>
      </c>
      <c r="N424" s="1168"/>
      <c r="O424" s="1186">
        <v>2680.0943899102322</v>
      </c>
      <c r="P424" s="1168"/>
      <c r="Q424" s="1186">
        <v>2704.5091056537835</v>
      </c>
      <c r="R424" s="1168"/>
      <c r="S424" s="1186">
        <v>3038.440235066349</v>
      </c>
      <c r="T424" s="1186"/>
      <c r="U424" s="1186">
        <v>3261.6155022295479</v>
      </c>
      <c r="V424" s="1278"/>
      <c r="W424" s="1186">
        <v>3505.4701716039026</v>
      </c>
      <c r="X424" s="1273"/>
      <c r="Y424" s="1214">
        <v>3414.0191730058941</v>
      </c>
      <c r="Z424" s="1299"/>
      <c r="AA424" s="1186">
        <v>3438.2916804919073</v>
      </c>
      <c r="AB424" s="1206"/>
      <c r="AC424" s="1186">
        <v>3238.0838392296</v>
      </c>
      <c r="AD424" s="1182"/>
      <c r="AE424" s="1186">
        <v>2624.002259293165</v>
      </c>
      <c r="AF424" s="1273" t="s">
        <v>203</v>
      </c>
      <c r="AG424" s="1186">
        <v>2678.5933418303835</v>
      </c>
      <c r="AH424" s="1182"/>
      <c r="AI424" s="1186"/>
      <c r="AJ424" s="1182"/>
      <c r="AK424" s="1186"/>
      <c r="AL424" s="1182"/>
      <c r="AM424" s="1186"/>
      <c r="AN424" s="1182"/>
      <c r="AO424" s="1222"/>
      <c r="AP424" s="1206" t="s">
        <v>1798</v>
      </c>
      <c r="AQ424" s="1168"/>
    </row>
    <row r="425" spans="1:43" ht="13.8">
      <c r="A425" s="1176"/>
      <c r="B425" s="1178">
        <v>28</v>
      </c>
      <c r="C425" s="1178"/>
      <c r="D425" s="1229" t="s">
        <v>1799</v>
      </c>
      <c r="E425" s="1186">
        <v>689.16894400000001</v>
      </c>
      <c r="F425" s="1168"/>
      <c r="G425" s="1186">
        <v>664.17500000000007</v>
      </c>
      <c r="H425" s="1168"/>
      <c r="I425" s="1186">
        <v>736.90181200000006</v>
      </c>
      <c r="J425" s="1168"/>
      <c r="K425" s="1186">
        <v>864.09648600000003</v>
      </c>
      <c r="L425" s="1168"/>
      <c r="M425" s="1186">
        <v>999.98373239358375</v>
      </c>
      <c r="N425" s="1168"/>
      <c r="O425" s="1186">
        <v>1067.8167855815975</v>
      </c>
      <c r="P425" s="1168"/>
      <c r="Q425" s="1186">
        <v>1440.2672291462168</v>
      </c>
      <c r="R425" s="1168"/>
      <c r="S425" s="1186">
        <v>1631.3182179321454</v>
      </c>
      <c r="T425" s="1186"/>
      <c r="U425" s="1186">
        <v>1827.600923504081</v>
      </c>
      <c r="V425" s="1278"/>
      <c r="W425" s="1186">
        <v>2088.4736075032019</v>
      </c>
      <c r="X425" s="1273"/>
      <c r="Y425" s="1214">
        <v>2540.7666111865929</v>
      </c>
      <c r="Z425" s="1299"/>
      <c r="AA425" s="1186">
        <v>2501.6439776182547</v>
      </c>
      <c r="AB425" s="1206"/>
      <c r="AC425" s="1186">
        <v>2137.0798548805069</v>
      </c>
      <c r="AD425" s="1182"/>
      <c r="AE425" s="1186">
        <v>2249.7992360861867</v>
      </c>
      <c r="AF425" s="1273" t="s">
        <v>203</v>
      </c>
      <c r="AG425" s="1186">
        <v>2367.3357309561225</v>
      </c>
      <c r="AH425" s="1182"/>
      <c r="AI425" s="1186"/>
      <c r="AJ425" s="1182"/>
      <c r="AK425" s="1186"/>
      <c r="AL425" s="1182"/>
      <c r="AM425" s="1186"/>
      <c r="AN425" s="1182"/>
      <c r="AO425" s="1222"/>
      <c r="AP425" s="1281" t="s">
        <v>1800</v>
      </c>
      <c r="AQ425" s="1168"/>
    </row>
    <row r="426" spans="1:43" ht="13.8">
      <c r="A426" s="1176"/>
      <c r="B426" s="1178">
        <v>29</v>
      </c>
      <c r="C426" s="1178"/>
      <c r="D426" s="1224" t="s">
        <v>625</v>
      </c>
      <c r="E426" s="1225">
        <v>20083.036625000001</v>
      </c>
      <c r="F426" s="1274"/>
      <c r="G426" s="1225">
        <v>19547.320933999999</v>
      </c>
      <c r="H426" s="1274"/>
      <c r="I426" s="1275">
        <v>19196.639254000002</v>
      </c>
      <c r="J426" s="1274"/>
      <c r="K426" s="1225">
        <v>20169.596828666665</v>
      </c>
      <c r="L426" s="1274"/>
      <c r="M426" s="1225">
        <v>20856.236783</v>
      </c>
      <c r="N426" s="1274"/>
      <c r="O426" s="1225">
        <v>21674.886677491828</v>
      </c>
      <c r="P426" s="1213"/>
      <c r="Q426" s="1225">
        <v>22271.432596099214</v>
      </c>
      <c r="R426" s="1274"/>
      <c r="S426" s="1225">
        <v>23250.308103429517</v>
      </c>
      <c r="T426" s="1274"/>
      <c r="U426" s="1225">
        <v>22923.77228420664</v>
      </c>
      <c r="V426" s="1279"/>
      <c r="W426" s="1225">
        <v>20388.782683415666</v>
      </c>
      <c r="X426" s="1273">
        <v>1</v>
      </c>
      <c r="Y426" s="1290">
        <v>23463.7795468636</v>
      </c>
      <c r="Z426" s="1300">
        <f>SUM(Z421:Z425)</f>
        <v>0.99999999999999911</v>
      </c>
      <c r="AA426" s="1225">
        <v>22864.313674349498</v>
      </c>
      <c r="AB426" s="1206"/>
      <c r="AC426" s="1225">
        <f>AC410+AC417</f>
        <v>22042.639650754358</v>
      </c>
      <c r="AD426" s="1187"/>
      <c r="AE426" s="1225">
        <v>20969.97451140235</v>
      </c>
      <c r="AF426" s="1273" t="s">
        <v>203</v>
      </c>
      <c r="AG426" s="1225">
        <v>21296.328419109857</v>
      </c>
      <c r="AH426" s="1187"/>
      <c r="AI426" s="1225"/>
      <c r="AJ426" s="1187"/>
      <c r="AK426" s="1225"/>
      <c r="AL426" s="1187"/>
      <c r="AM426" s="1225"/>
      <c r="AN426" s="1187"/>
      <c r="AO426" s="1222"/>
      <c r="AP426" s="1224" t="s">
        <v>1742</v>
      </c>
      <c r="AQ426" s="1168"/>
    </row>
    <row r="427" spans="1:43" ht="13.8">
      <c r="A427" s="1176"/>
      <c r="B427" s="1178">
        <v>30</v>
      </c>
      <c r="C427" s="1178"/>
      <c r="D427" s="1206" t="s">
        <v>1801</v>
      </c>
      <c r="E427" s="1186">
        <v>4679.3590000000004</v>
      </c>
      <c r="F427" s="1168"/>
      <c r="G427" s="1186">
        <v>5242.99</v>
      </c>
      <c r="H427" s="1168"/>
      <c r="I427" s="1272">
        <v>5614.3381470000004</v>
      </c>
      <c r="J427" s="1168"/>
      <c r="K427" s="1186">
        <v>5681.1245286666672</v>
      </c>
      <c r="L427" s="1168"/>
      <c r="M427" s="1186">
        <v>6064.1795980000006</v>
      </c>
      <c r="N427" s="1168"/>
      <c r="O427" s="1186">
        <v>6926.8094547741021</v>
      </c>
      <c r="P427" s="1213"/>
      <c r="Q427" s="1186">
        <v>7636.3575309999987</v>
      </c>
      <c r="R427" s="1168"/>
      <c r="S427" s="1186">
        <v>7260.4141315789466</v>
      </c>
      <c r="T427" s="1168"/>
      <c r="U427" s="1186">
        <v>7279.6560018151567</v>
      </c>
      <c r="V427" s="1168"/>
      <c r="W427" s="1186">
        <v>6076.6621899700003</v>
      </c>
      <c r="X427" s="1213"/>
      <c r="Y427" s="1214">
        <v>6675.8493151180937</v>
      </c>
      <c r="Z427" s="1289"/>
      <c r="AA427" s="1186">
        <v>5575.4392280199991</v>
      </c>
      <c r="AB427" s="1206"/>
      <c r="AC427" s="1186">
        <v>5329.3165952766676</v>
      </c>
      <c r="AD427" s="1187"/>
      <c r="AE427" s="1186">
        <v>4587.2391263273194</v>
      </c>
      <c r="AF427" s="1273" t="s">
        <v>203</v>
      </c>
      <c r="AG427" s="1186">
        <v>4211.3759240736526</v>
      </c>
      <c r="AH427" s="1187"/>
      <c r="AI427" s="1186"/>
      <c r="AJ427" s="1187"/>
      <c r="AK427" s="1186"/>
      <c r="AL427" s="1187"/>
      <c r="AM427" s="1186"/>
      <c r="AN427" s="1187"/>
      <c r="AO427" s="1222"/>
      <c r="AP427" s="1206" t="s">
        <v>1802</v>
      </c>
      <c r="AQ427" s="1168"/>
    </row>
    <row r="428" spans="1:43" ht="13.8">
      <c r="A428" s="1176"/>
      <c r="B428" s="1178"/>
      <c r="C428" s="1178"/>
      <c r="D428" s="1206" t="s">
        <v>1803</v>
      </c>
      <c r="E428" s="1182"/>
      <c r="F428" s="1222"/>
      <c r="G428" s="1182"/>
      <c r="H428" s="1222"/>
      <c r="I428" s="1182"/>
      <c r="J428" s="1222"/>
      <c r="K428" s="1182"/>
      <c r="L428" s="1222"/>
      <c r="M428" s="1182"/>
      <c r="N428" s="1222"/>
      <c r="O428" s="1182"/>
      <c r="P428" s="1222"/>
      <c r="Q428" s="1182"/>
      <c r="R428" s="1222"/>
      <c r="S428" s="1182"/>
      <c r="T428" s="1222"/>
      <c r="U428" s="1182"/>
      <c r="V428" s="1222"/>
      <c r="W428" s="1182"/>
      <c r="X428" s="1222"/>
      <c r="Y428" s="1217"/>
      <c r="Z428" s="1287"/>
      <c r="AA428" s="1182"/>
      <c r="AB428" s="1182"/>
      <c r="AC428" s="1182"/>
      <c r="AD428" s="1182"/>
      <c r="AE428" s="1182"/>
      <c r="AF428" s="1182"/>
      <c r="AG428" s="1182"/>
      <c r="AH428" s="1182"/>
      <c r="AI428" s="1182"/>
      <c r="AJ428" s="1182"/>
      <c r="AK428" s="1182"/>
      <c r="AL428" s="1182"/>
      <c r="AM428" s="1182"/>
      <c r="AN428" s="1182"/>
      <c r="AO428" s="1222"/>
      <c r="AP428" s="1206" t="s">
        <v>1804</v>
      </c>
      <c r="AQ428" s="1168"/>
    </row>
    <row r="429" spans="1:43" ht="13.8">
      <c r="A429" s="1176"/>
      <c r="B429" s="1243"/>
      <c r="C429" s="1243"/>
      <c r="D429" s="1243"/>
      <c r="E429" s="1243"/>
      <c r="F429" s="1243"/>
      <c r="G429" s="1243"/>
      <c r="H429" s="1243"/>
      <c r="I429" s="1243"/>
      <c r="J429" s="1243"/>
      <c r="K429" s="1243"/>
      <c r="L429" s="1243"/>
      <c r="M429" s="1243"/>
      <c r="N429" s="1243"/>
      <c r="O429" s="1243"/>
      <c r="P429" s="1243"/>
      <c r="Q429" s="1243"/>
      <c r="R429" s="1243"/>
      <c r="S429" s="1243"/>
      <c r="T429" s="1243"/>
      <c r="U429" s="1243"/>
      <c r="V429" s="1243"/>
      <c r="W429" s="1243"/>
      <c r="X429" s="1243"/>
      <c r="Y429" s="1298"/>
      <c r="Z429" s="1298"/>
      <c r="AA429" s="1243"/>
      <c r="AB429" s="1243"/>
      <c r="AC429" s="1243"/>
      <c r="AD429" s="1243"/>
      <c r="AE429" s="1243"/>
      <c r="AF429" s="1243"/>
      <c r="AG429" s="1243"/>
      <c r="AH429" s="1243"/>
      <c r="AI429" s="1243"/>
      <c r="AJ429" s="1243"/>
      <c r="AK429" s="1243"/>
      <c r="AL429" s="1243"/>
      <c r="AM429" s="1243"/>
      <c r="AN429" s="1243"/>
      <c r="AO429" s="1243"/>
      <c r="AP429" s="1243"/>
      <c r="AQ429" s="1168"/>
    </row>
    <row r="430" spans="1:43" ht="13.8">
      <c r="A430" s="1176"/>
      <c r="B430" s="1206"/>
      <c r="C430" s="1206"/>
      <c r="D430" s="1206"/>
      <c r="E430" s="1206"/>
      <c r="F430" s="1206"/>
      <c r="G430" s="1206"/>
      <c r="H430" s="1206"/>
      <c r="I430" s="1206"/>
      <c r="J430" s="1206"/>
      <c r="K430" s="1206"/>
      <c r="L430" s="1206"/>
      <c r="M430" s="1206"/>
      <c r="N430" s="1206"/>
      <c r="O430" s="1206"/>
      <c r="P430" s="1206"/>
      <c r="Q430" s="1206"/>
      <c r="R430" s="1206"/>
      <c r="S430" s="1206"/>
      <c r="T430" s="1206"/>
      <c r="U430" s="1206"/>
      <c r="V430" s="1206"/>
      <c r="W430" s="1206"/>
      <c r="X430" s="1206"/>
      <c r="Y430" s="1206"/>
      <c r="Z430" s="1206"/>
      <c r="AA430" s="1206"/>
      <c r="AB430" s="1206"/>
      <c r="AC430" s="1206"/>
      <c r="AD430" s="1206"/>
      <c r="AE430" s="1206"/>
      <c r="AF430" s="1206"/>
      <c r="AG430" s="1206"/>
      <c r="AH430" s="1206"/>
      <c r="AI430" s="1206"/>
      <c r="AJ430" s="1206"/>
      <c r="AK430" s="1206"/>
      <c r="AL430" s="1206"/>
      <c r="AM430" s="1206"/>
      <c r="AN430" s="1206"/>
      <c r="AO430" s="1206"/>
      <c r="AP430" s="1206"/>
      <c r="AQ430" s="1168"/>
    </row>
    <row r="431" spans="1:43" ht="13.8">
      <c r="A431" s="1176"/>
      <c r="B431" s="1168"/>
      <c r="C431" s="1176"/>
      <c r="D431" s="1176"/>
      <c r="E431" s="1176"/>
      <c r="F431" s="1176"/>
      <c r="G431" s="1176"/>
      <c r="H431" s="1176"/>
      <c r="I431" s="1176"/>
      <c r="J431" s="1176"/>
      <c r="K431" s="1176"/>
      <c r="L431" s="1176"/>
      <c r="M431" s="1176"/>
      <c r="N431" s="1176"/>
      <c r="O431" s="1176"/>
      <c r="P431" s="1176"/>
      <c r="Q431" s="1176"/>
      <c r="R431" s="1176"/>
      <c r="S431" s="1176"/>
      <c r="T431" s="1176"/>
      <c r="U431" s="1176"/>
      <c r="V431" s="1176"/>
      <c r="W431" s="1176"/>
      <c r="X431" s="1176"/>
      <c r="Y431" s="1176"/>
      <c r="Z431" s="1176"/>
      <c r="AA431" s="1176"/>
      <c r="AB431" s="1176"/>
      <c r="AC431" s="1176"/>
      <c r="AD431" s="1176"/>
      <c r="AE431" s="1176"/>
      <c r="AF431" s="1176"/>
      <c r="AG431" s="1176"/>
      <c r="AH431" s="1176"/>
      <c r="AI431" s="1176"/>
      <c r="AJ431" s="1176"/>
      <c r="AK431" s="1176"/>
      <c r="AL431" s="1176"/>
      <c r="AM431" s="1176"/>
      <c r="AN431" s="1176"/>
      <c r="AO431" s="1176"/>
      <c r="AP431" s="1176"/>
      <c r="AQ431" s="1168"/>
    </row>
    <row r="432" spans="1:43" ht="13.8">
      <c r="A432" s="1168"/>
      <c r="B432" s="1206" t="s">
        <v>1808</v>
      </c>
      <c r="C432" s="1168"/>
      <c r="D432" s="1168"/>
      <c r="E432" s="1168"/>
      <c r="F432" s="1168"/>
      <c r="G432" s="1168"/>
      <c r="H432" s="1168"/>
      <c r="I432" s="1168"/>
      <c r="J432" s="1168"/>
      <c r="K432" s="1168"/>
      <c r="L432" s="1168"/>
      <c r="M432" s="1168"/>
      <c r="N432" s="1168"/>
      <c r="O432" s="1168"/>
      <c r="P432" s="1168"/>
      <c r="Q432" s="1168"/>
      <c r="R432" s="1168"/>
      <c r="S432" s="1168"/>
      <c r="T432" s="1168"/>
      <c r="U432" s="1168"/>
      <c r="V432" s="1168"/>
      <c r="W432" s="1168"/>
      <c r="X432" s="1168"/>
      <c r="Y432" s="1168"/>
      <c r="Z432" s="1168"/>
      <c r="AA432" s="1168"/>
      <c r="AB432" s="1168"/>
      <c r="AC432" s="1168"/>
      <c r="AD432" s="1168"/>
      <c r="AE432" s="1168"/>
      <c r="AF432" s="1168"/>
      <c r="AG432" s="1168"/>
      <c r="AH432" s="1168"/>
      <c r="AI432" s="1168"/>
      <c r="AJ432" s="1168"/>
      <c r="AK432" s="1168"/>
      <c r="AL432" s="1168"/>
      <c r="AM432" s="1168"/>
      <c r="AN432" s="1168"/>
      <c r="AO432" s="1168"/>
      <c r="AP432" s="1168"/>
      <c r="AQ432" s="1168"/>
    </row>
    <row r="433" spans="1:43" ht="13.8">
      <c r="A433" s="1168"/>
      <c r="B433" s="1208" t="s">
        <v>1809</v>
      </c>
      <c r="C433" s="1168"/>
      <c r="D433" s="1168"/>
      <c r="E433" s="1168"/>
      <c r="F433" s="1168"/>
      <c r="G433" s="1168"/>
      <c r="H433" s="1168"/>
      <c r="I433" s="1168"/>
      <c r="J433" s="1168"/>
      <c r="K433" s="1168"/>
      <c r="L433" s="1168"/>
      <c r="M433" s="1168"/>
      <c r="N433" s="1168"/>
      <c r="O433" s="1168"/>
      <c r="P433" s="1168"/>
      <c r="Q433" s="1168"/>
      <c r="R433" s="1168"/>
      <c r="S433" s="1168"/>
      <c r="T433" s="1168"/>
      <c r="U433" s="1168"/>
      <c r="V433" s="1168"/>
      <c r="W433" s="1168"/>
      <c r="X433" s="1168"/>
      <c r="Y433" s="1168"/>
      <c r="Z433" s="1168"/>
      <c r="AA433" s="1168"/>
      <c r="AB433" s="1168"/>
      <c r="AC433" s="1168"/>
      <c r="AD433" s="1168"/>
      <c r="AE433" s="1168"/>
      <c r="AF433" s="1168"/>
      <c r="AG433" s="1168"/>
      <c r="AH433" s="1168"/>
      <c r="AI433" s="1168"/>
      <c r="AJ433" s="1168"/>
      <c r="AK433" s="1168"/>
      <c r="AL433" s="1168"/>
      <c r="AM433" s="1168"/>
      <c r="AN433" s="1168"/>
      <c r="AO433" s="1168"/>
      <c r="AP433" s="1168"/>
      <c r="AQ433" s="1168"/>
    </row>
    <row r="434" spans="1:43" ht="13.8">
      <c r="A434" s="1168"/>
      <c r="B434" s="1168"/>
      <c r="C434" s="1168"/>
      <c r="D434" s="1168"/>
      <c r="E434" s="1168"/>
      <c r="F434" s="1168"/>
      <c r="G434" s="1168"/>
      <c r="H434" s="1168"/>
      <c r="I434" s="1168"/>
      <c r="J434" s="1168"/>
      <c r="K434" s="1168"/>
      <c r="L434" s="1168"/>
      <c r="M434" s="1168"/>
      <c r="N434" s="1168"/>
      <c r="O434" s="1168"/>
      <c r="P434" s="1168"/>
      <c r="Q434" s="1168"/>
      <c r="R434" s="1168"/>
      <c r="S434" s="1168"/>
      <c r="T434" s="1168"/>
      <c r="U434" s="1168"/>
      <c r="V434" s="1168"/>
      <c r="W434" s="1168"/>
      <c r="X434" s="1168"/>
      <c r="Y434" s="1168"/>
      <c r="Z434" s="1168"/>
      <c r="AA434" s="1168"/>
      <c r="AB434" s="1168"/>
      <c r="AC434" s="1168"/>
      <c r="AD434" s="1168"/>
      <c r="AE434" s="1168"/>
      <c r="AF434" s="1168"/>
      <c r="AG434" s="1168"/>
      <c r="AH434" s="1168"/>
      <c r="AI434" s="1168"/>
      <c r="AJ434" s="1168"/>
      <c r="AK434" s="1168"/>
      <c r="AL434" s="1168"/>
      <c r="AM434" s="1168"/>
      <c r="AN434" s="1168"/>
      <c r="AO434" s="1168"/>
      <c r="AP434" s="1168"/>
      <c r="AQ434" s="1168"/>
    </row>
    <row r="435" spans="1:43" ht="13.8">
      <c r="A435" s="1168"/>
      <c r="B435" s="1207" t="s">
        <v>1810</v>
      </c>
      <c r="C435" s="1282"/>
      <c r="D435" s="1282"/>
      <c r="E435" s="1282"/>
      <c r="F435" s="1282"/>
      <c r="G435" s="1282"/>
      <c r="H435" s="1282"/>
      <c r="I435" s="1282"/>
      <c r="J435" s="1282"/>
      <c r="K435" s="1282"/>
      <c r="L435" s="1282"/>
      <c r="M435" s="1282"/>
      <c r="N435" s="1282"/>
      <c r="O435" s="1282"/>
      <c r="P435" s="1282"/>
      <c r="Q435" s="1282"/>
      <c r="R435" s="1282"/>
      <c r="S435" s="1282"/>
      <c r="T435" s="1282"/>
      <c r="U435" s="1282"/>
      <c r="V435" s="1282"/>
      <c r="W435" s="1282"/>
      <c r="X435" s="1282"/>
      <c r="Y435" s="1282"/>
      <c r="Z435" s="1282"/>
      <c r="AA435" s="1282"/>
      <c r="AB435" s="1282"/>
      <c r="AC435" s="1282"/>
      <c r="AD435" s="1282"/>
      <c r="AE435" s="1282"/>
      <c r="AF435" s="1282"/>
      <c r="AG435" s="1282"/>
      <c r="AH435" s="1282"/>
      <c r="AI435" s="1282"/>
      <c r="AJ435" s="1282"/>
      <c r="AK435" s="1282"/>
      <c r="AL435" s="1282"/>
      <c r="AM435" s="1282"/>
      <c r="AN435" s="1282"/>
      <c r="AO435" s="1282"/>
      <c r="AP435" s="1282"/>
      <c r="AQ435" s="1168"/>
    </row>
    <row r="436" spans="1:43" ht="13.8">
      <c r="A436" s="1168"/>
      <c r="B436" s="1207" t="s">
        <v>1811</v>
      </c>
      <c r="C436" s="1282"/>
      <c r="D436" s="1282"/>
      <c r="E436" s="1282"/>
      <c r="F436" s="1282"/>
      <c r="G436" s="1282"/>
      <c r="H436" s="1282"/>
      <c r="I436" s="1282"/>
      <c r="J436" s="1282"/>
      <c r="K436" s="1282"/>
      <c r="L436" s="1282"/>
      <c r="M436" s="1282"/>
      <c r="N436" s="1282"/>
      <c r="O436" s="1282"/>
      <c r="P436" s="1282"/>
      <c r="Q436" s="1282"/>
      <c r="R436" s="1282"/>
      <c r="S436" s="1282"/>
      <c r="T436" s="1282"/>
      <c r="U436" s="1282"/>
      <c r="V436" s="1282"/>
      <c r="W436" s="1282"/>
      <c r="X436" s="1282"/>
      <c r="Y436" s="1282"/>
      <c r="Z436" s="1282"/>
      <c r="AA436" s="1282"/>
      <c r="AB436" s="1282"/>
      <c r="AC436" s="1282"/>
      <c r="AD436" s="1282"/>
      <c r="AE436" s="1282"/>
      <c r="AF436" s="1282"/>
      <c r="AG436" s="1282"/>
      <c r="AH436" s="1282"/>
      <c r="AI436" s="1282"/>
      <c r="AJ436" s="1282"/>
      <c r="AK436" s="1282"/>
      <c r="AL436" s="1282"/>
      <c r="AM436" s="1282"/>
      <c r="AN436" s="1282"/>
      <c r="AO436" s="1282"/>
      <c r="AP436" s="1282"/>
      <c r="AQ436" s="1168"/>
    </row>
    <row r="437" spans="1:43" ht="14.4">
      <c r="A437" s="1168"/>
      <c r="B437" s="1212" t="s">
        <v>1812</v>
      </c>
      <c r="C437" s="1283"/>
      <c r="D437" s="1282"/>
      <c r="E437" s="1282"/>
      <c r="F437" s="1282"/>
      <c r="G437" s="1282"/>
      <c r="H437" s="1282"/>
      <c r="I437" s="1282"/>
      <c r="J437" s="1282"/>
      <c r="K437" s="1282"/>
      <c r="L437" s="1282"/>
      <c r="M437" s="1282"/>
      <c r="N437" s="1282"/>
      <c r="O437" s="1282"/>
      <c r="P437" s="1282"/>
      <c r="Q437" s="1282"/>
      <c r="R437" s="1282"/>
      <c r="S437" s="1282"/>
      <c r="T437" s="1282"/>
      <c r="U437" s="1282"/>
      <c r="V437" s="1282"/>
      <c r="W437" s="1282"/>
      <c r="X437" s="1282"/>
      <c r="Y437" s="1282"/>
      <c r="Z437" s="1282"/>
      <c r="AA437" s="1282"/>
      <c r="AB437" s="1282"/>
      <c r="AC437" s="1282"/>
      <c r="AD437" s="1282"/>
      <c r="AE437" s="1282"/>
      <c r="AF437" s="1282"/>
      <c r="AG437" s="1282"/>
      <c r="AH437" s="1282"/>
      <c r="AI437" s="1282"/>
      <c r="AJ437" s="1282"/>
      <c r="AK437" s="1282"/>
      <c r="AL437" s="1282"/>
      <c r="AM437" s="1282"/>
      <c r="AN437" s="1282"/>
      <c r="AO437" s="1282"/>
      <c r="AP437" s="1282"/>
      <c r="AQ437" s="1168"/>
    </row>
    <row r="438" spans="1:43" ht="14.4">
      <c r="A438" s="1168"/>
      <c r="B438" s="1212" t="s">
        <v>1813</v>
      </c>
      <c r="C438" s="1283"/>
      <c r="D438" s="1282"/>
      <c r="E438" s="1282"/>
      <c r="F438" s="1282"/>
      <c r="G438" s="1282"/>
      <c r="H438" s="1282"/>
      <c r="I438" s="1282"/>
      <c r="J438" s="1282"/>
      <c r="K438" s="1282"/>
      <c r="L438" s="1282"/>
      <c r="M438" s="1282"/>
      <c r="N438" s="1282"/>
      <c r="O438" s="1282"/>
      <c r="P438" s="1282"/>
      <c r="Q438" s="1282"/>
      <c r="R438" s="1282"/>
      <c r="S438" s="1282"/>
      <c r="T438" s="1282"/>
      <c r="U438" s="1282"/>
      <c r="V438" s="1282"/>
      <c r="W438" s="1282"/>
      <c r="X438" s="1282"/>
      <c r="Y438" s="1282"/>
      <c r="Z438" s="1282"/>
      <c r="AA438" s="1282"/>
      <c r="AB438" s="1282"/>
      <c r="AC438" s="1282"/>
      <c r="AD438" s="1282"/>
      <c r="AE438" s="1282"/>
      <c r="AF438" s="1282"/>
      <c r="AG438" s="1282"/>
      <c r="AH438" s="1282"/>
      <c r="AI438" s="1282"/>
      <c r="AJ438" s="1282"/>
      <c r="AK438" s="1282"/>
      <c r="AL438" s="1282"/>
      <c r="AM438" s="1282"/>
      <c r="AN438" s="1282"/>
      <c r="AO438" s="1282"/>
      <c r="AP438" s="1282"/>
      <c r="AQ438" s="1168"/>
    </row>
    <row r="439" spans="1:43" ht="13.8">
      <c r="A439" s="1168"/>
      <c r="B439" s="1168"/>
      <c r="C439" s="1168"/>
      <c r="D439" s="1168"/>
      <c r="E439" s="1168"/>
      <c r="F439" s="1168"/>
      <c r="G439" s="1168"/>
      <c r="H439" s="1168"/>
      <c r="I439" s="1168"/>
      <c r="J439" s="1168"/>
      <c r="K439" s="1168"/>
      <c r="L439" s="1168"/>
      <c r="M439" s="1168"/>
      <c r="N439" s="1168"/>
      <c r="O439" s="1168"/>
      <c r="P439" s="1168"/>
      <c r="Q439" s="1168"/>
      <c r="R439" s="1168"/>
      <c r="S439" s="1168"/>
      <c r="T439" s="1168"/>
      <c r="U439" s="1168"/>
      <c r="V439" s="1168"/>
      <c r="W439" s="1168"/>
      <c r="X439" s="1168"/>
      <c r="Y439" s="1168"/>
      <c r="Z439" s="1168"/>
      <c r="AA439" s="1168"/>
      <c r="AB439" s="1168"/>
      <c r="AC439" s="1168"/>
      <c r="AD439" s="1168"/>
      <c r="AE439" s="1168"/>
      <c r="AF439" s="1168"/>
      <c r="AG439" s="1168"/>
      <c r="AH439" s="1168"/>
      <c r="AI439" s="1168"/>
      <c r="AJ439" s="1168"/>
      <c r="AK439" s="1168"/>
      <c r="AL439" s="1168"/>
      <c r="AM439" s="1168"/>
      <c r="AN439" s="1168"/>
      <c r="AO439" s="1168"/>
      <c r="AP439" s="1168"/>
      <c r="AQ439" s="1168"/>
    </row>
    <row r="440" spans="1:43" ht="13.8">
      <c r="A440" s="1168"/>
      <c r="B440" s="1168"/>
      <c r="C440" s="1168"/>
      <c r="D440" s="1168"/>
      <c r="E440" s="1168"/>
      <c r="F440" s="1168"/>
      <c r="G440" s="1168"/>
      <c r="H440" s="1168"/>
      <c r="I440" s="1168"/>
      <c r="J440" s="1168"/>
      <c r="K440" s="1168"/>
      <c r="L440" s="1168"/>
      <c r="M440" s="1168"/>
      <c r="N440" s="1168"/>
      <c r="O440" s="1168"/>
      <c r="P440" s="1168"/>
      <c r="Q440" s="1168"/>
      <c r="R440" s="1168"/>
      <c r="S440" s="1168"/>
      <c r="T440" s="1168"/>
      <c r="U440" s="1168"/>
      <c r="V440" s="1168"/>
      <c r="W440" s="1168"/>
      <c r="X440" s="1168"/>
      <c r="Y440" s="1168"/>
      <c r="Z440" s="1168"/>
      <c r="AA440" s="1168"/>
      <c r="AB440" s="1168"/>
      <c r="AC440" s="1168"/>
      <c r="AD440" s="1168"/>
      <c r="AE440" s="1168"/>
      <c r="AF440" s="1168"/>
      <c r="AG440" s="1168"/>
      <c r="AH440" s="1168"/>
      <c r="AI440" s="1168"/>
      <c r="AJ440" s="1168"/>
      <c r="AK440" s="1168"/>
      <c r="AL440" s="1168"/>
      <c r="AM440" s="1168"/>
      <c r="AN440" s="1168"/>
      <c r="AO440" s="1168"/>
      <c r="AP440" s="1168"/>
      <c r="AQ440" s="1168"/>
    </row>
    <row r="441" spans="1:43" ht="13.8">
      <c r="A441" s="1168"/>
      <c r="B441" s="1168"/>
      <c r="C441" s="1168"/>
      <c r="D441" s="1168"/>
      <c r="E441" s="1168"/>
      <c r="F441" s="1168"/>
      <c r="G441" s="1168"/>
      <c r="H441" s="1168"/>
      <c r="I441" s="1168"/>
      <c r="J441" s="1168"/>
      <c r="K441" s="1168"/>
      <c r="L441" s="1168"/>
      <c r="M441" s="1168"/>
      <c r="N441" s="1168"/>
      <c r="O441" s="1168"/>
      <c r="P441" s="1168"/>
      <c r="Q441" s="1168"/>
      <c r="R441" s="1168"/>
      <c r="S441" s="1168"/>
      <c r="T441" s="1168"/>
      <c r="U441" s="1168"/>
      <c r="V441" s="1168"/>
      <c r="W441" s="1168"/>
      <c r="X441" s="1168"/>
      <c r="Y441" s="1168"/>
      <c r="Z441" s="1168"/>
      <c r="AA441" s="1168"/>
      <c r="AB441" s="1168"/>
      <c r="AC441" s="1168"/>
      <c r="AD441" s="1168"/>
      <c r="AE441" s="1168"/>
      <c r="AF441" s="1168"/>
      <c r="AG441" s="1168"/>
      <c r="AH441" s="1168"/>
      <c r="AI441" s="1168"/>
      <c r="AJ441" s="1168"/>
      <c r="AK441" s="1168"/>
      <c r="AL441" s="1168"/>
      <c r="AM441" s="1168"/>
      <c r="AN441" s="1168"/>
      <c r="AO441" s="1168"/>
      <c r="AP441" s="1168"/>
      <c r="AQ441" s="1168"/>
    </row>
    <row r="446" spans="1:43">
      <c r="D446" s="1572">
        <v>2010</v>
      </c>
      <c r="E446" s="1577"/>
      <c r="F446" s="1544"/>
      <c r="G446" s="1544"/>
      <c r="H446" s="1544"/>
      <c r="I446" s="1544"/>
      <c r="J446" s="1544"/>
      <c r="K446" s="1544"/>
      <c r="L446" s="1544"/>
      <c r="M446" s="1544"/>
      <c r="N446" s="1559"/>
      <c r="O446" s="1543" t="s">
        <v>258</v>
      </c>
      <c r="P446" s="1544"/>
      <c r="Q446" s="1544"/>
      <c r="R446" s="1559"/>
      <c r="S446" s="1559" t="s">
        <v>2080</v>
      </c>
      <c r="T446" s="1543" t="s">
        <v>2079</v>
      </c>
      <c r="U446" s="1544"/>
      <c r="V446" s="1544"/>
      <c r="W446" s="1545"/>
    </row>
    <row r="447" spans="1:43">
      <c r="D447" s="1573" t="s">
        <v>1630</v>
      </c>
      <c r="E447" s="1565"/>
      <c r="F447" s="1547" t="s">
        <v>2075</v>
      </c>
      <c r="G447" s="1547" t="s">
        <v>2076</v>
      </c>
      <c r="H447" s="1547"/>
      <c r="I447" s="1547"/>
      <c r="J447" s="1547" t="s">
        <v>2081</v>
      </c>
      <c r="K447" s="1547"/>
      <c r="L447" s="1547"/>
      <c r="M447" s="1547" t="s">
        <v>2074</v>
      </c>
      <c r="N447" s="1548" t="s">
        <v>1509</v>
      </c>
      <c r="O447" s="1560"/>
      <c r="P447" s="1547" t="s">
        <v>2070</v>
      </c>
      <c r="Q447" s="1547" t="s">
        <v>2072</v>
      </c>
      <c r="R447" s="1548" t="s">
        <v>3210</v>
      </c>
      <c r="S447" s="1548"/>
      <c r="T447" s="1546"/>
      <c r="U447" s="1547" t="s">
        <v>2064</v>
      </c>
      <c r="V447" s="1547"/>
      <c r="W447" s="1548"/>
    </row>
    <row r="448" spans="1:43">
      <c r="D448" s="1573"/>
      <c r="E448" s="1565"/>
      <c r="F448" s="1547" t="s">
        <v>2071</v>
      </c>
      <c r="G448" s="1547" t="s">
        <v>2077</v>
      </c>
      <c r="H448" s="1547"/>
      <c r="I448" s="1547"/>
      <c r="J448" s="1547"/>
      <c r="K448" s="1547"/>
      <c r="L448" s="1547"/>
      <c r="M448" s="1547"/>
      <c r="N448" s="1548"/>
      <c r="O448" s="1560"/>
      <c r="P448" s="1547"/>
      <c r="Q448" s="1547"/>
      <c r="R448" s="1548"/>
      <c r="S448" s="1548" t="s">
        <v>2073</v>
      </c>
      <c r="T448" s="1546"/>
      <c r="U448" s="1547" t="s">
        <v>44</v>
      </c>
      <c r="V448" s="1547" t="s">
        <v>2586</v>
      </c>
      <c r="W448" s="1548" t="s">
        <v>2404</v>
      </c>
    </row>
    <row r="449" spans="3:23">
      <c r="D449" s="1574" t="s">
        <v>1815</v>
      </c>
      <c r="E449" s="1578" t="s">
        <v>1734</v>
      </c>
      <c r="F449" s="317">
        <f>Y224</f>
        <v>91344.455991400013</v>
      </c>
      <c r="G449" s="1542">
        <f>Y265</f>
        <v>27037.0192976625</v>
      </c>
      <c r="H449" s="1542"/>
      <c r="I449" s="543"/>
      <c r="J449" s="1542">
        <f>(G449*1000000)/(F449*1000)</f>
        <v>295.98971283170164</v>
      </c>
      <c r="K449" s="1542"/>
      <c r="L449" s="1323" t="s">
        <v>2067</v>
      </c>
      <c r="M449" s="1323">
        <f>H51</f>
        <v>5047.079999999999</v>
      </c>
      <c r="N449" s="1561"/>
      <c r="O449" s="1549" t="s">
        <v>627</v>
      </c>
      <c r="P449" s="1542">
        <f>AC506+AC510</f>
        <v>1275</v>
      </c>
      <c r="Q449" s="1542">
        <f>(P449*J449)/1000</f>
        <v>377.38688386041957</v>
      </c>
      <c r="R449" s="1561"/>
      <c r="S449" s="1561">
        <f>(F449*1000)/P449</f>
        <v>71642.710581490217</v>
      </c>
      <c r="T449" s="1549" t="s">
        <v>627</v>
      </c>
      <c r="U449" s="1540">
        <v>4.3608599999999997</v>
      </c>
      <c r="V449" s="1542">
        <f>G449/U449</f>
        <v>6199.9282934243483</v>
      </c>
      <c r="W449" s="1550">
        <f>F449*0.001/U449</f>
        <v>20.946431665176139</v>
      </c>
    </row>
    <row r="450" spans="3:23">
      <c r="D450" s="1574" t="s">
        <v>1815</v>
      </c>
      <c r="E450" s="1578" t="s">
        <v>1736</v>
      </c>
      <c r="F450" s="317">
        <f>Y225</f>
        <v>6790.3300000000008</v>
      </c>
      <c r="G450" s="1542">
        <f>Y266</f>
        <v>721.81438074121002</v>
      </c>
      <c r="H450" s="1542"/>
      <c r="I450" s="543"/>
      <c r="J450" s="1542">
        <f>(G450*1000000)/(F450*1000)</f>
        <v>106.3003389733945</v>
      </c>
      <c r="K450" s="1542"/>
      <c r="L450" s="1323" t="s">
        <v>2068</v>
      </c>
      <c r="M450" s="1323">
        <f>K51</f>
        <v>6108.3396630000016</v>
      </c>
      <c r="N450" s="1561"/>
      <c r="O450" s="1549" t="s">
        <v>61</v>
      </c>
      <c r="P450" s="1542">
        <f>AC509+AC511</f>
        <v>100</v>
      </c>
      <c r="Q450" s="1542">
        <f>(P450*J450)/1000</f>
        <v>10.63003389733945</v>
      </c>
      <c r="R450" s="1561"/>
      <c r="S450" s="1561">
        <f>(F450*1000)/P450</f>
        <v>67903.3</v>
      </c>
      <c r="T450" s="1549" t="s">
        <v>61</v>
      </c>
      <c r="U450" s="1540">
        <v>0.23284094400000002</v>
      </c>
      <c r="V450" s="1542">
        <f>G450*U450</f>
        <v>168.06794180455879</v>
      </c>
      <c r="W450" s="1550">
        <f>F450*0.001/U450</f>
        <v>29.162955120126984</v>
      </c>
    </row>
    <row r="451" spans="3:23">
      <c r="D451" s="1574" t="s">
        <v>1815</v>
      </c>
      <c r="E451" s="1567" t="s">
        <v>1315</v>
      </c>
      <c r="F451" s="317">
        <f>Y226</f>
        <v>98134.785991400015</v>
      </c>
      <c r="G451" s="1582">
        <f>Y267</f>
        <v>27758.833678403713</v>
      </c>
      <c r="H451" s="1552"/>
      <c r="I451" s="543"/>
      <c r="J451" s="1552"/>
      <c r="K451" s="1552"/>
      <c r="L451" s="1552" t="s">
        <v>2069</v>
      </c>
      <c r="M451" s="1582">
        <f>N51</f>
        <v>11155.419663000001</v>
      </c>
      <c r="N451" s="1583">
        <f>M451/G451</f>
        <v>0.4018691776549273</v>
      </c>
      <c r="O451" s="1551"/>
      <c r="P451" s="1552"/>
      <c r="Q451" s="1562">
        <f>SUM(Q449:Q450)</f>
        <v>388.01691775775902</v>
      </c>
      <c r="R451" s="637">
        <f>(M451*1000)/(F451)</f>
        <v>113.67446874523779</v>
      </c>
      <c r="S451" s="1563"/>
      <c r="T451" s="1551"/>
      <c r="U451" s="1552"/>
      <c r="V451" s="1553"/>
      <c r="W451" s="1550"/>
    </row>
    <row r="452" spans="3:23">
      <c r="D452" s="1574"/>
      <c r="E452" s="303"/>
      <c r="F452" s="1542"/>
      <c r="G452" s="543"/>
      <c r="H452" s="543"/>
      <c r="I452" s="1542"/>
      <c r="J452" s="543"/>
      <c r="K452" s="543"/>
      <c r="L452" s="543"/>
      <c r="N452" s="35"/>
      <c r="O452" s="22"/>
      <c r="P452" s="543"/>
      <c r="Q452" s="543"/>
      <c r="R452" s="316"/>
      <c r="S452" s="35"/>
      <c r="T452" s="22"/>
      <c r="U452" s="543"/>
      <c r="V452" s="543"/>
      <c r="W452" s="35"/>
    </row>
    <row r="453" spans="3:23">
      <c r="D453" s="1573"/>
      <c r="E453" s="1568"/>
      <c r="F453" s="1584"/>
      <c r="G453" s="869" t="s">
        <v>1508</v>
      </c>
      <c r="H453" s="869" t="s">
        <v>2078</v>
      </c>
      <c r="I453" s="1584" t="s">
        <v>2077</v>
      </c>
      <c r="J453" s="869"/>
      <c r="K453" s="869"/>
      <c r="L453" s="869"/>
      <c r="M453" s="869"/>
      <c r="N453" s="870"/>
      <c r="O453" s="868"/>
      <c r="P453" s="869"/>
      <c r="Q453" s="869"/>
      <c r="R453" s="871"/>
      <c r="S453" s="870"/>
      <c r="T453" s="868"/>
      <c r="U453" s="869"/>
      <c r="V453" s="869"/>
      <c r="W453" s="870"/>
    </row>
    <row r="454" spans="3:23">
      <c r="D454" s="1575" t="s">
        <v>1822</v>
      </c>
      <c r="E454" s="1579" t="s">
        <v>627</v>
      </c>
      <c r="F454" s="1541">
        <v>12590</v>
      </c>
      <c r="G454" s="1016">
        <v>4269</v>
      </c>
      <c r="H454" s="3">
        <v>9313</v>
      </c>
      <c r="I454" s="1541">
        <v>13582</v>
      </c>
      <c r="J454" s="1016">
        <f>(G454*1000000)/(F454*1000)</f>
        <v>339.07863383637806</v>
      </c>
      <c r="K454" s="3"/>
      <c r="L454" s="3"/>
      <c r="M454" s="1585">
        <v>1731</v>
      </c>
      <c r="N454" s="1586">
        <f>M454/G454</f>
        <v>0.40548137737174983</v>
      </c>
      <c r="O454" s="1554" t="s">
        <v>627</v>
      </c>
      <c r="P454" s="565">
        <v>513</v>
      </c>
      <c r="Q454" s="1016">
        <f>(P454*J454)/1000</f>
        <v>173.94733915806194</v>
      </c>
      <c r="R454" s="637">
        <f>(M454*1000)/(F454)</f>
        <v>137.4900714853058</v>
      </c>
      <c r="S454" s="1570">
        <f>(F454*1000)/P454</f>
        <v>24541.910331384017</v>
      </c>
      <c r="T454" s="1554" t="s">
        <v>627</v>
      </c>
      <c r="U454" s="1538">
        <v>0.72757439999999995</v>
      </c>
      <c r="V454" s="1542">
        <f>G454/U454</f>
        <v>5867.4411853962984</v>
      </c>
      <c r="W454" s="1550">
        <f>F454*0.001/U454</f>
        <v>17.304072270822065</v>
      </c>
    </row>
    <row r="455" spans="3:23">
      <c r="D455" s="1575"/>
      <c r="E455" s="1580"/>
      <c r="F455" s="1587"/>
      <c r="G455" s="3"/>
      <c r="H455" s="3"/>
      <c r="I455" s="1587"/>
      <c r="J455" s="3"/>
      <c r="K455" s="3"/>
      <c r="L455" s="3"/>
      <c r="M455" s="3"/>
      <c r="N455" s="425"/>
      <c r="O455" s="34"/>
      <c r="P455" s="3"/>
      <c r="Q455" s="3"/>
      <c r="R455" s="425"/>
      <c r="S455" s="425"/>
      <c r="T455" s="34"/>
      <c r="U455" s="3"/>
      <c r="V455" s="3"/>
      <c r="W455" s="425"/>
    </row>
    <row r="456" spans="3:23">
      <c r="D456" s="1575"/>
      <c r="E456" s="1569"/>
      <c r="F456" s="1587"/>
      <c r="G456" s="3"/>
      <c r="H456" s="3"/>
      <c r="I456" s="1587"/>
      <c r="J456" s="3"/>
      <c r="K456" s="3"/>
      <c r="L456" s="3"/>
      <c r="M456" s="3"/>
      <c r="N456" s="425"/>
      <c r="O456" s="34"/>
      <c r="P456" s="3"/>
      <c r="Q456" s="3"/>
      <c r="R456" s="425"/>
      <c r="S456" s="425"/>
      <c r="T456" s="34"/>
      <c r="U456" s="3"/>
      <c r="V456" s="3"/>
      <c r="W456" s="425"/>
    </row>
    <row r="457" spans="3:23">
      <c r="D457" s="1576" t="s">
        <v>2063</v>
      </c>
      <c r="E457" s="1581" t="s">
        <v>627</v>
      </c>
      <c r="F457" s="1589">
        <v>16326</v>
      </c>
      <c r="G457" s="1564">
        <v>1335.4970000000001</v>
      </c>
      <c r="H457" s="27">
        <v>2083.4839999999999</v>
      </c>
      <c r="I457" s="1589">
        <v>3418.9810000000002</v>
      </c>
      <c r="J457" s="1564">
        <f>(G457*1000000)/(F457*1000)</f>
        <v>81.801849810118824</v>
      </c>
      <c r="K457" s="27"/>
      <c r="L457" s="27"/>
      <c r="M457" s="1095">
        <f>H499</f>
        <v>548</v>
      </c>
      <c r="N457" s="1591">
        <f>M457/G457</f>
        <v>0.41033413029007176</v>
      </c>
      <c r="O457" s="1555" t="s">
        <v>627</v>
      </c>
      <c r="P457" s="577">
        <v>490</v>
      </c>
      <c r="Q457" s="1564">
        <f>(P457*J457)/1000</f>
        <v>40.082906406958223</v>
      </c>
      <c r="R457" s="637">
        <f>(M457*1000)/(F457)</f>
        <v>33.566090897954183</v>
      </c>
      <c r="S457" s="1571">
        <f>(F457*1000)/P457</f>
        <v>33318.367346938772</v>
      </c>
      <c r="T457" s="1555" t="s">
        <v>627</v>
      </c>
      <c r="U457" s="1556">
        <v>0.26291160000000002</v>
      </c>
      <c r="V457" s="1557">
        <f>G457/U457</f>
        <v>5079.6427392325022</v>
      </c>
      <c r="W457" s="1550">
        <f>F457*0.001/U457</f>
        <v>62.096917747258011</v>
      </c>
    </row>
    <row r="458" spans="3:23" s="754" customFormat="1">
      <c r="D458" s="1609"/>
      <c r="E458" s="1596"/>
      <c r="F458" s="1541"/>
      <c r="G458" s="1016"/>
      <c r="H458" s="3"/>
      <c r="I458" s="1541"/>
      <c r="J458" s="1016"/>
      <c r="K458" s="3"/>
      <c r="L458" s="3"/>
      <c r="M458" s="1585"/>
      <c r="N458" s="1586"/>
      <c r="O458" s="1554"/>
      <c r="P458" s="565"/>
      <c r="Q458" s="1016">
        <f>SUM(Q451:Q457)</f>
        <v>602.04716332277917</v>
      </c>
      <c r="R458" s="425"/>
      <c r="S458" s="1570"/>
      <c r="T458" s="565"/>
      <c r="U458" s="1538">
        <f>SUM(U449:U457)</f>
        <v>5.5841869439999998</v>
      </c>
      <c r="V458" s="1542"/>
      <c r="W458" s="2267"/>
    </row>
    <row r="459" spans="3:23">
      <c r="C459" s="190"/>
      <c r="D459" s="1592"/>
      <c r="E459" s="1603"/>
      <c r="F459" s="1593"/>
      <c r="G459" s="1593"/>
      <c r="H459" s="1593"/>
      <c r="I459" s="1593"/>
      <c r="J459" s="1593"/>
      <c r="K459" s="1593"/>
      <c r="L459" s="1593"/>
      <c r="M459" s="1593"/>
      <c r="N459" s="1594"/>
      <c r="O459" s="1592"/>
      <c r="P459" s="1593"/>
      <c r="Q459" s="1593"/>
      <c r="R459" s="1594"/>
      <c r="S459" s="1604"/>
      <c r="T459" s="1593"/>
      <c r="U459" s="1593"/>
      <c r="V459" s="1593"/>
      <c r="W459" s="1594"/>
    </row>
    <row r="460" spans="3:23">
      <c r="C460" s="862" t="s">
        <v>2067</v>
      </c>
      <c r="D460" s="1601" t="s">
        <v>1815</v>
      </c>
      <c r="E460" s="1578" t="s">
        <v>1734</v>
      </c>
      <c r="F460" s="1539">
        <f>F449*($M449/$M451)</f>
        <v>41327.246385376537</v>
      </c>
      <c r="G460" s="1542">
        <f>G449*($M449/$M451)</f>
        <v>12232.439789732582</v>
      </c>
      <c r="H460" s="543"/>
      <c r="I460" s="1539"/>
      <c r="J460" s="1542">
        <f>(G460*1000000)/(F460*1000)</f>
        <v>295.98971283170169</v>
      </c>
      <c r="K460" s="543"/>
      <c r="L460" s="467" t="s">
        <v>627</v>
      </c>
      <c r="M460" s="73">
        <f>N460*G460</f>
        <v>4915.8405190132444</v>
      </c>
      <c r="N460" s="1583">
        <f>N451</f>
        <v>0.4018691776549273</v>
      </c>
      <c r="O460" s="22"/>
      <c r="P460" s="73">
        <f>P449*($M449/$M451)</f>
        <v>576.8520767841236</v>
      </c>
      <c r="Q460" s="73">
        <f>Q449*($M449/$M451)</f>
        <v>170.74228055370344</v>
      </c>
      <c r="R460" s="2097"/>
      <c r="S460" s="1566">
        <f>(F460*1000)/P460</f>
        <v>71642.710581490217</v>
      </c>
      <c r="T460" s="543"/>
      <c r="U460" s="73">
        <f>U449*($M449/$M451)</f>
        <v>1.9729969784822063</v>
      </c>
      <c r="V460" s="1542">
        <f>G460/U460</f>
        <v>6199.9282934243483</v>
      </c>
      <c r="W460" s="35"/>
    </row>
    <row r="461" spans="3:23" s="754" customFormat="1">
      <c r="C461" s="862" t="s">
        <v>2067</v>
      </c>
      <c r="D461" s="1601" t="s">
        <v>1815</v>
      </c>
      <c r="E461" s="1578" t="s">
        <v>1736</v>
      </c>
      <c r="F461" s="27">
        <f>F450*($M449/$M451)</f>
        <v>3072.1693823917949</v>
      </c>
      <c r="G461" s="1557">
        <f>G450*($M449/$M451)</f>
        <v>326.57264673193185</v>
      </c>
      <c r="H461" s="23"/>
      <c r="I461" s="27"/>
      <c r="J461" s="1557">
        <f>(G461*1000000)/(F461*1000)</f>
        <v>106.3003389733945</v>
      </c>
      <c r="K461" s="23"/>
      <c r="L461" s="734" t="s">
        <v>61</v>
      </c>
      <c r="M461" s="1606">
        <f>N461*G461</f>
        <v>131.23948098675453</v>
      </c>
      <c r="N461" s="1607">
        <f>N460</f>
        <v>0.4018691776549273</v>
      </c>
      <c r="O461" s="22"/>
      <c r="P461" s="73">
        <f>P450*($M449/$M451)</f>
        <v>45.243300139931264</v>
      </c>
      <c r="Q461" s="73">
        <f>Q450*($M449/$M451)</f>
        <v>4.8093781411497201</v>
      </c>
      <c r="R461" s="2097"/>
      <c r="S461" s="1566">
        <f>(F461*1000)/P461</f>
        <v>67903.3</v>
      </c>
      <c r="T461" s="543"/>
      <c r="U461" s="73">
        <f>U450*($M449/$M451)</f>
        <v>0.10534492714256928</v>
      </c>
      <c r="V461" s="1542">
        <f>G461/U461</f>
        <v>3100.0320147353896</v>
      </c>
      <c r="W461" s="35"/>
    </row>
    <row r="462" spans="3:23" s="754" customFormat="1">
      <c r="C462" s="1597" t="s">
        <v>2068</v>
      </c>
      <c r="D462" s="1602" t="s">
        <v>1815</v>
      </c>
      <c r="E462" s="1598" t="s">
        <v>1734</v>
      </c>
      <c r="F462" s="3">
        <f>F449*($M450/$M451)</f>
        <v>50017.209606023476</v>
      </c>
      <c r="G462" s="1542">
        <f>G449*($M450/$M451)</f>
        <v>14804.579507929919</v>
      </c>
      <c r="H462" s="543"/>
      <c r="I462" s="3"/>
      <c r="J462" s="1542">
        <f>(G462*1000000)/(F462*1000)</f>
        <v>295.98971283170164</v>
      </c>
      <c r="K462" s="543"/>
      <c r="L462" s="467" t="s">
        <v>627</v>
      </c>
      <c r="M462" s="73">
        <f>N462*G462</f>
        <v>5949.5041923787849</v>
      </c>
      <c r="N462" s="1583">
        <f>N461</f>
        <v>0.4018691776549273</v>
      </c>
      <c r="O462" s="193"/>
      <c r="P462" s="1599">
        <f>P449*($M450/$M451)</f>
        <v>698.1479232158764</v>
      </c>
      <c r="Q462" s="1599">
        <f>Q449*($M450/$M451)</f>
        <v>206.64460330671614</v>
      </c>
      <c r="R462" s="2097"/>
      <c r="S462" s="1605">
        <f>(F462*1000)/P462</f>
        <v>71642.710581490202</v>
      </c>
      <c r="T462" s="30"/>
      <c r="U462" s="1599">
        <f>U449*($M450/$M451)</f>
        <v>2.3878630215177932</v>
      </c>
      <c r="V462" s="1600">
        <f>G462/U462</f>
        <v>6199.9282934243483</v>
      </c>
      <c r="W462" s="315"/>
    </row>
    <row r="463" spans="3:23" s="754" customFormat="1">
      <c r="C463" s="1596" t="s">
        <v>2068</v>
      </c>
      <c r="D463" s="1601" t="s">
        <v>1815</v>
      </c>
      <c r="E463" s="1578" t="s">
        <v>1736</v>
      </c>
      <c r="F463" s="3">
        <f>F450*($M450/$M451)</f>
        <v>3718.1606176082059</v>
      </c>
      <c r="G463" s="1542">
        <f>G450*($M450/$M451)</f>
        <v>395.24173400927816</v>
      </c>
      <c r="H463" s="543"/>
      <c r="I463" s="3"/>
      <c r="J463" s="1542">
        <f>(G463*1000000)/(F463*1000)</f>
        <v>106.30033897339452</v>
      </c>
      <c r="K463" s="543"/>
      <c r="L463" s="565" t="s">
        <v>61</v>
      </c>
      <c r="M463" s="73">
        <f>N463*G463</f>
        <v>158.83547062121613</v>
      </c>
      <c r="N463" s="1583">
        <f>N462</f>
        <v>0.4018691776549273</v>
      </c>
      <c r="O463" s="22"/>
      <c r="P463" s="73">
        <f>P450*($M450/$M451)</f>
        <v>54.756699860068736</v>
      </c>
      <c r="Q463" s="73">
        <f>Q450*($M450/$M451)</f>
        <v>5.8206557561897299</v>
      </c>
      <c r="R463" s="2097"/>
      <c r="S463" s="1566">
        <f>(F463*1000)/P463</f>
        <v>67903.3</v>
      </c>
      <c r="T463" s="543"/>
      <c r="U463" s="73">
        <f>U450*($M450/$M451)</f>
        <v>0.12749601685743073</v>
      </c>
      <c r="V463" s="1542">
        <f>G463/U463</f>
        <v>3100.0320147353896</v>
      </c>
      <c r="W463" s="35"/>
    </row>
    <row r="464" spans="3:23" s="754" customFormat="1">
      <c r="C464" s="192"/>
      <c r="D464" s="461"/>
      <c r="E464" s="192"/>
      <c r="F464" s="1588">
        <f>SUM(F460:F463)</f>
        <v>98134.785991400015</v>
      </c>
      <c r="G464" s="23">
        <f>SUM(G460:G463)</f>
        <v>27758.833678403709</v>
      </c>
      <c r="H464" s="23"/>
      <c r="I464" s="1588"/>
      <c r="J464" s="23"/>
      <c r="K464" s="23"/>
      <c r="L464" s="23"/>
      <c r="M464" s="1606">
        <f>SUM(M460:M463)</f>
        <v>11155.419663000001</v>
      </c>
      <c r="N464" s="426"/>
      <c r="O464" s="461"/>
      <c r="P464" s="1595">
        <f>SUM(P460:P463)</f>
        <v>1375</v>
      </c>
      <c r="Q464" s="1595">
        <f>SUM(Q460:Q463)</f>
        <v>388.01691775775902</v>
      </c>
      <c r="R464" s="1558"/>
      <c r="S464" s="192"/>
      <c r="T464" s="23"/>
      <c r="U464" s="1595">
        <f>SUM(U460:U463)</f>
        <v>4.5937009439999992</v>
      </c>
      <c r="V464" s="23"/>
      <c r="W464" s="426"/>
    </row>
    <row r="465" spans="3:23">
      <c r="D465" s="1602"/>
      <c r="E465" s="190"/>
      <c r="F465" s="30"/>
      <c r="G465" s="30"/>
      <c r="H465" s="30"/>
      <c r="I465" s="30"/>
      <c r="J465" s="30"/>
      <c r="K465" s="30"/>
      <c r="L465" s="30"/>
      <c r="M465" s="1599"/>
      <c r="N465" s="315"/>
      <c r="O465" s="30"/>
      <c r="P465" s="30"/>
      <c r="Q465" s="30"/>
      <c r="R465" s="30"/>
      <c r="S465" s="190"/>
      <c r="T465" s="30"/>
      <c r="U465" s="30"/>
      <c r="V465" s="30"/>
      <c r="W465" s="315"/>
    </row>
    <row r="466" spans="3:23">
      <c r="C466" s="765" t="s">
        <v>1401</v>
      </c>
      <c r="D466" s="765" t="s">
        <v>2405</v>
      </c>
      <c r="E466" s="303"/>
      <c r="F466" s="73">
        <f>F461</f>
        <v>3072.1693823917949</v>
      </c>
      <c r="G466" s="1542">
        <f>G461</f>
        <v>326.57264673193185</v>
      </c>
      <c r="H466" s="73"/>
      <c r="I466" s="73"/>
      <c r="J466" s="1542">
        <f>(G466*1000000)/(F466*1000)</f>
        <v>106.3003389733945</v>
      </c>
      <c r="K466" s="73"/>
      <c r="L466" s="73" t="str">
        <f>L461</f>
        <v>Diesel</v>
      </c>
      <c r="M466" s="73">
        <f>M461</f>
        <v>131.23948098675453</v>
      </c>
      <c r="N466" s="1583">
        <f>M466/G466</f>
        <v>0.4018691776549273</v>
      </c>
      <c r="O466" s="73"/>
      <c r="P466" s="73">
        <f>P461</f>
        <v>45.243300139931264</v>
      </c>
      <c r="Q466" s="1608">
        <f>(P466*J466)/1000</f>
        <v>4.8093781411497201</v>
      </c>
      <c r="R466" s="73"/>
      <c r="S466" s="1566">
        <f>(F466*1000)/P466</f>
        <v>67903.3</v>
      </c>
      <c r="T466" s="73"/>
      <c r="U466" s="73">
        <f>U461</f>
        <v>0.10534492714256928</v>
      </c>
      <c r="V466" s="1542">
        <f>G466/U466</f>
        <v>3100.0320147353896</v>
      </c>
      <c r="W466" s="1610"/>
    </row>
    <row r="467" spans="3:23">
      <c r="C467" s="565" t="s">
        <v>2579</v>
      </c>
      <c r="D467" s="765" t="s">
        <v>2406</v>
      </c>
      <c r="E467" s="303"/>
      <c r="F467" s="73">
        <f>F460+F454+F457</f>
        <v>70243.246385376537</v>
      </c>
      <c r="G467" s="1542">
        <f>G460+G457+G454</f>
        <v>17836.936789732579</v>
      </c>
      <c r="H467" s="73"/>
      <c r="I467" s="73"/>
      <c r="J467" s="1542">
        <f>(G467*1000000)/(F467*1000)</f>
        <v>253.93098564769534</v>
      </c>
      <c r="K467" s="73"/>
      <c r="L467" s="73" t="str">
        <f>L462</f>
        <v>El</v>
      </c>
      <c r="M467" s="73">
        <f>M460+M457+M454</f>
        <v>7194.8405190132444</v>
      </c>
      <c r="N467" s="1583">
        <f>M467/G467</f>
        <v>0.4033674954297527</v>
      </c>
      <c r="O467" s="73"/>
      <c r="P467" s="73">
        <f>P460+P457+P454</f>
        <v>1579.8520767841237</v>
      </c>
      <c r="Q467" s="1608">
        <f>(P467*J467)/1000</f>
        <v>401.17339503535101</v>
      </c>
      <c r="R467" s="73"/>
      <c r="S467" s="1566">
        <f>(F467*1000)/P467</f>
        <v>44461.913502915129</v>
      </c>
      <c r="T467" s="73"/>
      <c r="U467" s="73">
        <f>U460+U457+U454</f>
        <v>2.9634829784822063</v>
      </c>
      <c r="V467" s="1542">
        <f>G467/U467</f>
        <v>6018.9098163364661</v>
      </c>
      <c r="W467" s="35"/>
    </row>
    <row r="468" spans="3:23">
      <c r="C468" s="565" t="s">
        <v>2580</v>
      </c>
      <c r="D468" s="765" t="s">
        <v>2407</v>
      </c>
      <c r="E468" s="303"/>
      <c r="F468" s="73">
        <f>F463</f>
        <v>3718.1606176082059</v>
      </c>
      <c r="G468" s="1542">
        <f>G463</f>
        <v>395.24173400927816</v>
      </c>
      <c r="H468" s="73"/>
      <c r="I468" s="73"/>
      <c r="J468" s="1542">
        <f>(G468*1000000)/(F468*1000)</f>
        <v>106.30033897339452</v>
      </c>
      <c r="K468" s="73"/>
      <c r="L468" s="73" t="str">
        <f>L463</f>
        <v>Diesel</v>
      </c>
      <c r="M468" s="73">
        <f>M463</f>
        <v>158.83547062121613</v>
      </c>
      <c r="N468" s="1583">
        <f>M468/G468</f>
        <v>0.4018691776549273</v>
      </c>
      <c r="O468" s="73"/>
      <c r="P468" s="73">
        <f>P463</f>
        <v>54.756699860068736</v>
      </c>
      <c r="Q468" s="1608">
        <f>(P468*J468)/1000</f>
        <v>5.8206557561897307</v>
      </c>
      <c r="R468" s="73"/>
      <c r="S468" s="1566">
        <f>(F468*1000)/P468</f>
        <v>67903.3</v>
      </c>
      <c r="T468" s="73"/>
      <c r="U468" s="73">
        <f>U463</f>
        <v>0.12749601685743073</v>
      </c>
      <c r="V468" s="1542">
        <f>G468/U468</f>
        <v>3100.0320147353896</v>
      </c>
      <c r="W468" s="35"/>
    </row>
    <row r="469" spans="3:23">
      <c r="C469" s="565" t="s">
        <v>2580</v>
      </c>
      <c r="D469" s="765" t="s">
        <v>2408</v>
      </c>
      <c r="E469" s="192"/>
      <c r="F469" s="1606">
        <f>F462</f>
        <v>50017.209606023476</v>
      </c>
      <c r="G469" s="1557">
        <f>G462</f>
        <v>14804.579507929919</v>
      </c>
      <c r="H469" s="1606"/>
      <c r="I469" s="1606"/>
      <c r="J469" s="1557">
        <f>(G469*1000000)/(F469*1000)</f>
        <v>295.98971283170164</v>
      </c>
      <c r="K469" s="1606"/>
      <c r="L469" s="1606" t="str">
        <f>L462</f>
        <v>El</v>
      </c>
      <c r="M469" s="1606">
        <f>M462</f>
        <v>5949.5041923787849</v>
      </c>
      <c r="N469" s="1607">
        <f>M469/G469</f>
        <v>0.4018691776549273</v>
      </c>
      <c r="O469" s="1606"/>
      <c r="P469" s="1606">
        <f>P462</f>
        <v>698.1479232158764</v>
      </c>
      <c r="Q469" s="1611">
        <f>(P469*J469)/1000</f>
        <v>206.64460330671614</v>
      </c>
      <c r="R469" s="1606"/>
      <c r="S469" s="1612">
        <f>(F469*1000)/P469</f>
        <v>71642.710581490202</v>
      </c>
      <c r="T469" s="1606"/>
      <c r="U469" s="1606">
        <f>U462</f>
        <v>2.3878630215177932</v>
      </c>
      <c r="V469" s="1557">
        <f>G469/U469</f>
        <v>6199.9282934243483</v>
      </c>
      <c r="W469" s="426"/>
    </row>
    <row r="470" spans="3:23" s="754" customFormat="1">
      <c r="C470" s="565"/>
      <c r="D470" s="1613"/>
      <c r="E470" s="192"/>
      <c r="F470" s="543"/>
      <c r="G470" s="23"/>
      <c r="H470" s="23"/>
      <c r="I470" s="23"/>
      <c r="J470" s="23"/>
      <c r="K470" s="23"/>
      <c r="L470" s="23"/>
      <c r="M470" s="1606">
        <f>SUM(M466:M469)</f>
        <v>13434.419663000001</v>
      </c>
      <c r="N470" s="426"/>
      <c r="O470" s="23"/>
      <c r="P470" s="23"/>
      <c r="Q470" s="1606">
        <f>SUM(Q466:Q469)</f>
        <v>618.44803223940653</v>
      </c>
      <c r="R470" s="23"/>
      <c r="S470" s="192"/>
      <c r="T470" s="23"/>
      <c r="U470" s="33">
        <f>SUM(U466:U469)</f>
        <v>5.5841869439999998</v>
      </c>
      <c r="V470" s="23"/>
      <c r="W470" s="426"/>
    </row>
    <row r="471" spans="3:23" s="754" customFormat="1">
      <c r="F471" s="2257"/>
    </row>
    <row r="472" spans="3:23" s="754" customFormat="1">
      <c r="C472" s="1615" t="s">
        <v>601</v>
      </c>
      <c r="D472" s="1597" t="str">
        <f>D466</f>
        <v xml:space="preserve"> Rail S-train - Electric </v>
      </c>
      <c r="E472" s="30"/>
      <c r="F472" s="30"/>
      <c r="G472" s="30"/>
      <c r="H472" s="30"/>
      <c r="I472" s="30"/>
      <c r="J472" s="30"/>
      <c r="K472" s="30"/>
      <c r="L472" s="30"/>
      <c r="M472" s="2090">
        <f>$M$457*S491</f>
        <v>0</v>
      </c>
      <c r="N472" s="30"/>
      <c r="O472" s="30"/>
      <c r="P472" s="2260">
        <f>$P$457*S491</f>
        <v>0</v>
      </c>
      <c r="Q472" s="1616">
        <f>Q466*R$491</f>
        <v>9.4115503102368714E-2</v>
      </c>
      <c r="R472" s="30"/>
      <c r="S472" s="30"/>
      <c r="T472" s="30"/>
      <c r="U472" s="30"/>
      <c r="V472" s="30"/>
      <c r="W472" s="315"/>
    </row>
    <row r="473" spans="3:23" s="754" customFormat="1">
      <c r="C473" s="22"/>
      <c r="D473" s="862" t="str">
        <f>D467</f>
        <v xml:space="preserve">Rail Metro - Electric </v>
      </c>
      <c r="E473" s="543"/>
      <c r="F473" s="250"/>
      <c r="G473" s="543"/>
      <c r="H473" s="543"/>
      <c r="I473" s="543"/>
      <c r="J473" s="543"/>
      <c r="K473" s="543"/>
      <c r="L473" s="543"/>
      <c r="M473" s="317">
        <f>$M$454*T491</f>
        <v>0</v>
      </c>
      <c r="N473" s="543"/>
      <c r="O473" s="543"/>
      <c r="P473" s="2261">
        <f>$P$454*T491</f>
        <v>0</v>
      </c>
      <c r="Q473" s="2258">
        <f>Q467*R$491</f>
        <v>7.8506274193717989</v>
      </c>
      <c r="R473" s="543"/>
      <c r="S473" s="543"/>
      <c r="T473" s="543"/>
      <c r="U473" s="543"/>
      <c r="V473" s="543"/>
      <c r="W473" s="35"/>
    </row>
    <row r="474" spans="3:23" s="754" customFormat="1">
      <c r="C474" s="22"/>
      <c r="D474" s="862" t="str">
        <f>D468</f>
        <v>Rail Other train - Electric</v>
      </c>
      <c r="E474" s="543"/>
      <c r="F474" s="250"/>
      <c r="G474" s="543"/>
      <c r="H474" s="543"/>
      <c r="I474" s="543"/>
      <c r="J474" s="543"/>
      <c r="K474" s="543"/>
      <c r="L474" s="543"/>
      <c r="M474" s="317">
        <f>$M$460*R491+M462*R491</f>
        <v>212.62569793459036</v>
      </c>
      <c r="N474" s="543"/>
      <c r="O474" s="543"/>
      <c r="P474" s="2261">
        <f>$P$449*R491</f>
        <v>24.950682382158</v>
      </c>
      <c r="Q474" s="2258">
        <f>Q468*R$491</f>
        <v>0.11390535923809386</v>
      </c>
      <c r="R474" s="543"/>
      <c r="S474" s="543"/>
      <c r="T474" s="543"/>
      <c r="U474" s="543"/>
      <c r="V474" s="543"/>
      <c r="W474" s="35"/>
    </row>
    <row r="475" spans="3:23" s="754" customFormat="1">
      <c r="C475" s="461"/>
      <c r="D475" s="862" t="str">
        <f>D469</f>
        <v>Rail Other train - Diesel</v>
      </c>
      <c r="E475" s="23"/>
      <c r="F475" s="23"/>
      <c r="G475" s="23"/>
      <c r="H475" s="23"/>
      <c r="I475" s="23"/>
      <c r="J475" s="23"/>
      <c r="K475" s="23"/>
      <c r="L475" s="23"/>
      <c r="M475" s="2116">
        <f>$M$461*R491+M463*R491</f>
        <v>5.6765239094826105</v>
      </c>
      <c r="N475" s="23"/>
      <c r="O475" s="23"/>
      <c r="P475" s="2261">
        <f>$P$450*R491</f>
        <v>1.956916265267294</v>
      </c>
      <c r="Q475" s="1618">
        <f>Q469*R$491</f>
        <v>4.043861853406205</v>
      </c>
      <c r="R475" s="23"/>
      <c r="S475" s="23"/>
      <c r="T475" s="23"/>
      <c r="U475" s="23"/>
      <c r="V475" s="23"/>
      <c r="W475" s="426"/>
    </row>
    <row r="476" spans="3:23" s="754" customFormat="1">
      <c r="C476" s="1615" t="s">
        <v>602</v>
      </c>
      <c r="D476" s="1597" t="str">
        <f>D472</f>
        <v xml:space="preserve"> Rail S-train - Electric </v>
      </c>
      <c r="E476" s="30"/>
      <c r="F476" s="30"/>
      <c r="G476" s="30"/>
      <c r="H476" s="30"/>
      <c r="I476" s="30"/>
      <c r="J476" s="30"/>
      <c r="K476" s="30"/>
      <c r="L476" s="30"/>
      <c r="M476" s="2090">
        <f>M457*S492</f>
        <v>0</v>
      </c>
      <c r="N476" s="30"/>
      <c r="O476" s="30"/>
      <c r="P476" s="2260">
        <f>$P$457*S492</f>
        <v>0</v>
      </c>
      <c r="Q476" s="1616">
        <f>Q466*R$492</f>
        <v>0.22710701809330297</v>
      </c>
      <c r="R476" s="30"/>
      <c r="S476" s="30"/>
      <c r="T476" s="30"/>
      <c r="U476" s="30"/>
      <c r="V476" s="30"/>
      <c r="W476" s="315"/>
    </row>
    <row r="477" spans="3:23" s="754" customFormat="1">
      <c r="C477" s="22"/>
      <c r="D477" s="862" t="str">
        <f t="shared" ref="D477:D487" si="0">D473</f>
        <v xml:space="preserve">Rail Metro - Electric </v>
      </c>
      <c r="E477" s="543"/>
      <c r="F477" s="543"/>
      <c r="G477" s="543"/>
      <c r="H477" s="543"/>
      <c r="I477" s="543"/>
      <c r="J477" s="543"/>
      <c r="K477" s="543"/>
      <c r="L477" s="543"/>
      <c r="M477" s="317">
        <f>M454*T492</f>
        <v>0</v>
      </c>
      <c r="N477" s="543"/>
      <c r="O477" s="543"/>
      <c r="P477" s="2261">
        <f>$P$454*T492</f>
        <v>0</v>
      </c>
      <c r="Q477" s="1617">
        <f>Q467*R$492</f>
        <v>18.944090235970684</v>
      </c>
      <c r="R477" s="543"/>
      <c r="S477" s="543"/>
      <c r="T477" s="543"/>
      <c r="U477" s="543"/>
      <c r="V477" s="543"/>
      <c r="W477" s="35"/>
    </row>
    <row r="478" spans="3:23" s="754" customFormat="1">
      <c r="C478" s="22"/>
      <c r="D478" s="862" t="str">
        <f t="shared" si="0"/>
        <v>Rail Other train - Electric</v>
      </c>
      <c r="E478" s="543"/>
      <c r="F478" s="543"/>
      <c r="G478" s="543"/>
      <c r="H478" s="543"/>
      <c r="I478" s="543"/>
      <c r="J478" s="543"/>
      <c r="K478" s="543"/>
      <c r="L478" s="543"/>
      <c r="M478" s="317">
        <f>(M460+M462)*$R$492</f>
        <v>513.08006264822109</v>
      </c>
      <c r="N478" s="543"/>
      <c r="O478" s="543"/>
      <c r="P478" s="2261">
        <f>$P$449*R492</f>
        <v>60.207669176900971</v>
      </c>
      <c r="Q478" s="1617">
        <f>Q468*R$492</f>
        <v>0.2748612675774868</v>
      </c>
      <c r="R478" s="543"/>
      <c r="S478" s="543"/>
      <c r="T478" s="543"/>
      <c r="U478" s="543"/>
      <c r="V478" s="543"/>
      <c r="W478" s="35"/>
    </row>
    <row r="479" spans="3:23" s="754" customFormat="1">
      <c r="C479" s="461"/>
      <c r="D479" s="1614" t="str">
        <f t="shared" si="0"/>
        <v>Rail Other train - Diesel</v>
      </c>
      <c r="E479" s="23"/>
      <c r="F479" s="23"/>
      <c r="G479" s="23"/>
      <c r="H479" s="23"/>
      <c r="I479" s="23"/>
      <c r="J479" s="23"/>
      <c r="K479" s="23"/>
      <c r="L479" s="23"/>
      <c r="M479" s="2116">
        <f>(M461+M463)*$R$492</f>
        <v>13.697832723857456</v>
      </c>
      <c r="N479" s="23"/>
      <c r="O479" s="23"/>
      <c r="P479" s="2261">
        <f>$P$450*R492</f>
        <v>4.7221701315216444</v>
      </c>
      <c r="Q479" s="1618">
        <f>Q469*R$492</f>
        <v>9.7581097357511393</v>
      </c>
      <c r="R479" s="23"/>
      <c r="S479" s="23"/>
      <c r="T479" s="23"/>
      <c r="U479" s="23"/>
      <c r="V479" s="23"/>
      <c r="W479" s="426"/>
    </row>
    <row r="480" spans="3:23" s="754" customFormat="1">
      <c r="C480" s="1615" t="s">
        <v>603</v>
      </c>
      <c r="D480" s="1597" t="str">
        <f t="shared" si="0"/>
        <v xml:space="preserve"> Rail S-train - Electric </v>
      </c>
      <c r="E480" s="30"/>
      <c r="F480" s="30"/>
      <c r="G480" s="30"/>
      <c r="H480" s="30"/>
      <c r="I480" s="30"/>
      <c r="J480" s="30"/>
      <c r="K480" s="30"/>
      <c r="L480" s="30"/>
      <c r="M480" s="2090">
        <f>M457*S493</f>
        <v>548</v>
      </c>
      <c r="N480" s="30"/>
      <c r="O480" s="30"/>
      <c r="P480" s="2260">
        <f>$P$457*S493</f>
        <v>490</v>
      </c>
      <c r="Q480" s="1616">
        <f>Q466*R$493</f>
        <v>3.5434674888494926</v>
      </c>
      <c r="R480" s="30"/>
      <c r="S480" s="30"/>
      <c r="T480" s="30"/>
      <c r="U480" s="30"/>
      <c r="V480" s="30"/>
      <c r="W480" s="315"/>
    </row>
    <row r="481" spans="3:23" s="754" customFormat="1">
      <c r="C481" s="22"/>
      <c r="D481" s="862" t="str">
        <f t="shared" si="0"/>
        <v xml:space="preserve">Rail Metro - Electric </v>
      </c>
      <c r="E481" s="543"/>
      <c r="F481" s="543"/>
      <c r="G481" s="543"/>
      <c r="H481" s="543"/>
      <c r="I481" s="543"/>
      <c r="J481" s="543"/>
      <c r="K481" s="543"/>
      <c r="L481" s="543"/>
      <c r="M481" s="317">
        <f>M454*T493</f>
        <v>1731</v>
      </c>
      <c r="N481" s="543"/>
      <c r="O481" s="543"/>
      <c r="P481" s="2261">
        <f>$P$454*T493</f>
        <v>513</v>
      </c>
      <c r="Q481" s="1617">
        <f>Q467*R$493</f>
        <v>295.57769029143321</v>
      </c>
      <c r="R481" s="543"/>
      <c r="S481" s="543"/>
      <c r="T481" s="543"/>
      <c r="U481" s="543"/>
      <c r="V481" s="543"/>
      <c r="W481" s="35"/>
    </row>
    <row r="482" spans="3:23" s="754" customFormat="1">
      <c r="C482" s="22"/>
      <c r="D482" s="862" t="str">
        <f t="shared" si="0"/>
        <v>Rail Other train - Electric</v>
      </c>
      <c r="E482" s="543"/>
      <c r="F482" s="543"/>
      <c r="G482" s="543"/>
      <c r="H482" s="543"/>
      <c r="I482" s="543"/>
      <c r="J482" s="543"/>
      <c r="K482" s="543"/>
      <c r="L482" s="543"/>
      <c r="M482" s="317">
        <f>(M460+M462)*$R$493</f>
        <v>8005.3999935127713</v>
      </c>
      <c r="N482" s="543"/>
      <c r="O482" s="543"/>
      <c r="P482" s="2261">
        <f>$P$449*R493</f>
        <v>939.39817491727899</v>
      </c>
      <c r="Q482" s="1617">
        <f>Q468*R$493</f>
        <v>4.2885595248520687</v>
      </c>
      <c r="R482" s="543"/>
      <c r="S482" s="543"/>
      <c r="T482" s="543"/>
      <c r="U482" s="543"/>
      <c r="V482" s="543"/>
      <c r="W482" s="35"/>
    </row>
    <row r="483" spans="3:23" s="754" customFormat="1">
      <c r="C483" s="461"/>
      <c r="D483" s="1614" t="str">
        <f t="shared" si="0"/>
        <v>Rail Other train - Diesel</v>
      </c>
      <c r="E483" s="23"/>
      <c r="F483" s="23"/>
      <c r="G483" s="23"/>
      <c r="H483" s="23"/>
      <c r="I483" s="23"/>
      <c r="J483" s="23"/>
      <c r="K483" s="23"/>
      <c r="L483" s="23"/>
      <c r="M483" s="2116">
        <f>(M461+M463)*$R$493</f>
        <v>213.72225892529073</v>
      </c>
      <c r="N483" s="23"/>
      <c r="O483" s="23"/>
      <c r="P483" s="2261">
        <f>$P$450*R493</f>
        <v>73.678288228806196</v>
      </c>
      <c r="Q483" s="1618">
        <f>Q469*R$493</f>
        <v>152.25220643359549</v>
      </c>
      <c r="R483" s="23"/>
      <c r="S483" s="23"/>
      <c r="T483" s="23"/>
      <c r="U483" s="23"/>
      <c r="V483" s="23"/>
      <c r="W483" s="426"/>
    </row>
    <row r="484" spans="3:23" s="754" customFormat="1">
      <c r="C484" s="1615" t="s">
        <v>604</v>
      </c>
      <c r="D484" s="1597" t="str">
        <f t="shared" si="0"/>
        <v xml:space="preserve"> Rail S-train - Electric </v>
      </c>
      <c r="E484" s="30"/>
      <c r="F484" s="30"/>
      <c r="G484" s="30"/>
      <c r="H484" s="30"/>
      <c r="I484" s="30"/>
      <c r="J484" s="30"/>
      <c r="K484" s="30"/>
      <c r="L484" s="30"/>
      <c r="M484" s="2090">
        <f>M457*S494</f>
        <v>0</v>
      </c>
      <c r="N484" s="30"/>
      <c r="O484" s="30"/>
      <c r="P484" s="2260">
        <f>$P$457*S494</f>
        <v>0</v>
      </c>
      <c r="Q484" s="1617">
        <f>Q466*R$494</f>
        <v>0.94468813110455596</v>
      </c>
      <c r="R484" s="30"/>
      <c r="S484" s="30"/>
      <c r="T484" s="30"/>
      <c r="U484" s="30"/>
      <c r="V484" s="30"/>
      <c r="W484" s="315"/>
    </row>
    <row r="485" spans="3:23" s="754" customFormat="1">
      <c r="C485" s="22"/>
      <c r="D485" s="862" t="str">
        <f t="shared" si="0"/>
        <v xml:space="preserve">Rail Metro - Electric </v>
      </c>
      <c r="E485" s="543"/>
      <c r="F485" s="543"/>
      <c r="G485" s="543"/>
      <c r="H485" s="543"/>
      <c r="I485" s="543"/>
      <c r="J485" s="543"/>
      <c r="K485" s="543"/>
      <c r="L485" s="543"/>
      <c r="M485" s="317">
        <f>M454*T494</f>
        <v>0</v>
      </c>
      <c r="N485" s="543"/>
      <c r="O485" s="543"/>
      <c r="P485" s="2261">
        <f>$P$454*T494</f>
        <v>0</v>
      </c>
      <c r="Q485" s="1617">
        <f>Q467*R$494</f>
        <v>78.800987088575326</v>
      </c>
      <c r="R485" s="543"/>
      <c r="S485" s="543"/>
      <c r="T485" s="543"/>
      <c r="U485" s="543"/>
      <c r="V485" s="543"/>
      <c r="W485" s="35"/>
    </row>
    <row r="486" spans="3:23" s="754" customFormat="1">
      <c r="C486" s="22"/>
      <c r="D486" s="862" t="str">
        <f t="shared" si="0"/>
        <v>Rail Other train - Electric</v>
      </c>
      <c r="E486" s="543"/>
      <c r="F486" s="543"/>
      <c r="G486" s="543"/>
      <c r="H486" s="543"/>
      <c r="I486" s="543"/>
      <c r="J486" s="543"/>
      <c r="K486" s="543"/>
      <c r="L486" s="543"/>
      <c r="M486" s="317">
        <f>(M460+M462)*$R$494</f>
        <v>2134.238957296448</v>
      </c>
      <c r="N486" s="543"/>
      <c r="O486" s="543"/>
      <c r="P486" s="2261">
        <f>$P$449*R494</f>
        <v>250.44347352366202</v>
      </c>
      <c r="Q486" s="1617">
        <f>Q468*R$494</f>
        <v>1.1433296045220813</v>
      </c>
      <c r="R486" s="543"/>
      <c r="S486" s="543"/>
      <c r="T486" s="543"/>
      <c r="U486" s="543"/>
      <c r="V486" s="543"/>
      <c r="W486" s="35"/>
    </row>
    <row r="487" spans="3:23" s="754" customFormat="1">
      <c r="C487" s="461"/>
      <c r="D487" s="1614" t="str">
        <f t="shared" si="0"/>
        <v>Rail Other train - Diesel</v>
      </c>
      <c r="E487" s="23"/>
      <c r="F487" s="23"/>
      <c r="G487" s="23"/>
      <c r="H487" s="23"/>
      <c r="I487" s="23"/>
      <c r="J487" s="23"/>
      <c r="K487" s="23"/>
      <c r="L487" s="23"/>
      <c r="M487" s="2116">
        <f>(M461+M463)*$R$494</f>
        <v>56.97833604933988</v>
      </c>
      <c r="N487" s="23"/>
      <c r="O487" s="23"/>
      <c r="P487" s="2261">
        <f>$P$450*R494</f>
        <v>19.642625374404865</v>
      </c>
      <c r="Q487" s="1618">
        <f>Q469*R$494</f>
        <v>40.590425283963299</v>
      </c>
      <c r="R487" s="23"/>
      <c r="S487" s="23"/>
      <c r="T487" s="23"/>
      <c r="U487" s="23"/>
      <c r="V487" s="23"/>
      <c r="W487" s="426"/>
    </row>
    <row r="488" spans="3:23" s="754" customFormat="1">
      <c r="P488" s="2259">
        <f>SUM(P472:P487)</f>
        <v>2378</v>
      </c>
      <c r="Q488" s="1619">
        <f>SUM(Q472:Q487)</f>
        <v>618.44803223940676</v>
      </c>
    </row>
    <row r="489" spans="3:23" s="754" customFormat="1"/>
    <row r="490" spans="3:23" s="754" customFormat="1" ht="13.8" thickBot="1">
      <c r="P490" s="765" t="s">
        <v>2082</v>
      </c>
      <c r="S490" s="765" t="s">
        <v>2581</v>
      </c>
      <c r="T490" s="765" t="s">
        <v>2409</v>
      </c>
    </row>
    <row r="491" spans="3:23" s="754" customFormat="1">
      <c r="P491" s="1106" t="s">
        <v>601</v>
      </c>
      <c r="Q491" s="1107">
        <v>252850</v>
      </c>
      <c r="R491" s="1111">
        <v>1.9569162652672941E-2</v>
      </c>
      <c r="S491" s="754">
        <v>0</v>
      </c>
      <c r="T491" s="754">
        <v>0</v>
      </c>
    </row>
    <row r="492" spans="3:23" ht="13.8" thickBot="1">
      <c r="D492" s="754"/>
      <c r="E492" s="754"/>
      <c r="F492" s="754"/>
      <c r="G492" s="754"/>
      <c r="H492" s="754"/>
      <c r="I492" s="754"/>
      <c r="J492" s="754"/>
      <c r="K492" s="754"/>
      <c r="L492" s="754"/>
      <c r="M492" s="754"/>
      <c r="N492" s="754"/>
      <c r="O492" s="754"/>
      <c r="P492" s="1105" t="s">
        <v>602</v>
      </c>
      <c r="Q492" s="561">
        <v>610144</v>
      </c>
      <c r="R492" s="1112">
        <v>4.7221701315216448E-2</v>
      </c>
      <c r="S492">
        <v>0</v>
      </c>
      <c r="T492">
        <v>0</v>
      </c>
    </row>
    <row r="493" spans="3:23">
      <c r="D493" s="429"/>
      <c r="E493" s="69"/>
      <c r="F493" s="69"/>
      <c r="G493" s="69"/>
      <c r="H493" s="69"/>
      <c r="I493" s="95"/>
      <c r="J493" s="754"/>
      <c r="K493" s="754"/>
      <c r="L493" s="754"/>
      <c r="M493" s="754"/>
      <c r="N493" s="754"/>
      <c r="O493" s="754"/>
      <c r="P493" s="1105" t="s">
        <v>603</v>
      </c>
      <c r="Q493" s="1113">
        <v>9519853</v>
      </c>
      <c r="R493" s="1112">
        <v>0.73678288228806199</v>
      </c>
      <c r="S493">
        <v>1</v>
      </c>
      <c r="T493">
        <v>1</v>
      </c>
    </row>
    <row r="494" spans="3:23">
      <c r="D494" s="308"/>
      <c r="E494" s="543"/>
      <c r="F494" s="543"/>
      <c r="G494" s="543"/>
      <c r="H494" s="543"/>
      <c r="I494" s="547"/>
      <c r="J494" s="754"/>
      <c r="K494" s="754"/>
      <c r="L494" s="754"/>
      <c r="M494" s="754"/>
      <c r="N494" s="754"/>
      <c r="O494" s="754"/>
      <c r="P494" s="1105" t="s">
        <v>604</v>
      </c>
      <c r="Q494" s="1113">
        <v>2537992</v>
      </c>
      <c r="R494" s="1112">
        <v>0.19642625374404865</v>
      </c>
      <c r="S494">
        <v>0</v>
      </c>
      <c r="T494">
        <v>0</v>
      </c>
    </row>
    <row r="495" spans="3:23">
      <c r="D495" s="308"/>
      <c r="E495" s="543"/>
      <c r="F495" s="543"/>
      <c r="G495" s="543"/>
      <c r="H495" s="543"/>
      <c r="I495" s="547"/>
      <c r="J495" s="754"/>
      <c r="K495" s="754"/>
      <c r="L495" s="754"/>
      <c r="M495" s="754"/>
      <c r="N495" s="754"/>
      <c r="O495" s="754"/>
      <c r="P495" s="308"/>
      <c r="Q495" s="543">
        <v>12920839</v>
      </c>
      <c r="R495" s="547">
        <v>1</v>
      </c>
    </row>
    <row r="496" spans="3:23" ht="13.8" thickBot="1">
      <c r="D496" s="308"/>
      <c r="E496" s="543"/>
      <c r="F496" s="543"/>
      <c r="G496" s="543"/>
      <c r="H496" s="543" t="s">
        <v>1517</v>
      </c>
      <c r="I496" s="547"/>
      <c r="J496" s="754"/>
      <c r="K496" s="754"/>
      <c r="L496" s="754"/>
      <c r="M496" s="754"/>
      <c r="N496" s="754"/>
      <c r="O496" s="754"/>
      <c r="P496" s="427"/>
      <c r="Q496" s="390"/>
      <c r="R496" s="428"/>
    </row>
    <row r="497" spans="4:30">
      <c r="D497" s="308" t="s">
        <v>1815</v>
      </c>
      <c r="E497" s="543" t="s">
        <v>1830</v>
      </c>
      <c r="F497" s="543" t="s">
        <v>1831</v>
      </c>
      <c r="G497" s="543" t="s">
        <v>1516</v>
      </c>
      <c r="H497" s="317">
        <f>K51</f>
        <v>6108.3396630000016</v>
      </c>
      <c r="I497" s="547"/>
      <c r="J497" s="754"/>
      <c r="K497" s="754"/>
      <c r="L497" s="754"/>
      <c r="M497" s="754"/>
      <c r="N497" s="754"/>
      <c r="O497" s="754"/>
      <c r="P497" s="754"/>
      <c r="Q497" s="754"/>
      <c r="R497" s="754"/>
      <c r="S497" s="754"/>
      <c r="T497" s="754"/>
      <c r="U497" s="754"/>
      <c r="V497" s="754"/>
      <c r="W497" s="754"/>
      <c r="X497" s="754"/>
      <c r="Y497" s="754"/>
      <c r="Z497" s="754"/>
      <c r="AA497" s="754"/>
      <c r="AB497" s="754"/>
      <c r="AC497" s="754"/>
      <c r="AD497" s="754"/>
    </row>
    <row r="498" spans="4:30">
      <c r="D498" s="308"/>
      <c r="E498" s="543"/>
      <c r="F498" s="543"/>
      <c r="G498" s="543" t="s">
        <v>1515</v>
      </c>
      <c r="H498" s="317">
        <f>H51</f>
        <v>5047.079999999999</v>
      </c>
      <c r="I498" s="547"/>
      <c r="J498" s="754"/>
      <c r="K498" s="754"/>
      <c r="L498" s="754"/>
      <c r="M498" s="754"/>
      <c r="N498" s="754"/>
      <c r="O498" s="754"/>
      <c r="P498" s="754"/>
      <c r="Q498" s="754"/>
      <c r="R498" s="754"/>
      <c r="S498" s="754"/>
      <c r="T498" s="754"/>
      <c r="U498" s="754"/>
      <c r="V498" s="754"/>
      <c r="W498" s="754"/>
      <c r="X498" s="754"/>
      <c r="Y498" s="754"/>
      <c r="Z498" s="754"/>
      <c r="AA498" s="754"/>
      <c r="AB498" s="754"/>
      <c r="AC498" s="754"/>
      <c r="AD498" s="754"/>
    </row>
    <row r="499" spans="4:30">
      <c r="D499" s="308" t="s">
        <v>1820</v>
      </c>
      <c r="E499" s="543"/>
      <c r="F499" s="543"/>
      <c r="G499" s="543" t="s">
        <v>1515</v>
      </c>
      <c r="H499" s="317">
        <f>'SE km&amp;fuel data'!I110*1000</f>
        <v>548</v>
      </c>
      <c r="I499" s="547"/>
      <c r="J499" s="754"/>
      <c r="K499" s="754"/>
      <c r="L499" s="754"/>
      <c r="M499" s="754"/>
      <c r="N499" s="754"/>
      <c r="O499" s="754"/>
      <c r="P499" s="754"/>
      <c r="Q499" s="754"/>
      <c r="R499" s="754"/>
      <c r="S499" s="754"/>
      <c r="T499" s="754"/>
      <c r="U499" s="754"/>
      <c r="V499" s="754"/>
      <c r="W499" s="754"/>
      <c r="X499" s="754"/>
      <c r="Y499" s="754"/>
      <c r="Z499" s="754"/>
      <c r="AA499" s="754"/>
      <c r="AB499" s="754"/>
      <c r="AC499" s="754"/>
      <c r="AD499" s="754"/>
    </row>
    <row r="500" spans="4:30" ht="13.8" thickBot="1">
      <c r="D500" s="308" t="s">
        <v>1822</v>
      </c>
      <c r="E500" s="543"/>
      <c r="F500" s="543"/>
      <c r="G500" s="543" t="s">
        <v>1515</v>
      </c>
      <c r="H500" s="317">
        <v>1731</v>
      </c>
      <c r="I500" s="547"/>
      <c r="J500" s="754"/>
      <c r="K500" s="1125" t="s">
        <v>601</v>
      </c>
      <c r="L500" s="1127" t="s">
        <v>1351</v>
      </c>
      <c r="M500" s="1133">
        <v>144.19355507409387</v>
      </c>
      <c r="N500" s="754"/>
      <c r="O500" s="754"/>
      <c r="P500" s="754"/>
    </row>
    <row r="501" spans="4:30">
      <c r="D501" s="308"/>
      <c r="E501" s="543"/>
      <c r="F501" s="543"/>
      <c r="G501" s="543"/>
      <c r="H501" s="543"/>
      <c r="I501" s="547"/>
      <c r="J501" s="754"/>
      <c r="K501" s="1125"/>
      <c r="L501" s="1127" t="s">
        <v>1395</v>
      </c>
      <c r="M501" s="1133">
        <v>119.53509240302044</v>
      </c>
      <c r="N501" s="754"/>
      <c r="O501" s="754"/>
      <c r="P501" s="754"/>
      <c r="X501" s="1151" t="s">
        <v>188</v>
      </c>
      <c r="Y501" s="1123"/>
      <c r="Z501" s="1123"/>
      <c r="AA501" s="1123"/>
      <c r="AB501" s="1123"/>
      <c r="AC501" s="1123"/>
      <c r="AD501" s="1124"/>
    </row>
    <row r="502" spans="4:30">
      <c r="D502" s="308"/>
      <c r="E502" s="543"/>
      <c r="F502" s="543"/>
      <c r="G502" s="543"/>
      <c r="H502" s="543"/>
      <c r="I502" s="547"/>
      <c r="J502" s="754"/>
      <c r="K502" s="1125" t="s">
        <v>602</v>
      </c>
      <c r="L502" s="1127" t="s">
        <v>1351</v>
      </c>
      <c r="M502" s="1133">
        <v>347.94871452295007</v>
      </c>
      <c r="N502" s="754"/>
      <c r="O502" s="754"/>
      <c r="P502" s="754"/>
      <c r="X502" s="1125">
        <v>2010</v>
      </c>
      <c r="Y502" s="873"/>
      <c r="Z502" s="873"/>
      <c r="AA502" s="873"/>
      <c r="AB502" s="873"/>
      <c r="AC502" s="873"/>
      <c r="AD502" s="1126"/>
    </row>
    <row r="503" spans="4:30" ht="13.8" thickBot="1">
      <c r="D503" s="308"/>
      <c r="E503" s="543"/>
      <c r="F503" s="543"/>
      <c r="G503" s="543"/>
      <c r="H503" s="543"/>
      <c r="I503" s="547"/>
      <c r="J503" s="754"/>
      <c r="K503" s="1125"/>
      <c r="L503" s="1127" t="s">
        <v>1395</v>
      </c>
      <c r="M503" s="1133">
        <v>288.44619109807599</v>
      </c>
      <c r="N503" s="754"/>
      <c r="O503" s="754"/>
      <c r="P503" s="754"/>
      <c r="X503" s="308"/>
      <c r="Y503" s="543"/>
      <c r="Z503" s="543"/>
      <c r="AA503" s="543"/>
      <c r="AB503" s="543"/>
      <c r="AC503" s="543"/>
      <c r="AD503" s="547"/>
    </row>
    <row r="504" spans="4:30">
      <c r="D504" s="308"/>
      <c r="E504" s="543" t="s">
        <v>1830</v>
      </c>
      <c r="F504" s="543" t="s">
        <v>1516</v>
      </c>
      <c r="G504" s="543"/>
      <c r="H504" s="317">
        <f>H497</f>
        <v>6108.3396630000016</v>
      </c>
      <c r="I504" s="547"/>
      <c r="J504" s="754"/>
      <c r="K504" s="1125" t="s">
        <v>603</v>
      </c>
      <c r="L504" s="1127" t="s">
        <v>1351</v>
      </c>
      <c r="M504" s="1133">
        <v>5428.9161473315316</v>
      </c>
      <c r="N504" s="754"/>
      <c r="O504" s="754"/>
      <c r="P504" s="754"/>
      <c r="Q504" s="429"/>
      <c r="R504" s="95"/>
      <c r="S504" s="754"/>
      <c r="T504" s="754"/>
      <c r="U504" s="754"/>
      <c r="V504" s="754"/>
      <c r="W504" s="754"/>
      <c r="X504" s="1105" t="s">
        <v>1823</v>
      </c>
      <c r="Y504" s="543"/>
      <c r="Z504" s="543"/>
      <c r="AA504" s="543"/>
      <c r="AB504" s="543"/>
      <c r="AC504" s="543"/>
      <c r="AD504" s="547"/>
    </row>
    <row r="505" spans="4:30">
      <c r="D505" s="308"/>
      <c r="E505" s="543"/>
      <c r="F505" s="543" t="s">
        <v>1515</v>
      </c>
      <c r="G505" s="543"/>
      <c r="H505" s="317">
        <f>SUM(H498:H500)</f>
        <v>7326.079999999999</v>
      </c>
      <c r="I505" s="547"/>
      <c r="J505" s="754"/>
      <c r="K505" s="1125"/>
      <c r="L505" s="1127" t="s">
        <v>1395</v>
      </c>
      <c r="M505" s="1133">
        <v>4500.5201028996307</v>
      </c>
      <c r="N505" s="754"/>
      <c r="O505" s="754"/>
      <c r="P505" s="754"/>
      <c r="Q505" s="1324">
        <f>Z51*1000000</f>
        <v>23463779546.863583</v>
      </c>
      <c r="R505" s="1311" t="s">
        <v>1828</v>
      </c>
      <c r="S505" s="754"/>
      <c r="T505" s="754"/>
      <c r="U505" s="754"/>
      <c r="V505" s="754"/>
      <c r="W505" s="754"/>
      <c r="X505" s="308"/>
      <c r="Y505" s="543"/>
      <c r="Z505" s="543"/>
      <c r="AA505" s="543"/>
      <c r="AB505" s="543"/>
      <c r="AC505" s="561" t="s">
        <v>1825</v>
      </c>
      <c r="AD505" s="547"/>
    </row>
    <row r="506" spans="4:30" ht="13.8" thickBot="1">
      <c r="D506" s="427"/>
      <c r="E506" s="390"/>
      <c r="F506" s="390"/>
      <c r="G506" s="390"/>
      <c r="H506" s="390"/>
      <c r="I506" s="428"/>
      <c r="J506" s="754"/>
      <c r="K506" s="1125" t="s">
        <v>604</v>
      </c>
      <c r="L506" s="1127" t="s">
        <v>1351</v>
      </c>
      <c r="M506" s="1133">
        <v>1447.3485830714242</v>
      </c>
      <c r="N506" s="754"/>
      <c r="O506" s="754"/>
      <c r="P506" s="754"/>
      <c r="Q506" s="308">
        <f>Y232*1000</f>
        <v>42447129</v>
      </c>
      <c r="R506" s="1311" t="s">
        <v>1827</v>
      </c>
      <c r="S506" s="754"/>
      <c r="T506" s="754"/>
      <c r="U506" s="754"/>
      <c r="V506" s="754"/>
      <c r="W506" s="754"/>
      <c r="X506" s="1108" t="s">
        <v>1815</v>
      </c>
      <c r="Y506" s="467"/>
      <c r="Z506" s="467" t="s">
        <v>1816</v>
      </c>
      <c r="AA506" s="467" t="s">
        <v>1694</v>
      </c>
      <c r="AB506" s="467"/>
      <c r="AC506" s="467">
        <v>124</v>
      </c>
      <c r="AD506" s="1311"/>
    </row>
    <row r="507" spans="4:30">
      <c r="D507" s="754"/>
      <c r="E507" s="754"/>
      <c r="F507" s="754"/>
      <c r="G507" s="754"/>
      <c r="H507" s="754"/>
      <c r="I507" s="754"/>
      <c r="J507" s="754"/>
      <c r="K507" s="1125"/>
      <c r="L507" s="1127" t="s">
        <v>1395</v>
      </c>
      <c r="M507" s="1133">
        <v>1199.8382765992749</v>
      </c>
      <c r="N507" s="754"/>
      <c r="O507" s="754"/>
      <c r="P507" s="754"/>
      <c r="Q507" s="308"/>
      <c r="R507" s="547"/>
      <c r="S507" s="754"/>
      <c r="T507" s="754"/>
      <c r="U507" s="754"/>
      <c r="V507" s="754"/>
      <c r="W507" s="754"/>
      <c r="X507" s="1108" t="s">
        <v>1815</v>
      </c>
      <c r="Y507" s="467"/>
      <c r="Z507" s="467" t="s">
        <v>1816</v>
      </c>
      <c r="AA507" s="467" t="s">
        <v>1695</v>
      </c>
      <c r="AB507" s="467"/>
      <c r="AC507" s="467" t="s">
        <v>1350</v>
      </c>
      <c r="AD507" s="1311"/>
    </row>
    <row r="508" spans="4:30" ht="13.8" thickBot="1">
      <c r="D508" s="754"/>
      <c r="E508" s="754"/>
      <c r="F508" s="754"/>
      <c r="G508" s="754"/>
      <c r="H508" s="754"/>
      <c r="I508" s="754"/>
      <c r="J508" s="754"/>
      <c r="K508" s="1128"/>
      <c r="L508" s="874"/>
      <c r="M508" s="1134">
        <v>13476.746663000002</v>
      </c>
      <c r="N508" s="754"/>
      <c r="O508" s="754"/>
      <c r="P508" s="754"/>
      <c r="Q508" s="308">
        <f>Q505/Q506</f>
        <v>552.77659760837025</v>
      </c>
      <c r="R508" s="1311" t="s">
        <v>1829</v>
      </c>
      <c r="S508" s="754"/>
      <c r="T508" s="754"/>
      <c r="U508" s="754"/>
      <c r="V508" s="754"/>
      <c r="W508" s="754"/>
      <c r="X508" s="1108" t="s">
        <v>1815</v>
      </c>
      <c r="Y508" s="467"/>
      <c r="Z508" s="467" t="s">
        <v>1816</v>
      </c>
      <c r="AA508" s="467" t="s">
        <v>1696</v>
      </c>
      <c r="AB508" s="467"/>
      <c r="AC508" s="467" t="s">
        <v>1350</v>
      </c>
      <c r="AD508" s="1311"/>
    </row>
    <row r="509" spans="4:30" ht="13.8" thickBot="1">
      <c r="D509" s="1533"/>
      <c r="E509" s="1118"/>
      <c r="F509" s="1313"/>
      <c r="G509" s="754"/>
      <c r="H509" s="754"/>
      <c r="I509" s="754"/>
      <c r="J509" s="754"/>
      <c r="K509" s="754"/>
      <c r="L509" s="754"/>
      <c r="M509" s="754"/>
      <c r="N509" s="754"/>
      <c r="O509" s="754"/>
      <c r="P509" s="754"/>
      <c r="Q509" s="427"/>
      <c r="R509" s="428"/>
      <c r="S509" s="754"/>
      <c r="T509" s="754"/>
      <c r="U509" s="754"/>
      <c r="V509" s="754"/>
      <c r="W509" s="754"/>
      <c r="X509" s="1108" t="s">
        <v>1815</v>
      </c>
      <c r="Y509" s="467"/>
      <c r="Z509" s="467" t="s">
        <v>1816</v>
      </c>
      <c r="AA509" s="467" t="s">
        <v>1698</v>
      </c>
      <c r="AB509" s="467"/>
      <c r="AC509" s="467">
        <v>1</v>
      </c>
      <c r="AD509" s="1311"/>
    </row>
    <row r="510" spans="4:30">
      <c r="D510" s="1108"/>
      <c r="E510" s="467"/>
      <c r="F510" s="1534">
        <v>2010</v>
      </c>
      <c r="G510" s="754"/>
      <c r="H510" s="754"/>
      <c r="I510" s="754"/>
      <c r="J510" s="754"/>
      <c r="K510" s="754"/>
      <c r="L510" s="754"/>
      <c r="M510" s="754"/>
      <c r="N510" s="754"/>
      <c r="O510" s="754"/>
      <c r="P510" s="754"/>
      <c r="Q510" s="754"/>
      <c r="R510" s="754"/>
      <c r="S510" s="754"/>
      <c r="T510" s="754"/>
      <c r="U510" s="754"/>
      <c r="V510" s="754"/>
      <c r="W510" s="754"/>
      <c r="X510" s="1108" t="s">
        <v>1815</v>
      </c>
      <c r="Y510" s="467"/>
      <c r="Z510" s="467" t="s">
        <v>1819</v>
      </c>
      <c r="AA510" s="467" t="s">
        <v>1817</v>
      </c>
      <c r="AB510" s="467"/>
      <c r="AC510" s="467">
        <v>1151</v>
      </c>
      <c r="AD510" s="1311"/>
    </row>
    <row r="511" spans="4:30">
      <c r="D511" s="1108"/>
      <c r="E511" s="467"/>
      <c r="F511" s="1534" t="s">
        <v>2056</v>
      </c>
      <c r="G511" s="754"/>
      <c r="H511" s="754"/>
      <c r="I511" s="754"/>
      <c r="J511" s="754"/>
      <c r="K511" s="754"/>
      <c r="L511" s="754"/>
      <c r="M511" s="754"/>
      <c r="N511" s="754"/>
      <c r="O511" s="754"/>
      <c r="P511" s="754"/>
      <c r="X511" s="1108" t="s">
        <v>1815</v>
      </c>
      <c r="Y511" s="467"/>
      <c r="Z511" s="467" t="s">
        <v>1819</v>
      </c>
      <c r="AA511" s="467" t="s">
        <v>1818</v>
      </c>
      <c r="AB511" s="467"/>
      <c r="AC511" s="467">
        <v>99</v>
      </c>
      <c r="AD511" s="1311">
        <f>SUM(AC506:AC511)</f>
        <v>1375</v>
      </c>
    </row>
    <row r="512" spans="4:30">
      <c r="D512" s="1108" t="s">
        <v>1815</v>
      </c>
      <c r="E512" s="467" t="s">
        <v>2061</v>
      </c>
      <c r="F512" s="1535">
        <v>4.3608599999999997</v>
      </c>
      <c r="G512" s="754"/>
      <c r="H512" s="754"/>
      <c r="I512" s="754"/>
      <c r="J512" s="754"/>
      <c r="K512" s="754"/>
      <c r="L512" s="754"/>
      <c r="M512" s="754"/>
      <c r="N512" s="754"/>
      <c r="O512" s="754"/>
      <c r="P512" s="754"/>
      <c r="Q512" s="754"/>
      <c r="R512" s="754"/>
      <c r="S512" s="754"/>
      <c r="T512" s="754"/>
      <c r="U512" s="754"/>
      <c r="V512" s="754"/>
      <c r="W512" s="754"/>
      <c r="X512" s="1108" t="s">
        <v>1820</v>
      </c>
      <c r="Y512" s="467"/>
      <c r="Z512" s="467"/>
      <c r="AA512" s="467" t="s">
        <v>1821</v>
      </c>
      <c r="AB512" s="467"/>
      <c r="AC512" s="467">
        <v>490</v>
      </c>
      <c r="AD512" s="1311">
        <f>AC512</f>
        <v>490</v>
      </c>
    </row>
    <row r="513" spans="4:30">
      <c r="D513" s="1108" t="s">
        <v>1815</v>
      </c>
      <c r="E513" s="467" t="s">
        <v>2062</v>
      </c>
      <c r="F513" s="1535">
        <v>3.192876</v>
      </c>
      <c r="G513" s="754"/>
      <c r="H513" s="754"/>
      <c r="I513" s="754"/>
      <c r="J513" s="754"/>
      <c r="K513" s="754"/>
      <c r="L513" s="754"/>
      <c r="M513" s="754"/>
      <c r="N513" s="754"/>
      <c r="O513" s="754"/>
      <c r="P513" s="754"/>
      <c r="Q513" s="754"/>
      <c r="R513" s="754"/>
      <c r="S513" s="754"/>
      <c r="T513" s="754"/>
      <c r="U513" s="754"/>
      <c r="V513" s="754"/>
      <c r="W513" s="754"/>
      <c r="X513" s="1108" t="s">
        <v>1822</v>
      </c>
      <c r="Y513" s="467"/>
      <c r="Z513" s="467"/>
      <c r="AA513" s="467" t="s">
        <v>1821</v>
      </c>
      <c r="AB513" s="467"/>
      <c r="AC513" s="467">
        <v>513</v>
      </c>
      <c r="AD513" s="1311">
        <f>AC513</f>
        <v>513</v>
      </c>
    </row>
    <row r="514" spans="4:30">
      <c r="D514" s="1108" t="s">
        <v>1815</v>
      </c>
      <c r="E514" s="467" t="s">
        <v>1769</v>
      </c>
      <c r="F514" s="1535">
        <v>7.5537360000000007</v>
      </c>
      <c r="G514" s="754"/>
      <c r="H514" s="754"/>
      <c r="I514" s="754"/>
      <c r="J514" s="754"/>
      <c r="K514" s="754"/>
      <c r="L514" s="754"/>
      <c r="M514" s="754"/>
      <c r="N514" s="754"/>
      <c r="O514" s="754"/>
      <c r="P514" s="754"/>
      <c r="Q514" s="754"/>
      <c r="R514" s="754"/>
      <c r="S514" s="754"/>
      <c r="T514" s="754"/>
      <c r="U514" s="754"/>
      <c r="V514" s="754"/>
      <c r="W514" s="754"/>
      <c r="X514" s="1108"/>
      <c r="Y514" s="467"/>
      <c r="Z514" s="467"/>
      <c r="AA514" s="467"/>
      <c r="AB514" s="467"/>
      <c r="AC514" s="561">
        <f>SUM(AC506:AC513)</f>
        <v>2378</v>
      </c>
      <c r="AD514" s="1312">
        <f>SUM(AD511:AD513)</f>
        <v>2378</v>
      </c>
    </row>
    <row r="515" spans="4:30">
      <c r="D515" s="1108"/>
      <c r="E515" s="467"/>
      <c r="F515" s="1311"/>
      <c r="G515" s="754"/>
      <c r="H515" s="754"/>
      <c r="I515" s="754"/>
      <c r="J515" s="754"/>
      <c r="K515" s="754"/>
      <c r="L515" s="754"/>
      <c r="M515" s="754"/>
      <c r="N515" s="754"/>
      <c r="O515" s="754"/>
      <c r="P515" s="754"/>
      <c r="Q515" s="754"/>
      <c r="R515" s="754"/>
      <c r="S515" s="754"/>
      <c r="T515" s="754"/>
      <c r="U515" s="754"/>
      <c r="V515" s="754"/>
      <c r="W515" s="754"/>
      <c r="X515" s="308"/>
      <c r="Y515" s="543"/>
      <c r="Z515" s="543"/>
      <c r="AA515" s="543"/>
      <c r="AB515" s="543"/>
      <c r="AC515" s="543"/>
      <c r="AD515" s="547"/>
    </row>
    <row r="516" spans="4:30" ht="13.8" thickBot="1">
      <c r="D516" s="1108"/>
      <c r="E516" s="467"/>
      <c r="F516" s="1311"/>
      <c r="Q516" s="754"/>
      <c r="R516" s="754"/>
      <c r="S516" s="754"/>
      <c r="T516" s="754"/>
      <c r="U516" s="754"/>
      <c r="V516" s="754"/>
      <c r="W516" s="754"/>
      <c r="X516" s="1108"/>
      <c r="Y516" s="467"/>
      <c r="Z516" s="467"/>
      <c r="AA516" s="467"/>
      <c r="AB516" s="467"/>
      <c r="AC516" s="467"/>
      <c r="AD516" s="1311"/>
    </row>
    <row r="517" spans="4:30">
      <c r="D517" s="1108" t="s">
        <v>1815</v>
      </c>
      <c r="E517" s="467" t="s">
        <v>2059</v>
      </c>
      <c r="F517" s="1535">
        <v>0.23284094400000002</v>
      </c>
      <c r="Q517" s="754"/>
      <c r="R517" s="754"/>
      <c r="S517" s="754"/>
      <c r="T517" s="754"/>
      <c r="U517" s="754"/>
      <c r="V517" s="754"/>
      <c r="W517" s="754"/>
      <c r="X517" s="1151" t="s">
        <v>188</v>
      </c>
      <c r="Y517" s="1123"/>
      <c r="Z517" s="1123"/>
      <c r="AA517" s="1123"/>
      <c r="AB517" s="1123"/>
      <c r="AC517" s="1123"/>
      <c r="AD517" s="1124"/>
    </row>
    <row r="518" spans="4:30" ht="13.8" thickBot="1">
      <c r="D518" s="1108" t="s">
        <v>1815</v>
      </c>
      <c r="E518" s="467" t="s">
        <v>2060</v>
      </c>
      <c r="F518" s="1535">
        <v>0.60277503297576951</v>
      </c>
      <c r="Q518" s="754"/>
      <c r="R518" s="754"/>
      <c r="S518" s="754"/>
      <c r="T518" s="754"/>
      <c r="U518" s="754"/>
      <c r="V518" s="754"/>
      <c r="W518" s="754"/>
      <c r="X518" s="1125">
        <v>2010</v>
      </c>
      <c r="Y518" s="873"/>
      <c r="Z518" s="873"/>
      <c r="AA518" s="873"/>
      <c r="AB518" s="873"/>
      <c r="AC518" s="873"/>
      <c r="AD518" s="1126"/>
    </row>
    <row r="519" spans="4:30">
      <c r="D519" s="1108" t="s">
        <v>1815</v>
      </c>
      <c r="E519" s="467" t="s">
        <v>1769</v>
      </c>
      <c r="F519" s="1535">
        <v>0.8356159769757695</v>
      </c>
      <c r="Q519" s="754"/>
      <c r="R519" s="754"/>
      <c r="S519" s="754"/>
      <c r="T519" s="754"/>
      <c r="U519" s="754"/>
      <c r="V519" s="754"/>
      <c r="W519" s="754"/>
      <c r="X519" s="1106" t="s">
        <v>1824</v>
      </c>
      <c r="Y519" s="1118"/>
      <c r="Z519" s="1118"/>
      <c r="AA519" s="1118"/>
      <c r="AB519" s="1118"/>
      <c r="AC519" s="1118"/>
      <c r="AD519" s="1313"/>
    </row>
    <row r="520" spans="4:30">
      <c r="D520" s="1108"/>
      <c r="E520" s="467"/>
      <c r="F520" s="1311"/>
      <c r="Q520" s="754"/>
      <c r="R520" s="754"/>
      <c r="S520" s="754"/>
      <c r="T520" s="754"/>
      <c r="U520" s="754"/>
      <c r="V520" s="754"/>
      <c r="W520" s="754"/>
      <c r="X520" s="1108"/>
      <c r="Y520" s="467"/>
      <c r="Z520" s="467"/>
      <c r="AA520" s="467"/>
      <c r="AB520" s="467"/>
      <c r="AC520" s="467"/>
      <c r="AD520" s="1311"/>
    </row>
    <row r="521" spans="4:30">
      <c r="D521" s="1108" t="s">
        <v>2063</v>
      </c>
      <c r="E521" s="467" t="s">
        <v>2061</v>
      </c>
      <c r="F521" s="1535">
        <v>0.26291160000000002</v>
      </c>
      <c r="X521" s="1108"/>
      <c r="Y521" s="467"/>
      <c r="Z521" s="467"/>
      <c r="AA521" s="467"/>
      <c r="AB521" s="467"/>
      <c r="AC521" s="467"/>
      <c r="AD521" s="1311"/>
    </row>
    <row r="522" spans="4:30">
      <c r="D522" s="1108"/>
      <c r="E522" s="467"/>
      <c r="F522" s="1311"/>
      <c r="Q522" s="754"/>
      <c r="R522" s="754"/>
      <c r="S522" s="754"/>
      <c r="T522" s="754"/>
      <c r="U522" s="754"/>
      <c r="V522" s="754"/>
      <c r="W522" s="754"/>
      <c r="X522" s="1108"/>
      <c r="Y522" s="467"/>
      <c r="Z522" s="467"/>
      <c r="AA522" s="467"/>
      <c r="AB522" s="467"/>
      <c r="AC522" s="467"/>
      <c r="AD522" s="1311"/>
    </row>
    <row r="523" spans="4:30">
      <c r="D523" s="1108" t="s">
        <v>1822</v>
      </c>
      <c r="E523" s="467" t="s">
        <v>2061</v>
      </c>
      <c r="F523" s="1535">
        <v>0.72757440000000007</v>
      </c>
      <c r="Q523" s="754"/>
      <c r="R523" s="754"/>
      <c r="S523" s="754"/>
      <c r="T523" s="754"/>
      <c r="U523" s="754"/>
      <c r="V523" s="754"/>
      <c r="W523" s="754"/>
      <c r="X523" s="1108" t="s">
        <v>1815</v>
      </c>
      <c r="Y523" s="467"/>
      <c r="Z523" s="467" t="s">
        <v>1816</v>
      </c>
      <c r="AA523" s="467" t="s">
        <v>1694</v>
      </c>
      <c r="AB523" s="467"/>
      <c r="AC523" s="467">
        <v>334</v>
      </c>
      <c r="AD523" s="1311"/>
    </row>
    <row r="524" spans="4:30">
      <c r="D524" s="1108"/>
      <c r="E524" s="467"/>
      <c r="F524" s="1311"/>
      <c r="Q524" s="754"/>
      <c r="R524" s="754"/>
      <c r="S524" s="754"/>
      <c r="T524" s="754"/>
      <c r="U524" s="754"/>
      <c r="V524" s="754"/>
      <c r="W524" s="754"/>
      <c r="X524" s="1108" t="s">
        <v>1815</v>
      </c>
      <c r="Y524" s="467"/>
      <c r="Z524" s="467" t="s">
        <v>1816</v>
      </c>
      <c r="AA524" s="467" t="s">
        <v>1695</v>
      </c>
      <c r="AB524" s="467"/>
      <c r="AC524" s="467">
        <v>219</v>
      </c>
      <c r="AD524" s="1311"/>
    </row>
    <row r="525" spans="4:30">
      <c r="D525" s="1105" t="s">
        <v>2064</v>
      </c>
      <c r="E525" s="561" t="s">
        <v>2057</v>
      </c>
      <c r="F525" s="1536">
        <v>8.5442219999999995</v>
      </c>
      <c r="Q525" s="754"/>
      <c r="R525" s="754"/>
      <c r="S525" s="754"/>
      <c r="T525" s="754"/>
      <c r="U525" s="754"/>
      <c r="V525" s="754"/>
      <c r="W525" s="754"/>
      <c r="X525" s="1108" t="s">
        <v>1815</v>
      </c>
      <c r="Y525" s="467"/>
      <c r="Z525" s="467" t="s">
        <v>1816</v>
      </c>
      <c r="AA525" s="467" t="s">
        <v>1696</v>
      </c>
      <c r="AB525" s="467"/>
      <c r="AC525" s="467" t="s">
        <v>1350</v>
      </c>
      <c r="AD525" s="1311"/>
    </row>
    <row r="526" spans="4:30">
      <c r="D526" s="1105" t="s">
        <v>2064</v>
      </c>
      <c r="E526" s="561" t="s">
        <v>2058</v>
      </c>
      <c r="F526" s="1536">
        <v>0.8356159769757695</v>
      </c>
      <c r="Q526" s="754"/>
      <c r="R526" s="754"/>
      <c r="S526" s="754"/>
      <c r="T526" s="754"/>
      <c r="U526" s="754"/>
      <c r="V526" s="754"/>
      <c r="W526" s="754"/>
      <c r="X526" s="1108" t="s">
        <v>1815</v>
      </c>
      <c r="Y526" s="467"/>
      <c r="Z526" s="467" t="s">
        <v>1816</v>
      </c>
      <c r="AA526" s="467" t="s">
        <v>1698</v>
      </c>
      <c r="AB526" s="467"/>
      <c r="AC526" s="467">
        <v>57</v>
      </c>
      <c r="AD526" s="1311"/>
    </row>
    <row r="527" spans="4:30" ht="13.8" thickBot="1">
      <c r="D527" s="427"/>
      <c r="E527" s="390"/>
      <c r="F527" s="428"/>
      <c r="Q527" s="754"/>
      <c r="R527" s="754"/>
      <c r="S527" s="754"/>
      <c r="T527" s="754"/>
      <c r="U527" s="754"/>
      <c r="V527" s="754"/>
      <c r="W527" s="754"/>
      <c r="X527" s="1108"/>
      <c r="Y527" s="467"/>
      <c r="Z527" s="467"/>
      <c r="AA527" s="467"/>
      <c r="AB527" s="467"/>
      <c r="AC527" s="561">
        <f>SUM(AC523:AC526)</f>
        <v>610</v>
      </c>
      <c r="AD527" s="1311"/>
    </row>
    <row r="528" spans="4:30">
      <c r="Q528" s="754"/>
      <c r="R528" s="754"/>
      <c r="S528" s="754"/>
      <c r="T528" s="754"/>
      <c r="U528" s="754"/>
      <c r="V528" s="754"/>
      <c r="W528" s="754"/>
      <c r="X528" s="308"/>
      <c r="Y528" s="543"/>
      <c r="Z528" s="543"/>
      <c r="AA528" s="543"/>
      <c r="AB528" s="543"/>
      <c r="AC528" s="165"/>
      <c r="AD528" s="547"/>
    </row>
    <row r="529" spans="4:30" ht="13.8" thickBot="1">
      <c r="Q529" s="754"/>
      <c r="R529" s="754"/>
      <c r="S529" s="754"/>
      <c r="T529" s="754"/>
      <c r="U529" s="754"/>
      <c r="V529" s="754"/>
      <c r="W529" s="754"/>
      <c r="X529" s="427"/>
      <c r="Y529" s="390"/>
      <c r="Z529" s="390"/>
      <c r="AA529" s="390"/>
      <c r="AB529" s="390"/>
      <c r="AC529" s="390"/>
      <c r="AD529" s="428"/>
    </row>
    <row r="530" spans="4:30">
      <c r="D530" t="s">
        <v>2538</v>
      </c>
      <c r="E530" s="765" t="s">
        <v>1352</v>
      </c>
    </row>
    <row r="531" spans="4:30">
      <c r="D531" t="s">
        <v>2539</v>
      </c>
      <c r="E531" s="170">
        <f>Y426-Y422</f>
        <v>18844.025906863601</v>
      </c>
    </row>
    <row r="532" spans="4:30">
      <c r="D532" t="s">
        <v>601</v>
      </c>
      <c r="E532" s="170">
        <f>Y422+E531*0.25</f>
        <v>9330.7601167158991</v>
      </c>
    </row>
    <row r="533" spans="4:30">
      <c r="D533" t="s">
        <v>602</v>
      </c>
      <c r="E533" s="784">
        <f>$E$531*0.25</f>
        <v>4711.0064767159001</v>
      </c>
    </row>
    <row r="534" spans="4:30">
      <c r="D534" t="s">
        <v>603</v>
      </c>
      <c r="E534" s="784">
        <f>$E$531*0.25</f>
        <v>4711.0064767159001</v>
      </c>
    </row>
    <row r="535" spans="4:30">
      <c r="D535" t="s">
        <v>604</v>
      </c>
      <c r="E535" s="784">
        <f>$E$531*0.25</f>
        <v>4711.0064767159001</v>
      </c>
    </row>
    <row r="538" spans="4:30">
      <c r="D538" s="31" t="s">
        <v>3471</v>
      </c>
    </row>
    <row r="540" spans="4:30">
      <c r="D540" s="31" t="s">
        <v>227</v>
      </c>
    </row>
    <row r="541" spans="4:30">
      <c r="D541" s="754" t="s">
        <v>2538</v>
      </c>
      <c r="E541" s="765" t="s">
        <v>1352</v>
      </c>
    </row>
    <row r="542" spans="4:30">
      <c r="D542" s="754" t="s">
        <v>2539</v>
      </c>
      <c r="E542" s="170">
        <f>Y407+Y409</f>
        <v>12654.854206960952</v>
      </c>
    </row>
    <row r="543" spans="4:30">
      <c r="H543" s="765"/>
      <c r="I543" s="765" t="s">
        <v>94</v>
      </c>
    </row>
    <row r="544" spans="4:30">
      <c r="D544" s="754" t="s">
        <v>601</v>
      </c>
      <c r="E544" s="170">
        <f>Y408+0.25*$E$542</f>
        <v>5337.1035517402379</v>
      </c>
      <c r="G544" s="765" t="s">
        <v>601</v>
      </c>
      <c r="H544" s="765" t="s">
        <v>3467</v>
      </c>
      <c r="I544">
        <f>E544/(E544+E553)</f>
        <v>0.57199022212337347</v>
      </c>
    </row>
    <row r="545" spans="4:9">
      <c r="D545" s="754" t="s">
        <v>602</v>
      </c>
      <c r="E545" s="170">
        <f>0.25*$E$542</f>
        <v>3163.713551740238</v>
      </c>
      <c r="H545" s="765" t="s">
        <v>3468</v>
      </c>
      <c r="I545">
        <f>1-I544</f>
        <v>0.42800977787662653</v>
      </c>
    </row>
    <row r="546" spans="4:9">
      <c r="D546" s="754" t="s">
        <v>603</v>
      </c>
      <c r="E546" s="170">
        <f t="shared" ref="E546:E547" si="1">0.25*$E$542</f>
        <v>3163.713551740238</v>
      </c>
      <c r="G546" s="765" t="s">
        <v>602</v>
      </c>
      <c r="H546" s="765" t="s">
        <v>3467</v>
      </c>
      <c r="I546" s="754">
        <f>E545/(E545+E554)</f>
        <v>0.6715578862769267</v>
      </c>
    </row>
    <row r="547" spans="4:9">
      <c r="D547" s="754" t="s">
        <v>604</v>
      </c>
      <c r="E547" s="170">
        <f t="shared" si="1"/>
        <v>3163.713551740238</v>
      </c>
      <c r="H547" s="765" t="s">
        <v>3468</v>
      </c>
      <c r="I547">
        <f>1-I546</f>
        <v>0.3284421137230733</v>
      </c>
    </row>
    <row r="548" spans="4:9">
      <c r="G548" s="765" t="s">
        <v>603</v>
      </c>
      <c r="H548" s="765" t="s">
        <v>3467</v>
      </c>
      <c r="I548" s="754">
        <f>E546/(E546+E555)</f>
        <v>0.6715578862769267</v>
      </c>
    </row>
    <row r="549" spans="4:9">
      <c r="D549" s="31" t="s">
        <v>228</v>
      </c>
      <c r="H549" s="765" t="s">
        <v>3468</v>
      </c>
      <c r="I549">
        <f>1-I548</f>
        <v>0.3284421137230733</v>
      </c>
    </row>
    <row r="550" spans="4:9">
      <c r="D550" s="754" t="s">
        <v>2538</v>
      </c>
      <c r="E550" s="765" t="s">
        <v>1352</v>
      </c>
      <c r="G550" s="765" t="s">
        <v>604</v>
      </c>
      <c r="H550" s="765" t="s">
        <v>3467</v>
      </c>
      <c r="I550" s="754">
        <f>E547/(E547+E556)</f>
        <v>0.6715578862769267</v>
      </c>
    </row>
    <row r="551" spans="4:9">
      <c r="D551" s="754" t="s">
        <v>2539</v>
      </c>
      <c r="E551" s="170">
        <f>Y414+Y416</f>
        <v>6189.1716999026285</v>
      </c>
      <c r="H551" s="765" t="s">
        <v>3468</v>
      </c>
      <c r="I551">
        <f>1-I550</f>
        <v>0.3284421137230733</v>
      </c>
    </row>
    <row r="553" spans="4:9">
      <c r="D553" s="754" t="s">
        <v>601</v>
      </c>
      <c r="E553" s="170">
        <f>Y415+0.25*$E$551</f>
        <v>3993.6565649756567</v>
      </c>
    </row>
    <row r="554" spans="4:9">
      <c r="D554" s="754" t="s">
        <v>602</v>
      </c>
      <c r="E554" s="170">
        <f>0.25*$E$551</f>
        <v>1547.2929249756571</v>
      </c>
    </row>
    <row r="555" spans="4:9">
      <c r="D555" s="754" t="s">
        <v>603</v>
      </c>
      <c r="E555" s="170">
        <f t="shared" ref="E555:E556" si="2">0.25*$E$551</f>
        <v>1547.2929249756571</v>
      </c>
    </row>
    <row r="556" spans="4:9">
      <c r="D556" s="754" t="s">
        <v>604</v>
      </c>
      <c r="E556" s="170">
        <f t="shared" si="2"/>
        <v>1547.2929249756571</v>
      </c>
    </row>
  </sheetData>
  <mergeCells count="318">
    <mergeCell ref="B8:D11"/>
    <mergeCell ref="E8:AA8"/>
    <mergeCell ref="AC8:AJ8"/>
    <mergeCell ref="E9:F10"/>
    <mergeCell ref="H9:O9"/>
    <mergeCell ref="Q9:AA9"/>
    <mergeCell ref="AC9:AD10"/>
    <mergeCell ref="AF9:AG10"/>
    <mergeCell ref="AI9:AJ10"/>
    <mergeCell ref="H10:I10"/>
    <mergeCell ref="E11:F11"/>
    <mergeCell ref="H11:O11"/>
    <mergeCell ref="Q11:AA11"/>
    <mergeCell ref="AC11:AD11"/>
    <mergeCell ref="AF11:AG11"/>
    <mergeCell ref="AI11:AJ11"/>
    <mergeCell ref="K10:L10"/>
    <mergeCell ref="N10:O10"/>
    <mergeCell ref="Q10:R10"/>
    <mergeCell ref="T10:U10"/>
    <mergeCell ref="W10:X10"/>
    <mergeCell ref="Z10:AA10"/>
    <mergeCell ref="T13:U13"/>
    <mergeCell ref="W13:X13"/>
    <mergeCell ref="Z13:AA13"/>
    <mergeCell ref="AC13:AD13"/>
    <mergeCell ref="AF13:AG13"/>
    <mergeCell ref="AI13:AJ13"/>
    <mergeCell ref="B13:D13"/>
    <mergeCell ref="E13:F13"/>
    <mergeCell ref="H13:I13"/>
    <mergeCell ref="K13:L13"/>
    <mergeCell ref="N13:O13"/>
    <mergeCell ref="Q13:R13"/>
    <mergeCell ref="B57:D60"/>
    <mergeCell ref="E57:AA57"/>
    <mergeCell ref="AC57:AJ57"/>
    <mergeCell ref="E58:F59"/>
    <mergeCell ref="H58:O58"/>
    <mergeCell ref="Q58:AA58"/>
    <mergeCell ref="AC58:AD59"/>
    <mergeCell ref="AF58:AG59"/>
    <mergeCell ref="AI58:AJ59"/>
    <mergeCell ref="H59:I59"/>
    <mergeCell ref="E60:F60"/>
    <mergeCell ref="H60:O60"/>
    <mergeCell ref="Q60:AA60"/>
    <mergeCell ref="AC60:AD60"/>
    <mergeCell ref="AF60:AG60"/>
    <mergeCell ref="AI60:AJ60"/>
    <mergeCell ref="K59:L59"/>
    <mergeCell ref="N59:O59"/>
    <mergeCell ref="Q59:R59"/>
    <mergeCell ref="T59:U59"/>
    <mergeCell ref="W59:X59"/>
    <mergeCell ref="Z59:AA59"/>
    <mergeCell ref="B189:D189"/>
    <mergeCell ref="E189:F189"/>
    <mergeCell ref="G189:H189"/>
    <mergeCell ref="I189:J189"/>
    <mergeCell ref="K189:L189"/>
    <mergeCell ref="M189:N189"/>
    <mergeCell ref="O189:P189"/>
    <mergeCell ref="Q189:R189"/>
    <mergeCell ref="AA116:AB116"/>
    <mergeCell ref="O116:P116"/>
    <mergeCell ref="Q116:R116"/>
    <mergeCell ref="S116:T116"/>
    <mergeCell ref="U116:V116"/>
    <mergeCell ref="W116:X116"/>
    <mergeCell ref="Y116:Z116"/>
    <mergeCell ref="B116:D116"/>
    <mergeCell ref="E116:F116"/>
    <mergeCell ref="G116:H116"/>
    <mergeCell ref="I116:J116"/>
    <mergeCell ref="K116:L116"/>
    <mergeCell ref="M116:N116"/>
    <mergeCell ref="AO189:AP189"/>
    <mergeCell ref="S189:T189"/>
    <mergeCell ref="U189:V189"/>
    <mergeCell ref="W189:X189"/>
    <mergeCell ref="Y189:Z189"/>
    <mergeCell ref="AA189:AB189"/>
    <mergeCell ref="AC189:AD189"/>
    <mergeCell ref="AM116:AN116"/>
    <mergeCell ref="AO116:AP116"/>
    <mergeCell ref="AC116:AD116"/>
    <mergeCell ref="AE116:AF116"/>
    <mergeCell ref="AG116:AH116"/>
    <mergeCell ref="AI116:AJ116"/>
    <mergeCell ref="AK116:AL116"/>
    <mergeCell ref="G201:H201"/>
    <mergeCell ref="I201:J201"/>
    <mergeCell ref="K201:L201"/>
    <mergeCell ref="M201:N201"/>
    <mergeCell ref="AE189:AF189"/>
    <mergeCell ref="AG189:AH189"/>
    <mergeCell ref="AI189:AJ189"/>
    <mergeCell ref="AK189:AL189"/>
    <mergeCell ref="AM189:AN189"/>
    <mergeCell ref="AM201:AN201"/>
    <mergeCell ref="AO201:AP201"/>
    <mergeCell ref="B220:D220"/>
    <mergeCell ref="E220:F220"/>
    <mergeCell ref="G220:H220"/>
    <mergeCell ref="I220:J220"/>
    <mergeCell ref="K220:L220"/>
    <mergeCell ref="M220:N220"/>
    <mergeCell ref="O220:P220"/>
    <mergeCell ref="Q220:R220"/>
    <mergeCell ref="AA201:AB201"/>
    <mergeCell ref="AC201:AD201"/>
    <mergeCell ref="AE201:AF201"/>
    <mergeCell ref="AG201:AH201"/>
    <mergeCell ref="AI201:AJ201"/>
    <mergeCell ref="AK201:AL201"/>
    <mergeCell ref="O201:P201"/>
    <mergeCell ref="Q201:R201"/>
    <mergeCell ref="S201:T201"/>
    <mergeCell ref="U201:V201"/>
    <mergeCell ref="W201:X201"/>
    <mergeCell ref="Y201:Z201"/>
    <mergeCell ref="B201:D201"/>
    <mergeCell ref="E201:F201"/>
    <mergeCell ref="AE220:AF220"/>
    <mergeCell ref="AG220:AH220"/>
    <mergeCell ref="AI220:AJ220"/>
    <mergeCell ref="AK220:AL220"/>
    <mergeCell ref="AM220:AN220"/>
    <mergeCell ref="AO220:AP220"/>
    <mergeCell ref="S220:T220"/>
    <mergeCell ref="U220:V220"/>
    <mergeCell ref="W220:X220"/>
    <mergeCell ref="Y220:Z220"/>
    <mergeCell ref="AA220:AB220"/>
    <mergeCell ref="AC220:AD220"/>
    <mergeCell ref="B262:D262"/>
    <mergeCell ref="E262:F262"/>
    <mergeCell ref="G262:H262"/>
    <mergeCell ref="I262:J262"/>
    <mergeCell ref="K262:L262"/>
    <mergeCell ref="M262:N262"/>
    <mergeCell ref="O262:P262"/>
    <mergeCell ref="Q262:R262"/>
    <mergeCell ref="AA241:AB241"/>
    <mergeCell ref="O241:P241"/>
    <mergeCell ref="Q241:R241"/>
    <mergeCell ref="S241:T241"/>
    <mergeCell ref="U241:V241"/>
    <mergeCell ref="W241:X241"/>
    <mergeCell ref="Y241:Z241"/>
    <mergeCell ref="B241:D241"/>
    <mergeCell ref="E241:F241"/>
    <mergeCell ref="G241:H241"/>
    <mergeCell ref="I241:J241"/>
    <mergeCell ref="K241:L241"/>
    <mergeCell ref="M241:N241"/>
    <mergeCell ref="AO262:AP262"/>
    <mergeCell ref="S262:T262"/>
    <mergeCell ref="U262:V262"/>
    <mergeCell ref="W262:X262"/>
    <mergeCell ref="Y262:Z262"/>
    <mergeCell ref="AA262:AB262"/>
    <mergeCell ref="AC262:AD262"/>
    <mergeCell ref="AM241:AN241"/>
    <mergeCell ref="AO241:AP241"/>
    <mergeCell ref="AC241:AD241"/>
    <mergeCell ref="AE241:AF241"/>
    <mergeCell ref="AG241:AH241"/>
    <mergeCell ref="AI241:AJ241"/>
    <mergeCell ref="AK241:AL241"/>
    <mergeCell ref="G274:H274"/>
    <mergeCell ref="I274:J274"/>
    <mergeCell ref="K274:L274"/>
    <mergeCell ref="M274:N274"/>
    <mergeCell ref="AE262:AF262"/>
    <mergeCell ref="AG262:AH262"/>
    <mergeCell ref="AI262:AJ262"/>
    <mergeCell ref="AK262:AL262"/>
    <mergeCell ref="AM262:AN262"/>
    <mergeCell ref="AM274:AN274"/>
    <mergeCell ref="AO274:AP274"/>
    <mergeCell ref="B294:D294"/>
    <mergeCell ref="E294:F294"/>
    <mergeCell ref="G294:H294"/>
    <mergeCell ref="I294:J294"/>
    <mergeCell ref="K294:L294"/>
    <mergeCell ref="M294:N294"/>
    <mergeCell ref="O294:P294"/>
    <mergeCell ref="Q294:R294"/>
    <mergeCell ref="AA274:AB274"/>
    <mergeCell ref="AC274:AD274"/>
    <mergeCell ref="AE274:AF274"/>
    <mergeCell ref="AG274:AH274"/>
    <mergeCell ref="AI274:AJ274"/>
    <mergeCell ref="AK274:AL274"/>
    <mergeCell ref="O274:P274"/>
    <mergeCell ref="Q274:R274"/>
    <mergeCell ref="S274:T274"/>
    <mergeCell ref="U274:V274"/>
    <mergeCell ref="W274:X274"/>
    <mergeCell ref="Y274:Z274"/>
    <mergeCell ref="B274:D274"/>
    <mergeCell ref="E274:F274"/>
    <mergeCell ref="AE294:AF294"/>
    <mergeCell ref="AG294:AH294"/>
    <mergeCell ref="AI294:AJ294"/>
    <mergeCell ref="AK294:AL294"/>
    <mergeCell ref="AM294:AN294"/>
    <mergeCell ref="AO294:AP294"/>
    <mergeCell ref="S294:T294"/>
    <mergeCell ref="U294:V294"/>
    <mergeCell ref="W294:X294"/>
    <mergeCell ref="Y294:Z294"/>
    <mergeCell ref="AA294:AB294"/>
    <mergeCell ref="AC294:AD294"/>
    <mergeCell ref="B339:D339"/>
    <mergeCell ref="E339:F339"/>
    <mergeCell ref="G339:H339"/>
    <mergeCell ref="I339:J339"/>
    <mergeCell ref="K339:L339"/>
    <mergeCell ref="M339:N339"/>
    <mergeCell ref="O339:P339"/>
    <mergeCell ref="Q339:R339"/>
    <mergeCell ref="AA318:AB318"/>
    <mergeCell ref="O318:P318"/>
    <mergeCell ref="Q318:R318"/>
    <mergeCell ref="S318:T318"/>
    <mergeCell ref="U318:V318"/>
    <mergeCell ref="W318:X318"/>
    <mergeCell ref="Y318:Z318"/>
    <mergeCell ref="B318:D318"/>
    <mergeCell ref="E318:F318"/>
    <mergeCell ref="G318:H318"/>
    <mergeCell ref="I318:J318"/>
    <mergeCell ref="K318:L318"/>
    <mergeCell ref="M318:N318"/>
    <mergeCell ref="AO339:AP339"/>
    <mergeCell ref="S339:T339"/>
    <mergeCell ref="U339:V339"/>
    <mergeCell ref="W339:X339"/>
    <mergeCell ref="Y339:Z339"/>
    <mergeCell ref="AA339:AB339"/>
    <mergeCell ref="AC339:AD339"/>
    <mergeCell ref="AM318:AN318"/>
    <mergeCell ref="AO318:AP318"/>
    <mergeCell ref="AC318:AD318"/>
    <mergeCell ref="AE318:AF318"/>
    <mergeCell ref="AG318:AH318"/>
    <mergeCell ref="AI318:AJ318"/>
    <mergeCell ref="AK318:AL318"/>
    <mergeCell ref="G353:H353"/>
    <mergeCell ref="I353:J353"/>
    <mergeCell ref="K353:L353"/>
    <mergeCell ref="M353:N353"/>
    <mergeCell ref="AE339:AF339"/>
    <mergeCell ref="AG339:AH339"/>
    <mergeCell ref="AI339:AJ339"/>
    <mergeCell ref="AK339:AL339"/>
    <mergeCell ref="AM339:AN339"/>
    <mergeCell ref="AM353:AN353"/>
    <mergeCell ref="B373:D373"/>
    <mergeCell ref="AO353:AP353"/>
    <mergeCell ref="B372:D372"/>
    <mergeCell ref="E372:F373"/>
    <mergeCell ref="G372:H373"/>
    <mergeCell ref="I372:J373"/>
    <mergeCell ref="K372:L373"/>
    <mergeCell ref="M372:N373"/>
    <mergeCell ref="O372:P373"/>
    <mergeCell ref="Q372:R373"/>
    <mergeCell ref="AA353:AB353"/>
    <mergeCell ref="AC353:AD353"/>
    <mergeCell ref="AE353:AF353"/>
    <mergeCell ref="AG353:AH353"/>
    <mergeCell ref="AI353:AJ353"/>
    <mergeCell ref="AK353:AL353"/>
    <mergeCell ref="O353:P353"/>
    <mergeCell ref="Q353:R353"/>
    <mergeCell ref="S353:T353"/>
    <mergeCell ref="U353:V353"/>
    <mergeCell ref="W353:X353"/>
    <mergeCell ref="Y353:Z353"/>
    <mergeCell ref="B353:D353"/>
    <mergeCell ref="E353:F353"/>
    <mergeCell ref="AE372:AF373"/>
    <mergeCell ref="AG372:AH373"/>
    <mergeCell ref="AI372:AJ373"/>
    <mergeCell ref="AK403:AL404"/>
    <mergeCell ref="AM372:AN373"/>
    <mergeCell ref="AO372:AP373"/>
    <mergeCell ref="S372:T373"/>
    <mergeCell ref="U372:V373"/>
    <mergeCell ref="W372:X373"/>
    <mergeCell ref="Y372:Z373"/>
    <mergeCell ref="AA372:AB373"/>
    <mergeCell ref="AC372:AD373"/>
    <mergeCell ref="AK372:AL373"/>
    <mergeCell ref="AM403:AN404"/>
    <mergeCell ref="AO403:AP404"/>
    <mergeCell ref="B404:D404"/>
    <mergeCell ref="Y403:Z404"/>
    <mergeCell ref="AA403:AB404"/>
    <mergeCell ref="AC403:AD404"/>
    <mergeCell ref="AE403:AF404"/>
    <mergeCell ref="AG403:AH404"/>
    <mergeCell ref="AI403:AJ404"/>
    <mergeCell ref="M403:N404"/>
    <mergeCell ref="O403:P404"/>
    <mergeCell ref="Q403:R404"/>
    <mergeCell ref="S403:T404"/>
    <mergeCell ref="U403:V404"/>
    <mergeCell ref="W403:X404"/>
    <mergeCell ref="B403:D403"/>
    <mergeCell ref="E403:F404"/>
    <mergeCell ref="G403:H404"/>
    <mergeCell ref="I403:J404"/>
    <mergeCell ref="K403:L404"/>
  </mergeCells>
  <hyperlinks>
    <hyperlink ref="A1" r:id="rId1" xr:uid="{00000000-0004-0000-1800-000000000000}"/>
  </hyperlinks>
  <pageMargins left="0.7" right="0.7" top="0.75" bottom="0.75" header="0.3" footer="0.3"/>
  <pageSetup paperSize="9" orientation="portrait"/>
  <drawing r:id="rId2"/>
  <legacyDrawing r:id="rId3"/>
</worksheet>
</file>

<file path=xl/worksheets/sheet2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900-000000000000}">
  <sheetPr codeName="Sheet18">
    <tabColor rgb="FF00B0F0"/>
  </sheetPr>
  <dimension ref="A1:CF71"/>
  <sheetViews>
    <sheetView topLeftCell="A9" zoomScale="85" zoomScaleNormal="85" workbookViewId="0">
      <selection activeCell="L14" sqref="L14"/>
    </sheetView>
  </sheetViews>
  <sheetFormatPr defaultRowHeight="13.2"/>
  <cols>
    <col min="1" max="1" width="22" customWidth="1"/>
    <col min="2" max="3" width="10.44140625" bestFit="1" customWidth="1"/>
    <col min="4" max="4" width="9" bestFit="1" customWidth="1"/>
    <col min="5" max="5" width="11.33203125" bestFit="1" customWidth="1"/>
    <col min="6" max="7" width="11.33203125" customWidth="1"/>
    <col min="9" max="10" width="10.109375" bestFit="1" customWidth="1"/>
    <col min="11" max="14" width="10.109375" customWidth="1"/>
    <col min="15" max="15" width="22" style="754" customWidth="1"/>
    <col min="16" max="17" width="10.44140625" style="754" bestFit="1" customWidth="1"/>
    <col min="18" max="18" width="9" style="754" bestFit="1" customWidth="1"/>
    <col min="19" max="19" width="11.33203125" style="754" bestFit="1" customWidth="1"/>
    <col min="20" max="21" width="11.33203125" style="754" customWidth="1"/>
    <col min="22" max="22" width="9.109375" style="754"/>
    <col min="23" max="24" width="10.109375" style="754" bestFit="1" customWidth="1"/>
    <col min="25" max="26" width="10.109375" style="754" customWidth="1"/>
  </cols>
  <sheetData>
    <row r="1" spans="1:37">
      <c r="A1" s="2997" t="s">
        <v>3462</v>
      </c>
      <c r="B1" s="2996"/>
      <c r="C1" s="2996"/>
      <c r="D1" s="2996"/>
      <c r="E1" s="2996"/>
      <c r="F1" s="2996"/>
      <c r="G1" s="2996"/>
      <c r="H1" s="2996"/>
      <c r="I1" s="2995" t="s">
        <v>3463</v>
      </c>
      <c r="J1" s="2996"/>
      <c r="K1" s="2996">
        <v>1</v>
      </c>
      <c r="L1" s="2996"/>
    </row>
    <row r="2" spans="1:37">
      <c r="A2" s="184" t="s">
        <v>575</v>
      </c>
      <c r="B2" s="603" t="s">
        <v>606</v>
      </c>
      <c r="O2" s="184" t="s">
        <v>575</v>
      </c>
      <c r="P2" s="603" t="s">
        <v>606</v>
      </c>
      <c r="AD2" s="542"/>
      <c r="AE2" s="542"/>
      <c r="AF2" s="542"/>
      <c r="AG2" s="542"/>
      <c r="AH2" s="542"/>
      <c r="AI2" s="542"/>
      <c r="AJ2" s="542"/>
    </row>
    <row r="3" spans="1:37">
      <c r="A3" s="3137" t="s">
        <v>502</v>
      </c>
      <c r="B3" s="3138"/>
      <c r="C3" s="3138"/>
      <c r="D3" s="3138"/>
      <c r="E3" s="3138"/>
      <c r="F3" s="469"/>
      <c r="G3" s="470"/>
      <c r="J3" s="184" t="s">
        <v>186</v>
      </c>
      <c r="O3" s="3141" t="s">
        <v>502</v>
      </c>
      <c r="P3" s="3142"/>
      <c r="Q3" s="3142"/>
      <c r="R3" s="3142"/>
      <c r="S3" s="3142"/>
      <c r="T3" s="2993"/>
      <c r="U3" s="2994"/>
      <c r="X3" s="184" t="s">
        <v>186</v>
      </c>
      <c r="AD3" s="542"/>
      <c r="AE3" s="542"/>
      <c r="AF3" s="542"/>
      <c r="AG3" s="542"/>
      <c r="AH3" s="542"/>
      <c r="AI3" s="542"/>
      <c r="AJ3" s="542"/>
    </row>
    <row r="4" spans="1:37">
      <c r="A4" s="233"/>
      <c r="B4" s="234">
        <v>2010</v>
      </c>
      <c r="C4" s="234">
        <v>2011</v>
      </c>
      <c r="D4" s="234">
        <v>2012</v>
      </c>
      <c r="E4" s="234">
        <v>2013</v>
      </c>
      <c r="F4" s="234">
        <v>2014</v>
      </c>
      <c r="G4" s="235">
        <v>2015</v>
      </c>
      <c r="J4">
        <v>2010</v>
      </c>
      <c r="K4">
        <v>2012</v>
      </c>
      <c r="L4">
        <v>2015</v>
      </c>
      <c r="O4" s="233"/>
      <c r="P4" s="234">
        <v>2010</v>
      </c>
      <c r="Q4" s="234">
        <v>2011</v>
      </c>
      <c r="R4" s="234">
        <v>2012</v>
      </c>
      <c r="S4" s="234">
        <v>2013</v>
      </c>
      <c r="T4" s="234">
        <v>2014</v>
      </c>
      <c r="U4" s="235">
        <v>2015</v>
      </c>
      <c r="X4" s="754">
        <v>2010</v>
      </c>
      <c r="Y4" s="754">
        <v>2012</v>
      </c>
      <c r="Z4" s="754">
        <v>2015</v>
      </c>
    </row>
    <row r="5" spans="1:37">
      <c r="A5" s="233" t="s">
        <v>154</v>
      </c>
      <c r="B5" s="234"/>
      <c r="C5" s="234"/>
      <c r="D5" s="234"/>
      <c r="E5" s="234"/>
      <c r="F5" s="234"/>
      <c r="G5" s="235"/>
      <c r="O5" s="233" t="s">
        <v>154</v>
      </c>
      <c r="P5" s="234"/>
      <c r="Q5" s="234"/>
      <c r="R5" s="234"/>
      <c r="S5" s="234"/>
      <c r="T5" s="234"/>
      <c r="U5" s="235"/>
      <c r="AD5" s="542"/>
      <c r="AE5" s="604"/>
      <c r="AF5" s="231"/>
      <c r="AG5" s="231"/>
      <c r="AH5" s="231"/>
      <c r="AI5" s="231"/>
      <c r="AJ5" s="231"/>
      <c r="AK5" s="236"/>
    </row>
    <row r="6" spans="1:37" s="542" customFormat="1" ht="14.4">
      <c r="A6" s="697" t="s">
        <v>605</v>
      </c>
      <c r="B6" s="2999">
        <f t="shared" ref="B6:G10" si="0">P6*$K$1</f>
        <v>4335152</v>
      </c>
      <c r="C6" s="2999">
        <f t="shared" si="0"/>
        <v>0</v>
      </c>
      <c r="D6" s="2999">
        <f t="shared" si="0"/>
        <v>0</v>
      </c>
      <c r="E6" s="2999">
        <f t="shared" si="0"/>
        <v>4495422</v>
      </c>
      <c r="F6" s="2999">
        <f t="shared" si="0"/>
        <v>4582524</v>
      </c>
      <c r="G6" s="2999">
        <f t="shared" si="0"/>
        <v>4665868</v>
      </c>
      <c r="O6" s="697" t="s">
        <v>605</v>
      </c>
      <c r="P6" s="238">
        <v>4335152</v>
      </c>
      <c r="Q6" s="784"/>
      <c r="R6" s="784"/>
      <c r="S6" s="236">
        <v>4495422</v>
      </c>
      <c r="T6" s="236">
        <v>4582524</v>
      </c>
      <c r="U6" s="235">
        <f>SUM(U7:U10)</f>
        <v>4665868</v>
      </c>
      <c r="V6" s="754"/>
      <c r="W6" s="754"/>
      <c r="X6" s="754"/>
      <c r="Y6" s="754"/>
      <c r="Z6" s="754"/>
      <c r="AE6" s="604"/>
      <c r="AF6" s="231"/>
      <c r="AG6" s="231"/>
      <c r="AH6" s="231"/>
      <c r="AI6" s="231"/>
      <c r="AJ6" s="231"/>
      <c r="AK6" s="236"/>
    </row>
    <row r="7" spans="1:37" ht="14.4">
      <c r="A7" s="697" t="s">
        <v>601</v>
      </c>
      <c r="B7" s="2999">
        <f t="shared" si="0"/>
        <v>157755.6</v>
      </c>
      <c r="C7" s="2999">
        <f t="shared" si="0"/>
        <v>0</v>
      </c>
      <c r="D7" s="2999">
        <f t="shared" si="0"/>
        <v>0</v>
      </c>
      <c r="E7" s="2999">
        <f t="shared" si="0"/>
        <v>163376</v>
      </c>
      <c r="F7" s="2999">
        <f t="shared" si="0"/>
        <v>165870.39999999999</v>
      </c>
      <c r="G7" s="2999">
        <f t="shared" si="0"/>
        <v>167433.60000000001</v>
      </c>
      <c r="J7" s="231">
        <f t="shared" ref="J7:J12" si="1">ROUND(AVERAGE(B7:C7),0)</f>
        <v>78878</v>
      </c>
      <c r="K7" s="231">
        <f t="shared" ref="K7:K12" si="2">ROUND(AVERAGE(D7:E7),0)</f>
        <v>81688</v>
      </c>
      <c r="L7" s="231">
        <f t="shared" ref="L7:L12" si="3">G7</f>
        <v>167433.60000000001</v>
      </c>
      <c r="M7" s="231"/>
      <c r="N7" s="231"/>
      <c r="O7" s="697" t="s">
        <v>601</v>
      </c>
      <c r="P7" s="236">
        <v>157755.6</v>
      </c>
      <c r="Q7" s="236"/>
      <c r="R7" s="236"/>
      <c r="S7" s="236">
        <v>163376</v>
      </c>
      <c r="T7" s="236">
        <v>165870.39999999999</v>
      </c>
      <c r="U7" s="235">
        <v>167433.60000000001</v>
      </c>
      <c r="X7" s="784">
        <f t="shared" ref="X7:X12" si="4">ROUND(AVERAGE(P7:Q7),0)</f>
        <v>157756</v>
      </c>
      <c r="Y7" s="784">
        <f t="shared" ref="Y7:Y12" si="5">ROUND(AVERAGE(R7:S7),0)</f>
        <v>163376</v>
      </c>
      <c r="Z7" s="784">
        <f t="shared" ref="Z7:Z12" si="6">U7</f>
        <v>167433.60000000001</v>
      </c>
      <c r="AD7" s="542"/>
      <c r="AE7" s="231"/>
      <c r="AF7" s="231"/>
      <c r="AG7" s="231"/>
      <c r="AH7" s="231"/>
      <c r="AI7" s="231"/>
      <c r="AJ7" s="231"/>
      <c r="AK7" s="236"/>
    </row>
    <row r="8" spans="1:37" ht="14.4">
      <c r="A8" s="697" t="s">
        <v>602</v>
      </c>
      <c r="B8" s="2999">
        <f t="shared" si="0"/>
        <v>375996.60000000003</v>
      </c>
      <c r="C8" s="2999">
        <f t="shared" si="0"/>
        <v>0</v>
      </c>
      <c r="D8" s="2999">
        <f t="shared" si="0"/>
        <v>0</v>
      </c>
      <c r="E8" s="2999">
        <f t="shared" si="0"/>
        <v>386247.8</v>
      </c>
      <c r="F8" s="2999">
        <f t="shared" si="0"/>
        <v>392828</v>
      </c>
      <c r="G8" s="2999">
        <f t="shared" si="0"/>
        <v>397129.4</v>
      </c>
      <c r="J8" s="231">
        <f t="shared" si="1"/>
        <v>187998</v>
      </c>
      <c r="K8" s="231">
        <f t="shared" si="2"/>
        <v>193124</v>
      </c>
      <c r="L8" s="231">
        <f t="shared" si="3"/>
        <v>397129.4</v>
      </c>
      <c r="M8" s="231"/>
      <c r="N8" s="231"/>
      <c r="O8" s="697" t="s">
        <v>602</v>
      </c>
      <c r="P8" s="236">
        <v>375996.60000000003</v>
      </c>
      <c r="Q8" s="238"/>
      <c r="R8" s="238"/>
      <c r="S8" s="236">
        <v>386247.8</v>
      </c>
      <c r="T8" s="236">
        <v>392828</v>
      </c>
      <c r="U8" s="235">
        <v>397129.4</v>
      </c>
      <c r="X8" s="784">
        <f t="shared" si="4"/>
        <v>375997</v>
      </c>
      <c r="Y8" s="784">
        <f t="shared" si="5"/>
        <v>386248</v>
      </c>
      <c r="Z8" s="784">
        <f t="shared" si="6"/>
        <v>397129.4</v>
      </c>
      <c r="AD8" s="542"/>
      <c r="AE8" s="231"/>
      <c r="AF8" s="231"/>
      <c r="AG8" s="231"/>
      <c r="AH8" s="231"/>
      <c r="AI8" s="231"/>
      <c r="AJ8" s="231"/>
      <c r="AK8" s="236"/>
    </row>
    <row r="9" spans="1:37" ht="14.4">
      <c r="A9" s="697" t="s">
        <v>603</v>
      </c>
      <c r="B9" s="2999">
        <f t="shared" si="0"/>
        <v>2878172.5</v>
      </c>
      <c r="C9" s="2999">
        <f t="shared" si="0"/>
        <v>0</v>
      </c>
      <c r="D9" s="2999">
        <f t="shared" si="0"/>
        <v>0</v>
      </c>
      <c r="E9" s="2999">
        <f t="shared" si="0"/>
        <v>2990546.1</v>
      </c>
      <c r="F9" s="2999">
        <f t="shared" si="0"/>
        <v>3051960.1</v>
      </c>
      <c r="G9" s="2999">
        <f t="shared" si="0"/>
        <v>3113369.1</v>
      </c>
      <c r="J9" s="231">
        <f t="shared" si="1"/>
        <v>1439086</v>
      </c>
      <c r="K9" s="231">
        <f t="shared" si="2"/>
        <v>1495273</v>
      </c>
      <c r="L9" s="231">
        <f t="shared" si="3"/>
        <v>3113369.1</v>
      </c>
      <c r="M9" s="231"/>
      <c r="N9" s="231"/>
      <c r="O9" s="697" t="s">
        <v>603</v>
      </c>
      <c r="P9" s="236">
        <v>2878172.5</v>
      </c>
      <c r="Q9" s="236"/>
      <c r="R9" s="236"/>
      <c r="S9" s="236">
        <v>2990546.1</v>
      </c>
      <c r="T9" s="236">
        <v>3051960.1</v>
      </c>
      <c r="U9" s="235">
        <v>3113369.1</v>
      </c>
      <c r="X9" s="784">
        <f t="shared" si="4"/>
        <v>2878173</v>
      </c>
      <c r="Y9" s="784">
        <f t="shared" si="5"/>
        <v>2990546</v>
      </c>
      <c r="Z9" s="784">
        <f t="shared" si="6"/>
        <v>3113369.1</v>
      </c>
      <c r="AD9" s="542"/>
      <c r="AE9" s="231"/>
      <c r="AF9" s="231"/>
      <c r="AG9" s="231"/>
      <c r="AH9" s="231"/>
      <c r="AI9" s="231"/>
      <c r="AJ9" s="231"/>
      <c r="AK9" s="236"/>
    </row>
    <row r="10" spans="1:37" ht="14.4">
      <c r="A10" s="697" t="s">
        <v>604</v>
      </c>
      <c r="B10" s="2999">
        <f t="shared" si="0"/>
        <v>923227.3</v>
      </c>
      <c r="C10" s="2999">
        <f t="shared" si="0"/>
        <v>0</v>
      </c>
      <c r="D10" s="2999">
        <f t="shared" si="0"/>
        <v>0</v>
      </c>
      <c r="E10" s="2999">
        <f t="shared" si="0"/>
        <v>955252.1</v>
      </c>
      <c r="F10" s="2999">
        <f t="shared" si="0"/>
        <v>971865.5</v>
      </c>
      <c r="G10" s="2999">
        <f t="shared" si="0"/>
        <v>987935.9</v>
      </c>
      <c r="J10" s="231">
        <f t="shared" si="1"/>
        <v>461614</v>
      </c>
      <c r="K10" s="231">
        <f t="shared" si="2"/>
        <v>477626</v>
      </c>
      <c r="L10" s="231">
        <f t="shared" si="3"/>
        <v>987935.9</v>
      </c>
      <c r="M10" s="231"/>
      <c r="O10" s="697" t="s">
        <v>604</v>
      </c>
      <c r="P10" s="239">
        <v>923227.3</v>
      </c>
      <c r="Q10" s="236"/>
      <c r="R10" s="236"/>
      <c r="S10" s="236">
        <v>955252.1</v>
      </c>
      <c r="T10" s="236">
        <v>971865.5</v>
      </c>
      <c r="U10" s="235">
        <v>987935.9</v>
      </c>
      <c r="X10" s="784">
        <f t="shared" si="4"/>
        <v>923227</v>
      </c>
      <c r="Y10" s="784">
        <f t="shared" si="5"/>
        <v>955252</v>
      </c>
      <c r="Z10" s="784">
        <f t="shared" si="6"/>
        <v>987935.9</v>
      </c>
      <c r="AD10" s="542"/>
      <c r="AE10" s="231"/>
      <c r="AF10" s="231"/>
      <c r="AG10" s="231"/>
      <c r="AH10" s="231"/>
      <c r="AI10" s="231"/>
      <c r="AJ10" s="231"/>
      <c r="AK10" s="231"/>
    </row>
    <row r="11" spans="1:37" ht="14.4">
      <c r="A11" s="234"/>
      <c r="B11" s="236">
        <v>0</v>
      </c>
      <c r="C11" s="238"/>
      <c r="D11" s="239"/>
      <c r="E11" s="236">
        <v>0</v>
      </c>
      <c r="F11" s="236">
        <v>0</v>
      </c>
      <c r="G11" s="237">
        <v>0</v>
      </c>
      <c r="J11" s="231">
        <f t="shared" si="1"/>
        <v>0</v>
      </c>
      <c r="K11" s="231">
        <f t="shared" si="2"/>
        <v>0</v>
      </c>
      <c r="L11" s="231">
        <f t="shared" si="3"/>
        <v>0</v>
      </c>
      <c r="M11" s="231"/>
      <c r="O11" s="234"/>
      <c r="P11" s="236">
        <v>0</v>
      </c>
      <c r="Q11" s="238"/>
      <c r="R11" s="239"/>
      <c r="S11" s="236">
        <v>0</v>
      </c>
      <c r="T11" s="236">
        <v>0</v>
      </c>
      <c r="U11" s="237">
        <v>0</v>
      </c>
      <c r="X11" s="784">
        <f t="shared" si="4"/>
        <v>0</v>
      </c>
      <c r="Y11" s="784">
        <f t="shared" si="5"/>
        <v>0</v>
      </c>
      <c r="Z11" s="784">
        <f t="shared" si="6"/>
        <v>0</v>
      </c>
    </row>
    <row r="12" spans="1:37" s="542" customFormat="1">
      <c r="A12" s="234"/>
      <c r="B12" s="605">
        <v>0</v>
      </c>
      <c r="C12" s="231"/>
      <c r="D12" s="231"/>
      <c r="E12" s="231">
        <v>0</v>
      </c>
      <c r="F12" s="231">
        <v>0</v>
      </c>
      <c r="G12" s="316">
        <v>0</v>
      </c>
      <c r="J12" s="231">
        <f t="shared" si="1"/>
        <v>0</v>
      </c>
      <c r="K12" s="231">
        <f t="shared" si="2"/>
        <v>0</v>
      </c>
      <c r="L12" s="231">
        <f t="shared" si="3"/>
        <v>0</v>
      </c>
      <c r="M12" s="231"/>
      <c r="O12" s="234"/>
      <c r="P12" s="605">
        <v>0</v>
      </c>
      <c r="Q12" s="784"/>
      <c r="R12" s="784"/>
      <c r="S12" s="784">
        <v>0</v>
      </c>
      <c r="T12" s="784">
        <v>0</v>
      </c>
      <c r="U12" s="316">
        <v>0</v>
      </c>
      <c r="V12" s="754"/>
      <c r="W12" s="754"/>
      <c r="X12" s="784">
        <f t="shared" si="4"/>
        <v>0</v>
      </c>
      <c r="Y12" s="784">
        <f t="shared" si="5"/>
        <v>0</v>
      </c>
      <c r="Z12" s="784">
        <f t="shared" si="6"/>
        <v>0</v>
      </c>
      <c r="AE12" s="231"/>
      <c r="AF12" s="231"/>
      <c r="AG12" s="231"/>
      <c r="AH12" s="231"/>
      <c r="AI12" s="231"/>
      <c r="AJ12" s="231"/>
    </row>
    <row r="13" spans="1:37" ht="14.4">
      <c r="A13" s="234"/>
      <c r="B13" s="240"/>
      <c r="C13" s="240"/>
      <c r="D13" s="241"/>
      <c r="E13" s="234"/>
      <c r="F13" s="234"/>
      <c r="G13" s="235"/>
      <c r="O13" s="234"/>
      <c r="P13" s="240"/>
      <c r="Q13" s="240"/>
      <c r="R13" s="241"/>
      <c r="S13" s="234"/>
      <c r="T13" s="234"/>
      <c r="U13" s="235"/>
      <c r="AF13" s="542"/>
      <c r="AG13" s="542"/>
      <c r="AH13" s="542"/>
      <c r="AI13" s="542"/>
      <c r="AJ13" s="542"/>
    </row>
    <row r="14" spans="1:37" ht="14.4">
      <c r="A14" s="242" t="s">
        <v>182</v>
      </c>
      <c r="B14" s="243"/>
      <c r="C14" s="402"/>
      <c r="D14" s="403"/>
      <c r="E14" s="404"/>
      <c r="F14" s="404"/>
      <c r="G14" s="405"/>
      <c r="O14" s="242" t="s">
        <v>182</v>
      </c>
      <c r="P14" s="243"/>
      <c r="Q14" s="402"/>
      <c r="R14" s="403"/>
      <c r="S14" s="404"/>
      <c r="T14" s="404"/>
      <c r="U14" s="405"/>
    </row>
    <row r="15" spans="1:37" ht="14.4">
      <c r="A15" s="471" t="s">
        <v>608</v>
      </c>
      <c r="B15" s="2558"/>
      <c r="C15" s="609"/>
      <c r="D15" s="609"/>
      <c r="E15" s="609"/>
      <c r="F15" s="609"/>
      <c r="G15" s="609"/>
      <c r="O15" s="471" t="s">
        <v>608</v>
      </c>
      <c r="P15" s="2558"/>
      <c r="Q15" s="609"/>
      <c r="R15" s="609"/>
      <c r="S15" s="609"/>
      <c r="T15" s="609"/>
      <c r="U15" s="609"/>
    </row>
    <row r="16" spans="1:37" s="542" customFormat="1" ht="14.4">
      <c r="A16" s="288"/>
      <c r="B16" s="582"/>
      <c r="C16" s="609"/>
      <c r="D16" s="609"/>
      <c r="E16" s="609"/>
      <c r="F16" s="609"/>
      <c r="G16" s="609"/>
      <c r="O16" s="288"/>
      <c r="P16" s="582"/>
      <c r="Q16" s="609"/>
      <c r="R16" s="609"/>
      <c r="S16" s="609"/>
      <c r="T16" s="609"/>
      <c r="U16" s="609"/>
      <c r="V16" s="754"/>
      <c r="W16" s="754"/>
      <c r="X16" s="754"/>
      <c r="Y16" s="754"/>
      <c r="Z16" s="754"/>
    </row>
    <row r="17" spans="1:26" ht="14.4">
      <c r="A17" s="288" t="s">
        <v>575</v>
      </c>
      <c r="B17" s="603" t="s">
        <v>606</v>
      </c>
      <c r="C17" s="229"/>
      <c r="D17" s="230"/>
      <c r="O17" s="288" t="s">
        <v>575</v>
      </c>
      <c r="P17" s="603" t="s">
        <v>606</v>
      </c>
      <c r="Q17" s="419"/>
      <c r="R17" s="420"/>
    </row>
    <row r="18" spans="1:26" ht="15" customHeight="1">
      <c r="A18" s="3137" t="s">
        <v>501</v>
      </c>
      <c r="B18" s="3138"/>
      <c r="C18" s="3138"/>
      <c r="D18" s="3138"/>
      <c r="E18" s="3138"/>
      <c r="F18" s="469"/>
      <c r="G18" s="470"/>
      <c r="J18" s="184" t="s">
        <v>186</v>
      </c>
      <c r="O18" s="3141" t="s">
        <v>501</v>
      </c>
      <c r="P18" s="3142"/>
      <c r="Q18" s="3142"/>
      <c r="R18" s="3142"/>
      <c r="S18" s="3142"/>
      <c r="T18" s="2993"/>
      <c r="U18" s="2994"/>
      <c r="X18" s="184" t="s">
        <v>186</v>
      </c>
    </row>
    <row r="19" spans="1:26" ht="14.4">
      <c r="A19" s="233"/>
      <c r="B19" s="245">
        <v>2010</v>
      </c>
      <c r="C19" s="246">
        <v>2011</v>
      </c>
      <c r="D19" s="241">
        <v>2012</v>
      </c>
      <c r="E19" s="234">
        <v>2013</v>
      </c>
      <c r="F19" s="234">
        <v>2014</v>
      </c>
      <c r="G19" s="235">
        <v>2015</v>
      </c>
      <c r="J19">
        <v>2010</v>
      </c>
      <c r="K19">
        <v>2012</v>
      </c>
      <c r="L19">
        <v>2015</v>
      </c>
      <c r="O19" s="233"/>
      <c r="P19" s="245">
        <v>2010</v>
      </c>
      <c r="Q19" s="246">
        <v>2011</v>
      </c>
      <c r="R19" s="241">
        <v>2012</v>
      </c>
      <c r="S19" s="234">
        <v>2013</v>
      </c>
      <c r="T19" s="234">
        <v>2014</v>
      </c>
      <c r="U19" s="235">
        <v>2015</v>
      </c>
      <c r="X19" s="754">
        <v>2010</v>
      </c>
      <c r="Y19" s="754">
        <v>2012</v>
      </c>
      <c r="Z19" s="754">
        <v>2015</v>
      </c>
    </row>
    <row r="20" spans="1:26" ht="14.4">
      <c r="A20" s="233" t="s">
        <v>154</v>
      </c>
      <c r="B20" s="245"/>
      <c r="C20" s="240"/>
      <c r="D20" s="241"/>
      <c r="E20" s="234"/>
      <c r="F20" s="234"/>
      <c r="G20" s="235"/>
      <c r="O20" s="233" t="s">
        <v>154</v>
      </c>
      <c r="P20" s="245"/>
      <c r="Q20" s="240"/>
      <c r="R20" s="241"/>
      <c r="S20" s="234"/>
      <c r="T20" s="234"/>
      <c r="U20" s="235"/>
    </row>
    <row r="21" spans="1:26" ht="14.4">
      <c r="A21" s="233" t="s">
        <v>124</v>
      </c>
      <c r="B21" s="700">
        <f>SUM(B22:B41)</f>
        <v>4335182</v>
      </c>
      <c r="C21" s="238">
        <v>4334774</v>
      </c>
      <c r="D21" s="238">
        <v>4401344</v>
      </c>
      <c r="E21" s="239">
        <v>4447160</v>
      </c>
      <c r="F21" s="602">
        <v>4495467</v>
      </c>
      <c r="G21" s="701">
        <f>SUM(G22:G40)</f>
        <v>4585515</v>
      </c>
      <c r="J21" s="231">
        <f t="shared" ref="J21:J39" si="7">B21</f>
        <v>4335182</v>
      </c>
      <c r="K21" s="231">
        <f t="shared" ref="K21:K40" si="8">ROUND(AVERAGE(C21:F21),0)</f>
        <v>4419686</v>
      </c>
      <c r="L21" s="231">
        <f t="shared" ref="L21:L40" si="9">G21</f>
        <v>4585515</v>
      </c>
      <c r="M21" s="231"/>
      <c r="N21" s="548"/>
      <c r="O21" s="233" t="s">
        <v>124</v>
      </c>
      <c r="P21" s="700">
        <f>SUM(P22:P41)</f>
        <v>4335182</v>
      </c>
      <c r="Q21" s="238">
        <v>4334774</v>
      </c>
      <c r="R21" s="238">
        <v>4401344</v>
      </c>
      <c r="S21" s="239">
        <v>4447160</v>
      </c>
      <c r="T21" s="602">
        <v>4495467</v>
      </c>
      <c r="U21" s="701">
        <f>SUM(U22:U40)</f>
        <v>4585515</v>
      </c>
      <c r="X21" s="784">
        <f t="shared" ref="X21:X40" si="10">P21</f>
        <v>4335182</v>
      </c>
      <c r="Y21" s="784">
        <f t="shared" ref="Y21:Y40" si="11">ROUND(AVERAGE(Q21:T21),0)</f>
        <v>4419686</v>
      </c>
      <c r="Z21" s="784">
        <f t="shared" ref="Z21:Z40" si="12">U21</f>
        <v>4585515</v>
      </c>
    </row>
    <row r="22" spans="1:26" ht="14.4">
      <c r="A22" s="233" t="s">
        <v>155</v>
      </c>
      <c r="B22" s="2999">
        <f>P22*$K$1</f>
        <v>227206</v>
      </c>
      <c r="C22" s="2999">
        <f t="shared" ref="B22:G22" si="13">Q22*$K$1</f>
        <v>226798</v>
      </c>
      <c r="D22" s="2999">
        <f t="shared" si="13"/>
        <v>232397</v>
      </c>
      <c r="E22" s="2999">
        <f t="shared" si="13"/>
        <v>198817</v>
      </c>
      <c r="F22" s="2999">
        <f t="shared" si="13"/>
        <v>199164</v>
      </c>
      <c r="G22" s="2999">
        <f t="shared" si="13"/>
        <v>233301</v>
      </c>
      <c r="I22">
        <v>1</v>
      </c>
      <c r="J22" s="231">
        <f t="shared" si="7"/>
        <v>227206</v>
      </c>
      <c r="K22" s="231">
        <f t="shared" si="8"/>
        <v>214294</v>
      </c>
      <c r="L22" s="231">
        <f t="shared" si="9"/>
        <v>233301</v>
      </c>
      <c r="M22" s="231"/>
      <c r="N22" s="231"/>
      <c r="O22" s="233" t="s">
        <v>155</v>
      </c>
      <c r="P22" s="700">
        <v>227206</v>
      </c>
      <c r="Q22" s="238">
        <v>226798</v>
      </c>
      <c r="R22" s="238">
        <v>232397</v>
      </c>
      <c r="S22" s="239">
        <v>198817</v>
      </c>
      <c r="T22" s="602">
        <v>199164</v>
      </c>
      <c r="U22" s="247">
        <v>233301</v>
      </c>
      <c r="W22" s="754">
        <v>1</v>
      </c>
      <c r="X22" s="784">
        <f t="shared" si="10"/>
        <v>227206</v>
      </c>
      <c r="Y22" s="784">
        <f t="shared" si="11"/>
        <v>214294</v>
      </c>
      <c r="Z22" s="784">
        <f t="shared" si="12"/>
        <v>233301</v>
      </c>
    </row>
    <row r="23" spans="1:26" ht="14.4">
      <c r="A23" s="233" t="s">
        <v>156</v>
      </c>
      <c r="B23" s="2999">
        <f t="shared" ref="B23:B47" si="14">P23*$K$1</f>
        <v>183689</v>
      </c>
      <c r="C23" s="2999">
        <f t="shared" ref="C23:C47" si="15">Q23*$K$1</f>
        <v>183689</v>
      </c>
      <c r="D23" s="2999">
        <f t="shared" ref="D23:D47" si="16">R23*$K$1</f>
        <v>277965</v>
      </c>
      <c r="E23" s="2999">
        <f t="shared" ref="E23:E47" si="17">S23*$K$1</f>
        <v>289752</v>
      </c>
      <c r="F23" s="2999">
        <f t="shared" ref="F23:F47" si="18">T23*$K$1</f>
        <v>251575</v>
      </c>
      <c r="G23" s="2999">
        <f t="shared" ref="G23:G47" si="19">U23*$K$1</f>
        <v>253059</v>
      </c>
      <c r="I23">
        <v>2</v>
      </c>
      <c r="J23" s="231">
        <f t="shared" si="7"/>
        <v>183689</v>
      </c>
      <c r="K23" s="231">
        <f t="shared" si="8"/>
        <v>250745</v>
      </c>
      <c r="L23" s="231">
        <f t="shared" si="9"/>
        <v>253059</v>
      </c>
      <c r="M23" s="231"/>
      <c r="N23" s="231"/>
      <c r="O23" s="233" t="s">
        <v>156</v>
      </c>
      <c r="P23" s="700">
        <v>183689</v>
      </c>
      <c r="Q23" s="238">
        <v>183689</v>
      </c>
      <c r="R23" s="238">
        <v>277965</v>
      </c>
      <c r="S23" s="239">
        <v>289752</v>
      </c>
      <c r="T23" s="602">
        <v>251575</v>
      </c>
      <c r="U23" s="247">
        <v>253059</v>
      </c>
      <c r="W23" s="754">
        <v>2</v>
      </c>
      <c r="X23" s="784">
        <f t="shared" si="10"/>
        <v>183689</v>
      </c>
      <c r="Y23" s="784">
        <f t="shared" si="11"/>
        <v>250745</v>
      </c>
      <c r="Z23" s="784">
        <f t="shared" si="12"/>
        <v>253059</v>
      </c>
    </row>
    <row r="24" spans="1:26" ht="14.4">
      <c r="A24" s="233" t="s">
        <v>157</v>
      </c>
      <c r="B24" s="2999">
        <f t="shared" si="14"/>
        <v>233229</v>
      </c>
      <c r="C24" s="2999">
        <f t="shared" si="15"/>
        <v>233229</v>
      </c>
      <c r="D24" s="2999">
        <f t="shared" si="16"/>
        <v>184714</v>
      </c>
      <c r="E24" s="2999">
        <f t="shared" si="17"/>
        <v>279857</v>
      </c>
      <c r="F24" s="2999">
        <f t="shared" si="18"/>
        <v>293253</v>
      </c>
      <c r="G24" s="2999">
        <f t="shared" si="19"/>
        <v>254433</v>
      </c>
      <c r="I24" s="542">
        <v>3</v>
      </c>
      <c r="J24" s="231">
        <f>B24</f>
        <v>233229</v>
      </c>
      <c r="K24" s="231">
        <f t="shared" si="8"/>
        <v>247763</v>
      </c>
      <c r="L24" s="231">
        <f t="shared" si="9"/>
        <v>254433</v>
      </c>
      <c r="M24" s="231"/>
      <c r="N24" s="231"/>
      <c r="O24" s="233" t="s">
        <v>157</v>
      </c>
      <c r="P24" s="700">
        <v>233229</v>
      </c>
      <c r="Q24" s="238">
        <v>233229</v>
      </c>
      <c r="R24" s="238">
        <v>184714</v>
      </c>
      <c r="S24" s="239">
        <v>279857</v>
      </c>
      <c r="T24" s="602">
        <v>293253</v>
      </c>
      <c r="U24" s="247">
        <v>254433</v>
      </c>
      <c r="W24" s="754">
        <v>3</v>
      </c>
      <c r="X24" s="784">
        <f>P24</f>
        <v>233229</v>
      </c>
      <c r="Y24" s="784">
        <f>ROUND(AVERAGE(Q24:T24),0)</f>
        <v>247763</v>
      </c>
      <c r="Z24" s="784">
        <f t="shared" si="12"/>
        <v>254433</v>
      </c>
    </row>
    <row r="25" spans="1:26" ht="14.4">
      <c r="A25" s="233" t="s">
        <v>158</v>
      </c>
      <c r="B25" s="2999">
        <f t="shared" si="14"/>
        <v>284885</v>
      </c>
      <c r="C25" s="2999">
        <f t="shared" si="15"/>
        <v>284885</v>
      </c>
      <c r="D25" s="2999">
        <f t="shared" si="16"/>
        <v>228257</v>
      </c>
      <c r="E25" s="2999">
        <f t="shared" si="17"/>
        <v>182107</v>
      </c>
      <c r="F25" s="2999">
        <f t="shared" si="18"/>
        <v>276097</v>
      </c>
      <c r="G25" s="2999">
        <f t="shared" si="19"/>
        <v>288630</v>
      </c>
      <c r="H25" s="542"/>
      <c r="I25" s="542">
        <v>4</v>
      </c>
      <c r="J25" s="231">
        <f t="shared" si="7"/>
        <v>284885</v>
      </c>
      <c r="K25" s="231">
        <f t="shared" si="8"/>
        <v>242837</v>
      </c>
      <c r="L25" s="231">
        <f t="shared" si="9"/>
        <v>288630</v>
      </c>
      <c r="M25" s="231"/>
      <c r="N25" s="231"/>
      <c r="O25" s="233" t="s">
        <v>158</v>
      </c>
      <c r="P25" s="700">
        <v>284885</v>
      </c>
      <c r="Q25" s="238">
        <v>284885</v>
      </c>
      <c r="R25" s="238">
        <v>228257</v>
      </c>
      <c r="S25" s="239">
        <v>182107</v>
      </c>
      <c r="T25" s="602">
        <v>276097</v>
      </c>
      <c r="U25" s="247">
        <v>288630</v>
      </c>
      <c r="W25" s="754">
        <v>4</v>
      </c>
      <c r="X25" s="784">
        <f t="shared" si="10"/>
        <v>284885</v>
      </c>
      <c r="Y25" s="784">
        <f t="shared" si="11"/>
        <v>242837</v>
      </c>
      <c r="Z25" s="784">
        <f>U25</f>
        <v>288630</v>
      </c>
    </row>
    <row r="26" spans="1:26" ht="14.4">
      <c r="A26" s="233" t="s">
        <v>159</v>
      </c>
      <c r="B26" s="2999">
        <f t="shared" si="14"/>
        <v>265181</v>
      </c>
      <c r="C26" s="2999">
        <f t="shared" si="15"/>
        <v>265181</v>
      </c>
      <c r="D26" s="2999">
        <f t="shared" si="16"/>
        <v>285215</v>
      </c>
      <c r="E26" s="2999">
        <f t="shared" si="17"/>
        <v>231683</v>
      </c>
      <c r="F26" s="2999">
        <f t="shared" si="18"/>
        <v>185190</v>
      </c>
      <c r="G26" s="2999">
        <f t="shared" si="19"/>
        <v>279468</v>
      </c>
      <c r="H26" s="542"/>
      <c r="I26" s="542">
        <v>5</v>
      </c>
      <c r="J26" s="231">
        <f t="shared" si="7"/>
        <v>265181</v>
      </c>
      <c r="K26" s="231">
        <f t="shared" si="8"/>
        <v>241817</v>
      </c>
      <c r="L26" s="231">
        <f t="shared" si="9"/>
        <v>279468</v>
      </c>
      <c r="M26" s="231"/>
      <c r="N26" s="231"/>
      <c r="O26" s="233" t="s">
        <v>159</v>
      </c>
      <c r="P26" s="700">
        <v>265181</v>
      </c>
      <c r="Q26" s="238">
        <v>265181</v>
      </c>
      <c r="R26" s="238">
        <v>285215</v>
      </c>
      <c r="S26" s="239">
        <v>231683</v>
      </c>
      <c r="T26" s="602">
        <v>185190</v>
      </c>
      <c r="U26" s="247">
        <v>279468</v>
      </c>
      <c r="W26" s="754">
        <v>5</v>
      </c>
      <c r="X26" s="784">
        <f t="shared" si="10"/>
        <v>265181</v>
      </c>
      <c r="Y26" s="784">
        <f t="shared" si="11"/>
        <v>241817</v>
      </c>
      <c r="Z26" s="784">
        <f t="shared" si="12"/>
        <v>279468</v>
      </c>
    </row>
    <row r="27" spans="1:26" ht="14.4">
      <c r="A27" s="233" t="s">
        <v>160</v>
      </c>
      <c r="B27" s="2999">
        <f t="shared" si="14"/>
        <v>262445</v>
      </c>
      <c r="C27" s="2999">
        <f t="shared" si="15"/>
        <v>262445</v>
      </c>
      <c r="D27" s="2999">
        <f t="shared" si="16"/>
        <v>263874</v>
      </c>
      <c r="E27" s="2999">
        <f t="shared" si="17"/>
        <v>286110</v>
      </c>
      <c r="F27" s="2999">
        <f t="shared" si="18"/>
        <v>232439</v>
      </c>
      <c r="G27" s="2999">
        <f t="shared" si="19"/>
        <v>185277</v>
      </c>
      <c r="H27" s="542"/>
      <c r="I27" s="542">
        <v>6</v>
      </c>
      <c r="J27" s="231">
        <f t="shared" si="7"/>
        <v>262445</v>
      </c>
      <c r="K27" s="231">
        <f t="shared" si="8"/>
        <v>261217</v>
      </c>
      <c r="L27" s="231">
        <f t="shared" si="9"/>
        <v>185277</v>
      </c>
      <c r="M27" s="231"/>
      <c r="N27" s="231"/>
      <c r="O27" s="233" t="s">
        <v>160</v>
      </c>
      <c r="P27" s="700">
        <v>262445</v>
      </c>
      <c r="Q27" s="236">
        <v>262445</v>
      </c>
      <c r="R27" s="236">
        <v>263874</v>
      </c>
      <c r="S27" s="239">
        <v>286110</v>
      </c>
      <c r="T27" s="602">
        <v>232439</v>
      </c>
      <c r="U27" s="247">
        <v>185277</v>
      </c>
      <c r="W27" s="754">
        <v>6</v>
      </c>
      <c r="X27" s="784">
        <f t="shared" si="10"/>
        <v>262445</v>
      </c>
      <c r="Y27" s="784">
        <f t="shared" si="11"/>
        <v>261217</v>
      </c>
      <c r="Z27" s="784">
        <f t="shared" si="12"/>
        <v>185277</v>
      </c>
    </row>
    <row r="28" spans="1:26" ht="14.4">
      <c r="A28" s="233" t="s">
        <v>161</v>
      </c>
      <c r="B28" s="2999">
        <f t="shared" si="14"/>
        <v>248016</v>
      </c>
      <c r="C28" s="2999">
        <f t="shared" si="15"/>
        <v>248016</v>
      </c>
      <c r="D28" s="2999">
        <f t="shared" si="16"/>
        <v>259719</v>
      </c>
      <c r="E28" s="2999">
        <f t="shared" si="17"/>
        <v>263326</v>
      </c>
      <c r="F28" s="2999">
        <f t="shared" si="18"/>
        <v>285512</v>
      </c>
      <c r="G28" s="2999">
        <f t="shared" si="19"/>
        <v>231677</v>
      </c>
      <c r="H28" s="542"/>
      <c r="I28" s="542">
        <v>7</v>
      </c>
      <c r="J28" s="231">
        <f t="shared" si="7"/>
        <v>248016</v>
      </c>
      <c r="K28" s="231">
        <f t="shared" si="8"/>
        <v>264143</v>
      </c>
      <c r="L28" s="231">
        <f t="shared" si="9"/>
        <v>231677</v>
      </c>
      <c r="M28" s="231"/>
      <c r="N28" s="231"/>
      <c r="O28" s="233" t="s">
        <v>161</v>
      </c>
      <c r="P28" s="700">
        <v>248016</v>
      </c>
      <c r="Q28" s="236">
        <v>248016</v>
      </c>
      <c r="R28" s="236">
        <v>259719</v>
      </c>
      <c r="S28" s="239">
        <v>263326</v>
      </c>
      <c r="T28" s="602">
        <v>285512</v>
      </c>
      <c r="U28" s="247">
        <v>231677</v>
      </c>
      <c r="W28" s="754">
        <v>7</v>
      </c>
      <c r="X28" s="784">
        <f t="shared" si="10"/>
        <v>248016</v>
      </c>
      <c r="Y28" s="784">
        <f t="shared" si="11"/>
        <v>264143</v>
      </c>
      <c r="Z28" s="784">
        <f t="shared" si="12"/>
        <v>231677</v>
      </c>
    </row>
    <row r="29" spans="1:26" ht="14.4">
      <c r="A29" s="233" t="s">
        <v>162</v>
      </c>
      <c r="B29" s="2999">
        <f t="shared" si="14"/>
        <v>245626</v>
      </c>
      <c r="C29" s="2999">
        <f t="shared" si="15"/>
        <v>245626</v>
      </c>
      <c r="D29" s="2999">
        <f t="shared" si="16"/>
        <v>244867</v>
      </c>
      <c r="E29" s="2999">
        <f t="shared" si="17"/>
        <v>258361</v>
      </c>
      <c r="F29" s="2999">
        <f t="shared" si="18"/>
        <v>261791</v>
      </c>
      <c r="G29" s="2999">
        <f t="shared" si="19"/>
        <v>283348</v>
      </c>
      <c r="H29" s="542"/>
      <c r="I29" s="542">
        <v>8</v>
      </c>
      <c r="J29" s="231">
        <f t="shared" si="7"/>
        <v>245626</v>
      </c>
      <c r="K29" s="231">
        <f t="shared" si="8"/>
        <v>252661</v>
      </c>
      <c r="L29" s="231">
        <f t="shared" si="9"/>
        <v>283348</v>
      </c>
      <c r="M29" s="231"/>
      <c r="N29" s="231"/>
      <c r="O29" s="233" t="s">
        <v>162</v>
      </c>
      <c r="P29" s="700">
        <v>245626</v>
      </c>
      <c r="Q29" s="236">
        <v>245626</v>
      </c>
      <c r="R29" s="236">
        <v>244867</v>
      </c>
      <c r="S29" s="239">
        <v>258361</v>
      </c>
      <c r="T29" s="602">
        <v>261791</v>
      </c>
      <c r="U29" s="247">
        <v>283348</v>
      </c>
      <c r="W29" s="754">
        <v>8</v>
      </c>
      <c r="X29" s="784">
        <f t="shared" si="10"/>
        <v>245626</v>
      </c>
      <c r="Y29" s="784">
        <f t="shared" si="11"/>
        <v>252661</v>
      </c>
      <c r="Z29" s="784">
        <f t="shared" si="12"/>
        <v>283348</v>
      </c>
    </row>
    <row r="30" spans="1:26" ht="14.4">
      <c r="A30" s="233" t="s">
        <v>163</v>
      </c>
      <c r="B30" s="2999">
        <f t="shared" si="14"/>
        <v>236585</v>
      </c>
      <c r="C30" s="2999">
        <f t="shared" si="15"/>
        <v>236585</v>
      </c>
      <c r="D30" s="2999">
        <f t="shared" si="16"/>
        <v>241268</v>
      </c>
      <c r="E30" s="2999">
        <f t="shared" si="17"/>
        <v>241953</v>
      </c>
      <c r="F30" s="2999">
        <f t="shared" si="18"/>
        <v>255623</v>
      </c>
      <c r="G30" s="2999">
        <f t="shared" si="19"/>
        <v>258703</v>
      </c>
      <c r="H30" s="542"/>
      <c r="I30" s="542">
        <v>9</v>
      </c>
      <c r="J30" s="231">
        <f t="shared" si="7"/>
        <v>236585</v>
      </c>
      <c r="K30" s="231">
        <f t="shared" si="8"/>
        <v>243857</v>
      </c>
      <c r="L30" s="231">
        <f t="shared" si="9"/>
        <v>258703</v>
      </c>
      <c r="M30" s="231"/>
      <c r="N30" s="231"/>
      <c r="O30" s="233" t="s">
        <v>163</v>
      </c>
      <c r="P30" s="700">
        <v>236585</v>
      </c>
      <c r="Q30" s="236">
        <v>236585</v>
      </c>
      <c r="R30" s="236">
        <v>241268</v>
      </c>
      <c r="S30" s="239">
        <v>241953</v>
      </c>
      <c r="T30" s="602">
        <v>255623</v>
      </c>
      <c r="U30" s="247">
        <v>258703</v>
      </c>
      <c r="W30" s="754">
        <v>9</v>
      </c>
      <c r="X30" s="784">
        <f t="shared" si="10"/>
        <v>236585</v>
      </c>
      <c r="Y30" s="784">
        <f t="shared" si="11"/>
        <v>243857</v>
      </c>
      <c r="Z30" s="784">
        <f t="shared" si="12"/>
        <v>258703</v>
      </c>
    </row>
    <row r="31" spans="1:26" ht="14.4">
      <c r="A31" s="233" t="s">
        <v>164</v>
      </c>
      <c r="B31" s="2999">
        <f t="shared" si="14"/>
        <v>218803</v>
      </c>
      <c r="C31" s="2999">
        <f t="shared" si="15"/>
        <v>218803</v>
      </c>
      <c r="D31" s="2999">
        <f t="shared" si="16"/>
        <v>231179</v>
      </c>
      <c r="E31" s="2999">
        <f t="shared" si="17"/>
        <v>236994</v>
      </c>
      <c r="F31" s="2999">
        <f t="shared" si="18"/>
        <v>237829</v>
      </c>
      <c r="G31" s="2999">
        <f t="shared" si="19"/>
        <v>251305</v>
      </c>
      <c r="H31" s="542"/>
      <c r="I31" s="542">
        <v>10</v>
      </c>
      <c r="J31" s="231">
        <f t="shared" si="7"/>
        <v>218803</v>
      </c>
      <c r="K31" s="231">
        <f t="shared" si="8"/>
        <v>231201</v>
      </c>
      <c r="L31" s="231">
        <f t="shared" si="9"/>
        <v>251305</v>
      </c>
      <c r="M31" s="231"/>
      <c r="N31" s="231"/>
      <c r="O31" s="233" t="s">
        <v>164</v>
      </c>
      <c r="P31" s="700">
        <v>218803</v>
      </c>
      <c r="Q31" s="236">
        <v>218803</v>
      </c>
      <c r="R31" s="236">
        <v>231179</v>
      </c>
      <c r="S31" s="239">
        <v>236994</v>
      </c>
      <c r="T31" s="602">
        <v>237829</v>
      </c>
      <c r="U31" s="247">
        <v>251305</v>
      </c>
      <c r="W31" s="754">
        <v>10</v>
      </c>
      <c r="X31" s="784">
        <f t="shared" si="10"/>
        <v>218803</v>
      </c>
      <c r="Y31" s="784">
        <f t="shared" si="11"/>
        <v>231201</v>
      </c>
      <c r="Z31" s="784">
        <f t="shared" si="12"/>
        <v>251305</v>
      </c>
    </row>
    <row r="32" spans="1:26" ht="14.4">
      <c r="A32" s="233" t="s">
        <v>165</v>
      </c>
      <c r="B32" s="2999">
        <f t="shared" si="14"/>
        <v>273982</v>
      </c>
      <c r="C32" s="2999">
        <f t="shared" si="15"/>
        <v>273982</v>
      </c>
      <c r="D32" s="2999">
        <f t="shared" si="16"/>
        <v>212356</v>
      </c>
      <c r="E32" s="2999">
        <f t="shared" si="17"/>
        <v>224819</v>
      </c>
      <c r="F32" s="2999">
        <f t="shared" si="18"/>
        <v>231123</v>
      </c>
      <c r="G32" s="2999">
        <f t="shared" si="19"/>
        <v>232503</v>
      </c>
      <c r="H32" s="542"/>
      <c r="I32" s="542">
        <v>11</v>
      </c>
      <c r="J32" s="231">
        <f t="shared" si="7"/>
        <v>273982</v>
      </c>
      <c r="K32" s="231">
        <f t="shared" si="8"/>
        <v>235570</v>
      </c>
      <c r="L32" s="231">
        <f t="shared" si="9"/>
        <v>232503</v>
      </c>
      <c r="M32" s="231"/>
      <c r="N32" s="231"/>
      <c r="O32" s="233" t="s">
        <v>165</v>
      </c>
      <c r="P32" s="700">
        <v>273982</v>
      </c>
      <c r="Q32" s="236">
        <v>273982</v>
      </c>
      <c r="R32" s="236">
        <v>212356</v>
      </c>
      <c r="S32" s="239">
        <v>224819</v>
      </c>
      <c r="T32" s="602">
        <v>231123</v>
      </c>
      <c r="U32" s="247">
        <v>232503</v>
      </c>
      <c r="W32" s="754">
        <v>11</v>
      </c>
      <c r="X32" s="784">
        <f t="shared" si="10"/>
        <v>273982</v>
      </c>
      <c r="Y32" s="784">
        <f t="shared" si="11"/>
        <v>235570</v>
      </c>
      <c r="Z32" s="784">
        <f t="shared" si="12"/>
        <v>232503</v>
      </c>
    </row>
    <row r="33" spans="1:26" ht="14.4">
      <c r="A33" s="233" t="s">
        <v>166</v>
      </c>
      <c r="B33" s="2999">
        <f t="shared" si="14"/>
        <v>332292</v>
      </c>
      <c r="C33" s="2999">
        <f t="shared" si="15"/>
        <v>332292</v>
      </c>
      <c r="D33" s="2999">
        <f t="shared" si="16"/>
        <v>264188</v>
      </c>
      <c r="E33" s="2999">
        <f t="shared" si="17"/>
        <v>204353</v>
      </c>
      <c r="F33" s="2999">
        <f t="shared" si="18"/>
        <v>217104</v>
      </c>
      <c r="G33" s="2999">
        <f t="shared" si="19"/>
        <v>223633</v>
      </c>
      <c r="H33" s="542"/>
      <c r="I33" s="542">
        <v>12</v>
      </c>
      <c r="J33" s="231">
        <f t="shared" si="7"/>
        <v>332292</v>
      </c>
      <c r="K33" s="231">
        <f t="shared" si="8"/>
        <v>254484</v>
      </c>
      <c r="L33" s="231">
        <f t="shared" si="9"/>
        <v>223633</v>
      </c>
      <c r="M33" s="231"/>
      <c r="N33" s="231"/>
      <c r="O33" s="233" t="s">
        <v>166</v>
      </c>
      <c r="P33" s="700">
        <v>332292</v>
      </c>
      <c r="Q33" s="236">
        <v>332292</v>
      </c>
      <c r="R33" s="236">
        <v>264188</v>
      </c>
      <c r="S33" s="239">
        <v>204353</v>
      </c>
      <c r="T33" s="602">
        <v>217104</v>
      </c>
      <c r="U33" s="247">
        <v>223633</v>
      </c>
      <c r="W33" s="754">
        <v>12</v>
      </c>
      <c r="X33" s="784">
        <f t="shared" si="10"/>
        <v>332292</v>
      </c>
      <c r="Y33" s="784">
        <f t="shared" si="11"/>
        <v>254484</v>
      </c>
      <c r="Z33" s="784">
        <f t="shared" si="12"/>
        <v>223633</v>
      </c>
    </row>
    <row r="34" spans="1:26" ht="14.4">
      <c r="A34" s="233" t="s">
        <v>167</v>
      </c>
      <c r="B34" s="2999">
        <f t="shared" si="14"/>
        <v>243584</v>
      </c>
      <c r="C34" s="2999">
        <f t="shared" si="15"/>
        <v>243584</v>
      </c>
      <c r="D34" s="2999">
        <f t="shared" si="16"/>
        <v>317019</v>
      </c>
      <c r="E34" s="2999">
        <f t="shared" si="17"/>
        <v>251407</v>
      </c>
      <c r="F34" s="2999">
        <f t="shared" si="18"/>
        <v>194962</v>
      </c>
      <c r="G34" s="2999">
        <f t="shared" si="19"/>
        <v>207661</v>
      </c>
      <c r="H34" s="542"/>
      <c r="I34" s="542">
        <v>13</v>
      </c>
      <c r="J34" s="231">
        <f t="shared" si="7"/>
        <v>243584</v>
      </c>
      <c r="K34" s="231">
        <f t="shared" si="8"/>
        <v>251743</v>
      </c>
      <c r="L34" s="231">
        <f t="shared" si="9"/>
        <v>207661</v>
      </c>
      <c r="M34" s="231"/>
      <c r="N34" s="231"/>
      <c r="O34" s="233" t="s">
        <v>167</v>
      </c>
      <c r="P34" s="700">
        <v>243584</v>
      </c>
      <c r="Q34" s="236">
        <v>243584</v>
      </c>
      <c r="R34" s="236">
        <v>317019</v>
      </c>
      <c r="S34" s="239">
        <v>251407</v>
      </c>
      <c r="T34" s="602">
        <v>194962</v>
      </c>
      <c r="U34" s="247">
        <v>207661</v>
      </c>
      <c r="W34" s="754">
        <v>13</v>
      </c>
      <c r="X34" s="784">
        <f t="shared" si="10"/>
        <v>243584</v>
      </c>
      <c r="Y34" s="784">
        <f t="shared" si="11"/>
        <v>251743</v>
      </c>
      <c r="Z34" s="784">
        <f t="shared" si="12"/>
        <v>207661</v>
      </c>
    </row>
    <row r="35" spans="1:26" ht="14.4">
      <c r="A35" s="233" t="s">
        <v>168</v>
      </c>
      <c r="B35" s="2999">
        <f t="shared" si="14"/>
        <v>188104</v>
      </c>
      <c r="C35" s="2999">
        <f t="shared" si="15"/>
        <v>188104</v>
      </c>
      <c r="D35" s="2999">
        <f t="shared" si="16"/>
        <v>226376</v>
      </c>
      <c r="E35" s="2999">
        <f t="shared" si="17"/>
        <v>297320</v>
      </c>
      <c r="F35" s="2999">
        <f t="shared" si="18"/>
        <v>236747</v>
      </c>
      <c r="G35" s="2999">
        <f t="shared" si="19"/>
        <v>183868</v>
      </c>
      <c r="H35" s="542"/>
      <c r="I35" s="542">
        <v>14</v>
      </c>
      <c r="J35" s="231">
        <f t="shared" si="7"/>
        <v>188104</v>
      </c>
      <c r="K35" s="231">
        <f t="shared" si="8"/>
        <v>237137</v>
      </c>
      <c r="L35" s="231">
        <f t="shared" si="9"/>
        <v>183868</v>
      </c>
      <c r="M35" s="231"/>
      <c r="N35" s="231"/>
      <c r="O35" s="233" t="s">
        <v>168</v>
      </c>
      <c r="P35" s="700">
        <v>188104</v>
      </c>
      <c r="Q35" s="236">
        <v>188104</v>
      </c>
      <c r="R35" s="236">
        <v>226376</v>
      </c>
      <c r="S35" s="239">
        <v>297320</v>
      </c>
      <c r="T35" s="602">
        <v>236747</v>
      </c>
      <c r="U35" s="247">
        <v>183868</v>
      </c>
      <c r="W35" s="754">
        <v>14</v>
      </c>
      <c r="X35" s="784">
        <f t="shared" si="10"/>
        <v>188104</v>
      </c>
      <c r="Y35" s="784">
        <f t="shared" si="11"/>
        <v>237137</v>
      </c>
      <c r="Z35" s="784">
        <f t="shared" si="12"/>
        <v>183868</v>
      </c>
    </row>
    <row r="36" spans="1:26" ht="14.4">
      <c r="A36" s="233" t="s">
        <v>169</v>
      </c>
      <c r="B36" s="2999">
        <f t="shared" si="14"/>
        <v>130230</v>
      </c>
      <c r="C36" s="2999">
        <f t="shared" si="15"/>
        <v>130230</v>
      </c>
      <c r="D36" s="2999">
        <f t="shared" si="16"/>
        <v>170527</v>
      </c>
      <c r="E36" s="2999">
        <f t="shared" si="17"/>
        <v>205627</v>
      </c>
      <c r="F36" s="2999">
        <f t="shared" si="18"/>
        <v>274622</v>
      </c>
      <c r="G36" s="2999">
        <f t="shared" si="19"/>
        <v>220093</v>
      </c>
      <c r="H36" s="542"/>
      <c r="I36" s="542">
        <v>15</v>
      </c>
      <c r="J36" s="231">
        <f t="shared" si="7"/>
        <v>130230</v>
      </c>
      <c r="K36" s="231">
        <f t="shared" si="8"/>
        <v>195252</v>
      </c>
      <c r="L36" s="231">
        <f t="shared" si="9"/>
        <v>220093</v>
      </c>
      <c r="M36" s="231"/>
      <c r="N36" s="231"/>
      <c r="O36" s="233" t="s">
        <v>169</v>
      </c>
      <c r="P36" s="700">
        <v>130230</v>
      </c>
      <c r="Q36" s="236">
        <v>130230</v>
      </c>
      <c r="R36" s="236">
        <v>170527</v>
      </c>
      <c r="S36" s="239">
        <v>205627</v>
      </c>
      <c r="T36" s="602">
        <v>274622</v>
      </c>
      <c r="U36" s="247">
        <v>220093</v>
      </c>
      <c r="W36" s="754">
        <v>15</v>
      </c>
      <c r="X36" s="784">
        <f t="shared" si="10"/>
        <v>130230</v>
      </c>
      <c r="Y36" s="784">
        <f t="shared" si="11"/>
        <v>195252</v>
      </c>
      <c r="Z36" s="784">
        <f t="shared" si="12"/>
        <v>220093</v>
      </c>
    </row>
    <row r="37" spans="1:26" ht="14.4">
      <c r="A37" s="233" t="s">
        <v>170</v>
      </c>
      <c r="B37" s="2999">
        <f t="shared" si="14"/>
        <v>116574</v>
      </c>
      <c r="C37" s="2999">
        <f t="shared" si="15"/>
        <v>116574</v>
      </c>
      <c r="D37" s="2999">
        <f t="shared" si="16"/>
        <v>115569</v>
      </c>
      <c r="E37" s="2999">
        <f t="shared" si="17"/>
        <v>150285</v>
      </c>
      <c r="F37" s="2999">
        <f t="shared" si="18"/>
        <v>182863</v>
      </c>
      <c r="G37" s="2999">
        <f t="shared" si="19"/>
        <v>250161</v>
      </c>
      <c r="H37" s="542"/>
      <c r="I37" s="542">
        <v>16</v>
      </c>
      <c r="J37" s="231">
        <f t="shared" si="7"/>
        <v>116574</v>
      </c>
      <c r="K37" s="231">
        <f t="shared" si="8"/>
        <v>141323</v>
      </c>
      <c r="L37" s="231">
        <f t="shared" si="9"/>
        <v>250161</v>
      </c>
      <c r="M37" s="231"/>
      <c r="N37" s="231"/>
      <c r="O37" s="233" t="s">
        <v>170</v>
      </c>
      <c r="P37" s="700">
        <v>116574</v>
      </c>
      <c r="Q37" s="236">
        <v>116574</v>
      </c>
      <c r="R37" s="236">
        <v>115569</v>
      </c>
      <c r="S37" s="239">
        <v>150285</v>
      </c>
      <c r="T37" s="602">
        <v>182863</v>
      </c>
      <c r="U37" s="247">
        <v>250161</v>
      </c>
      <c r="W37" s="754">
        <v>16</v>
      </c>
      <c r="X37" s="784">
        <f t="shared" si="10"/>
        <v>116574</v>
      </c>
      <c r="Y37" s="784">
        <f t="shared" si="11"/>
        <v>141323</v>
      </c>
      <c r="Z37" s="784">
        <f t="shared" si="12"/>
        <v>250161</v>
      </c>
    </row>
    <row r="38" spans="1:26" ht="14.4">
      <c r="A38" s="233" t="s">
        <v>171</v>
      </c>
      <c r="B38" s="2999">
        <f t="shared" si="14"/>
        <v>86355</v>
      </c>
      <c r="C38" s="2999">
        <f t="shared" si="15"/>
        <v>86355</v>
      </c>
      <c r="D38" s="2999">
        <f t="shared" si="16"/>
        <v>100296</v>
      </c>
      <c r="E38" s="2999">
        <f t="shared" si="17"/>
        <v>99317</v>
      </c>
      <c r="F38" s="2999">
        <f t="shared" si="18"/>
        <v>130320</v>
      </c>
      <c r="G38" s="2999">
        <f t="shared" si="19"/>
        <v>160783</v>
      </c>
      <c r="H38" s="542"/>
      <c r="I38" s="542">
        <v>17</v>
      </c>
      <c r="J38" s="231">
        <f t="shared" si="7"/>
        <v>86355</v>
      </c>
      <c r="K38" s="231">
        <f t="shared" si="8"/>
        <v>104072</v>
      </c>
      <c r="L38" s="231">
        <f t="shared" si="9"/>
        <v>160783</v>
      </c>
      <c r="M38" s="231"/>
      <c r="N38" s="231"/>
      <c r="O38" s="233" t="s">
        <v>171</v>
      </c>
      <c r="P38" s="700">
        <v>86355</v>
      </c>
      <c r="Q38" s="236">
        <v>86355</v>
      </c>
      <c r="R38" s="236">
        <v>100296</v>
      </c>
      <c r="S38" s="239">
        <v>99317</v>
      </c>
      <c r="T38" s="602">
        <v>130320</v>
      </c>
      <c r="U38" s="247">
        <v>160783</v>
      </c>
      <c r="W38" s="754">
        <v>17</v>
      </c>
      <c r="X38" s="784">
        <f t="shared" si="10"/>
        <v>86355</v>
      </c>
      <c r="Y38" s="784">
        <f t="shared" si="11"/>
        <v>104072</v>
      </c>
      <c r="Z38" s="784">
        <f t="shared" si="12"/>
        <v>160783</v>
      </c>
    </row>
    <row r="39" spans="1:26" ht="14.4">
      <c r="A39" s="233" t="s">
        <v>172</v>
      </c>
      <c r="B39" s="2999">
        <f t="shared" si="14"/>
        <v>64282</v>
      </c>
      <c r="C39" s="2999">
        <f t="shared" si="15"/>
        <v>64282</v>
      </c>
      <c r="D39" s="2999">
        <f t="shared" si="16"/>
        <v>71771</v>
      </c>
      <c r="E39" s="2999">
        <f t="shared" si="17"/>
        <v>83470</v>
      </c>
      <c r="F39" s="2999">
        <f t="shared" si="18"/>
        <v>83965</v>
      </c>
      <c r="G39" s="2999">
        <f t="shared" si="19"/>
        <v>111503</v>
      </c>
      <c r="H39" s="542"/>
      <c r="I39" s="542">
        <v>18</v>
      </c>
      <c r="J39" s="231">
        <f t="shared" si="7"/>
        <v>64282</v>
      </c>
      <c r="K39" s="231">
        <f t="shared" si="8"/>
        <v>75872</v>
      </c>
      <c r="L39" s="231">
        <f t="shared" si="9"/>
        <v>111503</v>
      </c>
      <c r="M39" s="231"/>
      <c r="N39" s="231"/>
      <c r="O39" s="233" t="s">
        <v>172</v>
      </c>
      <c r="P39" s="700">
        <v>64282</v>
      </c>
      <c r="Q39" s="236">
        <v>64282</v>
      </c>
      <c r="R39" s="236">
        <v>71771</v>
      </c>
      <c r="S39" s="239">
        <v>83470</v>
      </c>
      <c r="T39" s="602">
        <v>83965</v>
      </c>
      <c r="U39" s="247">
        <v>111503</v>
      </c>
      <c r="W39" s="754">
        <v>18</v>
      </c>
      <c r="X39" s="784">
        <f t="shared" si="10"/>
        <v>64282</v>
      </c>
      <c r="Y39" s="784">
        <f t="shared" si="11"/>
        <v>75872</v>
      </c>
      <c r="Z39" s="784">
        <f t="shared" si="12"/>
        <v>111503</v>
      </c>
    </row>
    <row r="40" spans="1:26" ht="14.4">
      <c r="A40" s="233" t="s">
        <v>173</v>
      </c>
      <c r="B40" s="2999">
        <f t="shared" si="14"/>
        <v>77581</v>
      </c>
      <c r="C40" s="2999">
        <f t="shared" si="15"/>
        <v>77581</v>
      </c>
      <c r="D40" s="2999">
        <f t="shared" si="16"/>
        <v>52986</v>
      </c>
      <c r="E40" s="2999">
        <f t="shared" si="17"/>
        <v>461602</v>
      </c>
      <c r="F40" s="2999">
        <f t="shared" si="18"/>
        <v>465288</v>
      </c>
      <c r="G40" s="2999">
        <f t="shared" si="19"/>
        <v>476109</v>
      </c>
      <c r="I40" s="542">
        <v>19</v>
      </c>
      <c r="J40" s="231">
        <f>B40</f>
        <v>77581</v>
      </c>
      <c r="K40" s="231">
        <f t="shared" si="8"/>
        <v>264364</v>
      </c>
      <c r="L40" s="231">
        <f t="shared" si="9"/>
        <v>476109</v>
      </c>
      <c r="M40" s="231"/>
      <c r="N40" s="231"/>
      <c r="O40" s="233" t="s">
        <v>173</v>
      </c>
      <c r="P40" s="700">
        <v>77581</v>
      </c>
      <c r="Q40" s="236">
        <v>77581</v>
      </c>
      <c r="R40" s="236">
        <v>52986</v>
      </c>
      <c r="S40" s="239">
        <v>461602</v>
      </c>
      <c r="T40" s="602">
        <v>465288</v>
      </c>
      <c r="U40" s="247">
        <v>476109</v>
      </c>
      <c r="W40" s="754">
        <v>19</v>
      </c>
      <c r="X40" s="784">
        <f t="shared" si="10"/>
        <v>77581</v>
      </c>
      <c r="Y40" s="784">
        <f t="shared" si="11"/>
        <v>264364</v>
      </c>
      <c r="Z40" s="784">
        <f t="shared" si="12"/>
        <v>476109</v>
      </c>
    </row>
    <row r="41" spans="1:26" ht="14.4">
      <c r="A41" s="233" t="s">
        <v>174</v>
      </c>
      <c r="B41" s="2999">
        <f t="shared" si="14"/>
        <v>416533</v>
      </c>
      <c r="C41" s="2999">
        <f t="shared" si="15"/>
        <v>0</v>
      </c>
      <c r="D41" s="2999">
        <f t="shared" si="16"/>
        <v>0</v>
      </c>
      <c r="E41" s="2999">
        <f t="shared" si="17"/>
        <v>0</v>
      </c>
      <c r="F41" s="2999">
        <f t="shared" si="18"/>
        <v>0</v>
      </c>
      <c r="G41" s="2999">
        <f t="shared" si="19"/>
        <v>0</v>
      </c>
      <c r="M41" s="231"/>
      <c r="N41" s="231"/>
      <c r="O41" s="233" t="s">
        <v>174</v>
      </c>
      <c r="P41" s="236">
        <v>416533</v>
      </c>
      <c r="Q41" s="236">
        <v>0</v>
      </c>
      <c r="R41" s="236">
        <v>0</v>
      </c>
      <c r="S41" s="236">
        <v>0</v>
      </c>
      <c r="T41" s="236">
        <v>0</v>
      </c>
      <c r="U41" s="247">
        <v>0</v>
      </c>
    </row>
    <row r="42" spans="1:26" ht="14.4">
      <c r="A42" s="233" t="s">
        <v>175</v>
      </c>
      <c r="B42" s="2999">
        <f t="shared" si="14"/>
        <v>416533</v>
      </c>
      <c r="C42" s="2999">
        <f t="shared" si="15"/>
        <v>0</v>
      </c>
      <c r="D42" s="2999">
        <f t="shared" si="16"/>
        <v>0</v>
      </c>
      <c r="E42" s="2999">
        <f t="shared" si="17"/>
        <v>0</v>
      </c>
      <c r="F42" s="2999">
        <f t="shared" si="18"/>
        <v>0</v>
      </c>
      <c r="G42" s="2999">
        <f t="shared" si="19"/>
        <v>0</v>
      </c>
      <c r="J42" s="231"/>
      <c r="K42" s="231"/>
      <c r="L42" s="231"/>
      <c r="M42" s="231"/>
      <c r="N42" s="231"/>
      <c r="O42" s="233" t="s">
        <v>175</v>
      </c>
      <c r="P42" s="236">
        <v>416533</v>
      </c>
      <c r="Q42" s="236">
        <v>0</v>
      </c>
      <c r="R42" s="236">
        <v>0</v>
      </c>
      <c r="S42" s="236">
        <v>0</v>
      </c>
      <c r="T42" s="236">
        <v>0</v>
      </c>
      <c r="U42" s="247">
        <v>0</v>
      </c>
      <c r="X42" s="784"/>
      <c r="Y42" s="784"/>
      <c r="Z42" s="784"/>
    </row>
    <row r="43" spans="1:26" ht="14.4">
      <c r="A43" s="233" t="s">
        <v>176</v>
      </c>
      <c r="B43" s="2999">
        <f t="shared" si="14"/>
        <v>0</v>
      </c>
      <c r="C43" s="2999">
        <f t="shared" si="15"/>
        <v>0</v>
      </c>
      <c r="D43" s="2999">
        <f t="shared" si="16"/>
        <v>0</v>
      </c>
      <c r="E43" s="2999">
        <f t="shared" si="17"/>
        <v>0</v>
      </c>
      <c r="F43" s="2999">
        <f t="shared" si="18"/>
        <v>0</v>
      </c>
      <c r="G43" s="2999">
        <f t="shared" si="19"/>
        <v>0</v>
      </c>
      <c r="J43" s="231"/>
      <c r="K43" s="231"/>
      <c r="L43" s="231"/>
      <c r="M43" s="231"/>
      <c r="N43" s="231"/>
      <c r="O43" s="233" t="s">
        <v>176</v>
      </c>
      <c r="P43" s="236">
        <v>0</v>
      </c>
      <c r="Q43" s="236">
        <v>0</v>
      </c>
      <c r="R43" s="236">
        <v>0</v>
      </c>
      <c r="S43" s="236">
        <v>0</v>
      </c>
      <c r="T43" s="236">
        <v>0</v>
      </c>
      <c r="U43" s="247">
        <v>0</v>
      </c>
      <c r="X43" s="784"/>
      <c r="Y43" s="784"/>
      <c r="Z43" s="784"/>
    </row>
    <row r="44" spans="1:26" ht="14.4">
      <c r="A44" s="233" t="s">
        <v>177</v>
      </c>
      <c r="B44" s="2999">
        <f t="shared" si="14"/>
        <v>0</v>
      </c>
      <c r="C44" s="2999">
        <f t="shared" si="15"/>
        <v>0</v>
      </c>
      <c r="D44" s="2999">
        <f t="shared" si="16"/>
        <v>0</v>
      </c>
      <c r="E44" s="2999">
        <f t="shared" si="17"/>
        <v>0</v>
      </c>
      <c r="F44" s="2999">
        <f t="shared" si="18"/>
        <v>0</v>
      </c>
      <c r="G44" s="2999">
        <f t="shared" si="19"/>
        <v>0</v>
      </c>
      <c r="J44" s="231"/>
      <c r="K44" s="231"/>
      <c r="L44" s="231"/>
      <c r="M44" s="231"/>
      <c r="N44" s="231"/>
      <c r="O44" s="233" t="s">
        <v>177</v>
      </c>
      <c r="P44" s="236">
        <v>0</v>
      </c>
      <c r="Q44" s="236">
        <v>0</v>
      </c>
      <c r="R44" s="236">
        <v>0</v>
      </c>
      <c r="S44" s="236">
        <v>0</v>
      </c>
      <c r="T44" s="236">
        <v>0</v>
      </c>
      <c r="U44" s="247">
        <v>0</v>
      </c>
      <c r="X44" s="784"/>
      <c r="Y44" s="784"/>
      <c r="Z44" s="784"/>
    </row>
    <row r="45" spans="1:26" ht="14.4">
      <c r="A45" s="233" t="s">
        <v>178</v>
      </c>
      <c r="B45" s="2999">
        <f t="shared" si="14"/>
        <v>0</v>
      </c>
      <c r="C45" s="2999">
        <f t="shared" si="15"/>
        <v>0</v>
      </c>
      <c r="D45" s="2999">
        <f t="shared" si="16"/>
        <v>0</v>
      </c>
      <c r="E45" s="2999">
        <f t="shared" si="17"/>
        <v>0</v>
      </c>
      <c r="F45" s="2999">
        <f t="shared" si="18"/>
        <v>0</v>
      </c>
      <c r="G45" s="2999">
        <f t="shared" si="19"/>
        <v>0</v>
      </c>
      <c r="J45" s="231"/>
      <c r="K45" s="231"/>
      <c r="L45" s="231"/>
      <c r="M45" s="231"/>
      <c r="N45" s="231"/>
      <c r="O45" s="233" t="s">
        <v>178</v>
      </c>
      <c r="P45" s="236">
        <v>0</v>
      </c>
      <c r="Q45" s="236">
        <v>0</v>
      </c>
      <c r="R45" s="236">
        <v>0</v>
      </c>
      <c r="S45" s="236">
        <v>0</v>
      </c>
      <c r="T45" s="236">
        <v>0</v>
      </c>
      <c r="U45" s="247">
        <v>0</v>
      </c>
      <c r="X45" s="784"/>
      <c r="Y45" s="784"/>
      <c r="Z45" s="784"/>
    </row>
    <row r="46" spans="1:26" ht="14.4">
      <c r="A46" s="233" t="s">
        <v>179</v>
      </c>
      <c r="B46" s="2999">
        <f t="shared" si="14"/>
        <v>0</v>
      </c>
      <c r="C46" s="2999">
        <f t="shared" si="15"/>
        <v>0</v>
      </c>
      <c r="D46" s="2999">
        <f t="shared" si="16"/>
        <v>0</v>
      </c>
      <c r="E46" s="2999">
        <f t="shared" si="17"/>
        <v>0</v>
      </c>
      <c r="F46" s="2999">
        <f t="shared" si="18"/>
        <v>0</v>
      </c>
      <c r="G46" s="2999">
        <f t="shared" si="19"/>
        <v>0</v>
      </c>
      <c r="J46" s="231"/>
      <c r="K46" s="231"/>
      <c r="L46" s="231"/>
      <c r="M46" s="231"/>
      <c r="N46" s="231"/>
      <c r="O46" s="233" t="s">
        <v>179</v>
      </c>
      <c r="P46" s="236">
        <v>0</v>
      </c>
      <c r="Q46" s="236">
        <v>0</v>
      </c>
      <c r="R46" s="236">
        <v>0</v>
      </c>
      <c r="S46" s="236">
        <v>0</v>
      </c>
      <c r="T46" s="236">
        <v>0</v>
      </c>
      <c r="U46" s="247">
        <v>0</v>
      </c>
      <c r="X46" s="784"/>
      <c r="Y46" s="784"/>
      <c r="Z46" s="784"/>
    </row>
    <row r="47" spans="1:26" ht="14.4">
      <c r="A47" s="233" t="s">
        <v>180</v>
      </c>
      <c r="B47" s="2999">
        <f t="shared" si="14"/>
        <v>0</v>
      </c>
      <c r="C47" s="2999">
        <f t="shared" si="15"/>
        <v>0</v>
      </c>
      <c r="D47" s="2999">
        <f t="shared" si="16"/>
        <v>0</v>
      </c>
      <c r="E47" s="2999">
        <f t="shared" si="17"/>
        <v>0</v>
      </c>
      <c r="F47" s="2999">
        <f t="shared" si="18"/>
        <v>0</v>
      </c>
      <c r="G47" s="2999">
        <f t="shared" si="19"/>
        <v>0</v>
      </c>
      <c r="J47" s="231"/>
      <c r="K47" s="231"/>
      <c r="L47" s="231"/>
      <c r="M47" s="231"/>
      <c r="N47" s="231"/>
      <c r="O47" s="233" t="s">
        <v>180</v>
      </c>
      <c r="P47" s="236">
        <v>0</v>
      </c>
      <c r="Q47" s="236">
        <v>0</v>
      </c>
      <c r="R47" s="236">
        <v>0</v>
      </c>
      <c r="S47" s="236">
        <v>0</v>
      </c>
      <c r="T47" s="236">
        <v>0</v>
      </c>
      <c r="U47" s="247">
        <v>0</v>
      </c>
      <c r="X47" s="784"/>
      <c r="Y47" s="784"/>
      <c r="Z47" s="784"/>
    </row>
    <row r="48" spans="1:26">
      <c r="A48" s="233" t="s">
        <v>181</v>
      </c>
      <c r="B48" s="698">
        <f t="shared" ref="B48:G48" si="20">SUMPRODUCT(B22:B40,$I$22:$I$40)/SUM(B22:B40)</f>
        <v>8.6948177803115314</v>
      </c>
      <c r="C48" s="698">
        <f t="shared" si="20"/>
        <v>8.6956190290490039</v>
      </c>
      <c r="D48" s="698">
        <f t="shared" si="20"/>
        <v>8.7255238795310088</v>
      </c>
      <c r="E48" s="698">
        <f t="shared" si="20"/>
        <v>9.7782292519270726</v>
      </c>
      <c r="F48" s="698">
        <f t="shared" si="20"/>
        <v>9.8739105414409671</v>
      </c>
      <c r="G48" s="699">
        <f t="shared" si="20"/>
        <v>9.9228594825226821</v>
      </c>
      <c r="J48" s="231">
        <f>B48</f>
        <v>8.6948177803115314</v>
      </c>
      <c r="K48" s="231">
        <f>ROUND(AVERAGE(C48:F48),0)</f>
        <v>9</v>
      </c>
      <c r="L48" s="231">
        <f>G48</f>
        <v>9.9228594825226821</v>
      </c>
      <c r="M48" s="231"/>
      <c r="N48" s="231"/>
      <c r="O48" s="233" t="s">
        <v>181</v>
      </c>
      <c r="P48" s="698">
        <f t="shared" ref="P48:U48" si="21">SUMPRODUCT(P22:P40,$W$22:$W$40)/SUM(P22:P40)</f>
        <v>8.6948177803115314</v>
      </c>
      <c r="Q48" s="698">
        <f t="shared" si="21"/>
        <v>8.6956190290490039</v>
      </c>
      <c r="R48" s="698">
        <f t="shared" si="21"/>
        <v>8.7255238795310088</v>
      </c>
      <c r="S48" s="698">
        <f t="shared" si="21"/>
        <v>9.7782292519270726</v>
      </c>
      <c r="T48" s="698">
        <f t="shared" si="21"/>
        <v>9.8739105414409671</v>
      </c>
      <c r="U48" s="699">
        <f t="shared" si="21"/>
        <v>9.9228594825226821</v>
      </c>
      <c r="X48" s="784">
        <f>P48</f>
        <v>8.6948177803115314</v>
      </c>
      <c r="Y48" s="784">
        <f>ROUND(AVERAGE(Q48:T48),0)</f>
        <v>9</v>
      </c>
      <c r="Z48" s="784">
        <f>U48</f>
        <v>9.9228594825226821</v>
      </c>
    </row>
    <row r="49" spans="1:26">
      <c r="A49" s="471"/>
      <c r="B49" s="234"/>
      <c r="C49" s="234"/>
      <c r="D49" s="234"/>
      <c r="E49" s="234"/>
      <c r="F49" s="234"/>
      <c r="G49" s="235"/>
      <c r="O49" s="471"/>
      <c r="P49" s="234"/>
      <c r="Q49" s="234"/>
      <c r="R49" s="234"/>
      <c r="S49" s="234"/>
      <c r="T49" s="234"/>
      <c r="U49" s="235"/>
    </row>
    <row r="50" spans="1:26">
      <c r="A50" s="242" t="s">
        <v>182</v>
      </c>
      <c r="B50" s="404"/>
      <c r="C50" s="404"/>
      <c r="D50" s="404"/>
      <c r="E50" s="404"/>
      <c r="F50" s="404"/>
      <c r="G50" s="405"/>
      <c r="O50" s="242" t="s">
        <v>182</v>
      </c>
      <c r="P50" s="404"/>
      <c r="Q50" s="404"/>
      <c r="R50" s="404"/>
      <c r="S50" s="404"/>
      <c r="T50" s="404"/>
      <c r="U50" s="405"/>
    </row>
    <row r="51" spans="1:26">
      <c r="A51" s="471" t="s">
        <v>608</v>
      </c>
      <c r="B51" s="232"/>
      <c r="O51" s="471" t="s">
        <v>608</v>
      </c>
      <c r="P51" s="548"/>
    </row>
    <row r="52" spans="1:26" s="542" customFormat="1">
      <c r="A52" s="606"/>
      <c r="B52" s="548"/>
      <c r="O52" s="606"/>
      <c r="P52" s="548"/>
      <c r="Q52" s="754"/>
      <c r="R52" s="754"/>
      <c r="S52" s="754"/>
      <c r="T52" s="754"/>
      <c r="U52" s="754"/>
      <c r="V52" s="754"/>
      <c r="W52" s="754"/>
      <c r="X52" s="754"/>
      <c r="Y52" s="754"/>
      <c r="Z52" s="754"/>
    </row>
    <row r="53" spans="1:26">
      <c r="A53" s="288" t="s">
        <v>575</v>
      </c>
      <c r="B53" s="603" t="s">
        <v>606</v>
      </c>
      <c r="O53" s="288" t="s">
        <v>575</v>
      </c>
      <c r="P53" s="603" t="s">
        <v>606</v>
      </c>
    </row>
    <row r="54" spans="1:26">
      <c r="A54" s="3139" t="s">
        <v>572</v>
      </c>
      <c r="B54" s="3140"/>
      <c r="C54" s="3140"/>
      <c r="D54" s="3140"/>
      <c r="E54" s="3140"/>
      <c r="F54" s="469"/>
      <c r="G54" s="702"/>
      <c r="O54" s="3143" t="s">
        <v>572</v>
      </c>
      <c r="P54" s="3144"/>
      <c r="Q54" s="3144"/>
      <c r="R54" s="3144"/>
      <c r="S54" s="3144"/>
      <c r="T54" s="2993"/>
      <c r="U54" s="2994"/>
    </row>
    <row r="55" spans="1:26">
      <c r="A55" s="233"/>
      <c r="B55" s="234">
        <v>2010</v>
      </c>
      <c r="C55" s="234">
        <v>2011</v>
      </c>
      <c r="D55" s="234">
        <v>2012</v>
      </c>
      <c r="E55" s="234">
        <v>2013</v>
      </c>
      <c r="F55" s="234">
        <v>2014</v>
      </c>
      <c r="G55" s="235">
        <v>2015</v>
      </c>
      <c r="O55" s="233"/>
      <c r="P55" s="234">
        <v>2010</v>
      </c>
      <c r="Q55" s="234">
        <v>2011</v>
      </c>
      <c r="R55" s="234">
        <v>2012</v>
      </c>
      <c r="S55" s="234">
        <v>2013</v>
      </c>
      <c r="T55" s="234">
        <v>2014</v>
      </c>
      <c r="U55" s="235">
        <v>2015</v>
      </c>
    </row>
    <row r="56" spans="1:26">
      <c r="A56" s="233"/>
      <c r="B56" s="234"/>
      <c r="C56" s="234"/>
      <c r="D56" s="234"/>
      <c r="E56" s="234"/>
      <c r="F56" s="234"/>
      <c r="G56" s="235"/>
      <c r="O56" s="233"/>
      <c r="P56" s="234"/>
      <c r="Q56" s="234"/>
      <c r="R56" s="234"/>
      <c r="S56" s="234"/>
      <c r="T56" s="234"/>
      <c r="U56" s="235"/>
    </row>
    <row r="57" spans="1:26">
      <c r="A57" s="233" t="s">
        <v>183</v>
      </c>
      <c r="B57" s="234">
        <f t="shared" ref="B57:G57" si="22">SUM(B58:B65)</f>
        <v>4335152</v>
      </c>
      <c r="C57" s="234">
        <f t="shared" si="22"/>
        <v>4335152</v>
      </c>
      <c r="D57" s="234">
        <f t="shared" si="22"/>
        <v>4495422</v>
      </c>
      <c r="E57" s="234">
        <f t="shared" si="22"/>
        <v>4495422</v>
      </c>
      <c r="F57" s="234">
        <f t="shared" si="22"/>
        <v>4582524</v>
      </c>
      <c r="G57" s="235">
        <f t="shared" si="22"/>
        <v>4665868</v>
      </c>
      <c r="N57" s="231"/>
      <c r="O57" s="233" t="s">
        <v>183</v>
      </c>
      <c r="P57" s="234">
        <f t="shared" ref="P57:U57" si="23">SUM(P58:P65)</f>
        <v>4335152</v>
      </c>
      <c r="Q57" s="234">
        <f t="shared" si="23"/>
        <v>4335152</v>
      </c>
      <c r="R57" s="234">
        <f t="shared" si="23"/>
        <v>4495422</v>
      </c>
      <c r="S57" s="234">
        <f t="shared" si="23"/>
        <v>4495422</v>
      </c>
      <c r="T57" s="234">
        <f t="shared" si="23"/>
        <v>4582524</v>
      </c>
      <c r="U57" s="235">
        <f t="shared" si="23"/>
        <v>4665868</v>
      </c>
    </row>
    <row r="58" spans="1:26" ht="14.4">
      <c r="A58" s="233" t="s">
        <v>184</v>
      </c>
      <c r="B58" s="2999">
        <f t="shared" ref="B58:G58" si="24">P58*$K$1</f>
        <v>3479591</v>
      </c>
      <c r="C58" s="2999">
        <f t="shared" si="24"/>
        <v>3479591</v>
      </c>
      <c r="D58" s="2999">
        <f t="shared" si="24"/>
        <v>3130130</v>
      </c>
      <c r="E58" s="2999">
        <f t="shared" si="24"/>
        <v>3130130</v>
      </c>
      <c r="F58" s="2999">
        <f t="shared" si="24"/>
        <v>3047171</v>
      </c>
      <c r="G58" s="2999">
        <f t="shared" si="24"/>
        <v>2956656</v>
      </c>
      <c r="N58" s="231"/>
      <c r="O58" s="233" t="s">
        <v>184</v>
      </c>
      <c r="P58" s="703">
        <v>3479591</v>
      </c>
      <c r="Q58" s="703">
        <f>P58</f>
        <v>3479591</v>
      </c>
      <c r="R58" s="703">
        <f>S58</f>
        <v>3130130</v>
      </c>
      <c r="S58" s="703">
        <v>3130130</v>
      </c>
      <c r="T58" s="234">
        <v>3047171</v>
      </c>
      <c r="U58" s="705">
        <v>2956656</v>
      </c>
    </row>
    <row r="59" spans="1:26" ht="14.4">
      <c r="A59" s="233" t="s">
        <v>61</v>
      </c>
      <c r="B59" s="2999">
        <f t="shared" ref="B59:B65" si="25">P59*$K$1</f>
        <v>606558.99999999988</v>
      </c>
      <c r="C59" s="2999">
        <f t="shared" ref="C59:C65" si="26">Q59*$K$1</f>
        <v>606558.99999999988</v>
      </c>
      <c r="D59" s="2999">
        <f t="shared" ref="D59:D65" si="27">R59*$K$1</f>
        <v>1068006.9999999998</v>
      </c>
      <c r="E59" s="2999">
        <f t="shared" ref="E59:E65" si="28">S59*$K$1</f>
        <v>1068006.9999999998</v>
      </c>
      <c r="F59" s="2999">
        <f t="shared" ref="F59:F65" si="29">T59*$K$1</f>
        <v>1223544</v>
      </c>
      <c r="G59" s="2999">
        <f t="shared" ref="G59:G65" si="30">U59*$K$1</f>
        <v>1381036</v>
      </c>
      <c r="N59" s="231"/>
      <c r="O59" s="233" t="s">
        <v>61</v>
      </c>
      <c r="P59" s="703">
        <v>606558.99999999988</v>
      </c>
      <c r="Q59" s="703">
        <f t="shared" ref="Q59:Q65" si="31">P59</f>
        <v>606558.99999999988</v>
      </c>
      <c r="R59" s="703">
        <f t="shared" ref="R59:R65" si="32">S59</f>
        <v>1068006.9999999998</v>
      </c>
      <c r="S59" s="703">
        <v>1068006.9999999998</v>
      </c>
      <c r="T59" s="234">
        <v>1223544</v>
      </c>
      <c r="U59" s="705">
        <v>1381036</v>
      </c>
    </row>
    <row r="60" spans="1:26" ht="14.4">
      <c r="A60" s="233" t="s">
        <v>51</v>
      </c>
      <c r="B60" s="2999">
        <f t="shared" si="25"/>
        <v>0</v>
      </c>
      <c r="C60" s="2999">
        <f t="shared" si="26"/>
        <v>0</v>
      </c>
      <c r="D60" s="2999">
        <f t="shared" si="27"/>
        <v>0</v>
      </c>
      <c r="E60" s="2999">
        <f t="shared" si="28"/>
        <v>0</v>
      </c>
      <c r="F60" s="2999">
        <f t="shared" si="29"/>
        <v>0</v>
      </c>
      <c r="G60" s="2999">
        <f t="shared" si="30"/>
        <v>0</v>
      </c>
      <c r="N60" s="231"/>
      <c r="O60" s="233" t="s">
        <v>51</v>
      </c>
      <c r="P60" s="703">
        <v>0</v>
      </c>
      <c r="Q60" s="703">
        <f t="shared" si="31"/>
        <v>0</v>
      </c>
      <c r="R60" s="703">
        <f t="shared" si="32"/>
        <v>0</v>
      </c>
      <c r="S60" s="703">
        <v>0</v>
      </c>
      <c r="T60" s="703">
        <v>0</v>
      </c>
      <c r="U60" s="705">
        <v>0</v>
      </c>
    </row>
    <row r="61" spans="1:26" ht="14.4">
      <c r="A61" s="233" t="s">
        <v>185</v>
      </c>
      <c r="B61" s="2999">
        <f t="shared" si="25"/>
        <v>24973</v>
      </c>
      <c r="C61" s="2999">
        <f t="shared" si="26"/>
        <v>24973</v>
      </c>
      <c r="D61" s="2999">
        <f t="shared" si="27"/>
        <v>37327</v>
      </c>
      <c r="E61" s="2999">
        <f t="shared" si="28"/>
        <v>37327</v>
      </c>
      <c r="F61" s="2999">
        <f t="shared" si="29"/>
        <v>40078</v>
      </c>
      <c r="G61" s="2999">
        <f t="shared" si="30"/>
        <v>42648</v>
      </c>
      <c r="N61" s="231"/>
      <c r="O61" s="233" t="s">
        <v>185</v>
      </c>
      <c r="P61" s="703">
        <v>24973</v>
      </c>
      <c r="Q61" s="703">
        <f t="shared" si="31"/>
        <v>24973</v>
      </c>
      <c r="R61" s="703">
        <f t="shared" si="32"/>
        <v>37327</v>
      </c>
      <c r="S61" s="703">
        <v>37327</v>
      </c>
      <c r="T61" s="234">
        <v>40078</v>
      </c>
      <c r="U61" s="705">
        <v>42648</v>
      </c>
    </row>
    <row r="62" spans="1:26" ht="14.4">
      <c r="A62" s="233" t="s">
        <v>49</v>
      </c>
      <c r="B62" s="2999">
        <f t="shared" si="25"/>
        <v>190</v>
      </c>
      <c r="C62" s="2999">
        <f t="shared" si="26"/>
        <v>190</v>
      </c>
      <c r="D62" s="2999">
        <f>R62*$K$1</f>
        <v>31004</v>
      </c>
      <c r="E62" s="2999">
        <f t="shared" si="28"/>
        <v>31004</v>
      </c>
      <c r="F62" s="2999">
        <f t="shared" si="29"/>
        <v>42000</v>
      </c>
      <c r="G62" s="2999">
        <f t="shared" si="30"/>
        <v>57245</v>
      </c>
      <c r="N62" s="231"/>
      <c r="O62" s="233" t="s">
        <v>49</v>
      </c>
      <c r="P62" s="703">
        <v>190</v>
      </c>
      <c r="Q62" s="703">
        <f t="shared" si="31"/>
        <v>190</v>
      </c>
      <c r="R62" s="703">
        <f t="shared" si="32"/>
        <v>31004</v>
      </c>
      <c r="S62" s="703">
        <v>31004</v>
      </c>
      <c r="T62" s="234">
        <v>42000</v>
      </c>
      <c r="U62" s="705">
        <v>57245</v>
      </c>
    </row>
    <row r="63" spans="1:26" ht="14.4">
      <c r="A63" s="471" t="s">
        <v>73</v>
      </c>
      <c r="B63" s="2999">
        <f t="shared" si="25"/>
        <v>0</v>
      </c>
      <c r="C63" s="2999">
        <f t="shared" si="26"/>
        <v>0</v>
      </c>
      <c r="D63" s="2999">
        <f t="shared" si="27"/>
        <v>0</v>
      </c>
      <c r="E63" s="2999">
        <f t="shared" si="28"/>
        <v>0</v>
      </c>
      <c r="F63" s="2999">
        <f t="shared" si="29"/>
        <v>0</v>
      </c>
      <c r="G63" s="2999">
        <f t="shared" si="30"/>
        <v>0</v>
      </c>
      <c r="N63" s="231"/>
      <c r="O63" s="471" t="s">
        <v>73</v>
      </c>
      <c r="P63" s="703">
        <v>0</v>
      </c>
      <c r="Q63" s="703">
        <f t="shared" si="31"/>
        <v>0</v>
      </c>
      <c r="R63" s="703">
        <f t="shared" si="32"/>
        <v>0</v>
      </c>
      <c r="S63" s="703">
        <v>0</v>
      </c>
      <c r="T63" s="703">
        <v>0</v>
      </c>
      <c r="U63" s="705">
        <v>0</v>
      </c>
    </row>
    <row r="64" spans="1:26" ht="14.4">
      <c r="A64" s="471" t="s">
        <v>607</v>
      </c>
      <c r="B64" s="2999">
        <f t="shared" si="25"/>
        <v>223802</v>
      </c>
      <c r="C64" s="2999">
        <f t="shared" si="26"/>
        <v>223802</v>
      </c>
      <c r="D64" s="2999">
        <f t="shared" si="27"/>
        <v>228725</v>
      </c>
      <c r="E64" s="2999">
        <f t="shared" si="28"/>
        <v>228725</v>
      </c>
      <c r="F64" s="2999">
        <f t="shared" si="29"/>
        <v>229464.00000000003</v>
      </c>
      <c r="G64" s="2999">
        <f t="shared" si="30"/>
        <v>228020</v>
      </c>
      <c r="O64" s="471" t="s">
        <v>607</v>
      </c>
      <c r="P64" s="704">
        <v>223802</v>
      </c>
      <c r="Q64" s="703">
        <f t="shared" si="31"/>
        <v>223802</v>
      </c>
      <c r="R64" s="703">
        <f t="shared" si="32"/>
        <v>228725</v>
      </c>
      <c r="S64" s="704">
        <v>228725</v>
      </c>
      <c r="T64" s="234">
        <v>229464.00000000003</v>
      </c>
      <c r="U64" s="711">
        <v>228020</v>
      </c>
    </row>
    <row r="65" spans="1:84" ht="14.4">
      <c r="A65" s="233" t="s">
        <v>261</v>
      </c>
      <c r="B65" s="2999">
        <f t="shared" si="25"/>
        <v>36.999999999999993</v>
      </c>
      <c r="C65" s="2999">
        <f t="shared" si="26"/>
        <v>36.999999999999993</v>
      </c>
      <c r="D65" s="2999">
        <f t="shared" si="27"/>
        <v>229</v>
      </c>
      <c r="E65" s="2999">
        <f t="shared" si="28"/>
        <v>229</v>
      </c>
      <c r="F65" s="2999">
        <f t="shared" si="29"/>
        <v>267</v>
      </c>
      <c r="G65" s="2999">
        <f t="shared" si="30"/>
        <v>263</v>
      </c>
      <c r="O65" s="233" t="s">
        <v>261</v>
      </c>
      <c r="P65" s="703">
        <v>36.999999999999993</v>
      </c>
      <c r="Q65" s="703">
        <f t="shared" si="31"/>
        <v>36.999999999999993</v>
      </c>
      <c r="R65" s="703">
        <f t="shared" si="32"/>
        <v>229</v>
      </c>
      <c r="S65" s="703">
        <v>229</v>
      </c>
      <c r="T65" s="234">
        <v>267</v>
      </c>
      <c r="U65" s="705">
        <v>263</v>
      </c>
    </row>
    <row r="66" spans="1:84">
      <c r="A66" s="242" t="s">
        <v>182</v>
      </c>
      <c r="B66" s="404"/>
      <c r="C66" s="404"/>
      <c r="D66" s="404"/>
      <c r="E66" s="404"/>
      <c r="F66" s="404"/>
      <c r="G66" s="706"/>
      <c r="I66" s="3"/>
      <c r="O66" s="242" t="s">
        <v>182</v>
      </c>
      <c r="P66" s="404"/>
      <c r="Q66" s="404"/>
      <c r="R66" s="404"/>
      <c r="S66" s="404"/>
      <c r="T66" s="404"/>
      <c r="U66" s="706"/>
      <c r="W66" s="3"/>
    </row>
    <row r="67" spans="1:84">
      <c r="I67" s="249"/>
      <c r="W67" s="249"/>
    </row>
    <row r="68" spans="1:84">
      <c r="I68" s="468"/>
      <c r="W68" s="765"/>
    </row>
    <row r="69" spans="1:84" ht="14.4">
      <c r="C69" s="419"/>
      <c r="I69" s="249"/>
      <c r="Q69" s="419"/>
      <c r="W69" s="249"/>
      <c r="AA69" s="607"/>
      <c r="AB69" s="607"/>
      <c r="AC69" s="607"/>
      <c r="AD69" s="607"/>
      <c r="AE69" s="607"/>
      <c r="AF69" s="607"/>
      <c r="AG69" s="607"/>
      <c r="AH69" s="607"/>
      <c r="AI69" s="607"/>
      <c r="AJ69" s="607"/>
      <c r="AK69" s="607"/>
      <c r="AL69" s="607"/>
      <c r="AM69" s="607"/>
      <c r="AN69" s="607"/>
      <c r="AO69" s="607"/>
      <c r="AP69" s="607"/>
      <c r="AQ69" s="607"/>
      <c r="AR69" s="607"/>
      <c r="AS69" s="607"/>
      <c r="AT69" s="607"/>
      <c r="AU69" s="607"/>
      <c r="AV69" s="607"/>
      <c r="AW69" s="607"/>
      <c r="AX69" s="607"/>
      <c r="AY69" s="607"/>
      <c r="AZ69" s="607"/>
      <c r="BA69" s="607"/>
      <c r="BB69" s="607"/>
      <c r="BC69" s="607"/>
      <c r="BD69" s="607"/>
      <c r="BE69" s="607"/>
      <c r="BF69" s="607"/>
      <c r="BG69" s="607"/>
      <c r="BH69" s="607"/>
      <c r="BI69" s="607"/>
      <c r="BJ69" s="607"/>
      <c r="BK69" s="607"/>
      <c r="BL69" s="607"/>
      <c r="BM69" s="607"/>
      <c r="BN69" s="607"/>
      <c r="BO69" s="607"/>
      <c r="BP69" s="607"/>
      <c r="BQ69" s="607"/>
      <c r="BR69" s="607"/>
      <c r="BS69" s="607"/>
      <c r="BT69" s="607"/>
      <c r="BU69" s="607"/>
      <c r="BV69" s="607"/>
      <c r="BW69" s="607"/>
      <c r="BX69" s="607"/>
      <c r="BY69" s="607"/>
      <c r="BZ69" s="607"/>
      <c r="CA69" s="607"/>
      <c r="CB69" s="607"/>
      <c r="CC69" s="607"/>
      <c r="CD69" s="607"/>
      <c r="CE69" s="607"/>
    </row>
    <row r="70" spans="1:84">
      <c r="AA70" s="608"/>
      <c r="AB70" s="608"/>
      <c r="AC70" s="608"/>
      <c r="AD70" s="608"/>
      <c r="AE70" s="608"/>
      <c r="AF70" s="608"/>
      <c r="AG70" s="608"/>
      <c r="AH70" s="608"/>
      <c r="AI70" s="608"/>
      <c r="AJ70" s="608"/>
      <c r="AK70" s="608"/>
      <c r="AL70" s="608"/>
      <c r="AM70" s="608"/>
      <c r="AN70" s="608"/>
      <c r="AO70" s="608"/>
      <c r="AP70" s="608"/>
      <c r="AQ70" s="608"/>
      <c r="AR70" s="608"/>
      <c r="AS70" s="608"/>
      <c r="AT70" s="608"/>
      <c r="AU70" s="608"/>
      <c r="AV70" s="608"/>
      <c r="AW70" s="608"/>
      <c r="AX70" s="608"/>
      <c r="AY70" s="608"/>
      <c r="AZ70" s="608"/>
      <c r="BA70" s="608"/>
      <c r="BB70" s="608"/>
      <c r="BC70" s="608"/>
      <c r="BD70" s="608"/>
      <c r="BE70" s="608"/>
      <c r="BF70" s="608"/>
      <c r="BG70" s="608"/>
      <c r="BH70" s="608"/>
      <c r="BI70" s="608"/>
      <c r="BJ70" s="608"/>
      <c r="BK70" s="608"/>
      <c r="BL70" s="608"/>
      <c r="BM70" s="608"/>
      <c r="BN70" s="608"/>
      <c r="BO70" s="608"/>
      <c r="BP70" s="608"/>
      <c r="BQ70" s="608"/>
      <c r="BR70" s="608"/>
      <c r="BS70" s="608"/>
      <c r="BT70" s="608"/>
      <c r="BU70" s="608"/>
      <c r="BV70" s="608"/>
      <c r="BW70" s="608"/>
      <c r="BX70" s="608"/>
      <c r="BY70" s="608"/>
      <c r="BZ70" s="608"/>
      <c r="CA70" s="608"/>
      <c r="CB70" s="608"/>
      <c r="CC70" s="608"/>
      <c r="CD70" s="608"/>
      <c r="CE70" s="608"/>
      <c r="CF70" s="608"/>
    </row>
    <row r="71" spans="1:84">
      <c r="AM71">
        <f>SUM(AN70:AY70)</f>
        <v>0</v>
      </c>
    </row>
  </sheetData>
  <mergeCells count="6">
    <mergeCell ref="A3:E3"/>
    <mergeCell ref="A18:E18"/>
    <mergeCell ref="A54:E54"/>
    <mergeCell ref="O3:S3"/>
    <mergeCell ref="O18:S18"/>
    <mergeCell ref="O54:S54"/>
  </mergeCells>
  <hyperlinks>
    <hyperlink ref="B53" r:id="rId1" xr:uid="{00000000-0004-0000-1900-000000000000}"/>
    <hyperlink ref="B17" r:id="rId2" xr:uid="{00000000-0004-0000-1900-000001000000}"/>
    <hyperlink ref="P53" r:id="rId3" xr:uid="{00000000-0004-0000-1900-000002000000}"/>
    <hyperlink ref="P17" r:id="rId4" xr:uid="{00000000-0004-0000-1900-000003000000}"/>
  </hyperlinks>
  <pageMargins left="0.7" right="0.7" top="0.75" bottom="0.75" header="0.3" footer="0.3"/>
  <pageSetup paperSize="9" orientation="portrait"/>
  <ignoredErrors>
    <ignoredError sqref="J7 J8:J10" formulaRange="1"/>
  </ignoredErrors>
  <legacyDrawing r:id="rId5"/>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A00-000000000000}">
  <sheetPr codeName="Sheet2">
    <tabColor rgb="FF00B0F0"/>
  </sheetPr>
  <dimension ref="B6:AJ88"/>
  <sheetViews>
    <sheetView topLeftCell="A49" zoomScaleNormal="100" workbookViewId="0">
      <selection activeCell="J67" sqref="J67"/>
    </sheetView>
  </sheetViews>
  <sheetFormatPr defaultRowHeight="13.2"/>
  <cols>
    <col min="4" max="4" width="13.44140625" customWidth="1"/>
    <col min="5" max="6" width="10.88671875" bestFit="1" customWidth="1"/>
    <col min="16" max="16" width="11.6640625" customWidth="1"/>
    <col min="17" max="17" width="11.33203125" customWidth="1"/>
    <col min="28" max="28" width="19" customWidth="1"/>
    <col min="29" max="29" width="16.44140625" customWidth="1"/>
  </cols>
  <sheetData>
    <row r="6" spans="2:23" ht="17.399999999999999">
      <c r="D6" s="472" t="s">
        <v>503</v>
      </c>
      <c r="E6" s="473"/>
      <c r="F6" s="473"/>
      <c r="G6" s="473"/>
      <c r="H6" s="473"/>
      <c r="I6" s="473"/>
      <c r="J6" s="473"/>
      <c r="K6" s="473"/>
      <c r="L6" s="473"/>
      <c r="M6" s="473"/>
      <c r="N6" s="473"/>
      <c r="O6" s="473"/>
      <c r="P6" s="473"/>
    </row>
    <row r="7" spans="2:23">
      <c r="B7" s="754"/>
      <c r="D7" s="475"/>
      <c r="E7" s="475"/>
      <c r="F7" s="475"/>
      <c r="G7" s="475"/>
      <c r="H7" s="475"/>
      <c r="I7" s="475"/>
      <c r="M7" s="475"/>
      <c r="N7" s="475"/>
      <c r="O7" s="475"/>
      <c r="P7" s="475"/>
      <c r="Q7" s="475"/>
      <c r="R7" s="475"/>
    </row>
    <row r="8" spans="2:23">
      <c r="D8" s="3145" t="s">
        <v>504</v>
      </c>
      <c r="E8" s="3145"/>
      <c r="F8" s="3145"/>
      <c r="G8" s="3145"/>
      <c r="H8" s="3145"/>
      <c r="I8" s="3145"/>
      <c r="J8" s="3145"/>
      <c r="K8" s="3145"/>
      <c r="L8" s="3145"/>
      <c r="M8" s="3145"/>
      <c r="N8" s="3145"/>
      <c r="O8" s="3145"/>
      <c r="P8" s="3145"/>
      <c r="Q8" s="475"/>
      <c r="R8" s="475"/>
    </row>
    <row r="9" spans="2:23">
      <c r="D9" s="3145"/>
      <c r="E9" s="3145"/>
      <c r="F9" s="3145"/>
      <c r="G9" s="3145"/>
      <c r="H9" s="3145"/>
      <c r="I9" s="3145"/>
      <c r="J9" s="3145"/>
      <c r="K9" s="3145"/>
      <c r="L9" s="3145"/>
      <c r="M9" s="3145"/>
      <c r="N9" s="3145"/>
      <c r="O9" s="3145"/>
      <c r="P9" s="3145"/>
      <c r="Q9" s="475"/>
      <c r="R9" s="475"/>
    </row>
    <row r="10" spans="2:23">
      <c r="D10" s="475"/>
      <c r="E10" s="475"/>
      <c r="F10" s="475"/>
      <c r="G10" s="475"/>
      <c r="H10" s="475"/>
      <c r="I10" s="475"/>
      <c r="O10" s="475"/>
      <c r="P10" s="475"/>
      <c r="Q10" s="475"/>
      <c r="R10" s="704" t="s">
        <v>642</v>
      </c>
    </row>
    <row r="11" spans="2:23" ht="13.8" thickBot="1">
      <c r="D11" s="474" t="s">
        <v>505</v>
      </c>
      <c r="E11" s="475"/>
      <c r="F11" s="475"/>
      <c r="G11" s="475"/>
      <c r="H11" s="475"/>
      <c r="I11" s="475"/>
      <c r="J11" s="475"/>
      <c r="K11" s="542"/>
      <c r="L11" s="542"/>
      <c r="M11" s="475"/>
      <c r="N11" s="475"/>
      <c r="O11" s="475"/>
      <c r="P11" s="475"/>
      <c r="Q11" s="475"/>
      <c r="R11" s="475"/>
    </row>
    <row r="12" spans="2:23">
      <c r="D12" s="483" t="s">
        <v>506</v>
      </c>
      <c r="E12" s="479"/>
      <c r="F12" s="480">
        <v>2010</v>
      </c>
      <c r="G12" s="480">
        <v>2011</v>
      </c>
      <c r="H12" s="480">
        <v>2012</v>
      </c>
      <c r="I12" s="480">
        <v>2013</v>
      </c>
      <c r="J12" s="480">
        <v>2014</v>
      </c>
      <c r="K12" s="480">
        <v>2015</v>
      </c>
      <c r="L12" s="480">
        <v>2016</v>
      </c>
      <c r="M12" s="480">
        <v>2017</v>
      </c>
      <c r="N12" s="480">
        <v>2018</v>
      </c>
      <c r="O12" s="480">
        <v>2019</v>
      </c>
      <c r="P12" s="484">
        <v>2020</v>
      </c>
      <c r="Q12" s="475"/>
      <c r="T12" s="495" t="s">
        <v>611</v>
      </c>
      <c r="U12" s="603" t="s">
        <v>610</v>
      </c>
    </row>
    <row r="13" spans="2:23" ht="13.8" thickBot="1">
      <c r="D13" s="478" t="s">
        <v>507</v>
      </c>
      <c r="E13" s="490" t="s">
        <v>508</v>
      </c>
      <c r="F13" s="816">
        <f>G13-($I$13-$H$13)/($I$12-$H$12)</f>
        <v>11.618644440889014</v>
      </c>
      <c r="G13" s="816">
        <f>H13-($I$13-$H$13)/($I$12-$H$12)</f>
        <v>11.761575624538228</v>
      </c>
      <c r="H13" s="511">
        <f>1/(0.840018*0.1)</f>
        <v>11.904506808187442</v>
      </c>
      <c r="I13" s="511">
        <f>1/(0.830052*0.1)</f>
        <v>12.047437991836656</v>
      </c>
      <c r="J13" s="511">
        <f>1/(0.817719*0.1)</f>
        <v>12.229139838991143</v>
      </c>
      <c r="K13" s="816">
        <f t="shared" ref="K13:P13" si="0">((J13-H13)/(J12-H12))+J13</f>
        <v>12.391456354392993</v>
      </c>
      <c r="L13" s="816">
        <f t="shared" si="0"/>
        <v>12.563465535671162</v>
      </c>
      <c r="M13" s="816">
        <f t="shared" si="0"/>
        <v>12.730628384011171</v>
      </c>
      <c r="N13" s="816">
        <f t="shared" si="0"/>
        <v>12.90021439882026</v>
      </c>
      <c r="O13" s="816">
        <f t="shared" si="0"/>
        <v>13.068588830394809</v>
      </c>
      <c r="P13" s="816">
        <f t="shared" si="0"/>
        <v>13.237569053586629</v>
      </c>
      <c r="Q13" s="475"/>
      <c r="R13" s="475"/>
      <c r="U13" s="475" t="s">
        <v>523</v>
      </c>
    </row>
    <row r="14" spans="2:23">
      <c r="D14" s="482" t="s">
        <v>519</v>
      </c>
      <c r="E14" s="491" t="s">
        <v>521</v>
      </c>
      <c r="F14" s="512">
        <f>0.75</f>
        <v>0.75</v>
      </c>
      <c r="G14" s="69"/>
      <c r="H14" s="69"/>
      <c r="I14" s="69"/>
      <c r="J14" s="69"/>
      <c r="K14" s="69"/>
      <c r="L14" s="69"/>
      <c r="M14" s="69"/>
      <c r="N14" s="69"/>
      <c r="O14" s="69"/>
      <c r="P14" s="95"/>
      <c r="T14" s="475"/>
      <c r="U14" s="475"/>
    </row>
    <row r="15" spans="2:23">
      <c r="D15" s="308" t="s">
        <v>520</v>
      </c>
      <c r="E15" s="492" t="s">
        <v>389</v>
      </c>
      <c r="F15" s="492">
        <v>43.8</v>
      </c>
      <c r="G15" s="492"/>
      <c r="H15" s="492"/>
      <c r="I15" s="492"/>
      <c r="J15" s="492"/>
      <c r="K15" s="492"/>
      <c r="L15" s="492"/>
      <c r="M15" s="492"/>
      <c r="N15" s="492"/>
      <c r="O15" s="492"/>
      <c r="P15" s="113"/>
      <c r="T15" s="475"/>
      <c r="U15" s="475"/>
    </row>
    <row r="16" spans="2:23">
      <c r="D16" s="478" t="s">
        <v>378</v>
      </c>
      <c r="E16" s="477" t="s">
        <v>393</v>
      </c>
      <c r="F16" s="496">
        <f>F14*F15</f>
        <v>32.849999999999994</v>
      </c>
      <c r="G16" s="509"/>
      <c r="H16" s="492"/>
      <c r="I16" s="510"/>
      <c r="J16" s="492"/>
      <c r="K16" s="492"/>
      <c r="L16" s="492"/>
      <c r="M16" s="492"/>
      <c r="N16" s="492"/>
      <c r="O16" s="492"/>
      <c r="P16" s="113"/>
      <c r="S16" s="816"/>
      <c r="T16" s="816"/>
      <c r="U16" s="542"/>
      <c r="V16" s="542"/>
      <c r="W16" s="542"/>
    </row>
    <row r="17" spans="4:23">
      <c r="D17" s="478" t="s">
        <v>532</v>
      </c>
      <c r="E17" s="477"/>
      <c r="F17" s="2539">
        <f>1+Cars!$AU$9</f>
        <v>1.02</v>
      </c>
      <c r="G17" s="509"/>
      <c r="H17" s="543"/>
      <c r="I17" s="510"/>
      <c r="J17" s="543"/>
      <c r="K17" s="543"/>
      <c r="L17" s="543"/>
      <c r="M17" s="543"/>
      <c r="N17" s="543"/>
      <c r="O17" s="543"/>
      <c r="P17" s="547"/>
    </row>
    <row r="18" spans="4:23" ht="13.8" thickBot="1">
      <c r="D18" s="476" t="s">
        <v>378</v>
      </c>
      <c r="E18" s="486" t="s">
        <v>393</v>
      </c>
      <c r="F18" s="737">
        <f>$F$16/F13*$F$17</f>
        <v>2.8838992509384487</v>
      </c>
      <c r="G18" s="737">
        <f>$F$16/G13*$F$17</f>
        <v>2.8488529997710672</v>
      </c>
      <c r="H18" s="503">
        <f t="shared" ref="H18:P18" si="1">$F$16/H13*$F$17</f>
        <v>2.8146483125999997</v>
      </c>
      <c r="I18" s="503">
        <f t="shared" si="1"/>
        <v>2.7812552363999998</v>
      </c>
      <c r="J18" s="503">
        <f t="shared" si="1"/>
        <v>2.7399310533000003</v>
      </c>
      <c r="K18" s="737">
        <f t="shared" si="1"/>
        <v>2.7040405132138616</v>
      </c>
      <c r="L18" s="737">
        <f t="shared" si="1"/>
        <v>2.6670188973627007</v>
      </c>
      <c r="M18" s="737">
        <f t="shared" si="1"/>
        <v>2.6319989076173629</v>
      </c>
      <c r="N18" s="737">
        <f t="shared" si="1"/>
        <v>2.5973986915337042</v>
      </c>
      <c r="O18" s="737">
        <f t="shared" si="1"/>
        <v>2.5639340585932051</v>
      </c>
      <c r="P18" s="738">
        <f t="shared" si="1"/>
        <v>2.5312049262490159</v>
      </c>
    </row>
    <row r="19" spans="4:23" ht="13.8" thickBot="1">
      <c r="D19" s="485"/>
      <c r="E19" s="487"/>
      <c r="F19" s="500"/>
      <c r="G19" s="508"/>
      <c r="H19" s="508"/>
      <c r="I19" s="508"/>
      <c r="J19" s="508"/>
      <c r="K19" s="508"/>
      <c r="L19" s="507"/>
      <c r="M19" s="507"/>
      <c r="N19" s="507"/>
      <c r="O19" s="507"/>
      <c r="P19" s="592"/>
      <c r="Q19" s="542"/>
      <c r="R19" s="542"/>
      <c r="S19" s="542"/>
    </row>
    <row r="20" spans="4:23">
      <c r="D20" s="495" t="s">
        <v>509</v>
      </c>
      <c r="E20" s="493"/>
      <c r="F20" s="493"/>
      <c r="G20" s="493"/>
      <c r="H20" s="493"/>
      <c r="I20" s="493"/>
      <c r="J20" s="493"/>
      <c r="K20" s="493"/>
      <c r="L20" s="493"/>
      <c r="M20" s="493"/>
      <c r="N20" s="493"/>
      <c r="O20" s="498"/>
      <c r="P20" s="498"/>
    </row>
    <row r="21" spans="4:23">
      <c r="D21" s="495" t="s">
        <v>510</v>
      </c>
      <c r="E21" s="493"/>
      <c r="F21" s="493"/>
      <c r="G21" s="493"/>
      <c r="H21" s="497"/>
      <c r="I21" s="497"/>
      <c r="J21" s="497"/>
      <c r="K21" s="497"/>
      <c r="L21" s="497"/>
      <c r="M21" s="493"/>
      <c r="N21" s="493"/>
      <c r="O21" s="493"/>
      <c r="P21" s="493"/>
    </row>
    <row r="22" spans="4:23">
      <c r="D22" s="495" t="s">
        <v>511</v>
      </c>
      <c r="E22" s="493"/>
      <c r="F22" s="493"/>
      <c r="G22" s="493"/>
      <c r="H22" s="493"/>
      <c r="I22" s="493"/>
      <c r="J22" s="493"/>
      <c r="K22" s="497"/>
      <c r="L22" s="497"/>
      <c r="M22" s="493"/>
      <c r="N22" s="493"/>
      <c r="O22" s="493"/>
      <c r="P22" s="493"/>
    </row>
    <row r="23" spans="4:23" ht="13.8" thickBot="1">
      <c r="D23" s="475"/>
      <c r="E23" s="475"/>
      <c r="F23" s="475"/>
      <c r="G23" s="475"/>
      <c r="H23" s="475"/>
      <c r="I23" s="475"/>
      <c r="J23" s="475"/>
      <c r="K23" s="475"/>
      <c r="L23" s="475"/>
      <c r="M23" s="475"/>
      <c r="N23" s="475"/>
      <c r="O23" s="475"/>
      <c r="P23" s="475"/>
    </row>
    <row r="24" spans="4:23">
      <c r="D24" s="483" t="s">
        <v>512</v>
      </c>
      <c r="E24" s="479"/>
      <c r="F24" s="480">
        <v>2010</v>
      </c>
      <c r="G24" s="480">
        <v>2011</v>
      </c>
      <c r="H24" s="480">
        <v>2012</v>
      </c>
      <c r="I24" s="480">
        <v>2013</v>
      </c>
      <c r="J24" s="480">
        <v>2014</v>
      </c>
      <c r="K24" s="480">
        <v>2015</v>
      </c>
      <c r="L24" s="480">
        <v>2016</v>
      </c>
      <c r="M24" s="480">
        <v>2017</v>
      </c>
      <c r="N24" s="480">
        <v>2018</v>
      </c>
      <c r="O24" s="480">
        <v>2019</v>
      </c>
      <c r="P24" s="484">
        <v>2020</v>
      </c>
      <c r="T24" s="495" t="s">
        <v>311</v>
      </c>
      <c r="U24" s="542" t="s">
        <v>610</v>
      </c>
    </row>
    <row r="25" spans="4:23" ht="13.8" thickBot="1">
      <c r="D25" s="478" t="s">
        <v>507</v>
      </c>
      <c r="E25" s="490" t="s">
        <v>508</v>
      </c>
      <c r="F25" s="816">
        <f>G25-($I$13-$H$13)/($I$12-$H$12)</f>
        <v>16.525352730517628</v>
      </c>
      <c r="G25" s="815">
        <f>H25-($I$13-$H$13)/($I$12-$H$12)</f>
        <v>16.668283914166842</v>
      </c>
      <c r="H25" s="814">
        <f>1/(0.594841*0.1)</f>
        <v>16.811215097816056</v>
      </c>
      <c r="I25" s="814">
        <f>1/(0.584126*0.1)</f>
        <v>17.119594060185641</v>
      </c>
      <c r="J25" s="814">
        <f>1/(0.574212*0.1)</f>
        <v>17.415170703503236</v>
      </c>
      <c r="K25" s="815">
        <f t="shared" ref="K25:P25" si="2">((J25-H25)/(J24-H24))+J25</f>
        <v>17.717148506346824</v>
      </c>
      <c r="L25" s="815">
        <f t="shared" si="2"/>
        <v>18.015925729427416</v>
      </c>
      <c r="M25" s="815">
        <f t="shared" si="2"/>
        <v>18.316303242389505</v>
      </c>
      <c r="N25" s="815">
        <f t="shared" si="2"/>
        <v>18.615880610410848</v>
      </c>
      <c r="O25" s="815">
        <f t="shared" si="2"/>
        <v>18.915858050902564</v>
      </c>
      <c r="P25" s="815">
        <f t="shared" si="2"/>
        <v>19.215635455159095</v>
      </c>
      <c r="T25" s="475" t="s">
        <v>522</v>
      </c>
      <c r="U25" s="475"/>
    </row>
    <row r="26" spans="4:23">
      <c r="D26" s="482" t="s">
        <v>519</v>
      </c>
      <c r="E26" s="491" t="s">
        <v>521</v>
      </c>
      <c r="F26" s="739">
        <v>0.84</v>
      </c>
      <c r="G26" s="704"/>
      <c r="H26" s="704"/>
      <c r="I26" s="704"/>
      <c r="J26" s="704"/>
      <c r="K26" s="704"/>
      <c r="L26" s="704"/>
      <c r="M26" s="704"/>
      <c r="N26" s="704"/>
      <c r="O26" s="704"/>
      <c r="P26" s="740"/>
      <c r="T26" s="475"/>
      <c r="U26" s="475"/>
    </row>
    <row r="27" spans="4:23">
      <c r="D27" s="308" t="s">
        <v>520</v>
      </c>
      <c r="E27" s="492" t="s">
        <v>389</v>
      </c>
      <c r="F27" s="436">
        <v>42.7</v>
      </c>
      <c r="G27" s="704"/>
      <c r="H27" s="704"/>
      <c r="I27" s="704"/>
      <c r="J27" s="704"/>
      <c r="K27" s="704"/>
      <c r="L27" s="704"/>
      <c r="M27" s="704"/>
      <c r="N27" s="704"/>
      <c r="O27" s="704"/>
      <c r="P27" s="740"/>
      <c r="T27" s="475"/>
      <c r="U27" s="475"/>
    </row>
    <row r="28" spans="4:23">
      <c r="D28" s="478" t="s">
        <v>378</v>
      </c>
      <c r="E28" s="477" t="s">
        <v>393</v>
      </c>
      <c r="F28" s="741">
        <f>F26*F27</f>
        <v>35.868000000000002</v>
      </c>
      <c r="G28" s="742"/>
      <c r="H28" s="704"/>
      <c r="I28" s="704"/>
      <c r="J28" s="704"/>
      <c r="K28" s="704"/>
      <c r="L28" s="704"/>
      <c r="M28" s="704"/>
      <c r="N28" s="704"/>
      <c r="O28" s="704"/>
      <c r="P28" s="740"/>
      <c r="T28" s="542"/>
      <c r="U28" s="542"/>
      <c r="V28" s="542"/>
      <c r="W28" s="542"/>
    </row>
    <row r="29" spans="4:23">
      <c r="D29" s="478" t="s">
        <v>532</v>
      </c>
      <c r="E29" s="477"/>
      <c r="F29" s="2540">
        <f>1+Cars!$AT$9</f>
        <v>1.337687923425432</v>
      </c>
      <c r="G29" s="742"/>
      <c r="H29" s="704"/>
      <c r="I29" s="704"/>
      <c r="J29" s="704"/>
      <c r="K29" s="704"/>
      <c r="L29" s="704"/>
      <c r="M29" s="704"/>
      <c r="N29" s="704"/>
      <c r="O29" s="704"/>
      <c r="P29" s="740"/>
    </row>
    <row r="30" spans="4:23" ht="13.8" thickBot="1">
      <c r="D30" s="476" t="s">
        <v>378</v>
      </c>
      <c r="E30" s="486" t="s">
        <v>393</v>
      </c>
      <c r="F30" s="737">
        <f t="shared" ref="F30:P30" si="3">$F$28/F25*$F$29</f>
        <v>2.9034291261340299</v>
      </c>
      <c r="G30" s="737">
        <f t="shared" si="3"/>
        <v>2.8785321083140234</v>
      </c>
      <c r="H30" s="737">
        <f t="shared" si="3"/>
        <v>2.8540584459987368</v>
      </c>
      <c r="I30" s="737">
        <f t="shared" si="3"/>
        <v>2.8026476719450382</v>
      </c>
      <c r="J30" s="737">
        <f t="shared" si="3"/>
        <v>2.755080111145376</v>
      </c>
      <c r="K30" s="737">
        <f t="shared" si="3"/>
        <v>2.7081214801713398</v>
      </c>
      <c r="L30" s="737">
        <f t="shared" si="3"/>
        <v>2.6632098265731643</v>
      </c>
      <c r="M30" s="737">
        <f t="shared" si="3"/>
        <v>2.6195346191027573</v>
      </c>
      <c r="N30" s="737">
        <f t="shared" si="3"/>
        <v>2.5773795740068666</v>
      </c>
      <c r="O30" s="737">
        <f t="shared" si="3"/>
        <v>2.5365061583941224</v>
      </c>
      <c r="P30" s="738">
        <f t="shared" si="3"/>
        <v>2.4969348814608923</v>
      </c>
    </row>
    <row r="31" spans="4:23" ht="13.8" thickBot="1">
      <c r="D31" s="485"/>
      <c r="E31" s="487"/>
      <c r="F31" s="500"/>
      <c r="G31" s="501"/>
      <c r="H31" s="501"/>
      <c r="I31" s="501"/>
      <c r="J31" s="501"/>
      <c r="K31" s="501"/>
      <c r="L31" s="502"/>
      <c r="M31" s="502"/>
      <c r="N31" s="502"/>
      <c r="O31" s="502"/>
      <c r="P31" s="593"/>
      <c r="Q31" s="542"/>
      <c r="R31" s="542"/>
      <c r="S31" s="542"/>
    </row>
    <row r="32" spans="4:23">
      <c r="D32" s="495" t="s">
        <v>509</v>
      </c>
      <c r="E32" s="493"/>
      <c r="F32" s="493"/>
      <c r="G32" s="493"/>
      <c r="H32" s="493"/>
      <c r="I32" s="493"/>
      <c r="J32" s="493"/>
      <c r="K32" s="493"/>
      <c r="L32" s="493"/>
      <c r="M32" s="493"/>
      <c r="N32" s="493"/>
      <c r="O32" s="498"/>
      <c r="P32" s="498"/>
    </row>
    <row r="33" spans="4:21">
      <c r="D33" s="495" t="s">
        <v>510</v>
      </c>
      <c r="E33" s="493"/>
      <c r="F33" s="493"/>
      <c r="G33" s="493"/>
      <c r="H33" s="497"/>
      <c r="I33" s="497"/>
      <c r="J33" s="497"/>
      <c r="K33" s="497"/>
      <c r="L33" s="497"/>
      <c r="M33" s="493"/>
      <c r="N33" s="493"/>
      <c r="O33" s="493"/>
      <c r="P33" s="493"/>
    </row>
    <row r="34" spans="4:21">
      <c r="D34" s="495" t="s">
        <v>513</v>
      </c>
      <c r="E34" s="493"/>
      <c r="F34" s="493"/>
      <c r="G34" s="493"/>
      <c r="H34" s="493"/>
      <c r="I34" s="493"/>
      <c r="J34" s="493"/>
      <c r="K34" s="497"/>
      <c r="L34" s="497"/>
      <c r="M34" s="493"/>
      <c r="N34" s="493"/>
      <c r="O34" s="493"/>
      <c r="P34" s="493"/>
    </row>
    <row r="35" spans="4:21" ht="13.8" thickBot="1">
      <c r="D35" s="475"/>
      <c r="E35" s="475"/>
      <c r="F35" s="475"/>
      <c r="G35" s="475"/>
      <c r="H35" s="475"/>
      <c r="I35" s="475"/>
      <c r="J35" s="475"/>
      <c r="K35" s="475"/>
      <c r="L35" s="475"/>
      <c r="M35" s="475"/>
      <c r="N35" s="475"/>
      <c r="O35" s="475"/>
      <c r="P35" s="475"/>
    </row>
    <row r="36" spans="4:21">
      <c r="D36" s="483" t="s">
        <v>514</v>
      </c>
      <c r="E36" s="479"/>
      <c r="F36" s="480">
        <v>2010</v>
      </c>
      <c r="G36" s="480">
        <v>2011</v>
      </c>
      <c r="H36" s="480">
        <v>2012</v>
      </c>
      <c r="I36" s="480">
        <v>2013</v>
      </c>
      <c r="J36" s="480">
        <v>2014</v>
      </c>
      <c r="K36" s="480">
        <v>2015</v>
      </c>
      <c r="L36" s="480">
        <v>2016</v>
      </c>
      <c r="M36" s="480">
        <v>2017</v>
      </c>
      <c r="N36" s="480">
        <v>2018</v>
      </c>
      <c r="O36" s="480">
        <v>2019</v>
      </c>
      <c r="P36" s="484">
        <v>2020</v>
      </c>
      <c r="T36" s="495" t="s">
        <v>517</v>
      </c>
      <c r="U36" s="475" t="s">
        <v>518</v>
      </c>
    </row>
    <row r="37" spans="4:21" ht="13.8" thickBot="1">
      <c r="D37" s="476" t="s">
        <v>515</v>
      </c>
      <c r="E37" s="487" t="s">
        <v>516</v>
      </c>
      <c r="F37" s="846">
        <v>5.1542649693790201</v>
      </c>
      <c r="G37" s="846">
        <v>5.1542649693790219</v>
      </c>
      <c r="H37" s="846">
        <v>5.1542649693790219</v>
      </c>
      <c r="I37" s="846">
        <v>5.1542649693790219</v>
      </c>
      <c r="J37" s="846">
        <v>5.1542649693790219</v>
      </c>
      <c r="K37" s="846">
        <v>5.1542649693790219</v>
      </c>
      <c r="L37" s="846">
        <v>5.1542649693790219</v>
      </c>
      <c r="M37" s="846">
        <v>5.1542649693790219</v>
      </c>
      <c r="N37" s="846">
        <v>5.1542649693790219</v>
      </c>
      <c r="O37" s="846">
        <v>5.1542649693790219</v>
      </c>
      <c r="P37" s="846">
        <v>5.1542649693790219</v>
      </c>
      <c r="R37" s="851" t="s">
        <v>643</v>
      </c>
    </row>
    <row r="38" spans="4:21">
      <c r="D38" s="488" t="s">
        <v>525</v>
      </c>
      <c r="E38" s="489" t="s">
        <v>524</v>
      </c>
      <c r="F38" s="846">
        <f>3.6</f>
        <v>3.6</v>
      </c>
      <c r="G38" s="848"/>
      <c r="H38" s="849"/>
      <c r="I38" s="849"/>
      <c r="J38" s="849"/>
      <c r="K38" s="849"/>
      <c r="L38" s="849"/>
      <c r="M38" s="849"/>
      <c r="N38" s="849"/>
      <c r="O38" s="849"/>
      <c r="P38" s="850"/>
    </row>
    <row r="39" spans="4:21">
      <c r="D39" s="478" t="s">
        <v>378</v>
      </c>
      <c r="E39" s="481" t="s">
        <v>393</v>
      </c>
      <c r="F39" s="846">
        <f>$F$38/F37</f>
        <v>0.69845070468577863</v>
      </c>
      <c r="G39" s="846">
        <f t="shared" ref="G39:P39" si="4">$F$38/G37</f>
        <v>0.69845070468577841</v>
      </c>
      <c r="H39" s="846">
        <f t="shared" si="4"/>
        <v>0.69845070468577841</v>
      </c>
      <c r="I39" s="846">
        <f t="shared" si="4"/>
        <v>0.69845070468577841</v>
      </c>
      <c r="J39" s="846">
        <f t="shared" si="4"/>
        <v>0.69845070468577841</v>
      </c>
      <c r="K39" s="846">
        <f t="shared" si="4"/>
        <v>0.69845070468577841</v>
      </c>
      <c r="L39" s="846">
        <f t="shared" si="4"/>
        <v>0.69845070468577841</v>
      </c>
      <c r="M39" s="846">
        <f t="shared" si="4"/>
        <v>0.69845070468577841</v>
      </c>
      <c r="N39" s="846">
        <f t="shared" si="4"/>
        <v>0.69845070468577841</v>
      </c>
      <c r="O39" s="846">
        <f t="shared" si="4"/>
        <v>0.69845070468577841</v>
      </c>
      <c r="P39" s="847">
        <f t="shared" si="4"/>
        <v>0.69845070468577841</v>
      </c>
    </row>
    <row r="40" spans="4:21">
      <c r="D40" s="478"/>
      <c r="E40" s="481"/>
      <c r="F40" s="504"/>
      <c r="G40" s="505"/>
      <c r="H40" s="505"/>
      <c r="I40" s="505"/>
      <c r="J40" s="505"/>
      <c r="K40" s="505"/>
      <c r="L40" s="505"/>
      <c r="M40" s="505"/>
      <c r="N40" s="505"/>
      <c r="O40" s="505"/>
      <c r="P40" s="594"/>
    </row>
    <row r="41" spans="4:21" ht="13.8" thickBot="1">
      <c r="D41" s="478"/>
      <c r="E41" s="481"/>
      <c r="F41" s="505"/>
      <c r="G41" s="507"/>
      <c r="H41" s="507"/>
      <c r="I41" s="507">
        <f>1/F37</f>
        <v>0.19401408463493852</v>
      </c>
      <c r="J41" s="507"/>
      <c r="K41" s="507"/>
      <c r="L41" s="507"/>
      <c r="M41" s="507"/>
      <c r="N41" s="507"/>
      <c r="O41" s="507"/>
      <c r="P41" s="592"/>
    </row>
    <row r="42" spans="4:21" ht="13.8" thickBot="1">
      <c r="D42" s="476"/>
      <c r="E42" s="487"/>
      <c r="F42" s="506"/>
      <c r="G42" s="475"/>
      <c r="H42" s="475"/>
      <c r="I42" s="475"/>
      <c r="J42" s="475"/>
      <c r="K42" s="475"/>
      <c r="L42" s="475"/>
      <c r="M42" s="475"/>
      <c r="N42" s="475"/>
      <c r="O42" s="475"/>
      <c r="P42" s="475"/>
      <c r="T42" s="495" t="s">
        <v>517</v>
      </c>
      <c r="U42" s="603" t="s">
        <v>518</v>
      </c>
    </row>
    <row r="43" spans="4:21">
      <c r="D43" s="495" t="s">
        <v>2718</v>
      </c>
      <c r="E43" s="493"/>
      <c r="F43" s="493"/>
      <c r="G43" s="493"/>
      <c r="H43" s="493"/>
      <c r="I43" s="493"/>
      <c r="J43" s="493"/>
      <c r="K43" s="493"/>
      <c r="L43" s="493"/>
      <c r="M43" s="493"/>
      <c r="N43" s="493"/>
      <c r="O43" s="498"/>
      <c r="P43" s="498"/>
    </row>
    <row r="44" spans="4:21">
      <c r="D44" s="495" t="s">
        <v>2719</v>
      </c>
      <c r="E44" s="493"/>
      <c r="F44" s="499"/>
      <c r="G44" s="493"/>
      <c r="H44" s="493"/>
      <c r="I44" s="493"/>
      <c r="J44" s="493"/>
      <c r="K44" s="493"/>
      <c r="L44" s="493"/>
      <c r="M44" s="493"/>
      <c r="N44" s="493"/>
      <c r="O44" s="493"/>
      <c r="P44" s="493"/>
    </row>
    <row r="45" spans="4:21">
      <c r="D45" s="495" t="s">
        <v>2720</v>
      </c>
      <c r="E45" s="493"/>
      <c r="F45" s="499"/>
      <c r="G45" s="493"/>
      <c r="H45" s="493"/>
      <c r="I45" s="493"/>
      <c r="J45" s="493"/>
      <c r="K45" s="493"/>
      <c r="L45" s="493"/>
      <c r="M45" s="493"/>
      <c r="N45" s="493"/>
      <c r="O45" s="493"/>
      <c r="P45" s="493"/>
    </row>
    <row r="46" spans="4:21">
      <c r="D46" s="495"/>
      <c r="E46" s="493"/>
      <c r="F46" s="494"/>
      <c r="G46" s="494"/>
      <c r="H46" s="495"/>
      <c r="I46" s="495"/>
      <c r="J46" s="495"/>
      <c r="K46" s="495"/>
      <c r="L46" s="495"/>
      <c r="M46" s="495"/>
      <c r="N46" s="495"/>
      <c r="O46" s="495"/>
      <c r="P46" s="495"/>
    </row>
    <row r="47" spans="4:21">
      <c r="D47" s="495"/>
      <c r="E47" s="493"/>
      <c r="F47" s="494"/>
      <c r="G47" s="494"/>
      <c r="H47" s="494"/>
      <c r="I47" s="494"/>
      <c r="J47" s="494"/>
      <c r="K47" s="494"/>
      <c r="L47" s="494"/>
      <c r="M47" s="494"/>
      <c r="N47" s="494"/>
      <c r="O47" s="494"/>
      <c r="P47" s="494"/>
    </row>
    <row r="48" spans="4:21">
      <c r="K48" s="542"/>
      <c r="L48" s="542"/>
    </row>
    <row r="53" spans="3:18" ht="17.399999999999999">
      <c r="D53" s="574"/>
      <c r="E53" s="513"/>
      <c r="F53" s="513"/>
      <c r="G53" s="513"/>
      <c r="H53" s="513"/>
      <c r="I53" s="513"/>
      <c r="J53" s="513"/>
      <c r="K53" s="513"/>
      <c r="L53" s="513"/>
      <c r="M53" s="513"/>
      <c r="N53" s="513"/>
      <c r="O53" s="513"/>
      <c r="P53" s="513"/>
      <c r="Q53" s="513"/>
    </row>
    <row r="54" spans="3:18">
      <c r="D54" s="532" t="s">
        <v>526</v>
      </c>
      <c r="E54" s="513"/>
      <c r="F54" s="513"/>
      <c r="G54" s="513"/>
      <c r="H54" s="513"/>
      <c r="I54" s="513"/>
      <c r="J54" s="513"/>
      <c r="K54" s="513"/>
      <c r="L54" s="513"/>
      <c r="M54" s="513"/>
      <c r="N54" s="513"/>
      <c r="O54" s="513"/>
      <c r="P54" s="513"/>
      <c r="Q54" s="513"/>
    </row>
    <row r="55" spans="3:18">
      <c r="D55" s="526" t="s">
        <v>527</v>
      </c>
      <c r="E55" s="516">
        <v>2001</v>
      </c>
      <c r="F55" s="521">
        <v>2002</v>
      </c>
      <c r="G55" s="521">
        <v>2003</v>
      </c>
      <c r="H55" s="521">
        <v>2004</v>
      </c>
      <c r="I55" s="521">
        <v>2005</v>
      </c>
      <c r="J55" s="521">
        <v>2006</v>
      </c>
      <c r="K55" s="521">
        <v>2007</v>
      </c>
      <c r="L55" s="521">
        <v>2008</v>
      </c>
      <c r="M55" s="521">
        <v>2009</v>
      </c>
      <c r="N55" s="521">
        <v>2010</v>
      </c>
      <c r="O55" s="521">
        <v>2011</v>
      </c>
      <c r="P55" s="521">
        <v>2012</v>
      </c>
      <c r="Q55" s="521">
        <v>2013</v>
      </c>
      <c r="R55" s="515">
        <v>2014</v>
      </c>
    </row>
    <row r="56" spans="3:18">
      <c r="D56" s="526"/>
      <c r="E56" s="531"/>
      <c r="F56" s="514"/>
      <c r="G56" s="514"/>
      <c r="H56" s="514"/>
      <c r="I56" s="514"/>
      <c r="J56" s="514"/>
      <c r="K56" s="514"/>
      <c r="L56" s="514"/>
      <c r="M56" s="514"/>
      <c r="O56" s="514"/>
      <c r="P56" s="514"/>
      <c r="Q56" s="514"/>
    </row>
    <row r="57" spans="3:18">
      <c r="D57" s="526" t="s">
        <v>325</v>
      </c>
      <c r="E57" s="523"/>
      <c r="F57" s="528"/>
      <c r="G57" s="528"/>
      <c r="H57" s="30"/>
      <c r="I57" s="528"/>
      <c r="J57" s="528"/>
      <c r="K57" s="528"/>
      <c r="L57" s="528"/>
      <c r="M57" s="528"/>
      <c r="N57" s="751">
        <f>(P84+Q84)*10/1000000</f>
        <v>62712.441852000004</v>
      </c>
      <c r="O57" s="751"/>
      <c r="P57" s="751">
        <f>(AB84+AC84)*10/1000000</f>
        <v>62806.396656999998</v>
      </c>
      <c r="Q57" s="751"/>
      <c r="R57" s="752">
        <f>(E84+F84)*10/1000000</f>
        <v>63812.684466999999</v>
      </c>
    </row>
    <row r="58" spans="3:18">
      <c r="D58" s="527" t="s">
        <v>326</v>
      </c>
      <c r="E58" s="524"/>
      <c r="F58" s="517"/>
      <c r="G58" s="517"/>
      <c r="H58" s="517"/>
      <c r="I58" s="517"/>
      <c r="J58" s="517"/>
      <c r="K58" s="517"/>
      <c r="L58" s="517"/>
      <c r="M58" s="517"/>
      <c r="N58" s="533">
        <f>(P77+Q77)*10/1000000</f>
        <v>44842.068285000001</v>
      </c>
      <c r="O58" s="533"/>
      <c r="P58" s="533">
        <f>(AB77+AC77)*10/1000000</f>
        <v>39274.968591999997</v>
      </c>
      <c r="Q58" s="533"/>
      <c r="R58" s="525">
        <f>(E76+F76)*10/1000000</f>
        <v>34989.658064000003</v>
      </c>
    </row>
    <row r="59" spans="3:18">
      <c r="D59" s="527" t="s">
        <v>61</v>
      </c>
      <c r="E59" s="520"/>
      <c r="F59" s="518"/>
      <c r="G59" s="518"/>
      <c r="H59" s="518"/>
      <c r="I59" s="518"/>
      <c r="J59" s="518"/>
      <c r="K59" s="518"/>
      <c r="L59" s="518"/>
      <c r="M59" s="518"/>
      <c r="N59" s="534">
        <f>(P78+Q78)*10/1000000</f>
        <v>13041.008866</v>
      </c>
      <c r="O59" s="534"/>
      <c r="P59" s="534">
        <f>(AB78+AC78)*10/1000000</f>
        <v>18271.330811</v>
      </c>
      <c r="Q59" s="534"/>
      <c r="R59" s="519">
        <f>(E77+F77)*10/1000000</f>
        <v>23637.599357999999</v>
      </c>
    </row>
    <row r="60" spans="3:18">
      <c r="D60" s="2984"/>
    </row>
    <row r="62" spans="3:18">
      <c r="D62" s="1"/>
      <c r="F62" s="1"/>
      <c r="G62" s="1"/>
      <c r="H62" s="1"/>
    </row>
    <row r="63" spans="3:18">
      <c r="D63" s="526"/>
      <c r="E63" s="524"/>
      <c r="F63" s="517"/>
      <c r="G63" s="517"/>
      <c r="H63" s="517"/>
      <c r="I63" s="517"/>
      <c r="J63" s="517"/>
      <c r="K63" s="517"/>
      <c r="L63" s="517"/>
      <c r="M63" s="517"/>
      <c r="N63" s="517"/>
      <c r="O63" s="517"/>
      <c r="P63" s="517"/>
      <c r="Q63" s="533"/>
      <c r="R63" s="519"/>
    </row>
    <row r="64" spans="3:18">
      <c r="C64" s="754"/>
      <c r="D64" s="526" t="s">
        <v>528</v>
      </c>
      <c r="E64" s="522"/>
      <c r="F64" s="529"/>
      <c r="G64" s="529"/>
      <c r="H64" s="529"/>
      <c r="I64" s="529"/>
      <c r="J64" s="529"/>
      <c r="K64" s="529"/>
      <c r="L64" s="529"/>
      <c r="M64" s="529"/>
      <c r="N64" s="529"/>
      <c r="O64" s="529"/>
      <c r="P64" s="529"/>
      <c r="Q64" s="529"/>
      <c r="R64" s="530"/>
    </row>
    <row r="65" spans="3:36">
      <c r="C65" s="754"/>
      <c r="D65" s="754"/>
      <c r="E65" s="754"/>
      <c r="F65" s="754"/>
      <c r="G65" s="754"/>
    </row>
    <row r="69" spans="3:36">
      <c r="D69" s="777" t="s">
        <v>615</v>
      </c>
      <c r="E69" s="759"/>
      <c r="F69" s="759"/>
      <c r="G69" s="759"/>
      <c r="H69" s="757"/>
      <c r="I69" s="757"/>
      <c r="J69" s="757"/>
      <c r="K69" s="757"/>
      <c r="L69" s="757"/>
      <c r="M69" s="757"/>
    </row>
    <row r="70" spans="3:36" ht="13.8">
      <c r="D70" s="772" t="s">
        <v>616</v>
      </c>
      <c r="E70" s="759"/>
      <c r="F70" s="759"/>
      <c r="G70" s="759"/>
      <c r="H70" s="757"/>
      <c r="I70" s="757"/>
      <c r="J70" s="757"/>
      <c r="K70" s="757"/>
      <c r="L70" s="757"/>
      <c r="M70" s="757"/>
      <c r="AA70" s="825" t="s">
        <v>615</v>
      </c>
      <c r="AB70" s="824"/>
      <c r="AC70" s="824"/>
      <c r="AD70" s="824"/>
      <c r="AE70" s="817"/>
      <c r="AF70" s="817"/>
      <c r="AG70" s="817"/>
      <c r="AH70" s="817"/>
      <c r="AI70" s="817"/>
      <c r="AJ70" s="817"/>
    </row>
    <row r="71" spans="3:36" ht="13.8">
      <c r="D71" s="761" t="s">
        <v>617</v>
      </c>
      <c r="E71" s="759"/>
      <c r="F71" s="759"/>
      <c r="G71" s="759"/>
      <c r="H71" s="757"/>
      <c r="I71" s="757"/>
      <c r="J71" s="757"/>
      <c r="K71" s="757"/>
      <c r="L71" s="757"/>
      <c r="M71" s="757"/>
      <c r="O71" s="794" t="s">
        <v>635</v>
      </c>
      <c r="P71" s="792"/>
      <c r="Q71" s="792"/>
      <c r="R71" s="792"/>
      <c r="S71" s="753"/>
      <c r="T71" s="753"/>
      <c r="U71" s="753"/>
      <c r="V71" s="753"/>
      <c r="W71" s="753"/>
      <c r="X71" s="753"/>
      <c r="Y71" s="753"/>
      <c r="AA71" s="827" t="s">
        <v>639</v>
      </c>
      <c r="AB71" s="824"/>
      <c r="AC71" s="824"/>
      <c r="AD71" s="824"/>
      <c r="AE71" s="817"/>
      <c r="AF71" s="817"/>
      <c r="AG71" s="817"/>
      <c r="AH71" s="817"/>
      <c r="AI71" s="817"/>
      <c r="AJ71" s="817"/>
    </row>
    <row r="72" spans="3:36">
      <c r="D72" s="756"/>
      <c r="E72" s="768"/>
      <c r="F72" s="768"/>
      <c r="G72" s="768"/>
      <c r="H72" s="756"/>
      <c r="I72" s="756"/>
      <c r="J72" s="756"/>
      <c r="K72" s="756"/>
      <c r="L72" s="756"/>
      <c r="M72" s="756"/>
      <c r="O72" s="793" t="s">
        <v>636</v>
      </c>
      <c r="P72" s="792"/>
      <c r="Q72" s="792"/>
      <c r="R72" s="792"/>
      <c r="S72" s="753"/>
      <c r="T72" s="753"/>
      <c r="U72" s="753"/>
      <c r="V72" s="753"/>
      <c r="W72" s="753"/>
      <c r="X72" s="753"/>
      <c r="Y72" s="753"/>
      <c r="AA72" s="826" t="s">
        <v>640</v>
      </c>
      <c r="AB72" s="824"/>
      <c r="AC72" s="824"/>
      <c r="AD72" s="824"/>
      <c r="AE72" s="817"/>
      <c r="AF72" s="817"/>
      <c r="AG72" s="817"/>
      <c r="AH72" s="817"/>
      <c r="AI72" s="817"/>
      <c r="AJ72" s="817"/>
    </row>
    <row r="73" spans="3:36">
      <c r="D73" s="758"/>
      <c r="E73" s="3146" t="s">
        <v>618</v>
      </c>
      <c r="F73" s="3146"/>
      <c r="G73" s="755"/>
      <c r="H73" s="3146" t="s">
        <v>619</v>
      </c>
      <c r="I73" s="3146"/>
      <c r="J73" s="771"/>
      <c r="K73" s="3146" t="s">
        <v>620</v>
      </c>
      <c r="L73" s="3146"/>
      <c r="M73" s="3146"/>
      <c r="O73" s="790"/>
      <c r="P73" s="799"/>
      <c r="Q73" s="799"/>
      <c r="R73" s="799"/>
      <c r="S73" s="790"/>
      <c r="T73" s="790"/>
      <c r="U73" s="790"/>
      <c r="V73" s="790"/>
      <c r="W73" s="790"/>
      <c r="X73" s="790"/>
      <c r="Y73" s="790"/>
      <c r="AA73" s="822"/>
      <c r="AB73" s="834"/>
      <c r="AC73" s="834"/>
      <c r="AD73" s="834"/>
      <c r="AE73" s="822"/>
      <c r="AF73" s="822"/>
      <c r="AG73" s="822"/>
      <c r="AH73" s="822"/>
      <c r="AI73" s="822"/>
      <c r="AJ73" s="822"/>
    </row>
    <row r="74" spans="3:36">
      <c r="D74" s="775"/>
      <c r="E74" s="780" t="s">
        <v>621</v>
      </c>
      <c r="F74" s="780" t="s">
        <v>622</v>
      </c>
      <c r="G74" s="780"/>
      <c r="H74" s="780" t="s">
        <v>621</v>
      </c>
      <c r="I74" s="780" t="s">
        <v>622</v>
      </c>
      <c r="J74" s="780"/>
      <c r="K74" s="780" t="s">
        <v>621</v>
      </c>
      <c r="L74" s="780" t="s">
        <v>622</v>
      </c>
      <c r="M74" s="773"/>
      <c r="O74" s="750"/>
      <c r="P74" s="797" t="s">
        <v>618</v>
      </c>
      <c r="Q74" s="797"/>
      <c r="R74" s="787"/>
      <c r="S74" s="797" t="s">
        <v>619</v>
      </c>
      <c r="T74" s="797"/>
      <c r="U74" s="798"/>
      <c r="V74" s="797" t="s">
        <v>620</v>
      </c>
      <c r="W74" s="797"/>
      <c r="X74" s="797"/>
      <c r="Y74" s="785"/>
      <c r="AA74" s="820"/>
      <c r="AB74" s="830" t="s">
        <v>618</v>
      </c>
      <c r="AC74" s="830"/>
      <c r="AD74" s="819"/>
      <c r="AE74" s="830" t="s">
        <v>619</v>
      </c>
      <c r="AF74" s="830"/>
      <c r="AG74" s="831"/>
      <c r="AH74" s="830" t="s">
        <v>620</v>
      </c>
      <c r="AI74" s="830"/>
      <c r="AJ74" s="830"/>
    </row>
    <row r="75" spans="3:36">
      <c r="D75" s="756" t="s">
        <v>623</v>
      </c>
      <c r="E75" s="769" t="s">
        <v>624</v>
      </c>
      <c r="F75" s="769" t="s">
        <v>624</v>
      </c>
      <c r="G75" s="769"/>
      <c r="H75" s="769" t="s">
        <v>624</v>
      </c>
      <c r="I75" s="769" t="s">
        <v>624</v>
      </c>
      <c r="J75" s="769"/>
      <c r="K75" s="769" t="s">
        <v>624</v>
      </c>
      <c r="L75" s="769" t="s">
        <v>624</v>
      </c>
      <c r="M75" s="778" t="s">
        <v>625</v>
      </c>
      <c r="O75" s="796"/>
      <c r="P75" s="806" t="s">
        <v>621</v>
      </c>
      <c r="Q75" s="806" t="s">
        <v>622</v>
      </c>
      <c r="R75" s="806"/>
      <c r="S75" s="806" t="s">
        <v>621</v>
      </c>
      <c r="T75" s="806" t="s">
        <v>622</v>
      </c>
      <c r="U75" s="806"/>
      <c r="V75" s="806" t="s">
        <v>621</v>
      </c>
      <c r="W75" s="806" t="s">
        <v>622</v>
      </c>
      <c r="X75" s="806"/>
      <c r="Y75" s="795"/>
      <c r="AA75" s="829"/>
      <c r="AB75" s="840" t="s">
        <v>621</v>
      </c>
      <c r="AC75" s="840" t="s">
        <v>622</v>
      </c>
      <c r="AD75" s="840"/>
      <c r="AE75" s="840" t="s">
        <v>621</v>
      </c>
      <c r="AF75" s="840" t="s">
        <v>622</v>
      </c>
      <c r="AG75" s="840"/>
      <c r="AH75" s="840" t="s">
        <v>621</v>
      </c>
      <c r="AI75" s="840" t="s">
        <v>622</v>
      </c>
      <c r="AJ75" s="828"/>
    </row>
    <row r="76" spans="3:36">
      <c r="D76" s="774" t="s">
        <v>626</v>
      </c>
      <c r="E76" s="770">
        <v>2897346688</v>
      </c>
      <c r="F76" s="781">
        <v>601619118.39999998</v>
      </c>
      <c r="G76" s="782"/>
      <c r="H76" s="770">
        <v>2902517</v>
      </c>
      <c r="I76" s="781">
        <v>657969</v>
      </c>
      <c r="J76" s="781"/>
      <c r="K76" s="781">
        <v>998.21868006285581</v>
      </c>
      <c r="L76" s="781">
        <v>914.35784725420194</v>
      </c>
      <c r="M76" s="766">
        <v>982.72140572944261</v>
      </c>
      <c r="O76" s="790" t="s">
        <v>623</v>
      </c>
      <c r="P76" s="789" t="s">
        <v>624</v>
      </c>
      <c r="Q76" s="789" t="s">
        <v>624</v>
      </c>
      <c r="R76" s="789"/>
      <c r="S76" s="789" t="s">
        <v>624</v>
      </c>
      <c r="T76" s="789" t="s">
        <v>624</v>
      </c>
      <c r="U76" s="789"/>
      <c r="V76" s="789" t="s">
        <v>624</v>
      </c>
      <c r="W76" s="789" t="s">
        <v>624</v>
      </c>
      <c r="X76" s="789"/>
      <c r="Y76" s="804" t="s">
        <v>625</v>
      </c>
      <c r="AA76" s="822" t="s">
        <v>623</v>
      </c>
      <c r="AB76" s="821" t="s">
        <v>624</v>
      </c>
      <c r="AC76" s="821" t="s">
        <v>624</v>
      </c>
      <c r="AD76" s="821"/>
      <c r="AE76" s="821" t="s">
        <v>624</v>
      </c>
      <c r="AF76" s="821" t="s">
        <v>624</v>
      </c>
      <c r="AG76" s="821"/>
      <c r="AH76" s="821" t="s">
        <v>624</v>
      </c>
      <c r="AI76" s="821" t="s">
        <v>624</v>
      </c>
      <c r="AJ76" s="839" t="s">
        <v>625</v>
      </c>
    </row>
    <row r="77" spans="3:36">
      <c r="D77" s="764" t="s">
        <v>61</v>
      </c>
      <c r="E77" s="770">
        <v>1359576518.0999999</v>
      </c>
      <c r="F77" s="770">
        <v>1004183417.7</v>
      </c>
      <c r="G77" s="770"/>
      <c r="H77" s="770">
        <v>802960</v>
      </c>
      <c r="I77" s="770">
        <v>534854</v>
      </c>
      <c r="J77" s="770"/>
      <c r="K77" s="770">
        <v>1693.2057862160007</v>
      </c>
      <c r="L77" s="770">
        <v>1877.4907127926501</v>
      </c>
      <c r="M77" s="762">
        <v>1766.8823437338824</v>
      </c>
      <c r="O77" s="800" t="s">
        <v>626</v>
      </c>
      <c r="P77" s="810">
        <v>3678425940.5</v>
      </c>
      <c r="Q77" s="810">
        <v>805780888</v>
      </c>
      <c r="R77" s="810"/>
      <c r="S77" s="810">
        <v>3260518</v>
      </c>
      <c r="T77" s="810">
        <v>737992</v>
      </c>
      <c r="U77" s="811"/>
      <c r="V77" s="812">
        <v>1128.1722537645858</v>
      </c>
      <c r="W77" s="811">
        <v>1091.8558575160707</v>
      </c>
      <c r="X77" s="812"/>
      <c r="Y77" s="2985">
        <v>1121.4694544968002</v>
      </c>
      <c r="AA77" s="835" t="s">
        <v>626</v>
      </c>
      <c r="AB77" s="843">
        <v>3225005406.4000001</v>
      </c>
      <c r="AC77" s="844">
        <v>702491452.79999995</v>
      </c>
      <c r="AD77" s="845"/>
      <c r="AE77" s="843">
        <v>3048793</v>
      </c>
      <c r="AF77" s="817">
        <v>714916</v>
      </c>
      <c r="AG77" s="844"/>
      <c r="AH77" s="844">
        <v>1057.7974320985386</v>
      </c>
      <c r="AI77" s="844">
        <v>982.62096917679833</v>
      </c>
      <c r="AJ77" s="833">
        <v>1043.5176734439351</v>
      </c>
    </row>
    <row r="78" spans="3:36">
      <c r="D78" s="764" t="s">
        <v>627</v>
      </c>
      <c r="E78" s="770">
        <v>409339.8</v>
      </c>
      <c r="F78" s="770">
        <v>1655621</v>
      </c>
      <c r="G78" s="770"/>
      <c r="H78" s="770">
        <v>541</v>
      </c>
      <c r="I78" s="770">
        <v>1776</v>
      </c>
      <c r="J78" s="770"/>
      <c r="K78" s="770">
        <v>756.63548983364137</v>
      </c>
      <c r="L78" s="770">
        <v>932.21903153153153</v>
      </c>
      <c r="M78" s="762">
        <v>891.22175226586103</v>
      </c>
      <c r="O78" s="801" t="s">
        <v>61</v>
      </c>
      <c r="P78" s="810">
        <v>644207853.79999995</v>
      </c>
      <c r="Q78" s="810">
        <v>659893032.79999995</v>
      </c>
      <c r="R78" s="810"/>
      <c r="S78" s="810">
        <v>356787</v>
      </c>
      <c r="T78" s="810">
        <v>315874</v>
      </c>
      <c r="U78" s="810"/>
      <c r="V78" s="810">
        <v>1805.5810716197618</v>
      </c>
      <c r="W78" s="810">
        <v>2089.1020875412346</v>
      </c>
      <c r="X78" s="810"/>
      <c r="Y78" s="2986">
        <v>1938.7193349993531</v>
      </c>
      <c r="AA78" s="836" t="s">
        <v>61</v>
      </c>
      <c r="AB78" s="843">
        <v>952639227.70000005</v>
      </c>
      <c r="AC78" s="843">
        <v>874493853.39999998</v>
      </c>
      <c r="AD78" s="843"/>
      <c r="AE78" s="843">
        <v>559505</v>
      </c>
      <c r="AF78" s="843">
        <v>462165</v>
      </c>
      <c r="AG78" s="843"/>
      <c r="AH78" s="843">
        <v>1702.6464959205011</v>
      </c>
      <c r="AI78" s="843">
        <v>1892.1680642194888</v>
      </c>
      <c r="AJ78" s="832">
        <v>1788.3789101177483</v>
      </c>
    </row>
    <row r="79" spans="3:36">
      <c r="D79" s="764" t="s">
        <v>628</v>
      </c>
      <c r="E79" s="770">
        <v>30568692.899999999</v>
      </c>
      <c r="F79" s="770">
        <v>28911476</v>
      </c>
      <c r="G79" s="770"/>
      <c r="H79" s="770">
        <v>21718</v>
      </c>
      <c r="I79" s="770">
        <v>14622</v>
      </c>
      <c r="J79" s="770"/>
      <c r="K79" s="770">
        <v>1407.5279906068697</v>
      </c>
      <c r="L79" s="770">
        <v>1977.258651347285</v>
      </c>
      <c r="M79" s="762">
        <v>1636.7685443037974</v>
      </c>
      <c r="O79" s="801" t="s">
        <v>627</v>
      </c>
      <c r="P79" s="810">
        <v>49783.9</v>
      </c>
      <c r="Q79" s="810">
        <v>103109.5</v>
      </c>
      <c r="R79" s="810"/>
      <c r="S79" s="810">
        <v>100</v>
      </c>
      <c r="T79" s="810">
        <v>128</v>
      </c>
      <c r="U79" s="810"/>
      <c r="V79" s="810">
        <v>497.839</v>
      </c>
      <c r="W79" s="810">
        <v>805.54296875</v>
      </c>
      <c r="X79" s="810"/>
      <c r="Y79" s="2986">
        <v>670.58508771929826</v>
      </c>
      <c r="AA79" s="836" t="s">
        <v>627</v>
      </c>
      <c r="AB79" s="843">
        <v>74707.5</v>
      </c>
      <c r="AC79" s="843">
        <v>522585.1</v>
      </c>
      <c r="AD79" s="843"/>
      <c r="AE79" s="843">
        <v>128</v>
      </c>
      <c r="AF79" s="843">
        <v>536</v>
      </c>
      <c r="AG79" s="843"/>
      <c r="AH79" s="843">
        <v>583.65234375</v>
      </c>
      <c r="AI79" s="843">
        <v>974.97220149253724</v>
      </c>
      <c r="AJ79" s="832">
        <v>899.53704819277107</v>
      </c>
    </row>
    <row r="80" spans="3:36" ht="21">
      <c r="D80" s="764" t="s">
        <v>629</v>
      </c>
      <c r="E80" s="770">
        <v>640945.9</v>
      </c>
      <c r="F80" s="770">
        <v>4785602.5999999996</v>
      </c>
      <c r="G80" s="770"/>
      <c r="H80" s="770">
        <v>475</v>
      </c>
      <c r="I80" s="770">
        <v>4534</v>
      </c>
      <c r="J80" s="770"/>
      <c r="K80" s="770">
        <v>1349.3597894736843</v>
      </c>
      <c r="L80" s="770">
        <v>1055.4924128804587</v>
      </c>
      <c r="M80" s="762">
        <v>1083.3596526252745</v>
      </c>
      <c r="O80" s="809" t="s">
        <v>637</v>
      </c>
      <c r="P80" s="810">
        <v>212939204.40000001</v>
      </c>
      <c r="Q80" s="810">
        <v>172413695.5</v>
      </c>
      <c r="R80" s="810"/>
      <c r="S80" s="810">
        <v>120814</v>
      </c>
      <c r="T80" s="810">
        <v>95715</v>
      </c>
      <c r="U80" s="810"/>
      <c r="V80" s="810">
        <v>1762.5374906881652</v>
      </c>
      <c r="W80" s="810">
        <v>1801.3236744501908</v>
      </c>
      <c r="X80" s="810"/>
      <c r="Y80" s="2986">
        <v>1779.6826286548221</v>
      </c>
      <c r="AA80" s="842" t="s">
        <v>637</v>
      </c>
      <c r="AB80" s="843">
        <v>283824541.89999998</v>
      </c>
      <c r="AC80" s="843">
        <v>106610878.40000001</v>
      </c>
      <c r="AD80" s="843"/>
      <c r="AE80" s="843">
        <v>173559</v>
      </c>
      <c r="AF80" s="843">
        <v>60988</v>
      </c>
      <c r="AG80" s="843"/>
      <c r="AH80" s="843">
        <v>1635.3202190609531</v>
      </c>
      <c r="AI80" s="843">
        <v>1748.0631993178988</v>
      </c>
      <c r="AJ80" s="832">
        <v>1664.6361722810352</v>
      </c>
    </row>
    <row r="81" spans="4:36" ht="33.75" customHeight="1">
      <c r="D81" s="783" t="s">
        <v>630</v>
      </c>
      <c r="E81" s="770">
        <v>282803075.89999998</v>
      </c>
      <c r="F81" s="770">
        <v>70282323.400000006</v>
      </c>
      <c r="G81" s="770"/>
      <c r="H81" s="770">
        <v>192269</v>
      </c>
      <c r="I81" s="770">
        <v>44675</v>
      </c>
      <c r="J81" s="770"/>
      <c r="K81" s="770">
        <v>1470.8719341131434</v>
      </c>
      <c r="L81" s="770">
        <v>1573.1913463905989</v>
      </c>
      <c r="M81" s="762">
        <v>1490.1639176345464</v>
      </c>
      <c r="O81" s="809" t="s">
        <v>638</v>
      </c>
      <c r="P81" s="810">
        <v>12526934.5</v>
      </c>
      <c r="Q81" s="810">
        <v>25794457.899999999</v>
      </c>
      <c r="R81" s="810"/>
      <c r="S81" s="810">
        <v>7863</v>
      </c>
      <c r="T81" s="810">
        <v>12465</v>
      </c>
      <c r="U81" s="810"/>
      <c r="V81" s="810">
        <v>1593.1494976472084</v>
      </c>
      <c r="W81" s="810">
        <v>2069.3508142799838</v>
      </c>
      <c r="X81" s="810"/>
      <c r="Y81" s="2986">
        <v>1885.1531090121998</v>
      </c>
      <c r="AA81" s="842" t="s">
        <v>641</v>
      </c>
      <c r="AB81" s="843">
        <v>19598753.800000001</v>
      </c>
      <c r="AC81" s="843">
        <v>24322908.899999999</v>
      </c>
      <c r="AD81" s="843"/>
      <c r="AE81" s="843">
        <v>12956</v>
      </c>
      <c r="AF81" s="843">
        <v>13115</v>
      </c>
      <c r="AG81" s="843"/>
      <c r="AH81" s="843">
        <v>1512.7164093856129</v>
      </c>
      <c r="AI81" s="843">
        <v>1854.5870301181851</v>
      </c>
      <c r="AJ81" s="832">
        <v>1684.6942081239692</v>
      </c>
    </row>
    <row r="82" spans="4:36">
      <c r="D82" s="783" t="s">
        <v>631</v>
      </c>
      <c r="E82" s="770">
        <v>29606464.899999999</v>
      </c>
      <c r="F82" s="770">
        <v>68563544</v>
      </c>
      <c r="G82" s="770"/>
      <c r="H82" s="770">
        <v>16968</v>
      </c>
      <c r="I82" s="770">
        <v>26556</v>
      </c>
      <c r="J82" s="770"/>
      <c r="K82" s="770">
        <v>1744.8411657237152</v>
      </c>
      <c r="L82" s="770">
        <v>2581.8475674047295</v>
      </c>
      <c r="M82" s="762">
        <v>2255.5373793768958</v>
      </c>
      <c r="O82" s="801" t="s">
        <v>205</v>
      </c>
      <c r="P82" s="810">
        <v>13775709.6</v>
      </c>
      <c r="Q82" s="810">
        <v>45120148.100000001</v>
      </c>
      <c r="R82" s="810"/>
      <c r="S82" s="810">
        <v>7001</v>
      </c>
      <c r="T82" s="810">
        <v>18946</v>
      </c>
      <c r="U82" s="810"/>
      <c r="V82" s="810">
        <v>1967.6774175117839</v>
      </c>
      <c r="W82" s="810">
        <v>2381.5131478940148</v>
      </c>
      <c r="X82" s="810"/>
      <c r="Y82" s="2986">
        <v>2269.8523027710335</v>
      </c>
      <c r="AA82" s="836" t="s">
        <v>205</v>
      </c>
      <c r="AB82" s="843">
        <v>19130602.399999999</v>
      </c>
      <c r="AC82" s="843">
        <v>71670561.099999994</v>
      </c>
      <c r="AD82" s="843"/>
      <c r="AE82" s="843">
        <v>10784</v>
      </c>
      <c r="AF82" s="843">
        <v>26637</v>
      </c>
      <c r="AG82" s="843"/>
      <c r="AH82" s="843">
        <v>1773.9801928783381</v>
      </c>
      <c r="AI82" s="843">
        <v>2690.6393775575325</v>
      </c>
      <c r="AJ82" s="832">
        <v>2426.4761363940033</v>
      </c>
    </row>
    <row r="83" spans="4:36">
      <c r="D83" s="764" t="s">
        <v>632</v>
      </c>
      <c r="E83" s="770">
        <v>223970.1</v>
      </c>
      <c r="F83" s="770">
        <v>91647.4</v>
      </c>
      <c r="G83" s="770"/>
      <c r="H83" s="770">
        <v>236</v>
      </c>
      <c r="I83" s="770">
        <v>81</v>
      </c>
      <c r="J83" s="770"/>
      <c r="K83" s="770">
        <v>949.02584745762715</v>
      </c>
      <c r="L83" s="770">
        <v>1131.4493827160493</v>
      </c>
      <c r="M83" s="762">
        <v>995.6388012618296</v>
      </c>
      <c r="O83" s="801" t="s">
        <v>632</v>
      </c>
      <c r="P83" s="810">
        <v>146262.6</v>
      </c>
      <c r="Q83" s="810">
        <v>67164.100000000006</v>
      </c>
      <c r="R83" s="810"/>
      <c r="S83" s="810">
        <v>167</v>
      </c>
      <c r="T83" s="810">
        <v>77</v>
      </c>
      <c r="U83" s="810"/>
      <c r="V83" s="810">
        <v>875.82395209580841</v>
      </c>
      <c r="W83" s="810">
        <v>872.26103896103905</v>
      </c>
      <c r="X83" s="810"/>
      <c r="Y83" s="2986">
        <v>874.69959016393443</v>
      </c>
      <c r="AA83" s="836" t="s">
        <v>632</v>
      </c>
      <c r="AB83" s="843">
        <v>174764.3</v>
      </c>
      <c r="AC83" s="843">
        <v>79422</v>
      </c>
      <c r="AD83" s="843"/>
      <c r="AE83" s="843">
        <v>190</v>
      </c>
      <c r="AF83" s="843">
        <v>79</v>
      </c>
      <c r="AG83" s="843"/>
      <c r="AH83" s="843">
        <v>919.81210526315783</v>
      </c>
      <c r="AI83" s="843">
        <v>1005.3417721518987</v>
      </c>
      <c r="AJ83" s="832">
        <v>944.93048327137546</v>
      </c>
    </row>
    <row r="84" spans="4:36">
      <c r="D84" s="776" t="s">
        <v>625</v>
      </c>
      <c r="E84" s="767">
        <v>4601175696.1999998</v>
      </c>
      <c r="F84" s="767">
        <v>1780092750.5</v>
      </c>
      <c r="G84" s="767"/>
      <c r="H84" s="767">
        <v>3937684</v>
      </c>
      <c r="I84" s="767">
        <v>1285067</v>
      </c>
      <c r="J84" s="767"/>
      <c r="K84" s="767">
        <v>1168.4979536702285</v>
      </c>
      <c r="L84" s="767">
        <v>1385.2139619957559</v>
      </c>
      <c r="M84" s="767">
        <v>1221.8213058022486</v>
      </c>
      <c r="O84" s="802" t="s">
        <v>625</v>
      </c>
      <c r="P84" s="803">
        <v>4562071689.3000002</v>
      </c>
      <c r="Q84" s="803">
        <v>1709172495.8999999</v>
      </c>
      <c r="R84" s="803"/>
      <c r="S84" s="803">
        <v>3753250</v>
      </c>
      <c r="T84" s="803">
        <v>1181197</v>
      </c>
      <c r="U84" s="803"/>
      <c r="V84" s="813">
        <v>1215.4990179977353</v>
      </c>
      <c r="W84" s="813">
        <v>1446.9834379023989</v>
      </c>
      <c r="X84" s="803"/>
      <c r="Y84" s="2987">
        <v>1270.9112460220972</v>
      </c>
      <c r="AA84" s="837" t="s">
        <v>625</v>
      </c>
      <c r="AB84" s="838">
        <v>4500448004</v>
      </c>
      <c r="AC84" s="838">
        <v>1780191661.6999998</v>
      </c>
      <c r="AD84" s="838"/>
      <c r="AE84" s="838">
        <v>3805915</v>
      </c>
      <c r="AF84" s="838">
        <v>1278436</v>
      </c>
      <c r="AG84" s="838"/>
      <c r="AH84" s="838">
        <v>1182.4877865112594</v>
      </c>
      <c r="AI84" s="838">
        <v>1392.4761675203138</v>
      </c>
      <c r="AJ84" s="838">
        <v>1235.2883712591834</v>
      </c>
    </row>
    <row r="85" spans="4:36">
      <c r="D85" s="758" t="s">
        <v>633</v>
      </c>
      <c r="E85" s="779"/>
      <c r="F85" s="779"/>
      <c r="G85" s="779"/>
      <c r="H85" s="758"/>
      <c r="I85" s="763"/>
      <c r="J85" s="760"/>
      <c r="K85" s="763"/>
      <c r="L85" s="763"/>
      <c r="M85" s="760"/>
      <c r="Q85" s="170">
        <f>(Q84+P84)*10/1000000</f>
        <v>62712.441852000004</v>
      </c>
      <c r="AA85" s="820" t="s">
        <v>633</v>
      </c>
      <c r="AB85" s="841"/>
      <c r="AC85" s="841"/>
      <c r="AD85" s="841"/>
      <c r="AE85" s="820"/>
      <c r="AF85" s="823"/>
      <c r="AG85" s="818"/>
      <c r="AH85" s="823"/>
      <c r="AI85" s="823"/>
      <c r="AJ85" s="818"/>
    </row>
    <row r="86" spans="4:36">
      <c r="D86" t="s">
        <v>550</v>
      </c>
      <c r="E86" s="754" t="s">
        <v>634</v>
      </c>
    </row>
    <row r="87" spans="4:36">
      <c r="O87" s="788"/>
      <c r="P87" s="807"/>
      <c r="Q87" s="807"/>
      <c r="R87" s="807"/>
      <c r="S87" s="788"/>
      <c r="T87" s="791"/>
      <c r="U87" s="786"/>
      <c r="V87" s="791"/>
      <c r="W87" s="791"/>
      <c r="X87" s="786"/>
      <c r="Y87" s="786"/>
    </row>
    <row r="88" spans="4:36">
      <c r="O88" s="788"/>
      <c r="P88" s="788"/>
      <c r="Q88" s="808"/>
      <c r="R88" s="808"/>
      <c r="S88" s="788"/>
      <c r="T88" s="786"/>
      <c r="U88" s="786"/>
      <c r="V88" s="805"/>
      <c r="W88" s="791"/>
      <c r="X88" s="786"/>
      <c r="Y88" s="786"/>
    </row>
  </sheetData>
  <mergeCells count="4">
    <mergeCell ref="D8:P9"/>
    <mergeCell ref="E73:F73"/>
    <mergeCell ref="H73:I73"/>
    <mergeCell ref="K73:M73"/>
  </mergeCells>
  <hyperlinks>
    <hyperlink ref="U12" r:id="rId1" xr:uid="{00000000-0004-0000-1A00-000000000000}"/>
    <hyperlink ref="U42" r:id="rId2" xr:uid="{00000000-0004-0000-1A00-000001000000}"/>
  </hyperlinks>
  <pageMargins left="0.7" right="0.7" top="0.75" bottom="0.75" header="0.3" footer="0.3"/>
  <pageSetup paperSize="9" orientation="portrait"/>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B00-000000000000}">
  <dimension ref="A2:AH65536"/>
  <sheetViews>
    <sheetView workbookViewId="0">
      <selection activeCell="E13" sqref="E13"/>
    </sheetView>
  </sheetViews>
  <sheetFormatPr defaultRowHeight="13.2"/>
  <sheetData>
    <row r="2" spans="1:34">
      <c r="A2" s="603" t="s">
        <v>2761</v>
      </c>
    </row>
    <row r="3" spans="1:34">
      <c r="A3" s="765" t="s">
        <v>2762</v>
      </c>
    </row>
    <row r="4" spans="1:34" ht="17.399999999999999">
      <c r="A4" s="2496"/>
      <c r="B4" s="3149" t="s">
        <v>2728</v>
      </c>
      <c r="C4" s="3150"/>
      <c r="D4" s="3150"/>
      <c r="E4" s="3150"/>
      <c r="F4" s="3150"/>
      <c r="G4" s="3150"/>
      <c r="H4" s="3150"/>
      <c r="I4" s="3150"/>
      <c r="J4" s="2496"/>
      <c r="K4" s="2496"/>
      <c r="L4" s="2496"/>
      <c r="M4" s="2496"/>
      <c r="N4" s="2496"/>
      <c r="O4" s="2496"/>
      <c r="P4" s="2496"/>
      <c r="Q4" s="2496"/>
      <c r="R4" s="2496"/>
      <c r="S4" s="2496"/>
      <c r="T4" s="2496"/>
      <c r="U4" s="2496"/>
      <c r="V4" s="2496"/>
      <c r="W4" s="2496"/>
      <c r="X4" s="2496"/>
      <c r="Y4" s="2496"/>
      <c r="Z4" s="2496"/>
      <c r="AA4" s="2496"/>
      <c r="AB4" s="2496"/>
      <c r="AC4" s="2496"/>
      <c r="AD4" s="2496"/>
      <c r="AE4" s="2496"/>
      <c r="AF4" s="2496"/>
      <c r="AG4" s="2496"/>
      <c r="AH4" s="2496"/>
    </row>
    <row r="5" spans="1:34">
      <c r="A5" s="2496"/>
      <c r="B5" s="3151" t="s">
        <v>2729</v>
      </c>
      <c r="C5" s="3151"/>
      <c r="D5" s="3151"/>
      <c r="E5" s="3151"/>
      <c r="F5" s="3151"/>
      <c r="G5" s="3151"/>
      <c r="H5" s="3151"/>
      <c r="I5" s="3151"/>
      <c r="J5" s="2533"/>
      <c r="K5" s="2496"/>
      <c r="L5" s="2496"/>
      <c r="M5" s="2533"/>
      <c r="N5" s="2496"/>
      <c r="O5" s="2496"/>
      <c r="P5" s="2496"/>
      <c r="Q5" s="2533"/>
      <c r="R5" s="2496"/>
      <c r="S5" s="2496"/>
      <c r="T5" s="2496"/>
      <c r="U5" s="2496"/>
      <c r="V5" s="2496"/>
      <c r="W5" s="2496"/>
      <c r="X5" s="2496"/>
      <c r="Y5" s="2496"/>
      <c r="Z5" s="2496"/>
      <c r="AA5" s="2496"/>
      <c r="AB5" s="2496"/>
      <c r="AC5" s="2496"/>
      <c r="AD5" s="2496"/>
      <c r="AE5" s="2496"/>
      <c r="AF5" s="2496"/>
      <c r="AG5" s="2496"/>
      <c r="AH5" s="2496"/>
    </row>
    <row r="6" spans="1:34">
      <c r="A6" s="2496"/>
      <c r="B6" s="2496"/>
      <c r="C6" s="2496"/>
      <c r="D6" s="2505"/>
      <c r="E6" s="2505"/>
      <c r="F6" s="2496"/>
      <c r="G6" s="2496"/>
      <c r="H6" s="2496"/>
      <c r="I6" s="2496"/>
      <c r="J6" s="2517"/>
      <c r="K6" s="2517"/>
      <c r="L6" s="2496"/>
      <c r="M6" s="2517"/>
      <c r="N6" s="2517"/>
      <c r="O6" s="2496"/>
      <c r="P6" s="2496"/>
      <c r="Q6" s="2517"/>
      <c r="R6" s="2517"/>
      <c r="S6" s="2496"/>
      <c r="T6" s="2496"/>
      <c r="U6" s="2496"/>
      <c r="V6" s="2496"/>
      <c r="W6" s="2496"/>
      <c r="X6" s="2496"/>
      <c r="Y6" s="2496"/>
      <c r="Z6" s="2496"/>
      <c r="AA6" s="2496"/>
      <c r="AB6" s="2496"/>
      <c r="AC6" s="2496"/>
      <c r="AD6" s="2496"/>
      <c r="AE6" s="2496"/>
      <c r="AF6" s="2496"/>
      <c r="AG6" s="2496"/>
      <c r="AH6" s="2496"/>
    </row>
    <row r="7" spans="1:34">
      <c r="A7" s="2496"/>
      <c r="B7" s="2499"/>
      <c r="C7" s="2496"/>
      <c r="D7" s="2506"/>
      <c r="E7" s="2506"/>
      <c r="F7" s="2496"/>
      <c r="G7" s="2506"/>
      <c r="H7" s="2506"/>
      <c r="I7" s="2496"/>
      <c r="J7" s="2517"/>
      <c r="K7" s="2517"/>
      <c r="L7" s="2496"/>
      <c r="M7" s="2517"/>
      <c r="N7" s="2517"/>
      <c r="O7" s="2496"/>
      <c r="P7" s="2496"/>
      <c r="Q7" s="2517"/>
      <c r="R7" s="2517"/>
      <c r="S7" s="2496"/>
      <c r="T7" s="2496"/>
      <c r="U7" s="2496"/>
      <c r="V7" s="2496"/>
      <c r="W7" s="2496"/>
      <c r="X7" s="2496"/>
      <c r="Y7" s="2496"/>
      <c r="Z7" s="2496"/>
      <c r="AA7" s="2496"/>
      <c r="AB7" s="2496"/>
      <c r="AC7" s="2496"/>
      <c r="AD7" s="2496"/>
      <c r="AE7" s="2496"/>
      <c r="AF7" s="2496"/>
      <c r="AG7" s="2496"/>
      <c r="AH7" s="2496"/>
    </row>
    <row r="8" spans="1:34" ht="17.399999999999999">
      <c r="A8" s="2503"/>
      <c r="B8" s="2496"/>
      <c r="C8" s="2496"/>
      <c r="D8" s="2507"/>
      <c r="E8" s="2507"/>
      <c r="F8" s="2496"/>
      <c r="G8" s="2507"/>
      <c r="H8" s="2507"/>
      <c r="I8" s="2496"/>
      <c r="J8" s="2496"/>
      <c r="K8" s="2496"/>
      <c r="L8" s="2535"/>
      <c r="M8" s="2496"/>
      <c r="N8" s="2496"/>
      <c r="O8" s="2496"/>
      <c r="P8" s="2536"/>
      <c r="Q8" s="2496"/>
      <c r="R8" s="2496"/>
      <c r="S8" s="2496"/>
      <c r="T8" s="2496"/>
      <c r="U8" s="2496"/>
      <c r="V8" s="2496"/>
      <c r="W8" s="2496"/>
      <c r="X8" s="2496"/>
      <c r="Y8" s="2496"/>
      <c r="Z8" s="2496"/>
      <c r="AA8" s="2496"/>
      <c r="AB8" s="2496"/>
      <c r="AC8" s="2496"/>
      <c r="AD8" s="2496"/>
      <c r="AE8" s="2496"/>
      <c r="AF8" s="2496"/>
      <c r="AG8" s="2496"/>
      <c r="AH8" s="2496"/>
    </row>
    <row r="9" spans="1:34" ht="17.399999999999999">
      <c r="A9" s="2503"/>
      <c r="B9" s="2500"/>
      <c r="C9" s="2500"/>
      <c r="D9" s="3148" t="s">
        <v>2730</v>
      </c>
      <c r="E9" s="3148"/>
      <c r="F9" s="2527"/>
      <c r="G9" s="3148" t="s">
        <v>2731</v>
      </c>
      <c r="H9" s="3148"/>
      <c r="I9" s="2509"/>
      <c r="J9" s="3148" t="s">
        <v>2732</v>
      </c>
      <c r="K9" s="3148"/>
      <c r="L9" s="2535"/>
      <c r="M9" s="3147" t="s">
        <v>2733</v>
      </c>
      <c r="N9" s="3147"/>
      <c r="O9" s="3147"/>
      <c r="P9" s="2536"/>
      <c r="Q9" s="3147" t="s">
        <v>2734</v>
      </c>
      <c r="R9" s="3147"/>
      <c r="S9" s="3147"/>
      <c r="T9" s="2508"/>
      <c r="U9" s="2496"/>
      <c r="V9" s="2496"/>
      <c r="W9" s="2510"/>
      <c r="X9" s="2509"/>
      <c r="Y9" s="2509"/>
      <c r="Z9" s="2502"/>
      <c r="AA9" s="2509"/>
      <c r="AB9" s="2509"/>
      <c r="AC9" s="2511"/>
      <c r="AD9" s="2509"/>
      <c r="AE9" s="2509"/>
      <c r="AF9" s="2511"/>
      <c r="AG9" s="2509"/>
      <c r="AH9" s="2509"/>
    </row>
    <row r="10" spans="1:34">
      <c r="A10" s="2500" t="s">
        <v>2735</v>
      </c>
      <c r="B10" s="2500" t="s">
        <v>1</v>
      </c>
      <c r="C10" s="2500"/>
      <c r="D10" s="2528" t="s">
        <v>626</v>
      </c>
      <c r="E10" s="2528" t="s">
        <v>61</v>
      </c>
      <c r="F10" s="2501"/>
      <c r="G10" s="2528" t="s">
        <v>626</v>
      </c>
      <c r="H10" s="2528" t="s">
        <v>61</v>
      </c>
      <c r="I10" s="2508"/>
      <c r="J10" s="2528" t="s">
        <v>626</v>
      </c>
      <c r="K10" s="2528" t="s">
        <v>61</v>
      </c>
      <c r="L10" s="2513"/>
      <c r="M10" s="2528" t="s">
        <v>626</v>
      </c>
      <c r="N10" s="2528" t="s">
        <v>61</v>
      </c>
      <c r="O10" s="2538" t="s">
        <v>627</v>
      </c>
      <c r="P10" s="2498"/>
      <c r="Q10" s="2528" t="s">
        <v>626</v>
      </c>
      <c r="R10" s="2528" t="s">
        <v>61</v>
      </c>
      <c r="S10" s="2538" t="s">
        <v>627</v>
      </c>
      <c r="T10" s="2508"/>
      <c r="U10" s="2496"/>
      <c r="V10" s="2496"/>
      <c r="W10" s="2513"/>
      <c r="X10" s="2512"/>
      <c r="Y10" s="2513"/>
      <c r="Z10" s="2512"/>
      <c r="AA10" s="2512"/>
      <c r="AB10" s="2513"/>
      <c r="AC10" s="2496"/>
      <c r="AD10" s="2512"/>
      <c r="AE10" s="2513"/>
      <c r="AF10" s="2496"/>
      <c r="AG10" s="2512"/>
      <c r="AH10" s="2513"/>
    </row>
    <row r="11" spans="1:34">
      <c r="A11" s="2500"/>
      <c r="B11" s="2500"/>
      <c r="C11" s="2500"/>
      <c r="D11" s="2529" t="s">
        <v>2736</v>
      </c>
      <c r="E11" s="2529" t="s">
        <v>2736</v>
      </c>
      <c r="F11" s="2501"/>
      <c r="G11" s="2529" t="s">
        <v>2736</v>
      </c>
      <c r="H11" s="2529" t="s">
        <v>2736</v>
      </c>
      <c r="I11" s="2508"/>
      <c r="J11" s="2529" t="s">
        <v>2736</v>
      </c>
      <c r="K11" s="2529" t="s">
        <v>2736</v>
      </c>
      <c r="L11" s="2512"/>
      <c r="M11" s="2529" t="s">
        <v>2736</v>
      </c>
      <c r="N11" s="2529" t="s">
        <v>2736</v>
      </c>
      <c r="O11" s="2529" t="s">
        <v>2737</v>
      </c>
      <c r="P11" s="2534"/>
      <c r="Q11" s="2529" t="s">
        <v>2736</v>
      </c>
      <c r="R11" s="2529" t="s">
        <v>2736</v>
      </c>
      <c r="S11" s="2529" t="s">
        <v>2737</v>
      </c>
      <c r="T11" s="2508"/>
      <c r="U11" s="2496"/>
      <c r="V11" s="2496"/>
      <c r="W11" s="2512"/>
      <c r="X11" s="2512"/>
      <c r="Y11" s="2512"/>
      <c r="Z11" s="2512"/>
      <c r="AA11" s="2512"/>
      <c r="AB11" s="2512"/>
      <c r="AC11" s="2496"/>
      <c r="AD11" s="2512"/>
      <c r="AE11" s="2512"/>
      <c r="AF11" s="2496"/>
      <c r="AG11" s="2512"/>
      <c r="AH11" s="2512"/>
    </row>
    <row r="12" spans="1:34">
      <c r="A12" s="2500"/>
      <c r="B12" s="2500"/>
      <c r="C12" s="2500"/>
      <c r="D12" s="2528"/>
      <c r="E12" s="2528"/>
      <c r="F12" s="2501"/>
      <c r="G12" s="2528"/>
      <c r="H12" s="2528"/>
      <c r="I12" s="2508"/>
      <c r="J12" s="2508"/>
      <c r="K12" s="2508"/>
      <c r="L12" s="2497"/>
      <c r="M12" s="2508"/>
      <c r="N12" s="2508"/>
      <c r="O12" s="2512"/>
      <c r="P12" s="2534"/>
      <c r="Q12" s="2508"/>
      <c r="R12" s="2508"/>
      <c r="S12" s="2512"/>
      <c r="T12" s="2508"/>
      <c r="U12" s="2496"/>
      <c r="V12" s="2496"/>
      <c r="W12" s="2512"/>
      <c r="X12" s="2512"/>
      <c r="Y12" s="2512"/>
      <c r="Z12" s="2512"/>
      <c r="AA12" s="2512"/>
      <c r="AB12" s="2512"/>
      <c r="AC12" s="2496"/>
      <c r="AD12" s="2512"/>
      <c r="AE12" s="2512"/>
      <c r="AF12" s="2496"/>
      <c r="AG12" s="2512"/>
      <c r="AH12" s="2512"/>
    </row>
    <row r="13" spans="1:34">
      <c r="A13" s="2514">
        <v>0</v>
      </c>
      <c r="B13" s="2514" t="s">
        <v>2738</v>
      </c>
      <c r="C13" s="2496"/>
      <c r="D13" s="2530">
        <v>0.84001800000000004</v>
      </c>
      <c r="E13" s="2530">
        <v>0.59484099999999995</v>
      </c>
      <c r="F13" s="2531"/>
      <c r="G13" s="2530">
        <v>0.83005200000000001</v>
      </c>
      <c r="H13" s="2530">
        <v>0.58412600000000003</v>
      </c>
      <c r="I13" s="2516"/>
      <c r="J13" s="2517">
        <v>0.81771899999999997</v>
      </c>
      <c r="K13" s="2517">
        <v>0.57421199999999994</v>
      </c>
      <c r="L13" s="2497"/>
      <c r="M13" s="2517">
        <v>0.8</v>
      </c>
      <c r="N13" s="2517">
        <v>0.56000000000000005</v>
      </c>
      <c r="O13" s="2532">
        <v>1.776</v>
      </c>
      <c r="P13" s="2536"/>
      <c r="Q13" s="2517">
        <v>0.78859199999999996</v>
      </c>
      <c r="R13" s="2517">
        <v>0.55485899999999999</v>
      </c>
      <c r="S13" s="2532">
        <v>1.26</v>
      </c>
      <c r="T13" s="2496"/>
      <c r="U13" s="2496"/>
      <c r="V13" s="2496"/>
      <c r="W13" s="2504"/>
      <c r="X13" s="2504"/>
      <c r="Y13" s="2496"/>
      <c r="Z13" s="2504"/>
      <c r="AA13" s="2504"/>
      <c r="AB13" s="2504"/>
      <c r="AC13" s="2496"/>
      <c r="AD13" s="2504"/>
      <c r="AE13" s="2504"/>
      <c r="AF13" s="2496"/>
      <c r="AG13" s="2504"/>
      <c r="AH13" s="2504"/>
    </row>
    <row r="14" spans="1:34">
      <c r="A14" s="2514">
        <v>1</v>
      </c>
      <c r="B14" s="2514" t="s">
        <v>2739</v>
      </c>
      <c r="C14" s="2496"/>
      <c r="D14" s="2530">
        <v>0.83318800000000004</v>
      </c>
      <c r="E14" s="2530">
        <v>0.57948200000000005</v>
      </c>
      <c r="F14" s="2531"/>
      <c r="G14" s="2530">
        <v>0.82130599999999998</v>
      </c>
      <c r="H14" s="2530">
        <v>0.57018999999999997</v>
      </c>
      <c r="I14" s="2516"/>
      <c r="J14" s="2517">
        <v>0.80651799999999996</v>
      </c>
      <c r="K14" s="2517">
        <v>0.56082399999999999</v>
      </c>
      <c r="L14" s="2497"/>
      <c r="M14" s="2517">
        <v>0.78963499999999998</v>
      </c>
      <c r="N14" s="2517">
        <v>0.55069599999999996</v>
      </c>
      <c r="O14" s="2532">
        <v>1.835</v>
      </c>
      <c r="P14" s="2536"/>
      <c r="Q14" s="2517">
        <v>0.77066100000000004</v>
      </c>
      <c r="R14" s="2517">
        <v>0.54239999999999999</v>
      </c>
      <c r="S14" s="2532">
        <v>1.41</v>
      </c>
      <c r="T14" s="2496"/>
      <c r="U14" s="2496"/>
      <c r="V14" s="2496"/>
      <c r="W14" s="2515"/>
      <c r="X14" s="2515"/>
      <c r="Y14" s="2515"/>
      <c r="Z14" s="2515"/>
      <c r="AA14" s="2515"/>
      <c r="AB14" s="2515"/>
      <c r="AC14" s="2496"/>
      <c r="AD14" s="2515"/>
      <c r="AE14" s="2515"/>
      <c r="AF14" s="2496"/>
      <c r="AG14" s="2515"/>
      <c r="AH14" s="2515"/>
    </row>
    <row r="15" spans="1:34">
      <c r="A15" s="2514">
        <v>3</v>
      </c>
      <c r="B15" s="2514" t="s">
        <v>2740</v>
      </c>
      <c r="C15" s="2496"/>
      <c r="D15" s="2530">
        <v>0.846132</v>
      </c>
      <c r="E15" s="2530">
        <v>0.593858</v>
      </c>
      <c r="F15" s="2531"/>
      <c r="G15" s="2530">
        <v>0.83720799999999995</v>
      </c>
      <c r="H15" s="2530">
        <v>0.58737799999999996</v>
      </c>
      <c r="I15" s="2516"/>
      <c r="J15" s="2517">
        <v>0.82672500000000004</v>
      </c>
      <c r="K15" s="2517">
        <v>0.57669000000000004</v>
      </c>
      <c r="L15" s="2497"/>
      <c r="M15" s="2517">
        <v>0.81381099999999995</v>
      </c>
      <c r="N15" s="2517">
        <v>0.56750400000000001</v>
      </c>
      <c r="O15" s="2532">
        <v>1.83</v>
      </c>
      <c r="P15" s="2536"/>
      <c r="Q15" s="2517">
        <v>0.79888599999999999</v>
      </c>
      <c r="R15" s="2517">
        <v>0.55852199999999996</v>
      </c>
      <c r="S15" s="2532">
        <v>1.23</v>
      </c>
      <c r="T15" s="2496"/>
      <c r="U15" s="2496"/>
      <c r="V15" s="2496"/>
      <c r="W15" s="2515"/>
      <c r="X15" s="2515"/>
      <c r="Y15" s="2515"/>
      <c r="Z15" s="2515"/>
      <c r="AA15" s="2515"/>
      <c r="AB15" s="2515"/>
      <c r="AC15" s="2496"/>
      <c r="AD15" s="2515"/>
      <c r="AE15" s="2515"/>
      <c r="AF15" s="2496"/>
      <c r="AG15" s="2515"/>
      <c r="AH15" s="2515"/>
    </row>
    <row r="16" spans="1:34">
      <c r="A16" s="2514">
        <v>4</v>
      </c>
      <c r="B16" s="2514" t="s">
        <v>2741</v>
      </c>
      <c r="C16" s="2496"/>
      <c r="D16" s="2530">
        <v>0.83849600000000002</v>
      </c>
      <c r="E16" s="2530">
        <v>0.59181799999999996</v>
      </c>
      <c r="F16" s="2531"/>
      <c r="G16" s="2530">
        <v>0.82908700000000002</v>
      </c>
      <c r="H16" s="2530">
        <v>0.58075699999999997</v>
      </c>
      <c r="I16" s="2516"/>
      <c r="J16" s="2517">
        <v>0.81667000000000001</v>
      </c>
      <c r="K16" s="2517">
        <v>0.57170699999999997</v>
      </c>
      <c r="L16" s="2497"/>
      <c r="M16" s="2517">
        <v>0.80304799999999998</v>
      </c>
      <c r="N16" s="2517">
        <v>0.56233100000000003</v>
      </c>
      <c r="O16" s="2532">
        <v>1.492</v>
      </c>
      <c r="P16" s="2536"/>
      <c r="Q16" s="2517">
        <v>0.78785400000000005</v>
      </c>
      <c r="R16" s="2517">
        <v>0.55349899999999996</v>
      </c>
      <c r="S16" s="2532">
        <v>1.17</v>
      </c>
      <c r="T16" s="2496"/>
      <c r="U16" s="2496"/>
      <c r="V16" s="2496"/>
      <c r="W16" s="2515"/>
      <c r="X16" s="2515"/>
      <c r="Y16" s="2515"/>
      <c r="Z16" s="2515"/>
      <c r="AA16" s="2515"/>
      <c r="AB16" s="2515"/>
      <c r="AC16" s="2496"/>
      <c r="AD16" s="2515"/>
      <c r="AE16" s="2515"/>
      <c r="AF16" s="2496"/>
      <c r="AG16" s="2515"/>
      <c r="AH16" s="2515"/>
    </row>
    <row r="17" spans="1:34">
      <c r="A17" s="2514">
        <v>5</v>
      </c>
      <c r="B17" s="2514" t="s">
        <v>2742</v>
      </c>
      <c r="C17" s="2496"/>
      <c r="D17" s="2530">
        <v>0.83759600000000001</v>
      </c>
      <c r="E17" s="2530">
        <v>0.58834500000000001</v>
      </c>
      <c r="F17" s="2531"/>
      <c r="G17" s="2530">
        <v>0.82783600000000002</v>
      </c>
      <c r="H17" s="2530">
        <v>0.57706299999999999</v>
      </c>
      <c r="I17" s="2516"/>
      <c r="J17" s="2517">
        <v>0.81549300000000002</v>
      </c>
      <c r="K17" s="2517">
        <v>0.56755</v>
      </c>
      <c r="L17" s="2497"/>
      <c r="M17" s="2517">
        <v>0.801705</v>
      </c>
      <c r="N17" s="2517">
        <v>0.55796999999999997</v>
      </c>
      <c r="O17" s="2532">
        <v>1.593</v>
      </c>
      <c r="P17" s="2536"/>
      <c r="Q17" s="2517">
        <v>0.78694399999999998</v>
      </c>
      <c r="R17" s="2517">
        <v>0.54925199999999996</v>
      </c>
      <c r="S17" s="2532">
        <v>1.21</v>
      </c>
      <c r="T17" s="2496"/>
      <c r="U17" s="2496"/>
      <c r="V17" s="2496"/>
      <c r="W17" s="2515"/>
      <c r="X17" s="2515"/>
      <c r="Y17" s="2515"/>
      <c r="Z17" s="2515"/>
      <c r="AA17" s="2515"/>
      <c r="AB17" s="2515"/>
      <c r="AC17" s="2496"/>
      <c r="AD17" s="2515"/>
      <c r="AE17" s="2515"/>
      <c r="AF17" s="2496"/>
      <c r="AG17" s="2515"/>
      <c r="AH17" s="2515"/>
    </row>
    <row r="18" spans="1:34" ht="14.4">
      <c r="A18" s="2514">
        <v>6</v>
      </c>
      <c r="B18" s="2514" t="s">
        <v>2743</v>
      </c>
      <c r="C18" s="2496"/>
      <c r="D18" s="2530">
        <v>0.83277699999999999</v>
      </c>
      <c r="E18" s="2530">
        <v>0.59339299999999995</v>
      </c>
      <c r="F18" s="2531"/>
      <c r="G18" s="2530">
        <v>0.82195399999999996</v>
      </c>
      <c r="H18" s="2530">
        <v>0.58087100000000003</v>
      </c>
      <c r="I18" s="2516"/>
      <c r="J18" s="2517">
        <v>0.80809600000000004</v>
      </c>
      <c r="K18" s="2517">
        <v>0.57034399999999996</v>
      </c>
      <c r="L18" s="2497"/>
      <c r="M18" s="2517">
        <v>0.79364299999999999</v>
      </c>
      <c r="N18" s="2517">
        <v>0.56018199999999996</v>
      </c>
      <c r="O18" s="2532">
        <v>1.6950000000000001</v>
      </c>
      <c r="P18" s="2537"/>
      <c r="Q18" s="2517">
        <v>0.776586</v>
      </c>
      <c r="R18" s="2517">
        <v>0.54992600000000003</v>
      </c>
      <c r="S18" s="2532">
        <v>1.1200000000000001</v>
      </c>
      <c r="T18" s="2496"/>
      <c r="U18" s="2496"/>
      <c r="V18" s="2496"/>
      <c r="W18" s="2515"/>
      <c r="X18" s="2515"/>
      <c r="Y18" s="2515"/>
      <c r="Z18" s="2515"/>
      <c r="AA18" s="2515"/>
      <c r="AB18" s="2515"/>
      <c r="AC18" s="2496"/>
      <c r="AD18" s="2515"/>
      <c r="AE18" s="2515"/>
      <c r="AF18" s="2496"/>
      <c r="AG18" s="2515"/>
      <c r="AH18" s="2515"/>
    </row>
    <row r="19" spans="1:34" ht="14.4">
      <c r="A19" s="2518">
        <v>7</v>
      </c>
      <c r="B19" s="2514" t="s">
        <v>2744</v>
      </c>
      <c r="C19" s="2496"/>
      <c r="D19" s="2530">
        <v>0.84059399999999995</v>
      </c>
      <c r="E19" s="2530">
        <v>0.60199400000000003</v>
      </c>
      <c r="F19" s="2531"/>
      <c r="G19" s="2530">
        <v>0.83083899999999999</v>
      </c>
      <c r="H19" s="2530">
        <v>0.58833800000000003</v>
      </c>
      <c r="I19" s="2516"/>
      <c r="J19" s="2517">
        <v>0.81877</v>
      </c>
      <c r="K19" s="2517">
        <v>0.57639700000000005</v>
      </c>
      <c r="L19" s="2497"/>
      <c r="M19" s="2517">
        <v>0.80543699999999996</v>
      </c>
      <c r="N19" s="2517">
        <v>0.56423599999999996</v>
      </c>
      <c r="O19" s="2532">
        <v>1.6479999999999999</v>
      </c>
      <c r="P19" s="2537"/>
      <c r="Q19" s="2517">
        <v>0.79064599999999996</v>
      </c>
      <c r="R19" s="2517">
        <v>0.55416299999999996</v>
      </c>
      <c r="S19" s="2532">
        <v>1.2</v>
      </c>
      <c r="T19" s="2496"/>
      <c r="U19" s="2496"/>
      <c r="V19" s="2496"/>
      <c r="W19" s="2515"/>
      <c r="X19" s="2515"/>
      <c r="Y19" s="2515"/>
      <c r="Z19" s="2515"/>
      <c r="AA19" s="2515"/>
      <c r="AB19" s="2515"/>
      <c r="AC19" s="2496"/>
      <c r="AD19" s="2515"/>
      <c r="AE19" s="2515"/>
      <c r="AF19" s="2496"/>
      <c r="AG19" s="2515"/>
      <c r="AH19" s="2515"/>
    </row>
    <row r="20" spans="1:34" ht="14.4">
      <c r="A20" s="2518">
        <v>8</v>
      </c>
      <c r="B20" s="2514" t="s">
        <v>2745</v>
      </c>
      <c r="C20" s="2496"/>
      <c r="D20" s="2530">
        <v>0.84231699999999998</v>
      </c>
      <c r="E20" s="2530">
        <v>0.60387299999999999</v>
      </c>
      <c r="F20" s="2531"/>
      <c r="G20" s="2530">
        <v>0.83306999999999998</v>
      </c>
      <c r="H20" s="2530">
        <v>0.59063900000000003</v>
      </c>
      <c r="I20" s="2516"/>
      <c r="J20" s="2517">
        <v>0.821913</v>
      </c>
      <c r="K20" s="2517">
        <v>0.58099999999999996</v>
      </c>
      <c r="L20" s="2497"/>
      <c r="M20" s="2517">
        <v>0.80937499999999996</v>
      </c>
      <c r="N20" s="2517">
        <v>0.56929600000000002</v>
      </c>
      <c r="O20" s="2532">
        <v>1.68</v>
      </c>
      <c r="P20" s="2537"/>
      <c r="Q20" s="2517">
        <v>0.79501299999999997</v>
      </c>
      <c r="R20" s="2517">
        <v>0.55877500000000002</v>
      </c>
      <c r="S20" s="2532">
        <v>1.21</v>
      </c>
      <c r="T20" s="2496"/>
      <c r="U20" s="2496"/>
      <c r="V20" s="2496"/>
      <c r="W20" s="2515"/>
      <c r="X20" s="2515"/>
      <c r="Y20" s="2515"/>
      <c r="Z20" s="2515"/>
      <c r="AA20" s="2515"/>
      <c r="AB20" s="2515"/>
      <c r="AC20" s="2496"/>
      <c r="AD20" s="2515"/>
      <c r="AE20" s="2515"/>
      <c r="AF20" s="2496"/>
      <c r="AG20" s="2515"/>
      <c r="AH20" s="2515"/>
    </row>
    <row r="21" spans="1:34" ht="14.4">
      <c r="A21" s="2514">
        <v>9</v>
      </c>
      <c r="B21" s="2514" t="s">
        <v>2746</v>
      </c>
      <c r="C21" s="2496"/>
      <c r="D21" s="2530">
        <v>0.86289400000000005</v>
      </c>
      <c r="E21" s="2530">
        <v>0.60602</v>
      </c>
      <c r="F21" s="2531"/>
      <c r="G21" s="2530">
        <v>0.85677700000000001</v>
      </c>
      <c r="H21" s="2530">
        <v>0.59570199999999995</v>
      </c>
      <c r="I21" s="2516"/>
      <c r="J21" s="2517">
        <v>0.84747600000000001</v>
      </c>
      <c r="K21" s="2517">
        <v>0.58589599999999997</v>
      </c>
      <c r="L21" s="2497"/>
      <c r="M21" s="2517">
        <v>0.83823099999999995</v>
      </c>
      <c r="N21" s="2517">
        <v>0.57776400000000006</v>
      </c>
      <c r="O21" s="2532">
        <v>1.7150000000000001</v>
      </c>
      <c r="P21" s="2537"/>
      <c r="Q21" s="2517">
        <v>0.82693000000000005</v>
      </c>
      <c r="R21" s="2517">
        <v>0.57152000000000003</v>
      </c>
      <c r="S21" s="2532">
        <v>0.96</v>
      </c>
      <c r="T21" s="2496"/>
      <c r="U21" s="2496"/>
      <c r="V21" s="2496"/>
      <c r="W21" s="2515"/>
      <c r="X21" s="2515"/>
      <c r="Y21" s="2515"/>
      <c r="Z21" s="2515"/>
      <c r="AA21" s="2515"/>
      <c r="AB21" s="2515"/>
      <c r="AC21" s="2496"/>
      <c r="AD21" s="2515"/>
      <c r="AE21" s="2515"/>
      <c r="AF21" s="2496"/>
      <c r="AG21" s="2515"/>
      <c r="AH21" s="2515"/>
    </row>
    <row r="22" spans="1:34" ht="14.4">
      <c r="A22" s="2514">
        <v>10</v>
      </c>
      <c r="B22" s="2514" t="s">
        <v>2747</v>
      </c>
      <c r="C22" s="2496"/>
      <c r="D22" s="2530">
        <v>0.84199299999999999</v>
      </c>
      <c r="E22" s="2530">
        <v>0.59451900000000002</v>
      </c>
      <c r="F22" s="2531"/>
      <c r="G22" s="2530">
        <v>0.83215600000000001</v>
      </c>
      <c r="H22" s="2530">
        <v>0.583399</v>
      </c>
      <c r="I22" s="2516"/>
      <c r="J22" s="2517">
        <v>0.82045100000000004</v>
      </c>
      <c r="K22" s="2517">
        <v>0.57228999999999997</v>
      </c>
      <c r="L22" s="2497"/>
      <c r="M22" s="2517">
        <v>0.80751300000000004</v>
      </c>
      <c r="N22" s="2517">
        <v>0.56100499999999998</v>
      </c>
      <c r="O22" s="2532">
        <v>1.611</v>
      </c>
      <c r="P22" s="2537"/>
      <c r="Q22" s="2517">
        <v>0.792238</v>
      </c>
      <c r="R22" s="2517">
        <v>0.55068099999999998</v>
      </c>
      <c r="S22" s="2532">
        <v>1.1200000000000001</v>
      </c>
      <c r="T22" s="2496"/>
      <c r="U22" s="2496"/>
      <c r="V22" s="2496"/>
      <c r="W22" s="2515"/>
      <c r="X22" s="2515"/>
      <c r="Y22" s="2515"/>
      <c r="Z22" s="2515"/>
      <c r="AA22" s="2515"/>
      <c r="AB22" s="2515"/>
      <c r="AC22" s="2496"/>
      <c r="AD22" s="2515"/>
      <c r="AE22" s="2515"/>
      <c r="AF22" s="2496"/>
      <c r="AG22" s="2515"/>
      <c r="AH22" s="2515"/>
    </row>
    <row r="23" spans="1:34" ht="14.4">
      <c r="A23" s="2514">
        <v>12</v>
      </c>
      <c r="B23" s="2514" t="s">
        <v>2748</v>
      </c>
      <c r="C23" s="2496"/>
      <c r="D23" s="2530">
        <v>0.83187800000000001</v>
      </c>
      <c r="E23" s="2530">
        <v>0.59167099999999995</v>
      </c>
      <c r="F23" s="2531"/>
      <c r="G23" s="2530">
        <v>0.82089000000000001</v>
      </c>
      <c r="H23" s="2530">
        <v>0.57843199999999995</v>
      </c>
      <c r="I23" s="2516"/>
      <c r="J23" s="2517">
        <v>0.80832099999999996</v>
      </c>
      <c r="K23" s="2517">
        <v>0.56704600000000005</v>
      </c>
      <c r="L23" s="2497"/>
      <c r="M23" s="2517">
        <v>0.79408699999999999</v>
      </c>
      <c r="N23" s="2517">
        <v>0.55651499999999998</v>
      </c>
      <c r="O23" s="2532">
        <v>1.7589999999999999</v>
      </c>
      <c r="P23" s="2537"/>
      <c r="Q23" s="2517">
        <v>0.77783999999999998</v>
      </c>
      <c r="R23" s="2517">
        <v>0.54695700000000003</v>
      </c>
      <c r="S23" s="2532">
        <v>1.35</v>
      </c>
      <c r="T23" s="2496"/>
      <c r="U23" s="2496"/>
      <c r="V23" s="2496"/>
      <c r="W23" s="2515"/>
      <c r="X23" s="2515"/>
      <c r="Y23" s="2515"/>
      <c r="Z23" s="2515"/>
      <c r="AA23" s="2515"/>
      <c r="AB23" s="2515"/>
      <c r="AC23" s="2496"/>
      <c r="AD23" s="2515"/>
      <c r="AE23" s="2515"/>
      <c r="AF23" s="2496"/>
      <c r="AG23" s="2515"/>
      <c r="AH23" s="2515"/>
    </row>
    <row r="24" spans="1:34" ht="14.4">
      <c r="A24" s="2514">
        <v>13</v>
      </c>
      <c r="B24" s="2514" t="s">
        <v>2749</v>
      </c>
      <c r="C24" s="2496"/>
      <c r="D24" s="2530">
        <v>0.83055000000000001</v>
      </c>
      <c r="E24" s="2530">
        <v>0.59047799999999995</v>
      </c>
      <c r="F24" s="2531"/>
      <c r="G24" s="2530">
        <v>0.81826299999999996</v>
      </c>
      <c r="H24" s="2530">
        <v>0.57913499999999996</v>
      </c>
      <c r="I24" s="2516"/>
      <c r="J24" s="2517">
        <v>0.80460399999999999</v>
      </c>
      <c r="K24" s="2517">
        <v>0.56915000000000004</v>
      </c>
      <c r="L24" s="2497"/>
      <c r="M24" s="2517">
        <v>0.79046899999999998</v>
      </c>
      <c r="N24" s="2517">
        <v>0.55900300000000003</v>
      </c>
      <c r="O24" s="2532">
        <v>1.6419999999999999</v>
      </c>
      <c r="P24" s="2537"/>
      <c r="Q24" s="2517">
        <v>0.77421600000000002</v>
      </c>
      <c r="R24" s="2517">
        <v>0.55051000000000005</v>
      </c>
      <c r="S24" s="2532">
        <v>1.21</v>
      </c>
      <c r="T24" s="2496"/>
      <c r="U24" s="2496"/>
      <c r="V24" s="2496"/>
      <c r="W24" s="2515"/>
      <c r="X24" s="2515"/>
      <c r="Y24" s="2515"/>
      <c r="Z24" s="2515"/>
      <c r="AA24" s="2515"/>
      <c r="AB24" s="2515"/>
      <c r="AC24" s="2496"/>
      <c r="AD24" s="2515"/>
      <c r="AE24" s="2515"/>
      <c r="AF24" s="2496"/>
      <c r="AG24" s="2515"/>
      <c r="AH24" s="2515"/>
    </row>
    <row r="25" spans="1:34">
      <c r="A25" s="2514">
        <v>14</v>
      </c>
      <c r="B25" s="2514" t="s">
        <v>2750</v>
      </c>
      <c r="C25" s="2496"/>
      <c r="D25" s="2530">
        <v>0.82214799999999999</v>
      </c>
      <c r="E25" s="2530">
        <v>0.58184599999999997</v>
      </c>
      <c r="F25" s="2531"/>
      <c r="G25" s="2530">
        <v>0.81093499999999996</v>
      </c>
      <c r="H25" s="2530">
        <v>0.57184199999999996</v>
      </c>
      <c r="I25" s="2516"/>
      <c r="J25" s="2517">
        <v>0.79712799999999995</v>
      </c>
      <c r="K25" s="2517">
        <v>0.56274299999999999</v>
      </c>
      <c r="L25" s="2497"/>
      <c r="M25" s="2517">
        <v>0.78256300000000001</v>
      </c>
      <c r="N25" s="2517">
        <v>0.55298599999999998</v>
      </c>
      <c r="O25" s="2532">
        <v>1.8720000000000001</v>
      </c>
      <c r="P25" s="2536"/>
      <c r="Q25" s="2517">
        <v>0.76568999999999998</v>
      </c>
      <c r="R25" s="2517">
        <v>0.54386800000000002</v>
      </c>
      <c r="S25" s="2532">
        <v>1.18</v>
      </c>
      <c r="T25" s="2496"/>
      <c r="U25" s="2496"/>
      <c r="V25" s="2496"/>
      <c r="W25" s="2515"/>
      <c r="X25" s="2515"/>
      <c r="Y25" s="2515"/>
      <c r="Z25" s="2515"/>
      <c r="AA25" s="2515"/>
      <c r="AB25" s="2515"/>
      <c r="AC25" s="2496"/>
      <c r="AD25" s="2515"/>
      <c r="AE25" s="2515"/>
      <c r="AF25" s="2496"/>
      <c r="AG25" s="2515"/>
      <c r="AH25" s="2515"/>
    </row>
    <row r="26" spans="1:34">
      <c r="A26" s="2514">
        <v>17</v>
      </c>
      <c r="B26" s="2514" t="s">
        <v>2751</v>
      </c>
      <c r="C26" s="2496"/>
      <c r="D26" s="2530">
        <v>0.85129500000000002</v>
      </c>
      <c r="E26" s="2530">
        <v>0.61101099999999997</v>
      </c>
      <c r="F26" s="2531"/>
      <c r="G26" s="2530">
        <v>0.84350199999999997</v>
      </c>
      <c r="H26" s="2530">
        <v>0.60031800000000002</v>
      </c>
      <c r="I26" s="2516"/>
      <c r="J26" s="2517">
        <v>0.83308099999999996</v>
      </c>
      <c r="K26" s="2517">
        <v>0.58909299999999998</v>
      </c>
      <c r="L26" s="2497"/>
      <c r="M26" s="2517">
        <v>0.82206400000000002</v>
      </c>
      <c r="N26" s="2517">
        <v>0.57795099999999999</v>
      </c>
      <c r="O26" s="2532">
        <v>1.7130000000000001</v>
      </c>
      <c r="P26" s="2536"/>
      <c r="Q26" s="2517">
        <v>0.808751</v>
      </c>
      <c r="R26" s="2517">
        <v>0.567384</v>
      </c>
      <c r="S26" s="2532">
        <v>1.0900000000000001</v>
      </c>
      <c r="T26" s="2496"/>
      <c r="U26" s="2496"/>
      <c r="V26" s="2496"/>
      <c r="W26" s="2515"/>
      <c r="X26" s="2515"/>
      <c r="Y26" s="2515"/>
      <c r="Z26" s="2515"/>
      <c r="AA26" s="2515"/>
      <c r="AB26" s="2515"/>
      <c r="AC26" s="2496"/>
      <c r="AD26" s="2515"/>
      <c r="AE26" s="2515"/>
      <c r="AF26" s="2496"/>
      <c r="AG26" s="2515"/>
      <c r="AH26" s="2515"/>
    </row>
    <row r="27" spans="1:34">
      <c r="A27" s="2514">
        <v>18</v>
      </c>
      <c r="B27" s="2514" t="s">
        <v>2752</v>
      </c>
      <c r="C27" s="2496"/>
      <c r="D27" s="2530">
        <v>0.84580500000000003</v>
      </c>
      <c r="E27" s="2530">
        <v>0.59588099999999999</v>
      </c>
      <c r="F27" s="2531"/>
      <c r="G27" s="2530">
        <v>0.83535999999999999</v>
      </c>
      <c r="H27" s="2530">
        <v>0.58504400000000001</v>
      </c>
      <c r="I27" s="2516"/>
      <c r="J27" s="2517">
        <v>0.82355999999999996</v>
      </c>
      <c r="K27" s="2517">
        <v>0.57482</v>
      </c>
      <c r="L27" s="2497"/>
      <c r="M27" s="2517">
        <v>0.81086000000000003</v>
      </c>
      <c r="N27" s="2517">
        <v>0.56486800000000004</v>
      </c>
      <c r="O27" s="2532">
        <v>1.76</v>
      </c>
      <c r="P27" s="2536"/>
      <c r="Q27" s="2517">
        <v>0.79606399999999999</v>
      </c>
      <c r="R27" s="2517">
        <v>0.55689599999999995</v>
      </c>
      <c r="S27" s="2532">
        <v>1.21</v>
      </c>
      <c r="T27" s="2496"/>
      <c r="U27" s="2496"/>
      <c r="V27" s="2496"/>
      <c r="W27" s="2515"/>
      <c r="X27" s="2515"/>
      <c r="Y27" s="2515"/>
      <c r="Z27" s="2515"/>
      <c r="AA27" s="2515"/>
      <c r="AB27" s="2515"/>
      <c r="AC27" s="2496"/>
      <c r="AD27" s="2515"/>
      <c r="AE27" s="2515"/>
      <c r="AF27" s="2496"/>
      <c r="AG27" s="2515"/>
      <c r="AH27" s="2515"/>
    </row>
    <row r="28" spans="1:34">
      <c r="A28" s="2514">
        <v>19</v>
      </c>
      <c r="B28" s="2514" t="s">
        <v>2753</v>
      </c>
      <c r="C28" s="2496"/>
      <c r="D28" s="2530">
        <v>0.843279</v>
      </c>
      <c r="E28" s="2530">
        <v>0.59922699999999995</v>
      </c>
      <c r="F28" s="2531"/>
      <c r="G28" s="2530">
        <v>0.83388899999999999</v>
      </c>
      <c r="H28" s="2530">
        <v>0.58621299999999998</v>
      </c>
      <c r="I28" s="2516"/>
      <c r="J28" s="2517">
        <v>0.82174000000000003</v>
      </c>
      <c r="K28" s="2517">
        <v>0.57676099999999997</v>
      </c>
      <c r="L28" s="2497"/>
      <c r="M28" s="2517">
        <v>0.80906299999999998</v>
      </c>
      <c r="N28" s="2517">
        <v>0.56628900000000004</v>
      </c>
      <c r="O28" s="2532">
        <v>1.8029999999999999</v>
      </c>
      <c r="P28" s="2536"/>
      <c r="Q28" s="2517">
        <v>0.79393199999999997</v>
      </c>
      <c r="R28" s="2517">
        <v>0.55726100000000001</v>
      </c>
      <c r="S28" s="2532">
        <v>1.18</v>
      </c>
      <c r="T28" s="2496"/>
      <c r="U28" s="2496"/>
      <c r="V28" s="2496"/>
      <c r="W28" s="2515"/>
      <c r="X28" s="2515"/>
      <c r="Y28" s="2515"/>
      <c r="Z28" s="2515"/>
      <c r="AA28" s="2515"/>
      <c r="AB28" s="2515"/>
      <c r="AC28" s="2496"/>
      <c r="AD28" s="2515"/>
      <c r="AE28" s="2515"/>
      <c r="AF28" s="2496"/>
      <c r="AG28" s="2515"/>
      <c r="AH28" s="2515"/>
    </row>
    <row r="29" spans="1:34">
      <c r="A29" s="2514">
        <v>20</v>
      </c>
      <c r="B29" s="2514" t="s">
        <v>2754</v>
      </c>
      <c r="C29" s="2496"/>
      <c r="D29" s="2530">
        <v>0.86222799999999999</v>
      </c>
      <c r="E29" s="2530">
        <v>0.61933400000000005</v>
      </c>
      <c r="F29" s="2531"/>
      <c r="G29" s="2530">
        <v>0.85458000000000001</v>
      </c>
      <c r="H29" s="2530">
        <v>0.60742300000000005</v>
      </c>
      <c r="I29" s="2516"/>
      <c r="J29" s="2517">
        <v>0.84528000000000003</v>
      </c>
      <c r="K29" s="2517">
        <v>0.59612200000000004</v>
      </c>
      <c r="L29" s="2497"/>
      <c r="M29" s="2517">
        <v>0.83535099999999995</v>
      </c>
      <c r="N29" s="2517">
        <v>0.58465699999999998</v>
      </c>
      <c r="O29" s="2532">
        <v>1.581</v>
      </c>
      <c r="P29" s="2536"/>
      <c r="Q29" s="2517">
        <v>0.82361499999999999</v>
      </c>
      <c r="R29" s="2517">
        <v>0.574855</v>
      </c>
      <c r="S29" s="2532">
        <v>1.08</v>
      </c>
      <c r="T29" s="2496"/>
      <c r="U29" s="2496"/>
      <c r="V29" s="2496"/>
      <c r="W29" s="2515"/>
      <c r="X29" s="2515"/>
      <c r="Y29" s="2515"/>
      <c r="Z29" s="2515"/>
      <c r="AA29" s="2515"/>
      <c r="AB29" s="2515"/>
      <c r="AC29" s="2496"/>
      <c r="AD29" s="2515"/>
      <c r="AE29" s="2515"/>
      <c r="AF29" s="2496"/>
      <c r="AG29" s="2515"/>
      <c r="AH29" s="2515"/>
    </row>
    <row r="30" spans="1:34">
      <c r="A30" s="2514">
        <v>21</v>
      </c>
      <c r="B30" s="2514" t="s">
        <v>2755</v>
      </c>
      <c r="C30" s="2496"/>
      <c r="D30" s="2530">
        <v>0.85515200000000002</v>
      </c>
      <c r="E30" s="2530">
        <v>0.61281600000000003</v>
      </c>
      <c r="F30" s="2531"/>
      <c r="G30" s="2530">
        <v>0.846275</v>
      </c>
      <c r="H30" s="2530">
        <v>0.60197299999999998</v>
      </c>
      <c r="I30" s="2516"/>
      <c r="J30" s="2517">
        <v>0.83580600000000005</v>
      </c>
      <c r="K30" s="2517">
        <v>0.59266099999999999</v>
      </c>
      <c r="L30" s="2497"/>
      <c r="M30" s="2517">
        <v>0.82450500000000004</v>
      </c>
      <c r="N30" s="2517">
        <v>0.58184999999999998</v>
      </c>
      <c r="O30" s="2532">
        <v>1.5109999999999999</v>
      </c>
      <c r="P30" s="2536"/>
      <c r="Q30" s="2517">
        <v>0.81088099999999996</v>
      </c>
      <c r="R30" s="2517">
        <v>0.57281400000000005</v>
      </c>
      <c r="S30" s="2532">
        <v>1.02</v>
      </c>
      <c r="T30" s="2496"/>
      <c r="U30" s="2496"/>
      <c r="V30" s="2496"/>
      <c r="W30" s="2515"/>
      <c r="X30" s="2515"/>
      <c r="Y30" s="2515"/>
      <c r="Z30" s="2515"/>
      <c r="AA30" s="2515"/>
      <c r="AB30" s="2515"/>
      <c r="AC30" s="2496"/>
      <c r="AD30" s="2515"/>
      <c r="AE30" s="2515"/>
      <c r="AF30" s="2496"/>
      <c r="AG30" s="2515"/>
      <c r="AH30" s="2515"/>
    </row>
    <row r="31" spans="1:34">
      <c r="A31" s="2514">
        <v>22</v>
      </c>
      <c r="B31" s="2514" t="s">
        <v>2756</v>
      </c>
      <c r="C31" s="2496"/>
      <c r="D31" s="2530">
        <v>0.86041100000000004</v>
      </c>
      <c r="E31" s="2530">
        <v>0.62187499999999996</v>
      </c>
      <c r="F31" s="2531"/>
      <c r="G31" s="2530">
        <v>0.85319999999999996</v>
      </c>
      <c r="H31" s="2530">
        <v>0.61229599999999995</v>
      </c>
      <c r="I31" s="2516"/>
      <c r="J31" s="2517">
        <v>0.84371099999999999</v>
      </c>
      <c r="K31" s="2517">
        <v>0.60242899999999999</v>
      </c>
      <c r="L31" s="2497"/>
      <c r="M31" s="2517">
        <v>0.833735</v>
      </c>
      <c r="N31" s="2517">
        <v>0.59114500000000003</v>
      </c>
      <c r="O31" s="2532">
        <v>1.673</v>
      </c>
      <c r="P31" s="2536"/>
      <c r="Q31" s="2517">
        <v>0.82107799999999997</v>
      </c>
      <c r="R31" s="2517">
        <v>0.580901</v>
      </c>
      <c r="S31" s="2532">
        <v>0.94</v>
      </c>
      <c r="T31" s="2496"/>
      <c r="U31" s="2496"/>
      <c r="V31" s="2496"/>
      <c r="W31" s="2515"/>
      <c r="X31" s="2515"/>
      <c r="Y31" s="2515"/>
      <c r="Z31" s="2515"/>
      <c r="AA31" s="2515"/>
      <c r="AB31" s="2515"/>
      <c r="AC31" s="2496"/>
      <c r="AD31" s="2515"/>
      <c r="AE31" s="2515"/>
      <c r="AF31" s="2496"/>
      <c r="AG31" s="2515"/>
      <c r="AH31" s="2515"/>
    </row>
    <row r="32" spans="1:34">
      <c r="A32" s="2514">
        <v>23</v>
      </c>
      <c r="B32" s="2514" t="s">
        <v>2757</v>
      </c>
      <c r="C32" s="2496"/>
      <c r="D32" s="2530">
        <v>0.88698600000000005</v>
      </c>
      <c r="E32" s="2530">
        <v>0.65080199999999999</v>
      </c>
      <c r="F32" s="2531"/>
      <c r="G32" s="2530">
        <v>0.88258700000000001</v>
      </c>
      <c r="H32" s="2530">
        <v>0.640459</v>
      </c>
      <c r="I32" s="2516"/>
      <c r="J32" s="2517">
        <v>0.87672600000000001</v>
      </c>
      <c r="K32" s="2517">
        <v>0.630471</v>
      </c>
      <c r="L32" s="2497"/>
      <c r="M32" s="2517">
        <v>0.87121000000000004</v>
      </c>
      <c r="N32" s="2517">
        <v>0.62192499999999995</v>
      </c>
      <c r="O32" s="2532">
        <v>1.67</v>
      </c>
      <c r="P32" s="2536"/>
      <c r="Q32" s="2517">
        <v>0.86304199999999998</v>
      </c>
      <c r="R32" s="2517">
        <v>0.611734</v>
      </c>
      <c r="S32" s="2532">
        <v>0.84</v>
      </c>
      <c r="T32" s="2496"/>
      <c r="U32" s="2496"/>
      <c r="V32" s="2496"/>
      <c r="W32" s="2515"/>
      <c r="X32" s="2515"/>
      <c r="Y32" s="2515"/>
      <c r="Z32" s="2515"/>
      <c r="AA32" s="2515"/>
      <c r="AB32" s="2515"/>
      <c r="AC32" s="2496"/>
      <c r="AD32" s="2515"/>
      <c r="AE32" s="2515"/>
      <c r="AF32" s="2496"/>
      <c r="AG32" s="2515"/>
      <c r="AH32" s="2515"/>
    </row>
    <row r="33" spans="1:34">
      <c r="A33" s="2514">
        <v>24</v>
      </c>
      <c r="B33" s="2514" t="s">
        <v>2758</v>
      </c>
      <c r="C33" s="2496"/>
      <c r="D33" s="2530">
        <v>0.87181900000000001</v>
      </c>
      <c r="E33" s="2530">
        <v>0.62573500000000004</v>
      </c>
      <c r="F33" s="2531"/>
      <c r="G33" s="2530">
        <v>0.86579300000000003</v>
      </c>
      <c r="H33" s="2530">
        <v>0.61577700000000002</v>
      </c>
      <c r="I33" s="2516"/>
      <c r="J33" s="2517">
        <v>0.85699800000000004</v>
      </c>
      <c r="K33" s="2517">
        <v>0.60705600000000004</v>
      </c>
      <c r="L33" s="2497"/>
      <c r="M33" s="2517">
        <v>0.84742899999999999</v>
      </c>
      <c r="N33" s="2517">
        <v>0.59594999999999998</v>
      </c>
      <c r="O33" s="2532">
        <v>1.587</v>
      </c>
      <c r="P33" s="2536"/>
      <c r="Q33" s="2517">
        <v>0.83611599999999997</v>
      </c>
      <c r="R33" s="2517">
        <v>0.58718199999999998</v>
      </c>
      <c r="S33" s="2532">
        <v>0.99</v>
      </c>
      <c r="T33" s="2496"/>
      <c r="U33" s="2496"/>
      <c r="V33" s="2496"/>
      <c r="W33" s="2515"/>
      <c r="X33" s="2515"/>
      <c r="Y33" s="2515"/>
      <c r="Z33" s="2515"/>
      <c r="AA33" s="2515"/>
      <c r="AB33" s="2515"/>
      <c r="AC33" s="2496"/>
      <c r="AD33" s="2515"/>
      <c r="AE33" s="2515"/>
      <c r="AF33" s="2496"/>
      <c r="AG33" s="2515"/>
      <c r="AH33" s="2515"/>
    </row>
    <row r="34" spans="1:34">
      <c r="A34" s="2514">
        <v>25</v>
      </c>
      <c r="B34" s="2514" t="s">
        <v>2759</v>
      </c>
      <c r="C34" s="2496"/>
      <c r="D34" s="2530">
        <v>0.87767600000000001</v>
      </c>
      <c r="E34" s="2530">
        <v>0.643204</v>
      </c>
      <c r="F34" s="2531"/>
      <c r="G34" s="2530">
        <v>0.87221000000000004</v>
      </c>
      <c r="H34" s="2530">
        <v>0.63330600000000004</v>
      </c>
      <c r="I34" s="2516"/>
      <c r="J34" s="2517">
        <v>0.86425700000000005</v>
      </c>
      <c r="K34" s="2517">
        <v>0.623502</v>
      </c>
      <c r="L34" s="2497"/>
      <c r="M34" s="2517">
        <v>0.85694000000000004</v>
      </c>
      <c r="N34" s="2517">
        <v>0.613452</v>
      </c>
      <c r="O34" s="2532">
        <v>1.63</v>
      </c>
      <c r="P34" s="2536"/>
      <c r="Q34" s="2517">
        <v>0.84802500000000003</v>
      </c>
      <c r="R34" s="2517">
        <v>0.60353900000000005</v>
      </c>
      <c r="S34" s="2532">
        <v>1.23</v>
      </c>
      <c r="T34" s="2496"/>
      <c r="U34" s="2496"/>
      <c r="V34" s="2496"/>
      <c r="W34" s="2515"/>
      <c r="X34" s="2515"/>
      <c r="Y34" s="2515"/>
      <c r="Z34" s="2515"/>
      <c r="AA34" s="2515"/>
      <c r="AB34" s="2515"/>
      <c r="AC34" s="2496"/>
      <c r="AD34" s="2515"/>
      <c r="AE34" s="2515"/>
      <c r="AF34" s="2496"/>
      <c r="AG34" s="2515"/>
      <c r="AH34" s="2515"/>
    </row>
    <row r="35" spans="1:34">
      <c r="A35" s="2519">
        <v>114</v>
      </c>
      <c r="B35" s="2514" t="s">
        <v>2760</v>
      </c>
      <c r="C35" s="2496"/>
      <c r="D35" s="2530">
        <v>0.82452800000000004</v>
      </c>
      <c r="E35" s="2530">
        <v>0.57867500000000005</v>
      </c>
      <c r="F35" s="2531"/>
      <c r="G35" s="2530">
        <v>0.81100899999999998</v>
      </c>
      <c r="H35" s="2530">
        <v>0.57374400000000003</v>
      </c>
      <c r="I35" s="2496"/>
      <c r="J35" s="2517">
        <v>0.79552699999999998</v>
      </c>
      <c r="K35" s="2517">
        <v>0.56514699999999995</v>
      </c>
      <c r="L35" s="2497"/>
      <c r="M35" s="2517">
        <v>0.78130900000000003</v>
      </c>
      <c r="N35" s="2517">
        <v>0.55968499999999999</v>
      </c>
      <c r="O35" s="2532">
        <v>1.8839999999999999</v>
      </c>
      <c r="P35" s="2536"/>
      <c r="Q35" s="2517">
        <v>0.76291500000000001</v>
      </c>
      <c r="R35" s="2517">
        <v>0.54991800000000002</v>
      </c>
      <c r="S35" s="2532">
        <v>1.37</v>
      </c>
      <c r="T35" s="2496"/>
      <c r="U35" s="2496"/>
      <c r="V35" s="2496"/>
      <c r="W35" s="2520"/>
      <c r="X35" s="2515"/>
      <c r="Y35" s="2515"/>
      <c r="Z35" s="2521"/>
      <c r="AA35" s="2505"/>
      <c r="AB35" s="2515"/>
      <c r="AC35" s="2496"/>
      <c r="AD35" s="2505"/>
      <c r="AE35" s="2515"/>
      <c r="AF35" s="2496"/>
      <c r="AG35" s="2505"/>
      <c r="AH35" s="2515"/>
    </row>
    <row r="36" spans="1:34">
      <c r="A36" s="2519">
        <v>115</v>
      </c>
      <c r="B36" s="2514" t="s">
        <v>670</v>
      </c>
      <c r="C36" s="2496"/>
      <c r="D36" s="2530">
        <v>0.83623400000000003</v>
      </c>
      <c r="E36" s="2530">
        <v>0.61190599999999995</v>
      </c>
      <c r="F36" s="2531"/>
      <c r="G36" s="2530">
        <v>0.82374199999999997</v>
      </c>
      <c r="H36" s="2530">
        <v>0.59851100000000002</v>
      </c>
      <c r="I36" s="2496"/>
      <c r="J36" s="2517">
        <v>0.80820499999999995</v>
      </c>
      <c r="K36" s="2517">
        <v>0.58375999999999995</v>
      </c>
      <c r="L36" s="2497"/>
      <c r="M36" s="2517">
        <v>0.794323</v>
      </c>
      <c r="N36" s="2517">
        <v>0.572214</v>
      </c>
      <c r="O36" s="2532">
        <v>1.7110000000000001</v>
      </c>
      <c r="P36" s="2536"/>
      <c r="Q36" s="2517">
        <v>0.77542299999999997</v>
      </c>
      <c r="R36" s="2517">
        <v>0.56336399999999998</v>
      </c>
      <c r="S36" s="2532">
        <v>0.96</v>
      </c>
      <c r="T36" s="2496"/>
      <c r="U36" s="2496"/>
      <c r="V36" s="2496"/>
      <c r="W36" s="2520"/>
      <c r="X36" s="2515"/>
      <c r="Y36" s="2515"/>
      <c r="Z36" s="2521"/>
      <c r="AA36" s="2505"/>
      <c r="AB36" s="2515"/>
      <c r="AC36" s="2496"/>
      <c r="AD36" s="2505"/>
      <c r="AE36" s="2515"/>
      <c r="AF36" s="2496"/>
      <c r="AG36" s="2505"/>
      <c r="AH36" s="2515"/>
    </row>
    <row r="37" spans="1:34">
      <c r="A37" s="2519">
        <v>117</v>
      </c>
      <c r="B37" s="2514" t="s">
        <v>671</v>
      </c>
      <c r="C37" s="2496"/>
      <c r="D37" s="2530">
        <v>0.83190900000000001</v>
      </c>
      <c r="E37" s="2530">
        <v>0.60935700000000004</v>
      </c>
      <c r="F37" s="2531"/>
      <c r="G37" s="2530">
        <v>0.82079000000000002</v>
      </c>
      <c r="H37" s="2530">
        <v>0.59945899999999996</v>
      </c>
      <c r="I37" s="2496"/>
      <c r="J37" s="2517">
        <v>0.80803700000000001</v>
      </c>
      <c r="K37" s="2517">
        <v>0.58703300000000003</v>
      </c>
      <c r="L37" s="2497"/>
      <c r="M37" s="2517">
        <v>0.78981599999999996</v>
      </c>
      <c r="N37" s="2517">
        <v>0.57524799999999998</v>
      </c>
      <c r="O37" s="2532">
        <v>1.8169999999999999</v>
      </c>
      <c r="P37" s="2536"/>
      <c r="Q37" s="2517">
        <v>0.77237500000000003</v>
      </c>
      <c r="R37" s="2517">
        <v>0.56637800000000005</v>
      </c>
      <c r="S37" s="2532">
        <v>0.93</v>
      </c>
      <c r="T37" s="2496"/>
      <c r="U37" s="2496"/>
      <c r="V37" s="2496"/>
      <c r="W37" s="2520"/>
      <c r="X37" s="2515"/>
      <c r="Y37" s="2515"/>
      <c r="Z37" s="2521"/>
      <c r="AA37" s="2505"/>
      <c r="AB37" s="2515"/>
      <c r="AC37" s="2496"/>
      <c r="AD37" s="2505"/>
      <c r="AE37" s="2515"/>
      <c r="AF37" s="2496"/>
      <c r="AG37" s="2505"/>
      <c r="AH37" s="2515"/>
    </row>
    <row r="38" spans="1:34">
      <c r="A38" s="2519">
        <v>120</v>
      </c>
      <c r="B38" s="2514" t="s">
        <v>672</v>
      </c>
      <c r="C38" s="2496"/>
      <c r="D38" s="2530">
        <v>0.84120099999999998</v>
      </c>
      <c r="E38" s="2530">
        <v>0.62110100000000001</v>
      </c>
      <c r="F38" s="2531"/>
      <c r="G38" s="2530">
        <v>0.83115899999999998</v>
      </c>
      <c r="H38" s="2530">
        <v>0.609989</v>
      </c>
      <c r="I38" s="2496"/>
      <c r="J38" s="2517">
        <v>0.81662100000000004</v>
      </c>
      <c r="K38" s="2517">
        <v>0.59898899999999999</v>
      </c>
      <c r="L38" s="2497"/>
      <c r="M38" s="2517">
        <v>0.79769000000000001</v>
      </c>
      <c r="N38" s="2517">
        <v>0.587252</v>
      </c>
      <c r="O38" s="2532">
        <v>1.8520000000000001</v>
      </c>
      <c r="P38" s="2536"/>
      <c r="Q38" s="2517">
        <v>0.77976400000000001</v>
      </c>
      <c r="R38" s="2517">
        <v>0.57662999999999998</v>
      </c>
      <c r="S38" s="2532">
        <v>1.1499999999999999</v>
      </c>
      <c r="T38" s="2496"/>
      <c r="U38" s="2496"/>
      <c r="V38" s="2496"/>
      <c r="W38" s="2520"/>
      <c r="X38" s="2515"/>
      <c r="Y38" s="2515"/>
      <c r="Z38" s="2521"/>
      <c r="AA38" s="2505"/>
      <c r="AB38" s="2515"/>
      <c r="AC38" s="2496"/>
      <c r="AD38" s="2505"/>
      <c r="AE38" s="2515"/>
      <c r="AF38" s="2496"/>
      <c r="AG38" s="2505"/>
      <c r="AH38" s="2515"/>
    </row>
    <row r="39" spans="1:34">
      <c r="A39" s="2519">
        <v>123</v>
      </c>
      <c r="B39" s="2514" t="s">
        <v>673</v>
      </c>
      <c r="C39" s="2496"/>
      <c r="D39" s="2530">
        <v>0.82805300000000004</v>
      </c>
      <c r="E39" s="2530">
        <v>0.59405200000000002</v>
      </c>
      <c r="F39" s="2531"/>
      <c r="G39" s="2530">
        <v>0.81648100000000001</v>
      </c>
      <c r="H39" s="2530">
        <v>0.58602299999999996</v>
      </c>
      <c r="I39" s="2496"/>
      <c r="J39" s="2517">
        <v>0.80215899999999996</v>
      </c>
      <c r="K39" s="2517">
        <v>0.57023599999999997</v>
      </c>
      <c r="L39" s="2497"/>
      <c r="M39" s="2517">
        <v>0.78712700000000002</v>
      </c>
      <c r="N39" s="2517">
        <v>0.56134300000000004</v>
      </c>
      <c r="O39" s="2532">
        <v>1.861</v>
      </c>
      <c r="P39" s="2536"/>
      <c r="Q39" s="2517">
        <v>0.76588100000000003</v>
      </c>
      <c r="R39" s="2517">
        <v>0.55323500000000003</v>
      </c>
      <c r="S39" s="2532">
        <v>1.17</v>
      </c>
      <c r="T39" s="2496"/>
      <c r="U39" s="2496"/>
      <c r="V39" s="2496"/>
      <c r="W39" s="2520"/>
      <c r="X39" s="2515"/>
      <c r="Y39" s="2515"/>
      <c r="Z39" s="2521"/>
      <c r="AA39" s="2505"/>
      <c r="AB39" s="2515"/>
      <c r="AC39" s="2496"/>
      <c r="AD39" s="2505"/>
      <c r="AE39" s="2515"/>
      <c r="AF39" s="2496"/>
      <c r="AG39" s="2505"/>
      <c r="AH39" s="2515"/>
    </row>
    <row r="40" spans="1:34">
      <c r="A40" s="2519">
        <v>125</v>
      </c>
      <c r="B40" s="2514" t="s">
        <v>674</v>
      </c>
      <c r="C40" s="2496"/>
      <c r="D40" s="2530">
        <v>0.85014800000000001</v>
      </c>
      <c r="E40" s="2530">
        <v>0.631131</v>
      </c>
      <c r="F40" s="2531"/>
      <c r="G40" s="2530">
        <v>0.83984300000000001</v>
      </c>
      <c r="H40" s="2530">
        <v>0.61353800000000003</v>
      </c>
      <c r="I40" s="2496"/>
      <c r="J40" s="2517">
        <v>0.82821999999999996</v>
      </c>
      <c r="K40" s="2517">
        <v>0.60217799999999999</v>
      </c>
      <c r="L40" s="2497"/>
      <c r="M40" s="2517">
        <v>0.81645999999999996</v>
      </c>
      <c r="N40" s="2517">
        <v>0.590036</v>
      </c>
      <c r="O40" s="2532">
        <v>1.673</v>
      </c>
      <c r="P40" s="2536"/>
      <c r="Q40" s="2517">
        <v>0.801145</v>
      </c>
      <c r="R40" s="2517">
        <v>0.581592</v>
      </c>
      <c r="S40" s="2532">
        <v>0.98</v>
      </c>
      <c r="T40" s="2496"/>
      <c r="U40" s="2496"/>
      <c r="V40" s="2496"/>
      <c r="W40" s="2520"/>
      <c r="X40" s="2515"/>
      <c r="Y40" s="2515"/>
      <c r="Z40" s="2521"/>
      <c r="AA40" s="2505"/>
      <c r="AB40" s="2515"/>
      <c r="AC40" s="2496"/>
      <c r="AD40" s="2505"/>
      <c r="AE40" s="2515"/>
      <c r="AF40" s="2496"/>
      <c r="AG40" s="2505"/>
      <c r="AH40" s="2515"/>
    </row>
    <row r="41" spans="1:34">
      <c r="A41" s="2519">
        <v>126</v>
      </c>
      <c r="B41" s="2514" t="s">
        <v>675</v>
      </c>
      <c r="C41" s="2496"/>
      <c r="D41" s="2530">
        <v>0.83386499999999997</v>
      </c>
      <c r="E41" s="2530">
        <v>0.60316400000000003</v>
      </c>
      <c r="F41" s="2531"/>
      <c r="G41" s="2530">
        <v>0.82141500000000001</v>
      </c>
      <c r="H41" s="2530">
        <v>0.59581499999999998</v>
      </c>
      <c r="I41" s="2496"/>
      <c r="J41" s="2517">
        <v>0.80746399999999996</v>
      </c>
      <c r="K41" s="2517">
        <v>0.58553599999999995</v>
      </c>
      <c r="L41" s="2497"/>
      <c r="M41" s="2517">
        <v>0.79542800000000002</v>
      </c>
      <c r="N41" s="2517">
        <v>0.57277900000000004</v>
      </c>
      <c r="O41" s="2532">
        <v>1.806</v>
      </c>
      <c r="P41" s="2536"/>
      <c r="Q41" s="2517">
        <v>0.77873099999999995</v>
      </c>
      <c r="R41" s="2517">
        <v>0.56306100000000003</v>
      </c>
      <c r="S41" s="2532">
        <v>1.1599999999999999</v>
      </c>
      <c r="T41" s="2496"/>
      <c r="U41" s="2496"/>
      <c r="V41" s="2496"/>
      <c r="W41" s="2520"/>
      <c r="X41" s="2515"/>
      <c r="Y41" s="2515"/>
      <c r="Z41" s="2521"/>
      <c r="AA41" s="2505"/>
      <c r="AB41" s="2515"/>
      <c r="AC41" s="2496"/>
      <c r="AD41" s="2505"/>
      <c r="AE41" s="2515"/>
      <c r="AF41" s="2496"/>
      <c r="AG41" s="2505"/>
      <c r="AH41" s="2515"/>
    </row>
    <row r="42" spans="1:34">
      <c r="A42" s="2519">
        <v>127</v>
      </c>
      <c r="B42" s="2514" t="s">
        <v>676</v>
      </c>
      <c r="C42" s="2496"/>
      <c r="D42" s="2530">
        <v>0.83048299999999997</v>
      </c>
      <c r="E42" s="2530">
        <v>0.61057600000000001</v>
      </c>
      <c r="F42" s="2531"/>
      <c r="G42" s="2530">
        <v>0.81988499999999997</v>
      </c>
      <c r="H42" s="2530">
        <v>0.59709900000000005</v>
      </c>
      <c r="I42" s="2496"/>
      <c r="J42" s="2517">
        <v>0.80469400000000002</v>
      </c>
      <c r="K42" s="2517">
        <v>0.58363900000000002</v>
      </c>
      <c r="L42" s="2497"/>
      <c r="M42" s="2517">
        <v>0.78817300000000001</v>
      </c>
      <c r="N42" s="2517">
        <v>0.57296800000000003</v>
      </c>
      <c r="O42" s="2532">
        <v>1.889</v>
      </c>
      <c r="P42" s="2536"/>
      <c r="Q42" s="2517">
        <v>0.77113399999999999</v>
      </c>
      <c r="R42" s="2517">
        <v>0.56230999999999998</v>
      </c>
      <c r="S42" s="2532">
        <v>1.19</v>
      </c>
      <c r="T42" s="2496"/>
      <c r="U42" s="2496"/>
      <c r="V42" s="2496"/>
      <c r="W42" s="2520"/>
      <c r="X42" s="2515"/>
      <c r="Y42" s="2515"/>
      <c r="Z42" s="2521"/>
      <c r="AA42" s="2505"/>
      <c r="AB42" s="2515"/>
      <c r="AC42" s="2496"/>
      <c r="AD42" s="2505"/>
      <c r="AE42" s="2515"/>
      <c r="AF42" s="2496"/>
      <c r="AG42" s="2505"/>
      <c r="AH42" s="2515"/>
    </row>
    <row r="43" spans="1:34">
      <c r="A43" s="2519">
        <v>128</v>
      </c>
      <c r="B43" s="2514" t="s">
        <v>677</v>
      </c>
      <c r="C43" s="2496"/>
      <c r="D43" s="2530">
        <v>0.82499199999999995</v>
      </c>
      <c r="E43" s="2530">
        <v>0.59161699999999995</v>
      </c>
      <c r="F43" s="2531"/>
      <c r="G43" s="2530">
        <v>0.81172900000000003</v>
      </c>
      <c r="H43" s="2530">
        <v>0.57712600000000003</v>
      </c>
      <c r="I43" s="2496"/>
      <c r="J43" s="2517">
        <v>0.79583999999999999</v>
      </c>
      <c r="K43" s="2517">
        <v>0.56598800000000005</v>
      </c>
      <c r="L43" s="2497"/>
      <c r="M43" s="2517">
        <v>0.77386200000000005</v>
      </c>
      <c r="N43" s="2517">
        <v>0.55837099999999995</v>
      </c>
      <c r="O43" s="2532">
        <v>1.76</v>
      </c>
      <c r="P43" s="2536"/>
      <c r="Q43" s="2517">
        <v>0.750444</v>
      </c>
      <c r="R43" s="2517">
        <v>0.55052400000000001</v>
      </c>
      <c r="S43" s="2532">
        <v>1.5</v>
      </c>
      <c r="T43" s="2496"/>
      <c r="U43" s="2496"/>
      <c r="V43" s="2496"/>
      <c r="W43" s="2520"/>
      <c r="X43" s="2515"/>
      <c r="Y43" s="2515"/>
      <c r="Z43" s="2521"/>
      <c r="AA43" s="2505"/>
      <c r="AB43" s="2515"/>
      <c r="AC43" s="2496"/>
      <c r="AD43" s="2505"/>
      <c r="AE43" s="2515"/>
      <c r="AF43" s="2496"/>
      <c r="AG43" s="2505"/>
      <c r="AH43" s="2515"/>
    </row>
    <row r="44" spans="1:34">
      <c r="A44" s="2519">
        <v>136</v>
      </c>
      <c r="B44" s="2514" t="s">
        <v>678</v>
      </c>
      <c r="C44" s="2496"/>
      <c r="D44" s="2530">
        <v>0.83258500000000002</v>
      </c>
      <c r="E44" s="2530">
        <v>0.60335799999999995</v>
      </c>
      <c r="F44" s="2531"/>
      <c r="G44" s="2530">
        <v>0.8226</v>
      </c>
      <c r="H44" s="2530">
        <v>0.59129200000000004</v>
      </c>
      <c r="I44" s="2496"/>
      <c r="J44" s="2517">
        <v>0.80717700000000003</v>
      </c>
      <c r="K44" s="2517">
        <v>0.58347700000000002</v>
      </c>
      <c r="L44" s="2497"/>
      <c r="M44" s="2517">
        <v>0.79184100000000002</v>
      </c>
      <c r="N44" s="2517">
        <v>0.57359899999999997</v>
      </c>
      <c r="O44" s="2532">
        <v>1.7270000000000001</v>
      </c>
      <c r="P44" s="2536"/>
      <c r="Q44" s="2517">
        <v>0.77192700000000003</v>
      </c>
      <c r="R44" s="2517">
        <v>0.56376700000000002</v>
      </c>
      <c r="S44" s="2532">
        <v>1.48</v>
      </c>
      <c r="T44" s="2496"/>
      <c r="U44" s="2496"/>
      <c r="V44" s="2496"/>
      <c r="W44" s="2520"/>
      <c r="X44" s="2515"/>
      <c r="Y44" s="2515"/>
      <c r="Z44" s="2521"/>
      <c r="AA44" s="2505"/>
      <c r="AB44" s="2515"/>
      <c r="AC44" s="2496"/>
      <c r="AD44" s="2505"/>
      <c r="AE44" s="2515"/>
      <c r="AF44" s="2496"/>
      <c r="AG44" s="2505"/>
      <c r="AH44" s="2515"/>
    </row>
    <row r="45" spans="1:34">
      <c r="A45" s="2519">
        <v>138</v>
      </c>
      <c r="B45" s="2514" t="s">
        <v>679</v>
      </c>
      <c r="C45" s="2496"/>
      <c r="D45" s="2530">
        <v>0.83969300000000002</v>
      </c>
      <c r="E45" s="2530">
        <v>0.61170800000000003</v>
      </c>
      <c r="F45" s="2531"/>
      <c r="G45" s="2530">
        <v>0.82766899999999999</v>
      </c>
      <c r="H45" s="2530">
        <v>0.59895299999999996</v>
      </c>
      <c r="I45" s="2496"/>
      <c r="J45" s="2517">
        <v>0.81315400000000004</v>
      </c>
      <c r="K45" s="2517">
        <v>0.58679599999999998</v>
      </c>
      <c r="L45" s="2497"/>
      <c r="M45" s="2517">
        <v>0.79748399999999997</v>
      </c>
      <c r="N45" s="2517">
        <v>0.57930199999999998</v>
      </c>
      <c r="O45" s="2532">
        <v>1.875</v>
      </c>
      <c r="P45" s="2536"/>
      <c r="Q45" s="2517">
        <v>0.77847</v>
      </c>
      <c r="R45" s="2517">
        <v>0.56909299999999996</v>
      </c>
      <c r="S45" s="2532">
        <v>1.29</v>
      </c>
      <c r="T45" s="2496"/>
      <c r="U45" s="2496"/>
      <c r="V45" s="2496"/>
      <c r="W45" s="2520"/>
      <c r="X45" s="2515"/>
      <c r="Y45" s="2515"/>
      <c r="Z45" s="2521"/>
      <c r="AA45" s="2505"/>
      <c r="AB45" s="2515"/>
      <c r="AC45" s="2496"/>
      <c r="AD45" s="2505"/>
      <c r="AE45" s="2515"/>
      <c r="AF45" s="2496"/>
      <c r="AG45" s="2505"/>
      <c r="AH45" s="2515"/>
    </row>
    <row r="46" spans="1:34">
      <c r="A46" s="2519">
        <v>139</v>
      </c>
      <c r="B46" s="2514" t="s">
        <v>680</v>
      </c>
      <c r="C46" s="2496"/>
      <c r="D46" s="2530">
        <v>0.82924200000000003</v>
      </c>
      <c r="E46" s="2530">
        <v>0.59298499999999998</v>
      </c>
      <c r="F46" s="2531"/>
      <c r="G46" s="2530">
        <v>0.82069599999999998</v>
      </c>
      <c r="H46" s="2530">
        <v>0.58537600000000001</v>
      </c>
      <c r="I46" s="2496"/>
      <c r="J46" s="2517">
        <v>0.80723999999999996</v>
      </c>
      <c r="K46" s="2517">
        <v>0.57433599999999996</v>
      </c>
      <c r="L46" s="2497"/>
      <c r="M46" s="2517">
        <v>0.78866700000000001</v>
      </c>
      <c r="N46" s="2517">
        <v>0.56294</v>
      </c>
      <c r="O46" s="2532">
        <v>1.7110000000000001</v>
      </c>
      <c r="P46" s="2536"/>
      <c r="Q46" s="2517">
        <v>0.77610599999999996</v>
      </c>
      <c r="R46" s="2517">
        <v>0.56513599999999997</v>
      </c>
      <c r="S46" s="2532">
        <v>1.37</v>
      </c>
      <c r="T46" s="2496"/>
      <c r="U46" s="2496"/>
      <c r="V46" s="2496"/>
      <c r="W46" s="2520"/>
      <c r="X46" s="2515"/>
      <c r="Y46" s="2515"/>
      <c r="Z46" s="2521"/>
      <c r="AA46" s="2505"/>
      <c r="AB46" s="2515"/>
      <c r="AC46" s="2496"/>
      <c r="AD46" s="2505"/>
      <c r="AE46" s="2515"/>
      <c r="AF46" s="2496"/>
      <c r="AG46" s="2505"/>
      <c r="AH46" s="2515"/>
    </row>
    <row r="47" spans="1:34">
      <c r="A47" s="2519">
        <v>140</v>
      </c>
      <c r="B47" s="2514" t="s">
        <v>681</v>
      </c>
      <c r="C47" s="2496"/>
      <c r="D47" s="2530">
        <v>0.82513000000000003</v>
      </c>
      <c r="E47" s="2530">
        <v>0.59611700000000001</v>
      </c>
      <c r="F47" s="2531"/>
      <c r="G47" s="2530">
        <v>0.81231299999999995</v>
      </c>
      <c r="H47" s="2530">
        <v>0.58211800000000002</v>
      </c>
      <c r="I47" s="2496"/>
      <c r="J47" s="2517">
        <v>0.79683899999999996</v>
      </c>
      <c r="K47" s="2517">
        <v>0.56937700000000002</v>
      </c>
      <c r="L47" s="2497"/>
      <c r="M47" s="2517">
        <v>0.78234899999999996</v>
      </c>
      <c r="N47" s="2517">
        <v>0.56084999999999996</v>
      </c>
      <c r="O47" s="2532">
        <v>1.95</v>
      </c>
      <c r="P47" s="2536"/>
      <c r="Q47" s="2517">
        <v>0.76221499999999998</v>
      </c>
      <c r="R47" s="2517">
        <v>0.55666199999999999</v>
      </c>
      <c r="S47" s="2532">
        <v>1.1299999999999999</v>
      </c>
      <c r="T47" s="2496"/>
      <c r="U47" s="2496"/>
      <c r="V47" s="2496"/>
      <c r="W47" s="2520"/>
      <c r="X47" s="2515"/>
      <c r="Y47" s="2515"/>
      <c r="Z47" s="2521"/>
      <c r="AA47" s="2505"/>
      <c r="AB47" s="2515"/>
      <c r="AC47" s="2496"/>
      <c r="AD47" s="2505"/>
      <c r="AE47" s="2515"/>
      <c r="AF47" s="2496"/>
      <c r="AG47" s="2505"/>
      <c r="AH47" s="2515"/>
    </row>
    <row r="48" spans="1:34">
      <c r="A48" s="2519">
        <v>160</v>
      </c>
      <c r="B48" s="2514" t="s">
        <v>682</v>
      </c>
      <c r="C48" s="2496"/>
      <c r="D48" s="2530">
        <v>0.82953900000000003</v>
      </c>
      <c r="E48" s="2530">
        <v>0.60938199999999998</v>
      </c>
      <c r="F48" s="2531"/>
      <c r="G48" s="2530">
        <v>0.81648299999999996</v>
      </c>
      <c r="H48" s="2530">
        <v>0.59595100000000001</v>
      </c>
      <c r="I48" s="2496"/>
      <c r="J48" s="2517">
        <v>0.80135500000000004</v>
      </c>
      <c r="K48" s="2517">
        <v>0.585206</v>
      </c>
      <c r="L48" s="2497"/>
      <c r="M48" s="2517">
        <v>0.781717</v>
      </c>
      <c r="N48" s="2517">
        <v>0.57308700000000001</v>
      </c>
      <c r="O48" s="2532">
        <v>1.84</v>
      </c>
      <c r="P48" s="2536"/>
      <c r="Q48" s="2517">
        <v>0.76156599999999997</v>
      </c>
      <c r="R48" s="2517">
        <v>0.56103599999999998</v>
      </c>
      <c r="S48" s="2532">
        <v>1.31</v>
      </c>
      <c r="T48" s="2496"/>
      <c r="U48" s="2496"/>
      <c r="V48" s="2496"/>
      <c r="W48" s="2520"/>
      <c r="X48" s="2515"/>
      <c r="Y48" s="2515"/>
      <c r="Z48" s="2521"/>
      <c r="AA48" s="2505"/>
      <c r="AB48" s="2515"/>
      <c r="AC48" s="2496"/>
      <c r="AD48" s="2505"/>
      <c r="AE48" s="2515"/>
      <c r="AF48" s="2496"/>
      <c r="AG48" s="2505"/>
      <c r="AH48" s="2515"/>
    </row>
    <row r="49" spans="1:34">
      <c r="A49" s="2519">
        <v>162</v>
      </c>
      <c r="B49" s="2514" t="s">
        <v>683</v>
      </c>
      <c r="C49" s="2496"/>
      <c r="D49" s="2530">
        <v>0.858464</v>
      </c>
      <c r="E49" s="2530">
        <v>0.60764600000000002</v>
      </c>
      <c r="F49" s="2531"/>
      <c r="G49" s="2530">
        <v>0.84745300000000001</v>
      </c>
      <c r="H49" s="2530">
        <v>0.58658999999999994</v>
      </c>
      <c r="I49" s="2496"/>
      <c r="J49" s="2517">
        <v>0.83357499999999995</v>
      </c>
      <c r="K49" s="2517">
        <v>0.566936</v>
      </c>
      <c r="L49" s="2497"/>
      <c r="M49" s="2517">
        <v>0.81476599999999999</v>
      </c>
      <c r="N49" s="2517">
        <v>0.55443600000000004</v>
      </c>
      <c r="O49" s="2532">
        <v>1.91</v>
      </c>
      <c r="P49" s="2536"/>
      <c r="Q49" s="2517">
        <v>0.79571999999999998</v>
      </c>
      <c r="R49" s="2517">
        <v>0.54495199999999999</v>
      </c>
      <c r="S49" s="2532">
        <v>1.55</v>
      </c>
      <c r="T49" s="2496"/>
      <c r="U49" s="2496"/>
      <c r="V49" s="2496"/>
      <c r="W49" s="2520"/>
      <c r="X49" s="2515"/>
      <c r="Y49" s="2515"/>
      <c r="Z49" s="2521"/>
      <c r="AA49" s="2505"/>
      <c r="AB49" s="2515"/>
      <c r="AC49" s="2496"/>
      <c r="AD49" s="2505"/>
      <c r="AE49" s="2515"/>
      <c r="AF49" s="2496"/>
      <c r="AG49" s="2505"/>
      <c r="AH49" s="2515"/>
    </row>
    <row r="50" spans="1:34">
      <c r="A50" s="2519">
        <v>163</v>
      </c>
      <c r="B50" s="2514" t="s">
        <v>684</v>
      </c>
      <c r="C50" s="2496"/>
      <c r="D50" s="2530">
        <v>0.83019900000000002</v>
      </c>
      <c r="E50" s="2530">
        <v>0.59060500000000005</v>
      </c>
      <c r="F50" s="2531"/>
      <c r="G50" s="2530">
        <v>0.81677900000000003</v>
      </c>
      <c r="H50" s="2530">
        <v>0.57658299999999996</v>
      </c>
      <c r="I50" s="2496"/>
      <c r="J50" s="2517">
        <v>0.80272600000000005</v>
      </c>
      <c r="K50" s="2517">
        <v>0.56176800000000005</v>
      </c>
      <c r="L50" s="2497"/>
      <c r="M50" s="2517">
        <v>0.78385000000000005</v>
      </c>
      <c r="N50" s="2517">
        <v>0.549458</v>
      </c>
      <c r="O50" s="2532">
        <v>1.694</v>
      </c>
      <c r="P50" s="2536"/>
      <c r="Q50" s="2517">
        <v>0.761073</v>
      </c>
      <c r="R50" s="2517">
        <v>0.53608699999999998</v>
      </c>
      <c r="S50" s="2532">
        <v>1.34</v>
      </c>
      <c r="T50" s="2496"/>
      <c r="U50" s="2496"/>
      <c r="V50" s="2496"/>
      <c r="W50" s="2520"/>
      <c r="X50" s="2515"/>
      <c r="Y50" s="2515"/>
      <c r="Z50" s="2521"/>
      <c r="AA50" s="2505"/>
      <c r="AB50" s="2515"/>
      <c r="AC50" s="2496"/>
      <c r="AD50" s="2505"/>
      <c r="AE50" s="2515"/>
      <c r="AF50" s="2496"/>
      <c r="AG50" s="2505"/>
      <c r="AH50" s="2515"/>
    </row>
    <row r="51" spans="1:34">
      <c r="A51" s="2519">
        <v>180</v>
      </c>
      <c r="B51" s="2514" t="s">
        <v>685</v>
      </c>
      <c r="C51" s="2496"/>
      <c r="D51" s="2530">
        <v>0.83349399999999996</v>
      </c>
      <c r="E51" s="2530">
        <v>0.56844099999999997</v>
      </c>
      <c r="F51" s="2531"/>
      <c r="G51" s="2530">
        <v>0.82068399999999997</v>
      </c>
      <c r="H51" s="2530">
        <v>0.55995099999999998</v>
      </c>
      <c r="I51" s="2496"/>
      <c r="J51" s="2517">
        <v>0.80509699999999995</v>
      </c>
      <c r="K51" s="2517">
        <v>0.55071999999999999</v>
      </c>
      <c r="L51" s="2497"/>
      <c r="M51" s="2517">
        <v>0.787856</v>
      </c>
      <c r="N51" s="2517">
        <v>0.54024499999999998</v>
      </c>
      <c r="O51" s="2532">
        <v>1.8939999999999999</v>
      </c>
      <c r="P51" s="2536"/>
      <c r="Q51" s="2517">
        <v>0.76833499999999999</v>
      </c>
      <c r="R51" s="2517">
        <v>0.53212599999999999</v>
      </c>
      <c r="S51" s="2532">
        <v>1.52</v>
      </c>
      <c r="T51" s="2496"/>
      <c r="U51" s="2496"/>
      <c r="V51" s="2496"/>
      <c r="W51" s="2520"/>
      <c r="X51" s="2515"/>
      <c r="Y51" s="2515"/>
      <c r="Z51" s="2521"/>
      <c r="AA51" s="2505"/>
      <c r="AB51" s="2515"/>
      <c r="AC51" s="2496"/>
      <c r="AD51" s="2505"/>
      <c r="AE51" s="2515"/>
      <c r="AF51" s="2496"/>
      <c r="AG51" s="2505"/>
      <c r="AH51" s="2515"/>
    </row>
    <row r="52" spans="1:34">
      <c r="A52" s="2519">
        <v>181</v>
      </c>
      <c r="B52" s="2514" t="s">
        <v>686</v>
      </c>
      <c r="C52" s="2496"/>
      <c r="D52" s="2530">
        <v>0.82217300000000004</v>
      </c>
      <c r="E52" s="2530">
        <v>0.58548299999999998</v>
      </c>
      <c r="F52" s="2531"/>
      <c r="G52" s="2530">
        <v>0.81244300000000003</v>
      </c>
      <c r="H52" s="2530">
        <v>0.57680600000000004</v>
      </c>
      <c r="I52" s="2496"/>
      <c r="J52" s="2517">
        <v>0.79876800000000003</v>
      </c>
      <c r="K52" s="2517">
        <v>0.56224399999999997</v>
      </c>
      <c r="L52" s="2497"/>
      <c r="M52" s="2517">
        <v>0.779057</v>
      </c>
      <c r="N52" s="2517">
        <v>0.549871</v>
      </c>
      <c r="O52" s="2532">
        <v>1.46</v>
      </c>
      <c r="P52" s="2536"/>
      <c r="Q52" s="2517">
        <v>0.75511899999999998</v>
      </c>
      <c r="R52" s="2517">
        <v>0.54358600000000001</v>
      </c>
      <c r="S52" s="2532">
        <v>1.24</v>
      </c>
      <c r="T52" s="2496"/>
      <c r="U52" s="2496"/>
      <c r="V52" s="2496"/>
      <c r="W52" s="2520"/>
      <c r="X52" s="2515"/>
      <c r="Y52" s="2515"/>
      <c r="Z52" s="2521"/>
      <c r="AA52" s="2505"/>
      <c r="AB52" s="2515"/>
      <c r="AC52" s="2496"/>
      <c r="AD52" s="2505"/>
      <c r="AE52" s="2515"/>
      <c r="AF52" s="2496"/>
      <c r="AG52" s="2505"/>
      <c r="AH52" s="2515"/>
    </row>
    <row r="53" spans="1:34">
      <c r="A53" s="2519">
        <v>182</v>
      </c>
      <c r="B53" s="2514" t="s">
        <v>687</v>
      </c>
      <c r="C53" s="2496"/>
      <c r="D53" s="2530">
        <v>0.83135599999999998</v>
      </c>
      <c r="E53" s="2530">
        <v>0.572662</v>
      </c>
      <c r="F53" s="2531"/>
      <c r="G53" s="2530">
        <v>0.81655</v>
      </c>
      <c r="H53" s="2530">
        <v>0.56018400000000002</v>
      </c>
      <c r="I53" s="2496"/>
      <c r="J53" s="2517">
        <v>0.80333200000000005</v>
      </c>
      <c r="K53" s="2517">
        <v>0.55689100000000002</v>
      </c>
      <c r="L53" s="2497"/>
      <c r="M53" s="2517">
        <v>0.78638399999999997</v>
      </c>
      <c r="N53" s="2517">
        <v>0.55328900000000003</v>
      </c>
      <c r="O53" s="2532">
        <v>1.752</v>
      </c>
      <c r="P53" s="2536"/>
      <c r="Q53" s="2517">
        <v>0.76792000000000005</v>
      </c>
      <c r="R53" s="2517">
        <v>0.54455799999999999</v>
      </c>
      <c r="S53" s="2532">
        <v>1.24</v>
      </c>
      <c r="T53" s="2496"/>
      <c r="U53" s="2496"/>
      <c r="V53" s="2496"/>
      <c r="W53" s="2520"/>
      <c r="X53" s="2515"/>
      <c r="Y53" s="2515"/>
      <c r="Z53" s="2521"/>
      <c r="AA53" s="2505"/>
      <c r="AB53" s="2515"/>
      <c r="AC53" s="2496"/>
      <c r="AD53" s="2505"/>
      <c r="AE53" s="2515"/>
      <c r="AF53" s="2496"/>
      <c r="AG53" s="2505"/>
      <c r="AH53" s="2515"/>
    </row>
    <row r="54" spans="1:34">
      <c r="A54" s="2519">
        <v>183</v>
      </c>
      <c r="B54" s="2514" t="s">
        <v>688</v>
      </c>
      <c r="C54" s="2496"/>
      <c r="D54" s="2530">
        <v>0.83168799999999998</v>
      </c>
      <c r="E54" s="2530">
        <v>0.60539699999999996</v>
      </c>
      <c r="F54" s="2531"/>
      <c r="G54" s="2530">
        <v>0.81940000000000002</v>
      </c>
      <c r="H54" s="2530">
        <v>0.58935000000000004</v>
      </c>
      <c r="I54" s="2496"/>
      <c r="J54" s="2517">
        <v>0.80545</v>
      </c>
      <c r="K54" s="2517">
        <v>0.579511</v>
      </c>
      <c r="L54" s="2497"/>
      <c r="M54" s="2517">
        <v>0.769872</v>
      </c>
      <c r="N54" s="2517">
        <v>0.53530999999999995</v>
      </c>
      <c r="O54" s="2532">
        <v>1.802</v>
      </c>
      <c r="P54" s="2536"/>
      <c r="Q54" s="2517">
        <v>0.75409700000000002</v>
      </c>
      <c r="R54" s="2517">
        <v>0.53032500000000005</v>
      </c>
      <c r="S54" s="2532">
        <v>1.75</v>
      </c>
      <c r="T54" s="2496"/>
      <c r="U54" s="2496"/>
      <c r="V54" s="2496"/>
      <c r="W54" s="2520"/>
      <c r="X54" s="2515"/>
      <c r="Y54" s="2515"/>
      <c r="Z54" s="2521"/>
      <c r="AA54" s="2505"/>
      <c r="AB54" s="2515"/>
      <c r="AC54" s="2496"/>
      <c r="AD54" s="2505"/>
      <c r="AE54" s="2515"/>
      <c r="AF54" s="2496"/>
      <c r="AG54" s="2505"/>
      <c r="AH54" s="2515"/>
    </row>
    <row r="55" spans="1:34">
      <c r="A55" s="2519">
        <v>184</v>
      </c>
      <c r="B55" s="2514" t="s">
        <v>689</v>
      </c>
      <c r="C55" s="2496"/>
      <c r="D55" s="2530">
        <v>0.81219799999999998</v>
      </c>
      <c r="E55" s="2530">
        <v>0.54553300000000005</v>
      </c>
      <c r="F55" s="2531"/>
      <c r="G55" s="2530">
        <v>0.80047800000000002</v>
      </c>
      <c r="H55" s="2530">
        <v>0.53581900000000005</v>
      </c>
      <c r="I55" s="2496"/>
      <c r="J55" s="2517">
        <v>0.78194200000000003</v>
      </c>
      <c r="K55" s="2517">
        <v>0.52712599999999998</v>
      </c>
      <c r="L55" s="2497"/>
      <c r="M55" s="2517">
        <v>0.76803100000000002</v>
      </c>
      <c r="N55" s="2517">
        <v>0.51713200000000004</v>
      </c>
      <c r="O55" s="2532">
        <v>1.52</v>
      </c>
      <c r="P55" s="2536"/>
      <c r="Q55" s="2517">
        <v>0.74738499999999997</v>
      </c>
      <c r="R55" s="2517">
        <v>0.50727100000000003</v>
      </c>
      <c r="S55" s="2532">
        <v>1.19</v>
      </c>
      <c r="T55" s="2496"/>
      <c r="U55" s="2496"/>
      <c r="V55" s="2496"/>
      <c r="W55" s="2520"/>
      <c r="X55" s="2515"/>
      <c r="Y55" s="2515"/>
      <c r="Z55" s="2521"/>
      <c r="AA55" s="2505"/>
      <c r="AB55" s="2515"/>
      <c r="AC55" s="2496"/>
      <c r="AD55" s="2505"/>
      <c r="AE55" s="2515"/>
      <c r="AF55" s="2496"/>
      <c r="AG55" s="2505"/>
      <c r="AH55" s="2515"/>
    </row>
    <row r="56" spans="1:34">
      <c r="A56" s="2519">
        <v>186</v>
      </c>
      <c r="B56" s="2514" t="s">
        <v>690</v>
      </c>
      <c r="C56" s="2496"/>
      <c r="D56" s="2530">
        <v>0.84253599999999995</v>
      </c>
      <c r="E56" s="2530">
        <v>0.63627500000000003</v>
      </c>
      <c r="F56" s="2531"/>
      <c r="G56" s="2530">
        <v>0.830121</v>
      </c>
      <c r="H56" s="2530">
        <v>0.62474499999999999</v>
      </c>
      <c r="I56" s="2496"/>
      <c r="J56" s="2517">
        <v>0.81624399999999997</v>
      </c>
      <c r="K56" s="2517">
        <v>0.61505299999999996</v>
      </c>
      <c r="L56" s="2497"/>
      <c r="M56" s="2517">
        <v>0.79877500000000001</v>
      </c>
      <c r="N56" s="2517">
        <v>0.59929200000000005</v>
      </c>
      <c r="O56" s="2532">
        <v>1.899</v>
      </c>
      <c r="P56" s="2536"/>
      <c r="Q56" s="2517">
        <v>0.78063000000000005</v>
      </c>
      <c r="R56" s="2517">
        <v>0.58851399999999998</v>
      </c>
      <c r="S56" s="2532">
        <v>1.51</v>
      </c>
      <c r="T56" s="2496"/>
      <c r="U56" s="2496"/>
      <c r="V56" s="2496"/>
      <c r="W56" s="2520"/>
      <c r="X56" s="2515"/>
      <c r="Y56" s="2515"/>
      <c r="Z56" s="2521"/>
      <c r="AA56" s="2505"/>
      <c r="AB56" s="2515"/>
      <c r="AC56" s="2496"/>
      <c r="AD56" s="2505"/>
      <c r="AE56" s="2515"/>
      <c r="AF56" s="2496"/>
      <c r="AG56" s="2505"/>
      <c r="AH56" s="2515"/>
    </row>
    <row r="57" spans="1:34">
      <c r="A57" s="2519">
        <v>187</v>
      </c>
      <c r="B57" s="2514" t="s">
        <v>691</v>
      </c>
      <c r="C57" s="2496"/>
      <c r="D57" s="2530">
        <v>0.83952099999999996</v>
      </c>
      <c r="E57" s="2530">
        <v>0.62040399999999996</v>
      </c>
      <c r="F57" s="2531"/>
      <c r="G57" s="2530">
        <v>0.82691599999999998</v>
      </c>
      <c r="H57" s="2530">
        <v>0.61060499999999995</v>
      </c>
      <c r="I57" s="2496"/>
      <c r="J57" s="2517">
        <v>0.81619600000000003</v>
      </c>
      <c r="K57" s="2517">
        <v>0.59494999999999998</v>
      </c>
      <c r="L57" s="2497"/>
      <c r="M57" s="2517">
        <v>0.79729499999999998</v>
      </c>
      <c r="N57" s="2517">
        <v>0.58586199999999999</v>
      </c>
      <c r="O57" s="2532">
        <v>1.895</v>
      </c>
      <c r="P57" s="2536"/>
      <c r="Q57" s="2517">
        <v>0.77953899999999998</v>
      </c>
      <c r="R57" s="2517">
        <v>0.57420000000000004</v>
      </c>
      <c r="S57" s="2532">
        <v>1.75</v>
      </c>
      <c r="T57" s="2496"/>
      <c r="U57" s="2496"/>
      <c r="V57" s="2496"/>
      <c r="W57" s="2520"/>
      <c r="X57" s="2515"/>
      <c r="Y57" s="2515"/>
      <c r="Z57" s="2521"/>
      <c r="AA57" s="2505"/>
      <c r="AB57" s="2515"/>
      <c r="AC57" s="2496"/>
      <c r="AD57" s="2505"/>
      <c r="AE57" s="2515"/>
      <c r="AF57" s="2496"/>
      <c r="AG57" s="2505"/>
      <c r="AH57" s="2515"/>
    </row>
    <row r="58" spans="1:34">
      <c r="A58" s="2519">
        <v>188</v>
      </c>
      <c r="B58" s="2514" t="s">
        <v>692</v>
      </c>
      <c r="C58" s="2496"/>
      <c r="D58" s="2530">
        <v>0.84620099999999998</v>
      </c>
      <c r="E58" s="2530">
        <v>0.609016</v>
      </c>
      <c r="F58" s="2531"/>
      <c r="G58" s="2530">
        <v>0.83840599999999998</v>
      </c>
      <c r="H58" s="2530">
        <v>0.59870999999999996</v>
      </c>
      <c r="I58" s="2496"/>
      <c r="J58" s="2517">
        <v>0.825457</v>
      </c>
      <c r="K58" s="2517">
        <v>0.59002399999999999</v>
      </c>
      <c r="L58" s="2497"/>
      <c r="M58" s="2517">
        <v>0.81137499999999996</v>
      </c>
      <c r="N58" s="2517">
        <v>0.57845199999999997</v>
      </c>
      <c r="O58" s="2532">
        <v>1.534</v>
      </c>
      <c r="P58" s="2536"/>
      <c r="Q58" s="2517">
        <v>0.79667900000000003</v>
      </c>
      <c r="R58" s="2517">
        <v>0.56993099999999997</v>
      </c>
      <c r="S58" s="2532">
        <v>1.36</v>
      </c>
      <c r="T58" s="2496"/>
      <c r="U58" s="2496"/>
      <c r="V58" s="2496"/>
      <c r="W58" s="2520"/>
      <c r="X58" s="2515"/>
      <c r="Y58" s="2515"/>
      <c r="Z58" s="2521"/>
      <c r="AA58" s="2505"/>
      <c r="AB58" s="2515"/>
      <c r="AC58" s="2496"/>
      <c r="AD58" s="2505"/>
      <c r="AE58" s="2515"/>
      <c r="AF58" s="2496"/>
      <c r="AG58" s="2505"/>
      <c r="AH58" s="2515"/>
    </row>
    <row r="59" spans="1:34">
      <c r="A59" s="2519">
        <v>191</v>
      </c>
      <c r="B59" s="2514" t="s">
        <v>693</v>
      </c>
      <c r="C59" s="2496"/>
      <c r="D59" s="2530">
        <v>0.83379300000000001</v>
      </c>
      <c r="E59" s="2530">
        <v>0.60088200000000003</v>
      </c>
      <c r="F59" s="2531"/>
      <c r="G59" s="2530">
        <v>0.82420800000000005</v>
      </c>
      <c r="H59" s="2530">
        <v>0.59007299999999996</v>
      </c>
      <c r="I59" s="2496"/>
      <c r="J59" s="2517">
        <v>0.808361</v>
      </c>
      <c r="K59" s="2517">
        <v>0.58094599999999996</v>
      </c>
      <c r="L59" s="2497"/>
      <c r="M59" s="2517">
        <v>0.79343900000000001</v>
      </c>
      <c r="N59" s="2517">
        <v>0.56975100000000001</v>
      </c>
      <c r="O59" s="2532">
        <v>1.7929999999999999</v>
      </c>
      <c r="P59" s="2536"/>
      <c r="Q59" s="2517">
        <v>0.77766800000000003</v>
      </c>
      <c r="R59" s="2517">
        <v>0.56123000000000001</v>
      </c>
      <c r="S59" s="2532">
        <v>1.4</v>
      </c>
      <c r="T59" s="2496"/>
      <c r="U59" s="2496"/>
      <c r="V59" s="2496"/>
      <c r="W59" s="2520"/>
      <c r="X59" s="2515"/>
      <c r="Y59" s="2515"/>
      <c r="Z59" s="2521"/>
      <c r="AA59" s="2505"/>
      <c r="AB59" s="2515"/>
      <c r="AC59" s="2496"/>
      <c r="AD59" s="2505"/>
      <c r="AE59" s="2515"/>
      <c r="AF59" s="2496"/>
      <c r="AG59" s="2505"/>
      <c r="AH59" s="2515"/>
    </row>
    <row r="60" spans="1:34">
      <c r="A60" s="2519">
        <v>192</v>
      </c>
      <c r="B60" s="2514" t="s">
        <v>694</v>
      </c>
      <c r="C60" s="2496"/>
      <c r="D60" s="2530">
        <v>0.84610600000000002</v>
      </c>
      <c r="E60" s="2530">
        <v>0.61538800000000005</v>
      </c>
      <c r="F60" s="2531"/>
      <c r="G60" s="2530">
        <v>0.83548999999999995</v>
      </c>
      <c r="H60" s="2530">
        <v>0.59754499999999999</v>
      </c>
      <c r="I60" s="2496"/>
      <c r="J60" s="2517">
        <v>0.82304100000000002</v>
      </c>
      <c r="K60" s="2517">
        <v>0.58338999999999996</v>
      </c>
      <c r="L60" s="2497"/>
      <c r="M60" s="2517">
        <v>0.80823299999999998</v>
      </c>
      <c r="N60" s="2517">
        <v>0.57398700000000002</v>
      </c>
      <c r="O60" s="2532">
        <v>1.55</v>
      </c>
      <c r="P60" s="2536"/>
      <c r="Q60" s="2517">
        <v>0.79330500000000004</v>
      </c>
      <c r="R60" s="2517">
        <v>0.56337000000000004</v>
      </c>
      <c r="S60" s="2532">
        <v>1.02</v>
      </c>
      <c r="T60" s="2496"/>
      <c r="U60" s="2496"/>
      <c r="V60" s="2496"/>
      <c r="W60" s="2520"/>
      <c r="X60" s="2515"/>
      <c r="Y60" s="2515"/>
      <c r="Z60" s="2521"/>
      <c r="AA60" s="2505"/>
      <c r="AB60" s="2515"/>
      <c r="AC60" s="2496"/>
      <c r="AD60" s="2505"/>
      <c r="AE60" s="2515"/>
      <c r="AF60" s="2496"/>
      <c r="AG60" s="2505"/>
      <c r="AH60" s="2515"/>
    </row>
    <row r="61" spans="1:34">
      <c r="A61" s="2519">
        <v>305</v>
      </c>
      <c r="B61" s="2514" t="s">
        <v>698</v>
      </c>
      <c r="C61" s="2496"/>
      <c r="D61" s="2530">
        <v>0.84004699999999999</v>
      </c>
      <c r="E61" s="2530">
        <v>0.59899100000000005</v>
      </c>
      <c r="F61" s="2531"/>
      <c r="G61" s="2530">
        <v>0.83040099999999994</v>
      </c>
      <c r="H61" s="2530">
        <v>0.58901000000000003</v>
      </c>
      <c r="I61" s="2496"/>
      <c r="J61" s="2517">
        <v>0.81853299999999996</v>
      </c>
      <c r="K61" s="2517">
        <v>0.57630099999999995</v>
      </c>
      <c r="L61" s="2497"/>
      <c r="M61" s="2517">
        <v>0.80658600000000003</v>
      </c>
      <c r="N61" s="2517">
        <v>0.56772</v>
      </c>
      <c r="O61" s="2532">
        <v>1.706</v>
      </c>
      <c r="P61" s="2536"/>
      <c r="Q61" s="2517">
        <v>0.78975899999999999</v>
      </c>
      <c r="R61" s="2517">
        <v>0.56009600000000004</v>
      </c>
      <c r="S61" s="2532">
        <v>1.05</v>
      </c>
      <c r="T61" s="2496"/>
      <c r="U61" s="2496"/>
      <c r="V61" s="2496"/>
      <c r="W61" s="2520"/>
      <c r="X61" s="2515"/>
      <c r="Y61" s="2515"/>
      <c r="Z61" s="2521"/>
      <c r="AA61" s="2505"/>
      <c r="AB61" s="2515"/>
      <c r="AC61" s="2496"/>
      <c r="AD61" s="2505"/>
      <c r="AE61" s="2515"/>
      <c r="AF61" s="2496"/>
      <c r="AG61" s="2505"/>
      <c r="AH61" s="2515"/>
    </row>
    <row r="62" spans="1:34">
      <c r="A62" s="2519">
        <v>319</v>
      </c>
      <c r="B62" s="2514" t="s">
        <v>699</v>
      </c>
      <c r="C62" s="2496"/>
      <c r="D62" s="2530">
        <v>0.86136100000000004</v>
      </c>
      <c r="E62" s="2530">
        <v>0.59532700000000005</v>
      </c>
      <c r="F62" s="2531"/>
      <c r="G62" s="2530">
        <v>0.850657</v>
      </c>
      <c r="H62" s="2530">
        <v>0.58380100000000001</v>
      </c>
      <c r="I62" s="2496"/>
      <c r="J62" s="2517">
        <v>0.84116299999999999</v>
      </c>
      <c r="K62" s="2517">
        <v>0.57484800000000003</v>
      </c>
      <c r="L62" s="2497"/>
      <c r="M62" s="2517">
        <v>0.829627</v>
      </c>
      <c r="N62" s="2517">
        <v>0.56682100000000002</v>
      </c>
      <c r="O62" s="2532" t="s">
        <v>390</v>
      </c>
      <c r="P62" s="2536"/>
      <c r="Q62" s="2517">
        <v>0.81825999999999999</v>
      </c>
      <c r="R62" s="2517">
        <v>0.56286899999999995</v>
      </c>
      <c r="S62" s="2532" t="s">
        <v>390</v>
      </c>
      <c r="T62" s="2496"/>
      <c r="U62" s="2496"/>
      <c r="V62" s="2496"/>
      <c r="W62" s="2520"/>
      <c r="X62" s="2515"/>
      <c r="Y62" s="2515"/>
      <c r="Z62" s="2521"/>
      <c r="AA62" s="2505"/>
      <c r="AB62" s="2515"/>
      <c r="AC62" s="2496"/>
      <c r="AD62" s="2505"/>
      <c r="AE62" s="2515"/>
      <c r="AF62" s="2496"/>
      <c r="AG62" s="2505"/>
      <c r="AH62" s="2515"/>
    </row>
    <row r="63" spans="1:34">
      <c r="A63" s="2519">
        <v>330</v>
      </c>
      <c r="B63" s="2514" t="s">
        <v>700</v>
      </c>
      <c r="C63" s="2496"/>
      <c r="D63" s="2530">
        <v>0.84309400000000001</v>
      </c>
      <c r="E63" s="2530">
        <v>0.60521599999999998</v>
      </c>
      <c r="F63" s="2531"/>
      <c r="G63" s="2530">
        <v>0.83331</v>
      </c>
      <c r="H63" s="2530">
        <v>0.59130899999999997</v>
      </c>
      <c r="I63" s="2496"/>
      <c r="J63" s="2517">
        <v>0.82256600000000002</v>
      </c>
      <c r="K63" s="2517">
        <v>0.58130000000000004</v>
      </c>
      <c r="L63" s="2497"/>
      <c r="M63" s="2517">
        <v>0.81026699999999996</v>
      </c>
      <c r="N63" s="2517">
        <v>0.57276300000000002</v>
      </c>
      <c r="O63" s="2532">
        <v>2.0339999999999998</v>
      </c>
      <c r="P63" s="2536"/>
      <c r="Q63" s="2517">
        <v>0.79412099999999997</v>
      </c>
      <c r="R63" s="2517">
        <v>0.56144799999999995</v>
      </c>
      <c r="S63" s="2532">
        <v>1.21</v>
      </c>
      <c r="T63" s="2496"/>
      <c r="U63" s="2496"/>
      <c r="V63" s="2496"/>
      <c r="W63" s="2520"/>
      <c r="X63" s="2515"/>
      <c r="Y63" s="2523"/>
      <c r="Z63" s="2521"/>
      <c r="AA63" s="2522"/>
      <c r="AB63" s="2522"/>
      <c r="AC63" s="2521"/>
      <c r="AD63" s="2522"/>
      <c r="AE63" s="2522"/>
      <c r="AF63" s="2521"/>
      <c r="AG63" s="2522"/>
      <c r="AH63" s="2522"/>
    </row>
    <row r="64" spans="1:34">
      <c r="A64" s="2519">
        <v>331</v>
      </c>
      <c r="B64" s="2514" t="s">
        <v>701</v>
      </c>
      <c r="C64" s="2496"/>
      <c r="D64" s="2530">
        <v>0.86767700000000003</v>
      </c>
      <c r="E64" s="2530">
        <v>0.62355700000000003</v>
      </c>
      <c r="F64" s="2531"/>
      <c r="G64" s="2530">
        <v>0.86113399999999996</v>
      </c>
      <c r="H64" s="2530">
        <v>0.61398900000000001</v>
      </c>
      <c r="I64" s="2496"/>
      <c r="J64" s="2517">
        <v>0.85185100000000002</v>
      </c>
      <c r="K64" s="2517">
        <v>0.60482800000000003</v>
      </c>
      <c r="L64" s="2497"/>
      <c r="M64" s="2517">
        <v>0.84431800000000001</v>
      </c>
      <c r="N64" s="2517">
        <v>0.59281700000000004</v>
      </c>
      <c r="O64" s="2532">
        <v>1.78</v>
      </c>
      <c r="P64" s="2536"/>
      <c r="Q64" s="2517">
        <v>0.83262199999999997</v>
      </c>
      <c r="R64" s="2517">
        <v>0.581758</v>
      </c>
      <c r="S64" s="2532" t="s">
        <v>390</v>
      </c>
      <c r="T64" s="2496"/>
      <c r="U64" s="2496"/>
      <c r="V64" s="2496"/>
      <c r="W64" s="2520"/>
      <c r="X64" s="2515"/>
      <c r="Y64" s="2515"/>
      <c r="Z64" s="2521"/>
      <c r="AA64" s="2505"/>
      <c r="AB64" s="2515"/>
      <c r="AC64" s="2496"/>
      <c r="AD64" s="2505"/>
      <c r="AE64" s="2515"/>
      <c r="AF64" s="2496"/>
      <c r="AG64" s="2505"/>
      <c r="AH64" s="2515"/>
    </row>
    <row r="65" spans="1:34">
      <c r="A65" s="2519">
        <v>360</v>
      </c>
      <c r="B65" s="2514" t="s">
        <v>702</v>
      </c>
      <c r="C65" s="2496"/>
      <c r="D65" s="2530">
        <v>0.86446800000000001</v>
      </c>
      <c r="E65" s="2530">
        <v>0.61674200000000001</v>
      </c>
      <c r="F65" s="2531"/>
      <c r="G65" s="2530">
        <v>0.85860300000000001</v>
      </c>
      <c r="H65" s="2530">
        <v>0.60239699999999996</v>
      </c>
      <c r="I65" s="2496"/>
      <c r="J65" s="2517">
        <v>0.85075999999999996</v>
      </c>
      <c r="K65" s="2517">
        <v>0.59322900000000001</v>
      </c>
      <c r="L65" s="2497"/>
      <c r="M65" s="2517">
        <v>0.84329100000000001</v>
      </c>
      <c r="N65" s="2517">
        <v>0.58584999999999998</v>
      </c>
      <c r="O65" s="2532">
        <v>1.7749999999999999</v>
      </c>
      <c r="P65" s="2536"/>
      <c r="Q65" s="2517">
        <v>0.83270299999999997</v>
      </c>
      <c r="R65" s="2517">
        <v>0.57550800000000002</v>
      </c>
      <c r="S65" s="2532">
        <v>1.77</v>
      </c>
      <c r="T65" s="2496"/>
      <c r="U65" s="2496"/>
      <c r="V65" s="2496"/>
      <c r="W65" s="2520"/>
      <c r="X65" s="2515"/>
      <c r="Y65" s="2524"/>
      <c r="Z65" s="2525"/>
      <c r="AA65" s="2524"/>
      <c r="AB65" s="2524"/>
      <c r="AC65" s="2526"/>
      <c r="AD65" s="2524"/>
      <c r="AE65" s="2524"/>
      <c r="AF65" s="2526"/>
      <c r="AG65" s="2524"/>
      <c r="AH65" s="2524"/>
    </row>
    <row r="66" spans="1:34">
      <c r="A66" s="2519">
        <v>380</v>
      </c>
      <c r="B66" s="2514" t="s">
        <v>703</v>
      </c>
      <c r="C66" s="2496"/>
      <c r="D66" s="2530">
        <v>0.84025099999999997</v>
      </c>
      <c r="E66" s="2530">
        <v>0.58119500000000002</v>
      </c>
      <c r="F66" s="2531"/>
      <c r="G66" s="2530">
        <v>0.83055800000000002</v>
      </c>
      <c r="H66" s="2530">
        <v>0.57833999999999997</v>
      </c>
      <c r="I66" s="2496"/>
      <c r="J66" s="2517">
        <v>0.81942400000000004</v>
      </c>
      <c r="K66" s="2517">
        <v>0.56701000000000001</v>
      </c>
      <c r="L66" s="2497"/>
      <c r="M66" s="2517">
        <v>0.80517499999999997</v>
      </c>
      <c r="N66" s="2517">
        <v>0.55860200000000004</v>
      </c>
      <c r="O66" s="2532">
        <v>1.82</v>
      </c>
      <c r="P66" s="2536"/>
      <c r="Q66" s="2517">
        <v>0.78892799999999996</v>
      </c>
      <c r="R66" s="2517">
        <v>0.55015400000000003</v>
      </c>
      <c r="S66" s="2532">
        <v>1.25</v>
      </c>
      <c r="T66" s="2496"/>
      <c r="U66" s="2496"/>
      <c r="V66" s="2496"/>
      <c r="W66" s="2520"/>
      <c r="X66" s="2515"/>
      <c r="Y66" s="2515"/>
      <c r="Z66" s="2521"/>
      <c r="AA66" s="2505"/>
      <c r="AB66" s="2515"/>
      <c r="AC66" s="2496"/>
      <c r="AD66" s="2505"/>
      <c r="AE66" s="2515"/>
      <c r="AF66" s="2496"/>
      <c r="AG66" s="2505"/>
      <c r="AH66" s="2515"/>
    </row>
    <row r="67" spans="1:34">
      <c r="A67" s="2519">
        <v>381</v>
      </c>
      <c r="B67" s="2514" t="s">
        <v>704</v>
      </c>
      <c r="C67" s="2496"/>
      <c r="D67" s="2530">
        <v>0.84204699999999999</v>
      </c>
      <c r="E67" s="2530">
        <v>0.60091300000000003</v>
      </c>
      <c r="F67" s="2531"/>
      <c r="G67" s="2530">
        <v>0.83207100000000001</v>
      </c>
      <c r="H67" s="2530">
        <v>0.59089499999999995</v>
      </c>
      <c r="I67" s="2496"/>
      <c r="J67" s="2517">
        <v>0.81923199999999996</v>
      </c>
      <c r="K67" s="2517">
        <v>0.58099299999999998</v>
      </c>
      <c r="L67" s="2497"/>
      <c r="M67" s="2517">
        <v>0.80681199999999997</v>
      </c>
      <c r="N67" s="2517">
        <v>0.57137800000000005</v>
      </c>
      <c r="O67" s="2532">
        <v>1.821</v>
      </c>
      <c r="P67" s="2536"/>
      <c r="Q67" s="2517">
        <v>0.79308299999999998</v>
      </c>
      <c r="R67" s="2517">
        <v>0.56180799999999997</v>
      </c>
      <c r="S67" s="2532">
        <v>1.18</v>
      </c>
      <c r="T67" s="2496"/>
      <c r="U67" s="2496"/>
      <c r="V67" s="2496"/>
      <c r="W67" s="2520"/>
      <c r="X67" s="2515"/>
      <c r="Y67" s="2515"/>
      <c r="Z67" s="2521"/>
      <c r="AA67" s="2505"/>
      <c r="AB67" s="2515"/>
      <c r="AC67" s="2496"/>
      <c r="AD67" s="2505"/>
      <c r="AE67" s="2515"/>
      <c r="AF67" s="2496"/>
      <c r="AG67" s="2505"/>
      <c r="AH67" s="2515"/>
    </row>
    <row r="68" spans="1:34">
      <c r="A68" s="2519">
        <v>382</v>
      </c>
      <c r="B68" s="2514" t="s">
        <v>705</v>
      </c>
      <c r="C68" s="2496"/>
      <c r="D68" s="2530">
        <v>0.86052300000000004</v>
      </c>
      <c r="E68" s="2530">
        <v>0.61909400000000003</v>
      </c>
      <c r="F68" s="2531"/>
      <c r="G68" s="2530">
        <v>0.85541999999999996</v>
      </c>
      <c r="H68" s="2530">
        <v>0.60655300000000001</v>
      </c>
      <c r="I68" s="2496"/>
      <c r="J68" s="2517">
        <v>0.84979700000000002</v>
      </c>
      <c r="K68" s="2517">
        <v>0.59887299999999999</v>
      </c>
      <c r="L68" s="2497"/>
      <c r="M68" s="2517">
        <v>0.83648500000000003</v>
      </c>
      <c r="N68" s="2517">
        <v>0.58511800000000003</v>
      </c>
      <c r="O68" s="2532">
        <v>2.1</v>
      </c>
      <c r="P68" s="2536"/>
      <c r="Q68" s="2517">
        <v>0.823546</v>
      </c>
      <c r="R68" s="2517">
        <v>0.57463500000000001</v>
      </c>
      <c r="S68" s="2532">
        <v>1.0900000000000001</v>
      </c>
      <c r="T68" s="2496"/>
      <c r="U68" s="2496"/>
      <c r="V68" s="2496"/>
      <c r="W68" s="2520"/>
      <c r="X68" s="2515"/>
      <c r="Y68" s="2515"/>
      <c r="Z68" s="2521"/>
      <c r="AA68" s="2505"/>
      <c r="AB68" s="2515"/>
      <c r="AC68" s="2496"/>
      <c r="AD68" s="2505"/>
      <c r="AE68" s="2515"/>
      <c r="AF68" s="2496"/>
      <c r="AG68" s="2505"/>
      <c r="AH68" s="2515"/>
    </row>
    <row r="69" spans="1:34">
      <c r="A69" s="2519">
        <v>428</v>
      </c>
      <c r="B69" s="2514" t="s">
        <v>707</v>
      </c>
      <c r="C69" s="2496"/>
      <c r="D69" s="2530">
        <v>0.85470999999999997</v>
      </c>
      <c r="E69" s="2530">
        <v>0.60883500000000002</v>
      </c>
      <c r="F69" s="2531"/>
      <c r="G69" s="2530">
        <v>0.84743199999999996</v>
      </c>
      <c r="H69" s="2530">
        <v>0.59562400000000004</v>
      </c>
      <c r="I69" s="2496"/>
      <c r="J69" s="2517">
        <v>0.836619</v>
      </c>
      <c r="K69" s="2517">
        <v>0.58516100000000004</v>
      </c>
      <c r="L69" s="2497"/>
      <c r="M69" s="2517">
        <v>0.82437000000000005</v>
      </c>
      <c r="N69" s="2517">
        <v>0.57791899999999996</v>
      </c>
      <c r="O69" s="2532">
        <v>1.5649999999999999</v>
      </c>
      <c r="P69" s="2536"/>
      <c r="Q69" s="2517">
        <v>0.81401699999999999</v>
      </c>
      <c r="R69" s="2517">
        <v>0.57085699999999995</v>
      </c>
      <c r="S69" s="2532">
        <v>0.95</v>
      </c>
      <c r="T69" s="2496"/>
      <c r="U69" s="2496"/>
      <c r="V69" s="2496"/>
      <c r="W69" s="2520"/>
      <c r="X69" s="2515"/>
      <c r="Y69" s="2515"/>
      <c r="Z69" s="2521"/>
      <c r="AA69" s="2505"/>
      <c r="AB69" s="2515"/>
      <c r="AC69" s="2496"/>
      <c r="AD69" s="2505"/>
      <c r="AE69" s="2515"/>
      <c r="AF69" s="2496"/>
      <c r="AG69" s="2505"/>
      <c r="AH69" s="2515"/>
    </row>
    <row r="70" spans="1:34">
      <c r="A70" s="2519">
        <v>461</v>
      </c>
      <c r="B70" s="2514" t="s">
        <v>708</v>
      </c>
      <c r="C70" s="2496"/>
      <c r="D70" s="2530">
        <v>0.84302200000000005</v>
      </c>
      <c r="E70" s="2530">
        <v>0.60740499999999997</v>
      </c>
      <c r="F70" s="2531"/>
      <c r="G70" s="2530">
        <v>0.83509100000000003</v>
      </c>
      <c r="H70" s="2530">
        <v>0.59758100000000003</v>
      </c>
      <c r="I70" s="2496"/>
      <c r="J70" s="2517">
        <v>0.82507200000000003</v>
      </c>
      <c r="K70" s="2517">
        <v>0.58412200000000003</v>
      </c>
      <c r="L70" s="2497"/>
      <c r="M70" s="2517">
        <v>0.813029</v>
      </c>
      <c r="N70" s="2517">
        <v>0.57336100000000001</v>
      </c>
      <c r="O70" s="2532">
        <v>1.335</v>
      </c>
      <c r="P70" s="2536"/>
      <c r="Q70" s="2517">
        <v>0.79707499999999998</v>
      </c>
      <c r="R70" s="2517">
        <v>0.56716100000000003</v>
      </c>
      <c r="S70" s="2532">
        <v>1.17</v>
      </c>
      <c r="T70" s="2496"/>
      <c r="U70" s="2496"/>
      <c r="V70" s="2496"/>
      <c r="W70" s="2520"/>
      <c r="X70" s="2515"/>
      <c r="Y70" s="2515"/>
      <c r="Z70" s="2521"/>
      <c r="AA70" s="2505"/>
      <c r="AB70" s="2515"/>
      <c r="AC70" s="2496"/>
      <c r="AD70" s="2505"/>
      <c r="AE70" s="2515"/>
      <c r="AF70" s="2496"/>
      <c r="AG70" s="2505"/>
      <c r="AH70" s="2515"/>
    </row>
    <row r="71" spans="1:34">
      <c r="A71" s="2519">
        <v>480</v>
      </c>
      <c r="B71" s="2514" t="s">
        <v>709</v>
      </c>
      <c r="C71" s="2496"/>
      <c r="D71" s="2530">
        <v>0.83145800000000003</v>
      </c>
      <c r="E71" s="2530">
        <v>0.57632300000000003</v>
      </c>
      <c r="F71" s="2531"/>
      <c r="G71" s="2530">
        <v>0.82145000000000001</v>
      </c>
      <c r="H71" s="2530">
        <v>0.56766300000000003</v>
      </c>
      <c r="I71" s="2496"/>
      <c r="J71" s="2517">
        <v>0.80910099999999996</v>
      </c>
      <c r="K71" s="2517">
        <v>0.56061700000000003</v>
      </c>
      <c r="L71" s="2497"/>
      <c r="M71" s="2517">
        <v>0.79422999999999999</v>
      </c>
      <c r="N71" s="2517">
        <v>0.55205199999999999</v>
      </c>
      <c r="O71" s="2532">
        <v>1.462</v>
      </c>
      <c r="P71" s="2536"/>
      <c r="Q71" s="2517">
        <v>0.77658099999999997</v>
      </c>
      <c r="R71" s="2517">
        <v>0.54464900000000005</v>
      </c>
      <c r="S71" s="2532">
        <v>1.35</v>
      </c>
      <c r="T71" s="2496"/>
      <c r="U71" s="2496"/>
      <c r="V71" s="2496"/>
      <c r="W71" s="2520"/>
      <c r="X71" s="2515"/>
      <c r="Y71" s="2515"/>
      <c r="Z71" s="2521"/>
      <c r="AA71" s="2505"/>
      <c r="AB71" s="2515"/>
      <c r="AC71" s="2496"/>
      <c r="AD71" s="2505"/>
      <c r="AE71" s="2515"/>
      <c r="AF71" s="2496"/>
      <c r="AG71" s="2505"/>
      <c r="AH71" s="2515"/>
    </row>
    <row r="72" spans="1:34">
      <c r="A72" s="2519">
        <v>481</v>
      </c>
      <c r="B72" s="2514" t="s">
        <v>710</v>
      </c>
      <c r="C72" s="2496"/>
      <c r="D72" s="2530">
        <v>0.82986700000000002</v>
      </c>
      <c r="E72" s="2530">
        <v>0.57482100000000003</v>
      </c>
      <c r="F72" s="2531"/>
      <c r="G72" s="2530">
        <v>0.81807099999999999</v>
      </c>
      <c r="H72" s="2530">
        <v>0.56215300000000001</v>
      </c>
      <c r="I72" s="2496"/>
      <c r="J72" s="2517">
        <v>0.804199</v>
      </c>
      <c r="K72" s="2517">
        <v>0.55298899999999995</v>
      </c>
      <c r="L72" s="2497"/>
      <c r="M72" s="2517">
        <v>0.79017099999999996</v>
      </c>
      <c r="N72" s="2517">
        <v>0.54527000000000003</v>
      </c>
      <c r="O72" s="2532">
        <v>1.27</v>
      </c>
      <c r="P72" s="2536"/>
      <c r="Q72" s="2517">
        <v>0.77530500000000002</v>
      </c>
      <c r="R72" s="2517">
        <v>0.53970399999999996</v>
      </c>
      <c r="S72" s="2532">
        <v>1.27</v>
      </c>
      <c r="T72" s="2496"/>
      <c r="U72" s="2496"/>
      <c r="V72" s="2496"/>
      <c r="W72" s="2520"/>
      <c r="X72" s="2515"/>
      <c r="Y72" s="2515"/>
      <c r="Z72" s="2521"/>
      <c r="AA72" s="2505"/>
      <c r="AB72" s="2515"/>
      <c r="AC72" s="2496"/>
      <c r="AD72" s="2505"/>
      <c r="AE72" s="2515"/>
      <c r="AF72" s="2496"/>
      <c r="AG72" s="2505"/>
      <c r="AH72" s="2515"/>
    </row>
    <row r="73" spans="1:34">
      <c r="A73" s="2519">
        <v>482</v>
      </c>
      <c r="B73" s="2514" t="s">
        <v>711</v>
      </c>
      <c r="C73" s="2496"/>
      <c r="D73" s="2530">
        <v>0.85130799999999995</v>
      </c>
      <c r="E73" s="2530">
        <v>0.607734</v>
      </c>
      <c r="F73" s="2531"/>
      <c r="G73" s="2530">
        <v>0.84371700000000005</v>
      </c>
      <c r="H73" s="2530">
        <v>0.59296599999999999</v>
      </c>
      <c r="I73" s="2496"/>
      <c r="J73" s="2517">
        <v>0.83359899999999998</v>
      </c>
      <c r="K73" s="2517">
        <v>0.58645499999999995</v>
      </c>
      <c r="L73" s="2497"/>
      <c r="M73" s="2517">
        <v>0.82194699999999998</v>
      </c>
      <c r="N73" s="2517">
        <v>0.57892500000000002</v>
      </c>
      <c r="O73" s="2532" t="s">
        <v>390</v>
      </c>
      <c r="P73" s="2536"/>
      <c r="Q73" s="2517">
        <v>0.80814699999999995</v>
      </c>
      <c r="R73" s="2517">
        <v>0.57057899999999995</v>
      </c>
      <c r="S73" s="2532">
        <v>1.69</v>
      </c>
      <c r="T73" s="2496"/>
      <c r="U73" s="2496"/>
      <c r="V73" s="2496"/>
      <c r="W73" s="2520"/>
      <c r="X73" s="2515"/>
      <c r="Y73" s="2515"/>
      <c r="Z73" s="2521"/>
      <c r="AA73" s="2505"/>
      <c r="AB73" s="2515"/>
      <c r="AC73" s="2496"/>
      <c r="AD73" s="2505"/>
      <c r="AE73" s="2515"/>
      <c r="AF73" s="2496"/>
      <c r="AG73" s="2505"/>
      <c r="AH73" s="2515"/>
    </row>
    <row r="74" spans="1:34">
      <c r="A74" s="2519">
        <v>483</v>
      </c>
      <c r="B74" s="2514" t="s">
        <v>712</v>
      </c>
      <c r="C74" s="2496"/>
      <c r="D74" s="2530">
        <v>0.84381300000000004</v>
      </c>
      <c r="E74" s="2530">
        <v>0.599526</v>
      </c>
      <c r="F74" s="2531"/>
      <c r="G74" s="2530">
        <v>0.83374700000000002</v>
      </c>
      <c r="H74" s="2530">
        <v>0.58614200000000005</v>
      </c>
      <c r="I74" s="2496"/>
      <c r="J74" s="2517">
        <v>0.821828</v>
      </c>
      <c r="K74" s="2517">
        <v>0.57840199999999997</v>
      </c>
      <c r="L74" s="2497"/>
      <c r="M74" s="2517">
        <v>0.80750299999999997</v>
      </c>
      <c r="N74" s="2517">
        <v>0.56572199999999995</v>
      </c>
      <c r="O74" s="2532">
        <v>1.413</v>
      </c>
      <c r="P74" s="2536"/>
      <c r="Q74" s="2517">
        <v>0.79172699999999996</v>
      </c>
      <c r="R74" s="2517">
        <v>0.55688499999999996</v>
      </c>
      <c r="S74" s="2532">
        <v>0.89</v>
      </c>
      <c r="T74" s="2496"/>
      <c r="U74" s="2496"/>
      <c r="V74" s="2496"/>
      <c r="W74" s="2520"/>
      <c r="X74" s="2515"/>
      <c r="Y74" s="2515"/>
      <c r="Z74" s="2521"/>
      <c r="AA74" s="2505"/>
      <c r="AB74" s="2515"/>
      <c r="AC74" s="2496"/>
      <c r="AD74" s="2505"/>
      <c r="AE74" s="2515"/>
      <c r="AF74" s="2496"/>
      <c r="AG74" s="2505"/>
      <c r="AH74" s="2515"/>
    </row>
    <row r="75" spans="1:34">
      <c r="A75" s="2519">
        <v>484</v>
      </c>
      <c r="B75" s="2514" t="s">
        <v>713</v>
      </c>
      <c r="C75" s="2496"/>
      <c r="D75" s="2530">
        <v>0.83948900000000004</v>
      </c>
      <c r="E75" s="2530">
        <v>0.595472</v>
      </c>
      <c r="F75" s="2531"/>
      <c r="G75" s="2530">
        <v>0.83046600000000004</v>
      </c>
      <c r="H75" s="2530">
        <v>0.58368200000000003</v>
      </c>
      <c r="I75" s="2496"/>
      <c r="J75" s="2517">
        <v>0.81772900000000004</v>
      </c>
      <c r="K75" s="2517">
        <v>0.57292299999999996</v>
      </c>
      <c r="L75" s="2497"/>
      <c r="M75" s="2517">
        <v>0.804091</v>
      </c>
      <c r="N75" s="2517">
        <v>0.56344099999999997</v>
      </c>
      <c r="O75" s="2532">
        <v>1.5</v>
      </c>
      <c r="P75" s="2536"/>
      <c r="Q75" s="2517">
        <v>0.79035699999999998</v>
      </c>
      <c r="R75" s="2517">
        <v>0.55352500000000004</v>
      </c>
      <c r="S75" s="2532">
        <v>1.06</v>
      </c>
      <c r="T75" s="2496"/>
      <c r="U75" s="2496"/>
      <c r="V75" s="2496"/>
      <c r="W75" s="2520"/>
      <c r="X75" s="2515"/>
      <c r="Y75" s="2515"/>
      <c r="Z75" s="2521"/>
      <c r="AA75" s="2505"/>
      <c r="AB75" s="2515"/>
      <c r="AC75" s="2496"/>
      <c r="AD75" s="2505"/>
      <c r="AE75" s="2515"/>
      <c r="AF75" s="2496"/>
      <c r="AG75" s="2505"/>
      <c r="AH75" s="2515"/>
    </row>
    <row r="76" spans="1:34">
      <c r="A76" s="2519">
        <v>486</v>
      </c>
      <c r="B76" s="2514" t="s">
        <v>714</v>
      </c>
      <c r="C76" s="2496"/>
      <c r="D76" s="2530">
        <v>0.83270999999999995</v>
      </c>
      <c r="E76" s="2530">
        <v>0.59028999999999998</v>
      </c>
      <c r="F76" s="2531"/>
      <c r="G76" s="2530">
        <v>0.82252099999999995</v>
      </c>
      <c r="H76" s="2530">
        <v>0.57910899999999998</v>
      </c>
      <c r="I76" s="2496"/>
      <c r="J76" s="2517">
        <v>0.80974900000000005</v>
      </c>
      <c r="K76" s="2517">
        <v>0.57021500000000003</v>
      </c>
      <c r="L76" s="2497"/>
      <c r="M76" s="2517">
        <v>0.79596900000000004</v>
      </c>
      <c r="N76" s="2517">
        <v>0.56201400000000001</v>
      </c>
      <c r="O76" s="2532">
        <v>1.55</v>
      </c>
      <c r="P76" s="2536"/>
      <c r="Q76" s="2517">
        <v>0.77994399999999997</v>
      </c>
      <c r="R76" s="2517">
        <v>0.55212099999999997</v>
      </c>
      <c r="S76" s="2532">
        <v>1.38</v>
      </c>
      <c r="T76" s="2496"/>
      <c r="U76" s="2496"/>
      <c r="V76" s="2496"/>
      <c r="W76" s="2520"/>
      <c r="X76" s="2515"/>
      <c r="Y76" s="2515"/>
      <c r="Z76" s="2521"/>
      <c r="AA76" s="2505"/>
      <c r="AB76" s="2515"/>
      <c r="AC76" s="2496"/>
      <c r="AD76" s="2505"/>
      <c r="AE76" s="2515"/>
      <c r="AF76" s="2496"/>
      <c r="AG76" s="2505"/>
      <c r="AH76" s="2515"/>
    </row>
    <row r="77" spans="1:34">
      <c r="A77" s="2519">
        <v>488</v>
      </c>
      <c r="B77" s="2514" t="s">
        <v>715</v>
      </c>
      <c r="C77" s="2496"/>
      <c r="D77" s="2530">
        <v>0.83560500000000004</v>
      </c>
      <c r="E77" s="2530">
        <v>0.60028800000000004</v>
      </c>
      <c r="F77" s="2531"/>
      <c r="G77" s="2530">
        <v>0.82582299999999997</v>
      </c>
      <c r="H77" s="2530">
        <v>0.59187100000000004</v>
      </c>
      <c r="I77" s="2496"/>
      <c r="J77" s="2517">
        <v>0.80896199999999996</v>
      </c>
      <c r="K77" s="2517">
        <v>0.58084000000000002</v>
      </c>
      <c r="L77" s="2497"/>
      <c r="M77" s="2517">
        <v>0.79785600000000001</v>
      </c>
      <c r="N77" s="2517">
        <v>0.57010700000000003</v>
      </c>
      <c r="O77" s="2532">
        <v>1.6120000000000001</v>
      </c>
      <c r="P77" s="2536"/>
      <c r="Q77" s="2517">
        <v>0.77905400000000002</v>
      </c>
      <c r="R77" s="2517">
        <v>0.55785300000000004</v>
      </c>
      <c r="S77" s="2532">
        <v>1.25</v>
      </c>
      <c r="T77" s="2496"/>
      <c r="U77" s="2496"/>
      <c r="V77" s="2496"/>
      <c r="W77" s="2520"/>
      <c r="X77" s="2515"/>
      <c r="Y77" s="2515"/>
      <c r="Z77" s="2521"/>
      <c r="AA77" s="2505"/>
      <c r="AB77" s="2515"/>
      <c r="AC77" s="2496"/>
      <c r="AD77" s="2505"/>
      <c r="AE77" s="2515"/>
      <c r="AF77" s="2496"/>
      <c r="AG77" s="2505"/>
      <c r="AH77" s="2515"/>
    </row>
    <row r="78" spans="1:34">
      <c r="A78" s="2519">
        <v>509</v>
      </c>
      <c r="B78" s="2514" t="s">
        <v>718</v>
      </c>
      <c r="C78" s="2496"/>
      <c r="D78" s="2530">
        <v>0.85579899999999998</v>
      </c>
      <c r="E78" s="2530">
        <v>0.62004199999999998</v>
      </c>
      <c r="F78" s="2531"/>
      <c r="G78" s="2530">
        <v>0.84843400000000002</v>
      </c>
      <c r="H78" s="2530">
        <v>0.60700200000000004</v>
      </c>
      <c r="I78" s="2496"/>
      <c r="J78" s="2517">
        <v>0.83782699999999999</v>
      </c>
      <c r="K78" s="2517">
        <v>0.592082</v>
      </c>
      <c r="L78" s="2497"/>
      <c r="M78" s="2517">
        <v>0.82782900000000004</v>
      </c>
      <c r="N78" s="2517">
        <v>0.58178300000000005</v>
      </c>
      <c r="O78" s="2532" t="s">
        <v>390</v>
      </c>
      <c r="P78" s="2536"/>
      <c r="Q78" s="2517">
        <v>0.81800600000000001</v>
      </c>
      <c r="R78" s="2517">
        <v>0.57677500000000004</v>
      </c>
      <c r="S78" s="2532">
        <v>1.58</v>
      </c>
      <c r="T78" s="2496"/>
      <c r="U78" s="2496"/>
      <c r="V78" s="2496"/>
      <c r="W78" s="2520"/>
      <c r="X78" s="2515"/>
      <c r="Y78" s="2515"/>
      <c r="Z78" s="2521"/>
      <c r="AA78" s="2505"/>
      <c r="AB78" s="2515"/>
      <c r="AC78" s="2496"/>
      <c r="AD78" s="2505"/>
      <c r="AE78" s="2515"/>
      <c r="AF78" s="2496"/>
      <c r="AG78" s="2505"/>
      <c r="AH78" s="2515"/>
    </row>
    <row r="79" spans="1:34">
      <c r="A79" s="2519">
        <v>512</v>
      </c>
      <c r="B79" s="2514" t="s">
        <v>719</v>
      </c>
      <c r="C79" s="2496"/>
      <c r="D79" s="2530">
        <v>0.84873600000000005</v>
      </c>
      <c r="E79" s="2530">
        <v>0.60397199999999995</v>
      </c>
      <c r="F79" s="2531"/>
      <c r="G79" s="2530">
        <v>0.83869800000000005</v>
      </c>
      <c r="H79" s="2530">
        <v>0.59181799999999996</v>
      </c>
      <c r="I79" s="2496"/>
      <c r="J79" s="2517">
        <v>0.82628199999999996</v>
      </c>
      <c r="K79" s="2517">
        <v>0.58449499999999999</v>
      </c>
      <c r="L79" s="2497"/>
      <c r="M79" s="2517">
        <v>0.81459999999999999</v>
      </c>
      <c r="N79" s="2517">
        <v>0.57700799999999997</v>
      </c>
      <c r="O79" s="2532" t="s">
        <v>390</v>
      </c>
      <c r="P79" s="2536"/>
      <c r="Q79" s="2517">
        <v>0.80177299999999996</v>
      </c>
      <c r="R79" s="2517">
        <v>0.56879100000000005</v>
      </c>
      <c r="S79" s="2532" t="s">
        <v>390</v>
      </c>
      <c r="T79" s="2496"/>
      <c r="U79" s="2496"/>
      <c r="V79" s="2496"/>
      <c r="W79" s="2520"/>
      <c r="X79" s="2515"/>
      <c r="Y79" s="2515"/>
      <c r="Z79" s="2521"/>
      <c r="AA79" s="2505"/>
      <c r="AB79" s="2515"/>
      <c r="AC79" s="2496"/>
      <c r="AD79" s="2505"/>
      <c r="AE79" s="2515"/>
      <c r="AF79" s="2496"/>
      <c r="AG79" s="2505"/>
      <c r="AH79" s="2515"/>
    </row>
    <row r="80" spans="1:34">
      <c r="A80" s="2519">
        <v>513</v>
      </c>
      <c r="B80" s="2514" t="s">
        <v>720</v>
      </c>
      <c r="C80" s="2496"/>
      <c r="D80" s="2530">
        <v>0.85534500000000002</v>
      </c>
      <c r="E80" s="2530">
        <v>0.60471900000000001</v>
      </c>
      <c r="F80" s="2531"/>
      <c r="G80" s="2530">
        <v>0.84902599999999995</v>
      </c>
      <c r="H80" s="2530">
        <v>0.60097500000000004</v>
      </c>
      <c r="I80" s="2496"/>
      <c r="J80" s="2517">
        <v>0.84028099999999994</v>
      </c>
      <c r="K80" s="2517">
        <v>0.592835</v>
      </c>
      <c r="L80" s="2497"/>
      <c r="M80" s="2517">
        <v>0.829677</v>
      </c>
      <c r="N80" s="2517">
        <v>0.584812</v>
      </c>
      <c r="O80" s="2532">
        <v>1.5</v>
      </c>
      <c r="P80" s="2536"/>
      <c r="Q80" s="2517">
        <v>0.813809</v>
      </c>
      <c r="R80" s="2517">
        <v>0.57513000000000003</v>
      </c>
      <c r="S80" s="2532">
        <v>1.78</v>
      </c>
      <c r="T80" s="2496"/>
      <c r="U80" s="2496"/>
      <c r="V80" s="2496"/>
      <c r="W80" s="2520"/>
      <c r="X80" s="2515"/>
      <c r="Y80" s="2515"/>
      <c r="Z80" s="2521"/>
      <c r="AA80" s="2505"/>
      <c r="AB80" s="2515"/>
      <c r="AC80" s="2496"/>
      <c r="AD80" s="2505"/>
      <c r="AE80" s="2515"/>
      <c r="AF80" s="2496"/>
      <c r="AG80" s="2505"/>
      <c r="AH80" s="2515"/>
    </row>
    <row r="81" spans="1:34">
      <c r="A81" s="2519">
        <v>560</v>
      </c>
      <c r="B81" s="2514" t="s">
        <v>721</v>
      </c>
      <c r="C81" s="2496"/>
      <c r="D81" s="2530">
        <v>0.85144399999999998</v>
      </c>
      <c r="E81" s="2530">
        <v>0.59902</v>
      </c>
      <c r="F81" s="2531"/>
      <c r="G81" s="2530">
        <v>0.84335300000000002</v>
      </c>
      <c r="H81" s="2530">
        <v>0.59452099999999997</v>
      </c>
      <c r="I81" s="2496"/>
      <c r="J81" s="2517">
        <v>0.83346699999999996</v>
      </c>
      <c r="K81" s="2517">
        <v>0.581152</v>
      </c>
      <c r="L81" s="2497"/>
      <c r="M81" s="2517">
        <v>0.82570100000000002</v>
      </c>
      <c r="N81" s="2517">
        <v>0.56953100000000001</v>
      </c>
      <c r="O81" s="2532">
        <v>1.34</v>
      </c>
      <c r="P81" s="2536"/>
      <c r="Q81" s="2517">
        <v>0.81241099999999999</v>
      </c>
      <c r="R81" s="2517">
        <v>0.56043600000000005</v>
      </c>
      <c r="S81" s="2532">
        <v>1.34</v>
      </c>
      <c r="T81" s="2496"/>
      <c r="U81" s="2496"/>
      <c r="V81" s="2496"/>
      <c r="W81" s="2520"/>
      <c r="X81" s="2515"/>
      <c r="Y81" s="2515"/>
      <c r="Z81" s="2521"/>
      <c r="AA81" s="2505"/>
      <c r="AB81" s="2515"/>
      <c r="AC81" s="2496"/>
      <c r="AD81" s="2505"/>
      <c r="AE81" s="2515"/>
      <c r="AF81" s="2496"/>
      <c r="AG81" s="2505"/>
      <c r="AH81" s="2515"/>
    </row>
    <row r="82" spans="1:34">
      <c r="A82" s="2519">
        <v>561</v>
      </c>
      <c r="B82" s="2514" t="s">
        <v>722</v>
      </c>
      <c r="C82" s="2496"/>
      <c r="D82" s="2530">
        <v>0.85695500000000002</v>
      </c>
      <c r="E82" s="2530">
        <v>0.60432600000000003</v>
      </c>
      <c r="F82" s="2531"/>
      <c r="G82" s="2530">
        <v>0.84856799999999999</v>
      </c>
      <c r="H82" s="2530">
        <v>0.59265299999999999</v>
      </c>
      <c r="I82" s="2496"/>
      <c r="J82" s="2517">
        <v>0.83761099999999999</v>
      </c>
      <c r="K82" s="2517">
        <v>0.58315600000000001</v>
      </c>
      <c r="L82" s="2497"/>
      <c r="M82" s="2517">
        <v>0.82860299999999998</v>
      </c>
      <c r="N82" s="2517">
        <v>0.57059899999999997</v>
      </c>
      <c r="O82" s="2532">
        <v>1.78</v>
      </c>
      <c r="P82" s="2536"/>
      <c r="Q82" s="2517">
        <v>0.81917099999999998</v>
      </c>
      <c r="R82" s="2517">
        <v>0.56189800000000001</v>
      </c>
      <c r="S82" s="2532">
        <v>0.64</v>
      </c>
      <c r="T82" s="2496"/>
      <c r="U82" s="2496"/>
      <c r="V82" s="2496"/>
      <c r="W82" s="2520"/>
      <c r="X82" s="2515"/>
      <c r="Y82" s="2515"/>
      <c r="Z82" s="2521"/>
      <c r="AA82" s="2505"/>
      <c r="AB82" s="2515"/>
      <c r="AC82" s="2496"/>
      <c r="AD82" s="2505"/>
      <c r="AE82" s="2515"/>
      <c r="AF82" s="2496"/>
      <c r="AG82" s="2505"/>
      <c r="AH82" s="2515"/>
    </row>
    <row r="83" spans="1:34">
      <c r="A83" s="2519">
        <v>562</v>
      </c>
      <c r="B83" s="2514" t="s">
        <v>723</v>
      </c>
      <c r="C83" s="2496"/>
      <c r="D83" s="2530">
        <v>0.849746</v>
      </c>
      <c r="E83" s="2530">
        <v>0.59127799999999997</v>
      </c>
      <c r="F83" s="2531"/>
      <c r="G83" s="2530">
        <v>0.84131999999999996</v>
      </c>
      <c r="H83" s="2530">
        <v>0.58247199999999999</v>
      </c>
      <c r="I83" s="2496"/>
      <c r="J83" s="2517">
        <v>0.82970200000000005</v>
      </c>
      <c r="K83" s="2517">
        <v>0.56984100000000004</v>
      </c>
      <c r="L83" s="2497"/>
      <c r="M83" s="2517">
        <v>0.81732499999999997</v>
      </c>
      <c r="N83" s="2517">
        <v>0.55939399999999995</v>
      </c>
      <c r="O83" s="2532">
        <v>1.462</v>
      </c>
      <c r="P83" s="2536"/>
      <c r="Q83" s="2517">
        <v>0.80241300000000004</v>
      </c>
      <c r="R83" s="2517">
        <v>0.55152400000000001</v>
      </c>
      <c r="S83" s="2532">
        <v>1.05</v>
      </c>
      <c r="T83" s="2496"/>
      <c r="U83" s="2496"/>
      <c r="V83" s="2496"/>
      <c r="W83" s="2520"/>
      <c r="X83" s="2515"/>
      <c r="Y83" s="2515"/>
      <c r="Z83" s="2521"/>
      <c r="AA83" s="2505"/>
      <c r="AB83" s="2515"/>
      <c r="AC83" s="2496"/>
      <c r="AD83" s="2505"/>
      <c r="AE83" s="2515"/>
      <c r="AF83" s="2496"/>
      <c r="AG83" s="2505"/>
      <c r="AH83" s="2515"/>
    </row>
    <row r="84" spans="1:34">
      <c r="A84" s="2519">
        <v>563</v>
      </c>
      <c r="B84" s="2514" t="s">
        <v>724</v>
      </c>
      <c r="C84" s="2496"/>
      <c r="D84" s="2530">
        <v>0.85874300000000003</v>
      </c>
      <c r="E84" s="2530">
        <v>0.61694499999999997</v>
      </c>
      <c r="F84" s="2531"/>
      <c r="G84" s="2530">
        <v>0.84950199999999998</v>
      </c>
      <c r="H84" s="2530">
        <v>0.60205799999999998</v>
      </c>
      <c r="I84" s="2496"/>
      <c r="J84" s="2517">
        <v>0.84181899999999998</v>
      </c>
      <c r="K84" s="2517">
        <v>0.59131199999999995</v>
      </c>
      <c r="L84" s="2497"/>
      <c r="M84" s="2517">
        <v>0.83352899999999996</v>
      </c>
      <c r="N84" s="2517">
        <v>0.58139300000000005</v>
      </c>
      <c r="O84" s="2532">
        <v>1.8149999999999999</v>
      </c>
      <c r="P84" s="2536"/>
      <c r="Q84" s="2517">
        <v>0.82355699999999998</v>
      </c>
      <c r="R84" s="2517">
        <v>0.57152400000000003</v>
      </c>
      <c r="S84" s="2532">
        <v>1.87</v>
      </c>
      <c r="T84" s="2496"/>
      <c r="U84" s="2496"/>
      <c r="V84" s="2496"/>
      <c r="W84" s="2520"/>
      <c r="X84" s="2515"/>
      <c r="Y84" s="2515"/>
      <c r="Z84" s="2521"/>
      <c r="AA84" s="2505"/>
      <c r="AB84" s="2515"/>
      <c r="AC84" s="2496"/>
      <c r="AD84" s="2505"/>
      <c r="AE84" s="2515"/>
      <c r="AF84" s="2496"/>
      <c r="AG84" s="2505"/>
      <c r="AH84" s="2515"/>
    </row>
    <row r="85" spans="1:34">
      <c r="A85" s="2519">
        <v>580</v>
      </c>
      <c r="B85" s="2514" t="s">
        <v>725</v>
      </c>
      <c r="C85" s="2496"/>
      <c r="D85" s="2530">
        <v>0.83250100000000005</v>
      </c>
      <c r="E85" s="2530">
        <v>0.57450699999999999</v>
      </c>
      <c r="F85" s="2531"/>
      <c r="G85" s="2530">
        <v>0.82203499999999996</v>
      </c>
      <c r="H85" s="2530">
        <v>0.56324300000000005</v>
      </c>
      <c r="I85" s="2496"/>
      <c r="J85" s="2517">
        <v>0.81009399999999998</v>
      </c>
      <c r="K85" s="2517">
        <v>0.55555299999999996</v>
      </c>
      <c r="L85" s="2497"/>
      <c r="M85" s="2517">
        <v>0.79439899999999997</v>
      </c>
      <c r="N85" s="2517">
        <v>0.54641099999999998</v>
      </c>
      <c r="O85" s="2532">
        <v>1.633</v>
      </c>
      <c r="P85" s="2536"/>
      <c r="Q85" s="2517">
        <v>0.77502700000000002</v>
      </c>
      <c r="R85" s="2517">
        <v>0.53839099999999995</v>
      </c>
      <c r="S85" s="2532">
        <v>1.1599999999999999</v>
      </c>
      <c r="T85" s="2496"/>
      <c r="U85" s="2496"/>
      <c r="V85" s="2496"/>
      <c r="W85" s="2520"/>
      <c r="X85" s="2515"/>
      <c r="Y85" s="2515"/>
      <c r="Z85" s="2521"/>
      <c r="AA85" s="2505"/>
      <c r="AB85" s="2515"/>
      <c r="AC85" s="2496"/>
      <c r="AD85" s="2505"/>
      <c r="AE85" s="2515"/>
      <c r="AF85" s="2496"/>
      <c r="AG85" s="2505"/>
      <c r="AH85" s="2515"/>
    </row>
    <row r="86" spans="1:34">
      <c r="A86" s="2519">
        <v>581</v>
      </c>
      <c r="B86" s="2514" t="s">
        <v>726</v>
      </c>
      <c r="C86" s="2496"/>
      <c r="D86" s="2530">
        <v>0.83095300000000005</v>
      </c>
      <c r="E86" s="2530">
        <v>0.58917900000000001</v>
      </c>
      <c r="F86" s="2531"/>
      <c r="G86" s="2530">
        <v>0.82111199999999995</v>
      </c>
      <c r="H86" s="2530">
        <v>0.577013</v>
      </c>
      <c r="I86" s="2496"/>
      <c r="J86" s="2517">
        <v>0.80841099999999999</v>
      </c>
      <c r="K86" s="2517">
        <v>0.56721600000000005</v>
      </c>
      <c r="L86" s="2497"/>
      <c r="M86" s="2517">
        <v>0.79386699999999999</v>
      </c>
      <c r="N86" s="2517">
        <v>0.55883899999999997</v>
      </c>
      <c r="O86" s="2532">
        <v>1.5009999999999999</v>
      </c>
      <c r="P86" s="2536"/>
      <c r="Q86" s="2517">
        <v>0.782748</v>
      </c>
      <c r="R86" s="2517">
        <v>0.55010700000000001</v>
      </c>
      <c r="S86" s="2532">
        <v>1.32</v>
      </c>
      <c r="T86" s="2496"/>
      <c r="U86" s="2496"/>
      <c r="V86" s="2496"/>
      <c r="W86" s="2520"/>
      <c r="X86" s="2515"/>
      <c r="Y86" s="2515"/>
      <c r="Z86" s="2521"/>
      <c r="AA86" s="2505"/>
      <c r="AB86" s="2515"/>
      <c r="AC86" s="2496"/>
      <c r="AD86" s="2505"/>
      <c r="AE86" s="2515"/>
      <c r="AF86" s="2496"/>
      <c r="AG86" s="2505"/>
      <c r="AH86" s="2515"/>
    </row>
    <row r="87" spans="1:34">
      <c r="A87" s="2519">
        <v>582</v>
      </c>
      <c r="B87" s="2514" t="s">
        <v>727</v>
      </c>
      <c r="C87" s="2496"/>
      <c r="D87" s="2530">
        <v>0.84463699999999997</v>
      </c>
      <c r="E87" s="2530">
        <v>0.60131999999999997</v>
      </c>
      <c r="F87" s="2531"/>
      <c r="G87" s="2530">
        <v>0.83562700000000001</v>
      </c>
      <c r="H87" s="2530">
        <v>0.59018000000000004</v>
      </c>
      <c r="I87" s="2496"/>
      <c r="J87" s="2517">
        <v>0.82371300000000003</v>
      </c>
      <c r="K87" s="2517">
        <v>0.58117799999999997</v>
      </c>
      <c r="L87" s="2497"/>
      <c r="M87" s="2517">
        <v>0.80998599999999998</v>
      </c>
      <c r="N87" s="2517">
        <v>0.56861799999999996</v>
      </c>
      <c r="O87" s="2532">
        <v>1.7649999999999999</v>
      </c>
      <c r="P87" s="2536"/>
      <c r="Q87" s="2517">
        <v>0.79481800000000002</v>
      </c>
      <c r="R87" s="2517">
        <v>0.56164499999999995</v>
      </c>
      <c r="S87" s="2532">
        <v>1.32</v>
      </c>
      <c r="T87" s="2496"/>
      <c r="U87" s="2496"/>
      <c r="V87" s="2496"/>
      <c r="W87" s="2520"/>
      <c r="X87" s="2515"/>
      <c r="Y87" s="2515"/>
      <c r="Z87" s="2521"/>
      <c r="AA87" s="2505"/>
      <c r="AB87" s="2515"/>
      <c r="AC87" s="2496"/>
      <c r="AD87" s="2505"/>
      <c r="AE87" s="2515"/>
      <c r="AF87" s="2496"/>
      <c r="AG87" s="2505"/>
      <c r="AH87" s="2515"/>
    </row>
    <row r="88" spans="1:34">
      <c r="A88" s="2519">
        <v>583</v>
      </c>
      <c r="B88" s="2514" t="s">
        <v>728</v>
      </c>
      <c r="C88" s="2496"/>
      <c r="D88" s="2530">
        <v>0.83994000000000002</v>
      </c>
      <c r="E88" s="2530">
        <v>0.58811100000000005</v>
      </c>
      <c r="F88" s="2531"/>
      <c r="G88" s="2530">
        <v>0.83016900000000005</v>
      </c>
      <c r="H88" s="2530">
        <v>0.57777400000000001</v>
      </c>
      <c r="I88" s="2496"/>
      <c r="J88" s="2517">
        <v>0.81511800000000001</v>
      </c>
      <c r="K88" s="2517">
        <v>0.56761099999999998</v>
      </c>
      <c r="L88" s="2497"/>
      <c r="M88" s="2517">
        <v>0.80175700000000005</v>
      </c>
      <c r="N88" s="2517">
        <v>0.55963200000000002</v>
      </c>
      <c r="O88" s="2532">
        <v>1.613</v>
      </c>
      <c r="P88" s="2536"/>
      <c r="Q88" s="2517">
        <v>0.78657600000000005</v>
      </c>
      <c r="R88" s="2517">
        <v>0.54997200000000002</v>
      </c>
      <c r="S88" s="2532">
        <v>1.1000000000000001</v>
      </c>
      <c r="T88" s="2496"/>
      <c r="U88" s="2496"/>
      <c r="V88" s="2496"/>
      <c r="W88" s="2520"/>
      <c r="X88" s="2515"/>
      <c r="Y88" s="2515"/>
      <c r="Z88" s="2521"/>
      <c r="AA88" s="2505"/>
      <c r="AB88" s="2515"/>
      <c r="AC88" s="2496"/>
      <c r="AD88" s="2505"/>
      <c r="AE88" s="2515"/>
      <c r="AF88" s="2496"/>
      <c r="AG88" s="2505"/>
      <c r="AH88" s="2515"/>
    </row>
    <row r="89" spans="1:34">
      <c r="A89" s="2519">
        <v>584</v>
      </c>
      <c r="B89" s="2514" t="s">
        <v>729</v>
      </c>
      <c r="C89" s="2496"/>
      <c r="D89" s="2530">
        <v>0.84178799999999998</v>
      </c>
      <c r="E89" s="2530">
        <v>0.60514400000000002</v>
      </c>
      <c r="F89" s="2531"/>
      <c r="G89" s="2530">
        <v>0.83243800000000001</v>
      </c>
      <c r="H89" s="2530">
        <v>0.58856399999999998</v>
      </c>
      <c r="I89" s="2496"/>
      <c r="J89" s="2517">
        <v>0.81920099999999996</v>
      </c>
      <c r="K89" s="2517">
        <v>0.58068900000000001</v>
      </c>
      <c r="L89" s="2497"/>
      <c r="M89" s="2517">
        <v>0.80496800000000002</v>
      </c>
      <c r="N89" s="2517">
        <v>0.56798999999999999</v>
      </c>
      <c r="O89" s="2532">
        <v>1.27</v>
      </c>
      <c r="P89" s="2536"/>
      <c r="Q89" s="2517">
        <v>0.79111100000000001</v>
      </c>
      <c r="R89" s="2517">
        <v>0.55829300000000004</v>
      </c>
      <c r="S89" s="2532">
        <v>1.48</v>
      </c>
      <c r="T89" s="2496"/>
      <c r="U89" s="2496"/>
      <c r="V89" s="2496"/>
      <c r="W89" s="2520"/>
      <c r="X89" s="2515"/>
      <c r="Y89" s="2515"/>
      <c r="Z89" s="2521"/>
      <c r="AA89" s="2505"/>
      <c r="AB89" s="2515"/>
      <c r="AC89" s="2496"/>
      <c r="AD89" s="2505"/>
      <c r="AE89" s="2515"/>
      <c r="AF89" s="2496"/>
      <c r="AG89" s="2505"/>
      <c r="AH89" s="2515"/>
    </row>
    <row r="90" spans="1:34">
      <c r="A90" s="2519">
        <v>586</v>
      </c>
      <c r="B90" s="2514" t="s">
        <v>730</v>
      </c>
      <c r="C90" s="2496"/>
      <c r="D90" s="2530">
        <v>0.83891300000000002</v>
      </c>
      <c r="E90" s="2530">
        <v>0.59787100000000004</v>
      </c>
      <c r="F90" s="2531"/>
      <c r="G90" s="2530">
        <v>0.82801800000000003</v>
      </c>
      <c r="H90" s="2530">
        <v>0.58794999999999997</v>
      </c>
      <c r="I90" s="2496"/>
      <c r="J90" s="2517">
        <v>0.815635</v>
      </c>
      <c r="K90" s="2517">
        <v>0.57497799999999999</v>
      </c>
      <c r="L90" s="2497"/>
      <c r="M90" s="2517">
        <v>0.80488000000000004</v>
      </c>
      <c r="N90" s="2517">
        <v>0.561948</v>
      </c>
      <c r="O90" s="2532">
        <v>1.583</v>
      </c>
      <c r="P90" s="2536"/>
      <c r="Q90" s="2517">
        <v>0.79018100000000002</v>
      </c>
      <c r="R90" s="2517">
        <v>0.54987600000000003</v>
      </c>
      <c r="S90" s="2532">
        <v>1.3</v>
      </c>
      <c r="T90" s="2496"/>
      <c r="U90" s="2496"/>
      <c r="V90" s="2496"/>
      <c r="W90" s="2520"/>
      <c r="X90" s="2515"/>
      <c r="Y90" s="2515"/>
      <c r="Z90" s="2521"/>
      <c r="AA90" s="2505"/>
      <c r="AB90" s="2515"/>
      <c r="AC90" s="2496"/>
      <c r="AD90" s="2505"/>
      <c r="AE90" s="2515"/>
      <c r="AF90" s="2496"/>
      <c r="AG90" s="2505"/>
      <c r="AH90" s="2515"/>
    </row>
    <row r="91" spans="1:34">
      <c r="A91" s="2519">
        <v>604</v>
      </c>
      <c r="B91" s="2514" t="s">
        <v>733</v>
      </c>
      <c r="C91" s="2496"/>
      <c r="D91" s="2530">
        <v>0.85603899999999999</v>
      </c>
      <c r="E91" s="2530">
        <v>0.60755099999999995</v>
      </c>
      <c r="F91" s="2531"/>
      <c r="G91" s="2530">
        <v>0.84498200000000001</v>
      </c>
      <c r="H91" s="2530">
        <v>0.59796300000000002</v>
      </c>
      <c r="I91" s="2496"/>
      <c r="J91" s="2517">
        <v>0.834781</v>
      </c>
      <c r="K91" s="2517">
        <v>0.59162899999999996</v>
      </c>
      <c r="L91" s="2497"/>
      <c r="M91" s="2517">
        <v>0.82349799999999995</v>
      </c>
      <c r="N91" s="2517">
        <v>0.58191199999999998</v>
      </c>
      <c r="O91" s="2532">
        <v>1.5</v>
      </c>
      <c r="P91" s="2536"/>
      <c r="Q91" s="2517">
        <v>0.80974500000000005</v>
      </c>
      <c r="R91" s="2517">
        <v>0.571353</v>
      </c>
      <c r="S91" s="2532">
        <v>1.5</v>
      </c>
      <c r="T91" s="2496"/>
      <c r="U91" s="2496"/>
      <c r="V91" s="2496"/>
      <c r="W91" s="2520"/>
      <c r="X91" s="2515"/>
      <c r="Y91" s="2515"/>
      <c r="Z91" s="2521"/>
      <c r="AA91" s="2505"/>
      <c r="AB91" s="2515"/>
      <c r="AC91" s="2496"/>
      <c r="AD91" s="2505"/>
      <c r="AE91" s="2515"/>
      <c r="AF91" s="2496"/>
      <c r="AG91" s="2505"/>
      <c r="AH91" s="2515"/>
    </row>
    <row r="92" spans="1:34">
      <c r="A92" s="2519">
        <v>617</v>
      </c>
      <c r="B92" s="2514" t="s">
        <v>734</v>
      </c>
      <c r="C92" s="2496"/>
      <c r="D92" s="2530">
        <v>0.83673399999999998</v>
      </c>
      <c r="E92" s="2530">
        <v>0.59689199999999998</v>
      </c>
      <c r="F92" s="2531"/>
      <c r="G92" s="2530">
        <v>0.82823599999999997</v>
      </c>
      <c r="H92" s="2530">
        <v>0.58532700000000004</v>
      </c>
      <c r="I92" s="2496"/>
      <c r="J92" s="2517">
        <v>0.81600200000000001</v>
      </c>
      <c r="K92" s="2517">
        <v>0.56986999999999999</v>
      </c>
      <c r="L92" s="2497"/>
      <c r="M92" s="2517">
        <v>0.80329499999999998</v>
      </c>
      <c r="N92" s="2517">
        <v>0.55879800000000002</v>
      </c>
      <c r="O92" s="2532">
        <v>1.786</v>
      </c>
      <c r="P92" s="2536"/>
      <c r="Q92" s="2517">
        <v>0.789775</v>
      </c>
      <c r="R92" s="2517">
        <v>0.54975200000000002</v>
      </c>
      <c r="S92" s="2532">
        <v>0.9</v>
      </c>
      <c r="T92" s="2496"/>
      <c r="U92" s="2496"/>
      <c r="V92" s="2496"/>
      <c r="W92" s="2520"/>
      <c r="X92" s="2515"/>
      <c r="Y92" s="2515"/>
      <c r="Z92" s="2521"/>
      <c r="AA92" s="2505"/>
      <c r="AB92" s="2515"/>
      <c r="AC92" s="2496"/>
      <c r="AD92" s="2505"/>
      <c r="AE92" s="2515"/>
      <c r="AF92" s="2496"/>
      <c r="AG92" s="2505"/>
      <c r="AH92" s="2515"/>
    </row>
    <row r="93" spans="1:34">
      <c r="A93" s="2519">
        <v>642</v>
      </c>
      <c r="B93" s="2514" t="s">
        <v>735</v>
      </c>
      <c r="C93" s="2496"/>
      <c r="D93" s="2530">
        <v>0.84567700000000001</v>
      </c>
      <c r="E93" s="2530">
        <v>0.59586099999999997</v>
      </c>
      <c r="F93" s="2531"/>
      <c r="G93" s="2530">
        <v>0.83531</v>
      </c>
      <c r="H93" s="2530">
        <v>0.58686499999999997</v>
      </c>
      <c r="I93" s="2496"/>
      <c r="J93" s="2517">
        <v>0.82312799999999997</v>
      </c>
      <c r="K93" s="2517">
        <v>0.57872199999999996</v>
      </c>
      <c r="L93" s="2497"/>
      <c r="M93" s="2517">
        <v>0.80843699999999996</v>
      </c>
      <c r="N93" s="2517">
        <v>0.56680299999999995</v>
      </c>
      <c r="O93" s="2532">
        <v>1.52</v>
      </c>
      <c r="P93" s="2536"/>
      <c r="Q93" s="2517">
        <v>0.80008400000000002</v>
      </c>
      <c r="R93" s="2517">
        <v>0.55799299999999996</v>
      </c>
      <c r="S93" s="2532">
        <v>1.78</v>
      </c>
      <c r="T93" s="2496"/>
      <c r="U93" s="2496"/>
      <c r="V93" s="2496"/>
      <c r="W93" s="2520"/>
      <c r="X93" s="2515"/>
      <c r="Y93" s="2515"/>
      <c r="Z93" s="2521"/>
      <c r="AA93" s="2505"/>
      <c r="AB93" s="2515"/>
      <c r="AC93" s="2496"/>
      <c r="AD93" s="2505"/>
      <c r="AE93" s="2515"/>
      <c r="AF93" s="2496"/>
      <c r="AG93" s="2505"/>
      <c r="AH93" s="2515"/>
    </row>
    <row r="94" spans="1:34">
      <c r="A94" s="2519">
        <v>643</v>
      </c>
      <c r="B94" s="2514" t="s">
        <v>736</v>
      </c>
      <c r="C94" s="2496"/>
      <c r="D94" s="2530">
        <v>0.83522200000000002</v>
      </c>
      <c r="E94" s="2530">
        <v>0.60327699999999995</v>
      </c>
      <c r="F94" s="2531"/>
      <c r="G94" s="2530">
        <v>0.828712</v>
      </c>
      <c r="H94" s="2530">
        <v>0.58530400000000005</v>
      </c>
      <c r="I94" s="2496"/>
      <c r="J94" s="2517">
        <v>0.817191</v>
      </c>
      <c r="K94" s="2517">
        <v>0.57331299999999996</v>
      </c>
      <c r="L94" s="2497"/>
      <c r="M94" s="2517">
        <v>0.80195099999999997</v>
      </c>
      <c r="N94" s="2517">
        <v>0.56211299999999997</v>
      </c>
      <c r="O94" s="2532">
        <v>1.6339999999999999</v>
      </c>
      <c r="P94" s="2536"/>
      <c r="Q94" s="2517">
        <v>0.78680099999999997</v>
      </c>
      <c r="R94" s="2517">
        <v>0.55386500000000005</v>
      </c>
      <c r="S94" s="2532">
        <v>1.18</v>
      </c>
      <c r="T94" s="2496"/>
      <c r="U94" s="2496"/>
      <c r="V94" s="2496"/>
      <c r="W94" s="2520"/>
      <c r="X94" s="2515"/>
      <c r="Y94" s="2515"/>
      <c r="Z94" s="2521"/>
      <c r="AA94" s="2505"/>
      <c r="AB94" s="2515"/>
      <c r="AC94" s="2496"/>
      <c r="AD94" s="2505"/>
      <c r="AE94" s="2515"/>
      <c r="AF94" s="2496"/>
      <c r="AG94" s="2505"/>
      <c r="AH94" s="2515"/>
    </row>
    <row r="95" spans="1:34">
      <c r="A95" s="2519">
        <v>662</v>
      </c>
      <c r="B95" s="2514" t="s">
        <v>737</v>
      </c>
      <c r="C95" s="2496"/>
      <c r="D95" s="2530">
        <v>0.84097500000000003</v>
      </c>
      <c r="E95" s="2530">
        <v>0.60050300000000001</v>
      </c>
      <c r="F95" s="2531"/>
      <c r="G95" s="2530">
        <v>0.83121400000000001</v>
      </c>
      <c r="H95" s="2530">
        <v>0.58692</v>
      </c>
      <c r="I95" s="2496"/>
      <c r="J95" s="2517">
        <v>0.81880299999999995</v>
      </c>
      <c r="K95" s="2517">
        <v>0.57767000000000002</v>
      </c>
      <c r="L95" s="2497"/>
      <c r="M95" s="2517">
        <v>0.80456899999999998</v>
      </c>
      <c r="N95" s="2517">
        <v>0.56561600000000001</v>
      </c>
      <c r="O95" s="2532">
        <v>1.597</v>
      </c>
      <c r="P95" s="2536"/>
      <c r="Q95" s="2517">
        <v>0.79066099999999995</v>
      </c>
      <c r="R95" s="2517">
        <v>0.55418500000000004</v>
      </c>
      <c r="S95" s="2532">
        <v>0.88</v>
      </c>
      <c r="T95" s="2496"/>
      <c r="U95" s="2496"/>
      <c r="V95" s="2496"/>
      <c r="W95" s="2520"/>
      <c r="X95" s="2515"/>
      <c r="Y95" s="2515"/>
      <c r="Z95" s="2521"/>
      <c r="AA95" s="2505"/>
      <c r="AB95" s="2515"/>
      <c r="AC95" s="2496"/>
      <c r="AD95" s="2505"/>
      <c r="AE95" s="2515"/>
      <c r="AF95" s="2496"/>
      <c r="AG95" s="2505"/>
      <c r="AH95" s="2515"/>
    </row>
    <row r="96" spans="1:34">
      <c r="A96" s="2519">
        <v>665</v>
      </c>
      <c r="B96" s="2514" t="s">
        <v>738</v>
      </c>
      <c r="C96" s="2496"/>
      <c r="D96" s="2530">
        <v>0.84331599999999995</v>
      </c>
      <c r="E96" s="2530">
        <v>0.59699400000000002</v>
      </c>
      <c r="F96" s="2531"/>
      <c r="G96" s="2530">
        <v>0.83382999999999996</v>
      </c>
      <c r="H96" s="2530">
        <v>0.58461399999999997</v>
      </c>
      <c r="I96" s="2496"/>
      <c r="J96" s="2517">
        <v>0.82224200000000003</v>
      </c>
      <c r="K96" s="2517">
        <v>0.57200399999999996</v>
      </c>
      <c r="L96" s="2497"/>
      <c r="M96" s="2517">
        <v>0.80879599999999996</v>
      </c>
      <c r="N96" s="2517">
        <v>0.56114900000000001</v>
      </c>
      <c r="O96" s="2532">
        <v>1.9339999999999999</v>
      </c>
      <c r="P96" s="2536"/>
      <c r="Q96" s="2517">
        <v>0.79609200000000002</v>
      </c>
      <c r="R96" s="2517">
        <v>0.55193099999999995</v>
      </c>
      <c r="S96" s="2532">
        <v>0.9</v>
      </c>
      <c r="T96" s="2496"/>
      <c r="U96" s="2496"/>
      <c r="V96" s="2496"/>
      <c r="W96" s="2520"/>
      <c r="X96" s="2515"/>
      <c r="Y96" s="2515"/>
      <c r="Z96" s="2521"/>
      <c r="AA96" s="2505"/>
      <c r="AB96" s="2515"/>
      <c r="AC96" s="2496"/>
      <c r="AD96" s="2505"/>
      <c r="AE96" s="2515"/>
      <c r="AF96" s="2496"/>
      <c r="AG96" s="2505"/>
      <c r="AH96" s="2515"/>
    </row>
    <row r="97" spans="1:34">
      <c r="A97" s="2519">
        <v>680</v>
      </c>
      <c r="B97" s="2514" t="s">
        <v>739</v>
      </c>
      <c r="C97" s="2496"/>
      <c r="D97" s="2530">
        <v>0.82408000000000003</v>
      </c>
      <c r="E97" s="2530">
        <v>0.58381700000000003</v>
      </c>
      <c r="F97" s="2531"/>
      <c r="G97" s="2530">
        <v>0.812531</v>
      </c>
      <c r="H97" s="2530">
        <v>0.57267800000000002</v>
      </c>
      <c r="I97" s="2496"/>
      <c r="J97" s="2517">
        <v>0.79607499999999998</v>
      </c>
      <c r="K97" s="2517">
        <v>0.56356099999999998</v>
      </c>
      <c r="L97" s="2497"/>
      <c r="M97" s="2517">
        <v>0.78026799999999996</v>
      </c>
      <c r="N97" s="2517">
        <v>0.554114</v>
      </c>
      <c r="O97" s="2532">
        <v>1.7190000000000001</v>
      </c>
      <c r="P97" s="2536"/>
      <c r="Q97" s="2517">
        <v>0.75977700000000004</v>
      </c>
      <c r="R97" s="2517">
        <v>0.54403500000000005</v>
      </c>
      <c r="S97" s="2532">
        <v>1.1599999999999999</v>
      </c>
      <c r="T97" s="2496"/>
      <c r="U97" s="2496"/>
      <c r="V97" s="2496"/>
      <c r="W97" s="2520"/>
      <c r="X97" s="2515"/>
      <c r="Y97" s="2515"/>
      <c r="Z97" s="2521"/>
      <c r="AA97" s="2505"/>
      <c r="AB97" s="2515"/>
      <c r="AC97" s="2496"/>
      <c r="AD97" s="2505"/>
      <c r="AE97" s="2515"/>
      <c r="AF97" s="2496"/>
      <c r="AG97" s="2505"/>
      <c r="AH97" s="2515"/>
    </row>
    <row r="98" spans="1:34">
      <c r="A98" s="2519">
        <v>682</v>
      </c>
      <c r="B98" s="2514" t="s">
        <v>740</v>
      </c>
      <c r="C98" s="2496"/>
      <c r="D98" s="2530">
        <v>0.83178399999999997</v>
      </c>
      <c r="E98" s="2530">
        <v>0.60050199999999998</v>
      </c>
      <c r="F98" s="2531"/>
      <c r="G98" s="2530">
        <v>0.82036600000000004</v>
      </c>
      <c r="H98" s="2530">
        <v>0.58621800000000002</v>
      </c>
      <c r="I98" s="2496"/>
      <c r="J98" s="2517">
        <v>0.80696299999999999</v>
      </c>
      <c r="K98" s="2517">
        <v>0.57130999999999998</v>
      </c>
      <c r="L98" s="2497"/>
      <c r="M98" s="2517">
        <v>0.79373800000000005</v>
      </c>
      <c r="N98" s="2517">
        <v>0.56044899999999997</v>
      </c>
      <c r="O98" s="2532">
        <v>1.66</v>
      </c>
      <c r="P98" s="2536"/>
      <c r="Q98" s="2517">
        <v>0.77738600000000002</v>
      </c>
      <c r="R98" s="2517">
        <v>0.547763</v>
      </c>
      <c r="S98" s="2532">
        <v>0.89</v>
      </c>
      <c r="T98" s="2496"/>
      <c r="U98" s="2496"/>
      <c r="V98" s="2496"/>
      <c r="W98" s="2520"/>
      <c r="X98" s="2515"/>
      <c r="Y98" s="2515"/>
      <c r="Z98" s="2521"/>
      <c r="AA98" s="2505"/>
      <c r="AB98" s="2515"/>
      <c r="AC98" s="2496"/>
      <c r="AD98" s="2505"/>
      <c r="AE98" s="2515"/>
      <c r="AF98" s="2496"/>
      <c r="AG98" s="2505"/>
      <c r="AH98" s="2515"/>
    </row>
    <row r="99" spans="1:34">
      <c r="A99" s="2519">
        <v>683</v>
      </c>
      <c r="B99" s="2514" t="s">
        <v>741</v>
      </c>
      <c r="C99" s="2496"/>
      <c r="D99" s="2530">
        <v>0.82603599999999999</v>
      </c>
      <c r="E99" s="2530">
        <v>0.58642399999999995</v>
      </c>
      <c r="F99" s="2531"/>
      <c r="G99" s="2530">
        <v>0.81369599999999997</v>
      </c>
      <c r="H99" s="2530">
        <v>0.57324900000000001</v>
      </c>
      <c r="I99" s="2496"/>
      <c r="J99" s="2517">
        <v>0.79934799999999995</v>
      </c>
      <c r="K99" s="2517">
        <v>0.56239099999999997</v>
      </c>
      <c r="L99" s="2497"/>
      <c r="M99" s="2517">
        <v>0.78434400000000004</v>
      </c>
      <c r="N99" s="2517">
        <v>0.55354899999999996</v>
      </c>
      <c r="O99" s="2532">
        <v>1.7709999999999999</v>
      </c>
      <c r="P99" s="2536"/>
      <c r="Q99" s="2517">
        <v>0.76811300000000005</v>
      </c>
      <c r="R99" s="2517">
        <v>0.54302300000000003</v>
      </c>
      <c r="S99" s="2532">
        <v>0.95</v>
      </c>
      <c r="T99" s="2496"/>
      <c r="U99" s="2496"/>
      <c r="V99" s="2496"/>
      <c r="W99" s="2520"/>
      <c r="X99" s="2515"/>
      <c r="Y99" s="2515"/>
      <c r="Z99" s="2521"/>
      <c r="AA99" s="2505"/>
      <c r="AB99" s="2515"/>
      <c r="AC99" s="2496"/>
      <c r="AD99" s="2505"/>
      <c r="AE99" s="2515"/>
      <c r="AF99" s="2496"/>
      <c r="AG99" s="2505"/>
      <c r="AH99" s="2515"/>
    </row>
    <row r="100" spans="1:34">
      <c r="A100" s="2519">
        <v>684</v>
      </c>
      <c r="B100" s="2514" t="s">
        <v>742</v>
      </c>
      <c r="C100" s="2496"/>
      <c r="D100" s="2530">
        <v>0.84754600000000002</v>
      </c>
      <c r="E100" s="2530">
        <v>0.60985699999999998</v>
      </c>
      <c r="F100" s="2531"/>
      <c r="G100" s="2530">
        <v>0.84110399999999996</v>
      </c>
      <c r="H100" s="2530">
        <v>0.59899199999999997</v>
      </c>
      <c r="I100" s="2496"/>
      <c r="J100" s="2517">
        <v>0.82960699999999998</v>
      </c>
      <c r="K100" s="2517">
        <v>0.58771099999999998</v>
      </c>
      <c r="L100" s="2497"/>
      <c r="M100" s="2517">
        <v>0.818442</v>
      </c>
      <c r="N100" s="2517">
        <v>0.57658699999999996</v>
      </c>
      <c r="O100" s="2532" t="s">
        <v>390</v>
      </c>
      <c r="P100" s="2536"/>
      <c r="Q100" s="2517">
        <v>0.80584900000000004</v>
      </c>
      <c r="R100" s="2517">
        <v>0.56660500000000003</v>
      </c>
      <c r="S100" s="2532">
        <v>1.5</v>
      </c>
      <c r="T100" s="2496"/>
      <c r="U100" s="2496"/>
      <c r="V100" s="2496"/>
      <c r="W100" s="2520"/>
      <c r="X100" s="2515"/>
      <c r="Y100" s="2515"/>
      <c r="Z100" s="2521"/>
      <c r="AA100" s="2505"/>
      <c r="AB100" s="2515"/>
      <c r="AC100" s="2496"/>
      <c r="AD100" s="2505"/>
      <c r="AE100" s="2515"/>
      <c r="AF100" s="2496"/>
      <c r="AG100" s="2505"/>
      <c r="AH100" s="2515"/>
    </row>
    <row r="101" spans="1:34">
      <c r="A101" s="2519">
        <v>685</v>
      </c>
      <c r="B101" s="2514" t="s">
        <v>743</v>
      </c>
      <c r="C101" s="2496"/>
      <c r="D101" s="2530">
        <v>0.83935199999999999</v>
      </c>
      <c r="E101" s="2530">
        <v>0.60629</v>
      </c>
      <c r="F101" s="2531"/>
      <c r="G101" s="2530">
        <v>0.82771300000000003</v>
      </c>
      <c r="H101" s="2530">
        <v>0.59180100000000002</v>
      </c>
      <c r="I101" s="2496"/>
      <c r="J101" s="2517">
        <v>0.81670299999999996</v>
      </c>
      <c r="K101" s="2517">
        <v>0.58049600000000001</v>
      </c>
      <c r="L101" s="2497"/>
      <c r="M101" s="2517">
        <v>0.80304200000000003</v>
      </c>
      <c r="N101" s="2517">
        <v>0.57016100000000003</v>
      </c>
      <c r="O101" s="2532">
        <v>1.7050000000000001</v>
      </c>
      <c r="P101" s="2536"/>
      <c r="Q101" s="2517">
        <v>0.78629199999999999</v>
      </c>
      <c r="R101" s="2517">
        <v>0.55932700000000002</v>
      </c>
      <c r="S101" s="2532">
        <v>1.3</v>
      </c>
      <c r="T101" s="2496"/>
      <c r="U101" s="2496"/>
      <c r="V101" s="2496"/>
      <c r="W101" s="2520"/>
      <c r="X101" s="2515"/>
      <c r="Y101" s="2515"/>
      <c r="Z101" s="2521"/>
      <c r="AA101" s="2505"/>
      <c r="AB101" s="2515"/>
      <c r="AC101" s="2496"/>
      <c r="AD101" s="2505"/>
      <c r="AE101" s="2515"/>
      <c r="AF101" s="2496"/>
      <c r="AG101" s="2505"/>
      <c r="AH101" s="2515"/>
    </row>
    <row r="102" spans="1:34">
      <c r="A102" s="2519">
        <v>686</v>
      </c>
      <c r="B102" s="2514" t="s">
        <v>744</v>
      </c>
      <c r="C102" s="2496"/>
      <c r="D102" s="2530">
        <v>0.838781</v>
      </c>
      <c r="E102" s="2530">
        <v>0.59744699999999995</v>
      </c>
      <c r="F102" s="2531"/>
      <c r="G102" s="2530">
        <v>0.82841500000000001</v>
      </c>
      <c r="H102" s="2530">
        <v>0.58633400000000002</v>
      </c>
      <c r="I102" s="2496"/>
      <c r="J102" s="2517">
        <v>0.81547700000000001</v>
      </c>
      <c r="K102" s="2517">
        <v>0.57497399999999999</v>
      </c>
      <c r="L102" s="2497"/>
      <c r="M102" s="2517">
        <v>0.80306999999999995</v>
      </c>
      <c r="N102" s="2517">
        <v>0.56565399999999999</v>
      </c>
      <c r="O102" s="2532">
        <v>1.357</v>
      </c>
      <c r="P102" s="2536"/>
      <c r="Q102" s="2517">
        <v>0.78755699999999995</v>
      </c>
      <c r="R102" s="2517">
        <v>0.55680600000000002</v>
      </c>
      <c r="S102" s="2532">
        <v>1.37</v>
      </c>
      <c r="T102" s="2496"/>
      <c r="U102" s="2496"/>
      <c r="V102" s="2496"/>
      <c r="W102" s="2520"/>
      <c r="X102" s="2515"/>
      <c r="Y102" s="2515"/>
      <c r="Z102" s="2521"/>
      <c r="AA102" s="2505"/>
      <c r="AB102" s="2515"/>
      <c r="AC102" s="2496"/>
      <c r="AD102" s="2505"/>
      <c r="AE102" s="2515"/>
      <c r="AF102" s="2496"/>
      <c r="AG102" s="2505"/>
      <c r="AH102" s="2515"/>
    </row>
    <row r="103" spans="1:34">
      <c r="A103" s="2519">
        <v>687</v>
      </c>
      <c r="B103" s="2514" t="s">
        <v>745</v>
      </c>
      <c r="C103" s="2496"/>
      <c r="D103" s="2530">
        <v>0.84029699999999996</v>
      </c>
      <c r="E103" s="2530">
        <v>0.59585299999999997</v>
      </c>
      <c r="F103" s="2531"/>
      <c r="G103" s="2530">
        <v>0.83013700000000001</v>
      </c>
      <c r="H103" s="2530">
        <v>0.58063399999999998</v>
      </c>
      <c r="I103" s="2496"/>
      <c r="J103" s="2517">
        <v>0.81918000000000002</v>
      </c>
      <c r="K103" s="2517">
        <v>0.57140199999999997</v>
      </c>
      <c r="L103" s="2497"/>
      <c r="M103" s="2517">
        <v>0.804315</v>
      </c>
      <c r="N103" s="2517">
        <v>0.56066499999999997</v>
      </c>
      <c r="O103" s="2532">
        <v>1.325</v>
      </c>
      <c r="P103" s="2536"/>
      <c r="Q103" s="2517">
        <v>0.78674900000000003</v>
      </c>
      <c r="R103" s="2517">
        <v>0.551319</v>
      </c>
      <c r="S103" s="2532">
        <v>1.23</v>
      </c>
      <c r="T103" s="2496"/>
      <c r="U103" s="2496"/>
      <c r="V103" s="2496"/>
      <c r="W103" s="2520"/>
      <c r="X103" s="2515"/>
      <c r="Y103" s="2515"/>
      <c r="Z103" s="2521"/>
      <c r="AA103" s="2505"/>
      <c r="AB103" s="2515"/>
      <c r="AC103" s="2496"/>
      <c r="AD103" s="2505"/>
      <c r="AE103" s="2515"/>
      <c r="AF103" s="2496"/>
      <c r="AG103" s="2505"/>
      <c r="AH103" s="2515"/>
    </row>
    <row r="104" spans="1:34">
      <c r="A104" s="2519">
        <v>760</v>
      </c>
      <c r="B104" s="2514" t="s">
        <v>748</v>
      </c>
      <c r="C104" s="2496"/>
      <c r="D104" s="2530">
        <v>0.86049799999999999</v>
      </c>
      <c r="E104" s="2530">
        <v>0.61443300000000001</v>
      </c>
      <c r="F104" s="2531"/>
      <c r="G104" s="2530">
        <v>0.85488200000000003</v>
      </c>
      <c r="H104" s="2530">
        <v>0.60599999999999998</v>
      </c>
      <c r="I104" s="2496"/>
      <c r="J104" s="2517">
        <v>0.84388300000000005</v>
      </c>
      <c r="K104" s="2517">
        <v>0.59290699999999996</v>
      </c>
      <c r="L104" s="2497"/>
      <c r="M104" s="2517">
        <v>0.83399000000000001</v>
      </c>
      <c r="N104" s="2517">
        <v>0.579816</v>
      </c>
      <c r="O104" s="2532" t="s">
        <v>390</v>
      </c>
      <c r="P104" s="2536"/>
      <c r="Q104" s="2517">
        <v>0.82345699999999999</v>
      </c>
      <c r="R104" s="2517">
        <v>0.56874899999999995</v>
      </c>
      <c r="S104" s="2532">
        <v>1.61</v>
      </c>
      <c r="T104" s="2496"/>
      <c r="U104" s="2496"/>
      <c r="V104" s="2496"/>
      <c r="W104" s="2520"/>
      <c r="X104" s="2515"/>
      <c r="Y104" s="2515"/>
      <c r="Z104" s="2521"/>
      <c r="AA104" s="2505"/>
      <c r="AB104" s="2515"/>
      <c r="AC104" s="2496"/>
      <c r="AD104" s="2505"/>
      <c r="AE104" s="2515"/>
      <c r="AF104" s="2496"/>
      <c r="AG104" s="2505"/>
      <c r="AH104" s="2515"/>
    </row>
    <row r="105" spans="1:34">
      <c r="A105" s="2519">
        <v>761</v>
      </c>
      <c r="B105" s="2514" t="s">
        <v>749</v>
      </c>
      <c r="C105" s="2496"/>
      <c r="D105" s="2530">
        <v>0.85146100000000002</v>
      </c>
      <c r="E105" s="2530">
        <v>0.60314800000000002</v>
      </c>
      <c r="F105" s="2531"/>
      <c r="G105" s="2530">
        <v>0.84582199999999996</v>
      </c>
      <c r="H105" s="2530">
        <v>0.59411999999999998</v>
      </c>
      <c r="I105" s="2496"/>
      <c r="J105" s="2517">
        <v>0.83604400000000001</v>
      </c>
      <c r="K105" s="2517">
        <v>0.582098</v>
      </c>
      <c r="L105" s="2497"/>
      <c r="M105" s="2517">
        <v>0.82206999999999997</v>
      </c>
      <c r="N105" s="2517">
        <v>0.57113000000000003</v>
      </c>
      <c r="O105" s="2532">
        <v>2.39</v>
      </c>
      <c r="P105" s="2536"/>
      <c r="Q105" s="2517">
        <v>0.807786</v>
      </c>
      <c r="R105" s="2517">
        <v>0.56034600000000001</v>
      </c>
      <c r="S105" s="2532">
        <v>1.57</v>
      </c>
      <c r="T105" s="2496"/>
      <c r="U105" s="2496"/>
      <c r="V105" s="2496"/>
      <c r="W105" s="2520"/>
      <c r="X105" s="2515"/>
      <c r="Y105" s="2515"/>
      <c r="Z105" s="2521"/>
      <c r="AA105" s="2505"/>
      <c r="AB105" s="2515"/>
      <c r="AC105" s="2496"/>
      <c r="AD105" s="2505"/>
      <c r="AE105" s="2515"/>
      <c r="AF105" s="2496"/>
      <c r="AG105" s="2505"/>
      <c r="AH105" s="2515"/>
    </row>
    <row r="106" spans="1:34">
      <c r="A106" s="2519">
        <v>763</v>
      </c>
      <c r="B106" s="2514" t="s">
        <v>750</v>
      </c>
      <c r="C106" s="2496"/>
      <c r="D106" s="2530">
        <v>0.85599700000000001</v>
      </c>
      <c r="E106" s="2530">
        <v>0.61611899999999997</v>
      </c>
      <c r="F106" s="2531"/>
      <c r="G106" s="2530">
        <v>0.84597900000000004</v>
      </c>
      <c r="H106" s="2530">
        <v>0.59345999999999999</v>
      </c>
      <c r="I106" s="2496"/>
      <c r="J106" s="2517">
        <v>0.83669199999999999</v>
      </c>
      <c r="K106" s="2517">
        <v>0.58044099999999998</v>
      </c>
      <c r="L106" s="2497"/>
      <c r="M106" s="2517">
        <v>0.82589000000000001</v>
      </c>
      <c r="N106" s="2517">
        <v>0.56808099999999995</v>
      </c>
      <c r="O106" s="2532">
        <v>1.81</v>
      </c>
      <c r="P106" s="2536"/>
      <c r="Q106" s="2517">
        <v>0.812751</v>
      </c>
      <c r="R106" s="2517">
        <v>0.55157900000000004</v>
      </c>
      <c r="S106" s="2532">
        <v>1.76</v>
      </c>
      <c r="T106" s="2496"/>
      <c r="U106" s="2496"/>
      <c r="V106" s="2496"/>
      <c r="W106" s="2520"/>
      <c r="X106" s="2515"/>
      <c r="Y106" s="2515"/>
      <c r="Z106" s="2521"/>
      <c r="AA106" s="2505"/>
      <c r="AB106" s="2515"/>
      <c r="AC106" s="2496"/>
      <c r="AD106" s="2505"/>
      <c r="AE106" s="2515"/>
      <c r="AF106" s="2496"/>
      <c r="AG106" s="2505"/>
      <c r="AH106" s="2515"/>
    </row>
    <row r="107" spans="1:34">
      <c r="A107" s="2519">
        <v>764</v>
      </c>
      <c r="B107" s="2514" t="s">
        <v>751</v>
      </c>
      <c r="C107" s="2496"/>
      <c r="D107" s="2530">
        <v>0.850217</v>
      </c>
      <c r="E107" s="2530">
        <v>0.61088200000000004</v>
      </c>
      <c r="F107" s="2531"/>
      <c r="G107" s="2530">
        <v>0.84201300000000001</v>
      </c>
      <c r="H107" s="2530">
        <v>0.59822900000000001</v>
      </c>
      <c r="I107" s="2496"/>
      <c r="J107" s="2517">
        <v>0.82991300000000001</v>
      </c>
      <c r="K107" s="2517">
        <v>0.58597200000000005</v>
      </c>
      <c r="L107" s="2497"/>
      <c r="M107" s="2517">
        <v>0.81935599999999997</v>
      </c>
      <c r="N107" s="2517">
        <v>0.570496</v>
      </c>
      <c r="O107" s="2532">
        <v>1.58</v>
      </c>
      <c r="P107" s="2536"/>
      <c r="Q107" s="2517">
        <v>0.80740199999999995</v>
      </c>
      <c r="R107" s="2517">
        <v>0.56259199999999998</v>
      </c>
      <c r="S107" s="2532">
        <v>0.53</v>
      </c>
      <c r="T107" s="2496"/>
      <c r="U107" s="2496"/>
      <c r="V107" s="2496"/>
      <c r="W107" s="2520"/>
      <c r="X107" s="2515"/>
      <c r="Y107" s="2515"/>
      <c r="Z107" s="2521"/>
      <c r="AA107" s="2505"/>
      <c r="AB107" s="2515"/>
      <c r="AC107" s="2496"/>
      <c r="AD107" s="2505"/>
      <c r="AE107" s="2515"/>
      <c r="AF107" s="2496"/>
      <c r="AG107" s="2505"/>
      <c r="AH107" s="2515"/>
    </row>
    <row r="108" spans="1:34">
      <c r="A108" s="2519">
        <v>765</v>
      </c>
      <c r="B108" s="2514" t="s">
        <v>752</v>
      </c>
      <c r="C108" s="2496"/>
      <c r="D108" s="2530">
        <v>0.83796899999999996</v>
      </c>
      <c r="E108" s="2530">
        <v>0.60226599999999997</v>
      </c>
      <c r="F108" s="2531"/>
      <c r="G108" s="2530">
        <v>0.82688200000000001</v>
      </c>
      <c r="H108" s="2530">
        <v>0.589086</v>
      </c>
      <c r="I108" s="2496"/>
      <c r="J108" s="2517">
        <v>0.81448200000000004</v>
      </c>
      <c r="K108" s="2517">
        <v>0.57361499999999999</v>
      </c>
      <c r="L108" s="2497"/>
      <c r="M108" s="2517">
        <v>0.79951899999999998</v>
      </c>
      <c r="N108" s="2517">
        <v>0.55889999999999995</v>
      </c>
      <c r="O108" s="2532">
        <v>1.17</v>
      </c>
      <c r="P108" s="2536"/>
      <c r="Q108" s="2517">
        <v>0.78207300000000002</v>
      </c>
      <c r="R108" s="2517">
        <v>0.54759100000000005</v>
      </c>
      <c r="S108" s="2532">
        <v>1.51</v>
      </c>
      <c r="T108" s="2496"/>
      <c r="U108" s="2496"/>
      <c r="V108" s="2496"/>
      <c r="W108" s="2520"/>
      <c r="X108" s="2515"/>
      <c r="Y108" s="2515"/>
      <c r="Z108" s="2521"/>
      <c r="AA108" s="2505"/>
      <c r="AB108" s="2515"/>
      <c r="AC108" s="2496"/>
      <c r="AD108" s="2505"/>
      <c r="AE108" s="2515"/>
      <c r="AF108" s="2496"/>
      <c r="AG108" s="2505"/>
      <c r="AH108" s="2515"/>
    </row>
    <row r="109" spans="1:34">
      <c r="A109" s="2519">
        <v>767</v>
      </c>
      <c r="B109" s="2514" t="s">
        <v>753</v>
      </c>
      <c r="C109" s="2496"/>
      <c r="D109" s="2530">
        <v>0.85199599999999998</v>
      </c>
      <c r="E109" s="2530">
        <v>0.62219000000000002</v>
      </c>
      <c r="F109" s="2531"/>
      <c r="G109" s="2530">
        <v>0.84223499999999996</v>
      </c>
      <c r="H109" s="2530">
        <v>0.60360899999999995</v>
      </c>
      <c r="I109" s="2496"/>
      <c r="J109" s="2517">
        <v>0.82982800000000001</v>
      </c>
      <c r="K109" s="2517">
        <v>0.59256399999999998</v>
      </c>
      <c r="L109" s="2497"/>
      <c r="M109" s="2517">
        <v>0.81974599999999997</v>
      </c>
      <c r="N109" s="2517">
        <v>0.57981899999999997</v>
      </c>
      <c r="O109" s="2532">
        <v>1.55</v>
      </c>
      <c r="P109" s="2536"/>
      <c r="Q109" s="2517">
        <v>0.80751700000000004</v>
      </c>
      <c r="R109" s="2517">
        <v>0.56490600000000002</v>
      </c>
      <c r="S109" s="2532">
        <v>1.08</v>
      </c>
      <c r="T109" s="2496"/>
      <c r="U109" s="2496"/>
      <c r="V109" s="2496"/>
      <c r="W109" s="2520"/>
      <c r="X109" s="2515"/>
      <c r="Y109" s="2515"/>
      <c r="Z109" s="2521"/>
      <c r="AA109" s="2505"/>
      <c r="AB109" s="2515"/>
      <c r="AC109" s="2496"/>
      <c r="AD109" s="2505"/>
      <c r="AE109" s="2515"/>
      <c r="AF109" s="2496"/>
      <c r="AG109" s="2505"/>
      <c r="AH109" s="2515"/>
    </row>
    <row r="110" spans="1:34">
      <c r="A110" s="2519">
        <v>780</v>
      </c>
      <c r="B110" s="2514" t="s">
        <v>754</v>
      </c>
      <c r="C110" s="2496"/>
      <c r="D110" s="2530">
        <v>0.82757400000000003</v>
      </c>
      <c r="E110" s="2530">
        <v>0.589812</v>
      </c>
      <c r="F110" s="2531"/>
      <c r="G110" s="2530">
        <v>0.81676400000000005</v>
      </c>
      <c r="H110" s="2530">
        <v>0.57765900000000003</v>
      </c>
      <c r="I110" s="2496"/>
      <c r="J110" s="2517">
        <v>0.80309399999999997</v>
      </c>
      <c r="K110" s="2517">
        <v>0.56740599999999997</v>
      </c>
      <c r="L110" s="2497"/>
      <c r="M110" s="2517">
        <v>0.78839099999999995</v>
      </c>
      <c r="N110" s="2517">
        <v>0.55737700000000001</v>
      </c>
      <c r="O110" s="2532">
        <v>1.669</v>
      </c>
      <c r="P110" s="2536"/>
      <c r="Q110" s="2517">
        <v>0.772374</v>
      </c>
      <c r="R110" s="2517">
        <v>0.54898199999999997</v>
      </c>
      <c r="S110" s="2532">
        <v>1.22</v>
      </c>
      <c r="T110" s="2496"/>
      <c r="U110" s="2496"/>
      <c r="V110" s="2496"/>
      <c r="W110" s="2520"/>
      <c r="X110" s="2515"/>
      <c r="Y110" s="2515"/>
      <c r="Z110" s="2521"/>
      <c r="AA110" s="2505"/>
      <c r="AB110" s="2515"/>
      <c r="AC110" s="2496"/>
      <c r="AD110" s="2505"/>
      <c r="AE110" s="2515"/>
      <c r="AF110" s="2496"/>
      <c r="AG110" s="2505"/>
      <c r="AH110" s="2515"/>
    </row>
    <row r="111" spans="1:34">
      <c r="A111" s="2519">
        <v>781</v>
      </c>
      <c r="B111" s="2514" t="s">
        <v>755</v>
      </c>
      <c r="C111" s="2496"/>
      <c r="D111" s="2530">
        <v>0.84750000000000003</v>
      </c>
      <c r="E111" s="2530">
        <v>0.61011800000000005</v>
      </c>
      <c r="F111" s="2531"/>
      <c r="G111" s="2530">
        <v>0.83768200000000004</v>
      </c>
      <c r="H111" s="2530">
        <v>0.59571200000000002</v>
      </c>
      <c r="I111" s="2496"/>
      <c r="J111" s="2517">
        <v>0.82775799999999999</v>
      </c>
      <c r="K111" s="2517">
        <v>0.58212900000000001</v>
      </c>
      <c r="L111" s="2497"/>
      <c r="M111" s="2517">
        <v>0.81430800000000003</v>
      </c>
      <c r="N111" s="2517">
        <v>0.56746099999999999</v>
      </c>
      <c r="O111" s="2532">
        <v>1.5269999999999999</v>
      </c>
      <c r="P111" s="2536"/>
      <c r="Q111" s="2517">
        <v>0.79945100000000002</v>
      </c>
      <c r="R111" s="2517">
        <v>0.55718900000000005</v>
      </c>
      <c r="S111" s="2532">
        <v>1.1499999999999999</v>
      </c>
      <c r="T111" s="2496"/>
      <c r="U111" s="2496"/>
      <c r="V111" s="2496"/>
      <c r="W111" s="2520"/>
      <c r="X111" s="2515"/>
      <c r="Y111" s="2515"/>
      <c r="Z111" s="2521"/>
      <c r="AA111" s="2505"/>
      <c r="AB111" s="2515"/>
      <c r="AC111" s="2496"/>
      <c r="AD111" s="2505"/>
      <c r="AE111" s="2515"/>
      <c r="AF111" s="2496"/>
      <c r="AG111" s="2505"/>
      <c r="AH111" s="2515"/>
    </row>
    <row r="112" spans="1:34">
      <c r="A112" s="2519">
        <v>821</v>
      </c>
      <c r="B112" s="2514" t="s">
        <v>757</v>
      </c>
      <c r="C112" s="2496"/>
      <c r="D112" s="2530">
        <v>0.85699499999999995</v>
      </c>
      <c r="E112" s="2530">
        <v>0.63039299999999998</v>
      </c>
      <c r="F112" s="2531"/>
      <c r="G112" s="2530">
        <v>0.85102999999999995</v>
      </c>
      <c r="H112" s="2530">
        <v>0.62045600000000001</v>
      </c>
      <c r="I112" s="2496"/>
      <c r="J112" s="2517">
        <v>0.84086300000000003</v>
      </c>
      <c r="K112" s="2517">
        <v>0.60242099999999998</v>
      </c>
      <c r="L112" s="2497"/>
      <c r="M112" s="2517">
        <v>0.83406000000000002</v>
      </c>
      <c r="N112" s="2517">
        <v>0.59196199999999999</v>
      </c>
      <c r="O112" s="2532">
        <v>1.5</v>
      </c>
      <c r="P112" s="2536"/>
      <c r="Q112" s="2517">
        <v>0.82649399999999995</v>
      </c>
      <c r="R112" s="2517">
        <v>0.58112200000000003</v>
      </c>
      <c r="S112" s="2532">
        <v>1.45</v>
      </c>
      <c r="T112" s="2496"/>
      <c r="U112" s="2496"/>
      <c r="V112" s="2496"/>
      <c r="W112" s="2520"/>
      <c r="X112" s="2515"/>
      <c r="Y112" s="2515"/>
      <c r="Z112" s="2521"/>
      <c r="AA112" s="2505"/>
      <c r="AB112" s="2515"/>
      <c r="AC112" s="2496"/>
      <c r="AD112" s="2505"/>
      <c r="AE112" s="2515"/>
      <c r="AF112" s="2496"/>
      <c r="AG112" s="2505"/>
      <c r="AH112" s="2515"/>
    </row>
    <row r="113" spans="1:34">
      <c r="A113" s="2519">
        <v>834</v>
      </c>
      <c r="B113" s="2514" t="s">
        <v>758</v>
      </c>
      <c r="C113" s="2496"/>
      <c r="D113" s="2530">
        <v>0.857012</v>
      </c>
      <c r="E113" s="2530">
        <v>0.614402</v>
      </c>
      <c r="F113" s="2531"/>
      <c r="G113" s="2530">
        <v>0.84768600000000005</v>
      </c>
      <c r="H113" s="2530">
        <v>0.60678299999999996</v>
      </c>
      <c r="I113" s="2496"/>
      <c r="J113" s="2517">
        <v>0.836839</v>
      </c>
      <c r="K113" s="2517">
        <v>0.59700399999999998</v>
      </c>
      <c r="L113" s="2497"/>
      <c r="M113" s="2517">
        <v>0.82790399999999997</v>
      </c>
      <c r="N113" s="2517">
        <v>0.58502500000000002</v>
      </c>
      <c r="O113" s="2532">
        <v>2.17</v>
      </c>
      <c r="P113" s="2536"/>
      <c r="Q113" s="2517">
        <v>0.81726399999999999</v>
      </c>
      <c r="R113" s="2517">
        <v>0.57349700000000003</v>
      </c>
      <c r="S113" s="2532">
        <v>1.27</v>
      </c>
      <c r="T113" s="2496"/>
      <c r="U113" s="2496"/>
      <c r="V113" s="2496"/>
      <c r="W113" s="2520"/>
      <c r="X113" s="2515"/>
      <c r="Y113" s="2515"/>
      <c r="Z113" s="2521"/>
      <c r="AA113" s="2505"/>
      <c r="AB113" s="2515"/>
      <c r="AC113" s="2496"/>
      <c r="AD113" s="2505"/>
      <c r="AE113" s="2515"/>
      <c r="AF113" s="2496"/>
      <c r="AG113" s="2505"/>
      <c r="AH113" s="2515"/>
    </row>
    <row r="114" spans="1:34">
      <c r="A114" s="2519">
        <v>840</v>
      </c>
      <c r="B114" s="2514" t="s">
        <v>759</v>
      </c>
      <c r="C114" s="2496"/>
      <c r="D114" s="2530">
        <v>0.83538100000000004</v>
      </c>
      <c r="E114" s="2530">
        <v>0.60372099999999995</v>
      </c>
      <c r="F114" s="2531"/>
      <c r="G114" s="2530">
        <v>0.82649499999999998</v>
      </c>
      <c r="H114" s="2530">
        <v>0.59250400000000003</v>
      </c>
      <c r="I114" s="2496"/>
      <c r="J114" s="2517">
        <v>0.81393499999999996</v>
      </c>
      <c r="K114" s="2517">
        <v>0.58214900000000003</v>
      </c>
      <c r="L114" s="2497"/>
      <c r="M114" s="2517">
        <v>0.80216100000000001</v>
      </c>
      <c r="N114" s="2517">
        <v>0.57077999999999995</v>
      </c>
      <c r="O114" s="2532">
        <v>1.94</v>
      </c>
      <c r="P114" s="2536"/>
      <c r="Q114" s="2517">
        <v>0.78685099999999997</v>
      </c>
      <c r="R114" s="2517">
        <v>0.55928500000000003</v>
      </c>
      <c r="S114" s="2532">
        <v>1.35</v>
      </c>
      <c r="T114" s="2496"/>
      <c r="U114" s="2496"/>
      <c r="V114" s="2496"/>
      <c r="W114" s="2520"/>
      <c r="X114" s="2515"/>
      <c r="Y114" s="2515"/>
      <c r="Z114" s="2521"/>
      <c r="AA114" s="2505"/>
      <c r="AB114" s="2515"/>
      <c r="AC114" s="2496"/>
      <c r="AD114" s="2505"/>
      <c r="AE114" s="2515"/>
      <c r="AF114" s="2496"/>
      <c r="AG114" s="2505"/>
      <c r="AH114" s="2515"/>
    </row>
    <row r="115" spans="1:34">
      <c r="A115" s="2519">
        <v>860</v>
      </c>
      <c r="B115" s="2514" t="s">
        <v>760</v>
      </c>
      <c r="C115" s="2496"/>
      <c r="D115" s="2530">
        <v>0.84733000000000003</v>
      </c>
      <c r="E115" s="2530">
        <v>0.59968900000000003</v>
      </c>
      <c r="F115" s="2531"/>
      <c r="G115" s="2530">
        <v>0.83950000000000002</v>
      </c>
      <c r="H115" s="2530">
        <v>0.58997599999999994</v>
      </c>
      <c r="I115" s="2496"/>
      <c r="J115" s="2517">
        <v>0.82939399999999996</v>
      </c>
      <c r="K115" s="2517">
        <v>0.58086499999999996</v>
      </c>
      <c r="L115" s="2497"/>
      <c r="M115" s="2517">
        <v>0.82092799999999999</v>
      </c>
      <c r="N115" s="2517">
        <v>0.57234099999999999</v>
      </c>
      <c r="O115" s="2532">
        <v>1.335</v>
      </c>
      <c r="P115" s="2536"/>
      <c r="Q115" s="2517">
        <v>0.817824</v>
      </c>
      <c r="R115" s="2517">
        <v>0.56254599999999999</v>
      </c>
      <c r="S115" s="2532">
        <v>1.33</v>
      </c>
      <c r="T115" s="2496"/>
      <c r="U115" s="2496"/>
      <c r="V115" s="2496"/>
      <c r="W115" s="2520"/>
      <c r="X115" s="2515"/>
      <c r="Y115" s="2515"/>
      <c r="Z115" s="2521"/>
      <c r="AA115" s="2505"/>
      <c r="AB115" s="2515"/>
      <c r="AC115" s="2496"/>
      <c r="AD115" s="2505"/>
      <c r="AE115" s="2515"/>
      <c r="AF115" s="2496"/>
      <c r="AG115" s="2505"/>
      <c r="AH115" s="2515"/>
    </row>
    <row r="116" spans="1:34">
      <c r="A116" s="2519">
        <v>861</v>
      </c>
      <c r="B116" s="2514" t="s">
        <v>761</v>
      </c>
      <c r="C116" s="2496"/>
      <c r="D116" s="2530">
        <v>0.85151299999999996</v>
      </c>
      <c r="E116" s="2530">
        <v>0.60813399999999995</v>
      </c>
      <c r="F116" s="2531"/>
      <c r="G116" s="2530">
        <v>0.84533000000000003</v>
      </c>
      <c r="H116" s="2530">
        <v>0.59859700000000005</v>
      </c>
      <c r="I116" s="2496"/>
      <c r="J116" s="2517">
        <v>0.83533400000000002</v>
      </c>
      <c r="K116" s="2517">
        <v>0.58809800000000001</v>
      </c>
      <c r="L116" s="2497"/>
      <c r="M116" s="2517">
        <v>0.82448500000000002</v>
      </c>
      <c r="N116" s="2517">
        <v>0.57414600000000005</v>
      </c>
      <c r="O116" s="2532">
        <v>2.0649999999999999</v>
      </c>
      <c r="P116" s="2536"/>
      <c r="Q116" s="2517">
        <v>0.81338200000000005</v>
      </c>
      <c r="R116" s="2517">
        <v>0.56283399999999995</v>
      </c>
      <c r="S116" s="2532">
        <v>0.97</v>
      </c>
      <c r="T116" s="2496"/>
      <c r="U116" s="2496"/>
      <c r="V116" s="2496"/>
      <c r="W116" s="2520"/>
      <c r="X116" s="2515"/>
      <c r="Y116" s="2515"/>
      <c r="Z116" s="2521"/>
      <c r="AA116" s="2505"/>
      <c r="AB116" s="2515"/>
      <c r="AC116" s="2496"/>
      <c r="AD116" s="2505"/>
      <c r="AE116" s="2515"/>
      <c r="AF116" s="2496"/>
      <c r="AG116" s="2505"/>
      <c r="AH116" s="2515"/>
    </row>
    <row r="117" spans="1:34">
      <c r="A117" s="2519">
        <v>862</v>
      </c>
      <c r="B117" s="2514" t="s">
        <v>762</v>
      </c>
      <c r="C117" s="2496"/>
      <c r="D117" s="2530">
        <v>0.86012200000000005</v>
      </c>
      <c r="E117" s="2530">
        <v>0.617788</v>
      </c>
      <c r="F117" s="2531"/>
      <c r="G117" s="2530">
        <v>0.85348400000000002</v>
      </c>
      <c r="H117" s="2530">
        <v>0.60480699999999998</v>
      </c>
      <c r="I117" s="2496"/>
      <c r="J117" s="2517">
        <v>0.84342399999999995</v>
      </c>
      <c r="K117" s="2517">
        <v>0.59619200000000006</v>
      </c>
      <c r="L117" s="2497"/>
      <c r="M117" s="2517">
        <v>0.83288799999999996</v>
      </c>
      <c r="N117" s="2517">
        <v>0.58728400000000003</v>
      </c>
      <c r="O117" s="2532" t="s">
        <v>390</v>
      </c>
      <c r="P117" s="2536"/>
      <c r="Q117" s="2517">
        <v>0.82301100000000005</v>
      </c>
      <c r="R117" s="2517">
        <v>0.58076300000000003</v>
      </c>
      <c r="S117" s="2532" t="s">
        <v>390</v>
      </c>
      <c r="T117" s="2496"/>
      <c r="U117" s="2496"/>
      <c r="V117" s="2496"/>
      <c r="W117" s="2520"/>
      <c r="X117" s="2515"/>
      <c r="Y117" s="2515"/>
      <c r="Z117" s="2521"/>
      <c r="AA117" s="2505"/>
      <c r="AB117" s="2515"/>
      <c r="AC117" s="2496"/>
      <c r="AD117" s="2505"/>
      <c r="AE117" s="2515"/>
      <c r="AF117" s="2496"/>
      <c r="AG117" s="2505"/>
      <c r="AH117" s="2515"/>
    </row>
    <row r="118" spans="1:34">
      <c r="A118" s="2519">
        <v>880</v>
      </c>
      <c r="B118" s="2514" t="s">
        <v>763</v>
      </c>
      <c r="C118" s="2496"/>
      <c r="D118" s="2530">
        <v>0.82629399999999997</v>
      </c>
      <c r="E118" s="2530">
        <v>0.58796499999999996</v>
      </c>
      <c r="F118" s="2531"/>
      <c r="G118" s="2530">
        <v>0.81452400000000003</v>
      </c>
      <c r="H118" s="2530">
        <v>0.57094999999999996</v>
      </c>
      <c r="I118" s="2496"/>
      <c r="J118" s="2517">
        <v>0.80100000000000005</v>
      </c>
      <c r="K118" s="2517">
        <v>0.56185300000000005</v>
      </c>
      <c r="L118" s="2497"/>
      <c r="M118" s="2517">
        <v>0.78524499999999997</v>
      </c>
      <c r="N118" s="2517">
        <v>0.55033100000000001</v>
      </c>
      <c r="O118" s="2532">
        <v>1.681</v>
      </c>
      <c r="P118" s="2536"/>
      <c r="Q118" s="2517">
        <v>0.76576200000000005</v>
      </c>
      <c r="R118" s="2517">
        <v>0.53909399999999996</v>
      </c>
      <c r="S118" s="2532">
        <v>1.17</v>
      </c>
      <c r="T118" s="2496"/>
      <c r="U118" s="2496"/>
      <c r="V118" s="2496"/>
      <c r="W118" s="2520"/>
      <c r="X118" s="2515"/>
      <c r="Y118" s="2515"/>
      <c r="Z118" s="2521"/>
      <c r="AA118" s="2505"/>
      <c r="AB118" s="2515"/>
      <c r="AC118" s="2496"/>
      <c r="AD118" s="2505"/>
      <c r="AE118" s="2515"/>
      <c r="AF118" s="2496"/>
      <c r="AG118" s="2505"/>
      <c r="AH118" s="2515"/>
    </row>
    <row r="119" spans="1:34">
      <c r="A119" s="2519">
        <v>881</v>
      </c>
      <c r="B119" s="2514" t="s">
        <v>764</v>
      </c>
      <c r="C119" s="2496"/>
      <c r="D119" s="2530">
        <v>0.84758599999999995</v>
      </c>
      <c r="E119" s="2530">
        <v>0.61595599999999995</v>
      </c>
      <c r="F119" s="2531"/>
      <c r="G119" s="2530">
        <v>0.83901300000000001</v>
      </c>
      <c r="H119" s="2530">
        <v>0.60087699999999999</v>
      </c>
      <c r="I119" s="2496"/>
      <c r="J119" s="2517">
        <v>0.83033000000000001</v>
      </c>
      <c r="K119" s="2517">
        <v>0.58836999999999995</v>
      </c>
      <c r="L119" s="2497"/>
      <c r="M119" s="2517">
        <v>0.81769499999999995</v>
      </c>
      <c r="N119" s="2517">
        <v>0.57492399999999999</v>
      </c>
      <c r="O119" s="2532">
        <v>1.6060000000000001</v>
      </c>
      <c r="P119" s="2536"/>
      <c r="Q119" s="2517">
        <v>0.80508900000000005</v>
      </c>
      <c r="R119" s="2517">
        <v>0.56190200000000001</v>
      </c>
      <c r="S119" s="2532">
        <v>1.0900000000000001</v>
      </c>
      <c r="T119" s="2496"/>
      <c r="U119" s="2496"/>
      <c r="V119" s="2496"/>
      <c r="W119" s="2520"/>
      <c r="X119" s="2515"/>
      <c r="Y119" s="2515"/>
      <c r="Z119" s="2521"/>
      <c r="AA119" s="2505"/>
      <c r="AB119" s="2515"/>
      <c r="AC119" s="2496"/>
      <c r="AD119" s="2505"/>
      <c r="AE119" s="2515"/>
      <c r="AF119" s="2496"/>
      <c r="AG119" s="2505"/>
      <c r="AH119" s="2515"/>
    </row>
    <row r="120" spans="1:34">
      <c r="A120" s="2519">
        <v>882</v>
      </c>
      <c r="B120" s="2514" t="s">
        <v>765</v>
      </c>
      <c r="C120" s="2496"/>
      <c r="D120" s="2530">
        <v>0.84381399999999995</v>
      </c>
      <c r="E120" s="2530">
        <v>0.60701700000000003</v>
      </c>
      <c r="F120" s="2531"/>
      <c r="G120" s="2530">
        <v>0.83469199999999999</v>
      </c>
      <c r="H120" s="2530">
        <v>0.59265199999999996</v>
      </c>
      <c r="I120" s="2496"/>
      <c r="J120" s="2517">
        <v>0.82276199999999999</v>
      </c>
      <c r="K120" s="2517">
        <v>0.58151399999999998</v>
      </c>
      <c r="L120" s="2497"/>
      <c r="M120" s="2517">
        <v>0.80956700000000004</v>
      </c>
      <c r="N120" s="2517">
        <v>0.56699299999999997</v>
      </c>
      <c r="O120" s="2532">
        <v>1.37</v>
      </c>
      <c r="P120" s="2536"/>
      <c r="Q120" s="2517">
        <v>0.79190899999999997</v>
      </c>
      <c r="R120" s="2517">
        <v>0.557724</v>
      </c>
      <c r="S120" s="2532">
        <v>1.0900000000000001</v>
      </c>
      <c r="T120" s="2496"/>
      <c r="U120" s="2496"/>
      <c r="V120" s="2496"/>
      <c r="W120" s="2520"/>
      <c r="X120" s="2515"/>
      <c r="Y120" s="2515"/>
      <c r="Z120" s="2521"/>
      <c r="AA120" s="2505"/>
      <c r="AB120" s="2515"/>
      <c r="AC120" s="2496"/>
      <c r="AD120" s="2505"/>
      <c r="AE120" s="2515"/>
      <c r="AF120" s="2496"/>
      <c r="AG120" s="2505"/>
      <c r="AH120" s="2515"/>
    </row>
    <row r="121" spans="1:34">
      <c r="A121" s="2519">
        <v>883</v>
      </c>
      <c r="B121" s="2514" t="s">
        <v>766</v>
      </c>
      <c r="C121" s="2496"/>
      <c r="D121" s="2530">
        <v>0.84848599999999996</v>
      </c>
      <c r="E121" s="2530">
        <v>0.60968299999999997</v>
      </c>
      <c r="F121" s="2531"/>
      <c r="G121" s="2530">
        <v>0.83968699999999996</v>
      </c>
      <c r="H121" s="2530">
        <v>0.59739600000000004</v>
      </c>
      <c r="I121" s="2496"/>
      <c r="J121" s="2517">
        <v>0.82933500000000004</v>
      </c>
      <c r="K121" s="2517">
        <v>0.58904299999999998</v>
      </c>
      <c r="L121" s="2497"/>
      <c r="M121" s="2517">
        <v>0.81544099999999997</v>
      </c>
      <c r="N121" s="2517">
        <v>0.578183</v>
      </c>
      <c r="O121" s="2532">
        <v>1.597</v>
      </c>
      <c r="P121" s="2536"/>
      <c r="Q121" s="2517">
        <v>0.79972600000000005</v>
      </c>
      <c r="R121" s="2517">
        <v>0.56818599999999997</v>
      </c>
      <c r="S121" s="2532">
        <v>1.1100000000000001</v>
      </c>
      <c r="T121" s="2496"/>
      <c r="U121" s="2496"/>
      <c r="V121" s="2496"/>
      <c r="W121" s="2520"/>
      <c r="X121" s="2515"/>
      <c r="Y121" s="2515"/>
      <c r="Z121" s="2521"/>
      <c r="AA121" s="2505"/>
      <c r="AB121" s="2515"/>
      <c r="AC121" s="2496"/>
      <c r="AD121" s="2505"/>
      <c r="AE121" s="2515"/>
      <c r="AF121" s="2496"/>
      <c r="AG121" s="2505"/>
      <c r="AH121" s="2515"/>
    </row>
    <row r="122" spans="1:34">
      <c r="A122" s="2519">
        <v>884</v>
      </c>
      <c r="B122" s="2514" t="s">
        <v>767</v>
      </c>
      <c r="C122" s="2496"/>
      <c r="D122" s="2530">
        <v>0.840036</v>
      </c>
      <c r="E122" s="2530">
        <v>0.59685299999999997</v>
      </c>
      <c r="F122" s="2531"/>
      <c r="G122" s="2530">
        <v>0.82887699999999997</v>
      </c>
      <c r="H122" s="2530">
        <v>0.58827300000000005</v>
      </c>
      <c r="I122" s="2496"/>
      <c r="J122" s="2517">
        <v>0.81872199999999995</v>
      </c>
      <c r="K122" s="2517">
        <v>0.58137499999999998</v>
      </c>
      <c r="L122" s="2497"/>
      <c r="M122" s="2517">
        <v>0.80737999999999999</v>
      </c>
      <c r="N122" s="2517">
        <v>0.57061600000000001</v>
      </c>
      <c r="O122" s="2532">
        <v>1.9750000000000001</v>
      </c>
      <c r="P122" s="2536"/>
      <c r="Q122" s="2517">
        <v>0.79512499999999997</v>
      </c>
      <c r="R122" s="2517">
        <v>0.56376099999999996</v>
      </c>
      <c r="S122" s="2532">
        <v>2.17</v>
      </c>
      <c r="T122" s="2496"/>
      <c r="U122" s="2496"/>
      <c r="V122" s="2496"/>
      <c r="W122" s="2520"/>
      <c r="X122" s="2515"/>
      <c r="Y122" s="2515"/>
      <c r="Z122" s="2521"/>
      <c r="AA122" s="2505"/>
      <c r="AB122" s="2515"/>
      <c r="AC122" s="2496"/>
      <c r="AD122" s="2505"/>
      <c r="AE122" s="2515"/>
      <c r="AF122" s="2496"/>
      <c r="AG122" s="2505"/>
      <c r="AH122" s="2515"/>
    </row>
    <row r="123" spans="1:34">
      <c r="A123" s="2519">
        <v>885</v>
      </c>
      <c r="B123" s="2514" t="s">
        <v>768</v>
      </c>
      <c r="C123" s="2496"/>
      <c r="D123" s="2530">
        <v>0.85223300000000002</v>
      </c>
      <c r="E123" s="2530">
        <v>0.62154500000000001</v>
      </c>
      <c r="F123" s="2531"/>
      <c r="G123" s="2530">
        <v>0.84497999999999995</v>
      </c>
      <c r="H123" s="2530">
        <v>0.61187800000000003</v>
      </c>
      <c r="I123" s="2496"/>
      <c r="J123" s="2517">
        <v>0.83704100000000004</v>
      </c>
      <c r="K123" s="2517">
        <v>0.60615799999999997</v>
      </c>
      <c r="L123" s="2497"/>
      <c r="M123" s="2517">
        <v>0.82937700000000003</v>
      </c>
      <c r="N123" s="2517">
        <v>0.59501199999999999</v>
      </c>
      <c r="O123" s="2532" t="s">
        <v>390</v>
      </c>
      <c r="P123" s="2536"/>
      <c r="Q123" s="2517">
        <v>0.81740999999999997</v>
      </c>
      <c r="R123" s="2517">
        <v>0.58346200000000004</v>
      </c>
      <c r="S123" s="2532">
        <v>1.33</v>
      </c>
      <c r="T123" s="2496"/>
      <c r="U123" s="2496"/>
      <c r="V123" s="2496"/>
      <c r="W123" s="2520"/>
      <c r="X123" s="2515"/>
      <c r="Y123" s="2515"/>
      <c r="Z123" s="2521"/>
      <c r="AA123" s="2505"/>
      <c r="AB123" s="2515"/>
      <c r="AC123" s="2496"/>
      <c r="AD123" s="2505"/>
      <c r="AE123" s="2515"/>
      <c r="AF123" s="2496"/>
      <c r="AG123" s="2505"/>
      <c r="AH123" s="2515"/>
    </row>
    <row r="124" spans="1:34">
      <c r="A124" s="2519">
        <v>980</v>
      </c>
      <c r="B124" s="2514" t="s">
        <v>770</v>
      </c>
      <c r="C124" s="2496"/>
      <c r="D124" s="2530">
        <v>0.86289400000000005</v>
      </c>
      <c r="E124" s="2530">
        <v>0.60602</v>
      </c>
      <c r="F124" s="2531"/>
      <c r="G124" s="2530">
        <v>0.85677700000000001</v>
      </c>
      <c r="H124" s="2530">
        <v>0.59570199999999995</v>
      </c>
      <c r="I124" s="2496"/>
      <c r="J124" s="2517">
        <v>0.84747600000000001</v>
      </c>
      <c r="K124" s="2517">
        <v>0.58589599999999997</v>
      </c>
      <c r="L124" s="2497"/>
      <c r="M124" s="2517">
        <v>0.83823099999999995</v>
      </c>
      <c r="N124" s="2517">
        <v>0.57776400000000006</v>
      </c>
      <c r="O124" s="2532">
        <v>1.7150000000000001</v>
      </c>
      <c r="P124" s="2536"/>
      <c r="Q124" s="2517">
        <v>0.82693000000000005</v>
      </c>
      <c r="R124" s="2517">
        <v>0.57152000000000003</v>
      </c>
      <c r="S124" s="2532">
        <v>0.96</v>
      </c>
      <c r="T124" s="2496"/>
      <c r="U124" s="2496"/>
      <c r="V124" s="2496"/>
      <c r="W124" s="2520"/>
      <c r="X124" s="2515"/>
      <c r="Y124" s="2515"/>
      <c r="Z124" s="2521"/>
      <c r="AA124" s="2505"/>
      <c r="AB124" s="2515"/>
      <c r="AC124" s="2496"/>
      <c r="AD124" s="2505"/>
      <c r="AE124" s="2515"/>
      <c r="AF124" s="2496"/>
      <c r="AG124" s="2505"/>
      <c r="AH124" s="2515"/>
    </row>
    <row r="125" spans="1:34">
      <c r="A125" s="2519">
        <v>1060</v>
      </c>
      <c r="B125" s="2514" t="s">
        <v>772</v>
      </c>
      <c r="C125" s="2496"/>
      <c r="D125" s="2530">
        <v>0.84634799999999999</v>
      </c>
      <c r="E125" s="2530">
        <v>0.59792299999999998</v>
      </c>
      <c r="F125" s="2531"/>
      <c r="G125" s="2530">
        <v>0.83679800000000004</v>
      </c>
      <c r="H125" s="2530">
        <v>0.58831699999999998</v>
      </c>
      <c r="I125" s="2496"/>
      <c r="J125" s="2517">
        <v>0.82554899999999998</v>
      </c>
      <c r="K125" s="2517">
        <v>0.57557000000000003</v>
      </c>
      <c r="L125" s="2497"/>
      <c r="M125" s="2517">
        <v>0.81440599999999996</v>
      </c>
      <c r="N125" s="2517">
        <v>0.56466700000000003</v>
      </c>
      <c r="O125" s="2532">
        <v>1.5760000000000001</v>
      </c>
      <c r="P125" s="2536"/>
      <c r="Q125" s="2517">
        <v>0.79768399999999995</v>
      </c>
      <c r="R125" s="2517">
        <v>0.55243799999999998</v>
      </c>
      <c r="S125" s="2532">
        <v>0.98</v>
      </c>
      <c r="T125" s="2496"/>
      <c r="U125" s="2496"/>
      <c r="V125" s="2496"/>
      <c r="W125" s="2520"/>
      <c r="X125" s="2515"/>
      <c r="Y125" s="2515"/>
      <c r="Z125" s="2521"/>
      <c r="AA125" s="2505"/>
      <c r="AB125" s="2515"/>
      <c r="AC125" s="2496"/>
      <c r="AD125" s="2505"/>
      <c r="AE125" s="2515"/>
      <c r="AF125" s="2496"/>
      <c r="AG125" s="2505"/>
      <c r="AH125" s="2515"/>
    </row>
    <row r="126" spans="1:34">
      <c r="A126" s="2519">
        <v>1080</v>
      </c>
      <c r="B126" s="2514" t="s">
        <v>773</v>
      </c>
      <c r="C126" s="2496"/>
      <c r="D126" s="2530">
        <v>0.84045300000000001</v>
      </c>
      <c r="E126" s="2530">
        <v>0.59190900000000002</v>
      </c>
      <c r="F126" s="2531"/>
      <c r="G126" s="2530">
        <v>0.83032700000000004</v>
      </c>
      <c r="H126" s="2530">
        <v>0.58012699999999995</v>
      </c>
      <c r="I126" s="2496"/>
      <c r="J126" s="2517">
        <v>0.81842700000000002</v>
      </c>
      <c r="K126" s="2517">
        <v>0.56875699999999996</v>
      </c>
      <c r="L126" s="2497"/>
      <c r="M126" s="2517">
        <v>0.80475399999999997</v>
      </c>
      <c r="N126" s="2517">
        <v>0.55725599999999997</v>
      </c>
      <c r="O126" s="2532">
        <v>1.63</v>
      </c>
      <c r="P126" s="2536"/>
      <c r="Q126" s="2517">
        <v>0.78852199999999995</v>
      </c>
      <c r="R126" s="2517">
        <v>0.54818199999999995</v>
      </c>
      <c r="S126" s="2532">
        <v>1.21</v>
      </c>
      <c r="T126" s="2496"/>
      <c r="U126" s="2496"/>
      <c r="V126" s="2496"/>
      <c r="W126" s="2520"/>
      <c r="X126" s="2515"/>
      <c r="Y126" s="2515"/>
      <c r="Z126" s="2521"/>
      <c r="AA126" s="2505"/>
      <c r="AB126" s="2515"/>
      <c r="AC126" s="2496"/>
      <c r="AD126" s="2505"/>
      <c r="AE126" s="2515"/>
      <c r="AF126" s="2496"/>
      <c r="AG126" s="2505"/>
      <c r="AH126" s="2515"/>
    </row>
    <row r="127" spans="1:34">
      <c r="A127" s="2519">
        <v>1081</v>
      </c>
      <c r="B127" s="2514" t="s">
        <v>774</v>
      </c>
      <c r="C127" s="2496"/>
      <c r="D127" s="2530">
        <v>0.85058999999999996</v>
      </c>
      <c r="E127" s="2530">
        <v>0.60376700000000005</v>
      </c>
      <c r="F127" s="2531"/>
      <c r="G127" s="2530">
        <v>0.84247300000000003</v>
      </c>
      <c r="H127" s="2530">
        <v>0.58904599999999996</v>
      </c>
      <c r="I127" s="2496"/>
      <c r="J127" s="2517">
        <v>0.83056799999999997</v>
      </c>
      <c r="K127" s="2517">
        <v>0.57691499999999996</v>
      </c>
      <c r="L127" s="2497"/>
      <c r="M127" s="2517">
        <v>0.818936</v>
      </c>
      <c r="N127" s="2517">
        <v>0.56418100000000004</v>
      </c>
      <c r="O127" s="2532">
        <v>1.593</v>
      </c>
      <c r="P127" s="2536"/>
      <c r="Q127" s="2517">
        <v>0.80613999999999997</v>
      </c>
      <c r="R127" s="2517">
        <v>0.55066400000000004</v>
      </c>
      <c r="S127" s="2532">
        <v>1.23</v>
      </c>
      <c r="T127" s="2496"/>
      <c r="U127" s="2496"/>
      <c r="V127" s="2496"/>
      <c r="W127" s="2520"/>
      <c r="X127" s="2515"/>
      <c r="Y127" s="2515"/>
      <c r="Z127" s="2521"/>
      <c r="AA127" s="2505"/>
      <c r="AB127" s="2515"/>
      <c r="AC127" s="2496"/>
      <c r="AD127" s="2505"/>
      <c r="AE127" s="2515"/>
      <c r="AF127" s="2496"/>
      <c r="AG127" s="2505"/>
      <c r="AH127" s="2515"/>
    </row>
    <row r="128" spans="1:34">
      <c r="A128" s="2519">
        <v>1082</v>
      </c>
      <c r="B128" s="2514" t="s">
        <v>775</v>
      </c>
      <c r="C128" s="2496"/>
      <c r="D128" s="2530">
        <v>0.83428999999999998</v>
      </c>
      <c r="E128" s="2530">
        <v>0.58634500000000001</v>
      </c>
      <c r="F128" s="2531"/>
      <c r="G128" s="2530">
        <v>0.82429600000000003</v>
      </c>
      <c r="H128" s="2530">
        <v>0.57998499999999997</v>
      </c>
      <c r="I128" s="2496"/>
      <c r="J128" s="2517">
        <v>0.81341799999999997</v>
      </c>
      <c r="K128" s="2517">
        <v>0.57121500000000003</v>
      </c>
      <c r="L128" s="2497"/>
      <c r="M128" s="2517">
        <v>0.79980300000000004</v>
      </c>
      <c r="N128" s="2517">
        <v>0.56086400000000003</v>
      </c>
      <c r="O128" s="2532">
        <v>1.5629999999999999</v>
      </c>
      <c r="P128" s="2536"/>
      <c r="Q128" s="2517">
        <v>0.783891</v>
      </c>
      <c r="R128" s="2517">
        <v>0.55195099999999997</v>
      </c>
      <c r="S128" s="2532">
        <v>0.94</v>
      </c>
      <c r="T128" s="2496"/>
      <c r="U128" s="2496"/>
      <c r="V128" s="2496"/>
      <c r="W128" s="2520"/>
      <c r="X128" s="2515"/>
      <c r="Y128" s="2515"/>
      <c r="Z128" s="2521"/>
      <c r="AA128" s="2505"/>
      <c r="AB128" s="2515"/>
      <c r="AC128" s="2496"/>
      <c r="AD128" s="2505"/>
      <c r="AE128" s="2515"/>
      <c r="AF128" s="2496"/>
      <c r="AG128" s="2505"/>
      <c r="AH128" s="2515"/>
    </row>
    <row r="129" spans="1:34">
      <c r="A129" s="2519">
        <v>1083</v>
      </c>
      <c r="B129" s="2514" t="s">
        <v>776</v>
      </c>
      <c r="C129" s="2496"/>
      <c r="D129" s="2530">
        <v>0.84285500000000002</v>
      </c>
      <c r="E129" s="2530">
        <v>0.60138999999999998</v>
      </c>
      <c r="F129" s="2531"/>
      <c r="G129" s="2530">
        <v>0.83124200000000004</v>
      </c>
      <c r="H129" s="2530">
        <v>0.58865800000000001</v>
      </c>
      <c r="I129" s="2496"/>
      <c r="J129" s="2517">
        <v>0.81899100000000002</v>
      </c>
      <c r="K129" s="2517">
        <v>0.57720899999999997</v>
      </c>
      <c r="L129" s="2497"/>
      <c r="M129" s="2517">
        <v>0.80598800000000004</v>
      </c>
      <c r="N129" s="2517">
        <v>0.56747300000000001</v>
      </c>
      <c r="O129" s="2532">
        <v>1.6279999999999999</v>
      </c>
      <c r="P129" s="2536"/>
      <c r="Q129" s="2517">
        <v>0.79193999999999998</v>
      </c>
      <c r="R129" s="2517">
        <v>0.55655600000000005</v>
      </c>
      <c r="S129" s="2532">
        <v>1.01</v>
      </c>
      <c r="T129" s="2496"/>
      <c r="U129" s="2496"/>
      <c r="V129" s="2496"/>
      <c r="W129" s="2520"/>
      <c r="X129" s="2515"/>
      <c r="Y129" s="2515"/>
      <c r="Z129" s="2521"/>
      <c r="AA129" s="2505"/>
      <c r="AB129" s="2515"/>
      <c r="AC129" s="2496"/>
      <c r="AD129" s="2505"/>
      <c r="AE129" s="2515"/>
      <c r="AF129" s="2496"/>
      <c r="AG129" s="2505"/>
      <c r="AH129" s="2515"/>
    </row>
    <row r="130" spans="1:34">
      <c r="A130" s="2519">
        <v>1214</v>
      </c>
      <c r="B130" s="2514" t="s">
        <v>778</v>
      </c>
      <c r="C130" s="2496"/>
      <c r="D130" s="2530">
        <v>0.84930399999999995</v>
      </c>
      <c r="E130" s="2530">
        <v>0.61042700000000005</v>
      </c>
      <c r="F130" s="2531"/>
      <c r="G130" s="2530">
        <v>0.83921699999999999</v>
      </c>
      <c r="H130" s="2530">
        <v>0.60066399999999998</v>
      </c>
      <c r="I130" s="2496"/>
      <c r="J130" s="2517">
        <v>0.82618400000000003</v>
      </c>
      <c r="K130" s="2517">
        <v>0.58673600000000004</v>
      </c>
      <c r="L130" s="2497"/>
      <c r="M130" s="2517">
        <v>0.81650199999999995</v>
      </c>
      <c r="N130" s="2517">
        <v>0.57659199999999999</v>
      </c>
      <c r="O130" s="2532">
        <v>1.734</v>
      </c>
      <c r="P130" s="2536"/>
      <c r="Q130" s="2517">
        <v>0.80466300000000002</v>
      </c>
      <c r="R130" s="2517">
        <v>0.56397200000000003</v>
      </c>
      <c r="S130" s="2532">
        <v>0.99</v>
      </c>
      <c r="T130" s="2496"/>
      <c r="U130" s="2496"/>
      <c r="V130" s="2496"/>
      <c r="W130" s="2520"/>
      <c r="X130" s="2515"/>
      <c r="Y130" s="2515"/>
      <c r="Z130" s="2521"/>
      <c r="AA130" s="2505"/>
      <c r="AB130" s="2515"/>
      <c r="AC130" s="2496"/>
      <c r="AD130" s="2505"/>
      <c r="AE130" s="2515"/>
      <c r="AF130" s="2496"/>
      <c r="AG130" s="2505"/>
      <c r="AH130" s="2515"/>
    </row>
    <row r="131" spans="1:34">
      <c r="A131" s="2519">
        <v>1230</v>
      </c>
      <c r="B131" s="2514" t="s">
        <v>779</v>
      </c>
      <c r="C131" s="2496"/>
      <c r="D131" s="2530">
        <v>0.825048</v>
      </c>
      <c r="E131" s="2530">
        <v>0.59275999999999995</v>
      </c>
      <c r="F131" s="2531"/>
      <c r="G131" s="2530">
        <v>0.81169100000000005</v>
      </c>
      <c r="H131" s="2530">
        <v>0.57809100000000002</v>
      </c>
      <c r="I131" s="2496"/>
      <c r="J131" s="2517">
        <v>0.79660600000000004</v>
      </c>
      <c r="K131" s="2517">
        <v>0.56626100000000001</v>
      </c>
      <c r="L131" s="2497"/>
      <c r="M131" s="2517">
        <v>0.78204399999999996</v>
      </c>
      <c r="N131" s="2517">
        <v>0.55604399999999998</v>
      </c>
      <c r="O131" s="2532">
        <v>1.855</v>
      </c>
      <c r="P131" s="2536"/>
      <c r="Q131" s="2517">
        <v>0.764571</v>
      </c>
      <c r="R131" s="2517">
        <v>0.54811500000000002</v>
      </c>
      <c r="S131" s="2532">
        <v>1.1599999999999999</v>
      </c>
      <c r="T131" s="2496"/>
      <c r="U131" s="2496"/>
      <c r="V131" s="2496"/>
      <c r="W131" s="2520"/>
      <c r="X131" s="2515"/>
      <c r="Y131" s="2515"/>
      <c r="Z131" s="2521"/>
      <c r="AA131" s="2505"/>
      <c r="AB131" s="2515"/>
      <c r="AC131" s="2496"/>
      <c r="AD131" s="2505"/>
      <c r="AE131" s="2515"/>
      <c r="AF131" s="2496"/>
      <c r="AG131" s="2505"/>
      <c r="AH131" s="2515"/>
    </row>
    <row r="132" spans="1:34">
      <c r="A132" s="2519">
        <v>1231</v>
      </c>
      <c r="B132" s="2514" t="s">
        <v>780</v>
      </c>
      <c r="C132" s="2496"/>
      <c r="D132" s="2530">
        <v>0.83008999999999999</v>
      </c>
      <c r="E132" s="2530">
        <v>0.59879899999999997</v>
      </c>
      <c r="F132" s="2531"/>
      <c r="G132" s="2530">
        <v>0.82150800000000002</v>
      </c>
      <c r="H132" s="2530">
        <v>0.58194699999999999</v>
      </c>
      <c r="I132" s="2496"/>
      <c r="J132" s="2517">
        <v>0.80646099999999998</v>
      </c>
      <c r="K132" s="2517">
        <v>0.57399100000000003</v>
      </c>
      <c r="L132" s="2497"/>
      <c r="M132" s="2517">
        <v>0.79448600000000003</v>
      </c>
      <c r="N132" s="2517">
        <v>0.56179100000000004</v>
      </c>
      <c r="O132" s="2532">
        <v>1.63</v>
      </c>
      <c r="P132" s="2536"/>
      <c r="Q132" s="2517">
        <v>0.77764699999999998</v>
      </c>
      <c r="R132" s="2517">
        <v>0.55355600000000005</v>
      </c>
      <c r="S132" s="2532">
        <v>0.79</v>
      </c>
      <c r="T132" s="2496"/>
      <c r="U132" s="2496"/>
      <c r="V132" s="2496"/>
      <c r="W132" s="2520"/>
      <c r="X132" s="2515"/>
      <c r="Y132" s="2515"/>
      <c r="Z132" s="2521"/>
      <c r="AA132" s="2505"/>
      <c r="AB132" s="2515"/>
      <c r="AC132" s="2496"/>
      <c r="AD132" s="2505"/>
      <c r="AE132" s="2515"/>
      <c r="AF132" s="2496"/>
      <c r="AG132" s="2505"/>
      <c r="AH132" s="2515"/>
    </row>
    <row r="133" spans="1:34">
      <c r="A133" s="2519">
        <v>1233</v>
      </c>
      <c r="B133" s="2514" t="s">
        <v>781</v>
      </c>
      <c r="C133" s="2496"/>
      <c r="D133" s="2530">
        <v>0.82807399999999998</v>
      </c>
      <c r="E133" s="2530">
        <v>0.61397800000000002</v>
      </c>
      <c r="F133" s="2531"/>
      <c r="G133" s="2530">
        <v>0.81633699999999998</v>
      </c>
      <c r="H133" s="2530">
        <v>0.59650099999999995</v>
      </c>
      <c r="I133" s="2496"/>
      <c r="J133" s="2517">
        <v>0.80237499999999995</v>
      </c>
      <c r="K133" s="2517">
        <v>0.583148</v>
      </c>
      <c r="L133" s="2497"/>
      <c r="M133" s="2517">
        <v>0.785524</v>
      </c>
      <c r="N133" s="2517">
        <v>0.56926299999999996</v>
      </c>
      <c r="O133" s="2532">
        <v>1.8140000000000001</v>
      </c>
      <c r="P133" s="2536"/>
      <c r="Q133" s="2517">
        <v>0.76762600000000003</v>
      </c>
      <c r="R133" s="2517">
        <v>0.55750500000000003</v>
      </c>
      <c r="S133" s="2532">
        <v>1.43</v>
      </c>
      <c r="T133" s="2496"/>
      <c r="U133" s="2496"/>
      <c r="V133" s="2496"/>
      <c r="W133" s="2520"/>
      <c r="X133" s="2515"/>
      <c r="Y133" s="2515"/>
      <c r="Z133" s="2521"/>
      <c r="AA133" s="2505"/>
      <c r="AB133" s="2515"/>
      <c r="AC133" s="2496"/>
      <c r="AD133" s="2505"/>
      <c r="AE133" s="2515"/>
      <c r="AF133" s="2496"/>
      <c r="AG133" s="2505"/>
      <c r="AH133" s="2515"/>
    </row>
    <row r="134" spans="1:34">
      <c r="A134" s="2519">
        <v>1256</v>
      </c>
      <c r="B134" s="2514" t="s">
        <v>782</v>
      </c>
      <c r="C134" s="2496"/>
      <c r="D134" s="2530">
        <v>0.85022200000000003</v>
      </c>
      <c r="E134" s="2530">
        <v>0.61346000000000001</v>
      </c>
      <c r="F134" s="2531"/>
      <c r="G134" s="2530">
        <v>0.84195399999999998</v>
      </c>
      <c r="H134" s="2530">
        <v>0.59707699999999997</v>
      </c>
      <c r="I134" s="2496"/>
      <c r="J134" s="2517">
        <v>0.830785</v>
      </c>
      <c r="K134" s="2517">
        <v>0.58509199999999995</v>
      </c>
      <c r="L134" s="2497"/>
      <c r="M134" s="2517">
        <v>0.82172599999999996</v>
      </c>
      <c r="N134" s="2517">
        <v>0.57447800000000004</v>
      </c>
      <c r="O134" s="2532">
        <v>3.28</v>
      </c>
      <c r="P134" s="2536"/>
      <c r="Q134" s="2517">
        <v>0.80994900000000003</v>
      </c>
      <c r="R134" s="2517">
        <v>0.56638699999999997</v>
      </c>
      <c r="S134" s="2532">
        <v>0.8</v>
      </c>
      <c r="T134" s="2496"/>
      <c r="U134" s="2496"/>
      <c r="V134" s="2496"/>
      <c r="W134" s="2520"/>
      <c r="X134" s="2515"/>
      <c r="Y134" s="2515"/>
      <c r="Z134" s="2521"/>
      <c r="AA134" s="2505"/>
      <c r="AB134" s="2515"/>
      <c r="AC134" s="2496"/>
      <c r="AD134" s="2505"/>
      <c r="AE134" s="2515"/>
      <c r="AF134" s="2496"/>
      <c r="AG134" s="2505"/>
      <c r="AH134" s="2515"/>
    </row>
    <row r="135" spans="1:34">
      <c r="A135" s="2519">
        <v>1257</v>
      </c>
      <c r="B135" s="2514" t="s">
        <v>783</v>
      </c>
      <c r="C135" s="2496"/>
      <c r="D135" s="2530">
        <v>0.85145899999999997</v>
      </c>
      <c r="E135" s="2530">
        <v>0.61024299999999998</v>
      </c>
      <c r="F135" s="2531"/>
      <c r="G135" s="2530">
        <v>0.84188099999999999</v>
      </c>
      <c r="H135" s="2530">
        <v>0.60068200000000005</v>
      </c>
      <c r="I135" s="2496"/>
      <c r="J135" s="2517">
        <v>0.83196300000000001</v>
      </c>
      <c r="K135" s="2517">
        <v>0.59748699999999999</v>
      </c>
      <c r="L135" s="2497"/>
      <c r="M135" s="2517">
        <v>0.82255999999999996</v>
      </c>
      <c r="N135" s="2517">
        <v>0.58507500000000001</v>
      </c>
      <c r="O135" s="2532">
        <v>1.85</v>
      </c>
      <c r="P135" s="2536"/>
      <c r="Q135" s="2517">
        <v>0.81046099999999999</v>
      </c>
      <c r="R135" s="2517">
        <v>0.57521699999999998</v>
      </c>
      <c r="S135" s="2532">
        <v>0.79</v>
      </c>
      <c r="T135" s="2496"/>
      <c r="U135" s="2496"/>
      <c r="V135" s="2496"/>
      <c r="W135" s="2520"/>
      <c r="X135" s="2515"/>
      <c r="Y135" s="2515"/>
      <c r="Z135" s="2521"/>
      <c r="AA135" s="2505"/>
      <c r="AB135" s="2515"/>
      <c r="AC135" s="2496"/>
      <c r="AD135" s="2505"/>
      <c r="AE135" s="2515"/>
      <c r="AF135" s="2496"/>
      <c r="AG135" s="2505"/>
      <c r="AH135" s="2515"/>
    </row>
    <row r="136" spans="1:34">
      <c r="A136" s="2519">
        <v>1260</v>
      </c>
      <c r="B136" s="2514" t="s">
        <v>784</v>
      </c>
      <c r="C136" s="2496"/>
      <c r="D136" s="2530">
        <v>0.84164099999999997</v>
      </c>
      <c r="E136" s="2530">
        <v>0.60753000000000001</v>
      </c>
      <c r="F136" s="2531"/>
      <c r="G136" s="2530">
        <v>0.83291199999999999</v>
      </c>
      <c r="H136" s="2530">
        <v>0.59260100000000004</v>
      </c>
      <c r="I136" s="2496"/>
      <c r="J136" s="2517">
        <v>0.81868200000000002</v>
      </c>
      <c r="K136" s="2517">
        <v>0.57754099999999997</v>
      </c>
      <c r="L136" s="2497"/>
      <c r="M136" s="2517">
        <v>0.80542100000000005</v>
      </c>
      <c r="N136" s="2517">
        <v>0.57071300000000003</v>
      </c>
      <c r="O136" s="2532">
        <v>1.6839999999999999</v>
      </c>
      <c r="P136" s="2536"/>
      <c r="Q136" s="2517">
        <v>0.79377799999999998</v>
      </c>
      <c r="R136" s="2517">
        <v>0.56321200000000005</v>
      </c>
      <c r="S136" s="2532">
        <v>0.94</v>
      </c>
      <c r="T136" s="2496"/>
      <c r="U136" s="2496"/>
      <c r="V136" s="2496"/>
      <c r="W136" s="2520"/>
      <c r="X136" s="2515"/>
      <c r="Y136" s="2515"/>
      <c r="Z136" s="2521"/>
      <c r="AA136" s="2505"/>
      <c r="AB136" s="2515"/>
      <c r="AC136" s="2496"/>
      <c r="AD136" s="2505"/>
      <c r="AE136" s="2515"/>
      <c r="AF136" s="2496"/>
      <c r="AG136" s="2505"/>
      <c r="AH136" s="2515"/>
    </row>
    <row r="137" spans="1:34">
      <c r="A137" s="2519">
        <v>1261</v>
      </c>
      <c r="B137" s="2514" t="s">
        <v>785</v>
      </c>
      <c r="C137" s="2496"/>
      <c r="D137" s="2530">
        <v>0.82897799999999999</v>
      </c>
      <c r="E137" s="2530">
        <v>0.59526599999999996</v>
      </c>
      <c r="F137" s="2531"/>
      <c r="G137" s="2530">
        <v>0.81788300000000003</v>
      </c>
      <c r="H137" s="2530">
        <v>0.58099400000000001</v>
      </c>
      <c r="I137" s="2496"/>
      <c r="J137" s="2517">
        <v>0.80370799999999998</v>
      </c>
      <c r="K137" s="2517">
        <v>0.56627300000000003</v>
      </c>
      <c r="L137" s="2497"/>
      <c r="M137" s="2517">
        <v>0.79011200000000004</v>
      </c>
      <c r="N137" s="2517">
        <v>0.55564400000000003</v>
      </c>
      <c r="O137" s="2532">
        <v>1.7609999999999999</v>
      </c>
      <c r="P137" s="2536"/>
      <c r="Q137" s="2517">
        <v>0.77263899999999996</v>
      </c>
      <c r="R137" s="2517">
        <v>0.54544199999999998</v>
      </c>
      <c r="S137" s="2532">
        <v>1.2</v>
      </c>
      <c r="T137" s="2496"/>
      <c r="U137" s="2496"/>
      <c r="V137" s="2496"/>
      <c r="W137" s="2520"/>
      <c r="X137" s="2515"/>
      <c r="Y137" s="2515"/>
      <c r="Z137" s="2521"/>
      <c r="AA137" s="2505"/>
      <c r="AB137" s="2515"/>
      <c r="AC137" s="2496"/>
      <c r="AD137" s="2505"/>
      <c r="AE137" s="2515"/>
      <c r="AF137" s="2496"/>
      <c r="AG137" s="2505"/>
      <c r="AH137" s="2515"/>
    </row>
    <row r="138" spans="1:34">
      <c r="A138" s="2519">
        <v>1262</v>
      </c>
      <c r="B138" s="2514" t="s">
        <v>786</v>
      </c>
      <c r="C138" s="2496"/>
      <c r="D138" s="2530">
        <v>0.82164599999999999</v>
      </c>
      <c r="E138" s="2530">
        <v>0.58852599999999999</v>
      </c>
      <c r="F138" s="2531"/>
      <c r="G138" s="2530">
        <v>0.80866099999999996</v>
      </c>
      <c r="H138" s="2530">
        <v>0.57351099999999999</v>
      </c>
      <c r="I138" s="2496"/>
      <c r="J138" s="2517">
        <v>0.79468799999999995</v>
      </c>
      <c r="K138" s="2517">
        <v>0.56423299999999998</v>
      </c>
      <c r="L138" s="2497"/>
      <c r="M138" s="2517">
        <v>0.77967500000000001</v>
      </c>
      <c r="N138" s="2517">
        <v>0.55277100000000001</v>
      </c>
      <c r="O138" s="2532">
        <v>1.8049999999999999</v>
      </c>
      <c r="P138" s="2536"/>
      <c r="Q138" s="2517">
        <v>0.76285400000000003</v>
      </c>
      <c r="R138" s="2517">
        <v>0.54407499999999998</v>
      </c>
      <c r="S138" s="2532">
        <v>1.4</v>
      </c>
      <c r="T138" s="2496"/>
      <c r="U138" s="2496"/>
      <c r="V138" s="2496"/>
      <c r="W138" s="2520"/>
      <c r="X138" s="2515"/>
      <c r="Y138" s="2515"/>
      <c r="Z138" s="2521"/>
      <c r="AA138" s="2505"/>
      <c r="AB138" s="2515"/>
      <c r="AC138" s="2496"/>
      <c r="AD138" s="2505"/>
      <c r="AE138" s="2515"/>
      <c r="AF138" s="2496"/>
      <c r="AG138" s="2505"/>
      <c r="AH138" s="2515"/>
    </row>
    <row r="139" spans="1:34">
      <c r="A139" s="2519">
        <v>1263</v>
      </c>
      <c r="B139" s="2514" t="s">
        <v>787</v>
      </c>
      <c r="C139" s="2496"/>
      <c r="D139" s="2530">
        <v>0.82641500000000001</v>
      </c>
      <c r="E139" s="2530">
        <v>0.600356</v>
      </c>
      <c r="F139" s="2531"/>
      <c r="G139" s="2530">
        <v>0.81438999999999995</v>
      </c>
      <c r="H139" s="2530">
        <v>0.58943999999999996</v>
      </c>
      <c r="I139" s="2496"/>
      <c r="J139" s="2517">
        <v>0.80331900000000001</v>
      </c>
      <c r="K139" s="2517">
        <v>0.57586199999999999</v>
      </c>
      <c r="L139" s="2497"/>
      <c r="M139" s="2517">
        <v>0.78856099999999996</v>
      </c>
      <c r="N139" s="2517">
        <v>0.56389199999999995</v>
      </c>
      <c r="O139" s="2532">
        <v>1.7849999999999999</v>
      </c>
      <c r="P139" s="2536"/>
      <c r="Q139" s="2517">
        <v>0.77132699999999998</v>
      </c>
      <c r="R139" s="2517">
        <v>0.55132499999999995</v>
      </c>
      <c r="S139" s="2532">
        <v>0.95</v>
      </c>
      <c r="T139" s="2496"/>
      <c r="U139" s="2496"/>
      <c r="V139" s="2496"/>
      <c r="W139" s="2520"/>
      <c r="X139" s="2515"/>
      <c r="Y139" s="2515"/>
      <c r="Z139" s="2521"/>
      <c r="AA139" s="2505"/>
      <c r="AB139" s="2515"/>
      <c r="AC139" s="2496"/>
      <c r="AD139" s="2505"/>
      <c r="AE139" s="2515"/>
      <c r="AF139" s="2496"/>
      <c r="AG139" s="2505"/>
      <c r="AH139" s="2515"/>
    </row>
    <row r="140" spans="1:34">
      <c r="A140" s="2519">
        <v>1264</v>
      </c>
      <c r="B140" s="2514" t="s">
        <v>788</v>
      </c>
      <c r="C140" s="2496"/>
      <c r="D140" s="2530">
        <v>0.84733400000000003</v>
      </c>
      <c r="E140" s="2530">
        <v>0.61577400000000004</v>
      </c>
      <c r="F140" s="2531"/>
      <c r="G140" s="2530">
        <v>0.83774899999999997</v>
      </c>
      <c r="H140" s="2530">
        <v>0.60164700000000004</v>
      </c>
      <c r="I140" s="2496"/>
      <c r="J140" s="2517">
        <v>0.82616400000000001</v>
      </c>
      <c r="K140" s="2517">
        <v>0.58927399999999996</v>
      </c>
      <c r="L140" s="2497"/>
      <c r="M140" s="2517">
        <v>0.812357</v>
      </c>
      <c r="N140" s="2517">
        <v>0.57868600000000003</v>
      </c>
      <c r="O140" s="2532">
        <v>1.7450000000000001</v>
      </c>
      <c r="P140" s="2536"/>
      <c r="Q140" s="2517">
        <v>0.79789200000000005</v>
      </c>
      <c r="R140" s="2517">
        <v>0.56635800000000003</v>
      </c>
      <c r="S140" s="2532">
        <v>1.1399999999999999</v>
      </c>
      <c r="T140" s="2496"/>
      <c r="U140" s="2496"/>
      <c r="V140" s="2496"/>
      <c r="W140" s="2520"/>
      <c r="X140" s="2515"/>
      <c r="Y140" s="2515"/>
      <c r="Z140" s="2521"/>
      <c r="AA140" s="2505"/>
      <c r="AB140" s="2515"/>
      <c r="AC140" s="2496"/>
      <c r="AD140" s="2505"/>
      <c r="AE140" s="2515"/>
      <c r="AF140" s="2496"/>
      <c r="AG140" s="2505"/>
      <c r="AH140" s="2515"/>
    </row>
    <row r="141" spans="1:34">
      <c r="A141" s="2519">
        <v>1265</v>
      </c>
      <c r="B141" s="2514" t="s">
        <v>789</v>
      </c>
      <c r="C141" s="2496"/>
      <c r="D141" s="2530">
        <v>0.84862000000000004</v>
      </c>
      <c r="E141" s="2530">
        <v>0.60938099999999995</v>
      </c>
      <c r="F141" s="2531"/>
      <c r="G141" s="2530">
        <v>0.84045800000000004</v>
      </c>
      <c r="H141" s="2530">
        <v>0.59962700000000002</v>
      </c>
      <c r="I141" s="2496"/>
      <c r="J141" s="2517">
        <v>0.83002500000000001</v>
      </c>
      <c r="K141" s="2517">
        <v>0.58916999999999997</v>
      </c>
      <c r="L141" s="2497"/>
      <c r="M141" s="2517">
        <v>0.817187</v>
      </c>
      <c r="N141" s="2517">
        <v>0.57926900000000003</v>
      </c>
      <c r="O141" s="2532">
        <v>1.4870000000000001</v>
      </c>
      <c r="P141" s="2536"/>
      <c r="Q141" s="2517">
        <v>0.80624799999999996</v>
      </c>
      <c r="R141" s="2517">
        <v>0.56703899999999996</v>
      </c>
      <c r="S141" s="2532">
        <v>1.22</v>
      </c>
      <c r="T141" s="2496"/>
      <c r="U141" s="2496"/>
      <c r="V141" s="2496"/>
      <c r="W141" s="2520"/>
      <c r="X141" s="2515"/>
      <c r="Y141" s="2515"/>
      <c r="Z141" s="2521"/>
      <c r="AA141" s="2505"/>
      <c r="AB141" s="2515"/>
      <c r="AC141" s="2496"/>
      <c r="AD141" s="2505"/>
      <c r="AE141" s="2515"/>
      <c r="AF141" s="2496"/>
      <c r="AG141" s="2505"/>
      <c r="AH141" s="2515"/>
    </row>
    <row r="142" spans="1:34">
      <c r="A142" s="2519">
        <v>1266</v>
      </c>
      <c r="B142" s="2514" t="s">
        <v>790</v>
      </c>
      <c r="C142" s="2496"/>
      <c r="D142" s="2530">
        <v>0.85369799999999996</v>
      </c>
      <c r="E142" s="2530">
        <v>0.60889400000000005</v>
      </c>
      <c r="F142" s="2531"/>
      <c r="G142" s="2530">
        <v>0.84446600000000005</v>
      </c>
      <c r="H142" s="2530">
        <v>0.60194899999999996</v>
      </c>
      <c r="I142" s="2496"/>
      <c r="J142" s="2517">
        <v>0.83539099999999999</v>
      </c>
      <c r="K142" s="2517">
        <v>0.59295200000000003</v>
      </c>
      <c r="L142" s="2497"/>
      <c r="M142" s="2517">
        <v>0.81847099999999995</v>
      </c>
      <c r="N142" s="2517">
        <v>0.579793</v>
      </c>
      <c r="O142" s="2532">
        <v>1.4059999999999999</v>
      </c>
      <c r="P142" s="2536"/>
      <c r="Q142" s="2517">
        <v>0.811527</v>
      </c>
      <c r="R142" s="2517">
        <v>0.56896000000000002</v>
      </c>
      <c r="S142" s="2532">
        <v>1.33</v>
      </c>
      <c r="T142" s="2496"/>
      <c r="U142" s="2496"/>
      <c r="V142" s="2496"/>
      <c r="W142" s="2520"/>
      <c r="X142" s="2515"/>
      <c r="Y142" s="2515"/>
      <c r="Z142" s="2521"/>
      <c r="AA142" s="2505"/>
      <c r="AB142" s="2515"/>
      <c r="AC142" s="2496"/>
      <c r="AD142" s="2505"/>
      <c r="AE142" s="2515"/>
      <c r="AF142" s="2496"/>
      <c r="AG142" s="2505"/>
      <c r="AH142" s="2515"/>
    </row>
    <row r="143" spans="1:34">
      <c r="A143" s="2519">
        <v>1267</v>
      </c>
      <c r="B143" s="2514" t="s">
        <v>791</v>
      </c>
      <c r="C143" s="2496"/>
      <c r="D143" s="2530">
        <v>0.84308099999999997</v>
      </c>
      <c r="E143" s="2530">
        <v>0.608518</v>
      </c>
      <c r="F143" s="2531"/>
      <c r="G143" s="2530">
        <v>0.83535700000000002</v>
      </c>
      <c r="H143" s="2530">
        <v>0.59593499999999999</v>
      </c>
      <c r="I143" s="2496"/>
      <c r="J143" s="2517">
        <v>0.82564099999999996</v>
      </c>
      <c r="K143" s="2517">
        <v>0.587646</v>
      </c>
      <c r="L143" s="2497"/>
      <c r="M143" s="2517">
        <v>0.81548299999999996</v>
      </c>
      <c r="N143" s="2517">
        <v>0.57674400000000003</v>
      </c>
      <c r="O143" s="2532">
        <v>1.728</v>
      </c>
      <c r="P143" s="2536"/>
      <c r="Q143" s="2517">
        <v>0.80017199999999999</v>
      </c>
      <c r="R143" s="2517">
        <v>0.56547999999999998</v>
      </c>
      <c r="S143" s="2532">
        <v>1.24</v>
      </c>
      <c r="T143" s="2496"/>
      <c r="U143" s="2496"/>
      <c r="V143" s="2496"/>
      <c r="W143" s="2520"/>
      <c r="X143" s="2515"/>
      <c r="Y143" s="2515"/>
      <c r="Z143" s="2521"/>
      <c r="AA143" s="2505"/>
      <c r="AB143" s="2515"/>
      <c r="AC143" s="2496"/>
      <c r="AD143" s="2505"/>
      <c r="AE143" s="2515"/>
      <c r="AF143" s="2496"/>
      <c r="AG143" s="2505"/>
      <c r="AH143" s="2515"/>
    </row>
    <row r="144" spans="1:34">
      <c r="A144" s="2519">
        <v>1270</v>
      </c>
      <c r="B144" s="2514" t="s">
        <v>792</v>
      </c>
      <c r="C144" s="2496"/>
      <c r="D144" s="2530">
        <v>0.85159600000000002</v>
      </c>
      <c r="E144" s="2530">
        <v>0.60877899999999996</v>
      </c>
      <c r="F144" s="2531"/>
      <c r="G144" s="2530">
        <v>0.84319200000000005</v>
      </c>
      <c r="H144" s="2530">
        <v>0.59984700000000002</v>
      </c>
      <c r="I144" s="2496"/>
      <c r="J144" s="2517">
        <v>0.83182999999999996</v>
      </c>
      <c r="K144" s="2517">
        <v>0.591889</v>
      </c>
      <c r="L144" s="2497"/>
      <c r="M144" s="2517">
        <v>0.82355900000000004</v>
      </c>
      <c r="N144" s="2517">
        <v>0.58040999999999998</v>
      </c>
      <c r="O144" s="2532" t="s">
        <v>390</v>
      </c>
      <c r="P144" s="2536"/>
      <c r="Q144" s="2517">
        <v>0.81241699999999994</v>
      </c>
      <c r="R144" s="2517">
        <v>0.57178300000000004</v>
      </c>
      <c r="S144" s="2532">
        <v>1.35</v>
      </c>
      <c r="T144" s="2496"/>
      <c r="U144" s="2496"/>
      <c r="V144" s="2496"/>
      <c r="W144" s="2520"/>
      <c r="X144" s="2515"/>
      <c r="Y144" s="2515"/>
      <c r="Z144" s="2521"/>
      <c r="AA144" s="2505"/>
      <c r="AB144" s="2515"/>
      <c r="AC144" s="2496"/>
      <c r="AD144" s="2505"/>
      <c r="AE144" s="2515"/>
      <c r="AF144" s="2496"/>
      <c r="AG144" s="2505"/>
      <c r="AH144" s="2515"/>
    </row>
    <row r="145" spans="1:34">
      <c r="A145" s="2519">
        <v>1272</v>
      </c>
      <c r="B145" s="2514" t="s">
        <v>793</v>
      </c>
      <c r="C145" s="2496"/>
      <c r="D145" s="2530">
        <v>0.84895500000000002</v>
      </c>
      <c r="E145" s="2530">
        <v>0.59467999999999999</v>
      </c>
      <c r="F145" s="2531"/>
      <c r="G145" s="2530">
        <v>0.84084400000000004</v>
      </c>
      <c r="H145" s="2530">
        <v>0.58239300000000005</v>
      </c>
      <c r="I145" s="2496"/>
      <c r="J145" s="2517">
        <v>0.82987100000000003</v>
      </c>
      <c r="K145" s="2517">
        <v>0.57062100000000004</v>
      </c>
      <c r="L145" s="2497"/>
      <c r="M145" s="2517">
        <v>0.81623299999999999</v>
      </c>
      <c r="N145" s="2517">
        <v>0.55940299999999998</v>
      </c>
      <c r="O145" s="2532">
        <v>1.4059999999999999</v>
      </c>
      <c r="P145" s="2536"/>
      <c r="Q145" s="2517">
        <v>0.80278700000000003</v>
      </c>
      <c r="R145" s="2517">
        <v>0.55239899999999997</v>
      </c>
      <c r="S145" s="2532">
        <v>1.43</v>
      </c>
      <c r="T145" s="2496"/>
      <c r="U145" s="2496"/>
      <c r="V145" s="2496"/>
      <c r="W145" s="2520"/>
      <c r="X145" s="2515"/>
      <c r="Y145" s="2515"/>
      <c r="Z145" s="2521"/>
      <c r="AA145" s="2505"/>
      <c r="AB145" s="2515"/>
      <c r="AC145" s="2496"/>
      <c r="AD145" s="2505"/>
      <c r="AE145" s="2515"/>
      <c r="AF145" s="2496"/>
      <c r="AG145" s="2505"/>
      <c r="AH145" s="2515"/>
    </row>
    <row r="146" spans="1:34">
      <c r="A146" s="2519">
        <v>1273</v>
      </c>
      <c r="B146" s="2514" t="s">
        <v>794</v>
      </c>
      <c r="C146" s="2496"/>
      <c r="D146" s="2530">
        <v>0.85539399999999999</v>
      </c>
      <c r="E146" s="2530">
        <v>0.60724599999999995</v>
      </c>
      <c r="F146" s="2531"/>
      <c r="G146" s="2530">
        <v>0.84547700000000003</v>
      </c>
      <c r="H146" s="2530">
        <v>0.59105700000000005</v>
      </c>
      <c r="I146" s="2496"/>
      <c r="J146" s="2517">
        <v>0.83457800000000004</v>
      </c>
      <c r="K146" s="2517">
        <v>0.57963200000000004</v>
      </c>
      <c r="L146" s="2497"/>
      <c r="M146" s="2517">
        <v>0.82350500000000004</v>
      </c>
      <c r="N146" s="2517">
        <v>0.56764199999999998</v>
      </c>
      <c r="O146" s="2532">
        <v>1.355</v>
      </c>
      <c r="P146" s="2536"/>
      <c r="Q146" s="2517">
        <v>0.81173499999999998</v>
      </c>
      <c r="R146" s="2517">
        <v>0.55811200000000005</v>
      </c>
      <c r="S146" s="2532">
        <v>0.86</v>
      </c>
      <c r="T146" s="2496"/>
      <c r="U146" s="2496"/>
      <c r="V146" s="2496"/>
      <c r="W146" s="2520"/>
      <c r="X146" s="2515"/>
      <c r="Y146" s="2515"/>
      <c r="Z146" s="2521"/>
      <c r="AA146" s="2505"/>
      <c r="AB146" s="2515"/>
      <c r="AC146" s="2496"/>
      <c r="AD146" s="2505"/>
      <c r="AE146" s="2515"/>
      <c r="AF146" s="2496"/>
      <c r="AG146" s="2505"/>
      <c r="AH146" s="2515"/>
    </row>
    <row r="147" spans="1:34">
      <c r="A147" s="2519">
        <v>1275</v>
      </c>
      <c r="B147" s="2514" t="s">
        <v>795</v>
      </c>
      <c r="C147" s="2496"/>
      <c r="D147" s="2530">
        <v>0.85248299999999999</v>
      </c>
      <c r="E147" s="2530">
        <v>0.61022200000000004</v>
      </c>
      <c r="F147" s="2531"/>
      <c r="G147" s="2530">
        <v>0.84366699999999994</v>
      </c>
      <c r="H147" s="2530">
        <v>0.59690399999999999</v>
      </c>
      <c r="I147" s="2496"/>
      <c r="J147" s="2517">
        <v>0.83637099999999998</v>
      </c>
      <c r="K147" s="2517">
        <v>0.58924100000000001</v>
      </c>
      <c r="L147" s="2497"/>
      <c r="M147" s="2517">
        <v>0.82599500000000003</v>
      </c>
      <c r="N147" s="2517">
        <v>0.57723000000000002</v>
      </c>
      <c r="O147" s="2532">
        <v>1.78</v>
      </c>
      <c r="P147" s="2536"/>
      <c r="Q147" s="2517">
        <v>0.81259199999999998</v>
      </c>
      <c r="R147" s="2517">
        <v>0.564002</v>
      </c>
      <c r="S147" s="2532">
        <v>1.03</v>
      </c>
      <c r="T147" s="2496"/>
      <c r="U147" s="2496"/>
      <c r="V147" s="2496"/>
      <c r="W147" s="2520"/>
      <c r="X147" s="2515"/>
      <c r="Y147" s="2515"/>
      <c r="Z147" s="2521"/>
      <c r="AA147" s="2505"/>
      <c r="AB147" s="2515"/>
      <c r="AC147" s="2496"/>
      <c r="AD147" s="2505"/>
      <c r="AE147" s="2515"/>
      <c r="AF147" s="2496"/>
      <c r="AG147" s="2505"/>
      <c r="AH147" s="2515"/>
    </row>
    <row r="148" spans="1:34">
      <c r="A148" s="2519">
        <v>1276</v>
      </c>
      <c r="B148" s="2514" t="s">
        <v>796</v>
      </c>
      <c r="C148" s="2496"/>
      <c r="D148" s="2530">
        <v>0.85067400000000004</v>
      </c>
      <c r="E148" s="2530">
        <v>0.61349100000000001</v>
      </c>
      <c r="F148" s="2531"/>
      <c r="G148" s="2530">
        <v>0.84055899999999995</v>
      </c>
      <c r="H148" s="2530">
        <v>0.59992800000000002</v>
      </c>
      <c r="I148" s="2496"/>
      <c r="J148" s="2517">
        <v>0.83126999999999995</v>
      </c>
      <c r="K148" s="2517">
        <v>0.59174400000000005</v>
      </c>
      <c r="L148" s="2497"/>
      <c r="M148" s="2517">
        <v>0.82120800000000005</v>
      </c>
      <c r="N148" s="2517">
        <v>0.57899100000000003</v>
      </c>
      <c r="O148" s="2532">
        <v>1.6679999999999999</v>
      </c>
      <c r="P148" s="2536"/>
      <c r="Q148" s="2517">
        <v>0.81045</v>
      </c>
      <c r="R148" s="2517">
        <v>0.57145599999999996</v>
      </c>
      <c r="S148" s="2532">
        <v>0.85</v>
      </c>
      <c r="T148" s="2496"/>
      <c r="U148" s="2496"/>
      <c r="V148" s="2496"/>
      <c r="W148" s="2520"/>
      <c r="X148" s="2515"/>
      <c r="Y148" s="2515"/>
      <c r="Z148" s="2521"/>
      <c r="AA148" s="2505"/>
      <c r="AB148" s="2515"/>
      <c r="AC148" s="2496"/>
      <c r="AD148" s="2505"/>
      <c r="AE148" s="2515"/>
      <c r="AF148" s="2496"/>
      <c r="AG148" s="2505"/>
      <c r="AH148" s="2515"/>
    </row>
    <row r="149" spans="1:34">
      <c r="A149" s="2519">
        <v>1277</v>
      </c>
      <c r="B149" s="2514" t="s">
        <v>797</v>
      </c>
      <c r="C149" s="2496"/>
      <c r="D149" s="2530">
        <v>0.83744700000000005</v>
      </c>
      <c r="E149" s="2530">
        <v>0.60004100000000005</v>
      </c>
      <c r="F149" s="2531"/>
      <c r="G149" s="2530">
        <v>0.82647899999999996</v>
      </c>
      <c r="H149" s="2530">
        <v>0.58696899999999996</v>
      </c>
      <c r="I149" s="2496"/>
      <c r="J149" s="2517">
        <v>0.81522600000000001</v>
      </c>
      <c r="K149" s="2517">
        <v>0.57669000000000004</v>
      </c>
      <c r="L149" s="2497"/>
      <c r="M149" s="2517">
        <v>0.80375399999999997</v>
      </c>
      <c r="N149" s="2517">
        <v>0.56547499999999995</v>
      </c>
      <c r="O149" s="2532">
        <v>1.35</v>
      </c>
      <c r="P149" s="2536"/>
      <c r="Q149" s="2517">
        <v>0.79354899999999995</v>
      </c>
      <c r="R149" s="2517">
        <v>0.55632199999999998</v>
      </c>
      <c r="S149" s="2532">
        <v>1.45</v>
      </c>
      <c r="T149" s="2496"/>
      <c r="U149" s="2496"/>
      <c r="V149" s="2496"/>
      <c r="W149" s="2520"/>
      <c r="X149" s="2515"/>
      <c r="Y149" s="2515"/>
      <c r="Z149" s="2521"/>
      <c r="AA149" s="2505"/>
      <c r="AB149" s="2515"/>
      <c r="AC149" s="2496"/>
      <c r="AD149" s="2505"/>
      <c r="AE149" s="2515"/>
      <c r="AF149" s="2496"/>
      <c r="AG149" s="2505"/>
      <c r="AH149" s="2515"/>
    </row>
    <row r="150" spans="1:34">
      <c r="A150" s="2519">
        <v>1278</v>
      </c>
      <c r="B150" s="2514" t="s">
        <v>798</v>
      </c>
      <c r="C150" s="2496"/>
      <c r="D150" s="2530">
        <v>0.83202100000000001</v>
      </c>
      <c r="E150" s="2530">
        <v>0.60257700000000003</v>
      </c>
      <c r="F150" s="2531"/>
      <c r="G150" s="2530">
        <v>0.82218599999999997</v>
      </c>
      <c r="H150" s="2530">
        <v>0.59574300000000002</v>
      </c>
      <c r="I150" s="2496"/>
      <c r="J150" s="2517">
        <v>0.80909200000000003</v>
      </c>
      <c r="K150" s="2517">
        <v>0.58544300000000005</v>
      </c>
      <c r="L150" s="2497"/>
      <c r="M150" s="2517">
        <v>0.795431</v>
      </c>
      <c r="N150" s="2517">
        <v>0.57561099999999998</v>
      </c>
      <c r="O150" s="2532">
        <v>1.835</v>
      </c>
      <c r="P150" s="2536"/>
      <c r="Q150" s="2517">
        <v>0.78270799999999996</v>
      </c>
      <c r="R150" s="2517">
        <v>0.56175699999999995</v>
      </c>
      <c r="S150" s="2532">
        <v>0.99</v>
      </c>
      <c r="T150" s="2496"/>
      <c r="U150" s="2496"/>
      <c r="V150" s="2496"/>
      <c r="W150" s="2520"/>
      <c r="X150" s="2515"/>
      <c r="Y150" s="2515"/>
      <c r="Z150" s="2521"/>
      <c r="AA150" s="2505"/>
      <c r="AB150" s="2515"/>
      <c r="AC150" s="2496"/>
      <c r="AD150" s="2505"/>
      <c r="AE150" s="2515"/>
      <c r="AF150" s="2496"/>
      <c r="AG150" s="2505"/>
      <c r="AH150" s="2515"/>
    </row>
    <row r="151" spans="1:34">
      <c r="A151" s="2519">
        <v>1280</v>
      </c>
      <c r="B151" s="2514" t="s">
        <v>799</v>
      </c>
      <c r="C151" s="2496"/>
      <c r="D151" s="2530">
        <v>0.82229699999999994</v>
      </c>
      <c r="E151" s="2530">
        <v>0.58942300000000003</v>
      </c>
      <c r="F151" s="2531"/>
      <c r="G151" s="2530">
        <v>0.808666</v>
      </c>
      <c r="H151" s="2530">
        <v>0.571631</v>
      </c>
      <c r="I151" s="2496"/>
      <c r="J151" s="2517">
        <v>0.79661599999999999</v>
      </c>
      <c r="K151" s="2517">
        <v>0.55948399999999998</v>
      </c>
      <c r="L151" s="2497"/>
      <c r="M151" s="2517">
        <v>0.78082799999999997</v>
      </c>
      <c r="N151" s="2517">
        <v>0.54994200000000004</v>
      </c>
      <c r="O151" s="2532">
        <v>1.84</v>
      </c>
      <c r="P151" s="2536"/>
      <c r="Q151" s="2517">
        <v>0.76289099999999999</v>
      </c>
      <c r="R151" s="2517">
        <v>0.53876999999999997</v>
      </c>
      <c r="S151" s="2532">
        <v>1.58</v>
      </c>
      <c r="T151" s="2496"/>
      <c r="U151" s="2496"/>
      <c r="V151" s="2496"/>
      <c r="W151" s="2520"/>
      <c r="X151" s="2515"/>
      <c r="Y151" s="2515"/>
      <c r="Z151" s="2521"/>
      <c r="AA151" s="2505"/>
      <c r="AB151" s="2515"/>
      <c r="AC151" s="2496"/>
      <c r="AD151" s="2505"/>
      <c r="AE151" s="2515"/>
      <c r="AF151" s="2496"/>
      <c r="AG151" s="2505"/>
      <c r="AH151" s="2515"/>
    </row>
    <row r="152" spans="1:34">
      <c r="A152" s="2519">
        <v>1281</v>
      </c>
      <c r="B152" s="2514" t="s">
        <v>800</v>
      </c>
      <c r="C152" s="2496"/>
      <c r="D152" s="2530">
        <v>0.82292299999999996</v>
      </c>
      <c r="E152" s="2530">
        <v>0.55966199999999999</v>
      </c>
      <c r="F152" s="2531"/>
      <c r="G152" s="2530">
        <v>0.81271499999999997</v>
      </c>
      <c r="H152" s="2530">
        <v>0.54964800000000003</v>
      </c>
      <c r="I152" s="2496"/>
      <c r="J152" s="2517">
        <v>0.79920800000000003</v>
      </c>
      <c r="K152" s="2517">
        <v>0.53842400000000001</v>
      </c>
      <c r="L152" s="2497"/>
      <c r="M152" s="2517">
        <v>0.783416</v>
      </c>
      <c r="N152" s="2517">
        <v>0.52826499999999998</v>
      </c>
      <c r="O152" s="2532">
        <v>1.6859999999999999</v>
      </c>
      <c r="P152" s="2536"/>
      <c r="Q152" s="2517">
        <v>0.76560899999999998</v>
      </c>
      <c r="R152" s="2517">
        <v>0.51855600000000002</v>
      </c>
      <c r="S152" s="2532">
        <v>1.22</v>
      </c>
      <c r="T152" s="2496"/>
      <c r="U152" s="2496"/>
      <c r="V152" s="2496"/>
      <c r="W152" s="2520"/>
      <c r="X152" s="2515"/>
      <c r="Y152" s="2515"/>
      <c r="Z152" s="2521"/>
      <c r="AA152" s="2505"/>
      <c r="AB152" s="2515"/>
      <c r="AC152" s="2496"/>
      <c r="AD152" s="2505"/>
      <c r="AE152" s="2515"/>
      <c r="AF152" s="2496"/>
      <c r="AG152" s="2505"/>
      <c r="AH152" s="2515"/>
    </row>
    <row r="153" spans="1:34">
      <c r="A153" s="2519">
        <v>1282</v>
      </c>
      <c r="B153" s="2514" t="s">
        <v>801</v>
      </c>
      <c r="C153" s="2496"/>
      <c r="D153" s="2530">
        <v>0.83044200000000001</v>
      </c>
      <c r="E153" s="2530">
        <v>0.60798200000000002</v>
      </c>
      <c r="F153" s="2531"/>
      <c r="G153" s="2530">
        <v>0.81925499999999996</v>
      </c>
      <c r="H153" s="2530">
        <v>0.59195900000000001</v>
      </c>
      <c r="I153" s="2496"/>
      <c r="J153" s="2517">
        <v>0.80718800000000002</v>
      </c>
      <c r="K153" s="2517">
        <v>0.57897200000000004</v>
      </c>
      <c r="L153" s="2497"/>
      <c r="M153" s="2517">
        <v>0.79185799999999995</v>
      </c>
      <c r="N153" s="2517">
        <v>0.56640000000000001</v>
      </c>
      <c r="O153" s="2532">
        <v>1.6859999999999999</v>
      </c>
      <c r="P153" s="2536"/>
      <c r="Q153" s="2517">
        <v>0.77622100000000005</v>
      </c>
      <c r="R153" s="2517">
        <v>0.55631200000000003</v>
      </c>
      <c r="S153" s="2532">
        <v>1.24</v>
      </c>
      <c r="T153" s="2496"/>
      <c r="U153" s="2496"/>
      <c r="V153" s="2496"/>
      <c r="W153" s="2520"/>
      <c r="X153" s="2515"/>
      <c r="Y153" s="2515"/>
      <c r="Z153" s="2521"/>
      <c r="AA153" s="2505"/>
      <c r="AB153" s="2515"/>
      <c r="AC153" s="2496"/>
      <c r="AD153" s="2505"/>
      <c r="AE153" s="2515"/>
      <c r="AF153" s="2496"/>
      <c r="AG153" s="2505"/>
      <c r="AH153" s="2515"/>
    </row>
    <row r="154" spans="1:34">
      <c r="A154" s="2519">
        <v>1283</v>
      </c>
      <c r="B154" s="2514" t="s">
        <v>802</v>
      </c>
      <c r="C154" s="2496"/>
      <c r="D154" s="2530">
        <v>0.81841600000000003</v>
      </c>
      <c r="E154" s="2530">
        <v>0.58839900000000001</v>
      </c>
      <c r="F154" s="2531"/>
      <c r="G154" s="2530">
        <v>0.80552000000000001</v>
      </c>
      <c r="H154" s="2530">
        <v>0.57349799999999995</v>
      </c>
      <c r="I154" s="2496"/>
      <c r="J154" s="2517">
        <v>0.79082699999999995</v>
      </c>
      <c r="K154" s="2517">
        <v>0.55996100000000004</v>
      </c>
      <c r="L154" s="2497"/>
      <c r="M154" s="2517">
        <v>0.77538700000000005</v>
      </c>
      <c r="N154" s="2517">
        <v>0.54757699999999998</v>
      </c>
      <c r="O154" s="2532">
        <v>1.746</v>
      </c>
      <c r="P154" s="2536"/>
      <c r="Q154" s="2517">
        <v>0.75732500000000003</v>
      </c>
      <c r="R154" s="2517">
        <v>0.53857900000000003</v>
      </c>
      <c r="S154" s="2532">
        <v>1.29</v>
      </c>
      <c r="T154" s="2496"/>
      <c r="U154" s="2496"/>
      <c r="V154" s="2496"/>
      <c r="W154" s="2520"/>
      <c r="X154" s="2515"/>
      <c r="Y154" s="2515"/>
      <c r="Z154" s="2521"/>
      <c r="AA154" s="2505"/>
      <c r="AB154" s="2515"/>
      <c r="AC154" s="2496"/>
      <c r="AD154" s="2505"/>
      <c r="AE154" s="2515"/>
      <c r="AF154" s="2496"/>
      <c r="AG154" s="2505"/>
      <c r="AH154" s="2515"/>
    </row>
    <row r="155" spans="1:34">
      <c r="A155" s="2519">
        <v>1284</v>
      </c>
      <c r="B155" s="2514" t="s">
        <v>803</v>
      </c>
      <c r="C155" s="2496"/>
      <c r="D155" s="2530">
        <v>0.82795600000000003</v>
      </c>
      <c r="E155" s="2530">
        <v>0.59706300000000001</v>
      </c>
      <c r="F155" s="2531"/>
      <c r="G155" s="2530">
        <v>0.81730000000000003</v>
      </c>
      <c r="H155" s="2530">
        <v>0.58498899999999998</v>
      </c>
      <c r="I155" s="2496"/>
      <c r="J155" s="2517">
        <v>0.80469199999999996</v>
      </c>
      <c r="K155" s="2517">
        <v>0.57093099999999997</v>
      </c>
      <c r="L155" s="2497"/>
      <c r="M155" s="2517">
        <v>0.78931499999999999</v>
      </c>
      <c r="N155" s="2517">
        <v>0.55986000000000002</v>
      </c>
      <c r="O155" s="2532">
        <v>1.6970000000000001</v>
      </c>
      <c r="P155" s="2536"/>
      <c r="Q155" s="2517">
        <v>0.77267399999999997</v>
      </c>
      <c r="R155" s="2517">
        <v>0.55330299999999999</v>
      </c>
      <c r="S155" s="2532">
        <v>1.3</v>
      </c>
      <c r="T155" s="2496"/>
      <c r="U155" s="2496"/>
      <c r="V155" s="2496"/>
      <c r="W155" s="2520"/>
      <c r="X155" s="2515"/>
      <c r="Y155" s="2515"/>
      <c r="Z155" s="2521"/>
      <c r="AA155" s="2505"/>
      <c r="AB155" s="2515"/>
      <c r="AC155" s="2496"/>
      <c r="AD155" s="2505"/>
      <c r="AE155" s="2515"/>
      <c r="AF155" s="2496"/>
      <c r="AG155" s="2505"/>
      <c r="AH155" s="2515"/>
    </row>
    <row r="156" spans="1:34">
      <c r="A156" s="2519">
        <v>1285</v>
      </c>
      <c r="B156" s="2514" t="s">
        <v>804</v>
      </c>
      <c r="C156" s="2496"/>
      <c r="D156" s="2530">
        <v>0.84278900000000001</v>
      </c>
      <c r="E156" s="2530">
        <v>0.60306199999999999</v>
      </c>
      <c r="F156" s="2531"/>
      <c r="G156" s="2530">
        <v>0.83328000000000002</v>
      </c>
      <c r="H156" s="2530">
        <v>0.59025499999999997</v>
      </c>
      <c r="I156" s="2496"/>
      <c r="J156" s="2517">
        <v>0.82159099999999996</v>
      </c>
      <c r="K156" s="2517">
        <v>0.57566399999999995</v>
      </c>
      <c r="L156" s="2497"/>
      <c r="M156" s="2517">
        <v>0.80932800000000005</v>
      </c>
      <c r="N156" s="2517">
        <v>0.56441300000000005</v>
      </c>
      <c r="O156" s="2532">
        <v>1.8029999999999999</v>
      </c>
      <c r="P156" s="2536"/>
      <c r="Q156" s="2517">
        <v>0.79496500000000003</v>
      </c>
      <c r="R156" s="2517">
        <v>0.55633699999999997</v>
      </c>
      <c r="S156" s="2532">
        <v>1.06</v>
      </c>
      <c r="T156" s="2496"/>
      <c r="U156" s="2496"/>
      <c r="V156" s="2496"/>
      <c r="W156" s="2520"/>
      <c r="X156" s="2515"/>
      <c r="Y156" s="2515"/>
      <c r="Z156" s="2521"/>
      <c r="AA156" s="2505"/>
      <c r="AB156" s="2515"/>
      <c r="AC156" s="2496"/>
      <c r="AD156" s="2505"/>
      <c r="AE156" s="2515"/>
      <c r="AF156" s="2496"/>
      <c r="AG156" s="2505"/>
      <c r="AH156" s="2515"/>
    </row>
    <row r="157" spans="1:34">
      <c r="A157" s="2519">
        <v>1286</v>
      </c>
      <c r="B157" s="2514" t="s">
        <v>805</v>
      </c>
      <c r="C157" s="2496"/>
      <c r="D157" s="2530">
        <v>0.82613099999999995</v>
      </c>
      <c r="E157" s="2530">
        <v>0.59584999999999999</v>
      </c>
      <c r="F157" s="2531"/>
      <c r="G157" s="2530">
        <v>0.813913</v>
      </c>
      <c r="H157" s="2530">
        <v>0.58410499999999999</v>
      </c>
      <c r="I157" s="2496"/>
      <c r="J157" s="2517">
        <v>0.80000800000000005</v>
      </c>
      <c r="K157" s="2517">
        <v>0.57595300000000005</v>
      </c>
      <c r="L157" s="2497"/>
      <c r="M157" s="2517">
        <v>0.78453799999999996</v>
      </c>
      <c r="N157" s="2517">
        <v>0.56363099999999999</v>
      </c>
      <c r="O157" s="2532">
        <v>2.0219999999999998</v>
      </c>
      <c r="P157" s="2536"/>
      <c r="Q157" s="2517">
        <v>0.76906300000000005</v>
      </c>
      <c r="R157" s="2517">
        <v>0.55364000000000002</v>
      </c>
      <c r="S157" s="2532">
        <v>1.21</v>
      </c>
      <c r="T157" s="2496"/>
      <c r="U157" s="2496"/>
      <c r="V157" s="2496"/>
      <c r="W157" s="2520"/>
      <c r="X157" s="2515"/>
      <c r="Y157" s="2515"/>
      <c r="Z157" s="2521"/>
      <c r="AA157" s="2505"/>
      <c r="AB157" s="2515"/>
      <c r="AC157" s="2496"/>
      <c r="AD157" s="2505"/>
      <c r="AE157" s="2515"/>
      <c r="AF157" s="2496"/>
      <c r="AG157" s="2505"/>
      <c r="AH157" s="2515"/>
    </row>
    <row r="158" spans="1:34">
      <c r="A158" s="2519">
        <v>1287</v>
      </c>
      <c r="B158" s="2514" t="s">
        <v>806</v>
      </c>
      <c r="C158" s="2496"/>
      <c r="D158" s="2530">
        <v>0.83635300000000001</v>
      </c>
      <c r="E158" s="2530">
        <v>0.60144900000000001</v>
      </c>
      <c r="F158" s="2531"/>
      <c r="G158" s="2530">
        <v>0.82797500000000002</v>
      </c>
      <c r="H158" s="2530">
        <v>0.58816199999999996</v>
      </c>
      <c r="I158" s="2496"/>
      <c r="J158" s="2517">
        <v>0.81395300000000004</v>
      </c>
      <c r="K158" s="2517">
        <v>0.57491000000000003</v>
      </c>
      <c r="L158" s="2497"/>
      <c r="M158" s="2517">
        <v>0.80049099999999995</v>
      </c>
      <c r="N158" s="2517">
        <v>0.565689</v>
      </c>
      <c r="O158" s="2532">
        <v>1.847</v>
      </c>
      <c r="P158" s="2536"/>
      <c r="Q158" s="2517">
        <v>0.78373300000000001</v>
      </c>
      <c r="R158" s="2517">
        <v>0.55757299999999999</v>
      </c>
      <c r="S158" s="2532">
        <v>0.78</v>
      </c>
      <c r="T158" s="2496"/>
      <c r="U158" s="2496"/>
      <c r="V158" s="2496"/>
      <c r="W158" s="2520"/>
      <c r="X158" s="2515"/>
      <c r="Y158" s="2515"/>
      <c r="Z158" s="2521"/>
      <c r="AA158" s="2505"/>
      <c r="AB158" s="2515"/>
      <c r="AC158" s="2496"/>
      <c r="AD158" s="2505"/>
      <c r="AE158" s="2515"/>
      <c r="AF158" s="2496"/>
      <c r="AG158" s="2505"/>
      <c r="AH158" s="2515"/>
    </row>
    <row r="159" spans="1:34">
      <c r="A159" s="2519">
        <v>1290</v>
      </c>
      <c r="B159" s="2514" t="s">
        <v>807</v>
      </c>
      <c r="C159" s="2496"/>
      <c r="D159" s="2530">
        <v>0.83883600000000003</v>
      </c>
      <c r="E159" s="2530">
        <v>0.59747499999999998</v>
      </c>
      <c r="F159" s="2531"/>
      <c r="G159" s="2530">
        <v>0.82885600000000004</v>
      </c>
      <c r="H159" s="2530">
        <v>0.58388799999999996</v>
      </c>
      <c r="I159" s="2496"/>
      <c r="J159" s="2517">
        <v>0.81596299999999999</v>
      </c>
      <c r="K159" s="2517">
        <v>0.57429300000000005</v>
      </c>
      <c r="L159" s="2497"/>
      <c r="M159" s="2517">
        <v>0.801701</v>
      </c>
      <c r="N159" s="2517">
        <v>0.56591000000000002</v>
      </c>
      <c r="O159" s="2532">
        <v>1.4910000000000001</v>
      </c>
      <c r="P159" s="2536"/>
      <c r="Q159" s="2517">
        <v>0.78458600000000001</v>
      </c>
      <c r="R159" s="2517">
        <v>0.55567699999999998</v>
      </c>
      <c r="S159" s="2532">
        <v>1.07</v>
      </c>
      <c r="T159" s="2496"/>
      <c r="U159" s="2496"/>
      <c r="V159" s="2496"/>
      <c r="W159" s="2520"/>
      <c r="X159" s="2515"/>
      <c r="Y159" s="2515"/>
      <c r="Z159" s="2521"/>
      <c r="AA159" s="2505"/>
      <c r="AB159" s="2515"/>
      <c r="AC159" s="2496"/>
      <c r="AD159" s="2505"/>
      <c r="AE159" s="2515"/>
      <c r="AF159" s="2496"/>
      <c r="AG159" s="2505"/>
      <c r="AH159" s="2515"/>
    </row>
    <row r="160" spans="1:34">
      <c r="A160" s="2519">
        <v>1291</v>
      </c>
      <c r="B160" s="2514" t="s">
        <v>808</v>
      </c>
      <c r="C160" s="2496"/>
      <c r="D160" s="2530">
        <v>0.83470699999999998</v>
      </c>
      <c r="E160" s="2530">
        <v>0.59575500000000003</v>
      </c>
      <c r="F160" s="2531"/>
      <c r="G160" s="2530">
        <v>0.826407</v>
      </c>
      <c r="H160" s="2530">
        <v>0.58519299999999996</v>
      </c>
      <c r="I160" s="2496"/>
      <c r="J160" s="2517">
        <v>0.815384</v>
      </c>
      <c r="K160" s="2517">
        <v>0.57415300000000002</v>
      </c>
      <c r="L160" s="2497"/>
      <c r="M160" s="2517">
        <v>0.80145</v>
      </c>
      <c r="N160" s="2517">
        <v>0.56587399999999999</v>
      </c>
      <c r="O160" s="2532">
        <v>1.9650000000000001</v>
      </c>
      <c r="P160" s="2536"/>
      <c r="Q160" s="2517">
        <v>0.78716200000000003</v>
      </c>
      <c r="R160" s="2517">
        <v>0.55747400000000003</v>
      </c>
      <c r="S160" s="2532">
        <v>1.33</v>
      </c>
      <c r="T160" s="2496"/>
      <c r="U160" s="2496"/>
      <c r="V160" s="2496"/>
      <c r="W160" s="2520"/>
      <c r="X160" s="2515"/>
      <c r="Y160" s="2515"/>
      <c r="Z160" s="2521"/>
      <c r="AA160" s="2505"/>
      <c r="AB160" s="2515"/>
      <c r="AC160" s="2496"/>
      <c r="AD160" s="2505"/>
      <c r="AE160" s="2515"/>
      <c r="AF160" s="2496"/>
      <c r="AG160" s="2505"/>
      <c r="AH160" s="2515"/>
    </row>
    <row r="161" spans="1:34">
      <c r="A161" s="2519">
        <v>1292</v>
      </c>
      <c r="B161" s="2514" t="s">
        <v>809</v>
      </c>
      <c r="C161" s="2496"/>
      <c r="D161" s="2530">
        <v>0.82557100000000005</v>
      </c>
      <c r="E161" s="2530">
        <v>0.58807900000000002</v>
      </c>
      <c r="F161" s="2531"/>
      <c r="G161" s="2530">
        <v>0.81485300000000005</v>
      </c>
      <c r="H161" s="2530">
        <v>0.577264</v>
      </c>
      <c r="I161" s="2496"/>
      <c r="J161" s="2517">
        <v>0.80175099999999999</v>
      </c>
      <c r="K161" s="2517">
        <v>0.56736500000000001</v>
      </c>
      <c r="L161" s="2497"/>
      <c r="M161" s="2517">
        <v>0.78768000000000005</v>
      </c>
      <c r="N161" s="2517">
        <v>0.55477900000000002</v>
      </c>
      <c r="O161" s="2532">
        <v>1.764</v>
      </c>
      <c r="P161" s="2536"/>
      <c r="Q161" s="2517">
        <v>0.76865000000000006</v>
      </c>
      <c r="R161" s="2517">
        <v>0.54630199999999995</v>
      </c>
      <c r="S161" s="2532">
        <v>1.46</v>
      </c>
      <c r="T161" s="2496"/>
      <c r="U161" s="2496"/>
      <c r="V161" s="2496"/>
      <c r="W161" s="2520"/>
      <c r="X161" s="2515"/>
      <c r="Y161" s="2515"/>
      <c r="Z161" s="2521"/>
      <c r="AA161" s="2505"/>
      <c r="AB161" s="2515"/>
      <c r="AC161" s="2496"/>
      <c r="AD161" s="2505"/>
      <c r="AE161" s="2515"/>
      <c r="AF161" s="2496"/>
      <c r="AG161" s="2505"/>
      <c r="AH161" s="2515"/>
    </row>
    <row r="162" spans="1:34">
      <c r="A162" s="2519">
        <v>1293</v>
      </c>
      <c r="B162" s="2514" t="s">
        <v>810</v>
      </c>
      <c r="C162" s="2496"/>
      <c r="D162" s="2530">
        <v>0.84890200000000005</v>
      </c>
      <c r="E162" s="2530">
        <v>0.60541999999999996</v>
      </c>
      <c r="F162" s="2531"/>
      <c r="G162" s="2530">
        <v>0.840337</v>
      </c>
      <c r="H162" s="2530">
        <v>0.596163</v>
      </c>
      <c r="I162" s="2496"/>
      <c r="J162" s="2517">
        <v>0.83004999999999995</v>
      </c>
      <c r="K162" s="2517">
        <v>0.58686300000000002</v>
      </c>
      <c r="L162" s="2497"/>
      <c r="M162" s="2517">
        <v>0.81717499999999998</v>
      </c>
      <c r="N162" s="2517">
        <v>0.57340599999999997</v>
      </c>
      <c r="O162" s="2532">
        <v>1.6259999999999999</v>
      </c>
      <c r="P162" s="2536"/>
      <c r="Q162" s="2517">
        <v>0.80152000000000001</v>
      </c>
      <c r="R162" s="2517">
        <v>0.56416100000000002</v>
      </c>
      <c r="S162" s="2532">
        <v>1.1000000000000001</v>
      </c>
      <c r="T162" s="2496"/>
      <c r="U162" s="2496"/>
      <c r="V162" s="2496"/>
      <c r="W162" s="2520"/>
      <c r="X162" s="2515"/>
      <c r="Y162" s="2515"/>
      <c r="Z162" s="2521"/>
      <c r="AA162" s="2505"/>
      <c r="AB162" s="2515"/>
      <c r="AC162" s="2496"/>
      <c r="AD162" s="2505"/>
      <c r="AE162" s="2515"/>
      <c r="AF162" s="2496"/>
      <c r="AG162" s="2505"/>
      <c r="AH162" s="2515"/>
    </row>
    <row r="163" spans="1:34">
      <c r="A163" s="2519">
        <v>1315</v>
      </c>
      <c r="B163" s="2514" t="s">
        <v>813</v>
      </c>
      <c r="C163" s="2496"/>
      <c r="D163" s="2530">
        <v>0.84705299999999994</v>
      </c>
      <c r="E163" s="2530">
        <v>0.60771900000000001</v>
      </c>
      <c r="F163" s="2531"/>
      <c r="G163" s="2530">
        <v>0.83908899999999997</v>
      </c>
      <c r="H163" s="2530">
        <v>0.59599299999999999</v>
      </c>
      <c r="I163" s="2496"/>
      <c r="J163" s="2517">
        <v>0.82909900000000003</v>
      </c>
      <c r="K163" s="2517">
        <v>0.58548699999999998</v>
      </c>
      <c r="L163" s="2497"/>
      <c r="M163" s="2517">
        <v>0.81867699999999999</v>
      </c>
      <c r="N163" s="2517">
        <v>0.57366899999999998</v>
      </c>
      <c r="O163" s="2532">
        <v>1.522</v>
      </c>
      <c r="P163" s="2536"/>
      <c r="Q163" s="2517">
        <v>0.80948699999999996</v>
      </c>
      <c r="R163" s="2517">
        <v>0.56589500000000004</v>
      </c>
      <c r="S163" s="2532">
        <v>0.91</v>
      </c>
      <c r="T163" s="2496"/>
      <c r="U163" s="2496"/>
      <c r="V163" s="2496"/>
      <c r="W163" s="2520"/>
      <c r="X163" s="2515"/>
      <c r="Y163" s="2515"/>
      <c r="Z163" s="2521"/>
      <c r="AA163" s="2505"/>
      <c r="AB163" s="2515"/>
      <c r="AC163" s="2496"/>
      <c r="AD163" s="2505"/>
      <c r="AE163" s="2515"/>
      <c r="AF163" s="2496"/>
      <c r="AG163" s="2505"/>
      <c r="AH163" s="2515"/>
    </row>
    <row r="164" spans="1:34">
      <c r="A164" s="2519">
        <v>1380</v>
      </c>
      <c r="B164" s="2514" t="s">
        <v>814</v>
      </c>
      <c r="C164" s="2496"/>
      <c r="D164" s="2530">
        <v>0.82814600000000005</v>
      </c>
      <c r="E164" s="2530">
        <v>0.588584</v>
      </c>
      <c r="F164" s="2531"/>
      <c r="G164" s="2530">
        <v>0.81569899999999995</v>
      </c>
      <c r="H164" s="2530">
        <v>0.57874599999999998</v>
      </c>
      <c r="I164" s="2496"/>
      <c r="J164" s="2517">
        <v>0.80155600000000005</v>
      </c>
      <c r="K164" s="2517">
        <v>0.56842700000000002</v>
      </c>
      <c r="L164" s="2497"/>
      <c r="M164" s="2517">
        <v>0.78691199999999994</v>
      </c>
      <c r="N164" s="2517">
        <v>0.55766000000000004</v>
      </c>
      <c r="O164" s="2532">
        <v>1.679</v>
      </c>
      <c r="P164" s="2536"/>
      <c r="Q164" s="2517">
        <v>0.77044800000000002</v>
      </c>
      <c r="R164" s="2517">
        <v>0.54814300000000005</v>
      </c>
      <c r="S164" s="2532">
        <v>1.21</v>
      </c>
      <c r="T164" s="2496"/>
      <c r="U164" s="2496"/>
      <c r="V164" s="2496"/>
      <c r="W164" s="2520"/>
      <c r="X164" s="2515"/>
      <c r="Y164" s="2515"/>
      <c r="Z164" s="2521"/>
      <c r="AA164" s="2505"/>
      <c r="AB164" s="2515"/>
      <c r="AC164" s="2496"/>
      <c r="AD164" s="2505"/>
      <c r="AE164" s="2515"/>
      <c r="AF164" s="2496"/>
      <c r="AG164" s="2505"/>
      <c r="AH164" s="2515"/>
    </row>
    <row r="165" spans="1:34">
      <c r="A165" s="2519">
        <v>1381</v>
      </c>
      <c r="B165" s="2514" t="s">
        <v>815</v>
      </c>
      <c r="C165" s="2496"/>
      <c r="D165" s="2530">
        <v>0.85564700000000005</v>
      </c>
      <c r="E165" s="2530">
        <v>0.59789099999999995</v>
      </c>
      <c r="F165" s="2531"/>
      <c r="G165" s="2530">
        <v>0.83945899999999996</v>
      </c>
      <c r="H165" s="2530">
        <v>0.58573600000000003</v>
      </c>
      <c r="I165" s="2496"/>
      <c r="J165" s="2517">
        <v>0.82602799999999998</v>
      </c>
      <c r="K165" s="2517">
        <v>0.57433500000000004</v>
      </c>
      <c r="L165" s="2497"/>
      <c r="M165" s="2517">
        <v>0.81534300000000004</v>
      </c>
      <c r="N165" s="2517">
        <v>0.56378799999999996</v>
      </c>
      <c r="O165" s="2532">
        <v>1.7410000000000001</v>
      </c>
      <c r="P165" s="2536"/>
      <c r="Q165" s="2517">
        <v>0.80337599999999998</v>
      </c>
      <c r="R165" s="2517">
        <v>0.55534300000000003</v>
      </c>
      <c r="S165" s="2532">
        <v>1.03</v>
      </c>
      <c r="T165" s="2496"/>
      <c r="U165" s="2496"/>
      <c r="V165" s="2496"/>
      <c r="W165" s="2520"/>
      <c r="X165" s="2515"/>
      <c r="Y165" s="2515"/>
      <c r="Z165" s="2521"/>
      <c r="AA165" s="2505"/>
      <c r="AB165" s="2515"/>
      <c r="AC165" s="2496"/>
      <c r="AD165" s="2505"/>
      <c r="AE165" s="2515"/>
      <c r="AF165" s="2496"/>
      <c r="AG165" s="2505"/>
      <c r="AH165" s="2515"/>
    </row>
    <row r="166" spans="1:34">
      <c r="A166" s="2519">
        <v>1382</v>
      </c>
      <c r="B166" s="2514" t="s">
        <v>816</v>
      </c>
      <c r="C166" s="2496"/>
      <c r="D166" s="2530">
        <v>0.83647899999999997</v>
      </c>
      <c r="E166" s="2530">
        <v>0.60235099999999997</v>
      </c>
      <c r="F166" s="2531"/>
      <c r="G166" s="2530">
        <v>0.82658900000000002</v>
      </c>
      <c r="H166" s="2530">
        <v>0.58972899999999995</v>
      </c>
      <c r="I166" s="2496"/>
      <c r="J166" s="2517">
        <v>0.81435900000000006</v>
      </c>
      <c r="K166" s="2517">
        <v>0.57849099999999998</v>
      </c>
      <c r="L166" s="2497"/>
      <c r="M166" s="2517">
        <v>0.801149</v>
      </c>
      <c r="N166" s="2517">
        <v>0.56700499999999998</v>
      </c>
      <c r="O166" s="2532">
        <v>1.41</v>
      </c>
      <c r="P166" s="2536"/>
      <c r="Q166" s="2517">
        <v>0.78499799999999997</v>
      </c>
      <c r="R166" s="2517">
        <v>0.558477</v>
      </c>
      <c r="S166" s="2532">
        <v>1.1399999999999999</v>
      </c>
      <c r="T166" s="2496"/>
      <c r="U166" s="2496"/>
      <c r="V166" s="2496"/>
      <c r="W166" s="2520"/>
      <c r="X166" s="2515"/>
      <c r="Y166" s="2515"/>
      <c r="Z166" s="2521"/>
      <c r="AA166" s="2505"/>
      <c r="AB166" s="2515"/>
      <c r="AC166" s="2496"/>
      <c r="AD166" s="2505"/>
      <c r="AE166" s="2515"/>
      <c r="AF166" s="2496"/>
      <c r="AG166" s="2505"/>
      <c r="AH166" s="2515"/>
    </row>
    <row r="167" spans="1:34">
      <c r="A167" s="2519">
        <v>1383</v>
      </c>
      <c r="B167" s="2514" t="s">
        <v>817</v>
      </c>
      <c r="C167" s="2496"/>
      <c r="D167" s="2530">
        <v>0.83680500000000002</v>
      </c>
      <c r="E167" s="2530">
        <v>0.58843699999999999</v>
      </c>
      <c r="F167" s="2531"/>
      <c r="G167" s="2530">
        <v>0.82589000000000001</v>
      </c>
      <c r="H167" s="2530">
        <v>0.57865</v>
      </c>
      <c r="I167" s="2496"/>
      <c r="J167" s="2517">
        <v>0.81353799999999998</v>
      </c>
      <c r="K167" s="2517">
        <v>0.569075</v>
      </c>
      <c r="L167" s="2497"/>
      <c r="M167" s="2517">
        <v>0.79901299999999997</v>
      </c>
      <c r="N167" s="2517">
        <v>0.55917300000000003</v>
      </c>
      <c r="O167" s="2532">
        <v>1.611</v>
      </c>
      <c r="P167" s="2536"/>
      <c r="Q167" s="2517">
        <v>0.78344599999999998</v>
      </c>
      <c r="R167" s="2517">
        <v>0.55095099999999997</v>
      </c>
      <c r="S167" s="2532">
        <v>1.06</v>
      </c>
      <c r="T167" s="2496"/>
      <c r="U167" s="2496"/>
      <c r="V167" s="2496"/>
      <c r="W167" s="2520"/>
      <c r="X167" s="2515"/>
      <c r="Y167" s="2515"/>
      <c r="Z167" s="2521"/>
      <c r="AA167" s="2505"/>
      <c r="AB167" s="2515"/>
      <c r="AC167" s="2496"/>
      <c r="AD167" s="2505"/>
      <c r="AE167" s="2515"/>
      <c r="AF167" s="2496"/>
      <c r="AG167" s="2505"/>
      <c r="AH167" s="2515"/>
    </row>
    <row r="168" spans="1:34">
      <c r="A168" s="2519">
        <v>1384</v>
      </c>
      <c r="B168" s="2514" t="s">
        <v>818</v>
      </c>
      <c r="C168" s="2496"/>
      <c r="D168" s="2530">
        <v>0.81130000000000002</v>
      </c>
      <c r="E168" s="2530">
        <v>0.58418999999999999</v>
      </c>
      <c r="F168" s="2531"/>
      <c r="G168" s="2530">
        <v>0.79824600000000001</v>
      </c>
      <c r="H168" s="2530">
        <v>0.57118199999999997</v>
      </c>
      <c r="I168" s="2496"/>
      <c r="J168" s="2517">
        <v>0.78258799999999995</v>
      </c>
      <c r="K168" s="2517">
        <v>0.56233299999999997</v>
      </c>
      <c r="L168" s="2497"/>
      <c r="M168" s="2517">
        <v>0.76680499999999996</v>
      </c>
      <c r="N168" s="2517">
        <v>0.55347500000000005</v>
      </c>
      <c r="O168" s="2532">
        <v>1.764</v>
      </c>
      <c r="P168" s="2536"/>
      <c r="Q168" s="2517">
        <v>0.74741400000000002</v>
      </c>
      <c r="R168" s="2517">
        <v>0.54552699999999998</v>
      </c>
      <c r="S168" s="2532">
        <v>1.44</v>
      </c>
      <c r="T168" s="2496"/>
      <c r="U168" s="2496"/>
      <c r="V168" s="2496"/>
      <c r="W168" s="2520"/>
      <c r="X168" s="2515"/>
      <c r="Y168" s="2515"/>
      <c r="Z168" s="2521"/>
      <c r="AA168" s="2505"/>
      <c r="AB168" s="2515"/>
      <c r="AC168" s="2496"/>
      <c r="AD168" s="2505"/>
      <c r="AE168" s="2515"/>
      <c r="AF168" s="2496"/>
      <c r="AG168" s="2505"/>
      <c r="AH168" s="2515"/>
    </row>
    <row r="169" spans="1:34">
      <c r="A169" s="2519">
        <v>1401</v>
      </c>
      <c r="B169" s="2514" t="s">
        <v>820</v>
      </c>
      <c r="C169" s="2496"/>
      <c r="D169" s="2530">
        <v>0.81055100000000002</v>
      </c>
      <c r="E169" s="2530">
        <v>0.57779499999999995</v>
      </c>
      <c r="F169" s="2531"/>
      <c r="G169" s="2530">
        <v>0.79794200000000004</v>
      </c>
      <c r="H169" s="2530">
        <v>0.56863799999999998</v>
      </c>
      <c r="I169" s="2496"/>
      <c r="J169" s="2517">
        <v>0.78398800000000002</v>
      </c>
      <c r="K169" s="2517">
        <v>0.55912300000000004</v>
      </c>
      <c r="L169" s="2497"/>
      <c r="M169" s="2517">
        <v>0.76711200000000002</v>
      </c>
      <c r="N169" s="2517">
        <v>0.54877500000000001</v>
      </c>
      <c r="O169" s="2532">
        <v>1.8380000000000001</v>
      </c>
      <c r="P169" s="2536"/>
      <c r="Q169" s="2517">
        <v>0.75057200000000002</v>
      </c>
      <c r="R169" s="2517">
        <v>0.54160799999999998</v>
      </c>
      <c r="S169" s="2532">
        <v>1.1200000000000001</v>
      </c>
      <c r="T169" s="2496"/>
      <c r="U169" s="2496"/>
      <c r="V169" s="2496"/>
      <c r="W169" s="2520"/>
      <c r="X169" s="2515"/>
      <c r="Y169" s="2515"/>
      <c r="Z169" s="2521"/>
      <c r="AA169" s="2505"/>
      <c r="AB169" s="2515"/>
      <c r="AC169" s="2496"/>
      <c r="AD169" s="2505"/>
      <c r="AE169" s="2515"/>
      <c r="AF169" s="2496"/>
      <c r="AG169" s="2505"/>
      <c r="AH169" s="2515"/>
    </row>
    <row r="170" spans="1:34">
      <c r="A170" s="2519">
        <v>1402</v>
      </c>
      <c r="B170" s="2514" t="s">
        <v>821</v>
      </c>
      <c r="C170" s="2496"/>
      <c r="D170" s="2530">
        <v>0.80139800000000005</v>
      </c>
      <c r="E170" s="2530">
        <v>0.57635599999999998</v>
      </c>
      <c r="F170" s="2531"/>
      <c r="G170" s="2530">
        <v>0.78908</v>
      </c>
      <c r="H170" s="2530">
        <v>0.56432300000000002</v>
      </c>
      <c r="I170" s="2496"/>
      <c r="J170" s="2517">
        <v>0.77075800000000005</v>
      </c>
      <c r="K170" s="2517">
        <v>0.55118299999999998</v>
      </c>
      <c r="L170" s="2497"/>
      <c r="M170" s="2517">
        <v>0.75202100000000005</v>
      </c>
      <c r="N170" s="2517">
        <v>0.54014700000000004</v>
      </c>
      <c r="O170" s="2532">
        <v>1.7729999999999999</v>
      </c>
      <c r="P170" s="2536"/>
      <c r="Q170" s="2517">
        <v>0.73160599999999998</v>
      </c>
      <c r="R170" s="2517">
        <v>0.53243099999999999</v>
      </c>
      <c r="S170" s="2532">
        <v>1.3</v>
      </c>
      <c r="T170" s="2496"/>
      <c r="U170" s="2496"/>
      <c r="V170" s="2496"/>
      <c r="W170" s="2520"/>
      <c r="X170" s="2515"/>
      <c r="Y170" s="2515"/>
      <c r="Z170" s="2521"/>
      <c r="AA170" s="2505"/>
      <c r="AB170" s="2515"/>
      <c r="AC170" s="2496"/>
      <c r="AD170" s="2505"/>
      <c r="AE170" s="2515"/>
      <c r="AF170" s="2496"/>
      <c r="AG170" s="2505"/>
      <c r="AH170" s="2515"/>
    </row>
    <row r="171" spans="1:34">
      <c r="A171" s="2519">
        <v>1407</v>
      </c>
      <c r="B171" s="2514" t="s">
        <v>822</v>
      </c>
      <c r="C171" s="2496"/>
      <c r="D171" s="2530">
        <v>0.80993099999999996</v>
      </c>
      <c r="E171" s="2530">
        <v>0.59466600000000003</v>
      </c>
      <c r="F171" s="2531"/>
      <c r="G171" s="2530">
        <v>0.79769199999999996</v>
      </c>
      <c r="H171" s="2530">
        <v>0.57889199999999996</v>
      </c>
      <c r="I171" s="2496"/>
      <c r="J171" s="2517">
        <v>0.78085800000000005</v>
      </c>
      <c r="K171" s="2517">
        <v>0.57101100000000005</v>
      </c>
      <c r="L171" s="2497"/>
      <c r="M171" s="2517">
        <v>0.76412599999999997</v>
      </c>
      <c r="N171" s="2517">
        <v>0.56157900000000005</v>
      </c>
      <c r="O171" s="2532">
        <v>1.2</v>
      </c>
      <c r="P171" s="2536"/>
      <c r="Q171" s="2517">
        <v>0.74858899999999995</v>
      </c>
      <c r="R171" s="2517">
        <v>0.55556000000000005</v>
      </c>
      <c r="S171" s="2532">
        <v>0.75</v>
      </c>
      <c r="T171" s="2496"/>
      <c r="U171" s="2496"/>
      <c r="V171" s="2496"/>
      <c r="W171" s="2520"/>
      <c r="X171" s="2515"/>
      <c r="Y171" s="2515"/>
      <c r="Z171" s="2521"/>
      <c r="AA171" s="2505"/>
      <c r="AB171" s="2515"/>
      <c r="AC171" s="2496"/>
      <c r="AD171" s="2505"/>
      <c r="AE171" s="2515"/>
      <c r="AF171" s="2496"/>
      <c r="AG171" s="2505"/>
      <c r="AH171" s="2515"/>
    </row>
    <row r="172" spans="1:34">
      <c r="A172" s="2519">
        <v>1415</v>
      </c>
      <c r="B172" s="2514" t="s">
        <v>823</v>
      </c>
      <c r="C172" s="2496"/>
      <c r="D172" s="2530">
        <v>0.81991899999999995</v>
      </c>
      <c r="E172" s="2530">
        <v>0.58030300000000001</v>
      </c>
      <c r="F172" s="2531"/>
      <c r="G172" s="2530">
        <v>0.80877299999999996</v>
      </c>
      <c r="H172" s="2530">
        <v>0.57286999999999999</v>
      </c>
      <c r="I172" s="2496"/>
      <c r="J172" s="2517">
        <v>0.79462100000000002</v>
      </c>
      <c r="K172" s="2517">
        <v>0.56292699999999996</v>
      </c>
      <c r="L172" s="2497"/>
      <c r="M172" s="2517">
        <v>0.77887099999999998</v>
      </c>
      <c r="N172" s="2517">
        <v>0.55006600000000005</v>
      </c>
      <c r="O172" s="2532">
        <v>1.7669999999999999</v>
      </c>
      <c r="P172" s="2536"/>
      <c r="Q172" s="2517">
        <v>0.76217299999999999</v>
      </c>
      <c r="R172" s="2517">
        <v>0.54251799999999994</v>
      </c>
      <c r="S172" s="2532">
        <v>1.07</v>
      </c>
      <c r="T172" s="2496"/>
      <c r="U172" s="2496"/>
      <c r="V172" s="2496"/>
      <c r="W172" s="2520"/>
      <c r="X172" s="2515"/>
      <c r="Y172" s="2515"/>
      <c r="Z172" s="2521"/>
      <c r="AA172" s="2505"/>
      <c r="AB172" s="2515"/>
      <c r="AC172" s="2496"/>
      <c r="AD172" s="2505"/>
      <c r="AE172" s="2515"/>
      <c r="AF172" s="2496"/>
      <c r="AG172" s="2505"/>
      <c r="AH172" s="2515"/>
    </row>
    <row r="173" spans="1:34">
      <c r="A173" s="2519">
        <v>1419</v>
      </c>
      <c r="B173" s="2514" t="s">
        <v>824</v>
      </c>
      <c r="C173" s="2496"/>
      <c r="D173" s="2530">
        <v>0.83402200000000004</v>
      </c>
      <c r="E173" s="2530">
        <v>0.59616199999999997</v>
      </c>
      <c r="F173" s="2531"/>
      <c r="G173" s="2530">
        <v>0.822434</v>
      </c>
      <c r="H173" s="2530">
        <v>0.58547899999999997</v>
      </c>
      <c r="I173" s="2496"/>
      <c r="J173" s="2517">
        <v>0.80886999999999998</v>
      </c>
      <c r="K173" s="2517">
        <v>0.57508999999999999</v>
      </c>
      <c r="L173" s="2497"/>
      <c r="M173" s="2517">
        <v>0.79593800000000003</v>
      </c>
      <c r="N173" s="2517">
        <v>0.56237599999999999</v>
      </c>
      <c r="O173" s="2532">
        <v>1.9</v>
      </c>
      <c r="P173" s="2536"/>
      <c r="Q173" s="2517">
        <v>0.78095300000000001</v>
      </c>
      <c r="R173" s="2517">
        <v>0.55549199999999999</v>
      </c>
      <c r="S173" s="2532">
        <v>1.05</v>
      </c>
      <c r="T173" s="2496"/>
      <c r="U173" s="2496"/>
      <c r="V173" s="2496"/>
      <c r="W173" s="2520"/>
      <c r="X173" s="2515"/>
      <c r="Y173" s="2515"/>
      <c r="Z173" s="2521"/>
      <c r="AA173" s="2505"/>
      <c r="AB173" s="2515"/>
      <c r="AC173" s="2496"/>
      <c r="AD173" s="2505"/>
      <c r="AE173" s="2515"/>
      <c r="AF173" s="2496"/>
      <c r="AG173" s="2505"/>
      <c r="AH173" s="2515"/>
    </row>
    <row r="174" spans="1:34">
      <c r="A174" s="2519">
        <v>1421</v>
      </c>
      <c r="B174" s="2514" t="s">
        <v>825</v>
      </c>
      <c r="C174" s="2496"/>
      <c r="D174" s="2530">
        <v>0.83739699999999995</v>
      </c>
      <c r="E174" s="2530">
        <v>0.60995699999999997</v>
      </c>
      <c r="F174" s="2531"/>
      <c r="G174" s="2530">
        <v>0.83012200000000003</v>
      </c>
      <c r="H174" s="2530">
        <v>0.59992800000000002</v>
      </c>
      <c r="I174" s="2496"/>
      <c r="J174" s="2517">
        <v>0.81940599999999997</v>
      </c>
      <c r="K174" s="2517">
        <v>0.58761099999999999</v>
      </c>
      <c r="L174" s="2497"/>
      <c r="M174" s="2517">
        <v>0.81111100000000003</v>
      </c>
      <c r="N174" s="2517">
        <v>0.58108499999999996</v>
      </c>
      <c r="O174" s="2532">
        <v>1.9830000000000001</v>
      </c>
      <c r="P174" s="2536"/>
      <c r="Q174" s="2517">
        <v>0.800875</v>
      </c>
      <c r="R174" s="2517">
        <v>0.567971</v>
      </c>
      <c r="S174" s="2532">
        <v>0.79</v>
      </c>
      <c r="T174" s="2496"/>
      <c r="U174" s="2496"/>
      <c r="V174" s="2496"/>
      <c r="W174" s="2520"/>
      <c r="X174" s="2515"/>
      <c r="Y174" s="2515"/>
      <c r="Z174" s="2521"/>
      <c r="AA174" s="2505"/>
      <c r="AB174" s="2515"/>
      <c r="AC174" s="2496"/>
      <c r="AD174" s="2505"/>
      <c r="AE174" s="2515"/>
      <c r="AF174" s="2496"/>
      <c r="AG174" s="2505"/>
      <c r="AH174" s="2515"/>
    </row>
    <row r="175" spans="1:34">
      <c r="A175" s="2519">
        <v>1427</v>
      </c>
      <c r="B175" s="2514" t="s">
        <v>826</v>
      </c>
      <c r="C175" s="2496"/>
      <c r="D175" s="2530">
        <v>0.83636699999999997</v>
      </c>
      <c r="E175" s="2530">
        <v>0.59198300000000004</v>
      </c>
      <c r="F175" s="2531"/>
      <c r="G175" s="2530">
        <v>0.826403</v>
      </c>
      <c r="H175" s="2530">
        <v>0.58322700000000005</v>
      </c>
      <c r="I175" s="2496"/>
      <c r="J175" s="2517">
        <v>0.81489699999999998</v>
      </c>
      <c r="K175" s="2517">
        <v>0.57494999999999996</v>
      </c>
      <c r="L175" s="2497"/>
      <c r="M175" s="2517">
        <v>0.79943600000000004</v>
      </c>
      <c r="N175" s="2517">
        <v>0.56619699999999995</v>
      </c>
      <c r="O175" s="2532">
        <v>2.016</v>
      </c>
      <c r="P175" s="2536"/>
      <c r="Q175" s="2517">
        <v>0.77815900000000005</v>
      </c>
      <c r="R175" s="2517">
        <v>0.55396100000000004</v>
      </c>
      <c r="S175" s="2532">
        <v>1.52</v>
      </c>
      <c r="T175" s="2496"/>
      <c r="U175" s="2496"/>
      <c r="V175" s="2496"/>
      <c r="W175" s="2520"/>
      <c r="X175" s="2515"/>
      <c r="Y175" s="2515"/>
      <c r="Z175" s="2521"/>
      <c r="AA175" s="2505"/>
      <c r="AB175" s="2515"/>
      <c r="AC175" s="2496"/>
      <c r="AD175" s="2505"/>
      <c r="AE175" s="2515"/>
      <c r="AF175" s="2496"/>
      <c r="AG175" s="2505"/>
      <c r="AH175" s="2515"/>
    </row>
    <row r="176" spans="1:34">
      <c r="A176" s="2519">
        <v>1430</v>
      </c>
      <c r="B176" s="2514" t="s">
        <v>827</v>
      </c>
      <c r="C176" s="2496"/>
      <c r="D176" s="2530">
        <v>0.85677499999999995</v>
      </c>
      <c r="E176" s="2530">
        <v>0.61482499999999995</v>
      </c>
      <c r="F176" s="2531"/>
      <c r="G176" s="2530">
        <v>0.84818499999999997</v>
      </c>
      <c r="H176" s="2530">
        <v>0.60451500000000002</v>
      </c>
      <c r="I176" s="2496"/>
      <c r="J176" s="2517">
        <v>0.83593799999999996</v>
      </c>
      <c r="K176" s="2517">
        <v>0.59064300000000003</v>
      </c>
      <c r="L176" s="2497"/>
      <c r="M176" s="2517">
        <v>0.82649600000000001</v>
      </c>
      <c r="N176" s="2517">
        <v>0.58025700000000002</v>
      </c>
      <c r="O176" s="2532">
        <v>1.675</v>
      </c>
      <c r="P176" s="2536"/>
      <c r="Q176" s="2517">
        <v>0.81218699999999999</v>
      </c>
      <c r="R176" s="2517">
        <v>0.56507300000000005</v>
      </c>
      <c r="S176" s="2532">
        <v>1.37</v>
      </c>
      <c r="T176" s="2496"/>
      <c r="U176" s="2496"/>
      <c r="V176" s="2496"/>
      <c r="W176" s="2520"/>
      <c r="X176" s="2515"/>
      <c r="Y176" s="2515"/>
      <c r="Z176" s="2521"/>
      <c r="AA176" s="2505"/>
      <c r="AB176" s="2515"/>
      <c r="AC176" s="2496"/>
      <c r="AD176" s="2505"/>
      <c r="AE176" s="2515"/>
      <c r="AF176" s="2496"/>
      <c r="AG176" s="2505"/>
      <c r="AH176" s="2515"/>
    </row>
    <row r="177" spans="1:34">
      <c r="A177" s="2519">
        <v>1435</v>
      </c>
      <c r="B177" s="2514" t="s">
        <v>828</v>
      </c>
      <c r="C177" s="2496"/>
      <c r="D177" s="2530">
        <v>0.84318899999999997</v>
      </c>
      <c r="E177" s="2530">
        <v>0.59553500000000004</v>
      </c>
      <c r="F177" s="2531"/>
      <c r="G177" s="2530">
        <v>0.83425899999999997</v>
      </c>
      <c r="H177" s="2530">
        <v>0.58890600000000004</v>
      </c>
      <c r="I177" s="2496"/>
      <c r="J177" s="2517">
        <v>0.82342899999999997</v>
      </c>
      <c r="K177" s="2517">
        <v>0.57630400000000004</v>
      </c>
      <c r="L177" s="2497"/>
      <c r="M177" s="2517">
        <v>0.81205300000000002</v>
      </c>
      <c r="N177" s="2517">
        <v>0.564249</v>
      </c>
      <c r="O177" s="2532">
        <v>1.387</v>
      </c>
      <c r="P177" s="2536"/>
      <c r="Q177" s="2517">
        <v>0.79608000000000001</v>
      </c>
      <c r="R177" s="2517">
        <v>0.55633900000000003</v>
      </c>
      <c r="S177" s="2532">
        <v>1.1399999999999999</v>
      </c>
      <c r="T177" s="2496"/>
      <c r="U177" s="2496"/>
      <c r="V177" s="2496"/>
      <c r="W177" s="2520"/>
      <c r="X177" s="2515"/>
      <c r="Y177" s="2515"/>
      <c r="Z177" s="2521"/>
      <c r="AA177" s="2505"/>
      <c r="AB177" s="2515"/>
      <c r="AC177" s="2496"/>
      <c r="AD177" s="2505"/>
      <c r="AE177" s="2515"/>
      <c r="AF177" s="2496"/>
      <c r="AG177" s="2505"/>
      <c r="AH177" s="2515"/>
    </row>
    <row r="178" spans="1:34">
      <c r="A178" s="2519">
        <v>1438</v>
      </c>
      <c r="B178" s="2514" t="s">
        <v>829</v>
      </c>
      <c r="C178" s="2496"/>
      <c r="D178" s="2530">
        <v>0.85288799999999998</v>
      </c>
      <c r="E178" s="2530">
        <v>0.61772499999999997</v>
      </c>
      <c r="F178" s="2531"/>
      <c r="G178" s="2530">
        <v>0.84745199999999998</v>
      </c>
      <c r="H178" s="2530">
        <v>0.60957600000000001</v>
      </c>
      <c r="I178" s="2496"/>
      <c r="J178" s="2517">
        <v>0.83458100000000002</v>
      </c>
      <c r="K178" s="2517">
        <v>0.59498799999999996</v>
      </c>
      <c r="L178" s="2497"/>
      <c r="M178" s="2517">
        <v>0.82450100000000004</v>
      </c>
      <c r="N178" s="2517">
        <v>0.58412200000000003</v>
      </c>
      <c r="O178" s="2532">
        <v>1.35</v>
      </c>
      <c r="P178" s="2536"/>
      <c r="Q178" s="2517">
        <v>0.81416500000000003</v>
      </c>
      <c r="R178" s="2517">
        <v>0.57879599999999998</v>
      </c>
      <c r="S178" s="2532" t="s">
        <v>390</v>
      </c>
      <c r="T178" s="2496"/>
      <c r="U178" s="2496"/>
      <c r="V178" s="2496"/>
      <c r="W178" s="2520"/>
      <c r="X178" s="2515"/>
      <c r="Y178" s="2515"/>
      <c r="Z178" s="2521"/>
      <c r="AA178" s="2505"/>
      <c r="AB178" s="2515"/>
      <c r="AC178" s="2496"/>
      <c r="AD178" s="2505"/>
      <c r="AE178" s="2515"/>
      <c r="AF178" s="2496"/>
      <c r="AG178" s="2505"/>
      <c r="AH178" s="2515"/>
    </row>
    <row r="179" spans="1:34">
      <c r="A179" s="2519">
        <v>1439</v>
      </c>
      <c r="B179" s="2514" t="s">
        <v>830</v>
      </c>
      <c r="C179" s="2496"/>
      <c r="D179" s="2530">
        <v>0.86115699999999995</v>
      </c>
      <c r="E179" s="2530">
        <v>0.61496600000000001</v>
      </c>
      <c r="F179" s="2531"/>
      <c r="G179" s="2530">
        <v>0.85118099999999997</v>
      </c>
      <c r="H179" s="2530">
        <v>0.60494499999999995</v>
      </c>
      <c r="I179" s="2496"/>
      <c r="J179" s="2517">
        <v>0.84387100000000004</v>
      </c>
      <c r="K179" s="2517">
        <v>0.59739399999999998</v>
      </c>
      <c r="L179" s="2497"/>
      <c r="M179" s="2517">
        <v>0.83234699999999995</v>
      </c>
      <c r="N179" s="2517">
        <v>0.58655500000000005</v>
      </c>
      <c r="O179" s="2532">
        <v>1.63</v>
      </c>
      <c r="P179" s="2536"/>
      <c r="Q179" s="2517">
        <v>0.82293300000000003</v>
      </c>
      <c r="R179" s="2517">
        <v>0.581677</v>
      </c>
      <c r="S179" s="2532">
        <v>0.15</v>
      </c>
      <c r="T179" s="2496"/>
      <c r="U179" s="2496"/>
      <c r="V179" s="2496"/>
      <c r="W179" s="2520"/>
      <c r="X179" s="2515"/>
      <c r="Y179" s="2515"/>
      <c r="Z179" s="2521"/>
      <c r="AA179" s="2505"/>
      <c r="AB179" s="2515"/>
      <c r="AC179" s="2496"/>
      <c r="AD179" s="2505"/>
      <c r="AE179" s="2515"/>
      <c r="AF179" s="2496"/>
      <c r="AG179" s="2505"/>
      <c r="AH179" s="2515"/>
    </row>
    <row r="180" spans="1:34">
      <c r="A180" s="2519">
        <v>1440</v>
      </c>
      <c r="B180" s="2514" t="s">
        <v>831</v>
      </c>
      <c r="C180" s="2496"/>
      <c r="D180" s="2530">
        <v>0.82327399999999995</v>
      </c>
      <c r="E180" s="2530">
        <v>0.58304999999999996</v>
      </c>
      <c r="F180" s="2531"/>
      <c r="G180" s="2530">
        <v>0.81378600000000001</v>
      </c>
      <c r="H180" s="2530">
        <v>0.57075299999999995</v>
      </c>
      <c r="I180" s="2496"/>
      <c r="J180" s="2517">
        <v>0.80162599999999995</v>
      </c>
      <c r="K180" s="2517">
        <v>0.55930999999999997</v>
      </c>
      <c r="L180" s="2497"/>
      <c r="M180" s="2517">
        <v>0.78694399999999998</v>
      </c>
      <c r="N180" s="2517">
        <v>0.55006100000000002</v>
      </c>
      <c r="O180" s="2532">
        <v>1.7669999999999999</v>
      </c>
      <c r="P180" s="2536"/>
      <c r="Q180" s="2517">
        <v>0.76904600000000001</v>
      </c>
      <c r="R180" s="2517">
        <v>0.53966999999999998</v>
      </c>
      <c r="S180" s="2532">
        <v>1.1399999999999999</v>
      </c>
      <c r="T180" s="2496"/>
      <c r="U180" s="2496"/>
      <c r="V180" s="2496"/>
      <c r="W180" s="2520"/>
      <c r="X180" s="2515"/>
      <c r="Y180" s="2515"/>
      <c r="Z180" s="2521"/>
      <c r="AA180" s="2505"/>
      <c r="AB180" s="2515"/>
      <c r="AC180" s="2496"/>
      <c r="AD180" s="2505"/>
      <c r="AE180" s="2515"/>
      <c r="AF180" s="2496"/>
      <c r="AG180" s="2505"/>
      <c r="AH180" s="2515"/>
    </row>
    <row r="181" spans="1:34">
      <c r="A181" s="2519">
        <v>1441</v>
      </c>
      <c r="B181" s="2514" t="s">
        <v>832</v>
      </c>
      <c r="C181" s="2496"/>
      <c r="D181" s="2530">
        <v>0.81020800000000004</v>
      </c>
      <c r="E181" s="2530">
        <v>0.57888700000000004</v>
      </c>
      <c r="F181" s="2531"/>
      <c r="G181" s="2530">
        <v>0.79718100000000003</v>
      </c>
      <c r="H181" s="2530">
        <v>0.56808599999999998</v>
      </c>
      <c r="I181" s="2496"/>
      <c r="J181" s="2517">
        <v>0.78170099999999998</v>
      </c>
      <c r="K181" s="2517">
        <v>0.55818999999999996</v>
      </c>
      <c r="L181" s="2497"/>
      <c r="M181" s="2517">
        <v>0.764822</v>
      </c>
      <c r="N181" s="2517">
        <v>0.54903299999999999</v>
      </c>
      <c r="O181" s="2532">
        <v>1.859</v>
      </c>
      <c r="P181" s="2536"/>
      <c r="Q181" s="2517">
        <v>0.74628499999999998</v>
      </c>
      <c r="R181" s="2517">
        <v>0.53991800000000001</v>
      </c>
      <c r="S181" s="2532">
        <v>1.21</v>
      </c>
      <c r="T181" s="2496"/>
      <c r="U181" s="2496"/>
      <c r="V181" s="2496"/>
      <c r="W181" s="2520"/>
      <c r="X181" s="2515"/>
      <c r="Y181" s="2515"/>
      <c r="Z181" s="2521"/>
      <c r="AA181" s="2505"/>
      <c r="AB181" s="2515"/>
      <c r="AC181" s="2496"/>
      <c r="AD181" s="2505"/>
      <c r="AE181" s="2515"/>
      <c r="AF181" s="2496"/>
      <c r="AG181" s="2505"/>
      <c r="AH181" s="2515"/>
    </row>
    <row r="182" spans="1:34">
      <c r="A182" s="2519">
        <v>1442</v>
      </c>
      <c r="B182" s="2514" t="s">
        <v>833</v>
      </c>
      <c r="C182" s="2496"/>
      <c r="D182" s="2530">
        <v>0.84881300000000004</v>
      </c>
      <c r="E182" s="2530">
        <v>0.60181700000000005</v>
      </c>
      <c r="F182" s="2531"/>
      <c r="G182" s="2530">
        <v>0.83860800000000002</v>
      </c>
      <c r="H182" s="2530">
        <v>0.59324699999999997</v>
      </c>
      <c r="I182" s="2496"/>
      <c r="J182" s="2517">
        <v>0.82758399999999999</v>
      </c>
      <c r="K182" s="2517">
        <v>0.58403899999999997</v>
      </c>
      <c r="L182" s="2497"/>
      <c r="M182" s="2517">
        <v>0.81794</v>
      </c>
      <c r="N182" s="2517">
        <v>0.57008599999999998</v>
      </c>
      <c r="O182" s="2532">
        <v>1.69</v>
      </c>
      <c r="P182" s="2536"/>
      <c r="Q182" s="2517">
        <v>0.804697</v>
      </c>
      <c r="R182" s="2517">
        <v>0.56295099999999998</v>
      </c>
      <c r="S182" s="2532">
        <v>1.1299999999999999</v>
      </c>
      <c r="T182" s="2496"/>
      <c r="U182" s="2496"/>
      <c r="V182" s="2496"/>
      <c r="W182" s="2520"/>
      <c r="X182" s="2515"/>
      <c r="Y182" s="2515"/>
      <c r="Z182" s="2521"/>
      <c r="AA182" s="2505"/>
      <c r="AB182" s="2515"/>
      <c r="AC182" s="2496"/>
      <c r="AD182" s="2505"/>
      <c r="AE182" s="2515"/>
      <c r="AF182" s="2496"/>
      <c r="AG182" s="2505"/>
      <c r="AH182" s="2515"/>
    </row>
    <row r="183" spans="1:34">
      <c r="A183" s="2519">
        <v>1443</v>
      </c>
      <c r="B183" s="2514" t="s">
        <v>834</v>
      </c>
      <c r="C183" s="2496"/>
      <c r="D183" s="2530">
        <v>0.83123000000000002</v>
      </c>
      <c r="E183" s="2530">
        <v>0.58218099999999995</v>
      </c>
      <c r="F183" s="2531"/>
      <c r="G183" s="2530">
        <v>0.82125000000000004</v>
      </c>
      <c r="H183" s="2530">
        <v>0.57155</v>
      </c>
      <c r="I183" s="2496"/>
      <c r="J183" s="2517">
        <v>0.80804699999999996</v>
      </c>
      <c r="K183" s="2517">
        <v>0.56642700000000001</v>
      </c>
      <c r="L183" s="2497"/>
      <c r="M183" s="2517">
        <v>0.79321399999999997</v>
      </c>
      <c r="N183" s="2517">
        <v>0.55513400000000002</v>
      </c>
      <c r="O183" s="2532">
        <v>1.73</v>
      </c>
      <c r="P183" s="2536"/>
      <c r="Q183" s="2517">
        <v>0.778582</v>
      </c>
      <c r="R183" s="2517">
        <v>0.55202700000000005</v>
      </c>
      <c r="S183" s="2532">
        <v>0.16</v>
      </c>
      <c r="T183" s="2496"/>
      <c r="U183" s="2496"/>
      <c r="V183" s="2496"/>
      <c r="W183" s="2520"/>
      <c r="X183" s="2515"/>
      <c r="Y183" s="2515"/>
      <c r="Z183" s="2521"/>
      <c r="AA183" s="2505"/>
      <c r="AB183" s="2515"/>
      <c r="AC183" s="2496"/>
      <c r="AD183" s="2505"/>
      <c r="AE183" s="2515"/>
      <c r="AF183" s="2496"/>
      <c r="AG183" s="2505"/>
      <c r="AH183" s="2515"/>
    </row>
    <row r="184" spans="1:34">
      <c r="A184" s="2519">
        <v>1444</v>
      </c>
      <c r="B184" s="2514" t="s">
        <v>835</v>
      </c>
      <c r="C184" s="2496"/>
      <c r="D184" s="2530">
        <v>0.85298600000000002</v>
      </c>
      <c r="E184" s="2530">
        <v>0.60485800000000001</v>
      </c>
      <c r="F184" s="2531"/>
      <c r="G184" s="2530">
        <v>0.84079099999999996</v>
      </c>
      <c r="H184" s="2530">
        <v>0.59234799999999999</v>
      </c>
      <c r="I184" s="2496"/>
      <c r="J184" s="2517">
        <v>0.83087800000000001</v>
      </c>
      <c r="K184" s="2517">
        <v>0.58417600000000003</v>
      </c>
      <c r="L184" s="2497"/>
      <c r="M184" s="2517">
        <v>0.82243599999999994</v>
      </c>
      <c r="N184" s="2517">
        <v>0.57186000000000003</v>
      </c>
      <c r="O184" s="2532">
        <v>1.696</v>
      </c>
      <c r="P184" s="2536"/>
      <c r="Q184" s="2517">
        <v>0.80957400000000002</v>
      </c>
      <c r="R184" s="2517">
        <v>0.56010099999999996</v>
      </c>
      <c r="S184" s="2532">
        <v>1.24</v>
      </c>
      <c r="T184" s="2496"/>
      <c r="U184" s="2496"/>
      <c r="V184" s="2496"/>
      <c r="W184" s="2520"/>
      <c r="X184" s="2515"/>
      <c r="Y184" s="2515"/>
      <c r="Z184" s="2521"/>
      <c r="AA184" s="2505"/>
      <c r="AB184" s="2515"/>
      <c r="AC184" s="2496"/>
      <c r="AD184" s="2505"/>
      <c r="AE184" s="2515"/>
      <c r="AF184" s="2496"/>
      <c r="AG184" s="2505"/>
      <c r="AH184" s="2515"/>
    </row>
    <row r="185" spans="1:34">
      <c r="A185" s="2519">
        <v>1445</v>
      </c>
      <c r="B185" s="2514" t="s">
        <v>836</v>
      </c>
      <c r="C185" s="2496"/>
      <c r="D185" s="2530">
        <v>0.86227299999999996</v>
      </c>
      <c r="E185" s="2530">
        <v>0.62852799999999998</v>
      </c>
      <c r="F185" s="2531"/>
      <c r="G185" s="2530">
        <v>0.85285500000000003</v>
      </c>
      <c r="H185" s="2530">
        <v>0.61957399999999996</v>
      </c>
      <c r="I185" s="2496"/>
      <c r="J185" s="2517">
        <v>0.84676099999999999</v>
      </c>
      <c r="K185" s="2517">
        <v>0.60441999999999996</v>
      </c>
      <c r="L185" s="2497"/>
      <c r="M185" s="2517">
        <v>0.83746900000000002</v>
      </c>
      <c r="N185" s="2517">
        <v>0.59181799999999996</v>
      </c>
      <c r="O185" s="2532">
        <v>1.98</v>
      </c>
      <c r="P185" s="2536"/>
      <c r="Q185" s="2517">
        <v>0.82808499999999996</v>
      </c>
      <c r="R185" s="2517">
        <v>0.58545199999999997</v>
      </c>
      <c r="S185" s="2532">
        <v>1.17</v>
      </c>
      <c r="T185" s="2496"/>
      <c r="U185" s="2496"/>
      <c r="V185" s="2496"/>
      <c r="W185" s="2520"/>
      <c r="X185" s="2515"/>
      <c r="Y185" s="2515"/>
      <c r="Z185" s="2521"/>
      <c r="AA185" s="2505"/>
      <c r="AB185" s="2515"/>
      <c r="AC185" s="2496"/>
      <c r="AD185" s="2505"/>
      <c r="AE185" s="2515"/>
      <c r="AF185" s="2496"/>
      <c r="AG185" s="2505"/>
      <c r="AH185" s="2515"/>
    </row>
    <row r="186" spans="1:34">
      <c r="A186" s="2519">
        <v>1446</v>
      </c>
      <c r="B186" s="2514" t="s">
        <v>837</v>
      </c>
      <c r="C186" s="2496"/>
      <c r="D186" s="2530">
        <v>0.84878799999999999</v>
      </c>
      <c r="E186" s="2530">
        <v>0.59534600000000004</v>
      </c>
      <c r="F186" s="2531"/>
      <c r="G186" s="2530">
        <v>0.83989400000000003</v>
      </c>
      <c r="H186" s="2530">
        <v>0.58491400000000004</v>
      </c>
      <c r="I186" s="2496"/>
      <c r="J186" s="2517">
        <v>0.82830800000000004</v>
      </c>
      <c r="K186" s="2517">
        <v>0.57521199999999995</v>
      </c>
      <c r="L186" s="2497"/>
      <c r="M186" s="2517">
        <v>0.817604</v>
      </c>
      <c r="N186" s="2517">
        <v>0.566473</v>
      </c>
      <c r="O186" s="2532">
        <v>1.5549999999999999</v>
      </c>
      <c r="P186" s="2536"/>
      <c r="Q186" s="2517">
        <v>0.80745599999999995</v>
      </c>
      <c r="R186" s="2517">
        <v>0.55636200000000002</v>
      </c>
      <c r="S186" s="2532">
        <v>0.75</v>
      </c>
      <c r="T186" s="2496"/>
      <c r="U186" s="2496"/>
      <c r="V186" s="2496"/>
      <c r="W186" s="2520"/>
      <c r="X186" s="2515"/>
      <c r="Y186" s="2515"/>
      <c r="Z186" s="2521"/>
      <c r="AA186" s="2505"/>
      <c r="AB186" s="2515"/>
      <c r="AC186" s="2496"/>
      <c r="AD186" s="2505"/>
      <c r="AE186" s="2515"/>
      <c r="AF186" s="2496"/>
      <c r="AG186" s="2505"/>
      <c r="AH186" s="2515"/>
    </row>
    <row r="187" spans="1:34">
      <c r="A187" s="2519">
        <v>1447</v>
      </c>
      <c r="B187" s="2514" t="s">
        <v>838</v>
      </c>
      <c r="C187" s="2496"/>
      <c r="D187" s="2530">
        <v>0.84720200000000001</v>
      </c>
      <c r="E187" s="2530">
        <v>0.59861600000000004</v>
      </c>
      <c r="F187" s="2531"/>
      <c r="G187" s="2530">
        <v>0.84036</v>
      </c>
      <c r="H187" s="2530">
        <v>0.58706499999999995</v>
      </c>
      <c r="I187" s="2496"/>
      <c r="J187" s="2517">
        <v>0.83186599999999999</v>
      </c>
      <c r="K187" s="2517">
        <v>0.58037799999999995</v>
      </c>
      <c r="L187" s="2497"/>
      <c r="M187" s="2517">
        <v>0.82417399999999996</v>
      </c>
      <c r="N187" s="2517">
        <v>0.57219500000000001</v>
      </c>
      <c r="O187" s="2532" t="s">
        <v>390</v>
      </c>
      <c r="P187" s="2536"/>
      <c r="Q187" s="2517">
        <v>0.81119699999999995</v>
      </c>
      <c r="R187" s="2517">
        <v>0.56230599999999997</v>
      </c>
      <c r="S187" s="2532" t="s">
        <v>390</v>
      </c>
      <c r="T187" s="2496"/>
      <c r="U187" s="2496"/>
      <c r="V187" s="2496"/>
      <c r="W187" s="2520"/>
      <c r="X187" s="2515"/>
      <c r="Y187" s="2515"/>
      <c r="Z187" s="2521"/>
      <c r="AA187" s="2505"/>
      <c r="AB187" s="2515"/>
      <c r="AC187" s="2496"/>
      <c r="AD187" s="2505"/>
      <c r="AE187" s="2515"/>
      <c r="AF187" s="2496"/>
      <c r="AG187" s="2505"/>
      <c r="AH187" s="2515"/>
    </row>
    <row r="188" spans="1:34">
      <c r="A188" s="2519">
        <v>1452</v>
      </c>
      <c r="B188" s="2514" t="s">
        <v>839</v>
      </c>
      <c r="C188" s="2496"/>
      <c r="D188" s="2530">
        <v>0.83594999999999997</v>
      </c>
      <c r="E188" s="2530">
        <v>0.590395</v>
      </c>
      <c r="F188" s="2531"/>
      <c r="G188" s="2530">
        <v>0.82797299999999996</v>
      </c>
      <c r="H188" s="2530">
        <v>0.57804699999999998</v>
      </c>
      <c r="I188" s="2496"/>
      <c r="J188" s="2517">
        <v>0.81539600000000001</v>
      </c>
      <c r="K188" s="2517">
        <v>0.56839099999999998</v>
      </c>
      <c r="L188" s="2497"/>
      <c r="M188" s="2517">
        <v>0.80272200000000005</v>
      </c>
      <c r="N188" s="2517">
        <v>0.55918100000000004</v>
      </c>
      <c r="O188" s="2532">
        <v>2.17</v>
      </c>
      <c r="P188" s="2536"/>
      <c r="Q188" s="2517">
        <v>0.78479299999999996</v>
      </c>
      <c r="R188" s="2517">
        <v>0.55072299999999996</v>
      </c>
      <c r="S188" s="2532">
        <v>1.85</v>
      </c>
      <c r="T188" s="2496"/>
      <c r="U188" s="2496"/>
      <c r="V188" s="2496"/>
      <c r="W188" s="2520"/>
      <c r="X188" s="2515"/>
      <c r="Y188" s="2515"/>
      <c r="Z188" s="2521"/>
      <c r="AA188" s="2505"/>
      <c r="AB188" s="2515"/>
      <c r="AC188" s="2496"/>
      <c r="AD188" s="2505"/>
      <c r="AE188" s="2515"/>
      <c r="AF188" s="2496"/>
      <c r="AG188" s="2505"/>
      <c r="AH188" s="2515"/>
    </row>
    <row r="189" spans="1:34">
      <c r="A189" s="2519">
        <v>1460</v>
      </c>
      <c r="B189" s="2514" t="s">
        <v>840</v>
      </c>
      <c r="C189" s="2496"/>
      <c r="D189" s="2530">
        <v>0.84700399999999998</v>
      </c>
      <c r="E189" s="2530">
        <v>0.60600299999999996</v>
      </c>
      <c r="F189" s="2531"/>
      <c r="G189" s="2530">
        <v>0.83509900000000004</v>
      </c>
      <c r="H189" s="2530">
        <v>0.59765199999999996</v>
      </c>
      <c r="I189" s="2496"/>
      <c r="J189" s="2517">
        <v>0.82543800000000001</v>
      </c>
      <c r="K189" s="2517">
        <v>0.58726699999999998</v>
      </c>
      <c r="L189" s="2497"/>
      <c r="M189" s="2517">
        <v>0.81174500000000005</v>
      </c>
      <c r="N189" s="2517">
        <v>0.57938400000000001</v>
      </c>
      <c r="O189" s="2532">
        <v>2.59</v>
      </c>
      <c r="P189" s="2536"/>
      <c r="Q189" s="2517">
        <v>0.79942800000000003</v>
      </c>
      <c r="R189" s="2517">
        <v>0.571017</v>
      </c>
      <c r="S189" s="2532">
        <v>0.79</v>
      </c>
      <c r="T189" s="2496"/>
      <c r="U189" s="2496"/>
      <c r="V189" s="2496"/>
      <c r="W189" s="2520"/>
      <c r="X189" s="2515"/>
      <c r="Y189" s="2515"/>
      <c r="Z189" s="2521"/>
      <c r="AA189" s="2505"/>
      <c r="AB189" s="2515"/>
      <c r="AC189" s="2496"/>
      <c r="AD189" s="2505"/>
      <c r="AE189" s="2515"/>
      <c r="AF189" s="2496"/>
      <c r="AG189" s="2505"/>
      <c r="AH189" s="2515"/>
    </row>
    <row r="190" spans="1:34">
      <c r="A190" s="2519">
        <v>1461</v>
      </c>
      <c r="B190" s="2514" t="s">
        <v>841</v>
      </c>
      <c r="C190" s="2496"/>
      <c r="D190" s="2530">
        <v>0.85783500000000001</v>
      </c>
      <c r="E190" s="2530">
        <v>0.61211099999999996</v>
      </c>
      <c r="F190" s="2531"/>
      <c r="G190" s="2530">
        <v>0.85142200000000001</v>
      </c>
      <c r="H190" s="2530">
        <v>0.59984000000000004</v>
      </c>
      <c r="I190" s="2496"/>
      <c r="J190" s="2517">
        <v>0.84336299999999997</v>
      </c>
      <c r="K190" s="2517">
        <v>0.59754600000000002</v>
      </c>
      <c r="L190" s="2497"/>
      <c r="M190" s="2517">
        <v>0.83293700000000004</v>
      </c>
      <c r="N190" s="2517">
        <v>0.59032399999999996</v>
      </c>
      <c r="O190" s="2532">
        <v>1.78</v>
      </c>
      <c r="P190" s="2536"/>
      <c r="Q190" s="2517">
        <v>0.81889100000000004</v>
      </c>
      <c r="R190" s="2517">
        <v>0.57928900000000005</v>
      </c>
      <c r="S190" s="2532">
        <v>0.17</v>
      </c>
      <c r="T190" s="2496"/>
      <c r="U190" s="2496"/>
      <c r="V190" s="2496"/>
      <c r="W190" s="2520"/>
      <c r="X190" s="2515"/>
      <c r="Y190" s="2515"/>
      <c r="Z190" s="2521"/>
      <c r="AA190" s="2505"/>
      <c r="AB190" s="2515"/>
      <c r="AC190" s="2496"/>
      <c r="AD190" s="2505"/>
      <c r="AE190" s="2515"/>
      <c r="AF190" s="2496"/>
      <c r="AG190" s="2505"/>
      <c r="AH190" s="2515"/>
    </row>
    <row r="191" spans="1:34">
      <c r="A191" s="2519">
        <v>1462</v>
      </c>
      <c r="B191" s="2514" t="s">
        <v>842</v>
      </c>
      <c r="C191" s="2496"/>
      <c r="D191" s="2530">
        <v>0.84342600000000001</v>
      </c>
      <c r="E191" s="2530">
        <v>0.58924399999999999</v>
      </c>
      <c r="F191" s="2531"/>
      <c r="G191" s="2530">
        <v>0.83216500000000004</v>
      </c>
      <c r="H191" s="2530">
        <v>0.58125700000000002</v>
      </c>
      <c r="I191" s="2496"/>
      <c r="J191" s="2517">
        <v>0.82017600000000002</v>
      </c>
      <c r="K191" s="2517">
        <v>0.56796999999999997</v>
      </c>
      <c r="L191" s="2497"/>
      <c r="M191" s="2517">
        <v>0.80610700000000002</v>
      </c>
      <c r="N191" s="2517">
        <v>0.55510000000000004</v>
      </c>
      <c r="O191" s="2532">
        <v>1.5609999999999999</v>
      </c>
      <c r="P191" s="2536"/>
      <c r="Q191" s="2517">
        <v>0.79346099999999997</v>
      </c>
      <c r="R191" s="2517">
        <v>0.54730199999999996</v>
      </c>
      <c r="S191" s="2532">
        <v>0.93</v>
      </c>
      <c r="T191" s="2496"/>
      <c r="U191" s="2496"/>
      <c r="V191" s="2496"/>
      <c r="W191" s="2520"/>
      <c r="X191" s="2515"/>
      <c r="Y191" s="2515"/>
      <c r="Z191" s="2521"/>
      <c r="AA191" s="2505"/>
      <c r="AB191" s="2515"/>
      <c r="AC191" s="2496"/>
      <c r="AD191" s="2505"/>
      <c r="AE191" s="2515"/>
      <c r="AF191" s="2496"/>
      <c r="AG191" s="2505"/>
      <c r="AH191" s="2515"/>
    </row>
    <row r="192" spans="1:34">
      <c r="A192" s="2519">
        <v>1463</v>
      </c>
      <c r="B192" s="2514" t="s">
        <v>843</v>
      </c>
      <c r="C192" s="2496"/>
      <c r="D192" s="2530">
        <v>0.827345</v>
      </c>
      <c r="E192" s="2530">
        <v>0.58879199999999998</v>
      </c>
      <c r="F192" s="2531"/>
      <c r="G192" s="2530">
        <v>0.81650199999999995</v>
      </c>
      <c r="H192" s="2530">
        <v>0.57870699999999997</v>
      </c>
      <c r="I192" s="2496"/>
      <c r="J192" s="2517">
        <v>0.80392200000000003</v>
      </c>
      <c r="K192" s="2517">
        <v>0.57215800000000006</v>
      </c>
      <c r="L192" s="2497"/>
      <c r="M192" s="2517">
        <v>0.79020000000000001</v>
      </c>
      <c r="N192" s="2517">
        <v>0.56070799999999998</v>
      </c>
      <c r="O192" s="2532">
        <v>1.58</v>
      </c>
      <c r="P192" s="2536"/>
      <c r="Q192" s="2517">
        <v>0.77376500000000004</v>
      </c>
      <c r="R192" s="2517">
        <v>0.55193400000000004</v>
      </c>
      <c r="S192" s="2532">
        <v>0.87</v>
      </c>
      <c r="T192" s="2496"/>
      <c r="U192" s="2496"/>
      <c r="V192" s="2496"/>
      <c r="W192" s="2520"/>
      <c r="X192" s="2515"/>
      <c r="Y192" s="2515"/>
      <c r="Z192" s="2521"/>
      <c r="AA192" s="2505"/>
      <c r="AB192" s="2515"/>
      <c r="AC192" s="2496"/>
      <c r="AD192" s="2505"/>
      <c r="AE192" s="2515"/>
      <c r="AF192" s="2496"/>
      <c r="AG192" s="2505"/>
      <c r="AH192" s="2515"/>
    </row>
    <row r="193" spans="1:34">
      <c r="A193" s="2519">
        <v>1465</v>
      </c>
      <c r="B193" s="2514" t="s">
        <v>844</v>
      </c>
      <c r="C193" s="2496"/>
      <c r="D193" s="2530">
        <v>0.846889</v>
      </c>
      <c r="E193" s="2530">
        <v>0.59766300000000006</v>
      </c>
      <c r="F193" s="2531"/>
      <c r="G193" s="2530">
        <v>0.834839</v>
      </c>
      <c r="H193" s="2530">
        <v>0.59009800000000001</v>
      </c>
      <c r="I193" s="2496"/>
      <c r="J193" s="2517">
        <v>0.825847</v>
      </c>
      <c r="K193" s="2517">
        <v>0.58036399999999999</v>
      </c>
      <c r="L193" s="2497"/>
      <c r="M193" s="2517">
        <v>0.81545299999999998</v>
      </c>
      <c r="N193" s="2517">
        <v>0.57326200000000005</v>
      </c>
      <c r="O193" s="2532" t="s">
        <v>390</v>
      </c>
      <c r="P193" s="2536"/>
      <c r="Q193" s="2517">
        <v>0.80158399999999996</v>
      </c>
      <c r="R193" s="2517">
        <v>0.56400799999999995</v>
      </c>
      <c r="S193" s="2532">
        <v>2.23</v>
      </c>
      <c r="T193" s="2496"/>
      <c r="U193" s="2496"/>
      <c r="V193" s="2496"/>
      <c r="W193" s="2520"/>
      <c r="X193" s="2515"/>
      <c r="Y193" s="2515"/>
      <c r="Z193" s="2521"/>
      <c r="AA193" s="2505"/>
      <c r="AB193" s="2515"/>
      <c r="AC193" s="2496"/>
      <c r="AD193" s="2505"/>
      <c r="AE193" s="2515"/>
      <c r="AF193" s="2496"/>
      <c r="AG193" s="2505"/>
      <c r="AH193" s="2515"/>
    </row>
    <row r="194" spans="1:34">
      <c r="A194" s="2519">
        <v>1466</v>
      </c>
      <c r="B194" s="2514" t="s">
        <v>845</v>
      </c>
      <c r="C194" s="2496"/>
      <c r="D194" s="2530">
        <v>0.85272400000000004</v>
      </c>
      <c r="E194" s="2530">
        <v>0.60670000000000002</v>
      </c>
      <c r="F194" s="2531"/>
      <c r="G194" s="2530">
        <v>0.84409000000000001</v>
      </c>
      <c r="H194" s="2530">
        <v>0.59419900000000003</v>
      </c>
      <c r="I194" s="2496"/>
      <c r="J194" s="2517">
        <v>0.83529699999999996</v>
      </c>
      <c r="K194" s="2517">
        <v>0.58924900000000002</v>
      </c>
      <c r="L194" s="2497"/>
      <c r="M194" s="2517">
        <v>0.82405200000000001</v>
      </c>
      <c r="N194" s="2517">
        <v>0.581395</v>
      </c>
      <c r="O194" s="2532">
        <v>2.17</v>
      </c>
      <c r="P194" s="2536"/>
      <c r="Q194" s="2517">
        <v>0.81418699999999999</v>
      </c>
      <c r="R194" s="2517">
        <v>0.56985200000000003</v>
      </c>
      <c r="S194" s="2532">
        <v>0.93</v>
      </c>
      <c r="T194" s="2496"/>
      <c r="U194" s="2496"/>
      <c r="V194" s="2496"/>
      <c r="W194" s="2520"/>
      <c r="X194" s="2515"/>
      <c r="Y194" s="2515"/>
      <c r="Z194" s="2521"/>
      <c r="AA194" s="2505"/>
      <c r="AB194" s="2515"/>
      <c r="AC194" s="2496"/>
      <c r="AD194" s="2505"/>
      <c r="AE194" s="2515"/>
      <c r="AF194" s="2496"/>
      <c r="AG194" s="2505"/>
      <c r="AH194" s="2515"/>
    </row>
    <row r="195" spans="1:34">
      <c r="A195" s="2519">
        <v>1470</v>
      </c>
      <c r="B195" s="2514" t="s">
        <v>846</v>
      </c>
      <c r="C195" s="2496"/>
      <c r="D195" s="2530">
        <v>0.85218300000000002</v>
      </c>
      <c r="E195" s="2530">
        <v>0.61117900000000003</v>
      </c>
      <c r="F195" s="2531"/>
      <c r="G195" s="2530">
        <v>0.84481099999999998</v>
      </c>
      <c r="H195" s="2530">
        <v>0.59606099999999995</v>
      </c>
      <c r="I195" s="2496"/>
      <c r="J195" s="2517">
        <v>0.83540999999999999</v>
      </c>
      <c r="K195" s="2517">
        <v>0.58567100000000005</v>
      </c>
      <c r="L195" s="2497"/>
      <c r="M195" s="2517">
        <v>0.82760699999999998</v>
      </c>
      <c r="N195" s="2517">
        <v>0.57306400000000002</v>
      </c>
      <c r="O195" s="2532">
        <v>1.69</v>
      </c>
      <c r="P195" s="2536"/>
      <c r="Q195" s="2517">
        <v>0.81461600000000001</v>
      </c>
      <c r="R195" s="2517">
        <v>0.56587200000000004</v>
      </c>
      <c r="S195" s="2532">
        <v>1.29</v>
      </c>
      <c r="T195" s="2496"/>
      <c r="U195" s="2496"/>
      <c r="V195" s="2496"/>
      <c r="W195" s="2520"/>
      <c r="X195" s="2515"/>
      <c r="Y195" s="2515"/>
      <c r="Z195" s="2521"/>
      <c r="AA195" s="2505"/>
      <c r="AB195" s="2515"/>
      <c r="AC195" s="2496"/>
      <c r="AD195" s="2505"/>
      <c r="AE195" s="2515"/>
      <c r="AF195" s="2496"/>
      <c r="AG195" s="2505"/>
      <c r="AH195" s="2515"/>
    </row>
    <row r="196" spans="1:34">
      <c r="A196" s="2519">
        <v>1471</v>
      </c>
      <c r="B196" s="2514" t="s">
        <v>847</v>
      </c>
      <c r="C196" s="2496"/>
      <c r="D196" s="2530">
        <v>0.83976600000000001</v>
      </c>
      <c r="E196" s="2530">
        <v>0.613479</v>
      </c>
      <c r="F196" s="2531"/>
      <c r="G196" s="2530">
        <v>0.83088600000000001</v>
      </c>
      <c r="H196" s="2530">
        <v>0.60059200000000001</v>
      </c>
      <c r="I196" s="2496"/>
      <c r="J196" s="2517">
        <v>0.81940599999999997</v>
      </c>
      <c r="K196" s="2517">
        <v>0.58470200000000006</v>
      </c>
      <c r="L196" s="2497"/>
      <c r="M196" s="2517">
        <v>0.80725100000000005</v>
      </c>
      <c r="N196" s="2517">
        <v>0.56941799999999998</v>
      </c>
      <c r="O196" s="2532">
        <v>1.96</v>
      </c>
      <c r="P196" s="2536"/>
      <c r="Q196" s="2517">
        <v>0.79457500000000003</v>
      </c>
      <c r="R196" s="2517">
        <v>0.55440800000000001</v>
      </c>
      <c r="S196" s="2532">
        <v>1.26</v>
      </c>
      <c r="T196" s="2496"/>
      <c r="U196" s="2496"/>
      <c r="V196" s="2496"/>
      <c r="W196" s="2520"/>
      <c r="X196" s="2515"/>
      <c r="Y196" s="2515"/>
      <c r="Z196" s="2521"/>
      <c r="AA196" s="2505"/>
      <c r="AB196" s="2515"/>
      <c r="AC196" s="2496"/>
      <c r="AD196" s="2505"/>
      <c r="AE196" s="2515"/>
      <c r="AF196" s="2496"/>
      <c r="AG196" s="2505"/>
      <c r="AH196" s="2515"/>
    </row>
    <row r="197" spans="1:34">
      <c r="A197" s="2519">
        <v>1472</v>
      </c>
      <c r="B197" s="2514" t="s">
        <v>848</v>
      </c>
      <c r="C197" s="2496"/>
      <c r="D197" s="2530">
        <v>0.84287999999999996</v>
      </c>
      <c r="E197" s="2530">
        <v>0.59828400000000004</v>
      </c>
      <c r="F197" s="2531"/>
      <c r="G197" s="2530">
        <v>0.83431100000000002</v>
      </c>
      <c r="H197" s="2530">
        <v>0.58670199999999995</v>
      </c>
      <c r="I197" s="2496"/>
      <c r="J197" s="2517">
        <v>0.81896999999999998</v>
      </c>
      <c r="K197" s="2517">
        <v>0.57390200000000002</v>
      </c>
      <c r="L197" s="2497"/>
      <c r="M197" s="2517">
        <v>0.80754499999999996</v>
      </c>
      <c r="N197" s="2517">
        <v>0.56352100000000005</v>
      </c>
      <c r="O197" s="2532">
        <v>1.58</v>
      </c>
      <c r="P197" s="2536"/>
      <c r="Q197" s="2517">
        <v>0.791412</v>
      </c>
      <c r="R197" s="2517">
        <v>0.55372500000000002</v>
      </c>
      <c r="S197" s="2532">
        <v>0.65</v>
      </c>
      <c r="T197" s="2496"/>
      <c r="U197" s="2496"/>
      <c r="V197" s="2496"/>
      <c r="W197" s="2520"/>
      <c r="X197" s="2515"/>
      <c r="Y197" s="2515"/>
      <c r="Z197" s="2521"/>
      <c r="AA197" s="2505"/>
      <c r="AB197" s="2515"/>
      <c r="AC197" s="2496"/>
      <c r="AD197" s="2505"/>
      <c r="AE197" s="2515"/>
      <c r="AF197" s="2496"/>
      <c r="AG197" s="2505"/>
      <c r="AH197" s="2515"/>
    </row>
    <row r="198" spans="1:34">
      <c r="A198" s="2519">
        <v>1473</v>
      </c>
      <c r="B198" s="2514" t="s">
        <v>849</v>
      </c>
      <c r="C198" s="2496"/>
      <c r="D198" s="2530">
        <v>0.85274700000000003</v>
      </c>
      <c r="E198" s="2530">
        <v>0.60245499999999996</v>
      </c>
      <c r="F198" s="2531"/>
      <c r="G198" s="2530">
        <v>0.84353100000000003</v>
      </c>
      <c r="H198" s="2530">
        <v>0.59320899999999999</v>
      </c>
      <c r="I198" s="2496"/>
      <c r="J198" s="2517">
        <v>0.83321299999999998</v>
      </c>
      <c r="K198" s="2517">
        <v>0.58442400000000005</v>
      </c>
      <c r="L198" s="2497"/>
      <c r="M198" s="2517">
        <v>0.82393400000000006</v>
      </c>
      <c r="N198" s="2517">
        <v>0.57484900000000005</v>
      </c>
      <c r="O198" s="2532">
        <v>2.0950000000000002</v>
      </c>
      <c r="P198" s="2536"/>
      <c r="Q198" s="2517">
        <v>0.81365399999999999</v>
      </c>
      <c r="R198" s="2517">
        <v>0.56609100000000001</v>
      </c>
      <c r="S198" s="2532">
        <v>2.09</v>
      </c>
      <c r="T198" s="2496"/>
      <c r="U198" s="2496"/>
      <c r="V198" s="2496"/>
      <c r="W198" s="2520"/>
      <c r="X198" s="2515"/>
      <c r="Y198" s="2515"/>
      <c r="Z198" s="2521"/>
      <c r="AA198" s="2505"/>
      <c r="AB198" s="2515"/>
      <c r="AC198" s="2496"/>
      <c r="AD198" s="2505"/>
      <c r="AE198" s="2515"/>
      <c r="AF198" s="2496"/>
      <c r="AG198" s="2505"/>
      <c r="AH198" s="2515"/>
    </row>
    <row r="199" spans="1:34">
      <c r="A199" s="2519">
        <v>1480</v>
      </c>
      <c r="B199" s="2514" t="s">
        <v>850</v>
      </c>
      <c r="C199" s="2496"/>
      <c r="D199" s="2530">
        <v>0.80207399999999995</v>
      </c>
      <c r="E199" s="2530">
        <v>0.56778799999999996</v>
      </c>
      <c r="F199" s="2531"/>
      <c r="G199" s="2530">
        <v>0.790385</v>
      </c>
      <c r="H199" s="2530">
        <v>0.55873899999999999</v>
      </c>
      <c r="I199" s="2496"/>
      <c r="J199" s="2517">
        <v>0.77496699999999996</v>
      </c>
      <c r="K199" s="2517">
        <v>0.550346</v>
      </c>
      <c r="L199" s="2497"/>
      <c r="M199" s="2517">
        <v>0.75954600000000005</v>
      </c>
      <c r="N199" s="2517">
        <v>0.54156800000000005</v>
      </c>
      <c r="O199" s="2532">
        <v>2.0539999999999998</v>
      </c>
      <c r="P199" s="2536"/>
      <c r="Q199" s="2517">
        <v>0.74216700000000002</v>
      </c>
      <c r="R199" s="2517">
        <v>0.53243499999999999</v>
      </c>
      <c r="S199" s="2532">
        <v>1.18</v>
      </c>
      <c r="T199" s="2496"/>
      <c r="U199" s="2496"/>
      <c r="V199" s="2496"/>
      <c r="W199" s="2520"/>
      <c r="X199" s="2515"/>
      <c r="Y199" s="2515"/>
      <c r="Z199" s="2521"/>
      <c r="AA199" s="2505"/>
      <c r="AB199" s="2515"/>
      <c r="AC199" s="2496"/>
      <c r="AD199" s="2505"/>
      <c r="AE199" s="2515"/>
      <c r="AF199" s="2496"/>
      <c r="AG199" s="2505"/>
      <c r="AH199" s="2515"/>
    </row>
    <row r="200" spans="1:34">
      <c r="A200" s="2519">
        <v>1481</v>
      </c>
      <c r="B200" s="2514" t="s">
        <v>851</v>
      </c>
      <c r="C200" s="2496"/>
      <c r="D200" s="2530">
        <v>0.79399200000000003</v>
      </c>
      <c r="E200" s="2530">
        <v>0.57115800000000005</v>
      </c>
      <c r="F200" s="2531"/>
      <c r="G200" s="2530">
        <v>0.77793299999999999</v>
      </c>
      <c r="H200" s="2530">
        <v>0.55956099999999998</v>
      </c>
      <c r="I200" s="2496"/>
      <c r="J200" s="2517">
        <v>0.76020699999999997</v>
      </c>
      <c r="K200" s="2517">
        <v>0.55068099999999998</v>
      </c>
      <c r="L200" s="2497"/>
      <c r="M200" s="2517">
        <v>0.74293900000000002</v>
      </c>
      <c r="N200" s="2517">
        <v>0.54386500000000004</v>
      </c>
      <c r="O200" s="2532">
        <v>1.8580000000000001</v>
      </c>
      <c r="P200" s="2536"/>
      <c r="Q200" s="2517">
        <v>0.72039299999999995</v>
      </c>
      <c r="R200" s="2517">
        <v>0.52609799999999995</v>
      </c>
      <c r="S200" s="2532">
        <v>1.52</v>
      </c>
      <c r="T200" s="2496"/>
      <c r="U200" s="2496"/>
      <c r="V200" s="2496"/>
      <c r="W200" s="2520"/>
      <c r="X200" s="2515"/>
      <c r="Y200" s="2515"/>
      <c r="Z200" s="2521"/>
      <c r="AA200" s="2505"/>
      <c r="AB200" s="2515"/>
      <c r="AC200" s="2496"/>
      <c r="AD200" s="2505"/>
      <c r="AE200" s="2515"/>
      <c r="AF200" s="2496"/>
      <c r="AG200" s="2505"/>
      <c r="AH200" s="2515"/>
    </row>
    <row r="201" spans="1:34">
      <c r="A201" s="2519">
        <v>1482</v>
      </c>
      <c r="B201" s="2514" t="s">
        <v>852</v>
      </c>
      <c r="C201" s="2496"/>
      <c r="D201" s="2530">
        <v>0.814272</v>
      </c>
      <c r="E201" s="2530">
        <v>0.58140800000000004</v>
      </c>
      <c r="F201" s="2531"/>
      <c r="G201" s="2530">
        <v>0.80213000000000001</v>
      </c>
      <c r="H201" s="2530">
        <v>0.56974000000000002</v>
      </c>
      <c r="I201" s="2496"/>
      <c r="J201" s="2517">
        <v>0.786632</v>
      </c>
      <c r="K201" s="2517">
        <v>0.56079999999999997</v>
      </c>
      <c r="L201" s="2497"/>
      <c r="M201" s="2517">
        <v>0.77224000000000004</v>
      </c>
      <c r="N201" s="2517">
        <v>0.55254400000000004</v>
      </c>
      <c r="O201" s="2532">
        <v>1.5609999999999999</v>
      </c>
      <c r="P201" s="2536"/>
      <c r="Q201" s="2517">
        <v>0.75708799999999998</v>
      </c>
      <c r="R201" s="2517">
        <v>0.54420100000000005</v>
      </c>
      <c r="S201" s="2532">
        <v>0.92</v>
      </c>
      <c r="T201" s="2496"/>
      <c r="U201" s="2496"/>
      <c r="V201" s="2496"/>
      <c r="W201" s="2520"/>
      <c r="X201" s="2515"/>
      <c r="Y201" s="2515"/>
      <c r="Z201" s="2521"/>
      <c r="AA201" s="2505"/>
      <c r="AB201" s="2515"/>
      <c r="AC201" s="2496"/>
      <c r="AD201" s="2505"/>
      <c r="AE201" s="2515"/>
      <c r="AF201" s="2496"/>
      <c r="AG201" s="2505"/>
      <c r="AH201" s="2515"/>
    </row>
    <row r="202" spans="1:34">
      <c r="A202" s="2519">
        <v>1484</v>
      </c>
      <c r="B202" s="2514" t="s">
        <v>853</v>
      </c>
      <c r="C202" s="2496"/>
      <c r="D202" s="2530">
        <v>0.83624500000000002</v>
      </c>
      <c r="E202" s="2530">
        <v>0.57690300000000005</v>
      </c>
      <c r="F202" s="2531"/>
      <c r="G202" s="2530">
        <v>0.82717099999999999</v>
      </c>
      <c r="H202" s="2530">
        <v>0.57123999999999997</v>
      </c>
      <c r="I202" s="2496"/>
      <c r="J202" s="2517">
        <v>0.81260699999999997</v>
      </c>
      <c r="K202" s="2517">
        <v>0.56661099999999998</v>
      </c>
      <c r="L202" s="2497"/>
      <c r="M202" s="2517">
        <v>0.79970399999999997</v>
      </c>
      <c r="N202" s="2517">
        <v>0.55471099999999995</v>
      </c>
      <c r="O202" s="2532">
        <v>1.31</v>
      </c>
      <c r="P202" s="2536"/>
      <c r="Q202" s="2517">
        <v>0.78631300000000004</v>
      </c>
      <c r="R202" s="2517">
        <v>0.547126</v>
      </c>
      <c r="S202" s="2532">
        <v>1.59</v>
      </c>
      <c r="T202" s="2496"/>
      <c r="U202" s="2496"/>
      <c r="V202" s="2496"/>
      <c r="W202" s="2520"/>
      <c r="X202" s="2515"/>
      <c r="Y202" s="2515"/>
      <c r="Z202" s="2521"/>
      <c r="AA202" s="2505"/>
      <c r="AB202" s="2515"/>
      <c r="AC202" s="2496"/>
      <c r="AD202" s="2505"/>
      <c r="AE202" s="2515"/>
      <c r="AF202" s="2496"/>
      <c r="AG202" s="2505"/>
      <c r="AH202" s="2515"/>
    </row>
    <row r="203" spans="1:34">
      <c r="A203" s="2519">
        <v>1485</v>
      </c>
      <c r="B203" s="2514" t="s">
        <v>854</v>
      </c>
      <c r="C203" s="2496"/>
      <c r="D203" s="2530">
        <v>0.82687299999999997</v>
      </c>
      <c r="E203" s="2530">
        <v>0.57721800000000001</v>
      </c>
      <c r="F203" s="2531"/>
      <c r="G203" s="2530">
        <v>0.81638699999999997</v>
      </c>
      <c r="H203" s="2530">
        <v>0.56493700000000002</v>
      </c>
      <c r="I203" s="2496"/>
      <c r="J203" s="2517">
        <v>0.80305700000000002</v>
      </c>
      <c r="K203" s="2517">
        <v>0.55487399999999998</v>
      </c>
      <c r="L203" s="2497"/>
      <c r="M203" s="2517">
        <v>0.78815199999999996</v>
      </c>
      <c r="N203" s="2517">
        <v>0.54544999999999999</v>
      </c>
      <c r="O203" s="2532">
        <v>1.629</v>
      </c>
      <c r="P203" s="2536"/>
      <c r="Q203" s="2517">
        <v>0.76543099999999997</v>
      </c>
      <c r="R203" s="2517">
        <v>0.53539700000000001</v>
      </c>
      <c r="S203" s="2532">
        <v>1.23</v>
      </c>
      <c r="T203" s="2496"/>
      <c r="U203" s="2496"/>
      <c r="V203" s="2496"/>
      <c r="W203" s="2520"/>
      <c r="X203" s="2515"/>
      <c r="Y203" s="2515"/>
      <c r="Z203" s="2521"/>
      <c r="AA203" s="2505"/>
      <c r="AB203" s="2515"/>
      <c r="AC203" s="2496"/>
      <c r="AD203" s="2505"/>
      <c r="AE203" s="2515"/>
      <c r="AF203" s="2496"/>
      <c r="AG203" s="2505"/>
      <c r="AH203" s="2515"/>
    </row>
    <row r="204" spans="1:34">
      <c r="A204" s="2519">
        <v>1486</v>
      </c>
      <c r="B204" s="2514" t="s">
        <v>855</v>
      </c>
      <c r="C204" s="2496"/>
      <c r="D204" s="2530">
        <v>0.83935700000000002</v>
      </c>
      <c r="E204" s="2530">
        <v>0.605267</v>
      </c>
      <c r="F204" s="2531"/>
      <c r="G204" s="2530">
        <v>0.82829900000000001</v>
      </c>
      <c r="H204" s="2530">
        <v>0.59638500000000005</v>
      </c>
      <c r="I204" s="2496"/>
      <c r="J204" s="2517">
        <v>0.81719200000000003</v>
      </c>
      <c r="K204" s="2517">
        <v>0.58714599999999995</v>
      </c>
      <c r="L204" s="2497"/>
      <c r="M204" s="2517">
        <v>0.80311200000000005</v>
      </c>
      <c r="N204" s="2517">
        <v>0.57537300000000002</v>
      </c>
      <c r="O204" s="2532">
        <v>1.3879999999999999</v>
      </c>
      <c r="P204" s="2536"/>
      <c r="Q204" s="2517">
        <v>0.78201500000000002</v>
      </c>
      <c r="R204" s="2517">
        <v>0.56818100000000005</v>
      </c>
      <c r="S204" s="2532">
        <v>1.27</v>
      </c>
      <c r="T204" s="2496"/>
      <c r="U204" s="2496"/>
      <c r="V204" s="2496"/>
      <c r="W204" s="2520"/>
      <c r="X204" s="2515"/>
      <c r="Y204" s="2515"/>
      <c r="Z204" s="2521"/>
      <c r="AA204" s="2505"/>
      <c r="AB204" s="2515"/>
      <c r="AC204" s="2496"/>
      <c r="AD204" s="2505"/>
      <c r="AE204" s="2515"/>
      <c r="AF204" s="2496"/>
      <c r="AG204" s="2505"/>
      <c r="AH204" s="2515"/>
    </row>
    <row r="205" spans="1:34">
      <c r="A205" s="2519">
        <v>1487</v>
      </c>
      <c r="B205" s="2514" t="s">
        <v>856</v>
      </c>
      <c r="C205" s="2496"/>
      <c r="D205" s="2530">
        <v>0.83527300000000004</v>
      </c>
      <c r="E205" s="2530">
        <v>0.57157800000000003</v>
      </c>
      <c r="F205" s="2531"/>
      <c r="G205" s="2530">
        <v>0.82247499999999996</v>
      </c>
      <c r="H205" s="2530">
        <v>0.56270600000000004</v>
      </c>
      <c r="I205" s="2496"/>
      <c r="J205" s="2517">
        <v>0.81018900000000005</v>
      </c>
      <c r="K205" s="2517">
        <v>0.55862599999999996</v>
      </c>
      <c r="L205" s="2497"/>
      <c r="M205" s="2517">
        <v>0.79523999999999995</v>
      </c>
      <c r="N205" s="2517">
        <v>0.55347199999999996</v>
      </c>
      <c r="O205" s="2532">
        <v>1.6040000000000001</v>
      </c>
      <c r="P205" s="2536"/>
      <c r="Q205" s="2517">
        <v>0.77597400000000005</v>
      </c>
      <c r="R205" s="2517">
        <v>0.54384600000000005</v>
      </c>
      <c r="S205" s="2532">
        <v>0.91</v>
      </c>
      <c r="T205" s="2496"/>
      <c r="U205" s="2496"/>
      <c r="V205" s="2496"/>
      <c r="W205" s="2520"/>
      <c r="X205" s="2515"/>
      <c r="Y205" s="2515"/>
      <c r="Z205" s="2521"/>
      <c r="AA205" s="2505"/>
      <c r="AB205" s="2515"/>
      <c r="AC205" s="2496"/>
      <c r="AD205" s="2505"/>
      <c r="AE205" s="2515"/>
      <c r="AF205" s="2496"/>
      <c r="AG205" s="2505"/>
      <c r="AH205" s="2515"/>
    </row>
    <row r="206" spans="1:34">
      <c r="A206" s="2519">
        <v>1488</v>
      </c>
      <c r="B206" s="2514" t="s">
        <v>857</v>
      </c>
      <c r="C206" s="2496"/>
      <c r="D206" s="2530">
        <v>0.82773200000000002</v>
      </c>
      <c r="E206" s="2530">
        <v>0.573573</v>
      </c>
      <c r="F206" s="2531"/>
      <c r="G206" s="2530">
        <v>0.81917799999999996</v>
      </c>
      <c r="H206" s="2530">
        <v>0.56326100000000001</v>
      </c>
      <c r="I206" s="2496"/>
      <c r="J206" s="2517">
        <v>0.80407499999999998</v>
      </c>
      <c r="K206" s="2517">
        <v>0.55500400000000005</v>
      </c>
      <c r="L206" s="2497"/>
      <c r="M206" s="2517">
        <v>0.78847199999999995</v>
      </c>
      <c r="N206" s="2517">
        <v>0.54398599999999997</v>
      </c>
      <c r="O206" s="2532">
        <v>1.655</v>
      </c>
      <c r="P206" s="2536"/>
      <c r="Q206" s="2517">
        <v>0.77090899999999996</v>
      </c>
      <c r="R206" s="2517">
        <v>0.53459800000000002</v>
      </c>
      <c r="S206" s="2532">
        <v>1.1499999999999999</v>
      </c>
      <c r="T206" s="2496"/>
      <c r="U206" s="2496"/>
      <c r="V206" s="2496"/>
      <c r="W206" s="2520"/>
      <c r="X206" s="2515"/>
      <c r="Y206" s="2515"/>
      <c r="Z206" s="2521"/>
      <c r="AA206" s="2505"/>
      <c r="AB206" s="2515"/>
      <c r="AC206" s="2496"/>
      <c r="AD206" s="2505"/>
      <c r="AE206" s="2515"/>
      <c r="AF206" s="2496"/>
      <c r="AG206" s="2505"/>
      <c r="AH206" s="2515"/>
    </row>
    <row r="207" spans="1:34">
      <c r="A207" s="2519">
        <v>1489</v>
      </c>
      <c r="B207" s="2514" t="s">
        <v>858</v>
      </c>
      <c r="C207" s="2496"/>
      <c r="D207" s="2530">
        <v>0.82011599999999996</v>
      </c>
      <c r="E207" s="2530">
        <v>0.57808300000000001</v>
      </c>
      <c r="F207" s="2531"/>
      <c r="G207" s="2530">
        <v>0.80900799999999995</v>
      </c>
      <c r="H207" s="2530">
        <v>0.56823900000000005</v>
      </c>
      <c r="I207" s="2496"/>
      <c r="J207" s="2517">
        <v>0.79385099999999997</v>
      </c>
      <c r="K207" s="2517">
        <v>0.56103099999999995</v>
      </c>
      <c r="L207" s="2497"/>
      <c r="M207" s="2517">
        <v>0.77766800000000003</v>
      </c>
      <c r="N207" s="2517">
        <v>0.55069900000000005</v>
      </c>
      <c r="O207" s="2532">
        <v>1.6379999999999999</v>
      </c>
      <c r="P207" s="2536"/>
      <c r="Q207" s="2517">
        <v>0.76119499999999995</v>
      </c>
      <c r="R207" s="2517">
        <v>0.54360299999999995</v>
      </c>
      <c r="S207" s="2532">
        <v>1.22</v>
      </c>
      <c r="T207" s="2496"/>
      <c r="U207" s="2496"/>
      <c r="V207" s="2496"/>
      <c r="W207" s="2520"/>
      <c r="X207" s="2515"/>
      <c r="Y207" s="2515"/>
      <c r="Z207" s="2521"/>
      <c r="AA207" s="2505"/>
      <c r="AB207" s="2515"/>
      <c r="AC207" s="2496"/>
      <c r="AD207" s="2505"/>
      <c r="AE207" s="2515"/>
      <c r="AF207" s="2496"/>
      <c r="AG207" s="2505"/>
      <c r="AH207" s="2515"/>
    </row>
    <row r="208" spans="1:34">
      <c r="A208" s="2519">
        <v>1490</v>
      </c>
      <c r="B208" s="2514" t="s">
        <v>859</v>
      </c>
      <c r="C208" s="2496"/>
      <c r="D208" s="2530">
        <v>0.816693</v>
      </c>
      <c r="E208" s="2530">
        <v>0.57966099999999998</v>
      </c>
      <c r="F208" s="2531"/>
      <c r="G208" s="2530">
        <v>0.80128200000000005</v>
      </c>
      <c r="H208" s="2530">
        <v>0.568882</v>
      </c>
      <c r="I208" s="2496"/>
      <c r="J208" s="2517">
        <v>0.78578599999999998</v>
      </c>
      <c r="K208" s="2517">
        <v>0.55754099999999995</v>
      </c>
      <c r="L208" s="2497"/>
      <c r="M208" s="2517">
        <v>0.768652</v>
      </c>
      <c r="N208" s="2517">
        <v>0.54546799999999995</v>
      </c>
      <c r="O208" s="2532">
        <v>1.837</v>
      </c>
      <c r="P208" s="2536"/>
      <c r="Q208" s="2517">
        <v>0.75179399999999996</v>
      </c>
      <c r="R208" s="2517">
        <v>0.53854400000000002</v>
      </c>
      <c r="S208" s="2532">
        <v>1.56</v>
      </c>
      <c r="T208" s="2496"/>
      <c r="U208" s="2496"/>
      <c r="V208" s="2496"/>
      <c r="W208" s="2520"/>
      <c r="X208" s="2515"/>
      <c r="Y208" s="2515"/>
      <c r="Z208" s="2521"/>
      <c r="AA208" s="2505"/>
      <c r="AB208" s="2515"/>
      <c r="AC208" s="2496"/>
      <c r="AD208" s="2505"/>
      <c r="AE208" s="2515"/>
      <c r="AF208" s="2496"/>
      <c r="AG208" s="2505"/>
      <c r="AH208" s="2515"/>
    </row>
    <row r="209" spans="1:34">
      <c r="A209" s="2519">
        <v>1491</v>
      </c>
      <c r="B209" s="2514" t="s">
        <v>860</v>
      </c>
      <c r="C209" s="2496"/>
      <c r="D209" s="2530">
        <v>0.829758</v>
      </c>
      <c r="E209" s="2530">
        <v>0.58393399999999995</v>
      </c>
      <c r="F209" s="2531"/>
      <c r="G209" s="2530">
        <v>0.81838999999999995</v>
      </c>
      <c r="H209" s="2530">
        <v>0.57309299999999996</v>
      </c>
      <c r="I209" s="2496"/>
      <c r="J209" s="2517">
        <v>0.807589</v>
      </c>
      <c r="K209" s="2517">
        <v>0.56575500000000001</v>
      </c>
      <c r="L209" s="2497"/>
      <c r="M209" s="2517">
        <v>0.79430900000000004</v>
      </c>
      <c r="N209" s="2517">
        <v>0.55798700000000001</v>
      </c>
      <c r="O209" s="2532">
        <v>1.696</v>
      </c>
      <c r="P209" s="2536"/>
      <c r="Q209" s="2517">
        <v>0.78061599999999998</v>
      </c>
      <c r="R209" s="2517">
        <v>0.54932700000000001</v>
      </c>
      <c r="S209" s="2532">
        <v>1.37</v>
      </c>
      <c r="T209" s="2496"/>
      <c r="U209" s="2496"/>
      <c r="V209" s="2496"/>
      <c r="W209" s="2520"/>
      <c r="X209" s="2515"/>
      <c r="Y209" s="2515"/>
      <c r="Z209" s="2521"/>
      <c r="AA209" s="2505"/>
      <c r="AB209" s="2515"/>
      <c r="AC209" s="2496"/>
      <c r="AD209" s="2505"/>
      <c r="AE209" s="2515"/>
      <c r="AF209" s="2496"/>
      <c r="AG209" s="2505"/>
      <c r="AH209" s="2515"/>
    </row>
    <row r="210" spans="1:34">
      <c r="A210" s="2519">
        <v>1492</v>
      </c>
      <c r="B210" s="2514" t="s">
        <v>861</v>
      </c>
      <c r="C210" s="2496"/>
      <c r="D210" s="2530">
        <v>0.84657400000000005</v>
      </c>
      <c r="E210" s="2530">
        <v>0.60295200000000004</v>
      </c>
      <c r="F210" s="2531"/>
      <c r="G210" s="2530">
        <v>0.83549300000000004</v>
      </c>
      <c r="H210" s="2530">
        <v>0.59229900000000002</v>
      </c>
      <c r="I210" s="2496"/>
      <c r="J210" s="2517">
        <v>0.82682699999999998</v>
      </c>
      <c r="K210" s="2517">
        <v>0.580654</v>
      </c>
      <c r="L210" s="2497"/>
      <c r="M210" s="2517">
        <v>0.81621900000000003</v>
      </c>
      <c r="N210" s="2517">
        <v>0.569326</v>
      </c>
      <c r="O210" s="2532">
        <v>1.804</v>
      </c>
      <c r="P210" s="2536"/>
      <c r="Q210" s="2517">
        <v>0.80681000000000003</v>
      </c>
      <c r="R210" s="2517">
        <v>0.55683199999999999</v>
      </c>
      <c r="S210" s="2532">
        <v>0.87</v>
      </c>
      <c r="T210" s="2496"/>
      <c r="U210" s="2496"/>
      <c r="V210" s="2496"/>
      <c r="W210" s="2520"/>
      <c r="X210" s="2515"/>
      <c r="Y210" s="2515"/>
      <c r="Z210" s="2521"/>
      <c r="AA210" s="2505"/>
      <c r="AB210" s="2515"/>
      <c r="AC210" s="2496"/>
      <c r="AD210" s="2505"/>
      <c r="AE210" s="2515"/>
      <c r="AF210" s="2496"/>
      <c r="AG210" s="2505"/>
      <c r="AH210" s="2515"/>
    </row>
    <row r="211" spans="1:34">
      <c r="A211" s="2519">
        <v>1493</v>
      </c>
      <c r="B211" s="2514" t="s">
        <v>862</v>
      </c>
      <c r="C211" s="2496"/>
      <c r="D211" s="2530">
        <v>0.82796899999999996</v>
      </c>
      <c r="E211" s="2530">
        <v>0.580098</v>
      </c>
      <c r="F211" s="2531"/>
      <c r="G211" s="2530">
        <v>0.817442</v>
      </c>
      <c r="H211" s="2530">
        <v>0.56925199999999998</v>
      </c>
      <c r="I211" s="2496"/>
      <c r="J211" s="2517">
        <v>0.80836699999999995</v>
      </c>
      <c r="K211" s="2517">
        <v>0.56313199999999997</v>
      </c>
      <c r="L211" s="2497"/>
      <c r="M211" s="2517">
        <v>0.79205700000000001</v>
      </c>
      <c r="N211" s="2517">
        <v>0.54825800000000002</v>
      </c>
      <c r="O211" s="2532">
        <v>1.476</v>
      </c>
      <c r="P211" s="2536"/>
      <c r="Q211" s="2517">
        <v>0.77865499999999999</v>
      </c>
      <c r="R211" s="2517">
        <v>0.54444700000000001</v>
      </c>
      <c r="S211" s="2532">
        <v>0.49</v>
      </c>
      <c r="T211" s="2496"/>
      <c r="U211" s="2496"/>
      <c r="V211" s="2496"/>
      <c r="W211" s="2520"/>
      <c r="X211" s="2515"/>
      <c r="Y211" s="2515"/>
      <c r="Z211" s="2521"/>
      <c r="AA211" s="2505"/>
      <c r="AB211" s="2515"/>
      <c r="AC211" s="2496"/>
      <c r="AD211" s="2505"/>
      <c r="AE211" s="2515"/>
      <c r="AF211" s="2496"/>
      <c r="AG211" s="2505"/>
      <c r="AH211" s="2515"/>
    </row>
    <row r="212" spans="1:34">
      <c r="A212" s="2519">
        <v>1494</v>
      </c>
      <c r="B212" s="2514" t="s">
        <v>863</v>
      </c>
      <c r="C212" s="2496"/>
      <c r="D212" s="2530">
        <v>0.83601700000000001</v>
      </c>
      <c r="E212" s="2530">
        <v>0.593109</v>
      </c>
      <c r="F212" s="2531"/>
      <c r="G212" s="2530">
        <v>0.826345</v>
      </c>
      <c r="H212" s="2530">
        <v>0.57816900000000004</v>
      </c>
      <c r="I212" s="2496"/>
      <c r="J212" s="2517">
        <v>0.81101000000000001</v>
      </c>
      <c r="K212" s="2517">
        <v>0.57032799999999995</v>
      </c>
      <c r="L212" s="2497"/>
      <c r="M212" s="2517">
        <v>0.79777600000000004</v>
      </c>
      <c r="N212" s="2517">
        <v>0.56096199999999996</v>
      </c>
      <c r="O212" s="2532">
        <v>1.621</v>
      </c>
      <c r="P212" s="2536"/>
      <c r="Q212" s="2517">
        <v>0.780443</v>
      </c>
      <c r="R212" s="2517">
        <v>0.55234099999999997</v>
      </c>
      <c r="S212" s="2532">
        <v>1.07</v>
      </c>
      <c r="T212" s="2496"/>
      <c r="U212" s="2496"/>
      <c r="V212" s="2496"/>
      <c r="W212" s="2520"/>
      <c r="X212" s="2515"/>
      <c r="Y212" s="2515"/>
      <c r="Z212" s="2521"/>
      <c r="AA212" s="2505"/>
      <c r="AB212" s="2515"/>
      <c r="AC212" s="2496"/>
      <c r="AD212" s="2505"/>
      <c r="AE212" s="2515"/>
      <c r="AF212" s="2496"/>
      <c r="AG212" s="2505"/>
      <c r="AH212" s="2515"/>
    </row>
    <row r="213" spans="1:34">
      <c r="A213" s="2519">
        <v>1495</v>
      </c>
      <c r="B213" s="2514" t="s">
        <v>864</v>
      </c>
      <c r="C213" s="2496"/>
      <c r="D213" s="2530">
        <v>0.83307100000000001</v>
      </c>
      <c r="E213" s="2530">
        <v>0.600379</v>
      </c>
      <c r="F213" s="2531"/>
      <c r="G213" s="2530">
        <v>0.82271700000000003</v>
      </c>
      <c r="H213" s="2530">
        <v>0.59043800000000002</v>
      </c>
      <c r="I213" s="2496"/>
      <c r="J213" s="2517">
        <v>0.80931399999999998</v>
      </c>
      <c r="K213" s="2517">
        <v>0.57415000000000005</v>
      </c>
      <c r="L213" s="2497"/>
      <c r="M213" s="2517">
        <v>0.79514399999999996</v>
      </c>
      <c r="N213" s="2517">
        <v>0.56374199999999997</v>
      </c>
      <c r="O213" s="2532">
        <v>1.6759999999999999</v>
      </c>
      <c r="P213" s="2536"/>
      <c r="Q213" s="2517">
        <v>0.78026700000000004</v>
      </c>
      <c r="R213" s="2517">
        <v>0.55267699999999997</v>
      </c>
      <c r="S213" s="2532">
        <v>0.96</v>
      </c>
      <c r="T213" s="2496"/>
      <c r="U213" s="2496"/>
      <c r="V213" s="2496"/>
      <c r="W213" s="2520"/>
      <c r="X213" s="2515"/>
      <c r="Y213" s="2515"/>
      <c r="Z213" s="2521"/>
      <c r="AA213" s="2505"/>
      <c r="AB213" s="2515"/>
      <c r="AC213" s="2496"/>
      <c r="AD213" s="2505"/>
      <c r="AE213" s="2515"/>
      <c r="AF213" s="2496"/>
      <c r="AG213" s="2505"/>
      <c r="AH213" s="2515"/>
    </row>
    <row r="214" spans="1:34">
      <c r="A214" s="2519">
        <v>1496</v>
      </c>
      <c r="B214" s="2514" t="s">
        <v>865</v>
      </c>
      <c r="C214" s="2496"/>
      <c r="D214" s="2530">
        <v>0.82306400000000002</v>
      </c>
      <c r="E214" s="2530">
        <v>0.57357599999999997</v>
      </c>
      <c r="F214" s="2531"/>
      <c r="G214" s="2530">
        <v>0.81087200000000004</v>
      </c>
      <c r="H214" s="2530">
        <v>0.56551499999999999</v>
      </c>
      <c r="I214" s="2496"/>
      <c r="J214" s="2517">
        <v>0.79634099999999997</v>
      </c>
      <c r="K214" s="2517">
        <v>0.557643</v>
      </c>
      <c r="L214" s="2497"/>
      <c r="M214" s="2517">
        <v>0.78041499999999997</v>
      </c>
      <c r="N214" s="2517">
        <v>0.55009399999999997</v>
      </c>
      <c r="O214" s="2532">
        <v>1.627</v>
      </c>
      <c r="P214" s="2536"/>
      <c r="Q214" s="2517">
        <v>0.76029000000000002</v>
      </c>
      <c r="R214" s="2517">
        <v>0.54215199999999997</v>
      </c>
      <c r="S214" s="2532">
        <v>1.18</v>
      </c>
      <c r="T214" s="2496"/>
      <c r="U214" s="2496"/>
      <c r="V214" s="2496"/>
      <c r="W214" s="2520"/>
      <c r="X214" s="2515"/>
      <c r="Y214" s="2515"/>
      <c r="Z214" s="2521"/>
      <c r="AA214" s="2505"/>
      <c r="AB214" s="2515"/>
      <c r="AC214" s="2496"/>
      <c r="AD214" s="2505"/>
      <c r="AE214" s="2515"/>
      <c r="AF214" s="2496"/>
      <c r="AG214" s="2505"/>
      <c r="AH214" s="2515"/>
    </row>
    <row r="215" spans="1:34">
      <c r="A215" s="2519">
        <v>1497</v>
      </c>
      <c r="B215" s="2514" t="s">
        <v>866</v>
      </c>
      <c r="C215" s="2496"/>
      <c r="D215" s="2530">
        <v>0.85270500000000005</v>
      </c>
      <c r="E215" s="2530">
        <v>0.60558400000000001</v>
      </c>
      <c r="F215" s="2531"/>
      <c r="G215" s="2530">
        <v>0.83719399999999999</v>
      </c>
      <c r="H215" s="2530">
        <v>0.59051600000000004</v>
      </c>
      <c r="I215" s="2496"/>
      <c r="J215" s="2517">
        <v>0.82765200000000005</v>
      </c>
      <c r="K215" s="2517">
        <v>0.57889000000000002</v>
      </c>
      <c r="L215" s="2497"/>
      <c r="M215" s="2517">
        <v>0.81540999999999997</v>
      </c>
      <c r="N215" s="2517">
        <v>0.57079800000000003</v>
      </c>
      <c r="O215" s="2532">
        <v>1.53</v>
      </c>
      <c r="P215" s="2536"/>
      <c r="Q215" s="2517">
        <v>0.79994299999999996</v>
      </c>
      <c r="R215" s="2517">
        <v>0.56012499999999998</v>
      </c>
      <c r="S215" s="2532">
        <v>0.73</v>
      </c>
      <c r="T215" s="2496"/>
      <c r="U215" s="2496"/>
      <c r="V215" s="2496"/>
      <c r="W215" s="2520"/>
      <c r="X215" s="2515"/>
      <c r="Y215" s="2515"/>
      <c r="Z215" s="2521"/>
      <c r="AA215" s="2505"/>
      <c r="AB215" s="2515"/>
      <c r="AC215" s="2496"/>
      <c r="AD215" s="2505"/>
      <c r="AE215" s="2515"/>
      <c r="AF215" s="2496"/>
      <c r="AG215" s="2505"/>
      <c r="AH215" s="2515"/>
    </row>
    <row r="216" spans="1:34">
      <c r="A216" s="2519">
        <v>1498</v>
      </c>
      <c r="B216" s="2514" t="s">
        <v>867</v>
      </c>
      <c r="C216" s="2496"/>
      <c r="D216" s="2530">
        <v>0.858823</v>
      </c>
      <c r="E216" s="2530">
        <v>0.63540200000000002</v>
      </c>
      <c r="F216" s="2531"/>
      <c r="G216" s="2530">
        <v>0.85155899999999995</v>
      </c>
      <c r="H216" s="2530">
        <v>0.62407599999999996</v>
      </c>
      <c r="I216" s="2496"/>
      <c r="J216" s="2517">
        <v>0.84333899999999995</v>
      </c>
      <c r="K216" s="2517">
        <v>0.61040899999999998</v>
      </c>
      <c r="L216" s="2497"/>
      <c r="M216" s="2517">
        <v>0.83485799999999999</v>
      </c>
      <c r="N216" s="2517">
        <v>0.59706000000000004</v>
      </c>
      <c r="O216" s="2532">
        <v>2.1339999999999999</v>
      </c>
      <c r="P216" s="2536"/>
      <c r="Q216" s="2517">
        <v>0.81967100000000004</v>
      </c>
      <c r="R216" s="2517">
        <v>0.58730800000000005</v>
      </c>
      <c r="S216" s="2532">
        <v>0.88</v>
      </c>
      <c r="T216" s="2496"/>
      <c r="U216" s="2496"/>
      <c r="V216" s="2496"/>
      <c r="W216" s="2520"/>
      <c r="X216" s="2515"/>
      <c r="Y216" s="2515"/>
      <c r="Z216" s="2521"/>
      <c r="AA216" s="2505"/>
      <c r="AB216" s="2515"/>
      <c r="AC216" s="2496"/>
      <c r="AD216" s="2505"/>
      <c r="AE216" s="2515"/>
      <c r="AF216" s="2496"/>
      <c r="AG216" s="2505"/>
      <c r="AH216" s="2515"/>
    </row>
    <row r="217" spans="1:34">
      <c r="A217" s="2519">
        <v>1499</v>
      </c>
      <c r="B217" s="2514" t="s">
        <v>868</v>
      </c>
      <c r="C217" s="2496"/>
      <c r="D217" s="2530">
        <v>0.84126999999999996</v>
      </c>
      <c r="E217" s="2530">
        <v>0.59029200000000004</v>
      </c>
      <c r="F217" s="2531"/>
      <c r="G217" s="2530">
        <v>0.83166499999999999</v>
      </c>
      <c r="H217" s="2530">
        <v>0.58180299999999996</v>
      </c>
      <c r="I217" s="2496"/>
      <c r="J217" s="2517">
        <v>0.81941600000000003</v>
      </c>
      <c r="K217" s="2517">
        <v>0.57557100000000005</v>
      </c>
      <c r="L217" s="2497"/>
      <c r="M217" s="2517">
        <v>0.80741099999999999</v>
      </c>
      <c r="N217" s="2517">
        <v>0.56657199999999996</v>
      </c>
      <c r="O217" s="2532">
        <v>1.58</v>
      </c>
      <c r="P217" s="2536"/>
      <c r="Q217" s="2517">
        <v>0.79360699999999995</v>
      </c>
      <c r="R217" s="2517">
        <v>0.55786100000000005</v>
      </c>
      <c r="S217" s="2532">
        <v>1.04</v>
      </c>
      <c r="T217" s="2496"/>
      <c r="U217" s="2496"/>
      <c r="V217" s="2496"/>
      <c r="W217" s="2520"/>
      <c r="X217" s="2515"/>
      <c r="Y217" s="2515"/>
      <c r="Z217" s="2521"/>
      <c r="AA217" s="2505"/>
      <c r="AB217" s="2515"/>
      <c r="AC217" s="2496"/>
      <c r="AD217" s="2505"/>
      <c r="AE217" s="2515"/>
      <c r="AF217" s="2496"/>
      <c r="AG217" s="2505"/>
      <c r="AH217" s="2515"/>
    </row>
    <row r="218" spans="1:34">
      <c r="A218" s="2519">
        <v>1715</v>
      </c>
      <c r="B218" s="2514" t="s">
        <v>871</v>
      </c>
      <c r="C218" s="2496"/>
      <c r="D218" s="2530">
        <v>0.85991300000000004</v>
      </c>
      <c r="E218" s="2530">
        <v>0.62777499999999997</v>
      </c>
      <c r="F218" s="2531"/>
      <c r="G218" s="2530">
        <v>0.85283299999999995</v>
      </c>
      <c r="H218" s="2530">
        <v>0.617317</v>
      </c>
      <c r="I218" s="2496"/>
      <c r="J218" s="2517">
        <v>0.84329900000000002</v>
      </c>
      <c r="K218" s="2517">
        <v>0.60597500000000004</v>
      </c>
      <c r="L218" s="2497"/>
      <c r="M218" s="2517">
        <v>0.83159499999999997</v>
      </c>
      <c r="N218" s="2517">
        <v>0.59183200000000002</v>
      </c>
      <c r="O218" s="2532">
        <v>1.6020000000000001</v>
      </c>
      <c r="P218" s="2536"/>
      <c r="Q218" s="2517">
        <v>0.82159099999999996</v>
      </c>
      <c r="R218" s="2517">
        <v>0.58068799999999998</v>
      </c>
      <c r="S218" s="2532">
        <v>0.63</v>
      </c>
      <c r="T218" s="2496"/>
      <c r="U218" s="2496"/>
      <c r="V218" s="2496"/>
      <c r="W218" s="2520"/>
      <c r="X218" s="2515"/>
      <c r="Y218" s="2515"/>
      <c r="Z218" s="2521"/>
      <c r="AA218" s="2505"/>
      <c r="AB218" s="2515"/>
      <c r="AC218" s="2496"/>
      <c r="AD218" s="2505"/>
      <c r="AE218" s="2515"/>
      <c r="AF218" s="2496"/>
      <c r="AG218" s="2505"/>
      <c r="AH218" s="2515"/>
    </row>
    <row r="219" spans="1:34">
      <c r="A219" s="2519">
        <v>1730</v>
      </c>
      <c r="B219" s="2514" t="s">
        <v>872</v>
      </c>
      <c r="C219" s="2496"/>
      <c r="D219" s="2530">
        <v>0.87050499999999997</v>
      </c>
      <c r="E219" s="2530">
        <v>0.63589499999999999</v>
      </c>
      <c r="F219" s="2531"/>
      <c r="G219" s="2530">
        <v>0.86654900000000001</v>
      </c>
      <c r="H219" s="2530">
        <v>0.62864500000000001</v>
      </c>
      <c r="I219" s="2496"/>
      <c r="J219" s="2517">
        <v>0.85669200000000001</v>
      </c>
      <c r="K219" s="2517">
        <v>0.620224</v>
      </c>
      <c r="L219" s="2497"/>
      <c r="M219" s="2517">
        <v>0.84976499999999999</v>
      </c>
      <c r="N219" s="2517">
        <v>0.61290999999999995</v>
      </c>
      <c r="O219" s="2532">
        <v>1.8</v>
      </c>
      <c r="P219" s="2536"/>
      <c r="Q219" s="2517">
        <v>0.84125300000000003</v>
      </c>
      <c r="R219" s="2517">
        <v>0.60287100000000005</v>
      </c>
      <c r="S219" s="2532">
        <v>1.8</v>
      </c>
      <c r="T219" s="2496"/>
      <c r="U219" s="2496"/>
      <c r="V219" s="2496"/>
      <c r="W219" s="2520"/>
      <c r="X219" s="2515"/>
      <c r="Y219" s="2515"/>
      <c r="Z219" s="2521"/>
      <c r="AA219" s="2505"/>
      <c r="AB219" s="2515"/>
      <c r="AC219" s="2496"/>
      <c r="AD219" s="2505"/>
      <c r="AE219" s="2515"/>
      <c r="AF219" s="2496"/>
      <c r="AG219" s="2505"/>
      <c r="AH219" s="2515"/>
    </row>
    <row r="220" spans="1:34">
      <c r="A220" s="2519">
        <v>1737</v>
      </c>
      <c r="B220" s="2514" t="s">
        <v>873</v>
      </c>
      <c r="C220" s="2496"/>
      <c r="D220" s="2530">
        <v>0.86706700000000003</v>
      </c>
      <c r="E220" s="2530">
        <v>0.64013600000000004</v>
      </c>
      <c r="F220" s="2531"/>
      <c r="G220" s="2530">
        <v>0.86170400000000003</v>
      </c>
      <c r="H220" s="2530">
        <v>0.63245300000000004</v>
      </c>
      <c r="I220" s="2496"/>
      <c r="J220" s="2517">
        <v>0.85464300000000004</v>
      </c>
      <c r="K220" s="2517">
        <v>0.61751199999999995</v>
      </c>
      <c r="L220" s="2497"/>
      <c r="M220" s="2517">
        <v>0.84642499999999998</v>
      </c>
      <c r="N220" s="2517">
        <v>0.60592999999999997</v>
      </c>
      <c r="O220" s="2532">
        <v>1.54</v>
      </c>
      <c r="P220" s="2536"/>
      <c r="Q220" s="2517">
        <v>0.83944099999999999</v>
      </c>
      <c r="R220" s="2517">
        <v>0.59301899999999996</v>
      </c>
      <c r="S220" s="2532">
        <v>0.15</v>
      </c>
      <c r="T220" s="2496"/>
      <c r="U220" s="2496"/>
      <c r="V220" s="2496"/>
      <c r="W220" s="2520"/>
      <c r="X220" s="2515"/>
      <c r="Y220" s="2515"/>
      <c r="Z220" s="2521"/>
      <c r="AA220" s="2505"/>
      <c r="AB220" s="2515"/>
      <c r="AC220" s="2496"/>
      <c r="AD220" s="2505"/>
      <c r="AE220" s="2515"/>
      <c r="AF220" s="2496"/>
      <c r="AG220" s="2505"/>
      <c r="AH220" s="2515"/>
    </row>
    <row r="221" spans="1:34">
      <c r="A221" s="2519">
        <v>1760</v>
      </c>
      <c r="B221" s="2514" t="s">
        <v>874</v>
      </c>
      <c r="C221" s="2496"/>
      <c r="D221" s="2530">
        <v>0.85807199999999995</v>
      </c>
      <c r="E221" s="2530">
        <v>0.63327500000000003</v>
      </c>
      <c r="F221" s="2531"/>
      <c r="G221" s="2530">
        <v>0.85200299999999995</v>
      </c>
      <c r="H221" s="2530">
        <v>0.61980299999999999</v>
      </c>
      <c r="I221" s="2496"/>
      <c r="J221" s="2517">
        <v>0.84160800000000002</v>
      </c>
      <c r="K221" s="2517">
        <v>0.60793699999999995</v>
      </c>
      <c r="L221" s="2497"/>
      <c r="M221" s="2517">
        <v>0.828982</v>
      </c>
      <c r="N221" s="2517">
        <v>0.59556600000000004</v>
      </c>
      <c r="O221" s="2532" t="s">
        <v>390</v>
      </c>
      <c r="P221" s="2536"/>
      <c r="Q221" s="2517">
        <v>0.81603899999999996</v>
      </c>
      <c r="R221" s="2517">
        <v>0.58238299999999998</v>
      </c>
      <c r="S221" s="2532" t="s">
        <v>390</v>
      </c>
      <c r="T221" s="2496"/>
      <c r="U221" s="2496"/>
      <c r="V221" s="2496"/>
      <c r="W221" s="2520"/>
      <c r="X221" s="2515"/>
      <c r="Y221" s="2515"/>
      <c r="Z221" s="2521"/>
      <c r="AA221" s="2505"/>
      <c r="AB221" s="2515"/>
      <c r="AC221" s="2496"/>
      <c r="AD221" s="2505"/>
      <c r="AE221" s="2515"/>
      <c r="AF221" s="2496"/>
      <c r="AG221" s="2505"/>
      <c r="AH221" s="2515"/>
    </row>
    <row r="222" spans="1:34">
      <c r="A222" s="2519">
        <v>1761</v>
      </c>
      <c r="B222" s="2514" t="s">
        <v>875</v>
      </c>
      <c r="C222" s="2496"/>
      <c r="D222" s="2530">
        <v>0.83589599999999997</v>
      </c>
      <c r="E222" s="2530">
        <v>0.57864700000000002</v>
      </c>
      <c r="F222" s="2531"/>
      <c r="G222" s="2530">
        <v>0.82801599999999997</v>
      </c>
      <c r="H222" s="2530">
        <v>0.57049899999999998</v>
      </c>
      <c r="I222" s="2496"/>
      <c r="J222" s="2517">
        <v>0.81520000000000004</v>
      </c>
      <c r="K222" s="2517">
        <v>0.56355599999999995</v>
      </c>
      <c r="L222" s="2497"/>
      <c r="M222" s="2517">
        <v>0.80040800000000001</v>
      </c>
      <c r="N222" s="2517">
        <v>0.55301599999999995</v>
      </c>
      <c r="O222" s="2532">
        <v>3.28</v>
      </c>
      <c r="P222" s="2536"/>
      <c r="Q222" s="2517">
        <v>0.78325599999999995</v>
      </c>
      <c r="R222" s="2517">
        <v>0.54799699999999996</v>
      </c>
      <c r="S222" s="2532">
        <v>1.01</v>
      </c>
      <c r="T222" s="2496"/>
      <c r="U222" s="2496"/>
      <c r="V222" s="2496"/>
      <c r="W222" s="2520"/>
      <c r="X222" s="2515"/>
      <c r="Y222" s="2515"/>
      <c r="Z222" s="2521"/>
      <c r="AA222" s="2505"/>
      <c r="AB222" s="2515"/>
      <c r="AC222" s="2496"/>
      <c r="AD222" s="2505"/>
      <c r="AE222" s="2515"/>
      <c r="AF222" s="2496"/>
      <c r="AG222" s="2505"/>
      <c r="AH222" s="2515"/>
    </row>
    <row r="223" spans="1:34">
      <c r="A223" s="2519">
        <v>1762</v>
      </c>
      <c r="B223" s="2514" t="s">
        <v>876</v>
      </c>
      <c r="C223" s="2496"/>
      <c r="D223" s="2530">
        <v>0.87789700000000004</v>
      </c>
      <c r="E223" s="2530">
        <v>0.618981</v>
      </c>
      <c r="F223" s="2531"/>
      <c r="G223" s="2530">
        <v>0.87602999999999998</v>
      </c>
      <c r="H223" s="2530">
        <v>0.61201300000000003</v>
      </c>
      <c r="I223" s="2496"/>
      <c r="J223" s="2517">
        <v>0.86886799999999997</v>
      </c>
      <c r="K223" s="2517">
        <v>0.606653</v>
      </c>
      <c r="L223" s="2497"/>
      <c r="M223" s="2517">
        <v>0.86514400000000002</v>
      </c>
      <c r="N223" s="2517">
        <v>0.59352800000000006</v>
      </c>
      <c r="O223" s="2532" t="s">
        <v>390</v>
      </c>
      <c r="P223" s="2536"/>
      <c r="Q223" s="2517">
        <v>0.86157300000000003</v>
      </c>
      <c r="R223" s="2517">
        <v>0.58155800000000002</v>
      </c>
      <c r="S223" s="2532" t="s">
        <v>390</v>
      </c>
      <c r="T223" s="2496"/>
      <c r="U223" s="2496"/>
      <c r="V223" s="2496"/>
      <c r="W223" s="2520"/>
      <c r="X223" s="2515"/>
      <c r="Y223" s="2515"/>
      <c r="Z223" s="2521"/>
      <c r="AA223" s="2505"/>
      <c r="AB223" s="2515"/>
      <c r="AC223" s="2496"/>
      <c r="AD223" s="2505"/>
      <c r="AE223" s="2515"/>
      <c r="AF223" s="2496"/>
      <c r="AG223" s="2505"/>
      <c r="AH223" s="2515"/>
    </row>
    <row r="224" spans="1:34">
      <c r="A224" s="2519">
        <v>1763</v>
      </c>
      <c r="B224" s="2514" t="s">
        <v>877</v>
      </c>
      <c r="C224" s="2496"/>
      <c r="D224" s="2530">
        <v>0.85384899999999997</v>
      </c>
      <c r="E224" s="2530">
        <v>0.60672000000000004</v>
      </c>
      <c r="F224" s="2531"/>
      <c r="G224" s="2530">
        <v>0.84721199999999997</v>
      </c>
      <c r="H224" s="2530">
        <v>0.59516599999999997</v>
      </c>
      <c r="I224" s="2496"/>
      <c r="J224" s="2517">
        <v>0.836121</v>
      </c>
      <c r="K224" s="2517">
        <v>0.58069999999999999</v>
      </c>
      <c r="L224" s="2497"/>
      <c r="M224" s="2517">
        <v>0.82804199999999994</v>
      </c>
      <c r="N224" s="2517">
        <v>0.57176199999999999</v>
      </c>
      <c r="O224" s="2532">
        <v>1.78</v>
      </c>
      <c r="P224" s="2536"/>
      <c r="Q224" s="2517">
        <v>0.81598099999999996</v>
      </c>
      <c r="R224" s="2517">
        <v>0.557639</v>
      </c>
      <c r="S224" s="2532">
        <v>0.17</v>
      </c>
      <c r="T224" s="2496"/>
      <c r="U224" s="2496"/>
      <c r="V224" s="2496"/>
      <c r="W224" s="2520"/>
      <c r="X224" s="2515"/>
      <c r="Y224" s="2515"/>
      <c r="Z224" s="2521"/>
      <c r="AA224" s="2505"/>
      <c r="AB224" s="2515"/>
      <c r="AC224" s="2496"/>
      <c r="AD224" s="2505"/>
      <c r="AE224" s="2515"/>
      <c r="AF224" s="2496"/>
      <c r="AG224" s="2505"/>
      <c r="AH224" s="2515"/>
    </row>
    <row r="225" spans="1:34">
      <c r="A225" s="2519">
        <v>1764</v>
      </c>
      <c r="B225" s="2514" t="s">
        <v>878</v>
      </c>
      <c r="C225" s="2496"/>
      <c r="D225" s="2530">
        <v>0.86039399999999999</v>
      </c>
      <c r="E225" s="2530">
        <v>0.60546100000000003</v>
      </c>
      <c r="F225" s="2531"/>
      <c r="G225" s="2530">
        <v>0.85295600000000005</v>
      </c>
      <c r="H225" s="2530">
        <v>0.59265500000000004</v>
      </c>
      <c r="I225" s="2496"/>
      <c r="J225" s="2517">
        <v>0.845634</v>
      </c>
      <c r="K225" s="2517">
        <v>0.58510200000000001</v>
      </c>
      <c r="L225" s="2497"/>
      <c r="M225" s="2517">
        <v>0.83584700000000001</v>
      </c>
      <c r="N225" s="2517">
        <v>0.57989299999999999</v>
      </c>
      <c r="O225" s="2532">
        <v>2.1850000000000001</v>
      </c>
      <c r="P225" s="2536"/>
      <c r="Q225" s="2517">
        <v>0.82273499999999999</v>
      </c>
      <c r="R225" s="2517">
        <v>0.57225899999999996</v>
      </c>
      <c r="S225" s="2532">
        <v>0.64</v>
      </c>
      <c r="T225" s="2496"/>
      <c r="U225" s="2496"/>
      <c r="V225" s="2496"/>
      <c r="W225" s="2520"/>
      <c r="X225" s="2515"/>
      <c r="Y225" s="2515"/>
      <c r="Z225" s="2521"/>
      <c r="AA225" s="2505"/>
      <c r="AB225" s="2515"/>
      <c r="AC225" s="2496"/>
      <c r="AD225" s="2505"/>
      <c r="AE225" s="2515"/>
      <c r="AF225" s="2496"/>
      <c r="AG225" s="2505"/>
      <c r="AH225" s="2515"/>
    </row>
    <row r="226" spans="1:34">
      <c r="A226" s="2519">
        <v>1765</v>
      </c>
      <c r="B226" s="2514" t="s">
        <v>879</v>
      </c>
      <c r="C226" s="2496"/>
      <c r="D226" s="2530">
        <v>0.87270000000000003</v>
      </c>
      <c r="E226" s="2530">
        <v>0.63643400000000006</v>
      </c>
      <c r="F226" s="2531"/>
      <c r="G226" s="2530">
        <v>0.86469300000000004</v>
      </c>
      <c r="H226" s="2530">
        <v>0.62263100000000005</v>
      </c>
      <c r="I226" s="2496"/>
      <c r="J226" s="2517">
        <v>0.85296400000000006</v>
      </c>
      <c r="K226" s="2517">
        <v>0.61082000000000003</v>
      </c>
      <c r="L226" s="2497"/>
      <c r="M226" s="2517">
        <v>0.84321999999999997</v>
      </c>
      <c r="N226" s="2517">
        <v>0.59997</v>
      </c>
      <c r="O226" s="2532">
        <v>2.59</v>
      </c>
      <c r="P226" s="2536"/>
      <c r="Q226" s="2517">
        <v>0.83194000000000001</v>
      </c>
      <c r="R226" s="2517">
        <v>0.59286000000000005</v>
      </c>
      <c r="S226" s="2532">
        <v>0.26</v>
      </c>
      <c r="T226" s="2496"/>
      <c r="U226" s="2496"/>
      <c r="V226" s="2496"/>
      <c r="W226" s="2520"/>
      <c r="X226" s="2515"/>
      <c r="Y226" s="2515"/>
      <c r="Z226" s="2521"/>
      <c r="AA226" s="2505"/>
      <c r="AB226" s="2515"/>
      <c r="AC226" s="2496"/>
      <c r="AD226" s="2505"/>
      <c r="AE226" s="2515"/>
      <c r="AF226" s="2496"/>
      <c r="AG226" s="2505"/>
      <c r="AH226" s="2515"/>
    </row>
    <row r="227" spans="1:34">
      <c r="A227" s="2519">
        <v>1766</v>
      </c>
      <c r="B227" s="2514" t="s">
        <v>880</v>
      </c>
      <c r="C227" s="2496"/>
      <c r="D227" s="2530">
        <v>0.86729299999999998</v>
      </c>
      <c r="E227" s="2530">
        <v>0.628139</v>
      </c>
      <c r="F227" s="2531"/>
      <c r="G227" s="2530">
        <v>0.86103700000000005</v>
      </c>
      <c r="H227" s="2530">
        <v>0.62047200000000002</v>
      </c>
      <c r="I227" s="2496"/>
      <c r="J227" s="2517">
        <v>0.85495399999999999</v>
      </c>
      <c r="K227" s="2517">
        <v>0.60765199999999997</v>
      </c>
      <c r="L227" s="2497"/>
      <c r="M227" s="2517">
        <v>0.84572599999999998</v>
      </c>
      <c r="N227" s="2517">
        <v>0.59414199999999995</v>
      </c>
      <c r="O227" s="2532">
        <v>1.62</v>
      </c>
      <c r="P227" s="2536"/>
      <c r="Q227" s="2517">
        <v>0.83637600000000001</v>
      </c>
      <c r="R227" s="2517">
        <v>0.58165500000000003</v>
      </c>
      <c r="S227" s="2532">
        <v>0.45</v>
      </c>
      <c r="T227" s="2496"/>
      <c r="U227" s="2496"/>
      <c r="V227" s="2496"/>
      <c r="W227" s="2520"/>
      <c r="X227" s="2515"/>
      <c r="Y227" s="2515"/>
      <c r="Z227" s="2521"/>
      <c r="AA227" s="2505"/>
      <c r="AB227" s="2515"/>
      <c r="AC227" s="2496"/>
      <c r="AD227" s="2505"/>
      <c r="AE227" s="2515"/>
      <c r="AF227" s="2496"/>
      <c r="AG227" s="2505"/>
      <c r="AH227" s="2515"/>
    </row>
    <row r="228" spans="1:34">
      <c r="A228" s="2519">
        <v>1780</v>
      </c>
      <c r="B228" s="2514" t="s">
        <v>881</v>
      </c>
      <c r="C228" s="2496"/>
      <c r="D228" s="2530">
        <v>0.83534299999999995</v>
      </c>
      <c r="E228" s="2530">
        <v>0.59162300000000001</v>
      </c>
      <c r="F228" s="2531"/>
      <c r="G228" s="2530">
        <v>0.82505799999999996</v>
      </c>
      <c r="H228" s="2530">
        <v>0.58113700000000001</v>
      </c>
      <c r="I228" s="2496"/>
      <c r="J228" s="2517">
        <v>0.81235999999999997</v>
      </c>
      <c r="K228" s="2517">
        <v>0.57041200000000003</v>
      </c>
      <c r="L228" s="2497"/>
      <c r="M228" s="2517">
        <v>0.79861300000000002</v>
      </c>
      <c r="N228" s="2517">
        <v>0.55952000000000002</v>
      </c>
      <c r="O228" s="2532">
        <v>1.5429999999999999</v>
      </c>
      <c r="P228" s="2536"/>
      <c r="Q228" s="2517">
        <v>0.78005899999999995</v>
      </c>
      <c r="R228" s="2517">
        <v>0.54875300000000005</v>
      </c>
      <c r="S228" s="2532">
        <v>1.2</v>
      </c>
      <c r="T228" s="2496"/>
      <c r="U228" s="2496"/>
      <c r="V228" s="2496"/>
      <c r="W228" s="2520"/>
      <c r="X228" s="2515"/>
      <c r="Y228" s="2515"/>
      <c r="Z228" s="2521"/>
      <c r="AA228" s="2505"/>
      <c r="AB228" s="2515"/>
      <c r="AC228" s="2496"/>
      <c r="AD228" s="2505"/>
      <c r="AE228" s="2515"/>
      <c r="AF228" s="2496"/>
      <c r="AG228" s="2505"/>
      <c r="AH228" s="2515"/>
    </row>
    <row r="229" spans="1:34">
      <c r="A229" s="2519">
        <v>1781</v>
      </c>
      <c r="B229" s="2514" t="s">
        <v>882</v>
      </c>
      <c r="C229" s="2496"/>
      <c r="D229" s="2530">
        <v>0.83563600000000005</v>
      </c>
      <c r="E229" s="2530">
        <v>0.59582299999999999</v>
      </c>
      <c r="F229" s="2531"/>
      <c r="G229" s="2530">
        <v>0.82553900000000002</v>
      </c>
      <c r="H229" s="2530">
        <v>0.58431699999999998</v>
      </c>
      <c r="I229" s="2496"/>
      <c r="J229" s="2517">
        <v>0.81331600000000004</v>
      </c>
      <c r="K229" s="2517">
        <v>0.572357</v>
      </c>
      <c r="L229" s="2497"/>
      <c r="M229" s="2517">
        <v>0.80070600000000003</v>
      </c>
      <c r="N229" s="2517">
        <v>0.56214299999999995</v>
      </c>
      <c r="O229" s="2532">
        <v>1.8149999999999999</v>
      </c>
      <c r="P229" s="2536"/>
      <c r="Q229" s="2517">
        <v>0.78598299999999999</v>
      </c>
      <c r="R229" s="2517">
        <v>0.55115000000000003</v>
      </c>
      <c r="S229" s="2532">
        <v>0.9</v>
      </c>
      <c r="T229" s="2496"/>
      <c r="U229" s="2496"/>
      <c r="V229" s="2496"/>
      <c r="W229" s="2520"/>
      <c r="X229" s="2515"/>
      <c r="Y229" s="2515"/>
      <c r="Z229" s="2521"/>
      <c r="AA229" s="2505"/>
      <c r="AB229" s="2515"/>
      <c r="AC229" s="2496"/>
      <c r="AD229" s="2505"/>
      <c r="AE229" s="2515"/>
      <c r="AF229" s="2496"/>
      <c r="AG229" s="2505"/>
      <c r="AH229" s="2515"/>
    </row>
    <row r="230" spans="1:34">
      <c r="A230" s="2519">
        <v>1782</v>
      </c>
      <c r="B230" s="2514" t="s">
        <v>883</v>
      </c>
      <c r="C230" s="2496"/>
      <c r="D230" s="2530">
        <v>0.86084899999999998</v>
      </c>
      <c r="E230" s="2530">
        <v>0.62898100000000001</v>
      </c>
      <c r="F230" s="2531"/>
      <c r="G230" s="2530">
        <v>0.85514100000000004</v>
      </c>
      <c r="H230" s="2530">
        <v>0.614819</v>
      </c>
      <c r="I230" s="2496"/>
      <c r="J230" s="2517">
        <v>0.84541699999999997</v>
      </c>
      <c r="K230" s="2517">
        <v>0.60606099999999996</v>
      </c>
      <c r="L230" s="2497"/>
      <c r="M230" s="2517">
        <v>0.83687699999999998</v>
      </c>
      <c r="N230" s="2517">
        <v>0.59920899999999999</v>
      </c>
      <c r="O230" s="2532" t="s">
        <v>390</v>
      </c>
      <c r="P230" s="2536"/>
      <c r="Q230" s="2517">
        <v>0.82702100000000001</v>
      </c>
      <c r="R230" s="2517">
        <v>0.58718899999999996</v>
      </c>
      <c r="S230" s="2532">
        <v>2.2200000000000002</v>
      </c>
      <c r="T230" s="2496"/>
      <c r="U230" s="2496"/>
      <c r="V230" s="2496"/>
      <c r="W230" s="2520"/>
      <c r="X230" s="2515"/>
      <c r="Y230" s="2515"/>
      <c r="Z230" s="2521"/>
      <c r="AA230" s="2505"/>
      <c r="AB230" s="2515"/>
      <c r="AC230" s="2496"/>
      <c r="AD230" s="2505"/>
      <c r="AE230" s="2515"/>
      <c r="AF230" s="2496"/>
      <c r="AG230" s="2505"/>
      <c r="AH230" s="2515"/>
    </row>
    <row r="231" spans="1:34">
      <c r="A231" s="2519">
        <v>1783</v>
      </c>
      <c r="B231" s="2514" t="s">
        <v>884</v>
      </c>
      <c r="C231" s="2496"/>
      <c r="D231" s="2530">
        <v>0.86645099999999997</v>
      </c>
      <c r="E231" s="2530">
        <v>0.62410500000000002</v>
      </c>
      <c r="F231" s="2531"/>
      <c r="G231" s="2530">
        <v>0.86090800000000001</v>
      </c>
      <c r="H231" s="2530">
        <v>0.61342200000000002</v>
      </c>
      <c r="I231" s="2496"/>
      <c r="J231" s="2517">
        <v>0.85482400000000003</v>
      </c>
      <c r="K231" s="2517">
        <v>0.5988</v>
      </c>
      <c r="L231" s="2497"/>
      <c r="M231" s="2517">
        <v>0.84627200000000002</v>
      </c>
      <c r="N231" s="2517">
        <v>0.58651299999999995</v>
      </c>
      <c r="O231" s="2532">
        <v>1.9750000000000001</v>
      </c>
      <c r="P231" s="2536"/>
      <c r="Q231" s="2517">
        <v>0.83498000000000006</v>
      </c>
      <c r="R231" s="2517">
        <v>0.578712</v>
      </c>
      <c r="S231" s="2532">
        <v>1.17</v>
      </c>
      <c r="T231" s="2496"/>
      <c r="U231" s="2496"/>
      <c r="V231" s="2496"/>
      <c r="W231" s="2520"/>
      <c r="X231" s="2515"/>
      <c r="Y231" s="2515"/>
      <c r="Z231" s="2521"/>
      <c r="AA231" s="2505"/>
      <c r="AB231" s="2515"/>
      <c r="AC231" s="2496"/>
      <c r="AD231" s="2505"/>
      <c r="AE231" s="2515"/>
      <c r="AF231" s="2496"/>
      <c r="AG231" s="2505"/>
      <c r="AH231" s="2515"/>
    </row>
    <row r="232" spans="1:34">
      <c r="A232" s="2519">
        <v>1784</v>
      </c>
      <c r="B232" s="2514" t="s">
        <v>885</v>
      </c>
      <c r="C232" s="2496"/>
      <c r="D232" s="2530">
        <v>0.85464799999999996</v>
      </c>
      <c r="E232" s="2530">
        <v>0.62124800000000002</v>
      </c>
      <c r="F232" s="2531"/>
      <c r="G232" s="2530">
        <v>0.84790399999999999</v>
      </c>
      <c r="H232" s="2530">
        <v>0.60987899999999995</v>
      </c>
      <c r="I232" s="2496"/>
      <c r="J232" s="2517">
        <v>0.83856299999999995</v>
      </c>
      <c r="K232" s="2517">
        <v>0.59997699999999998</v>
      </c>
      <c r="L232" s="2497"/>
      <c r="M232" s="2517">
        <v>0.82921800000000001</v>
      </c>
      <c r="N232" s="2517">
        <v>0.587897</v>
      </c>
      <c r="O232" s="2532">
        <v>1.552</v>
      </c>
      <c r="P232" s="2536"/>
      <c r="Q232" s="2517">
        <v>0.81754599999999999</v>
      </c>
      <c r="R232" s="2517">
        <v>0.57768200000000003</v>
      </c>
      <c r="S232" s="2532">
        <v>1.07</v>
      </c>
      <c r="T232" s="2496"/>
      <c r="U232" s="2496"/>
      <c r="V232" s="2496"/>
      <c r="W232" s="2520"/>
      <c r="X232" s="2515"/>
      <c r="Y232" s="2515"/>
      <c r="Z232" s="2521"/>
      <c r="AA232" s="2505"/>
      <c r="AB232" s="2515"/>
      <c r="AC232" s="2496"/>
      <c r="AD232" s="2505"/>
      <c r="AE232" s="2515"/>
      <c r="AF232" s="2496"/>
      <c r="AG232" s="2505"/>
      <c r="AH232" s="2515"/>
    </row>
    <row r="233" spans="1:34">
      <c r="A233" s="2519">
        <v>1785</v>
      </c>
      <c r="B233" s="2514" t="s">
        <v>886</v>
      </c>
      <c r="C233" s="2496"/>
      <c r="D233" s="2530">
        <v>0.85309999999999997</v>
      </c>
      <c r="E233" s="2530">
        <v>0.61365599999999998</v>
      </c>
      <c r="F233" s="2531"/>
      <c r="G233" s="2530">
        <v>0.84414599999999995</v>
      </c>
      <c r="H233" s="2530">
        <v>0.60380800000000001</v>
      </c>
      <c r="I233" s="2496"/>
      <c r="J233" s="2517">
        <v>0.83377000000000001</v>
      </c>
      <c r="K233" s="2517">
        <v>0.59274199999999999</v>
      </c>
      <c r="L233" s="2497"/>
      <c r="M233" s="2517">
        <v>0.82165299999999997</v>
      </c>
      <c r="N233" s="2517">
        <v>0.58058500000000002</v>
      </c>
      <c r="O233" s="2532" t="s">
        <v>390</v>
      </c>
      <c r="P233" s="2536"/>
      <c r="Q233" s="2517">
        <v>0.81035100000000004</v>
      </c>
      <c r="R233" s="2517">
        <v>0.57113899999999995</v>
      </c>
      <c r="S233" s="2532">
        <v>0.16</v>
      </c>
      <c r="T233" s="2496"/>
      <c r="U233" s="2496"/>
      <c r="V233" s="2496"/>
      <c r="W233" s="2520"/>
      <c r="X233" s="2515"/>
      <c r="Y233" s="2515"/>
      <c r="Z233" s="2521"/>
      <c r="AA233" s="2505"/>
      <c r="AB233" s="2515"/>
      <c r="AC233" s="2496"/>
      <c r="AD233" s="2505"/>
      <c r="AE233" s="2515"/>
      <c r="AF233" s="2496"/>
      <c r="AG233" s="2505"/>
      <c r="AH233" s="2515"/>
    </row>
    <row r="234" spans="1:34">
      <c r="A234" s="2519">
        <v>1814</v>
      </c>
      <c r="B234" s="2514" t="s">
        <v>889</v>
      </c>
      <c r="C234" s="2496"/>
      <c r="D234" s="2530">
        <v>0.86255499999999996</v>
      </c>
      <c r="E234" s="2530">
        <v>0.60866299999999995</v>
      </c>
      <c r="F234" s="2531"/>
      <c r="G234" s="2530">
        <v>0.85481300000000005</v>
      </c>
      <c r="H234" s="2530">
        <v>0.60326999999999997</v>
      </c>
      <c r="I234" s="2496"/>
      <c r="J234" s="2517">
        <v>0.84588600000000003</v>
      </c>
      <c r="K234" s="2517">
        <v>0.59041299999999997</v>
      </c>
      <c r="L234" s="2497"/>
      <c r="M234" s="2517">
        <v>0.83923700000000001</v>
      </c>
      <c r="N234" s="2517">
        <v>0.57902299999999995</v>
      </c>
      <c r="O234" s="2532">
        <v>1.64</v>
      </c>
      <c r="P234" s="2536"/>
      <c r="Q234" s="2517">
        <v>0.82533199999999995</v>
      </c>
      <c r="R234" s="2517">
        <v>0.56800600000000001</v>
      </c>
      <c r="S234" s="2532">
        <v>1.06</v>
      </c>
      <c r="T234" s="2496"/>
      <c r="U234" s="2496"/>
      <c r="V234" s="2496"/>
      <c r="W234" s="2520"/>
      <c r="X234" s="2515"/>
      <c r="Y234" s="2515"/>
      <c r="Z234" s="2521"/>
      <c r="AA234" s="2505"/>
      <c r="AB234" s="2515"/>
      <c r="AC234" s="2496"/>
      <c r="AD234" s="2505"/>
      <c r="AE234" s="2515"/>
      <c r="AF234" s="2496"/>
      <c r="AG234" s="2505"/>
      <c r="AH234" s="2515"/>
    </row>
    <row r="235" spans="1:34">
      <c r="A235" s="2519">
        <v>1860</v>
      </c>
      <c r="B235" s="2514" t="s">
        <v>890</v>
      </c>
      <c r="C235" s="2496"/>
      <c r="D235" s="2530">
        <v>0.85523400000000005</v>
      </c>
      <c r="E235" s="2530">
        <v>0.59295699999999996</v>
      </c>
      <c r="F235" s="2531"/>
      <c r="G235" s="2530">
        <v>0.84507900000000002</v>
      </c>
      <c r="H235" s="2530">
        <v>0.58485900000000002</v>
      </c>
      <c r="I235" s="2496"/>
      <c r="J235" s="2517">
        <v>0.83389800000000003</v>
      </c>
      <c r="K235" s="2517">
        <v>0.57891300000000001</v>
      </c>
      <c r="L235" s="2497"/>
      <c r="M235" s="2517">
        <v>0.82428199999999996</v>
      </c>
      <c r="N235" s="2517">
        <v>0.56967000000000001</v>
      </c>
      <c r="O235" s="2532">
        <v>1.49</v>
      </c>
      <c r="P235" s="2536"/>
      <c r="Q235" s="2517">
        <v>0.81354800000000005</v>
      </c>
      <c r="R235" s="2517">
        <v>0.56195399999999995</v>
      </c>
      <c r="S235" s="2532">
        <v>1.29</v>
      </c>
      <c r="T235" s="2496"/>
      <c r="U235" s="2496"/>
      <c r="V235" s="2496"/>
      <c r="W235" s="2520"/>
      <c r="X235" s="2515"/>
      <c r="Y235" s="2515"/>
      <c r="Z235" s="2521"/>
      <c r="AA235" s="2505"/>
      <c r="AB235" s="2515"/>
      <c r="AC235" s="2496"/>
      <c r="AD235" s="2505"/>
      <c r="AE235" s="2515"/>
      <c r="AF235" s="2496"/>
      <c r="AG235" s="2505"/>
      <c r="AH235" s="2515"/>
    </row>
    <row r="236" spans="1:34">
      <c r="A236" s="2519">
        <v>1861</v>
      </c>
      <c r="B236" s="2514" t="s">
        <v>891</v>
      </c>
      <c r="C236" s="2496"/>
      <c r="D236" s="2530">
        <v>0.858101</v>
      </c>
      <c r="E236" s="2530">
        <v>0.61023300000000003</v>
      </c>
      <c r="F236" s="2531"/>
      <c r="G236" s="2530">
        <v>0.849109</v>
      </c>
      <c r="H236" s="2530">
        <v>0.59863</v>
      </c>
      <c r="I236" s="2496"/>
      <c r="J236" s="2517">
        <v>0.83991499999999997</v>
      </c>
      <c r="K236" s="2517">
        <v>0.58905099999999999</v>
      </c>
      <c r="L236" s="2497"/>
      <c r="M236" s="2517">
        <v>0.83122600000000002</v>
      </c>
      <c r="N236" s="2517">
        <v>0.57627600000000001</v>
      </c>
      <c r="O236" s="2532" t="s">
        <v>390</v>
      </c>
      <c r="P236" s="2536"/>
      <c r="Q236" s="2517">
        <v>0.81961700000000004</v>
      </c>
      <c r="R236" s="2517">
        <v>0.56359400000000004</v>
      </c>
      <c r="S236" s="2532">
        <v>1.65</v>
      </c>
      <c r="T236" s="2496"/>
      <c r="U236" s="2496"/>
      <c r="V236" s="2496"/>
      <c r="W236" s="2520"/>
      <c r="X236" s="2515"/>
      <c r="Y236" s="2515"/>
      <c r="Z236" s="2521"/>
      <c r="AA236" s="2505"/>
      <c r="AB236" s="2515"/>
      <c r="AC236" s="2496"/>
      <c r="AD236" s="2505"/>
      <c r="AE236" s="2515"/>
      <c r="AF236" s="2496"/>
      <c r="AG236" s="2505"/>
      <c r="AH236" s="2515"/>
    </row>
    <row r="237" spans="1:34">
      <c r="A237" s="2519">
        <v>1862</v>
      </c>
      <c r="B237" s="2514" t="s">
        <v>892</v>
      </c>
      <c r="C237" s="2496"/>
      <c r="D237" s="2530">
        <v>0.85235499999999997</v>
      </c>
      <c r="E237" s="2530">
        <v>0.59814800000000001</v>
      </c>
      <c r="F237" s="2531"/>
      <c r="G237" s="2530">
        <v>0.84284499999999996</v>
      </c>
      <c r="H237" s="2530">
        <v>0.58451200000000003</v>
      </c>
      <c r="I237" s="2496"/>
      <c r="J237" s="2517">
        <v>0.83353600000000005</v>
      </c>
      <c r="K237" s="2517">
        <v>0.57640000000000002</v>
      </c>
      <c r="L237" s="2497"/>
      <c r="M237" s="2517">
        <v>0.82246399999999997</v>
      </c>
      <c r="N237" s="2517">
        <v>0.56929399999999997</v>
      </c>
      <c r="O237" s="2532" t="s">
        <v>390</v>
      </c>
      <c r="P237" s="2536"/>
      <c r="Q237" s="2517">
        <v>0.80806699999999998</v>
      </c>
      <c r="R237" s="2517">
        <v>0.56615099999999996</v>
      </c>
      <c r="S237" s="2532" t="s">
        <v>390</v>
      </c>
      <c r="T237" s="2496"/>
      <c r="U237" s="2496"/>
      <c r="V237" s="2496"/>
      <c r="W237" s="2520"/>
      <c r="X237" s="2515"/>
      <c r="Y237" s="2515"/>
      <c r="Z237" s="2521"/>
      <c r="AA237" s="2505"/>
      <c r="AB237" s="2515"/>
      <c r="AC237" s="2496"/>
      <c r="AD237" s="2505"/>
      <c r="AE237" s="2515"/>
      <c r="AF237" s="2496"/>
      <c r="AG237" s="2505"/>
      <c r="AH237" s="2515"/>
    </row>
    <row r="238" spans="1:34">
      <c r="A238" s="2519">
        <v>1863</v>
      </c>
      <c r="B238" s="2514" t="s">
        <v>893</v>
      </c>
      <c r="C238" s="2496"/>
      <c r="D238" s="2530">
        <v>0.85032700000000006</v>
      </c>
      <c r="E238" s="2530">
        <v>0.60265999999999997</v>
      </c>
      <c r="F238" s="2531"/>
      <c r="G238" s="2530">
        <v>0.84243299999999999</v>
      </c>
      <c r="H238" s="2530">
        <v>0.603939</v>
      </c>
      <c r="I238" s="2496"/>
      <c r="J238" s="2517">
        <v>0.83224399999999998</v>
      </c>
      <c r="K238" s="2517">
        <v>0.59565400000000002</v>
      </c>
      <c r="L238" s="2497"/>
      <c r="M238" s="2517">
        <v>0.82538199999999995</v>
      </c>
      <c r="N238" s="2517">
        <v>0.58882100000000004</v>
      </c>
      <c r="O238" s="2532">
        <v>1.48</v>
      </c>
      <c r="P238" s="2536"/>
      <c r="Q238" s="2517">
        <v>0.81264199999999998</v>
      </c>
      <c r="R238" s="2517">
        <v>0.57775500000000002</v>
      </c>
      <c r="S238" s="2532">
        <v>0.14000000000000001</v>
      </c>
      <c r="T238" s="2496"/>
      <c r="U238" s="2496"/>
      <c r="V238" s="2496"/>
      <c r="W238" s="2520"/>
      <c r="X238" s="2515"/>
      <c r="Y238" s="2515"/>
      <c r="Z238" s="2521"/>
      <c r="AA238" s="2505"/>
      <c r="AB238" s="2515"/>
      <c r="AC238" s="2496"/>
      <c r="AD238" s="2505"/>
      <c r="AE238" s="2515"/>
      <c r="AF238" s="2496"/>
      <c r="AG238" s="2505"/>
      <c r="AH238" s="2515"/>
    </row>
    <row r="239" spans="1:34">
      <c r="A239" s="2519">
        <v>1864</v>
      </c>
      <c r="B239" s="2514" t="s">
        <v>894</v>
      </c>
      <c r="C239" s="2496"/>
      <c r="D239" s="2530">
        <v>0.86996700000000005</v>
      </c>
      <c r="E239" s="2530">
        <v>0.62013300000000005</v>
      </c>
      <c r="F239" s="2531"/>
      <c r="G239" s="2530">
        <v>0.85884099999999997</v>
      </c>
      <c r="H239" s="2530">
        <v>0.60955400000000004</v>
      </c>
      <c r="I239" s="2496"/>
      <c r="J239" s="2517">
        <v>0.85308200000000001</v>
      </c>
      <c r="K239" s="2517">
        <v>0.60123199999999999</v>
      </c>
      <c r="L239" s="2497"/>
      <c r="M239" s="2517">
        <v>0.84494800000000003</v>
      </c>
      <c r="N239" s="2517">
        <v>0.594804</v>
      </c>
      <c r="O239" s="2532" t="s">
        <v>390</v>
      </c>
      <c r="P239" s="2536"/>
      <c r="Q239" s="2517">
        <v>0.84304800000000002</v>
      </c>
      <c r="R239" s="2517">
        <v>0.58580699999999997</v>
      </c>
      <c r="S239" s="2532" t="s">
        <v>390</v>
      </c>
      <c r="T239" s="2496"/>
      <c r="U239" s="2496"/>
      <c r="V239" s="2496"/>
      <c r="W239" s="2520"/>
      <c r="X239" s="2515"/>
      <c r="Y239" s="2515"/>
      <c r="Z239" s="2521"/>
      <c r="AA239" s="2505"/>
      <c r="AB239" s="2515"/>
      <c r="AC239" s="2496"/>
      <c r="AD239" s="2505"/>
      <c r="AE239" s="2515"/>
      <c r="AF239" s="2496"/>
      <c r="AG239" s="2505"/>
      <c r="AH239" s="2515"/>
    </row>
    <row r="240" spans="1:34">
      <c r="A240" s="2519">
        <v>1880</v>
      </c>
      <c r="B240" s="2514" t="s">
        <v>895</v>
      </c>
      <c r="C240" s="2496"/>
      <c r="D240" s="2530">
        <v>0.83774499999999996</v>
      </c>
      <c r="E240" s="2530">
        <v>0.58886400000000005</v>
      </c>
      <c r="F240" s="2531"/>
      <c r="G240" s="2530">
        <v>0.82591300000000001</v>
      </c>
      <c r="H240" s="2530">
        <v>0.57720700000000003</v>
      </c>
      <c r="I240" s="2496"/>
      <c r="J240" s="2517">
        <v>0.81159300000000001</v>
      </c>
      <c r="K240" s="2517">
        <v>0.56615499999999996</v>
      </c>
      <c r="L240" s="2497"/>
      <c r="M240" s="2517">
        <v>0.79627400000000004</v>
      </c>
      <c r="N240" s="2517">
        <v>0.55699900000000002</v>
      </c>
      <c r="O240" s="2532">
        <v>1.772</v>
      </c>
      <c r="P240" s="2536"/>
      <c r="Q240" s="2517">
        <v>0.779752</v>
      </c>
      <c r="R240" s="2517">
        <v>0.55019300000000004</v>
      </c>
      <c r="S240" s="2532">
        <v>1.25</v>
      </c>
      <c r="T240" s="2496"/>
      <c r="U240" s="2496"/>
      <c r="V240" s="2496"/>
      <c r="W240" s="2520"/>
      <c r="X240" s="2515"/>
      <c r="Y240" s="2515"/>
      <c r="Z240" s="2521"/>
      <c r="AA240" s="2505"/>
      <c r="AB240" s="2515"/>
      <c r="AC240" s="2496"/>
      <c r="AD240" s="2505"/>
      <c r="AE240" s="2515"/>
      <c r="AF240" s="2496"/>
      <c r="AG240" s="2505"/>
      <c r="AH240" s="2515"/>
    </row>
    <row r="241" spans="1:34">
      <c r="A241" s="2519">
        <v>1881</v>
      </c>
      <c r="B241" s="2514" t="s">
        <v>896</v>
      </c>
      <c r="C241" s="2496"/>
      <c r="D241" s="2530">
        <v>0.84563500000000003</v>
      </c>
      <c r="E241" s="2530">
        <v>0.59833800000000004</v>
      </c>
      <c r="F241" s="2531"/>
      <c r="G241" s="2530">
        <v>0.83542099999999997</v>
      </c>
      <c r="H241" s="2530">
        <v>0.58234900000000001</v>
      </c>
      <c r="I241" s="2496"/>
      <c r="J241" s="2517">
        <v>0.82616800000000001</v>
      </c>
      <c r="K241" s="2517">
        <v>0.56902200000000003</v>
      </c>
      <c r="L241" s="2497"/>
      <c r="M241" s="2517">
        <v>0.81192900000000001</v>
      </c>
      <c r="N241" s="2517">
        <v>0.55762999999999996</v>
      </c>
      <c r="O241" s="2532">
        <v>1.95</v>
      </c>
      <c r="P241" s="2536"/>
      <c r="Q241" s="2517">
        <v>0.79459500000000005</v>
      </c>
      <c r="R241" s="2517">
        <v>0.55066199999999998</v>
      </c>
      <c r="S241" s="2532">
        <v>1.3</v>
      </c>
      <c r="T241" s="2496"/>
      <c r="U241" s="2496"/>
      <c r="V241" s="2496"/>
      <c r="W241" s="2520"/>
      <c r="X241" s="2515"/>
      <c r="Y241" s="2515"/>
      <c r="Z241" s="2521"/>
      <c r="AA241" s="2505"/>
      <c r="AB241" s="2515"/>
      <c r="AC241" s="2496"/>
      <c r="AD241" s="2505"/>
      <c r="AE241" s="2515"/>
      <c r="AF241" s="2496"/>
      <c r="AG241" s="2505"/>
      <c r="AH241" s="2515"/>
    </row>
    <row r="242" spans="1:34">
      <c r="A242" s="2519">
        <v>1882</v>
      </c>
      <c r="B242" s="2514" t="s">
        <v>897</v>
      </c>
      <c r="C242" s="2496"/>
      <c r="D242" s="2530">
        <v>0.85017100000000001</v>
      </c>
      <c r="E242" s="2530">
        <v>0.61505100000000001</v>
      </c>
      <c r="F242" s="2531"/>
      <c r="G242" s="2530">
        <v>0.84467000000000003</v>
      </c>
      <c r="H242" s="2530">
        <v>0.60281499999999999</v>
      </c>
      <c r="I242" s="2496"/>
      <c r="J242" s="2517">
        <v>0.83617799999999998</v>
      </c>
      <c r="K242" s="2517">
        <v>0.59039799999999998</v>
      </c>
      <c r="L242" s="2497"/>
      <c r="M242" s="2517">
        <v>0.82681099999999996</v>
      </c>
      <c r="N242" s="2517">
        <v>0.579538</v>
      </c>
      <c r="O242" s="2532">
        <v>1.54</v>
      </c>
      <c r="P242" s="2536"/>
      <c r="Q242" s="2517">
        <v>0.81588300000000002</v>
      </c>
      <c r="R242" s="2517">
        <v>0.570407</v>
      </c>
      <c r="S242" s="2532">
        <v>0.94</v>
      </c>
      <c r="T242" s="2496"/>
      <c r="U242" s="2496"/>
      <c r="V242" s="2496"/>
      <c r="W242" s="2520"/>
      <c r="X242" s="2515"/>
      <c r="Y242" s="2515"/>
      <c r="Z242" s="2521"/>
      <c r="AA242" s="2505"/>
      <c r="AB242" s="2515"/>
      <c r="AC242" s="2496"/>
      <c r="AD242" s="2505"/>
      <c r="AE242" s="2515"/>
      <c r="AF242" s="2496"/>
      <c r="AG242" s="2505"/>
      <c r="AH242" s="2515"/>
    </row>
    <row r="243" spans="1:34">
      <c r="A243" s="2519">
        <v>1883</v>
      </c>
      <c r="B243" s="2514" t="s">
        <v>898</v>
      </c>
      <c r="C243" s="2496"/>
      <c r="D243" s="2530">
        <v>0.84246299999999996</v>
      </c>
      <c r="E243" s="2530">
        <v>0.59688799999999997</v>
      </c>
      <c r="F243" s="2531"/>
      <c r="G243" s="2530">
        <v>0.83155800000000002</v>
      </c>
      <c r="H243" s="2530">
        <v>0.58654099999999998</v>
      </c>
      <c r="I243" s="2496"/>
      <c r="J243" s="2517">
        <v>0.81834499999999999</v>
      </c>
      <c r="K243" s="2517">
        <v>0.57821100000000003</v>
      </c>
      <c r="L243" s="2497"/>
      <c r="M243" s="2517">
        <v>0.80511699999999997</v>
      </c>
      <c r="N243" s="2517">
        <v>0.56757599999999997</v>
      </c>
      <c r="O243" s="2532">
        <v>1.837</v>
      </c>
      <c r="P243" s="2536"/>
      <c r="Q243" s="2517">
        <v>0.78852</v>
      </c>
      <c r="R243" s="2517">
        <v>0.55747000000000002</v>
      </c>
      <c r="S243" s="2532">
        <v>1.63</v>
      </c>
      <c r="T243" s="2496"/>
      <c r="U243" s="2496"/>
      <c r="V243" s="2496"/>
      <c r="W243" s="2520"/>
      <c r="X243" s="2515"/>
      <c r="Y243" s="2515"/>
      <c r="Z243" s="2521"/>
      <c r="AA243" s="2505"/>
      <c r="AB243" s="2515"/>
      <c r="AC243" s="2496"/>
      <c r="AD243" s="2505"/>
      <c r="AE243" s="2515"/>
      <c r="AF243" s="2496"/>
      <c r="AG243" s="2505"/>
      <c r="AH243" s="2515"/>
    </row>
    <row r="244" spans="1:34">
      <c r="A244" s="2519">
        <v>1884</v>
      </c>
      <c r="B244" s="2514" t="s">
        <v>899</v>
      </c>
      <c r="C244" s="2496"/>
      <c r="D244" s="2530">
        <v>0.84724999999999995</v>
      </c>
      <c r="E244" s="2530">
        <v>0.58994899999999995</v>
      </c>
      <c r="F244" s="2531"/>
      <c r="G244" s="2530">
        <v>0.83898399999999995</v>
      </c>
      <c r="H244" s="2530">
        <v>0.58562099999999995</v>
      </c>
      <c r="I244" s="2496"/>
      <c r="J244" s="2517">
        <v>0.82761600000000002</v>
      </c>
      <c r="K244" s="2517">
        <v>0.57579000000000002</v>
      </c>
      <c r="L244" s="2497"/>
      <c r="M244" s="2517">
        <v>0.81666099999999997</v>
      </c>
      <c r="N244" s="2517">
        <v>0.56584299999999998</v>
      </c>
      <c r="O244" s="2532">
        <v>1.651</v>
      </c>
      <c r="P244" s="2536"/>
      <c r="Q244" s="2517">
        <v>0.80607899999999999</v>
      </c>
      <c r="R244" s="2517">
        <v>0.55756700000000003</v>
      </c>
      <c r="S244" s="2532">
        <v>0.41</v>
      </c>
      <c r="T244" s="2496"/>
      <c r="U244" s="2496"/>
      <c r="V244" s="2496"/>
      <c r="W244" s="2520"/>
      <c r="X244" s="2515"/>
      <c r="Y244" s="2515"/>
      <c r="Z244" s="2521"/>
      <c r="AA244" s="2505"/>
      <c r="AB244" s="2515"/>
      <c r="AC244" s="2496"/>
      <c r="AD244" s="2505"/>
      <c r="AE244" s="2515"/>
      <c r="AF244" s="2496"/>
      <c r="AG244" s="2505"/>
      <c r="AH244" s="2515"/>
    </row>
    <row r="245" spans="1:34">
      <c r="A245" s="2519">
        <v>1885</v>
      </c>
      <c r="B245" s="2514" t="s">
        <v>900</v>
      </c>
      <c r="C245" s="2496"/>
      <c r="D245" s="2530">
        <v>0.85825200000000001</v>
      </c>
      <c r="E245" s="2530">
        <v>0.60197000000000001</v>
      </c>
      <c r="F245" s="2531"/>
      <c r="G245" s="2530">
        <v>0.84882999999999997</v>
      </c>
      <c r="H245" s="2530">
        <v>0.59162899999999996</v>
      </c>
      <c r="I245" s="2496"/>
      <c r="J245" s="2517">
        <v>0.83804100000000004</v>
      </c>
      <c r="K245" s="2517">
        <v>0.58354700000000004</v>
      </c>
      <c r="L245" s="2497"/>
      <c r="M245" s="2517">
        <v>0.82732899999999998</v>
      </c>
      <c r="N245" s="2517">
        <v>0.57223199999999996</v>
      </c>
      <c r="O245" s="2532">
        <v>1.96</v>
      </c>
      <c r="P245" s="2536"/>
      <c r="Q245" s="2517">
        <v>0.81424700000000005</v>
      </c>
      <c r="R245" s="2517">
        <v>0.56433699999999998</v>
      </c>
      <c r="S245" s="2532">
        <v>1.0900000000000001</v>
      </c>
      <c r="T245" s="2496"/>
      <c r="U245" s="2496"/>
      <c r="V245" s="2496"/>
      <c r="W245" s="2520"/>
      <c r="X245" s="2515"/>
      <c r="Y245" s="2515"/>
      <c r="Z245" s="2521"/>
      <c r="AA245" s="2505"/>
      <c r="AB245" s="2515"/>
      <c r="AC245" s="2496"/>
      <c r="AD245" s="2505"/>
      <c r="AE245" s="2515"/>
      <c r="AF245" s="2496"/>
      <c r="AG245" s="2505"/>
      <c r="AH245" s="2515"/>
    </row>
    <row r="246" spans="1:34">
      <c r="A246" s="2519">
        <v>1904</v>
      </c>
      <c r="B246" s="2514" t="s">
        <v>902</v>
      </c>
      <c r="C246" s="2496"/>
      <c r="D246" s="2530">
        <v>0.85455599999999998</v>
      </c>
      <c r="E246" s="2530">
        <v>0.62289799999999995</v>
      </c>
      <c r="F246" s="2531"/>
      <c r="G246" s="2530">
        <v>0.84728700000000001</v>
      </c>
      <c r="H246" s="2530">
        <v>0.61510900000000002</v>
      </c>
      <c r="I246" s="2496"/>
      <c r="J246" s="2517">
        <v>0.83716100000000004</v>
      </c>
      <c r="K246" s="2517">
        <v>0.60419100000000003</v>
      </c>
      <c r="L246" s="2497"/>
      <c r="M246" s="2517">
        <v>0.82628400000000002</v>
      </c>
      <c r="N246" s="2517">
        <v>0.59421999999999997</v>
      </c>
      <c r="O246" s="2532" t="s">
        <v>390</v>
      </c>
      <c r="P246" s="2536"/>
      <c r="Q246" s="2517">
        <v>0.81189699999999998</v>
      </c>
      <c r="R246" s="2517">
        <v>0.58290600000000004</v>
      </c>
      <c r="S246" s="2532" t="s">
        <v>390</v>
      </c>
      <c r="T246" s="2496"/>
      <c r="U246" s="2496"/>
      <c r="V246" s="2496"/>
      <c r="W246" s="2520"/>
      <c r="X246" s="2515"/>
      <c r="Y246" s="2515"/>
      <c r="Z246" s="2521"/>
      <c r="AA246" s="2505"/>
      <c r="AB246" s="2515"/>
      <c r="AC246" s="2496"/>
      <c r="AD246" s="2505"/>
      <c r="AE246" s="2515"/>
      <c r="AF246" s="2496"/>
      <c r="AG246" s="2505"/>
      <c r="AH246" s="2515"/>
    </row>
    <row r="247" spans="1:34">
      <c r="A247" s="2519">
        <v>1907</v>
      </c>
      <c r="B247" s="2514" t="s">
        <v>903</v>
      </c>
      <c r="C247" s="2496"/>
      <c r="D247" s="2530">
        <v>0.85400900000000002</v>
      </c>
      <c r="E247" s="2530">
        <v>0.60012699999999997</v>
      </c>
      <c r="F247" s="2531"/>
      <c r="G247" s="2530">
        <v>0.84418700000000002</v>
      </c>
      <c r="H247" s="2530">
        <v>0.58919500000000002</v>
      </c>
      <c r="I247" s="2496"/>
      <c r="J247" s="2517">
        <v>0.83375100000000002</v>
      </c>
      <c r="K247" s="2517">
        <v>0.58244700000000005</v>
      </c>
      <c r="L247" s="2497"/>
      <c r="M247" s="2517">
        <v>0.82319699999999996</v>
      </c>
      <c r="N247" s="2517">
        <v>0.57229200000000002</v>
      </c>
      <c r="O247" s="2532" t="s">
        <v>390</v>
      </c>
      <c r="P247" s="2536"/>
      <c r="Q247" s="2517">
        <v>0.80959800000000004</v>
      </c>
      <c r="R247" s="2517">
        <v>0.56293099999999996</v>
      </c>
      <c r="S247" s="2532">
        <v>2.1800000000000002</v>
      </c>
      <c r="T247" s="2496"/>
      <c r="U247" s="2496"/>
      <c r="V247" s="2496"/>
      <c r="W247" s="2520"/>
      <c r="X247" s="2515"/>
      <c r="Y247" s="2515"/>
      <c r="Z247" s="2521"/>
      <c r="AA247" s="2505"/>
      <c r="AB247" s="2515"/>
      <c r="AC247" s="2496"/>
      <c r="AD247" s="2505"/>
      <c r="AE247" s="2515"/>
      <c r="AF247" s="2496"/>
      <c r="AG247" s="2505"/>
      <c r="AH247" s="2515"/>
    </row>
    <row r="248" spans="1:34">
      <c r="A248" s="2519">
        <v>1960</v>
      </c>
      <c r="B248" s="2514" t="s">
        <v>904</v>
      </c>
      <c r="C248" s="2496"/>
      <c r="D248" s="2530">
        <v>0.85270400000000002</v>
      </c>
      <c r="E248" s="2530">
        <v>0.61876299999999995</v>
      </c>
      <c r="F248" s="2531"/>
      <c r="G248" s="2530">
        <v>0.84484300000000001</v>
      </c>
      <c r="H248" s="2530">
        <v>0.60241900000000004</v>
      </c>
      <c r="I248" s="2496"/>
      <c r="J248" s="2517">
        <v>0.83590900000000001</v>
      </c>
      <c r="K248" s="2517">
        <v>0.59378699999999995</v>
      </c>
      <c r="L248" s="2497"/>
      <c r="M248" s="2517">
        <v>0.82364499999999996</v>
      </c>
      <c r="N248" s="2517">
        <v>0.58207399999999998</v>
      </c>
      <c r="O248" s="2532" t="s">
        <v>390</v>
      </c>
      <c r="P248" s="2536"/>
      <c r="Q248" s="2517">
        <v>0.81262500000000004</v>
      </c>
      <c r="R248" s="2517">
        <v>0.56547700000000001</v>
      </c>
      <c r="S248" s="2532">
        <v>1.72</v>
      </c>
      <c r="T248" s="2496"/>
      <c r="U248" s="2496"/>
      <c r="V248" s="2496"/>
      <c r="W248" s="2520"/>
      <c r="X248" s="2515"/>
      <c r="Y248" s="2515"/>
      <c r="Z248" s="2521"/>
      <c r="AA248" s="2505"/>
      <c r="AB248" s="2515"/>
      <c r="AC248" s="2496"/>
      <c r="AD248" s="2505"/>
      <c r="AE248" s="2515"/>
      <c r="AF248" s="2496"/>
      <c r="AG248" s="2505"/>
      <c r="AH248" s="2515"/>
    </row>
    <row r="249" spans="1:34">
      <c r="A249" s="2519">
        <v>1961</v>
      </c>
      <c r="B249" s="2514" t="s">
        <v>905</v>
      </c>
      <c r="C249" s="2496"/>
      <c r="D249" s="2530">
        <v>0.85144600000000004</v>
      </c>
      <c r="E249" s="2530">
        <v>0.60061699999999996</v>
      </c>
      <c r="F249" s="2531"/>
      <c r="G249" s="2530">
        <v>0.84444200000000003</v>
      </c>
      <c r="H249" s="2530">
        <v>0.589696</v>
      </c>
      <c r="I249" s="2496"/>
      <c r="J249" s="2517">
        <v>0.831399</v>
      </c>
      <c r="K249" s="2517">
        <v>0.57953299999999996</v>
      </c>
      <c r="L249" s="2497"/>
      <c r="M249" s="2517">
        <v>0.82335499999999995</v>
      </c>
      <c r="N249" s="2517">
        <v>0.57092799999999999</v>
      </c>
      <c r="O249" s="2532">
        <v>1.855</v>
      </c>
      <c r="P249" s="2536"/>
      <c r="Q249" s="2517">
        <v>0.80810300000000002</v>
      </c>
      <c r="R249" s="2517">
        <v>0.56213599999999997</v>
      </c>
      <c r="S249" s="2532">
        <v>0.6</v>
      </c>
      <c r="T249" s="2496"/>
      <c r="U249" s="2496"/>
      <c r="V249" s="2496"/>
      <c r="W249" s="2520"/>
      <c r="X249" s="2515"/>
      <c r="Y249" s="2515"/>
      <c r="Z249" s="2521"/>
      <c r="AA249" s="2505"/>
      <c r="AB249" s="2515"/>
      <c r="AC249" s="2496"/>
      <c r="AD249" s="2505"/>
      <c r="AE249" s="2515"/>
      <c r="AF249" s="2496"/>
      <c r="AG249" s="2505"/>
      <c r="AH249" s="2515"/>
    </row>
    <row r="250" spans="1:34">
      <c r="A250" s="2519">
        <v>1962</v>
      </c>
      <c r="B250" s="2514" t="s">
        <v>906</v>
      </c>
      <c r="C250" s="2496"/>
      <c r="D250" s="2530">
        <v>0.85620200000000002</v>
      </c>
      <c r="E250" s="2530">
        <v>0.61932200000000004</v>
      </c>
      <c r="F250" s="2531"/>
      <c r="G250" s="2530">
        <v>0.84870800000000002</v>
      </c>
      <c r="H250" s="2530">
        <v>0.61087999999999998</v>
      </c>
      <c r="I250" s="2496"/>
      <c r="J250" s="2517">
        <v>0.83634500000000001</v>
      </c>
      <c r="K250" s="2517">
        <v>0.59926999999999997</v>
      </c>
      <c r="L250" s="2497"/>
      <c r="M250" s="2517">
        <v>0.82229099999999999</v>
      </c>
      <c r="N250" s="2517">
        <v>0.58228199999999997</v>
      </c>
      <c r="O250" s="2532" t="s">
        <v>390</v>
      </c>
      <c r="P250" s="2536"/>
      <c r="Q250" s="2517">
        <v>0.81006599999999995</v>
      </c>
      <c r="R250" s="2517">
        <v>0.56801599999999997</v>
      </c>
      <c r="S250" s="2532" t="s">
        <v>390</v>
      </c>
      <c r="T250" s="2496"/>
      <c r="U250" s="2496"/>
      <c r="V250" s="2496"/>
      <c r="W250" s="2520"/>
      <c r="X250" s="2515"/>
      <c r="Y250" s="2515"/>
      <c r="Z250" s="2521"/>
      <c r="AA250" s="2505"/>
      <c r="AB250" s="2515"/>
      <c r="AC250" s="2496"/>
      <c r="AD250" s="2505"/>
      <c r="AE250" s="2515"/>
      <c r="AF250" s="2496"/>
      <c r="AG250" s="2505"/>
      <c r="AH250" s="2515"/>
    </row>
    <row r="251" spans="1:34">
      <c r="A251" s="2519">
        <v>1980</v>
      </c>
      <c r="B251" s="2514" t="s">
        <v>907</v>
      </c>
      <c r="C251" s="2496"/>
      <c r="D251" s="2530">
        <v>0.83499800000000002</v>
      </c>
      <c r="E251" s="2530">
        <v>0.58863200000000004</v>
      </c>
      <c r="F251" s="2531"/>
      <c r="G251" s="2530">
        <v>0.82386099999999995</v>
      </c>
      <c r="H251" s="2530">
        <v>0.57484800000000003</v>
      </c>
      <c r="I251" s="2496"/>
      <c r="J251" s="2517">
        <v>0.81065900000000002</v>
      </c>
      <c r="K251" s="2517">
        <v>0.56635599999999997</v>
      </c>
      <c r="L251" s="2497"/>
      <c r="M251" s="2517">
        <v>0.79601100000000002</v>
      </c>
      <c r="N251" s="2517">
        <v>0.55646499999999999</v>
      </c>
      <c r="O251" s="2532">
        <v>1.8029999999999999</v>
      </c>
      <c r="P251" s="2536"/>
      <c r="Q251" s="2517">
        <v>0.77993000000000001</v>
      </c>
      <c r="R251" s="2517">
        <v>0.547323</v>
      </c>
      <c r="S251" s="2532">
        <v>1.2</v>
      </c>
      <c r="T251" s="2496"/>
      <c r="U251" s="2496"/>
      <c r="V251" s="2496"/>
      <c r="W251" s="2520"/>
      <c r="X251" s="2515"/>
      <c r="Y251" s="2515"/>
      <c r="Z251" s="2521"/>
      <c r="AA251" s="2505"/>
      <c r="AB251" s="2515"/>
      <c r="AC251" s="2496"/>
      <c r="AD251" s="2505"/>
      <c r="AE251" s="2515"/>
      <c r="AF251" s="2496"/>
      <c r="AG251" s="2505"/>
      <c r="AH251" s="2515"/>
    </row>
    <row r="252" spans="1:34">
      <c r="A252" s="2519">
        <v>1981</v>
      </c>
      <c r="B252" s="2514" t="s">
        <v>908</v>
      </c>
      <c r="C252" s="2496"/>
      <c r="D252" s="2530">
        <v>0.86021999999999998</v>
      </c>
      <c r="E252" s="2530">
        <v>0.61721000000000004</v>
      </c>
      <c r="F252" s="2531"/>
      <c r="G252" s="2530">
        <v>0.85331299999999999</v>
      </c>
      <c r="H252" s="2530">
        <v>0.60503799999999996</v>
      </c>
      <c r="I252" s="2496"/>
      <c r="J252" s="2517">
        <v>0.84601700000000002</v>
      </c>
      <c r="K252" s="2517">
        <v>0.59221100000000004</v>
      </c>
      <c r="L252" s="2497"/>
      <c r="M252" s="2517">
        <v>0.83525700000000003</v>
      </c>
      <c r="N252" s="2517">
        <v>0.58103800000000005</v>
      </c>
      <c r="O252" s="2532">
        <v>1.742</v>
      </c>
      <c r="P252" s="2536"/>
      <c r="Q252" s="2517">
        <v>0.82327499999999998</v>
      </c>
      <c r="R252" s="2517">
        <v>0.56979199999999997</v>
      </c>
      <c r="S252" s="2532">
        <v>0.93</v>
      </c>
      <c r="T252" s="2496"/>
      <c r="U252" s="2496"/>
      <c r="V252" s="2496"/>
      <c r="W252" s="2520"/>
      <c r="X252" s="2515"/>
      <c r="Y252" s="2515"/>
      <c r="Z252" s="2521"/>
      <c r="AA252" s="2505"/>
      <c r="AB252" s="2515"/>
      <c r="AC252" s="2496"/>
      <c r="AD252" s="2505"/>
      <c r="AE252" s="2515"/>
      <c r="AF252" s="2496"/>
      <c r="AG252" s="2505"/>
      <c r="AH252" s="2515"/>
    </row>
    <row r="253" spans="1:34">
      <c r="A253" s="2519">
        <v>1982</v>
      </c>
      <c r="B253" s="2514" t="s">
        <v>909</v>
      </c>
      <c r="C253" s="2496"/>
      <c r="D253" s="2530">
        <v>0.84018199999999998</v>
      </c>
      <c r="E253" s="2530">
        <v>0.60743599999999998</v>
      </c>
      <c r="F253" s="2531"/>
      <c r="G253" s="2530">
        <v>0.82969099999999996</v>
      </c>
      <c r="H253" s="2530">
        <v>0.593584</v>
      </c>
      <c r="I253" s="2496"/>
      <c r="J253" s="2517">
        <v>0.81844799999999995</v>
      </c>
      <c r="K253" s="2517">
        <v>0.57914900000000002</v>
      </c>
      <c r="L253" s="2497"/>
      <c r="M253" s="2517">
        <v>0.80577100000000002</v>
      </c>
      <c r="N253" s="2517">
        <v>0.56709500000000002</v>
      </c>
      <c r="O253" s="2532" t="s">
        <v>390</v>
      </c>
      <c r="P253" s="2536"/>
      <c r="Q253" s="2517">
        <v>0.79159500000000005</v>
      </c>
      <c r="R253" s="2517">
        <v>0.55960900000000002</v>
      </c>
      <c r="S253" s="2532">
        <v>1.5</v>
      </c>
      <c r="T253" s="2496"/>
      <c r="U253" s="2496"/>
      <c r="V253" s="2496"/>
      <c r="W253" s="2520"/>
      <c r="X253" s="2515"/>
      <c r="Y253" s="2515"/>
      <c r="Z253" s="2521"/>
      <c r="AA253" s="2505"/>
      <c r="AB253" s="2515"/>
      <c r="AC253" s="2496"/>
      <c r="AD253" s="2505"/>
      <c r="AE253" s="2515"/>
      <c r="AF253" s="2496"/>
      <c r="AG253" s="2505"/>
      <c r="AH253" s="2515"/>
    </row>
    <row r="254" spans="1:34">
      <c r="A254" s="2519">
        <v>1983</v>
      </c>
      <c r="B254" s="2514" t="s">
        <v>910</v>
      </c>
      <c r="C254" s="2496"/>
      <c r="D254" s="2530">
        <v>0.84578699999999996</v>
      </c>
      <c r="E254" s="2530">
        <v>0.60903399999999996</v>
      </c>
      <c r="F254" s="2531"/>
      <c r="G254" s="2530">
        <v>0.83895699999999995</v>
      </c>
      <c r="H254" s="2530">
        <v>0.59945599999999999</v>
      </c>
      <c r="I254" s="2496"/>
      <c r="J254" s="2517">
        <v>0.82516299999999998</v>
      </c>
      <c r="K254" s="2517">
        <v>0.58999000000000001</v>
      </c>
      <c r="L254" s="2497"/>
      <c r="M254" s="2517">
        <v>0.813886</v>
      </c>
      <c r="N254" s="2517">
        <v>0.58006999999999997</v>
      </c>
      <c r="O254" s="2532">
        <v>2.08</v>
      </c>
      <c r="P254" s="2536"/>
      <c r="Q254" s="2517">
        <v>0.79949400000000004</v>
      </c>
      <c r="R254" s="2517">
        <v>0.57525899999999996</v>
      </c>
      <c r="S254" s="2532">
        <v>1.42</v>
      </c>
      <c r="T254" s="2496"/>
      <c r="U254" s="2496"/>
      <c r="V254" s="2496"/>
      <c r="W254" s="2520"/>
      <c r="X254" s="2515"/>
      <c r="Y254" s="2515"/>
      <c r="Z254" s="2521"/>
      <c r="AA254" s="2505"/>
      <c r="AB254" s="2515"/>
      <c r="AC254" s="2496"/>
      <c r="AD254" s="2505"/>
      <c r="AE254" s="2515"/>
      <c r="AF254" s="2496"/>
      <c r="AG254" s="2505"/>
      <c r="AH254" s="2515"/>
    </row>
    <row r="255" spans="1:34">
      <c r="A255" s="2519">
        <v>1984</v>
      </c>
      <c r="B255" s="2514" t="s">
        <v>911</v>
      </c>
      <c r="C255" s="2496"/>
      <c r="D255" s="2530">
        <v>0.85539600000000005</v>
      </c>
      <c r="E255" s="2530">
        <v>0.60735300000000003</v>
      </c>
      <c r="F255" s="2531"/>
      <c r="G255" s="2530">
        <v>0.84808399999999995</v>
      </c>
      <c r="H255" s="2530">
        <v>0.59233800000000003</v>
      </c>
      <c r="I255" s="2496"/>
      <c r="J255" s="2517">
        <v>0.83626199999999995</v>
      </c>
      <c r="K255" s="2517">
        <v>0.58407500000000001</v>
      </c>
      <c r="L255" s="2497"/>
      <c r="M255" s="2517">
        <v>0.82894699999999999</v>
      </c>
      <c r="N255" s="2517">
        <v>0.57271099999999997</v>
      </c>
      <c r="O255" s="2532">
        <v>1.27</v>
      </c>
      <c r="P255" s="2536"/>
      <c r="Q255" s="2517">
        <v>0.81229399999999996</v>
      </c>
      <c r="R255" s="2517">
        <v>0.56572999999999996</v>
      </c>
      <c r="S255" s="2532">
        <v>1.07</v>
      </c>
      <c r="T255" s="2496"/>
      <c r="U255" s="2496"/>
      <c r="V255" s="2496"/>
      <c r="W255" s="2520"/>
      <c r="X255" s="2515"/>
      <c r="Y255" s="2515"/>
      <c r="Z255" s="2521"/>
      <c r="AA255" s="2505"/>
      <c r="AB255" s="2515"/>
      <c r="AC255" s="2496"/>
      <c r="AD255" s="2505"/>
      <c r="AE255" s="2515"/>
      <c r="AF255" s="2496"/>
      <c r="AG255" s="2505"/>
      <c r="AH255" s="2515"/>
    </row>
    <row r="256" spans="1:34">
      <c r="A256" s="2519">
        <v>2021</v>
      </c>
      <c r="B256" s="2514" t="s">
        <v>914</v>
      </c>
      <c r="C256" s="2496"/>
      <c r="D256" s="2530">
        <v>0.87975899999999996</v>
      </c>
      <c r="E256" s="2530">
        <v>0.63739199999999996</v>
      </c>
      <c r="F256" s="2531"/>
      <c r="G256" s="2530">
        <v>0.87508399999999997</v>
      </c>
      <c r="H256" s="2530">
        <v>0.62714400000000003</v>
      </c>
      <c r="I256" s="2496"/>
      <c r="J256" s="2517">
        <v>0.87021800000000005</v>
      </c>
      <c r="K256" s="2517">
        <v>0.61771500000000001</v>
      </c>
      <c r="L256" s="2497"/>
      <c r="M256" s="2517">
        <v>0.86412199999999995</v>
      </c>
      <c r="N256" s="2517">
        <v>0.60690599999999995</v>
      </c>
      <c r="O256" s="2532" t="s">
        <v>390</v>
      </c>
      <c r="P256" s="2536"/>
      <c r="Q256" s="2517">
        <v>0.85878299999999996</v>
      </c>
      <c r="R256" s="2517">
        <v>0.59942399999999996</v>
      </c>
      <c r="S256" s="2532">
        <v>0.15</v>
      </c>
      <c r="T256" s="2496"/>
      <c r="U256" s="2496"/>
      <c r="V256" s="2496"/>
      <c r="W256" s="2520"/>
      <c r="X256" s="2515"/>
      <c r="Y256" s="2515"/>
      <c r="Z256" s="2521"/>
      <c r="AA256" s="2505"/>
      <c r="AB256" s="2515"/>
      <c r="AC256" s="2496"/>
      <c r="AD256" s="2505"/>
      <c r="AE256" s="2515"/>
      <c r="AF256" s="2496"/>
      <c r="AG256" s="2505"/>
      <c r="AH256" s="2515"/>
    </row>
    <row r="257" spans="1:34">
      <c r="A257" s="2519">
        <v>2023</v>
      </c>
      <c r="B257" s="2514" t="s">
        <v>915</v>
      </c>
      <c r="C257" s="2496"/>
      <c r="D257" s="2530">
        <v>0.88193500000000002</v>
      </c>
      <c r="E257" s="2530">
        <v>0.65736399999999995</v>
      </c>
      <c r="F257" s="2531"/>
      <c r="G257" s="2530">
        <v>0.87718300000000005</v>
      </c>
      <c r="H257" s="2530">
        <v>0.64565600000000001</v>
      </c>
      <c r="I257" s="2496"/>
      <c r="J257" s="2517">
        <v>0.87104099999999995</v>
      </c>
      <c r="K257" s="2517">
        <v>0.63234500000000005</v>
      </c>
      <c r="L257" s="2497"/>
      <c r="M257" s="2517">
        <v>0.86852099999999999</v>
      </c>
      <c r="N257" s="2517">
        <v>0.61928099999999997</v>
      </c>
      <c r="O257" s="2532">
        <v>1.8859999999999999</v>
      </c>
      <c r="P257" s="2536"/>
      <c r="Q257" s="2517">
        <v>0.862649</v>
      </c>
      <c r="R257" s="2517">
        <v>0.60927299999999995</v>
      </c>
      <c r="S257" s="2532">
        <v>1.38</v>
      </c>
      <c r="T257" s="2496"/>
      <c r="U257" s="2496"/>
      <c r="V257" s="2496"/>
      <c r="W257" s="2520"/>
      <c r="X257" s="2515"/>
      <c r="Y257" s="2515"/>
      <c r="Z257" s="2521"/>
      <c r="AA257" s="2505"/>
      <c r="AB257" s="2515"/>
      <c r="AC257" s="2496"/>
      <c r="AD257" s="2505"/>
      <c r="AE257" s="2515"/>
      <c r="AF257" s="2496"/>
      <c r="AG257" s="2505"/>
      <c r="AH257" s="2515"/>
    </row>
    <row r="258" spans="1:34">
      <c r="A258" s="2519">
        <v>2026</v>
      </c>
      <c r="B258" s="2514" t="s">
        <v>916</v>
      </c>
      <c r="C258" s="2496"/>
      <c r="D258" s="2530">
        <v>0.86167300000000002</v>
      </c>
      <c r="E258" s="2530">
        <v>0.61345099999999997</v>
      </c>
      <c r="F258" s="2531"/>
      <c r="G258" s="2530">
        <v>0.85523700000000002</v>
      </c>
      <c r="H258" s="2530">
        <v>0.60395299999999996</v>
      </c>
      <c r="I258" s="2496"/>
      <c r="J258" s="2517">
        <v>0.848159</v>
      </c>
      <c r="K258" s="2517">
        <v>0.587839</v>
      </c>
      <c r="L258" s="2497"/>
      <c r="M258" s="2517">
        <v>0.83800600000000003</v>
      </c>
      <c r="N258" s="2517">
        <v>0.58092999999999995</v>
      </c>
      <c r="O258" s="2532">
        <v>1.4350000000000001</v>
      </c>
      <c r="P258" s="2536"/>
      <c r="Q258" s="2517">
        <v>0.82947099999999996</v>
      </c>
      <c r="R258" s="2517">
        <v>0.57141600000000004</v>
      </c>
      <c r="S258" s="2532">
        <v>1.29</v>
      </c>
      <c r="T258" s="2496"/>
      <c r="U258" s="2496"/>
      <c r="V258" s="2496"/>
      <c r="W258" s="2520"/>
      <c r="X258" s="2515"/>
      <c r="Y258" s="2515"/>
      <c r="Z258" s="2521"/>
      <c r="AA258" s="2505"/>
      <c r="AB258" s="2515"/>
      <c r="AC258" s="2496"/>
      <c r="AD258" s="2505"/>
      <c r="AE258" s="2515"/>
      <c r="AF258" s="2496"/>
      <c r="AG258" s="2505"/>
      <c r="AH258" s="2515"/>
    </row>
    <row r="259" spans="1:34">
      <c r="A259" s="2519">
        <v>2029</v>
      </c>
      <c r="B259" s="2514" t="s">
        <v>917</v>
      </c>
      <c r="C259" s="2496"/>
      <c r="D259" s="2530">
        <v>0.87047099999999999</v>
      </c>
      <c r="E259" s="2530">
        <v>0.61896499999999999</v>
      </c>
      <c r="F259" s="2531"/>
      <c r="G259" s="2530">
        <v>0.86395100000000002</v>
      </c>
      <c r="H259" s="2530">
        <v>0.60804599999999998</v>
      </c>
      <c r="I259" s="2496"/>
      <c r="J259" s="2517">
        <v>0.85476600000000003</v>
      </c>
      <c r="K259" s="2517">
        <v>0.59909900000000005</v>
      </c>
      <c r="L259" s="2497"/>
      <c r="M259" s="2517">
        <v>0.84547300000000003</v>
      </c>
      <c r="N259" s="2517">
        <v>0.58688099999999999</v>
      </c>
      <c r="O259" s="2532">
        <v>1.66</v>
      </c>
      <c r="P259" s="2536"/>
      <c r="Q259" s="2517">
        <v>0.83469899999999997</v>
      </c>
      <c r="R259" s="2517">
        <v>0.57795099999999999</v>
      </c>
      <c r="S259" s="2532">
        <v>1.57</v>
      </c>
      <c r="T259" s="2496"/>
      <c r="U259" s="2496"/>
      <c r="V259" s="2496"/>
      <c r="W259" s="2520"/>
      <c r="X259" s="2515"/>
      <c r="Y259" s="2515"/>
      <c r="Z259" s="2521"/>
      <c r="AA259" s="2505"/>
      <c r="AB259" s="2515"/>
      <c r="AC259" s="2496"/>
      <c r="AD259" s="2505"/>
      <c r="AE259" s="2515"/>
      <c r="AF259" s="2496"/>
      <c r="AG259" s="2505"/>
      <c r="AH259" s="2515"/>
    </row>
    <row r="260" spans="1:34">
      <c r="A260" s="2519">
        <v>2031</v>
      </c>
      <c r="B260" s="2514" t="s">
        <v>918</v>
      </c>
      <c r="C260" s="2496"/>
      <c r="D260" s="2530">
        <v>0.87774300000000005</v>
      </c>
      <c r="E260" s="2530">
        <v>0.63430699999999995</v>
      </c>
      <c r="F260" s="2531"/>
      <c r="G260" s="2530">
        <v>0.87110399999999999</v>
      </c>
      <c r="H260" s="2530">
        <v>0.62398600000000004</v>
      </c>
      <c r="I260" s="2496"/>
      <c r="J260" s="2517">
        <v>0.86343599999999998</v>
      </c>
      <c r="K260" s="2517">
        <v>0.61604400000000004</v>
      </c>
      <c r="L260" s="2497"/>
      <c r="M260" s="2517">
        <v>0.85572199999999998</v>
      </c>
      <c r="N260" s="2517">
        <v>0.60406700000000002</v>
      </c>
      <c r="O260" s="2532">
        <v>1.66</v>
      </c>
      <c r="P260" s="2536"/>
      <c r="Q260" s="2517">
        <v>0.84642600000000001</v>
      </c>
      <c r="R260" s="2517">
        <v>0.59521500000000005</v>
      </c>
      <c r="S260" s="2532">
        <v>0.91</v>
      </c>
      <c r="T260" s="2496"/>
      <c r="U260" s="2496"/>
      <c r="V260" s="2496"/>
      <c r="W260" s="2520"/>
      <c r="X260" s="2515"/>
      <c r="Y260" s="2515"/>
      <c r="Z260" s="2521"/>
      <c r="AA260" s="2505"/>
      <c r="AB260" s="2515"/>
      <c r="AC260" s="2496"/>
      <c r="AD260" s="2505"/>
      <c r="AE260" s="2515"/>
      <c r="AF260" s="2496"/>
      <c r="AG260" s="2505"/>
      <c r="AH260" s="2515"/>
    </row>
    <row r="261" spans="1:34">
      <c r="A261" s="2519">
        <v>2034</v>
      </c>
      <c r="B261" s="2514" t="s">
        <v>919</v>
      </c>
      <c r="C261" s="2496"/>
      <c r="D261" s="2530">
        <v>0.87149799999999999</v>
      </c>
      <c r="E261" s="2530">
        <v>0.64787300000000003</v>
      </c>
      <c r="F261" s="2531"/>
      <c r="G261" s="2530">
        <v>0.86609700000000001</v>
      </c>
      <c r="H261" s="2530">
        <v>0.63932199999999995</v>
      </c>
      <c r="I261" s="2496"/>
      <c r="J261" s="2517">
        <v>0.86182599999999998</v>
      </c>
      <c r="K261" s="2517">
        <v>0.63299000000000005</v>
      </c>
      <c r="L261" s="2497"/>
      <c r="M261" s="2517">
        <v>0.85570599999999997</v>
      </c>
      <c r="N261" s="2517">
        <v>0.623054</v>
      </c>
      <c r="O261" s="2532">
        <v>1.17</v>
      </c>
      <c r="P261" s="2536"/>
      <c r="Q261" s="2517">
        <v>0.84468299999999996</v>
      </c>
      <c r="R261" s="2517">
        <v>0.60884000000000005</v>
      </c>
      <c r="S261" s="2532">
        <v>0.66</v>
      </c>
      <c r="T261" s="2496"/>
      <c r="U261" s="2496"/>
      <c r="V261" s="2496"/>
      <c r="W261" s="2520"/>
      <c r="X261" s="2515"/>
      <c r="Y261" s="2515"/>
      <c r="Z261" s="2521"/>
      <c r="AA261" s="2505"/>
      <c r="AB261" s="2515"/>
      <c r="AC261" s="2496"/>
      <c r="AD261" s="2505"/>
      <c r="AE261" s="2515"/>
      <c r="AF261" s="2496"/>
      <c r="AG261" s="2505"/>
      <c r="AH261" s="2515"/>
    </row>
    <row r="262" spans="1:34">
      <c r="A262" s="2519">
        <v>2039</v>
      </c>
      <c r="B262" s="2514" t="s">
        <v>920</v>
      </c>
      <c r="C262" s="2496"/>
      <c r="D262" s="2530">
        <v>0.893841</v>
      </c>
      <c r="E262" s="2530">
        <v>0.67075499999999999</v>
      </c>
      <c r="F262" s="2531"/>
      <c r="G262" s="2530">
        <v>0.89164500000000002</v>
      </c>
      <c r="H262" s="2530">
        <v>0.65495999999999999</v>
      </c>
      <c r="I262" s="2496"/>
      <c r="J262" s="2517">
        <v>0.88612400000000002</v>
      </c>
      <c r="K262" s="2517">
        <v>0.64412800000000003</v>
      </c>
      <c r="L262" s="2497"/>
      <c r="M262" s="2517">
        <v>0.88234699999999999</v>
      </c>
      <c r="N262" s="2517">
        <v>0.63373199999999996</v>
      </c>
      <c r="O262" s="2532" t="s">
        <v>390</v>
      </c>
      <c r="P262" s="2536"/>
      <c r="Q262" s="2517">
        <v>0.875444</v>
      </c>
      <c r="R262" s="2517">
        <v>0.621811</v>
      </c>
      <c r="S262" s="2532" t="s">
        <v>390</v>
      </c>
      <c r="T262" s="2496"/>
      <c r="U262" s="2496"/>
      <c r="V262" s="2496"/>
      <c r="W262" s="2520"/>
      <c r="X262" s="2515"/>
      <c r="Y262" s="2515"/>
      <c r="Z262" s="2521"/>
      <c r="AA262" s="2505"/>
      <c r="AB262" s="2515"/>
      <c r="AC262" s="2496"/>
      <c r="AD262" s="2505"/>
      <c r="AE262" s="2515"/>
      <c r="AF262" s="2496"/>
      <c r="AG262" s="2505"/>
      <c r="AH262" s="2515"/>
    </row>
    <row r="263" spans="1:34">
      <c r="A263" s="2519">
        <v>2061</v>
      </c>
      <c r="B263" s="2514" t="s">
        <v>921</v>
      </c>
      <c r="C263" s="2496"/>
      <c r="D263" s="2530">
        <v>0.85719599999999996</v>
      </c>
      <c r="E263" s="2530">
        <v>0.60831500000000005</v>
      </c>
      <c r="F263" s="2531"/>
      <c r="G263" s="2530">
        <v>0.84837499999999999</v>
      </c>
      <c r="H263" s="2530">
        <v>0.59767999999999999</v>
      </c>
      <c r="I263" s="2496"/>
      <c r="J263" s="2517">
        <v>0.83823000000000003</v>
      </c>
      <c r="K263" s="2517">
        <v>0.58756900000000001</v>
      </c>
      <c r="L263" s="2497"/>
      <c r="M263" s="2517">
        <v>0.825546</v>
      </c>
      <c r="N263" s="2517">
        <v>0.57880299999999996</v>
      </c>
      <c r="O263" s="2532">
        <v>1.68</v>
      </c>
      <c r="P263" s="2536"/>
      <c r="Q263" s="2517">
        <v>0.81443200000000004</v>
      </c>
      <c r="R263" s="2517">
        <v>0.57105899999999998</v>
      </c>
      <c r="S263" s="2532">
        <v>0.17</v>
      </c>
      <c r="T263" s="2496"/>
      <c r="U263" s="2496"/>
      <c r="V263" s="2496"/>
      <c r="W263" s="2520"/>
      <c r="X263" s="2515"/>
      <c r="Y263" s="2515"/>
      <c r="Z263" s="2521"/>
      <c r="AA263" s="2505"/>
      <c r="AB263" s="2515"/>
      <c r="AC263" s="2496"/>
      <c r="AD263" s="2505"/>
      <c r="AE263" s="2515"/>
      <c r="AF263" s="2496"/>
      <c r="AG263" s="2505"/>
      <c r="AH263" s="2515"/>
    </row>
    <row r="264" spans="1:34">
      <c r="A264" s="2519">
        <v>2062</v>
      </c>
      <c r="B264" s="2514" t="s">
        <v>922</v>
      </c>
      <c r="C264" s="2496"/>
      <c r="D264" s="2530">
        <v>0.877332</v>
      </c>
      <c r="E264" s="2530">
        <v>0.63385999999999998</v>
      </c>
      <c r="F264" s="2531"/>
      <c r="G264" s="2530">
        <v>0.87085800000000002</v>
      </c>
      <c r="H264" s="2530">
        <v>0.617286</v>
      </c>
      <c r="I264" s="2496"/>
      <c r="J264" s="2517">
        <v>0.863348</v>
      </c>
      <c r="K264" s="2517">
        <v>0.60604400000000003</v>
      </c>
      <c r="L264" s="2497"/>
      <c r="M264" s="2517">
        <v>0.85488399999999998</v>
      </c>
      <c r="N264" s="2517">
        <v>0.59422600000000003</v>
      </c>
      <c r="O264" s="2532">
        <v>1.718</v>
      </c>
      <c r="P264" s="2536"/>
      <c r="Q264" s="2517">
        <v>0.84366099999999999</v>
      </c>
      <c r="R264" s="2517">
        <v>0.58594500000000005</v>
      </c>
      <c r="S264" s="2532">
        <v>1.1200000000000001</v>
      </c>
      <c r="T264" s="2496"/>
      <c r="U264" s="2496"/>
      <c r="V264" s="2496"/>
      <c r="W264" s="2520"/>
      <c r="X264" s="2515"/>
      <c r="Y264" s="2515"/>
      <c r="Z264" s="2521"/>
      <c r="AA264" s="2505"/>
      <c r="AB264" s="2515"/>
      <c r="AC264" s="2496"/>
      <c r="AD264" s="2505"/>
      <c r="AE264" s="2515"/>
      <c r="AF264" s="2496"/>
      <c r="AG264" s="2505"/>
      <c r="AH264" s="2515"/>
    </row>
    <row r="265" spans="1:34">
      <c r="A265" s="2519">
        <v>2080</v>
      </c>
      <c r="B265" s="2514" t="s">
        <v>923</v>
      </c>
      <c r="C265" s="2496"/>
      <c r="D265" s="2530">
        <v>0.85302500000000003</v>
      </c>
      <c r="E265" s="2530">
        <v>0.60799300000000001</v>
      </c>
      <c r="F265" s="2531"/>
      <c r="G265" s="2530">
        <v>0.84336800000000001</v>
      </c>
      <c r="H265" s="2530">
        <v>0.59648199999999996</v>
      </c>
      <c r="I265" s="2496"/>
      <c r="J265" s="2517">
        <v>0.83173299999999994</v>
      </c>
      <c r="K265" s="2517">
        <v>0.58481399999999994</v>
      </c>
      <c r="L265" s="2497"/>
      <c r="M265" s="2517">
        <v>0.82081099999999996</v>
      </c>
      <c r="N265" s="2517">
        <v>0.573986</v>
      </c>
      <c r="O265" s="2532">
        <v>1.556</v>
      </c>
      <c r="P265" s="2536"/>
      <c r="Q265" s="2517">
        <v>0.80877100000000002</v>
      </c>
      <c r="R265" s="2517">
        <v>0.56513100000000005</v>
      </c>
      <c r="S265" s="2532">
        <v>1.01</v>
      </c>
      <c r="T265" s="2496"/>
      <c r="U265" s="2496"/>
      <c r="V265" s="2496"/>
      <c r="W265" s="2520"/>
      <c r="X265" s="2515"/>
      <c r="Y265" s="2515"/>
      <c r="Z265" s="2521"/>
      <c r="AA265" s="2505"/>
      <c r="AB265" s="2515"/>
      <c r="AC265" s="2496"/>
      <c r="AD265" s="2505"/>
      <c r="AE265" s="2515"/>
      <c r="AF265" s="2496"/>
      <c r="AG265" s="2505"/>
      <c r="AH265" s="2515"/>
    </row>
    <row r="266" spans="1:34">
      <c r="A266" s="2519">
        <v>2081</v>
      </c>
      <c r="B266" s="2514" t="s">
        <v>924</v>
      </c>
      <c r="C266" s="2496"/>
      <c r="D266" s="2530">
        <v>0.853765</v>
      </c>
      <c r="E266" s="2530">
        <v>0.60542499999999999</v>
      </c>
      <c r="F266" s="2531"/>
      <c r="G266" s="2530">
        <v>0.84541599999999995</v>
      </c>
      <c r="H266" s="2530">
        <v>0.59304199999999996</v>
      </c>
      <c r="I266" s="2496"/>
      <c r="J266" s="2517">
        <v>0.83471600000000001</v>
      </c>
      <c r="K266" s="2517">
        <v>0.58357499999999995</v>
      </c>
      <c r="L266" s="2497"/>
      <c r="M266" s="2517">
        <v>0.82368300000000005</v>
      </c>
      <c r="N266" s="2517">
        <v>0.57049799999999995</v>
      </c>
      <c r="O266" s="2532">
        <v>1.5529999999999999</v>
      </c>
      <c r="P266" s="2536"/>
      <c r="Q266" s="2517">
        <v>0.80967</v>
      </c>
      <c r="R266" s="2517">
        <v>0.56003400000000003</v>
      </c>
      <c r="S266" s="2532">
        <v>1.19</v>
      </c>
      <c r="T266" s="2496"/>
      <c r="U266" s="2496"/>
      <c r="V266" s="2496"/>
      <c r="W266" s="2520"/>
      <c r="X266" s="2515"/>
      <c r="Y266" s="2515"/>
      <c r="Z266" s="2521"/>
      <c r="AA266" s="2505"/>
      <c r="AB266" s="2515"/>
      <c r="AC266" s="2496"/>
      <c r="AD266" s="2505"/>
      <c r="AE266" s="2515"/>
      <c r="AF266" s="2496"/>
      <c r="AG266" s="2505"/>
      <c r="AH266" s="2515"/>
    </row>
    <row r="267" spans="1:34">
      <c r="A267" s="2519">
        <v>2082</v>
      </c>
      <c r="B267" s="2514" t="s">
        <v>925</v>
      </c>
      <c r="C267" s="2496"/>
      <c r="D267" s="2530">
        <v>0.86019500000000004</v>
      </c>
      <c r="E267" s="2530">
        <v>0.62260499999999996</v>
      </c>
      <c r="F267" s="2531"/>
      <c r="G267" s="2530">
        <v>0.85268999999999995</v>
      </c>
      <c r="H267" s="2530">
        <v>0.61497800000000002</v>
      </c>
      <c r="I267" s="2496"/>
      <c r="J267" s="2517">
        <v>0.841804</v>
      </c>
      <c r="K267" s="2517">
        <v>0.60103499999999999</v>
      </c>
      <c r="L267" s="2497"/>
      <c r="M267" s="2517">
        <v>0.83132700000000004</v>
      </c>
      <c r="N267" s="2517">
        <v>0.58629799999999999</v>
      </c>
      <c r="O267" s="2532">
        <v>1.4550000000000001</v>
      </c>
      <c r="P267" s="2536"/>
      <c r="Q267" s="2517">
        <v>0.82117899999999999</v>
      </c>
      <c r="R267" s="2517">
        <v>0.57804800000000001</v>
      </c>
      <c r="S267" s="2532">
        <v>0.7</v>
      </c>
      <c r="T267" s="2496"/>
      <c r="U267" s="2496"/>
      <c r="V267" s="2496"/>
      <c r="W267" s="2520"/>
      <c r="X267" s="2515"/>
      <c r="Y267" s="2515"/>
      <c r="Z267" s="2521"/>
      <c r="AA267" s="2505"/>
      <c r="AB267" s="2515"/>
      <c r="AC267" s="2496"/>
      <c r="AD267" s="2505"/>
      <c r="AE267" s="2515"/>
      <c r="AF267" s="2496"/>
      <c r="AG267" s="2505"/>
      <c r="AH267" s="2515"/>
    </row>
    <row r="268" spans="1:34">
      <c r="A268" s="2519">
        <v>2083</v>
      </c>
      <c r="B268" s="2514" t="s">
        <v>926</v>
      </c>
      <c r="C268" s="2496"/>
      <c r="D268" s="2530">
        <v>0.85998699999999995</v>
      </c>
      <c r="E268" s="2530">
        <v>0.62054699999999996</v>
      </c>
      <c r="F268" s="2531"/>
      <c r="G268" s="2530">
        <v>0.85068500000000002</v>
      </c>
      <c r="H268" s="2530">
        <v>0.60902199999999995</v>
      </c>
      <c r="I268" s="2496"/>
      <c r="J268" s="2517">
        <v>0.84342899999999998</v>
      </c>
      <c r="K268" s="2517">
        <v>0.59742499999999998</v>
      </c>
      <c r="L268" s="2497"/>
      <c r="M268" s="2517">
        <v>0.83439700000000006</v>
      </c>
      <c r="N268" s="2517">
        <v>0.58328400000000002</v>
      </c>
      <c r="O268" s="2532">
        <v>1.6459999999999999</v>
      </c>
      <c r="P268" s="2536"/>
      <c r="Q268" s="2517">
        <v>0.82382599999999995</v>
      </c>
      <c r="R268" s="2517">
        <v>0.57172400000000001</v>
      </c>
      <c r="S268" s="2532">
        <v>0.99</v>
      </c>
      <c r="T268" s="2496"/>
      <c r="U268" s="2496"/>
      <c r="V268" s="2496"/>
      <c r="W268" s="2520"/>
      <c r="X268" s="2515"/>
      <c r="Y268" s="2515"/>
      <c r="Z268" s="2521"/>
      <c r="AA268" s="2505"/>
      <c r="AB268" s="2515"/>
      <c r="AC268" s="2496"/>
      <c r="AD268" s="2505"/>
      <c r="AE268" s="2515"/>
      <c r="AF268" s="2496"/>
      <c r="AG268" s="2505"/>
      <c r="AH268" s="2515"/>
    </row>
    <row r="269" spans="1:34">
      <c r="A269" s="2519">
        <v>2084</v>
      </c>
      <c r="B269" s="2514" t="s">
        <v>927</v>
      </c>
      <c r="C269" s="2496"/>
      <c r="D269" s="2530">
        <v>0.85089499999999996</v>
      </c>
      <c r="E269" s="2530">
        <v>0.60208700000000004</v>
      </c>
      <c r="F269" s="2531"/>
      <c r="G269" s="2530">
        <v>0.84253</v>
      </c>
      <c r="H269" s="2530">
        <v>0.59183699999999995</v>
      </c>
      <c r="I269" s="2496"/>
      <c r="J269" s="2517">
        <v>0.83127700000000004</v>
      </c>
      <c r="K269" s="2517">
        <v>0.57947800000000005</v>
      </c>
      <c r="L269" s="2497"/>
      <c r="M269" s="2517">
        <v>0.81965100000000002</v>
      </c>
      <c r="N269" s="2517">
        <v>0.57160500000000003</v>
      </c>
      <c r="O269" s="2532">
        <v>1.6830000000000001</v>
      </c>
      <c r="P269" s="2536"/>
      <c r="Q269" s="2517">
        <v>0.80735999999999997</v>
      </c>
      <c r="R269" s="2517">
        <v>0.56074000000000002</v>
      </c>
      <c r="S269" s="2532">
        <v>1.46</v>
      </c>
      <c r="T269" s="2496"/>
      <c r="U269" s="2496"/>
      <c r="V269" s="2496"/>
      <c r="W269" s="2520"/>
      <c r="X269" s="2515"/>
      <c r="Y269" s="2515"/>
      <c r="Z269" s="2521"/>
      <c r="AA269" s="2505"/>
      <c r="AB269" s="2515"/>
      <c r="AC269" s="2496"/>
      <c r="AD269" s="2505"/>
      <c r="AE269" s="2515"/>
      <c r="AF269" s="2496"/>
      <c r="AG269" s="2505"/>
      <c r="AH269" s="2515"/>
    </row>
    <row r="270" spans="1:34">
      <c r="A270" s="2519">
        <v>2085</v>
      </c>
      <c r="B270" s="2514" t="s">
        <v>928</v>
      </c>
      <c r="C270" s="2496"/>
      <c r="D270" s="2530">
        <v>0.85543899999999995</v>
      </c>
      <c r="E270" s="2530">
        <v>0.61333199999999999</v>
      </c>
      <c r="F270" s="2531"/>
      <c r="G270" s="2530">
        <v>0.847549</v>
      </c>
      <c r="H270" s="2530">
        <v>0.60095699999999996</v>
      </c>
      <c r="I270" s="2496"/>
      <c r="J270" s="2517">
        <v>0.83806199999999997</v>
      </c>
      <c r="K270" s="2517">
        <v>0.58986700000000003</v>
      </c>
      <c r="L270" s="2497"/>
      <c r="M270" s="2517">
        <v>0.82463600000000004</v>
      </c>
      <c r="N270" s="2517">
        <v>0.57808099999999996</v>
      </c>
      <c r="O270" s="2532">
        <v>1.39</v>
      </c>
      <c r="P270" s="2536"/>
      <c r="Q270" s="2517">
        <v>0.80786100000000005</v>
      </c>
      <c r="R270" s="2517">
        <v>0.56857800000000003</v>
      </c>
      <c r="S270" s="2532">
        <v>0.83</v>
      </c>
      <c r="T270" s="2496"/>
      <c r="U270" s="2496"/>
      <c r="V270" s="2496"/>
      <c r="W270" s="2520"/>
      <c r="X270" s="2515"/>
      <c r="Y270" s="2515"/>
      <c r="Z270" s="2521"/>
      <c r="AA270" s="2505"/>
      <c r="AB270" s="2515"/>
      <c r="AC270" s="2496"/>
      <c r="AD270" s="2505"/>
      <c r="AE270" s="2515"/>
      <c r="AF270" s="2496"/>
      <c r="AG270" s="2505"/>
      <c r="AH270" s="2515"/>
    </row>
    <row r="271" spans="1:34">
      <c r="A271" s="2519">
        <v>2101</v>
      </c>
      <c r="B271" s="2514" t="s">
        <v>930</v>
      </c>
      <c r="C271" s="2496"/>
      <c r="D271" s="2530">
        <v>0.86758100000000005</v>
      </c>
      <c r="E271" s="2530">
        <v>0.62821300000000002</v>
      </c>
      <c r="F271" s="2531"/>
      <c r="G271" s="2530">
        <v>0.861842</v>
      </c>
      <c r="H271" s="2530">
        <v>0.61862799999999996</v>
      </c>
      <c r="I271" s="2496"/>
      <c r="J271" s="2517">
        <v>0.85406599999999999</v>
      </c>
      <c r="K271" s="2517">
        <v>0.60658500000000004</v>
      </c>
      <c r="L271" s="2497"/>
      <c r="M271" s="2517">
        <v>0.84791000000000005</v>
      </c>
      <c r="N271" s="2517">
        <v>0.59625700000000004</v>
      </c>
      <c r="O271" s="2532">
        <v>1.17</v>
      </c>
      <c r="P271" s="2536"/>
      <c r="Q271" s="2517">
        <v>0.83721000000000001</v>
      </c>
      <c r="R271" s="2517">
        <v>0.583619</v>
      </c>
      <c r="S271" s="2532">
        <v>1.17</v>
      </c>
      <c r="T271" s="2496"/>
      <c r="U271" s="2496"/>
      <c r="V271" s="2496"/>
      <c r="W271" s="2520"/>
      <c r="X271" s="2515"/>
      <c r="Y271" s="2515"/>
      <c r="Z271" s="2521"/>
      <c r="AA271" s="2505"/>
      <c r="AB271" s="2515"/>
      <c r="AC271" s="2496"/>
      <c r="AD271" s="2505"/>
      <c r="AE271" s="2515"/>
      <c r="AF271" s="2496"/>
      <c r="AG271" s="2505"/>
      <c r="AH271" s="2515"/>
    </row>
    <row r="272" spans="1:34">
      <c r="A272" s="2519">
        <v>2104</v>
      </c>
      <c r="B272" s="2514" t="s">
        <v>931</v>
      </c>
      <c r="C272" s="2496"/>
      <c r="D272" s="2530">
        <v>0.85953800000000002</v>
      </c>
      <c r="E272" s="2530">
        <v>0.592866</v>
      </c>
      <c r="F272" s="2531"/>
      <c r="G272" s="2530">
        <v>0.85231900000000005</v>
      </c>
      <c r="H272" s="2530">
        <v>0.59157099999999996</v>
      </c>
      <c r="I272" s="2496"/>
      <c r="J272" s="2517">
        <v>0.84170800000000001</v>
      </c>
      <c r="K272" s="2517">
        <v>0.58016199999999996</v>
      </c>
      <c r="L272" s="2497"/>
      <c r="M272" s="2517">
        <v>0.83127399999999996</v>
      </c>
      <c r="N272" s="2517">
        <v>0.57575100000000001</v>
      </c>
      <c r="O272" s="2532">
        <v>1.355</v>
      </c>
      <c r="P272" s="2536"/>
      <c r="Q272" s="2517">
        <v>0.81893300000000002</v>
      </c>
      <c r="R272" s="2517">
        <v>0.57204699999999997</v>
      </c>
      <c r="S272" s="2532">
        <v>0.66</v>
      </c>
      <c r="T272" s="2496"/>
      <c r="U272" s="2496"/>
      <c r="V272" s="2496"/>
      <c r="W272" s="2520"/>
      <c r="X272" s="2515"/>
      <c r="Y272" s="2515"/>
      <c r="Z272" s="2521"/>
      <c r="AA272" s="2505"/>
      <c r="AB272" s="2515"/>
      <c r="AC272" s="2496"/>
      <c r="AD272" s="2505"/>
      <c r="AE272" s="2515"/>
      <c r="AF272" s="2496"/>
      <c r="AG272" s="2505"/>
      <c r="AH272" s="2515"/>
    </row>
    <row r="273" spans="1:34">
      <c r="A273" s="2519">
        <v>2121</v>
      </c>
      <c r="B273" s="2514" t="s">
        <v>932</v>
      </c>
      <c r="C273" s="2496"/>
      <c r="D273" s="2530">
        <v>0.87592099999999995</v>
      </c>
      <c r="E273" s="2530">
        <v>0.63753599999999999</v>
      </c>
      <c r="F273" s="2531"/>
      <c r="G273" s="2530">
        <v>0.87121300000000002</v>
      </c>
      <c r="H273" s="2530">
        <v>0.62685400000000002</v>
      </c>
      <c r="I273" s="2496"/>
      <c r="J273" s="2517">
        <v>0.86415600000000004</v>
      </c>
      <c r="K273" s="2517">
        <v>0.61748199999999998</v>
      </c>
      <c r="L273" s="2497"/>
      <c r="M273" s="2517">
        <v>0.85733400000000004</v>
      </c>
      <c r="N273" s="2517">
        <v>0.60640700000000003</v>
      </c>
      <c r="O273" s="2532">
        <v>1.905</v>
      </c>
      <c r="P273" s="2536"/>
      <c r="Q273" s="2517">
        <v>0.84706700000000001</v>
      </c>
      <c r="R273" s="2517">
        <v>0.59690500000000002</v>
      </c>
      <c r="S273" s="2532">
        <v>1</v>
      </c>
      <c r="T273" s="2496"/>
      <c r="U273" s="2496"/>
      <c r="V273" s="2496"/>
      <c r="W273" s="2520"/>
      <c r="X273" s="2515"/>
      <c r="Y273" s="2515"/>
      <c r="Z273" s="2521"/>
      <c r="AA273" s="2505"/>
      <c r="AB273" s="2515"/>
      <c r="AC273" s="2496"/>
      <c r="AD273" s="2505"/>
      <c r="AE273" s="2515"/>
      <c r="AF273" s="2496"/>
      <c r="AG273" s="2505"/>
      <c r="AH273" s="2515"/>
    </row>
    <row r="274" spans="1:34">
      <c r="A274" s="2519">
        <v>2132</v>
      </c>
      <c r="B274" s="2514" t="s">
        <v>933</v>
      </c>
      <c r="C274" s="2496"/>
      <c r="D274" s="2530">
        <v>0.88122900000000004</v>
      </c>
      <c r="E274" s="2530">
        <v>0.63197300000000001</v>
      </c>
      <c r="F274" s="2531"/>
      <c r="G274" s="2530">
        <v>0.87626999999999999</v>
      </c>
      <c r="H274" s="2530">
        <v>0.62557200000000002</v>
      </c>
      <c r="I274" s="2496"/>
      <c r="J274" s="2517">
        <v>0.86960599999999999</v>
      </c>
      <c r="K274" s="2517">
        <v>0.61529100000000003</v>
      </c>
      <c r="L274" s="2497"/>
      <c r="M274" s="2517">
        <v>0.86224800000000001</v>
      </c>
      <c r="N274" s="2517">
        <v>0.60539900000000002</v>
      </c>
      <c r="O274" s="2532">
        <v>1.58</v>
      </c>
      <c r="P274" s="2536"/>
      <c r="Q274" s="2517">
        <v>0.85621100000000006</v>
      </c>
      <c r="R274" s="2517">
        <v>0.59482999999999997</v>
      </c>
      <c r="S274" s="2532">
        <v>0.14000000000000001</v>
      </c>
      <c r="T274" s="2496"/>
      <c r="U274" s="2496"/>
      <c r="V274" s="2496"/>
      <c r="W274" s="2520"/>
      <c r="X274" s="2515"/>
      <c r="Y274" s="2515"/>
      <c r="Z274" s="2521"/>
      <c r="AA274" s="2505"/>
      <c r="AB274" s="2515"/>
      <c r="AC274" s="2496"/>
      <c r="AD274" s="2505"/>
      <c r="AE274" s="2515"/>
      <c r="AF274" s="2496"/>
      <c r="AG274" s="2505"/>
      <c r="AH274" s="2515"/>
    </row>
    <row r="275" spans="1:34">
      <c r="A275" s="2519">
        <v>2161</v>
      </c>
      <c r="B275" s="2514" t="s">
        <v>934</v>
      </c>
      <c r="C275" s="2496"/>
      <c r="D275" s="2530">
        <v>0.86097800000000002</v>
      </c>
      <c r="E275" s="2530">
        <v>0.63999200000000001</v>
      </c>
      <c r="F275" s="2531"/>
      <c r="G275" s="2530">
        <v>0.85390299999999997</v>
      </c>
      <c r="H275" s="2530">
        <v>0.62758599999999998</v>
      </c>
      <c r="I275" s="2496"/>
      <c r="J275" s="2517">
        <v>0.84553999999999996</v>
      </c>
      <c r="K275" s="2517">
        <v>0.61695299999999997</v>
      </c>
      <c r="L275" s="2497"/>
      <c r="M275" s="2517">
        <v>0.83775699999999997</v>
      </c>
      <c r="N275" s="2517">
        <v>0.60667099999999996</v>
      </c>
      <c r="O275" s="2532">
        <v>1.8340000000000001</v>
      </c>
      <c r="P275" s="2536"/>
      <c r="Q275" s="2517">
        <v>0.82803499999999997</v>
      </c>
      <c r="R275" s="2517">
        <v>0.59743299999999999</v>
      </c>
      <c r="S275" s="2532">
        <v>0.88</v>
      </c>
      <c r="T275" s="2496"/>
      <c r="U275" s="2496"/>
      <c r="V275" s="2496"/>
      <c r="W275" s="2520"/>
      <c r="X275" s="2515"/>
      <c r="Y275" s="2515"/>
      <c r="Z275" s="2521"/>
      <c r="AA275" s="2505"/>
      <c r="AB275" s="2515"/>
      <c r="AC275" s="2496"/>
      <c r="AD275" s="2505"/>
      <c r="AE275" s="2515"/>
      <c r="AF275" s="2496"/>
      <c r="AG275" s="2505"/>
      <c r="AH275" s="2515"/>
    </row>
    <row r="276" spans="1:34">
      <c r="A276" s="2519">
        <v>2180</v>
      </c>
      <c r="B276" s="2514" t="s">
        <v>935</v>
      </c>
      <c r="C276" s="2496"/>
      <c r="D276" s="2530">
        <v>0.83994800000000003</v>
      </c>
      <c r="E276" s="2530">
        <v>0.59228199999999998</v>
      </c>
      <c r="F276" s="2531"/>
      <c r="G276" s="2530">
        <v>0.82891800000000004</v>
      </c>
      <c r="H276" s="2530">
        <v>0.58078200000000002</v>
      </c>
      <c r="I276" s="2496"/>
      <c r="J276" s="2517">
        <v>0.81520199999999998</v>
      </c>
      <c r="K276" s="2517">
        <v>0.57401000000000002</v>
      </c>
      <c r="L276" s="2497"/>
      <c r="M276" s="2517">
        <v>0.80049599999999999</v>
      </c>
      <c r="N276" s="2517">
        <v>0.56232000000000004</v>
      </c>
      <c r="O276" s="2532">
        <v>1.4790000000000001</v>
      </c>
      <c r="P276" s="2536"/>
      <c r="Q276" s="2517">
        <v>0.781891</v>
      </c>
      <c r="R276" s="2517">
        <v>0.55450999999999995</v>
      </c>
      <c r="S276" s="2532">
        <v>1.1100000000000001</v>
      </c>
      <c r="T276" s="2496"/>
      <c r="U276" s="2496"/>
      <c r="V276" s="2496"/>
      <c r="W276" s="2520"/>
      <c r="X276" s="2515"/>
      <c r="Y276" s="2515"/>
      <c r="Z276" s="2521"/>
      <c r="AA276" s="2505"/>
      <c r="AB276" s="2515"/>
      <c r="AC276" s="2496"/>
      <c r="AD276" s="2505"/>
      <c r="AE276" s="2515"/>
      <c r="AF276" s="2496"/>
      <c r="AG276" s="2505"/>
      <c r="AH276" s="2515"/>
    </row>
    <row r="277" spans="1:34">
      <c r="A277" s="2519">
        <v>2181</v>
      </c>
      <c r="B277" s="2514" t="s">
        <v>936</v>
      </c>
      <c r="C277" s="2496"/>
      <c r="D277" s="2530">
        <v>0.84687199999999996</v>
      </c>
      <c r="E277" s="2530">
        <v>0.60003099999999998</v>
      </c>
      <c r="F277" s="2531"/>
      <c r="G277" s="2530">
        <v>0.837449</v>
      </c>
      <c r="H277" s="2530">
        <v>0.59035899999999997</v>
      </c>
      <c r="I277" s="2496"/>
      <c r="J277" s="2517">
        <v>0.82650599999999996</v>
      </c>
      <c r="K277" s="2517">
        <v>0.58069700000000002</v>
      </c>
      <c r="L277" s="2497"/>
      <c r="M277" s="2517">
        <v>0.81542499999999996</v>
      </c>
      <c r="N277" s="2517">
        <v>0.57030099999999995</v>
      </c>
      <c r="O277" s="2532">
        <v>1.8859999999999999</v>
      </c>
      <c r="P277" s="2536"/>
      <c r="Q277" s="2517">
        <v>0.80127300000000001</v>
      </c>
      <c r="R277" s="2517">
        <v>0.56261700000000003</v>
      </c>
      <c r="S277" s="2532">
        <v>0.67</v>
      </c>
      <c r="T277" s="2496"/>
      <c r="U277" s="2496"/>
      <c r="V277" s="2496"/>
      <c r="W277" s="2520"/>
      <c r="X277" s="2515"/>
      <c r="Y277" s="2515"/>
      <c r="Z277" s="2521"/>
      <c r="AA277" s="2505"/>
      <c r="AB277" s="2515"/>
      <c r="AC277" s="2496"/>
      <c r="AD277" s="2505"/>
      <c r="AE277" s="2515"/>
      <c r="AF277" s="2496"/>
      <c r="AG277" s="2505"/>
      <c r="AH277" s="2515"/>
    </row>
    <row r="278" spans="1:34">
      <c r="A278" s="2519">
        <v>2182</v>
      </c>
      <c r="B278" s="2514" t="s">
        <v>937</v>
      </c>
      <c r="C278" s="2496"/>
      <c r="D278" s="2530">
        <v>0.86166399999999999</v>
      </c>
      <c r="E278" s="2530">
        <v>0.622838</v>
      </c>
      <c r="F278" s="2531"/>
      <c r="G278" s="2530">
        <v>0.84833000000000003</v>
      </c>
      <c r="H278" s="2530">
        <v>0.61062499999999997</v>
      </c>
      <c r="I278" s="2496"/>
      <c r="J278" s="2517">
        <v>0.83888700000000005</v>
      </c>
      <c r="K278" s="2517">
        <v>0.59912100000000001</v>
      </c>
      <c r="L278" s="2497"/>
      <c r="M278" s="2517">
        <v>0.82878099999999999</v>
      </c>
      <c r="N278" s="2517">
        <v>0.58761300000000005</v>
      </c>
      <c r="O278" s="2532">
        <v>1.337</v>
      </c>
      <c r="P278" s="2536"/>
      <c r="Q278" s="2517">
        <v>0.81523999999999996</v>
      </c>
      <c r="R278" s="2517">
        <v>0.57785399999999998</v>
      </c>
      <c r="S278" s="2532">
        <v>1.27</v>
      </c>
      <c r="T278" s="2496"/>
      <c r="U278" s="2496"/>
      <c r="V278" s="2496"/>
      <c r="W278" s="2520"/>
      <c r="X278" s="2515"/>
      <c r="Y278" s="2515"/>
      <c r="Z278" s="2521"/>
      <c r="AA278" s="2505"/>
      <c r="AB278" s="2515"/>
      <c r="AC278" s="2496"/>
      <c r="AD278" s="2505"/>
      <c r="AE278" s="2515"/>
      <c r="AF278" s="2496"/>
      <c r="AG278" s="2505"/>
      <c r="AH278" s="2515"/>
    </row>
    <row r="279" spans="1:34">
      <c r="A279" s="2519">
        <v>2183</v>
      </c>
      <c r="B279" s="2514" t="s">
        <v>938</v>
      </c>
      <c r="C279" s="2496"/>
      <c r="D279" s="2530">
        <v>0.86068299999999998</v>
      </c>
      <c r="E279" s="2530">
        <v>0.62453400000000003</v>
      </c>
      <c r="F279" s="2531"/>
      <c r="G279" s="2530">
        <v>0.85374499999999998</v>
      </c>
      <c r="H279" s="2530">
        <v>0.61405699999999996</v>
      </c>
      <c r="I279" s="2496"/>
      <c r="J279" s="2517">
        <v>0.84538199999999997</v>
      </c>
      <c r="K279" s="2517">
        <v>0.60367899999999997</v>
      </c>
      <c r="L279" s="2497"/>
      <c r="M279" s="2517">
        <v>0.83498700000000003</v>
      </c>
      <c r="N279" s="2517">
        <v>0.59410200000000002</v>
      </c>
      <c r="O279" s="2532">
        <v>1.504</v>
      </c>
      <c r="P279" s="2536"/>
      <c r="Q279" s="2517">
        <v>0.82238199999999995</v>
      </c>
      <c r="R279" s="2517">
        <v>0.58452000000000004</v>
      </c>
      <c r="S279" s="2532">
        <v>0.84</v>
      </c>
      <c r="T279" s="2496"/>
      <c r="U279" s="2496"/>
      <c r="V279" s="2496"/>
      <c r="W279" s="2520"/>
      <c r="X279" s="2515"/>
      <c r="Y279" s="2515"/>
      <c r="Z279" s="2521"/>
      <c r="AA279" s="2505"/>
      <c r="AB279" s="2515"/>
      <c r="AC279" s="2496"/>
      <c r="AD279" s="2505"/>
      <c r="AE279" s="2515"/>
      <c r="AF279" s="2496"/>
      <c r="AG279" s="2505"/>
      <c r="AH279" s="2515"/>
    </row>
    <row r="280" spans="1:34">
      <c r="A280" s="2519">
        <v>2184</v>
      </c>
      <c r="B280" s="2514" t="s">
        <v>939</v>
      </c>
      <c r="C280" s="2496"/>
      <c r="D280" s="2530">
        <v>0.86512699999999998</v>
      </c>
      <c r="E280" s="2530">
        <v>0.61917699999999998</v>
      </c>
      <c r="F280" s="2531"/>
      <c r="G280" s="2530">
        <v>0.85921400000000003</v>
      </c>
      <c r="H280" s="2530">
        <v>0.61028199999999999</v>
      </c>
      <c r="I280" s="2496"/>
      <c r="J280" s="2517">
        <v>0.84942200000000001</v>
      </c>
      <c r="K280" s="2517">
        <v>0.60125600000000001</v>
      </c>
      <c r="L280" s="2497"/>
      <c r="M280" s="2517">
        <v>0.83830800000000005</v>
      </c>
      <c r="N280" s="2517">
        <v>0.59154600000000002</v>
      </c>
      <c r="O280" s="2532">
        <v>1.538</v>
      </c>
      <c r="P280" s="2536"/>
      <c r="Q280" s="2517">
        <v>0.82871700000000004</v>
      </c>
      <c r="R280" s="2517">
        <v>0.581179</v>
      </c>
      <c r="S280" s="2532">
        <v>0.94</v>
      </c>
      <c r="T280" s="2496"/>
      <c r="U280" s="2496"/>
      <c r="V280" s="2496"/>
      <c r="W280" s="2520"/>
      <c r="X280" s="2515"/>
      <c r="Y280" s="2515"/>
      <c r="Z280" s="2521"/>
      <c r="AA280" s="2505"/>
      <c r="AB280" s="2515"/>
      <c r="AC280" s="2496"/>
      <c r="AD280" s="2505"/>
      <c r="AE280" s="2515"/>
      <c r="AF280" s="2496"/>
      <c r="AG280" s="2505"/>
      <c r="AH280" s="2515"/>
    </row>
    <row r="281" spans="1:34">
      <c r="A281" s="2519">
        <v>2260</v>
      </c>
      <c r="B281" s="2514" t="s">
        <v>941</v>
      </c>
      <c r="C281" s="2496"/>
      <c r="D281" s="2530">
        <v>0.87628200000000001</v>
      </c>
      <c r="E281" s="2530">
        <v>0.63826000000000005</v>
      </c>
      <c r="F281" s="2531"/>
      <c r="G281" s="2530">
        <v>0.86977800000000005</v>
      </c>
      <c r="H281" s="2530">
        <v>0.62837799999999999</v>
      </c>
      <c r="I281" s="2496"/>
      <c r="J281" s="2517">
        <v>0.86354600000000004</v>
      </c>
      <c r="K281" s="2517">
        <v>0.61824500000000004</v>
      </c>
      <c r="L281" s="2497"/>
      <c r="M281" s="2517">
        <v>0.85867700000000002</v>
      </c>
      <c r="N281" s="2517">
        <v>0.61135899999999999</v>
      </c>
      <c r="O281" s="2532">
        <v>1.27</v>
      </c>
      <c r="P281" s="2536"/>
      <c r="Q281" s="2517">
        <v>0.85457399999999994</v>
      </c>
      <c r="R281" s="2517">
        <v>0.60134699999999996</v>
      </c>
      <c r="S281" s="2532">
        <v>1.27</v>
      </c>
      <c r="T281" s="2496"/>
      <c r="U281" s="2496"/>
      <c r="V281" s="2496"/>
      <c r="W281" s="2520"/>
      <c r="X281" s="2515"/>
      <c r="Y281" s="2515"/>
      <c r="Z281" s="2521"/>
      <c r="AA281" s="2505"/>
      <c r="AB281" s="2515"/>
      <c r="AC281" s="2496"/>
      <c r="AD281" s="2505"/>
      <c r="AE281" s="2515"/>
      <c r="AF281" s="2496"/>
      <c r="AG281" s="2505"/>
      <c r="AH281" s="2515"/>
    </row>
    <row r="282" spans="1:34">
      <c r="A282" s="2519">
        <v>2262</v>
      </c>
      <c r="B282" s="2514" t="s">
        <v>942</v>
      </c>
      <c r="C282" s="2496"/>
      <c r="D282" s="2530">
        <v>0.85100900000000002</v>
      </c>
      <c r="E282" s="2530">
        <v>0.61501799999999995</v>
      </c>
      <c r="F282" s="2531"/>
      <c r="G282" s="2530">
        <v>0.84338999999999997</v>
      </c>
      <c r="H282" s="2530">
        <v>0.606263</v>
      </c>
      <c r="I282" s="2496"/>
      <c r="J282" s="2517">
        <v>0.83173399999999997</v>
      </c>
      <c r="K282" s="2517">
        <v>0.59414400000000001</v>
      </c>
      <c r="L282" s="2497"/>
      <c r="M282" s="2517">
        <v>0.82121500000000003</v>
      </c>
      <c r="N282" s="2517">
        <v>0.58388399999999996</v>
      </c>
      <c r="O282" s="2532">
        <v>1.72</v>
      </c>
      <c r="P282" s="2536"/>
      <c r="Q282" s="2517">
        <v>0.80465900000000001</v>
      </c>
      <c r="R282" s="2517">
        <v>0.57424500000000001</v>
      </c>
      <c r="S282" s="2532">
        <v>0.79</v>
      </c>
      <c r="T282" s="2496"/>
      <c r="U282" s="2496"/>
      <c r="V282" s="2496"/>
      <c r="W282" s="2520"/>
      <c r="X282" s="2515"/>
      <c r="Y282" s="2515"/>
      <c r="Z282" s="2521"/>
      <c r="AA282" s="2505"/>
      <c r="AB282" s="2515"/>
      <c r="AC282" s="2496"/>
      <c r="AD282" s="2505"/>
      <c r="AE282" s="2515"/>
      <c r="AF282" s="2496"/>
      <c r="AG282" s="2505"/>
      <c r="AH282" s="2515"/>
    </row>
    <row r="283" spans="1:34">
      <c r="A283" s="2519">
        <v>2280</v>
      </c>
      <c r="B283" s="2514" t="s">
        <v>943</v>
      </c>
      <c r="C283" s="2496"/>
      <c r="D283" s="2530">
        <v>0.86029599999999995</v>
      </c>
      <c r="E283" s="2530">
        <v>0.61075900000000005</v>
      </c>
      <c r="F283" s="2531"/>
      <c r="G283" s="2530">
        <v>0.85280900000000004</v>
      </c>
      <c r="H283" s="2530">
        <v>0.60037799999999997</v>
      </c>
      <c r="I283" s="2496"/>
      <c r="J283" s="2517">
        <v>0.84279000000000004</v>
      </c>
      <c r="K283" s="2517">
        <v>0.587974</v>
      </c>
      <c r="L283" s="2497"/>
      <c r="M283" s="2517">
        <v>0.83427700000000005</v>
      </c>
      <c r="N283" s="2517">
        <v>0.57885299999999995</v>
      </c>
      <c r="O283" s="2532">
        <v>1.5680000000000001</v>
      </c>
      <c r="P283" s="2536"/>
      <c r="Q283" s="2517">
        <v>0.823569</v>
      </c>
      <c r="R283" s="2517">
        <v>0.56850400000000001</v>
      </c>
      <c r="S283" s="2532">
        <v>0.84</v>
      </c>
      <c r="T283" s="2496"/>
      <c r="U283" s="2496"/>
      <c r="V283" s="2496"/>
      <c r="W283" s="2520"/>
      <c r="X283" s="2515"/>
      <c r="Y283" s="2515"/>
      <c r="Z283" s="2521"/>
      <c r="AA283" s="2505"/>
      <c r="AB283" s="2515"/>
      <c r="AC283" s="2496"/>
      <c r="AD283" s="2505"/>
      <c r="AE283" s="2515"/>
      <c r="AF283" s="2496"/>
      <c r="AG283" s="2505"/>
      <c r="AH283" s="2515"/>
    </row>
    <row r="284" spans="1:34">
      <c r="A284" s="2519">
        <v>2281</v>
      </c>
      <c r="B284" s="2514" t="s">
        <v>944</v>
      </c>
      <c r="C284" s="2496"/>
      <c r="D284" s="2530">
        <v>0.84684599999999999</v>
      </c>
      <c r="E284" s="2530">
        <v>0.61659799999999998</v>
      </c>
      <c r="F284" s="2531"/>
      <c r="G284" s="2530">
        <v>0.83886000000000005</v>
      </c>
      <c r="H284" s="2530">
        <v>0.60648599999999997</v>
      </c>
      <c r="I284" s="2496"/>
      <c r="J284" s="2517">
        <v>0.825353</v>
      </c>
      <c r="K284" s="2517">
        <v>0.59693600000000002</v>
      </c>
      <c r="L284" s="2497"/>
      <c r="M284" s="2517">
        <v>0.81150199999999995</v>
      </c>
      <c r="N284" s="2517">
        <v>0.58380699999999996</v>
      </c>
      <c r="O284" s="2532">
        <v>1.744</v>
      </c>
      <c r="P284" s="2536"/>
      <c r="Q284" s="2517">
        <v>0.79444499999999996</v>
      </c>
      <c r="R284" s="2517">
        <v>0.57435800000000004</v>
      </c>
      <c r="S284" s="2532">
        <v>0.87</v>
      </c>
      <c r="T284" s="2496"/>
      <c r="U284" s="2496"/>
      <c r="V284" s="2496"/>
      <c r="W284" s="2520"/>
      <c r="X284" s="2515"/>
      <c r="Y284" s="2515"/>
      <c r="Z284" s="2521"/>
      <c r="AA284" s="2505"/>
      <c r="AB284" s="2515"/>
      <c r="AC284" s="2496"/>
      <c r="AD284" s="2505"/>
      <c r="AE284" s="2515"/>
      <c r="AF284" s="2496"/>
      <c r="AG284" s="2505"/>
      <c r="AH284" s="2515"/>
    </row>
    <row r="285" spans="1:34">
      <c r="A285" s="2519">
        <v>2282</v>
      </c>
      <c r="B285" s="2514" t="s">
        <v>945</v>
      </c>
      <c r="C285" s="2496"/>
      <c r="D285" s="2530">
        <v>0.870923</v>
      </c>
      <c r="E285" s="2530">
        <v>0.61823099999999998</v>
      </c>
      <c r="F285" s="2531"/>
      <c r="G285" s="2530">
        <v>0.86508399999999996</v>
      </c>
      <c r="H285" s="2530">
        <v>0.60717200000000005</v>
      </c>
      <c r="I285" s="2496"/>
      <c r="J285" s="2517">
        <v>0.85854299999999995</v>
      </c>
      <c r="K285" s="2517">
        <v>0.59808899999999998</v>
      </c>
      <c r="L285" s="2497"/>
      <c r="M285" s="2517">
        <v>0.85353800000000002</v>
      </c>
      <c r="N285" s="2517">
        <v>0.58833400000000002</v>
      </c>
      <c r="O285" s="2532">
        <v>1.4359999999999999</v>
      </c>
      <c r="P285" s="2536"/>
      <c r="Q285" s="2517">
        <v>0.84591700000000003</v>
      </c>
      <c r="R285" s="2517">
        <v>0.578592</v>
      </c>
      <c r="S285" s="2532">
        <v>1.34</v>
      </c>
      <c r="T285" s="2496"/>
      <c r="U285" s="2496"/>
      <c r="V285" s="2496"/>
      <c r="W285" s="2520"/>
      <c r="X285" s="2515"/>
      <c r="Y285" s="2515"/>
      <c r="Z285" s="2521"/>
      <c r="AA285" s="2505"/>
      <c r="AB285" s="2515"/>
      <c r="AC285" s="2496"/>
      <c r="AD285" s="2505"/>
      <c r="AE285" s="2515"/>
      <c r="AF285" s="2496"/>
      <c r="AG285" s="2505"/>
      <c r="AH285" s="2515"/>
    </row>
    <row r="286" spans="1:34">
      <c r="A286" s="2519">
        <v>2283</v>
      </c>
      <c r="B286" s="2514" t="s">
        <v>946</v>
      </c>
      <c r="C286" s="2496"/>
      <c r="D286" s="2530">
        <v>0.87821800000000005</v>
      </c>
      <c r="E286" s="2530">
        <v>0.63425699999999996</v>
      </c>
      <c r="F286" s="2531"/>
      <c r="G286" s="2530">
        <v>0.87213399999999996</v>
      </c>
      <c r="H286" s="2530">
        <v>0.62586699999999995</v>
      </c>
      <c r="I286" s="2496"/>
      <c r="J286" s="2517">
        <v>0.86776900000000001</v>
      </c>
      <c r="K286" s="2517">
        <v>0.615282</v>
      </c>
      <c r="L286" s="2497"/>
      <c r="M286" s="2517">
        <v>0.86136199999999996</v>
      </c>
      <c r="N286" s="2517">
        <v>0.60539100000000001</v>
      </c>
      <c r="O286" s="2532">
        <v>1.5549999999999999</v>
      </c>
      <c r="P286" s="2536"/>
      <c r="Q286" s="2517">
        <v>0.85284199999999999</v>
      </c>
      <c r="R286" s="2517">
        <v>0.59472499999999995</v>
      </c>
      <c r="S286" s="2532">
        <v>1.41</v>
      </c>
      <c r="T286" s="2496"/>
      <c r="U286" s="2496"/>
      <c r="V286" s="2496"/>
      <c r="W286" s="2520"/>
      <c r="X286" s="2515"/>
      <c r="Y286" s="2515"/>
      <c r="Z286" s="2521"/>
      <c r="AA286" s="2505"/>
      <c r="AB286" s="2515"/>
      <c r="AC286" s="2496"/>
      <c r="AD286" s="2505"/>
      <c r="AE286" s="2515"/>
      <c r="AF286" s="2496"/>
      <c r="AG286" s="2505"/>
      <c r="AH286" s="2515"/>
    </row>
    <row r="287" spans="1:34">
      <c r="A287" s="2519">
        <v>2284</v>
      </c>
      <c r="B287" s="2514" t="s">
        <v>947</v>
      </c>
      <c r="C287" s="2496"/>
      <c r="D287" s="2530">
        <v>0.87044600000000005</v>
      </c>
      <c r="E287" s="2530">
        <v>0.62849299999999997</v>
      </c>
      <c r="F287" s="2531"/>
      <c r="G287" s="2530">
        <v>0.86407699999999998</v>
      </c>
      <c r="H287" s="2530">
        <v>0.62051400000000001</v>
      </c>
      <c r="I287" s="2496"/>
      <c r="J287" s="2517">
        <v>0.85737300000000005</v>
      </c>
      <c r="K287" s="2517">
        <v>0.61248999999999998</v>
      </c>
      <c r="L287" s="2497"/>
      <c r="M287" s="2517">
        <v>0.84902699999999998</v>
      </c>
      <c r="N287" s="2517">
        <v>0.60118400000000005</v>
      </c>
      <c r="O287" s="2532">
        <v>1.5409999999999999</v>
      </c>
      <c r="P287" s="2536"/>
      <c r="Q287" s="2517">
        <v>0.83868500000000001</v>
      </c>
      <c r="R287" s="2517">
        <v>0.58968799999999999</v>
      </c>
      <c r="S287" s="2532">
        <v>1.1200000000000001</v>
      </c>
      <c r="T287" s="2496"/>
      <c r="U287" s="2496"/>
      <c r="V287" s="2496"/>
      <c r="W287" s="2520"/>
      <c r="X287" s="2515"/>
      <c r="Y287" s="2515"/>
      <c r="Z287" s="2521"/>
      <c r="AA287" s="2505"/>
      <c r="AB287" s="2515"/>
      <c r="AC287" s="2496"/>
      <c r="AD287" s="2505"/>
      <c r="AE287" s="2515"/>
      <c r="AF287" s="2496"/>
      <c r="AG287" s="2505"/>
      <c r="AH287" s="2515"/>
    </row>
    <row r="288" spans="1:34">
      <c r="A288" s="2519">
        <v>2303</v>
      </c>
      <c r="B288" s="2514" t="s">
        <v>949</v>
      </c>
      <c r="C288" s="2496"/>
      <c r="D288" s="2530">
        <v>0.89471000000000001</v>
      </c>
      <c r="E288" s="2530">
        <v>0.66200700000000001</v>
      </c>
      <c r="F288" s="2531"/>
      <c r="G288" s="2530">
        <v>0.88777700000000004</v>
      </c>
      <c r="H288" s="2530">
        <v>0.65366199999999997</v>
      </c>
      <c r="I288" s="2496"/>
      <c r="J288" s="2517">
        <v>0.88095500000000004</v>
      </c>
      <c r="K288" s="2517">
        <v>0.64688800000000002</v>
      </c>
      <c r="L288" s="2497"/>
      <c r="M288" s="2517">
        <v>0.87856400000000001</v>
      </c>
      <c r="N288" s="2517">
        <v>0.63069699999999995</v>
      </c>
      <c r="O288" s="2532">
        <v>1.54</v>
      </c>
      <c r="P288" s="2536"/>
      <c r="Q288" s="2517">
        <v>0.87012699999999998</v>
      </c>
      <c r="R288" s="2517">
        <v>0.617811</v>
      </c>
      <c r="S288" s="2532">
        <v>0.15</v>
      </c>
      <c r="T288" s="2496"/>
      <c r="U288" s="2496"/>
      <c r="V288" s="2496"/>
      <c r="W288" s="2520"/>
      <c r="X288" s="2515"/>
      <c r="Y288" s="2515"/>
      <c r="Z288" s="2521"/>
      <c r="AA288" s="2505"/>
      <c r="AB288" s="2515"/>
      <c r="AC288" s="2496"/>
      <c r="AD288" s="2505"/>
      <c r="AE288" s="2515"/>
      <c r="AF288" s="2496"/>
      <c r="AG288" s="2505"/>
      <c r="AH288" s="2515"/>
    </row>
    <row r="289" spans="1:34">
      <c r="A289" s="2519">
        <v>2305</v>
      </c>
      <c r="B289" s="2514" t="s">
        <v>950</v>
      </c>
      <c r="C289" s="2496"/>
      <c r="D289" s="2530">
        <v>0.89116399999999996</v>
      </c>
      <c r="E289" s="2530">
        <v>0.64890099999999995</v>
      </c>
      <c r="F289" s="2531"/>
      <c r="G289" s="2530">
        <v>0.88908200000000004</v>
      </c>
      <c r="H289" s="2530">
        <v>0.64106200000000002</v>
      </c>
      <c r="I289" s="2496"/>
      <c r="J289" s="2517">
        <v>0.88409000000000004</v>
      </c>
      <c r="K289" s="2517">
        <v>0.63703500000000002</v>
      </c>
      <c r="L289" s="2497"/>
      <c r="M289" s="2517">
        <v>0.87995999999999996</v>
      </c>
      <c r="N289" s="2517">
        <v>0.62728399999999995</v>
      </c>
      <c r="O289" s="2532" t="s">
        <v>390</v>
      </c>
      <c r="P289" s="2536"/>
      <c r="Q289" s="2517">
        <v>0.87339199999999995</v>
      </c>
      <c r="R289" s="2517">
        <v>0.61791099999999999</v>
      </c>
      <c r="S289" s="2532">
        <v>1.46</v>
      </c>
      <c r="T289" s="2496"/>
      <c r="U289" s="2496"/>
      <c r="V289" s="2496"/>
      <c r="W289" s="2520"/>
      <c r="X289" s="2515"/>
      <c r="Y289" s="2515"/>
      <c r="Z289" s="2521"/>
      <c r="AA289" s="2505"/>
      <c r="AB289" s="2515"/>
      <c r="AC289" s="2496"/>
      <c r="AD289" s="2505"/>
      <c r="AE289" s="2515"/>
      <c r="AF289" s="2496"/>
      <c r="AG289" s="2505"/>
      <c r="AH289" s="2515"/>
    </row>
    <row r="290" spans="1:34">
      <c r="A290" s="2519">
        <v>2309</v>
      </c>
      <c r="B290" s="2514" t="s">
        <v>951</v>
      </c>
      <c r="C290" s="2496"/>
      <c r="D290" s="2530">
        <v>0.89209099999999997</v>
      </c>
      <c r="E290" s="2530">
        <v>0.66313800000000001</v>
      </c>
      <c r="F290" s="2531"/>
      <c r="G290" s="2530">
        <v>0.88871199999999995</v>
      </c>
      <c r="H290" s="2530">
        <v>0.65487899999999999</v>
      </c>
      <c r="I290" s="2496"/>
      <c r="J290" s="2517">
        <v>0.88371299999999997</v>
      </c>
      <c r="K290" s="2517">
        <v>0.64516300000000004</v>
      </c>
      <c r="L290" s="2497"/>
      <c r="M290" s="2517">
        <v>0.87967200000000001</v>
      </c>
      <c r="N290" s="2517">
        <v>0.63408900000000001</v>
      </c>
      <c r="O290" s="2532">
        <v>1.6679999999999999</v>
      </c>
      <c r="P290" s="2536"/>
      <c r="Q290" s="2517">
        <v>0.87312999999999996</v>
      </c>
      <c r="R290" s="2517">
        <v>0.62377499999999997</v>
      </c>
      <c r="S290" s="2532">
        <v>0.68</v>
      </c>
      <c r="T290" s="2496"/>
      <c r="U290" s="2496"/>
      <c r="V290" s="2496"/>
      <c r="W290" s="2520"/>
      <c r="X290" s="2515"/>
      <c r="Y290" s="2515"/>
      <c r="Z290" s="2521"/>
      <c r="AA290" s="2505"/>
      <c r="AB290" s="2515"/>
      <c r="AC290" s="2496"/>
      <c r="AD290" s="2505"/>
      <c r="AE290" s="2515"/>
      <c r="AF290" s="2496"/>
      <c r="AG290" s="2505"/>
      <c r="AH290" s="2515"/>
    </row>
    <row r="291" spans="1:34">
      <c r="A291" s="2519">
        <v>2313</v>
      </c>
      <c r="B291" s="2514" t="s">
        <v>952</v>
      </c>
      <c r="C291" s="2496"/>
      <c r="D291" s="2530">
        <v>0.89767799999999998</v>
      </c>
      <c r="E291" s="2530">
        <v>0.66133299999999995</v>
      </c>
      <c r="F291" s="2531"/>
      <c r="G291" s="2530">
        <v>0.89547900000000002</v>
      </c>
      <c r="H291" s="2530">
        <v>0.65310000000000001</v>
      </c>
      <c r="I291" s="2496"/>
      <c r="J291" s="2517">
        <v>0.89095599999999997</v>
      </c>
      <c r="K291" s="2517">
        <v>0.64354</v>
      </c>
      <c r="L291" s="2497"/>
      <c r="M291" s="2517">
        <v>0.88808399999999998</v>
      </c>
      <c r="N291" s="2517">
        <v>0.63838600000000001</v>
      </c>
      <c r="O291" s="2532">
        <v>1.8859999999999999</v>
      </c>
      <c r="P291" s="2536"/>
      <c r="Q291" s="2517">
        <v>0.88384099999999999</v>
      </c>
      <c r="R291" s="2517">
        <v>0.62967899999999999</v>
      </c>
      <c r="S291" s="2532">
        <v>1.79</v>
      </c>
      <c r="T291" s="2496"/>
      <c r="U291" s="2496"/>
      <c r="V291" s="2496"/>
      <c r="W291" s="2520"/>
      <c r="X291" s="2515"/>
      <c r="Y291" s="2515"/>
      <c r="Z291" s="2521"/>
      <c r="AA291" s="2505"/>
      <c r="AB291" s="2515"/>
      <c r="AC291" s="2496"/>
      <c r="AD291" s="2505"/>
      <c r="AE291" s="2515"/>
      <c r="AF291" s="2496"/>
      <c r="AG291" s="2505"/>
      <c r="AH291" s="2515"/>
    </row>
    <row r="292" spans="1:34">
      <c r="A292" s="2519">
        <v>2321</v>
      </c>
      <c r="B292" s="2514" t="s">
        <v>953</v>
      </c>
      <c r="C292" s="2496"/>
      <c r="D292" s="2530">
        <v>0.89308200000000004</v>
      </c>
      <c r="E292" s="2530">
        <v>0.66300400000000004</v>
      </c>
      <c r="F292" s="2531"/>
      <c r="G292" s="2530">
        <v>0.88995000000000002</v>
      </c>
      <c r="H292" s="2530">
        <v>0.655281</v>
      </c>
      <c r="I292" s="2496"/>
      <c r="J292" s="2517">
        <v>0.885598</v>
      </c>
      <c r="K292" s="2517">
        <v>0.64484799999999998</v>
      </c>
      <c r="L292" s="2497"/>
      <c r="M292" s="2517">
        <v>0.87719899999999995</v>
      </c>
      <c r="N292" s="2517">
        <v>0.63239800000000002</v>
      </c>
      <c r="O292" s="2532">
        <v>1.7949999999999999</v>
      </c>
      <c r="P292" s="2536"/>
      <c r="Q292" s="2517">
        <v>0.87050899999999998</v>
      </c>
      <c r="R292" s="2517">
        <v>0.62381500000000001</v>
      </c>
      <c r="S292" s="2532">
        <v>1</v>
      </c>
      <c r="T292" s="2496"/>
      <c r="U292" s="2496"/>
      <c r="V292" s="2496"/>
      <c r="W292" s="2520"/>
      <c r="X292" s="2515"/>
      <c r="Y292" s="2515"/>
      <c r="Z292" s="2521"/>
      <c r="AA292" s="2505"/>
      <c r="AB292" s="2515"/>
      <c r="AC292" s="2496"/>
      <c r="AD292" s="2505"/>
      <c r="AE292" s="2515"/>
      <c r="AF292" s="2496"/>
      <c r="AG292" s="2505"/>
      <c r="AH292" s="2515"/>
    </row>
    <row r="293" spans="1:34">
      <c r="A293" s="2519">
        <v>2326</v>
      </c>
      <c r="B293" s="2514" t="s">
        <v>954</v>
      </c>
      <c r="C293" s="2496"/>
      <c r="D293" s="2530">
        <v>0.89451599999999998</v>
      </c>
      <c r="E293" s="2530">
        <v>0.66913199999999995</v>
      </c>
      <c r="F293" s="2531"/>
      <c r="G293" s="2530">
        <v>0.89193900000000004</v>
      </c>
      <c r="H293" s="2530">
        <v>0.66327599999999998</v>
      </c>
      <c r="I293" s="2496"/>
      <c r="J293" s="2517">
        <v>0.88675300000000001</v>
      </c>
      <c r="K293" s="2517">
        <v>0.65211600000000003</v>
      </c>
      <c r="L293" s="2497"/>
      <c r="M293" s="2517">
        <v>0.88174699999999995</v>
      </c>
      <c r="N293" s="2517">
        <v>0.64599099999999998</v>
      </c>
      <c r="O293" s="2532">
        <v>1.694</v>
      </c>
      <c r="P293" s="2536"/>
      <c r="Q293" s="2517">
        <v>0.87655499999999997</v>
      </c>
      <c r="R293" s="2517">
        <v>0.63597099999999995</v>
      </c>
      <c r="S293" s="2532">
        <v>0.74</v>
      </c>
      <c r="T293" s="2496"/>
      <c r="U293" s="2496"/>
      <c r="V293" s="2496"/>
      <c r="W293" s="2520"/>
      <c r="X293" s="2515"/>
      <c r="Y293" s="2515"/>
      <c r="Z293" s="2521"/>
      <c r="AA293" s="2505"/>
      <c r="AB293" s="2515"/>
      <c r="AC293" s="2496"/>
      <c r="AD293" s="2505"/>
      <c r="AE293" s="2515"/>
      <c r="AF293" s="2496"/>
      <c r="AG293" s="2505"/>
      <c r="AH293" s="2515"/>
    </row>
    <row r="294" spans="1:34">
      <c r="A294" s="2519">
        <v>2361</v>
      </c>
      <c r="B294" s="2514" t="s">
        <v>955</v>
      </c>
      <c r="C294" s="2496"/>
      <c r="D294" s="2530">
        <v>0.89118399999999998</v>
      </c>
      <c r="E294" s="2530">
        <v>0.67477500000000001</v>
      </c>
      <c r="F294" s="2531"/>
      <c r="G294" s="2530">
        <v>0.88700800000000002</v>
      </c>
      <c r="H294" s="2530">
        <v>0.66391800000000001</v>
      </c>
      <c r="I294" s="2496"/>
      <c r="J294" s="2517">
        <v>0.88359699999999997</v>
      </c>
      <c r="K294" s="2517">
        <v>0.65001100000000001</v>
      </c>
      <c r="L294" s="2497"/>
      <c r="M294" s="2517">
        <v>0.87877499999999997</v>
      </c>
      <c r="N294" s="2517">
        <v>0.64004499999999998</v>
      </c>
      <c r="O294" s="2532" t="s">
        <v>390</v>
      </c>
      <c r="P294" s="2536"/>
      <c r="Q294" s="2517">
        <v>0.87411399999999995</v>
      </c>
      <c r="R294" s="2517">
        <v>0.62832200000000005</v>
      </c>
      <c r="S294" s="2532" t="s">
        <v>390</v>
      </c>
      <c r="T294" s="2496"/>
      <c r="U294" s="2496"/>
      <c r="V294" s="2496"/>
      <c r="W294" s="2520"/>
      <c r="X294" s="2515"/>
      <c r="Y294" s="2515"/>
      <c r="Z294" s="2521"/>
      <c r="AA294" s="2505"/>
      <c r="AB294" s="2515"/>
      <c r="AC294" s="2496"/>
      <c r="AD294" s="2505"/>
      <c r="AE294" s="2515"/>
      <c r="AF294" s="2496"/>
      <c r="AG294" s="2505"/>
      <c r="AH294" s="2515"/>
    </row>
    <row r="295" spans="1:34">
      <c r="A295" s="2519">
        <v>2380</v>
      </c>
      <c r="B295" s="2514" t="s">
        <v>956</v>
      </c>
      <c r="C295" s="2496"/>
      <c r="D295" s="2530">
        <v>0.87813699999999995</v>
      </c>
      <c r="E295" s="2530">
        <v>0.63183900000000004</v>
      </c>
      <c r="F295" s="2531"/>
      <c r="G295" s="2530">
        <v>0.87238300000000002</v>
      </c>
      <c r="H295" s="2530">
        <v>0.61914800000000003</v>
      </c>
      <c r="I295" s="2496"/>
      <c r="J295" s="2517">
        <v>0.86502599999999996</v>
      </c>
      <c r="K295" s="2517">
        <v>0.60914999999999997</v>
      </c>
      <c r="L295" s="2497"/>
      <c r="M295" s="2517">
        <v>0.85828499999999996</v>
      </c>
      <c r="N295" s="2517">
        <v>0.60314299999999998</v>
      </c>
      <c r="O295" s="2532">
        <v>1.643</v>
      </c>
      <c r="P295" s="2536"/>
      <c r="Q295" s="2517">
        <v>0.84706099999999995</v>
      </c>
      <c r="R295" s="2517">
        <v>0.59315200000000001</v>
      </c>
      <c r="S295" s="2532">
        <v>0.81</v>
      </c>
      <c r="T295" s="2496"/>
      <c r="U295" s="2496"/>
      <c r="V295" s="2496"/>
      <c r="W295" s="2520"/>
      <c r="X295" s="2515"/>
      <c r="Y295" s="2515"/>
      <c r="Z295" s="2521"/>
      <c r="AA295" s="2505"/>
      <c r="AB295" s="2515"/>
      <c r="AC295" s="2496"/>
      <c r="AD295" s="2505"/>
      <c r="AE295" s="2515"/>
      <c r="AF295" s="2496"/>
      <c r="AG295" s="2505"/>
      <c r="AH295" s="2515"/>
    </row>
    <row r="296" spans="1:34">
      <c r="A296" s="2519">
        <v>2401</v>
      </c>
      <c r="B296" s="2514" t="s">
        <v>958</v>
      </c>
      <c r="C296" s="2496"/>
      <c r="D296" s="2530">
        <v>0.87987599999999999</v>
      </c>
      <c r="E296" s="2530">
        <v>0.62513099999999999</v>
      </c>
      <c r="F296" s="2531"/>
      <c r="G296" s="2530">
        <v>0.87704099999999996</v>
      </c>
      <c r="H296" s="2530">
        <v>0.61661900000000003</v>
      </c>
      <c r="I296" s="2496"/>
      <c r="J296" s="2517">
        <v>0.86738700000000002</v>
      </c>
      <c r="K296" s="2517">
        <v>0.608958</v>
      </c>
      <c r="L296" s="2497"/>
      <c r="M296" s="2517">
        <v>0.86205100000000001</v>
      </c>
      <c r="N296" s="2517">
        <v>0.59928000000000003</v>
      </c>
      <c r="O296" s="2532" t="s">
        <v>390</v>
      </c>
      <c r="P296" s="2536"/>
      <c r="Q296" s="2517">
        <v>0.85392999999999997</v>
      </c>
      <c r="R296" s="2517">
        <v>0.59193499999999999</v>
      </c>
      <c r="S296" s="2532">
        <v>0.17</v>
      </c>
      <c r="T296" s="2496"/>
      <c r="U296" s="2496"/>
      <c r="V296" s="2496"/>
      <c r="W296" s="2520"/>
      <c r="X296" s="2515"/>
      <c r="Y296" s="2515"/>
      <c r="Z296" s="2521"/>
      <c r="AA296" s="2505"/>
      <c r="AB296" s="2515"/>
      <c r="AC296" s="2496"/>
      <c r="AD296" s="2505"/>
      <c r="AE296" s="2515"/>
      <c r="AF296" s="2496"/>
      <c r="AG296" s="2505"/>
      <c r="AH296" s="2515"/>
    </row>
    <row r="297" spans="1:34">
      <c r="A297" s="2519">
        <v>2403</v>
      </c>
      <c r="B297" s="2514" t="s">
        <v>959</v>
      </c>
      <c r="C297" s="2496"/>
      <c r="D297" s="2530">
        <v>0.89087499999999997</v>
      </c>
      <c r="E297" s="2530">
        <v>0.65421300000000004</v>
      </c>
      <c r="F297" s="2531"/>
      <c r="G297" s="2530">
        <v>0.88781200000000005</v>
      </c>
      <c r="H297" s="2530">
        <v>0.65368499999999996</v>
      </c>
      <c r="I297" s="2496"/>
      <c r="J297" s="2517">
        <v>0.88130699999999995</v>
      </c>
      <c r="K297" s="2517">
        <v>0.64368599999999998</v>
      </c>
      <c r="L297" s="2497"/>
      <c r="M297" s="2517">
        <v>0.87725600000000004</v>
      </c>
      <c r="N297" s="2517">
        <v>0.641733</v>
      </c>
      <c r="O297" s="2532" t="s">
        <v>390</v>
      </c>
      <c r="P297" s="2536"/>
      <c r="Q297" s="2517">
        <v>0.87267799999999995</v>
      </c>
      <c r="R297" s="2517">
        <v>0.62905599999999995</v>
      </c>
      <c r="S297" s="2532">
        <v>1.33</v>
      </c>
      <c r="T297" s="2496"/>
      <c r="U297" s="2496"/>
      <c r="V297" s="2496"/>
      <c r="W297" s="2520"/>
      <c r="X297" s="2515"/>
      <c r="Y297" s="2515"/>
      <c r="Z297" s="2521"/>
      <c r="AA297" s="2505"/>
      <c r="AB297" s="2515"/>
      <c r="AC297" s="2496"/>
      <c r="AD297" s="2505"/>
      <c r="AE297" s="2515"/>
      <c r="AF297" s="2496"/>
      <c r="AG297" s="2505"/>
      <c r="AH297" s="2515"/>
    </row>
    <row r="298" spans="1:34">
      <c r="A298" s="2519">
        <v>2404</v>
      </c>
      <c r="B298" s="2514" t="s">
        <v>960</v>
      </c>
      <c r="C298" s="2496"/>
      <c r="D298" s="2530">
        <v>0.89349800000000001</v>
      </c>
      <c r="E298" s="2530">
        <v>0.64408900000000002</v>
      </c>
      <c r="F298" s="2531"/>
      <c r="G298" s="2530">
        <v>0.89176500000000003</v>
      </c>
      <c r="H298" s="2530">
        <v>0.63367799999999996</v>
      </c>
      <c r="I298" s="2496"/>
      <c r="J298" s="2517">
        <v>0.88363199999999997</v>
      </c>
      <c r="K298" s="2517">
        <v>0.62493600000000005</v>
      </c>
      <c r="L298" s="2497"/>
      <c r="M298" s="2517">
        <v>0.87900100000000003</v>
      </c>
      <c r="N298" s="2517">
        <v>0.61618300000000004</v>
      </c>
      <c r="O298" s="2532">
        <v>1.78</v>
      </c>
      <c r="P298" s="2536"/>
      <c r="Q298" s="2517">
        <v>0.87286799999999998</v>
      </c>
      <c r="R298" s="2517">
        <v>0.60915699999999995</v>
      </c>
      <c r="S298" s="2532">
        <v>0.17</v>
      </c>
      <c r="T298" s="2496"/>
      <c r="U298" s="2496"/>
      <c r="V298" s="2496"/>
      <c r="W298" s="2520"/>
      <c r="X298" s="2515"/>
      <c r="Y298" s="2515"/>
      <c r="Z298" s="2521"/>
      <c r="AA298" s="2505"/>
      <c r="AB298" s="2515"/>
      <c r="AC298" s="2496"/>
      <c r="AD298" s="2505"/>
      <c r="AE298" s="2515"/>
      <c r="AF298" s="2496"/>
      <c r="AG298" s="2505"/>
      <c r="AH298" s="2515"/>
    </row>
    <row r="299" spans="1:34">
      <c r="A299" s="2519">
        <v>2409</v>
      </c>
      <c r="B299" s="2514" t="s">
        <v>961</v>
      </c>
      <c r="C299" s="2496"/>
      <c r="D299" s="2530">
        <v>0.885961</v>
      </c>
      <c r="E299" s="2530">
        <v>0.63118399999999997</v>
      </c>
      <c r="F299" s="2531"/>
      <c r="G299" s="2530">
        <v>0.88166500000000003</v>
      </c>
      <c r="H299" s="2530">
        <v>0.62209099999999995</v>
      </c>
      <c r="I299" s="2496"/>
      <c r="J299" s="2517">
        <v>0.87439999999999996</v>
      </c>
      <c r="K299" s="2517">
        <v>0.61304099999999995</v>
      </c>
      <c r="L299" s="2497"/>
      <c r="M299" s="2517">
        <v>0.86670599999999998</v>
      </c>
      <c r="N299" s="2517">
        <v>0.60220600000000002</v>
      </c>
      <c r="O299" s="2532">
        <v>1.78</v>
      </c>
      <c r="P299" s="2536"/>
      <c r="Q299" s="2517">
        <v>0.86065999999999998</v>
      </c>
      <c r="R299" s="2517">
        <v>0.59204199999999996</v>
      </c>
      <c r="S299" s="2532">
        <v>0.17</v>
      </c>
      <c r="T299" s="2496"/>
      <c r="U299" s="2496"/>
      <c r="V299" s="2496"/>
      <c r="W299" s="2520"/>
      <c r="X299" s="2515"/>
      <c r="Y299" s="2515"/>
      <c r="Z299" s="2521"/>
      <c r="AA299" s="2505"/>
      <c r="AB299" s="2515"/>
      <c r="AC299" s="2496"/>
      <c r="AD299" s="2505"/>
      <c r="AE299" s="2515"/>
      <c r="AF299" s="2496"/>
      <c r="AG299" s="2505"/>
      <c r="AH299" s="2515"/>
    </row>
    <row r="300" spans="1:34">
      <c r="A300" s="2519">
        <v>2417</v>
      </c>
      <c r="B300" s="2514" t="s">
        <v>962</v>
      </c>
      <c r="C300" s="2496"/>
      <c r="D300" s="2530">
        <v>0.88643099999999997</v>
      </c>
      <c r="E300" s="2530">
        <v>0.64576299999999998</v>
      </c>
      <c r="F300" s="2531"/>
      <c r="G300" s="2530">
        <v>0.88499399999999995</v>
      </c>
      <c r="H300" s="2530">
        <v>0.635185</v>
      </c>
      <c r="I300" s="2496"/>
      <c r="J300" s="2517">
        <v>0.87887199999999999</v>
      </c>
      <c r="K300" s="2517">
        <v>0.62491799999999997</v>
      </c>
      <c r="L300" s="2497"/>
      <c r="M300" s="2517">
        <v>0.87503699999999995</v>
      </c>
      <c r="N300" s="2517">
        <v>0.61737399999999998</v>
      </c>
      <c r="O300" s="2532" t="s">
        <v>390</v>
      </c>
      <c r="P300" s="2536"/>
      <c r="Q300" s="2517">
        <v>0.86925200000000002</v>
      </c>
      <c r="R300" s="2517">
        <v>0.60992299999999999</v>
      </c>
      <c r="S300" s="2532" t="s">
        <v>390</v>
      </c>
      <c r="T300" s="2496"/>
      <c r="U300" s="2496"/>
      <c r="V300" s="2496"/>
      <c r="W300" s="2520"/>
      <c r="X300" s="2515"/>
      <c r="Y300" s="2515"/>
      <c r="Z300" s="2521"/>
      <c r="AA300" s="2505"/>
      <c r="AB300" s="2515"/>
      <c r="AC300" s="2496"/>
      <c r="AD300" s="2505"/>
      <c r="AE300" s="2515"/>
      <c r="AF300" s="2496"/>
      <c r="AG300" s="2505"/>
      <c r="AH300" s="2515"/>
    </row>
    <row r="301" spans="1:34">
      <c r="A301" s="2519">
        <v>2418</v>
      </c>
      <c r="B301" s="2514" t="s">
        <v>963</v>
      </c>
      <c r="C301" s="2496"/>
      <c r="D301" s="2530">
        <v>0.88300100000000004</v>
      </c>
      <c r="E301" s="2530">
        <v>0.65016099999999999</v>
      </c>
      <c r="F301" s="2531"/>
      <c r="G301" s="2530">
        <v>0.87815100000000001</v>
      </c>
      <c r="H301" s="2530">
        <v>0.64347500000000002</v>
      </c>
      <c r="I301" s="2496"/>
      <c r="J301" s="2517">
        <v>0.87513799999999997</v>
      </c>
      <c r="K301" s="2517">
        <v>0.63605</v>
      </c>
      <c r="L301" s="2497"/>
      <c r="M301" s="2517">
        <v>0.86692199999999997</v>
      </c>
      <c r="N301" s="2517">
        <v>0.631332</v>
      </c>
      <c r="O301" s="2532" t="s">
        <v>390</v>
      </c>
      <c r="P301" s="2536"/>
      <c r="Q301" s="2517">
        <v>0.86156600000000005</v>
      </c>
      <c r="R301" s="2517">
        <v>0.61857399999999996</v>
      </c>
      <c r="S301" s="2532">
        <v>2.15</v>
      </c>
      <c r="T301" s="2496"/>
      <c r="U301" s="2496"/>
      <c r="V301" s="2496"/>
      <c r="W301" s="2520"/>
      <c r="X301" s="2515"/>
      <c r="Y301" s="2515"/>
      <c r="Z301" s="2521"/>
      <c r="AA301" s="2505"/>
      <c r="AB301" s="2515"/>
      <c r="AC301" s="2496"/>
      <c r="AD301" s="2505"/>
      <c r="AE301" s="2515"/>
      <c r="AF301" s="2496"/>
      <c r="AG301" s="2505"/>
      <c r="AH301" s="2515"/>
    </row>
    <row r="302" spans="1:34">
      <c r="A302" s="2519">
        <v>2421</v>
      </c>
      <c r="B302" s="2514" t="s">
        <v>964</v>
      </c>
      <c r="C302" s="2496"/>
      <c r="D302" s="2530">
        <v>0.896119</v>
      </c>
      <c r="E302" s="2530">
        <v>0.66186599999999995</v>
      </c>
      <c r="F302" s="2531"/>
      <c r="G302" s="2530">
        <v>0.89343099999999998</v>
      </c>
      <c r="H302" s="2530">
        <v>0.65054100000000004</v>
      </c>
      <c r="I302" s="2496"/>
      <c r="J302" s="2517">
        <v>0.891204</v>
      </c>
      <c r="K302" s="2517">
        <v>0.64585800000000004</v>
      </c>
      <c r="L302" s="2497"/>
      <c r="M302" s="2517">
        <v>0.88291699999999995</v>
      </c>
      <c r="N302" s="2517">
        <v>0.63552200000000003</v>
      </c>
      <c r="O302" s="2532" t="s">
        <v>390</v>
      </c>
      <c r="P302" s="2536"/>
      <c r="Q302" s="2517">
        <v>0.87899300000000002</v>
      </c>
      <c r="R302" s="2517">
        <v>0.62440099999999998</v>
      </c>
      <c r="S302" s="2532">
        <v>1.61</v>
      </c>
      <c r="T302" s="2496"/>
      <c r="U302" s="2496"/>
      <c r="V302" s="2496"/>
      <c r="W302" s="2520"/>
      <c r="X302" s="2515"/>
      <c r="Y302" s="2515"/>
      <c r="Z302" s="2521"/>
      <c r="AA302" s="2505"/>
      <c r="AB302" s="2515"/>
      <c r="AC302" s="2496"/>
      <c r="AD302" s="2505"/>
      <c r="AE302" s="2515"/>
      <c r="AF302" s="2496"/>
      <c r="AG302" s="2505"/>
      <c r="AH302" s="2515"/>
    </row>
    <row r="303" spans="1:34">
      <c r="A303" s="2519">
        <v>2422</v>
      </c>
      <c r="B303" s="2514" t="s">
        <v>965</v>
      </c>
      <c r="C303" s="2496"/>
      <c r="D303" s="2530">
        <v>0.89821399999999996</v>
      </c>
      <c r="E303" s="2530">
        <v>0.66039000000000003</v>
      </c>
      <c r="F303" s="2531"/>
      <c r="G303" s="2530">
        <v>0.89669399999999999</v>
      </c>
      <c r="H303" s="2530">
        <v>0.65939700000000001</v>
      </c>
      <c r="I303" s="2496"/>
      <c r="J303" s="2517">
        <v>0.88708799999999999</v>
      </c>
      <c r="K303" s="2517">
        <v>0.64920199999999995</v>
      </c>
      <c r="L303" s="2497"/>
      <c r="M303" s="2517">
        <v>0.88436199999999998</v>
      </c>
      <c r="N303" s="2517">
        <v>0.64509099999999997</v>
      </c>
      <c r="O303" s="2532" t="s">
        <v>390</v>
      </c>
      <c r="P303" s="2536"/>
      <c r="Q303" s="2517">
        <v>0.87748700000000002</v>
      </c>
      <c r="R303" s="2517">
        <v>0.63747399999999999</v>
      </c>
      <c r="S303" s="2532" t="s">
        <v>390</v>
      </c>
      <c r="T303" s="2496"/>
      <c r="U303" s="2496"/>
      <c r="V303" s="2496"/>
      <c r="W303" s="2520"/>
      <c r="X303" s="2515"/>
      <c r="Y303" s="2515"/>
      <c r="Z303" s="2521"/>
      <c r="AA303" s="2505"/>
      <c r="AB303" s="2515"/>
      <c r="AC303" s="2496"/>
      <c r="AD303" s="2505"/>
      <c r="AE303" s="2515"/>
      <c r="AF303" s="2496"/>
      <c r="AG303" s="2505"/>
      <c r="AH303" s="2515"/>
    </row>
    <row r="304" spans="1:34">
      <c r="A304" s="2519">
        <v>2425</v>
      </c>
      <c r="B304" s="2514" t="s">
        <v>966</v>
      </c>
      <c r="C304" s="2496"/>
      <c r="D304" s="2530">
        <v>0.89576800000000001</v>
      </c>
      <c r="E304" s="2530">
        <v>0.65129499999999996</v>
      </c>
      <c r="F304" s="2531"/>
      <c r="G304" s="2530">
        <v>0.89445600000000003</v>
      </c>
      <c r="H304" s="2530">
        <v>0.64320699999999997</v>
      </c>
      <c r="I304" s="2496"/>
      <c r="J304" s="2517">
        <v>0.88852299999999995</v>
      </c>
      <c r="K304" s="2517">
        <v>0.62945399999999996</v>
      </c>
      <c r="L304" s="2497"/>
      <c r="M304" s="2517">
        <v>0.88508299999999995</v>
      </c>
      <c r="N304" s="2517">
        <v>0.62285999999999997</v>
      </c>
      <c r="O304" s="2532" t="s">
        <v>390</v>
      </c>
      <c r="P304" s="2536"/>
      <c r="Q304" s="2517">
        <v>0.88263400000000003</v>
      </c>
      <c r="R304" s="2517">
        <v>0.61787700000000001</v>
      </c>
      <c r="S304" s="2532" t="s">
        <v>390</v>
      </c>
      <c r="T304" s="2496"/>
      <c r="U304" s="2496"/>
      <c r="V304" s="2496"/>
      <c r="W304" s="2520"/>
      <c r="X304" s="2515"/>
      <c r="Y304" s="2515"/>
      <c r="Z304" s="2521"/>
      <c r="AA304" s="2505"/>
      <c r="AB304" s="2515"/>
      <c r="AC304" s="2496"/>
      <c r="AD304" s="2505"/>
      <c r="AE304" s="2515"/>
      <c r="AF304" s="2496"/>
      <c r="AG304" s="2505"/>
      <c r="AH304" s="2515"/>
    </row>
    <row r="305" spans="1:34">
      <c r="A305" s="2519">
        <v>2460</v>
      </c>
      <c r="B305" s="2514" t="s">
        <v>967</v>
      </c>
      <c r="C305" s="2496"/>
      <c r="D305" s="2530">
        <v>0.88280400000000003</v>
      </c>
      <c r="E305" s="2530">
        <v>0.63911300000000004</v>
      </c>
      <c r="F305" s="2531"/>
      <c r="G305" s="2530">
        <v>0.87480899999999995</v>
      </c>
      <c r="H305" s="2530">
        <v>0.62834199999999996</v>
      </c>
      <c r="I305" s="2496"/>
      <c r="J305" s="2517">
        <v>0.86657099999999998</v>
      </c>
      <c r="K305" s="2517">
        <v>0.61935499999999999</v>
      </c>
      <c r="L305" s="2497"/>
      <c r="M305" s="2517">
        <v>0.86112299999999997</v>
      </c>
      <c r="N305" s="2517">
        <v>0.61391499999999999</v>
      </c>
      <c r="O305" s="2532">
        <v>1.6160000000000001</v>
      </c>
      <c r="P305" s="2536"/>
      <c r="Q305" s="2517">
        <v>0.85418899999999998</v>
      </c>
      <c r="R305" s="2517">
        <v>0.60287400000000002</v>
      </c>
      <c r="S305" s="2532">
        <v>0.92</v>
      </c>
      <c r="T305" s="2496"/>
      <c r="U305" s="2496"/>
      <c r="V305" s="2496"/>
      <c r="W305" s="2520"/>
      <c r="X305" s="2515"/>
      <c r="Y305" s="2515"/>
      <c r="Z305" s="2521"/>
      <c r="AA305" s="2505"/>
      <c r="AB305" s="2515"/>
      <c r="AC305" s="2496"/>
      <c r="AD305" s="2505"/>
      <c r="AE305" s="2515"/>
      <c r="AF305" s="2496"/>
      <c r="AG305" s="2505"/>
      <c r="AH305" s="2515"/>
    </row>
    <row r="306" spans="1:34">
      <c r="A306" s="2519">
        <v>2462</v>
      </c>
      <c r="B306" s="2514" t="s">
        <v>968</v>
      </c>
      <c r="C306" s="2496"/>
      <c r="D306" s="2530">
        <v>0.89937400000000001</v>
      </c>
      <c r="E306" s="2530">
        <v>0.66589399999999999</v>
      </c>
      <c r="F306" s="2531"/>
      <c r="G306" s="2530">
        <v>0.89883800000000003</v>
      </c>
      <c r="H306" s="2530">
        <v>0.65945200000000004</v>
      </c>
      <c r="I306" s="2496"/>
      <c r="J306" s="2517">
        <v>0.89316099999999998</v>
      </c>
      <c r="K306" s="2517">
        <v>0.65113299999999996</v>
      </c>
      <c r="L306" s="2497"/>
      <c r="M306" s="2517">
        <v>0.88671800000000001</v>
      </c>
      <c r="N306" s="2517">
        <v>0.63936300000000001</v>
      </c>
      <c r="O306" s="2532" t="s">
        <v>390</v>
      </c>
      <c r="P306" s="2536"/>
      <c r="Q306" s="2517">
        <v>0.88420600000000005</v>
      </c>
      <c r="R306" s="2517">
        <v>0.63113799999999998</v>
      </c>
      <c r="S306" s="2532" t="s">
        <v>390</v>
      </c>
      <c r="T306" s="2496"/>
      <c r="U306" s="2496"/>
      <c r="V306" s="2496"/>
      <c r="W306" s="2520"/>
      <c r="X306" s="2515"/>
      <c r="Y306" s="2515"/>
      <c r="Z306" s="2521"/>
      <c r="AA306" s="2505"/>
      <c r="AB306" s="2515"/>
      <c r="AC306" s="2496"/>
      <c r="AD306" s="2505"/>
      <c r="AE306" s="2515"/>
      <c r="AF306" s="2496"/>
      <c r="AG306" s="2505"/>
      <c r="AH306" s="2515"/>
    </row>
    <row r="307" spans="1:34">
      <c r="A307" s="2519">
        <v>2463</v>
      </c>
      <c r="B307" s="2514" t="s">
        <v>969</v>
      </c>
      <c r="C307" s="2496"/>
      <c r="D307" s="2530">
        <v>0.90000599999999997</v>
      </c>
      <c r="E307" s="2530">
        <v>0.66524799999999995</v>
      </c>
      <c r="F307" s="2531"/>
      <c r="G307" s="2530">
        <v>0.89578599999999997</v>
      </c>
      <c r="H307" s="2530">
        <v>0.661991</v>
      </c>
      <c r="I307" s="2496"/>
      <c r="J307" s="2517">
        <v>0.89451199999999997</v>
      </c>
      <c r="K307" s="2517">
        <v>0.65330600000000005</v>
      </c>
      <c r="L307" s="2497"/>
      <c r="M307" s="2517">
        <v>0.89216300000000004</v>
      </c>
      <c r="N307" s="2517">
        <v>0.637073</v>
      </c>
      <c r="O307" s="2532" t="s">
        <v>390</v>
      </c>
      <c r="P307" s="2536"/>
      <c r="Q307" s="2517">
        <v>0.89207599999999998</v>
      </c>
      <c r="R307" s="2517">
        <v>0.62726599999999999</v>
      </c>
      <c r="S307" s="2532" t="s">
        <v>390</v>
      </c>
      <c r="T307" s="2496"/>
      <c r="U307" s="2496"/>
      <c r="V307" s="2496"/>
      <c r="W307" s="2520"/>
      <c r="X307" s="2515"/>
      <c r="Y307" s="2515"/>
      <c r="Z307" s="2521"/>
      <c r="AA307" s="2505"/>
      <c r="AB307" s="2515"/>
      <c r="AC307" s="2496"/>
      <c r="AD307" s="2505"/>
      <c r="AE307" s="2515"/>
      <c r="AF307" s="2496"/>
      <c r="AG307" s="2505"/>
      <c r="AH307" s="2515"/>
    </row>
    <row r="308" spans="1:34">
      <c r="A308" s="2519">
        <v>2480</v>
      </c>
      <c r="B308" s="2514" t="s">
        <v>970</v>
      </c>
      <c r="C308" s="2496"/>
      <c r="D308" s="2530">
        <v>0.85677700000000001</v>
      </c>
      <c r="E308" s="2530">
        <v>0.60501499999999997</v>
      </c>
      <c r="F308" s="2531"/>
      <c r="G308" s="2530">
        <v>0.84884700000000002</v>
      </c>
      <c r="H308" s="2530">
        <v>0.59222200000000003</v>
      </c>
      <c r="I308" s="2496"/>
      <c r="J308" s="2517">
        <v>0.83775599999999995</v>
      </c>
      <c r="K308" s="2517">
        <v>0.58449200000000001</v>
      </c>
      <c r="L308" s="2497"/>
      <c r="M308" s="2517">
        <v>0.82484999999999997</v>
      </c>
      <c r="N308" s="2517">
        <v>0.57374400000000003</v>
      </c>
      <c r="O308" s="2532">
        <v>1.54</v>
      </c>
      <c r="P308" s="2536"/>
      <c r="Q308" s="2517">
        <v>0.80905400000000005</v>
      </c>
      <c r="R308" s="2517">
        <v>0.56628299999999998</v>
      </c>
      <c r="S308" s="2532">
        <v>1.1100000000000001</v>
      </c>
      <c r="T308" s="2496"/>
      <c r="U308" s="2496"/>
      <c r="V308" s="2496"/>
      <c r="W308" s="2520"/>
      <c r="X308" s="2515"/>
      <c r="Y308" s="2515"/>
      <c r="Z308" s="2521"/>
      <c r="AA308" s="2505"/>
      <c r="AB308" s="2515"/>
      <c r="AC308" s="2496"/>
      <c r="AD308" s="2505"/>
      <c r="AE308" s="2515"/>
      <c r="AF308" s="2496"/>
      <c r="AG308" s="2505"/>
      <c r="AH308" s="2515"/>
    </row>
    <row r="309" spans="1:34">
      <c r="A309" s="2519">
        <v>2481</v>
      </c>
      <c r="B309" s="2514" t="s">
        <v>971</v>
      </c>
      <c r="C309" s="2496"/>
      <c r="D309" s="2530">
        <v>0.893706</v>
      </c>
      <c r="E309" s="2530">
        <v>0.63128300000000004</v>
      </c>
      <c r="F309" s="2531"/>
      <c r="G309" s="2530">
        <v>0.89067799999999997</v>
      </c>
      <c r="H309" s="2530">
        <v>0.63346000000000002</v>
      </c>
      <c r="I309" s="2496"/>
      <c r="J309" s="2517">
        <v>0.884992</v>
      </c>
      <c r="K309" s="2517">
        <v>0.62738499999999997</v>
      </c>
      <c r="L309" s="2497"/>
      <c r="M309" s="2517">
        <v>0.88182400000000005</v>
      </c>
      <c r="N309" s="2517">
        <v>0.61965800000000004</v>
      </c>
      <c r="O309" s="2532">
        <v>1.35</v>
      </c>
      <c r="P309" s="2536"/>
      <c r="Q309" s="2517">
        <v>0.87956100000000004</v>
      </c>
      <c r="R309" s="2517">
        <v>0.61301300000000003</v>
      </c>
      <c r="S309" s="2532">
        <v>1.35</v>
      </c>
      <c r="T309" s="2496"/>
      <c r="U309" s="2496"/>
      <c r="V309" s="2496"/>
      <c r="W309" s="2520"/>
      <c r="X309" s="2515"/>
      <c r="Y309" s="2515"/>
      <c r="Z309" s="2521"/>
      <c r="AA309" s="2505"/>
      <c r="AB309" s="2515"/>
      <c r="AC309" s="2496"/>
      <c r="AD309" s="2505"/>
      <c r="AE309" s="2515"/>
      <c r="AF309" s="2496"/>
      <c r="AG309" s="2505"/>
      <c r="AH309" s="2515"/>
    </row>
    <row r="310" spans="1:34">
      <c r="A310" s="2519">
        <v>2482</v>
      </c>
      <c r="B310" s="2514" t="s">
        <v>972</v>
      </c>
      <c r="C310" s="2496"/>
      <c r="D310" s="2530">
        <v>0.87123099999999998</v>
      </c>
      <c r="E310" s="2530">
        <v>0.62600500000000003</v>
      </c>
      <c r="F310" s="2531"/>
      <c r="G310" s="2530">
        <v>0.86463900000000005</v>
      </c>
      <c r="H310" s="2530">
        <v>0.61669799999999997</v>
      </c>
      <c r="I310" s="2496"/>
      <c r="J310" s="2517">
        <v>0.85617299999999996</v>
      </c>
      <c r="K310" s="2517">
        <v>0.60733199999999998</v>
      </c>
      <c r="L310" s="2497"/>
      <c r="M310" s="2517">
        <v>0.84667899999999996</v>
      </c>
      <c r="N310" s="2517">
        <v>0.59467199999999998</v>
      </c>
      <c r="O310" s="2532">
        <v>1.651</v>
      </c>
      <c r="P310" s="2536"/>
      <c r="Q310" s="2517">
        <v>0.83462400000000003</v>
      </c>
      <c r="R310" s="2517">
        <v>0.58530199999999999</v>
      </c>
      <c r="S310" s="2532">
        <v>0.66</v>
      </c>
      <c r="T310" s="2496"/>
      <c r="U310" s="2496"/>
      <c r="V310" s="2496"/>
      <c r="W310" s="2520"/>
      <c r="X310" s="2515"/>
      <c r="Y310" s="2515"/>
      <c r="Z310" s="2521"/>
      <c r="AA310" s="2505"/>
      <c r="AB310" s="2515"/>
      <c r="AC310" s="2496"/>
      <c r="AD310" s="2505"/>
      <c r="AE310" s="2515"/>
      <c r="AF310" s="2496"/>
      <c r="AG310" s="2505"/>
      <c r="AH310" s="2515"/>
    </row>
    <row r="311" spans="1:34">
      <c r="A311" s="2519">
        <v>2505</v>
      </c>
      <c r="B311" s="2514" t="s">
        <v>974</v>
      </c>
      <c r="C311" s="2496"/>
      <c r="D311" s="2530">
        <v>0.88465300000000002</v>
      </c>
      <c r="E311" s="2530">
        <v>0.65675300000000003</v>
      </c>
      <c r="F311" s="2531"/>
      <c r="G311" s="2530">
        <v>0.88076500000000002</v>
      </c>
      <c r="H311" s="2530">
        <v>0.645868</v>
      </c>
      <c r="I311" s="2496"/>
      <c r="J311" s="2517">
        <v>0.87406099999999998</v>
      </c>
      <c r="K311" s="2517">
        <v>0.63337600000000005</v>
      </c>
      <c r="L311" s="2497"/>
      <c r="M311" s="2517">
        <v>0.87076600000000004</v>
      </c>
      <c r="N311" s="2517">
        <v>0.62573400000000001</v>
      </c>
      <c r="O311" s="2532">
        <v>1.26</v>
      </c>
      <c r="P311" s="2536"/>
      <c r="Q311" s="2517">
        <v>0.86457200000000001</v>
      </c>
      <c r="R311" s="2517">
        <v>0.61351599999999995</v>
      </c>
      <c r="S311" s="2532">
        <v>1.26</v>
      </c>
      <c r="T311" s="2496"/>
      <c r="U311" s="2496"/>
      <c r="V311" s="2496"/>
      <c r="W311" s="2520"/>
      <c r="X311" s="2515"/>
      <c r="Y311" s="2515"/>
      <c r="Z311" s="2521"/>
      <c r="AA311" s="2505"/>
      <c r="AB311" s="2515"/>
      <c r="AC311" s="2496"/>
      <c r="AD311" s="2505"/>
      <c r="AE311" s="2515"/>
      <c r="AF311" s="2496"/>
      <c r="AG311" s="2505"/>
      <c r="AH311" s="2515"/>
    </row>
    <row r="312" spans="1:34">
      <c r="A312" s="2519">
        <v>2506</v>
      </c>
      <c r="B312" s="2514" t="s">
        <v>975</v>
      </c>
      <c r="C312" s="2496"/>
      <c r="D312" s="2530">
        <v>0.88908699999999996</v>
      </c>
      <c r="E312" s="2530">
        <v>0.66961000000000004</v>
      </c>
      <c r="F312" s="2531"/>
      <c r="G312" s="2530">
        <v>0.88672399999999996</v>
      </c>
      <c r="H312" s="2530">
        <v>0.65507099999999996</v>
      </c>
      <c r="I312" s="2496"/>
      <c r="J312" s="2517">
        <v>0.88433700000000004</v>
      </c>
      <c r="K312" s="2517">
        <v>0.64897800000000005</v>
      </c>
      <c r="L312" s="2497"/>
      <c r="M312" s="2517">
        <v>0.87819499999999995</v>
      </c>
      <c r="N312" s="2517">
        <v>0.64261900000000005</v>
      </c>
      <c r="O312" s="2532" t="s">
        <v>390</v>
      </c>
      <c r="P312" s="2536"/>
      <c r="Q312" s="2517">
        <v>0.86887199999999998</v>
      </c>
      <c r="R312" s="2517">
        <v>0.63177300000000003</v>
      </c>
      <c r="S312" s="2532" t="s">
        <v>390</v>
      </c>
      <c r="T312" s="2496"/>
      <c r="U312" s="2496"/>
      <c r="V312" s="2496"/>
      <c r="W312" s="2520"/>
      <c r="X312" s="2515"/>
      <c r="Y312" s="2515"/>
      <c r="Z312" s="2521"/>
      <c r="AA312" s="2505"/>
      <c r="AB312" s="2515"/>
      <c r="AC312" s="2496"/>
      <c r="AD312" s="2505"/>
      <c r="AE312" s="2515"/>
      <c r="AF312" s="2496"/>
      <c r="AG312" s="2505"/>
      <c r="AH312" s="2515"/>
    </row>
    <row r="313" spans="1:34">
      <c r="A313" s="2519">
        <v>2510</v>
      </c>
      <c r="B313" s="2514" t="s">
        <v>976</v>
      </c>
      <c r="C313" s="2496"/>
      <c r="D313" s="2530">
        <v>0.88591600000000004</v>
      </c>
      <c r="E313" s="2530">
        <v>0.65218100000000001</v>
      </c>
      <c r="F313" s="2531"/>
      <c r="G313" s="2530">
        <v>0.88260000000000005</v>
      </c>
      <c r="H313" s="2530">
        <v>0.63922900000000005</v>
      </c>
      <c r="I313" s="2496"/>
      <c r="J313" s="2517">
        <v>0.87860199999999999</v>
      </c>
      <c r="K313" s="2517">
        <v>0.62526599999999999</v>
      </c>
      <c r="L313" s="2497"/>
      <c r="M313" s="2517">
        <v>0.87411799999999995</v>
      </c>
      <c r="N313" s="2517">
        <v>0.61582499999999996</v>
      </c>
      <c r="O313" s="2532" t="s">
        <v>390</v>
      </c>
      <c r="P313" s="2536"/>
      <c r="Q313" s="2517">
        <v>0.86508300000000005</v>
      </c>
      <c r="R313" s="2517">
        <v>0.60390999999999995</v>
      </c>
      <c r="S313" s="2532" t="s">
        <v>390</v>
      </c>
      <c r="T313" s="2496"/>
      <c r="U313" s="2496"/>
      <c r="V313" s="2496"/>
      <c r="W313" s="2520"/>
      <c r="X313" s="2515"/>
      <c r="Y313" s="2515"/>
      <c r="Z313" s="2521"/>
      <c r="AA313" s="2505"/>
      <c r="AB313" s="2515"/>
      <c r="AC313" s="2496"/>
      <c r="AD313" s="2505"/>
      <c r="AE313" s="2515"/>
      <c r="AF313" s="2496"/>
      <c r="AG313" s="2505"/>
      <c r="AH313" s="2515"/>
    </row>
    <row r="314" spans="1:34">
      <c r="A314" s="2519">
        <v>2513</v>
      </c>
      <c r="B314" s="2514" t="s">
        <v>977</v>
      </c>
      <c r="C314" s="2496"/>
      <c r="D314" s="2530">
        <v>0.90015599999999996</v>
      </c>
      <c r="E314" s="2530">
        <v>0.66957599999999995</v>
      </c>
      <c r="F314" s="2531"/>
      <c r="G314" s="2530">
        <v>0.89541199999999999</v>
      </c>
      <c r="H314" s="2530">
        <v>0.65851599999999999</v>
      </c>
      <c r="I314" s="2496"/>
      <c r="J314" s="2517">
        <v>0.88731700000000002</v>
      </c>
      <c r="K314" s="2517">
        <v>0.651389</v>
      </c>
      <c r="L314" s="2497"/>
      <c r="M314" s="2517">
        <v>0.88436400000000004</v>
      </c>
      <c r="N314" s="2517">
        <v>0.64003299999999996</v>
      </c>
      <c r="O314" s="2532" t="s">
        <v>390</v>
      </c>
      <c r="P314" s="2536"/>
      <c r="Q314" s="2517">
        <v>0.87882899999999997</v>
      </c>
      <c r="R314" s="2517">
        <v>0.62894499999999998</v>
      </c>
      <c r="S314" s="2532" t="s">
        <v>390</v>
      </c>
      <c r="T314" s="2496"/>
      <c r="U314" s="2496"/>
      <c r="V314" s="2496"/>
      <c r="W314" s="2520"/>
      <c r="X314" s="2515"/>
      <c r="Y314" s="2515"/>
      <c r="Z314" s="2521"/>
      <c r="AA314" s="2505"/>
      <c r="AB314" s="2515"/>
      <c r="AC314" s="2496"/>
      <c r="AD314" s="2505"/>
      <c r="AE314" s="2515"/>
      <c r="AF314" s="2496"/>
      <c r="AG314" s="2505"/>
      <c r="AH314" s="2515"/>
    </row>
    <row r="315" spans="1:34">
      <c r="A315" s="2519">
        <v>2514</v>
      </c>
      <c r="B315" s="2514" t="s">
        <v>978</v>
      </c>
      <c r="C315" s="2496"/>
      <c r="D315" s="2530">
        <v>0.87668900000000005</v>
      </c>
      <c r="E315" s="2530">
        <v>0.645702</v>
      </c>
      <c r="F315" s="2531"/>
      <c r="G315" s="2530">
        <v>0.87305699999999997</v>
      </c>
      <c r="H315" s="2530">
        <v>0.63508799999999999</v>
      </c>
      <c r="I315" s="2496"/>
      <c r="J315" s="2517">
        <v>0.86577800000000005</v>
      </c>
      <c r="K315" s="2517">
        <v>0.62163100000000004</v>
      </c>
      <c r="L315" s="2497"/>
      <c r="M315" s="2517">
        <v>0.85642200000000002</v>
      </c>
      <c r="N315" s="2517">
        <v>0.60863500000000004</v>
      </c>
      <c r="O315" s="2532">
        <v>1.64</v>
      </c>
      <c r="P315" s="2536"/>
      <c r="Q315" s="2517">
        <v>0.84642200000000001</v>
      </c>
      <c r="R315" s="2517">
        <v>0.59840899999999997</v>
      </c>
      <c r="S315" s="2532">
        <v>1.2</v>
      </c>
      <c r="T315" s="2496"/>
      <c r="U315" s="2496"/>
      <c r="V315" s="2496"/>
      <c r="W315" s="2520"/>
      <c r="X315" s="2515"/>
      <c r="Y315" s="2515"/>
      <c r="Z315" s="2521"/>
      <c r="AA315" s="2505"/>
      <c r="AB315" s="2515"/>
      <c r="AC315" s="2496"/>
      <c r="AD315" s="2505"/>
      <c r="AE315" s="2515"/>
      <c r="AF315" s="2496"/>
      <c r="AG315" s="2505"/>
      <c r="AH315" s="2515"/>
    </row>
    <row r="316" spans="1:34">
      <c r="A316" s="2519">
        <v>2518</v>
      </c>
      <c r="B316" s="2514" t="s">
        <v>979</v>
      </c>
      <c r="C316" s="2496"/>
      <c r="D316" s="2530">
        <v>0.88367799999999996</v>
      </c>
      <c r="E316" s="2530">
        <v>0.65913100000000002</v>
      </c>
      <c r="F316" s="2531"/>
      <c r="G316" s="2530">
        <v>0.87669900000000001</v>
      </c>
      <c r="H316" s="2530">
        <v>0.650868</v>
      </c>
      <c r="I316" s="2496"/>
      <c r="J316" s="2517">
        <v>0.87023099999999998</v>
      </c>
      <c r="K316" s="2517">
        <v>0.64315900000000004</v>
      </c>
      <c r="L316" s="2497"/>
      <c r="M316" s="2517">
        <v>0.86453800000000003</v>
      </c>
      <c r="N316" s="2517">
        <v>0.63006399999999996</v>
      </c>
      <c r="O316" s="2532" t="s">
        <v>390</v>
      </c>
      <c r="P316" s="2536"/>
      <c r="Q316" s="2517">
        <v>0.85706300000000002</v>
      </c>
      <c r="R316" s="2517">
        <v>0.62036000000000002</v>
      </c>
      <c r="S316" s="2532" t="s">
        <v>390</v>
      </c>
      <c r="T316" s="2496"/>
      <c r="U316" s="2496"/>
      <c r="V316" s="2496"/>
      <c r="W316" s="2520"/>
      <c r="X316" s="2515"/>
      <c r="Y316" s="2515"/>
      <c r="Z316" s="2521"/>
      <c r="AA316" s="2505"/>
      <c r="AB316" s="2515"/>
      <c r="AC316" s="2496"/>
      <c r="AD316" s="2505"/>
      <c r="AE316" s="2515"/>
      <c r="AF316" s="2496"/>
      <c r="AG316" s="2505"/>
      <c r="AH316" s="2515"/>
    </row>
    <row r="317" spans="1:34">
      <c r="A317" s="2519">
        <v>2521</v>
      </c>
      <c r="B317" s="2514" t="s">
        <v>980</v>
      </c>
      <c r="C317" s="2496"/>
      <c r="D317" s="2530">
        <v>0.893154</v>
      </c>
      <c r="E317" s="2530">
        <v>0.66261499999999995</v>
      </c>
      <c r="F317" s="2531"/>
      <c r="G317" s="2530">
        <v>0.89220900000000003</v>
      </c>
      <c r="H317" s="2530">
        <v>0.65308600000000006</v>
      </c>
      <c r="I317" s="2496"/>
      <c r="J317" s="2517">
        <v>0.88526199999999999</v>
      </c>
      <c r="K317" s="2517">
        <v>0.64406600000000003</v>
      </c>
      <c r="L317" s="2497"/>
      <c r="M317" s="2517">
        <v>0.87916399999999995</v>
      </c>
      <c r="N317" s="2517">
        <v>0.63790999999999998</v>
      </c>
      <c r="O317" s="2532" t="s">
        <v>390</v>
      </c>
      <c r="P317" s="2536"/>
      <c r="Q317" s="2517">
        <v>0.87466699999999997</v>
      </c>
      <c r="R317" s="2517">
        <v>0.62613399999999997</v>
      </c>
      <c r="S317" s="2532" t="s">
        <v>390</v>
      </c>
      <c r="T317" s="2496"/>
      <c r="U317" s="2496"/>
      <c r="V317" s="2496"/>
      <c r="W317" s="2520"/>
      <c r="X317" s="2515"/>
      <c r="Y317" s="2515"/>
      <c r="Z317" s="2521"/>
      <c r="AA317" s="2505"/>
      <c r="AB317" s="2515"/>
      <c r="AC317" s="2496"/>
      <c r="AD317" s="2505"/>
      <c r="AE317" s="2515"/>
      <c r="AF317" s="2496"/>
      <c r="AG317" s="2505"/>
      <c r="AH317" s="2515"/>
    </row>
    <row r="318" spans="1:34">
      <c r="A318" s="2519">
        <v>2523</v>
      </c>
      <c r="B318" s="2514" t="s">
        <v>981</v>
      </c>
      <c r="C318" s="2496"/>
      <c r="D318" s="2530">
        <v>0.88712800000000003</v>
      </c>
      <c r="E318" s="2530">
        <v>0.657586</v>
      </c>
      <c r="F318" s="2531"/>
      <c r="G318" s="2530">
        <v>0.88228600000000001</v>
      </c>
      <c r="H318" s="2530">
        <v>0.64898500000000003</v>
      </c>
      <c r="I318" s="2496"/>
      <c r="J318" s="2517">
        <v>0.87473100000000004</v>
      </c>
      <c r="K318" s="2517">
        <v>0.63885599999999998</v>
      </c>
      <c r="L318" s="2497"/>
      <c r="M318" s="2517">
        <v>0.86808399999999997</v>
      </c>
      <c r="N318" s="2517">
        <v>0.62799300000000002</v>
      </c>
      <c r="O318" s="2532">
        <v>1.78</v>
      </c>
      <c r="P318" s="2536"/>
      <c r="Q318" s="2517">
        <v>0.85930200000000001</v>
      </c>
      <c r="R318" s="2517">
        <v>0.61750899999999997</v>
      </c>
      <c r="S318" s="2532">
        <v>1.18</v>
      </c>
      <c r="T318" s="2496"/>
      <c r="U318" s="2496"/>
      <c r="V318" s="2496"/>
      <c r="W318" s="2520"/>
      <c r="X318" s="2515"/>
      <c r="Y318" s="2515"/>
      <c r="Z318" s="2521"/>
      <c r="AA318" s="2505"/>
      <c r="AB318" s="2515"/>
      <c r="AC318" s="2496"/>
      <c r="AD318" s="2505"/>
      <c r="AE318" s="2515"/>
      <c r="AF318" s="2496"/>
      <c r="AG318" s="2505"/>
      <c r="AH318" s="2515"/>
    </row>
    <row r="319" spans="1:34">
      <c r="A319" s="2519">
        <v>2560</v>
      </c>
      <c r="B319" s="2514" t="s">
        <v>982</v>
      </c>
      <c r="C319" s="2496"/>
      <c r="D319" s="2530">
        <v>0.893424</v>
      </c>
      <c r="E319" s="2530">
        <v>0.66477299999999995</v>
      </c>
      <c r="F319" s="2531"/>
      <c r="G319" s="2530">
        <v>0.88754100000000002</v>
      </c>
      <c r="H319" s="2530">
        <v>0.65211699999999995</v>
      </c>
      <c r="I319" s="2496"/>
      <c r="J319" s="2517">
        <v>0.88110900000000003</v>
      </c>
      <c r="K319" s="2517">
        <v>0.64509700000000003</v>
      </c>
      <c r="L319" s="2497"/>
      <c r="M319" s="2517">
        <v>0.87555000000000005</v>
      </c>
      <c r="N319" s="2517">
        <v>0.63638700000000004</v>
      </c>
      <c r="O319" s="2532">
        <v>2.0950000000000002</v>
      </c>
      <c r="P319" s="2536"/>
      <c r="Q319" s="2517">
        <v>0.87292599999999998</v>
      </c>
      <c r="R319" s="2517">
        <v>0.626749</v>
      </c>
      <c r="S319" s="2532">
        <v>2.09</v>
      </c>
      <c r="T319" s="2496"/>
      <c r="U319" s="2496"/>
      <c r="V319" s="2496"/>
      <c r="W319" s="2520"/>
      <c r="X319" s="2515"/>
      <c r="Y319" s="2515"/>
      <c r="Z319" s="2521"/>
      <c r="AA319" s="2505"/>
      <c r="AB319" s="2515"/>
      <c r="AC319" s="2496"/>
      <c r="AD319" s="2505"/>
      <c r="AE319" s="2515"/>
      <c r="AF319" s="2496"/>
      <c r="AG319" s="2505"/>
      <c r="AH319" s="2515"/>
    </row>
    <row r="320" spans="1:34">
      <c r="A320" s="2519">
        <v>2580</v>
      </c>
      <c r="B320" s="2514" t="s">
        <v>983</v>
      </c>
      <c r="C320" s="2496"/>
      <c r="D320" s="2530">
        <v>0.86720900000000001</v>
      </c>
      <c r="E320" s="2530">
        <v>0.62657200000000002</v>
      </c>
      <c r="F320" s="2531"/>
      <c r="G320" s="2530">
        <v>0.86004199999999997</v>
      </c>
      <c r="H320" s="2530">
        <v>0.61610900000000002</v>
      </c>
      <c r="I320" s="2496"/>
      <c r="J320" s="2517">
        <v>0.85146999999999995</v>
      </c>
      <c r="K320" s="2517">
        <v>0.60770599999999997</v>
      </c>
      <c r="L320" s="2497"/>
      <c r="M320" s="2517">
        <v>0.84150199999999997</v>
      </c>
      <c r="N320" s="2517">
        <v>0.59804900000000005</v>
      </c>
      <c r="O320" s="2532">
        <v>1.5569999999999999</v>
      </c>
      <c r="P320" s="2536"/>
      <c r="Q320" s="2517">
        <v>0.83069400000000004</v>
      </c>
      <c r="R320" s="2517">
        <v>0.588646</v>
      </c>
      <c r="S320" s="2532">
        <v>1.33</v>
      </c>
      <c r="T320" s="2496"/>
      <c r="U320" s="2496"/>
      <c r="V320" s="2496"/>
      <c r="W320" s="2520"/>
      <c r="X320" s="2515"/>
      <c r="Y320" s="2515"/>
      <c r="Z320" s="2521"/>
      <c r="AA320" s="2505"/>
      <c r="AB320" s="2515"/>
      <c r="AC320" s="2496"/>
      <c r="AD320" s="2505"/>
      <c r="AE320" s="2515"/>
      <c r="AF320" s="2496"/>
      <c r="AG320" s="2505"/>
      <c r="AH320" s="2515"/>
    </row>
    <row r="321" spans="1:34">
      <c r="A321" s="2519">
        <v>2581</v>
      </c>
      <c r="B321" s="2514" t="s">
        <v>984</v>
      </c>
      <c r="C321" s="2496"/>
      <c r="D321" s="2530">
        <v>0.87594099999999997</v>
      </c>
      <c r="E321" s="2530">
        <v>0.63692499999999996</v>
      </c>
      <c r="F321" s="2531"/>
      <c r="G321" s="2530">
        <v>0.87061999999999995</v>
      </c>
      <c r="H321" s="2530">
        <v>0.62646900000000005</v>
      </c>
      <c r="I321" s="2496"/>
      <c r="J321" s="2517">
        <v>0.86349100000000001</v>
      </c>
      <c r="K321" s="2517">
        <v>0.614066</v>
      </c>
      <c r="L321" s="2497"/>
      <c r="M321" s="2517">
        <v>0.85636999999999996</v>
      </c>
      <c r="N321" s="2517">
        <v>0.60319</v>
      </c>
      <c r="O321" s="2532">
        <v>1.667</v>
      </c>
      <c r="P321" s="2536"/>
      <c r="Q321" s="2517">
        <v>0.84812200000000004</v>
      </c>
      <c r="R321" s="2517">
        <v>0.59252099999999996</v>
      </c>
      <c r="S321" s="2532">
        <v>1.19</v>
      </c>
      <c r="T321" s="2496"/>
      <c r="U321" s="2496"/>
      <c r="V321" s="2496"/>
      <c r="W321" s="2520"/>
      <c r="X321" s="2515"/>
      <c r="Y321" s="2515"/>
      <c r="Z321" s="2521"/>
      <c r="AA321" s="2505"/>
      <c r="AB321" s="2515"/>
      <c r="AC321" s="2496"/>
      <c r="AD321" s="2505"/>
      <c r="AE321" s="2515"/>
      <c r="AF321" s="2496"/>
      <c r="AG321" s="2505"/>
      <c r="AH321" s="2515"/>
    </row>
    <row r="322" spans="1:34">
      <c r="A322" s="2519">
        <v>2582</v>
      </c>
      <c r="B322" s="2514" t="s">
        <v>985</v>
      </c>
      <c r="C322" s="2496"/>
      <c r="D322" s="2530">
        <v>0.87770099999999995</v>
      </c>
      <c r="E322" s="2530">
        <v>0.63161299999999998</v>
      </c>
      <c r="F322" s="2531"/>
      <c r="G322" s="2530">
        <v>0.87162300000000004</v>
      </c>
      <c r="H322" s="2530">
        <v>0.62490299999999999</v>
      </c>
      <c r="I322" s="2496"/>
      <c r="J322" s="2517">
        <v>0.86313799999999996</v>
      </c>
      <c r="K322" s="2517">
        <v>0.61752600000000002</v>
      </c>
      <c r="L322" s="2497"/>
      <c r="M322" s="2517">
        <v>0.85942099999999999</v>
      </c>
      <c r="N322" s="2517">
        <v>0.60868100000000003</v>
      </c>
      <c r="O322" s="2532">
        <v>1.415</v>
      </c>
      <c r="P322" s="2536"/>
      <c r="Q322" s="2517">
        <v>0.85104100000000005</v>
      </c>
      <c r="R322" s="2517">
        <v>0.60228999999999999</v>
      </c>
      <c r="S322" s="2532">
        <v>1.1499999999999999</v>
      </c>
      <c r="T322" s="2496"/>
      <c r="U322" s="2496"/>
      <c r="V322" s="2496"/>
      <c r="W322" s="2520"/>
      <c r="X322" s="2515"/>
      <c r="Y322" s="2515"/>
      <c r="Z322" s="2521"/>
      <c r="AA322" s="2505"/>
      <c r="AB322" s="2515"/>
      <c r="AC322" s="2496"/>
      <c r="AD322" s="2505"/>
      <c r="AE322" s="2515"/>
      <c r="AF322" s="2496"/>
      <c r="AG322" s="2505"/>
      <c r="AH322" s="2515"/>
    </row>
    <row r="323" spans="1:34">
      <c r="A323" s="2519">
        <v>2583</v>
      </c>
      <c r="B323" s="2514" t="s">
        <v>986</v>
      </c>
      <c r="C323" s="2496"/>
      <c r="D323" s="2530">
        <v>0.87907900000000005</v>
      </c>
      <c r="E323" s="2530">
        <v>0.66424499999999997</v>
      </c>
      <c r="F323" s="2531"/>
      <c r="G323" s="2530">
        <v>0.87584200000000001</v>
      </c>
      <c r="H323" s="2530">
        <v>0.65420100000000003</v>
      </c>
      <c r="I323" s="2496"/>
      <c r="J323" s="2517">
        <v>0.86682999999999999</v>
      </c>
      <c r="K323" s="2517">
        <v>0.64191699999999996</v>
      </c>
      <c r="L323" s="2497"/>
      <c r="M323" s="2517">
        <v>0.86122100000000001</v>
      </c>
      <c r="N323" s="2517">
        <v>0.63484399999999996</v>
      </c>
      <c r="O323" s="2532" t="s">
        <v>390</v>
      </c>
      <c r="P323" s="2536"/>
      <c r="Q323" s="2517">
        <v>0.855016</v>
      </c>
      <c r="R323" s="2517">
        <v>0.62626800000000005</v>
      </c>
      <c r="S323" s="2532" t="s">
        <v>390</v>
      </c>
      <c r="T323" s="2496"/>
      <c r="U323" s="2496"/>
      <c r="V323" s="2496"/>
      <c r="W323" s="2520"/>
      <c r="X323" s="2515"/>
      <c r="Y323" s="2515"/>
      <c r="Z323" s="2521"/>
      <c r="AA323" s="2505"/>
      <c r="AB323" s="2515"/>
      <c r="AC323" s="2496"/>
      <c r="AD323" s="2505"/>
      <c r="AE323" s="2515"/>
      <c r="AF323" s="2496"/>
      <c r="AG323" s="2505"/>
      <c r="AH323" s="2515"/>
    </row>
    <row r="324" spans="1:34">
      <c r="A324" s="2519">
        <v>2584</v>
      </c>
      <c r="B324" s="2514" t="s">
        <v>987</v>
      </c>
      <c r="C324" s="2496"/>
      <c r="D324" s="2530">
        <v>0.88319899999999996</v>
      </c>
      <c r="E324" s="2530">
        <v>0.64770000000000005</v>
      </c>
      <c r="F324" s="2531"/>
      <c r="G324" s="2530">
        <v>0.87795900000000004</v>
      </c>
      <c r="H324" s="2530">
        <v>0.64018900000000001</v>
      </c>
      <c r="I324" s="2496"/>
      <c r="J324" s="2517">
        <v>0.86766399999999999</v>
      </c>
      <c r="K324" s="2517">
        <v>0.63458400000000004</v>
      </c>
      <c r="L324" s="2497"/>
      <c r="M324" s="2517">
        <v>0.85998600000000003</v>
      </c>
      <c r="N324" s="2517">
        <v>0.62526899999999996</v>
      </c>
      <c r="O324" s="2532">
        <v>1.6</v>
      </c>
      <c r="P324" s="2536"/>
      <c r="Q324" s="2517">
        <v>0.84922600000000004</v>
      </c>
      <c r="R324" s="2517">
        <v>0.61630099999999999</v>
      </c>
      <c r="S324" s="2532">
        <v>0.6</v>
      </c>
      <c r="T324" s="2496"/>
      <c r="U324" s="2496"/>
      <c r="V324" s="2496"/>
      <c r="W324" s="2520"/>
      <c r="X324" s="2515"/>
      <c r="Y324" s="2515"/>
      <c r="Z324" s="2521"/>
      <c r="AA324" s="2505"/>
      <c r="AB324" s="2515"/>
      <c r="AC324" s="2496"/>
      <c r="AD324" s="2505"/>
      <c r="AE324" s="2515"/>
      <c r="AF324" s="2496"/>
      <c r="AG324" s="2505"/>
      <c r="AH324" s="2515"/>
    </row>
    <row r="325" spans="1:34">
      <c r="A325" s="2496"/>
      <c r="B325" s="2496"/>
      <c r="C325" s="2496"/>
      <c r="D325" s="2496"/>
      <c r="E325" s="2496"/>
      <c r="F325" s="2496"/>
      <c r="G325" s="2496"/>
      <c r="H325" s="2496"/>
      <c r="I325" s="2496"/>
      <c r="J325" s="2496"/>
      <c r="K325" s="2496"/>
      <c r="L325" s="2496"/>
      <c r="M325" s="2496"/>
      <c r="N325" s="2496"/>
      <c r="O325" s="2496"/>
      <c r="P325" s="2496"/>
      <c r="Q325" s="2496"/>
      <c r="R325" s="2496"/>
      <c r="S325" s="2496"/>
      <c r="T325" s="2496"/>
      <c r="U325" s="2496"/>
      <c r="V325" s="2496"/>
      <c r="W325" s="2496"/>
      <c r="X325" s="2496"/>
      <c r="Y325" s="2496"/>
      <c r="Z325" s="2496"/>
      <c r="AA325" s="2496"/>
      <c r="AB325" s="2496"/>
      <c r="AC325" s="2496"/>
      <c r="AD325" s="2496"/>
      <c r="AE325" s="2496"/>
      <c r="AF325" s="2496"/>
      <c r="AG325" s="2496"/>
      <c r="AH325" s="2496"/>
    </row>
    <row r="326" spans="1:34">
      <c r="A326" s="2496"/>
      <c r="B326" s="2496"/>
      <c r="C326" s="2496"/>
      <c r="D326" s="2496"/>
      <c r="E326" s="2496"/>
      <c r="F326" s="2496"/>
      <c r="G326" s="2496"/>
      <c r="H326" s="2496"/>
      <c r="I326" s="2496"/>
      <c r="J326" s="2496"/>
      <c r="K326" s="2496"/>
      <c r="L326" s="2496"/>
      <c r="M326" s="2496"/>
      <c r="N326" s="2496"/>
      <c r="O326" s="2496"/>
      <c r="P326" s="2496"/>
      <c r="Q326" s="2496"/>
      <c r="R326" s="2496"/>
      <c r="S326" s="2496"/>
      <c r="T326" s="2496"/>
      <c r="U326" s="2496"/>
      <c r="V326" s="2496"/>
      <c r="W326" s="2496"/>
      <c r="X326" s="2496"/>
      <c r="Y326" s="2496"/>
      <c r="Z326" s="2496"/>
      <c r="AA326" s="2496"/>
      <c r="AB326" s="2496"/>
      <c r="AC326" s="2496"/>
      <c r="AD326" s="2496"/>
      <c r="AE326" s="2496"/>
      <c r="AF326" s="2496"/>
      <c r="AG326" s="2496"/>
      <c r="AH326" s="2496"/>
    </row>
    <row r="327" spans="1:34">
      <c r="A327" s="2496"/>
      <c r="B327" s="2496"/>
      <c r="C327" s="2496"/>
      <c r="D327" s="2496"/>
      <c r="E327" s="2496"/>
      <c r="F327" s="2496"/>
      <c r="G327" s="2496"/>
      <c r="H327" s="2496"/>
      <c r="I327" s="2496"/>
      <c r="J327" s="2496"/>
      <c r="K327" s="2496"/>
      <c r="L327" s="2496"/>
      <c r="M327" s="2496"/>
      <c r="N327" s="2496"/>
      <c r="O327" s="2496"/>
      <c r="P327" s="2496"/>
      <c r="Q327" s="2496"/>
      <c r="R327" s="2496"/>
      <c r="S327" s="2496"/>
      <c r="T327" s="2496"/>
      <c r="U327" s="2496"/>
      <c r="V327" s="2496"/>
      <c r="W327" s="2496"/>
      <c r="X327" s="2496"/>
      <c r="Y327" s="2496"/>
      <c r="Z327" s="2496"/>
      <c r="AA327" s="2496"/>
      <c r="AB327" s="2496"/>
      <c r="AC327" s="2496"/>
      <c r="AD327" s="2496"/>
      <c r="AE327" s="2496"/>
      <c r="AF327" s="2496"/>
      <c r="AG327" s="2496"/>
      <c r="AH327" s="2496"/>
    </row>
    <row r="328" spans="1:34">
      <c r="A328" s="2496"/>
      <c r="B328" s="2496"/>
      <c r="C328" s="2496"/>
      <c r="D328" s="2496"/>
      <c r="E328" s="2496"/>
      <c r="F328" s="2496"/>
      <c r="G328" s="2496"/>
      <c r="H328" s="2496"/>
      <c r="I328" s="2496"/>
      <c r="J328" s="2496"/>
      <c r="K328" s="2496"/>
      <c r="L328" s="2496"/>
      <c r="M328" s="2496"/>
      <c r="N328" s="2496"/>
      <c r="O328" s="2496"/>
      <c r="P328" s="2496"/>
      <c r="Q328" s="2496"/>
      <c r="R328" s="2496"/>
      <c r="S328" s="2496"/>
      <c r="T328" s="2496"/>
      <c r="U328" s="2496"/>
      <c r="V328" s="2496"/>
      <c r="W328" s="2496"/>
      <c r="X328" s="2496"/>
      <c r="Y328" s="2496"/>
      <c r="Z328" s="2496"/>
      <c r="AA328" s="2496"/>
      <c r="AB328" s="2496"/>
      <c r="AC328" s="2496"/>
      <c r="AD328" s="2496"/>
      <c r="AE328" s="2496"/>
      <c r="AF328" s="2496"/>
      <c r="AG328" s="2496"/>
      <c r="AH328" s="2496"/>
    </row>
    <row r="329" spans="1:34">
      <c r="A329" s="2496"/>
      <c r="B329" s="2496"/>
      <c r="C329" s="2496"/>
      <c r="D329" s="2496"/>
      <c r="E329" s="2496"/>
      <c r="F329" s="2496"/>
      <c r="G329" s="2496"/>
      <c r="H329" s="2496"/>
      <c r="I329" s="2496"/>
      <c r="J329" s="2496"/>
      <c r="K329" s="2496"/>
      <c r="L329" s="2496"/>
      <c r="M329" s="2496"/>
      <c r="N329" s="2496"/>
      <c r="O329" s="2496"/>
      <c r="P329" s="2496"/>
      <c r="Q329" s="2496"/>
      <c r="R329" s="2496"/>
      <c r="S329" s="2496"/>
      <c r="T329" s="2496"/>
      <c r="U329" s="2496"/>
      <c r="V329" s="2496"/>
      <c r="W329" s="2496"/>
      <c r="X329" s="2496"/>
      <c r="Y329" s="2496"/>
      <c r="Z329" s="2496"/>
      <c r="AA329" s="2496"/>
      <c r="AB329" s="2496"/>
      <c r="AC329" s="2496"/>
      <c r="AD329" s="2496"/>
      <c r="AE329" s="2496"/>
      <c r="AF329" s="2496"/>
      <c r="AG329" s="2496"/>
      <c r="AH329" s="2496"/>
    </row>
    <row r="330" spans="1:34">
      <c r="A330" s="2496"/>
      <c r="B330" s="2496"/>
      <c r="C330" s="2496"/>
      <c r="D330" s="2496"/>
      <c r="E330" s="2496"/>
      <c r="F330" s="2496"/>
      <c r="G330" s="2496"/>
      <c r="H330" s="2496"/>
      <c r="I330" s="2496"/>
      <c r="J330" s="2496"/>
      <c r="K330" s="2496"/>
      <c r="L330" s="2496"/>
      <c r="M330" s="2496"/>
      <c r="N330" s="2496"/>
      <c r="O330" s="2496"/>
      <c r="P330" s="2496"/>
      <c r="Q330" s="2496"/>
      <c r="R330" s="2496"/>
      <c r="S330" s="2496"/>
      <c r="T330" s="2496"/>
      <c r="U330" s="2496"/>
      <c r="V330" s="2496"/>
      <c r="W330" s="2496"/>
      <c r="X330" s="2496"/>
      <c r="Y330" s="2496"/>
      <c r="Z330" s="2496"/>
      <c r="AA330" s="2496"/>
      <c r="AB330" s="2496"/>
      <c r="AC330" s="2496"/>
      <c r="AD330" s="2496"/>
      <c r="AE330" s="2496"/>
      <c r="AF330" s="2496"/>
      <c r="AG330" s="2496"/>
      <c r="AH330" s="2496"/>
    </row>
    <row r="331" spans="1:34">
      <c r="A331" s="2496"/>
      <c r="B331" s="2496"/>
      <c r="C331" s="2496"/>
      <c r="D331" s="2496"/>
      <c r="E331" s="2496"/>
      <c r="F331" s="2496"/>
      <c r="G331" s="2496"/>
      <c r="H331" s="2496"/>
      <c r="I331" s="2496"/>
      <c r="J331" s="2496"/>
      <c r="K331" s="2496"/>
      <c r="L331" s="2496"/>
      <c r="M331" s="2496"/>
      <c r="N331" s="2496"/>
      <c r="O331" s="2496"/>
      <c r="P331" s="2496"/>
      <c r="Q331" s="2496"/>
      <c r="R331" s="2496"/>
      <c r="S331" s="2496"/>
      <c r="T331" s="2496"/>
      <c r="U331" s="2496"/>
      <c r="V331" s="2496"/>
      <c r="W331" s="2496"/>
      <c r="X331" s="2496"/>
      <c r="Y331" s="2496"/>
      <c r="Z331" s="2496"/>
      <c r="AA331" s="2496"/>
      <c r="AB331" s="2496"/>
      <c r="AC331" s="2496"/>
      <c r="AD331" s="2496"/>
      <c r="AE331" s="2496"/>
      <c r="AF331" s="2496"/>
      <c r="AG331" s="2496"/>
      <c r="AH331" s="2496"/>
    </row>
    <row r="332" spans="1:34">
      <c r="A332" s="2496"/>
      <c r="B332" s="2496"/>
      <c r="C332" s="2496"/>
      <c r="D332" s="2496"/>
      <c r="E332" s="2496"/>
      <c r="F332" s="2496"/>
      <c r="G332" s="2496"/>
      <c r="H332" s="2496"/>
      <c r="I332" s="2496"/>
      <c r="J332" s="2496"/>
      <c r="K332" s="2496"/>
      <c r="L332" s="2496"/>
      <c r="M332" s="2496"/>
      <c r="N332" s="2496"/>
      <c r="O332" s="2496"/>
      <c r="P332" s="2496"/>
      <c r="Q332" s="2496"/>
      <c r="R332" s="2496"/>
      <c r="S332" s="2496"/>
      <c r="T332" s="2496"/>
      <c r="U332" s="2496"/>
      <c r="V332" s="2496"/>
      <c r="W332" s="2496"/>
      <c r="X332" s="2496"/>
      <c r="Y332" s="2496"/>
      <c r="Z332" s="2496"/>
      <c r="AA332" s="2496"/>
      <c r="AB332" s="2496"/>
      <c r="AC332" s="2496"/>
      <c r="AD332" s="2496"/>
      <c r="AE332" s="2496"/>
      <c r="AF332" s="2496"/>
      <c r="AG332" s="2496"/>
      <c r="AH332" s="2496"/>
    </row>
    <row r="333" spans="1:34">
      <c r="A333" s="2496"/>
      <c r="B333" s="2496"/>
      <c r="C333" s="2496"/>
      <c r="D333" s="2496"/>
      <c r="E333" s="2496"/>
      <c r="F333" s="2496"/>
      <c r="G333" s="2496"/>
      <c r="H333" s="2496"/>
      <c r="I333" s="2496"/>
      <c r="J333" s="2496"/>
      <c r="K333" s="2496"/>
      <c r="L333" s="2496"/>
      <c r="M333" s="2496"/>
      <c r="N333" s="2496"/>
      <c r="O333" s="2496"/>
      <c r="P333" s="2496"/>
      <c r="Q333" s="2496"/>
      <c r="R333" s="2496"/>
      <c r="S333" s="2496"/>
      <c r="T333" s="2496"/>
      <c r="U333" s="2496"/>
      <c r="V333" s="2496"/>
      <c r="W333" s="2496"/>
      <c r="X333" s="2496"/>
      <c r="Y333" s="2496"/>
      <c r="Z333" s="2496"/>
      <c r="AA333" s="2496"/>
      <c r="AB333" s="2496"/>
      <c r="AC333" s="2496"/>
      <c r="AD333" s="2496"/>
      <c r="AE333" s="2496"/>
      <c r="AF333" s="2496"/>
      <c r="AG333" s="2496"/>
      <c r="AH333" s="2496"/>
    </row>
    <row r="334" spans="1:34">
      <c r="A334" s="2496"/>
      <c r="B334" s="2496"/>
      <c r="C334" s="2496"/>
      <c r="D334" s="2496"/>
      <c r="E334" s="2496"/>
      <c r="F334" s="2496"/>
      <c r="G334" s="2496"/>
      <c r="H334" s="2496"/>
      <c r="I334" s="2496"/>
      <c r="J334" s="2496"/>
      <c r="K334" s="2496"/>
      <c r="L334" s="2496"/>
      <c r="M334" s="2496"/>
      <c r="N334" s="2496"/>
      <c r="O334" s="2496"/>
      <c r="P334" s="2496"/>
      <c r="Q334" s="2496"/>
      <c r="R334" s="2496"/>
      <c r="S334" s="2496"/>
      <c r="T334" s="2496"/>
      <c r="U334" s="2496"/>
      <c r="V334" s="2496"/>
      <c r="W334" s="2496"/>
      <c r="X334" s="2496"/>
      <c r="Y334" s="2496"/>
      <c r="Z334" s="2496"/>
      <c r="AA334" s="2496"/>
      <c r="AB334" s="2496"/>
      <c r="AC334" s="2496"/>
      <c r="AD334" s="2496"/>
      <c r="AE334" s="2496"/>
      <c r="AF334" s="2496"/>
      <c r="AG334" s="2496"/>
      <c r="AH334" s="2496"/>
    </row>
    <row r="335" spans="1:34">
      <c r="A335" s="2496"/>
      <c r="B335" s="2496"/>
      <c r="C335" s="2496"/>
      <c r="D335" s="2496"/>
      <c r="E335" s="2496"/>
      <c r="F335" s="2496"/>
      <c r="G335" s="2496"/>
      <c r="H335" s="2496"/>
      <c r="I335" s="2496"/>
      <c r="J335" s="2496"/>
      <c r="K335" s="2496"/>
      <c r="L335" s="2496"/>
      <c r="M335" s="2496"/>
      <c r="N335" s="2496"/>
      <c r="O335" s="2496"/>
      <c r="P335" s="2496"/>
      <c r="Q335" s="2496"/>
      <c r="R335" s="2496"/>
      <c r="S335" s="2496"/>
      <c r="T335" s="2496"/>
      <c r="U335" s="2496"/>
      <c r="V335" s="2496"/>
      <c r="W335" s="2496"/>
      <c r="X335" s="2496"/>
      <c r="Y335" s="2496"/>
      <c r="Z335" s="2496"/>
      <c r="AA335" s="2496"/>
      <c r="AB335" s="2496"/>
      <c r="AC335" s="2496"/>
      <c r="AD335" s="2496"/>
      <c r="AE335" s="2496"/>
      <c r="AF335" s="2496"/>
      <c r="AG335" s="2496"/>
      <c r="AH335" s="2496"/>
    </row>
    <row r="336" spans="1:34">
      <c r="A336" s="2496"/>
      <c r="B336" s="2496"/>
      <c r="C336" s="2496"/>
      <c r="D336" s="2496"/>
      <c r="E336" s="2496"/>
      <c r="F336" s="2496"/>
      <c r="G336" s="2496"/>
      <c r="H336" s="2496"/>
      <c r="I336" s="2496"/>
      <c r="J336" s="2496"/>
      <c r="K336" s="2496"/>
      <c r="L336" s="2496"/>
      <c r="M336" s="2496"/>
      <c r="N336" s="2496"/>
      <c r="O336" s="2496"/>
      <c r="P336" s="2496"/>
      <c r="Q336" s="2496"/>
      <c r="R336" s="2496"/>
      <c r="S336" s="2496"/>
      <c r="T336" s="2496"/>
      <c r="U336" s="2496"/>
      <c r="V336" s="2496"/>
      <c r="W336" s="2496"/>
      <c r="X336" s="2496"/>
      <c r="Y336" s="2496"/>
      <c r="Z336" s="2496"/>
      <c r="AA336" s="2496"/>
      <c r="AB336" s="2496"/>
      <c r="AC336" s="2496"/>
      <c r="AD336" s="2496"/>
      <c r="AE336" s="2496"/>
      <c r="AF336" s="2496"/>
      <c r="AG336" s="2496"/>
      <c r="AH336" s="2496"/>
    </row>
    <row r="1361" spans="16:16">
      <c r="P1361" s="2496"/>
    </row>
    <row r="1362" spans="16:16">
      <c r="P1362" s="2496"/>
    </row>
    <row r="1363" spans="16:16">
      <c r="P1363" s="2496"/>
    </row>
    <row r="1364" spans="16:16">
      <c r="P1364" s="2496"/>
    </row>
    <row r="1365" spans="16:16">
      <c r="P1365" s="2496"/>
    </row>
    <row r="1366" spans="16:16">
      <c r="P1366" s="2496"/>
    </row>
    <row r="1367" spans="16:16">
      <c r="P1367" s="2496"/>
    </row>
    <row r="1368" spans="16:16">
      <c r="P1368" s="2496"/>
    </row>
    <row r="1369" spans="16:16">
      <c r="P1369" s="2496"/>
    </row>
    <row r="1370" spans="16:16">
      <c r="P1370" s="2496"/>
    </row>
    <row r="1371" spans="16:16">
      <c r="P1371" s="2496"/>
    </row>
    <row r="1372" spans="16:16">
      <c r="P1372" s="2496"/>
    </row>
    <row r="1373" spans="16:16">
      <c r="P1373" s="2496"/>
    </row>
    <row r="1374" spans="16:16">
      <c r="P1374" s="2496"/>
    </row>
    <row r="1375" spans="16:16">
      <c r="P1375" s="2498"/>
    </row>
    <row r="1376" spans="16:16">
      <c r="P1376" s="2498"/>
    </row>
    <row r="1377" spans="16:16">
      <c r="P1377" s="2498"/>
    </row>
    <row r="1378" spans="16:16">
      <c r="P1378" s="2498"/>
    </row>
    <row r="1379" spans="16:16">
      <c r="P1379" s="2498"/>
    </row>
    <row r="1380" spans="16:16">
      <c r="P1380" s="2498"/>
    </row>
    <row r="1381" spans="16:16">
      <c r="P1381" s="2498"/>
    </row>
    <row r="1382" spans="16:16">
      <c r="P1382" s="2498"/>
    </row>
    <row r="1383" spans="16:16">
      <c r="P1383" s="2498"/>
    </row>
    <row r="1384" spans="16:16">
      <c r="P1384" s="2498"/>
    </row>
    <row r="1385" spans="16:16">
      <c r="P1385" s="2498"/>
    </row>
    <row r="1386" spans="16:16">
      <c r="P1386" s="2498"/>
    </row>
    <row r="1387" spans="16:16">
      <c r="P1387" s="2498"/>
    </row>
    <row r="1388" spans="16:16">
      <c r="P1388" s="2498"/>
    </row>
    <row r="1389" spans="16:16">
      <c r="P1389" s="2498"/>
    </row>
    <row r="1390" spans="16:16">
      <c r="P1390" s="2498"/>
    </row>
    <row r="1391" spans="16:16">
      <c r="P1391" s="2498"/>
    </row>
    <row r="1392" spans="16:16">
      <c r="P1392" s="2498"/>
    </row>
    <row r="1393" spans="16:16">
      <c r="P1393" s="2498"/>
    </row>
    <row r="1394" spans="16:16">
      <c r="P1394" s="2498"/>
    </row>
    <row r="1395" spans="16:16">
      <c r="P1395" s="2498"/>
    </row>
    <row r="1396" spans="16:16">
      <c r="P1396" s="2498"/>
    </row>
    <row r="1397" spans="16:16">
      <c r="P1397" s="2498"/>
    </row>
    <row r="1398" spans="16:16">
      <c r="P1398" s="2498"/>
    </row>
    <row r="1399" spans="16:16">
      <c r="P1399" s="2498"/>
    </row>
    <row r="1400" spans="16:16">
      <c r="P1400" s="2498"/>
    </row>
    <row r="1401" spans="16:16">
      <c r="P1401" s="2498"/>
    </row>
    <row r="1402" spans="16:16">
      <c r="P1402" s="2498"/>
    </row>
    <row r="1403" spans="16:16">
      <c r="P1403" s="2498"/>
    </row>
    <row r="1404" spans="16:16">
      <c r="P1404" s="2498"/>
    </row>
    <row r="1405" spans="16:16">
      <c r="P1405" s="2498"/>
    </row>
    <row r="1406" spans="16:16">
      <c r="P1406" s="2498"/>
    </row>
    <row r="1407" spans="16:16">
      <c r="P1407" s="2498"/>
    </row>
    <row r="1408" spans="16:16">
      <c r="P1408" s="2498"/>
    </row>
    <row r="1409" spans="16:16">
      <c r="P1409" s="2498"/>
    </row>
    <row r="1410" spans="16:16">
      <c r="P1410" s="2498"/>
    </row>
    <row r="1411" spans="16:16">
      <c r="P1411" s="2498"/>
    </row>
    <row r="1412" spans="16:16">
      <c r="P1412" s="2498"/>
    </row>
    <row r="1413" spans="16:16">
      <c r="P1413" s="2498"/>
    </row>
    <row r="1414" spans="16:16">
      <c r="P1414" s="2498"/>
    </row>
    <row r="1415" spans="16:16">
      <c r="P1415" s="2498"/>
    </row>
    <row r="1416" spans="16:16">
      <c r="P1416" s="2498"/>
    </row>
    <row r="1417" spans="16:16">
      <c r="P1417" s="2498"/>
    </row>
    <row r="1418" spans="16:16">
      <c r="P1418" s="2498"/>
    </row>
    <row r="1419" spans="16:16">
      <c r="P1419" s="2498"/>
    </row>
    <row r="1420" spans="16:16">
      <c r="P1420" s="2498"/>
    </row>
    <row r="1421" spans="16:16">
      <c r="P1421" s="2498"/>
    </row>
    <row r="1422" spans="16:16">
      <c r="P1422" s="2498"/>
    </row>
    <row r="1423" spans="16:16">
      <c r="P1423" s="2498"/>
    </row>
    <row r="1424" spans="16:16">
      <c r="P1424" s="2498"/>
    </row>
    <row r="1425" spans="16:16">
      <c r="P1425" s="2498"/>
    </row>
    <row r="1426" spans="16:16">
      <c r="P1426" s="2498"/>
    </row>
    <row r="1427" spans="16:16">
      <c r="P1427" s="2498"/>
    </row>
    <row r="1428" spans="16:16">
      <c r="P1428" s="2498"/>
    </row>
    <row r="1429" spans="16:16">
      <c r="P1429" s="2498"/>
    </row>
    <row r="1430" spans="16:16">
      <c r="P1430" s="2498"/>
    </row>
    <row r="1431" spans="16:16">
      <c r="P1431" s="2498"/>
    </row>
    <row r="1432" spans="16:16">
      <c r="P1432" s="2498"/>
    </row>
    <row r="1433" spans="16:16">
      <c r="P1433" s="2498"/>
    </row>
    <row r="1434" spans="16:16">
      <c r="P1434" s="2498"/>
    </row>
    <row r="1435" spans="16:16">
      <c r="P1435" s="2498"/>
    </row>
    <row r="1436" spans="16:16">
      <c r="P1436" s="2498"/>
    </row>
    <row r="1437" spans="16:16">
      <c r="P1437" s="2498"/>
    </row>
    <row r="1438" spans="16:16">
      <c r="P1438" s="2498"/>
    </row>
    <row r="1439" spans="16:16">
      <c r="P1439" s="2498"/>
    </row>
    <row r="1440" spans="16:16">
      <c r="P1440" s="2498"/>
    </row>
    <row r="1441" spans="16:16">
      <c r="P1441" s="2498"/>
    </row>
    <row r="1442" spans="16:16">
      <c r="P1442" s="2498"/>
    </row>
    <row r="1443" spans="16:16">
      <c r="P1443" s="2498"/>
    </row>
    <row r="1444" spans="16:16">
      <c r="P1444" s="2498"/>
    </row>
    <row r="1445" spans="16:16">
      <c r="P1445" s="2498"/>
    </row>
    <row r="1446" spans="16:16">
      <c r="P1446" s="2498"/>
    </row>
    <row r="1447" spans="16:16">
      <c r="P1447" s="2498"/>
    </row>
    <row r="1448" spans="16:16">
      <c r="P1448" s="2498"/>
    </row>
    <row r="1449" spans="16:16">
      <c r="P1449" s="2498"/>
    </row>
    <row r="1450" spans="16:16">
      <c r="P1450" s="2498"/>
    </row>
    <row r="1451" spans="16:16">
      <c r="P1451" s="2498"/>
    </row>
    <row r="1452" spans="16:16">
      <c r="P1452" s="2498"/>
    </row>
    <row r="1453" spans="16:16">
      <c r="P1453" s="2498"/>
    </row>
    <row r="1454" spans="16:16">
      <c r="P1454" s="2498"/>
    </row>
    <row r="1455" spans="16:16">
      <c r="P1455" s="2498"/>
    </row>
    <row r="1456" spans="16:16">
      <c r="P1456" s="2498"/>
    </row>
    <row r="1457" spans="16:16">
      <c r="P1457" s="2498"/>
    </row>
    <row r="1458" spans="16:16">
      <c r="P1458" s="2498"/>
    </row>
    <row r="1459" spans="16:16">
      <c r="P1459" s="2498"/>
    </row>
    <row r="1460" spans="16:16">
      <c r="P1460" s="2498"/>
    </row>
    <row r="1461" spans="16:16">
      <c r="P1461" s="2498"/>
    </row>
    <row r="1462" spans="16:16">
      <c r="P1462" s="2498"/>
    </row>
    <row r="1463" spans="16:16">
      <c r="P1463" s="2498"/>
    </row>
    <row r="1464" spans="16:16">
      <c r="P1464" s="2498"/>
    </row>
    <row r="1465" spans="16:16">
      <c r="P1465" s="2498"/>
    </row>
    <row r="1466" spans="16:16">
      <c r="P1466" s="2498"/>
    </row>
    <row r="1467" spans="16:16">
      <c r="P1467" s="2498"/>
    </row>
    <row r="1468" spans="16:16">
      <c r="P1468" s="2498"/>
    </row>
    <row r="1469" spans="16:16">
      <c r="P1469" s="2498"/>
    </row>
    <row r="1470" spans="16:16">
      <c r="P1470" s="2498"/>
    </row>
    <row r="1471" spans="16:16">
      <c r="P1471" s="2498"/>
    </row>
    <row r="1472" spans="16:16">
      <c r="P1472" s="2498"/>
    </row>
    <row r="1473" spans="16:16">
      <c r="P1473" s="2498"/>
    </row>
    <row r="1474" spans="16:16">
      <c r="P1474" s="2498"/>
    </row>
    <row r="1475" spans="16:16">
      <c r="P1475" s="2498"/>
    </row>
    <row r="1476" spans="16:16">
      <c r="P1476" s="2498"/>
    </row>
    <row r="1477" spans="16:16">
      <c r="P1477" s="2498"/>
    </row>
    <row r="1478" spans="16:16">
      <c r="P1478" s="2498"/>
    </row>
    <row r="1479" spans="16:16">
      <c r="P1479" s="2498"/>
    </row>
    <row r="1480" spans="16:16">
      <c r="P1480" s="2498"/>
    </row>
    <row r="1481" spans="16:16">
      <c r="P1481" s="2498"/>
    </row>
    <row r="1482" spans="16:16">
      <c r="P1482" s="2498"/>
    </row>
    <row r="1483" spans="16:16">
      <c r="P1483" s="2498"/>
    </row>
    <row r="1484" spans="16:16">
      <c r="P1484" s="2498"/>
    </row>
    <row r="1485" spans="16:16">
      <c r="P1485" s="2498"/>
    </row>
    <row r="1486" spans="16:16">
      <c r="P1486" s="2498"/>
    </row>
    <row r="1487" spans="16:16">
      <c r="P1487" s="2498"/>
    </row>
    <row r="1488" spans="16:16">
      <c r="P1488" s="2498"/>
    </row>
    <row r="1489" spans="16:16">
      <c r="P1489" s="2498"/>
    </row>
    <row r="1490" spans="16:16">
      <c r="P1490" s="2498"/>
    </row>
    <row r="1491" spans="16:16">
      <c r="P1491" s="2498"/>
    </row>
    <row r="1492" spans="16:16">
      <c r="P1492" s="2498"/>
    </row>
    <row r="1493" spans="16:16">
      <c r="P1493" s="2498"/>
    </row>
    <row r="1494" spans="16:16">
      <c r="P1494" s="2498"/>
    </row>
    <row r="1495" spans="16:16">
      <c r="P1495" s="2498"/>
    </row>
    <row r="1496" spans="16:16">
      <c r="P1496" s="2498"/>
    </row>
    <row r="1497" spans="16:16">
      <c r="P1497" s="2498"/>
    </row>
    <row r="1498" spans="16:16">
      <c r="P1498" s="2498"/>
    </row>
    <row r="1499" spans="16:16">
      <c r="P1499" s="2498"/>
    </row>
    <row r="1500" spans="16:16">
      <c r="P1500" s="2498"/>
    </row>
    <row r="1501" spans="16:16">
      <c r="P1501" s="2498"/>
    </row>
    <row r="1502" spans="16:16">
      <c r="P1502" s="2498"/>
    </row>
    <row r="1503" spans="16:16">
      <c r="P1503" s="2498"/>
    </row>
    <row r="1504" spans="16:16">
      <c r="P1504" s="2498"/>
    </row>
    <row r="1505" spans="16:16">
      <c r="P1505" s="2498"/>
    </row>
    <row r="1506" spans="16:16">
      <c r="P1506" s="2498"/>
    </row>
    <row r="1507" spans="16:16">
      <c r="P1507" s="2498"/>
    </row>
    <row r="1508" spans="16:16">
      <c r="P1508" s="2498"/>
    </row>
    <row r="1509" spans="16:16">
      <c r="P1509" s="2498"/>
    </row>
    <row r="1510" spans="16:16">
      <c r="P1510" s="2498"/>
    </row>
    <row r="1511" spans="16:16">
      <c r="P1511" s="2498"/>
    </row>
    <row r="1512" spans="16:16">
      <c r="P1512" s="2498"/>
    </row>
    <row r="1513" spans="16:16">
      <c r="P1513" s="2498"/>
    </row>
    <row r="1514" spans="16:16">
      <c r="P1514" s="2498"/>
    </row>
    <row r="1515" spans="16:16">
      <c r="P1515" s="2498"/>
    </row>
    <row r="1516" spans="16:16">
      <c r="P1516" s="2498"/>
    </row>
    <row r="1517" spans="16:16">
      <c r="P1517" s="2498"/>
    </row>
    <row r="1518" spans="16:16">
      <c r="P1518" s="2498"/>
    </row>
    <row r="1519" spans="16:16">
      <c r="P1519" s="2498"/>
    </row>
    <row r="1520" spans="16:16">
      <c r="P1520" s="2498"/>
    </row>
    <row r="1521" spans="16:16">
      <c r="P1521" s="2498"/>
    </row>
    <row r="1522" spans="16:16">
      <c r="P1522" s="2498"/>
    </row>
    <row r="1523" spans="16:16">
      <c r="P1523" s="2498"/>
    </row>
    <row r="1524" spans="16:16">
      <c r="P1524" s="2498"/>
    </row>
    <row r="1525" spans="16:16">
      <c r="P1525" s="2498"/>
    </row>
    <row r="1526" spans="16:16">
      <c r="P1526" s="2498"/>
    </row>
    <row r="1527" spans="16:16">
      <c r="P1527" s="2498"/>
    </row>
    <row r="1528" spans="16:16">
      <c r="P1528" s="2498"/>
    </row>
    <row r="1529" spans="16:16">
      <c r="P1529" s="2498"/>
    </row>
    <row r="1530" spans="16:16">
      <c r="P1530" s="2498"/>
    </row>
    <row r="1531" spans="16:16">
      <c r="P1531" s="2498"/>
    </row>
    <row r="1532" spans="16:16">
      <c r="P1532" s="2498"/>
    </row>
    <row r="1533" spans="16:16">
      <c r="P1533" s="2498"/>
    </row>
    <row r="1534" spans="16:16">
      <c r="P1534" s="2498"/>
    </row>
    <row r="1535" spans="16:16">
      <c r="P1535" s="2498"/>
    </row>
    <row r="1536" spans="16:16">
      <c r="P1536" s="2498"/>
    </row>
    <row r="1537" spans="16:16">
      <c r="P1537" s="2498"/>
    </row>
    <row r="1538" spans="16:16">
      <c r="P1538" s="2498"/>
    </row>
    <row r="1539" spans="16:16">
      <c r="P1539" s="2498"/>
    </row>
    <row r="1540" spans="16:16">
      <c r="P1540" s="2498"/>
    </row>
    <row r="1541" spans="16:16">
      <c r="P1541" s="2498"/>
    </row>
    <row r="1542" spans="16:16">
      <c r="P1542" s="2498"/>
    </row>
    <row r="1543" spans="16:16">
      <c r="P1543" s="2498"/>
    </row>
    <row r="1544" spans="16:16">
      <c r="P1544" s="2498"/>
    </row>
    <row r="1545" spans="16:16">
      <c r="P1545" s="2498"/>
    </row>
    <row r="1546" spans="16:16">
      <c r="P1546" s="2498"/>
    </row>
    <row r="1547" spans="16:16">
      <c r="P1547" s="2498"/>
    </row>
    <row r="1548" spans="16:16">
      <c r="P1548" s="2498"/>
    </row>
    <row r="1549" spans="16:16">
      <c r="P1549" s="2498"/>
    </row>
    <row r="1550" spans="16:16">
      <c r="P1550" s="2498"/>
    </row>
    <row r="1551" spans="16:16">
      <c r="P1551" s="2498"/>
    </row>
    <row r="1552" spans="16:16">
      <c r="P1552" s="2498"/>
    </row>
    <row r="1553" spans="16:16">
      <c r="P1553" s="2498"/>
    </row>
    <row r="1554" spans="16:16">
      <c r="P1554" s="2498"/>
    </row>
    <row r="1555" spans="16:16">
      <c r="P1555" s="2498"/>
    </row>
    <row r="1556" spans="16:16">
      <c r="P1556" s="2498"/>
    </row>
    <row r="1557" spans="16:16">
      <c r="P1557" s="2498"/>
    </row>
    <row r="1558" spans="16:16">
      <c r="P1558" s="2498"/>
    </row>
    <row r="1559" spans="16:16">
      <c r="P1559" s="2498"/>
    </row>
    <row r="1560" spans="16:16">
      <c r="P1560" s="2498"/>
    </row>
    <row r="1561" spans="16:16">
      <c r="P1561" s="2498"/>
    </row>
    <row r="1562" spans="16:16">
      <c r="P1562" s="2498"/>
    </row>
    <row r="1563" spans="16:16">
      <c r="P1563" s="2498"/>
    </row>
    <row r="1564" spans="16:16">
      <c r="P1564" s="2498"/>
    </row>
    <row r="1565" spans="16:16">
      <c r="P1565" s="2498"/>
    </row>
    <row r="1566" spans="16:16">
      <c r="P1566" s="2498"/>
    </row>
    <row r="1567" spans="16:16">
      <c r="P1567" s="2498"/>
    </row>
    <row r="1568" spans="16:16">
      <c r="P1568" s="2498"/>
    </row>
    <row r="1569" spans="16:16">
      <c r="P1569" s="2498"/>
    </row>
    <row r="1570" spans="16:16">
      <c r="P1570" s="2498"/>
    </row>
    <row r="1571" spans="16:16">
      <c r="P1571" s="2498"/>
    </row>
    <row r="1572" spans="16:16">
      <c r="P1572" s="2498"/>
    </row>
    <row r="1573" spans="16:16">
      <c r="P1573" s="2498"/>
    </row>
    <row r="1574" spans="16:16">
      <c r="P1574" s="2498"/>
    </row>
    <row r="1575" spans="16:16">
      <c r="P1575" s="2498"/>
    </row>
    <row r="1576" spans="16:16">
      <c r="P1576" s="2498"/>
    </row>
    <row r="1577" spans="16:16">
      <c r="P1577" s="2498"/>
    </row>
    <row r="1578" spans="16:16">
      <c r="P1578" s="2498"/>
    </row>
    <row r="1579" spans="16:16">
      <c r="P1579" s="2498"/>
    </row>
    <row r="1580" spans="16:16">
      <c r="P1580" s="2498"/>
    </row>
    <row r="1581" spans="16:16">
      <c r="P1581" s="2498"/>
    </row>
    <row r="1582" spans="16:16">
      <c r="P1582" s="2498"/>
    </row>
    <row r="1583" spans="16:16">
      <c r="P1583" s="2498"/>
    </row>
    <row r="1584" spans="16:16">
      <c r="P1584" s="2498"/>
    </row>
    <row r="1585" spans="16:16">
      <c r="P1585" s="2498"/>
    </row>
    <row r="1586" spans="16:16">
      <c r="P1586" s="2498"/>
    </row>
    <row r="1587" spans="16:16">
      <c r="P1587" s="2498"/>
    </row>
    <row r="1588" spans="16:16">
      <c r="P1588" s="2498"/>
    </row>
    <row r="1589" spans="16:16">
      <c r="P1589" s="2498"/>
    </row>
    <row r="1590" spans="16:16">
      <c r="P1590" s="2498"/>
    </row>
    <row r="1591" spans="16:16">
      <c r="P1591" s="2498"/>
    </row>
    <row r="1592" spans="16:16">
      <c r="P1592" s="2498"/>
    </row>
    <row r="1593" spans="16:16">
      <c r="P1593" s="2498"/>
    </row>
    <row r="1594" spans="16:16">
      <c r="P1594" s="2498"/>
    </row>
    <row r="1595" spans="16:16">
      <c r="P1595" s="2498"/>
    </row>
    <row r="1596" spans="16:16">
      <c r="P1596" s="2498"/>
    </row>
    <row r="1597" spans="16:16">
      <c r="P1597" s="2498"/>
    </row>
    <row r="1598" spans="16:16">
      <c r="P1598" s="2498"/>
    </row>
    <row r="1599" spans="16:16">
      <c r="P1599" s="2498"/>
    </row>
    <row r="1600" spans="16:16">
      <c r="P1600" s="2498"/>
    </row>
    <row r="1601" spans="16:16">
      <c r="P1601" s="2498"/>
    </row>
    <row r="1602" spans="16:16">
      <c r="P1602" s="2498"/>
    </row>
    <row r="1603" spans="16:16">
      <c r="P1603" s="2498"/>
    </row>
    <row r="1604" spans="16:16">
      <c r="P1604" s="2498"/>
    </row>
    <row r="1605" spans="16:16">
      <c r="P1605" s="2498"/>
    </row>
    <row r="1606" spans="16:16">
      <c r="P1606" s="2498"/>
    </row>
    <row r="1607" spans="16:16">
      <c r="P1607" s="2498"/>
    </row>
    <row r="1608" spans="16:16">
      <c r="P1608" s="2498"/>
    </row>
    <row r="1609" spans="16:16">
      <c r="P1609" s="2498"/>
    </row>
    <row r="1610" spans="16:16">
      <c r="P1610" s="2498"/>
    </row>
    <row r="1611" spans="16:16">
      <c r="P1611" s="2498"/>
    </row>
    <row r="1612" spans="16:16">
      <c r="P1612" s="2498"/>
    </row>
    <row r="1613" spans="16:16">
      <c r="P1613" s="2498"/>
    </row>
    <row r="1614" spans="16:16">
      <c r="P1614" s="2498"/>
    </row>
    <row r="1615" spans="16:16">
      <c r="P1615" s="2498"/>
    </row>
    <row r="1616" spans="16:16">
      <c r="P1616" s="2498"/>
    </row>
    <row r="1617" spans="16:16">
      <c r="P1617" s="2498"/>
    </row>
    <row r="1618" spans="16:16">
      <c r="P1618" s="2498"/>
    </row>
    <row r="1619" spans="16:16">
      <c r="P1619" s="2498"/>
    </row>
    <row r="1620" spans="16:16">
      <c r="P1620" s="2498"/>
    </row>
    <row r="1621" spans="16:16">
      <c r="P1621" s="2498"/>
    </row>
    <row r="1622" spans="16:16">
      <c r="P1622" s="2498"/>
    </row>
    <row r="1623" spans="16:16">
      <c r="P1623" s="2498"/>
    </row>
    <row r="1624" spans="16:16">
      <c r="P1624" s="2498"/>
    </row>
    <row r="1625" spans="16:16">
      <c r="P1625" s="2498"/>
    </row>
    <row r="1626" spans="16:16">
      <c r="P1626" s="2498"/>
    </row>
    <row r="1627" spans="16:16">
      <c r="P1627" s="2498"/>
    </row>
    <row r="1628" spans="16:16">
      <c r="P1628" s="2498"/>
    </row>
    <row r="1629" spans="16:16">
      <c r="P1629" s="2498"/>
    </row>
    <row r="1630" spans="16:16">
      <c r="P1630" s="2498"/>
    </row>
    <row r="1631" spans="16:16">
      <c r="P1631" s="2498"/>
    </row>
    <row r="1632" spans="16:16">
      <c r="P1632" s="2498"/>
    </row>
    <row r="1633" spans="16:16">
      <c r="P1633" s="2498"/>
    </row>
    <row r="1634" spans="16:16">
      <c r="P1634" s="2498"/>
    </row>
    <row r="1635" spans="16:16">
      <c r="P1635" s="2498"/>
    </row>
    <row r="1636" spans="16:16">
      <c r="P1636" s="2498"/>
    </row>
    <row r="1637" spans="16:16">
      <c r="P1637" s="2498"/>
    </row>
    <row r="1638" spans="16:16">
      <c r="P1638" s="2498"/>
    </row>
    <row r="1639" spans="16:16">
      <c r="P1639" s="2498"/>
    </row>
    <row r="1640" spans="16:16">
      <c r="P1640" s="2498"/>
    </row>
    <row r="1641" spans="16:16">
      <c r="P1641" s="2498"/>
    </row>
    <row r="1642" spans="16:16">
      <c r="P1642" s="2498"/>
    </row>
    <row r="1643" spans="16:16">
      <c r="P1643" s="2498"/>
    </row>
    <row r="1644" spans="16:16">
      <c r="P1644" s="2498"/>
    </row>
    <row r="1645" spans="16:16">
      <c r="P1645" s="2498"/>
    </row>
    <row r="1646" spans="16:16">
      <c r="P1646" s="2498"/>
    </row>
    <row r="1647" spans="16:16">
      <c r="P1647" s="2498"/>
    </row>
    <row r="1648" spans="16:16">
      <c r="P1648" s="2498"/>
    </row>
    <row r="1649" spans="16:16">
      <c r="P1649" s="2498"/>
    </row>
    <row r="1650" spans="16:16">
      <c r="P1650" s="2498"/>
    </row>
    <row r="1651" spans="16:16">
      <c r="P1651" s="2498"/>
    </row>
    <row r="1652" spans="16:16">
      <c r="P1652" s="2498"/>
    </row>
    <row r="1653" spans="16:16">
      <c r="P1653" s="2498"/>
    </row>
    <row r="1654" spans="16:16">
      <c r="P1654" s="2498"/>
    </row>
    <row r="1655" spans="16:16">
      <c r="P1655" s="2498"/>
    </row>
    <row r="1656" spans="16:16">
      <c r="P1656" s="2498"/>
    </row>
    <row r="1657" spans="16:16">
      <c r="P1657" s="2498"/>
    </row>
    <row r="1658" spans="16:16">
      <c r="P1658" s="2498"/>
    </row>
    <row r="1659" spans="16:16">
      <c r="P1659" s="2498"/>
    </row>
    <row r="1660" spans="16:16">
      <c r="P1660" s="2498"/>
    </row>
    <row r="1661" spans="16:16">
      <c r="P1661" s="2498"/>
    </row>
    <row r="1662" spans="16:16">
      <c r="P1662" s="2498"/>
    </row>
    <row r="1663" spans="16:16">
      <c r="P1663" s="2498"/>
    </row>
    <row r="1664" spans="16:16">
      <c r="P1664" s="2498"/>
    </row>
    <row r="1665" spans="16:16">
      <c r="P1665" s="2498"/>
    </row>
    <row r="1666" spans="16:16">
      <c r="P1666" s="2498"/>
    </row>
    <row r="1667" spans="16:16">
      <c r="P1667" s="2498"/>
    </row>
    <row r="1668" spans="16:16">
      <c r="P1668" s="2498"/>
    </row>
    <row r="1669" spans="16:16">
      <c r="P1669" s="2498"/>
    </row>
    <row r="1670" spans="16:16">
      <c r="P1670" s="2498"/>
    </row>
    <row r="1671" spans="16:16">
      <c r="P1671" s="2498"/>
    </row>
    <row r="1672" spans="16:16">
      <c r="P1672" s="2498"/>
    </row>
    <row r="1673" spans="16:16">
      <c r="P1673" s="2498"/>
    </row>
    <row r="1674" spans="16:16">
      <c r="P1674" s="2498"/>
    </row>
    <row r="1675" spans="16:16">
      <c r="P1675" s="2498"/>
    </row>
    <row r="1676" spans="16:16">
      <c r="P1676" s="2498"/>
    </row>
    <row r="1677" spans="16:16">
      <c r="P1677" s="2498"/>
    </row>
    <row r="1678" spans="16:16">
      <c r="P1678" s="2498"/>
    </row>
    <row r="1679" spans="16:16">
      <c r="P1679" s="2498"/>
    </row>
    <row r="1680" spans="16:16">
      <c r="P1680" s="2498"/>
    </row>
    <row r="1681" spans="16:16">
      <c r="P1681" s="2498"/>
    </row>
    <row r="1682" spans="16:16">
      <c r="P1682" s="2498"/>
    </row>
    <row r="1683" spans="16:16">
      <c r="P1683" s="2498"/>
    </row>
    <row r="1684" spans="16:16">
      <c r="P1684" s="2498"/>
    </row>
    <row r="1685" spans="16:16">
      <c r="P1685" s="2498"/>
    </row>
    <row r="1686" spans="16:16">
      <c r="P1686" s="2498"/>
    </row>
    <row r="1687" spans="16:16">
      <c r="P1687" s="2498"/>
    </row>
    <row r="1688" spans="16:16">
      <c r="P1688" s="2498"/>
    </row>
    <row r="1689" spans="16:16">
      <c r="P1689" s="2498"/>
    </row>
    <row r="1690" spans="16:16">
      <c r="P1690" s="2498"/>
    </row>
    <row r="1691" spans="16:16">
      <c r="P1691" s="2498"/>
    </row>
    <row r="1692" spans="16:16">
      <c r="P1692" s="2498"/>
    </row>
    <row r="1693" spans="16:16">
      <c r="P1693" s="2498"/>
    </row>
    <row r="1694" spans="16:16">
      <c r="P1694" s="2498"/>
    </row>
    <row r="1695" spans="16:16">
      <c r="P1695" s="2498"/>
    </row>
    <row r="1696" spans="16:16">
      <c r="P1696" s="2498"/>
    </row>
    <row r="1697" spans="16:16">
      <c r="P1697" s="2498"/>
    </row>
    <row r="1698" spans="16:16">
      <c r="P1698" s="2498"/>
    </row>
    <row r="1699" spans="16:16">
      <c r="P1699" s="2498"/>
    </row>
    <row r="1700" spans="16:16">
      <c r="P1700" s="2498"/>
    </row>
    <row r="1701" spans="16:16">
      <c r="P1701" s="2498"/>
    </row>
    <row r="1702" spans="16:16">
      <c r="P1702" s="2498"/>
    </row>
    <row r="1703" spans="16:16">
      <c r="P1703" s="2498"/>
    </row>
    <row r="1704" spans="16:16">
      <c r="P1704" s="2498"/>
    </row>
    <row r="1705" spans="16:16">
      <c r="P1705" s="2498"/>
    </row>
    <row r="1706" spans="16:16">
      <c r="P1706" s="2498"/>
    </row>
    <row r="1707" spans="16:16">
      <c r="P1707" s="2498"/>
    </row>
    <row r="1708" spans="16:16">
      <c r="P1708" s="2498"/>
    </row>
    <row r="1709" spans="16:16">
      <c r="P1709" s="2498"/>
    </row>
    <row r="1710" spans="16:16">
      <c r="P1710" s="2498"/>
    </row>
    <row r="1711" spans="16:16">
      <c r="P1711" s="2498"/>
    </row>
    <row r="1712" spans="16:16">
      <c r="P1712" s="2498"/>
    </row>
    <row r="1713" spans="16:16">
      <c r="P1713" s="2498"/>
    </row>
    <row r="1714" spans="16:16">
      <c r="P1714" s="2498"/>
    </row>
    <row r="1715" spans="16:16">
      <c r="P1715" s="2498"/>
    </row>
    <row r="1716" spans="16:16">
      <c r="P1716" s="2498"/>
    </row>
    <row r="1717" spans="16:16">
      <c r="P1717" s="2498"/>
    </row>
    <row r="1718" spans="16:16">
      <c r="P1718" s="2498"/>
    </row>
    <row r="1719" spans="16:16">
      <c r="P1719" s="2498"/>
    </row>
    <row r="1720" spans="16:16">
      <c r="P1720" s="2498"/>
    </row>
    <row r="1721" spans="16:16">
      <c r="P1721" s="2498"/>
    </row>
    <row r="1722" spans="16:16">
      <c r="P1722" s="2498"/>
    </row>
    <row r="1723" spans="16:16">
      <c r="P1723" s="2498"/>
    </row>
    <row r="1724" spans="16:16">
      <c r="P1724" s="2498"/>
    </row>
    <row r="1725" spans="16:16">
      <c r="P1725" s="2498"/>
    </row>
    <row r="1726" spans="16:16">
      <c r="P1726" s="2498"/>
    </row>
    <row r="1727" spans="16:16">
      <c r="P1727" s="2498"/>
    </row>
    <row r="1728" spans="16:16">
      <c r="P1728" s="2498"/>
    </row>
    <row r="1729" spans="16:16">
      <c r="P1729" s="2498"/>
    </row>
    <row r="1730" spans="16:16">
      <c r="P1730" s="2498"/>
    </row>
    <row r="1731" spans="16:16">
      <c r="P1731" s="2498"/>
    </row>
    <row r="1732" spans="16:16">
      <c r="P1732" s="2498"/>
    </row>
    <row r="1733" spans="16:16">
      <c r="P1733" s="2498"/>
    </row>
    <row r="1734" spans="16:16">
      <c r="P1734" s="2498"/>
    </row>
    <row r="1735" spans="16:16">
      <c r="P1735" s="2498"/>
    </row>
    <row r="1736" spans="16:16">
      <c r="P1736" s="2498"/>
    </row>
    <row r="1737" spans="16:16">
      <c r="P1737" s="2498"/>
    </row>
    <row r="1738" spans="16:16">
      <c r="P1738" s="2498"/>
    </row>
    <row r="1739" spans="16:16">
      <c r="P1739" s="2498"/>
    </row>
    <row r="1740" spans="16:16">
      <c r="P1740" s="2498"/>
    </row>
    <row r="1741" spans="16:16">
      <c r="P1741" s="2498"/>
    </row>
    <row r="1742" spans="16:16">
      <c r="P1742" s="2498"/>
    </row>
    <row r="1743" spans="16:16">
      <c r="P1743" s="2498"/>
    </row>
    <row r="1744" spans="16:16">
      <c r="P1744" s="2498"/>
    </row>
    <row r="1745" spans="16:16">
      <c r="P1745" s="2498"/>
    </row>
    <row r="1746" spans="16:16">
      <c r="P1746" s="2498"/>
    </row>
    <row r="1747" spans="16:16">
      <c r="P1747" s="2498"/>
    </row>
    <row r="1748" spans="16:16">
      <c r="P1748" s="2498"/>
    </row>
    <row r="1749" spans="16:16">
      <c r="P1749" s="2498"/>
    </row>
    <row r="1750" spans="16:16">
      <c r="P1750" s="2498"/>
    </row>
    <row r="1751" spans="16:16">
      <c r="P1751" s="2498"/>
    </row>
    <row r="1752" spans="16:16">
      <c r="P1752" s="2498"/>
    </row>
    <row r="1753" spans="16:16">
      <c r="P1753" s="2498"/>
    </row>
    <row r="1754" spans="16:16">
      <c r="P1754" s="2498"/>
    </row>
    <row r="1755" spans="16:16">
      <c r="P1755" s="2498"/>
    </row>
    <row r="1756" spans="16:16">
      <c r="P1756" s="2498"/>
    </row>
    <row r="1757" spans="16:16">
      <c r="P1757" s="2498"/>
    </row>
    <row r="1758" spans="16:16">
      <c r="P1758" s="2498"/>
    </row>
    <row r="1759" spans="16:16">
      <c r="P1759" s="2498"/>
    </row>
    <row r="1760" spans="16:16">
      <c r="P1760" s="2498"/>
    </row>
    <row r="1761" spans="16:16">
      <c r="P1761" s="2498"/>
    </row>
    <row r="1762" spans="16:16">
      <c r="P1762" s="2498"/>
    </row>
    <row r="1763" spans="16:16">
      <c r="P1763" s="2498"/>
    </row>
    <row r="1764" spans="16:16">
      <c r="P1764" s="2498"/>
    </row>
    <row r="1765" spans="16:16">
      <c r="P1765" s="2498"/>
    </row>
    <row r="1766" spans="16:16">
      <c r="P1766" s="2498"/>
    </row>
    <row r="1767" spans="16:16">
      <c r="P1767" s="2498"/>
    </row>
    <row r="1768" spans="16:16">
      <c r="P1768" s="2498"/>
    </row>
    <row r="1769" spans="16:16">
      <c r="P1769" s="2498"/>
    </row>
    <row r="1770" spans="16:16">
      <c r="P1770" s="2498"/>
    </row>
    <row r="1771" spans="16:16">
      <c r="P1771" s="2498"/>
    </row>
    <row r="1772" spans="16:16">
      <c r="P1772" s="2498"/>
    </row>
    <row r="1773" spans="16:16">
      <c r="P1773" s="2498"/>
    </row>
    <row r="1774" spans="16:16">
      <c r="P1774" s="2498"/>
    </row>
    <row r="1775" spans="16:16">
      <c r="P1775" s="2498"/>
    </row>
    <row r="1776" spans="16:16">
      <c r="P1776" s="2498"/>
    </row>
    <row r="1777" spans="16:16">
      <c r="P1777" s="2498"/>
    </row>
    <row r="1778" spans="16:16">
      <c r="P1778" s="2498"/>
    </row>
    <row r="1779" spans="16:16">
      <c r="P1779" s="2498"/>
    </row>
    <row r="1780" spans="16:16">
      <c r="P1780" s="2498"/>
    </row>
    <row r="1781" spans="16:16">
      <c r="P1781" s="2498"/>
    </row>
    <row r="1782" spans="16:16">
      <c r="P1782" s="2498"/>
    </row>
    <row r="1783" spans="16:16">
      <c r="P1783" s="2498"/>
    </row>
    <row r="1784" spans="16:16">
      <c r="P1784" s="2498"/>
    </row>
    <row r="1785" spans="16:16">
      <c r="P1785" s="2498"/>
    </row>
    <row r="1786" spans="16:16">
      <c r="P1786" s="2498"/>
    </row>
    <row r="1787" spans="16:16">
      <c r="P1787" s="2498"/>
    </row>
    <row r="1788" spans="16:16">
      <c r="P1788" s="2498"/>
    </row>
    <row r="1789" spans="16:16">
      <c r="P1789" s="2498"/>
    </row>
    <row r="1790" spans="16:16">
      <c r="P1790" s="2498"/>
    </row>
    <row r="1791" spans="16:16">
      <c r="P1791" s="2498"/>
    </row>
    <row r="1792" spans="16:16">
      <c r="P1792" s="2498"/>
    </row>
    <row r="1793" spans="16:16">
      <c r="P1793" s="2498"/>
    </row>
    <row r="1794" spans="16:16">
      <c r="P1794" s="2498"/>
    </row>
    <row r="1795" spans="16:16">
      <c r="P1795" s="2498"/>
    </row>
    <row r="1796" spans="16:16">
      <c r="P1796" s="2498"/>
    </row>
    <row r="1797" spans="16:16">
      <c r="P1797" s="2498"/>
    </row>
    <row r="1798" spans="16:16">
      <c r="P1798" s="2498"/>
    </row>
    <row r="1799" spans="16:16">
      <c r="P1799" s="2498"/>
    </row>
    <row r="1800" spans="16:16">
      <c r="P1800" s="2498"/>
    </row>
    <row r="1801" spans="16:16">
      <c r="P1801" s="2498"/>
    </row>
    <row r="1802" spans="16:16">
      <c r="P1802" s="2498"/>
    </row>
    <row r="1803" spans="16:16">
      <c r="P1803" s="2498"/>
    </row>
    <row r="1804" spans="16:16">
      <c r="P1804" s="2498"/>
    </row>
    <row r="1805" spans="16:16">
      <c r="P1805" s="2498"/>
    </row>
    <row r="1806" spans="16:16">
      <c r="P1806" s="2498"/>
    </row>
    <row r="1807" spans="16:16">
      <c r="P1807" s="2498"/>
    </row>
    <row r="1808" spans="16:16">
      <c r="P1808" s="2498"/>
    </row>
    <row r="1809" spans="16:16">
      <c r="P1809" s="2498"/>
    </row>
    <row r="1810" spans="16:16">
      <c r="P1810" s="2498"/>
    </row>
    <row r="1811" spans="16:16">
      <c r="P1811" s="2498"/>
    </row>
    <row r="1812" spans="16:16">
      <c r="P1812" s="2498"/>
    </row>
    <row r="1813" spans="16:16">
      <c r="P1813" s="2498"/>
    </row>
    <row r="1814" spans="16:16">
      <c r="P1814" s="2498"/>
    </row>
    <row r="1815" spans="16:16">
      <c r="P1815" s="2498"/>
    </row>
    <row r="1816" spans="16:16">
      <c r="P1816" s="2498"/>
    </row>
    <row r="1817" spans="16:16">
      <c r="P1817" s="2498"/>
    </row>
    <row r="1818" spans="16:16">
      <c r="P1818" s="2498"/>
    </row>
    <row r="1819" spans="16:16">
      <c r="P1819" s="2498"/>
    </row>
    <row r="1820" spans="16:16">
      <c r="P1820" s="2498"/>
    </row>
    <row r="1821" spans="16:16">
      <c r="P1821" s="2498"/>
    </row>
    <row r="1822" spans="16:16">
      <c r="P1822" s="2498"/>
    </row>
    <row r="1823" spans="16:16">
      <c r="P1823" s="2498"/>
    </row>
    <row r="1824" spans="16:16">
      <c r="P1824" s="2498"/>
    </row>
    <row r="1825" spans="16:16">
      <c r="P1825" s="2498"/>
    </row>
    <row r="1826" spans="16:16">
      <c r="P1826" s="2498"/>
    </row>
    <row r="1827" spans="16:16">
      <c r="P1827" s="2498"/>
    </row>
    <row r="1828" spans="16:16">
      <c r="P1828" s="2498"/>
    </row>
    <row r="1829" spans="16:16">
      <c r="P1829" s="2498"/>
    </row>
    <row r="1830" spans="16:16">
      <c r="P1830" s="2498"/>
    </row>
    <row r="1831" spans="16:16">
      <c r="P1831" s="2498"/>
    </row>
    <row r="1832" spans="16:16">
      <c r="P1832" s="2498"/>
    </row>
    <row r="1833" spans="16:16">
      <c r="P1833" s="2498"/>
    </row>
    <row r="1834" spans="16:16">
      <c r="P1834" s="2498"/>
    </row>
    <row r="1835" spans="16:16">
      <c r="P1835" s="2498"/>
    </row>
    <row r="1836" spans="16:16">
      <c r="P1836" s="2498"/>
    </row>
    <row r="1837" spans="16:16">
      <c r="P1837" s="2498"/>
    </row>
    <row r="1838" spans="16:16">
      <c r="P1838" s="2498"/>
    </row>
    <row r="1839" spans="16:16">
      <c r="P1839" s="2498"/>
    </row>
    <row r="1840" spans="16:16">
      <c r="P1840" s="2498"/>
    </row>
    <row r="1841" spans="16:16">
      <c r="P1841" s="2498"/>
    </row>
    <row r="1842" spans="16:16">
      <c r="P1842" s="2498"/>
    </row>
    <row r="1843" spans="16:16">
      <c r="P1843" s="2498"/>
    </row>
    <row r="1844" spans="16:16">
      <c r="P1844" s="2498"/>
    </row>
    <row r="1845" spans="16:16">
      <c r="P1845" s="2498"/>
    </row>
    <row r="1846" spans="16:16">
      <c r="P1846" s="2498"/>
    </row>
    <row r="1847" spans="16:16">
      <c r="P1847" s="2498"/>
    </row>
    <row r="1848" spans="16:16">
      <c r="P1848" s="2498"/>
    </row>
    <row r="1849" spans="16:16">
      <c r="P1849" s="2498"/>
    </row>
    <row r="1850" spans="16:16">
      <c r="P1850" s="2498"/>
    </row>
    <row r="1851" spans="16:16">
      <c r="P1851" s="2498"/>
    </row>
    <row r="1852" spans="16:16">
      <c r="P1852" s="2498"/>
    </row>
    <row r="1853" spans="16:16">
      <c r="P1853" s="2498"/>
    </row>
    <row r="1854" spans="16:16">
      <c r="P1854" s="2498"/>
    </row>
    <row r="1855" spans="16:16">
      <c r="P1855" s="2498"/>
    </row>
    <row r="1856" spans="16:16">
      <c r="P1856" s="2498"/>
    </row>
    <row r="1857" spans="16:16">
      <c r="P1857" s="2498"/>
    </row>
    <row r="1858" spans="16:16">
      <c r="P1858" s="2498"/>
    </row>
    <row r="1859" spans="16:16">
      <c r="P1859" s="2498"/>
    </row>
    <row r="1860" spans="16:16">
      <c r="P1860" s="2498"/>
    </row>
    <row r="1861" spans="16:16">
      <c r="P1861" s="2498"/>
    </row>
    <row r="1862" spans="16:16">
      <c r="P1862" s="2498"/>
    </row>
    <row r="1863" spans="16:16">
      <c r="P1863" s="2498"/>
    </row>
    <row r="1864" spans="16:16">
      <c r="P1864" s="2498"/>
    </row>
    <row r="1865" spans="16:16">
      <c r="P1865" s="2498"/>
    </row>
    <row r="1866" spans="16:16">
      <c r="P1866" s="2498"/>
    </row>
    <row r="1867" spans="16:16">
      <c r="P1867" s="2498"/>
    </row>
    <row r="1868" spans="16:16">
      <c r="P1868" s="2498"/>
    </row>
    <row r="1869" spans="16:16">
      <c r="P1869" s="2498"/>
    </row>
    <row r="1870" spans="16:16">
      <c r="P1870" s="2498"/>
    </row>
    <row r="1871" spans="16:16">
      <c r="P1871" s="2498"/>
    </row>
    <row r="1872" spans="16:16">
      <c r="P1872" s="2498"/>
    </row>
    <row r="1873" spans="16:16">
      <c r="P1873" s="2498"/>
    </row>
    <row r="1874" spans="16:16">
      <c r="P1874" s="2498"/>
    </row>
    <row r="1875" spans="16:16">
      <c r="P1875" s="2498"/>
    </row>
    <row r="1876" spans="16:16">
      <c r="P1876" s="2498"/>
    </row>
    <row r="1877" spans="16:16">
      <c r="P1877" s="2498"/>
    </row>
    <row r="1878" spans="16:16">
      <c r="P1878" s="2498"/>
    </row>
    <row r="1879" spans="16:16">
      <c r="P1879" s="2498"/>
    </row>
    <row r="1880" spans="16:16">
      <c r="P1880" s="2498"/>
    </row>
    <row r="1881" spans="16:16">
      <c r="P1881" s="2498"/>
    </row>
    <row r="1882" spans="16:16">
      <c r="P1882" s="2498"/>
    </row>
    <row r="1883" spans="16:16">
      <c r="P1883" s="2498"/>
    </row>
    <row r="1884" spans="16:16">
      <c r="P1884" s="2498"/>
    </row>
    <row r="1885" spans="16:16">
      <c r="P1885" s="2498"/>
    </row>
    <row r="1886" spans="16:16">
      <c r="P1886" s="2498"/>
    </row>
    <row r="1887" spans="16:16">
      <c r="P1887" s="2498"/>
    </row>
    <row r="1888" spans="16:16">
      <c r="P1888" s="2498"/>
    </row>
    <row r="1889" spans="16:16">
      <c r="P1889" s="2498"/>
    </row>
    <row r="1890" spans="16:16">
      <c r="P1890" s="2498"/>
    </row>
    <row r="1891" spans="16:16">
      <c r="P1891" s="2498"/>
    </row>
    <row r="1892" spans="16:16">
      <c r="P1892" s="2498"/>
    </row>
    <row r="1893" spans="16:16">
      <c r="P1893" s="2498"/>
    </row>
    <row r="1894" spans="16:16">
      <c r="P1894" s="2498"/>
    </row>
    <row r="1895" spans="16:16">
      <c r="P1895" s="2498"/>
    </row>
    <row r="1896" spans="16:16">
      <c r="P1896" s="2498"/>
    </row>
    <row r="1897" spans="16:16">
      <c r="P1897" s="2498"/>
    </row>
    <row r="1898" spans="16:16">
      <c r="P1898" s="2498"/>
    </row>
    <row r="1899" spans="16:16">
      <c r="P1899" s="2498"/>
    </row>
    <row r="1900" spans="16:16">
      <c r="P1900" s="2498"/>
    </row>
    <row r="1901" spans="16:16">
      <c r="P1901" s="2498"/>
    </row>
    <row r="1902" spans="16:16">
      <c r="P1902" s="2498"/>
    </row>
    <row r="1903" spans="16:16">
      <c r="P1903" s="2498"/>
    </row>
    <row r="1904" spans="16:16">
      <c r="P1904" s="2498"/>
    </row>
    <row r="1905" spans="16:16">
      <c r="P1905" s="2498"/>
    </row>
    <row r="1906" spans="16:16">
      <c r="P1906" s="2498"/>
    </row>
    <row r="1907" spans="16:16">
      <c r="P1907" s="2498"/>
    </row>
    <row r="1908" spans="16:16">
      <c r="P1908" s="2498"/>
    </row>
    <row r="1909" spans="16:16">
      <c r="P1909" s="2498"/>
    </row>
    <row r="1910" spans="16:16">
      <c r="P1910" s="2498"/>
    </row>
    <row r="1911" spans="16:16">
      <c r="P1911" s="2498"/>
    </row>
    <row r="1912" spans="16:16">
      <c r="P1912" s="2498"/>
    </row>
    <row r="1913" spans="16:16">
      <c r="P1913" s="2498"/>
    </row>
    <row r="1914" spans="16:16">
      <c r="P1914" s="2498"/>
    </row>
    <row r="1915" spans="16:16">
      <c r="P1915" s="2498"/>
    </row>
    <row r="1916" spans="16:16">
      <c r="P1916" s="2498"/>
    </row>
    <row r="1917" spans="16:16">
      <c r="P1917" s="2498"/>
    </row>
    <row r="1918" spans="16:16">
      <c r="P1918" s="2498"/>
    </row>
    <row r="1919" spans="16:16">
      <c r="P1919" s="2498"/>
    </row>
    <row r="1920" spans="16:16">
      <c r="P1920" s="2498"/>
    </row>
    <row r="1921" spans="16:16">
      <c r="P1921" s="2498"/>
    </row>
    <row r="1922" spans="16:16">
      <c r="P1922" s="2498"/>
    </row>
    <row r="1923" spans="16:16">
      <c r="P1923" s="2498"/>
    </row>
    <row r="1924" spans="16:16">
      <c r="P1924" s="2498"/>
    </row>
    <row r="1925" spans="16:16">
      <c r="P1925" s="2498"/>
    </row>
    <row r="1926" spans="16:16">
      <c r="P1926" s="2498"/>
    </row>
    <row r="1927" spans="16:16">
      <c r="P1927" s="2498"/>
    </row>
    <row r="1928" spans="16:16">
      <c r="P1928" s="2498"/>
    </row>
    <row r="1929" spans="16:16">
      <c r="P1929" s="2498"/>
    </row>
    <row r="1930" spans="16:16">
      <c r="P1930" s="2498"/>
    </row>
    <row r="1931" spans="16:16">
      <c r="P1931" s="2498"/>
    </row>
    <row r="1932" spans="16:16">
      <c r="P1932" s="2498"/>
    </row>
    <row r="1933" spans="16:16">
      <c r="P1933" s="2498"/>
    </row>
    <row r="1934" spans="16:16">
      <c r="P1934" s="2498"/>
    </row>
    <row r="1935" spans="16:16">
      <c r="P1935" s="2498"/>
    </row>
    <row r="1936" spans="16:16">
      <c r="P1936" s="2498"/>
    </row>
    <row r="1937" spans="16:16">
      <c r="P1937" s="2498"/>
    </row>
    <row r="1938" spans="16:16">
      <c r="P1938" s="2498"/>
    </row>
    <row r="1939" spans="16:16">
      <c r="P1939" s="2498"/>
    </row>
    <row r="1940" spans="16:16">
      <c r="P1940" s="2498"/>
    </row>
    <row r="1941" spans="16:16">
      <c r="P1941" s="2498"/>
    </row>
    <row r="1942" spans="16:16">
      <c r="P1942" s="2498"/>
    </row>
    <row r="1943" spans="16:16">
      <c r="P1943" s="2498"/>
    </row>
    <row r="1944" spans="16:16">
      <c r="P1944" s="2498"/>
    </row>
    <row r="1945" spans="16:16">
      <c r="P1945" s="2498"/>
    </row>
    <row r="1946" spans="16:16">
      <c r="P1946" s="2498"/>
    </row>
    <row r="1947" spans="16:16">
      <c r="P1947" s="2498"/>
    </row>
    <row r="1948" spans="16:16">
      <c r="P1948" s="2498"/>
    </row>
    <row r="1949" spans="16:16">
      <c r="P1949" s="2498"/>
    </row>
    <row r="1950" spans="16:16">
      <c r="P1950" s="2498"/>
    </row>
    <row r="1951" spans="16:16">
      <c r="P1951" s="2498"/>
    </row>
    <row r="1952" spans="16:16">
      <c r="P1952" s="2498"/>
    </row>
    <row r="1953" spans="16:16">
      <c r="P1953" s="2498"/>
    </row>
    <row r="1954" spans="16:16">
      <c r="P1954" s="2498"/>
    </row>
    <row r="1955" spans="16:16">
      <c r="P1955" s="2498"/>
    </row>
    <row r="1956" spans="16:16">
      <c r="P1956" s="2498"/>
    </row>
    <row r="1957" spans="16:16">
      <c r="P1957" s="2498"/>
    </row>
    <row r="1958" spans="16:16">
      <c r="P1958" s="2498"/>
    </row>
    <row r="1959" spans="16:16">
      <c r="P1959" s="2498"/>
    </row>
    <row r="1960" spans="16:16">
      <c r="P1960" s="2498"/>
    </row>
    <row r="1961" spans="16:16">
      <c r="P1961" s="2498"/>
    </row>
    <row r="1962" spans="16:16">
      <c r="P1962" s="2498"/>
    </row>
    <row r="1963" spans="16:16">
      <c r="P1963" s="2498"/>
    </row>
    <row r="1964" spans="16:16">
      <c r="P1964" s="2498"/>
    </row>
    <row r="1965" spans="16:16">
      <c r="P1965" s="2498"/>
    </row>
    <row r="1966" spans="16:16">
      <c r="P1966" s="2498"/>
    </row>
    <row r="1967" spans="16:16">
      <c r="P1967" s="2498"/>
    </row>
    <row r="1968" spans="16:16">
      <c r="P1968" s="2498"/>
    </row>
    <row r="1969" spans="16:16">
      <c r="P1969" s="2498"/>
    </row>
    <row r="1970" spans="16:16">
      <c r="P1970" s="2498"/>
    </row>
    <row r="1971" spans="16:16">
      <c r="P1971" s="2498"/>
    </row>
    <row r="1972" spans="16:16">
      <c r="P1972" s="2498"/>
    </row>
    <row r="1973" spans="16:16">
      <c r="P1973" s="2498"/>
    </row>
    <row r="1974" spans="16:16">
      <c r="P1974" s="2498"/>
    </row>
    <row r="1975" spans="16:16">
      <c r="P1975" s="2498"/>
    </row>
    <row r="1976" spans="16:16">
      <c r="P1976" s="2498"/>
    </row>
    <row r="1977" spans="16:16">
      <c r="P1977" s="2498"/>
    </row>
    <row r="1978" spans="16:16">
      <c r="P1978" s="2498"/>
    </row>
    <row r="1979" spans="16:16">
      <c r="P1979" s="2498"/>
    </row>
    <row r="1980" spans="16:16">
      <c r="P1980" s="2498"/>
    </row>
    <row r="1981" spans="16:16">
      <c r="P1981" s="2498"/>
    </row>
    <row r="1982" spans="16:16">
      <c r="P1982" s="2498"/>
    </row>
    <row r="1983" spans="16:16">
      <c r="P1983" s="2498"/>
    </row>
    <row r="1984" spans="16:16">
      <c r="P1984" s="2498"/>
    </row>
    <row r="1985" spans="16:16">
      <c r="P1985" s="2498"/>
    </row>
    <row r="1986" spans="16:16">
      <c r="P1986" s="2498"/>
    </row>
    <row r="1987" spans="16:16">
      <c r="P1987" s="2498"/>
    </row>
    <row r="1988" spans="16:16">
      <c r="P1988" s="2498"/>
    </row>
    <row r="1989" spans="16:16">
      <c r="P1989" s="2498"/>
    </row>
    <row r="1990" spans="16:16">
      <c r="P1990" s="2498"/>
    </row>
    <row r="1991" spans="16:16">
      <c r="P1991" s="2498"/>
    </row>
    <row r="1992" spans="16:16">
      <c r="P1992" s="2498"/>
    </row>
    <row r="1993" spans="16:16">
      <c r="P1993" s="2498"/>
    </row>
    <row r="1994" spans="16:16">
      <c r="P1994" s="2498"/>
    </row>
    <row r="1995" spans="16:16">
      <c r="P1995" s="2498"/>
    </row>
    <row r="1996" spans="16:16">
      <c r="P1996" s="2498"/>
    </row>
    <row r="1997" spans="16:16">
      <c r="P1997" s="2498"/>
    </row>
    <row r="1998" spans="16:16">
      <c r="P1998" s="2498"/>
    </row>
    <row r="1999" spans="16:16">
      <c r="P1999" s="2498"/>
    </row>
    <row r="2000" spans="16:16">
      <c r="P2000" s="2498"/>
    </row>
    <row r="2001" spans="16:16">
      <c r="P2001" s="2498"/>
    </row>
    <row r="2002" spans="16:16">
      <c r="P2002" s="2498"/>
    </row>
    <row r="2003" spans="16:16">
      <c r="P2003" s="2498"/>
    </row>
    <row r="2004" spans="16:16">
      <c r="P2004" s="2498"/>
    </row>
    <row r="2005" spans="16:16">
      <c r="P2005" s="2498"/>
    </row>
    <row r="2006" spans="16:16">
      <c r="P2006" s="2498"/>
    </row>
    <row r="2007" spans="16:16">
      <c r="P2007" s="2498"/>
    </row>
    <row r="2008" spans="16:16">
      <c r="P2008" s="2498"/>
    </row>
    <row r="2009" spans="16:16">
      <c r="P2009" s="2498"/>
    </row>
    <row r="2010" spans="16:16">
      <c r="P2010" s="2498"/>
    </row>
    <row r="2011" spans="16:16">
      <c r="P2011" s="2498"/>
    </row>
    <row r="2012" spans="16:16">
      <c r="P2012" s="2498"/>
    </row>
    <row r="2013" spans="16:16">
      <c r="P2013" s="2498"/>
    </row>
    <row r="2014" spans="16:16">
      <c r="P2014" s="2498"/>
    </row>
    <row r="2015" spans="16:16">
      <c r="P2015" s="2498"/>
    </row>
    <row r="2016" spans="16:16">
      <c r="P2016" s="2498"/>
    </row>
    <row r="2017" spans="16:16">
      <c r="P2017" s="2498"/>
    </row>
    <row r="2018" spans="16:16">
      <c r="P2018" s="2498"/>
    </row>
    <row r="2019" spans="16:16">
      <c r="P2019" s="2498"/>
    </row>
    <row r="2020" spans="16:16">
      <c r="P2020" s="2498"/>
    </row>
    <row r="2021" spans="16:16">
      <c r="P2021" s="2498"/>
    </row>
    <row r="2022" spans="16:16">
      <c r="P2022" s="2498"/>
    </row>
    <row r="2023" spans="16:16">
      <c r="P2023" s="2498"/>
    </row>
    <row r="2024" spans="16:16">
      <c r="P2024" s="2498"/>
    </row>
    <row r="2025" spans="16:16">
      <c r="P2025" s="2498"/>
    </row>
    <row r="2026" spans="16:16">
      <c r="P2026" s="2498"/>
    </row>
    <row r="2027" spans="16:16">
      <c r="P2027" s="2498"/>
    </row>
    <row r="2028" spans="16:16">
      <c r="P2028" s="2498"/>
    </row>
    <row r="2029" spans="16:16">
      <c r="P2029" s="2498"/>
    </row>
    <row r="2030" spans="16:16">
      <c r="P2030" s="2498"/>
    </row>
    <row r="2031" spans="16:16">
      <c r="P2031" s="2498"/>
    </row>
    <row r="2032" spans="16:16">
      <c r="P2032" s="2498"/>
    </row>
    <row r="2033" spans="16:16">
      <c r="P2033" s="2498"/>
    </row>
    <row r="2034" spans="16:16">
      <c r="P2034" s="2498"/>
    </row>
    <row r="2035" spans="16:16">
      <c r="P2035" s="2498"/>
    </row>
    <row r="2036" spans="16:16">
      <c r="P2036" s="2498"/>
    </row>
    <row r="2037" spans="16:16">
      <c r="P2037" s="2498"/>
    </row>
    <row r="2038" spans="16:16">
      <c r="P2038" s="2498"/>
    </row>
    <row r="2039" spans="16:16">
      <c r="P2039" s="2498"/>
    </row>
    <row r="2040" spans="16:16">
      <c r="P2040" s="2498"/>
    </row>
    <row r="2041" spans="16:16">
      <c r="P2041" s="2498"/>
    </row>
    <row r="2042" spans="16:16">
      <c r="P2042" s="2498"/>
    </row>
    <row r="2043" spans="16:16">
      <c r="P2043" s="2498"/>
    </row>
    <row r="2044" spans="16:16">
      <c r="P2044" s="2498"/>
    </row>
    <row r="2045" spans="16:16">
      <c r="P2045" s="2498"/>
    </row>
    <row r="2046" spans="16:16">
      <c r="P2046" s="2498"/>
    </row>
    <row r="2047" spans="16:16">
      <c r="P2047" s="2498"/>
    </row>
    <row r="2048" spans="16:16">
      <c r="P2048" s="2498"/>
    </row>
    <row r="2049" spans="16:16">
      <c r="P2049" s="2498"/>
    </row>
    <row r="2050" spans="16:16">
      <c r="P2050" s="2498"/>
    </row>
    <row r="2051" spans="16:16">
      <c r="P2051" s="2498"/>
    </row>
    <row r="2052" spans="16:16">
      <c r="P2052" s="2498"/>
    </row>
    <row r="2053" spans="16:16">
      <c r="P2053" s="2498"/>
    </row>
    <row r="2054" spans="16:16">
      <c r="P2054" s="2498"/>
    </row>
    <row r="2055" spans="16:16">
      <c r="P2055" s="2498"/>
    </row>
    <row r="2056" spans="16:16">
      <c r="P2056" s="2498"/>
    </row>
    <row r="2057" spans="16:16">
      <c r="P2057" s="2498"/>
    </row>
    <row r="2058" spans="16:16">
      <c r="P2058" s="2498"/>
    </row>
    <row r="2059" spans="16:16">
      <c r="P2059" s="2498"/>
    </row>
    <row r="2060" spans="16:16">
      <c r="P2060" s="2498"/>
    </row>
    <row r="2061" spans="16:16">
      <c r="P2061" s="2498"/>
    </row>
    <row r="2062" spans="16:16">
      <c r="P2062" s="2498"/>
    </row>
    <row r="2063" spans="16:16">
      <c r="P2063" s="2498"/>
    </row>
    <row r="2064" spans="16:16">
      <c r="P2064" s="2498"/>
    </row>
    <row r="2065" spans="16:16">
      <c r="P2065" s="2498"/>
    </row>
    <row r="2066" spans="16:16">
      <c r="P2066" s="2498"/>
    </row>
    <row r="2067" spans="16:16">
      <c r="P2067" s="2498"/>
    </row>
    <row r="2068" spans="16:16">
      <c r="P2068" s="2498"/>
    </row>
    <row r="2069" spans="16:16">
      <c r="P2069" s="2498"/>
    </row>
    <row r="2070" spans="16:16">
      <c r="P2070" s="2498"/>
    </row>
    <row r="2071" spans="16:16">
      <c r="P2071" s="2498"/>
    </row>
    <row r="2072" spans="16:16">
      <c r="P2072" s="2498"/>
    </row>
    <row r="2073" spans="16:16">
      <c r="P2073" s="2498"/>
    </row>
    <row r="2074" spans="16:16">
      <c r="P2074" s="2498"/>
    </row>
    <row r="2075" spans="16:16">
      <c r="P2075" s="2498"/>
    </row>
    <row r="2076" spans="16:16">
      <c r="P2076" s="2498"/>
    </row>
    <row r="2077" spans="16:16">
      <c r="P2077" s="2498"/>
    </row>
    <row r="2078" spans="16:16">
      <c r="P2078" s="2498"/>
    </row>
    <row r="2079" spans="16:16">
      <c r="P2079" s="2498"/>
    </row>
    <row r="2080" spans="16:16">
      <c r="P2080" s="2498"/>
    </row>
    <row r="2081" spans="16:16">
      <c r="P2081" s="2498"/>
    </row>
    <row r="2082" spans="16:16">
      <c r="P2082" s="2498"/>
    </row>
    <row r="2083" spans="16:16">
      <c r="P2083" s="2498"/>
    </row>
    <row r="2084" spans="16:16">
      <c r="P2084" s="2498"/>
    </row>
    <row r="2085" spans="16:16">
      <c r="P2085" s="2498"/>
    </row>
    <row r="2086" spans="16:16">
      <c r="P2086" s="2498"/>
    </row>
    <row r="2087" spans="16:16">
      <c r="P2087" s="2498"/>
    </row>
    <row r="2088" spans="16:16">
      <c r="P2088" s="2498"/>
    </row>
    <row r="2089" spans="16:16">
      <c r="P2089" s="2498"/>
    </row>
    <row r="2090" spans="16:16">
      <c r="P2090" s="2498"/>
    </row>
    <row r="2091" spans="16:16">
      <c r="P2091" s="2498"/>
    </row>
    <row r="2092" spans="16:16">
      <c r="P2092" s="2498"/>
    </row>
    <row r="2093" spans="16:16">
      <c r="P2093" s="2498"/>
    </row>
    <row r="2094" spans="16:16">
      <c r="P2094" s="2498"/>
    </row>
    <row r="2095" spans="16:16">
      <c r="P2095" s="2498"/>
    </row>
    <row r="2096" spans="16:16">
      <c r="P2096" s="2498"/>
    </row>
    <row r="2097" spans="16:16">
      <c r="P2097" s="2498"/>
    </row>
    <row r="2098" spans="16:16">
      <c r="P2098" s="2498"/>
    </row>
    <row r="2099" spans="16:16">
      <c r="P2099" s="2498"/>
    </row>
    <row r="2100" spans="16:16">
      <c r="P2100" s="2498"/>
    </row>
    <row r="2101" spans="16:16">
      <c r="P2101" s="2498"/>
    </row>
    <row r="2102" spans="16:16">
      <c r="P2102" s="2498"/>
    </row>
    <row r="2103" spans="16:16">
      <c r="P2103" s="2498"/>
    </row>
    <row r="2104" spans="16:16">
      <c r="P2104" s="2498"/>
    </row>
    <row r="2105" spans="16:16">
      <c r="P2105" s="2498"/>
    </row>
    <row r="2106" spans="16:16">
      <c r="P2106" s="2498"/>
    </row>
    <row r="2107" spans="16:16">
      <c r="P2107" s="2498"/>
    </row>
    <row r="2108" spans="16:16">
      <c r="P2108" s="2498"/>
    </row>
    <row r="2109" spans="16:16">
      <c r="P2109" s="2498"/>
    </row>
    <row r="2110" spans="16:16">
      <c r="P2110" s="2498"/>
    </row>
    <row r="2111" spans="16:16">
      <c r="P2111" s="2498"/>
    </row>
    <row r="2112" spans="16:16">
      <c r="P2112" s="2498"/>
    </row>
    <row r="2113" spans="16:16">
      <c r="P2113" s="2498"/>
    </row>
    <row r="2114" spans="16:16">
      <c r="P2114" s="2498"/>
    </row>
    <row r="2115" spans="16:16">
      <c r="P2115" s="2498"/>
    </row>
    <row r="2116" spans="16:16">
      <c r="P2116" s="2498"/>
    </row>
    <row r="2117" spans="16:16">
      <c r="P2117" s="2498"/>
    </row>
    <row r="2118" spans="16:16">
      <c r="P2118" s="2498"/>
    </row>
    <row r="2119" spans="16:16">
      <c r="P2119" s="2498"/>
    </row>
    <row r="2120" spans="16:16">
      <c r="P2120" s="2498"/>
    </row>
    <row r="2121" spans="16:16">
      <c r="P2121" s="2498"/>
    </row>
    <row r="2122" spans="16:16">
      <c r="P2122" s="2498"/>
    </row>
    <row r="2123" spans="16:16">
      <c r="P2123" s="2498"/>
    </row>
    <row r="2124" spans="16:16">
      <c r="P2124" s="2498"/>
    </row>
    <row r="2125" spans="16:16">
      <c r="P2125" s="2498"/>
    </row>
    <row r="2126" spans="16:16">
      <c r="P2126" s="2498"/>
    </row>
    <row r="2127" spans="16:16">
      <c r="P2127" s="2498"/>
    </row>
    <row r="2128" spans="16:16">
      <c r="P2128" s="2498"/>
    </row>
    <row r="2129" spans="16:16">
      <c r="P2129" s="2498"/>
    </row>
    <row r="2130" spans="16:16">
      <c r="P2130" s="2498"/>
    </row>
    <row r="2131" spans="16:16">
      <c r="P2131" s="2498"/>
    </row>
    <row r="2132" spans="16:16">
      <c r="P2132" s="2498"/>
    </row>
    <row r="2133" spans="16:16">
      <c r="P2133" s="2498"/>
    </row>
    <row r="2134" spans="16:16">
      <c r="P2134" s="2498"/>
    </row>
    <row r="2135" spans="16:16">
      <c r="P2135" s="2498"/>
    </row>
    <row r="2136" spans="16:16">
      <c r="P2136" s="2498"/>
    </row>
    <row r="2137" spans="16:16">
      <c r="P2137" s="2498"/>
    </row>
    <row r="2138" spans="16:16">
      <c r="P2138" s="2498"/>
    </row>
    <row r="2139" spans="16:16">
      <c r="P2139" s="2498"/>
    </row>
    <row r="2140" spans="16:16">
      <c r="P2140" s="2498"/>
    </row>
    <row r="2141" spans="16:16">
      <c r="P2141" s="2498"/>
    </row>
    <row r="2142" spans="16:16">
      <c r="P2142" s="2498"/>
    </row>
    <row r="2143" spans="16:16">
      <c r="P2143" s="2498"/>
    </row>
    <row r="2144" spans="16:16">
      <c r="P2144" s="2498"/>
    </row>
    <row r="2145" spans="16:16">
      <c r="P2145" s="2498"/>
    </row>
    <row r="2146" spans="16:16">
      <c r="P2146" s="2498"/>
    </row>
    <row r="2147" spans="16:16">
      <c r="P2147" s="2498"/>
    </row>
    <row r="2148" spans="16:16">
      <c r="P2148" s="2498"/>
    </row>
    <row r="2149" spans="16:16">
      <c r="P2149" s="2498"/>
    </row>
    <row r="2150" spans="16:16">
      <c r="P2150" s="2498"/>
    </row>
    <row r="2151" spans="16:16">
      <c r="P2151" s="2498"/>
    </row>
    <row r="2152" spans="16:16">
      <c r="P2152" s="2498"/>
    </row>
    <row r="2153" spans="16:16">
      <c r="P2153" s="2498"/>
    </row>
    <row r="2154" spans="16:16">
      <c r="P2154" s="2498"/>
    </row>
    <row r="2155" spans="16:16">
      <c r="P2155" s="2498"/>
    </row>
    <row r="2156" spans="16:16">
      <c r="P2156" s="2498"/>
    </row>
    <row r="2157" spans="16:16">
      <c r="P2157" s="2498"/>
    </row>
    <row r="2158" spans="16:16">
      <c r="P2158" s="2498"/>
    </row>
    <row r="2159" spans="16:16">
      <c r="P2159" s="2498"/>
    </row>
    <row r="2160" spans="16:16">
      <c r="P2160" s="2498"/>
    </row>
    <row r="2161" spans="16:16">
      <c r="P2161" s="2498"/>
    </row>
    <row r="2162" spans="16:16">
      <c r="P2162" s="2498"/>
    </row>
    <row r="2163" spans="16:16">
      <c r="P2163" s="2498"/>
    </row>
    <row r="2164" spans="16:16">
      <c r="P2164" s="2498"/>
    </row>
    <row r="2165" spans="16:16">
      <c r="P2165" s="2498"/>
    </row>
    <row r="2166" spans="16:16">
      <c r="P2166" s="2498"/>
    </row>
    <row r="2167" spans="16:16">
      <c r="P2167" s="2498"/>
    </row>
    <row r="2168" spans="16:16">
      <c r="P2168" s="2498"/>
    </row>
    <row r="2169" spans="16:16">
      <c r="P2169" s="2498"/>
    </row>
    <row r="2170" spans="16:16">
      <c r="P2170" s="2498"/>
    </row>
    <row r="2171" spans="16:16">
      <c r="P2171" s="2498"/>
    </row>
    <row r="2172" spans="16:16">
      <c r="P2172" s="2498"/>
    </row>
    <row r="2173" spans="16:16">
      <c r="P2173" s="2498"/>
    </row>
    <row r="2174" spans="16:16">
      <c r="P2174" s="2498"/>
    </row>
    <row r="2175" spans="16:16">
      <c r="P2175" s="2498"/>
    </row>
    <row r="2176" spans="16:16">
      <c r="P2176" s="2498"/>
    </row>
    <row r="2177" spans="16:16">
      <c r="P2177" s="2498"/>
    </row>
    <row r="2178" spans="16:16">
      <c r="P2178" s="2498"/>
    </row>
    <row r="2179" spans="16:16">
      <c r="P2179" s="2498"/>
    </row>
    <row r="2180" spans="16:16">
      <c r="P2180" s="2498"/>
    </row>
    <row r="2181" spans="16:16">
      <c r="P2181" s="2498"/>
    </row>
    <row r="2182" spans="16:16">
      <c r="P2182" s="2498"/>
    </row>
    <row r="2183" spans="16:16">
      <c r="P2183" s="2498"/>
    </row>
    <row r="2184" spans="16:16">
      <c r="P2184" s="2498"/>
    </row>
    <row r="2185" spans="16:16">
      <c r="P2185" s="2498"/>
    </row>
    <row r="2186" spans="16:16">
      <c r="P2186" s="2498"/>
    </row>
    <row r="2187" spans="16:16">
      <c r="P2187" s="2498"/>
    </row>
    <row r="2188" spans="16:16">
      <c r="P2188" s="2498"/>
    </row>
    <row r="2189" spans="16:16">
      <c r="P2189" s="2498"/>
    </row>
    <row r="2190" spans="16:16">
      <c r="P2190" s="2498"/>
    </row>
    <row r="2191" spans="16:16">
      <c r="P2191" s="2498"/>
    </row>
    <row r="2192" spans="16:16">
      <c r="P2192" s="2498"/>
    </row>
    <row r="2193" spans="16:16">
      <c r="P2193" s="2498"/>
    </row>
    <row r="2194" spans="16:16">
      <c r="P2194" s="2498"/>
    </row>
    <row r="2195" spans="16:16">
      <c r="P2195" s="2498"/>
    </row>
    <row r="2196" spans="16:16">
      <c r="P2196" s="2498"/>
    </row>
    <row r="2197" spans="16:16">
      <c r="P2197" s="2498"/>
    </row>
    <row r="2198" spans="16:16">
      <c r="P2198" s="2498"/>
    </row>
    <row r="2199" spans="16:16">
      <c r="P2199" s="2498"/>
    </row>
    <row r="2200" spans="16:16">
      <c r="P2200" s="2498"/>
    </row>
    <row r="2201" spans="16:16">
      <c r="P2201" s="2498"/>
    </row>
    <row r="2202" spans="16:16">
      <c r="P2202" s="2498"/>
    </row>
    <row r="2203" spans="16:16">
      <c r="P2203" s="2498"/>
    </row>
    <row r="2204" spans="16:16">
      <c r="P2204" s="2498"/>
    </row>
    <row r="2205" spans="16:16">
      <c r="P2205" s="2498"/>
    </row>
    <row r="2206" spans="16:16">
      <c r="P2206" s="2498"/>
    </row>
    <row r="2207" spans="16:16">
      <c r="P2207" s="2498"/>
    </row>
    <row r="2208" spans="16:16">
      <c r="P2208" s="2498"/>
    </row>
    <row r="2209" spans="16:16">
      <c r="P2209" s="2498"/>
    </row>
    <row r="2210" spans="16:16">
      <c r="P2210" s="2498"/>
    </row>
    <row r="2211" spans="16:16">
      <c r="P2211" s="2498"/>
    </row>
    <row r="2212" spans="16:16">
      <c r="P2212" s="2498"/>
    </row>
    <row r="2213" spans="16:16">
      <c r="P2213" s="2498"/>
    </row>
    <row r="2214" spans="16:16">
      <c r="P2214" s="2498"/>
    </row>
    <row r="2215" spans="16:16">
      <c r="P2215" s="2498"/>
    </row>
    <row r="2216" spans="16:16">
      <c r="P2216" s="2498"/>
    </row>
    <row r="2217" spans="16:16">
      <c r="P2217" s="2498"/>
    </row>
    <row r="2218" spans="16:16">
      <c r="P2218" s="2498"/>
    </row>
    <row r="2219" spans="16:16">
      <c r="P2219" s="2498"/>
    </row>
    <row r="2220" spans="16:16">
      <c r="P2220" s="2498"/>
    </row>
    <row r="2221" spans="16:16">
      <c r="P2221" s="2498"/>
    </row>
    <row r="2222" spans="16:16">
      <c r="P2222" s="2498"/>
    </row>
    <row r="2223" spans="16:16">
      <c r="P2223" s="2498"/>
    </row>
    <row r="2224" spans="16:16">
      <c r="P2224" s="2498"/>
    </row>
    <row r="2225" spans="16:16">
      <c r="P2225" s="2498"/>
    </row>
    <row r="2226" spans="16:16">
      <c r="P2226" s="2498"/>
    </row>
    <row r="2227" spans="16:16">
      <c r="P2227" s="2498"/>
    </row>
    <row r="2228" spans="16:16">
      <c r="P2228" s="2498"/>
    </row>
    <row r="2229" spans="16:16">
      <c r="P2229" s="2498"/>
    </row>
    <row r="2230" spans="16:16">
      <c r="P2230" s="2498"/>
    </row>
    <row r="2231" spans="16:16">
      <c r="P2231" s="2498"/>
    </row>
    <row r="2232" spans="16:16">
      <c r="P2232" s="2498"/>
    </row>
    <row r="2233" spans="16:16">
      <c r="P2233" s="2498"/>
    </row>
    <row r="2234" spans="16:16">
      <c r="P2234" s="2498"/>
    </row>
    <row r="2235" spans="16:16">
      <c r="P2235" s="2498"/>
    </row>
    <row r="2236" spans="16:16">
      <c r="P2236" s="2498"/>
    </row>
    <row r="2237" spans="16:16">
      <c r="P2237" s="2498"/>
    </row>
    <row r="2238" spans="16:16">
      <c r="P2238" s="2498"/>
    </row>
    <row r="2239" spans="16:16">
      <c r="P2239" s="2498"/>
    </row>
    <row r="2240" spans="16:16">
      <c r="P2240" s="2498"/>
    </row>
    <row r="2241" spans="16:16">
      <c r="P2241" s="2498"/>
    </row>
    <row r="2242" spans="16:16">
      <c r="P2242" s="2498"/>
    </row>
    <row r="2243" spans="16:16">
      <c r="P2243" s="2498"/>
    </row>
    <row r="2244" spans="16:16">
      <c r="P2244" s="2498"/>
    </row>
    <row r="2245" spans="16:16">
      <c r="P2245" s="2498"/>
    </row>
    <row r="2246" spans="16:16">
      <c r="P2246" s="2498"/>
    </row>
    <row r="2247" spans="16:16">
      <c r="P2247" s="2498"/>
    </row>
    <row r="2248" spans="16:16">
      <c r="P2248" s="2498"/>
    </row>
    <row r="2249" spans="16:16">
      <c r="P2249" s="2498"/>
    </row>
    <row r="2250" spans="16:16">
      <c r="P2250" s="2498"/>
    </row>
    <row r="2251" spans="16:16">
      <c r="P2251" s="2498"/>
    </row>
    <row r="2252" spans="16:16">
      <c r="P2252" s="2498"/>
    </row>
    <row r="2253" spans="16:16">
      <c r="P2253" s="2498"/>
    </row>
    <row r="2254" spans="16:16">
      <c r="P2254" s="2498"/>
    </row>
    <row r="2255" spans="16:16">
      <c r="P2255" s="2498"/>
    </row>
    <row r="2256" spans="16:16">
      <c r="P2256" s="2498"/>
    </row>
    <row r="2257" spans="16:16">
      <c r="P2257" s="2498"/>
    </row>
    <row r="2258" spans="16:16">
      <c r="P2258" s="2498"/>
    </row>
    <row r="2259" spans="16:16">
      <c r="P2259" s="2498"/>
    </row>
    <row r="2260" spans="16:16">
      <c r="P2260" s="2498"/>
    </row>
    <row r="2261" spans="16:16">
      <c r="P2261" s="2498"/>
    </row>
    <row r="2262" spans="16:16">
      <c r="P2262" s="2498"/>
    </row>
    <row r="2263" spans="16:16">
      <c r="P2263" s="2498"/>
    </row>
    <row r="2264" spans="16:16">
      <c r="P2264" s="2498"/>
    </row>
    <row r="2265" spans="16:16">
      <c r="P2265" s="2498"/>
    </row>
    <row r="2266" spans="16:16">
      <c r="P2266" s="2498"/>
    </row>
    <row r="2267" spans="16:16">
      <c r="P2267" s="2498"/>
    </row>
    <row r="2268" spans="16:16">
      <c r="P2268" s="2498"/>
    </row>
    <row r="2269" spans="16:16">
      <c r="P2269" s="2498"/>
    </row>
    <row r="2270" spans="16:16">
      <c r="P2270" s="2498"/>
    </row>
    <row r="2271" spans="16:16">
      <c r="P2271" s="2498"/>
    </row>
    <row r="2272" spans="16:16">
      <c r="P2272" s="2498"/>
    </row>
    <row r="2273" spans="16:16">
      <c r="P2273" s="2498"/>
    </row>
    <row r="2274" spans="16:16">
      <c r="P2274" s="2498"/>
    </row>
    <row r="2275" spans="16:16">
      <c r="P2275" s="2498"/>
    </row>
    <row r="2276" spans="16:16">
      <c r="P2276" s="2498"/>
    </row>
    <row r="2277" spans="16:16">
      <c r="P2277" s="2498"/>
    </row>
    <row r="2278" spans="16:16">
      <c r="P2278" s="2498"/>
    </row>
    <row r="2279" spans="16:16">
      <c r="P2279" s="2498"/>
    </row>
    <row r="2280" spans="16:16">
      <c r="P2280" s="2498"/>
    </row>
    <row r="2281" spans="16:16">
      <c r="P2281" s="2498"/>
    </row>
    <row r="2282" spans="16:16">
      <c r="P2282" s="2498"/>
    </row>
    <row r="2283" spans="16:16">
      <c r="P2283" s="2498"/>
    </row>
    <row r="2284" spans="16:16">
      <c r="P2284" s="2498"/>
    </row>
    <row r="2285" spans="16:16">
      <c r="P2285" s="2498"/>
    </row>
    <row r="2286" spans="16:16">
      <c r="P2286" s="2498"/>
    </row>
    <row r="2287" spans="16:16">
      <c r="P2287" s="2498"/>
    </row>
    <row r="2288" spans="16:16">
      <c r="P2288" s="2498"/>
    </row>
    <row r="2289" spans="16:16">
      <c r="P2289" s="2498"/>
    </row>
    <row r="2290" spans="16:16">
      <c r="P2290" s="2498"/>
    </row>
    <row r="2291" spans="16:16">
      <c r="P2291" s="2498"/>
    </row>
    <row r="2292" spans="16:16">
      <c r="P2292" s="2498"/>
    </row>
    <row r="2293" spans="16:16">
      <c r="P2293" s="2498"/>
    </row>
    <row r="2294" spans="16:16">
      <c r="P2294" s="2498"/>
    </row>
    <row r="2295" spans="16:16">
      <c r="P2295" s="2498"/>
    </row>
    <row r="2296" spans="16:16">
      <c r="P2296" s="2498"/>
    </row>
    <row r="2297" spans="16:16">
      <c r="P2297" s="2498"/>
    </row>
    <row r="2298" spans="16:16">
      <c r="P2298" s="2498"/>
    </row>
    <row r="2299" spans="16:16">
      <c r="P2299" s="2498"/>
    </row>
    <row r="2300" spans="16:16">
      <c r="P2300" s="2498"/>
    </row>
    <row r="2301" spans="16:16">
      <c r="P2301" s="2498"/>
    </row>
    <row r="2302" spans="16:16">
      <c r="P2302" s="2498"/>
    </row>
    <row r="2303" spans="16:16">
      <c r="P2303" s="2498"/>
    </row>
    <row r="2304" spans="16:16">
      <c r="P2304" s="2498"/>
    </row>
    <row r="2305" spans="16:16">
      <c r="P2305" s="2498"/>
    </row>
    <row r="2306" spans="16:16">
      <c r="P2306" s="2498"/>
    </row>
    <row r="2307" spans="16:16">
      <c r="P2307" s="2498"/>
    </row>
    <row r="2308" spans="16:16">
      <c r="P2308" s="2498"/>
    </row>
    <row r="2309" spans="16:16">
      <c r="P2309" s="2498"/>
    </row>
    <row r="2310" spans="16:16">
      <c r="P2310" s="2498"/>
    </row>
    <row r="2311" spans="16:16">
      <c r="P2311" s="2498"/>
    </row>
    <row r="2312" spans="16:16">
      <c r="P2312" s="2498"/>
    </row>
    <row r="2313" spans="16:16">
      <c r="P2313" s="2498"/>
    </row>
    <row r="2314" spans="16:16">
      <c r="P2314" s="2498"/>
    </row>
    <row r="2315" spans="16:16">
      <c r="P2315" s="2498"/>
    </row>
    <row r="2316" spans="16:16">
      <c r="P2316" s="2498"/>
    </row>
    <row r="2317" spans="16:16">
      <c r="P2317" s="2498"/>
    </row>
    <row r="2318" spans="16:16">
      <c r="P2318" s="2498"/>
    </row>
    <row r="2319" spans="16:16">
      <c r="P2319" s="2498"/>
    </row>
    <row r="2320" spans="16:16">
      <c r="P2320" s="2498"/>
    </row>
    <row r="2321" spans="16:16">
      <c r="P2321" s="2498"/>
    </row>
    <row r="2322" spans="16:16">
      <c r="P2322" s="2498"/>
    </row>
    <row r="2323" spans="16:16">
      <c r="P2323" s="2498"/>
    </row>
    <row r="2324" spans="16:16">
      <c r="P2324" s="2498"/>
    </row>
    <row r="2325" spans="16:16">
      <c r="P2325" s="2498"/>
    </row>
    <row r="2326" spans="16:16">
      <c r="P2326" s="2498"/>
    </row>
    <row r="2327" spans="16:16">
      <c r="P2327" s="2498"/>
    </row>
    <row r="2328" spans="16:16">
      <c r="P2328" s="2498"/>
    </row>
    <row r="2329" spans="16:16">
      <c r="P2329" s="2498"/>
    </row>
    <row r="2330" spans="16:16">
      <c r="P2330" s="2498"/>
    </row>
    <row r="2331" spans="16:16">
      <c r="P2331" s="2498"/>
    </row>
    <row r="2332" spans="16:16">
      <c r="P2332" s="2498"/>
    </row>
    <row r="2333" spans="16:16">
      <c r="P2333" s="2498"/>
    </row>
    <row r="2334" spans="16:16">
      <c r="P2334" s="2498"/>
    </row>
    <row r="2335" spans="16:16">
      <c r="P2335" s="2498"/>
    </row>
    <row r="2336" spans="16:16">
      <c r="P2336" s="2498"/>
    </row>
    <row r="2337" spans="16:16">
      <c r="P2337" s="2498"/>
    </row>
    <row r="2338" spans="16:16">
      <c r="P2338" s="2498"/>
    </row>
    <row r="2339" spans="16:16">
      <c r="P2339" s="2498"/>
    </row>
    <row r="2340" spans="16:16">
      <c r="P2340" s="2498"/>
    </row>
    <row r="2341" spans="16:16">
      <c r="P2341" s="2498"/>
    </row>
    <row r="2342" spans="16:16">
      <c r="P2342" s="2498"/>
    </row>
    <row r="2343" spans="16:16">
      <c r="P2343" s="2498"/>
    </row>
    <row r="2344" spans="16:16">
      <c r="P2344" s="2498"/>
    </row>
    <row r="2345" spans="16:16">
      <c r="P2345" s="2498"/>
    </row>
    <row r="2346" spans="16:16">
      <c r="P2346" s="2498"/>
    </row>
    <row r="2347" spans="16:16">
      <c r="P2347" s="2498"/>
    </row>
    <row r="2348" spans="16:16">
      <c r="P2348" s="2498"/>
    </row>
    <row r="2349" spans="16:16">
      <c r="P2349" s="2498"/>
    </row>
    <row r="2350" spans="16:16">
      <c r="P2350" s="2498"/>
    </row>
    <row r="2351" spans="16:16">
      <c r="P2351" s="2498"/>
    </row>
    <row r="2352" spans="16:16">
      <c r="P2352" s="2498"/>
    </row>
    <row r="2353" spans="16:16">
      <c r="P2353" s="2498"/>
    </row>
    <row r="2354" spans="16:16">
      <c r="P2354" s="2498"/>
    </row>
    <row r="2355" spans="16:16">
      <c r="P2355" s="2498"/>
    </row>
    <row r="2356" spans="16:16">
      <c r="P2356" s="2498"/>
    </row>
    <row r="2357" spans="16:16">
      <c r="P2357" s="2498"/>
    </row>
    <row r="2358" spans="16:16">
      <c r="P2358" s="2498"/>
    </row>
    <row r="2359" spans="16:16">
      <c r="P2359" s="2498"/>
    </row>
    <row r="2360" spans="16:16">
      <c r="P2360" s="2498"/>
    </row>
    <row r="2361" spans="16:16">
      <c r="P2361" s="2498"/>
    </row>
    <row r="2362" spans="16:16">
      <c r="P2362" s="2498"/>
    </row>
    <row r="2363" spans="16:16">
      <c r="P2363" s="2498"/>
    </row>
    <row r="2364" spans="16:16">
      <c r="P2364" s="2498"/>
    </row>
    <row r="2365" spans="16:16">
      <c r="P2365" s="2498"/>
    </row>
    <row r="2366" spans="16:16">
      <c r="P2366" s="2498"/>
    </row>
    <row r="2367" spans="16:16">
      <c r="P2367" s="2498"/>
    </row>
    <row r="2368" spans="16:16">
      <c r="P2368" s="2498"/>
    </row>
    <row r="2369" spans="16:16">
      <c r="P2369" s="2498"/>
    </row>
    <row r="2370" spans="16:16">
      <c r="P2370" s="2498"/>
    </row>
    <row r="2371" spans="16:16">
      <c r="P2371" s="2498"/>
    </row>
    <row r="2372" spans="16:16">
      <c r="P2372" s="2498"/>
    </row>
    <row r="2373" spans="16:16">
      <c r="P2373" s="2498"/>
    </row>
    <row r="2374" spans="16:16">
      <c r="P2374" s="2498"/>
    </row>
    <row r="2375" spans="16:16">
      <c r="P2375" s="2498"/>
    </row>
    <row r="2376" spans="16:16">
      <c r="P2376" s="2498"/>
    </row>
    <row r="2377" spans="16:16">
      <c r="P2377" s="2498"/>
    </row>
    <row r="2378" spans="16:16">
      <c r="P2378" s="2498"/>
    </row>
    <row r="2379" spans="16:16">
      <c r="P2379" s="2498"/>
    </row>
    <row r="2380" spans="16:16">
      <c r="P2380" s="2498"/>
    </row>
    <row r="2381" spans="16:16">
      <c r="P2381" s="2498"/>
    </row>
    <row r="2382" spans="16:16">
      <c r="P2382" s="2498"/>
    </row>
    <row r="2383" spans="16:16">
      <c r="P2383" s="2498"/>
    </row>
    <row r="2384" spans="16:16">
      <c r="P2384" s="2498"/>
    </row>
    <row r="2385" spans="16:16">
      <c r="P2385" s="2498"/>
    </row>
    <row r="2386" spans="16:16">
      <c r="P2386" s="2498"/>
    </row>
    <row r="2387" spans="16:16">
      <c r="P2387" s="2498"/>
    </row>
    <row r="2388" spans="16:16">
      <c r="P2388" s="2498"/>
    </row>
    <row r="2389" spans="16:16">
      <c r="P2389" s="2498"/>
    </row>
    <row r="2390" spans="16:16">
      <c r="P2390" s="2498"/>
    </row>
    <row r="2391" spans="16:16">
      <c r="P2391" s="2498"/>
    </row>
    <row r="2392" spans="16:16">
      <c r="P2392" s="2498"/>
    </row>
    <row r="2393" spans="16:16">
      <c r="P2393" s="2498"/>
    </row>
    <row r="2394" spans="16:16">
      <c r="P2394" s="2498"/>
    </row>
    <row r="2395" spans="16:16">
      <c r="P2395" s="2498"/>
    </row>
    <row r="2396" spans="16:16">
      <c r="P2396" s="2498"/>
    </row>
    <row r="2397" spans="16:16">
      <c r="P2397" s="2498"/>
    </row>
    <row r="2398" spans="16:16">
      <c r="P2398" s="2498"/>
    </row>
    <row r="2399" spans="16:16">
      <c r="P2399" s="2498"/>
    </row>
    <row r="2400" spans="16:16">
      <c r="P2400" s="2498"/>
    </row>
    <row r="2401" spans="16:16">
      <c r="P2401" s="2498"/>
    </row>
    <row r="2402" spans="16:16">
      <c r="P2402" s="2498"/>
    </row>
    <row r="2403" spans="16:16">
      <c r="P2403" s="2498"/>
    </row>
    <row r="2404" spans="16:16">
      <c r="P2404" s="2498"/>
    </row>
    <row r="2405" spans="16:16">
      <c r="P2405" s="2498"/>
    </row>
    <row r="2406" spans="16:16">
      <c r="P2406" s="2498"/>
    </row>
    <row r="2407" spans="16:16">
      <c r="P2407" s="2498"/>
    </row>
    <row r="2408" spans="16:16">
      <c r="P2408" s="2498"/>
    </row>
    <row r="2409" spans="16:16">
      <c r="P2409" s="2498"/>
    </row>
    <row r="2410" spans="16:16">
      <c r="P2410" s="2498"/>
    </row>
    <row r="2411" spans="16:16">
      <c r="P2411" s="2498"/>
    </row>
    <row r="2412" spans="16:16">
      <c r="P2412" s="2498"/>
    </row>
    <row r="2413" spans="16:16">
      <c r="P2413" s="2498"/>
    </row>
    <row r="2414" spans="16:16">
      <c r="P2414" s="2498"/>
    </row>
    <row r="2415" spans="16:16">
      <c r="P2415" s="2498"/>
    </row>
    <row r="2416" spans="16:16">
      <c r="P2416" s="2498"/>
    </row>
    <row r="2417" spans="16:16">
      <c r="P2417" s="2498"/>
    </row>
    <row r="2418" spans="16:16">
      <c r="P2418" s="2498"/>
    </row>
    <row r="2419" spans="16:16">
      <c r="P2419" s="2498"/>
    </row>
    <row r="2420" spans="16:16">
      <c r="P2420" s="2498"/>
    </row>
    <row r="2421" spans="16:16">
      <c r="P2421" s="2498"/>
    </row>
    <row r="2422" spans="16:16">
      <c r="P2422" s="2498"/>
    </row>
    <row r="2423" spans="16:16">
      <c r="P2423" s="2498"/>
    </row>
    <row r="2424" spans="16:16">
      <c r="P2424" s="2498"/>
    </row>
    <row r="2425" spans="16:16">
      <c r="P2425" s="2498"/>
    </row>
    <row r="2426" spans="16:16">
      <c r="P2426" s="2498"/>
    </row>
    <row r="2427" spans="16:16">
      <c r="P2427" s="2498"/>
    </row>
    <row r="2428" spans="16:16">
      <c r="P2428" s="2498"/>
    </row>
    <row r="2429" spans="16:16">
      <c r="P2429" s="2498"/>
    </row>
    <row r="2430" spans="16:16">
      <c r="P2430" s="2498"/>
    </row>
    <row r="2431" spans="16:16">
      <c r="P2431" s="2498"/>
    </row>
    <row r="2432" spans="16:16">
      <c r="P2432" s="2498"/>
    </row>
    <row r="2433" spans="16:16">
      <c r="P2433" s="2498"/>
    </row>
    <row r="2434" spans="16:16">
      <c r="P2434" s="2498"/>
    </row>
    <row r="2435" spans="16:16">
      <c r="P2435" s="2498"/>
    </row>
    <row r="2436" spans="16:16">
      <c r="P2436" s="2498"/>
    </row>
    <row r="2437" spans="16:16">
      <c r="P2437" s="2498"/>
    </row>
    <row r="2438" spans="16:16">
      <c r="P2438" s="2498"/>
    </row>
    <row r="2439" spans="16:16">
      <c r="P2439" s="2498"/>
    </row>
    <row r="2440" spans="16:16">
      <c r="P2440" s="2498"/>
    </row>
    <row r="2441" spans="16:16">
      <c r="P2441" s="2498"/>
    </row>
    <row r="2442" spans="16:16">
      <c r="P2442" s="2498"/>
    </row>
    <row r="2443" spans="16:16">
      <c r="P2443" s="2498"/>
    </row>
    <row r="2444" spans="16:16">
      <c r="P2444" s="2498"/>
    </row>
    <row r="2445" spans="16:16">
      <c r="P2445" s="2498"/>
    </row>
    <row r="2446" spans="16:16">
      <c r="P2446" s="2498"/>
    </row>
    <row r="2447" spans="16:16">
      <c r="P2447" s="2498"/>
    </row>
    <row r="2448" spans="16:16">
      <c r="P2448" s="2498"/>
    </row>
    <row r="2449" spans="16:16">
      <c r="P2449" s="2498"/>
    </row>
    <row r="2450" spans="16:16">
      <c r="P2450" s="2498"/>
    </row>
    <row r="2451" spans="16:16">
      <c r="P2451" s="2498"/>
    </row>
    <row r="2452" spans="16:16">
      <c r="P2452" s="2498"/>
    </row>
    <row r="2453" spans="16:16">
      <c r="P2453" s="2498"/>
    </row>
    <row r="2454" spans="16:16">
      <c r="P2454" s="2498"/>
    </row>
    <row r="2455" spans="16:16">
      <c r="P2455" s="2498"/>
    </row>
    <row r="2456" spans="16:16">
      <c r="P2456" s="2498"/>
    </row>
    <row r="2457" spans="16:16">
      <c r="P2457" s="2498"/>
    </row>
    <row r="2458" spans="16:16">
      <c r="P2458" s="2498"/>
    </row>
    <row r="2459" spans="16:16">
      <c r="P2459" s="2498"/>
    </row>
    <row r="2460" spans="16:16">
      <c r="P2460" s="2498"/>
    </row>
    <row r="2461" spans="16:16">
      <c r="P2461" s="2498"/>
    </row>
    <row r="2462" spans="16:16">
      <c r="P2462" s="2498"/>
    </row>
    <row r="2463" spans="16:16">
      <c r="P2463" s="2498"/>
    </row>
    <row r="2464" spans="16:16">
      <c r="P2464" s="2498"/>
    </row>
    <row r="2465" spans="16:16">
      <c r="P2465" s="2498"/>
    </row>
    <row r="2466" spans="16:16">
      <c r="P2466" s="2498"/>
    </row>
    <row r="2467" spans="16:16">
      <c r="P2467" s="2498"/>
    </row>
    <row r="2468" spans="16:16">
      <c r="P2468" s="2498"/>
    </row>
    <row r="2469" spans="16:16">
      <c r="P2469" s="2498"/>
    </row>
    <row r="2470" spans="16:16">
      <c r="P2470" s="2498"/>
    </row>
    <row r="2471" spans="16:16">
      <c r="P2471" s="2498"/>
    </row>
    <row r="2472" spans="16:16">
      <c r="P2472" s="2498"/>
    </row>
    <row r="2473" spans="16:16">
      <c r="P2473" s="2498"/>
    </row>
    <row r="2474" spans="16:16">
      <c r="P2474" s="2498"/>
    </row>
    <row r="2475" spans="16:16">
      <c r="P2475" s="2498"/>
    </row>
    <row r="2476" spans="16:16">
      <c r="P2476" s="2498"/>
    </row>
    <row r="2477" spans="16:16">
      <c r="P2477" s="2498"/>
    </row>
    <row r="2478" spans="16:16">
      <c r="P2478" s="2498"/>
    </row>
    <row r="2479" spans="16:16">
      <c r="P2479" s="2498"/>
    </row>
    <row r="2480" spans="16:16">
      <c r="P2480" s="2498"/>
    </row>
    <row r="2481" spans="16:16">
      <c r="P2481" s="2498"/>
    </row>
    <row r="2482" spans="16:16">
      <c r="P2482" s="2498"/>
    </row>
    <row r="2483" spans="16:16">
      <c r="P2483" s="2498"/>
    </row>
    <row r="2484" spans="16:16">
      <c r="P2484" s="2498"/>
    </row>
    <row r="2485" spans="16:16">
      <c r="P2485" s="2498"/>
    </row>
    <row r="2486" spans="16:16">
      <c r="P2486" s="2498"/>
    </row>
    <row r="2487" spans="16:16">
      <c r="P2487" s="2498"/>
    </row>
    <row r="2488" spans="16:16">
      <c r="P2488" s="2498"/>
    </row>
    <row r="2489" spans="16:16">
      <c r="P2489" s="2498"/>
    </row>
    <row r="2490" spans="16:16">
      <c r="P2490" s="2498"/>
    </row>
    <row r="2491" spans="16:16">
      <c r="P2491" s="2498"/>
    </row>
    <row r="2492" spans="16:16">
      <c r="P2492" s="2498"/>
    </row>
    <row r="2493" spans="16:16">
      <c r="P2493" s="2498"/>
    </row>
    <row r="2494" spans="16:16">
      <c r="P2494" s="2498"/>
    </row>
    <row r="2495" spans="16:16">
      <c r="P2495" s="2498"/>
    </row>
    <row r="2496" spans="16:16">
      <c r="P2496" s="2498"/>
    </row>
    <row r="2497" spans="16:16">
      <c r="P2497" s="2498"/>
    </row>
    <row r="2498" spans="16:16">
      <c r="P2498" s="2498"/>
    </row>
    <row r="2499" spans="16:16">
      <c r="P2499" s="2498"/>
    </row>
    <row r="2500" spans="16:16">
      <c r="P2500" s="2498"/>
    </row>
    <row r="2501" spans="16:16">
      <c r="P2501" s="2498"/>
    </row>
    <row r="2502" spans="16:16">
      <c r="P2502" s="2498"/>
    </row>
    <row r="2503" spans="16:16">
      <c r="P2503" s="2498"/>
    </row>
    <row r="2504" spans="16:16">
      <c r="P2504" s="2498"/>
    </row>
    <row r="2505" spans="16:16">
      <c r="P2505" s="2498"/>
    </row>
    <row r="2506" spans="16:16">
      <c r="P2506" s="2498"/>
    </row>
    <row r="2507" spans="16:16">
      <c r="P2507" s="2498"/>
    </row>
    <row r="2508" spans="16:16">
      <c r="P2508" s="2498"/>
    </row>
    <row r="2509" spans="16:16">
      <c r="P2509" s="2498"/>
    </row>
    <row r="2510" spans="16:16">
      <c r="P2510" s="2498"/>
    </row>
    <row r="2511" spans="16:16">
      <c r="P2511" s="2498"/>
    </row>
    <row r="2512" spans="16:16">
      <c r="P2512" s="2498"/>
    </row>
    <row r="2513" spans="16:16">
      <c r="P2513" s="2498"/>
    </row>
    <row r="2514" spans="16:16">
      <c r="P2514" s="2498"/>
    </row>
    <row r="2515" spans="16:16">
      <c r="P2515" s="2498"/>
    </row>
    <row r="2516" spans="16:16">
      <c r="P2516" s="2498"/>
    </row>
    <row r="2517" spans="16:16">
      <c r="P2517" s="2498"/>
    </row>
    <row r="2518" spans="16:16">
      <c r="P2518" s="2498"/>
    </row>
    <row r="2519" spans="16:16">
      <c r="P2519" s="2498"/>
    </row>
    <row r="2520" spans="16:16">
      <c r="P2520" s="2498"/>
    </row>
    <row r="2521" spans="16:16">
      <c r="P2521" s="2498"/>
    </row>
    <row r="2522" spans="16:16">
      <c r="P2522" s="2498"/>
    </row>
    <row r="2523" spans="16:16">
      <c r="P2523" s="2498"/>
    </row>
    <row r="2524" spans="16:16">
      <c r="P2524" s="2498"/>
    </row>
    <row r="2525" spans="16:16">
      <c r="P2525" s="2498"/>
    </row>
    <row r="2526" spans="16:16">
      <c r="P2526" s="2498"/>
    </row>
    <row r="2527" spans="16:16">
      <c r="P2527" s="2498"/>
    </row>
    <row r="2528" spans="16:16">
      <c r="P2528" s="2498"/>
    </row>
    <row r="2529" spans="16:16">
      <c r="P2529" s="2498"/>
    </row>
    <row r="2530" spans="16:16">
      <c r="P2530" s="2498"/>
    </row>
    <row r="2531" spans="16:16">
      <c r="P2531" s="2498"/>
    </row>
    <row r="2532" spans="16:16">
      <c r="P2532" s="2498"/>
    </row>
    <row r="2533" spans="16:16">
      <c r="P2533" s="2498"/>
    </row>
    <row r="2534" spans="16:16">
      <c r="P2534" s="2498"/>
    </row>
    <row r="2535" spans="16:16">
      <c r="P2535" s="2498"/>
    </row>
    <row r="2536" spans="16:16">
      <c r="P2536" s="2498"/>
    </row>
    <row r="2537" spans="16:16">
      <c r="P2537" s="2498"/>
    </row>
    <row r="2538" spans="16:16">
      <c r="P2538" s="2498"/>
    </row>
    <row r="2539" spans="16:16">
      <c r="P2539" s="2498"/>
    </row>
    <row r="2540" spans="16:16">
      <c r="P2540" s="2498"/>
    </row>
    <row r="2541" spans="16:16">
      <c r="P2541" s="2498"/>
    </row>
    <row r="2542" spans="16:16">
      <c r="P2542" s="2498"/>
    </row>
    <row r="2543" spans="16:16">
      <c r="P2543" s="2498"/>
    </row>
    <row r="2544" spans="16:16">
      <c r="P2544" s="2498"/>
    </row>
    <row r="2545" spans="16:16">
      <c r="P2545" s="2498"/>
    </row>
    <row r="2546" spans="16:16">
      <c r="P2546" s="2498"/>
    </row>
    <row r="2547" spans="16:16">
      <c r="P2547" s="2498"/>
    </row>
    <row r="2548" spans="16:16">
      <c r="P2548" s="2498"/>
    </row>
    <row r="2549" spans="16:16">
      <c r="P2549" s="2498"/>
    </row>
    <row r="2550" spans="16:16">
      <c r="P2550" s="2498"/>
    </row>
    <row r="2551" spans="16:16">
      <c r="P2551" s="2498"/>
    </row>
    <row r="2552" spans="16:16">
      <c r="P2552" s="2498"/>
    </row>
    <row r="2553" spans="16:16">
      <c r="P2553" s="2498"/>
    </row>
    <row r="2554" spans="16:16">
      <c r="P2554" s="2498"/>
    </row>
    <row r="2555" spans="16:16">
      <c r="P2555" s="2498"/>
    </row>
    <row r="2556" spans="16:16">
      <c r="P2556" s="2498"/>
    </row>
    <row r="2557" spans="16:16">
      <c r="P2557" s="2498"/>
    </row>
    <row r="2558" spans="16:16">
      <c r="P2558" s="2498"/>
    </row>
    <row r="2559" spans="16:16">
      <c r="P2559" s="2498"/>
    </row>
    <row r="2560" spans="16:16">
      <c r="P2560" s="2498"/>
    </row>
    <row r="2561" spans="16:16">
      <c r="P2561" s="2498"/>
    </row>
    <row r="2562" spans="16:16">
      <c r="P2562" s="2498"/>
    </row>
    <row r="2563" spans="16:16">
      <c r="P2563" s="2498"/>
    </row>
    <row r="2564" spans="16:16">
      <c r="P2564" s="2498"/>
    </row>
    <row r="2565" spans="16:16">
      <c r="P2565" s="2498"/>
    </row>
    <row r="2566" spans="16:16">
      <c r="P2566" s="2498"/>
    </row>
    <row r="2567" spans="16:16">
      <c r="P2567" s="2498"/>
    </row>
    <row r="2568" spans="16:16">
      <c r="P2568" s="2498"/>
    </row>
    <row r="2569" spans="16:16">
      <c r="P2569" s="2498"/>
    </row>
    <row r="2570" spans="16:16">
      <c r="P2570" s="2498"/>
    </row>
    <row r="2571" spans="16:16">
      <c r="P2571" s="2498"/>
    </row>
    <row r="2572" spans="16:16">
      <c r="P2572" s="2498"/>
    </row>
    <row r="2573" spans="16:16">
      <c r="P2573" s="2498"/>
    </row>
    <row r="2574" spans="16:16">
      <c r="P2574" s="2498"/>
    </row>
    <row r="2575" spans="16:16">
      <c r="P2575" s="2498"/>
    </row>
    <row r="2576" spans="16:16">
      <c r="P2576" s="2498"/>
    </row>
    <row r="2577" spans="16:16">
      <c r="P2577" s="2498"/>
    </row>
    <row r="2578" spans="16:16">
      <c r="P2578" s="2498"/>
    </row>
    <row r="2579" spans="16:16">
      <c r="P2579" s="2498"/>
    </row>
    <row r="2580" spans="16:16">
      <c r="P2580" s="2498"/>
    </row>
    <row r="2581" spans="16:16">
      <c r="P2581" s="2498"/>
    </row>
    <row r="2582" spans="16:16">
      <c r="P2582" s="2498"/>
    </row>
    <row r="2583" spans="16:16">
      <c r="P2583" s="2498"/>
    </row>
    <row r="2584" spans="16:16">
      <c r="P2584" s="2498"/>
    </row>
    <row r="2585" spans="16:16">
      <c r="P2585" s="2498"/>
    </row>
    <row r="2586" spans="16:16">
      <c r="P2586" s="2498"/>
    </row>
    <row r="2587" spans="16:16">
      <c r="P2587" s="2498"/>
    </row>
    <row r="2588" spans="16:16">
      <c r="P2588" s="2498"/>
    </row>
    <row r="2589" spans="16:16">
      <c r="P2589" s="2498"/>
    </row>
    <row r="2590" spans="16:16">
      <c r="P2590" s="2498"/>
    </row>
    <row r="2591" spans="16:16">
      <c r="P2591" s="2498"/>
    </row>
    <row r="2592" spans="16:16">
      <c r="P2592" s="2498"/>
    </row>
    <row r="2593" spans="16:16">
      <c r="P2593" s="2498"/>
    </row>
    <row r="2594" spans="16:16">
      <c r="P2594" s="2498"/>
    </row>
    <row r="2595" spans="16:16">
      <c r="P2595" s="2498"/>
    </row>
    <row r="2596" spans="16:16">
      <c r="P2596" s="2498"/>
    </row>
    <row r="2597" spans="16:16">
      <c r="P2597" s="2498"/>
    </row>
    <row r="2598" spans="16:16">
      <c r="P2598" s="2498"/>
    </row>
    <row r="2599" spans="16:16">
      <c r="P2599" s="2498"/>
    </row>
    <row r="2600" spans="16:16">
      <c r="P2600" s="2498"/>
    </row>
    <row r="2601" spans="16:16">
      <c r="P2601" s="2498"/>
    </row>
    <row r="2602" spans="16:16">
      <c r="P2602" s="2498"/>
    </row>
    <row r="2603" spans="16:16">
      <c r="P2603" s="2498"/>
    </row>
    <row r="2604" spans="16:16">
      <c r="P2604" s="2498"/>
    </row>
    <row r="2605" spans="16:16">
      <c r="P2605" s="2498"/>
    </row>
    <row r="2606" spans="16:16">
      <c r="P2606" s="2498"/>
    </row>
    <row r="2607" spans="16:16">
      <c r="P2607" s="2498"/>
    </row>
    <row r="2608" spans="16:16">
      <c r="P2608" s="2498"/>
    </row>
    <row r="2609" spans="16:16">
      <c r="P2609" s="2498"/>
    </row>
    <row r="2610" spans="16:16">
      <c r="P2610" s="2498"/>
    </row>
    <row r="2611" spans="16:16">
      <c r="P2611" s="2498"/>
    </row>
    <row r="2612" spans="16:16">
      <c r="P2612" s="2498"/>
    </row>
    <row r="2613" spans="16:16">
      <c r="P2613" s="2498"/>
    </row>
    <row r="2614" spans="16:16">
      <c r="P2614" s="2498"/>
    </row>
    <row r="2615" spans="16:16">
      <c r="P2615" s="2498"/>
    </row>
    <row r="2616" spans="16:16">
      <c r="P2616" s="2498"/>
    </row>
    <row r="2617" spans="16:16">
      <c r="P2617" s="2498"/>
    </row>
    <row r="2618" spans="16:16">
      <c r="P2618" s="2498"/>
    </row>
    <row r="2619" spans="16:16">
      <c r="P2619" s="2498"/>
    </row>
    <row r="2620" spans="16:16">
      <c r="P2620" s="2498"/>
    </row>
    <row r="2621" spans="16:16">
      <c r="P2621" s="2498"/>
    </row>
    <row r="2622" spans="16:16">
      <c r="P2622" s="2498"/>
    </row>
    <row r="2623" spans="16:16">
      <c r="P2623" s="2498"/>
    </row>
    <row r="2624" spans="16:16">
      <c r="P2624" s="2498"/>
    </row>
    <row r="2625" spans="16:16">
      <c r="P2625" s="2498"/>
    </row>
    <row r="2626" spans="16:16">
      <c r="P2626" s="2498"/>
    </row>
    <row r="2627" spans="16:16">
      <c r="P2627" s="2498"/>
    </row>
    <row r="2628" spans="16:16">
      <c r="P2628" s="2498"/>
    </row>
    <row r="2629" spans="16:16">
      <c r="P2629" s="2498"/>
    </row>
    <row r="2630" spans="16:16">
      <c r="P2630" s="2498"/>
    </row>
    <row r="2631" spans="16:16">
      <c r="P2631" s="2498"/>
    </row>
    <row r="2632" spans="16:16">
      <c r="P2632" s="2498"/>
    </row>
    <row r="2633" spans="16:16">
      <c r="P2633" s="2498"/>
    </row>
    <row r="2634" spans="16:16">
      <c r="P2634" s="2498"/>
    </row>
    <row r="2635" spans="16:16">
      <c r="P2635" s="2498"/>
    </row>
    <row r="2636" spans="16:16">
      <c r="P2636" s="2498"/>
    </row>
    <row r="2637" spans="16:16">
      <c r="P2637" s="2498"/>
    </row>
    <row r="2638" spans="16:16">
      <c r="P2638" s="2498"/>
    </row>
    <row r="2639" spans="16:16">
      <c r="P2639" s="2498"/>
    </row>
    <row r="2640" spans="16:16">
      <c r="P2640" s="2498"/>
    </row>
    <row r="2641" spans="16:16">
      <c r="P2641" s="2498"/>
    </row>
    <row r="2642" spans="16:16">
      <c r="P2642" s="2498"/>
    </row>
    <row r="2643" spans="16:16">
      <c r="P2643" s="2498"/>
    </row>
    <row r="2644" spans="16:16">
      <c r="P2644" s="2498"/>
    </row>
    <row r="2645" spans="16:16">
      <c r="P2645" s="2498"/>
    </row>
    <row r="2646" spans="16:16">
      <c r="P2646" s="2498"/>
    </row>
    <row r="2647" spans="16:16">
      <c r="P2647" s="2498"/>
    </row>
    <row r="2648" spans="16:16">
      <c r="P2648" s="2498"/>
    </row>
    <row r="2649" spans="16:16">
      <c r="P2649" s="2498"/>
    </row>
    <row r="2650" spans="16:16">
      <c r="P2650" s="2498"/>
    </row>
    <row r="2651" spans="16:16">
      <c r="P2651" s="2498"/>
    </row>
    <row r="2652" spans="16:16">
      <c r="P2652" s="2498"/>
    </row>
    <row r="2653" spans="16:16">
      <c r="P2653" s="2498"/>
    </row>
    <row r="2654" spans="16:16">
      <c r="P2654" s="2498"/>
    </row>
    <row r="2655" spans="16:16">
      <c r="P2655" s="2498"/>
    </row>
    <row r="2656" spans="16:16">
      <c r="P2656" s="2498"/>
    </row>
    <row r="2657" spans="16:16">
      <c r="P2657" s="2498"/>
    </row>
    <row r="2658" spans="16:16">
      <c r="P2658" s="2498"/>
    </row>
    <row r="2659" spans="16:16">
      <c r="P2659" s="2498"/>
    </row>
    <row r="2660" spans="16:16">
      <c r="P2660" s="2498"/>
    </row>
    <row r="2661" spans="16:16">
      <c r="P2661" s="2498"/>
    </row>
    <row r="2662" spans="16:16">
      <c r="P2662" s="2498"/>
    </row>
    <row r="2663" spans="16:16">
      <c r="P2663" s="2498"/>
    </row>
    <row r="2664" spans="16:16">
      <c r="P2664" s="2498"/>
    </row>
    <row r="2665" spans="16:16">
      <c r="P2665" s="2498"/>
    </row>
    <row r="2666" spans="16:16">
      <c r="P2666" s="2498"/>
    </row>
    <row r="2667" spans="16:16">
      <c r="P2667" s="2498"/>
    </row>
    <row r="2668" spans="16:16">
      <c r="P2668" s="2498"/>
    </row>
    <row r="2669" spans="16:16">
      <c r="P2669" s="2498"/>
    </row>
    <row r="2670" spans="16:16">
      <c r="P2670" s="2498"/>
    </row>
    <row r="2671" spans="16:16">
      <c r="P2671" s="2498"/>
    </row>
    <row r="2672" spans="16:16">
      <c r="P2672" s="2498"/>
    </row>
    <row r="2673" spans="16:16">
      <c r="P2673" s="2498"/>
    </row>
    <row r="2674" spans="16:16">
      <c r="P2674" s="2498"/>
    </row>
    <row r="2675" spans="16:16">
      <c r="P2675" s="2498"/>
    </row>
    <row r="2676" spans="16:16">
      <c r="P2676" s="2498"/>
    </row>
    <row r="2677" spans="16:16">
      <c r="P2677" s="2498"/>
    </row>
    <row r="2678" spans="16:16">
      <c r="P2678" s="2498"/>
    </row>
    <row r="2679" spans="16:16">
      <c r="P2679" s="2498"/>
    </row>
    <row r="2680" spans="16:16">
      <c r="P2680" s="2498"/>
    </row>
    <row r="2681" spans="16:16">
      <c r="P2681" s="2498"/>
    </row>
    <row r="2682" spans="16:16">
      <c r="P2682" s="2498"/>
    </row>
    <row r="2683" spans="16:16">
      <c r="P2683" s="2498"/>
    </row>
    <row r="2684" spans="16:16">
      <c r="P2684" s="2498"/>
    </row>
    <row r="2685" spans="16:16">
      <c r="P2685" s="2498"/>
    </row>
    <row r="2686" spans="16:16">
      <c r="P2686" s="2498"/>
    </row>
    <row r="2687" spans="16:16">
      <c r="P2687" s="2498"/>
    </row>
    <row r="2688" spans="16:16">
      <c r="P2688" s="2498"/>
    </row>
    <row r="2689" spans="16:16">
      <c r="P2689" s="2498"/>
    </row>
    <row r="2690" spans="16:16">
      <c r="P2690" s="2498"/>
    </row>
    <row r="2691" spans="16:16">
      <c r="P2691" s="2498"/>
    </row>
    <row r="2692" spans="16:16">
      <c r="P2692" s="2498"/>
    </row>
    <row r="2693" spans="16:16">
      <c r="P2693" s="2498"/>
    </row>
    <row r="2694" spans="16:16">
      <c r="P2694" s="2498"/>
    </row>
    <row r="2695" spans="16:16">
      <c r="P2695" s="2498"/>
    </row>
    <row r="2696" spans="16:16">
      <c r="P2696" s="2498"/>
    </row>
    <row r="2697" spans="16:16">
      <c r="P2697" s="2498"/>
    </row>
    <row r="2698" spans="16:16">
      <c r="P2698" s="2498"/>
    </row>
    <row r="2699" spans="16:16">
      <c r="P2699" s="2498"/>
    </row>
    <row r="2700" spans="16:16">
      <c r="P2700" s="2498"/>
    </row>
    <row r="2701" spans="16:16">
      <c r="P2701" s="2498"/>
    </row>
    <row r="2702" spans="16:16">
      <c r="P2702" s="2498"/>
    </row>
    <row r="2703" spans="16:16">
      <c r="P2703" s="2498"/>
    </row>
    <row r="2704" spans="16:16">
      <c r="P2704" s="2498"/>
    </row>
    <row r="2705" spans="16:16">
      <c r="P2705" s="2498"/>
    </row>
    <row r="2706" spans="16:16">
      <c r="P2706" s="2498"/>
    </row>
    <row r="2707" spans="16:16">
      <c r="P2707" s="2498"/>
    </row>
    <row r="2708" spans="16:16">
      <c r="P2708" s="2498"/>
    </row>
    <row r="2709" spans="16:16">
      <c r="P2709" s="2498"/>
    </row>
    <row r="2710" spans="16:16">
      <c r="P2710" s="2498"/>
    </row>
    <row r="2711" spans="16:16">
      <c r="P2711" s="2498"/>
    </row>
    <row r="2712" spans="16:16">
      <c r="P2712" s="2498"/>
    </row>
    <row r="2713" spans="16:16">
      <c r="P2713" s="2498"/>
    </row>
    <row r="2714" spans="16:16">
      <c r="P2714" s="2498"/>
    </row>
    <row r="2715" spans="16:16">
      <c r="P2715" s="2498"/>
    </row>
    <row r="2716" spans="16:16">
      <c r="P2716" s="2498"/>
    </row>
    <row r="2717" spans="16:16">
      <c r="P2717" s="2498"/>
    </row>
    <row r="2718" spans="16:16">
      <c r="P2718" s="2498"/>
    </row>
    <row r="2719" spans="16:16">
      <c r="P2719" s="2498"/>
    </row>
    <row r="2720" spans="16:16">
      <c r="P2720" s="2498"/>
    </row>
    <row r="2721" spans="16:16">
      <c r="P2721" s="2498"/>
    </row>
    <row r="2722" spans="16:16">
      <c r="P2722" s="2498"/>
    </row>
    <row r="2723" spans="16:16">
      <c r="P2723" s="2498"/>
    </row>
    <row r="2724" spans="16:16">
      <c r="P2724" s="2498"/>
    </row>
    <row r="2725" spans="16:16">
      <c r="P2725" s="2498"/>
    </row>
    <row r="2726" spans="16:16">
      <c r="P2726" s="2498"/>
    </row>
    <row r="2727" spans="16:16">
      <c r="P2727" s="2498"/>
    </row>
    <row r="2728" spans="16:16">
      <c r="P2728" s="2498"/>
    </row>
    <row r="2729" spans="16:16">
      <c r="P2729" s="2498"/>
    </row>
    <row r="2730" spans="16:16">
      <c r="P2730" s="2498"/>
    </row>
    <row r="2731" spans="16:16">
      <c r="P2731" s="2498"/>
    </row>
    <row r="2732" spans="16:16">
      <c r="P2732" s="2498"/>
    </row>
    <row r="2733" spans="16:16">
      <c r="P2733" s="2498"/>
    </row>
    <row r="2734" spans="16:16">
      <c r="P2734" s="2498"/>
    </row>
    <row r="2735" spans="16:16">
      <c r="P2735" s="2498"/>
    </row>
    <row r="2736" spans="16:16">
      <c r="P2736" s="2498"/>
    </row>
    <row r="2737" spans="16:16">
      <c r="P2737" s="2498"/>
    </row>
    <row r="2738" spans="16:16">
      <c r="P2738" s="2498"/>
    </row>
    <row r="2739" spans="16:16">
      <c r="P2739" s="2498"/>
    </row>
    <row r="2740" spans="16:16">
      <c r="P2740" s="2498"/>
    </row>
    <row r="2741" spans="16:16">
      <c r="P2741" s="2498"/>
    </row>
    <row r="2742" spans="16:16">
      <c r="P2742" s="2498"/>
    </row>
    <row r="2743" spans="16:16">
      <c r="P2743" s="2498"/>
    </row>
    <row r="2744" spans="16:16">
      <c r="P2744" s="2498"/>
    </row>
    <row r="2745" spans="16:16">
      <c r="P2745" s="2498"/>
    </row>
    <row r="2746" spans="16:16">
      <c r="P2746" s="2498"/>
    </row>
    <row r="2747" spans="16:16">
      <c r="P2747" s="2498"/>
    </row>
    <row r="2748" spans="16:16">
      <c r="P2748" s="2498"/>
    </row>
    <row r="2749" spans="16:16">
      <c r="P2749" s="2498"/>
    </row>
    <row r="2750" spans="16:16">
      <c r="P2750" s="2498"/>
    </row>
    <row r="2751" spans="16:16">
      <c r="P2751" s="2498"/>
    </row>
    <row r="2752" spans="16:16">
      <c r="P2752" s="2498"/>
    </row>
    <row r="2753" spans="16:16">
      <c r="P2753" s="2498"/>
    </row>
    <row r="2754" spans="16:16">
      <c r="P2754" s="2498"/>
    </row>
    <row r="2755" spans="16:16">
      <c r="P2755" s="2498"/>
    </row>
    <row r="2756" spans="16:16">
      <c r="P2756" s="2498"/>
    </row>
    <row r="2757" spans="16:16">
      <c r="P2757" s="2498"/>
    </row>
    <row r="2758" spans="16:16">
      <c r="P2758" s="2498"/>
    </row>
    <row r="2759" spans="16:16">
      <c r="P2759" s="2498"/>
    </row>
    <row r="2760" spans="16:16">
      <c r="P2760" s="2498"/>
    </row>
    <row r="2761" spans="16:16">
      <c r="P2761" s="2498"/>
    </row>
    <row r="2762" spans="16:16">
      <c r="P2762" s="2498"/>
    </row>
    <row r="2763" spans="16:16">
      <c r="P2763" s="2498"/>
    </row>
    <row r="2764" spans="16:16">
      <c r="P2764" s="2498"/>
    </row>
    <row r="2765" spans="16:16">
      <c r="P2765" s="2498"/>
    </row>
    <row r="2766" spans="16:16">
      <c r="P2766" s="2498"/>
    </row>
    <row r="2767" spans="16:16">
      <c r="P2767" s="2498"/>
    </row>
    <row r="2768" spans="16:16">
      <c r="P2768" s="2498"/>
    </row>
    <row r="2769" spans="16:16">
      <c r="P2769" s="2498"/>
    </row>
    <row r="2770" spans="16:16">
      <c r="P2770" s="2498"/>
    </row>
    <row r="2771" spans="16:16">
      <c r="P2771" s="2498"/>
    </row>
    <row r="2772" spans="16:16">
      <c r="P2772" s="2498"/>
    </row>
    <row r="2773" spans="16:16">
      <c r="P2773" s="2498"/>
    </row>
    <row r="2774" spans="16:16">
      <c r="P2774" s="2498"/>
    </row>
    <row r="2775" spans="16:16">
      <c r="P2775" s="2498"/>
    </row>
    <row r="2776" spans="16:16">
      <c r="P2776" s="2498"/>
    </row>
    <row r="2777" spans="16:16">
      <c r="P2777" s="2498"/>
    </row>
    <row r="2778" spans="16:16">
      <c r="P2778" s="2498"/>
    </row>
    <row r="2779" spans="16:16">
      <c r="P2779" s="2498"/>
    </row>
    <row r="2780" spans="16:16">
      <c r="P2780" s="2498"/>
    </row>
    <row r="2781" spans="16:16">
      <c r="P2781" s="2498"/>
    </row>
    <row r="2782" spans="16:16">
      <c r="P2782" s="2498"/>
    </row>
    <row r="2783" spans="16:16">
      <c r="P2783" s="2498"/>
    </row>
    <row r="2784" spans="16:16">
      <c r="P2784" s="2498"/>
    </row>
    <row r="2785" spans="16:16">
      <c r="P2785" s="2498"/>
    </row>
    <row r="2786" spans="16:16">
      <c r="P2786" s="2498"/>
    </row>
    <row r="2787" spans="16:16">
      <c r="P2787" s="2498"/>
    </row>
    <row r="2788" spans="16:16">
      <c r="P2788" s="2498"/>
    </row>
    <row r="2789" spans="16:16">
      <c r="P2789" s="2498"/>
    </row>
    <row r="2790" spans="16:16">
      <c r="P2790" s="2498"/>
    </row>
    <row r="2791" spans="16:16">
      <c r="P2791" s="2498"/>
    </row>
    <row r="2792" spans="16:16">
      <c r="P2792" s="2498"/>
    </row>
    <row r="2793" spans="16:16">
      <c r="P2793" s="2498"/>
    </row>
    <row r="2794" spans="16:16">
      <c r="P2794" s="2498"/>
    </row>
    <row r="2795" spans="16:16">
      <c r="P2795" s="2498"/>
    </row>
    <row r="2796" spans="16:16">
      <c r="P2796" s="2498"/>
    </row>
    <row r="2797" spans="16:16">
      <c r="P2797" s="2498"/>
    </row>
    <row r="2798" spans="16:16">
      <c r="P2798" s="2498"/>
    </row>
    <row r="2799" spans="16:16">
      <c r="P2799" s="2498"/>
    </row>
    <row r="2800" spans="16:16">
      <c r="P2800" s="2498"/>
    </row>
    <row r="2801" spans="16:16">
      <c r="P2801" s="2498"/>
    </row>
    <row r="2802" spans="16:16">
      <c r="P2802" s="2498"/>
    </row>
    <row r="2803" spans="16:16">
      <c r="P2803" s="2498"/>
    </row>
    <row r="2804" spans="16:16">
      <c r="P2804" s="2498"/>
    </row>
    <row r="2805" spans="16:16">
      <c r="P2805" s="2498"/>
    </row>
    <row r="2806" spans="16:16">
      <c r="P2806" s="2498"/>
    </row>
    <row r="2807" spans="16:16">
      <c r="P2807" s="2498"/>
    </row>
    <row r="2808" spans="16:16">
      <c r="P2808" s="2498"/>
    </row>
    <row r="2809" spans="16:16">
      <c r="P2809" s="2498"/>
    </row>
    <row r="2810" spans="16:16">
      <c r="P2810" s="2498"/>
    </row>
    <row r="2811" spans="16:16">
      <c r="P2811" s="2498"/>
    </row>
    <row r="2812" spans="16:16">
      <c r="P2812" s="2498"/>
    </row>
    <row r="2813" spans="16:16">
      <c r="P2813" s="2498"/>
    </row>
    <row r="2814" spans="16:16">
      <c r="P2814" s="2498"/>
    </row>
    <row r="2815" spans="16:16">
      <c r="P2815" s="2498"/>
    </row>
    <row r="2816" spans="16:16">
      <c r="P2816" s="2498"/>
    </row>
    <row r="2817" spans="16:16">
      <c r="P2817" s="2498"/>
    </row>
    <row r="2818" spans="16:16">
      <c r="P2818" s="2498"/>
    </row>
    <row r="2819" spans="16:16">
      <c r="P2819" s="2498"/>
    </row>
    <row r="2820" spans="16:16">
      <c r="P2820" s="2498"/>
    </row>
    <row r="2821" spans="16:16">
      <c r="P2821" s="2498"/>
    </row>
    <row r="2822" spans="16:16">
      <c r="P2822" s="2498"/>
    </row>
    <row r="2823" spans="16:16">
      <c r="P2823" s="2498"/>
    </row>
    <row r="2824" spans="16:16">
      <c r="P2824" s="2498"/>
    </row>
    <row r="2825" spans="16:16">
      <c r="P2825" s="2498"/>
    </row>
    <row r="2826" spans="16:16">
      <c r="P2826" s="2498"/>
    </row>
    <row r="2827" spans="16:16">
      <c r="P2827" s="2498"/>
    </row>
    <row r="2828" spans="16:16">
      <c r="P2828" s="2498"/>
    </row>
    <row r="2829" spans="16:16">
      <c r="P2829" s="2498"/>
    </row>
    <row r="2830" spans="16:16">
      <c r="P2830" s="2498"/>
    </row>
    <row r="2831" spans="16:16">
      <c r="P2831" s="2498"/>
    </row>
    <row r="2832" spans="16:16">
      <c r="P2832" s="2498"/>
    </row>
    <row r="2833" spans="16:16">
      <c r="P2833" s="2498"/>
    </row>
    <row r="2834" spans="16:16">
      <c r="P2834" s="2498"/>
    </row>
    <row r="2835" spans="16:16">
      <c r="P2835" s="2498"/>
    </row>
    <row r="2836" spans="16:16">
      <c r="P2836" s="2498"/>
    </row>
    <row r="2837" spans="16:16">
      <c r="P2837" s="2498"/>
    </row>
    <row r="2838" spans="16:16">
      <c r="P2838" s="2498"/>
    </row>
    <row r="2839" spans="16:16">
      <c r="P2839" s="2498"/>
    </row>
    <row r="2840" spans="16:16">
      <c r="P2840" s="2498"/>
    </row>
    <row r="2841" spans="16:16">
      <c r="P2841" s="2498"/>
    </row>
    <row r="2842" spans="16:16">
      <c r="P2842" s="2498"/>
    </row>
    <row r="2843" spans="16:16">
      <c r="P2843" s="2498"/>
    </row>
    <row r="2844" spans="16:16">
      <c r="P2844" s="2498"/>
    </row>
    <row r="2845" spans="16:16">
      <c r="P2845" s="2498"/>
    </row>
    <row r="2846" spans="16:16">
      <c r="P2846" s="2498"/>
    </row>
    <row r="2847" spans="16:16">
      <c r="P2847" s="2498"/>
    </row>
    <row r="2848" spans="16:16">
      <c r="P2848" s="2498"/>
    </row>
    <row r="2849" spans="16:16">
      <c r="P2849" s="2498"/>
    </row>
    <row r="2850" spans="16:16">
      <c r="P2850" s="2498"/>
    </row>
    <row r="2851" spans="16:16">
      <c r="P2851" s="2498"/>
    </row>
    <row r="2852" spans="16:16">
      <c r="P2852" s="2498"/>
    </row>
    <row r="2853" spans="16:16">
      <c r="P2853" s="2498"/>
    </row>
    <row r="2854" spans="16:16">
      <c r="P2854" s="2498"/>
    </row>
    <row r="2855" spans="16:16">
      <c r="P2855" s="2498"/>
    </row>
    <row r="2856" spans="16:16">
      <c r="P2856" s="2498"/>
    </row>
    <row r="2857" spans="16:16">
      <c r="P2857" s="2498"/>
    </row>
    <row r="2858" spans="16:16">
      <c r="P2858" s="2498"/>
    </row>
    <row r="2859" spans="16:16">
      <c r="P2859" s="2498"/>
    </row>
    <row r="2860" spans="16:16">
      <c r="P2860" s="2498"/>
    </row>
    <row r="2861" spans="16:16">
      <c r="P2861" s="2498"/>
    </row>
    <row r="2862" spans="16:16">
      <c r="P2862" s="2498"/>
    </row>
    <row r="2863" spans="16:16">
      <c r="P2863" s="2498"/>
    </row>
    <row r="2864" spans="16:16">
      <c r="P2864" s="2498"/>
    </row>
    <row r="2865" spans="16:16">
      <c r="P2865" s="2498"/>
    </row>
    <row r="2866" spans="16:16">
      <c r="P2866" s="2498"/>
    </row>
    <row r="2867" spans="16:16">
      <c r="P2867" s="2498"/>
    </row>
    <row r="2868" spans="16:16">
      <c r="P2868" s="2498"/>
    </row>
    <row r="2869" spans="16:16">
      <c r="P2869" s="2498"/>
    </row>
    <row r="2870" spans="16:16">
      <c r="P2870" s="2498"/>
    </row>
    <row r="2871" spans="16:16">
      <c r="P2871" s="2498"/>
    </row>
    <row r="2872" spans="16:16">
      <c r="P2872" s="2498"/>
    </row>
    <row r="2873" spans="16:16">
      <c r="P2873" s="2498"/>
    </row>
    <row r="2874" spans="16:16">
      <c r="P2874" s="2498"/>
    </row>
    <row r="2875" spans="16:16">
      <c r="P2875" s="2498"/>
    </row>
    <row r="2876" spans="16:16">
      <c r="P2876" s="2498"/>
    </row>
    <row r="2877" spans="16:16">
      <c r="P2877" s="2498"/>
    </row>
    <row r="2878" spans="16:16">
      <c r="P2878" s="2498"/>
    </row>
    <row r="2879" spans="16:16">
      <c r="P2879" s="2498"/>
    </row>
    <row r="2880" spans="16:16">
      <c r="P2880" s="2498"/>
    </row>
    <row r="2881" spans="16:16">
      <c r="P2881" s="2498"/>
    </row>
    <row r="2882" spans="16:16">
      <c r="P2882" s="2498"/>
    </row>
    <row r="2883" spans="16:16">
      <c r="P2883" s="2498"/>
    </row>
    <row r="2884" spans="16:16">
      <c r="P2884" s="2498"/>
    </row>
    <row r="2885" spans="16:16">
      <c r="P2885" s="2498"/>
    </row>
    <row r="2886" spans="16:16">
      <c r="P2886" s="2498"/>
    </row>
    <row r="2887" spans="16:16">
      <c r="P2887" s="2498"/>
    </row>
    <row r="2888" spans="16:16">
      <c r="P2888" s="2498"/>
    </row>
    <row r="2889" spans="16:16">
      <c r="P2889" s="2498"/>
    </row>
    <row r="2890" spans="16:16">
      <c r="P2890" s="2498"/>
    </row>
    <row r="2891" spans="16:16">
      <c r="P2891" s="2498"/>
    </row>
    <row r="2892" spans="16:16">
      <c r="P2892" s="2498"/>
    </row>
    <row r="2893" spans="16:16">
      <c r="P2893" s="2498"/>
    </row>
    <row r="2894" spans="16:16">
      <c r="P2894" s="2498"/>
    </row>
    <row r="2895" spans="16:16">
      <c r="P2895" s="2498"/>
    </row>
    <row r="2896" spans="16:16">
      <c r="P2896" s="2498"/>
    </row>
    <row r="2897" spans="16:16">
      <c r="P2897" s="2498"/>
    </row>
    <row r="2898" spans="16:16">
      <c r="P2898" s="2498"/>
    </row>
    <row r="2899" spans="16:16">
      <c r="P2899" s="2498"/>
    </row>
    <row r="2900" spans="16:16">
      <c r="P2900" s="2498"/>
    </row>
    <row r="2901" spans="16:16">
      <c r="P2901" s="2498"/>
    </row>
    <row r="2902" spans="16:16">
      <c r="P2902" s="2498"/>
    </row>
    <row r="2903" spans="16:16">
      <c r="P2903" s="2498"/>
    </row>
    <row r="2904" spans="16:16">
      <c r="P2904" s="2498"/>
    </row>
    <row r="2905" spans="16:16">
      <c r="P2905" s="2498"/>
    </row>
    <row r="2906" spans="16:16">
      <c r="P2906" s="2498"/>
    </row>
    <row r="2907" spans="16:16">
      <c r="P2907" s="2498"/>
    </row>
    <row r="2908" spans="16:16">
      <c r="P2908" s="2498"/>
    </row>
    <row r="2909" spans="16:16">
      <c r="P2909" s="2498"/>
    </row>
    <row r="2910" spans="16:16">
      <c r="P2910" s="2498"/>
    </row>
    <row r="2911" spans="16:16">
      <c r="P2911" s="2498"/>
    </row>
    <row r="2912" spans="16:16">
      <c r="P2912" s="2498"/>
    </row>
    <row r="2913" spans="16:16">
      <c r="P2913" s="2498"/>
    </row>
    <row r="2914" spans="16:16">
      <c r="P2914" s="2498"/>
    </row>
    <row r="2915" spans="16:16">
      <c r="P2915" s="2498"/>
    </row>
    <row r="2916" spans="16:16">
      <c r="P2916" s="2498"/>
    </row>
    <row r="2917" spans="16:16">
      <c r="P2917" s="2498"/>
    </row>
    <row r="2918" spans="16:16">
      <c r="P2918" s="2498"/>
    </row>
    <row r="2919" spans="16:16">
      <c r="P2919" s="2498"/>
    </row>
    <row r="2920" spans="16:16">
      <c r="P2920" s="2498"/>
    </row>
    <row r="2921" spans="16:16">
      <c r="P2921" s="2498"/>
    </row>
    <row r="2922" spans="16:16">
      <c r="P2922" s="2498"/>
    </row>
    <row r="2923" spans="16:16">
      <c r="P2923" s="2498"/>
    </row>
    <row r="2924" spans="16:16">
      <c r="P2924" s="2498"/>
    </row>
    <row r="2925" spans="16:16">
      <c r="P2925" s="2498"/>
    </row>
    <row r="2926" spans="16:16">
      <c r="P2926" s="2498"/>
    </row>
    <row r="2927" spans="16:16">
      <c r="P2927" s="2498"/>
    </row>
    <row r="2928" spans="16:16">
      <c r="P2928" s="2498"/>
    </row>
    <row r="2929" spans="16:16">
      <c r="P2929" s="2498"/>
    </row>
    <row r="2930" spans="16:16">
      <c r="P2930" s="2498"/>
    </row>
    <row r="2931" spans="16:16">
      <c r="P2931" s="2498"/>
    </row>
    <row r="2932" spans="16:16">
      <c r="P2932" s="2498"/>
    </row>
    <row r="2933" spans="16:16">
      <c r="P2933" s="2498"/>
    </row>
    <row r="2934" spans="16:16">
      <c r="P2934" s="2498"/>
    </row>
    <row r="2935" spans="16:16">
      <c r="P2935" s="2498"/>
    </row>
    <row r="2936" spans="16:16">
      <c r="P2936" s="2498"/>
    </row>
    <row r="2937" spans="16:16">
      <c r="P2937" s="2498"/>
    </row>
    <row r="2938" spans="16:16">
      <c r="P2938" s="2498"/>
    </row>
    <row r="2939" spans="16:16">
      <c r="P2939" s="2498"/>
    </row>
    <row r="2940" spans="16:16">
      <c r="P2940" s="2498"/>
    </row>
    <row r="2941" spans="16:16">
      <c r="P2941" s="2498"/>
    </row>
    <row r="2942" spans="16:16">
      <c r="P2942" s="2498"/>
    </row>
    <row r="2943" spans="16:16">
      <c r="P2943" s="2498"/>
    </row>
    <row r="2944" spans="16:16">
      <c r="P2944" s="2498"/>
    </row>
    <row r="2945" spans="16:16">
      <c r="P2945" s="2498"/>
    </row>
    <row r="2946" spans="16:16">
      <c r="P2946" s="2498"/>
    </row>
    <row r="2947" spans="16:16">
      <c r="P2947" s="2498"/>
    </row>
    <row r="2948" spans="16:16">
      <c r="P2948" s="2498"/>
    </row>
    <row r="2949" spans="16:16">
      <c r="P2949" s="2498"/>
    </row>
    <row r="2950" spans="16:16">
      <c r="P2950" s="2498"/>
    </row>
    <row r="2951" spans="16:16">
      <c r="P2951" s="2498"/>
    </row>
    <row r="2952" spans="16:16">
      <c r="P2952" s="2498"/>
    </row>
    <row r="2953" spans="16:16">
      <c r="P2953" s="2498"/>
    </row>
    <row r="2954" spans="16:16">
      <c r="P2954" s="2498"/>
    </row>
    <row r="2955" spans="16:16">
      <c r="P2955" s="2498"/>
    </row>
    <row r="2956" spans="16:16">
      <c r="P2956" s="2498"/>
    </row>
    <row r="2957" spans="16:16">
      <c r="P2957" s="2498"/>
    </row>
    <row r="2958" spans="16:16">
      <c r="P2958" s="2498"/>
    </row>
    <row r="2959" spans="16:16">
      <c r="P2959" s="2498"/>
    </row>
    <row r="2960" spans="16:16">
      <c r="P2960" s="2498"/>
    </row>
    <row r="2961" spans="16:16">
      <c r="P2961" s="2498"/>
    </row>
    <row r="2962" spans="16:16">
      <c r="P2962" s="2498"/>
    </row>
    <row r="2963" spans="16:16">
      <c r="P2963" s="2498"/>
    </row>
    <row r="2964" spans="16:16">
      <c r="P2964" s="2498"/>
    </row>
    <row r="2965" spans="16:16">
      <c r="P2965" s="2498"/>
    </row>
    <row r="2966" spans="16:16">
      <c r="P2966" s="2498"/>
    </row>
    <row r="2967" spans="16:16">
      <c r="P2967" s="2498"/>
    </row>
    <row r="2968" spans="16:16">
      <c r="P2968" s="2498"/>
    </row>
    <row r="2969" spans="16:16">
      <c r="P2969" s="2498"/>
    </row>
    <row r="2970" spans="16:16">
      <c r="P2970" s="2498"/>
    </row>
    <row r="2971" spans="16:16">
      <c r="P2971" s="2498"/>
    </row>
    <row r="2972" spans="16:16">
      <c r="P2972" s="2498"/>
    </row>
    <row r="2973" spans="16:16">
      <c r="P2973" s="2498"/>
    </row>
    <row r="2974" spans="16:16">
      <c r="P2974" s="2498"/>
    </row>
    <row r="2975" spans="16:16">
      <c r="P2975" s="2498"/>
    </row>
    <row r="2976" spans="16:16">
      <c r="P2976" s="2498"/>
    </row>
    <row r="2977" spans="16:16">
      <c r="P2977" s="2498"/>
    </row>
    <row r="2978" spans="16:16">
      <c r="P2978" s="2498"/>
    </row>
    <row r="2979" spans="16:16">
      <c r="P2979" s="2498"/>
    </row>
    <row r="2980" spans="16:16">
      <c r="P2980" s="2498"/>
    </row>
    <row r="2981" spans="16:16">
      <c r="P2981" s="2498"/>
    </row>
    <row r="2982" spans="16:16">
      <c r="P2982" s="2498"/>
    </row>
    <row r="2983" spans="16:16">
      <c r="P2983" s="2498"/>
    </row>
    <row r="2984" spans="16:16">
      <c r="P2984" s="2498"/>
    </row>
    <row r="2985" spans="16:16">
      <c r="P2985" s="2498"/>
    </row>
    <row r="2986" spans="16:16">
      <c r="P2986" s="2498"/>
    </row>
    <row r="2987" spans="16:16">
      <c r="P2987" s="2498"/>
    </row>
    <row r="2988" spans="16:16">
      <c r="P2988" s="2498"/>
    </row>
    <row r="2989" spans="16:16">
      <c r="P2989" s="2498"/>
    </row>
    <row r="2990" spans="16:16">
      <c r="P2990" s="2498"/>
    </row>
    <row r="2991" spans="16:16">
      <c r="P2991" s="2498"/>
    </row>
    <row r="2992" spans="16:16">
      <c r="P2992" s="2498"/>
    </row>
    <row r="2993" spans="16:16">
      <c r="P2993" s="2498"/>
    </row>
    <row r="2994" spans="16:16">
      <c r="P2994" s="2498"/>
    </row>
    <row r="2995" spans="16:16">
      <c r="P2995" s="2498"/>
    </row>
    <row r="2996" spans="16:16">
      <c r="P2996" s="2498"/>
    </row>
    <row r="2997" spans="16:16">
      <c r="P2997" s="2498"/>
    </row>
    <row r="2998" spans="16:16">
      <c r="P2998" s="2498"/>
    </row>
    <row r="2999" spans="16:16">
      <c r="P2999" s="2498"/>
    </row>
    <row r="3000" spans="16:16">
      <c r="P3000" s="2498"/>
    </row>
    <row r="3001" spans="16:16">
      <c r="P3001" s="2498"/>
    </row>
    <row r="3002" spans="16:16">
      <c r="P3002" s="2498"/>
    </row>
    <row r="3003" spans="16:16">
      <c r="P3003" s="2498"/>
    </row>
    <row r="3004" spans="16:16">
      <c r="P3004" s="2498"/>
    </row>
    <row r="3005" spans="16:16">
      <c r="P3005" s="2498"/>
    </row>
    <row r="3006" spans="16:16">
      <c r="P3006" s="2498"/>
    </row>
    <row r="3007" spans="16:16">
      <c r="P3007" s="2498"/>
    </row>
    <row r="3008" spans="16:16">
      <c r="P3008" s="2498"/>
    </row>
    <row r="3009" spans="16:16">
      <c r="P3009" s="2498"/>
    </row>
    <row r="3010" spans="16:16">
      <c r="P3010" s="2498"/>
    </row>
    <row r="3011" spans="16:16">
      <c r="P3011" s="2498"/>
    </row>
    <row r="3012" spans="16:16">
      <c r="P3012" s="2498"/>
    </row>
    <row r="3013" spans="16:16">
      <c r="P3013" s="2498"/>
    </row>
    <row r="3014" spans="16:16">
      <c r="P3014" s="2498"/>
    </row>
    <row r="3015" spans="16:16">
      <c r="P3015" s="2498"/>
    </row>
    <row r="3016" spans="16:16">
      <c r="P3016" s="2498"/>
    </row>
    <row r="3017" spans="16:16">
      <c r="P3017" s="2498"/>
    </row>
    <row r="3018" spans="16:16">
      <c r="P3018" s="2498"/>
    </row>
    <row r="3019" spans="16:16">
      <c r="P3019" s="2498"/>
    </row>
    <row r="3020" spans="16:16">
      <c r="P3020" s="2498"/>
    </row>
    <row r="3021" spans="16:16">
      <c r="P3021" s="2498"/>
    </row>
    <row r="3022" spans="16:16">
      <c r="P3022" s="2498"/>
    </row>
    <row r="3023" spans="16:16">
      <c r="P3023" s="2498"/>
    </row>
    <row r="3024" spans="16:16">
      <c r="P3024" s="2498"/>
    </row>
    <row r="3025" spans="16:16">
      <c r="P3025" s="2498"/>
    </row>
    <row r="3026" spans="16:16">
      <c r="P3026" s="2498"/>
    </row>
    <row r="3027" spans="16:16">
      <c r="P3027" s="2498"/>
    </row>
    <row r="3028" spans="16:16">
      <c r="P3028" s="2498"/>
    </row>
    <row r="3029" spans="16:16">
      <c r="P3029" s="2498"/>
    </row>
    <row r="3030" spans="16:16">
      <c r="P3030" s="2498"/>
    </row>
    <row r="3031" spans="16:16">
      <c r="P3031" s="2498"/>
    </row>
    <row r="3032" spans="16:16">
      <c r="P3032" s="2498"/>
    </row>
    <row r="3033" spans="16:16">
      <c r="P3033" s="2498"/>
    </row>
    <row r="3034" spans="16:16">
      <c r="P3034" s="2498"/>
    </row>
    <row r="3035" spans="16:16">
      <c r="P3035" s="2498"/>
    </row>
    <row r="3036" spans="16:16">
      <c r="P3036" s="2498"/>
    </row>
    <row r="3037" spans="16:16">
      <c r="P3037" s="2498"/>
    </row>
    <row r="3038" spans="16:16">
      <c r="P3038" s="2498"/>
    </row>
    <row r="3039" spans="16:16">
      <c r="P3039" s="2498"/>
    </row>
    <row r="3040" spans="16:16">
      <c r="P3040" s="2498"/>
    </row>
    <row r="3041" spans="16:16">
      <c r="P3041" s="2498"/>
    </row>
    <row r="3042" spans="16:16">
      <c r="P3042" s="2498"/>
    </row>
    <row r="3043" spans="16:16">
      <c r="P3043" s="2498"/>
    </row>
    <row r="3044" spans="16:16">
      <c r="P3044" s="2498"/>
    </row>
    <row r="3045" spans="16:16">
      <c r="P3045" s="2498"/>
    </row>
    <row r="3046" spans="16:16">
      <c r="P3046" s="2498"/>
    </row>
    <row r="3047" spans="16:16">
      <c r="P3047" s="2498"/>
    </row>
    <row r="3048" spans="16:16">
      <c r="P3048" s="2498"/>
    </row>
    <row r="3049" spans="16:16">
      <c r="P3049" s="2498"/>
    </row>
    <row r="3050" spans="16:16">
      <c r="P3050" s="2498"/>
    </row>
    <row r="3051" spans="16:16">
      <c r="P3051" s="2498"/>
    </row>
    <row r="3052" spans="16:16">
      <c r="P3052" s="2498"/>
    </row>
    <row r="3053" spans="16:16">
      <c r="P3053" s="2498"/>
    </row>
    <row r="3054" spans="16:16">
      <c r="P3054" s="2498"/>
    </row>
    <row r="3055" spans="16:16">
      <c r="P3055" s="2498"/>
    </row>
    <row r="3056" spans="16:16">
      <c r="P3056" s="2498"/>
    </row>
    <row r="3057" spans="16:16">
      <c r="P3057" s="2498"/>
    </row>
    <row r="3058" spans="16:16">
      <c r="P3058" s="2498"/>
    </row>
    <row r="3059" spans="16:16">
      <c r="P3059" s="2498"/>
    </row>
    <row r="3060" spans="16:16">
      <c r="P3060" s="2498"/>
    </row>
    <row r="3061" spans="16:16">
      <c r="P3061" s="2498"/>
    </row>
    <row r="3062" spans="16:16">
      <c r="P3062" s="2498"/>
    </row>
    <row r="3063" spans="16:16">
      <c r="P3063" s="2498"/>
    </row>
    <row r="3064" spans="16:16">
      <c r="P3064" s="2498"/>
    </row>
    <row r="3065" spans="16:16">
      <c r="P3065" s="2498"/>
    </row>
    <row r="3066" spans="16:16">
      <c r="P3066" s="2498"/>
    </row>
    <row r="3067" spans="16:16">
      <c r="P3067" s="2498"/>
    </row>
    <row r="3068" spans="16:16">
      <c r="P3068" s="2498"/>
    </row>
    <row r="3069" spans="16:16">
      <c r="P3069" s="2498"/>
    </row>
    <row r="3070" spans="16:16">
      <c r="P3070" s="2498"/>
    </row>
    <row r="3071" spans="16:16">
      <c r="P3071" s="2498"/>
    </row>
    <row r="3072" spans="16:16">
      <c r="P3072" s="2498"/>
    </row>
    <row r="3073" spans="16:16">
      <c r="P3073" s="2498"/>
    </row>
    <row r="3074" spans="16:16">
      <c r="P3074" s="2498"/>
    </row>
    <row r="3075" spans="16:16">
      <c r="P3075" s="2498"/>
    </row>
    <row r="3076" spans="16:16">
      <c r="P3076" s="2498"/>
    </row>
    <row r="3077" spans="16:16">
      <c r="P3077" s="2498"/>
    </row>
    <row r="3078" spans="16:16">
      <c r="P3078" s="2498"/>
    </row>
    <row r="3079" spans="16:16">
      <c r="P3079" s="2498"/>
    </row>
    <row r="3080" spans="16:16">
      <c r="P3080" s="2498"/>
    </row>
    <row r="3081" spans="16:16">
      <c r="P3081" s="2498"/>
    </row>
    <row r="3082" spans="16:16">
      <c r="P3082" s="2498"/>
    </row>
    <row r="3083" spans="16:16">
      <c r="P3083" s="2498"/>
    </row>
    <row r="3084" spans="16:16">
      <c r="P3084" s="2498"/>
    </row>
    <row r="3085" spans="16:16">
      <c r="P3085" s="2498"/>
    </row>
    <row r="3086" spans="16:16">
      <c r="P3086" s="2498"/>
    </row>
    <row r="3087" spans="16:16">
      <c r="P3087" s="2498"/>
    </row>
    <row r="3088" spans="16:16">
      <c r="P3088" s="2498"/>
    </row>
    <row r="3089" spans="16:16">
      <c r="P3089" s="2498"/>
    </row>
    <row r="3090" spans="16:16">
      <c r="P3090" s="2498"/>
    </row>
    <row r="3091" spans="16:16">
      <c r="P3091" s="2498"/>
    </row>
    <row r="3092" spans="16:16">
      <c r="P3092" s="2498"/>
    </row>
    <row r="3093" spans="16:16">
      <c r="P3093" s="2498"/>
    </row>
    <row r="3094" spans="16:16">
      <c r="P3094" s="2498"/>
    </row>
    <row r="3095" spans="16:16">
      <c r="P3095" s="2498"/>
    </row>
    <row r="3096" spans="16:16">
      <c r="P3096" s="2498"/>
    </row>
    <row r="3097" spans="16:16">
      <c r="P3097" s="2498"/>
    </row>
    <row r="3098" spans="16:16">
      <c r="P3098" s="2498"/>
    </row>
    <row r="3099" spans="16:16">
      <c r="P3099" s="2498"/>
    </row>
    <row r="3100" spans="16:16">
      <c r="P3100" s="2498"/>
    </row>
    <row r="3101" spans="16:16">
      <c r="P3101" s="2498"/>
    </row>
    <row r="3102" spans="16:16">
      <c r="P3102" s="2498"/>
    </row>
    <row r="3103" spans="16:16">
      <c r="P3103" s="2498"/>
    </row>
    <row r="3104" spans="16:16">
      <c r="P3104" s="2498"/>
    </row>
    <row r="3105" spans="16:16">
      <c r="P3105" s="2498"/>
    </row>
    <row r="3106" spans="16:16">
      <c r="P3106" s="2498"/>
    </row>
    <row r="3107" spans="16:16">
      <c r="P3107" s="2498"/>
    </row>
    <row r="3108" spans="16:16">
      <c r="P3108" s="2498"/>
    </row>
    <row r="3109" spans="16:16">
      <c r="P3109" s="2498"/>
    </row>
    <row r="3110" spans="16:16">
      <c r="P3110" s="2498"/>
    </row>
    <row r="3111" spans="16:16">
      <c r="P3111" s="2498"/>
    </row>
    <row r="3112" spans="16:16">
      <c r="P3112" s="2498"/>
    </row>
    <row r="3113" spans="16:16">
      <c r="P3113" s="2498"/>
    </row>
    <row r="3114" spans="16:16">
      <c r="P3114" s="2498"/>
    </row>
    <row r="3115" spans="16:16">
      <c r="P3115" s="2498"/>
    </row>
    <row r="3116" spans="16:16">
      <c r="P3116" s="2498"/>
    </row>
    <row r="3117" spans="16:16">
      <c r="P3117" s="2498"/>
    </row>
    <row r="3118" spans="16:16">
      <c r="P3118" s="2498"/>
    </row>
    <row r="3119" spans="16:16">
      <c r="P3119" s="2498"/>
    </row>
    <row r="3120" spans="16:16">
      <c r="P3120" s="2498"/>
    </row>
    <row r="3121" spans="16:16">
      <c r="P3121" s="2498"/>
    </row>
    <row r="3122" spans="16:16">
      <c r="P3122" s="2498"/>
    </row>
    <row r="3123" spans="16:16">
      <c r="P3123" s="2498"/>
    </row>
    <row r="3124" spans="16:16">
      <c r="P3124" s="2498"/>
    </row>
    <row r="3125" spans="16:16">
      <c r="P3125" s="2498"/>
    </row>
    <row r="3126" spans="16:16">
      <c r="P3126" s="2498"/>
    </row>
    <row r="3127" spans="16:16">
      <c r="P3127" s="2498"/>
    </row>
    <row r="3128" spans="16:16">
      <c r="P3128" s="2498"/>
    </row>
    <row r="3129" spans="16:16">
      <c r="P3129" s="2498"/>
    </row>
    <row r="3130" spans="16:16">
      <c r="P3130" s="2498"/>
    </row>
    <row r="3131" spans="16:16">
      <c r="P3131" s="2498"/>
    </row>
    <row r="3132" spans="16:16">
      <c r="P3132" s="2498"/>
    </row>
    <row r="3133" spans="16:16">
      <c r="P3133" s="2498"/>
    </row>
    <row r="3134" spans="16:16">
      <c r="P3134" s="2498"/>
    </row>
    <row r="3135" spans="16:16">
      <c r="P3135" s="2498"/>
    </row>
    <row r="3136" spans="16:16">
      <c r="P3136" s="2498"/>
    </row>
    <row r="3137" spans="16:16">
      <c r="P3137" s="2498"/>
    </row>
    <row r="3138" spans="16:16">
      <c r="P3138" s="2498"/>
    </row>
    <row r="3139" spans="16:16">
      <c r="P3139" s="2498"/>
    </row>
    <row r="3140" spans="16:16">
      <c r="P3140" s="2498"/>
    </row>
    <row r="3141" spans="16:16">
      <c r="P3141" s="2498"/>
    </row>
    <row r="3142" spans="16:16">
      <c r="P3142" s="2498"/>
    </row>
    <row r="3143" spans="16:16">
      <c r="P3143" s="2498"/>
    </row>
    <row r="3144" spans="16:16">
      <c r="P3144" s="2498"/>
    </row>
    <row r="3145" spans="16:16">
      <c r="P3145" s="2498"/>
    </row>
    <row r="3146" spans="16:16">
      <c r="P3146" s="2498"/>
    </row>
    <row r="3147" spans="16:16">
      <c r="P3147" s="2498"/>
    </row>
    <row r="3148" spans="16:16">
      <c r="P3148" s="2498"/>
    </row>
    <row r="3149" spans="16:16">
      <c r="P3149" s="2498"/>
    </row>
    <row r="3150" spans="16:16">
      <c r="P3150" s="2498"/>
    </row>
    <row r="3151" spans="16:16">
      <c r="P3151" s="2498"/>
    </row>
    <row r="3152" spans="16:16">
      <c r="P3152" s="2498"/>
    </row>
    <row r="3153" spans="16:16">
      <c r="P3153" s="2498"/>
    </row>
    <row r="3154" spans="16:16">
      <c r="P3154" s="2498"/>
    </row>
    <row r="3155" spans="16:16">
      <c r="P3155" s="2498"/>
    </row>
    <row r="3156" spans="16:16">
      <c r="P3156" s="2498"/>
    </row>
    <row r="3157" spans="16:16">
      <c r="P3157" s="2498"/>
    </row>
    <row r="3158" spans="16:16">
      <c r="P3158" s="2498"/>
    </row>
    <row r="3159" spans="16:16">
      <c r="P3159" s="2498"/>
    </row>
    <row r="3160" spans="16:16">
      <c r="P3160" s="2498"/>
    </row>
    <row r="3161" spans="16:16">
      <c r="P3161" s="2498"/>
    </row>
    <row r="3162" spans="16:16">
      <c r="P3162" s="2498"/>
    </row>
    <row r="3163" spans="16:16">
      <c r="P3163" s="2498"/>
    </row>
    <row r="3164" spans="16:16">
      <c r="P3164" s="2498"/>
    </row>
    <row r="3165" spans="16:16">
      <c r="P3165" s="2498"/>
    </row>
    <row r="3166" spans="16:16">
      <c r="P3166" s="2498"/>
    </row>
    <row r="3167" spans="16:16">
      <c r="P3167" s="2498"/>
    </row>
    <row r="3168" spans="16:16">
      <c r="P3168" s="2498"/>
    </row>
    <row r="3169" spans="16:16">
      <c r="P3169" s="2498"/>
    </row>
    <row r="3170" spans="16:16">
      <c r="P3170" s="2498"/>
    </row>
    <row r="3171" spans="16:16">
      <c r="P3171" s="2498"/>
    </row>
    <row r="3172" spans="16:16">
      <c r="P3172" s="2498"/>
    </row>
    <row r="3173" spans="16:16">
      <c r="P3173" s="2498"/>
    </row>
    <row r="3174" spans="16:16">
      <c r="P3174" s="2498"/>
    </row>
    <row r="3175" spans="16:16">
      <c r="P3175" s="2498"/>
    </row>
    <row r="3176" spans="16:16">
      <c r="P3176" s="2498"/>
    </row>
    <row r="3177" spans="16:16">
      <c r="P3177" s="2498"/>
    </row>
    <row r="3178" spans="16:16">
      <c r="P3178" s="2498"/>
    </row>
    <row r="3179" spans="16:16">
      <c r="P3179" s="2498"/>
    </row>
    <row r="3180" spans="16:16">
      <c r="P3180" s="2498"/>
    </row>
    <row r="3181" spans="16:16">
      <c r="P3181" s="2498"/>
    </row>
    <row r="3182" spans="16:16">
      <c r="P3182" s="2498"/>
    </row>
    <row r="3183" spans="16:16">
      <c r="P3183" s="2498"/>
    </row>
    <row r="3184" spans="16:16">
      <c r="P3184" s="2498"/>
    </row>
    <row r="3185" spans="16:16">
      <c r="P3185" s="2498"/>
    </row>
    <row r="3186" spans="16:16">
      <c r="P3186" s="2498"/>
    </row>
    <row r="3187" spans="16:16">
      <c r="P3187" s="2498"/>
    </row>
    <row r="3188" spans="16:16">
      <c r="P3188" s="2498"/>
    </row>
    <row r="3189" spans="16:16">
      <c r="P3189" s="2498"/>
    </row>
    <row r="3190" spans="16:16">
      <c r="P3190" s="2498"/>
    </row>
    <row r="3191" spans="16:16">
      <c r="P3191" s="2498"/>
    </row>
    <row r="3192" spans="16:16">
      <c r="P3192" s="2498"/>
    </row>
    <row r="3193" spans="16:16">
      <c r="P3193" s="2498"/>
    </row>
    <row r="3194" spans="16:16">
      <c r="P3194" s="2498"/>
    </row>
    <row r="3195" spans="16:16">
      <c r="P3195" s="2498"/>
    </row>
    <row r="3196" spans="16:16">
      <c r="P3196" s="2498"/>
    </row>
    <row r="3197" spans="16:16">
      <c r="P3197" s="2498"/>
    </row>
    <row r="3198" spans="16:16">
      <c r="P3198" s="2498"/>
    </row>
    <row r="3199" spans="16:16">
      <c r="P3199" s="2498"/>
    </row>
    <row r="3200" spans="16:16">
      <c r="P3200" s="2498"/>
    </row>
    <row r="3201" spans="16:16">
      <c r="P3201" s="2498"/>
    </row>
    <row r="3202" spans="16:16">
      <c r="P3202" s="2498"/>
    </row>
    <row r="3203" spans="16:16">
      <c r="P3203" s="2498"/>
    </row>
    <row r="3204" spans="16:16">
      <c r="P3204" s="2498"/>
    </row>
    <row r="3205" spans="16:16">
      <c r="P3205" s="2498"/>
    </row>
    <row r="3206" spans="16:16">
      <c r="P3206" s="2498"/>
    </row>
    <row r="3207" spans="16:16">
      <c r="P3207" s="2498"/>
    </row>
    <row r="3208" spans="16:16">
      <c r="P3208" s="2498"/>
    </row>
    <row r="3209" spans="16:16">
      <c r="P3209" s="2498"/>
    </row>
    <row r="3210" spans="16:16">
      <c r="P3210" s="2498"/>
    </row>
    <row r="3211" spans="16:16">
      <c r="P3211" s="2498"/>
    </row>
    <row r="3212" spans="16:16">
      <c r="P3212" s="2498"/>
    </row>
    <row r="3213" spans="16:16">
      <c r="P3213" s="2498"/>
    </row>
    <row r="3214" spans="16:16">
      <c r="P3214" s="2498"/>
    </row>
    <row r="3215" spans="16:16">
      <c r="P3215" s="2498"/>
    </row>
    <row r="3216" spans="16:16">
      <c r="P3216" s="2498"/>
    </row>
    <row r="3217" spans="16:16">
      <c r="P3217" s="2498"/>
    </row>
    <row r="3218" spans="16:16">
      <c r="P3218" s="2498"/>
    </row>
    <row r="3219" spans="16:16">
      <c r="P3219" s="2498"/>
    </row>
    <row r="3220" spans="16:16">
      <c r="P3220" s="2498"/>
    </row>
    <row r="3221" spans="16:16">
      <c r="P3221" s="2498"/>
    </row>
    <row r="3222" spans="16:16">
      <c r="P3222" s="2498"/>
    </row>
    <row r="3223" spans="16:16">
      <c r="P3223" s="2498"/>
    </row>
    <row r="3224" spans="16:16">
      <c r="P3224" s="2498"/>
    </row>
    <row r="3225" spans="16:16">
      <c r="P3225" s="2498"/>
    </row>
    <row r="3226" spans="16:16">
      <c r="P3226" s="2498"/>
    </row>
    <row r="3227" spans="16:16">
      <c r="P3227" s="2498"/>
    </row>
    <row r="3228" spans="16:16">
      <c r="P3228" s="2498"/>
    </row>
    <row r="3229" spans="16:16">
      <c r="P3229" s="2498"/>
    </row>
    <row r="3230" spans="16:16">
      <c r="P3230" s="2498"/>
    </row>
    <row r="3231" spans="16:16">
      <c r="P3231" s="2498"/>
    </row>
    <row r="3232" spans="16:16">
      <c r="P3232" s="2498"/>
    </row>
    <row r="3233" spans="16:16">
      <c r="P3233" s="2498"/>
    </row>
    <row r="3234" spans="16:16">
      <c r="P3234" s="2498"/>
    </row>
    <row r="3235" spans="16:16">
      <c r="P3235" s="2498"/>
    </row>
    <row r="3236" spans="16:16">
      <c r="P3236" s="2498"/>
    </row>
    <row r="3237" spans="16:16">
      <c r="P3237" s="2498"/>
    </row>
    <row r="3238" spans="16:16">
      <c r="P3238" s="2498"/>
    </row>
    <row r="3239" spans="16:16">
      <c r="P3239" s="2498"/>
    </row>
    <row r="3240" spans="16:16">
      <c r="P3240" s="2498"/>
    </row>
    <row r="3241" spans="16:16">
      <c r="P3241" s="2498"/>
    </row>
    <row r="3242" spans="16:16">
      <c r="P3242" s="2498"/>
    </row>
    <row r="3243" spans="16:16">
      <c r="P3243" s="2498"/>
    </row>
    <row r="3244" spans="16:16">
      <c r="P3244" s="2498"/>
    </row>
    <row r="3245" spans="16:16">
      <c r="P3245" s="2498"/>
    </row>
    <row r="3246" spans="16:16">
      <c r="P3246" s="2498"/>
    </row>
    <row r="3247" spans="16:16">
      <c r="P3247" s="2498"/>
    </row>
    <row r="3248" spans="16:16">
      <c r="P3248" s="2498"/>
    </row>
    <row r="3249" spans="16:16">
      <c r="P3249" s="2498"/>
    </row>
    <row r="3250" spans="16:16">
      <c r="P3250" s="2498"/>
    </row>
    <row r="3251" spans="16:16">
      <c r="P3251" s="2498"/>
    </row>
    <row r="3252" spans="16:16">
      <c r="P3252" s="2498"/>
    </row>
    <row r="3253" spans="16:16">
      <c r="P3253" s="2498"/>
    </row>
    <row r="3254" spans="16:16">
      <c r="P3254" s="2498"/>
    </row>
    <row r="3255" spans="16:16">
      <c r="P3255" s="2498"/>
    </row>
    <row r="3256" spans="16:16">
      <c r="P3256" s="2498"/>
    </row>
    <row r="3257" spans="16:16">
      <c r="P3257" s="2498"/>
    </row>
    <row r="3258" spans="16:16">
      <c r="P3258" s="2498"/>
    </row>
    <row r="3259" spans="16:16">
      <c r="P3259" s="2498"/>
    </row>
    <row r="3260" spans="16:16">
      <c r="P3260" s="2498"/>
    </row>
    <row r="3261" spans="16:16">
      <c r="P3261" s="2498"/>
    </row>
    <row r="3262" spans="16:16">
      <c r="P3262" s="2498"/>
    </row>
    <row r="3263" spans="16:16">
      <c r="P3263" s="2498"/>
    </row>
    <row r="3264" spans="16:16">
      <c r="P3264" s="2498"/>
    </row>
    <row r="3265" spans="16:16">
      <c r="P3265" s="2498"/>
    </row>
    <row r="3266" spans="16:16">
      <c r="P3266" s="2498"/>
    </row>
    <row r="3267" spans="16:16">
      <c r="P3267" s="2498"/>
    </row>
    <row r="3268" spans="16:16">
      <c r="P3268" s="2498"/>
    </row>
    <row r="3269" spans="16:16">
      <c r="P3269" s="2498"/>
    </row>
    <row r="3270" spans="16:16">
      <c r="P3270" s="2498"/>
    </row>
    <row r="3271" spans="16:16">
      <c r="P3271" s="2498"/>
    </row>
    <row r="3272" spans="16:16">
      <c r="P3272" s="2498"/>
    </row>
    <row r="3273" spans="16:16">
      <c r="P3273" s="2498"/>
    </row>
    <row r="3274" spans="16:16">
      <c r="P3274" s="2498"/>
    </row>
    <row r="3275" spans="16:16">
      <c r="P3275" s="2498"/>
    </row>
    <row r="3276" spans="16:16">
      <c r="P3276" s="2498"/>
    </row>
    <row r="3277" spans="16:16">
      <c r="P3277" s="2498"/>
    </row>
    <row r="3278" spans="16:16">
      <c r="P3278" s="2498"/>
    </row>
    <row r="3279" spans="16:16">
      <c r="P3279" s="2498"/>
    </row>
    <row r="3280" spans="16:16">
      <c r="P3280" s="2498"/>
    </row>
    <row r="3281" spans="16:16">
      <c r="P3281" s="2498"/>
    </row>
    <row r="3282" spans="16:16">
      <c r="P3282" s="2498"/>
    </row>
    <row r="3283" spans="16:16">
      <c r="P3283" s="2498"/>
    </row>
    <row r="3284" spans="16:16">
      <c r="P3284" s="2498"/>
    </row>
    <row r="3285" spans="16:16">
      <c r="P3285" s="2498"/>
    </row>
    <row r="3286" spans="16:16">
      <c r="P3286" s="2498"/>
    </row>
    <row r="3287" spans="16:16">
      <c r="P3287" s="2498"/>
    </row>
    <row r="3288" spans="16:16">
      <c r="P3288" s="2498"/>
    </row>
    <row r="3289" spans="16:16">
      <c r="P3289" s="2498"/>
    </row>
    <row r="3290" spans="16:16">
      <c r="P3290" s="2498"/>
    </row>
    <row r="3291" spans="16:16">
      <c r="P3291" s="2498"/>
    </row>
    <row r="3292" spans="16:16">
      <c r="P3292" s="2498"/>
    </row>
    <row r="3293" spans="16:16">
      <c r="P3293" s="2498"/>
    </row>
    <row r="3294" spans="16:16">
      <c r="P3294" s="2498"/>
    </row>
    <row r="3295" spans="16:16">
      <c r="P3295" s="2498"/>
    </row>
    <row r="3296" spans="16:16">
      <c r="P3296" s="2498"/>
    </row>
    <row r="3297" spans="16:16">
      <c r="P3297" s="2498"/>
    </row>
    <row r="3298" spans="16:16">
      <c r="P3298" s="2498"/>
    </row>
    <row r="3299" spans="16:16">
      <c r="P3299" s="2498"/>
    </row>
    <row r="3300" spans="16:16">
      <c r="P3300" s="2498"/>
    </row>
    <row r="3301" spans="16:16">
      <c r="P3301" s="2498"/>
    </row>
    <row r="3302" spans="16:16">
      <c r="P3302" s="2498"/>
    </row>
    <row r="3303" spans="16:16">
      <c r="P3303" s="2498"/>
    </row>
    <row r="3304" spans="16:16">
      <c r="P3304" s="2498"/>
    </row>
    <row r="3305" spans="16:16">
      <c r="P3305" s="2498"/>
    </row>
    <row r="3306" spans="16:16">
      <c r="P3306" s="2498"/>
    </row>
    <row r="3307" spans="16:16">
      <c r="P3307" s="2498"/>
    </row>
    <row r="3308" spans="16:16">
      <c r="P3308" s="2498"/>
    </row>
    <row r="3309" spans="16:16">
      <c r="P3309" s="2498"/>
    </row>
    <row r="3310" spans="16:16">
      <c r="P3310" s="2498"/>
    </row>
    <row r="3311" spans="16:16">
      <c r="P3311" s="2498"/>
    </row>
    <row r="3312" spans="16:16">
      <c r="P3312" s="2498"/>
    </row>
    <row r="3313" spans="16:16">
      <c r="P3313" s="2498"/>
    </row>
    <row r="3314" spans="16:16">
      <c r="P3314" s="2498"/>
    </row>
    <row r="3315" spans="16:16">
      <c r="P3315" s="2498"/>
    </row>
    <row r="3316" spans="16:16">
      <c r="P3316" s="2498"/>
    </row>
    <row r="3317" spans="16:16">
      <c r="P3317" s="2498"/>
    </row>
    <row r="3318" spans="16:16">
      <c r="P3318" s="2498"/>
    </row>
    <row r="3319" spans="16:16">
      <c r="P3319" s="2498"/>
    </row>
    <row r="3320" spans="16:16">
      <c r="P3320" s="2498"/>
    </row>
    <row r="3321" spans="16:16">
      <c r="P3321" s="2498"/>
    </row>
    <row r="3322" spans="16:16">
      <c r="P3322" s="2498"/>
    </row>
    <row r="3323" spans="16:16">
      <c r="P3323" s="2498"/>
    </row>
    <row r="3324" spans="16:16">
      <c r="P3324" s="2498"/>
    </row>
    <row r="3325" spans="16:16">
      <c r="P3325" s="2498"/>
    </row>
    <row r="3326" spans="16:16">
      <c r="P3326" s="2498"/>
    </row>
    <row r="3327" spans="16:16">
      <c r="P3327" s="2498"/>
    </row>
    <row r="3328" spans="16:16">
      <c r="P3328" s="2498"/>
    </row>
    <row r="3329" spans="16:16">
      <c r="P3329" s="2498"/>
    </row>
    <row r="3330" spans="16:16">
      <c r="P3330" s="2498"/>
    </row>
    <row r="3331" spans="16:16">
      <c r="P3331" s="2498"/>
    </row>
    <row r="3332" spans="16:16">
      <c r="P3332" s="2498"/>
    </row>
    <row r="3333" spans="16:16">
      <c r="P3333" s="2498"/>
    </row>
    <row r="3334" spans="16:16">
      <c r="P3334" s="2498"/>
    </row>
    <row r="3335" spans="16:16">
      <c r="P3335" s="2498"/>
    </row>
    <row r="3336" spans="16:16">
      <c r="P3336" s="2498"/>
    </row>
    <row r="3337" spans="16:16">
      <c r="P3337" s="2498"/>
    </row>
    <row r="3338" spans="16:16">
      <c r="P3338" s="2498"/>
    </row>
    <row r="3339" spans="16:16">
      <c r="P3339" s="2498"/>
    </row>
    <row r="3340" spans="16:16">
      <c r="P3340" s="2498"/>
    </row>
    <row r="3341" spans="16:16">
      <c r="P3341" s="2498"/>
    </row>
    <row r="3342" spans="16:16">
      <c r="P3342" s="2498"/>
    </row>
    <row r="3343" spans="16:16">
      <c r="P3343" s="2498"/>
    </row>
    <row r="3344" spans="16:16">
      <c r="P3344" s="2498"/>
    </row>
    <row r="3345" spans="16:16">
      <c r="P3345" s="2498"/>
    </row>
    <row r="3346" spans="16:16">
      <c r="P3346" s="2498"/>
    </row>
    <row r="3347" spans="16:16">
      <c r="P3347" s="2498"/>
    </row>
    <row r="3348" spans="16:16">
      <c r="P3348" s="2498"/>
    </row>
    <row r="3349" spans="16:16">
      <c r="P3349" s="2498"/>
    </row>
    <row r="3350" spans="16:16">
      <c r="P3350" s="2498"/>
    </row>
    <row r="3351" spans="16:16">
      <c r="P3351" s="2498"/>
    </row>
    <row r="3352" spans="16:16">
      <c r="P3352" s="2498"/>
    </row>
    <row r="3353" spans="16:16">
      <c r="P3353" s="2498"/>
    </row>
    <row r="3354" spans="16:16">
      <c r="P3354" s="2498"/>
    </row>
    <row r="3355" spans="16:16">
      <c r="P3355" s="2498"/>
    </row>
    <row r="3356" spans="16:16">
      <c r="P3356" s="2498"/>
    </row>
    <row r="3357" spans="16:16">
      <c r="P3357" s="2498"/>
    </row>
    <row r="3358" spans="16:16">
      <c r="P3358" s="2498"/>
    </row>
    <row r="3359" spans="16:16">
      <c r="P3359" s="2498"/>
    </row>
    <row r="3360" spans="16:16">
      <c r="P3360" s="2498"/>
    </row>
    <row r="3361" spans="16:16">
      <c r="P3361" s="2498"/>
    </row>
    <row r="3362" spans="16:16">
      <c r="P3362" s="2498"/>
    </row>
    <row r="3363" spans="16:16">
      <c r="P3363" s="2498"/>
    </row>
    <row r="3364" spans="16:16">
      <c r="P3364" s="2498"/>
    </row>
    <row r="3365" spans="16:16">
      <c r="P3365" s="2498"/>
    </row>
    <row r="3366" spans="16:16">
      <c r="P3366" s="2498"/>
    </row>
    <row r="3367" spans="16:16">
      <c r="P3367" s="2498"/>
    </row>
    <row r="3368" spans="16:16">
      <c r="P3368" s="2498"/>
    </row>
    <row r="3369" spans="16:16">
      <c r="P3369" s="2498"/>
    </row>
    <row r="3370" spans="16:16">
      <c r="P3370" s="2498"/>
    </row>
    <row r="3371" spans="16:16">
      <c r="P3371" s="2498"/>
    </row>
    <row r="3372" spans="16:16">
      <c r="P3372" s="2498"/>
    </row>
    <row r="3373" spans="16:16">
      <c r="P3373" s="2498"/>
    </row>
    <row r="3374" spans="16:16">
      <c r="P3374" s="2498"/>
    </row>
    <row r="3375" spans="16:16">
      <c r="P3375" s="2498"/>
    </row>
    <row r="3376" spans="16:16">
      <c r="P3376" s="2498"/>
    </row>
    <row r="3377" spans="16:16">
      <c r="P3377" s="2498"/>
    </row>
    <row r="3378" spans="16:16">
      <c r="P3378" s="2498"/>
    </row>
    <row r="3379" spans="16:16">
      <c r="P3379" s="2498"/>
    </row>
    <row r="3380" spans="16:16">
      <c r="P3380" s="2498"/>
    </row>
    <row r="3381" spans="16:16">
      <c r="P3381" s="2498"/>
    </row>
    <row r="3382" spans="16:16">
      <c r="P3382" s="2498"/>
    </row>
    <row r="3383" spans="16:16">
      <c r="P3383" s="2498"/>
    </row>
    <row r="3384" spans="16:16">
      <c r="P3384" s="2498"/>
    </row>
    <row r="3385" spans="16:16">
      <c r="P3385" s="2498"/>
    </row>
    <row r="3386" spans="16:16">
      <c r="P3386" s="2498"/>
    </row>
    <row r="3387" spans="16:16">
      <c r="P3387" s="2498"/>
    </row>
    <row r="3388" spans="16:16">
      <c r="P3388" s="2498"/>
    </row>
    <row r="3389" spans="16:16">
      <c r="P3389" s="2498"/>
    </row>
    <row r="3390" spans="16:16">
      <c r="P3390" s="2498"/>
    </row>
    <row r="3391" spans="16:16">
      <c r="P3391" s="2498"/>
    </row>
    <row r="3392" spans="16:16">
      <c r="P3392" s="2498"/>
    </row>
    <row r="3393" spans="16:16">
      <c r="P3393" s="2498"/>
    </row>
    <row r="3394" spans="16:16">
      <c r="P3394" s="2498"/>
    </row>
    <row r="3395" spans="16:16">
      <c r="P3395" s="2498"/>
    </row>
    <row r="3396" spans="16:16">
      <c r="P3396" s="2498"/>
    </row>
    <row r="3397" spans="16:16">
      <c r="P3397" s="2498"/>
    </row>
    <row r="3398" spans="16:16">
      <c r="P3398" s="2498"/>
    </row>
    <row r="3399" spans="16:16">
      <c r="P3399" s="2498"/>
    </row>
    <row r="3400" spans="16:16">
      <c r="P3400" s="2498"/>
    </row>
    <row r="3401" spans="16:16">
      <c r="P3401" s="2498"/>
    </row>
    <row r="3402" spans="16:16">
      <c r="P3402" s="2498"/>
    </row>
    <row r="3403" spans="16:16">
      <c r="P3403" s="2498"/>
    </row>
    <row r="3404" spans="16:16">
      <c r="P3404" s="2498"/>
    </row>
    <row r="3405" spans="16:16">
      <c r="P3405" s="2498"/>
    </row>
    <row r="3406" spans="16:16">
      <c r="P3406" s="2498"/>
    </row>
    <row r="3407" spans="16:16">
      <c r="P3407" s="2498"/>
    </row>
    <row r="3408" spans="16:16">
      <c r="P3408" s="2498"/>
    </row>
    <row r="3409" spans="16:16">
      <c r="P3409" s="2498"/>
    </row>
    <row r="3410" spans="16:16">
      <c r="P3410" s="2498"/>
    </row>
    <row r="3411" spans="16:16">
      <c r="P3411" s="2498"/>
    </row>
    <row r="3412" spans="16:16">
      <c r="P3412" s="2498"/>
    </row>
    <row r="3413" spans="16:16">
      <c r="P3413" s="2498"/>
    </row>
    <row r="3414" spans="16:16">
      <c r="P3414" s="2498"/>
    </row>
    <row r="3415" spans="16:16">
      <c r="P3415" s="2498"/>
    </row>
    <row r="3416" spans="16:16">
      <c r="P3416" s="2498"/>
    </row>
    <row r="3417" spans="16:16">
      <c r="P3417" s="2498"/>
    </row>
    <row r="3418" spans="16:16">
      <c r="P3418" s="2498"/>
    </row>
    <row r="3419" spans="16:16">
      <c r="P3419" s="2498"/>
    </row>
    <row r="3420" spans="16:16">
      <c r="P3420" s="2498"/>
    </row>
    <row r="3421" spans="16:16">
      <c r="P3421" s="2498"/>
    </row>
    <row r="3422" spans="16:16">
      <c r="P3422" s="2498"/>
    </row>
    <row r="3423" spans="16:16">
      <c r="P3423" s="2498"/>
    </row>
    <row r="3424" spans="16:16">
      <c r="P3424" s="2498"/>
    </row>
    <row r="3425" spans="16:16">
      <c r="P3425" s="2498"/>
    </row>
    <row r="3426" spans="16:16">
      <c r="P3426" s="2498"/>
    </row>
    <row r="3427" spans="16:16">
      <c r="P3427" s="2498"/>
    </row>
    <row r="3428" spans="16:16">
      <c r="P3428" s="2498"/>
    </row>
    <row r="3429" spans="16:16">
      <c r="P3429" s="2498"/>
    </row>
    <row r="3430" spans="16:16">
      <c r="P3430" s="2498"/>
    </row>
    <row r="3431" spans="16:16">
      <c r="P3431" s="2498"/>
    </row>
    <row r="3432" spans="16:16">
      <c r="P3432" s="2498"/>
    </row>
    <row r="3433" spans="16:16">
      <c r="P3433" s="2498"/>
    </row>
    <row r="3434" spans="16:16">
      <c r="P3434" s="2498"/>
    </row>
    <row r="3435" spans="16:16">
      <c r="P3435" s="2498"/>
    </row>
    <row r="3436" spans="16:16">
      <c r="P3436" s="2498"/>
    </row>
    <row r="3437" spans="16:16">
      <c r="P3437" s="2498"/>
    </row>
    <row r="3438" spans="16:16">
      <c r="P3438" s="2498"/>
    </row>
    <row r="3439" spans="16:16">
      <c r="P3439" s="2498"/>
    </row>
    <row r="3440" spans="16:16">
      <c r="P3440" s="2498"/>
    </row>
    <row r="3441" spans="16:16">
      <c r="P3441" s="2498"/>
    </row>
    <row r="3442" spans="16:16">
      <c r="P3442" s="2498"/>
    </row>
    <row r="3443" spans="16:16">
      <c r="P3443" s="2498"/>
    </row>
    <row r="3444" spans="16:16">
      <c r="P3444" s="2498"/>
    </row>
    <row r="3445" spans="16:16">
      <c r="P3445" s="2498"/>
    </row>
    <row r="3446" spans="16:16">
      <c r="P3446" s="2498"/>
    </row>
    <row r="3447" spans="16:16">
      <c r="P3447" s="2498"/>
    </row>
    <row r="3448" spans="16:16">
      <c r="P3448" s="2498"/>
    </row>
    <row r="3449" spans="16:16">
      <c r="P3449" s="2498"/>
    </row>
    <row r="3450" spans="16:16">
      <c r="P3450" s="2498"/>
    </row>
    <row r="3451" spans="16:16">
      <c r="P3451" s="2498"/>
    </row>
    <row r="3452" spans="16:16">
      <c r="P3452" s="2498"/>
    </row>
    <row r="3453" spans="16:16">
      <c r="P3453" s="2498"/>
    </row>
    <row r="3454" spans="16:16">
      <c r="P3454" s="2498"/>
    </row>
    <row r="3455" spans="16:16">
      <c r="P3455" s="2498"/>
    </row>
    <row r="3456" spans="16:16">
      <c r="P3456" s="2498"/>
    </row>
    <row r="3457" spans="16:16">
      <c r="P3457" s="2498"/>
    </row>
    <row r="3458" spans="16:16">
      <c r="P3458" s="2498"/>
    </row>
    <row r="3459" spans="16:16">
      <c r="P3459" s="2498"/>
    </row>
    <row r="3460" spans="16:16">
      <c r="P3460" s="2498"/>
    </row>
    <row r="3461" spans="16:16">
      <c r="P3461" s="2498"/>
    </row>
    <row r="3462" spans="16:16">
      <c r="P3462" s="2498"/>
    </row>
    <row r="3463" spans="16:16">
      <c r="P3463" s="2498"/>
    </row>
    <row r="3464" spans="16:16">
      <c r="P3464" s="2498"/>
    </row>
    <row r="3465" spans="16:16">
      <c r="P3465" s="2498"/>
    </row>
    <row r="3466" spans="16:16">
      <c r="P3466" s="2498"/>
    </row>
    <row r="3467" spans="16:16">
      <c r="P3467" s="2498"/>
    </row>
    <row r="3468" spans="16:16">
      <c r="P3468" s="2498"/>
    </row>
    <row r="3469" spans="16:16">
      <c r="P3469" s="2498"/>
    </row>
    <row r="3470" spans="16:16">
      <c r="P3470" s="2498"/>
    </row>
    <row r="3471" spans="16:16">
      <c r="P3471" s="2498"/>
    </row>
    <row r="3472" spans="16:16">
      <c r="P3472" s="2498"/>
    </row>
    <row r="3473" spans="16:16">
      <c r="P3473" s="2498"/>
    </row>
    <row r="3474" spans="16:16">
      <c r="P3474" s="2498"/>
    </row>
    <row r="3475" spans="16:16">
      <c r="P3475" s="2498"/>
    </row>
    <row r="3476" spans="16:16">
      <c r="P3476" s="2498"/>
    </row>
    <row r="3477" spans="16:16">
      <c r="P3477" s="2498"/>
    </row>
    <row r="3478" spans="16:16">
      <c r="P3478" s="2498"/>
    </row>
    <row r="3479" spans="16:16">
      <c r="P3479" s="2498"/>
    </row>
    <row r="3480" spans="16:16">
      <c r="P3480" s="2498"/>
    </row>
    <row r="3481" spans="16:16">
      <c r="P3481" s="2498"/>
    </row>
    <row r="3482" spans="16:16">
      <c r="P3482" s="2498"/>
    </row>
    <row r="3483" spans="16:16">
      <c r="P3483" s="2498"/>
    </row>
    <row r="3484" spans="16:16">
      <c r="P3484" s="2498"/>
    </row>
    <row r="3485" spans="16:16">
      <c r="P3485" s="2498"/>
    </row>
    <row r="3486" spans="16:16">
      <c r="P3486" s="2498"/>
    </row>
    <row r="3487" spans="16:16">
      <c r="P3487" s="2498"/>
    </row>
    <row r="3488" spans="16:16">
      <c r="P3488" s="2498"/>
    </row>
    <row r="3489" spans="16:16">
      <c r="P3489" s="2498"/>
    </row>
    <row r="3490" spans="16:16">
      <c r="P3490" s="2498"/>
    </row>
    <row r="3491" spans="16:16">
      <c r="P3491" s="2498"/>
    </row>
    <row r="3492" spans="16:16">
      <c r="P3492" s="2498"/>
    </row>
    <row r="3493" spans="16:16">
      <c r="P3493" s="2498"/>
    </row>
    <row r="3494" spans="16:16">
      <c r="P3494" s="2498"/>
    </row>
    <row r="3495" spans="16:16">
      <c r="P3495" s="2498"/>
    </row>
    <row r="3496" spans="16:16">
      <c r="P3496" s="2498"/>
    </row>
    <row r="3497" spans="16:16">
      <c r="P3497" s="2498"/>
    </row>
    <row r="3498" spans="16:16">
      <c r="P3498" s="2498"/>
    </row>
    <row r="3499" spans="16:16">
      <c r="P3499" s="2498"/>
    </row>
    <row r="3500" spans="16:16">
      <c r="P3500" s="2498"/>
    </row>
    <row r="3501" spans="16:16">
      <c r="P3501" s="2498"/>
    </row>
    <row r="3502" spans="16:16">
      <c r="P3502" s="2498"/>
    </row>
    <row r="3503" spans="16:16">
      <c r="P3503" s="2498"/>
    </row>
    <row r="3504" spans="16:16">
      <c r="P3504" s="2498"/>
    </row>
    <row r="3505" spans="16:16">
      <c r="P3505" s="2498"/>
    </row>
    <row r="3506" spans="16:16">
      <c r="P3506" s="2498"/>
    </row>
    <row r="3507" spans="16:16">
      <c r="P3507" s="2498"/>
    </row>
    <row r="3508" spans="16:16">
      <c r="P3508" s="2498"/>
    </row>
    <row r="3509" spans="16:16">
      <c r="P3509" s="2498"/>
    </row>
    <row r="3510" spans="16:16">
      <c r="P3510" s="2498"/>
    </row>
    <row r="3511" spans="16:16">
      <c r="P3511" s="2498"/>
    </row>
    <row r="3512" spans="16:16">
      <c r="P3512" s="2498"/>
    </row>
    <row r="3513" spans="16:16">
      <c r="P3513" s="2498"/>
    </row>
    <row r="3514" spans="16:16">
      <c r="P3514" s="2498"/>
    </row>
    <row r="3515" spans="16:16">
      <c r="P3515" s="2498"/>
    </row>
    <row r="3516" spans="16:16">
      <c r="P3516" s="2498"/>
    </row>
    <row r="3517" spans="16:16">
      <c r="P3517" s="2498"/>
    </row>
    <row r="3518" spans="16:16">
      <c r="P3518" s="2498"/>
    </row>
    <row r="3519" spans="16:16">
      <c r="P3519" s="2498"/>
    </row>
    <row r="3520" spans="16:16">
      <c r="P3520" s="2498"/>
    </row>
    <row r="3521" spans="16:16">
      <c r="P3521" s="2498"/>
    </row>
    <row r="3522" spans="16:16">
      <c r="P3522" s="2498"/>
    </row>
    <row r="3523" spans="16:16">
      <c r="P3523" s="2498"/>
    </row>
    <row r="3524" spans="16:16">
      <c r="P3524" s="2498"/>
    </row>
    <row r="3525" spans="16:16">
      <c r="P3525" s="2498"/>
    </row>
    <row r="3526" spans="16:16">
      <c r="P3526" s="2498"/>
    </row>
    <row r="3527" spans="16:16">
      <c r="P3527" s="2498"/>
    </row>
    <row r="3528" spans="16:16">
      <c r="P3528" s="2498"/>
    </row>
    <row r="3529" spans="16:16">
      <c r="P3529" s="2498"/>
    </row>
    <row r="3530" spans="16:16">
      <c r="P3530" s="2498"/>
    </row>
    <row r="3531" spans="16:16">
      <c r="P3531" s="2498"/>
    </row>
    <row r="3532" spans="16:16">
      <c r="P3532" s="2498"/>
    </row>
    <row r="3533" spans="16:16">
      <c r="P3533" s="2498"/>
    </row>
    <row r="3534" spans="16:16">
      <c r="P3534" s="2498"/>
    </row>
    <row r="3535" spans="16:16">
      <c r="P3535" s="2498"/>
    </row>
    <row r="3536" spans="16:16">
      <c r="P3536" s="2498"/>
    </row>
    <row r="3537" spans="16:16">
      <c r="P3537" s="2498"/>
    </row>
    <row r="3538" spans="16:16">
      <c r="P3538" s="2498"/>
    </row>
    <row r="3539" spans="16:16">
      <c r="P3539" s="2498"/>
    </row>
    <row r="3540" spans="16:16">
      <c r="P3540" s="2498"/>
    </row>
    <row r="3541" spans="16:16">
      <c r="P3541" s="2498"/>
    </row>
    <row r="3542" spans="16:16">
      <c r="P3542" s="2498"/>
    </row>
    <row r="3543" spans="16:16">
      <c r="P3543" s="2498"/>
    </row>
    <row r="3544" spans="16:16">
      <c r="P3544" s="2498"/>
    </row>
    <row r="3545" spans="16:16">
      <c r="P3545" s="2498"/>
    </row>
    <row r="3546" spans="16:16">
      <c r="P3546" s="2498"/>
    </row>
    <row r="3547" spans="16:16">
      <c r="P3547" s="2498"/>
    </row>
    <row r="3548" spans="16:16">
      <c r="P3548" s="2498"/>
    </row>
    <row r="3549" spans="16:16">
      <c r="P3549" s="2498"/>
    </row>
    <row r="3550" spans="16:16">
      <c r="P3550" s="2498"/>
    </row>
    <row r="3551" spans="16:16">
      <c r="P3551" s="2498"/>
    </row>
    <row r="3552" spans="16:16">
      <c r="P3552" s="2498"/>
    </row>
    <row r="3553" spans="16:16">
      <c r="P3553" s="2498"/>
    </row>
    <row r="3554" spans="16:16">
      <c r="P3554" s="2498"/>
    </row>
    <row r="3555" spans="16:16">
      <c r="P3555" s="2498"/>
    </row>
    <row r="3556" spans="16:16">
      <c r="P3556" s="2498"/>
    </row>
    <row r="3557" spans="16:16">
      <c r="P3557" s="2498"/>
    </row>
    <row r="3558" spans="16:16">
      <c r="P3558" s="2498"/>
    </row>
    <row r="3559" spans="16:16">
      <c r="P3559" s="2498"/>
    </row>
    <row r="3560" spans="16:16">
      <c r="P3560" s="2498"/>
    </row>
    <row r="3561" spans="16:16">
      <c r="P3561" s="2498"/>
    </row>
    <row r="3562" spans="16:16">
      <c r="P3562" s="2498"/>
    </row>
    <row r="3563" spans="16:16">
      <c r="P3563" s="2498"/>
    </row>
    <row r="3564" spans="16:16">
      <c r="P3564" s="2498"/>
    </row>
    <row r="3565" spans="16:16">
      <c r="P3565" s="2498"/>
    </row>
    <row r="3566" spans="16:16">
      <c r="P3566" s="2498"/>
    </row>
    <row r="3567" spans="16:16">
      <c r="P3567" s="2498"/>
    </row>
    <row r="3568" spans="16:16">
      <c r="P3568" s="2498"/>
    </row>
    <row r="3569" spans="16:16">
      <c r="P3569" s="2498"/>
    </row>
    <row r="3570" spans="16:16">
      <c r="P3570" s="2498"/>
    </row>
    <row r="3571" spans="16:16">
      <c r="P3571" s="2498"/>
    </row>
    <row r="3572" spans="16:16">
      <c r="P3572" s="2498"/>
    </row>
    <row r="3573" spans="16:16">
      <c r="P3573" s="2498"/>
    </row>
    <row r="3574" spans="16:16">
      <c r="P3574" s="2498"/>
    </row>
    <row r="3575" spans="16:16">
      <c r="P3575" s="2498"/>
    </row>
    <row r="3576" spans="16:16">
      <c r="P3576" s="2498"/>
    </row>
    <row r="3577" spans="16:16">
      <c r="P3577" s="2498"/>
    </row>
    <row r="3578" spans="16:16">
      <c r="P3578" s="2498"/>
    </row>
    <row r="3579" spans="16:16">
      <c r="P3579" s="2498"/>
    </row>
    <row r="3580" spans="16:16">
      <c r="P3580" s="2498"/>
    </row>
    <row r="3581" spans="16:16">
      <c r="P3581" s="2498"/>
    </row>
    <row r="3582" spans="16:16">
      <c r="P3582" s="2498"/>
    </row>
    <row r="3583" spans="16:16">
      <c r="P3583" s="2498"/>
    </row>
    <row r="3584" spans="16:16">
      <c r="P3584" s="2498"/>
    </row>
    <row r="3585" spans="16:16">
      <c r="P3585" s="2498"/>
    </row>
    <row r="3586" spans="16:16">
      <c r="P3586" s="2498"/>
    </row>
    <row r="3587" spans="16:16">
      <c r="P3587" s="2498"/>
    </row>
    <row r="3588" spans="16:16">
      <c r="P3588" s="2498"/>
    </row>
    <row r="3589" spans="16:16">
      <c r="P3589" s="2498"/>
    </row>
    <row r="3590" spans="16:16">
      <c r="P3590" s="2498"/>
    </row>
    <row r="3591" spans="16:16">
      <c r="P3591" s="2498"/>
    </row>
    <row r="3592" spans="16:16">
      <c r="P3592" s="2498"/>
    </row>
    <row r="3593" spans="16:16">
      <c r="P3593" s="2498"/>
    </row>
    <row r="3594" spans="16:16">
      <c r="P3594" s="2498"/>
    </row>
    <row r="3595" spans="16:16">
      <c r="P3595" s="2498"/>
    </row>
    <row r="3596" spans="16:16">
      <c r="P3596" s="2498"/>
    </row>
    <row r="3597" spans="16:16">
      <c r="P3597" s="2498"/>
    </row>
    <row r="3598" spans="16:16">
      <c r="P3598" s="2498"/>
    </row>
    <row r="3599" spans="16:16">
      <c r="P3599" s="2498"/>
    </row>
    <row r="3600" spans="16:16">
      <c r="P3600" s="2498"/>
    </row>
    <row r="3601" spans="16:16">
      <c r="P3601" s="2498"/>
    </row>
    <row r="3602" spans="16:16">
      <c r="P3602" s="2498"/>
    </row>
    <row r="3603" spans="16:16">
      <c r="P3603" s="2498"/>
    </row>
    <row r="3604" spans="16:16">
      <c r="P3604" s="2498"/>
    </row>
    <row r="3605" spans="16:16">
      <c r="P3605" s="2498"/>
    </row>
    <row r="3606" spans="16:16">
      <c r="P3606" s="2498"/>
    </row>
    <row r="3607" spans="16:16">
      <c r="P3607" s="2498"/>
    </row>
    <row r="3608" spans="16:16">
      <c r="P3608" s="2498"/>
    </row>
    <row r="3609" spans="16:16">
      <c r="P3609" s="2498"/>
    </row>
    <row r="3610" spans="16:16">
      <c r="P3610" s="2498"/>
    </row>
    <row r="3611" spans="16:16">
      <c r="P3611" s="2498"/>
    </row>
    <row r="3612" spans="16:16">
      <c r="P3612" s="2498"/>
    </row>
    <row r="3613" spans="16:16">
      <c r="P3613" s="2498"/>
    </row>
    <row r="3614" spans="16:16">
      <c r="P3614" s="2498"/>
    </row>
    <row r="3615" spans="16:16">
      <c r="P3615" s="2498"/>
    </row>
    <row r="3616" spans="16:16">
      <c r="P3616" s="2498"/>
    </row>
    <row r="3617" spans="16:16">
      <c r="P3617" s="2498"/>
    </row>
    <row r="3618" spans="16:16">
      <c r="P3618" s="2498"/>
    </row>
    <row r="3619" spans="16:16">
      <c r="P3619" s="2498"/>
    </row>
    <row r="3620" spans="16:16">
      <c r="P3620" s="2498"/>
    </row>
    <row r="3621" spans="16:16">
      <c r="P3621" s="2498"/>
    </row>
    <row r="3622" spans="16:16">
      <c r="P3622" s="2498"/>
    </row>
    <row r="3623" spans="16:16">
      <c r="P3623" s="2498"/>
    </row>
    <row r="3624" spans="16:16">
      <c r="P3624" s="2498"/>
    </row>
    <row r="3625" spans="16:16">
      <c r="P3625" s="2498"/>
    </row>
    <row r="3626" spans="16:16">
      <c r="P3626" s="2498"/>
    </row>
    <row r="3627" spans="16:16">
      <c r="P3627" s="2498"/>
    </row>
    <row r="3628" spans="16:16">
      <c r="P3628" s="2498"/>
    </row>
    <row r="3629" spans="16:16">
      <c r="P3629" s="2498"/>
    </row>
    <row r="3630" spans="16:16">
      <c r="P3630" s="2498"/>
    </row>
    <row r="3631" spans="16:16">
      <c r="P3631" s="2498"/>
    </row>
    <row r="3632" spans="16:16">
      <c r="P3632" s="2498"/>
    </row>
    <row r="3633" spans="16:16">
      <c r="P3633" s="2498"/>
    </row>
    <row r="3634" spans="16:16">
      <c r="P3634" s="2498"/>
    </row>
    <row r="3635" spans="16:16">
      <c r="P3635" s="2498"/>
    </row>
    <row r="3636" spans="16:16">
      <c r="P3636" s="2498"/>
    </row>
    <row r="3637" spans="16:16">
      <c r="P3637" s="2498"/>
    </row>
    <row r="3638" spans="16:16">
      <c r="P3638" s="2498"/>
    </row>
    <row r="3639" spans="16:16">
      <c r="P3639" s="2498"/>
    </row>
    <row r="3640" spans="16:16">
      <c r="P3640" s="2498"/>
    </row>
    <row r="3641" spans="16:16">
      <c r="P3641" s="2498"/>
    </row>
    <row r="3642" spans="16:16">
      <c r="P3642" s="2498"/>
    </row>
    <row r="3643" spans="16:16">
      <c r="P3643" s="2498"/>
    </row>
    <row r="3644" spans="16:16">
      <c r="P3644" s="2498"/>
    </row>
    <row r="3645" spans="16:16">
      <c r="P3645" s="2498"/>
    </row>
    <row r="3646" spans="16:16">
      <c r="P3646" s="2498"/>
    </row>
    <row r="3647" spans="16:16">
      <c r="P3647" s="2498"/>
    </row>
    <row r="3648" spans="16:16">
      <c r="P3648" s="2498"/>
    </row>
    <row r="3649" spans="16:16">
      <c r="P3649" s="2498"/>
    </row>
    <row r="3650" spans="16:16">
      <c r="P3650" s="2498"/>
    </row>
    <row r="3651" spans="16:16">
      <c r="P3651" s="2498"/>
    </row>
    <row r="3652" spans="16:16">
      <c r="P3652" s="2498"/>
    </row>
    <row r="3653" spans="16:16">
      <c r="P3653" s="2498"/>
    </row>
    <row r="3654" spans="16:16">
      <c r="P3654" s="2498"/>
    </row>
    <row r="3655" spans="16:16">
      <c r="P3655" s="2498"/>
    </row>
    <row r="3656" spans="16:16">
      <c r="P3656" s="2498"/>
    </row>
    <row r="3657" spans="16:16">
      <c r="P3657" s="2498"/>
    </row>
    <row r="3658" spans="16:16">
      <c r="P3658" s="2498"/>
    </row>
    <row r="3659" spans="16:16">
      <c r="P3659" s="2498"/>
    </row>
    <row r="3660" spans="16:16">
      <c r="P3660" s="2498"/>
    </row>
    <row r="3661" spans="16:16">
      <c r="P3661" s="2498"/>
    </row>
    <row r="3662" spans="16:16">
      <c r="P3662" s="2498"/>
    </row>
    <row r="3663" spans="16:16">
      <c r="P3663" s="2498"/>
    </row>
    <row r="3664" spans="16:16">
      <c r="P3664" s="2498"/>
    </row>
    <row r="3665" spans="16:16">
      <c r="P3665" s="2498"/>
    </row>
    <row r="3666" spans="16:16">
      <c r="P3666" s="2498"/>
    </row>
    <row r="3667" spans="16:16">
      <c r="P3667" s="2498"/>
    </row>
    <row r="3668" spans="16:16">
      <c r="P3668" s="2498"/>
    </row>
    <row r="3669" spans="16:16">
      <c r="P3669" s="2498"/>
    </row>
    <row r="3670" spans="16:16">
      <c r="P3670" s="2498"/>
    </row>
    <row r="3671" spans="16:16">
      <c r="P3671" s="2498"/>
    </row>
    <row r="3672" spans="16:16">
      <c r="P3672" s="2498"/>
    </row>
    <row r="3673" spans="16:16">
      <c r="P3673" s="2498"/>
    </row>
    <row r="3674" spans="16:16">
      <c r="P3674" s="2498"/>
    </row>
    <row r="3675" spans="16:16">
      <c r="P3675" s="2498"/>
    </row>
    <row r="3676" spans="16:16">
      <c r="P3676" s="2498"/>
    </row>
    <row r="3677" spans="16:16">
      <c r="P3677" s="2498"/>
    </row>
    <row r="3678" spans="16:16">
      <c r="P3678" s="2498"/>
    </row>
    <row r="3679" spans="16:16">
      <c r="P3679" s="2498"/>
    </row>
    <row r="3680" spans="16:16">
      <c r="P3680" s="2498"/>
    </row>
    <row r="3681" spans="16:16">
      <c r="P3681" s="2498"/>
    </row>
    <row r="3682" spans="16:16">
      <c r="P3682" s="2498"/>
    </row>
    <row r="3683" spans="16:16">
      <c r="P3683" s="2498"/>
    </row>
    <row r="3684" spans="16:16">
      <c r="P3684" s="2498"/>
    </row>
    <row r="3685" spans="16:16">
      <c r="P3685" s="2498"/>
    </row>
    <row r="3686" spans="16:16">
      <c r="P3686" s="2498"/>
    </row>
    <row r="3687" spans="16:16">
      <c r="P3687" s="2498"/>
    </row>
    <row r="3688" spans="16:16">
      <c r="P3688" s="2498"/>
    </row>
    <row r="3689" spans="16:16">
      <c r="P3689" s="2498"/>
    </row>
    <row r="3690" spans="16:16">
      <c r="P3690" s="2498"/>
    </row>
    <row r="3691" spans="16:16">
      <c r="P3691" s="2498"/>
    </row>
    <row r="3692" spans="16:16">
      <c r="P3692" s="2498"/>
    </row>
    <row r="3693" spans="16:16">
      <c r="P3693" s="2498"/>
    </row>
    <row r="3694" spans="16:16">
      <c r="P3694" s="2498"/>
    </row>
    <row r="3695" spans="16:16">
      <c r="P3695" s="2498"/>
    </row>
    <row r="3696" spans="16:16">
      <c r="P3696" s="2498"/>
    </row>
    <row r="3697" spans="16:16">
      <c r="P3697" s="2498"/>
    </row>
    <row r="3698" spans="16:16">
      <c r="P3698" s="2498"/>
    </row>
    <row r="3699" spans="16:16">
      <c r="P3699" s="2498"/>
    </row>
    <row r="3700" spans="16:16">
      <c r="P3700" s="2498"/>
    </row>
    <row r="3701" spans="16:16">
      <c r="P3701" s="2498"/>
    </row>
    <row r="3702" spans="16:16">
      <c r="P3702" s="2498"/>
    </row>
    <row r="3703" spans="16:16">
      <c r="P3703" s="2498"/>
    </row>
    <row r="3704" spans="16:16">
      <c r="P3704" s="2498"/>
    </row>
    <row r="3705" spans="16:16">
      <c r="P3705" s="2498"/>
    </row>
    <row r="3706" spans="16:16">
      <c r="P3706" s="2498"/>
    </row>
    <row r="3707" spans="16:16">
      <c r="P3707" s="2498"/>
    </row>
    <row r="3708" spans="16:16">
      <c r="P3708" s="2498"/>
    </row>
    <row r="3709" spans="16:16">
      <c r="P3709" s="2498"/>
    </row>
    <row r="3710" spans="16:16">
      <c r="P3710" s="2498"/>
    </row>
    <row r="3711" spans="16:16">
      <c r="P3711" s="2498"/>
    </row>
    <row r="3712" spans="16:16">
      <c r="P3712" s="2498"/>
    </row>
    <row r="3713" spans="16:16">
      <c r="P3713" s="2498"/>
    </row>
    <row r="3714" spans="16:16">
      <c r="P3714" s="2498"/>
    </row>
    <row r="3715" spans="16:16">
      <c r="P3715" s="2498"/>
    </row>
    <row r="3716" spans="16:16">
      <c r="P3716" s="2498"/>
    </row>
    <row r="3717" spans="16:16">
      <c r="P3717" s="2498"/>
    </row>
    <row r="3718" spans="16:16">
      <c r="P3718" s="2498"/>
    </row>
    <row r="3719" spans="16:16">
      <c r="P3719" s="2498"/>
    </row>
    <row r="3720" spans="16:16">
      <c r="P3720" s="2498"/>
    </row>
    <row r="3721" spans="16:16">
      <c r="P3721" s="2498"/>
    </row>
    <row r="3722" spans="16:16">
      <c r="P3722" s="2498"/>
    </row>
    <row r="3723" spans="16:16">
      <c r="P3723" s="2498"/>
    </row>
    <row r="3724" spans="16:16">
      <c r="P3724" s="2498"/>
    </row>
    <row r="3725" spans="16:16">
      <c r="P3725" s="2498"/>
    </row>
    <row r="3726" spans="16:16">
      <c r="P3726" s="2498"/>
    </row>
    <row r="3727" spans="16:16">
      <c r="P3727" s="2498"/>
    </row>
    <row r="3728" spans="16:16">
      <c r="P3728" s="2498"/>
    </row>
    <row r="3729" spans="16:16">
      <c r="P3729" s="2498"/>
    </row>
    <row r="3730" spans="16:16">
      <c r="P3730" s="2498"/>
    </row>
    <row r="3731" spans="16:16">
      <c r="P3731" s="2498"/>
    </row>
    <row r="3732" spans="16:16">
      <c r="P3732" s="2498"/>
    </row>
    <row r="3733" spans="16:16">
      <c r="P3733" s="2498"/>
    </row>
    <row r="3734" spans="16:16">
      <c r="P3734" s="2498"/>
    </row>
    <row r="3735" spans="16:16">
      <c r="P3735" s="2498"/>
    </row>
    <row r="3736" spans="16:16">
      <c r="P3736" s="2498"/>
    </row>
    <row r="3737" spans="16:16">
      <c r="P3737" s="2498"/>
    </row>
    <row r="3738" spans="16:16">
      <c r="P3738" s="2498"/>
    </row>
    <row r="3739" spans="16:16">
      <c r="P3739" s="2498"/>
    </row>
    <row r="3740" spans="16:16">
      <c r="P3740" s="2498"/>
    </row>
    <row r="3741" spans="16:16">
      <c r="P3741" s="2498"/>
    </row>
    <row r="3742" spans="16:16">
      <c r="P3742" s="2498"/>
    </row>
    <row r="3743" spans="16:16">
      <c r="P3743" s="2498"/>
    </row>
    <row r="3744" spans="16:16">
      <c r="P3744" s="2498"/>
    </row>
    <row r="3745" spans="16:16">
      <c r="P3745" s="2498"/>
    </row>
    <row r="3746" spans="16:16">
      <c r="P3746" s="2498"/>
    </row>
    <row r="3747" spans="16:16">
      <c r="P3747" s="2498"/>
    </row>
    <row r="3748" spans="16:16">
      <c r="P3748" s="2498"/>
    </row>
    <row r="3749" spans="16:16">
      <c r="P3749" s="2498"/>
    </row>
    <row r="3750" spans="16:16">
      <c r="P3750" s="2498"/>
    </row>
    <row r="3751" spans="16:16">
      <c r="P3751" s="2498"/>
    </row>
    <row r="3752" spans="16:16">
      <c r="P3752" s="2498"/>
    </row>
    <row r="3753" spans="16:16">
      <c r="P3753" s="2498"/>
    </row>
    <row r="3754" spans="16:16">
      <c r="P3754" s="2498"/>
    </row>
    <row r="3755" spans="16:16">
      <c r="P3755" s="2498"/>
    </row>
    <row r="3756" spans="16:16">
      <c r="P3756" s="2498"/>
    </row>
    <row r="3757" spans="16:16">
      <c r="P3757" s="2498"/>
    </row>
    <row r="3758" spans="16:16">
      <c r="P3758" s="2498"/>
    </row>
    <row r="3759" spans="16:16">
      <c r="P3759" s="2498"/>
    </row>
    <row r="3760" spans="16:16">
      <c r="P3760" s="2498"/>
    </row>
    <row r="3761" spans="16:16">
      <c r="P3761" s="2498"/>
    </row>
    <row r="3762" spans="16:16">
      <c r="P3762" s="2498"/>
    </row>
    <row r="3763" spans="16:16">
      <c r="P3763" s="2498"/>
    </row>
    <row r="3764" spans="16:16">
      <c r="P3764" s="2498"/>
    </row>
    <row r="3765" spans="16:16">
      <c r="P3765" s="2498"/>
    </row>
    <row r="3766" spans="16:16">
      <c r="P3766" s="2498"/>
    </row>
    <row r="3767" spans="16:16">
      <c r="P3767" s="2498"/>
    </row>
    <row r="3768" spans="16:16">
      <c r="P3768" s="2498"/>
    </row>
    <row r="3769" spans="16:16">
      <c r="P3769" s="2498"/>
    </row>
    <row r="3770" spans="16:16">
      <c r="P3770" s="2498"/>
    </row>
    <row r="3771" spans="16:16">
      <c r="P3771" s="2498"/>
    </row>
    <row r="3772" spans="16:16">
      <c r="P3772" s="2498"/>
    </row>
    <row r="3773" spans="16:16">
      <c r="P3773" s="2498"/>
    </row>
    <row r="3774" spans="16:16">
      <c r="P3774" s="2498"/>
    </row>
    <row r="3775" spans="16:16">
      <c r="P3775" s="2498"/>
    </row>
    <row r="3776" spans="16:16">
      <c r="P3776" s="2498"/>
    </row>
    <row r="3777" spans="16:16">
      <c r="P3777" s="2498"/>
    </row>
    <row r="3778" spans="16:16">
      <c r="P3778" s="2498"/>
    </row>
    <row r="3779" spans="16:16">
      <c r="P3779" s="2498"/>
    </row>
    <row r="3780" spans="16:16">
      <c r="P3780" s="2498"/>
    </row>
    <row r="3781" spans="16:16">
      <c r="P3781" s="2498"/>
    </row>
    <row r="3782" spans="16:16">
      <c r="P3782" s="2498"/>
    </row>
    <row r="3783" spans="16:16">
      <c r="P3783" s="2498"/>
    </row>
    <row r="3784" spans="16:16">
      <c r="P3784" s="2498"/>
    </row>
    <row r="3785" spans="16:16">
      <c r="P3785" s="2498"/>
    </row>
    <row r="3786" spans="16:16">
      <c r="P3786" s="2498"/>
    </row>
    <row r="3787" spans="16:16">
      <c r="P3787" s="2498"/>
    </row>
    <row r="3788" spans="16:16">
      <c r="P3788" s="2498"/>
    </row>
    <row r="3789" spans="16:16">
      <c r="P3789" s="2498"/>
    </row>
    <row r="3790" spans="16:16">
      <c r="P3790" s="2498"/>
    </row>
    <row r="3791" spans="16:16">
      <c r="P3791" s="2498"/>
    </row>
    <row r="3792" spans="16:16">
      <c r="P3792" s="2498"/>
    </row>
    <row r="3793" spans="16:16">
      <c r="P3793" s="2498"/>
    </row>
    <row r="3794" spans="16:16">
      <c r="P3794" s="2498"/>
    </row>
    <row r="3795" spans="16:16">
      <c r="P3795" s="2498"/>
    </row>
    <row r="3796" spans="16:16">
      <c r="P3796" s="2498"/>
    </row>
    <row r="3797" spans="16:16">
      <c r="P3797" s="2498"/>
    </row>
    <row r="3798" spans="16:16">
      <c r="P3798" s="2498"/>
    </row>
    <row r="3799" spans="16:16">
      <c r="P3799" s="2498"/>
    </row>
    <row r="3800" spans="16:16">
      <c r="P3800" s="2498"/>
    </row>
    <row r="3801" spans="16:16">
      <c r="P3801" s="2498"/>
    </row>
    <row r="3802" spans="16:16">
      <c r="P3802" s="2498"/>
    </row>
    <row r="3803" spans="16:16">
      <c r="P3803" s="2498"/>
    </row>
    <row r="3804" spans="16:16">
      <c r="P3804" s="2498"/>
    </row>
    <row r="3805" spans="16:16">
      <c r="P3805" s="2498"/>
    </row>
    <row r="3806" spans="16:16">
      <c r="P3806" s="2498"/>
    </row>
    <row r="3807" spans="16:16">
      <c r="P3807" s="2498"/>
    </row>
    <row r="3808" spans="16:16">
      <c r="P3808" s="2498"/>
    </row>
    <row r="3809" spans="16:16">
      <c r="P3809" s="2498"/>
    </row>
    <row r="3810" spans="16:16">
      <c r="P3810" s="2498"/>
    </row>
    <row r="3811" spans="16:16">
      <c r="P3811" s="2498"/>
    </row>
    <row r="3812" spans="16:16">
      <c r="P3812" s="2498"/>
    </row>
    <row r="3813" spans="16:16">
      <c r="P3813" s="2498"/>
    </row>
    <row r="3814" spans="16:16">
      <c r="P3814" s="2498"/>
    </row>
    <row r="3815" spans="16:16">
      <c r="P3815" s="2498"/>
    </row>
    <row r="3816" spans="16:16">
      <c r="P3816" s="2498"/>
    </row>
    <row r="3817" spans="16:16">
      <c r="P3817" s="2498"/>
    </row>
    <row r="3818" spans="16:16">
      <c r="P3818" s="2498"/>
    </row>
    <row r="3819" spans="16:16">
      <c r="P3819" s="2498"/>
    </row>
    <row r="3820" spans="16:16">
      <c r="P3820" s="2498"/>
    </row>
    <row r="3821" spans="16:16">
      <c r="P3821" s="2498"/>
    </row>
    <row r="3822" spans="16:16">
      <c r="P3822" s="2498"/>
    </row>
    <row r="3823" spans="16:16">
      <c r="P3823" s="2498"/>
    </row>
    <row r="3824" spans="16:16">
      <c r="P3824" s="2498"/>
    </row>
    <row r="3825" spans="16:16">
      <c r="P3825" s="2498"/>
    </row>
    <row r="3826" spans="16:16">
      <c r="P3826" s="2498"/>
    </row>
    <row r="3827" spans="16:16">
      <c r="P3827" s="2498"/>
    </row>
    <row r="3828" spans="16:16">
      <c r="P3828" s="2498"/>
    </row>
    <row r="3829" spans="16:16">
      <c r="P3829" s="2498"/>
    </row>
    <row r="3830" spans="16:16">
      <c r="P3830" s="2498"/>
    </row>
    <row r="3831" spans="16:16">
      <c r="P3831" s="2498"/>
    </row>
    <row r="3832" spans="16:16">
      <c r="P3832" s="2498"/>
    </row>
    <row r="3833" spans="16:16">
      <c r="P3833" s="2498"/>
    </row>
    <row r="3834" spans="16:16">
      <c r="P3834" s="2498"/>
    </row>
    <row r="3835" spans="16:16">
      <c r="P3835" s="2498"/>
    </row>
    <row r="3836" spans="16:16">
      <c r="P3836" s="2498"/>
    </row>
    <row r="3837" spans="16:16">
      <c r="P3837" s="2498"/>
    </row>
    <row r="3838" spans="16:16">
      <c r="P3838" s="2498"/>
    </row>
    <row r="3839" spans="16:16">
      <c r="P3839" s="2498"/>
    </row>
    <row r="3840" spans="16:16">
      <c r="P3840" s="2498"/>
    </row>
    <row r="3841" spans="16:16">
      <c r="P3841" s="2498"/>
    </row>
    <row r="3842" spans="16:16">
      <c r="P3842" s="2498"/>
    </row>
    <row r="3843" spans="16:16">
      <c r="P3843" s="2498"/>
    </row>
    <row r="3844" spans="16:16">
      <c r="P3844" s="2498"/>
    </row>
    <row r="3845" spans="16:16">
      <c r="P3845" s="2498"/>
    </row>
    <row r="3846" spans="16:16">
      <c r="P3846" s="2498"/>
    </row>
    <row r="3847" spans="16:16">
      <c r="P3847" s="2498"/>
    </row>
    <row r="3848" spans="16:16">
      <c r="P3848" s="2498"/>
    </row>
    <row r="3849" spans="16:16">
      <c r="P3849" s="2498"/>
    </row>
    <row r="3850" spans="16:16">
      <c r="P3850" s="2498"/>
    </row>
    <row r="3851" spans="16:16">
      <c r="P3851" s="2498"/>
    </row>
    <row r="3852" spans="16:16">
      <c r="P3852" s="2498"/>
    </row>
    <row r="3853" spans="16:16">
      <c r="P3853" s="2498"/>
    </row>
    <row r="3854" spans="16:16">
      <c r="P3854" s="2498"/>
    </row>
    <row r="3855" spans="16:16">
      <c r="P3855" s="2498"/>
    </row>
    <row r="3856" spans="16:16">
      <c r="P3856" s="2498"/>
    </row>
    <row r="3857" spans="16:16">
      <c r="P3857" s="2498"/>
    </row>
    <row r="3858" spans="16:16">
      <c r="P3858" s="2498"/>
    </row>
    <row r="3859" spans="16:16">
      <c r="P3859" s="2498"/>
    </row>
    <row r="3860" spans="16:16">
      <c r="P3860" s="2498"/>
    </row>
    <row r="3861" spans="16:16">
      <c r="P3861" s="2498"/>
    </row>
    <row r="3862" spans="16:16">
      <c r="P3862" s="2498"/>
    </row>
    <row r="3863" spans="16:16">
      <c r="P3863" s="2498"/>
    </row>
    <row r="3864" spans="16:16">
      <c r="P3864" s="2498"/>
    </row>
    <row r="3865" spans="16:16">
      <c r="P3865" s="2498"/>
    </row>
    <row r="3866" spans="16:16">
      <c r="P3866" s="2498"/>
    </row>
    <row r="3867" spans="16:16">
      <c r="P3867" s="2498"/>
    </row>
    <row r="3868" spans="16:16">
      <c r="P3868" s="2498"/>
    </row>
    <row r="3869" spans="16:16">
      <c r="P3869" s="2498"/>
    </row>
    <row r="3870" spans="16:16">
      <c r="P3870" s="2498"/>
    </row>
    <row r="3871" spans="16:16">
      <c r="P3871" s="2498"/>
    </row>
    <row r="3872" spans="16:16">
      <c r="P3872" s="2498"/>
    </row>
    <row r="3873" spans="16:16">
      <c r="P3873" s="2498"/>
    </row>
    <row r="3874" spans="16:16">
      <c r="P3874" s="2498"/>
    </row>
    <row r="3875" spans="16:16">
      <c r="P3875" s="2498"/>
    </row>
    <row r="3876" spans="16:16">
      <c r="P3876" s="2498"/>
    </row>
    <row r="3877" spans="16:16">
      <c r="P3877" s="2498"/>
    </row>
    <row r="3878" spans="16:16">
      <c r="P3878" s="2498"/>
    </row>
    <row r="3879" spans="16:16">
      <c r="P3879" s="2498"/>
    </row>
    <row r="3880" spans="16:16">
      <c r="P3880" s="2498"/>
    </row>
    <row r="3881" spans="16:16">
      <c r="P3881" s="2498"/>
    </row>
    <row r="3882" spans="16:16">
      <c r="P3882" s="2498"/>
    </row>
    <row r="3883" spans="16:16">
      <c r="P3883" s="2498"/>
    </row>
    <row r="3884" spans="16:16">
      <c r="P3884" s="2498"/>
    </row>
    <row r="3885" spans="16:16">
      <c r="P3885" s="2498"/>
    </row>
    <row r="3886" spans="16:16">
      <c r="P3886" s="2498"/>
    </row>
    <row r="3887" spans="16:16">
      <c r="P3887" s="2498"/>
    </row>
    <row r="3888" spans="16:16">
      <c r="P3888" s="2498"/>
    </row>
    <row r="3889" spans="16:16">
      <c r="P3889" s="2498"/>
    </row>
    <row r="3890" spans="16:16">
      <c r="P3890" s="2498"/>
    </row>
    <row r="3891" spans="16:16">
      <c r="P3891" s="2498"/>
    </row>
    <row r="3892" spans="16:16">
      <c r="P3892" s="2498"/>
    </row>
    <row r="3893" spans="16:16">
      <c r="P3893" s="2498"/>
    </row>
    <row r="3894" spans="16:16">
      <c r="P3894" s="2498"/>
    </row>
    <row r="3895" spans="16:16">
      <c r="P3895" s="2498"/>
    </row>
    <row r="3896" spans="16:16">
      <c r="P3896" s="2498"/>
    </row>
    <row r="3897" spans="16:16">
      <c r="P3897" s="2498"/>
    </row>
    <row r="3898" spans="16:16">
      <c r="P3898" s="2498"/>
    </row>
    <row r="3899" spans="16:16">
      <c r="P3899" s="2498"/>
    </row>
    <row r="3900" spans="16:16">
      <c r="P3900" s="2498"/>
    </row>
    <row r="3901" spans="16:16">
      <c r="P3901" s="2498"/>
    </row>
    <row r="3902" spans="16:16">
      <c r="P3902" s="2498"/>
    </row>
    <row r="3903" spans="16:16">
      <c r="P3903" s="2498"/>
    </row>
    <row r="3904" spans="16:16">
      <c r="P3904" s="2498"/>
    </row>
    <row r="3905" spans="16:16">
      <c r="P3905" s="2498"/>
    </row>
    <row r="3906" spans="16:16">
      <c r="P3906" s="2498"/>
    </row>
    <row r="3907" spans="16:16">
      <c r="P3907" s="2498"/>
    </row>
    <row r="3908" spans="16:16">
      <c r="P3908" s="2498"/>
    </row>
    <row r="3909" spans="16:16">
      <c r="P3909" s="2498"/>
    </row>
    <row r="3910" spans="16:16">
      <c r="P3910" s="2498"/>
    </row>
    <row r="3911" spans="16:16">
      <c r="P3911" s="2498"/>
    </row>
    <row r="3912" spans="16:16">
      <c r="P3912" s="2498"/>
    </row>
    <row r="3913" spans="16:16">
      <c r="P3913" s="2498"/>
    </row>
    <row r="3914" spans="16:16">
      <c r="P3914" s="2498"/>
    </row>
    <row r="3915" spans="16:16">
      <c r="P3915" s="2498"/>
    </row>
    <row r="3916" spans="16:16">
      <c r="P3916" s="2498"/>
    </row>
    <row r="3917" spans="16:16">
      <c r="P3917" s="2498"/>
    </row>
    <row r="3918" spans="16:16">
      <c r="P3918" s="2498"/>
    </row>
    <row r="3919" spans="16:16">
      <c r="P3919" s="2498"/>
    </row>
    <row r="3920" spans="16:16">
      <c r="P3920" s="2498"/>
    </row>
    <row r="3921" spans="16:16">
      <c r="P3921" s="2498"/>
    </row>
    <row r="3922" spans="16:16">
      <c r="P3922" s="2498"/>
    </row>
    <row r="3923" spans="16:16">
      <c r="P3923" s="2498"/>
    </row>
    <row r="3924" spans="16:16">
      <c r="P3924" s="2498"/>
    </row>
    <row r="3925" spans="16:16">
      <c r="P3925" s="2498"/>
    </row>
    <row r="3926" spans="16:16">
      <c r="P3926" s="2498"/>
    </row>
    <row r="3927" spans="16:16">
      <c r="P3927" s="2498"/>
    </row>
    <row r="3928" spans="16:16">
      <c r="P3928" s="2498"/>
    </row>
    <row r="3929" spans="16:16">
      <c r="P3929" s="2498"/>
    </row>
    <row r="3930" spans="16:16">
      <c r="P3930" s="2498"/>
    </row>
    <row r="3931" spans="16:16">
      <c r="P3931" s="2498"/>
    </row>
    <row r="3932" spans="16:16">
      <c r="P3932" s="2498"/>
    </row>
    <row r="3933" spans="16:16">
      <c r="P3933" s="2498"/>
    </row>
    <row r="3934" spans="16:16">
      <c r="P3934" s="2498"/>
    </row>
    <row r="3935" spans="16:16">
      <c r="P3935" s="2498"/>
    </row>
    <row r="3936" spans="16:16">
      <c r="P3936" s="2498"/>
    </row>
    <row r="3937" spans="16:16">
      <c r="P3937" s="2498"/>
    </row>
    <row r="3938" spans="16:16">
      <c r="P3938" s="2498"/>
    </row>
    <row r="3939" spans="16:16">
      <c r="P3939" s="2498"/>
    </row>
    <row r="3940" spans="16:16">
      <c r="P3940" s="2498"/>
    </row>
    <row r="3941" spans="16:16">
      <c r="P3941" s="2498"/>
    </row>
    <row r="3942" spans="16:16">
      <c r="P3942" s="2498"/>
    </row>
    <row r="3943" spans="16:16">
      <c r="P3943" s="2498"/>
    </row>
    <row r="3944" spans="16:16">
      <c r="P3944" s="2498"/>
    </row>
    <row r="3945" spans="16:16">
      <c r="P3945" s="2498"/>
    </row>
    <row r="3946" spans="16:16">
      <c r="P3946" s="2498"/>
    </row>
    <row r="3947" spans="16:16">
      <c r="P3947" s="2498"/>
    </row>
    <row r="3948" spans="16:16">
      <c r="P3948" s="2498"/>
    </row>
    <row r="3949" spans="16:16">
      <c r="P3949" s="2498"/>
    </row>
    <row r="3950" spans="16:16">
      <c r="P3950" s="2498"/>
    </row>
    <row r="3951" spans="16:16">
      <c r="P3951" s="2498"/>
    </row>
    <row r="3952" spans="16:16">
      <c r="P3952" s="2498"/>
    </row>
    <row r="3953" spans="16:16">
      <c r="P3953" s="2498"/>
    </row>
    <row r="3954" spans="16:16">
      <c r="P3954" s="2498"/>
    </row>
    <row r="3955" spans="16:16">
      <c r="P3955" s="2498"/>
    </row>
    <row r="3956" spans="16:16">
      <c r="P3956" s="2498"/>
    </row>
    <row r="3957" spans="16:16">
      <c r="P3957" s="2498"/>
    </row>
    <row r="3958" spans="16:16">
      <c r="P3958" s="2498"/>
    </row>
    <row r="3959" spans="16:16">
      <c r="P3959" s="2498"/>
    </row>
    <row r="3960" spans="16:16">
      <c r="P3960" s="2498"/>
    </row>
    <row r="3961" spans="16:16">
      <c r="P3961" s="2498"/>
    </row>
    <row r="3962" spans="16:16">
      <c r="P3962" s="2498"/>
    </row>
    <row r="3963" spans="16:16">
      <c r="P3963" s="2498"/>
    </row>
    <row r="3964" spans="16:16">
      <c r="P3964" s="2498"/>
    </row>
    <row r="3965" spans="16:16">
      <c r="P3965" s="2498"/>
    </row>
    <row r="3966" spans="16:16">
      <c r="P3966" s="2498"/>
    </row>
    <row r="3967" spans="16:16">
      <c r="P3967" s="2498"/>
    </row>
    <row r="3968" spans="16:16">
      <c r="P3968" s="2498"/>
    </row>
    <row r="3969" spans="16:16">
      <c r="P3969" s="2498"/>
    </row>
    <row r="3970" spans="16:16">
      <c r="P3970" s="2498"/>
    </row>
    <row r="3971" spans="16:16">
      <c r="P3971" s="2498"/>
    </row>
    <row r="3972" spans="16:16">
      <c r="P3972" s="2498"/>
    </row>
    <row r="3973" spans="16:16">
      <c r="P3973" s="2498"/>
    </row>
    <row r="3974" spans="16:16">
      <c r="P3974" s="2498"/>
    </row>
    <row r="3975" spans="16:16">
      <c r="P3975" s="2498"/>
    </row>
    <row r="3976" spans="16:16">
      <c r="P3976" s="2498"/>
    </row>
    <row r="3977" spans="16:16">
      <c r="P3977" s="2498"/>
    </row>
    <row r="3978" spans="16:16">
      <c r="P3978" s="2498"/>
    </row>
    <row r="3979" spans="16:16">
      <c r="P3979" s="2498"/>
    </row>
    <row r="3980" spans="16:16">
      <c r="P3980" s="2498"/>
    </row>
    <row r="3981" spans="16:16">
      <c r="P3981" s="2498"/>
    </row>
    <row r="3982" spans="16:16">
      <c r="P3982" s="2498"/>
    </row>
    <row r="3983" spans="16:16">
      <c r="P3983" s="2498"/>
    </row>
    <row r="3984" spans="16:16">
      <c r="P3984" s="2498"/>
    </row>
    <row r="3985" spans="16:16">
      <c r="P3985" s="2498"/>
    </row>
    <row r="3986" spans="16:16">
      <c r="P3986" s="2498"/>
    </row>
    <row r="3987" spans="16:16">
      <c r="P3987" s="2498"/>
    </row>
    <row r="3988" spans="16:16">
      <c r="P3988" s="2498"/>
    </row>
    <row r="3989" spans="16:16">
      <c r="P3989" s="2498"/>
    </row>
    <row r="3990" spans="16:16">
      <c r="P3990" s="2498"/>
    </row>
    <row r="3991" spans="16:16">
      <c r="P3991" s="2498"/>
    </row>
    <row r="3992" spans="16:16">
      <c r="P3992" s="2498"/>
    </row>
    <row r="3993" spans="16:16">
      <c r="P3993" s="2498"/>
    </row>
    <row r="3994" spans="16:16">
      <c r="P3994" s="2498"/>
    </row>
    <row r="3995" spans="16:16">
      <c r="P3995" s="2498"/>
    </row>
    <row r="3996" spans="16:16">
      <c r="P3996" s="2498"/>
    </row>
    <row r="3997" spans="16:16">
      <c r="P3997" s="2498"/>
    </row>
    <row r="3998" spans="16:16">
      <c r="P3998" s="2498"/>
    </row>
    <row r="3999" spans="16:16">
      <c r="P3999" s="2498"/>
    </row>
    <row r="4000" spans="16:16">
      <c r="P4000" s="2498"/>
    </row>
    <row r="4001" spans="16:16">
      <c r="P4001" s="2498"/>
    </row>
    <row r="4002" spans="16:16">
      <c r="P4002" s="2498"/>
    </row>
    <row r="4003" spans="16:16">
      <c r="P4003" s="2498"/>
    </row>
    <row r="4004" spans="16:16">
      <c r="P4004" s="2498"/>
    </row>
    <row r="4005" spans="16:16">
      <c r="P4005" s="2498"/>
    </row>
    <row r="4006" spans="16:16">
      <c r="P4006" s="2498"/>
    </row>
    <row r="4007" spans="16:16">
      <c r="P4007" s="2498"/>
    </row>
    <row r="4008" spans="16:16">
      <c r="P4008" s="2498"/>
    </row>
    <row r="4009" spans="16:16">
      <c r="P4009" s="2498"/>
    </row>
    <row r="4010" spans="16:16">
      <c r="P4010" s="2498"/>
    </row>
    <row r="4011" spans="16:16">
      <c r="P4011" s="2498"/>
    </row>
    <row r="4012" spans="16:16">
      <c r="P4012" s="2498"/>
    </row>
    <row r="4013" spans="16:16">
      <c r="P4013" s="2498"/>
    </row>
    <row r="4014" spans="16:16">
      <c r="P4014" s="2498"/>
    </row>
    <row r="4015" spans="16:16">
      <c r="P4015" s="2498"/>
    </row>
    <row r="4016" spans="16:16">
      <c r="P4016" s="2498"/>
    </row>
    <row r="4017" spans="16:16">
      <c r="P4017" s="2498"/>
    </row>
    <row r="4018" spans="16:16">
      <c r="P4018" s="2498"/>
    </row>
    <row r="4019" spans="16:16">
      <c r="P4019" s="2498"/>
    </row>
    <row r="4020" spans="16:16">
      <c r="P4020" s="2498"/>
    </row>
    <row r="4021" spans="16:16">
      <c r="P4021" s="2498"/>
    </row>
    <row r="4022" spans="16:16">
      <c r="P4022" s="2498"/>
    </row>
    <row r="4023" spans="16:16">
      <c r="P4023" s="2498"/>
    </row>
    <row r="4024" spans="16:16">
      <c r="P4024" s="2498"/>
    </row>
    <row r="4025" spans="16:16">
      <c r="P4025" s="2498"/>
    </row>
    <row r="4026" spans="16:16">
      <c r="P4026" s="2498"/>
    </row>
    <row r="4027" spans="16:16">
      <c r="P4027" s="2498"/>
    </row>
    <row r="4028" spans="16:16">
      <c r="P4028" s="2498"/>
    </row>
    <row r="4029" spans="16:16">
      <c r="P4029" s="2498"/>
    </row>
    <row r="4030" spans="16:16">
      <c r="P4030" s="2498"/>
    </row>
    <row r="4031" spans="16:16">
      <c r="P4031" s="2498"/>
    </row>
    <row r="4032" spans="16:16">
      <c r="P4032" s="2498"/>
    </row>
    <row r="4033" spans="16:16">
      <c r="P4033" s="2498"/>
    </row>
    <row r="4034" spans="16:16">
      <c r="P4034" s="2498"/>
    </row>
    <row r="4035" spans="16:16">
      <c r="P4035" s="2498"/>
    </row>
    <row r="4036" spans="16:16">
      <c r="P4036" s="2498"/>
    </row>
    <row r="4037" spans="16:16">
      <c r="P4037" s="2498"/>
    </row>
    <row r="4038" spans="16:16">
      <c r="P4038" s="2498"/>
    </row>
    <row r="4039" spans="16:16">
      <c r="P4039" s="2498"/>
    </row>
    <row r="4040" spans="16:16">
      <c r="P4040" s="2498"/>
    </row>
    <row r="4041" spans="16:16">
      <c r="P4041" s="2498"/>
    </row>
    <row r="4042" spans="16:16">
      <c r="P4042" s="2498"/>
    </row>
    <row r="4043" spans="16:16">
      <c r="P4043" s="2498"/>
    </row>
    <row r="4044" spans="16:16">
      <c r="P4044" s="2498"/>
    </row>
    <row r="4045" spans="16:16">
      <c r="P4045" s="2498"/>
    </row>
    <row r="4046" spans="16:16">
      <c r="P4046" s="2498"/>
    </row>
    <row r="4047" spans="16:16">
      <c r="P4047" s="2498"/>
    </row>
    <row r="4048" spans="16:16">
      <c r="P4048" s="2498"/>
    </row>
    <row r="4049" spans="16:16">
      <c r="P4049" s="2498"/>
    </row>
    <row r="4050" spans="16:16">
      <c r="P4050" s="2498"/>
    </row>
    <row r="4051" spans="16:16">
      <c r="P4051" s="2498"/>
    </row>
    <row r="4052" spans="16:16">
      <c r="P4052" s="2498"/>
    </row>
    <row r="4053" spans="16:16">
      <c r="P4053" s="2498"/>
    </row>
    <row r="4054" spans="16:16">
      <c r="P4054" s="2498"/>
    </row>
    <row r="4055" spans="16:16">
      <c r="P4055" s="2498"/>
    </row>
    <row r="4056" spans="16:16">
      <c r="P4056" s="2498"/>
    </row>
    <row r="4057" spans="16:16">
      <c r="P4057" s="2498"/>
    </row>
    <row r="4058" spans="16:16">
      <c r="P4058" s="2498"/>
    </row>
    <row r="4059" spans="16:16">
      <c r="P4059" s="2498"/>
    </row>
    <row r="4060" spans="16:16">
      <c r="P4060" s="2498"/>
    </row>
    <row r="4061" spans="16:16">
      <c r="P4061" s="2498"/>
    </row>
    <row r="4062" spans="16:16">
      <c r="P4062" s="2498"/>
    </row>
    <row r="4063" spans="16:16">
      <c r="P4063" s="2498"/>
    </row>
    <row r="4064" spans="16:16">
      <c r="P4064" s="2498"/>
    </row>
    <row r="4065" spans="16:16">
      <c r="P4065" s="2498"/>
    </row>
    <row r="4066" spans="16:16">
      <c r="P4066" s="2498"/>
    </row>
    <row r="4067" spans="16:16">
      <c r="P4067" s="2498"/>
    </row>
    <row r="4068" spans="16:16">
      <c r="P4068" s="2498"/>
    </row>
    <row r="4069" spans="16:16">
      <c r="P4069" s="2498"/>
    </row>
    <row r="4070" spans="16:16">
      <c r="P4070" s="2498"/>
    </row>
    <row r="4071" spans="16:16">
      <c r="P4071" s="2498"/>
    </row>
    <row r="4072" spans="16:16">
      <c r="P4072" s="2498"/>
    </row>
    <row r="4073" spans="16:16">
      <c r="P4073" s="2498"/>
    </row>
    <row r="4074" spans="16:16">
      <c r="P4074" s="2498"/>
    </row>
    <row r="4075" spans="16:16">
      <c r="P4075" s="2498"/>
    </row>
    <row r="4076" spans="16:16">
      <c r="P4076" s="2498"/>
    </row>
    <row r="4077" spans="16:16">
      <c r="P4077" s="2498"/>
    </row>
    <row r="4078" spans="16:16">
      <c r="P4078" s="2498"/>
    </row>
    <row r="4079" spans="16:16">
      <c r="P4079" s="2498"/>
    </row>
    <row r="4080" spans="16:16">
      <c r="P4080" s="2498"/>
    </row>
    <row r="4081" spans="16:16">
      <c r="P4081" s="2498"/>
    </row>
    <row r="4082" spans="16:16">
      <c r="P4082" s="2498"/>
    </row>
    <row r="4083" spans="16:16">
      <c r="P4083" s="2498"/>
    </row>
    <row r="4084" spans="16:16">
      <c r="P4084" s="2498"/>
    </row>
    <row r="4085" spans="16:16">
      <c r="P4085" s="2498"/>
    </row>
    <row r="4086" spans="16:16">
      <c r="P4086" s="2498"/>
    </row>
    <row r="4087" spans="16:16">
      <c r="P4087" s="2498"/>
    </row>
    <row r="4088" spans="16:16">
      <c r="P4088" s="2498"/>
    </row>
    <row r="4089" spans="16:16">
      <c r="P4089" s="2498"/>
    </row>
    <row r="4090" spans="16:16">
      <c r="P4090" s="2498"/>
    </row>
    <row r="4091" spans="16:16">
      <c r="P4091" s="2498"/>
    </row>
    <row r="4092" spans="16:16">
      <c r="P4092" s="2498"/>
    </row>
    <row r="4093" spans="16:16">
      <c r="P4093" s="2498"/>
    </row>
    <row r="4094" spans="16:16">
      <c r="P4094" s="2498"/>
    </row>
    <row r="4095" spans="16:16">
      <c r="P4095" s="2498"/>
    </row>
    <row r="4096" spans="16:16">
      <c r="P4096" s="2498"/>
    </row>
    <row r="4097" spans="16:16">
      <c r="P4097" s="2498"/>
    </row>
    <row r="4098" spans="16:16">
      <c r="P4098" s="2498"/>
    </row>
    <row r="4099" spans="16:16">
      <c r="P4099" s="2498"/>
    </row>
    <row r="4100" spans="16:16">
      <c r="P4100" s="2498"/>
    </row>
    <row r="4101" spans="16:16">
      <c r="P4101" s="2498"/>
    </row>
    <row r="4102" spans="16:16">
      <c r="P4102" s="2498"/>
    </row>
    <row r="4103" spans="16:16">
      <c r="P4103" s="2498"/>
    </row>
    <row r="4104" spans="16:16">
      <c r="P4104" s="2498"/>
    </row>
    <row r="4105" spans="16:16">
      <c r="P4105" s="2498"/>
    </row>
    <row r="4106" spans="16:16">
      <c r="P4106" s="2498"/>
    </row>
    <row r="4107" spans="16:16">
      <c r="P4107" s="2498"/>
    </row>
    <row r="4108" spans="16:16">
      <c r="P4108" s="2498"/>
    </row>
    <row r="4109" spans="16:16">
      <c r="P4109" s="2498"/>
    </row>
    <row r="4110" spans="16:16">
      <c r="P4110" s="2498"/>
    </row>
    <row r="4111" spans="16:16">
      <c r="P4111" s="2498"/>
    </row>
    <row r="4112" spans="16:16">
      <c r="P4112" s="2498"/>
    </row>
    <row r="4113" spans="16:16">
      <c r="P4113" s="2498"/>
    </row>
    <row r="4114" spans="16:16">
      <c r="P4114" s="2498"/>
    </row>
    <row r="4115" spans="16:16">
      <c r="P4115" s="2498"/>
    </row>
    <row r="4116" spans="16:16">
      <c r="P4116" s="2498"/>
    </row>
    <row r="4117" spans="16:16">
      <c r="P4117" s="2498"/>
    </row>
    <row r="4118" spans="16:16">
      <c r="P4118" s="2498"/>
    </row>
    <row r="4119" spans="16:16">
      <c r="P4119" s="2498"/>
    </row>
    <row r="4120" spans="16:16">
      <c r="P4120" s="2498"/>
    </row>
    <row r="4121" spans="16:16">
      <c r="P4121" s="2498"/>
    </row>
    <row r="4122" spans="16:16">
      <c r="P4122" s="2498"/>
    </row>
    <row r="4123" spans="16:16">
      <c r="P4123" s="2498"/>
    </row>
    <row r="4124" spans="16:16">
      <c r="P4124" s="2498"/>
    </row>
    <row r="4125" spans="16:16">
      <c r="P4125" s="2498"/>
    </row>
    <row r="4126" spans="16:16">
      <c r="P4126" s="2498"/>
    </row>
    <row r="4127" spans="16:16">
      <c r="P4127" s="2498"/>
    </row>
    <row r="4128" spans="16:16">
      <c r="P4128" s="2498"/>
    </row>
    <row r="4129" spans="16:16">
      <c r="P4129" s="2498"/>
    </row>
    <row r="4130" spans="16:16">
      <c r="P4130" s="2498"/>
    </row>
    <row r="4131" spans="16:16">
      <c r="P4131" s="2498"/>
    </row>
    <row r="4132" spans="16:16">
      <c r="P4132" s="2498"/>
    </row>
    <row r="4133" spans="16:16">
      <c r="P4133" s="2498"/>
    </row>
    <row r="4134" spans="16:16">
      <c r="P4134" s="2498"/>
    </row>
    <row r="4135" spans="16:16">
      <c r="P4135" s="2498"/>
    </row>
    <row r="4136" spans="16:16">
      <c r="P4136" s="2498"/>
    </row>
    <row r="4137" spans="16:16">
      <c r="P4137" s="2498"/>
    </row>
    <row r="4138" spans="16:16">
      <c r="P4138" s="2498"/>
    </row>
    <row r="4139" spans="16:16">
      <c r="P4139" s="2498"/>
    </row>
    <row r="4140" spans="16:16">
      <c r="P4140" s="2498"/>
    </row>
    <row r="4141" spans="16:16">
      <c r="P4141" s="2498"/>
    </row>
    <row r="4142" spans="16:16">
      <c r="P4142" s="2498"/>
    </row>
    <row r="4143" spans="16:16">
      <c r="P4143" s="2498"/>
    </row>
    <row r="4144" spans="16:16">
      <c r="P4144" s="2498"/>
    </row>
    <row r="4145" spans="16:16">
      <c r="P4145" s="2498"/>
    </row>
    <row r="4146" spans="16:16">
      <c r="P4146" s="2498"/>
    </row>
    <row r="4147" spans="16:16">
      <c r="P4147" s="2498"/>
    </row>
    <row r="4148" spans="16:16">
      <c r="P4148" s="2498"/>
    </row>
    <row r="4149" spans="16:16">
      <c r="P4149" s="2498"/>
    </row>
    <row r="4150" spans="16:16">
      <c r="P4150" s="2498"/>
    </row>
    <row r="4151" spans="16:16">
      <c r="P4151" s="2498"/>
    </row>
    <row r="4152" spans="16:16">
      <c r="P4152" s="2498"/>
    </row>
    <row r="4153" spans="16:16">
      <c r="P4153" s="2498"/>
    </row>
    <row r="4154" spans="16:16">
      <c r="P4154" s="2498"/>
    </row>
    <row r="4155" spans="16:16">
      <c r="P4155" s="2498"/>
    </row>
    <row r="4156" spans="16:16">
      <c r="P4156" s="2498"/>
    </row>
    <row r="4157" spans="16:16">
      <c r="P4157" s="2498"/>
    </row>
    <row r="4158" spans="16:16">
      <c r="P4158" s="2498"/>
    </row>
    <row r="4159" spans="16:16">
      <c r="P4159" s="2498"/>
    </row>
    <row r="4160" spans="16:16">
      <c r="P4160" s="2498"/>
    </row>
    <row r="4161" spans="16:16">
      <c r="P4161" s="2498"/>
    </row>
    <row r="4162" spans="16:16">
      <c r="P4162" s="2498"/>
    </row>
    <row r="4163" spans="16:16">
      <c r="P4163" s="2498"/>
    </row>
    <row r="4164" spans="16:16">
      <c r="P4164" s="2498"/>
    </row>
    <row r="4165" spans="16:16">
      <c r="P4165" s="2498"/>
    </row>
    <row r="4166" spans="16:16">
      <c r="P4166" s="2498"/>
    </row>
    <row r="4167" spans="16:16">
      <c r="P4167" s="2498"/>
    </row>
    <row r="4168" spans="16:16">
      <c r="P4168" s="2498"/>
    </row>
    <row r="4169" spans="16:16">
      <c r="P4169" s="2498"/>
    </row>
    <row r="4170" spans="16:16">
      <c r="P4170" s="2498"/>
    </row>
    <row r="4171" spans="16:16">
      <c r="P4171" s="2498"/>
    </row>
    <row r="4172" spans="16:16">
      <c r="P4172" s="2498"/>
    </row>
    <row r="4173" spans="16:16">
      <c r="P4173" s="2498"/>
    </row>
    <row r="4174" spans="16:16">
      <c r="P4174" s="2498"/>
    </row>
    <row r="4175" spans="16:16">
      <c r="P4175" s="2498"/>
    </row>
    <row r="4176" spans="16:16">
      <c r="P4176" s="2498"/>
    </row>
    <row r="4177" spans="16:16">
      <c r="P4177" s="2498"/>
    </row>
    <row r="4178" spans="16:16">
      <c r="P4178" s="2498"/>
    </row>
    <row r="4179" spans="16:16">
      <c r="P4179" s="2498"/>
    </row>
    <row r="4180" spans="16:16">
      <c r="P4180" s="2498"/>
    </row>
    <row r="4181" spans="16:16">
      <c r="P4181" s="2498"/>
    </row>
    <row r="4182" spans="16:16">
      <c r="P4182" s="2498"/>
    </row>
    <row r="4183" spans="16:16">
      <c r="P4183" s="2498"/>
    </row>
    <row r="4184" spans="16:16">
      <c r="P4184" s="2498"/>
    </row>
    <row r="4185" spans="16:16">
      <c r="P4185" s="2498"/>
    </row>
    <row r="4186" spans="16:16">
      <c r="P4186" s="2498"/>
    </row>
    <row r="4187" spans="16:16">
      <c r="P4187" s="2498"/>
    </row>
    <row r="4188" spans="16:16">
      <c r="P4188" s="2498"/>
    </row>
    <row r="4189" spans="16:16">
      <c r="P4189" s="2498"/>
    </row>
    <row r="4190" spans="16:16">
      <c r="P4190" s="2498"/>
    </row>
    <row r="4191" spans="16:16">
      <c r="P4191" s="2498"/>
    </row>
    <row r="4192" spans="16:16">
      <c r="P4192" s="2498"/>
    </row>
    <row r="4193" spans="16:16">
      <c r="P4193" s="2498"/>
    </row>
    <row r="4194" spans="16:16">
      <c r="P4194" s="2498"/>
    </row>
    <row r="4195" spans="16:16">
      <c r="P4195" s="2498"/>
    </row>
    <row r="4196" spans="16:16">
      <c r="P4196" s="2498"/>
    </row>
    <row r="4197" spans="16:16">
      <c r="P4197" s="2498"/>
    </row>
    <row r="4198" spans="16:16">
      <c r="P4198" s="2498"/>
    </row>
    <row r="4199" spans="16:16">
      <c r="P4199" s="2498"/>
    </row>
    <row r="4200" spans="16:16">
      <c r="P4200" s="2498"/>
    </row>
    <row r="4201" spans="16:16">
      <c r="P4201" s="2498"/>
    </row>
    <row r="4202" spans="16:16">
      <c r="P4202" s="2498"/>
    </row>
    <row r="4203" spans="16:16">
      <c r="P4203" s="2498"/>
    </row>
    <row r="4204" spans="16:16">
      <c r="P4204" s="2498"/>
    </row>
    <row r="4205" spans="16:16">
      <c r="P4205" s="2498"/>
    </row>
    <row r="4206" spans="16:16">
      <c r="P4206" s="2498"/>
    </row>
    <row r="4207" spans="16:16">
      <c r="P4207" s="2498"/>
    </row>
    <row r="4208" spans="16:16">
      <c r="P4208" s="2498"/>
    </row>
    <row r="4209" spans="16:16">
      <c r="P4209" s="2498"/>
    </row>
    <row r="4210" spans="16:16">
      <c r="P4210" s="2498"/>
    </row>
    <row r="4211" spans="16:16">
      <c r="P4211" s="2498"/>
    </row>
    <row r="4212" spans="16:16">
      <c r="P4212" s="2498"/>
    </row>
    <row r="4213" spans="16:16">
      <c r="P4213" s="2498"/>
    </row>
    <row r="4214" spans="16:16">
      <c r="P4214" s="2498"/>
    </row>
    <row r="4215" spans="16:16">
      <c r="P4215" s="2498"/>
    </row>
    <row r="4216" spans="16:16">
      <c r="P4216" s="2498"/>
    </row>
    <row r="4217" spans="16:16">
      <c r="P4217" s="2498"/>
    </row>
    <row r="4218" spans="16:16">
      <c r="P4218" s="2498"/>
    </row>
    <row r="4219" spans="16:16">
      <c r="P4219" s="2498"/>
    </row>
    <row r="4220" spans="16:16">
      <c r="P4220" s="2498"/>
    </row>
    <row r="4221" spans="16:16">
      <c r="P4221" s="2498"/>
    </row>
    <row r="4222" spans="16:16">
      <c r="P4222" s="2498"/>
    </row>
    <row r="4223" spans="16:16">
      <c r="P4223" s="2498"/>
    </row>
    <row r="4224" spans="16:16">
      <c r="P4224" s="2498"/>
    </row>
    <row r="4225" spans="16:16">
      <c r="P4225" s="2498"/>
    </row>
    <row r="4226" spans="16:16">
      <c r="P4226" s="2498"/>
    </row>
    <row r="4227" spans="16:16">
      <c r="P4227" s="2498"/>
    </row>
    <row r="4228" spans="16:16">
      <c r="P4228" s="2498"/>
    </row>
    <row r="4229" spans="16:16">
      <c r="P4229" s="2498"/>
    </row>
    <row r="4230" spans="16:16">
      <c r="P4230" s="2498"/>
    </row>
    <row r="4231" spans="16:16">
      <c r="P4231" s="2498"/>
    </row>
    <row r="4232" spans="16:16">
      <c r="P4232" s="2498"/>
    </row>
    <row r="4233" spans="16:16">
      <c r="P4233" s="2498"/>
    </row>
    <row r="4234" spans="16:16">
      <c r="P4234" s="2498"/>
    </row>
    <row r="4235" spans="16:16">
      <c r="P4235" s="2498"/>
    </row>
    <row r="4236" spans="16:16">
      <c r="P4236" s="2498"/>
    </row>
    <row r="4237" spans="16:16">
      <c r="P4237" s="2498"/>
    </row>
    <row r="4238" spans="16:16">
      <c r="P4238" s="2498"/>
    </row>
    <row r="4239" spans="16:16">
      <c r="P4239" s="2498"/>
    </row>
    <row r="4240" spans="16:16">
      <c r="P4240" s="2498"/>
    </row>
    <row r="4241" spans="16:16">
      <c r="P4241" s="2498"/>
    </row>
    <row r="4242" spans="16:16">
      <c r="P4242" s="2498"/>
    </row>
    <row r="4243" spans="16:16">
      <c r="P4243" s="2498"/>
    </row>
    <row r="4244" spans="16:16">
      <c r="P4244" s="2498"/>
    </row>
    <row r="4245" spans="16:16">
      <c r="P4245" s="2498"/>
    </row>
    <row r="4246" spans="16:16">
      <c r="P4246" s="2498"/>
    </row>
    <row r="4247" spans="16:16">
      <c r="P4247" s="2498"/>
    </row>
    <row r="4248" spans="16:16">
      <c r="P4248" s="2498"/>
    </row>
    <row r="4249" spans="16:16">
      <c r="P4249" s="2498"/>
    </row>
    <row r="4250" spans="16:16">
      <c r="P4250" s="2498"/>
    </row>
    <row r="4251" spans="16:16">
      <c r="P4251" s="2498"/>
    </row>
    <row r="4252" spans="16:16">
      <c r="P4252" s="2498"/>
    </row>
    <row r="4253" spans="16:16">
      <c r="P4253" s="2498"/>
    </row>
    <row r="4254" spans="16:16">
      <c r="P4254" s="2498"/>
    </row>
    <row r="4255" spans="16:16">
      <c r="P4255" s="2498"/>
    </row>
    <row r="4256" spans="16:16">
      <c r="P4256" s="2498"/>
    </row>
    <row r="4257" spans="16:16">
      <c r="P4257" s="2498"/>
    </row>
    <row r="4258" spans="16:16">
      <c r="P4258" s="2498"/>
    </row>
    <row r="4259" spans="16:16">
      <c r="P4259" s="2498"/>
    </row>
    <row r="4260" spans="16:16">
      <c r="P4260" s="2498"/>
    </row>
    <row r="4261" spans="16:16">
      <c r="P4261" s="2498"/>
    </row>
    <row r="4262" spans="16:16">
      <c r="P4262" s="2498"/>
    </row>
    <row r="4263" spans="16:16">
      <c r="P4263" s="2498"/>
    </row>
    <row r="4264" spans="16:16">
      <c r="P4264" s="2498"/>
    </row>
    <row r="4265" spans="16:16">
      <c r="P4265" s="2498"/>
    </row>
    <row r="4266" spans="16:16">
      <c r="P4266" s="2498"/>
    </row>
    <row r="4267" spans="16:16">
      <c r="P4267" s="2498"/>
    </row>
    <row r="4268" spans="16:16">
      <c r="P4268" s="2498"/>
    </row>
    <row r="4269" spans="16:16">
      <c r="P4269" s="2498"/>
    </row>
    <row r="4270" spans="16:16">
      <c r="P4270" s="2498"/>
    </row>
    <row r="4271" spans="16:16">
      <c r="P4271" s="2498"/>
    </row>
    <row r="4272" spans="16:16">
      <c r="P4272" s="2498"/>
    </row>
    <row r="4273" spans="16:16">
      <c r="P4273" s="2498"/>
    </row>
    <row r="4274" spans="16:16">
      <c r="P4274" s="2498"/>
    </row>
    <row r="4275" spans="16:16">
      <c r="P4275" s="2498"/>
    </row>
    <row r="4276" spans="16:16">
      <c r="P4276" s="2498"/>
    </row>
    <row r="4277" spans="16:16">
      <c r="P4277" s="2498"/>
    </row>
    <row r="4278" spans="16:16">
      <c r="P4278" s="2498"/>
    </row>
    <row r="4279" spans="16:16">
      <c r="P4279" s="2498"/>
    </row>
    <row r="4280" spans="16:16">
      <c r="P4280" s="2498"/>
    </row>
    <row r="4281" spans="16:16">
      <c r="P4281" s="2498"/>
    </row>
    <row r="4282" spans="16:16">
      <c r="P4282" s="2498"/>
    </row>
    <row r="4283" spans="16:16">
      <c r="P4283" s="2498"/>
    </row>
    <row r="4284" spans="16:16">
      <c r="P4284" s="2498"/>
    </row>
    <row r="4285" spans="16:16">
      <c r="P4285" s="2498"/>
    </row>
    <row r="4286" spans="16:16">
      <c r="P4286" s="2498"/>
    </row>
    <row r="4287" spans="16:16">
      <c r="P4287" s="2498"/>
    </row>
    <row r="4288" spans="16:16">
      <c r="P4288" s="2498"/>
    </row>
    <row r="4289" spans="16:16">
      <c r="P4289" s="2498"/>
    </row>
    <row r="4290" spans="16:16">
      <c r="P4290" s="2498"/>
    </row>
    <row r="4291" spans="16:16">
      <c r="P4291" s="2498"/>
    </row>
    <row r="4292" spans="16:16">
      <c r="P4292" s="2498"/>
    </row>
    <row r="4293" spans="16:16">
      <c r="P4293" s="2498"/>
    </row>
    <row r="4294" spans="16:16">
      <c r="P4294" s="2498"/>
    </row>
    <row r="4295" spans="16:16">
      <c r="P4295" s="2498"/>
    </row>
    <row r="4296" spans="16:16">
      <c r="P4296" s="2498"/>
    </row>
    <row r="4297" spans="16:16">
      <c r="P4297" s="2498"/>
    </row>
    <row r="4298" spans="16:16">
      <c r="P4298" s="2498"/>
    </row>
    <row r="4299" spans="16:16">
      <c r="P4299" s="2498"/>
    </row>
    <row r="4300" spans="16:16">
      <c r="P4300" s="2498"/>
    </row>
    <row r="4301" spans="16:16">
      <c r="P4301" s="2498"/>
    </row>
    <row r="4302" spans="16:16">
      <c r="P4302" s="2498"/>
    </row>
    <row r="4303" spans="16:16">
      <c r="P4303" s="2498"/>
    </row>
    <row r="4304" spans="16:16">
      <c r="P4304" s="2498"/>
    </row>
    <row r="4305" spans="16:16">
      <c r="P4305" s="2498"/>
    </row>
    <row r="4306" spans="16:16">
      <c r="P4306" s="2498"/>
    </row>
    <row r="4307" spans="16:16">
      <c r="P4307" s="2498"/>
    </row>
    <row r="4308" spans="16:16">
      <c r="P4308" s="2498"/>
    </row>
    <row r="4309" spans="16:16">
      <c r="P4309" s="2498"/>
    </row>
    <row r="4310" spans="16:16">
      <c r="P4310" s="2498"/>
    </row>
    <row r="4311" spans="16:16">
      <c r="P4311" s="2498"/>
    </row>
    <row r="4312" spans="16:16">
      <c r="P4312" s="2498"/>
    </row>
    <row r="4313" spans="16:16">
      <c r="P4313" s="2498"/>
    </row>
    <row r="4314" spans="16:16">
      <c r="P4314" s="2498"/>
    </row>
    <row r="4315" spans="16:16">
      <c r="P4315" s="2498"/>
    </row>
    <row r="4316" spans="16:16">
      <c r="P4316" s="2498"/>
    </row>
    <row r="4317" spans="16:16">
      <c r="P4317" s="2498"/>
    </row>
    <row r="4318" spans="16:16">
      <c r="P4318" s="2498"/>
    </row>
    <row r="4319" spans="16:16">
      <c r="P4319" s="2498"/>
    </row>
    <row r="4320" spans="16:16">
      <c r="P4320" s="2498"/>
    </row>
    <row r="4321" spans="16:16">
      <c r="P4321" s="2498"/>
    </row>
    <row r="4322" spans="16:16">
      <c r="P4322" s="2498"/>
    </row>
    <row r="4323" spans="16:16">
      <c r="P4323" s="2498"/>
    </row>
    <row r="4324" spans="16:16">
      <c r="P4324" s="2498"/>
    </row>
    <row r="4325" spans="16:16">
      <c r="P4325" s="2498"/>
    </row>
    <row r="4326" spans="16:16">
      <c r="P4326" s="2498"/>
    </row>
    <row r="4327" spans="16:16">
      <c r="P4327" s="2498"/>
    </row>
    <row r="4328" spans="16:16">
      <c r="P4328" s="2498"/>
    </row>
    <row r="4329" spans="16:16">
      <c r="P4329" s="2498"/>
    </row>
    <row r="4330" spans="16:16">
      <c r="P4330" s="2498"/>
    </row>
    <row r="4331" spans="16:16">
      <c r="P4331" s="2498"/>
    </row>
    <row r="4332" spans="16:16">
      <c r="P4332" s="2498"/>
    </row>
    <row r="4333" spans="16:16">
      <c r="P4333" s="2498"/>
    </row>
    <row r="4334" spans="16:16">
      <c r="P4334" s="2498"/>
    </row>
    <row r="4335" spans="16:16">
      <c r="P4335" s="2498"/>
    </row>
    <row r="4336" spans="16:16">
      <c r="P4336" s="2498"/>
    </row>
    <row r="4337" spans="16:16">
      <c r="P4337" s="2498"/>
    </row>
    <row r="4338" spans="16:16">
      <c r="P4338" s="2498"/>
    </row>
    <row r="4339" spans="16:16">
      <c r="P4339" s="2498"/>
    </row>
    <row r="4340" spans="16:16">
      <c r="P4340" s="2498"/>
    </row>
    <row r="4341" spans="16:16">
      <c r="P4341" s="2498"/>
    </row>
    <row r="4342" spans="16:16">
      <c r="P4342" s="2498"/>
    </row>
    <row r="4343" spans="16:16">
      <c r="P4343" s="2498"/>
    </row>
    <row r="4344" spans="16:16">
      <c r="P4344" s="2498"/>
    </row>
    <row r="4345" spans="16:16">
      <c r="P4345" s="2498"/>
    </row>
    <row r="4346" spans="16:16">
      <c r="P4346" s="2498"/>
    </row>
    <row r="4347" spans="16:16">
      <c r="P4347" s="2498"/>
    </row>
    <row r="4348" spans="16:16">
      <c r="P4348" s="2498"/>
    </row>
    <row r="4349" spans="16:16">
      <c r="P4349" s="2498"/>
    </row>
    <row r="4350" spans="16:16">
      <c r="P4350" s="2498"/>
    </row>
    <row r="4351" spans="16:16">
      <c r="P4351" s="2498"/>
    </row>
    <row r="4352" spans="16:16">
      <c r="P4352" s="2498"/>
    </row>
    <row r="4353" spans="16:16">
      <c r="P4353" s="2498"/>
    </row>
    <row r="4354" spans="16:16">
      <c r="P4354" s="2498"/>
    </row>
    <row r="4355" spans="16:16">
      <c r="P4355" s="2498"/>
    </row>
    <row r="4356" spans="16:16">
      <c r="P4356" s="2498"/>
    </row>
    <row r="4357" spans="16:16">
      <c r="P4357" s="2498"/>
    </row>
    <row r="4358" spans="16:16">
      <c r="P4358" s="2498"/>
    </row>
    <row r="4359" spans="16:16">
      <c r="P4359" s="2498"/>
    </row>
    <row r="4360" spans="16:16">
      <c r="P4360" s="2498"/>
    </row>
    <row r="4361" spans="16:16">
      <c r="P4361" s="2498"/>
    </row>
    <row r="4362" spans="16:16">
      <c r="P4362" s="2498"/>
    </row>
    <row r="4363" spans="16:16">
      <c r="P4363" s="2498"/>
    </row>
    <row r="4364" spans="16:16">
      <c r="P4364" s="2498"/>
    </row>
    <row r="4365" spans="16:16">
      <c r="P4365" s="2498"/>
    </row>
    <row r="4366" spans="16:16">
      <c r="P4366" s="2498"/>
    </row>
    <row r="4367" spans="16:16">
      <c r="P4367" s="2498"/>
    </row>
    <row r="4368" spans="16:16">
      <c r="P4368" s="2498"/>
    </row>
    <row r="4369" spans="16:16">
      <c r="P4369" s="2498"/>
    </row>
    <row r="4370" spans="16:16">
      <c r="P4370" s="2498"/>
    </row>
    <row r="4371" spans="16:16">
      <c r="P4371" s="2498"/>
    </row>
    <row r="4372" spans="16:16">
      <c r="P4372" s="2498"/>
    </row>
    <row r="4373" spans="16:16">
      <c r="P4373" s="2498"/>
    </row>
    <row r="4374" spans="16:16">
      <c r="P4374" s="2498"/>
    </row>
    <row r="4375" spans="16:16">
      <c r="P4375" s="2498"/>
    </row>
    <row r="4376" spans="16:16">
      <c r="P4376" s="2498"/>
    </row>
    <row r="4377" spans="16:16">
      <c r="P4377" s="2498"/>
    </row>
    <row r="4378" spans="16:16">
      <c r="P4378" s="2498"/>
    </row>
    <row r="4379" spans="16:16">
      <c r="P4379" s="2498"/>
    </row>
    <row r="4380" spans="16:16">
      <c r="P4380" s="2498"/>
    </row>
    <row r="4381" spans="16:16">
      <c r="P4381" s="2498"/>
    </row>
    <row r="4382" spans="16:16">
      <c r="P4382" s="2498"/>
    </row>
    <row r="4383" spans="16:16">
      <c r="P4383" s="2498"/>
    </row>
    <row r="4384" spans="16:16">
      <c r="P4384" s="2498"/>
    </row>
    <row r="4385" spans="16:16">
      <c r="P4385" s="2498"/>
    </row>
    <row r="4386" spans="16:16">
      <c r="P4386" s="2498"/>
    </row>
    <row r="4387" spans="16:16">
      <c r="P4387" s="2498"/>
    </row>
    <row r="4388" spans="16:16">
      <c r="P4388" s="2498"/>
    </row>
    <row r="4389" spans="16:16">
      <c r="P4389" s="2498"/>
    </row>
    <row r="4390" spans="16:16">
      <c r="P4390" s="2498"/>
    </row>
    <row r="4391" spans="16:16">
      <c r="P4391" s="2498"/>
    </row>
    <row r="4392" spans="16:16">
      <c r="P4392" s="2498"/>
    </row>
    <row r="4393" spans="16:16">
      <c r="P4393" s="2498"/>
    </row>
    <row r="4394" spans="16:16">
      <c r="P4394" s="2498"/>
    </row>
    <row r="4395" spans="16:16">
      <c r="P4395" s="2498"/>
    </row>
    <row r="4396" spans="16:16">
      <c r="P4396" s="2498"/>
    </row>
    <row r="4397" spans="16:16">
      <c r="P4397" s="2498"/>
    </row>
    <row r="4398" spans="16:16">
      <c r="P4398" s="2498"/>
    </row>
    <row r="4399" spans="16:16">
      <c r="P4399" s="2498"/>
    </row>
    <row r="4400" spans="16:16">
      <c r="P4400" s="2498"/>
    </row>
    <row r="4401" spans="16:16">
      <c r="P4401" s="2498"/>
    </row>
    <row r="4402" spans="16:16">
      <c r="P4402" s="2498"/>
    </row>
    <row r="4403" spans="16:16">
      <c r="P4403" s="2498"/>
    </row>
    <row r="4404" spans="16:16">
      <c r="P4404" s="2498"/>
    </row>
    <row r="4405" spans="16:16">
      <c r="P4405" s="2498"/>
    </row>
    <row r="4406" spans="16:16">
      <c r="P4406" s="2498"/>
    </row>
    <row r="4407" spans="16:16">
      <c r="P4407" s="2498"/>
    </row>
    <row r="4408" spans="16:16">
      <c r="P4408" s="2498"/>
    </row>
    <row r="4409" spans="16:16">
      <c r="P4409" s="2498"/>
    </row>
    <row r="4410" spans="16:16">
      <c r="P4410" s="2498"/>
    </row>
    <row r="4411" spans="16:16">
      <c r="P4411" s="2498"/>
    </row>
    <row r="4412" spans="16:16">
      <c r="P4412" s="2498"/>
    </row>
    <row r="4413" spans="16:16">
      <c r="P4413" s="2498"/>
    </row>
    <row r="4414" spans="16:16">
      <c r="P4414" s="2498"/>
    </row>
    <row r="4415" spans="16:16">
      <c r="P4415" s="2498"/>
    </row>
    <row r="4416" spans="16:16">
      <c r="P4416" s="2498"/>
    </row>
    <row r="4417" spans="16:16">
      <c r="P4417" s="2498"/>
    </row>
    <row r="4418" spans="16:16">
      <c r="P4418" s="2498"/>
    </row>
    <row r="4419" spans="16:16">
      <c r="P4419" s="2498"/>
    </row>
    <row r="4420" spans="16:16">
      <c r="P4420" s="2498"/>
    </row>
    <row r="4421" spans="16:16">
      <c r="P4421" s="2498"/>
    </row>
    <row r="4422" spans="16:16">
      <c r="P4422" s="2498"/>
    </row>
    <row r="4423" spans="16:16">
      <c r="P4423" s="2498"/>
    </row>
    <row r="4424" spans="16:16">
      <c r="P4424" s="2498"/>
    </row>
    <row r="4425" spans="16:16">
      <c r="P4425" s="2498"/>
    </row>
    <row r="4426" spans="16:16">
      <c r="P4426" s="2498"/>
    </row>
    <row r="4427" spans="16:16">
      <c r="P4427" s="2498"/>
    </row>
    <row r="4428" spans="16:16">
      <c r="P4428" s="2498"/>
    </row>
    <row r="4429" spans="16:16">
      <c r="P4429" s="2498"/>
    </row>
    <row r="4430" spans="16:16">
      <c r="P4430" s="2498"/>
    </row>
    <row r="4431" spans="16:16">
      <c r="P4431" s="2498"/>
    </row>
    <row r="4432" spans="16:16">
      <c r="P4432" s="2498"/>
    </row>
    <row r="4433" spans="16:16">
      <c r="P4433" s="2498"/>
    </row>
    <row r="4434" spans="16:16">
      <c r="P4434" s="2498"/>
    </row>
    <row r="4435" spans="16:16">
      <c r="P4435" s="2498"/>
    </row>
    <row r="4436" spans="16:16">
      <c r="P4436" s="2498"/>
    </row>
    <row r="4437" spans="16:16">
      <c r="P4437" s="2498"/>
    </row>
    <row r="4438" spans="16:16">
      <c r="P4438" s="2498"/>
    </row>
    <row r="4439" spans="16:16">
      <c r="P4439" s="2498"/>
    </row>
    <row r="4440" spans="16:16">
      <c r="P4440" s="2498"/>
    </row>
    <row r="4441" spans="16:16">
      <c r="P4441" s="2498"/>
    </row>
    <row r="4442" spans="16:16">
      <c r="P4442" s="2498"/>
    </row>
    <row r="4443" spans="16:16">
      <c r="P4443" s="2498"/>
    </row>
    <row r="4444" spans="16:16">
      <c r="P4444" s="2498"/>
    </row>
    <row r="4445" spans="16:16">
      <c r="P4445" s="2498"/>
    </row>
    <row r="4446" spans="16:16">
      <c r="P4446" s="2498"/>
    </row>
    <row r="4447" spans="16:16">
      <c r="P4447" s="2498"/>
    </row>
    <row r="4448" spans="16:16">
      <c r="P4448" s="2498"/>
    </row>
    <row r="4449" spans="16:16">
      <c r="P4449" s="2498"/>
    </row>
    <row r="4450" spans="16:16">
      <c r="P4450" s="2498"/>
    </row>
    <row r="4451" spans="16:16">
      <c r="P4451" s="2498"/>
    </row>
    <row r="4452" spans="16:16">
      <c r="P4452" s="2498"/>
    </row>
    <row r="4453" spans="16:16">
      <c r="P4453" s="2498"/>
    </row>
    <row r="4454" spans="16:16">
      <c r="P4454" s="2498"/>
    </row>
    <row r="4455" spans="16:16">
      <c r="P4455" s="2498"/>
    </row>
    <row r="4456" spans="16:16">
      <c r="P4456" s="2498"/>
    </row>
    <row r="4457" spans="16:16">
      <c r="P4457" s="2498"/>
    </row>
    <row r="4458" spans="16:16">
      <c r="P4458" s="2498"/>
    </row>
    <row r="4459" spans="16:16">
      <c r="P4459" s="2498"/>
    </row>
    <row r="4460" spans="16:16">
      <c r="P4460" s="2498"/>
    </row>
    <row r="4461" spans="16:16">
      <c r="P4461" s="2498"/>
    </row>
    <row r="4462" spans="16:16">
      <c r="P4462" s="2498"/>
    </row>
    <row r="4463" spans="16:16">
      <c r="P4463" s="2498"/>
    </row>
    <row r="4464" spans="16:16">
      <c r="P4464" s="2498"/>
    </row>
    <row r="4465" spans="16:16">
      <c r="P4465" s="2498"/>
    </row>
    <row r="4466" spans="16:16">
      <c r="P4466" s="2498"/>
    </row>
    <row r="4467" spans="16:16">
      <c r="P4467" s="2498"/>
    </row>
    <row r="4468" spans="16:16">
      <c r="P4468" s="2498"/>
    </row>
    <row r="4469" spans="16:16">
      <c r="P4469" s="2498"/>
    </row>
    <row r="4470" spans="16:16">
      <c r="P4470" s="2498"/>
    </row>
    <row r="4471" spans="16:16">
      <c r="P4471" s="2498"/>
    </row>
    <row r="4472" spans="16:16">
      <c r="P4472" s="2498"/>
    </row>
    <row r="4473" spans="16:16">
      <c r="P4473" s="2498"/>
    </row>
    <row r="4474" spans="16:16">
      <c r="P4474" s="2498"/>
    </row>
    <row r="4475" spans="16:16">
      <c r="P4475" s="2498"/>
    </row>
    <row r="4476" spans="16:16">
      <c r="P4476" s="2498"/>
    </row>
    <row r="4477" spans="16:16">
      <c r="P4477" s="2498"/>
    </row>
    <row r="4478" spans="16:16">
      <c r="P4478" s="2498"/>
    </row>
    <row r="4479" spans="16:16">
      <c r="P4479" s="2498"/>
    </row>
    <row r="4480" spans="16:16">
      <c r="P4480" s="2498"/>
    </row>
    <row r="4481" spans="16:16">
      <c r="P4481" s="2498"/>
    </row>
    <row r="4482" spans="16:16">
      <c r="P4482" s="2498"/>
    </row>
    <row r="4483" spans="16:16">
      <c r="P4483" s="2498"/>
    </row>
    <row r="4484" spans="16:16">
      <c r="P4484" s="2498"/>
    </row>
    <row r="4485" spans="16:16">
      <c r="P4485" s="2498"/>
    </row>
    <row r="4486" spans="16:16">
      <c r="P4486" s="2498"/>
    </row>
    <row r="4487" spans="16:16">
      <c r="P4487" s="2498"/>
    </row>
    <row r="4488" spans="16:16">
      <c r="P4488" s="2498"/>
    </row>
    <row r="4489" spans="16:16">
      <c r="P4489" s="2498"/>
    </row>
    <row r="4490" spans="16:16">
      <c r="P4490" s="2498"/>
    </row>
    <row r="4491" spans="16:16">
      <c r="P4491" s="2498"/>
    </row>
    <row r="4492" spans="16:16">
      <c r="P4492" s="2498"/>
    </row>
    <row r="4493" spans="16:16">
      <c r="P4493" s="2498"/>
    </row>
    <row r="4494" spans="16:16">
      <c r="P4494" s="2498"/>
    </row>
    <row r="4495" spans="16:16">
      <c r="P4495" s="2498"/>
    </row>
    <row r="4496" spans="16:16">
      <c r="P4496" s="2498"/>
    </row>
    <row r="4497" spans="16:16">
      <c r="P4497" s="2498"/>
    </row>
    <row r="4498" spans="16:16">
      <c r="P4498" s="2498"/>
    </row>
    <row r="4499" spans="16:16">
      <c r="P4499" s="2498"/>
    </row>
    <row r="4500" spans="16:16">
      <c r="P4500" s="2498"/>
    </row>
    <row r="4501" spans="16:16">
      <c r="P4501" s="2498"/>
    </row>
    <row r="4502" spans="16:16">
      <c r="P4502" s="2498"/>
    </row>
    <row r="4503" spans="16:16">
      <c r="P4503" s="2498"/>
    </row>
    <row r="4504" spans="16:16">
      <c r="P4504" s="2498"/>
    </row>
    <row r="4505" spans="16:16">
      <c r="P4505" s="2498"/>
    </row>
    <row r="4506" spans="16:16">
      <c r="P4506" s="2498"/>
    </row>
    <row r="4507" spans="16:16">
      <c r="P4507" s="2498"/>
    </row>
    <row r="4508" spans="16:16">
      <c r="P4508" s="2498"/>
    </row>
    <row r="4509" spans="16:16">
      <c r="P4509" s="2498"/>
    </row>
    <row r="4510" spans="16:16">
      <c r="P4510" s="2498"/>
    </row>
    <row r="4511" spans="16:16">
      <c r="P4511" s="2498"/>
    </row>
    <row r="4512" spans="16:16">
      <c r="P4512" s="2498"/>
    </row>
    <row r="4513" spans="16:16">
      <c r="P4513" s="2498"/>
    </row>
    <row r="4514" spans="16:16">
      <c r="P4514" s="2498"/>
    </row>
    <row r="4515" spans="16:16">
      <c r="P4515" s="2498"/>
    </row>
    <row r="4516" spans="16:16">
      <c r="P4516" s="2498"/>
    </row>
    <row r="4517" spans="16:16">
      <c r="P4517" s="2498"/>
    </row>
    <row r="4518" spans="16:16">
      <c r="P4518" s="2498"/>
    </row>
    <row r="4519" spans="16:16">
      <c r="P4519" s="2498"/>
    </row>
    <row r="4520" spans="16:16">
      <c r="P4520" s="2498"/>
    </row>
    <row r="4521" spans="16:16">
      <c r="P4521" s="2498"/>
    </row>
    <row r="4522" spans="16:16">
      <c r="P4522" s="2498"/>
    </row>
    <row r="4523" spans="16:16">
      <c r="P4523" s="2498"/>
    </row>
    <row r="4524" spans="16:16">
      <c r="P4524" s="2498"/>
    </row>
    <row r="4525" spans="16:16">
      <c r="P4525" s="2498"/>
    </row>
    <row r="4526" spans="16:16">
      <c r="P4526" s="2498"/>
    </row>
    <row r="4527" spans="16:16">
      <c r="P4527" s="2498"/>
    </row>
    <row r="4528" spans="16:16">
      <c r="P4528" s="2498"/>
    </row>
    <row r="4529" spans="16:16">
      <c r="P4529" s="2498"/>
    </row>
    <row r="4530" spans="16:16">
      <c r="P4530" s="2498"/>
    </row>
    <row r="4531" spans="16:16">
      <c r="P4531" s="2498"/>
    </row>
    <row r="4532" spans="16:16">
      <c r="P4532" s="2498"/>
    </row>
    <row r="4533" spans="16:16">
      <c r="P4533" s="2498"/>
    </row>
    <row r="4534" spans="16:16">
      <c r="P4534" s="2498"/>
    </row>
    <row r="4535" spans="16:16">
      <c r="P4535" s="2498"/>
    </row>
    <row r="4536" spans="16:16">
      <c r="P4536" s="2498"/>
    </row>
    <row r="4537" spans="16:16">
      <c r="P4537" s="2498"/>
    </row>
    <row r="4538" spans="16:16">
      <c r="P4538" s="2498"/>
    </row>
    <row r="4539" spans="16:16">
      <c r="P4539" s="2498"/>
    </row>
    <row r="4540" spans="16:16">
      <c r="P4540" s="2498"/>
    </row>
    <row r="4541" spans="16:16">
      <c r="P4541" s="2498"/>
    </row>
    <row r="4542" spans="16:16">
      <c r="P4542" s="2498"/>
    </row>
    <row r="4543" spans="16:16">
      <c r="P4543" s="2498"/>
    </row>
    <row r="4544" spans="16:16">
      <c r="P4544" s="2498"/>
    </row>
    <row r="4545" spans="16:16">
      <c r="P4545" s="2498"/>
    </row>
    <row r="4546" spans="16:16">
      <c r="P4546" s="2498"/>
    </row>
    <row r="4547" spans="16:16">
      <c r="P4547" s="2498"/>
    </row>
    <row r="4548" spans="16:16">
      <c r="P4548" s="2498"/>
    </row>
    <row r="4549" spans="16:16">
      <c r="P4549" s="2498"/>
    </row>
    <row r="4550" spans="16:16">
      <c r="P4550" s="2498"/>
    </row>
    <row r="4551" spans="16:16">
      <c r="P4551" s="2498"/>
    </row>
    <row r="4552" spans="16:16">
      <c r="P4552" s="2498"/>
    </row>
    <row r="4553" spans="16:16">
      <c r="P4553" s="2498"/>
    </row>
    <row r="4554" spans="16:16">
      <c r="P4554" s="2498"/>
    </row>
    <row r="4555" spans="16:16">
      <c r="P4555" s="2498"/>
    </row>
    <row r="4556" spans="16:16">
      <c r="P4556" s="2498"/>
    </row>
    <row r="4557" spans="16:16">
      <c r="P4557" s="2498"/>
    </row>
    <row r="4558" spans="16:16">
      <c r="P4558" s="2498"/>
    </row>
    <row r="4559" spans="16:16">
      <c r="P4559" s="2498"/>
    </row>
    <row r="4560" spans="16:16">
      <c r="P4560" s="2498"/>
    </row>
    <row r="4561" spans="16:16">
      <c r="P4561" s="2498"/>
    </row>
    <row r="4562" spans="16:16">
      <c r="P4562" s="2498"/>
    </row>
    <row r="4563" spans="16:16">
      <c r="P4563" s="2498"/>
    </row>
    <row r="4564" spans="16:16">
      <c r="P4564" s="2498"/>
    </row>
    <row r="4565" spans="16:16">
      <c r="P4565" s="2498"/>
    </row>
    <row r="4566" spans="16:16">
      <c r="P4566" s="2498"/>
    </row>
    <row r="4567" spans="16:16">
      <c r="P4567" s="2498"/>
    </row>
    <row r="4568" spans="16:16">
      <c r="P4568" s="2498"/>
    </row>
    <row r="4569" spans="16:16">
      <c r="P4569" s="2498"/>
    </row>
    <row r="4570" spans="16:16">
      <c r="P4570" s="2498"/>
    </row>
    <row r="4571" spans="16:16">
      <c r="P4571" s="2498"/>
    </row>
    <row r="4572" spans="16:16">
      <c r="P4572" s="2498"/>
    </row>
    <row r="4573" spans="16:16">
      <c r="P4573" s="2498"/>
    </row>
    <row r="4574" spans="16:16">
      <c r="P4574" s="2498"/>
    </row>
    <row r="4575" spans="16:16">
      <c r="P4575" s="2498"/>
    </row>
    <row r="4576" spans="16:16">
      <c r="P4576" s="2498"/>
    </row>
    <row r="4577" spans="16:16">
      <c r="P4577" s="2498"/>
    </row>
    <row r="4578" spans="16:16">
      <c r="P4578" s="2498"/>
    </row>
    <row r="4579" spans="16:16">
      <c r="P4579" s="2498"/>
    </row>
    <row r="4580" spans="16:16">
      <c r="P4580" s="2498"/>
    </row>
    <row r="4581" spans="16:16">
      <c r="P4581" s="2498"/>
    </row>
    <row r="4582" spans="16:16">
      <c r="P4582" s="2498"/>
    </row>
    <row r="4583" spans="16:16">
      <c r="P4583" s="2498"/>
    </row>
    <row r="4584" spans="16:16">
      <c r="P4584" s="2498"/>
    </row>
    <row r="4585" spans="16:16">
      <c r="P4585" s="2498"/>
    </row>
    <row r="4586" spans="16:16">
      <c r="P4586" s="2498"/>
    </row>
    <row r="4587" spans="16:16">
      <c r="P4587" s="2498"/>
    </row>
    <row r="4588" spans="16:16">
      <c r="P4588" s="2498"/>
    </row>
    <row r="4589" spans="16:16">
      <c r="P4589" s="2498"/>
    </row>
    <row r="4590" spans="16:16">
      <c r="P4590" s="2498"/>
    </row>
    <row r="4591" spans="16:16">
      <c r="P4591" s="2498"/>
    </row>
    <row r="4592" spans="16:16">
      <c r="P4592" s="2498"/>
    </row>
    <row r="4593" spans="16:16">
      <c r="P4593" s="2498"/>
    </row>
    <row r="4594" spans="16:16">
      <c r="P4594" s="2498"/>
    </row>
    <row r="4595" spans="16:16">
      <c r="P4595" s="2498"/>
    </row>
    <row r="4596" spans="16:16">
      <c r="P4596" s="2498"/>
    </row>
    <row r="4597" spans="16:16">
      <c r="P4597" s="2498"/>
    </row>
    <row r="4598" spans="16:16">
      <c r="P4598" s="2498"/>
    </row>
    <row r="4599" spans="16:16">
      <c r="P4599" s="2498"/>
    </row>
    <row r="4600" spans="16:16">
      <c r="P4600" s="2498"/>
    </row>
    <row r="4601" spans="16:16">
      <c r="P4601" s="2498"/>
    </row>
    <row r="4602" spans="16:16">
      <c r="P4602" s="2498"/>
    </row>
    <row r="4603" spans="16:16">
      <c r="P4603" s="2498"/>
    </row>
    <row r="4604" spans="16:16">
      <c r="P4604" s="2498"/>
    </row>
    <row r="4605" spans="16:16">
      <c r="P4605" s="2498"/>
    </row>
    <row r="4606" spans="16:16">
      <c r="P4606" s="2498"/>
    </row>
    <row r="4607" spans="16:16">
      <c r="P4607" s="2498"/>
    </row>
    <row r="4608" spans="16:16">
      <c r="P4608" s="2498"/>
    </row>
    <row r="4609" spans="16:16">
      <c r="P4609" s="2498"/>
    </row>
    <row r="4610" spans="16:16">
      <c r="P4610" s="2498"/>
    </row>
    <row r="4611" spans="16:16">
      <c r="P4611" s="2498"/>
    </row>
    <row r="4612" spans="16:16">
      <c r="P4612" s="2498"/>
    </row>
    <row r="4613" spans="16:16">
      <c r="P4613" s="2498"/>
    </row>
    <row r="4614" spans="16:16">
      <c r="P4614" s="2498"/>
    </row>
    <row r="4615" spans="16:16">
      <c r="P4615" s="2498"/>
    </row>
    <row r="4616" spans="16:16">
      <c r="P4616" s="2498"/>
    </row>
    <row r="4617" spans="16:16">
      <c r="P4617" s="2498"/>
    </row>
    <row r="4618" spans="16:16">
      <c r="P4618" s="2498"/>
    </row>
    <row r="4619" spans="16:16">
      <c r="P4619" s="2498"/>
    </row>
    <row r="4620" spans="16:16">
      <c r="P4620" s="2498"/>
    </row>
    <row r="4621" spans="16:16">
      <c r="P4621" s="2498"/>
    </row>
    <row r="4622" spans="16:16">
      <c r="P4622" s="2498"/>
    </row>
    <row r="4623" spans="16:16">
      <c r="P4623" s="2498"/>
    </row>
    <row r="4624" spans="16:16">
      <c r="P4624" s="2498"/>
    </row>
    <row r="4625" spans="16:16">
      <c r="P4625" s="2498"/>
    </row>
    <row r="4626" spans="16:16">
      <c r="P4626" s="2498"/>
    </row>
    <row r="4627" spans="16:16">
      <c r="P4627" s="2498"/>
    </row>
    <row r="4628" spans="16:16">
      <c r="P4628" s="2498"/>
    </row>
    <row r="4629" spans="16:16">
      <c r="P4629" s="2498"/>
    </row>
    <row r="4630" spans="16:16">
      <c r="P4630" s="2498"/>
    </row>
    <row r="4631" spans="16:16">
      <c r="P4631" s="2498"/>
    </row>
    <row r="4632" spans="16:16">
      <c r="P4632" s="2498"/>
    </row>
    <row r="4633" spans="16:16">
      <c r="P4633" s="2498"/>
    </row>
    <row r="4634" spans="16:16">
      <c r="P4634" s="2498"/>
    </row>
    <row r="4635" spans="16:16">
      <c r="P4635" s="2498"/>
    </row>
    <row r="4636" spans="16:16">
      <c r="P4636" s="2498"/>
    </row>
    <row r="4637" spans="16:16">
      <c r="P4637" s="2498"/>
    </row>
    <row r="4638" spans="16:16">
      <c r="P4638" s="2498"/>
    </row>
    <row r="4639" spans="16:16">
      <c r="P4639" s="2498"/>
    </row>
    <row r="4640" spans="16:16">
      <c r="P4640" s="2498"/>
    </row>
    <row r="4641" spans="16:16">
      <c r="P4641" s="2498"/>
    </row>
    <row r="4642" spans="16:16">
      <c r="P4642" s="2498"/>
    </row>
    <row r="4643" spans="16:16">
      <c r="P4643" s="2498"/>
    </row>
    <row r="4644" spans="16:16">
      <c r="P4644" s="2498"/>
    </row>
    <row r="4645" spans="16:16">
      <c r="P4645" s="2498"/>
    </row>
    <row r="4646" spans="16:16">
      <c r="P4646" s="2498"/>
    </row>
    <row r="4647" spans="16:16">
      <c r="P4647" s="2498"/>
    </row>
    <row r="4648" spans="16:16">
      <c r="P4648" s="2498"/>
    </row>
    <row r="4649" spans="16:16">
      <c r="P4649" s="2498"/>
    </row>
    <row r="4650" spans="16:16">
      <c r="P4650" s="2498"/>
    </row>
    <row r="4651" spans="16:16">
      <c r="P4651" s="2498"/>
    </row>
    <row r="4652" spans="16:16">
      <c r="P4652" s="2498"/>
    </row>
    <row r="4653" spans="16:16">
      <c r="P4653" s="2498"/>
    </row>
    <row r="4654" spans="16:16">
      <c r="P4654" s="2498"/>
    </row>
    <row r="4655" spans="16:16">
      <c r="P4655" s="2498"/>
    </row>
    <row r="4656" spans="16:16">
      <c r="P4656" s="2498"/>
    </row>
    <row r="4657" spans="16:16">
      <c r="P4657" s="2498"/>
    </row>
    <row r="4658" spans="16:16">
      <c r="P4658" s="2498"/>
    </row>
    <row r="4659" spans="16:16">
      <c r="P4659" s="2498"/>
    </row>
    <row r="4660" spans="16:16">
      <c r="P4660" s="2498"/>
    </row>
    <row r="4661" spans="16:16">
      <c r="P4661" s="2498"/>
    </row>
    <row r="4662" spans="16:16">
      <c r="P4662" s="2498"/>
    </row>
    <row r="4663" spans="16:16">
      <c r="P4663" s="2498"/>
    </row>
    <row r="4664" spans="16:16">
      <c r="P4664" s="2498"/>
    </row>
    <row r="4665" spans="16:16">
      <c r="P4665" s="2498"/>
    </row>
    <row r="4666" spans="16:16">
      <c r="P4666" s="2498"/>
    </row>
    <row r="4667" spans="16:16">
      <c r="P4667" s="2498"/>
    </row>
    <row r="4668" spans="16:16">
      <c r="P4668" s="2498"/>
    </row>
    <row r="4669" spans="16:16">
      <c r="P4669" s="2498"/>
    </row>
    <row r="4670" spans="16:16">
      <c r="P4670" s="2498"/>
    </row>
    <row r="4671" spans="16:16">
      <c r="P4671" s="2498"/>
    </row>
    <row r="4672" spans="16:16">
      <c r="P4672" s="2498"/>
    </row>
    <row r="4673" spans="16:16">
      <c r="P4673" s="2498"/>
    </row>
    <row r="4674" spans="16:16">
      <c r="P4674" s="2498"/>
    </row>
    <row r="4675" spans="16:16">
      <c r="P4675" s="2498"/>
    </row>
    <row r="4676" spans="16:16">
      <c r="P4676" s="2498"/>
    </row>
    <row r="4677" spans="16:16">
      <c r="P4677" s="2498"/>
    </row>
    <row r="4678" spans="16:16">
      <c r="P4678" s="2498"/>
    </row>
    <row r="4679" spans="16:16">
      <c r="P4679" s="2498"/>
    </row>
    <row r="4680" spans="16:16">
      <c r="P4680" s="2498"/>
    </row>
    <row r="4681" spans="16:16">
      <c r="P4681" s="2498"/>
    </row>
    <row r="4682" spans="16:16">
      <c r="P4682" s="2498"/>
    </row>
    <row r="4683" spans="16:16">
      <c r="P4683" s="2498"/>
    </row>
    <row r="4684" spans="16:16">
      <c r="P4684" s="2498"/>
    </row>
    <row r="4685" spans="16:16">
      <c r="P4685" s="2498"/>
    </row>
    <row r="4686" spans="16:16">
      <c r="P4686" s="2498"/>
    </row>
    <row r="4687" spans="16:16">
      <c r="P4687" s="2498"/>
    </row>
    <row r="4688" spans="16:16">
      <c r="P4688" s="2498"/>
    </row>
    <row r="4689" spans="16:16">
      <c r="P4689" s="2498"/>
    </row>
    <row r="4690" spans="16:16">
      <c r="P4690" s="2498"/>
    </row>
    <row r="4691" spans="16:16">
      <c r="P4691" s="2498"/>
    </row>
    <row r="4692" spans="16:16">
      <c r="P4692" s="2498"/>
    </row>
    <row r="4693" spans="16:16">
      <c r="P4693" s="2498"/>
    </row>
    <row r="4694" spans="16:16">
      <c r="P4694" s="2498"/>
    </row>
    <row r="4695" spans="16:16">
      <c r="P4695" s="2498"/>
    </row>
    <row r="4696" spans="16:16">
      <c r="P4696" s="2498"/>
    </row>
    <row r="4697" spans="16:16">
      <c r="P4697" s="2498"/>
    </row>
    <row r="4698" spans="16:16">
      <c r="P4698" s="2498"/>
    </row>
    <row r="4699" spans="16:16">
      <c r="P4699" s="2498"/>
    </row>
    <row r="4700" spans="16:16">
      <c r="P4700" s="2498"/>
    </row>
    <row r="4701" spans="16:16">
      <c r="P4701" s="2498"/>
    </row>
    <row r="4702" spans="16:16">
      <c r="P4702" s="2498"/>
    </row>
    <row r="4703" spans="16:16">
      <c r="P4703" s="2498"/>
    </row>
    <row r="4704" spans="16:16">
      <c r="P4704" s="2498"/>
    </row>
    <row r="4705" spans="16:16">
      <c r="P4705" s="2498"/>
    </row>
    <row r="4706" spans="16:16">
      <c r="P4706" s="2498"/>
    </row>
    <row r="4707" spans="16:16">
      <c r="P4707" s="2498"/>
    </row>
    <row r="4708" spans="16:16">
      <c r="P4708" s="2498"/>
    </row>
    <row r="4709" spans="16:16">
      <c r="P4709" s="2498"/>
    </row>
    <row r="4710" spans="16:16">
      <c r="P4710" s="2498"/>
    </row>
    <row r="4711" spans="16:16">
      <c r="P4711" s="2498"/>
    </row>
    <row r="4712" spans="16:16">
      <c r="P4712" s="2498"/>
    </row>
    <row r="4713" spans="16:16">
      <c r="P4713" s="2498"/>
    </row>
    <row r="4714" spans="16:16">
      <c r="P4714" s="2498"/>
    </row>
    <row r="4715" spans="16:16">
      <c r="P4715" s="2498"/>
    </row>
    <row r="4716" spans="16:16">
      <c r="P4716" s="2498"/>
    </row>
    <row r="4717" spans="16:16">
      <c r="P4717" s="2498"/>
    </row>
    <row r="4718" spans="16:16">
      <c r="P4718" s="2498"/>
    </row>
    <row r="4719" spans="16:16">
      <c r="P4719" s="2498"/>
    </row>
    <row r="4720" spans="16:16">
      <c r="P4720" s="2498"/>
    </row>
    <row r="4721" spans="16:16">
      <c r="P4721" s="2498"/>
    </row>
    <row r="4722" spans="16:16">
      <c r="P4722" s="2498"/>
    </row>
    <row r="4723" spans="16:16">
      <c r="P4723" s="2498"/>
    </row>
    <row r="4724" spans="16:16">
      <c r="P4724" s="2498"/>
    </row>
    <row r="4725" spans="16:16">
      <c r="P4725" s="2498"/>
    </row>
    <row r="4726" spans="16:16">
      <c r="P4726" s="2498"/>
    </row>
    <row r="4727" spans="16:16">
      <c r="P4727" s="2498"/>
    </row>
    <row r="4728" spans="16:16">
      <c r="P4728" s="2498"/>
    </row>
    <row r="4729" spans="16:16">
      <c r="P4729" s="2498"/>
    </row>
    <row r="4730" spans="16:16">
      <c r="P4730" s="2498"/>
    </row>
    <row r="4731" spans="16:16">
      <c r="P4731" s="2498"/>
    </row>
    <row r="4732" spans="16:16">
      <c r="P4732" s="2498"/>
    </row>
    <row r="4733" spans="16:16">
      <c r="P4733" s="2498"/>
    </row>
    <row r="4734" spans="16:16">
      <c r="P4734" s="2498"/>
    </row>
    <row r="4735" spans="16:16">
      <c r="P4735" s="2498"/>
    </row>
    <row r="4736" spans="16:16">
      <c r="P4736" s="2498"/>
    </row>
    <row r="4737" spans="16:16">
      <c r="P4737" s="2498"/>
    </row>
    <row r="4738" spans="16:16">
      <c r="P4738" s="2498"/>
    </row>
    <row r="4739" spans="16:16">
      <c r="P4739" s="2498"/>
    </row>
    <row r="4740" spans="16:16">
      <c r="P4740" s="2498"/>
    </row>
    <row r="4741" spans="16:16">
      <c r="P4741" s="2498"/>
    </row>
    <row r="4742" spans="16:16">
      <c r="P4742" s="2498"/>
    </row>
    <row r="4743" spans="16:16">
      <c r="P4743" s="2498"/>
    </row>
    <row r="4744" spans="16:16">
      <c r="P4744" s="2498"/>
    </row>
    <row r="4745" spans="16:16">
      <c r="P4745" s="2498"/>
    </row>
    <row r="4746" spans="16:16">
      <c r="P4746" s="2498"/>
    </row>
    <row r="4747" spans="16:16">
      <c r="P4747" s="2498"/>
    </row>
    <row r="4748" spans="16:16">
      <c r="P4748" s="2498"/>
    </row>
    <row r="4749" spans="16:16">
      <c r="P4749" s="2498"/>
    </row>
    <row r="4750" spans="16:16">
      <c r="P4750" s="2498"/>
    </row>
    <row r="4751" spans="16:16">
      <c r="P4751" s="2498"/>
    </row>
    <row r="4752" spans="16:16">
      <c r="P4752" s="2498"/>
    </row>
    <row r="4753" spans="16:16">
      <c r="P4753" s="2498"/>
    </row>
    <row r="4754" spans="16:16">
      <c r="P4754" s="2498"/>
    </row>
    <row r="4755" spans="16:16">
      <c r="P4755" s="2498"/>
    </row>
    <row r="4756" spans="16:16">
      <c r="P4756" s="2498"/>
    </row>
    <row r="4757" spans="16:16">
      <c r="P4757" s="2498"/>
    </row>
    <row r="4758" spans="16:16">
      <c r="P4758" s="2498"/>
    </row>
    <row r="4759" spans="16:16">
      <c r="P4759" s="2498"/>
    </row>
    <row r="4760" spans="16:16">
      <c r="P4760" s="2498"/>
    </row>
    <row r="4761" spans="16:16">
      <c r="P4761" s="2498"/>
    </row>
    <row r="4762" spans="16:16">
      <c r="P4762" s="2498"/>
    </row>
    <row r="4763" spans="16:16">
      <c r="P4763" s="2498"/>
    </row>
    <row r="4764" spans="16:16">
      <c r="P4764" s="2498"/>
    </row>
    <row r="4765" spans="16:16">
      <c r="P4765" s="2498"/>
    </row>
    <row r="4766" spans="16:16">
      <c r="P4766" s="2498"/>
    </row>
    <row r="4767" spans="16:16">
      <c r="P4767" s="2498"/>
    </row>
    <row r="4768" spans="16:16">
      <c r="P4768" s="2498"/>
    </row>
    <row r="4769" spans="16:16">
      <c r="P4769" s="2498"/>
    </row>
    <row r="4770" spans="16:16">
      <c r="P4770" s="2498"/>
    </row>
    <row r="4771" spans="16:16">
      <c r="P4771" s="2498"/>
    </row>
    <row r="4772" spans="16:16">
      <c r="P4772" s="2498"/>
    </row>
    <row r="4773" spans="16:16">
      <c r="P4773" s="2498"/>
    </row>
    <row r="4774" spans="16:16">
      <c r="P4774" s="2498"/>
    </row>
    <row r="4775" spans="16:16">
      <c r="P4775" s="2498"/>
    </row>
    <row r="4776" spans="16:16">
      <c r="P4776" s="2498"/>
    </row>
    <row r="4777" spans="16:16">
      <c r="P4777" s="2498"/>
    </row>
    <row r="4778" spans="16:16">
      <c r="P4778" s="2498"/>
    </row>
    <row r="4779" spans="16:16">
      <c r="P4779" s="2498"/>
    </row>
    <row r="4780" spans="16:16">
      <c r="P4780" s="2498"/>
    </row>
    <row r="4781" spans="16:16">
      <c r="P4781" s="2498"/>
    </row>
    <row r="4782" spans="16:16">
      <c r="P4782" s="2498"/>
    </row>
    <row r="4783" spans="16:16">
      <c r="P4783" s="2498"/>
    </row>
    <row r="4784" spans="16:16">
      <c r="P4784" s="2498"/>
    </row>
    <row r="4785" spans="16:16">
      <c r="P4785" s="2498"/>
    </row>
    <row r="4786" spans="16:16">
      <c r="P4786" s="2498"/>
    </row>
    <row r="4787" spans="16:16">
      <c r="P4787" s="2498"/>
    </row>
    <row r="4788" spans="16:16">
      <c r="P4788" s="2498"/>
    </row>
    <row r="4789" spans="16:16">
      <c r="P4789" s="2498"/>
    </row>
    <row r="4790" spans="16:16">
      <c r="P4790" s="2498"/>
    </row>
    <row r="4791" spans="16:16">
      <c r="P4791" s="2498"/>
    </row>
    <row r="4792" spans="16:16">
      <c r="P4792" s="2498"/>
    </row>
    <row r="4793" spans="16:16">
      <c r="P4793" s="2498"/>
    </row>
    <row r="4794" spans="16:16">
      <c r="P4794" s="2498"/>
    </row>
    <row r="4795" spans="16:16">
      <c r="P4795" s="2498"/>
    </row>
    <row r="4796" spans="16:16">
      <c r="P4796" s="2498"/>
    </row>
    <row r="4797" spans="16:16">
      <c r="P4797" s="2498"/>
    </row>
    <row r="4798" spans="16:16">
      <c r="P4798" s="2498"/>
    </row>
    <row r="4799" spans="16:16">
      <c r="P4799" s="2498"/>
    </row>
    <row r="4800" spans="16:16">
      <c r="P4800" s="2498"/>
    </row>
    <row r="4801" spans="16:16">
      <c r="P4801" s="2498"/>
    </row>
    <row r="4802" spans="16:16">
      <c r="P4802" s="2498"/>
    </row>
    <row r="4803" spans="16:16">
      <c r="P4803" s="2498"/>
    </row>
    <row r="4804" spans="16:16">
      <c r="P4804" s="2498"/>
    </row>
    <row r="4805" spans="16:16">
      <c r="P4805" s="2498"/>
    </row>
    <row r="4806" spans="16:16">
      <c r="P4806" s="2498"/>
    </row>
    <row r="4807" spans="16:16">
      <c r="P4807" s="2498"/>
    </row>
    <row r="4808" spans="16:16">
      <c r="P4808" s="2498"/>
    </row>
    <row r="4809" spans="16:16">
      <c r="P4809" s="2498"/>
    </row>
    <row r="4810" spans="16:16">
      <c r="P4810" s="2498"/>
    </row>
    <row r="4811" spans="16:16">
      <c r="P4811" s="2498"/>
    </row>
    <row r="4812" spans="16:16">
      <c r="P4812" s="2498"/>
    </row>
    <row r="4813" spans="16:16">
      <c r="P4813" s="2498"/>
    </row>
    <row r="4814" spans="16:16">
      <c r="P4814" s="2498"/>
    </row>
    <row r="4815" spans="16:16">
      <c r="P4815" s="2498"/>
    </row>
    <row r="4816" spans="16:16">
      <c r="P4816" s="2498"/>
    </row>
    <row r="4817" spans="16:16">
      <c r="P4817" s="2498"/>
    </row>
    <row r="4818" spans="16:16">
      <c r="P4818" s="2498"/>
    </row>
    <row r="4819" spans="16:16">
      <c r="P4819" s="2498"/>
    </row>
    <row r="4820" spans="16:16">
      <c r="P4820" s="2498"/>
    </row>
    <row r="4821" spans="16:16">
      <c r="P4821" s="2498"/>
    </row>
    <row r="4822" spans="16:16">
      <c r="P4822" s="2498"/>
    </row>
    <row r="4823" spans="16:16">
      <c r="P4823" s="2498"/>
    </row>
    <row r="4824" spans="16:16">
      <c r="P4824" s="2498"/>
    </row>
    <row r="4825" spans="16:16">
      <c r="P4825" s="2498"/>
    </row>
    <row r="4826" spans="16:16">
      <c r="P4826" s="2498"/>
    </row>
    <row r="4827" spans="16:16">
      <c r="P4827" s="2498"/>
    </row>
    <row r="4828" spans="16:16">
      <c r="P4828" s="2498"/>
    </row>
    <row r="4829" spans="16:16">
      <c r="P4829" s="2498"/>
    </row>
    <row r="4830" spans="16:16">
      <c r="P4830" s="2498"/>
    </row>
    <row r="4831" spans="16:16">
      <c r="P4831" s="2498"/>
    </row>
    <row r="4832" spans="16:16">
      <c r="P4832" s="2498"/>
    </row>
    <row r="4833" spans="16:16">
      <c r="P4833" s="2498"/>
    </row>
    <row r="4834" spans="16:16">
      <c r="P4834" s="2498"/>
    </row>
    <row r="4835" spans="16:16">
      <c r="P4835" s="2498"/>
    </row>
    <row r="4836" spans="16:16">
      <c r="P4836" s="2498"/>
    </row>
    <row r="4837" spans="16:16">
      <c r="P4837" s="2498"/>
    </row>
    <row r="4838" spans="16:16">
      <c r="P4838" s="2498"/>
    </row>
    <row r="4839" spans="16:16">
      <c r="P4839" s="2498"/>
    </row>
    <row r="4840" spans="16:16">
      <c r="P4840" s="2498"/>
    </row>
    <row r="4841" spans="16:16">
      <c r="P4841" s="2498"/>
    </row>
    <row r="4842" spans="16:16">
      <c r="P4842" s="2498"/>
    </row>
    <row r="4843" spans="16:16">
      <c r="P4843" s="2498"/>
    </row>
    <row r="4844" spans="16:16">
      <c r="P4844" s="2498"/>
    </row>
    <row r="4845" spans="16:16">
      <c r="P4845" s="2498"/>
    </row>
    <row r="4846" spans="16:16">
      <c r="P4846" s="2498"/>
    </row>
    <row r="4847" spans="16:16">
      <c r="P4847" s="2498"/>
    </row>
    <row r="4848" spans="16:16">
      <c r="P4848" s="2498"/>
    </row>
    <row r="4849" spans="16:16">
      <c r="P4849" s="2498"/>
    </row>
    <row r="4850" spans="16:16">
      <c r="P4850" s="2498"/>
    </row>
    <row r="4851" spans="16:16">
      <c r="P4851" s="2498"/>
    </row>
    <row r="4852" spans="16:16">
      <c r="P4852" s="2498"/>
    </row>
    <row r="4853" spans="16:16">
      <c r="P4853" s="2498"/>
    </row>
    <row r="4854" spans="16:16">
      <c r="P4854" s="2498"/>
    </row>
    <row r="4855" spans="16:16">
      <c r="P4855" s="2498"/>
    </row>
    <row r="4856" spans="16:16">
      <c r="P4856" s="2498"/>
    </row>
    <row r="4857" spans="16:16">
      <c r="P4857" s="2498"/>
    </row>
    <row r="4858" spans="16:16">
      <c r="P4858" s="2498"/>
    </row>
    <row r="4859" spans="16:16">
      <c r="P4859" s="2498"/>
    </row>
    <row r="4860" spans="16:16">
      <c r="P4860" s="2498"/>
    </row>
    <row r="4861" spans="16:16">
      <c r="P4861" s="2498"/>
    </row>
    <row r="4862" spans="16:16">
      <c r="P4862" s="2498"/>
    </row>
    <row r="4863" spans="16:16">
      <c r="P4863" s="2498"/>
    </row>
    <row r="4864" spans="16:16">
      <c r="P4864" s="2498"/>
    </row>
    <row r="4865" spans="16:16">
      <c r="P4865" s="2498"/>
    </row>
    <row r="4866" spans="16:16">
      <c r="P4866" s="2498"/>
    </row>
    <row r="4867" spans="16:16">
      <c r="P4867" s="2498"/>
    </row>
    <row r="4868" spans="16:16">
      <c r="P4868" s="2498"/>
    </row>
    <row r="4869" spans="16:16">
      <c r="P4869" s="2498"/>
    </row>
    <row r="4870" spans="16:16">
      <c r="P4870" s="2498"/>
    </row>
    <row r="4871" spans="16:16">
      <c r="P4871" s="2498"/>
    </row>
    <row r="4872" spans="16:16">
      <c r="P4872" s="2498"/>
    </row>
    <row r="4873" spans="16:16">
      <c r="P4873" s="2498"/>
    </row>
    <row r="4874" spans="16:16">
      <c r="P4874" s="2498"/>
    </row>
    <row r="4875" spans="16:16">
      <c r="P4875" s="2498"/>
    </row>
    <row r="4876" spans="16:16">
      <c r="P4876" s="2498"/>
    </row>
    <row r="4877" spans="16:16">
      <c r="P4877" s="2498"/>
    </row>
    <row r="4878" spans="16:16">
      <c r="P4878" s="2498"/>
    </row>
    <row r="4879" spans="16:16">
      <c r="P4879" s="2498"/>
    </row>
    <row r="4880" spans="16:16">
      <c r="P4880" s="2498"/>
    </row>
    <row r="4881" spans="16:16">
      <c r="P4881" s="2498"/>
    </row>
    <row r="4882" spans="16:16">
      <c r="P4882" s="2498"/>
    </row>
    <row r="4883" spans="16:16">
      <c r="P4883" s="2498"/>
    </row>
    <row r="4884" spans="16:16">
      <c r="P4884" s="2498"/>
    </row>
    <row r="4885" spans="16:16">
      <c r="P4885" s="2498"/>
    </row>
    <row r="4886" spans="16:16">
      <c r="P4886" s="2498"/>
    </row>
    <row r="4887" spans="16:16">
      <c r="P4887" s="2498"/>
    </row>
    <row r="4888" spans="16:16">
      <c r="P4888" s="2498"/>
    </row>
    <row r="4889" spans="16:16">
      <c r="P4889" s="2498"/>
    </row>
    <row r="4890" spans="16:16">
      <c r="P4890" s="2498"/>
    </row>
    <row r="4891" spans="16:16">
      <c r="P4891" s="2498"/>
    </row>
    <row r="4892" spans="16:16">
      <c r="P4892" s="2498"/>
    </row>
    <row r="4893" spans="16:16">
      <c r="P4893" s="2498"/>
    </row>
    <row r="4894" spans="16:16">
      <c r="P4894" s="2498"/>
    </row>
    <row r="4895" spans="16:16">
      <c r="P4895" s="2498"/>
    </row>
    <row r="4896" spans="16:16">
      <c r="P4896" s="2498"/>
    </row>
    <row r="4897" spans="16:16">
      <c r="P4897" s="2498"/>
    </row>
    <row r="4898" spans="16:16">
      <c r="P4898" s="2498"/>
    </row>
    <row r="4899" spans="16:16">
      <c r="P4899" s="2498"/>
    </row>
    <row r="4900" spans="16:16">
      <c r="P4900" s="2498"/>
    </row>
    <row r="4901" spans="16:16">
      <c r="P4901" s="2498"/>
    </row>
    <row r="4902" spans="16:16">
      <c r="P4902" s="2498"/>
    </row>
    <row r="4903" spans="16:16">
      <c r="P4903" s="2498"/>
    </row>
    <row r="4904" spans="16:16">
      <c r="P4904" s="2498"/>
    </row>
    <row r="4905" spans="16:16">
      <c r="P4905" s="2498"/>
    </row>
    <row r="4906" spans="16:16">
      <c r="P4906" s="2498"/>
    </row>
    <row r="4907" spans="16:16">
      <c r="P4907" s="2498"/>
    </row>
    <row r="4908" spans="16:16">
      <c r="P4908" s="2498"/>
    </row>
    <row r="4909" spans="16:16">
      <c r="P4909" s="2498"/>
    </row>
    <row r="4910" spans="16:16">
      <c r="P4910" s="2498"/>
    </row>
    <row r="4911" spans="16:16">
      <c r="P4911" s="2498"/>
    </row>
    <row r="4912" spans="16:16">
      <c r="P4912" s="2498"/>
    </row>
    <row r="4913" spans="16:16">
      <c r="P4913" s="2498"/>
    </row>
    <row r="4914" spans="16:16">
      <c r="P4914" s="2498"/>
    </row>
    <row r="4915" spans="16:16">
      <c r="P4915" s="2498"/>
    </row>
    <row r="4916" spans="16:16">
      <c r="P4916" s="2498"/>
    </row>
    <row r="4917" spans="16:16">
      <c r="P4917" s="2498"/>
    </row>
    <row r="4918" spans="16:16">
      <c r="P4918" s="2498"/>
    </row>
    <row r="4919" spans="16:16">
      <c r="P4919" s="2498"/>
    </row>
    <row r="4920" spans="16:16">
      <c r="P4920" s="2498"/>
    </row>
    <row r="4921" spans="16:16">
      <c r="P4921" s="2498"/>
    </row>
    <row r="4922" spans="16:16">
      <c r="P4922" s="2498"/>
    </row>
    <row r="4923" spans="16:16">
      <c r="P4923" s="2498"/>
    </row>
    <row r="4924" spans="16:16">
      <c r="P4924" s="2498"/>
    </row>
    <row r="4925" spans="16:16">
      <c r="P4925" s="2498"/>
    </row>
    <row r="4926" spans="16:16">
      <c r="P4926" s="2498"/>
    </row>
    <row r="4927" spans="16:16">
      <c r="P4927" s="2498"/>
    </row>
    <row r="4928" spans="16:16">
      <c r="P4928" s="2498"/>
    </row>
    <row r="4929" spans="16:16">
      <c r="P4929" s="2498"/>
    </row>
    <row r="4930" spans="16:16">
      <c r="P4930" s="2498"/>
    </row>
    <row r="4931" spans="16:16">
      <c r="P4931" s="2498"/>
    </row>
    <row r="4932" spans="16:16">
      <c r="P4932" s="2498"/>
    </row>
    <row r="4933" spans="16:16">
      <c r="P4933" s="2498"/>
    </row>
    <row r="4934" spans="16:16">
      <c r="P4934" s="2498"/>
    </row>
    <row r="4935" spans="16:16">
      <c r="P4935" s="2498"/>
    </row>
    <row r="4936" spans="16:16">
      <c r="P4936" s="2498"/>
    </row>
    <row r="4937" spans="16:16">
      <c r="P4937" s="2498"/>
    </row>
    <row r="4938" spans="16:16">
      <c r="P4938" s="2498"/>
    </row>
    <row r="4939" spans="16:16">
      <c r="P4939" s="2498"/>
    </row>
    <row r="4940" spans="16:16">
      <c r="P4940" s="2498"/>
    </row>
    <row r="4941" spans="16:16">
      <c r="P4941" s="2498"/>
    </row>
    <row r="4942" spans="16:16">
      <c r="P4942" s="2498"/>
    </row>
    <row r="4943" spans="16:16">
      <c r="P4943" s="2498"/>
    </row>
    <row r="4944" spans="16:16">
      <c r="P4944" s="2498"/>
    </row>
    <row r="4945" spans="16:16">
      <c r="P4945" s="2498"/>
    </row>
    <row r="4946" spans="16:16">
      <c r="P4946" s="2498"/>
    </row>
    <row r="4947" spans="16:16">
      <c r="P4947" s="2498"/>
    </row>
    <row r="4948" spans="16:16">
      <c r="P4948" s="2498"/>
    </row>
    <row r="4949" spans="16:16">
      <c r="P4949" s="2498"/>
    </row>
    <row r="4950" spans="16:16">
      <c r="P4950" s="2498"/>
    </row>
    <row r="4951" spans="16:16">
      <c r="P4951" s="2498"/>
    </row>
    <row r="4952" spans="16:16">
      <c r="P4952" s="2498"/>
    </row>
    <row r="4953" spans="16:16">
      <c r="P4953" s="2498"/>
    </row>
    <row r="4954" spans="16:16">
      <c r="P4954" s="2498"/>
    </row>
    <row r="4955" spans="16:16">
      <c r="P4955" s="2498"/>
    </row>
    <row r="4956" spans="16:16">
      <c r="P4956" s="2498"/>
    </row>
    <row r="4957" spans="16:16">
      <c r="P4957" s="2498"/>
    </row>
    <row r="4958" spans="16:16">
      <c r="P4958" s="2498"/>
    </row>
    <row r="4959" spans="16:16">
      <c r="P4959" s="2498"/>
    </row>
    <row r="4960" spans="16:16">
      <c r="P4960" s="2498"/>
    </row>
    <row r="4961" spans="16:16">
      <c r="P4961" s="2498"/>
    </row>
    <row r="4962" spans="16:16">
      <c r="P4962" s="2498"/>
    </row>
    <row r="4963" spans="16:16">
      <c r="P4963" s="2498"/>
    </row>
    <row r="4964" spans="16:16">
      <c r="P4964" s="2498"/>
    </row>
    <row r="4965" spans="16:16">
      <c r="P4965" s="2498"/>
    </row>
    <row r="4966" spans="16:16">
      <c r="P4966" s="2498"/>
    </row>
    <row r="4967" spans="16:16">
      <c r="P4967" s="2498"/>
    </row>
    <row r="4968" spans="16:16">
      <c r="P4968" s="2498"/>
    </row>
    <row r="4969" spans="16:16">
      <c r="P4969" s="2498"/>
    </row>
    <row r="4970" spans="16:16">
      <c r="P4970" s="2498"/>
    </row>
    <row r="4971" spans="16:16">
      <c r="P4971" s="2498"/>
    </row>
    <row r="4972" spans="16:16">
      <c r="P4972" s="2498"/>
    </row>
    <row r="4973" spans="16:16">
      <c r="P4973" s="2498"/>
    </row>
    <row r="4974" spans="16:16">
      <c r="P4974" s="2498"/>
    </row>
    <row r="4975" spans="16:16">
      <c r="P4975" s="2498"/>
    </row>
    <row r="4976" spans="16:16">
      <c r="P4976" s="2498"/>
    </row>
    <row r="4977" spans="16:16">
      <c r="P4977" s="2498"/>
    </row>
    <row r="4978" spans="16:16">
      <c r="P4978" s="2498"/>
    </row>
    <row r="4979" spans="16:16">
      <c r="P4979" s="2498"/>
    </row>
    <row r="4980" spans="16:16">
      <c r="P4980" s="2498"/>
    </row>
    <row r="4981" spans="16:16">
      <c r="P4981" s="2498"/>
    </row>
    <row r="4982" spans="16:16">
      <c r="P4982" s="2498"/>
    </row>
    <row r="4983" spans="16:16">
      <c r="P4983" s="2498"/>
    </row>
    <row r="4984" spans="16:16">
      <c r="P4984" s="2498"/>
    </row>
    <row r="4985" spans="16:16">
      <c r="P4985" s="2498"/>
    </row>
    <row r="4986" spans="16:16">
      <c r="P4986" s="2498"/>
    </row>
    <row r="4987" spans="16:16">
      <c r="P4987" s="2498"/>
    </row>
    <row r="4988" spans="16:16">
      <c r="P4988" s="2498"/>
    </row>
    <row r="4989" spans="16:16">
      <c r="P4989" s="2498"/>
    </row>
    <row r="4990" spans="16:16">
      <c r="P4990" s="2498"/>
    </row>
    <row r="4991" spans="16:16">
      <c r="P4991" s="2498"/>
    </row>
    <row r="4992" spans="16:16">
      <c r="P4992" s="2498"/>
    </row>
    <row r="4993" spans="16:16">
      <c r="P4993" s="2498"/>
    </row>
    <row r="4994" spans="16:16">
      <c r="P4994" s="2498"/>
    </row>
    <row r="4995" spans="16:16">
      <c r="P4995" s="2498"/>
    </row>
    <row r="4996" spans="16:16">
      <c r="P4996" s="2498"/>
    </row>
    <row r="4997" spans="16:16">
      <c r="P4997" s="2498"/>
    </row>
    <row r="4998" spans="16:16">
      <c r="P4998" s="2498"/>
    </row>
    <row r="4999" spans="16:16">
      <c r="P4999" s="2498"/>
    </row>
    <row r="5000" spans="16:16">
      <c r="P5000" s="2498"/>
    </row>
    <row r="5001" spans="16:16">
      <c r="P5001" s="2498"/>
    </row>
    <row r="5002" spans="16:16">
      <c r="P5002" s="2498"/>
    </row>
    <row r="5003" spans="16:16">
      <c r="P5003" s="2498"/>
    </row>
    <row r="5004" spans="16:16">
      <c r="P5004" s="2498"/>
    </row>
    <row r="5005" spans="16:16">
      <c r="P5005" s="2498"/>
    </row>
    <row r="5006" spans="16:16">
      <c r="P5006" s="2498"/>
    </row>
    <row r="5007" spans="16:16">
      <c r="P5007" s="2498"/>
    </row>
    <row r="5008" spans="16:16">
      <c r="P5008" s="2498"/>
    </row>
    <row r="5009" spans="16:16">
      <c r="P5009" s="2498"/>
    </row>
    <row r="5010" spans="16:16">
      <c r="P5010" s="2498"/>
    </row>
    <row r="5011" spans="16:16">
      <c r="P5011" s="2498"/>
    </row>
    <row r="5012" spans="16:16">
      <c r="P5012" s="2498"/>
    </row>
    <row r="5013" spans="16:16">
      <c r="P5013" s="2498"/>
    </row>
    <row r="5014" spans="16:16">
      <c r="P5014" s="2498"/>
    </row>
    <row r="5015" spans="16:16">
      <c r="P5015" s="2498"/>
    </row>
    <row r="5016" spans="16:16">
      <c r="P5016" s="2498"/>
    </row>
    <row r="5017" spans="16:16">
      <c r="P5017" s="2498"/>
    </row>
    <row r="5018" spans="16:16">
      <c r="P5018" s="2498"/>
    </row>
    <row r="5019" spans="16:16">
      <c r="P5019" s="2498"/>
    </row>
    <row r="5020" spans="16:16">
      <c r="P5020" s="2498"/>
    </row>
    <row r="5021" spans="16:16">
      <c r="P5021" s="2498"/>
    </row>
    <row r="5022" spans="16:16">
      <c r="P5022" s="2498"/>
    </row>
    <row r="5023" spans="16:16">
      <c r="P5023" s="2498"/>
    </row>
    <row r="5024" spans="16:16">
      <c r="P5024" s="2498"/>
    </row>
    <row r="5025" spans="16:16">
      <c r="P5025" s="2498"/>
    </row>
    <row r="5026" spans="16:16">
      <c r="P5026" s="2498"/>
    </row>
    <row r="5027" spans="16:16">
      <c r="P5027" s="2498"/>
    </row>
    <row r="5028" spans="16:16">
      <c r="P5028" s="2498"/>
    </row>
    <row r="5029" spans="16:16">
      <c r="P5029" s="2498"/>
    </row>
    <row r="5030" spans="16:16">
      <c r="P5030" s="2498"/>
    </row>
    <row r="5031" spans="16:16">
      <c r="P5031" s="2498"/>
    </row>
    <row r="5032" spans="16:16">
      <c r="P5032" s="2498"/>
    </row>
    <row r="5033" spans="16:16">
      <c r="P5033" s="2498"/>
    </row>
    <row r="5034" spans="16:16">
      <c r="P5034" s="2498"/>
    </row>
    <row r="5035" spans="16:16">
      <c r="P5035" s="2498"/>
    </row>
    <row r="5036" spans="16:16">
      <c r="P5036" s="2498"/>
    </row>
    <row r="5037" spans="16:16">
      <c r="P5037" s="2498"/>
    </row>
    <row r="5038" spans="16:16">
      <c r="P5038" s="2498"/>
    </row>
    <row r="5039" spans="16:16">
      <c r="P5039" s="2498"/>
    </row>
    <row r="5040" spans="16:16">
      <c r="P5040" s="2498"/>
    </row>
    <row r="5041" spans="16:16">
      <c r="P5041" s="2498"/>
    </row>
    <row r="5042" spans="16:16">
      <c r="P5042" s="2498"/>
    </row>
    <row r="5043" spans="16:16">
      <c r="P5043" s="2498"/>
    </row>
    <row r="5044" spans="16:16">
      <c r="P5044" s="2498"/>
    </row>
    <row r="5045" spans="16:16">
      <c r="P5045" s="2498"/>
    </row>
    <row r="5046" spans="16:16">
      <c r="P5046" s="2498"/>
    </row>
    <row r="5047" spans="16:16">
      <c r="P5047" s="2498"/>
    </row>
    <row r="5048" spans="16:16">
      <c r="P5048" s="2498"/>
    </row>
    <row r="5049" spans="16:16">
      <c r="P5049" s="2498"/>
    </row>
    <row r="5050" spans="16:16">
      <c r="P5050" s="2498"/>
    </row>
    <row r="5051" spans="16:16">
      <c r="P5051" s="2498"/>
    </row>
    <row r="5052" spans="16:16">
      <c r="P5052" s="2498"/>
    </row>
    <row r="5053" spans="16:16">
      <c r="P5053" s="2498"/>
    </row>
    <row r="5054" spans="16:16">
      <c r="P5054" s="2498"/>
    </row>
    <row r="5055" spans="16:16">
      <c r="P5055" s="2498"/>
    </row>
    <row r="5056" spans="16:16">
      <c r="P5056" s="2498"/>
    </row>
    <row r="5057" spans="16:16">
      <c r="P5057" s="2498"/>
    </row>
    <row r="5058" spans="16:16">
      <c r="P5058" s="2498"/>
    </row>
    <row r="5059" spans="16:16">
      <c r="P5059" s="2498"/>
    </row>
    <row r="5060" spans="16:16">
      <c r="P5060" s="2498"/>
    </row>
    <row r="5061" spans="16:16">
      <c r="P5061" s="2498"/>
    </row>
    <row r="5062" spans="16:16">
      <c r="P5062" s="2498"/>
    </row>
    <row r="5063" spans="16:16">
      <c r="P5063" s="2498"/>
    </row>
    <row r="5064" spans="16:16">
      <c r="P5064" s="2498"/>
    </row>
    <row r="5065" spans="16:16">
      <c r="P5065" s="2498"/>
    </row>
    <row r="5066" spans="16:16">
      <c r="P5066" s="2498"/>
    </row>
    <row r="5067" spans="16:16">
      <c r="P5067" s="2498"/>
    </row>
    <row r="5068" spans="16:16">
      <c r="P5068" s="2498"/>
    </row>
    <row r="5069" spans="16:16">
      <c r="P5069" s="2498"/>
    </row>
    <row r="5070" spans="16:16">
      <c r="P5070" s="2498"/>
    </row>
    <row r="5071" spans="16:16">
      <c r="P5071" s="2498"/>
    </row>
    <row r="5072" spans="16:16">
      <c r="P5072" s="2498"/>
    </row>
    <row r="5073" spans="16:16">
      <c r="P5073" s="2498"/>
    </row>
    <row r="5074" spans="16:16">
      <c r="P5074" s="2498"/>
    </row>
    <row r="5075" spans="16:16">
      <c r="P5075" s="2498"/>
    </row>
    <row r="5076" spans="16:16">
      <c r="P5076" s="2498"/>
    </row>
    <row r="5077" spans="16:16">
      <c r="P5077" s="2498"/>
    </row>
    <row r="5078" spans="16:16">
      <c r="P5078" s="2498"/>
    </row>
    <row r="5079" spans="16:16">
      <c r="P5079" s="2498"/>
    </row>
    <row r="5080" spans="16:16">
      <c r="P5080" s="2498"/>
    </row>
    <row r="5081" spans="16:16">
      <c r="P5081" s="2498"/>
    </row>
    <row r="5082" spans="16:16">
      <c r="P5082" s="2498"/>
    </row>
    <row r="5083" spans="16:16">
      <c r="P5083" s="2498"/>
    </row>
    <row r="5084" spans="16:16">
      <c r="P5084" s="2498"/>
    </row>
    <row r="5085" spans="16:16">
      <c r="P5085" s="2498"/>
    </row>
    <row r="5086" spans="16:16">
      <c r="P5086" s="2498"/>
    </row>
    <row r="5087" spans="16:16">
      <c r="P5087" s="2498"/>
    </row>
    <row r="5088" spans="16:16">
      <c r="P5088" s="2498"/>
    </row>
    <row r="5089" spans="16:16">
      <c r="P5089" s="2498"/>
    </row>
    <row r="5090" spans="16:16">
      <c r="P5090" s="2498"/>
    </row>
    <row r="5091" spans="16:16">
      <c r="P5091" s="2498"/>
    </row>
    <row r="5092" spans="16:16">
      <c r="P5092" s="2498"/>
    </row>
    <row r="5093" spans="16:16">
      <c r="P5093" s="2498"/>
    </row>
    <row r="5094" spans="16:16">
      <c r="P5094" s="2498"/>
    </row>
    <row r="5095" spans="16:16">
      <c r="P5095" s="2498"/>
    </row>
    <row r="5096" spans="16:16">
      <c r="P5096" s="2498"/>
    </row>
    <row r="5097" spans="16:16">
      <c r="P5097" s="2498"/>
    </row>
    <row r="5098" spans="16:16">
      <c r="P5098" s="2498"/>
    </row>
    <row r="5099" spans="16:16">
      <c r="P5099" s="2498"/>
    </row>
    <row r="5100" spans="16:16">
      <c r="P5100" s="2498"/>
    </row>
    <row r="5101" spans="16:16">
      <c r="P5101" s="2498"/>
    </row>
    <row r="5102" spans="16:16">
      <c r="P5102" s="2498"/>
    </row>
    <row r="5103" spans="16:16">
      <c r="P5103" s="2498"/>
    </row>
    <row r="5104" spans="16:16">
      <c r="P5104" s="2498"/>
    </row>
    <row r="5105" spans="16:16">
      <c r="P5105" s="2498"/>
    </row>
    <row r="5106" spans="16:16">
      <c r="P5106" s="2498"/>
    </row>
    <row r="5107" spans="16:16">
      <c r="P5107" s="2498"/>
    </row>
    <row r="5108" spans="16:16">
      <c r="P5108" s="2498"/>
    </row>
    <row r="5109" spans="16:16">
      <c r="P5109" s="2498"/>
    </row>
    <row r="5110" spans="16:16">
      <c r="P5110" s="2498"/>
    </row>
    <row r="5111" spans="16:16">
      <c r="P5111" s="2498"/>
    </row>
    <row r="5112" spans="16:16">
      <c r="P5112" s="2498"/>
    </row>
    <row r="5113" spans="16:16">
      <c r="P5113" s="2498"/>
    </row>
    <row r="5114" spans="16:16">
      <c r="P5114" s="2498"/>
    </row>
    <row r="5115" spans="16:16">
      <c r="P5115" s="2498"/>
    </row>
    <row r="5116" spans="16:16">
      <c r="P5116" s="2498"/>
    </row>
    <row r="5117" spans="16:16">
      <c r="P5117" s="2498"/>
    </row>
    <row r="5118" spans="16:16">
      <c r="P5118" s="2498"/>
    </row>
    <row r="5119" spans="16:16">
      <c r="P5119" s="2498"/>
    </row>
    <row r="5120" spans="16:16">
      <c r="P5120" s="2498"/>
    </row>
    <row r="5121" spans="16:16">
      <c r="P5121" s="2498"/>
    </row>
    <row r="5122" spans="16:16">
      <c r="P5122" s="2498"/>
    </row>
    <row r="5123" spans="16:16">
      <c r="P5123" s="2498"/>
    </row>
    <row r="5124" spans="16:16">
      <c r="P5124" s="2498"/>
    </row>
    <row r="5125" spans="16:16">
      <c r="P5125" s="2498"/>
    </row>
    <row r="5126" spans="16:16">
      <c r="P5126" s="2498"/>
    </row>
    <row r="5127" spans="16:16">
      <c r="P5127" s="2498"/>
    </row>
    <row r="5128" spans="16:16">
      <c r="P5128" s="2498"/>
    </row>
    <row r="5129" spans="16:16">
      <c r="P5129" s="2498"/>
    </row>
    <row r="5130" spans="16:16">
      <c r="P5130" s="2498"/>
    </row>
    <row r="5131" spans="16:16">
      <c r="P5131" s="2498"/>
    </row>
    <row r="5132" spans="16:16">
      <c r="P5132" s="2498"/>
    </row>
    <row r="5133" spans="16:16">
      <c r="P5133" s="2498"/>
    </row>
    <row r="5134" spans="16:16">
      <c r="P5134" s="2498"/>
    </row>
    <row r="5135" spans="16:16">
      <c r="P5135" s="2498"/>
    </row>
    <row r="5136" spans="16:16">
      <c r="P5136" s="2498"/>
    </row>
    <row r="5137" spans="16:16">
      <c r="P5137" s="2498"/>
    </row>
    <row r="5138" spans="16:16">
      <c r="P5138" s="2498"/>
    </row>
    <row r="5139" spans="16:16">
      <c r="P5139" s="2498"/>
    </row>
    <row r="5140" spans="16:16">
      <c r="P5140" s="2498"/>
    </row>
    <row r="5141" spans="16:16">
      <c r="P5141" s="2498"/>
    </row>
    <row r="5142" spans="16:16">
      <c r="P5142" s="2498"/>
    </row>
    <row r="5143" spans="16:16">
      <c r="P5143" s="2498"/>
    </row>
    <row r="5144" spans="16:16">
      <c r="P5144" s="2498"/>
    </row>
    <row r="5145" spans="16:16">
      <c r="P5145" s="2498"/>
    </row>
    <row r="5146" spans="16:16">
      <c r="P5146" s="2498"/>
    </row>
    <row r="5147" spans="16:16">
      <c r="P5147" s="2498"/>
    </row>
    <row r="5148" spans="16:16">
      <c r="P5148" s="2498"/>
    </row>
    <row r="5149" spans="16:16">
      <c r="P5149" s="2498"/>
    </row>
    <row r="5150" spans="16:16">
      <c r="P5150" s="2498"/>
    </row>
    <row r="5151" spans="16:16">
      <c r="P5151" s="2498"/>
    </row>
    <row r="5152" spans="16:16">
      <c r="P5152" s="2498"/>
    </row>
    <row r="5153" spans="16:16">
      <c r="P5153" s="2498"/>
    </row>
    <row r="5154" spans="16:16">
      <c r="P5154" s="2498"/>
    </row>
    <row r="5155" spans="16:16">
      <c r="P5155" s="2498"/>
    </row>
    <row r="5156" spans="16:16">
      <c r="P5156" s="2498"/>
    </row>
    <row r="5157" spans="16:16">
      <c r="P5157" s="2498"/>
    </row>
    <row r="5158" spans="16:16">
      <c r="P5158" s="2498"/>
    </row>
    <row r="5159" spans="16:16">
      <c r="P5159" s="2498"/>
    </row>
    <row r="5160" spans="16:16">
      <c r="P5160" s="2498"/>
    </row>
    <row r="5161" spans="16:16">
      <c r="P5161" s="2498"/>
    </row>
    <row r="5162" spans="16:16">
      <c r="P5162" s="2498"/>
    </row>
    <row r="5163" spans="16:16">
      <c r="P5163" s="2498"/>
    </row>
    <row r="5164" spans="16:16">
      <c r="P5164" s="2498"/>
    </row>
    <row r="5165" spans="16:16">
      <c r="P5165" s="2498"/>
    </row>
    <row r="5166" spans="16:16">
      <c r="P5166" s="2498"/>
    </row>
    <row r="5167" spans="16:16">
      <c r="P5167" s="2498"/>
    </row>
    <row r="5168" spans="16:16">
      <c r="P5168" s="2498"/>
    </row>
    <row r="5169" spans="16:16">
      <c r="P5169" s="2498"/>
    </row>
    <row r="5170" spans="16:16">
      <c r="P5170" s="2498"/>
    </row>
    <row r="5171" spans="16:16">
      <c r="P5171" s="2498"/>
    </row>
    <row r="5172" spans="16:16">
      <c r="P5172" s="2498"/>
    </row>
    <row r="5173" spans="16:16">
      <c r="P5173" s="2498"/>
    </row>
    <row r="5174" spans="16:16">
      <c r="P5174" s="2498"/>
    </row>
    <row r="5175" spans="16:16">
      <c r="P5175" s="2498"/>
    </row>
    <row r="5176" spans="16:16">
      <c r="P5176" s="2498"/>
    </row>
    <row r="5177" spans="16:16">
      <c r="P5177" s="2498"/>
    </row>
    <row r="5178" spans="16:16">
      <c r="P5178" s="2498"/>
    </row>
    <row r="5179" spans="16:16">
      <c r="P5179" s="2498"/>
    </row>
    <row r="5180" spans="16:16">
      <c r="P5180" s="2498"/>
    </row>
    <row r="5181" spans="16:16">
      <c r="P5181" s="2498"/>
    </row>
    <row r="5182" spans="16:16">
      <c r="P5182" s="2498"/>
    </row>
    <row r="5183" spans="16:16">
      <c r="P5183" s="2498"/>
    </row>
    <row r="5184" spans="16:16">
      <c r="P5184" s="2498"/>
    </row>
    <row r="5185" spans="16:16">
      <c r="P5185" s="2498"/>
    </row>
    <row r="5186" spans="16:16">
      <c r="P5186" s="2498"/>
    </row>
    <row r="5187" spans="16:16">
      <c r="P5187" s="2498"/>
    </row>
    <row r="5188" spans="16:16">
      <c r="P5188" s="2498"/>
    </row>
    <row r="5189" spans="16:16">
      <c r="P5189" s="2498"/>
    </row>
    <row r="5190" spans="16:16">
      <c r="P5190" s="2498"/>
    </row>
    <row r="5191" spans="16:16">
      <c r="P5191" s="2498"/>
    </row>
    <row r="5192" spans="16:16">
      <c r="P5192" s="2498"/>
    </row>
    <row r="5193" spans="16:16">
      <c r="P5193" s="2498"/>
    </row>
    <row r="5194" spans="16:16">
      <c r="P5194" s="2498"/>
    </row>
    <row r="5195" spans="16:16">
      <c r="P5195" s="2498"/>
    </row>
    <row r="5196" spans="16:16">
      <c r="P5196" s="2498"/>
    </row>
    <row r="5197" spans="16:16">
      <c r="P5197" s="2498"/>
    </row>
    <row r="5198" spans="16:16">
      <c r="P5198" s="2498"/>
    </row>
    <row r="5199" spans="16:16">
      <c r="P5199" s="2498"/>
    </row>
    <row r="5200" spans="16:16">
      <c r="P5200" s="2498"/>
    </row>
    <row r="5201" spans="16:16">
      <c r="P5201" s="2498"/>
    </row>
    <row r="5202" spans="16:16">
      <c r="P5202" s="2498"/>
    </row>
    <row r="5203" spans="16:16">
      <c r="P5203" s="2498"/>
    </row>
    <row r="5204" spans="16:16">
      <c r="P5204" s="2498"/>
    </row>
    <row r="5205" spans="16:16">
      <c r="P5205" s="2498"/>
    </row>
    <row r="5206" spans="16:16">
      <c r="P5206" s="2498"/>
    </row>
    <row r="5207" spans="16:16">
      <c r="P5207" s="2498"/>
    </row>
    <row r="5208" spans="16:16">
      <c r="P5208" s="2498"/>
    </row>
    <row r="5209" spans="16:16">
      <c r="P5209" s="2498"/>
    </row>
    <row r="5210" spans="16:16">
      <c r="P5210" s="2498"/>
    </row>
    <row r="5211" spans="16:16">
      <c r="P5211" s="2498"/>
    </row>
    <row r="5212" spans="16:16">
      <c r="P5212" s="2498"/>
    </row>
    <row r="5213" spans="16:16">
      <c r="P5213" s="2498"/>
    </row>
    <row r="5214" spans="16:16">
      <c r="P5214" s="2498"/>
    </row>
    <row r="5215" spans="16:16">
      <c r="P5215" s="2498"/>
    </row>
    <row r="5216" spans="16:16">
      <c r="P5216" s="2498"/>
    </row>
    <row r="5217" spans="16:16">
      <c r="P5217" s="2498"/>
    </row>
    <row r="5218" spans="16:16">
      <c r="P5218" s="2498"/>
    </row>
    <row r="5219" spans="16:16">
      <c r="P5219" s="2498"/>
    </row>
    <row r="5220" spans="16:16">
      <c r="P5220" s="2498"/>
    </row>
    <row r="5221" spans="16:16">
      <c r="P5221" s="2498"/>
    </row>
    <row r="5222" spans="16:16">
      <c r="P5222" s="2498"/>
    </row>
    <row r="5223" spans="16:16">
      <c r="P5223" s="2498"/>
    </row>
    <row r="5224" spans="16:16">
      <c r="P5224" s="2498"/>
    </row>
    <row r="5225" spans="16:16">
      <c r="P5225" s="2498"/>
    </row>
    <row r="5226" spans="16:16">
      <c r="P5226" s="2498"/>
    </row>
    <row r="5227" spans="16:16">
      <c r="P5227" s="2498"/>
    </row>
    <row r="5228" spans="16:16">
      <c r="P5228" s="2498"/>
    </row>
    <row r="5229" spans="16:16">
      <c r="P5229" s="2498"/>
    </row>
    <row r="5230" spans="16:16">
      <c r="P5230" s="2498"/>
    </row>
    <row r="5231" spans="16:16">
      <c r="P5231" s="2498"/>
    </row>
    <row r="5232" spans="16:16">
      <c r="P5232" s="2498"/>
    </row>
    <row r="5233" spans="16:16">
      <c r="P5233" s="2498"/>
    </row>
    <row r="5234" spans="16:16">
      <c r="P5234" s="2498"/>
    </row>
    <row r="5235" spans="16:16">
      <c r="P5235" s="2498"/>
    </row>
    <row r="5236" spans="16:16">
      <c r="P5236" s="2498"/>
    </row>
    <row r="5237" spans="16:16">
      <c r="P5237" s="2498"/>
    </row>
    <row r="5238" spans="16:16">
      <c r="P5238" s="2498"/>
    </row>
    <row r="5239" spans="16:16">
      <c r="P5239" s="2498"/>
    </row>
    <row r="5240" spans="16:16">
      <c r="P5240" s="2498"/>
    </row>
    <row r="5241" spans="16:16">
      <c r="P5241" s="2498"/>
    </row>
    <row r="5242" spans="16:16">
      <c r="P5242" s="2498"/>
    </row>
    <row r="5243" spans="16:16">
      <c r="P5243" s="2498"/>
    </row>
    <row r="5244" spans="16:16">
      <c r="P5244" s="2498"/>
    </row>
    <row r="5245" spans="16:16">
      <c r="P5245" s="2498"/>
    </row>
    <row r="5246" spans="16:16">
      <c r="P5246" s="2498"/>
    </row>
    <row r="5247" spans="16:16">
      <c r="P5247" s="2498"/>
    </row>
    <row r="5248" spans="16:16">
      <c r="P5248" s="2498"/>
    </row>
    <row r="5249" spans="16:16">
      <c r="P5249" s="2498"/>
    </row>
    <row r="5250" spans="16:16">
      <c r="P5250" s="2498"/>
    </row>
    <row r="5251" spans="16:16">
      <c r="P5251" s="2498"/>
    </row>
    <row r="5252" spans="16:16">
      <c r="P5252" s="2498"/>
    </row>
    <row r="5253" spans="16:16">
      <c r="P5253" s="2498"/>
    </row>
    <row r="5254" spans="16:16">
      <c r="P5254" s="2498"/>
    </row>
    <row r="5255" spans="16:16">
      <c r="P5255" s="2498"/>
    </row>
    <row r="5256" spans="16:16">
      <c r="P5256" s="2498"/>
    </row>
    <row r="5257" spans="16:16">
      <c r="P5257" s="2498"/>
    </row>
    <row r="5258" spans="16:16">
      <c r="P5258" s="2498"/>
    </row>
    <row r="5259" spans="16:16">
      <c r="P5259" s="2498"/>
    </row>
    <row r="5260" spans="16:16">
      <c r="P5260" s="2498"/>
    </row>
    <row r="5261" spans="16:16">
      <c r="P5261" s="2498"/>
    </row>
    <row r="5262" spans="16:16">
      <c r="P5262" s="2498"/>
    </row>
    <row r="5263" spans="16:16">
      <c r="P5263" s="2498"/>
    </row>
    <row r="5264" spans="16:16">
      <c r="P5264" s="2498"/>
    </row>
    <row r="5265" spans="16:16">
      <c r="P5265" s="2498"/>
    </row>
    <row r="5266" spans="16:16">
      <c r="P5266" s="2498"/>
    </row>
    <row r="5267" spans="16:16">
      <c r="P5267" s="2498"/>
    </row>
    <row r="5268" spans="16:16">
      <c r="P5268" s="2498"/>
    </row>
    <row r="5269" spans="16:16">
      <c r="P5269" s="2498"/>
    </row>
    <row r="5270" spans="16:16">
      <c r="P5270" s="2498"/>
    </row>
    <row r="5271" spans="16:16">
      <c r="P5271" s="2498"/>
    </row>
    <row r="5272" spans="16:16">
      <c r="P5272" s="2498"/>
    </row>
    <row r="5273" spans="16:16">
      <c r="P5273" s="2498"/>
    </row>
    <row r="5274" spans="16:16">
      <c r="P5274" s="2498"/>
    </row>
    <row r="5275" spans="16:16">
      <c r="P5275" s="2498"/>
    </row>
    <row r="5276" spans="16:16">
      <c r="P5276" s="2498"/>
    </row>
    <row r="5277" spans="16:16">
      <c r="P5277" s="2498"/>
    </row>
    <row r="5278" spans="16:16">
      <c r="P5278" s="2498"/>
    </row>
    <row r="5279" spans="16:16">
      <c r="P5279" s="2498"/>
    </row>
    <row r="5280" spans="16:16">
      <c r="P5280" s="2498"/>
    </row>
    <row r="5281" spans="16:16">
      <c r="P5281" s="2498"/>
    </row>
    <row r="5282" spans="16:16">
      <c r="P5282" s="2498"/>
    </row>
    <row r="5283" spans="16:16">
      <c r="P5283" s="2498"/>
    </row>
    <row r="5284" spans="16:16">
      <c r="P5284" s="2498"/>
    </row>
    <row r="5285" spans="16:16">
      <c r="P5285" s="2498"/>
    </row>
    <row r="5286" spans="16:16">
      <c r="P5286" s="2498"/>
    </row>
    <row r="5287" spans="16:16">
      <c r="P5287" s="2498"/>
    </row>
    <row r="5288" spans="16:16">
      <c r="P5288" s="2498"/>
    </row>
    <row r="5289" spans="16:16">
      <c r="P5289" s="2498"/>
    </row>
    <row r="5290" spans="16:16">
      <c r="P5290" s="2498"/>
    </row>
    <row r="5291" spans="16:16">
      <c r="P5291" s="2498"/>
    </row>
    <row r="5292" spans="16:16">
      <c r="P5292" s="2498"/>
    </row>
    <row r="5293" spans="16:16">
      <c r="P5293" s="2498"/>
    </row>
    <row r="5294" spans="16:16">
      <c r="P5294" s="2498"/>
    </row>
    <row r="5295" spans="16:16">
      <c r="P5295" s="2498"/>
    </row>
    <row r="5296" spans="16:16">
      <c r="P5296" s="2498"/>
    </row>
    <row r="5297" spans="16:16">
      <c r="P5297" s="2498"/>
    </row>
    <row r="5298" spans="16:16">
      <c r="P5298" s="2498"/>
    </row>
    <row r="5299" spans="16:16">
      <c r="P5299" s="2498"/>
    </row>
    <row r="5300" spans="16:16">
      <c r="P5300" s="2498"/>
    </row>
    <row r="5301" spans="16:16">
      <c r="P5301" s="2498"/>
    </row>
    <row r="5302" spans="16:16">
      <c r="P5302" s="2498"/>
    </row>
    <row r="5303" spans="16:16">
      <c r="P5303" s="2498"/>
    </row>
    <row r="5304" spans="16:16">
      <c r="P5304" s="2498"/>
    </row>
    <row r="5305" spans="16:16">
      <c r="P5305" s="2498"/>
    </row>
    <row r="5306" spans="16:16">
      <c r="P5306" s="2498"/>
    </row>
    <row r="5307" spans="16:16">
      <c r="P5307" s="2498"/>
    </row>
    <row r="5308" spans="16:16">
      <c r="P5308" s="2498"/>
    </row>
    <row r="5309" spans="16:16">
      <c r="P5309" s="2498"/>
    </row>
    <row r="5310" spans="16:16">
      <c r="P5310" s="2498"/>
    </row>
    <row r="5311" spans="16:16">
      <c r="P5311" s="2498"/>
    </row>
    <row r="5312" spans="16:16">
      <c r="P5312" s="2498"/>
    </row>
    <row r="5313" spans="16:16">
      <c r="P5313" s="2498"/>
    </row>
    <row r="5314" spans="16:16">
      <c r="P5314" s="2498"/>
    </row>
    <row r="5315" spans="16:16">
      <c r="P5315" s="2498"/>
    </row>
    <row r="5316" spans="16:16">
      <c r="P5316" s="2498"/>
    </row>
    <row r="5317" spans="16:16">
      <c r="P5317" s="2498"/>
    </row>
    <row r="5318" spans="16:16">
      <c r="P5318" s="2498"/>
    </row>
    <row r="5319" spans="16:16">
      <c r="P5319" s="2498"/>
    </row>
    <row r="5320" spans="16:16">
      <c r="P5320" s="2498"/>
    </row>
    <row r="5321" spans="16:16">
      <c r="P5321" s="2498"/>
    </row>
    <row r="5322" spans="16:16">
      <c r="P5322" s="2498"/>
    </row>
    <row r="5323" spans="16:16">
      <c r="P5323" s="2498"/>
    </row>
    <row r="5324" spans="16:16">
      <c r="P5324" s="2498"/>
    </row>
    <row r="5325" spans="16:16">
      <c r="P5325" s="2498"/>
    </row>
    <row r="5326" spans="16:16">
      <c r="P5326" s="2498"/>
    </row>
    <row r="5327" spans="16:16">
      <c r="P5327" s="2498"/>
    </row>
    <row r="5328" spans="16:16">
      <c r="P5328" s="2498"/>
    </row>
    <row r="5329" spans="16:16">
      <c r="P5329" s="2498"/>
    </row>
    <row r="5330" spans="16:16">
      <c r="P5330" s="2498"/>
    </row>
    <row r="5331" spans="16:16">
      <c r="P5331" s="2498"/>
    </row>
    <row r="5332" spans="16:16">
      <c r="P5332" s="2498"/>
    </row>
    <row r="5333" spans="16:16">
      <c r="P5333" s="2498"/>
    </row>
    <row r="5334" spans="16:16">
      <c r="P5334" s="2498"/>
    </row>
    <row r="5335" spans="16:16">
      <c r="P5335" s="2498"/>
    </row>
    <row r="5336" spans="16:16">
      <c r="P5336" s="2498"/>
    </row>
    <row r="5337" spans="16:16">
      <c r="P5337" s="2498"/>
    </row>
    <row r="5338" spans="16:16">
      <c r="P5338" s="2498"/>
    </row>
    <row r="5339" spans="16:16">
      <c r="P5339" s="2498"/>
    </row>
    <row r="5340" spans="16:16">
      <c r="P5340" s="2498"/>
    </row>
    <row r="5341" spans="16:16">
      <c r="P5341" s="2498"/>
    </row>
    <row r="5342" spans="16:16">
      <c r="P5342" s="2498"/>
    </row>
    <row r="5343" spans="16:16">
      <c r="P5343" s="2498"/>
    </row>
    <row r="5344" spans="16:16">
      <c r="P5344" s="2498"/>
    </row>
    <row r="5345" spans="16:16">
      <c r="P5345" s="2498"/>
    </row>
    <row r="5346" spans="16:16">
      <c r="P5346" s="2498"/>
    </row>
    <row r="5347" spans="16:16">
      <c r="P5347" s="2498"/>
    </row>
    <row r="5348" spans="16:16">
      <c r="P5348" s="2498"/>
    </row>
    <row r="5349" spans="16:16">
      <c r="P5349" s="2498"/>
    </row>
    <row r="5350" spans="16:16">
      <c r="P5350" s="2498"/>
    </row>
    <row r="5351" spans="16:16">
      <c r="P5351" s="2498"/>
    </row>
    <row r="5352" spans="16:16">
      <c r="P5352" s="2498"/>
    </row>
    <row r="5353" spans="16:16">
      <c r="P5353" s="2498"/>
    </row>
    <row r="5354" spans="16:16">
      <c r="P5354" s="2498"/>
    </row>
    <row r="5355" spans="16:16">
      <c r="P5355" s="2498"/>
    </row>
    <row r="5356" spans="16:16">
      <c r="P5356" s="2498"/>
    </row>
    <row r="5357" spans="16:16">
      <c r="P5357" s="2498"/>
    </row>
    <row r="5358" spans="16:16">
      <c r="P5358" s="2498"/>
    </row>
    <row r="5359" spans="16:16">
      <c r="P5359" s="2498"/>
    </row>
    <row r="5360" spans="16:16">
      <c r="P5360" s="2498"/>
    </row>
    <row r="5361" spans="16:16">
      <c r="P5361" s="2498"/>
    </row>
    <row r="5362" spans="16:16">
      <c r="P5362" s="2498"/>
    </row>
    <row r="5363" spans="16:16">
      <c r="P5363" s="2498"/>
    </row>
    <row r="5364" spans="16:16">
      <c r="P5364" s="2498"/>
    </row>
    <row r="5365" spans="16:16">
      <c r="P5365" s="2498"/>
    </row>
    <row r="5366" spans="16:16">
      <c r="P5366" s="2498"/>
    </row>
    <row r="5367" spans="16:16">
      <c r="P5367" s="2498"/>
    </row>
    <row r="5368" spans="16:16">
      <c r="P5368" s="2498"/>
    </row>
    <row r="5369" spans="16:16">
      <c r="P5369" s="2498"/>
    </row>
    <row r="5370" spans="16:16">
      <c r="P5370" s="2498"/>
    </row>
    <row r="5371" spans="16:16">
      <c r="P5371" s="2498"/>
    </row>
    <row r="5372" spans="16:16">
      <c r="P5372" s="2498"/>
    </row>
    <row r="5373" spans="16:16">
      <c r="P5373" s="2498"/>
    </row>
    <row r="5374" spans="16:16">
      <c r="P5374" s="2498"/>
    </row>
    <row r="5375" spans="16:16">
      <c r="P5375" s="2498"/>
    </row>
    <row r="5376" spans="16:16">
      <c r="P5376" s="2498"/>
    </row>
    <row r="5377" spans="16:16">
      <c r="P5377" s="2498"/>
    </row>
    <row r="5378" spans="16:16">
      <c r="P5378" s="2498"/>
    </row>
    <row r="5379" spans="16:16">
      <c r="P5379" s="2498"/>
    </row>
    <row r="5380" spans="16:16">
      <c r="P5380" s="2498"/>
    </row>
    <row r="5381" spans="16:16">
      <c r="P5381" s="2498"/>
    </row>
    <row r="5382" spans="16:16">
      <c r="P5382" s="2498"/>
    </row>
    <row r="5383" spans="16:16">
      <c r="P5383" s="2498"/>
    </row>
    <row r="5384" spans="16:16">
      <c r="P5384" s="2498"/>
    </row>
    <row r="5385" spans="16:16">
      <c r="P5385" s="2498"/>
    </row>
    <row r="5386" spans="16:16">
      <c r="P5386" s="2498"/>
    </row>
    <row r="5387" spans="16:16">
      <c r="P5387" s="2498"/>
    </row>
    <row r="5388" spans="16:16">
      <c r="P5388" s="2498"/>
    </row>
    <row r="5389" spans="16:16">
      <c r="P5389" s="2498"/>
    </row>
    <row r="5390" spans="16:16">
      <c r="P5390" s="2498"/>
    </row>
    <row r="5391" spans="16:16">
      <c r="P5391" s="2498"/>
    </row>
    <row r="5392" spans="16:16">
      <c r="P5392" s="2498"/>
    </row>
    <row r="5393" spans="16:16">
      <c r="P5393" s="2498"/>
    </row>
    <row r="5394" spans="16:16">
      <c r="P5394" s="2498"/>
    </row>
    <row r="5395" spans="16:16">
      <c r="P5395" s="2498"/>
    </row>
    <row r="5396" spans="16:16">
      <c r="P5396" s="2498"/>
    </row>
    <row r="5397" spans="16:16">
      <c r="P5397" s="2498"/>
    </row>
    <row r="5398" spans="16:16">
      <c r="P5398" s="2498"/>
    </row>
    <row r="5399" spans="16:16">
      <c r="P5399" s="2498"/>
    </row>
    <row r="5400" spans="16:16">
      <c r="P5400" s="2498"/>
    </row>
    <row r="5401" spans="16:16">
      <c r="P5401" s="2498"/>
    </row>
    <row r="5402" spans="16:16">
      <c r="P5402" s="2498"/>
    </row>
    <row r="5403" spans="16:16">
      <c r="P5403" s="2498"/>
    </row>
    <row r="5404" spans="16:16">
      <c r="P5404" s="2498"/>
    </row>
    <row r="5405" spans="16:16">
      <c r="P5405" s="2498"/>
    </row>
    <row r="5406" spans="16:16">
      <c r="P5406" s="2498"/>
    </row>
    <row r="5407" spans="16:16">
      <c r="P5407" s="2498"/>
    </row>
    <row r="5408" spans="16:16">
      <c r="P5408" s="2498"/>
    </row>
    <row r="5409" spans="16:16">
      <c r="P5409" s="2498"/>
    </row>
    <row r="5410" spans="16:16">
      <c r="P5410" s="2498"/>
    </row>
    <row r="5411" spans="16:16">
      <c r="P5411" s="2498"/>
    </row>
    <row r="5412" spans="16:16">
      <c r="P5412" s="2498"/>
    </row>
    <row r="5413" spans="16:16">
      <c r="P5413" s="2498"/>
    </row>
    <row r="5414" spans="16:16">
      <c r="P5414" s="2498"/>
    </row>
    <row r="5415" spans="16:16">
      <c r="P5415" s="2498"/>
    </row>
    <row r="5416" spans="16:16">
      <c r="P5416" s="2498"/>
    </row>
    <row r="5417" spans="16:16">
      <c r="P5417" s="2498"/>
    </row>
    <row r="5418" spans="16:16">
      <c r="P5418" s="2498"/>
    </row>
    <row r="5419" spans="16:16">
      <c r="P5419" s="2498"/>
    </row>
    <row r="5420" spans="16:16">
      <c r="P5420" s="2498"/>
    </row>
    <row r="5421" spans="16:16">
      <c r="P5421" s="2498"/>
    </row>
    <row r="5422" spans="16:16">
      <c r="P5422" s="2498"/>
    </row>
    <row r="5423" spans="16:16">
      <c r="P5423" s="2498"/>
    </row>
    <row r="5424" spans="16:16">
      <c r="P5424" s="2498"/>
    </row>
    <row r="5425" spans="16:16">
      <c r="P5425" s="2498"/>
    </row>
    <row r="5426" spans="16:16">
      <c r="P5426" s="2498"/>
    </row>
    <row r="5427" spans="16:16">
      <c r="P5427" s="2498"/>
    </row>
    <row r="5428" spans="16:16">
      <c r="P5428" s="2498"/>
    </row>
    <row r="5429" spans="16:16">
      <c r="P5429" s="2498"/>
    </row>
    <row r="5430" spans="16:16">
      <c r="P5430" s="2498"/>
    </row>
    <row r="5431" spans="16:16">
      <c r="P5431" s="2498"/>
    </row>
    <row r="5432" spans="16:16">
      <c r="P5432" s="2498"/>
    </row>
    <row r="5433" spans="16:16">
      <c r="P5433" s="2498"/>
    </row>
    <row r="5434" spans="16:16">
      <c r="P5434" s="2498"/>
    </row>
    <row r="5435" spans="16:16">
      <c r="P5435" s="2498"/>
    </row>
    <row r="5436" spans="16:16">
      <c r="P5436" s="2498"/>
    </row>
    <row r="5437" spans="16:16">
      <c r="P5437" s="2498"/>
    </row>
    <row r="5438" spans="16:16">
      <c r="P5438" s="2498"/>
    </row>
    <row r="5439" spans="16:16">
      <c r="P5439" s="2498"/>
    </row>
    <row r="5440" spans="16:16">
      <c r="P5440" s="2498"/>
    </row>
    <row r="5441" spans="16:16">
      <c r="P5441" s="2498"/>
    </row>
    <row r="5442" spans="16:16">
      <c r="P5442" s="2498"/>
    </row>
    <row r="5443" spans="16:16">
      <c r="P5443" s="2498"/>
    </row>
    <row r="5444" spans="16:16">
      <c r="P5444" s="2498"/>
    </row>
    <row r="5445" spans="16:16">
      <c r="P5445" s="2498"/>
    </row>
    <row r="5446" spans="16:16">
      <c r="P5446" s="2498"/>
    </row>
    <row r="5447" spans="16:16">
      <c r="P5447" s="2498"/>
    </row>
    <row r="5448" spans="16:16">
      <c r="P5448" s="2498"/>
    </row>
    <row r="5449" spans="16:16">
      <c r="P5449" s="2498"/>
    </row>
    <row r="5450" spans="16:16">
      <c r="P5450" s="2498"/>
    </row>
    <row r="5451" spans="16:16">
      <c r="P5451" s="2498"/>
    </row>
    <row r="5452" spans="16:16">
      <c r="P5452" s="2498"/>
    </row>
    <row r="5453" spans="16:16">
      <c r="P5453" s="2498"/>
    </row>
    <row r="5454" spans="16:16">
      <c r="P5454" s="2498"/>
    </row>
    <row r="5455" spans="16:16">
      <c r="P5455" s="2498"/>
    </row>
    <row r="5456" spans="16:16">
      <c r="P5456" s="2498"/>
    </row>
    <row r="5457" spans="16:16">
      <c r="P5457" s="2498"/>
    </row>
    <row r="5458" spans="16:16">
      <c r="P5458" s="2498"/>
    </row>
    <row r="5459" spans="16:16">
      <c r="P5459" s="2498"/>
    </row>
    <row r="5460" spans="16:16">
      <c r="P5460" s="2498"/>
    </row>
    <row r="5461" spans="16:16">
      <c r="P5461" s="2498"/>
    </row>
    <row r="5462" spans="16:16">
      <c r="P5462" s="2498"/>
    </row>
    <row r="5463" spans="16:16">
      <c r="P5463" s="2498"/>
    </row>
    <row r="5464" spans="16:16">
      <c r="P5464" s="2498"/>
    </row>
    <row r="5465" spans="16:16">
      <c r="P5465" s="2498"/>
    </row>
    <row r="5466" spans="16:16">
      <c r="P5466" s="2498"/>
    </row>
    <row r="5467" spans="16:16">
      <c r="P5467" s="2498"/>
    </row>
    <row r="5468" spans="16:16">
      <c r="P5468" s="2498"/>
    </row>
    <row r="5469" spans="16:16">
      <c r="P5469" s="2498"/>
    </row>
    <row r="5470" spans="16:16">
      <c r="P5470" s="2498"/>
    </row>
    <row r="5471" spans="16:16">
      <c r="P5471" s="2498"/>
    </row>
    <row r="5472" spans="16:16">
      <c r="P5472" s="2498"/>
    </row>
    <row r="5473" spans="16:16">
      <c r="P5473" s="2498"/>
    </row>
    <row r="5474" spans="16:16">
      <c r="P5474" s="2498"/>
    </row>
    <row r="5475" spans="16:16">
      <c r="P5475" s="2498"/>
    </row>
    <row r="5476" spans="16:16">
      <c r="P5476" s="2498"/>
    </row>
    <row r="5477" spans="16:16">
      <c r="P5477" s="2498"/>
    </row>
    <row r="5478" spans="16:16">
      <c r="P5478" s="2498"/>
    </row>
    <row r="5479" spans="16:16">
      <c r="P5479" s="2498"/>
    </row>
    <row r="5480" spans="16:16">
      <c r="P5480" s="2498"/>
    </row>
    <row r="5481" spans="16:16">
      <c r="P5481" s="2498"/>
    </row>
    <row r="5482" spans="16:16">
      <c r="P5482" s="2498"/>
    </row>
    <row r="5483" spans="16:16">
      <c r="P5483" s="2498"/>
    </row>
    <row r="5484" spans="16:16">
      <c r="P5484" s="2498"/>
    </row>
    <row r="5485" spans="16:16">
      <c r="P5485" s="2498"/>
    </row>
    <row r="5486" spans="16:16">
      <c r="P5486" s="2498"/>
    </row>
    <row r="5487" spans="16:16">
      <c r="P5487" s="2498"/>
    </row>
    <row r="5488" spans="16:16">
      <c r="P5488" s="2498"/>
    </row>
    <row r="5489" spans="16:16">
      <c r="P5489" s="2498"/>
    </row>
    <row r="5490" spans="16:16">
      <c r="P5490" s="2498"/>
    </row>
    <row r="5491" spans="16:16">
      <c r="P5491" s="2498"/>
    </row>
    <row r="5492" spans="16:16">
      <c r="P5492" s="2498"/>
    </row>
    <row r="5493" spans="16:16">
      <c r="P5493" s="2498"/>
    </row>
    <row r="5494" spans="16:16">
      <c r="P5494" s="2498"/>
    </row>
    <row r="5495" spans="16:16">
      <c r="P5495" s="2498"/>
    </row>
    <row r="5496" spans="16:16">
      <c r="P5496" s="2498"/>
    </row>
    <row r="5497" spans="16:16">
      <c r="P5497" s="2498"/>
    </row>
    <row r="5498" spans="16:16">
      <c r="P5498" s="2498"/>
    </row>
    <row r="5499" spans="16:16">
      <c r="P5499" s="2498"/>
    </row>
    <row r="5500" spans="16:16">
      <c r="P5500" s="2498"/>
    </row>
    <row r="5501" spans="16:16">
      <c r="P5501" s="2498"/>
    </row>
    <row r="5502" spans="16:16">
      <c r="P5502" s="2498"/>
    </row>
    <row r="5503" spans="16:16">
      <c r="P5503" s="2498"/>
    </row>
    <row r="5504" spans="16:16">
      <c r="P5504" s="2498"/>
    </row>
    <row r="5505" spans="16:16">
      <c r="P5505" s="2498"/>
    </row>
    <row r="5506" spans="16:16">
      <c r="P5506" s="2498"/>
    </row>
    <row r="5507" spans="16:16">
      <c r="P5507" s="2498"/>
    </row>
    <row r="5508" spans="16:16">
      <c r="P5508" s="2498"/>
    </row>
    <row r="5509" spans="16:16">
      <c r="P5509" s="2498"/>
    </row>
    <row r="5510" spans="16:16">
      <c r="P5510" s="2498"/>
    </row>
    <row r="5511" spans="16:16">
      <c r="P5511" s="2498"/>
    </row>
    <row r="5512" spans="16:16">
      <c r="P5512" s="2498"/>
    </row>
    <row r="5513" spans="16:16">
      <c r="P5513" s="2498"/>
    </row>
    <row r="5514" spans="16:16">
      <c r="P5514" s="2498"/>
    </row>
    <row r="5515" spans="16:16">
      <c r="P5515" s="2498"/>
    </row>
    <row r="5516" spans="16:16">
      <c r="P5516" s="2498"/>
    </row>
    <row r="5517" spans="16:16">
      <c r="P5517" s="2498"/>
    </row>
    <row r="5518" spans="16:16">
      <c r="P5518" s="2498"/>
    </row>
    <row r="5519" spans="16:16">
      <c r="P5519" s="2498"/>
    </row>
    <row r="5520" spans="16:16">
      <c r="P5520" s="2498"/>
    </row>
    <row r="5521" spans="16:16">
      <c r="P5521" s="2498"/>
    </row>
    <row r="5522" spans="16:16">
      <c r="P5522" s="2498"/>
    </row>
    <row r="5523" spans="16:16">
      <c r="P5523" s="2498"/>
    </row>
    <row r="5524" spans="16:16">
      <c r="P5524" s="2498"/>
    </row>
    <row r="5525" spans="16:16">
      <c r="P5525" s="2498"/>
    </row>
    <row r="5526" spans="16:16">
      <c r="P5526" s="2498"/>
    </row>
    <row r="5527" spans="16:16">
      <c r="P5527" s="2498"/>
    </row>
    <row r="5528" spans="16:16">
      <c r="P5528" s="2498"/>
    </row>
    <row r="5529" spans="16:16">
      <c r="P5529" s="2498"/>
    </row>
    <row r="5530" spans="16:16">
      <c r="P5530" s="2498"/>
    </row>
    <row r="5531" spans="16:16">
      <c r="P5531" s="2498"/>
    </row>
    <row r="5532" spans="16:16">
      <c r="P5532" s="2498"/>
    </row>
    <row r="5533" spans="16:16">
      <c r="P5533" s="2498"/>
    </row>
    <row r="5534" spans="16:16">
      <c r="P5534" s="2498"/>
    </row>
    <row r="5535" spans="16:16">
      <c r="P5535" s="2498"/>
    </row>
    <row r="5536" spans="16:16">
      <c r="P5536" s="2498"/>
    </row>
    <row r="5537" spans="16:16">
      <c r="P5537" s="2498"/>
    </row>
    <row r="5538" spans="16:16">
      <c r="P5538" s="2498"/>
    </row>
    <row r="5539" spans="16:16">
      <c r="P5539" s="2498"/>
    </row>
    <row r="5540" spans="16:16">
      <c r="P5540" s="2498"/>
    </row>
    <row r="5541" spans="16:16">
      <c r="P5541" s="2498"/>
    </row>
    <row r="5542" spans="16:16">
      <c r="P5542" s="2498"/>
    </row>
    <row r="5543" spans="16:16">
      <c r="P5543" s="2498"/>
    </row>
    <row r="5544" spans="16:16">
      <c r="P5544" s="2498"/>
    </row>
    <row r="5545" spans="16:16">
      <c r="P5545" s="2498"/>
    </row>
    <row r="5546" spans="16:16">
      <c r="P5546" s="2498"/>
    </row>
    <row r="5547" spans="16:16">
      <c r="P5547" s="2498"/>
    </row>
    <row r="5548" spans="16:16">
      <c r="P5548" s="2498"/>
    </row>
    <row r="5549" spans="16:16">
      <c r="P5549" s="2498"/>
    </row>
    <row r="5550" spans="16:16">
      <c r="P5550" s="2498"/>
    </row>
    <row r="5551" spans="16:16">
      <c r="P5551" s="2498"/>
    </row>
    <row r="5552" spans="16:16">
      <c r="P5552" s="2498"/>
    </row>
    <row r="5553" spans="16:16">
      <c r="P5553" s="2498"/>
    </row>
    <row r="5554" spans="16:16">
      <c r="P5554" s="2498"/>
    </row>
    <row r="5555" spans="16:16">
      <c r="P5555" s="2498"/>
    </row>
    <row r="5556" spans="16:16">
      <c r="P5556" s="2498"/>
    </row>
    <row r="5557" spans="16:16">
      <c r="P5557" s="2498"/>
    </row>
    <row r="5558" spans="16:16">
      <c r="P5558" s="2498"/>
    </row>
    <row r="5559" spans="16:16">
      <c r="P5559" s="2498"/>
    </row>
    <row r="5560" spans="16:16">
      <c r="P5560" s="2498"/>
    </row>
    <row r="5561" spans="16:16">
      <c r="P5561" s="2498"/>
    </row>
    <row r="5562" spans="16:16">
      <c r="P5562" s="2498"/>
    </row>
    <row r="5563" spans="16:16">
      <c r="P5563" s="2498"/>
    </row>
    <row r="5564" spans="16:16">
      <c r="P5564" s="2498"/>
    </row>
    <row r="5565" spans="16:16">
      <c r="P5565" s="2498"/>
    </row>
    <row r="5566" spans="16:16">
      <c r="P5566" s="2498"/>
    </row>
    <row r="5567" spans="16:16">
      <c r="P5567" s="2498"/>
    </row>
    <row r="5568" spans="16:16">
      <c r="P5568" s="2498"/>
    </row>
    <row r="5569" spans="16:16">
      <c r="P5569" s="2498"/>
    </row>
    <row r="5570" spans="16:16">
      <c r="P5570" s="2498"/>
    </row>
    <row r="5571" spans="16:16">
      <c r="P5571" s="2498"/>
    </row>
    <row r="5572" spans="16:16">
      <c r="P5572" s="2498"/>
    </row>
    <row r="5573" spans="16:16">
      <c r="P5573" s="2498"/>
    </row>
    <row r="5574" spans="16:16">
      <c r="P5574" s="2498"/>
    </row>
    <row r="5575" spans="16:16">
      <c r="P5575" s="2498"/>
    </row>
    <row r="5576" spans="16:16">
      <c r="P5576" s="2498"/>
    </row>
    <row r="5577" spans="16:16">
      <c r="P5577" s="2498"/>
    </row>
    <row r="5578" spans="16:16">
      <c r="P5578" s="2498"/>
    </row>
    <row r="5579" spans="16:16">
      <c r="P5579" s="2498"/>
    </row>
    <row r="5580" spans="16:16">
      <c r="P5580" s="2498"/>
    </row>
    <row r="5581" spans="16:16">
      <c r="P5581" s="2498"/>
    </row>
    <row r="5582" spans="16:16">
      <c r="P5582" s="2498"/>
    </row>
    <row r="5583" spans="16:16">
      <c r="P5583" s="2498"/>
    </row>
    <row r="5584" spans="16:16">
      <c r="P5584" s="2498"/>
    </row>
    <row r="5585" spans="16:16">
      <c r="P5585" s="2498"/>
    </row>
    <row r="5586" spans="16:16">
      <c r="P5586" s="2498"/>
    </row>
    <row r="5587" spans="16:16">
      <c r="P5587" s="2498"/>
    </row>
    <row r="5588" spans="16:16">
      <c r="P5588" s="2498"/>
    </row>
    <row r="5589" spans="16:16">
      <c r="P5589" s="2498"/>
    </row>
    <row r="5590" spans="16:16">
      <c r="P5590" s="2498"/>
    </row>
    <row r="5591" spans="16:16">
      <c r="P5591" s="2498"/>
    </row>
    <row r="5592" spans="16:16">
      <c r="P5592" s="2498"/>
    </row>
    <row r="5593" spans="16:16">
      <c r="P5593" s="2498"/>
    </row>
    <row r="5594" spans="16:16">
      <c r="P5594" s="2498"/>
    </row>
    <row r="5595" spans="16:16">
      <c r="P5595" s="2498"/>
    </row>
    <row r="5596" spans="16:16">
      <c r="P5596" s="2498"/>
    </row>
    <row r="5597" spans="16:16">
      <c r="P5597" s="2498"/>
    </row>
    <row r="5598" spans="16:16">
      <c r="P5598" s="2498"/>
    </row>
    <row r="5599" spans="16:16">
      <c r="P5599" s="2498"/>
    </row>
    <row r="5600" spans="16:16">
      <c r="P5600" s="2498"/>
    </row>
    <row r="5601" spans="16:16">
      <c r="P5601" s="2498"/>
    </row>
    <row r="5602" spans="16:16">
      <c r="P5602" s="2498"/>
    </row>
    <row r="5603" spans="16:16">
      <c r="P5603" s="2498"/>
    </row>
    <row r="5604" spans="16:16">
      <c r="P5604" s="2498"/>
    </row>
    <row r="5605" spans="16:16">
      <c r="P5605" s="2498"/>
    </row>
    <row r="5606" spans="16:16">
      <c r="P5606" s="2498"/>
    </row>
    <row r="5607" spans="16:16">
      <c r="P5607" s="2498"/>
    </row>
    <row r="5608" spans="16:16">
      <c r="P5608" s="2498"/>
    </row>
    <row r="5609" spans="16:16">
      <c r="P5609" s="2498"/>
    </row>
    <row r="5610" spans="16:16">
      <c r="P5610" s="2498"/>
    </row>
    <row r="5611" spans="16:16">
      <c r="P5611" s="2498"/>
    </row>
    <row r="5612" spans="16:16">
      <c r="P5612" s="2498"/>
    </row>
    <row r="5613" spans="16:16">
      <c r="P5613" s="2498"/>
    </row>
    <row r="5614" spans="16:16">
      <c r="P5614" s="2498"/>
    </row>
    <row r="5615" spans="16:16">
      <c r="P5615" s="2498"/>
    </row>
    <row r="5616" spans="16:16">
      <c r="P5616" s="2498"/>
    </row>
    <row r="5617" spans="16:16">
      <c r="P5617" s="2498"/>
    </row>
    <row r="5618" spans="16:16">
      <c r="P5618" s="2498"/>
    </row>
    <row r="5619" spans="16:16">
      <c r="P5619" s="2498"/>
    </row>
    <row r="5620" spans="16:16">
      <c r="P5620" s="2498"/>
    </row>
    <row r="5621" spans="16:16">
      <c r="P5621" s="2498"/>
    </row>
    <row r="5622" spans="16:16">
      <c r="P5622" s="2498"/>
    </row>
    <row r="5623" spans="16:16">
      <c r="P5623" s="2498"/>
    </row>
    <row r="5624" spans="16:16">
      <c r="P5624" s="2498"/>
    </row>
    <row r="5625" spans="16:16">
      <c r="P5625" s="2498"/>
    </row>
    <row r="5626" spans="16:16">
      <c r="P5626" s="2498"/>
    </row>
    <row r="5627" spans="16:16">
      <c r="P5627" s="2498"/>
    </row>
    <row r="5628" spans="16:16">
      <c r="P5628" s="2498"/>
    </row>
    <row r="5629" spans="16:16">
      <c r="P5629" s="2498"/>
    </row>
    <row r="5630" spans="16:16">
      <c r="P5630" s="2498"/>
    </row>
    <row r="5631" spans="16:16">
      <c r="P5631" s="2498"/>
    </row>
    <row r="5632" spans="16:16">
      <c r="P5632" s="2498"/>
    </row>
    <row r="5633" spans="16:16">
      <c r="P5633" s="2498"/>
    </row>
    <row r="5634" spans="16:16">
      <c r="P5634" s="2498"/>
    </row>
    <row r="5635" spans="16:16">
      <c r="P5635" s="2498"/>
    </row>
    <row r="5636" spans="16:16">
      <c r="P5636" s="2498"/>
    </row>
    <row r="5637" spans="16:16">
      <c r="P5637" s="2498"/>
    </row>
    <row r="5638" spans="16:16">
      <c r="P5638" s="2498"/>
    </row>
    <row r="5639" spans="16:16">
      <c r="P5639" s="2498"/>
    </row>
    <row r="5640" spans="16:16">
      <c r="P5640" s="2498"/>
    </row>
    <row r="5641" spans="16:16">
      <c r="P5641" s="2498"/>
    </row>
    <row r="5642" spans="16:16">
      <c r="P5642" s="2498"/>
    </row>
    <row r="5643" spans="16:16">
      <c r="P5643" s="2498"/>
    </row>
    <row r="5644" spans="16:16">
      <c r="P5644" s="2498"/>
    </row>
    <row r="5645" spans="16:16">
      <c r="P5645" s="2498"/>
    </row>
    <row r="5646" spans="16:16">
      <c r="P5646" s="2498"/>
    </row>
    <row r="5647" spans="16:16">
      <c r="P5647" s="2498"/>
    </row>
    <row r="5648" spans="16:16">
      <c r="P5648" s="2498"/>
    </row>
    <row r="5649" spans="16:16">
      <c r="P5649" s="2498"/>
    </row>
    <row r="5650" spans="16:16">
      <c r="P5650" s="2498"/>
    </row>
    <row r="5651" spans="16:16">
      <c r="P5651" s="2498"/>
    </row>
    <row r="5652" spans="16:16">
      <c r="P5652" s="2498"/>
    </row>
    <row r="5653" spans="16:16">
      <c r="P5653" s="2498"/>
    </row>
    <row r="5654" spans="16:16">
      <c r="P5654" s="2498"/>
    </row>
    <row r="5655" spans="16:16">
      <c r="P5655" s="2498"/>
    </row>
    <row r="5656" spans="16:16">
      <c r="P5656" s="2498"/>
    </row>
    <row r="5657" spans="16:16">
      <c r="P5657" s="2498"/>
    </row>
    <row r="5658" spans="16:16">
      <c r="P5658" s="2498"/>
    </row>
    <row r="5659" spans="16:16">
      <c r="P5659" s="2498"/>
    </row>
    <row r="5660" spans="16:16">
      <c r="P5660" s="2498"/>
    </row>
    <row r="5661" spans="16:16">
      <c r="P5661" s="2498"/>
    </row>
    <row r="5662" spans="16:16">
      <c r="P5662" s="2498"/>
    </row>
    <row r="5663" spans="16:16">
      <c r="P5663" s="2498"/>
    </row>
    <row r="5664" spans="16:16">
      <c r="P5664" s="2498"/>
    </row>
    <row r="5665" spans="16:16">
      <c r="P5665" s="2498"/>
    </row>
    <row r="5666" spans="16:16">
      <c r="P5666" s="2498"/>
    </row>
    <row r="5667" spans="16:16">
      <c r="P5667" s="2498"/>
    </row>
    <row r="5668" spans="16:16">
      <c r="P5668" s="2498"/>
    </row>
    <row r="5669" spans="16:16">
      <c r="P5669" s="2498"/>
    </row>
    <row r="5670" spans="16:16">
      <c r="P5670" s="2498"/>
    </row>
    <row r="5671" spans="16:16">
      <c r="P5671" s="2498"/>
    </row>
    <row r="5672" spans="16:16">
      <c r="P5672" s="2498"/>
    </row>
    <row r="5673" spans="16:16">
      <c r="P5673" s="2498"/>
    </row>
    <row r="5674" spans="16:16">
      <c r="P5674" s="2498"/>
    </row>
    <row r="5675" spans="16:16">
      <c r="P5675" s="2498"/>
    </row>
    <row r="5676" spans="16:16">
      <c r="P5676" s="2498"/>
    </row>
    <row r="5677" spans="16:16">
      <c r="P5677" s="2498"/>
    </row>
    <row r="5678" spans="16:16">
      <c r="P5678" s="2498"/>
    </row>
    <row r="5679" spans="16:16">
      <c r="P5679" s="2498"/>
    </row>
    <row r="5680" spans="16:16">
      <c r="P5680" s="2498"/>
    </row>
    <row r="5681" spans="16:16">
      <c r="P5681" s="2498"/>
    </row>
    <row r="5682" spans="16:16">
      <c r="P5682" s="2498"/>
    </row>
    <row r="5683" spans="16:16">
      <c r="P5683" s="2498"/>
    </row>
    <row r="5684" spans="16:16">
      <c r="P5684" s="2498"/>
    </row>
    <row r="5685" spans="16:16">
      <c r="P5685" s="2498"/>
    </row>
    <row r="5686" spans="16:16">
      <c r="P5686" s="2498"/>
    </row>
    <row r="5687" spans="16:16">
      <c r="P5687" s="2498"/>
    </row>
    <row r="5688" spans="16:16">
      <c r="P5688" s="2498"/>
    </row>
    <row r="5689" spans="16:16">
      <c r="P5689" s="2498"/>
    </row>
    <row r="5690" spans="16:16">
      <c r="P5690" s="2498"/>
    </row>
    <row r="5691" spans="16:16">
      <c r="P5691" s="2498"/>
    </row>
    <row r="5692" spans="16:16">
      <c r="P5692" s="2498"/>
    </row>
    <row r="5693" spans="16:16">
      <c r="P5693" s="2498"/>
    </row>
    <row r="5694" spans="16:16">
      <c r="P5694" s="2498"/>
    </row>
    <row r="5695" spans="16:16">
      <c r="P5695" s="2498"/>
    </row>
    <row r="5696" spans="16:16">
      <c r="P5696" s="2498"/>
    </row>
    <row r="5697" spans="16:16">
      <c r="P5697" s="2498"/>
    </row>
    <row r="5698" spans="16:16">
      <c r="P5698" s="2498"/>
    </row>
    <row r="5699" spans="16:16">
      <c r="P5699" s="2498"/>
    </row>
    <row r="5700" spans="16:16">
      <c r="P5700" s="2498"/>
    </row>
    <row r="5701" spans="16:16">
      <c r="P5701" s="2498"/>
    </row>
    <row r="5702" spans="16:16">
      <c r="P5702" s="2498"/>
    </row>
    <row r="5703" spans="16:16">
      <c r="P5703" s="2498"/>
    </row>
    <row r="5704" spans="16:16">
      <c r="P5704" s="2498"/>
    </row>
    <row r="5705" spans="16:16">
      <c r="P5705" s="2498"/>
    </row>
    <row r="5706" spans="16:16">
      <c r="P5706" s="2498"/>
    </row>
    <row r="5707" spans="16:16">
      <c r="P5707" s="2498"/>
    </row>
    <row r="5708" spans="16:16">
      <c r="P5708" s="2498"/>
    </row>
    <row r="5709" spans="16:16">
      <c r="P5709" s="2498"/>
    </row>
    <row r="5710" spans="16:16">
      <c r="P5710" s="2498"/>
    </row>
    <row r="5711" spans="16:16">
      <c r="P5711" s="2498"/>
    </row>
    <row r="5712" spans="16:16">
      <c r="P5712" s="2498"/>
    </row>
    <row r="5713" spans="16:16">
      <c r="P5713" s="2498"/>
    </row>
    <row r="5714" spans="16:16">
      <c r="P5714" s="2498"/>
    </row>
    <row r="5715" spans="16:16">
      <c r="P5715" s="2498"/>
    </row>
    <row r="5716" spans="16:16">
      <c r="P5716" s="2498"/>
    </row>
    <row r="5717" spans="16:16">
      <c r="P5717" s="2498"/>
    </row>
    <row r="5718" spans="16:16">
      <c r="P5718" s="2498"/>
    </row>
    <row r="5719" spans="16:16">
      <c r="P5719" s="2498"/>
    </row>
    <row r="5720" spans="16:16">
      <c r="P5720" s="2498"/>
    </row>
    <row r="5721" spans="16:16">
      <c r="P5721" s="2498"/>
    </row>
    <row r="5722" spans="16:16">
      <c r="P5722" s="2498"/>
    </row>
    <row r="5723" spans="16:16">
      <c r="P5723" s="2498"/>
    </row>
    <row r="5724" spans="16:16">
      <c r="P5724" s="2498"/>
    </row>
    <row r="5725" spans="16:16">
      <c r="P5725" s="2498"/>
    </row>
    <row r="5726" spans="16:16">
      <c r="P5726" s="2498"/>
    </row>
    <row r="5727" spans="16:16">
      <c r="P5727" s="2498"/>
    </row>
    <row r="5728" spans="16:16">
      <c r="P5728" s="2498"/>
    </row>
    <row r="5729" spans="16:16">
      <c r="P5729" s="2498"/>
    </row>
    <row r="5730" spans="16:16">
      <c r="P5730" s="2498"/>
    </row>
    <row r="5731" spans="16:16">
      <c r="P5731" s="2498"/>
    </row>
    <row r="5732" spans="16:16">
      <c r="P5732" s="2498"/>
    </row>
    <row r="5733" spans="16:16">
      <c r="P5733" s="2498"/>
    </row>
    <row r="5734" spans="16:16">
      <c r="P5734" s="2498"/>
    </row>
    <row r="5735" spans="16:16">
      <c r="P5735" s="2498"/>
    </row>
    <row r="5736" spans="16:16">
      <c r="P5736" s="2498"/>
    </row>
    <row r="5737" spans="16:16">
      <c r="P5737" s="2498"/>
    </row>
    <row r="5738" spans="16:16">
      <c r="P5738" s="2498"/>
    </row>
    <row r="5739" spans="16:16">
      <c r="P5739" s="2498"/>
    </row>
    <row r="5740" spans="16:16">
      <c r="P5740" s="2498"/>
    </row>
    <row r="5741" spans="16:16">
      <c r="P5741" s="2498"/>
    </row>
    <row r="5742" spans="16:16">
      <c r="P5742" s="2498"/>
    </row>
    <row r="5743" spans="16:16">
      <c r="P5743" s="2498"/>
    </row>
    <row r="5744" spans="16:16">
      <c r="P5744" s="2498"/>
    </row>
    <row r="5745" spans="16:16">
      <c r="P5745" s="2498"/>
    </row>
    <row r="5746" spans="16:16">
      <c r="P5746" s="2498"/>
    </row>
    <row r="5747" spans="16:16">
      <c r="P5747" s="2498"/>
    </row>
    <row r="5748" spans="16:16">
      <c r="P5748" s="2498"/>
    </row>
    <row r="5749" spans="16:16">
      <c r="P5749" s="2498"/>
    </row>
    <row r="5750" spans="16:16">
      <c r="P5750" s="2498"/>
    </row>
    <row r="5751" spans="16:16">
      <c r="P5751" s="2498"/>
    </row>
    <row r="5752" spans="16:16">
      <c r="P5752" s="2498"/>
    </row>
    <row r="5753" spans="16:16">
      <c r="P5753" s="2498"/>
    </row>
    <row r="5754" spans="16:16">
      <c r="P5754" s="2498"/>
    </row>
    <row r="5755" spans="16:16">
      <c r="P5755" s="2498"/>
    </row>
    <row r="5756" spans="16:16">
      <c r="P5756" s="2498"/>
    </row>
    <row r="5757" spans="16:16">
      <c r="P5757" s="2498"/>
    </row>
    <row r="5758" spans="16:16">
      <c r="P5758" s="2498"/>
    </row>
    <row r="5759" spans="16:16">
      <c r="P5759" s="2498"/>
    </row>
    <row r="5760" spans="16:16">
      <c r="P5760" s="2498"/>
    </row>
    <row r="5761" spans="16:16">
      <c r="P5761" s="2498"/>
    </row>
    <row r="5762" spans="16:16">
      <c r="P5762" s="2498"/>
    </row>
    <row r="5763" spans="16:16">
      <c r="P5763" s="2498"/>
    </row>
    <row r="5764" spans="16:16">
      <c r="P5764" s="2498"/>
    </row>
    <row r="5765" spans="16:16">
      <c r="P5765" s="2498"/>
    </row>
    <row r="5766" spans="16:16">
      <c r="P5766" s="2498"/>
    </row>
    <row r="5767" spans="16:16">
      <c r="P5767" s="2498"/>
    </row>
    <row r="5768" spans="16:16">
      <c r="P5768" s="2498"/>
    </row>
    <row r="5769" spans="16:16">
      <c r="P5769" s="2498"/>
    </row>
    <row r="5770" spans="16:16">
      <c r="P5770" s="2498"/>
    </row>
    <row r="5771" spans="16:16">
      <c r="P5771" s="2498"/>
    </row>
    <row r="5772" spans="16:16">
      <c r="P5772" s="2498"/>
    </row>
    <row r="5773" spans="16:16">
      <c r="P5773" s="2498"/>
    </row>
    <row r="5774" spans="16:16">
      <c r="P5774" s="2498"/>
    </row>
    <row r="5775" spans="16:16">
      <c r="P5775" s="2498"/>
    </row>
    <row r="5776" spans="16:16">
      <c r="P5776" s="2498"/>
    </row>
    <row r="5777" spans="16:16">
      <c r="P5777" s="2498"/>
    </row>
    <row r="5778" spans="16:16">
      <c r="P5778" s="2498"/>
    </row>
    <row r="5779" spans="16:16">
      <c r="P5779" s="2498"/>
    </row>
    <row r="5780" spans="16:16">
      <c r="P5780" s="2498"/>
    </row>
    <row r="5781" spans="16:16">
      <c r="P5781" s="2498"/>
    </row>
    <row r="5782" spans="16:16">
      <c r="P5782" s="2498"/>
    </row>
    <row r="5783" spans="16:16">
      <c r="P5783" s="2498"/>
    </row>
    <row r="5784" spans="16:16">
      <c r="P5784" s="2498"/>
    </row>
    <row r="5785" spans="16:16">
      <c r="P5785" s="2498"/>
    </row>
    <row r="5786" spans="16:16">
      <c r="P5786" s="2498"/>
    </row>
    <row r="5787" spans="16:16">
      <c r="P5787" s="2498"/>
    </row>
    <row r="5788" spans="16:16">
      <c r="P5788" s="2498"/>
    </row>
    <row r="5789" spans="16:16">
      <c r="P5789" s="2498"/>
    </row>
    <row r="5790" spans="16:16">
      <c r="P5790" s="2498"/>
    </row>
    <row r="5791" spans="16:16">
      <c r="P5791" s="2498"/>
    </row>
    <row r="5792" spans="16:16">
      <c r="P5792" s="2498"/>
    </row>
    <row r="5793" spans="16:16">
      <c r="P5793" s="2498"/>
    </row>
    <row r="5794" spans="16:16">
      <c r="P5794" s="2498"/>
    </row>
    <row r="5795" spans="16:16">
      <c r="P5795" s="2498"/>
    </row>
    <row r="5796" spans="16:16">
      <c r="P5796" s="2498"/>
    </row>
    <row r="5797" spans="16:16">
      <c r="P5797" s="2498"/>
    </row>
    <row r="5798" spans="16:16">
      <c r="P5798" s="2498"/>
    </row>
    <row r="5799" spans="16:16">
      <c r="P5799" s="2498"/>
    </row>
    <row r="5800" spans="16:16">
      <c r="P5800" s="2498"/>
    </row>
    <row r="5801" spans="16:16">
      <c r="P5801" s="2498"/>
    </row>
    <row r="5802" spans="16:16">
      <c r="P5802" s="2498"/>
    </row>
    <row r="5803" spans="16:16">
      <c r="P5803" s="2498"/>
    </row>
    <row r="5804" spans="16:16">
      <c r="P5804" s="2498"/>
    </row>
    <row r="5805" spans="16:16">
      <c r="P5805" s="2498"/>
    </row>
    <row r="5806" spans="16:16">
      <c r="P5806" s="2498"/>
    </row>
    <row r="5807" spans="16:16">
      <c r="P5807" s="2498"/>
    </row>
    <row r="5808" spans="16:16">
      <c r="P5808" s="2498"/>
    </row>
    <row r="5809" spans="16:16">
      <c r="P5809" s="2498"/>
    </row>
    <row r="5810" spans="16:16">
      <c r="P5810" s="2498"/>
    </row>
    <row r="5811" spans="16:16">
      <c r="P5811" s="2498"/>
    </row>
    <row r="5812" spans="16:16">
      <c r="P5812" s="2498"/>
    </row>
    <row r="5813" spans="16:16">
      <c r="P5813" s="2498"/>
    </row>
    <row r="5814" spans="16:16">
      <c r="P5814" s="2498"/>
    </row>
    <row r="5815" spans="16:16">
      <c r="P5815" s="2498"/>
    </row>
    <row r="5816" spans="16:16">
      <c r="P5816" s="2498"/>
    </row>
    <row r="5817" spans="16:16">
      <c r="P5817" s="2498"/>
    </row>
    <row r="5818" spans="16:16">
      <c r="P5818" s="2498"/>
    </row>
    <row r="5819" spans="16:16">
      <c r="P5819" s="2498"/>
    </row>
    <row r="5820" spans="16:16">
      <c r="P5820" s="2498"/>
    </row>
    <row r="5821" spans="16:16">
      <c r="P5821" s="2498"/>
    </row>
    <row r="5822" spans="16:16">
      <c r="P5822" s="2498"/>
    </row>
    <row r="5823" spans="16:16">
      <c r="P5823" s="2498"/>
    </row>
    <row r="5824" spans="16:16">
      <c r="P5824" s="2498"/>
    </row>
    <row r="5825" spans="16:16">
      <c r="P5825" s="2498"/>
    </row>
    <row r="5826" spans="16:16">
      <c r="P5826" s="2498"/>
    </row>
    <row r="5827" spans="16:16">
      <c r="P5827" s="2498"/>
    </row>
    <row r="5828" spans="16:16">
      <c r="P5828" s="2498"/>
    </row>
    <row r="5829" spans="16:16">
      <c r="P5829" s="2498"/>
    </row>
    <row r="5830" spans="16:16">
      <c r="P5830" s="2498"/>
    </row>
    <row r="5831" spans="16:16">
      <c r="P5831" s="2498"/>
    </row>
    <row r="5832" spans="16:16">
      <c r="P5832" s="2498"/>
    </row>
    <row r="5833" spans="16:16">
      <c r="P5833" s="2498"/>
    </row>
    <row r="5834" spans="16:16">
      <c r="P5834" s="2498"/>
    </row>
    <row r="5835" spans="16:16">
      <c r="P5835" s="2498"/>
    </row>
    <row r="5836" spans="16:16">
      <c r="P5836" s="2498"/>
    </row>
    <row r="5837" spans="16:16">
      <c r="P5837" s="2498"/>
    </row>
    <row r="5838" spans="16:16">
      <c r="P5838" s="2498"/>
    </row>
    <row r="5839" spans="16:16">
      <c r="P5839" s="2498"/>
    </row>
    <row r="5840" spans="16:16">
      <c r="P5840" s="2498"/>
    </row>
    <row r="5841" spans="16:16">
      <c r="P5841" s="2498"/>
    </row>
    <row r="5842" spans="16:16">
      <c r="P5842" s="2498"/>
    </row>
    <row r="5843" spans="16:16">
      <c r="P5843" s="2498"/>
    </row>
    <row r="5844" spans="16:16">
      <c r="P5844" s="2498"/>
    </row>
    <row r="5845" spans="16:16">
      <c r="P5845" s="2498"/>
    </row>
    <row r="5846" spans="16:16">
      <c r="P5846" s="2498"/>
    </row>
    <row r="5847" spans="16:16">
      <c r="P5847" s="2498"/>
    </row>
    <row r="5848" spans="16:16">
      <c r="P5848" s="2498"/>
    </row>
    <row r="5849" spans="16:16">
      <c r="P5849" s="2498"/>
    </row>
    <row r="5850" spans="16:16">
      <c r="P5850" s="2498"/>
    </row>
    <row r="5851" spans="16:16">
      <c r="P5851" s="2498"/>
    </row>
    <row r="5852" spans="16:16">
      <c r="P5852" s="2498"/>
    </row>
    <row r="5853" spans="16:16">
      <c r="P5853" s="2498"/>
    </row>
    <row r="5854" spans="16:16">
      <c r="P5854" s="2498"/>
    </row>
    <row r="5855" spans="16:16">
      <c r="P5855" s="2498"/>
    </row>
    <row r="5856" spans="16:16">
      <c r="P5856" s="2498"/>
    </row>
    <row r="5857" spans="16:16">
      <c r="P5857" s="2498"/>
    </row>
    <row r="5858" spans="16:16">
      <c r="P5858" s="2498"/>
    </row>
    <row r="5859" spans="16:16">
      <c r="P5859" s="2498"/>
    </row>
    <row r="5860" spans="16:16">
      <c r="P5860" s="2498"/>
    </row>
    <row r="5861" spans="16:16">
      <c r="P5861" s="2498"/>
    </row>
    <row r="5862" spans="16:16">
      <c r="P5862" s="2498"/>
    </row>
    <row r="5863" spans="16:16">
      <c r="P5863" s="2498"/>
    </row>
    <row r="5864" spans="16:16">
      <c r="P5864" s="2498"/>
    </row>
    <row r="5865" spans="16:16">
      <c r="P5865" s="2498"/>
    </row>
    <row r="5866" spans="16:16">
      <c r="P5866" s="2498"/>
    </row>
    <row r="5867" spans="16:16">
      <c r="P5867" s="2498"/>
    </row>
    <row r="5868" spans="16:16">
      <c r="P5868" s="2498"/>
    </row>
    <row r="5869" spans="16:16">
      <c r="P5869" s="2498"/>
    </row>
    <row r="5870" spans="16:16">
      <c r="P5870" s="2498"/>
    </row>
    <row r="5871" spans="16:16">
      <c r="P5871" s="2498"/>
    </row>
    <row r="5872" spans="16:16">
      <c r="P5872" s="2498"/>
    </row>
    <row r="5873" spans="16:16">
      <c r="P5873" s="2498"/>
    </row>
    <row r="5874" spans="16:16">
      <c r="P5874" s="2498"/>
    </row>
    <row r="5875" spans="16:16">
      <c r="P5875" s="2498"/>
    </row>
    <row r="5876" spans="16:16">
      <c r="P5876" s="2498"/>
    </row>
    <row r="5877" spans="16:16">
      <c r="P5877" s="2498"/>
    </row>
    <row r="5878" spans="16:16">
      <c r="P5878" s="2498"/>
    </row>
    <row r="5879" spans="16:16">
      <c r="P5879" s="2498"/>
    </row>
    <row r="5880" spans="16:16">
      <c r="P5880" s="2498"/>
    </row>
    <row r="5881" spans="16:16">
      <c r="P5881" s="2498"/>
    </row>
    <row r="5882" spans="16:16">
      <c r="P5882" s="2498"/>
    </row>
    <row r="5883" spans="16:16">
      <c r="P5883" s="2498"/>
    </row>
    <row r="5884" spans="16:16">
      <c r="P5884" s="2498"/>
    </row>
    <row r="5885" spans="16:16">
      <c r="P5885" s="2498"/>
    </row>
    <row r="5886" spans="16:16">
      <c r="P5886" s="2498"/>
    </row>
    <row r="5887" spans="16:16">
      <c r="P5887" s="2498"/>
    </row>
    <row r="5888" spans="16:16">
      <c r="P5888" s="2498"/>
    </row>
    <row r="5889" spans="16:16">
      <c r="P5889" s="2498"/>
    </row>
    <row r="5890" spans="16:16">
      <c r="P5890" s="2498"/>
    </row>
    <row r="5891" spans="16:16">
      <c r="P5891" s="2498"/>
    </row>
    <row r="5892" spans="16:16">
      <c r="P5892" s="2498"/>
    </row>
    <row r="5893" spans="16:16">
      <c r="P5893" s="2498"/>
    </row>
    <row r="5894" spans="16:16">
      <c r="P5894" s="2498"/>
    </row>
    <row r="5895" spans="16:16">
      <c r="P5895" s="2498"/>
    </row>
    <row r="5896" spans="16:16">
      <c r="P5896" s="2498"/>
    </row>
    <row r="5897" spans="16:16">
      <c r="P5897" s="2498"/>
    </row>
    <row r="5898" spans="16:16">
      <c r="P5898" s="2498"/>
    </row>
    <row r="5899" spans="16:16">
      <c r="P5899" s="2498"/>
    </row>
    <row r="5900" spans="16:16">
      <c r="P5900" s="2498"/>
    </row>
    <row r="5901" spans="16:16">
      <c r="P5901" s="2498"/>
    </row>
    <row r="5902" spans="16:16">
      <c r="P5902" s="2498"/>
    </row>
    <row r="5903" spans="16:16">
      <c r="P5903" s="2498"/>
    </row>
    <row r="5904" spans="16:16">
      <c r="P5904" s="2498"/>
    </row>
    <row r="5905" spans="16:16">
      <c r="P5905" s="2498"/>
    </row>
    <row r="5906" spans="16:16">
      <c r="P5906" s="2498"/>
    </row>
    <row r="5907" spans="16:16">
      <c r="P5907" s="2498"/>
    </row>
    <row r="5908" spans="16:16">
      <c r="P5908" s="2498"/>
    </row>
    <row r="5909" spans="16:16">
      <c r="P5909" s="2498"/>
    </row>
    <row r="5910" spans="16:16">
      <c r="P5910" s="2498"/>
    </row>
    <row r="5911" spans="16:16">
      <c r="P5911" s="2498"/>
    </row>
    <row r="5912" spans="16:16">
      <c r="P5912" s="2498"/>
    </row>
    <row r="5913" spans="16:16">
      <c r="P5913" s="2498"/>
    </row>
    <row r="5914" spans="16:16">
      <c r="P5914" s="2498"/>
    </row>
    <row r="5915" spans="16:16">
      <c r="P5915" s="2498"/>
    </row>
    <row r="5916" spans="16:16">
      <c r="P5916" s="2498"/>
    </row>
    <row r="5917" spans="16:16">
      <c r="P5917" s="2498"/>
    </row>
    <row r="5918" spans="16:16">
      <c r="P5918" s="2498"/>
    </row>
    <row r="5919" spans="16:16">
      <c r="P5919" s="2498"/>
    </row>
    <row r="5920" spans="16:16">
      <c r="P5920" s="2498"/>
    </row>
    <row r="5921" spans="16:16">
      <c r="P5921" s="2498"/>
    </row>
    <row r="5922" spans="16:16">
      <c r="P5922" s="2498"/>
    </row>
    <row r="5923" spans="16:16">
      <c r="P5923" s="2498"/>
    </row>
    <row r="5924" spans="16:16">
      <c r="P5924" s="2498"/>
    </row>
    <row r="5925" spans="16:16">
      <c r="P5925" s="2498"/>
    </row>
    <row r="5926" spans="16:16">
      <c r="P5926" s="2498"/>
    </row>
    <row r="5927" spans="16:16">
      <c r="P5927" s="2498"/>
    </row>
    <row r="5928" spans="16:16">
      <c r="P5928" s="2498"/>
    </row>
    <row r="5929" spans="16:16">
      <c r="P5929" s="2498"/>
    </row>
    <row r="5930" spans="16:16">
      <c r="P5930" s="2498"/>
    </row>
    <row r="5931" spans="16:16">
      <c r="P5931" s="2498"/>
    </row>
    <row r="5932" spans="16:16">
      <c r="P5932" s="2498"/>
    </row>
    <row r="5933" spans="16:16">
      <c r="P5933" s="2498"/>
    </row>
    <row r="5934" spans="16:16">
      <c r="P5934" s="2498"/>
    </row>
    <row r="5935" spans="16:16">
      <c r="P5935" s="2498"/>
    </row>
    <row r="5936" spans="16:16">
      <c r="P5936" s="2498"/>
    </row>
    <row r="5937" spans="16:16">
      <c r="P5937" s="2498"/>
    </row>
    <row r="5938" spans="16:16">
      <c r="P5938" s="2498"/>
    </row>
    <row r="5939" spans="16:16">
      <c r="P5939" s="2498"/>
    </row>
    <row r="5940" spans="16:16">
      <c r="P5940" s="2498"/>
    </row>
    <row r="5941" spans="16:16">
      <c r="P5941" s="2498"/>
    </row>
    <row r="5942" spans="16:16">
      <c r="P5942" s="2498"/>
    </row>
    <row r="5943" spans="16:16">
      <c r="P5943" s="2498"/>
    </row>
    <row r="5944" spans="16:16">
      <c r="P5944" s="2498"/>
    </row>
    <row r="5945" spans="16:16">
      <c r="P5945" s="2498"/>
    </row>
    <row r="5946" spans="16:16">
      <c r="P5946" s="2498"/>
    </row>
    <row r="5947" spans="16:16">
      <c r="P5947" s="2498"/>
    </row>
    <row r="5948" spans="16:16">
      <c r="P5948" s="2498"/>
    </row>
    <row r="5949" spans="16:16">
      <c r="P5949" s="2498"/>
    </row>
    <row r="5950" spans="16:16">
      <c r="P5950" s="2498"/>
    </row>
    <row r="5951" spans="16:16">
      <c r="P5951" s="2498"/>
    </row>
    <row r="5952" spans="16:16">
      <c r="P5952" s="2498"/>
    </row>
    <row r="5953" spans="16:16">
      <c r="P5953" s="2498"/>
    </row>
    <row r="5954" spans="16:16">
      <c r="P5954" s="2498"/>
    </row>
    <row r="5955" spans="16:16">
      <c r="P5955" s="2498"/>
    </row>
    <row r="5956" spans="16:16">
      <c r="P5956" s="2498"/>
    </row>
    <row r="5957" spans="16:16">
      <c r="P5957" s="2498"/>
    </row>
    <row r="5958" spans="16:16">
      <c r="P5958" s="2498"/>
    </row>
    <row r="5959" spans="16:16">
      <c r="P5959" s="2498"/>
    </row>
    <row r="5960" spans="16:16">
      <c r="P5960" s="2498"/>
    </row>
    <row r="5961" spans="16:16">
      <c r="P5961" s="2498"/>
    </row>
    <row r="5962" spans="16:16">
      <c r="P5962" s="2498"/>
    </row>
    <row r="5963" spans="16:16">
      <c r="P5963" s="2498"/>
    </row>
    <row r="5964" spans="16:16">
      <c r="P5964" s="2498"/>
    </row>
    <row r="5965" spans="16:16">
      <c r="P5965" s="2498"/>
    </row>
    <row r="5966" spans="16:16">
      <c r="P5966" s="2498"/>
    </row>
    <row r="5967" spans="16:16">
      <c r="P5967" s="2498"/>
    </row>
    <row r="5968" spans="16:16">
      <c r="P5968" s="2498"/>
    </row>
    <row r="5969" spans="16:16">
      <c r="P5969" s="2498"/>
    </row>
    <row r="5970" spans="16:16">
      <c r="P5970" s="2498"/>
    </row>
    <row r="5971" spans="16:16">
      <c r="P5971" s="2498"/>
    </row>
    <row r="5972" spans="16:16">
      <c r="P5972" s="2498"/>
    </row>
    <row r="5973" spans="16:16">
      <c r="P5973" s="2498"/>
    </row>
    <row r="5974" spans="16:16">
      <c r="P5974" s="2498"/>
    </row>
    <row r="5975" spans="16:16">
      <c r="P5975" s="2498"/>
    </row>
    <row r="5976" spans="16:16">
      <c r="P5976" s="2498"/>
    </row>
    <row r="5977" spans="16:16">
      <c r="P5977" s="2498"/>
    </row>
    <row r="5978" spans="16:16">
      <c r="P5978" s="2498"/>
    </row>
    <row r="5979" spans="16:16">
      <c r="P5979" s="2498"/>
    </row>
    <row r="5980" spans="16:16">
      <c r="P5980" s="2498"/>
    </row>
    <row r="5981" spans="16:16">
      <c r="P5981" s="2498"/>
    </row>
    <row r="5982" spans="16:16">
      <c r="P5982" s="2498"/>
    </row>
    <row r="5983" spans="16:16">
      <c r="P5983" s="2498"/>
    </row>
    <row r="5984" spans="16:16">
      <c r="P5984" s="2498"/>
    </row>
    <row r="5985" spans="16:16">
      <c r="P5985" s="2498"/>
    </row>
    <row r="5986" spans="16:16">
      <c r="P5986" s="2498"/>
    </row>
    <row r="5987" spans="16:16">
      <c r="P5987" s="2498"/>
    </row>
    <row r="5988" spans="16:16">
      <c r="P5988" s="2498"/>
    </row>
    <row r="5989" spans="16:16">
      <c r="P5989" s="2498"/>
    </row>
    <row r="5990" spans="16:16">
      <c r="P5990" s="2498"/>
    </row>
    <row r="5991" spans="16:16">
      <c r="P5991" s="2498"/>
    </row>
    <row r="5992" spans="16:16">
      <c r="P5992" s="2498"/>
    </row>
    <row r="5993" spans="16:16">
      <c r="P5993" s="2498"/>
    </row>
    <row r="5994" spans="16:16">
      <c r="P5994" s="2498"/>
    </row>
    <row r="5995" spans="16:16">
      <c r="P5995" s="2498"/>
    </row>
    <row r="5996" spans="16:16">
      <c r="P5996" s="2498"/>
    </row>
    <row r="5997" spans="16:16">
      <c r="P5997" s="2498"/>
    </row>
    <row r="5998" spans="16:16">
      <c r="P5998" s="2498"/>
    </row>
    <row r="5999" spans="16:16">
      <c r="P5999" s="2498"/>
    </row>
    <row r="6000" spans="16:16">
      <c r="P6000" s="2498"/>
    </row>
    <row r="6001" spans="16:16">
      <c r="P6001" s="2498"/>
    </row>
    <row r="6002" spans="16:16">
      <c r="P6002" s="2498"/>
    </row>
    <row r="6003" spans="16:16">
      <c r="P6003" s="2498"/>
    </row>
    <row r="6004" spans="16:16">
      <c r="P6004" s="2498"/>
    </row>
    <row r="6005" spans="16:16">
      <c r="P6005" s="2498"/>
    </row>
    <row r="6006" spans="16:16">
      <c r="P6006" s="2498"/>
    </row>
    <row r="6007" spans="16:16">
      <c r="P6007" s="2498"/>
    </row>
    <row r="6008" spans="16:16">
      <c r="P6008" s="2498"/>
    </row>
    <row r="6009" spans="16:16">
      <c r="P6009" s="2498"/>
    </row>
    <row r="6010" spans="16:16">
      <c r="P6010" s="2498"/>
    </row>
    <row r="6011" spans="16:16">
      <c r="P6011" s="2498"/>
    </row>
    <row r="6012" spans="16:16">
      <c r="P6012" s="2498"/>
    </row>
    <row r="6013" spans="16:16">
      <c r="P6013" s="2498"/>
    </row>
    <row r="6014" spans="16:16">
      <c r="P6014" s="2498"/>
    </row>
    <row r="6015" spans="16:16">
      <c r="P6015" s="2498"/>
    </row>
    <row r="6016" spans="16:16">
      <c r="P6016" s="2498"/>
    </row>
    <row r="6017" spans="16:16">
      <c r="P6017" s="2498"/>
    </row>
    <row r="6018" spans="16:16">
      <c r="P6018" s="2498"/>
    </row>
    <row r="6019" spans="16:16">
      <c r="P6019" s="2498"/>
    </row>
    <row r="6020" spans="16:16">
      <c r="P6020" s="2498"/>
    </row>
    <row r="6021" spans="16:16">
      <c r="P6021" s="2498"/>
    </row>
    <row r="6022" spans="16:16">
      <c r="P6022" s="2498"/>
    </row>
    <row r="6023" spans="16:16">
      <c r="P6023" s="2498"/>
    </row>
    <row r="6024" spans="16:16">
      <c r="P6024" s="2498"/>
    </row>
    <row r="6025" spans="16:16">
      <c r="P6025" s="2498"/>
    </row>
    <row r="6026" spans="16:16">
      <c r="P6026" s="2498"/>
    </row>
    <row r="6027" spans="16:16">
      <c r="P6027" s="2498"/>
    </row>
    <row r="6028" spans="16:16">
      <c r="P6028" s="2498"/>
    </row>
    <row r="6029" spans="16:16">
      <c r="P6029" s="2498"/>
    </row>
    <row r="6030" spans="16:16">
      <c r="P6030" s="2498"/>
    </row>
    <row r="6031" spans="16:16">
      <c r="P6031" s="2498"/>
    </row>
    <row r="6032" spans="16:16">
      <c r="P6032" s="2498"/>
    </row>
    <row r="6033" spans="16:16">
      <c r="P6033" s="2498"/>
    </row>
    <row r="6034" spans="16:16">
      <c r="P6034" s="2498"/>
    </row>
    <row r="6035" spans="16:16">
      <c r="P6035" s="2498"/>
    </row>
    <row r="6036" spans="16:16">
      <c r="P6036" s="2498"/>
    </row>
    <row r="6037" spans="16:16">
      <c r="P6037" s="2498"/>
    </row>
    <row r="6038" spans="16:16">
      <c r="P6038" s="2498"/>
    </row>
    <row r="6039" spans="16:16">
      <c r="P6039" s="2498"/>
    </row>
    <row r="6040" spans="16:16">
      <c r="P6040" s="2498"/>
    </row>
    <row r="6041" spans="16:16">
      <c r="P6041" s="2498"/>
    </row>
    <row r="6042" spans="16:16">
      <c r="P6042" s="2498"/>
    </row>
    <row r="6043" spans="16:16">
      <c r="P6043" s="2498"/>
    </row>
    <row r="6044" spans="16:16">
      <c r="P6044" s="2498"/>
    </row>
    <row r="6045" spans="16:16">
      <c r="P6045" s="2498"/>
    </row>
    <row r="6046" spans="16:16">
      <c r="P6046" s="2498"/>
    </row>
    <row r="6047" spans="16:16">
      <c r="P6047" s="2498"/>
    </row>
    <row r="6048" spans="16:16">
      <c r="P6048" s="2498"/>
    </row>
    <row r="6049" spans="16:16">
      <c r="P6049" s="2498"/>
    </row>
    <row r="6050" spans="16:16">
      <c r="P6050" s="2498"/>
    </row>
    <row r="6051" spans="16:16">
      <c r="P6051" s="2498"/>
    </row>
    <row r="6052" spans="16:16">
      <c r="P6052" s="2498"/>
    </row>
    <row r="6053" spans="16:16">
      <c r="P6053" s="2498"/>
    </row>
    <row r="6054" spans="16:16">
      <c r="P6054" s="2498"/>
    </row>
    <row r="6055" spans="16:16">
      <c r="P6055" s="2498"/>
    </row>
    <row r="6056" spans="16:16">
      <c r="P6056" s="2498"/>
    </row>
    <row r="6057" spans="16:16">
      <c r="P6057" s="2498"/>
    </row>
    <row r="6058" spans="16:16">
      <c r="P6058" s="2498"/>
    </row>
    <row r="6059" spans="16:16">
      <c r="P6059" s="2498"/>
    </row>
    <row r="6060" spans="16:16">
      <c r="P6060" s="2498"/>
    </row>
    <row r="6061" spans="16:16">
      <c r="P6061" s="2498"/>
    </row>
    <row r="6062" spans="16:16">
      <c r="P6062" s="2498"/>
    </row>
    <row r="6063" spans="16:16">
      <c r="P6063" s="2498"/>
    </row>
    <row r="6064" spans="16:16">
      <c r="P6064" s="2498"/>
    </row>
    <row r="6065" spans="16:16">
      <c r="P6065" s="2498"/>
    </row>
    <row r="6066" spans="16:16">
      <c r="P6066" s="2498"/>
    </row>
    <row r="6067" spans="16:16">
      <c r="P6067" s="2498"/>
    </row>
    <row r="6068" spans="16:16">
      <c r="P6068" s="2498"/>
    </row>
    <row r="6069" spans="16:16">
      <c r="P6069" s="2498"/>
    </row>
    <row r="6070" spans="16:16">
      <c r="P6070" s="2498"/>
    </row>
    <row r="6071" spans="16:16">
      <c r="P6071" s="2498"/>
    </row>
    <row r="6072" spans="16:16">
      <c r="P6072" s="2498"/>
    </row>
    <row r="6073" spans="16:16">
      <c r="P6073" s="2498"/>
    </row>
    <row r="6074" spans="16:16">
      <c r="P6074" s="2498"/>
    </row>
    <row r="6075" spans="16:16">
      <c r="P6075" s="2498"/>
    </row>
    <row r="6076" spans="16:16">
      <c r="P6076" s="2498"/>
    </row>
    <row r="6077" spans="16:16">
      <c r="P6077" s="2498"/>
    </row>
    <row r="6078" spans="16:16">
      <c r="P6078" s="2498"/>
    </row>
    <row r="6079" spans="16:16">
      <c r="P6079" s="2498"/>
    </row>
    <row r="6080" spans="16:16">
      <c r="P6080" s="2498"/>
    </row>
    <row r="6081" spans="16:16">
      <c r="P6081" s="2498"/>
    </row>
    <row r="6082" spans="16:16">
      <c r="P6082" s="2498"/>
    </row>
    <row r="6083" spans="16:16">
      <c r="P6083" s="2498"/>
    </row>
    <row r="6084" spans="16:16">
      <c r="P6084" s="2498"/>
    </row>
    <row r="6085" spans="16:16">
      <c r="P6085" s="2498"/>
    </row>
    <row r="6086" spans="16:16">
      <c r="P6086" s="2498"/>
    </row>
    <row r="6087" spans="16:16">
      <c r="P6087" s="2498"/>
    </row>
    <row r="6088" spans="16:16">
      <c r="P6088" s="2498"/>
    </row>
    <row r="6089" spans="16:16">
      <c r="P6089" s="2498"/>
    </row>
    <row r="6090" spans="16:16">
      <c r="P6090" s="2498"/>
    </row>
    <row r="6091" spans="16:16">
      <c r="P6091" s="2498"/>
    </row>
    <row r="6092" spans="16:16">
      <c r="P6092" s="2498"/>
    </row>
    <row r="6093" spans="16:16">
      <c r="P6093" s="2498"/>
    </row>
    <row r="6094" spans="16:16">
      <c r="P6094" s="2498"/>
    </row>
    <row r="6095" spans="16:16">
      <c r="P6095" s="2498"/>
    </row>
    <row r="6096" spans="16:16">
      <c r="P6096" s="2498"/>
    </row>
    <row r="6097" spans="16:16">
      <c r="P6097" s="2498"/>
    </row>
    <row r="6098" spans="16:16">
      <c r="P6098" s="2498"/>
    </row>
    <row r="6099" spans="16:16">
      <c r="P6099" s="2498"/>
    </row>
    <row r="6100" spans="16:16">
      <c r="P6100" s="2498"/>
    </row>
    <row r="6101" spans="16:16">
      <c r="P6101" s="2498"/>
    </row>
    <row r="6102" spans="16:16">
      <c r="P6102" s="2498"/>
    </row>
    <row r="6103" spans="16:16">
      <c r="P6103" s="2498"/>
    </row>
    <row r="6104" spans="16:16">
      <c r="P6104" s="2498"/>
    </row>
    <row r="6105" spans="16:16">
      <c r="P6105" s="2498"/>
    </row>
    <row r="6106" spans="16:16">
      <c r="P6106" s="2498"/>
    </row>
    <row r="6107" spans="16:16">
      <c r="P6107" s="2498"/>
    </row>
    <row r="6108" spans="16:16">
      <c r="P6108" s="2498"/>
    </row>
    <row r="6109" spans="16:16">
      <c r="P6109" s="2498"/>
    </row>
    <row r="6110" spans="16:16">
      <c r="P6110" s="2498"/>
    </row>
    <row r="6111" spans="16:16">
      <c r="P6111" s="2498"/>
    </row>
    <row r="6112" spans="16:16">
      <c r="P6112" s="2498"/>
    </row>
    <row r="6113" spans="16:16">
      <c r="P6113" s="2498"/>
    </row>
    <row r="6114" spans="16:16">
      <c r="P6114" s="2498"/>
    </row>
    <row r="6115" spans="16:16">
      <c r="P6115" s="2498"/>
    </row>
    <row r="6116" spans="16:16">
      <c r="P6116" s="2498"/>
    </row>
    <row r="6117" spans="16:16">
      <c r="P6117" s="2498"/>
    </row>
    <row r="6118" spans="16:16">
      <c r="P6118" s="2498"/>
    </row>
    <row r="6119" spans="16:16">
      <c r="P6119" s="2498"/>
    </row>
    <row r="6120" spans="16:16">
      <c r="P6120" s="2498"/>
    </row>
    <row r="6121" spans="16:16">
      <c r="P6121" s="2498"/>
    </row>
    <row r="6122" spans="16:16">
      <c r="P6122" s="2498"/>
    </row>
    <row r="6123" spans="16:16">
      <c r="P6123" s="2498"/>
    </row>
    <row r="6124" spans="16:16">
      <c r="P6124" s="2498"/>
    </row>
    <row r="6125" spans="16:16">
      <c r="P6125" s="2498"/>
    </row>
    <row r="6126" spans="16:16">
      <c r="P6126" s="2498"/>
    </row>
    <row r="6127" spans="16:16">
      <c r="P6127" s="2498"/>
    </row>
    <row r="6128" spans="16:16">
      <c r="P6128" s="2498"/>
    </row>
    <row r="6129" spans="16:16">
      <c r="P6129" s="2498"/>
    </row>
    <row r="6130" spans="16:16">
      <c r="P6130" s="2498"/>
    </row>
    <row r="6131" spans="16:16">
      <c r="P6131" s="2498"/>
    </row>
    <row r="6132" spans="16:16">
      <c r="P6132" s="2498"/>
    </row>
    <row r="6133" spans="16:16">
      <c r="P6133" s="2498"/>
    </row>
    <row r="6134" spans="16:16">
      <c r="P6134" s="2498"/>
    </row>
    <row r="6135" spans="16:16">
      <c r="P6135" s="2498"/>
    </row>
    <row r="6136" spans="16:16">
      <c r="P6136" s="2498"/>
    </row>
    <row r="6137" spans="16:16">
      <c r="P6137" s="2498"/>
    </row>
    <row r="6138" spans="16:16">
      <c r="P6138" s="2498"/>
    </row>
    <row r="6139" spans="16:16">
      <c r="P6139" s="2498"/>
    </row>
    <row r="6140" spans="16:16">
      <c r="P6140" s="2498"/>
    </row>
    <row r="6141" spans="16:16">
      <c r="P6141" s="2498"/>
    </row>
    <row r="6142" spans="16:16">
      <c r="P6142" s="2498"/>
    </row>
    <row r="6143" spans="16:16">
      <c r="P6143" s="2498"/>
    </row>
    <row r="6144" spans="16:16">
      <c r="P6144" s="2498"/>
    </row>
    <row r="6145" spans="16:16">
      <c r="P6145" s="2498"/>
    </row>
    <row r="6146" spans="16:16">
      <c r="P6146" s="2498"/>
    </row>
    <row r="6147" spans="16:16">
      <c r="P6147" s="2498"/>
    </row>
    <row r="6148" spans="16:16">
      <c r="P6148" s="2498"/>
    </row>
    <row r="6149" spans="16:16">
      <c r="P6149" s="2498"/>
    </row>
    <row r="6150" spans="16:16">
      <c r="P6150" s="2498"/>
    </row>
    <row r="6151" spans="16:16">
      <c r="P6151" s="2498"/>
    </row>
    <row r="6152" spans="16:16">
      <c r="P6152" s="2498"/>
    </row>
    <row r="6153" spans="16:16">
      <c r="P6153" s="2498"/>
    </row>
    <row r="6154" spans="16:16">
      <c r="P6154" s="2498"/>
    </row>
    <row r="6155" spans="16:16">
      <c r="P6155" s="2498"/>
    </row>
    <row r="6156" spans="16:16">
      <c r="P6156" s="2498"/>
    </row>
    <row r="6157" spans="16:16">
      <c r="P6157" s="2498"/>
    </row>
    <row r="6158" spans="16:16">
      <c r="P6158" s="2498"/>
    </row>
    <row r="6159" spans="16:16">
      <c r="P6159" s="2498"/>
    </row>
    <row r="6160" spans="16:16">
      <c r="P6160" s="2498"/>
    </row>
    <row r="6161" spans="16:16">
      <c r="P6161" s="2498"/>
    </row>
    <row r="6162" spans="16:16">
      <c r="P6162" s="2498"/>
    </row>
    <row r="6163" spans="16:16">
      <c r="P6163" s="2498"/>
    </row>
    <row r="6164" spans="16:16">
      <c r="P6164" s="2498"/>
    </row>
    <row r="6165" spans="16:16">
      <c r="P6165" s="2498"/>
    </row>
    <row r="6166" spans="16:16">
      <c r="P6166" s="2498"/>
    </row>
    <row r="6167" spans="16:16">
      <c r="P6167" s="2498"/>
    </row>
    <row r="6168" spans="16:16">
      <c r="P6168" s="2498"/>
    </row>
    <row r="6169" spans="16:16">
      <c r="P6169" s="2498"/>
    </row>
    <row r="6170" spans="16:16">
      <c r="P6170" s="2498"/>
    </row>
    <row r="6171" spans="16:16">
      <c r="P6171" s="2498"/>
    </row>
    <row r="6172" spans="16:16">
      <c r="P6172" s="2498"/>
    </row>
    <row r="6173" spans="16:16">
      <c r="P6173" s="2498"/>
    </row>
    <row r="6174" spans="16:16">
      <c r="P6174" s="2498"/>
    </row>
    <row r="6175" spans="16:16">
      <c r="P6175" s="2498"/>
    </row>
    <row r="6176" spans="16:16">
      <c r="P6176" s="2498"/>
    </row>
    <row r="6177" spans="16:16">
      <c r="P6177" s="2498"/>
    </row>
    <row r="6178" spans="16:16">
      <c r="P6178" s="2498"/>
    </row>
    <row r="6179" spans="16:16">
      <c r="P6179" s="2498"/>
    </row>
    <row r="6180" spans="16:16">
      <c r="P6180" s="2498"/>
    </row>
    <row r="6181" spans="16:16">
      <c r="P6181" s="2498"/>
    </row>
    <row r="6182" spans="16:16">
      <c r="P6182" s="2498"/>
    </row>
    <row r="6183" spans="16:16">
      <c r="P6183" s="2498"/>
    </row>
    <row r="6184" spans="16:16">
      <c r="P6184" s="2498"/>
    </row>
    <row r="6185" spans="16:16">
      <c r="P6185" s="2498"/>
    </row>
    <row r="6186" spans="16:16">
      <c r="P6186" s="2498"/>
    </row>
    <row r="6187" spans="16:16">
      <c r="P6187" s="2498"/>
    </row>
    <row r="6188" spans="16:16">
      <c r="P6188" s="2498"/>
    </row>
    <row r="6189" spans="16:16">
      <c r="P6189" s="2498"/>
    </row>
    <row r="6190" spans="16:16">
      <c r="P6190" s="2498"/>
    </row>
    <row r="6191" spans="16:16">
      <c r="P6191" s="2498"/>
    </row>
    <row r="6192" spans="16:16">
      <c r="P6192" s="2498"/>
    </row>
    <row r="6193" spans="16:16">
      <c r="P6193" s="2498"/>
    </row>
    <row r="6194" spans="16:16">
      <c r="P6194" s="2498"/>
    </row>
    <row r="6195" spans="16:16">
      <c r="P6195" s="2498"/>
    </row>
    <row r="6196" spans="16:16">
      <c r="P6196" s="2498"/>
    </row>
    <row r="6197" spans="16:16">
      <c r="P6197" s="2498"/>
    </row>
    <row r="6198" spans="16:16">
      <c r="P6198" s="2498"/>
    </row>
    <row r="6199" spans="16:16">
      <c r="P6199" s="2498"/>
    </row>
    <row r="6200" spans="16:16">
      <c r="P6200" s="2498"/>
    </row>
    <row r="6201" spans="16:16">
      <c r="P6201" s="2498"/>
    </row>
    <row r="6202" spans="16:16">
      <c r="P6202" s="2498"/>
    </row>
    <row r="6203" spans="16:16">
      <c r="P6203" s="2498"/>
    </row>
    <row r="6204" spans="16:16">
      <c r="P6204" s="2498"/>
    </row>
    <row r="6205" spans="16:16">
      <c r="P6205" s="2498"/>
    </row>
    <row r="6206" spans="16:16">
      <c r="P6206" s="2498"/>
    </row>
    <row r="6207" spans="16:16">
      <c r="P6207" s="2498"/>
    </row>
    <row r="6208" spans="16:16">
      <c r="P6208" s="2498"/>
    </row>
    <row r="6209" spans="16:16">
      <c r="P6209" s="2498"/>
    </row>
    <row r="6210" spans="16:16">
      <c r="P6210" s="2498"/>
    </row>
    <row r="6211" spans="16:16">
      <c r="P6211" s="2498"/>
    </row>
    <row r="6212" spans="16:16">
      <c r="P6212" s="2498"/>
    </row>
    <row r="6213" spans="16:16">
      <c r="P6213" s="2498"/>
    </row>
    <row r="6214" spans="16:16">
      <c r="P6214" s="2498"/>
    </row>
    <row r="6215" spans="16:16">
      <c r="P6215" s="2498"/>
    </row>
    <row r="6216" spans="16:16">
      <c r="P6216" s="2498"/>
    </row>
    <row r="6217" spans="16:16">
      <c r="P6217" s="2498"/>
    </row>
    <row r="6218" spans="16:16">
      <c r="P6218" s="2498"/>
    </row>
    <row r="6219" spans="16:16">
      <c r="P6219" s="2498"/>
    </row>
    <row r="6220" spans="16:16">
      <c r="P6220" s="2498"/>
    </row>
    <row r="6221" spans="16:16">
      <c r="P6221" s="2498"/>
    </row>
    <row r="6222" spans="16:16">
      <c r="P6222" s="2498"/>
    </row>
    <row r="6223" spans="16:16">
      <c r="P6223" s="2498"/>
    </row>
    <row r="6224" spans="16:16">
      <c r="P6224" s="2498"/>
    </row>
    <row r="6225" spans="16:16">
      <c r="P6225" s="2498"/>
    </row>
    <row r="6226" spans="16:16">
      <c r="P6226" s="2498"/>
    </row>
    <row r="6227" spans="16:16">
      <c r="P6227" s="2498"/>
    </row>
    <row r="6228" spans="16:16">
      <c r="P6228" s="2498"/>
    </row>
    <row r="6229" spans="16:16">
      <c r="P6229" s="2498"/>
    </row>
    <row r="6230" spans="16:16">
      <c r="P6230" s="2498"/>
    </row>
    <row r="6231" spans="16:16">
      <c r="P6231" s="2498"/>
    </row>
    <row r="6232" spans="16:16">
      <c r="P6232" s="2498"/>
    </row>
    <row r="6233" spans="16:16">
      <c r="P6233" s="2498"/>
    </row>
    <row r="6234" spans="16:16">
      <c r="P6234" s="2498"/>
    </row>
    <row r="6235" spans="16:16">
      <c r="P6235" s="2498"/>
    </row>
    <row r="6236" spans="16:16">
      <c r="P6236" s="2498"/>
    </row>
    <row r="6237" spans="16:16">
      <c r="P6237" s="2498"/>
    </row>
    <row r="6238" spans="16:16">
      <c r="P6238" s="2498"/>
    </row>
    <row r="6239" spans="16:16">
      <c r="P6239" s="2498"/>
    </row>
    <row r="6240" spans="16:16">
      <c r="P6240" s="2498"/>
    </row>
    <row r="6241" spans="16:16">
      <c r="P6241" s="2498"/>
    </row>
    <row r="6242" spans="16:16">
      <c r="P6242" s="2498"/>
    </row>
    <row r="6243" spans="16:16">
      <c r="P6243" s="2498"/>
    </row>
    <row r="6244" spans="16:16">
      <c r="P6244" s="2498"/>
    </row>
    <row r="6245" spans="16:16">
      <c r="P6245" s="2498"/>
    </row>
    <row r="6246" spans="16:16">
      <c r="P6246" s="2498"/>
    </row>
    <row r="6247" spans="16:16">
      <c r="P6247" s="2498"/>
    </row>
    <row r="6248" spans="16:16">
      <c r="P6248" s="2498"/>
    </row>
    <row r="6249" spans="16:16">
      <c r="P6249" s="2498"/>
    </row>
    <row r="6250" spans="16:16">
      <c r="P6250" s="2498"/>
    </row>
    <row r="6251" spans="16:16">
      <c r="P6251" s="2498"/>
    </row>
    <row r="6252" spans="16:16">
      <c r="P6252" s="2498"/>
    </row>
    <row r="6253" spans="16:16">
      <c r="P6253" s="2498"/>
    </row>
    <row r="6254" spans="16:16">
      <c r="P6254" s="2498"/>
    </row>
    <row r="6255" spans="16:16">
      <c r="P6255" s="2498"/>
    </row>
    <row r="6256" spans="16:16">
      <c r="P6256" s="2498"/>
    </row>
    <row r="6257" spans="16:16">
      <c r="P6257" s="2498"/>
    </row>
    <row r="6258" spans="16:16">
      <c r="P6258" s="2498"/>
    </row>
    <row r="6259" spans="16:16">
      <c r="P6259" s="2498"/>
    </row>
    <row r="6260" spans="16:16">
      <c r="P6260" s="2498"/>
    </row>
    <row r="6261" spans="16:16">
      <c r="P6261" s="2498"/>
    </row>
    <row r="6262" spans="16:16">
      <c r="P6262" s="2498"/>
    </row>
    <row r="6263" spans="16:16">
      <c r="P6263" s="2498"/>
    </row>
    <row r="6264" spans="16:16">
      <c r="P6264" s="2498"/>
    </row>
    <row r="6265" spans="16:16">
      <c r="P6265" s="2498"/>
    </row>
    <row r="6266" spans="16:16">
      <c r="P6266" s="2498"/>
    </row>
    <row r="6267" spans="16:16">
      <c r="P6267" s="2498"/>
    </row>
    <row r="6268" spans="16:16">
      <c r="P6268" s="2498"/>
    </row>
    <row r="6269" spans="16:16">
      <c r="P6269" s="2498"/>
    </row>
    <row r="6270" spans="16:16">
      <c r="P6270" s="2498"/>
    </row>
    <row r="6271" spans="16:16">
      <c r="P6271" s="2498"/>
    </row>
    <row r="6272" spans="16:16">
      <c r="P6272" s="2498"/>
    </row>
    <row r="6273" spans="16:16">
      <c r="P6273" s="2498"/>
    </row>
    <row r="6274" spans="16:16">
      <c r="P6274" s="2498"/>
    </row>
    <row r="6275" spans="16:16">
      <c r="P6275" s="2498"/>
    </row>
    <row r="6276" spans="16:16">
      <c r="P6276" s="2498"/>
    </row>
    <row r="6277" spans="16:16">
      <c r="P6277" s="2498"/>
    </row>
    <row r="6278" spans="16:16">
      <c r="P6278" s="2498"/>
    </row>
    <row r="6279" spans="16:16">
      <c r="P6279" s="2498"/>
    </row>
    <row r="6280" spans="16:16">
      <c r="P6280" s="2498"/>
    </row>
    <row r="6281" spans="16:16">
      <c r="P6281" s="2498"/>
    </row>
    <row r="6282" spans="16:16">
      <c r="P6282" s="2498"/>
    </row>
    <row r="6283" spans="16:16">
      <c r="P6283" s="2498"/>
    </row>
    <row r="6284" spans="16:16">
      <c r="P6284" s="2498"/>
    </row>
    <row r="6285" spans="16:16">
      <c r="P6285" s="2498"/>
    </row>
    <row r="6286" spans="16:16">
      <c r="P6286" s="2498"/>
    </row>
    <row r="6287" spans="16:16">
      <c r="P6287" s="2498"/>
    </row>
    <row r="6288" spans="16:16">
      <c r="P6288" s="2498"/>
    </row>
    <row r="6289" spans="16:16">
      <c r="P6289" s="2498"/>
    </row>
    <row r="6290" spans="16:16">
      <c r="P6290" s="2498"/>
    </row>
    <row r="6291" spans="16:16">
      <c r="P6291" s="2498"/>
    </row>
    <row r="6292" spans="16:16">
      <c r="P6292" s="2498"/>
    </row>
    <row r="6293" spans="16:16">
      <c r="P6293" s="2498"/>
    </row>
    <row r="6294" spans="16:16">
      <c r="P6294" s="2498"/>
    </row>
    <row r="6295" spans="16:16">
      <c r="P6295" s="2498"/>
    </row>
    <row r="6296" spans="16:16">
      <c r="P6296" s="2498"/>
    </row>
    <row r="6297" spans="16:16">
      <c r="P6297" s="2498"/>
    </row>
    <row r="6298" spans="16:16">
      <c r="P6298" s="2498"/>
    </row>
    <row r="6299" spans="16:16">
      <c r="P6299" s="2498"/>
    </row>
    <row r="6300" spans="16:16">
      <c r="P6300" s="2498"/>
    </row>
    <row r="6301" spans="16:16">
      <c r="P6301" s="2498"/>
    </row>
    <row r="6302" spans="16:16">
      <c r="P6302" s="2498"/>
    </row>
    <row r="6303" spans="16:16">
      <c r="P6303" s="2498"/>
    </row>
    <row r="6304" spans="16:16">
      <c r="P6304" s="2498"/>
    </row>
    <row r="6305" spans="16:16">
      <c r="P6305" s="2498"/>
    </row>
    <row r="6306" spans="16:16">
      <c r="P6306" s="2498"/>
    </row>
    <row r="6307" spans="16:16">
      <c r="P6307" s="2498"/>
    </row>
    <row r="6308" spans="16:16">
      <c r="P6308" s="2498"/>
    </row>
    <row r="6309" spans="16:16">
      <c r="P6309" s="2498"/>
    </row>
    <row r="6310" spans="16:16">
      <c r="P6310" s="2498"/>
    </row>
    <row r="6311" spans="16:16">
      <c r="P6311" s="2498"/>
    </row>
    <row r="6312" spans="16:16">
      <c r="P6312" s="2498"/>
    </row>
    <row r="6313" spans="16:16">
      <c r="P6313" s="2498"/>
    </row>
    <row r="6314" spans="16:16">
      <c r="P6314" s="2498"/>
    </row>
    <row r="6315" spans="16:16">
      <c r="P6315" s="2498"/>
    </row>
    <row r="6316" spans="16:16">
      <c r="P6316" s="2498"/>
    </row>
    <row r="6317" spans="16:16">
      <c r="P6317" s="2498"/>
    </row>
    <row r="6318" spans="16:16">
      <c r="P6318" s="2498"/>
    </row>
    <row r="6319" spans="16:16">
      <c r="P6319" s="2498"/>
    </row>
    <row r="6320" spans="16:16">
      <c r="P6320" s="2498"/>
    </row>
    <row r="6321" spans="16:16">
      <c r="P6321" s="2498"/>
    </row>
    <row r="6322" spans="16:16">
      <c r="P6322" s="2498"/>
    </row>
    <row r="6323" spans="16:16">
      <c r="P6323" s="2498"/>
    </row>
    <row r="6324" spans="16:16">
      <c r="P6324" s="2498"/>
    </row>
    <row r="6325" spans="16:16">
      <c r="P6325" s="2498"/>
    </row>
    <row r="6326" spans="16:16">
      <c r="P6326" s="2498"/>
    </row>
    <row r="6327" spans="16:16">
      <c r="P6327" s="2498"/>
    </row>
    <row r="6328" spans="16:16">
      <c r="P6328" s="2498"/>
    </row>
    <row r="6329" spans="16:16">
      <c r="P6329" s="2498"/>
    </row>
    <row r="6330" spans="16:16">
      <c r="P6330" s="2498"/>
    </row>
    <row r="6331" spans="16:16">
      <c r="P6331" s="2498"/>
    </row>
    <row r="6332" spans="16:16">
      <c r="P6332" s="2498"/>
    </row>
    <row r="6333" spans="16:16">
      <c r="P6333" s="2498"/>
    </row>
    <row r="6334" spans="16:16">
      <c r="P6334" s="2498"/>
    </row>
    <row r="6335" spans="16:16">
      <c r="P6335" s="2498"/>
    </row>
    <row r="6336" spans="16:16">
      <c r="P6336" s="2498"/>
    </row>
    <row r="6337" spans="16:16">
      <c r="P6337" s="2498"/>
    </row>
    <row r="6338" spans="16:16">
      <c r="P6338" s="2498"/>
    </row>
    <row r="6339" spans="16:16">
      <c r="P6339" s="2498"/>
    </row>
    <row r="6340" spans="16:16">
      <c r="P6340" s="2498"/>
    </row>
    <row r="6341" spans="16:16">
      <c r="P6341" s="2498"/>
    </row>
    <row r="6342" spans="16:16">
      <c r="P6342" s="2498"/>
    </row>
    <row r="6343" spans="16:16">
      <c r="P6343" s="2498"/>
    </row>
    <row r="6344" spans="16:16">
      <c r="P6344" s="2498"/>
    </row>
    <row r="6345" spans="16:16">
      <c r="P6345" s="2498"/>
    </row>
    <row r="6346" spans="16:16">
      <c r="P6346" s="2498"/>
    </row>
    <row r="6347" spans="16:16">
      <c r="P6347" s="2498"/>
    </row>
    <row r="6348" spans="16:16">
      <c r="P6348" s="2498"/>
    </row>
    <row r="6349" spans="16:16">
      <c r="P6349" s="2498"/>
    </row>
    <row r="6350" spans="16:16">
      <c r="P6350" s="2498"/>
    </row>
    <row r="6351" spans="16:16">
      <c r="P6351" s="2498"/>
    </row>
    <row r="6352" spans="16:16">
      <c r="P6352" s="2498"/>
    </row>
    <row r="6353" spans="16:16">
      <c r="P6353" s="2498"/>
    </row>
    <row r="6354" spans="16:16">
      <c r="P6354" s="2498"/>
    </row>
    <row r="6355" spans="16:16">
      <c r="P6355" s="2498"/>
    </row>
    <row r="6356" spans="16:16">
      <c r="P6356" s="2498"/>
    </row>
    <row r="6357" spans="16:16">
      <c r="P6357" s="2498"/>
    </row>
    <row r="6358" spans="16:16">
      <c r="P6358" s="2498"/>
    </row>
    <row r="6359" spans="16:16">
      <c r="P6359" s="2498"/>
    </row>
    <row r="6360" spans="16:16">
      <c r="P6360" s="2498"/>
    </row>
    <row r="6361" spans="16:16">
      <c r="P6361" s="2498"/>
    </row>
    <row r="6362" spans="16:16">
      <c r="P6362" s="2498"/>
    </row>
    <row r="6363" spans="16:16">
      <c r="P6363" s="2498"/>
    </row>
    <row r="6364" spans="16:16">
      <c r="P6364" s="2498"/>
    </row>
    <row r="6365" spans="16:16">
      <c r="P6365" s="2498"/>
    </row>
    <row r="6366" spans="16:16">
      <c r="P6366" s="2498"/>
    </row>
    <row r="6367" spans="16:16">
      <c r="P6367" s="2498"/>
    </row>
    <row r="6368" spans="16:16">
      <c r="P6368" s="2498"/>
    </row>
    <row r="6369" spans="16:16">
      <c r="P6369" s="2498"/>
    </row>
    <row r="6370" spans="16:16">
      <c r="P6370" s="2498"/>
    </row>
    <row r="6371" spans="16:16">
      <c r="P6371" s="2498"/>
    </row>
    <row r="6372" spans="16:16">
      <c r="P6372" s="2498"/>
    </row>
    <row r="6373" spans="16:16">
      <c r="P6373" s="2498"/>
    </row>
    <row r="6374" spans="16:16">
      <c r="P6374" s="2498"/>
    </row>
    <row r="6375" spans="16:16">
      <c r="P6375" s="2498"/>
    </row>
    <row r="6376" spans="16:16">
      <c r="P6376" s="2498"/>
    </row>
    <row r="6377" spans="16:16">
      <c r="P6377" s="2498"/>
    </row>
    <row r="6378" spans="16:16">
      <c r="P6378" s="2498"/>
    </row>
    <row r="6379" spans="16:16">
      <c r="P6379" s="2498"/>
    </row>
    <row r="6380" spans="16:16">
      <c r="P6380" s="2498"/>
    </row>
    <row r="6381" spans="16:16">
      <c r="P6381" s="2498"/>
    </row>
    <row r="6382" spans="16:16">
      <c r="P6382" s="2498"/>
    </row>
    <row r="6383" spans="16:16">
      <c r="P6383" s="2498"/>
    </row>
    <row r="6384" spans="16:16">
      <c r="P6384" s="2498"/>
    </row>
    <row r="6385" spans="16:16">
      <c r="P6385" s="2498"/>
    </row>
    <row r="6386" spans="16:16">
      <c r="P6386" s="2498"/>
    </row>
    <row r="6387" spans="16:16">
      <c r="P6387" s="2498"/>
    </row>
    <row r="6388" spans="16:16">
      <c r="P6388" s="2498"/>
    </row>
    <row r="6389" spans="16:16">
      <c r="P6389" s="2498"/>
    </row>
    <row r="6390" spans="16:16">
      <c r="P6390" s="2498"/>
    </row>
    <row r="6391" spans="16:16">
      <c r="P6391" s="2498"/>
    </row>
    <row r="6392" spans="16:16">
      <c r="P6392" s="2498"/>
    </row>
    <row r="6393" spans="16:16">
      <c r="P6393" s="2498"/>
    </row>
    <row r="6394" spans="16:16">
      <c r="P6394" s="2498"/>
    </row>
    <row r="6395" spans="16:16">
      <c r="P6395" s="2498"/>
    </row>
    <row r="6396" spans="16:16">
      <c r="P6396" s="2498"/>
    </row>
    <row r="6397" spans="16:16">
      <c r="P6397" s="2498"/>
    </row>
    <row r="6398" spans="16:16">
      <c r="P6398" s="2498"/>
    </row>
    <row r="6399" spans="16:16">
      <c r="P6399" s="2498"/>
    </row>
    <row r="6400" spans="16:16">
      <c r="P6400" s="2498"/>
    </row>
    <row r="6401" spans="16:16">
      <c r="P6401" s="2498"/>
    </row>
    <row r="6402" spans="16:16">
      <c r="P6402" s="2498"/>
    </row>
    <row r="6403" spans="16:16">
      <c r="P6403" s="2498"/>
    </row>
    <row r="6404" spans="16:16">
      <c r="P6404" s="2498"/>
    </row>
    <row r="6405" spans="16:16">
      <c r="P6405" s="2498"/>
    </row>
    <row r="6406" spans="16:16">
      <c r="P6406" s="2498"/>
    </row>
    <row r="6407" spans="16:16">
      <c r="P6407" s="2498"/>
    </row>
    <row r="6408" spans="16:16">
      <c r="P6408" s="2498"/>
    </row>
    <row r="6409" spans="16:16">
      <c r="P6409" s="2498"/>
    </row>
    <row r="6410" spans="16:16">
      <c r="P6410" s="2498"/>
    </row>
    <row r="6411" spans="16:16">
      <c r="P6411" s="2498"/>
    </row>
    <row r="6412" spans="16:16">
      <c r="P6412" s="2498"/>
    </row>
    <row r="6413" spans="16:16">
      <c r="P6413" s="2498"/>
    </row>
    <row r="6414" spans="16:16">
      <c r="P6414" s="2498"/>
    </row>
    <row r="6415" spans="16:16">
      <c r="P6415" s="2498"/>
    </row>
    <row r="6416" spans="16:16">
      <c r="P6416" s="2498"/>
    </row>
    <row r="6417" spans="16:16">
      <c r="P6417" s="2498"/>
    </row>
    <row r="6418" spans="16:16">
      <c r="P6418" s="2498"/>
    </row>
    <row r="6419" spans="16:16">
      <c r="P6419" s="2498"/>
    </row>
    <row r="6420" spans="16:16">
      <c r="P6420" s="2498"/>
    </row>
    <row r="6421" spans="16:16">
      <c r="P6421" s="2498"/>
    </row>
    <row r="6422" spans="16:16">
      <c r="P6422" s="2498"/>
    </row>
    <row r="6423" spans="16:16">
      <c r="P6423" s="2498"/>
    </row>
    <row r="6424" spans="16:16">
      <c r="P6424" s="2498"/>
    </row>
    <row r="6425" spans="16:16">
      <c r="P6425" s="2498"/>
    </row>
    <row r="6426" spans="16:16">
      <c r="P6426" s="2498"/>
    </row>
    <row r="6427" spans="16:16">
      <c r="P6427" s="2498"/>
    </row>
    <row r="6428" spans="16:16">
      <c r="P6428" s="2498"/>
    </row>
    <row r="6429" spans="16:16">
      <c r="P6429" s="2498"/>
    </row>
    <row r="6430" spans="16:16">
      <c r="P6430" s="2498"/>
    </row>
    <row r="6431" spans="16:16">
      <c r="P6431" s="2498"/>
    </row>
    <row r="6432" spans="16:16">
      <c r="P6432" s="2498"/>
    </row>
    <row r="6433" spans="16:16">
      <c r="P6433" s="2498"/>
    </row>
    <row r="6434" spans="16:16">
      <c r="P6434" s="2498"/>
    </row>
    <row r="6435" spans="16:16">
      <c r="P6435" s="2498"/>
    </row>
    <row r="6436" spans="16:16">
      <c r="P6436" s="2498"/>
    </row>
    <row r="6437" spans="16:16">
      <c r="P6437" s="2498"/>
    </row>
    <row r="6438" spans="16:16">
      <c r="P6438" s="2498"/>
    </row>
    <row r="6439" spans="16:16">
      <c r="P6439" s="2498"/>
    </row>
    <row r="6440" spans="16:16">
      <c r="P6440" s="2498"/>
    </row>
    <row r="6441" spans="16:16">
      <c r="P6441" s="2498"/>
    </row>
    <row r="6442" spans="16:16">
      <c r="P6442" s="2498"/>
    </row>
    <row r="6443" spans="16:16">
      <c r="P6443" s="2498"/>
    </row>
    <row r="6444" spans="16:16">
      <c r="P6444" s="2498"/>
    </row>
    <row r="6445" spans="16:16">
      <c r="P6445" s="2498"/>
    </row>
    <row r="6446" spans="16:16">
      <c r="P6446" s="2498"/>
    </row>
    <row r="6447" spans="16:16">
      <c r="P6447" s="2498"/>
    </row>
    <row r="6448" spans="16:16">
      <c r="P6448" s="2498"/>
    </row>
    <row r="6449" spans="16:16">
      <c r="P6449" s="2498"/>
    </row>
    <row r="6450" spans="16:16">
      <c r="P6450" s="2498"/>
    </row>
    <row r="6451" spans="16:16">
      <c r="P6451" s="2498"/>
    </row>
    <row r="6452" spans="16:16">
      <c r="P6452" s="2498"/>
    </row>
    <row r="6453" spans="16:16">
      <c r="P6453" s="2498"/>
    </row>
    <row r="6454" spans="16:16">
      <c r="P6454" s="2498"/>
    </row>
    <row r="6455" spans="16:16">
      <c r="P6455" s="2498"/>
    </row>
    <row r="6456" spans="16:16">
      <c r="P6456" s="2498"/>
    </row>
    <row r="6457" spans="16:16">
      <c r="P6457" s="2498"/>
    </row>
    <row r="6458" spans="16:16">
      <c r="P6458" s="2498"/>
    </row>
    <row r="6459" spans="16:16">
      <c r="P6459" s="2498"/>
    </row>
    <row r="6460" spans="16:16">
      <c r="P6460" s="2498"/>
    </row>
    <row r="6461" spans="16:16">
      <c r="P6461" s="2498"/>
    </row>
    <row r="6462" spans="16:16">
      <c r="P6462" s="2498"/>
    </row>
    <row r="6463" spans="16:16">
      <c r="P6463" s="2498"/>
    </row>
    <row r="6464" spans="16:16">
      <c r="P6464" s="2498"/>
    </row>
    <row r="6465" spans="16:16">
      <c r="P6465" s="2498"/>
    </row>
    <row r="6466" spans="16:16">
      <c r="P6466" s="2498"/>
    </row>
    <row r="6467" spans="16:16">
      <c r="P6467" s="2498"/>
    </row>
    <row r="6468" spans="16:16">
      <c r="P6468" s="2498"/>
    </row>
    <row r="6469" spans="16:16">
      <c r="P6469" s="2498"/>
    </row>
    <row r="6470" spans="16:16">
      <c r="P6470" s="2498"/>
    </row>
    <row r="6471" spans="16:16">
      <c r="P6471" s="2498"/>
    </row>
    <row r="6472" spans="16:16">
      <c r="P6472" s="2498"/>
    </row>
    <row r="6473" spans="16:16">
      <c r="P6473" s="2498"/>
    </row>
    <row r="6474" spans="16:16">
      <c r="P6474" s="2498"/>
    </row>
    <row r="6475" spans="16:16">
      <c r="P6475" s="2498"/>
    </row>
    <row r="6476" spans="16:16">
      <c r="P6476" s="2498"/>
    </row>
    <row r="6477" spans="16:16">
      <c r="P6477" s="2498"/>
    </row>
    <row r="6478" spans="16:16">
      <c r="P6478" s="2498"/>
    </row>
    <row r="6479" spans="16:16">
      <c r="P6479" s="2498"/>
    </row>
    <row r="6480" spans="16:16">
      <c r="P6480" s="2498"/>
    </row>
    <row r="6481" spans="16:16">
      <c r="P6481" s="2498"/>
    </row>
    <row r="6482" spans="16:16">
      <c r="P6482" s="2498"/>
    </row>
    <row r="6483" spans="16:16">
      <c r="P6483" s="2498"/>
    </row>
    <row r="6484" spans="16:16">
      <c r="P6484" s="2498"/>
    </row>
    <row r="6485" spans="16:16">
      <c r="P6485" s="2498"/>
    </row>
    <row r="6486" spans="16:16">
      <c r="P6486" s="2498"/>
    </row>
    <row r="6487" spans="16:16">
      <c r="P6487" s="2498"/>
    </row>
    <row r="6488" spans="16:16">
      <c r="P6488" s="2498"/>
    </row>
    <row r="6489" spans="16:16">
      <c r="P6489" s="2498"/>
    </row>
    <row r="6490" spans="16:16">
      <c r="P6490" s="2498"/>
    </row>
    <row r="6491" spans="16:16">
      <c r="P6491" s="2498"/>
    </row>
    <row r="6492" spans="16:16">
      <c r="P6492" s="2498"/>
    </row>
    <row r="6493" spans="16:16">
      <c r="P6493" s="2498"/>
    </row>
    <row r="6494" spans="16:16">
      <c r="P6494" s="2498"/>
    </row>
    <row r="6495" spans="16:16">
      <c r="P6495" s="2498"/>
    </row>
    <row r="6496" spans="16:16">
      <c r="P6496" s="2498"/>
    </row>
    <row r="6497" spans="16:16">
      <c r="P6497" s="2498"/>
    </row>
    <row r="6498" spans="16:16">
      <c r="P6498" s="2498"/>
    </row>
    <row r="6499" spans="16:16">
      <c r="P6499" s="2498"/>
    </row>
    <row r="6500" spans="16:16">
      <c r="P6500" s="2498"/>
    </row>
    <row r="6501" spans="16:16">
      <c r="P6501" s="2498"/>
    </row>
    <row r="6502" spans="16:16">
      <c r="P6502" s="2498"/>
    </row>
    <row r="6503" spans="16:16">
      <c r="P6503" s="2498"/>
    </row>
    <row r="6504" spans="16:16">
      <c r="P6504" s="2498"/>
    </row>
    <row r="6505" spans="16:16">
      <c r="P6505" s="2498"/>
    </row>
    <row r="6506" spans="16:16">
      <c r="P6506" s="2498"/>
    </row>
    <row r="6507" spans="16:16">
      <c r="P6507" s="2498"/>
    </row>
    <row r="6508" spans="16:16">
      <c r="P6508" s="2498"/>
    </row>
    <row r="6509" spans="16:16">
      <c r="P6509" s="2498"/>
    </row>
    <row r="6510" spans="16:16">
      <c r="P6510" s="2498"/>
    </row>
    <row r="6511" spans="16:16">
      <c r="P6511" s="2498"/>
    </row>
    <row r="6512" spans="16:16">
      <c r="P6512" s="2498"/>
    </row>
    <row r="6513" spans="16:16">
      <c r="P6513" s="2498"/>
    </row>
    <row r="6514" spans="16:16">
      <c r="P6514" s="2498"/>
    </row>
    <row r="6515" spans="16:16">
      <c r="P6515" s="2498"/>
    </row>
    <row r="6516" spans="16:16">
      <c r="P6516" s="2498"/>
    </row>
    <row r="6517" spans="16:16">
      <c r="P6517" s="2498"/>
    </row>
    <row r="6518" spans="16:16">
      <c r="P6518" s="2498"/>
    </row>
    <row r="6519" spans="16:16">
      <c r="P6519" s="2498"/>
    </row>
    <row r="6520" spans="16:16">
      <c r="P6520" s="2498"/>
    </row>
    <row r="6521" spans="16:16">
      <c r="P6521" s="2498"/>
    </row>
    <row r="6522" spans="16:16">
      <c r="P6522" s="2498"/>
    </row>
    <row r="6523" spans="16:16">
      <c r="P6523" s="2498"/>
    </row>
    <row r="6524" spans="16:16">
      <c r="P6524" s="2498"/>
    </row>
    <row r="6525" spans="16:16">
      <c r="P6525" s="2498"/>
    </row>
    <row r="6526" spans="16:16">
      <c r="P6526" s="2498"/>
    </row>
    <row r="6527" spans="16:16">
      <c r="P6527" s="2498"/>
    </row>
    <row r="6528" spans="16:16">
      <c r="P6528" s="2498"/>
    </row>
    <row r="6529" spans="16:16">
      <c r="P6529" s="2498"/>
    </row>
    <row r="6530" spans="16:16">
      <c r="P6530" s="2498"/>
    </row>
    <row r="6531" spans="16:16">
      <c r="P6531" s="2498"/>
    </row>
    <row r="6532" spans="16:16">
      <c r="P6532" s="2498"/>
    </row>
    <row r="6533" spans="16:16">
      <c r="P6533" s="2498"/>
    </row>
    <row r="6534" spans="16:16">
      <c r="P6534" s="2498"/>
    </row>
    <row r="6535" spans="16:16">
      <c r="P6535" s="2498"/>
    </row>
    <row r="6536" spans="16:16">
      <c r="P6536" s="2498"/>
    </row>
    <row r="6537" spans="16:16">
      <c r="P6537" s="2498"/>
    </row>
    <row r="6538" spans="16:16">
      <c r="P6538" s="2498"/>
    </row>
    <row r="6539" spans="16:16">
      <c r="P6539" s="2498"/>
    </row>
    <row r="6540" spans="16:16">
      <c r="P6540" s="2498"/>
    </row>
    <row r="6541" spans="16:16">
      <c r="P6541" s="2498"/>
    </row>
    <row r="6542" spans="16:16">
      <c r="P6542" s="2498"/>
    </row>
    <row r="6543" spans="16:16">
      <c r="P6543" s="2498"/>
    </row>
    <row r="6544" spans="16:16">
      <c r="P6544" s="2498"/>
    </row>
    <row r="6545" spans="16:16">
      <c r="P6545" s="2498"/>
    </row>
    <row r="6546" spans="16:16">
      <c r="P6546" s="2498"/>
    </row>
    <row r="6547" spans="16:16">
      <c r="P6547" s="2498"/>
    </row>
    <row r="6548" spans="16:16">
      <c r="P6548" s="2498"/>
    </row>
    <row r="6549" spans="16:16">
      <c r="P6549" s="2498"/>
    </row>
    <row r="6550" spans="16:16">
      <c r="P6550" s="2498"/>
    </row>
    <row r="6551" spans="16:16">
      <c r="P6551" s="2498"/>
    </row>
    <row r="6552" spans="16:16">
      <c r="P6552" s="2498"/>
    </row>
    <row r="6553" spans="16:16">
      <c r="P6553" s="2498"/>
    </row>
    <row r="6554" spans="16:16">
      <c r="P6554" s="2498"/>
    </row>
    <row r="6555" spans="16:16">
      <c r="P6555" s="2498"/>
    </row>
    <row r="6556" spans="16:16">
      <c r="P6556" s="2498"/>
    </row>
    <row r="6557" spans="16:16">
      <c r="P6557" s="2498"/>
    </row>
    <row r="6558" spans="16:16">
      <c r="P6558" s="2498"/>
    </row>
    <row r="6559" spans="16:16">
      <c r="P6559" s="2498"/>
    </row>
    <row r="6560" spans="16:16">
      <c r="P6560" s="2498"/>
    </row>
    <row r="6561" spans="16:16">
      <c r="P6561" s="2498"/>
    </row>
    <row r="6562" spans="16:16">
      <c r="P6562" s="2498"/>
    </row>
    <row r="6563" spans="16:16">
      <c r="P6563" s="2498"/>
    </row>
    <row r="6564" spans="16:16">
      <c r="P6564" s="2498"/>
    </row>
    <row r="6565" spans="16:16">
      <c r="P6565" s="2498"/>
    </row>
    <row r="6566" spans="16:16">
      <c r="P6566" s="2498"/>
    </row>
    <row r="6567" spans="16:16">
      <c r="P6567" s="2498"/>
    </row>
    <row r="6568" spans="16:16">
      <c r="P6568" s="2498"/>
    </row>
    <row r="6569" spans="16:16">
      <c r="P6569" s="2498"/>
    </row>
    <row r="6570" spans="16:16">
      <c r="P6570" s="2498"/>
    </row>
    <row r="6571" spans="16:16">
      <c r="P6571" s="2498"/>
    </row>
    <row r="6572" spans="16:16">
      <c r="P6572" s="2498"/>
    </row>
    <row r="6573" spans="16:16">
      <c r="P6573" s="2498"/>
    </row>
    <row r="6574" spans="16:16">
      <c r="P6574" s="2498"/>
    </row>
    <row r="6575" spans="16:16">
      <c r="P6575" s="2498"/>
    </row>
    <row r="6576" spans="16:16">
      <c r="P6576" s="2498"/>
    </row>
    <row r="6577" spans="16:16">
      <c r="P6577" s="2498"/>
    </row>
    <row r="6578" spans="16:16">
      <c r="P6578" s="2498"/>
    </row>
    <row r="6579" spans="16:16">
      <c r="P6579" s="2498"/>
    </row>
    <row r="6580" spans="16:16">
      <c r="P6580" s="2498"/>
    </row>
    <row r="6581" spans="16:16">
      <c r="P6581" s="2498"/>
    </row>
    <row r="6582" spans="16:16">
      <c r="P6582" s="2498"/>
    </row>
    <row r="6583" spans="16:16">
      <c r="P6583" s="2498"/>
    </row>
    <row r="6584" spans="16:16">
      <c r="P6584" s="2498"/>
    </row>
    <row r="6585" spans="16:16">
      <c r="P6585" s="2498"/>
    </row>
    <row r="6586" spans="16:16">
      <c r="P6586" s="2498"/>
    </row>
    <row r="6587" spans="16:16">
      <c r="P6587" s="2498"/>
    </row>
    <row r="6588" spans="16:16">
      <c r="P6588" s="2498"/>
    </row>
    <row r="6589" spans="16:16">
      <c r="P6589" s="2498"/>
    </row>
    <row r="6590" spans="16:16">
      <c r="P6590" s="2498"/>
    </row>
    <row r="6591" spans="16:16">
      <c r="P6591" s="2498"/>
    </row>
    <row r="6592" spans="16:16">
      <c r="P6592" s="2498"/>
    </row>
    <row r="6593" spans="16:16">
      <c r="P6593" s="2498"/>
    </row>
    <row r="6594" spans="16:16">
      <c r="P6594" s="2498"/>
    </row>
    <row r="6595" spans="16:16">
      <c r="P6595" s="2498"/>
    </row>
    <row r="6596" spans="16:16">
      <c r="P6596" s="2498"/>
    </row>
    <row r="6597" spans="16:16">
      <c r="P6597" s="2498"/>
    </row>
    <row r="6598" spans="16:16">
      <c r="P6598" s="2498"/>
    </row>
    <row r="6599" spans="16:16">
      <c r="P6599" s="2498"/>
    </row>
    <row r="6600" spans="16:16">
      <c r="P6600" s="2498"/>
    </row>
    <row r="6601" spans="16:16">
      <c r="P6601" s="2498"/>
    </row>
    <row r="6602" spans="16:16">
      <c r="P6602" s="2498"/>
    </row>
    <row r="6603" spans="16:16">
      <c r="P6603" s="2498"/>
    </row>
    <row r="6604" spans="16:16">
      <c r="P6604" s="2498"/>
    </row>
    <row r="6605" spans="16:16">
      <c r="P6605" s="2498"/>
    </row>
    <row r="6606" spans="16:16">
      <c r="P6606" s="2498"/>
    </row>
    <row r="6607" spans="16:16">
      <c r="P6607" s="2498"/>
    </row>
    <row r="6608" spans="16:16">
      <c r="P6608" s="2498"/>
    </row>
    <row r="6609" spans="16:16">
      <c r="P6609" s="2498"/>
    </row>
    <row r="6610" spans="16:16">
      <c r="P6610" s="2498"/>
    </row>
    <row r="6611" spans="16:16">
      <c r="P6611" s="2498"/>
    </row>
    <row r="6612" spans="16:16">
      <c r="P6612" s="2498"/>
    </row>
    <row r="6613" spans="16:16">
      <c r="P6613" s="2498"/>
    </row>
    <row r="6614" spans="16:16">
      <c r="P6614" s="2498"/>
    </row>
    <row r="6615" spans="16:16">
      <c r="P6615" s="2498"/>
    </row>
    <row r="6616" spans="16:16">
      <c r="P6616" s="2498"/>
    </row>
    <row r="6617" spans="16:16">
      <c r="P6617" s="2498"/>
    </row>
    <row r="6618" spans="16:16">
      <c r="P6618" s="2498"/>
    </row>
    <row r="6619" spans="16:16">
      <c r="P6619" s="2498"/>
    </row>
    <row r="6620" spans="16:16">
      <c r="P6620" s="2498"/>
    </row>
    <row r="6621" spans="16:16">
      <c r="P6621" s="2498"/>
    </row>
    <row r="6622" spans="16:16">
      <c r="P6622" s="2498"/>
    </row>
    <row r="6623" spans="16:16">
      <c r="P6623" s="2498"/>
    </row>
    <row r="6624" spans="16:16">
      <c r="P6624" s="2498"/>
    </row>
    <row r="6625" spans="16:16">
      <c r="P6625" s="2498"/>
    </row>
    <row r="6626" spans="16:16">
      <c r="P6626" s="2498"/>
    </row>
    <row r="6627" spans="16:16">
      <c r="P6627" s="2498"/>
    </row>
    <row r="6628" spans="16:16">
      <c r="P6628" s="2498"/>
    </row>
    <row r="6629" spans="16:16">
      <c r="P6629" s="2498"/>
    </row>
    <row r="6630" spans="16:16">
      <c r="P6630" s="2498"/>
    </row>
    <row r="6631" spans="16:16">
      <c r="P6631" s="2498"/>
    </row>
    <row r="6632" spans="16:16">
      <c r="P6632" s="2498"/>
    </row>
    <row r="6633" spans="16:16">
      <c r="P6633" s="2498"/>
    </row>
    <row r="6634" spans="16:16">
      <c r="P6634" s="2498"/>
    </row>
    <row r="6635" spans="16:16">
      <c r="P6635" s="2498"/>
    </row>
    <row r="6636" spans="16:16">
      <c r="P6636" s="2498"/>
    </row>
    <row r="6637" spans="16:16">
      <c r="P6637" s="2498"/>
    </row>
    <row r="6638" spans="16:16">
      <c r="P6638" s="2498"/>
    </row>
    <row r="6639" spans="16:16">
      <c r="P6639" s="2498"/>
    </row>
    <row r="6640" spans="16:16">
      <c r="P6640" s="2498"/>
    </row>
    <row r="6641" spans="16:16">
      <c r="P6641" s="2498"/>
    </row>
    <row r="6642" spans="16:16">
      <c r="P6642" s="2498"/>
    </row>
    <row r="6643" spans="16:16">
      <c r="P6643" s="2498"/>
    </row>
    <row r="6644" spans="16:16">
      <c r="P6644" s="2498"/>
    </row>
    <row r="6645" spans="16:16">
      <c r="P6645" s="2498"/>
    </row>
    <row r="6646" spans="16:16">
      <c r="P6646" s="2498"/>
    </row>
    <row r="6647" spans="16:16">
      <c r="P6647" s="2498"/>
    </row>
    <row r="6648" spans="16:16">
      <c r="P6648" s="2498"/>
    </row>
    <row r="6649" spans="16:16">
      <c r="P6649" s="2498"/>
    </row>
    <row r="6650" spans="16:16">
      <c r="P6650" s="2498"/>
    </row>
    <row r="6651" spans="16:16">
      <c r="P6651" s="2498"/>
    </row>
    <row r="6652" spans="16:16">
      <c r="P6652" s="2498"/>
    </row>
    <row r="6653" spans="16:16">
      <c r="P6653" s="2498"/>
    </row>
    <row r="6654" spans="16:16">
      <c r="P6654" s="2498"/>
    </row>
    <row r="6655" spans="16:16">
      <c r="P6655" s="2498"/>
    </row>
    <row r="6656" spans="16:16">
      <c r="P6656" s="2498"/>
    </row>
    <row r="6657" spans="16:16">
      <c r="P6657" s="2498"/>
    </row>
    <row r="6658" spans="16:16">
      <c r="P6658" s="2498"/>
    </row>
    <row r="6659" spans="16:16">
      <c r="P6659" s="2498"/>
    </row>
    <row r="6660" spans="16:16">
      <c r="P6660" s="2498"/>
    </row>
    <row r="6661" spans="16:16">
      <c r="P6661" s="2498"/>
    </row>
    <row r="6662" spans="16:16">
      <c r="P6662" s="2498"/>
    </row>
    <row r="6663" spans="16:16">
      <c r="P6663" s="2498"/>
    </row>
    <row r="6664" spans="16:16">
      <c r="P6664" s="2498"/>
    </row>
    <row r="6665" spans="16:16">
      <c r="P6665" s="2498"/>
    </row>
    <row r="6666" spans="16:16">
      <c r="P6666" s="2498"/>
    </row>
    <row r="6667" spans="16:16">
      <c r="P6667" s="2498"/>
    </row>
    <row r="6668" spans="16:16">
      <c r="P6668" s="2498"/>
    </row>
    <row r="6669" spans="16:16">
      <c r="P6669" s="2498"/>
    </row>
    <row r="6670" spans="16:16">
      <c r="P6670" s="2498"/>
    </row>
    <row r="6671" spans="16:16">
      <c r="P6671" s="2498"/>
    </row>
    <row r="6672" spans="16:16">
      <c r="P6672" s="2498"/>
    </row>
    <row r="6673" spans="16:16">
      <c r="P6673" s="2498"/>
    </row>
    <row r="6674" spans="16:16">
      <c r="P6674" s="2498"/>
    </row>
    <row r="6675" spans="16:16">
      <c r="P6675" s="2498"/>
    </row>
    <row r="6676" spans="16:16">
      <c r="P6676" s="2498"/>
    </row>
    <row r="6677" spans="16:16">
      <c r="P6677" s="2498"/>
    </row>
    <row r="6678" spans="16:16">
      <c r="P6678" s="2498"/>
    </row>
    <row r="6679" spans="16:16">
      <c r="P6679" s="2498"/>
    </row>
    <row r="6680" spans="16:16">
      <c r="P6680" s="2498"/>
    </row>
    <row r="6681" spans="16:16">
      <c r="P6681" s="2498"/>
    </row>
    <row r="6682" spans="16:16">
      <c r="P6682" s="2498"/>
    </row>
    <row r="6683" spans="16:16">
      <c r="P6683" s="2498"/>
    </row>
    <row r="6684" spans="16:16">
      <c r="P6684" s="2498"/>
    </row>
    <row r="6685" spans="16:16">
      <c r="P6685" s="2498"/>
    </row>
    <row r="6686" spans="16:16">
      <c r="P6686" s="2498"/>
    </row>
    <row r="6687" spans="16:16">
      <c r="P6687" s="2498"/>
    </row>
    <row r="6688" spans="16:16">
      <c r="P6688" s="2498"/>
    </row>
    <row r="6689" spans="16:16">
      <c r="P6689" s="2498"/>
    </row>
    <row r="6690" spans="16:16">
      <c r="P6690" s="2498"/>
    </row>
    <row r="6691" spans="16:16">
      <c r="P6691" s="2498"/>
    </row>
    <row r="6692" spans="16:16">
      <c r="P6692" s="2498"/>
    </row>
    <row r="6693" spans="16:16">
      <c r="P6693" s="2498"/>
    </row>
    <row r="6694" spans="16:16">
      <c r="P6694" s="2498"/>
    </row>
    <row r="6695" spans="16:16">
      <c r="P6695" s="2498"/>
    </row>
    <row r="6696" spans="16:16">
      <c r="P6696" s="2498"/>
    </row>
    <row r="6697" spans="16:16">
      <c r="P6697" s="2498"/>
    </row>
    <row r="6698" spans="16:16">
      <c r="P6698" s="2498"/>
    </row>
    <row r="6699" spans="16:16">
      <c r="P6699" s="2498"/>
    </row>
    <row r="6700" spans="16:16">
      <c r="P6700" s="2498"/>
    </row>
    <row r="6701" spans="16:16">
      <c r="P6701" s="2498"/>
    </row>
    <row r="6702" spans="16:16">
      <c r="P6702" s="2498"/>
    </row>
    <row r="6703" spans="16:16">
      <c r="P6703" s="2498"/>
    </row>
    <row r="6704" spans="16:16">
      <c r="P6704" s="2498"/>
    </row>
    <row r="6705" spans="16:16">
      <c r="P6705" s="2498"/>
    </row>
    <row r="6706" spans="16:16">
      <c r="P6706" s="2498"/>
    </row>
    <row r="6707" spans="16:16">
      <c r="P6707" s="2498"/>
    </row>
    <row r="6708" spans="16:16">
      <c r="P6708" s="2498"/>
    </row>
    <row r="6709" spans="16:16">
      <c r="P6709" s="2498"/>
    </row>
    <row r="6710" spans="16:16">
      <c r="P6710" s="2498"/>
    </row>
    <row r="6711" spans="16:16">
      <c r="P6711" s="2498"/>
    </row>
    <row r="6712" spans="16:16">
      <c r="P6712" s="2498"/>
    </row>
    <row r="6713" spans="16:16">
      <c r="P6713" s="2498"/>
    </row>
    <row r="6714" spans="16:16">
      <c r="P6714" s="2498"/>
    </row>
    <row r="6715" spans="16:16">
      <c r="P6715" s="2498"/>
    </row>
    <row r="6716" spans="16:16">
      <c r="P6716" s="2498"/>
    </row>
    <row r="6717" spans="16:16">
      <c r="P6717" s="2498"/>
    </row>
    <row r="6718" spans="16:16">
      <c r="P6718" s="2498"/>
    </row>
    <row r="6719" spans="16:16">
      <c r="P6719" s="2498"/>
    </row>
    <row r="6720" spans="16:16">
      <c r="P6720" s="2498"/>
    </row>
    <row r="6721" spans="16:16">
      <c r="P6721" s="2498"/>
    </row>
    <row r="6722" spans="16:16">
      <c r="P6722" s="2498"/>
    </row>
    <row r="6723" spans="16:16">
      <c r="P6723" s="2498"/>
    </row>
    <row r="6724" spans="16:16">
      <c r="P6724" s="2498"/>
    </row>
    <row r="6725" spans="16:16">
      <c r="P6725" s="2498"/>
    </row>
    <row r="6726" spans="16:16">
      <c r="P6726" s="2498"/>
    </row>
    <row r="6727" spans="16:16">
      <c r="P6727" s="2498"/>
    </row>
    <row r="6728" spans="16:16">
      <c r="P6728" s="2498"/>
    </row>
    <row r="6729" spans="16:16">
      <c r="P6729" s="2498"/>
    </row>
    <row r="6730" spans="16:16">
      <c r="P6730" s="2498"/>
    </row>
    <row r="6731" spans="16:16">
      <c r="P6731" s="2498"/>
    </row>
    <row r="6732" spans="16:16">
      <c r="P6732" s="2498"/>
    </row>
    <row r="6733" spans="16:16">
      <c r="P6733" s="2498"/>
    </row>
    <row r="6734" spans="16:16">
      <c r="P6734" s="2498"/>
    </row>
    <row r="6735" spans="16:16">
      <c r="P6735" s="2498"/>
    </row>
    <row r="6736" spans="16:16">
      <c r="P6736" s="2498"/>
    </row>
    <row r="6737" spans="16:16">
      <c r="P6737" s="2498"/>
    </row>
    <row r="6738" spans="16:16">
      <c r="P6738" s="2498"/>
    </row>
    <row r="6739" spans="16:16">
      <c r="P6739" s="2498"/>
    </row>
    <row r="6740" spans="16:16">
      <c r="P6740" s="2498"/>
    </row>
    <row r="6741" spans="16:16">
      <c r="P6741" s="2498"/>
    </row>
    <row r="6742" spans="16:16">
      <c r="P6742" s="2498"/>
    </row>
    <row r="6743" spans="16:16">
      <c r="P6743" s="2498"/>
    </row>
    <row r="6744" spans="16:16">
      <c r="P6744" s="2498"/>
    </row>
    <row r="6745" spans="16:16">
      <c r="P6745" s="2498"/>
    </row>
    <row r="6746" spans="16:16">
      <c r="P6746" s="2498"/>
    </row>
    <row r="6747" spans="16:16">
      <c r="P6747" s="2498"/>
    </row>
    <row r="6748" spans="16:16">
      <c r="P6748" s="2498"/>
    </row>
    <row r="6749" spans="16:16">
      <c r="P6749" s="2498"/>
    </row>
    <row r="6750" spans="16:16">
      <c r="P6750" s="2498"/>
    </row>
    <row r="6751" spans="16:16">
      <c r="P6751" s="2498"/>
    </row>
    <row r="6752" spans="16:16">
      <c r="P6752" s="2498"/>
    </row>
    <row r="6753" spans="16:16">
      <c r="P6753" s="2498"/>
    </row>
    <row r="6754" spans="16:16">
      <c r="P6754" s="2498"/>
    </row>
    <row r="6755" spans="16:16">
      <c r="P6755" s="2498"/>
    </row>
    <row r="6756" spans="16:16">
      <c r="P6756" s="2498"/>
    </row>
    <row r="6757" spans="16:16">
      <c r="P6757" s="2498"/>
    </row>
    <row r="6758" spans="16:16">
      <c r="P6758" s="2498"/>
    </row>
    <row r="6759" spans="16:16">
      <c r="P6759" s="2498"/>
    </row>
    <row r="6760" spans="16:16">
      <c r="P6760" s="2498"/>
    </row>
    <row r="6761" spans="16:16">
      <c r="P6761" s="2498"/>
    </row>
    <row r="6762" spans="16:16">
      <c r="P6762" s="2498"/>
    </row>
    <row r="6763" spans="16:16">
      <c r="P6763" s="2498"/>
    </row>
    <row r="6764" spans="16:16">
      <c r="P6764" s="2498"/>
    </row>
    <row r="6765" spans="16:16">
      <c r="P6765" s="2498"/>
    </row>
    <row r="6766" spans="16:16">
      <c r="P6766" s="2498"/>
    </row>
    <row r="6767" spans="16:16">
      <c r="P6767" s="2498"/>
    </row>
    <row r="6768" spans="16:16">
      <c r="P6768" s="2498"/>
    </row>
    <row r="6769" spans="16:16">
      <c r="P6769" s="2498"/>
    </row>
    <row r="6770" spans="16:16">
      <c r="P6770" s="2498"/>
    </row>
    <row r="6771" spans="16:16">
      <c r="P6771" s="2498"/>
    </row>
    <row r="6772" spans="16:16">
      <c r="P6772" s="2498"/>
    </row>
    <row r="6773" spans="16:16">
      <c r="P6773" s="2498"/>
    </row>
    <row r="6774" spans="16:16">
      <c r="P6774" s="2498"/>
    </row>
    <row r="6775" spans="16:16">
      <c r="P6775" s="2498"/>
    </row>
    <row r="6776" spans="16:16">
      <c r="P6776" s="2498"/>
    </row>
    <row r="6777" spans="16:16">
      <c r="P6777" s="2498"/>
    </row>
    <row r="6778" spans="16:16">
      <c r="P6778" s="2498"/>
    </row>
    <row r="6779" spans="16:16">
      <c r="P6779" s="2498"/>
    </row>
    <row r="6780" spans="16:16">
      <c r="P6780" s="2498"/>
    </row>
    <row r="6781" spans="16:16">
      <c r="P6781" s="2498"/>
    </row>
    <row r="6782" spans="16:16">
      <c r="P6782" s="2498"/>
    </row>
    <row r="6783" spans="16:16">
      <c r="P6783" s="2498"/>
    </row>
    <row r="6784" spans="16:16">
      <c r="P6784" s="2498"/>
    </row>
    <row r="6785" spans="16:16">
      <c r="P6785" s="2498"/>
    </row>
    <row r="6786" spans="16:16">
      <c r="P6786" s="2498"/>
    </row>
    <row r="6787" spans="16:16">
      <c r="P6787" s="2498"/>
    </row>
    <row r="6788" spans="16:16">
      <c r="P6788" s="2498"/>
    </row>
    <row r="6789" spans="16:16">
      <c r="P6789" s="2498"/>
    </row>
    <row r="6790" spans="16:16">
      <c r="P6790" s="2498"/>
    </row>
    <row r="6791" spans="16:16">
      <c r="P6791" s="2498"/>
    </row>
    <row r="6792" spans="16:16">
      <c r="P6792" s="2498"/>
    </row>
    <row r="6793" spans="16:16">
      <c r="P6793" s="2498"/>
    </row>
    <row r="6794" spans="16:16">
      <c r="P6794" s="2498"/>
    </row>
    <row r="6795" spans="16:16">
      <c r="P6795" s="2498"/>
    </row>
    <row r="6796" spans="16:16">
      <c r="P6796" s="2498"/>
    </row>
    <row r="6797" spans="16:16">
      <c r="P6797" s="2498"/>
    </row>
    <row r="6798" spans="16:16">
      <c r="P6798" s="2498"/>
    </row>
    <row r="6799" spans="16:16">
      <c r="P6799" s="2498"/>
    </row>
    <row r="6800" spans="16:16">
      <c r="P6800" s="2498"/>
    </row>
    <row r="6801" spans="16:16">
      <c r="P6801" s="2498"/>
    </row>
    <row r="6802" spans="16:16">
      <c r="P6802" s="2498"/>
    </row>
    <row r="6803" spans="16:16">
      <c r="P6803" s="2498"/>
    </row>
    <row r="6804" spans="16:16">
      <c r="P6804" s="2498"/>
    </row>
    <row r="6805" spans="16:16">
      <c r="P6805" s="2498"/>
    </row>
    <row r="6806" spans="16:16">
      <c r="P6806" s="2498"/>
    </row>
    <row r="6807" spans="16:16">
      <c r="P6807" s="2498"/>
    </row>
    <row r="6808" spans="16:16">
      <c r="P6808" s="2498"/>
    </row>
    <row r="6809" spans="16:16">
      <c r="P6809" s="2498"/>
    </row>
    <row r="6810" spans="16:16">
      <c r="P6810" s="2498"/>
    </row>
    <row r="6811" spans="16:16">
      <c r="P6811" s="2498"/>
    </row>
    <row r="6812" spans="16:16">
      <c r="P6812" s="2498"/>
    </row>
    <row r="6813" spans="16:16">
      <c r="P6813" s="2498"/>
    </row>
    <row r="6814" spans="16:16">
      <c r="P6814" s="2498"/>
    </row>
    <row r="6815" spans="16:16">
      <c r="P6815" s="2498"/>
    </row>
    <row r="6816" spans="16:16">
      <c r="P6816" s="2498"/>
    </row>
    <row r="6817" spans="16:16">
      <c r="P6817" s="2498"/>
    </row>
    <row r="6818" spans="16:16">
      <c r="P6818" s="2498"/>
    </row>
    <row r="6819" spans="16:16">
      <c r="P6819" s="2498"/>
    </row>
    <row r="6820" spans="16:16">
      <c r="P6820" s="2498"/>
    </row>
    <row r="6821" spans="16:16">
      <c r="P6821" s="2498"/>
    </row>
    <row r="6822" spans="16:16">
      <c r="P6822" s="2498"/>
    </row>
    <row r="6823" spans="16:16">
      <c r="P6823" s="2498"/>
    </row>
    <row r="6824" spans="16:16">
      <c r="P6824" s="2498"/>
    </row>
    <row r="6825" spans="16:16">
      <c r="P6825" s="2498"/>
    </row>
    <row r="6826" spans="16:16">
      <c r="P6826" s="2498"/>
    </row>
    <row r="6827" spans="16:16">
      <c r="P6827" s="2498"/>
    </row>
    <row r="6828" spans="16:16">
      <c r="P6828" s="2498"/>
    </row>
    <row r="6829" spans="16:16">
      <c r="P6829" s="2498"/>
    </row>
    <row r="6830" spans="16:16">
      <c r="P6830" s="2498"/>
    </row>
    <row r="6831" spans="16:16">
      <c r="P6831" s="2498"/>
    </row>
    <row r="6832" spans="16:16">
      <c r="P6832" s="2498"/>
    </row>
    <row r="6833" spans="16:16">
      <c r="P6833" s="2498"/>
    </row>
    <row r="6834" spans="16:16">
      <c r="P6834" s="2498"/>
    </row>
    <row r="6835" spans="16:16">
      <c r="P6835" s="2498"/>
    </row>
    <row r="6836" spans="16:16">
      <c r="P6836" s="2498"/>
    </row>
    <row r="6837" spans="16:16">
      <c r="P6837" s="2498"/>
    </row>
    <row r="6838" spans="16:16">
      <c r="P6838" s="2498"/>
    </row>
    <row r="6839" spans="16:16">
      <c r="P6839" s="2498"/>
    </row>
    <row r="6840" spans="16:16">
      <c r="P6840" s="2498"/>
    </row>
    <row r="6841" spans="16:16">
      <c r="P6841" s="2498"/>
    </row>
    <row r="6842" spans="16:16">
      <c r="P6842" s="2498"/>
    </row>
    <row r="6843" spans="16:16">
      <c r="P6843" s="2498"/>
    </row>
    <row r="6844" spans="16:16">
      <c r="P6844" s="2498"/>
    </row>
    <row r="6845" spans="16:16">
      <c r="P6845" s="2498"/>
    </row>
    <row r="6846" spans="16:16">
      <c r="P6846" s="2498"/>
    </row>
    <row r="6847" spans="16:16">
      <c r="P6847" s="2498"/>
    </row>
    <row r="6848" spans="16:16">
      <c r="P6848" s="2498"/>
    </row>
    <row r="6849" spans="16:16">
      <c r="P6849" s="2498"/>
    </row>
    <row r="6850" spans="16:16">
      <c r="P6850" s="2498"/>
    </row>
    <row r="6851" spans="16:16">
      <c r="P6851" s="2498"/>
    </row>
    <row r="6852" spans="16:16">
      <c r="P6852" s="2498"/>
    </row>
    <row r="6853" spans="16:16">
      <c r="P6853" s="2498"/>
    </row>
    <row r="6854" spans="16:16">
      <c r="P6854" s="2498"/>
    </row>
    <row r="6855" spans="16:16">
      <c r="P6855" s="2498"/>
    </row>
    <row r="6856" spans="16:16">
      <c r="P6856" s="2498"/>
    </row>
    <row r="6857" spans="16:16">
      <c r="P6857" s="2498"/>
    </row>
    <row r="6858" spans="16:16">
      <c r="P6858" s="2498"/>
    </row>
    <row r="6859" spans="16:16">
      <c r="P6859" s="2498"/>
    </row>
    <row r="6860" spans="16:16">
      <c r="P6860" s="2498"/>
    </row>
    <row r="6861" spans="16:16">
      <c r="P6861" s="2498"/>
    </row>
    <row r="6862" spans="16:16">
      <c r="P6862" s="2498"/>
    </row>
    <row r="6863" spans="16:16">
      <c r="P6863" s="2498"/>
    </row>
    <row r="6864" spans="16:16">
      <c r="P6864" s="2498"/>
    </row>
    <row r="6865" spans="16:16">
      <c r="P6865" s="2498"/>
    </row>
    <row r="6866" spans="16:16">
      <c r="P6866" s="2498"/>
    </row>
    <row r="6867" spans="16:16">
      <c r="P6867" s="2498"/>
    </row>
    <row r="6868" spans="16:16">
      <c r="P6868" s="2498"/>
    </row>
    <row r="6869" spans="16:16">
      <c r="P6869" s="2498"/>
    </row>
    <row r="6870" spans="16:16">
      <c r="P6870" s="2498"/>
    </row>
    <row r="6871" spans="16:16">
      <c r="P6871" s="2498"/>
    </row>
    <row r="6872" spans="16:16">
      <c r="P6872" s="2498"/>
    </row>
    <row r="6873" spans="16:16">
      <c r="P6873" s="2498"/>
    </row>
    <row r="6874" spans="16:16">
      <c r="P6874" s="2498"/>
    </row>
    <row r="6875" spans="16:16">
      <c r="P6875" s="2498"/>
    </row>
    <row r="6876" spans="16:16">
      <c r="P6876" s="2498"/>
    </row>
    <row r="6877" spans="16:16">
      <c r="P6877" s="2498"/>
    </row>
    <row r="6878" spans="16:16">
      <c r="P6878" s="2498"/>
    </row>
    <row r="6879" spans="16:16">
      <c r="P6879" s="2498"/>
    </row>
    <row r="6880" spans="16:16">
      <c r="P6880" s="2498"/>
    </row>
    <row r="6881" spans="16:16">
      <c r="P6881" s="2498"/>
    </row>
    <row r="6882" spans="16:16">
      <c r="P6882" s="2498"/>
    </row>
    <row r="6883" spans="16:16">
      <c r="P6883" s="2498"/>
    </row>
    <row r="6884" spans="16:16">
      <c r="P6884" s="2498"/>
    </row>
    <row r="6885" spans="16:16">
      <c r="P6885" s="2498"/>
    </row>
    <row r="6886" spans="16:16">
      <c r="P6886" s="2498"/>
    </row>
    <row r="6887" spans="16:16">
      <c r="P6887" s="2498"/>
    </row>
    <row r="6888" spans="16:16">
      <c r="P6888" s="2498"/>
    </row>
    <row r="6889" spans="16:16">
      <c r="P6889" s="2498"/>
    </row>
    <row r="6890" spans="16:16">
      <c r="P6890" s="2498"/>
    </row>
    <row r="6891" spans="16:16">
      <c r="P6891" s="2498"/>
    </row>
    <row r="6892" spans="16:16">
      <c r="P6892" s="2498"/>
    </row>
    <row r="6893" spans="16:16">
      <c r="P6893" s="2498"/>
    </row>
    <row r="6894" spans="16:16">
      <c r="P6894" s="2498"/>
    </row>
    <row r="6895" spans="16:16">
      <c r="P6895" s="2498"/>
    </row>
    <row r="6896" spans="16:16">
      <c r="P6896" s="2498"/>
    </row>
    <row r="6897" spans="16:16">
      <c r="P6897" s="2498"/>
    </row>
    <row r="6898" spans="16:16">
      <c r="P6898" s="2498"/>
    </row>
    <row r="6899" spans="16:16">
      <c r="P6899" s="2498"/>
    </row>
    <row r="6900" spans="16:16">
      <c r="P6900" s="2498"/>
    </row>
    <row r="6901" spans="16:16">
      <c r="P6901" s="2498"/>
    </row>
    <row r="6902" spans="16:16">
      <c r="P6902" s="2498"/>
    </row>
    <row r="6903" spans="16:16">
      <c r="P6903" s="2498"/>
    </row>
    <row r="6904" spans="16:16">
      <c r="P6904" s="2498"/>
    </row>
    <row r="6905" spans="16:16">
      <c r="P6905" s="2498"/>
    </row>
    <row r="6906" spans="16:16">
      <c r="P6906" s="2498"/>
    </row>
    <row r="6907" spans="16:16">
      <c r="P6907" s="2498"/>
    </row>
    <row r="6908" spans="16:16">
      <c r="P6908" s="2498"/>
    </row>
    <row r="6909" spans="16:16">
      <c r="P6909" s="2498"/>
    </row>
    <row r="6910" spans="16:16">
      <c r="P6910" s="2498"/>
    </row>
    <row r="6911" spans="16:16">
      <c r="P6911" s="2498"/>
    </row>
    <row r="6912" spans="16:16">
      <c r="P6912" s="2498"/>
    </row>
    <row r="6913" spans="16:16">
      <c r="P6913" s="2498"/>
    </row>
    <row r="6914" spans="16:16">
      <c r="P6914" s="2498"/>
    </row>
    <row r="6915" spans="16:16">
      <c r="P6915" s="2498"/>
    </row>
    <row r="6916" spans="16:16">
      <c r="P6916" s="2498"/>
    </row>
    <row r="6917" spans="16:16">
      <c r="P6917" s="2498"/>
    </row>
    <row r="6918" spans="16:16">
      <c r="P6918" s="2498"/>
    </row>
    <row r="6919" spans="16:16">
      <c r="P6919" s="2498"/>
    </row>
    <row r="6920" spans="16:16">
      <c r="P6920" s="2498"/>
    </row>
    <row r="6921" spans="16:16">
      <c r="P6921" s="2498"/>
    </row>
    <row r="6922" spans="16:16">
      <c r="P6922" s="2498"/>
    </row>
    <row r="6923" spans="16:16">
      <c r="P6923" s="2498"/>
    </row>
    <row r="6924" spans="16:16">
      <c r="P6924" s="2498"/>
    </row>
    <row r="6925" spans="16:16">
      <c r="P6925" s="2498"/>
    </row>
    <row r="6926" spans="16:16">
      <c r="P6926" s="2498"/>
    </row>
    <row r="6927" spans="16:16">
      <c r="P6927" s="2498"/>
    </row>
    <row r="6928" spans="16:16">
      <c r="P6928" s="2498"/>
    </row>
    <row r="6929" spans="16:16">
      <c r="P6929" s="2498"/>
    </row>
    <row r="6930" spans="16:16">
      <c r="P6930" s="2498"/>
    </row>
    <row r="6931" spans="16:16">
      <c r="P6931" s="2498"/>
    </row>
    <row r="6932" spans="16:16">
      <c r="P6932" s="2498"/>
    </row>
    <row r="6933" spans="16:16">
      <c r="P6933" s="2498"/>
    </row>
    <row r="6934" spans="16:16">
      <c r="P6934" s="2498"/>
    </row>
    <row r="6935" spans="16:16">
      <c r="P6935" s="2498"/>
    </row>
    <row r="6936" spans="16:16">
      <c r="P6936" s="2498"/>
    </row>
    <row r="6937" spans="16:16">
      <c r="P6937" s="2498"/>
    </row>
    <row r="6938" spans="16:16">
      <c r="P6938" s="2498"/>
    </row>
    <row r="6939" spans="16:16">
      <c r="P6939" s="2498"/>
    </row>
    <row r="6940" spans="16:16">
      <c r="P6940" s="2498"/>
    </row>
    <row r="6941" spans="16:16">
      <c r="P6941" s="2498"/>
    </row>
    <row r="6942" spans="16:16">
      <c r="P6942" s="2498"/>
    </row>
    <row r="6943" spans="16:16">
      <c r="P6943" s="2498"/>
    </row>
    <row r="6944" spans="16:16">
      <c r="P6944" s="2498"/>
    </row>
    <row r="6945" spans="16:16">
      <c r="P6945" s="2498"/>
    </row>
    <row r="6946" spans="16:16">
      <c r="P6946" s="2498"/>
    </row>
    <row r="6947" spans="16:16">
      <c r="P6947" s="2498"/>
    </row>
    <row r="6948" spans="16:16">
      <c r="P6948" s="2498"/>
    </row>
    <row r="6949" spans="16:16">
      <c r="P6949" s="2498"/>
    </row>
    <row r="6950" spans="16:16">
      <c r="P6950" s="2498"/>
    </row>
    <row r="6951" spans="16:16">
      <c r="P6951" s="2498"/>
    </row>
    <row r="6952" spans="16:16">
      <c r="P6952" s="2498"/>
    </row>
    <row r="6953" spans="16:16">
      <c r="P6953" s="2498"/>
    </row>
    <row r="6954" spans="16:16">
      <c r="P6954" s="2498"/>
    </row>
    <row r="6955" spans="16:16">
      <c r="P6955" s="2498"/>
    </row>
    <row r="6956" spans="16:16">
      <c r="P6956" s="2498"/>
    </row>
    <row r="6957" spans="16:16">
      <c r="P6957" s="2498"/>
    </row>
    <row r="6958" spans="16:16">
      <c r="P6958" s="2498"/>
    </row>
    <row r="6959" spans="16:16">
      <c r="P6959" s="2498"/>
    </row>
    <row r="6960" spans="16:16">
      <c r="P6960" s="2498"/>
    </row>
    <row r="6961" spans="16:16">
      <c r="P6961" s="2498"/>
    </row>
    <row r="6962" spans="16:16">
      <c r="P6962" s="2498"/>
    </row>
    <row r="6963" spans="16:16">
      <c r="P6963" s="2498"/>
    </row>
    <row r="6964" spans="16:16">
      <c r="P6964" s="2498"/>
    </row>
    <row r="6965" spans="16:16">
      <c r="P6965" s="2498"/>
    </row>
    <row r="6966" spans="16:16">
      <c r="P6966" s="2498"/>
    </row>
    <row r="6967" spans="16:16">
      <c r="P6967" s="2498"/>
    </row>
    <row r="6968" spans="16:16">
      <c r="P6968" s="2498"/>
    </row>
    <row r="6969" spans="16:16">
      <c r="P6969" s="2498"/>
    </row>
    <row r="6970" spans="16:16">
      <c r="P6970" s="2498"/>
    </row>
    <row r="6971" spans="16:16">
      <c r="P6971" s="2498"/>
    </row>
    <row r="6972" spans="16:16">
      <c r="P6972" s="2498"/>
    </row>
    <row r="6973" spans="16:16">
      <c r="P6973" s="2498"/>
    </row>
    <row r="6974" spans="16:16">
      <c r="P6974" s="2498"/>
    </row>
    <row r="6975" spans="16:16">
      <c r="P6975" s="2498"/>
    </row>
    <row r="6976" spans="16:16">
      <c r="P6976" s="2498"/>
    </row>
    <row r="6977" spans="16:16">
      <c r="P6977" s="2498"/>
    </row>
    <row r="6978" spans="16:16">
      <c r="P6978" s="2498"/>
    </row>
    <row r="6979" spans="16:16">
      <c r="P6979" s="2498"/>
    </row>
    <row r="6980" spans="16:16">
      <c r="P6980" s="2498"/>
    </row>
    <row r="6981" spans="16:16">
      <c r="P6981" s="2498"/>
    </row>
    <row r="6982" spans="16:16">
      <c r="P6982" s="2498"/>
    </row>
    <row r="6983" spans="16:16">
      <c r="P6983" s="2498"/>
    </row>
    <row r="6984" spans="16:16">
      <c r="P6984" s="2498"/>
    </row>
    <row r="6985" spans="16:16">
      <c r="P6985" s="2498"/>
    </row>
    <row r="6986" spans="16:16">
      <c r="P6986" s="2498"/>
    </row>
    <row r="6987" spans="16:16">
      <c r="P6987" s="2498"/>
    </row>
    <row r="6988" spans="16:16">
      <c r="P6988" s="2498"/>
    </row>
    <row r="6989" spans="16:16">
      <c r="P6989" s="2498"/>
    </row>
    <row r="6990" spans="16:16">
      <c r="P6990" s="2498"/>
    </row>
    <row r="6991" spans="16:16">
      <c r="P6991" s="2498"/>
    </row>
    <row r="6992" spans="16:16">
      <c r="P6992" s="2498"/>
    </row>
    <row r="6993" spans="16:16">
      <c r="P6993" s="2498"/>
    </row>
    <row r="6994" spans="16:16">
      <c r="P6994" s="2498"/>
    </row>
    <row r="6995" spans="16:16">
      <c r="P6995" s="2498"/>
    </row>
    <row r="6996" spans="16:16">
      <c r="P6996" s="2498"/>
    </row>
    <row r="6997" spans="16:16">
      <c r="P6997" s="2498"/>
    </row>
    <row r="6998" spans="16:16">
      <c r="P6998" s="2498"/>
    </row>
    <row r="6999" spans="16:16">
      <c r="P6999" s="2498"/>
    </row>
    <row r="7000" spans="16:16">
      <c r="P7000" s="2498"/>
    </row>
    <row r="7001" spans="16:16">
      <c r="P7001" s="2498"/>
    </row>
    <row r="7002" spans="16:16">
      <c r="P7002" s="2498"/>
    </row>
    <row r="7003" spans="16:16">
      <c r="P7003" s="2498"/>
    </row>
    <row r="7004" spans="16:16">
      <c r="P7004" s="2498"/>
    </row>
    <row r="7005" spans="16:16">
      <c r="P7005" s="2498"/>
    </row>
    <row r="7006" spans="16:16">
      <c r="P7006" s="2498"/>
    </row>
    <row r="7007" spans="16:16">
      <c r="P7007" s="2498"/>
    </row>
    <row r="7008" spans="16:16">
      <c r="P7008" s="2498"/>
    </row>
    <row r="7009" spans="16:16">
      <c r="P7009" s="2498"/>
    </row>
    <row r="7010" spans="16:16">
      <c r="P7010" s="2498"/>
    </row>
    <row r="7011" spans="16:16">
      <c r="P7011" s="2498"/>
    </row>
    <row r="7012" spans="16:16">
      <c r="P7012" s="2498"/>
    </row>
    <row r="7013" spans="16:16">
      <c r="P7013" s="2498"/>
    </row>
    <row r="7014" spans="16:16">
      <c r="P7014" s="2498"/>
    </row>
    <row r="7015" spans="16:16">
      <c r="P7015" s="2498"/>
    </row>
    <row r="7016" spans="16:16">
      <c r="P7016" s="2498"/>
    </row>
    <row r="7017" spans="16:16">
      <c r="P7017" s="2498"/>
    </row>
    <row r="7018" spans="16:16">
      <c r="P7018" s="2498"/>
    </row>
    <row r="7019" spans="16:16">
      <c r="P7019" s="2498"/>
    </row>
    <row r="7020" spans="16:16">
      <c r="P7020" s="2498"/>
    </row>
    <row r="7021" spans="16:16">
      <c r="P7021" s="2498"/>
    </row>
    <row r="7022" spans="16:16">
      <c r="P7022" s="2498"/>
    </row>
    <row r="7023" spans="16:16">
      <c r="P7023" s="2498"/>
    </row>
    <row r="7024" spans="16:16">
      <c r="P7024" s="2498"/>
    </row>
    <row r="7025" spans="16:16">
      <c r="P7025" s="2498"/>
    </row>
    <row r="7026" spans="16:16">
      <c r="P7026" s="2498"/>
    </row>
    <row r="7027" spans="16:16">
      <c r="P7027" s="2498"/>
    </row>
    <row r="7028" spans="16:16">
      <c r="P7028" s="2498"/>
    </row>
    <row r="7029" spans="16:16">
      <c r="P7029" s="2498"/>
    </row>
    <row r="7030" spans="16:16">
      <c r="P7030" s="2498"/>
    </row>
    <row r="7031" spans="16:16">
      <c r="P7031" s="2498"/>
    </row>
    <row r="7032" spans="16:16">
      <c r="P7032" s="2498"/>
    </row>
    <row r="7033" spans="16:16">
      <c r="P7033" s="2498"/>
    </row>
    <row r="7034" spans="16:16">
      <c r="P7034" s="2498"/>
    </row>
    <row r="7035" spans="16:16">
      <c r="P7035" s="2498"/>
    </row>
    <row r="7036" spans="16:16">
      <c r="P7036" s="2498"/>
    </row>
    <row r="7037" spans="16:16">
      <c r="P7037" s="2498"/>
    </row>
    <row r="7038" spans="16:16">
      <c r="P7038" s="2498"/>
    </row>
    <row r="7039" spans="16:16">
      <c r="P7039" s="2498"/>
    </row>
    <row r="7040" spans="16:16">
      <c r="P7040" s="2498"/>
    </row>
    <row r="7041" spans="16:16">
      <c r="P7041" s="2498"/>
    </row>
    <row r="7042" spans="16:16">
      <c r="P7042" s="2498"/>
    </row>
    <row r="7043" spans="16:16">
      <c r="P7043" s="2498"/>
    </row>
    <row r="7044" spans="16:16">
      <c r="P7044" s="2498"/>
    </row>
    <row r="7045" spans="16:16">
      <c r="P7045" s="2498"/>
    </row>
    <row r="7046" spans="16:16">
      <c r="P7046" s="2498"/>
    </row>
    <row r="7047" spans="16:16">
      <c r="P7047" s="2498"/>
    </row>
    <row r="7048" spans="16:16">
      <c r="P7048" s="2498"/>
    </row>
    <row r="7049" spans="16:16">
      <c r="P7049" s="2498"/>
    </row>
    <row r="7050" spans="16:16">
      <c r="P7050" s="2498"/>
    </row>
    <row r="7051" spans="16:16">
      <c r="P7051" s="2498"/>
    </row>
    <row r="7052" spans="16:16">
      <c r="P7052" s="2498"/>
    </row>
    <row r="7053" spans="16:16">
      <c r="P7053" s="2498"/>
    </row>
    <row r="7054" spans="16:16">
      <c r="P7054" s="2498"/>
    </row>
    <row r="7055" spans="16:16">
      <c r="P7055" s="2498"/>
    </row>
    <row r="7056" spans="16:16">
      <c r="P7056" s="2498"/>
    </row>
    <row r="7057" spans="16:16">
      <c r="P7057" s="2498"/>
    </row>
    <row r="7058" spans="16:16">
      <c r="P7058" s="2498"/>
    </row>
    <row r="7059" spans="16:16">
      <c r="P7059" s="2498"/>
    </row>
    <row r="7060" spans="16:16">
      <c r="P7060" s="2498"/>
    </row>
    <row r="7061" spans="16:16">
      <c r="P7061" s="2498"/>
    </row>
    <row r="7062" spans="16:16">
      <c r="P7062" s="2498"/>
    </row>
    <row r="7063" spans="16:16">
      <c r="P7063" s="2498"/>
    </row>
    <row r="7064" spans="16:16">
      <c r="P7064" s="2498"/>
    </row>
    <row r="7065" spans="16:16">
      <c r="P7065" s="2498"/>
    </row>
    <row r="7066" spans="16:16">
      <c r="P7066" s="2498"/>
    </row>
    <row r="7067" spans="16:16">
      <c r="P7067" s="2498"/>
    </row>
    <row r="7068" spans="16:16">
      <c r="P7068" s="2498"/>
    </row>
    <row r="7069" spans="16:16">
      <c r="P7069" s="2498"/>
    </row>
    <row r="7070" spans="16:16">
      <c r="P7070" s="2498"/>
    </row>
    <row r="7071" spans="16:16">
      <c r="P7071" s="2498"/>
    </row>
    <row r="7072" spans="16:16">
      <c r="P7072" s="2498"/>
    </row>
    <row r="7073" spans="16:16">
      <c r="P7073" s="2498"/>
    </row>
    <row r="7074" spans="16:16">
      <c r="P7074" s="2498"/>
    </row>
    <row r="7075" spans="16:16">
      <c r="P7075" s="2498"/>
    </row>
    <row r="7076" spans="16:16">
      <c r="P7076" s="2498"/>
    </row>
    <row r="7077" spans="16:16">
      <c r="P7077" s="2498"/>
    </row>
    <row r="7078" spans="16:16">
      <c r="P7078" s="2498"/>
    </row>
    <row r="7079" spans="16:16">
      <c r="P7079" s="2498"/>
    </row>
    <row r="7080" spans="16:16">
      <c r="P7080" s="2498"/>
    </row>
    <row r="7081" spans="16:16">
      <c r="P7081" s="2498"/>
    </row>
    <row r="7082" spans="16:16">
      <c r="P7082" s="2498"/>
    </row>
    <row r="7083" spans="16:16">
      <c r="P7083" s="2498"/>
    </row>
    <row r="7084" spans="16:16">
      <c r="P7084" s="2498"/>
    </row>
    <row r="7085" spans="16:16">
      <c r="P7085" s="2498"/>
    </row>
    <row r="7086" spans="16:16">
      <c r="P7086" s="2498"/>
    </row>
    <row r="7087" spans="16:16">
      <c r="P7087" s="2498"/>
    </row>
    <row r="7088" spans="16:16">
      <c r="P7088" s="2498"/>
    </row>
    <row r="7089" spans="16:16">
      <c r="P7089" s="2498"/>
    </row>
    <row r="7090" spans="16:16">
      <c r="P7090" s="2498"/>
    </row>
    <row r="7091" spans="16:16">
      <c r="P7091" s="2498"/>
    </row>
    <row r="7092" spans="16:16">
      <c r="P7092" s="2498"/>
    </row>
    <row r="7093" spans="16:16">
      <c r="P7093" s="2498"/>
    </row>
    <row r="7094" spans="16:16">
      <c r="P7094" s="2498"/>
    </row>
    <row r="7095" spans="16:16">
      <c r="P7095" s="2498"/>
    </row>
    <row r="7096" spans="16:16">
      <c r="P7096" s="2498"/>
    </row>
    <row r="7097" spans="16:16">
      <c r="P7097" s="2498"/>
    </row>
    <row r="7098" spans="16:16">
      <c r="P7098" s="2498"/>
    </row>
    <row r="7099" spans="16:16">
      <c r="P7099" s="2498"/>
    </row>
    <row r="7100" spans="16:16">
      <c r="P7100" s="2498"/>
    </row>
    <row r="7101" spans="16:16">
      <c r="P7101" s="2498"/>
    </row>
    <row r="7102" spans="16:16">
      <c r="P7102" s="2498"/>
    </row>
    <row r="7103" spans="16:16">
      <c r="P7103" s="2498"/>
    </row>
    <row r="7104" spans="16:16">
      <c r="P7104" s="2498"/>
    </row>
    <row r="7105" spans="16:16">
      <c r="P7105" s="2498"/>
    </row>
    <row r="7106" spans="16:16">
      <c r="P7106" s="2498"/>
    </row>
    <row r="7107" spans="16:16">
      <c r="P7107" s="2498"/>
    </row>
    <row r="7108" spans="16:16">
      <c r="P7108" s="2498"/>
    </row>
    <row r="7109" spans="16:16">
      <c r="P7109" s="2498"/>
    </row>
    <row r="7110" spans="16:16">
      <c r="P7110" s="2498"/>
    </row>
    <row r="7111" spans="16:16">
      <c r="P7111" s="2498"/>
    </row>
    <row r="7112" spans="16:16">
      <c r="P7112" s="2498"/>
    </row>
    <row r="7113" spans="16:16">
      <c r="P7113" s="2498"/>
    </row>
    <row r="7114" spans="16:16">
      <c r="P7114" s="2498"/>
    </row>
    <row r="7115" spans="16:16">
      <c r="P7115" s="2498"/>
    </row>
    <row r="7116" spans="16:16">
      <c r="P7116" s="2498"/>
    </row>
    <row r="7117" spans="16:16">
      <c r="P7117" s="2498"/>
    </row>
    <row r="7118" spans="16:16">
      <c r="P7118" s="2498"/>
    </row>
    <row r="7119" spans="16:16">
      <c r="P7119" s="2498"/>
    </row>
    <row r="7120" spans="16:16">
      <c r="P7120" s="2498"/>
    </row>
    <row r="7121" spans="16:16">
      <c r="P7121" s="2498"/>
    </row>
    <row r="7122" spans="16:16">
      <c r="P7122" s="2498"/>
    </row>
    <row r="7123" spans="16:16">
      <c r="P7123" s="2498"/>
    </row>
    <row r="7124" spans="16:16">
      <c r="P7124" s="2498"/>
    </row>
    <row r="7125" spans="16:16">
      <c r="P7125" s="2498"/>
    </row>
    <row r="7126" spans="16:16">
      <c r="P7126" s="2498"/>
    </row>
    <row r="7127" spans="16:16">
      <c r="P7127" s="2498"/>
    </row>
    <row r="7128" spans="16:16">
      <c r="P7128" s="2498"/>
    </row>
    <row r="7129" spans="16:16">
      <c r="P7129" s="2498"/>
    </row>
    <row r="7130" spans="16:16">
      <c r="P7130" s="2498"/>
    </row>
    <row r="7131" spans="16:16">
      <c r="P7131" s="2498"/>
    </row>
    <row r="7132" spans="16:16">
      <c r="P7132" s="2498"/>
    </row>
    <row r="7133" spans="16:16">
      <c r="P7133" s="2498"/>
    </row>
    <row r="7134" spans="16:16">
      <c r="P7134" s="2498"/>
    </row>
    <row r="7135" spans="16:16">
      <c r="P7135" s="2498"/>
    </row>
    <row r="7136" spans="16:16">
      <c r="P7136" s="2498"/>
    </row>
    <row r="7137" spans="16:16">
      <c r="P7137" s="2498"/>
    </row>
    <row r="7138" spans="16:16">
      <c r="P7138" s="2498"/>
    </row>
    <row r="7139" spans="16:16">
      <c r="P7139" s="2498"/>
    </row>
    <row r="7140" spans="16:16">
      <c r="P7140" s="2498"/>
    </row>
    <row r="7141" spans="16:16">
      <c r="P7141" s="2498"/>
    </row>
    <row r="7142" spans="16:16">
      <c r="P7142" s="2498"/>
    </row>
    <row r="7143" spans="16:16">
      <c r="P7143" s="2498"/>
    </row>
    <row r="7144" spans="16:16">
      <c r="P7144" s="2498"/>
    </row>
    <row r="7145" spans="16:16">
      <c r="P7145" s="2498"/>
    </row>
    <row r="7146" spans="16:16">
      <c r="P7146" s="2498"/>
    </row>
    <row r="7147" spans="16:16">
      <c r="P7147" s="2498"/>
    </row>
    <row r="7148" spans="16:16">
      <c r="P7148" s="2498"/>
    </row>
    <row r="7149" spans="16:16">
      <c r="P7149" s="2498"/>
    </row>
    <row r="7150" spans="16:16">
      <c r="P7150" s="2498"/>
    </row>
    <row r="7151" spans="16:16">
      <c r="P7151" s="2498"/>
    </row>
    <row r="7152" spans="16:16">
      <c r="P7152" s="2498"/>
    </row>
    <row r="7153" spans="16:16">
      <c r="P7153" s="2498"/>
    </row>
    <row r="7154" spans="16:16">
      <c r="P7154" s="2498"/>
    </row>
    <row r="7155" spans="16:16">
      <c r="P7155" s="2498"/>
    </row>
    <row r="7156" spans="16:16">
      <c r="P7156" s="2498"/>
    </row>
    <row r="7157" spans="16:16">
      <c r="P7157" s="2498"/>
    </row>
    <row r="7158" spans="16:16">
      <c r="P7158" s="2498"/>
    </row>
    <row r="7159" spans="16:16">
      <c r="P7159" s="2498"/>
    </row>
    <row r="7160" spans="16:16">
      <c r="P7160" s="2498"/>
    </row>
    <row r="7161" spans="16:16">
      <c r="P7161" s="2498"/>
    </row>
    <row r="7162" spans="16:16">
      <c r="P7162" s="2498"/>
    </row>
    <row r="7163" spans="16:16">
      <c r="P7163" s="2498"/>
    </row>
    <row r="7164" spans="16:16">
      <c r="P7164" s="2498"/>
    </row>
    <row r="7165" spans="16:16">
      <c r="P7165" s="2498"/>
    </row>
    <row r="7166" spans="16:16">
      <c r="P7166" s="2498"/>
    </row>
    <row r="7167" spans="16:16">
      <c r="P7167" s="2498"/>
    </row>
    <row r="7168" spans="16:16">
      <c r="P7168" s="2498"/>
    </row>
    <row r="7169" spans="16:16">
      <c r="P7169" s="2498"/>
    </row>
    <row r="7170" spans="16:16">
      <c r="P7170" s="2498"/>
    </row>
    <row r="7171" spans="16:16">
      <c r="P7171" s="2498"/>
    </row>
    <row r="7172" spans="16:16">
      <c r="P7172" s="2498"/>
    </row>
    <row r="7173" spans="16:16">
      <c r="P7173" s="2498"/>
    </row>
    <row r="7174" spans="16:16">
      <c r="P7174" s="2498"/>
    </row>
    <row r="7175" spans="16:16">
      <c r="P7175" s="2498"/>
    </row>
    <row r="7176" spans="16:16">
      <c r="P7176" s="2498"/>
    </row>
    <row r="7177" spans="16:16">
      <c r="P7177" s="2498"/>
    </row>
    <row r="7178" spans="16:16">
      <c r="P7178" s="2498"/>
    </row>
    <row r="7179" spans="16:16">
      <c r="P7179" s="2498"/>
    </row>
    <row r="7180" spans="16:16">
      <c r="P7180" s="2498"/>
    </row>
    <row r="7181" spans="16:16">
      <c r="P7181" s="2498"/>
    </row>
    <row r="7182" spans="16:16">
      <c r="P7182" s="2498"/>
    </row>
    <row r="7183" spans="16:16">
      <c r="P7183" s="2498"/>
    </row>
    <row r="7184" spans="16:16">
      <c r="P7184" s="2498"/>
    </row>
    <row r="7185" spans="16:16">
      <c r="P7185" s="2498"/>
    </row>
    <row r="7186" spans="16:16">
      <c r="P7186" s="2498"/>
    </row>
    <row r="7187" spans="16:16">
      <c r="P7187" s="2498"/>
    </row>
    <row r="7188" spans="16:16">
      <c r="P7188" s="2498"/>
    </row>
    <row r="7189" spans="16:16">
      <c r="P7189" s="2498"/>
    </row>
    <row r="7190" spans="16:16">
      <c r="P7190" s="2498"/>
    </row>
    <row r="7191" spans="16:16">
      <c r="P7191" s="2498"/>
    </row>
    <row r="7192" spans="16:16">
      <c r="P7192" s="2498"/>
    </row>
    <row r="7193" spans="16:16">
      <c r="P7193" s="2498"/>
    </row>
    <row r="7194" spans="16:16">
      <c r="P7194" s="2498"/>
    </row>
    <row r="7195" spans="16:16">
      <c r="P7195" s="2498"/>
    </row>
    <row r="7196" spans="16:16">
      <c r="P7196" s="2498"/>
    </row>
    <row r="7197" spans="16:16">
      <c r="P7197" s="2498"/>
    </row>
    <row r="7198" spans="16:16">
      <c r="P7198" s="2498"/>
    </row>
    <row r="7199" spans="16:16">
      <c r="P7199" s="2498"/>
    </row>
    <row r="7200" spans="16:16">
      <c r="P7200" s="2498"/>
    </row>
    <row r="7201" spans="16:16">
      <c r="P7201" s="2498"/>
    </row>
    <row r="7202" spans="16:16">
      <c r="P7202" s="2498"/>
    </row>
    <row r="7203" spans="16:16">
      <c r="P7203" s="2498"/>
    </row>
    <row r="7204" spans="16:16">
      <c r="P7204" s="2498"/>
    </row>
    <row r="7205" spans="16:16">
      <c r="P7205" s="2498"/>
    </row>
    <row r="7206" spans="16:16">
      <c r="P7206" s="2498"/>
    </row>
    <row r="7207" spans="16:16">
      <c r="P7207" s="2498"/>
    </row>
    <row r="7208" spans="16:16">
      <c r="P7208" s="2498"/>
    </row>
    <row r="7209" spans="16:16">
      <c r="P7209" s="2498"/>
    </row>
    <row r="7210" spans="16:16">
      <c r="P7210" s="2498"/>
    </row>
    <row r="7211" spans="16:16">
      <c r="P7211" s="2498"/>
    </row>
    <row r="7212" spans="16:16">
      <c r="P7212" s="2498"/>
    </row>
    <row r="7213" spans="16:16">
      <c r="P7213" s="2498"/>
    </row>
    <row r="7214" spans="16:16">
      <c r="P7214" s="2498"/>
    </row>
    <row r="7215" spans="16:16">
      <c r="P7215" s="2498"/>
    </row>
    <row r="7216" spans="16:16">
      <c r="P7216" s="2498"/>
    </row>
    <row r="7217" spans="16:16">
      <c r="P7217" s="2498"/>
    </row>
    <row r="7218" spans="16:16">
      <c r="P7218" s="2498"/>
    </row>
    <row r="7219" spans="16:16">
      <c r="P7219" s="2498"/>
    </row>
    <row r="7220" spans="16:16">
      <c r="P7220" s="2498"/>
    </row>
    <row r="7221" spans="16:16">
      <c r="P7221" s="2498"/>
    </row>
    <row r="7222" spans="16:16">
      <c r="P7222" s="2498"/>
    </row>
    <row r="7223" spans="16:16">
      <c r="P7223" s="2498"/>
    </row>
    <row r="7224" spans="16:16">
      <c r="P7224" s="2498"/>
    </row>
    <row r="7225" spans="16:16">
      <c r="P7225" s="2498"/>
    </row>
    <row r="7226" spans="16:16">
      <c r="P7226" s="2498"/>
    </row>
    <row r="7227" spans="16:16">
      <c r="P7227" s="2498"/>
    </row>
    <row r="7228" spans="16:16">
      <c r="P7228" s="2498"/>
    </row>
    <row r="7229" spans="16:16">
      <c r="P7229" s="2498"/>
    </row>
    <row r="7230" spans="16:16">
      <c r="P7230" s="2498"/>
    </row>
    <row r="7231" spans="16:16">
      <c r="P7231" s="2498"/>
    </row>
    <row r="7232" spans="16:16">
      <c r="P7232" s="2498"/>
    </row>
    <row r="7233" spans="16:16">
      <c r="P7233" s="2498"/>
    </row>
    <row r="7234" spans="16:16">
      <c r="P7234" s="2498"/>
    </row>
    <row r="7235" spans="16:16">
      <c r="P7235" s="2498"/>
    </row>
    <row r="7236" spans="16:16">
      <c r="P7236" s="2498"/>
    </row>
    <row r="7237" spans="16:16">
      <c r="P7237" s="2498"/>
    </row>
    <row r="7238" spans="16:16">
      <c r="P7238" s="2498"/>
    </row>
    <row r="7239" spans="16:16">
      <c r="P7239" s="2498"/>
    </row>
    <row r="7240" spans="16:16">
      <c r="P7240" s="2498"/>
    </row>
    <row r="7241" spans="16:16">
      <c r="P7241" s="2498"/>
    </row>
    <row r="7242" spans="16:16">
      <c r="P7242" s="2498"/>
    </row>
    <row r="7243" spans="16:16">
      <c r="P7243" s="2498"/>
    </row>
    <row r="7244" spans="16:16">
      <c r="P7244" s="2498"/>
    </row>
    <row r="7245" spans="16:16">
      <c r="P7245" s="2498"/>
    </row>
    <row r="7246" spans="16:16">
      <c r="P7246" s="2498"/>
    </row>
    <row r="7247" spans="16:16">
      <c r="P7247" s="2498"/>
    </row>
    <row r="7248" spans="16:16">
      <c r="P7248" s="2498"/>
    </row>
    <row r="7249" spans="16:16">
      <c r="P7249" s="2498"/>
    </row>
    <row r="7250" spans="16:16">
      <c r="P7250" s="2498"/>
    </row>
    <row r="7251" spans="16:16">
      <c r="P7251" s="2498"/>
    </row>
    <row r="7252" spans="16:16">
      <c r="P7252" s="2498"/>
    </row>
    <row r="7253" spans="16:16">
      <c r="P7253" s="2498"/>
    </row>
    <row r="7254" spans="16:16">
      <c r="P7254" s="2498"/>
    </row>
    <row r="7255" spans="16:16">
      <c r="P7255" s="2498"/>
    </row>
    <row r="7256" spans="16:16">
      <c r="P7256" s="2498"/>
    </row>
    <row r="7257" spans="16:16">
      <c r="P7257" s="2498"/>
    </row>
    <row r="7258" spans="16:16">
      <c r="P7258" s="2498"/>
    </row>
    <row r="7259" spans="16:16">
      <c r="P7259" s="2498"/>
    </row>
    <row r="7260" spans="16:16">
      <c r="P7260" s="2498"/>
    </row>
    <row r="7261" spans="16:16">
      <c r="P7261" s="2498"/>
    </row>
    <row r="7262" spans="16:16">
      <c r="P7262" s="2498"/>
    </row>
    <row r="7263" spans="16:16">
      <c r="P7263" s="2498"/>
    </row>
    <row r="7264" spans="16:16">
      <c r="P7264" s="2498"/>
    </row>
    <row r="7265" spans="16:16">
      <c r="P7265" s="2498"/>
    </row>
    <row r="7266" spans="16:16">
      <c r="P7266" s="2498"/>
    </row>
    <row r="7267" spans="16:16">
      <c r="P7267" s="2498"/>
    </row>
    <row r="7268" spans="16:16">
      <c r="P7268" s="2498"/>
    </row>
    <row r="7269" spans="16:16">
      <c r="P7269" s="2498"/>
    </row>
    <row r="7270" spans="16:16">
      <c r="P7270" s="2498"/>
    </row>
    <row r="7271" spans="16:16">
      <c r="P7271" s="2498"/>
    </row>
    <row r="7272" spans="16:16">
      <c r="P7272" s="2498"/>
    </row>
    <row r="7273" spans="16:16">
      <c r="P7273" s="2498"/>
    </row>
    <row r="7274" spans="16:16">
      <c r="P7274" s="2498"/>
    </row>
    <row r="7275" spans="16:16">
      <c r="P7275" s="2498"/>
    </row>
    <row r="7276" spans="16:16">
      <c r="P7276" s="2498"/>
    </row>
    <row r="7277" spans="16:16">
      <c r="P7277" s="2498"/>
    </row>
    <row r="7278" spans="16:16">
      <c r="P7278" s="2498"/>
    </row>
    <row r="7279" spans="16:16">
      <c r="P7279" s="2498"/>
    </row>
    <row r="7280" spans="16:16">
      <c r="P7280" s="2498"/>
    </row>
    <row r="7281" spans="16:16">
      <c r="P7281" s="2498"/>
    </row>
    <row r="7282" spans="16:16">
      <c r="P7282" s="2498"/>
    </row>
    <row r="7283" spans="16:16">
      <c r="P7283" s="2498"/>
    </row>
    <row r="7284" spans="16:16">
      <c r="P7284" s="2498"/>
    </row>
    <row r="7285" spans="16:16">
      <c r="P7285" s="2498"/>
    </row>
    <row r="7286" spans="16:16">
      <c r="P7286" s="2498"/>
    </row>
    <row r="7287" spans="16:16">
      <c r="P7287" s="2498"/>
    </row>
    <row r="7288" spans="16:16">
      <c r="P7288" s="2498"/>
    </row>
    <row r="7289" spans="16:16">
      <c r="P7289" s="2498"/>
    </row>
    <row r="7290" spans="16:16">
      <c r="P7290" s="2498"/>
    </row>
    <row r="7291" spans="16:16">
      <c r="P7291" s="2498"/>
    </row>
    <row r="7292" spans="16:16">
      <c r="P7292" s="2498"/>
    </row>
    <row r="7293" spans="16:16">
      <c r="P7293" s="2498"/>
    </row>
    <row r="7294" spans="16:16">
      <c r="P7294" s="2498"/>
    </row>
    <row r="7295" spans="16:16">
      <c r="P7295" s="2498"/>
    </row>
    <row r="7296" spans="16:16">
      <c r="P7296" s="2498"/>
    </row>
    <row r="7297" spans="16:16">
      <c r="P7297" s="2498"/>
    </row>
    <row r="7298" spans="16:16">
      <c r="P7298" s="2498"/>
    </row>
    <row r="7299" spans="16:16">
      <c r="P7299" s="2498"/>
    </row>
    <row r="7300" spans="16:16">
      <c r="P7300" s="2498"/>
    </row>
    <row r="7301" spans="16:16">
      <c r="P7301" s="2498"/>
    </row>
    <row r="7302" spans="16:16">
      <c r="P7302" s="2498"/>
    </row>
    <row r="7303" spans="16:16">
      <c r="P7303" s="2498"/>
    </row>
    <row r="7304" spans="16:16">
      <c r="P7304" s="2498"/>
    </row>
    <row r="7305" spans="16:16">
      <c r="P7305" s="2498"/>
    </row>
    <row r="7306" spans="16:16">
      <c r="P7306" s="2498"/>
    </row>
    <row r="7307" spans="16:16">
      <c r="P7307" s="2498"/>
    </row>
    <row r="7308" spans="16:16">
      <c r="P7308" s="2498"/>
    </row>
    <row r="7309" spans="16:16">
      <c r="P7309" s="2498"/>
    </row>
    <row r="7310" spans="16:16">
      <c r="P7310" s="2498"/>
    </row>
    <row r="7311" spans="16:16">
      <c r="P7311" s="2498"/>
    </row>
    <row r="7312" spans="16:16">
      <c r="P7312" s="2498"/>
    </row>
    <row r="7313" spans="16:16">
      <c r="P7313" s="2498"/>
    </row>
    <row r="7314" spans="16:16">
      <c r="P7314" s="2498"/>
    </row>
    <row r="7315" spans="16:16">
      <c r="P7315" s="2498"/>
    </row>
    <row r="7316" spans="16:16">
      <c r="P7316" s="2498"/>
    </row>
    <row r="7317" spans="16:16">
      <c r="P7317" s="2498"/>
    </row>
    <row r="7318" spans="16:16">
      <c r="P7318" s="2498"/>
    </row>
    <row r="7319" spans="16:16">
      <c r="P7319" s="2498"/>
    </row>
    <row r="7320" spans="16:16">
      <c r="P7320" s="2498"/>
    </row>
    <row r="7321" spans="16:16">
      <c r="P7321" s="2498"/>
    </row>
    <row r="7322" spans="16:16">
      <c r="P7322" s="2498"/>
    </row>
    <row r="7323" spans="16:16">
      <c r="P7323" s="2498"/>
    </row>
    <row r="7324" spans="16:16">
      <c r="P7324" s="2498"/>
    </row>
    <row r="7325" spans="16:16">
      <c r="P7325" s="2498"/>
    </row>
    <row r="7326" spans="16:16">
      <c r="P7326" s="2498"/>
    </row>
    <row r="7327" spans="16:16">
      <c r="P7327" s="2498"/>
    </row>
    <row r="7328" spans="16:16">
      <c r="P7328" s="2498"/>
    </row>
    <row r="7329" spans="16:16">
      <c r="P7329" s="2498"/>
    </row>
    <row r="7330" spans="16:16">
      <c r="P7330" s="2498"/>
    </row>
    <row r="7331" spans="16:16">
      <c r="P7331" s="2498"/>
    </row>
    <row r="7332" spans="16:16">
      <c r="P7332" s="2498"/>
    </row>
    <row r="7333" spans="16:16">
      <c r="P7333" s="2498"/>
    </row>
    <row r="7334" spans="16:16">
      <c r="P7334" s="2498"/>
    </row>
    <row r="7335" spans="16:16">
      <c r="P7335" s="2498"/>
    </row>
    <row r="7336" spans="16:16">
      <c r="P7336" s="2498"/>
    </row>
    <row r="7337" spans="16:16">
      <c r="P7337" s="2498"/>
    </row>
    <row r="7338" spans="16:16">
      <c r="P7338" s="2498"/>
    </row>
    <row r="7339" spans="16:16">
      <c r="P7339" s="2498"/>
    </row>
    <row r="7340" spans="16:16">
      <c r="P7340" s="2498"/>
    </row>
    <row r="7341" spans="16:16">
      <c r="P7341" s="2498"/>
    </row>
    <row r="7342" spans="16:16">
      <c r="P7342" s="2498"/>
    </row>
    <row r="7343" spans="16:16">
      <c r="P7343" s="2498"/>
    </row>
    <row r="7344" spans="16:16">
      <c r="P7344" s="2498"/>
    </row>
    <row r="7345" spans="16:16">
      <c r="P7345" s="2498"/>
    </row>
    <row r="7346" spans="16:16">
      <c r="P7346" s="2498"/>
    </row>
    <row r="7347" spans="16:16">
      <c r="P7347" s="2498"/>
    </row>
    <row r="7348" spans="16:16">
      <c r="P7348" s="2498"/>
    </row>
    <row r="7349" spans="16:16">
      <c r="P7349" s="2498"/>
    </row>
    <row r="7350" spans="16:16">
      <c r="P7350" s="2498"/>
    </row>
    <row r="7351" spans="16:16">
      <c r="P7351" s="2498"/>
    </row>
    <row r="7352" spans="16:16">
      <c r="P7352" s="2498"/>
    </row>
    <row r="7353" spans="16:16">
      <c r="P7353" s="2498"/>
    </row>
    <row r="7354" spans="16:16">
      <c r="P7354" s="2498"/>
    </row>
    <row r="7355" spans="16:16">
      <c r="P7355" s="2498"/>
    </row>
    <row r="7356" spans="16:16">
      <c r="P7356" s="2498"/>
    </row>
    <row r="7357" spans="16:16">
      <c r="P7357" s="2498"/>
    </row>
    <row r="7358" spans="16:16">
      <c r="P7358" s="2498"/>
    </row>
    <row r="7359" spans="16:16">
      <c r="P7359" s="2498"/>
    </row>
    <row r="7360" spans="16:16">
      <c r="P7360" s="2498"/>
    </row>
    <row r="7361" spans="16:16">
      <c r="P7361" s="2498"/>
    </row>
    <row r="7362" spans="16:16">
      <c r="P7362" s="2498"/>
    </row>
    <row r="7363" spans="16:16">
      <c r="P7363" s="2498"/>
    </row>
    <row r="7364" spans="16:16">
      <c r="P7364" s="2498"/>
    </row>
    <row r="7365" spans="16:16">
      <c r="P7365" s="2498"/>
    </row>
    <row r="7366" spans="16:16">
      <c r="P7366" s="2498"/>
    </row>
    <row r="7367" spans="16:16">
      <c r="P7367" s="2498"/>
    </row>
    <row r="7368" spans="16:16">
      <c r="P7368" s="2498"/>
    </row>
    <row r="7369" spans="16:16">
      <c r="P7369" s="2498"/>
    </row>
    <row r="7370" spans="16:16">
      <c r="P7370" s="2498"/>
    </row>
    <row r="7371" spans="16:16">
      <c r="P7371" s="2498"/>
    </row>
    <row r="7372" spans="16:16">
      <c r="P7372" s="2498"/>
    </row>
    <row r="7373" spans="16:16">
      <c r="P7373" s="2498"/>
    </row>
    <row r="7374" spans="16:16">
      <c r="P7374" s="2498"/>
    </row>
    <row r="7375" spans="16:16">
      <c r="P7375" s="2498"/>
    </row>
    <row r="7376" spans="16:16">
      <c r="P7376" s="2498"/>
    </row>
    <row r="7377" spans="16:16">
      <c r="P7377" s="2498"/>
    </row>
    <row r="7378" spans="16:16">
      <c r="P7378" s="2498"/>
    </row>
    <row r="7379" spans="16:16">
      <c r="P7379" s="2498"/>
    </row>
    <row r="7380" spans="16:16">
      <c r="P7380" s="2498"/>
    </row>
    <row r="7381" spans="16:16">
      <c r="P7381" s="2498"/>
    </row>
    <row r="7382" spans="16:16">
      <c r="P7382" s="2498"/>
    </row>
    <row r="7383" spans="16:16">
      <c r="P7383" s="2498"/>
    </row>
    <row r="7384" spans="16:16">
      <c r="P7384" s="2498"/>
    </row>
    <row r="7385" spans="16:16">
      <c r="P7385" s="2498"/>
    </row>
    <row r="7386" spans="16:16">
      <c r="P7386" s="2498"/>
    </row>
    <row r="7387" spans="16:16">
      <c r="P7387" s="2498"/>
    </row>
    <row r="7388" spans="16:16">
      <c r="P7388" s="2498"/>
    </row>
    <row r="7389" spans="16:16">
      <c r="P7389" s="2498"/>
    </row>
    <row r="7390" spans="16:16">
      <c r="P7390" s="2498"/>
    </row>
    <row r="7391" spans="16:16">
      <c r="P7391" s="2498"/>
    </row>
    <row r="7392" spans="16:16">
      <c r="P7392" s="2498"/>
    </row>
    <row r="7393" spans="16:16">
      <c r="P7393" s="2498"/>
    </row>
    <row r="7394" spans="16:16">
      <c r="P7394" s="2498"/>
    </row>
    <row r="7395" spans="16:16">
      <c r="P7395" s="2498"/>
    </row>
    <row r="7396" spans="16:16">
      <c r="P7396" s="2498"/>
    </row>
    <row r="7397" spans="16:16">
      <c r="P7397" s="2498"/>
    </row>
    <row r="7398" spans="16:16">
      <c r="P7398" s="2498"/>
    </row>
    <row r="7399" spans="16:16">
      <c r="P7399" s="2498"/>
    </row>
    <row r="7400" spans="16:16">
      <c r="P7400" s="2498"/>
    </row>
    <row r="7401" spans="16:16">
      <c r="P7401" s="2498"/>
    </row>
    <row r="7402" spans="16:16">
      <c r="P7402" s="2498"/>
    </row>
    <row r="7403" spans="16:16">
      <c r="P7403" s="2498"/>
    </row>
    <row r="7404" spans="16:16">
      <c r="P7404" s="2498"/>
    </row>
    <row r="7405" spans="16:16">
      <c r="P7405" s="2498"/>
    </row>
    <row r="7406" spans="16:16">
      <c r="P7406" s="2498"/>
    </row>
    <row r="7407" spans="16:16">
      <c r="P7407" s="2498"/>
    </row>
    <row r="7408" spans="16:16">
      <c r="P7408" s="2498"/>
    </row>
    <row r="7409" spans="16:16">
      <c r="P7409" s="2498"/>
    </row>
    <row r="7410" spans="16:16">
      <c r="P7410" s="2498"/>
    </row>
    <row r="7411" spans="16:16">
      <c r="P7411" s="2498"/>
    </row>
    <row r="7412" spans="16:16">
      <c r="P7412" s="2498"/>
    </row>
    <row r="7413" spans="16:16">
      <c r="P7413" s="2498"/>
    </row>
    <row r="7414" spans="16:16">
      <c r="P7414" s="2498"/>
    </row>
    <row r="7415" spans="16:16">
      <c r="P7415" s="2498"/>
    </row>
    <row r="7416" spans="16:16">
      <c r="P7416" s="2498"/>
    </row>
    <row r="7417" spans="16:16">
      <c r="P7417" s="2498"/>
    </row>
    <row r="7418" spans="16:16">
      <c r="P7418" s="2498"/>
    </row>
    <row r="7419" spans="16:16">
      <c r="P7419" s="2498"/>
    </row>
    <row r="7420" spans="16:16">
      <c r="P7420" s="2498"/>
    </row>
    <row r="7421" spans="16:16">
      <c r="P7421" s="2498"/>
    </row>
    <row r="7422" spans="16:16">
      <c r="P7422" s="2498"/>
    </row>
    <row r="7423" spans="16:16">
      <c r="P7423" s="2498"/>
    </row>
    <row r="7424" spans="16:16">
      <c r="P7424" s="2498"/>
    </row>
    <row r="7425" spans="16:16">
      <c r="P7425" s="2498"/>
    </row>
    <row r="7426" spans="16:16">
      <c r="P7426" s="2498"/>
    </row>
    <row r="7427" spans="16:16">
      <c r="P7427" s="2498"/>
    </row>
    <row r="7428" spans="16:16">
      <c r="P7428" s="2498"/>
    </row>
    <row r="7429" spans="16:16">
      <c r="P7429" s="2498"/>
    </row>
    <row r="7430" spans="16:16">
      <c r="P7430" s="2498"/>
    </row>
    <row r="7431" spans="16:16">
      <c r="P7431" s="2498"/>
    </row>
    <row r="7432" spans="16:16">
      <c r="P7432" s="2498"/>
    </row>
    <row r="7433" spans="16:16">
      <c r="P7433" s="2498"/>
    </row>
    <row r="7434" spans="16:16">
      <c r="P7434" s="2498"/>
    </row>
    <row r="7435" spans="16:16">
      <c r="P7435" s="2498"/>
    </row>
    <row r="7436" spans="16:16">
      <c r="P7436" s="2498"/>
    </row>
    <row r="7437" spans="16:16">
      <c r="P7437" s="2498"/>
    </row>
    <row r="7438" spans="16:16">
      <c r="P7438" s="2498"/>
    </row>
    <row r="7439" spans="16:16">
      <c r="P7439" s="2498"/>
    </row>
    <row r="7440" spans="16:16">
      <c r="P7440" s="2498"/>
    </row>
    <row r="7441" spans="16:16">
      <c r="P7441" s="2498"/>
    </row>
    <row r="7442" spans="16:16">
      <c r="P7442" s="2498"/>
    </row>
    <row r="7443" spans="16:16">
      <c r="P7443" s="2498"/>
    </row>
    <row r="7444" spans="16:16">
      <c r="P7444" s="2498"/>
    </row>
    <row r="7445" spans="16:16">
      <c r="P7445" s="2498"/>
    </row>
    <row r="7446" spans="16:16">
      <c r="P7446" s="2498"/>
    </row>
    <row r="7447" spans="16:16">
      <c r="P7447" s="2498"/>
    </row>
    <row r="7448" spans="16:16">
      <c r="P7448" s="2498"/>
    </row>
    <row r="7449" spans="16:16">
      <c r="P7449" s="2498"/>
    </row>
    <row r="7450" spans="16:16">
      <c r="P7450" s="2498"/>
    </row>
    <row r="7451" spans="16:16">
      <c r="P7451" s="2498"/>
    </row>
    <row r="7452" spans="16:16">
      <c r="P7452" s="2498"/>
    </row>
    <row r="7453" spans="16:16">
      <c r="P7453" s="2498"/>
    </row>
    <row r="7454" spans="16:16">
      <c r="P7454" s="2498"/>
    </row>
    <row r="7455" spans="16:16">
      <c r="P7455" s="2498"/>
    </row>
    <row r="7456" spans="16:16">
      <c r="P7456" s="2498"/>
    </row>
    <row r="7457" spans="16:16">
      <c r="P7457" s="2498"/>
    </row>
    <row r="7458" spans="16:16">
      <c r="P7458" s="2498"/>
    </row>
    <row r="7459" spans="16:16">
      <c r="P7459" s="2498"/>
    </row>
    <row r="7460" spans="16:16">
      <c r="P7460" s="2498"/>
    </row>
    <row r="7461" spans="16:16">
      <c r="P7461" s="2498"/>
    </row>
    <row r="7462" spans="16:16">
      <c r="P7462" s="2498"/>
    </row>
    <row r="7463" spans="16:16">
      <c r="P7463" s="2498"/>
    </row>
    <row r="7464" spans="16:16">
      <c r="P7464" s="2498"/>
    </row>
    <row r="7465" spans="16:16">
      <c r="P7465" s="2498"/>
    </row>
    <row r="7466" spans="16:16">
      <c r="P7466" s="2498"/>
    </row>
    <row r="7467" spans="16:16">
      <c r="P7467" s="2498"/>
    </row>
    <row r="7468" spans="16:16">
      <c r="P7468" s="2498"/>
    </row>
    <row r="7469" spans="16:16">
      <c r="P7469" s="2498"/>
    </row>
    <row r="7470" spans="16:16">
      <c r="P7470" s="2498"/>
    </row>
    <row r="7471" spans="16:16">
      <c r="P7471" s="2498"/>
    </row>
    <row r="7472" spans="16:16">
      <c r="P7472" s="2498"/>
    </row>
    <row r="7473" spans="16:16">
      <c r="P7473" s="2498"/>
    </row>
    <row r="7474" spans="16:16">
      <c r="P7474" s="2498"/>
    </row>
    <row r="7475" spans="16:16">
      <c r="P7475" s="2498"/>
    </row>
    <row r="7476" spans="16:16">
      <c r="P7476" s="2498"/>
    </row>
    <row r="7477" spans="16:16">
      <c r="P7477" s="2498"/>
    </row>
    <row r="7478" spans="16:16">
      <c r="P7478" s="2498"/>
    </row>
    <row r="7479" spans="16:16">
      <c r="P7479" s="2498"/>
    </row>
    <row r="7480" spans="16:16">
      <c r="P7480" s="2498"/>
    </row>
    <row r="7481" spans="16:16">
      <c r="P7481" s="2498"/>
    </row>
    <row r="7482" spans="16:16">
      <c r="P7482" s="2498"/>
    </row>
    <row r="7483" spans="16:16">
      <c r="P7483" s="2498"/>
    </row>
    <row r="7484" spans="16:16">
      <c r="P7484" s="2498"/>
    </row>
    <row r="7485" spans="16:16">
      <c r="P7485" s="2498"/>
    </row>
    <row r="7486" spans="16:16">
      <c r="P7486" s="2498"/>
    </row>
    <row r="7487" spans="16:16">
      <c r="P7487" s="2498"/>
    </row>
    <row r="7488" spans="16:16">
      <c r="P7488" s="2498"/>
    </row>
    <row r="7489" spans="16:16">
      <c r="P7489" s="2498"/>
    </row>
    <row r="7490" spans="16:16">
      <c r="P7490" s="2498"/>
    </row>
    <row r="7491" spans="16:16">
      <c r="P7491" s="2498"/>
    </row>
    <row r="7492" spans="16:16">
      <c r="P7492" s="2498"/>
    </row>
    <row r="7493" spans="16:16">
      <c r="P7493" s="2498"/>
    </row>
    <row r="7494" spans="16:16">
      <c r="P7494" s="2498"/>
    </row>
    <row r="7495" spans="16:16">
      <c r="P7495" s="2498"/>
    </row>
    <row r="7496" spans="16:16">
      <c r="P7496" s="2498"/>
    </row>
    <row r="7497" spans="16:16">
      <c r="P7497" s="2498"/>
    </row>
    <row r="7498" spans="16:16">
      <c r="P7498" s="2498"/>
    </row>
    <row r="7499" spans="16:16">
      <c r="P7499" s="2498"/>
    </row>
    <row r="7500" spans="16:16">
      <c r="P7500" s="2498"/>
    </row>
    <row r="7501" spans="16:16">
      <c r="P7501" s="2498"/>
    </row>
    <row r="7502" spans="16:16">
      <c r="P7502" s="2498"/>
    </row>
    <row r="7503" spans="16:16">
      <c r="P7503" s="2498"/>
    </row>
    <row r="7504" spans="16:16">
      <c r="P7504" s="2498"/>
    </row>
    <row r="7505" spans="16:16">
      <c r="P7505" s="2498"/>
    </row>
    <row r="7506" spans="16:16">
      <c r="P7506" s="2498"/>
    </row>
    <row r="7507" spans="16:16">
      <c r="P7507" s="2498"/>
    </row>
    <row r="7508" spans="16:16">
      <c r="P7508" s="2498"/>
    </row>
    <row r="7509" spans="16:16">
      <c r="P7509" s="2498"/>
    </row>
    <row r="7510" spans="16:16">
      <c r="P7510" s="2498"/>
    </row>
    <row r="7511" spans="16:16">
      <c r="P7511" s="2498"/>
    </row>
    <row r="7512" spans="16:16">
      <c r="P7512" s="2498"/>
    </row>
    <row r="7513" spans="16:16">
      <c r="P7513" s="2498"/>
    </row>
    <row r="7514" spans="16:16">
      <c r="P7514" s="2498"/>
    </row>
    <row r="7515" spans="16:16">
      <c r="P7515" s="2498"/>
    </row>
    <row r="7516" spans="16:16">
      <c r="P7516" s="2498"/>
    </row>
    <row r="7517" spans="16:16">
      <c r="P7517" s="2498"/>
    </row>
    <row r="7518" spans="16:16">
      <c r="P7518" s="2498"/>
    </row>
    <row r="7519" spans="16:16">
      <c r="P7519" s="2498"/>
    </row>
    <row r="7520" spans="16:16">
      <c r="P7520" s="2498"/>
    </row>
    <row r="7521" spans="16:16">
      <c r="P7521" s="2498"/>
    </row>
    <row r="7522" spans="16:16">
      <c r="P7522" s="2498"/>
    </row>
    <row r="7523" spans="16:16">
      <c r="P7523" s="2498"/>
    </row>
    <row r="7524" spans="16:16">
      <c r="P7524" s="2498"/>
    </row>
    <row r="7525" spans="16:16">
      <c r="P7525" s="2498"/>
    </row>
    <row r="7526" spans="16:16">
      <c r="P7526" s="2498"/>
    </row>
    <row r="7527" spans="16:16">
      <c r="P7527" s="2498"/>
    </row>
    <row r="7528" spans="16:16">
      <c r="P7528" s="2498"/>
    </row>
    <row r="7529" spans="16:16">
      <c r="P7529" s="2498"/>
    </row>
    <row r="7530" spans="16:16">
      <c r="P7530" s="2498"/>
    </row>
    <row r="7531" spans="16:16">
      <c r="P7531" s="2498"/>
    </row>
    <row r="7532" spans="16:16">
      <c r="P7532" s="2498"/>
    </row>
    <row r="7533" spans="16:16">
      <c r="P7533" s="2498"/>
    </row>
    <row r="7534" spans="16:16">
      <c r="P7534" s="2498"/>
    </row>
    <row r="7535" spans="16:16">
      <c r="P7535" s="2498"/>
    </row>
    <row r="7536" spans="16:16">
      <c r="P7536" s="2498"/>
    </row>
    <row r="7537" spans="16:16">
      <c r="P7537" s="2498"/>
    </row>
    <row r="7538" spans="16:16">
      <c r="P7538" s="2498"/>
    </row>
    <row r="7539" spans="16:16">
      <c r="P7539" s="2498"/>
    </row>
    <row r="7540" spans="16:16">
      <c r="P7540" s="2498"/>
    </row>
    <row r="7541" spans="16:16">
      <c r="P7541" s="2498"/>
    </row>
    <row r="7542" spans="16:16">
      <c r="P7542" s="2498"/>
    </row>
    <row r="7543" spans="16:16">
      <c r="P7543" s="2498"/>
    </row>
    <row r="7544" spans="16:16">
      <c r="P7544" s="2498"/>
    </row>
    <row r="7545" spans="16:16">
      <c r="P7545" s="2498"/>
    </row>
    <row r="7546" spans="16:16">
      <c r="P7546" s="2498"/>
    </row>
    <row r="7547" spans="16:16">
      <c r="P7547" s="2498"/>
    </row>
    <row r="7548" spans="16:16">
      <c r="P7548" s="2498"/>
    </row>
    <row r="7549" spans="16:16">
      <c r="P7549" s="2498"/>
    </row>
    <row r="7550" spans="16:16">
      <c r="P7550" s="2498"/>
    </row>
    <row r="7551" spans="16:16">
      <c r="P7551" s="2498"/>
    </row>
    <row r="7552" spans="16:16">
      <c r="P7552" s="2498"/>
    </row>
    <row r="7553" spans="16:16">
      <c r="P7553" s="2498"/>
    </row>
    <row r="7554" spans="16:16">
      <c r="P7554" s="2498"/>
    </row>
    <row r="7555" spans="16:16">
      <c r="P7555" s="2498"/>
    </row>
    <row r="7556" spans="16:16">
      <c r="P7556" s="2498"/>
    </row>
    <row r="7557" spans="16:16">
      <c r="P7557" s="2498"/>
    </row>
    <row r="7558" spans="16:16">
      <c r="P7558" s="2498"/>
    </row>
    <row r="7559" spans="16:16">
      <c r="P7559" s="2498"/>
    </row>
    <row r="7560" spans="16:16">
      <c r="P7560" s="2498"/>
    </row>
    <row r="7561" spans="16:16">
      <c r="P7561" s="2498"/>
    </row>
    <row r="7562" spans="16:16">
      <c r="P7562" s="2498"/>
    </row>
    <row r="7563" spans="16:16">
      <c r="P7563" s="2498"/>
    </row>
    <row r="7564" spans="16:16">
      <c r="P7564" s="2498"/>
    </row>
    <row r="7565" spans="16:16">
      <c r="P7565" s="2498"/>
    </row>
    <row r="7566" spans="16:16">
      <c r="P7566" s="2498"/>
    </row>
    <row r="7567" spans="16:16">
      <c r="P7567" s="2498"/>
    </row>
    <row r="7568" spans="16:16">
      <c r="P7568" s="2498"/>
    </row>
    <row r="7569" spans="16:16">
      <c r="P7569" s="2498"/>
    </row>
    <row r="7570" spans="16:16">
      <c r="P7570" s="2498"/>
    </row>
    <row r="7571" spans="16:16">
      <c r="P7571" s="2498"/>
    </row>
    <row r="7572" spans="16:16">
      <c r="P7572" s="2498"/>
    </row>
    <row r="7573" spans="16:16">
      <c r="P7573" s="2498"/>
    </row>
    <row r="7574" spans="16:16">
      <c r="P7574" s="2498"/>
    </row>
    <row r="7575" spans="16:16">
      <c r="P7575" s="2498"/>
    </row>
    <row r="7576" spans="16:16">
      <c r="P7576" s="2498"/>
    </row>
    <row r="7577" spans="16:16">
      <c r="P7577" s="2498"/>
    </row>
    <row r="7578" spans="16:16">
      <c r="P7578" s="2498"/>
    </row>
    <row r="7579" spans="16:16">
      <c r="P7579" s="2498"/>
    </row>
    <row r="7580" spans="16:16">
      <c r="P7580" s="2498"/>
    </row>
    <row r="7581" spans="16:16">
      <c r="P7581" s="2498"/>
    </row>
    <row r="7582" spans="16:16">
      <c r="P7582" s="2498"/>
    </row>
    <row r="7583" spans="16:16">
      <c r="P7583" s="2498"/>
    </row>
    <row r="7584" spans="16:16">
      <c r="P7584" s="2498"/>
    </row>
    <row r="7585" spans="16:16">
      <c r="P7585" s="2498"/>
    </row>
    <row r="7586" spans="16:16">
      <c r="P7586" s="2498"/>
    </row>
    <row r="7587" spans="16:16">
      <c r="P7587" s="2498"/>
    </row>
    <row r="7588" spans="16:16">
      <c r="P7588" s="2498"/>
    </row>
    <row r="7589" spans="16:16">
      <c r="P7589" s="2498"/>
    </row>
    <row r="7590" spans="16:16">
      <c r="P7590" s="2498"/>
    </row>
    <row r="7591" spans="16:16">
      <c r="P7591" s="2498"/>
    </row>
    <row r="7592" spans="16:16">
      <c r="P7592" s="2498"/>
    </row>
    <row r="7593" spans="16:16">
      <c r="P7593" s="2498"/>
    </row>
    <row r="7594" spans="16:16">
      <c r="P7594" s="2498"/>
    </row>
    <row r="7595" spans="16:16">
      <c r="P7595" s="2498"/>
    </row>
    <row r="7596" spans="16:16">
      <c r="P7596" s="2498"/>
    </row>
    <row r="7597" spans="16:16">
      <c r="P7597" s="2498"/>
    </row>
    <row r="7598" spans="16:16">
      <c r="P7598" s="2498"/>
    </row>
    <row r="7599" spans="16:16">
      <c r="P7599" s="2498"/>
    </row>
    <row r="7600" spans="16:16">
      <c r="P7600" s="2498"/>
    </row>
    <row r="7601" spans="16:16">
      <c r="P7601" s="2498"/>
    </row>
    <row r="7602" spans="16:16">
      <c r="P7602" s="2498"/>
    </row>
    <row r="7603" spans="16:16">
      <c r="P7603" s="2498"/>
    </row>
    <row r="7604" spans="16:16">
      <c r="P7604" s="2498"/>
    </row>
    <row r="7605" spans="16:16">
      <c r="P7605" s="2498"/>
    </row>
    <row r="7606" spans="16:16">
      <c r="P7606" s="2498"/>
    </row>
    <row r="7607" spans="16:16">
      <c r="P7607" s="2498"/>
    </row>
    <row r="7608" spans="16:16">
      <c r="P7608" s="2498"/>
    </row>
    <row r="7609" spans="16:16">
      <c r="P7609" s="2498"/>
    </row>
    <row r="7610" spans="16:16">
      <c r="P7610" s="2498"/>
    </row>
    <row r="7611" spans="16:16">
      <c r="P7611" s="2498"/>
    </row>
    <row r="7612" spans="16:16">
      <c r="P7612" s="2498"/>
    </row>
    <row r="7613" spans="16:16">
      <c r="P7613" s="2498"/>
    </row>
    <row r="7614" spans="16:16">
      <c r="P7614" s="2498"/>
    </row>
    <row r="7615" spans="16:16">
      <c r="P7615" s="2498"/>
    </row>
    <row r="7616" spans="16:16">
      <c r="P7616" s="2498"/>
    </row>
    <row r="7617" spans="16:16">
      <c r="P7617" s="2498"/>
    </row>
    <row r="7618" spans="16:16">
      <c r="P7618" s="2498"/>
    </row>
    <row r="7619" spans="16:16">
      <c r="P7619" s="2498"/>
    </row>
    <row r="7620" spans="16:16">
      <c r="P7620" s="2498"/>
    </row>
    <row r="7621" spans="16:16">
      <c r="P7621" s="2498"/>
    </row>
    <row r="7622" spans="16:16">
      <c r="P7622" s="2498"/>
    </row>
    <row r="7623" spans="16:16">
      <c r="P7623" s="2498"/>
    </row>
    <row r="7624" spans="16:16">
      <c r="P7624" s="2498"/>
    </row>
    <row r="7625" spans="16:16">
      <c r="P7625" s="2498"/>
    </row>
    <row r="7626" spans="16:16">
      <c r="P7626" s="2498"/>
    </row>
    <row r="7627" spans="16:16">
      <c r="P7627" s="2498"/>
    </row>
    <row r="7628" spans="16:16">
      <c r="P7628" s="2498"/>
    </row>
    <row r="7629" spans="16:16">
      <c r="P7629" s="2498"/>
    </row>
    <row r="7630" spans="16:16">
      <c r="P7630" s="2498"/>
    </row>
    <row r="7631" spans="16:16">
      <c r="P7631" s="2498"/>
    </row>
    <row r="7632" spans="16:16">
      <c r="P7632" s="2498"/>
    </row>
    <row r="7633" spans="16:16">
      <c r="P7633" s="2498"/>
    </row>
    <row r="7634" spans="16:16">
      <c r="P7634" s="2498"/>
    </row>
    <row r="7635" spans="16:16">
      <c r="P7635" s="2498"/>
    </row>
    <row r="7636" spans="16:16">
      <c r="P7636" s="2498"/>
    </row>
    <row r="7637" spans="16:16">
      <c r="P7637" s="2498"/>
    </row>
    <row r="7638" spans="16:16">
      <c r="P7638" s="2498"/>
    </row>
    <row r="7639" spans="16:16">
      <c r="P7639" s="2498"/>
    </row>
    <row r="7640" spans="16:16">
      <c r="P7640" s="2498"/>
    </row>
    <row r="7641" spans="16:16">
      <c r="P7641" s="2498"/>
    </row>
    <row r="7642" spans="16:16">
      <c r="P7642" s="2498"/>
    </row>
    <row r="7643" spans="16:16">
      <c r="P7643" s="2498"/>
    </row>
    <row r="7644" spans="16:16">
      <c r="P7644" s="2498"/>
    </row>
    <row r="7645" spans="16:16">
      <c r="P7645" s="2498"/>
    </row>
    <row r="7646" spans="16:16">
      <c r="P7646" s="2498"/>
    </row>
    <row r="7647" spans="16:16">
      <c r="P7647" s="2498"/>
    </row>
    <row r="7648" spans="16:16">
      <c r="P7648" s="2498"/>
    </row>
    <row r="7649" spans="16:16">
      <c r="P7649" s="2498"/>
    </row>
    <row r="7650" spans="16:16">
      <c r="P7650" s="2498"/>
    </row>
    <row r="7651" spans="16:16">
      <c r="P7651" s="2498"/>
    </row>
    <row r="7652" spans="16:16">
      <c r="P7652" s="2498"/>
    </row>
    <row r="7653" spans="16:16">
      <c r="P7653" s="2498"/>
    </row>
    <row r="7654" spans="16:16">
      <c r="P7654" s="2498"/>
    </row>
    <row r="7655" spans="16:16">
      <c r="P7655" s="2498"/>
    </row>
    <row r="7656" spans="16:16">
      <c r="P7656" s="2498"/>
    </row>
    <row r="7657" spans="16:16">
      <c r="P7657" s="2498"/>
    </row>
    <row r="7658" spans="16:16">
      <c r="P7658" s="2498"/>
    </row>
    <row r="7659" spans="16:16">
      <c r="P7659" s="2498"/>
    </row>
    <row r="7660" spans="16:16">
      <c r="P7660" s="2498"/>
    </row>
    <row r="7661" spans="16:16">
      <c r="P7661" s="2498"/>
    </row>
    <row r="7662" spans="16:16">
      <c r="P7662" s="2498"/>
    </row>
    <row r="7663" spans="16:16">
      <c r="P7663" s="2498"/>
    </row>
    <row r="7664" spans="16:16">
      <c r="P7664" s="2498"/>
    </row>
    <row r="7665" spans="16:16">
      <c r="P7665" s="2498"/>
    </row>
    <row r="7666" spans="16:16">
      <c r="P7666" s="2498"/>
    </row>
    <row r="7667" spans="16:16">
      <c r="P7667" s="2498"/>
    </row>
    <row r="7668" spans="16:16">
      <c r="P7668" s="2498"/>
    </row>
    <row r="7669" spans="16:16">
      <c r="P7669" s="2498"/>
    </row>
    <row r="7670" spans="16:16">
      <c r="P7670" s="2498"/>
    </row>
    <row r="7671" spans="16:16">
      <c r="P7671" s="2498"/>
    </row>
    <row r="7672" spans="16:16">
      <c r="P7672" s="2498"/>
    </row>
    <row r="7673" spans="16:16">
      <c r="P7673" s="2498"/>
    </row>
    <row r="7674" spans="16:16">
      <c r="P7674" s="2498"/>
    </row>
    <row r="7675" spans="16:16">
      <c r="P7675" s="2498"/>
    </row>
    <row r="7676" spans="16:16">
      <c r="P7676" s="2498"/>
    </row>
    <row r="7677" spans="16:16">
      <c r="P7677" s="2498"/>
    </row>
    <row r="7678" spans="16:16">
      <c r="P7678" s="2498"/>
    </row>
    <row r="7679" spans="16:16">
      <c r="P7679" s="2498"/>
    </row>
    <row r="7680" spans="16:16">
      <c r="P7680" s="2498"/>
    </row>
    <row r="7681" spans="16:16">
      <c r="P7681" s="2498"/>
    </row>
    <row r="7682" spans="16:16">
      <c r="P7682" s="2498"/>
    </row>
    <row r="7683" spans="16:16">
      <c r="P7683" s="2498"/>
    </row>
    <row r="7684" spans="16:16">
      <c r="P7684" s="2498"/>
    </row>
    <row r="7685" spans="16:16">
      <c r="P7685" s="2498"/>
    </row>
    <row r="7686" spans="16:16">
      <c r="P7686" s="2498"/>
    </row>
    <row r="7687" spans="16:16">
      <c r="P7687" s="2498"/>
    </row>
    <row r="7688" spans="16:16">
      <c r="P7688" s="2498"/>
    </row>
    <row r="7689" spans="16:16">
      <c r="P7689" s="2498"/>
    </row>
    <row r="7690" spans="16:16">
      <c r="P7690" s="2498"/>
    </row>
    <row r="7691" spans="16:16">
      <c r="P7691" s="2498"/>
    </row>
    <row r="7692" spans="16:16">
      <c r="P7692" s="2498"/>
    </row>
    <row r="7693" spans="16:16">
      <c r="P7693" s="2498"/>
    </row>
    <row r="7694" spans="16:16">
      <c r="P7694" s="2498"/>
    </row>
    <row r="7695" spans="16:16">
      <c r="P7695" s="2498"/>
    </row>
    <row r="7696" spans="16:16">
      <c r="P7696" s="2498"/>
    </row>
    <row r="7697" spans="16:16">
      <c r="P7697" s="2498"/>
    </row>
    <row r="7698" spans="16:16">
      <c r="P7698" s="2498"/>
    </row>
    <row r="7699" spans="16:16">
      <c r="P7699" s="2498"/>
    </row>
    <row r="7700" spans="16:16">
      <c r="P7700" s="2498"/>
    </row>
    <row r="7701" spans="16:16">
      <c r="P7701" s="2498"/>
    </row>
    <row r="7702" spans="16:16">
      <c r="P7702" s="2498"/>
    </row>
    <row r="7703" spans="16:16">
      <c r="P7703" s="2498"/>
    </row>
    <row r="7704" spans="16:16">
      <c r="P7704" s="2498"/>
    </row>
    <row r="7705" spans="16:16">
      <c r="P7705" s="2498"/>
    </row>
    <row r="7706" spans="16:16">
      <c r="P7706" s="2498"/>
    </row>
    <row r="7707" spans="16:16">
      <c r="P7707" s="2498"/>
    </row>
    <row r="7708" spans="16:16">
      <c r="P7708" s="2498"/>
    </row>
    <row r="7709" spans="16:16">
      <c r="P7709" s="2498"/>
    </row>
    <row r="7710" spans="16:16">
      <c r="P7710" s="2498"/>
    </row>
    <row r="7711" spans="16:16">
      <c r="P7711" s="2498"/>
    </row>
    <row r="7712" spans="16:16">
      <c r="P7712" s="2498"/>
    </row>
    <row r="7713" spans="16:16">
      <c r="P7713" s="2498"/>
    </row>
    <row r="7714" spans="16:16">
      <c r="P7714" s="2498"/>
    </row>
    <row r="7715" spans="16:16">
      <c r="P7715" s="2498"/>
    </row>
    <row r="7716" spans="16:16">
      <c r="P7716" s="2498"/>
    </row>
    <row r="7717" spans="16:16">
      <c r="P7717" s="2498"/>
    </row>
    <row r="7718" spans="16:16">
      <c r="P7718" s="2498"/>
    </row>
    <row r="7719" spans="16:16">
      <c r="P7719" s="2498"/>
    </row>
    <row r="7720" spans="16:16">
      <c r="P7720" s="2498"/>
    </row>
    <row r="7721" spans="16:16">
      <c r="P7721" s="2498"/>
    </row>
    <row r="7722" spans="16:16">
      <c r="P7722" s="2498"/>
    </row>
    <row r="7723" spans="16:16">
      <c r="P7723" s="2498"/>
    </row>
    <row r="7724" spans="16:16">
      <c r="P7724" s="2498"/>
    </row>
    <row r="7725" spans="16:16">
      <c r="P7725" s="2498"/>
    </row>
    <row r="7726" spans="16:16">
      <c r="P7726" s="2498"/>
    </row>
    <row r="7727" spans="16:16">
      <c r="P7727" s="2498"/>
    </row>
    <row r="7728" spans="16:16">
      <c r="P7728" s="2498"/>
    </row>
    <row r="7729" spans="16:16">
      <c r="P7729" s="2498"/>
    </row>
    <row r="7730" spans="16:16">
      <c r="P7730" s="2498"/>
    </row>
    <row r="7731" spans="16:16">
      <c r="P7731" s="2498"/>
    </row>
    <row r="7732" spans="16:16">
      <c r="P7732" s="2498"/>
    </row>
    <row r="7733" spans="16:16">
      <c r="P7733" s="2498"/>
    </row>
    <row r="7734" spans="16:16">
      <c r="P7734" s="2498"/>
    </row>
    <row r="7735" spans="16:16">
      <c r="P7735" s="2498"/>
    </row>
    <row r="7736" spans="16:16">
      <c r="P7736" s="2498"/>
    </row>
    <row r="7737" spans="16:16">
      <c r="P7737" s="2498"/>
    </row>
    <row r="7738" spans="16:16">
      <c r="P7738" s="2498"/>
    </row>
    <row r="7739" spans="16:16">
      <c r="P7739" s="2498"/>
    </row>
    <row r="7740" spans="16:16">
      <c r="P7740" s="2498"/>
    </row>
    <row r="7741" spans="16:16">
      <c r="P7741" s="2498"/>
    </row>
    <row r="7742" spans="16:16">
      <c r="P7742" s="2498"/>
    </row>
    <row r="7743" spans="16:16">
      <c r="P7743" s="2498"/>
    </row>
    <row r="7744" spans="16:16">
      <c r="P7744" s="2498"/>
    </row>
    <row r="7745" spans="16:16">
      <c r="P7745" s="2498"/>
    </row>
    <row r="7746" spans="16:16">
      <c r="P7746" s="2498"/>
    </row>
    <row r="7747" spans="16:16">
      <c r="P7747" s="2498"/>
    </row>
    <row r="7748" spans="16:16">
      <c r="P7748" s="2498"/>
    </row>
    <row r="7749" spans="16:16">
      <c r="P7749" s="2498"/>
    </row>
    <row r="7750" spans="16:16">
      <c r="P7750" s="2498"/>
    </row>
    <row r="7751" spans="16:16">
      <c r="P7751" s="2498"/>
    </row>
    <row r="7752" spans="16:16">
      <c r="P7752" s="2498"/>
    </row>
    <row r="7753" spans="16:16">
      <c r="P7753" s="2498"/>
    </row>
    <row r="7754" spans="16:16">
      <c r="P7754" s="2498"/>
    </row>
    <row r="7755" spans="16:16">
      <c r="P7755" s="2498"/>
    </row>
    <row r="7756" spans="16:16">
      <c r="P7756" s="2498"/>
    </row>
    <row r="7757" spans="16:16">
      <c r="P7757" s="2498"/>
    </row>
    <row r="7758" spans="16:16">
      <c r="P7758" s="2498"/>
    </row>
    <row r="7759" spans="16:16">
      <c r="P7759" s="2498"/>
    </row>
    <row r="7760" spans="16:16">
      <c r="P7760" s="2498"/>
    </row>
    <row r="7761" spans="16:16">
      <c r="P7761" s="2498"/>
    </row>
    <row r="7762" spans="16:16">
      <c r="P7762" s="2498"/>
    </row>
    <row r="7763" spans="16:16">
      <c r="P7763" s="2498"/>
    </row>
    <row r="7764" spans="16:16">
      <c r="P7764" s="2498"/>
    </row>
    <row r="7765" spans="16:16">
      <c r="P7765" s="2498"/>
    </row>
    <row r="7766" spans="16:16">
      <c r="P7766" s="2498"/>
    </row>
    <row r="7767" spans="16:16">
      <c r="P7767" s="2498"/>
    </row>
    <row r="7768" spans="16:16">
      <c r="P7768" s="2498"/>
    </row>
    <row r="7769" spans="16:16">
      <c r="P7769" s="2498"/>
    </row>
    <row r="7770" spans="16:16">
      <c r="P7770" s="2498"/>
    </row>
    <row r="7771" spans="16:16">
      <c r="P7771" s="2498"/>
    </row>
    <row r="7772" spans="16:16">
      <c r="P7772" s="2498"/>
    </row>
    <row r="7773" spans="16:16">
      <c r="P7773" s="2498"/>
    </row>
    <row r="7774" spans="16:16">
      <c r="P7774" s="2498"/>
    </row>
    <row r="7775" spans="16:16">
      <c r="P7775" s="2498"/>
    </row>
    <row r="7776" spans="16:16">
      <c r="P7776" s="2498"/>
    </row>
    <row r="7777" spans="16:16">
      <c r="P7777" s="2498"/>
    </row>
    <row r="7778" spans="16:16">
      <c r="P7778" s="2498"/>
    </row>
    <row r="7779" spans="16:16">
      <c r="P7779" s="2498"/>
    </row>
    <row r="7780" spans="16:16">
      <c r="P7780" s="2498"/>
    </row>
    <row r="7781" spans="16:16">
      <c r="P7781" s="2498"/>
    </row>
    <row r="7782" spans="16:16">
      <c r="P7782" s="2498"/>
    </row>
    <row r="7783" spans="16:16">
      <c r="P7783" s="2498"/>
    </row>
    <row r="7784" spans="16:16">
      <c r="P7784" s="2498"/>
    </row>
    <row r="7785" spans="16:16">
      <c r="P7785" s="2498"/>
    </row>
    <row r="7786" spans="16:16">
      <c r="P7786" s="2498"/>
    </row>
    <row r="7787" spans="16:16">
      <c r="P7787" s="2498"/>
    </row>
    <row r="7788" spans="16:16">
      <c r="P7788" s="2498"/>
    </row>
    <row r="7789" spans="16:16">
      <c r="P7789" s="2498"/>
    </row>
    <row r="7790" spans="16:16">
      <c r="P7790" s="2498"/>
    </row>
    <row r="7791" spans="16:16">
      <c r="P7791" s="2498"/>
    </row>
    <row r="7792" spans="16:16">
      <c r="P7792" s="2498"/>
    </row>
    <row r="7793" spans="16:16">
      <c r="P7793" s="2498"/>
    </row>
    <row r="7794" spans="16:16">
      <c r="P7794" s="2498"/>
    </row>
    <row r="7795" spans="16:16">
      <c r="P7795" s="2498"/>
    </row>
    <row r="7796" spans="16:16">
      <c r="P7796" s="2498"/>
    </row>
    <row r="7797" spans="16:16">
      <c r="P7797" s="2498"/>
    </row>
    <row r="7798" spans="16:16">
      <c r="P7798" s="2498"/>
    </row>
    <row r="7799" spans="16:16">
      <c r="P7799" s="2498"/>
    </row>
    <row r="7800" spans="16:16">
      <c r="P7800" s="2498"/>
    </row>
    <row r="7801" spans="16:16">
      <c r="P7801" s="2498"/>
    </row>
    <row r="7802" spans="16:16">
      <c r="P7802" s="2498"/>
    </row>
    <row r="7803" spans="16:16">
      <c r="P7803" s="2498"/>
    </row>
    <row r="7804" spans="16:16">
      <c r="P7804" s="2498"/>
    </row>
    <row r="7805" spans="16:16">
      <c r="P7805" s="2498"/>
    </row>
    <row r="7806" spans="16:16">
      <c r="P7806" s="2498"/>
    </row>
    <row r="7807" spans="16:16">
      <c r="P7807" s="2498"/>
    </row>
    <row r="7808" spans="16:16">
      <c r="P7808" s="2498"/>
    </row>
    <row r="7809" spans="16:16">
      <c r="P7809" s="2498"/>
    </row>
    <row r="7810" spans="16:16">
      <c r="P7810" s="2498"/>
    </row>
    <row r="7811" spans="16:16">
      <c r="P7811" s="2498"/>
    </row>
    <row r="7812" spans="16:16">
      <c r="P7812" s="2498"/>
    </row>
    <row r="7813" spans="16:16">
      <c r="P7813" s="2498"/>
    </row>
    <row r="7814" spans="16:16">
      <c r="P7814" s="2498"/>
    </row>
    <row r="7815" spans="16:16">
      <c r="P7815" s="2498"/>
    </row>
    <row r="7816" spans="16:16">
      <c r="P7816" s="2498"/>
    </row>
    <row r="7817" spans="16:16">
      <c r="P7817" s="2498"/>
    </row>
    <row r="7818" spans="16:16">
      <c r="P7818" s="2498"/>
    </row>
    <row r="7819" spans="16:16">
      <c r="P7819" s="2498"/>
    </row>
    <row r="7820" spans="16:16">
      <c r="P7820" s="2498"/>
    </row>
    <row r="7821" spans="16:16">
      <c r="P7821" s="2498"/>
    </row>
    <row r="7822" spans="16:16">
      <c r="P7822" s="2498"/>
    </row>
    <row r="7823" spans="16:16">
      <c r="P7823" s="2498"/>
    </row>
    <row r="7824" spans="16:16">
      <c r="P7824" s="2498"/>
    </row>
    <row r="7825" spans="16:16">
      <c r="P7825" s="2498"/>
    </row>
    <row r="7826" spans="16:16">
      <c r="P7826" s="2498"/>
    </row>
    <row r="7827" spans="16:16">
      <c r="P7827" s="2498"/>
    </row>
    <row r="7828" spans="16:16">
      <c r="P7828" s="2498"/>
    </row>
    <row r="7829" spans="16:16">
      <c r="P7829" s="2498"/>
    </row>
    <row r="7830" spans="16:16">
      <c r="P7830" s="2498"/>
    </row>
    <row r="7831" spans="16:16">
      <c r="P7831" s="2498"/>
    </row>
    <row r="7832" spans="16:16">
      <c r="P7832" s="2498"/>
    </row>
    <row r="7833" spans="16:16">
      <c r="P7833" s="2498"/>
    </row>
    <row r="7834" spans="16:16">
      <c r="P7834" s="2498"/>
    </row>
    <row r="7835" spans="16:16">
      <c r="P7835" s="2498"/>
    </row>
    <row r="7836" spans="16:16">
      <c r="P7836" s="2498"/>
    </row>
    <row r="7837" spans="16:16">
      <c r="P7837" s="2498"/>
    </row>
    <row r="7838" spans="16:16">
      <c r="P7838" s="2498"/>
    </row>
    <row r="7839" spans="16:16">
      <c r="P7839" s="2498"/>
    </row>
    <row r="7840" spans="16:16">
      <c r="P7840" s="2498"/>
    </row>
    <row r="7841" spans="16:16">
      <c r="P7841" s="2498"/>
    </row>
    <row r="7842" spans="16:16">
      <c r="P7842" s="2498"/>
    </row>
    <row r="7843" spans="16:16">
      <c r="P7843" s="2498"/>
    </row>
    <row r="7844" spans="16:16">
      <c r="P7844" s="2498"/>
    </row>
    <row r="7845" spans="16:16">
      <c r="P7845" s="2498"/>
    </row>
    <row r="7846" spans="16:16">
      <c r="P7846" s="2498"/>
    </row>
    <row r="7847" spans="16:16">
      <c r="P7847" s="2498"/>
    </row>
    <row r="7848" spans="16:16">
      <c r="P7848" s="2498"/>
    </row>
    <row r="7849" spans="16:16">
      <c r="P7849" s="2498"/>
    </row>
    <row r="7850" spans="16:16">
      <c r="P7850" s="2498"/>
    </row>
    <row r="7851" spans="16:16">
      <c r="P7851" s="2498"/>
    </row>
    <row r="7852" spans="16:16">
      <c r="P7852" s="2498"/>
    </row>
    <row r="7853" spans="16:16">
      <c r="P7853" s="2498"/>
    </row>
    <row r="7854" spans="16:16">
      <c r="P7854" s="2498"/>
    </row>
    <row r="7855" spans="16:16">
      <c r="P7855" s="2498"/>
    </row>
    <row r="7856" spans="16:16">
      <c r="P7856" s="2498"/>
    </row>
    <row r="7857" spans="16:16">
      <c r="P7857" s="2498"/>
    </row>
    <row r="7858" spans="16:16">
      <c r="P7858" s="2498"/>
    </row>
    <row r="7859" spans="16:16">
      <c r="P7859" s="2498"/>
    </row>
    <row r="7860" spans="16:16">
      <c r="P7860" s="2498"/>
    </row>
    <row r="7861" spans="16:16">
      <c r="P7861" s="2498"/>
    </row>
    <row r="7862" spans="16:16">
      <c r="P7862" s="2498"/>
    </row>
    <row r="7863" spans="16:16">
      <c r="P7863" s="2498"/>
    </row>
    <row r="7864" spans="16:16">
      <c r="P7864" s="2498"/>
    </row>
    <row r="7865" spans="16:16">
      <c r="P7865" s="2498"/>
    </row>
    <row r="7866" spans="16:16">
      <c r="P7866" s="2498"/>
    </row>
    <row r="7867" spans="16:16">
      <c r="P7867" s="2498"/>
    </row>
    <row r="7868" spans="16:16">
      <c r="P7868" s="2498"/>
    </row>
    <row r="7869" spans="16:16">
      <c r="P7869" s="2498"/>
    </row>
    <row r="7870" spans="16:16">
      <c r="P7870" s="2498"/>
    </row>
    <row r="7871" spans="16:16">
      <c r="P7871" s="2498"/>
    </row>
    <row r="7872" spans="16:16">
      <c r="P7872" s="2498"/>
    </row>
    <row r="7873" spans="16:16">
      <c r="P7873" s="2498"/>
    </row>
    <row r="7874" spans="16:16">
      <c r="P7874" s="2498"/>
    </row>
    <row r="7875" spans="16:16">
      <c r="P7875" s="2498"/>
    </row>
    <row r="7876" spans="16:16">
      <c r="P7876" s="2498"/>
    </row>
    <row r="7877" spans="16:16">
      <c r="P7877" s="2498"/>
    </row>
    <row r="7878" spans="16:16">
      <c r="P7878" s="2498"/>
    </row>
    <row r="7879" spans="16:16">
      <c r="P7879" s="2498"/>
    </row>
    <row r="7880" spans="16:16">
      <c r="P7880" s="2498"/>
    </row>
    <row r="7881" spans="16:16">
      <c r="P7881" s="2498"/>
    </row>
    <row r="7882" spans="16:16">
      <c r="P7882" s="2498"/>
    </row>
    <row r="7883" spans="16:16">
      <c r="P7883" s="2498"/>
    </row>
    <row r="7884" spans="16:16">
      <c r="P7884" s="2498"/>
    </row>
    <row r="7885" spans="16:16">
      <c r="P7885" s="2498"/>
    </row>
    <row r="7886" spans="16:16">
      <c r="P7886" s="2498"/>
    </row>
    <row r="7887" spans="16:16">
      <c r="P7887" s="2498"/>
    </row>
    <row r="7888" spans="16:16">
      <c r="P7888" s="2498"/>
    </row>
    <row r="7889" spans="16:16">
      <c r="P7889" s="2498"/>
    </row>
    <row r="7890" spans="16:16">
      <c r="P7890" s="2498"/>
    </row>
    <row r="7891" spans="16:16">
      <c r="P7891" s="2498"/>
    </row>
    <row r="7892" spans="16:16">
      <c r="P7892" s="2498"/>
    </row>
    <row r="7893" spans="16:16">
      <c r="P7893" s="2498"/>
    </row>
    <row r="7894" spans="16:16">
      <c r="P7894" s="2498"/>
    </row>
    <row r="7895" spans="16:16">
      <c r="P7895" s="2498"/>
    </row>
    <row r="7896" spans="16:16">
      <c r="P7896" s="2498"/>
    </row>
    <row r="7897" spans="16:16">
      <c r="P7897" s="2498"/>
    </row>
    <row r="7898" spans="16:16">
      <c r="P7898" s="2498"/>
    </row>
    <row r="7899" spans="16:16">
      <c r="P7899" s="2498"/>
    </row>
    <row r="7900" spans="16:16">
      <c r="P7900" s="2498"/>
    </row>
    <row r="7901" spans="16:16">
      <c r="P7901" s="2498"/>
    </row>
    <row r="7902" spans="16:16">
      <c r="P7902" s="2498"/>
    </row>
    <row r="7903" spans="16:16">
      <c r="P7903" s="2498"/>
    </row>
    <row r="7904" spans="16:16">
      <c r="P7904" s="2498"/>
    </row>
    <row r="7905" spans="16:16">
      <c r="P7905" s="2498"/>
    </row>
    <row r="7906" spans="16:16">
      <c r="P7906" s="2498"/>
    </row>
    <row r="7907" spans="16:16">
      <c r="P7907" s="2498"/>
    </row>
    <row r="7908" spans="16:16">
      <c r="P7908" s="2498"/>
    </row>
    <row r="7909" spans="16:16">
      <c r="P7909" s="2498"/>
    </row>
    <row r="7910" spans="16:16">
      <c r="P7910" s="2498"/>
    </row>
    <row r="7911" spans="16:16">
      <c r="P7911" s="2498"/>
    </row>
    <row r="7912" spans="16:16">
      <c r="P7912" s="2498"/>
    </row>
    <row r="7913" spans="16:16">
      <c r="P7913" s="2498"/>
    </row>
    <row r="7914" spans="16:16">
      <c r="P7914" s="2498"/>
    </row>
    <row r="7915" spans="16:16">
      <c r="P7915" s="2498"/>
    </row>
    <row r="7916" spans="16:16">
      <c r="P7916" s="2498"/>
    </row>
    <row r="7917" spans="16:16">
      <c r="P7917" s="2498"/>
    </row>
    <row r="7918" spans="16:16">
      <c r="P7918" s="2498"/>
    </row>
    <row r="7919" spans="16:16">
      <c r="P7919" s="2498"/>
    </row>
    <row r="7920" spans="16:16">
      <c r="P7920" s="2498"/>
    </row>
    <row r="7921" spans="16:16">
      <c r="P7921" s="2498"/>
    </row>
    <row r="7922" spans="16:16">
      <c r="P7922" s="2498"/>
    </row>
    <row r="7923" spans="16:16">
      <c r="P7923" s="2498"/>
    </row>
    <row r="7924" spans="16:16">
      <c r="P7924" s="2498"/>
    </row>
    <row r="7925" spans="16:16">
      <c r="P7925" s="2498"/>
    </row>
    <row r="7926" spans="16:16">
      <c r="P7926" s="2498"/>
    </row>
    <row r="7927" spans="16:16">
      <c r="P7927" s="2498"/>
    </row>
    <row r="7928" spans="16:16">
      <c r="P7928" s="2498"/>
    </row>
    <row r="7929" spans="16:16">
      <c r="P7929" s="2498"/>
    </row>
    <row r="7930" spans="16:16">
      <c r="P7930" s="2498"/>
    </row>
    <row r="7931" spans="16:16">
      <c r="P7931" s="2498"/>
    </row>
    <row r="7932" spans="16:16">
      <c r="P7932" s="2498"/>
    </row>
    <row r="7933" spans="16:16">
      <c r="P7933" s="2498"/>
    </row>
    <row r="7934" spans="16:16">
      <c r="P7934" s="2498"/>
    </row>
    <row r="7935" spans="16:16">
      <c r="P7935" s="2498"/>
    </row>
    <row r="7936" spans="16:16">
      <c r="P7936" s="2498"/>
    </row>
    <row r="7937" spans="16:16">
      <c r="P7937" s="2498"/>
    </row>
    <row r="7938" spans="16:16">
      <c r="P7938" s="2498"/>
    </row>
    <row r="7939" spans="16:16">
      <c r="P7939" s="2498"/>
    </row>
    <row r="7940" spans="16:16">
      <c r="P7940" s="2498"/>
    </row>
    <row r="7941" spans="16:16">
      <c r="P7941" s="2498"/>
    </row>
    <row r="7942" spans="16:16">
      <c r="P7942" s="2498"/>
    </row>
    <row r="7943" spans="16:16">
      <c r="P7943" s="2498"/>
    </row>
    <row r="7944" spans="16:16">
      <c r="P7944" s="2498"/>
    </row>
    <row r="7945" spans="16:16">
      <c r="P7945" s="2498"/>
    </row>
    <row r="7946" spans="16:16">
      <c r="P7946" s="2498"/>
    </row>
    <row r="7947" spans="16:16">
      <c r="P7947" s="2498"/>
    </row>
    <row r="7948" spans="16:16">
      <c r="P7948" s="2498"/>
    </row>
    <row r="7949" spans="16:16">
      <c r="P7949" s="2498"/>
    </row>
    <row r="7950" spans="16:16">
      <c r="P7950" s="2498"/>
    </row>
    <row r="7951" spans="16:16">
      <c r="P7951" s="2498"/>
    </row>
    <row r="7952" spans="16:16">
      <c r="P7952" s="2498"/>
    </row>
    <row r="7953" spans="16:16">
      <c r="P7953" s="2498"/>
    </row>
    <row r="7954" spans="16:16">
      <c r="P7954" s="2498"/>
    </row>
    <row r="7955" spans="16:16">
      <c r="P7955" s="2498"/>
    </row>
    <row r="7956" spans="16:16">
      <c r="P7956" s="2498"/>
    </row>
    <row r="7957" spans="16:16">
      <c r="P7957" s="2498"/>
    </row>
    <row r="7958" spans="16:16">
      <c r="P7958" s="2498"/>
    </row>
    <row r="7959" spans="16:16">
      <c r="P7959" s="2498"/>
    </row>
    <row r="7960" spans="16:16">
      <c r="P7960" s="2498"/>
    </row>
    <row r="7961" spans="16:16">
      <c r="P7961" s="2498"/>
    </row>
    <row r="7962" spans="16:16">
      <c r="P7962" s="2498"/>
    </row>
    <row r="7963" spans="16:16">
      <c r="P7963" s="2498"/>
    </row>
    <row r="7964" spans="16:16">
      <c r="P7964" s="2498"/>
    </row>
    <row r="7965" spans="16:16">
      <c r="P7965" s="2498"/>
    </row>
    <row r="7966" spans="16:16">
      <c r="P7966" s="2498"/>
    </row>
    <row r="7967" spans="16:16">
      <c r="P7967" s="2498"/>
    </row>
    <row r="7968" spans="16:16">
      <c r="P7968" s="2498"/>
    </row>
    <row r="7969" spans="16:16">
      <c r="P7969" s="2498"/>
    </row>
    <row r="7970" spans="16:16">
      <c r="P7970" s="2498"/>
    </row>
    <row r="7971" spans="16:16">
      <c r="P7971" s="2498"/>
    </row>
    <row r="7972" spans="16:16">
      <c r="P7972" s="2498"/>
    </row>
    <row r="7973" spans="16:16">
      <c r="P7973" s="2498"/>
    </row>
    <row r="7974" spans="16:16">
      <c r="P7974" s="2498"/>
    </row>
    <row r="7975" spans="16:16">
      <c r="P7975" s="2498"/>
    </row>
    <row r="7976" spans="16:16">
      <c r="P7976" s="2498"/>
    </row>
    <row r="7977" spans="16:16">
      <c r="P7977" s="2498"/>
    </row>
    <row r="7978" spans="16:16">
      <c r="P7978" s="2498"/>
    </row>
    <row r="7979" spans="16:16">
      <c r="P7979" s="2498"/>
    </row>
    <row r="7980" spans="16:16">
      <c r="P7980" s="2498"/>
    </row>
    <row r="7981" spans="16:16">
      <c r="P7981" s="2498"/>
    </row>
    <row r="7982" spans="16:16">
      <c r="P7982" s="2498"/>
    </row>
    <row r="7983" spans="16:16">
      <c r="P7983" s="2498"/>
    </row>
    <row r="7984" spans="16:16">
      <c r="P7984" s="2498"/>
    </row>
    <row r="7985" spans="16:16">
      <c r="P7985" s="2498"/>
    </row>
    <row r="7986" spans="16:16">
      <c r="P7986" s="2498"/>
    </row>
    <row r="7987" spans="16:16">
      <c r="P7987" s="2498"/>
    </row>
    <row r="7988" spans="16:16">
      <c r="P7988" s="2498"/>
    </row>
    <row r="7989" spans="16:16">
      <c r="P7989" s="2498"/>
    </row>
    <row r="7990" spans="16:16">
      <c r="P7990" s="2498"/>
    </row>
    <row r="7991" spans="16:16">
      <c r="P7991" s="2498"/>
    </row>
    <row r="7992" spans="16:16">
      <c r="P7992" s="2498"/>
    </row>
    <row r="7993" spans="16:16">
      <c r="P7993" s="2498"/>
    </row>
    <row r="7994" spans="16:16">
      <c r="P7994" s="2498"/>
    </row>
    <row r="7995" spans="16:16">
      <c r="P7995" s="2498"/>
    </row>
    <row r="7996" spans="16:16">
      <c r="P7996" s="2498"/>
    </row>
    <row r="7997" spans="16:16">
      <c r="P7997" s="2498"/>
    </row>
    <row r="7998" spans="16:16">
      <c r="P7998" s="2498"/>
    </row>
    <row r="7999" spans="16:16">
      <c r="P7999" s="2498"/>
    </row>
    <row r="8000" spans="16:16">
      <c r="P8000" s="2498"/>
    </row>
    <row r="8001" spans="16:16">
      <c r="P8001" s="2498"/>
    </row>
    <row r="8002" spans="16:16">
      <c r="P8002" s="2498"/>
    </row>
    <row r="8003" spans="16:16">
      <c r="P8003" s="2498"/>
    </row>
    <row r="8004" spans="16:16">
      <c r="P8004" s="2498"/>
    </row>
    <row r="8005" spans="16:16">
      <c r="P8005" s="2498"/>
    </row>
    <row r="8006" spans="16:16">
      <c r="P8006" s="2498"/>
    </row>
    <row r="8007" spans="16:16">
      <c r="P8007" s="2498"/>
    </row>
    <row r="8008" spans="16:16">
      <c r="P8008" s="2498"/>
    </row>
    <row r="8009" spans="16:16">
      <c r="P8009" s="2498"/>
    </row>
    <row r="8010" spans="16:16">
      <c r="P8010" s="2498"/>
    </row>
    <row r="8011" spans="16:16">
      <c r="P8011" s="2498"/>
    </row>
    <row r="8012" spans="16:16">
      <c r="P8012" s="2498"/>
    </row>
    <row r="8013" spans="16:16">
      <c r="P8013" s="2498"/>
    </row>
    <row r="8014" spans="16:16">
      <c r="P8014" s="2498"/>
    </row>
    <row r="8015" spans="16:16">
      <c r="P8015" s="2498"/>
    </row>
    <row r="8016" spans="16:16">
      <c r="P8016" s="2498"/>
    </row>
    <row r="8017" spans="16:16">
      <c r="P8017" s="2498"/>
    </row>
    <row r="8018" spans="16:16">
      <c r="P8018" s="2498"/>
    </row>
    <row r="8019" spans="16:16">
      <c r="P8019" s="2498"/>
    </row>
    <row r="8020" spans="16:16">
      <c r="P8020" s="2498"/>
    </row>
    <row r="8021" spans="16:16">
      <c r="P8021" s="2498"/>
    </row>
    <row r="8022" spans="16:16">
      <c r="P8022" s="2498"/>
    </row>
    <row r="8023" spans="16:16">
      <c r="P8023" s="2498"/>
    </row>
    <row r="8024" spans="16:16">
      <c r="P8024" s="2498"/>
    </row>
    <row r="8025" spans="16:16">
      <c r="P8025" s="2498"/>
    </row>
    <row r="8026" spans="16:16">
      <c r="P8026" s="2498"/>
    </row>
    <row r="8027" spans="16:16">
      <c r="P8027" s="2498"/>
    </row>
    <row r="8028" spans="16:16">
      <c r="P8028" s="2498"/>
    </row>
    <row r="8029" spans="16:16">
      <c r="P8029" s="2498"/>
    </row>
    <row r="8030" spans="16:16">
      <c r="P8030" s="2498"/>
    </row>
    <row r="8031" spans="16:16">
      <c r="P8031" s="2498"/>
    </row>
    <row r="8032" spans="16:16">
      <c r="P8032" s="2498"/>
    </row>
    <row r="8033" spans="16:16">
      <c r="P8033" s="2498"/>
    </row>
    <row r="8034" spans="16:16">
      <c r="P8034" s="2498"/>
    </row>
    <row r="8035" spans="16:16">
      <c r="P8035" s="2498"/>
    </row>
    <row r="8036" spans="16:16">
      <c r="P8036" s="2498"/>
    </row>
    <row r="8037" spans="16:16">
      <c r="P8037" s="2498"/>
    </row>
    <row r="8038" spans="16:16">
      <c r="P8038" s="2498"/>
    </row>
    <row r="8039" spans="16:16">
      <c r="P8039" s="2498"/>
    </row>
    <row r="8040" spans="16:16">
      <c r="P8040" s="2498"/>
    </row>
    <row r="8041" spans="16:16">
      <c r="P8041" s="2498"/>
    </row>
    <row r="8042" spans="16:16">
      <c r="P8042" s="2498"/>
    </row>
    <row r="8043" spans="16:16">
      <c r="P8043" s="2498"/>
    </row>
    <row r="8044" spans="16:16">
      <c r="P8044" s="2498"/>
    </row>
    <row r="8045" spans="16:16">
      <c r="P8045" s="2498"/>
    </row>
    <row r="8046" spans="16:16">
      <c r="P8046" s="2498"/>
    </row>
    <row r="8047" spans="16:16">
      <c r="P8047" s="2498"/>
    </row>
    <row r="8048" spans="16:16">
      <c r="P8048" s="2498"/>
    </row>
    <row r="8049" spans="16:16">
      <c r="P8049" s="2498"/>
    </row>
    <row r="8050" spans="16:16">
      <c r="P8050" s="2498"/>
    </row>
    <row r="8051" spans="16:16">
      <c r="P8051" s="2498"/>
    </row>
    <row r="8052" spans="16:16">
      <c r="P8052" s="2498"/>
    </row>
    <row r="8053" spans="16:16">
      <c r="P8053" s="2498"/>
    </row>
    <row r="8054" spans="16:16">
      <c r="P8054" s="2498"/>
    </row>
    <row r="8055" spans="16:16">
      <c r="P8055" s="2498"/>
    </row>
    <row r="8056" spans="16:16">
      <c r="P8056" s="2498"/>
    </row>
    <row r="8057" spans="16:16">
      <c r="P8057" s="2498"/>
    </row>
    <row r="8058" spans="16:16">
      <c r="P8058" s="2498"/>
    </row>
    <row r="8059" spans="16:16">
      <c r="P8059" s="2498"/>
    </row>
    <row r="8060" spans="16:16">
      <c r="P8060" s="2498"/>
    </row>
    <row r="8061" spans="16:16">
      <c r="P8061" s="2498"/>
    </row>
    <row r="8062" spans="16:16">
      <c r="P8062" s="2498"/>
    </row>
    <row r="8063" spans="16:16">
      <c r="P8063" s="2498"/>
    </row>
    <row r="8064" spans="16:16">
      <c r="P8064" s="2498"/>
    </row>
    <row r="8065" spans="16:16">
      <c r="P8065" s="2498"/>
    </row>
    <row r="8066" spans="16:16">
      <c r="P8066" s="2498"/>
    </row>
    <row r="8067" spans="16:16">
      <c r="P8067" s="2498"/>
    </row>
    <row r="8068" spans="16:16">
      <c r="P8068" s="2498"/>
    </row>
    <row r="8069" spans="16:16">
      <c r="P8069" s="2498"/>
    </row>
    <row r="8070" spans="16:16">
      <c r="P8070" s="2498"/>
    </row>
    <row r="8071" spans="16:16">
      <c r="P8071" s="2498"/>
    </row>
    <row r="8072" spans="16:16">
      <c r="P8072" s="2498"/>
    </row>
    <row r="8073" spans="16:16">
      <c r="P8073" s="2498"/>
    </row>
    <row r="8074" spans="16:16">
      <c r="P8074" s="2498"/>
    </row>
    <row r="8075" spans="16:16">
      <c r="P8075" s="2498"/>
    </row>
    <row r="8076" spans="16:16">
      <c r="P8076" s="2498"/>
    </row>
    <row r="8077" spans="16:16">
      <c r="P8077" s="2498"/>
    </row>
    <row r="8078" spans="16:16">
      <c r="P8078" s="2498"/>
    </row>
    <row r="8079" spans="16:16">
      <c r="P8079" s="2498"/>
    </row>
    <row r="8080" spans="16:16">
      <c r="P8080" s="2498"/>
    </row>
    <row r="8081" spans="16:16">
      <c r="P8081" s="2498"/>
    </row>
    <row r="8082" spans="16:16">
      <c r="P8082" s="2498"/>
    </row>
    <row r="8083" spans="16:16">
      <c r="P8083" s="2498"/>
    </row>
    <row r="8084" spans="16:16">
      <c r="P8084" s="2498"/>
    </row>
    <row r="8085" spans="16:16">
      <c r="P8085" s="2498"/>
    </row>
    <row r="8086" spans="16:16">
      <c r="P8086" s="2498"/>
    </row>
    <row r="8087" spans="16:16">
      <c r="P8087" s="2498"/>
    </row>
    <row r="8088" spans="16:16">
      <c r="P8088" s="2498"/>
    </row>
    <row r="8089" spans="16:16">
      <c r="P8089" s="2498"/>
    </row>
    <row r="8090" spans="16:16">
      <c r="P8090" s="2498"/>
    </row>
    <row r="8091" spans="16:16">
      <c r="P8091" s="2498"/>
    </row>
    <row r="8092" spans="16:16">
      <c r="P8092" s="2498"/>
    </row>
    <row r="8093" spans="16:16">
      <c r="P8093" s="2498"/>
    </row>
    <row r="8094" spans="16:16">
      <c r="P8094" s="2498"/>
    </row>
    <row r="8095" spans="16:16">
      <c r="P8095" s="2498"/>
    </row>
    <row r="8096" spans="16:16">
      <c r="P8096" s="2498"/>
    </row>
    <row r="8097" spans="16:16">
      <c r="P8097" s="2498"/>
    </row>
    <row r="8098" spans="16:16">
      <c r="P8098" s="2498"/>
    </row>
    <row r="8099" spans="16:16">
      <c r="P8099" s="2498"/>
    </row>
    <row r="8100" spans="16:16">
      <c r="P8100" s="2498"/>
    </row>
    <row r="8101" spans="16:16">
      <c r="P8101" s="2498"/>
    </row>
    <row r="8102" spans="16:16">
      <c r="P8102" s="2498"/>
    </row>
    <row r="8103" spans="16:16">
      <c r="P8103" s="2498"/>
    </row>
    <row r="8104" spans="16:16">
      <c r="P8104" s="2498"/>
    </row>
    <row r="8105" spans="16:16">
      <c r="P8105" s="2498"/>
    </row>
    <row r="8106" spans="16:16">
      <c r="P8106" s="2498"/>
    </row>
    <row r="8107" spans="16:16">
      <c r="P8107" s="2498"/>
    </row>
    <row r="8108" spans="16:16">
      <c r="P8108" s="2498"/>
    </row>
    <row r="8109" spans="16:16">
      <c r="P8109" s="2498"/>
    </row>
    <row r="8110" spans="16:16">
      <c r="P8110" s="2498"/>
    </row>
    <row r="8111" spans="16:16">
      <c r="P8111" s="2498"/>
    </row>
    <row r="8112" spans="16:16">
      <c r="P8112" s="2498"/>
    </row>
    <row r="8113" spans="16:16">
      <c r="P8113" s="2498"/>
    </row>
    <row r="8114" spans="16:16">
      <c r="P8114" s="2498"/>
    </row>
    <row r="8115" spans="16:16">
      <c r="P8115" s="2498"/>
    </row>
    <row r="8116" spans="16:16">
      <c r="P8116" s="2498"/>
    </row>
    <row r="8117" spans="16:16">
      <c r="P8117" s="2498"/>
    </row>
    <row r="8118" spans="16:16">
      <c r="P8118" s="2498"/>
    </row>
    <row r="8119" spans="16:16">
      <c r="P8119" s="2498"/>
    </row>
    <row r="8120" spans="16:16">
      <c r="P8120" s="2498"/>
    </row>
    <row r="8121" spans="16:16">
      <c r="P8121" s="2498"/>
    </row>
    <row r="8122" spans="16:16">
      <c r="P8122" s="2498"/>
    </row>
    <row r="8123" spans="16:16">
      <c r="P8123" s="2498"/>
    </row>
    <row r="8124" spans="16:16">
      <c r="P8124" s="2498"/>
    </row>
    <row r="8125" spans="16:16">
      <c r="P8125" s="2498"/>
    </row>
    <row r="8126" spans="16:16">
      <c r="P8126" s="2498"/>
    </row>
    <row r="8127" spans="16:16">
      <c r="P8127" s="2498"/>
    </row>
    <row r="8128" spans="16:16">
      <c r="P8128" s="2498"/>
    </row>
    <row r="8129" spans="16:16">
      <c r="P8129" s="2498"/>
    </row>
    <row r="8130" spans="16:16">
      <c r="P8130" s="2498"/>
    </row>
    <row r="8131" spans="16:16">
      <c r="P8131" s="2498"/>
    </row>
    <row r="8132" spans="16:16">
      <c r="P8132" s="2498"/>
    </row>
    <row r="8133" spans="16:16">
      <c r="P8133" s="2498"/>
    </row>
    <row r="8134" spans="16:16">
      <c r="P8134" s="2498"/>
    </row>
    <row r="8135" spans="16:16">
      <c r="P8135" s="2498"/>
    </row>
    <row r="8136" spans="16:16">
      <c r="P8136" s="2498"/>
    </row>
    <row r="8137" spans="16:16">
      <c r="P8137" s="2498"/>
    </row>
    <row r="8138" spans="16:16">
      <c r="P8138" s="2498"/>
    </row>
    <row r="8139" spans="16:16">
      <c r="P8139" s="2498"/>
    </row>
    <row r="8140" spans="16:16">
      <c r="P8140" s="2498"/>
    </row>
    <row r="8141" spans="16:16">
      <c r="P8141" s="2498"/>
    </row>
    <row r="8142" spans="16:16">
      <c r="P8142" s="2498"/>
    </row>
    <row r="8143" spans="16:16">
      <c r="P8143" s="2498"/>
    </row>
    <row r="8144" spans="16:16">
      <c r="P8144" s="2498"/>
    </row>
    <row r="8145" spans="16:16">
      <c r="P8145" s="2498"/>
    </row>
    <row r="8146" spans="16:16">
      <c r="P8146" s="2498"/>
    </row>
    <row r="8147" spans="16:16">
      <c r="P8147" s="2498"/>
    </row>
    <row r="8148" spans="16:16">
      <c r="P8148" s="2498"/>
    </row>
    <row r="8149" spans="16:16">
      <c r="P8149" s="2498"/>
    </row>
    <row r="8150" spans="16:16">
      <c r="P8150" s="2498"/>
    </row>
    <row r="8151" spans="16:16">
      <c r="P8151" s="2498"/>
    </row>
    <row r="8152" spans="16:16">
      <c r="P8152" s="2498"/>
    </row>
    <row r="8153" spans="16:16">
      <c r="P8153" s="2498"/>
    </row>
    <row r="8154" spans="16:16">
      <c r="P8154" s="2498"/>
    </row>
    <row r="8155" spans="16:16">
      <c r="P8155" s="2498"/>
    </row>
    <row r="8156" spans="16:16">
      <c r="P8156" s="2498"/>
    </row>
    <row r="8157" spans="16:16">
      <c r="P8157" s="2498"/>
    </row>
    <row r="8158" spans="16:16">
      <c r="P8158" s="2498"/>
    </row>
    <row r="8159" spans="16:16">
      <c r="P8159" s="2498"/>
    </row>
    <row r="8160" spans="16:16">
      <c r="P8160" s="2498"/>
    </row>
    <row r="8161" spans="16:16">
      <c r="P8161" s="2498"/>
    </row>
    <row r="8162" spans="16:16">
      <c r="P8162" s="2498"/>
    </row>
    <row r="8163" spans="16:16">
      <c r="P8163" s="2498"/>
    </row>
    <row r="8164" spans="16:16">
      <c r="P8164" s="2498"/>
    </row>
    <row r="8165" spans="16:16">
      <c r="P8165" s="2498"/>
    </row>
    <row r="8166" spans="16:16">
      <c r="P8166" s="2498"/>
    </row>
    <row r="8167" spans="16:16">
      <c r="P8167" s="2498"/>
    </row>
    <row r="8168" spans="16:16">
      <c r="P8168" s="2498"/>
    </row>
    <row r="8169" spans="16:16">
      <c r="P8169" s="2498"/>
    </row>
    <row r="8170" spans="16:16">
      <c r="P8170" s="2498"/>
    </row>
    <row r="8171" spans="16:16">
      <c r="P8171" s="2498"/>
    </row>
    <row r="8172" spans="16:16">
      <c r="P8172" s="2498"/>
    </row>
    <row r="8173" spans="16:16">
      <c r="P8173" s="2498"/>
    </row>
    <row r="8174" spans="16:16">
      <c r="P8174" s="2498"/>
    </row>
    <row r="8175" spans="16:16">
      <c r="P8175" s="2498"/>
    </row>
    <row r="8176" spans="16:16">
      <c r="P8176" s="2498"/>
    </row>
    <row r="8177" spans="16:16">
      <c r="P8177" s="2498"/>
    </row>
    <row r="8178" spans="16:16">
      <c r="P8178" s="2498"/>
    </row>
    <row r="8179" spans="16:16">
      <c r="P8179" s="2498"/>
    </row>
    <row r="8180" spans="16:16">
      <c r="P8180" s="2498"/>
    </row>
    <row r="8181" spans="16:16">
      <c r="P8181" s="2498"/>
    </row>
    <row r="8182" spans="16:16">
      <c r="P8182" s="2498"/>
    </row>
    <row r="8183" spans="16:16">
      <c r="P8183" s="2498"/>
    </row>
    <row r="8184" spans="16:16">
      <c r="P8184" s="2498"/>
    </row>
    <row r="8185" spans="16:16">
      <c r="P8185" s="2498"/>
    </row>
    <row r="8186" spans="16:16">
      <c r="P8186" s="2498"/>
    </row>
    <row r="8187" spans="16:16">
      <c r="P8187" s="2498"/>
    </row>
    <row r="8188" spans="16:16">
      <c r="P8188" s="2498"/>
    </row>
    <row r="8189" spans="16:16">
      <c r="P8189" s="2498"/>
    </row>
    <row r="8190" spans="16:16">
      <c r="P8190" s="2498"/>
    </row>
    <row r="8191" spans="16:16">
      <c r="P8191" s="2498"/>
    </row>
    <row r="8192" spans="16:16">
      <c r="P8192" s="2498"/>
    </row>
    <row r="8193" spans="16:16">
      <c r="P8193" s="2498"/>
    </row>
    <row r="8194" spans="16:16">
      <c r="P8194" s="2498"/>
    </row>
    <row r="8195" spans="16:16">
      <c r="P8195" s="2498"/>
    </row>
    <row r="8196" spans="16:16">
      <c r="P8196" s="2498"/>
    </row>
    <row r="8197" spans="16:16">
      <c r="P8197" s="2498"/>
    </row>
    <row r="8198" spans="16:16">
      <c r="P8198" s="2498"/>
    </row>
    <row r="8199" spans="16:16">
      <c r="P8199" s="2498"/>
    </row>
    <row r="8200" spans="16:16">
      <c r="P8200" s="2498"/>
    </row>
    <row r="8201" spans="16:16">
      <c r="P8201" s="2498"/>
    </row>
    <row r="8202" spans="16:16">
      <c r="P8202" s="2498"/>
    </row>
    <row r="8203" spans="16:16">
      <c r="P8203" s="2498"/>
    </row>
    <row r="8204" spans="16:16">
      <c r="P8204" s="2498"/>
    </row>
    <row r="8205" spans="16:16">
      <c r="P8205" s="2498"/>
    </row>
    <row r="8206" spans="16:16">
      <c r="P8206" s="2498"/>
    </row>
    <row r="8207" spans="16:16">
      <c r="P8207" s="2498"/>
    </row>
    <row r="8208" spans="16:16">
      <c r="P8208" s="2498"/>
    </row>
    <row r="8209" spans="16:16">
      <c r="P8209" s="2498"/>
    </row>
    <row r="8210" spans="16:16">
      <c r="P8210" s="2498"/>
    </row>
    <row r="8211" spans="16:16">
      <c r="P8211" s="2498"/>
    </row>
    <row r="8212" spans="16:16">
      <c r="P8212" s="2498"/>
    </row>
    <row r="8213" spans="16:16">
      <c r="P8213" s="2498"/>
    </row>
    <row r="8214" spans="16:16">
      <c r="P8214" s="2498"/>
    </row>
    <row r="8215" spans="16:16">
      <c r="P8215" s="2498"/>
    </row>
    <row r="8216" spans="16:16">
      <c r="P8216" s="2498"/>
    </row>
    <row r="8217" spans="16:16">
      <c r="P8217" s="2498"/>
    </row>
    <row r="8218" spans="16:16">
      <c r="P8218" s="2498"/>
    </row>
    <row r="8219" spans="16:16">
      <c r="P8219" s="2498"/>
    </row>
    <row r="8220" spans="16:16">
      <c r="P8220" s="2498"/>
    </row>
    <row r="8221" spans="16:16">
      <c r="P8221" s="2498"/>
    </row>
    <row r="8222" spans="16:16">
      <c r="P8222" s="2498"/>
    </row>
    <row r="8223" spans="16:16">
      <c r="P8223" s="2498"/>
    </row>
    <row r="8224" spans="16:16">
      <c r="P8224" s="2498"/>
    </row>
    <row r="8225" spans="16:16">
      <c r="P8225" s="2498"/>
    </row>
    <row r="8226" spans="16:16">
      <c r="P8226" s="2498"/>
    </row>
    <row r="8227" spans="16:16">
      <c r="P8227" s="2498"/>
    </row>
    <row r="8228" spans="16:16">
      <c r="P8228" s="2498"/>
    </row>
    <row r="8229" spans="16:16">
      <c r="P8229" s="2498"/>
    </row>
    <row r="8230" spans="16:16">
      <c r="P8230" s="2498"/>
    </row>
    <row r="8231" spans="16:16">
      <c r="P8231" s="2498"/>
    </row>
    <row r="8232" spans="16:16">
      <c r="P8232" s="2498"/>
    </row>
    <row r="8233" spans="16:16">
      <c r="P8233" s="2498"/>
    </row>
    <row r="8234" spans="16:16">
      <c r="P8234" s="2498"/>
    </row>
    <row r="8235" spans="16:16">
      <c r="P8235" s="2498"/>
    </row>
    <row r="8236" spans="16:16">
      <c r="P8236" s="2498"/>
    </row>
    <row r="8237" spans="16:16">
      <c r="P8237" s="2498"/>
    </row>
    <row r="8238" spans="16:16">
      <c r="P8238" s="2498"/>
    </row>
    <row r="8239" spans="16:16">
      <c r="P8239" s="2498"/>
    </row>
    <row r="8240" spans="16:16">
      <c r="P8240" s="2498"/>
    </row>
    <row r="8241" spans="16:16">
      <c r="P8241" s="2498"/>
    </row>
    <row r="8242" spans="16:16">
      <c r="P8242" s="2498"/>
    </row>
    <row r="8243" spans="16:16">
      <c r="P8243" s="2498"/>
    </row>
    <row r="8244" spans="16:16">
      <c r="P8244" s="2498"/>
    </row>
    <row r="8245" spans="16:16">
      <c r="P8245" s="2498"/>
    </row>
    <row r="8246" spans="16:16">
      <c r="P8246" s="2498"/>
    </row>
    <row r="8247" spans="16:16">
      <c r="P8247" s="2498"/>
    </row>
    <row r="8248" spans="16:16">
      <c r="P8248" s="2498"/>
    </row>
    <row r="8249" spans="16:16">
      <c r="P8249" s="2498"/>
    </row>
    <row r="8250" spans="16:16">
      <c r="P8250" s="2498"/>
    </row>
    <row r="8251" spans="16:16">
      <c r="P8251" s="2498"/>
    </row>
    <row r="8252" spans="16:16">
      <c r="P8252" s="2498"/>
    </row>
    <row r="8253" spans="16:16">
      <c r="P8253" s="2498"/>
    </row>
    <row r="8254" spans="16:16">
      <c r="P8254" s="2498"/>
    </row>
    <row r="8255" spans="16:16">
      <c r="P8255" s="2498"/>
    </row>
    <row r="8256" spans="16:16">
      <c r="P8256" s="2498"/>
    </row>
    <row r="8257" spans="16:16">
      <c r="P8257" s="2498"/>
    </row>
    <row r="8258" spans="16:16">
      <c r="P8258" s="2498"/>
    </row>
    <row r="8259" spans="16:16">
      <c r="P8259" s="2498"/>
    </row>
    <row r="8260" spans="16:16">
      <c r="P8260" s="2498"/>
    </row>
    <row r="8261" spans="16:16">
      <c r="P8261" s="2498"/>
    </row>
    <row r="8262" spans="16:16">
      <c r="P8262" s="2498"/>
    </row>
    <row r="8263" spans="16:16">
      <c r="P8263" s="2498"/>
    </row>
    <row r="8264" spans="16:16">
      <c r="P8264" s="2498"/>
    </row>
    <row r="8265" spans="16:16">
      <c r="P8265" s="2498"/>
    </row>
    <row r="8266" spans="16:16">
      <c r="P8266" s="2498"/>
    </row>
    <row r="8267" spans="16:16">
      <c r="P8267" s="2498"/>
    </row>
    <row r="8268" spans="16:16">
      <c r="P8268" s="2498"/>
    </row>
    <row r="8269" spans="16:16">
      <c r="P8269" s="2498"/>
    </row>
    <row r="8270" spans="16:16">
      <c r="P8270" s="2498"/>
    </row>
    <row r="8271" spans="16:16">
      <c r="P8271" s="2498"/>
    </row>
    <row r="8272" spans="16:16">
      <c r="P8272" s="2498"/>
    </row>
    <row r="8273" spans="16:16">
      <c r="P8273" s="2498"/>
    </row>
    <row r="8274" spans="16:16">
      <c r="P8274" s="2498"/>
    </row>
    <row r="8275" spans="16:16">
      <c r="P8275" s="2498"/>
    </row>
    <row r="8276" spans="16:16">
      <c r="P8276" s="2498"/>
    </row>
    <row r="8277" spans="16:16">
      <c r="P8277" s="2498"/>
    </row>
    <row r="8278" spans="16:16">
      <c r="P8278" s="2498"/>
    </row>
    <row r="8279" spans="16:16">
      <c r="P8279" s="2498"/>
    </row>
    <row r="8280" spans="16:16">
      <c r="P8280" s="2498"/>
    </row>
    <row r="8281" spans="16:16">
      <c r="P8281" s="2498"/>
    </row>
    <row r="8282" spans="16:16">
      <c r="P8282" s="2498"/>
    </row>
    <row r="8283" spans="16:16">
      <c r="P8283" s="2498"/>
    </row>
    <row r="8284" spans="16:16">
      <c r="P8284" s="2498"/>
    </row>
    <row r="8285" spans="16:16">
      <c r="P8285" s="2498"/>
    </row>
    <row r="8286" spans="16:16">
      <c r="P8286" s="2498"/>
    </row>
    <row r="8287" spans="16:16">
      <c r="P8287" s="2498"/>
    </row>
    <row r="8288" spans="16:16">
      <c r="P8288" s="2498"/>
    </row>
    <row r="8289" spans="16:16">
      <c r="P8289" s="2498"/>
    </row>
    <row r="8290" spans="16:16">
      <c r="P8290" s="2498"/>
    </row>
    <row r="8291" spans="16:16">
      <c r="P8291" s="2498"/>
    </row>
    <row r="8292" spans="16:16">
      <c r="P8292" s="2498"/>
    </row>
    <row r="8293" spans="16:16">
      <c r="P8293" s="2498"/>
    </row>
    <row r="8294" spans="16:16">
      <c r="P8294" s="2498"/>
    </row>
    <row r="8295" spans="16:16">
      <c r="P8295" s="2498"/>
    </row>
    <row r="8296" spans="16:16">
      <c r="P8296" s="2498"/>
    </row>
    <row r="8297" spans="16:16">
      <c r="P8297" s="2498"/>
    </row>
    <row r="8298" spans="16:16">
      <c r="P8298" s="2498"/>
    </row>
    <row r="8299" spans="16:16">
      <c r="P8299" s="2498"/>
    </row>
    <row r="8300" spans="16:16">
      <c r="P8300" s="2498"/>
    </row>
    <row r="8301" spans="16:16">
      <c r="P8301" s="2498"/>
    </row>
    <row r="8302" spans="16:16">
      <c r="P8302" s="2498"/>
    </row>
    <row r="8303" spans="16:16">
      <c r="P8303" s="2498"/>
    </row>
    <row r="8304" spans="16:16">
      <c r="P8304" s="2498"/>
    </row>
    <row r="8305" spans="16:16">
      <c r="P8305" s="2498"/>
    </row>
    <row r="8306" spans="16:16">
      <c r="P8306" s="2498"/>
    </row>
    <row r="8307" spans="16:16">
      <c r="P8307" s="2498"/>
    </row>
    <row r="8308" spans="16:16">
      <c r="P8308" s="2498"/>
    </row>
    <row r="8309" spans="16:16">
      <c r="P8309" s="2498"/>
    </row>
    <row r="8310" spans="16:16">
      <c r="P8310" s="2498"/>
    </row>
    <row r="8311" spans="16:16">
      <c r="P8311" s="2498"/>
    </row>
    <row r="8312" spans="16:16">
      <c r="P8312" s="2498"/>
    </row>
    <row r="8313" spans="16:16">
      <c r="P8313" s="2498"/>
    </row>
    <row r="8314" spans="16:16">
      <c r="P8314" s="2498"/>
    </row>
    <row r="8315" spans="16:16">
      <c r="P8315" s="2498"/>
    </row>
    <row r="8316" spans="16:16">
      <c r="P8316" s="2498"/>
    </row>
    <row r="8317" spans="16:16">
      <c r="P8317" s="2498"/>
    </row>
    <row r="8318" spans="16:16">
      <c r="P8318" s="2498"/>
    </row>
    <row r="8319" spans="16:16">
      <c r="P8319" s="2498"/>
    </row>
    <row r="8320" spans="16:16">
      <c r="P8320" s="2498"/>
    </row>
    <row r="8321" spans="16:16">
      <c r="P8321" s="2498"/>
    </row>
    <row r="8322" spans="16:16">
      <c r="P8322" s="2498"/>
    </row>
    <row r="8323" spans="16:16">
      <c r="P8323" s="2498"/>
    </row>
    <row r="8324" spans="16:16">
      <c r="P8324" s="2498"/>
    </row>
    <row r="8325" spans="16:16">
      <c r="P8325" s="2498"/>
    </row>
    <row r="8326" spans="16:16">
      <c r="P8326" s="2498"/>
    </row>
    <row r="8327" spans="16:16">
      <c r="P8327" s="2498"/>
    </row>
    <row r="8328" spans="16:16">
      <c r="P8328" s="2498"/>
    </row>
    <row r="8329" spans="16:16">
      <c r="P8329" s="2498"/>
    </row>
    <row r="8330" spans="16:16">
      <c r="P8330" s="2498"/>
    </row>
    <row r="8331" spans="16:16">
      <c r="P8331" s="2498"/>
    </row>
    <row r="8332" spans="16:16">
      <c r="P8332" s="2498"/>
    </row>
    <row r="8333" spans="16:16">
      <c r="P8333" s="2498"/>
    </row>
    <row r="8334" spans="16:16">
      <c r="P8334" s="2498"/>
    </row>
    <row r="8335" spans="16:16">
      <c r="P8335" s="2498"/>
    </row>
    <row r="8336" spans="16:16">
      <c r="P8336" s="2498"/>
    </row>
    <row r="8337" spans="16:16">
      <c r="P8337" s="2498"/>
    </row>
    <row r="8338" spans="16:16">
      <c r="P8338" s="2498"/>
    </row>
    <row r="8339" spans="16:16">
      <c r="P8339" s="2498"/>
    </row>
    <row r="8340" spans="16:16">
      <c r="P8340" s="2498"/>
    </row>
    <row r="8341" spans="16:16">
      <c r="P8341" s="2498"/>
    </row>
    <row r="8342" spans="16:16">
      <c r="P8342" s="2498"/>
    </row>
    <row r="8343" spans="16:16">
      <c r="P8343" s="2498"/>
    </row>
    <row r="8344" spans="16:16">
      <c r="P8344" s="2498"/>
    </row>
    <row r="8345" spans="16:16">
      <c r="P8345" s="2498"/>
    </row>
    <row r="8346" spans="16:16">
      <c r="P8346" s="2498"/>
    </row>
    <row r="8347" spans="16:16">
      <c r="P8347" s="2498"/>
    </row>
    <row r="8348" spans="16:16">
      <c r="P8348" s="2498"/>
    </row>
    <row r="8349" spans="16:16">
      <c r="P8349" s="2498"/>
    </row>
    <row r="8350" spans="16:16">
      <c r="P8350" s="2498"/>
    </row>
    <row r="8351" spans="16:16">
      <c r="P8351" s="2498"/>
    </row>
    <row r="8352" spans="16:16">
      <c r="P8352" s="2498"/>
    </row>
    <row r="8353" spans="16:16">
      <c r="P8353" s="2498"/>
    </row>
    <row r="8354" spans="16:16">
      <c r="P8354" s="2498"/>
    </row>
    <row r="8355" spans="16:16">
      <c r="P8355" s="2498"/>
    </row>
    <row r="8356" spans="16:16">
      <c r="P8356" s="2498"/>
    </row>
    <row r="8357" spans="16:16">
      <c r="P8357" s="2498"/>
    </row>
    <row r="8358" spans="16:16">
      <c r="P8358" s="2498"/>
    </row>
    <row r="8359" spans="16:16">
      <c r="P8359" s="2498"/>
    </row>
    <row r="8360" spans="16:16">
      <c r="P8360" s="2498"/>
    </row>
    <row r="8361" spans="16:16">
      <c r="P8361" s="2498"/>
    </row>
    <row r="8362" spans="16:16">
      <c r="P8362" s="2498"/>
    </row>
    <row r="8363" spans="16:16">
      <c r="P8363" s="2498"/>
    </row>
    <row r="8364" spans="16:16">
      <c r="P8364" s="2498"/>
    </row>
    <row r="8365" spans="16:16">
      <c r="P8365" s="2498"/>
    </row>
    <row r="8366" spans="16:16">
      <c r="P8366" s="2498"/>
    </row>
    <row r="8367" spans="16:16">
      <c r="P8367" s="2498"/>
    </row>
    <row r="8368" spans="16:16">
      <c r="P8368" s="2498"/>
    </row>
    <row r="8369" spans="16:16">
      <c r="P8369" s="2498"/>
    </row>
    <row r="8370" spans="16:16">
      <c r="P8370" s="2498"/>
    </row>
    <row r="8371" spans="16:16">
      <c r="P8371" s="2498"/>
    </row>
    <row r="8372" spans="16:16">
      <c r="P8372" s="2498"/>
    </row>
    <row r="8373" spans="16:16">
      <c r="P8373" s="2498"/>
    </row>
    <row r="8374" spans="16:16">
      <c r="P8374" s="2498"/>
    </row>
    <row r="8375" spans="16:16">
      <c r="P8375" s="2498"/>
    </row>
    <row r="8376" spans="16:16">
      <c r="P8376" s="2498"/>
    </row>
    <row r="8377" spans="16:16">
      <c r="P8377" s="2498"/>
    </row>
    <row r="8378" spans="16:16">
      <c r="P8378" s="2498"/>
    </row>
    <row r="8379" spans="16:16">
      <c r="P8379" s="2498"/>
    </row>
    <row r="8380" spans="16:16">
      <c r="P8380" s="2498"/>
    </row>
    <row r="8381" spans="16:16">
      <c r="P8381" s="2498"/>
    </row>
    <row r="8382" spans="16:16">
      <c r="P8382" s="2498"/>
    </row>
    <row r="8383" spans="16:16">
      <c r="P8383" s="2498"/>
    </row>
    <row r="8384" spans="16:16">
      <c r="P8384" s="2498"/>
    </row>
    <row r="8385" spans="16:16">
      <c r="P8385" s="2498"/>
    </row>
    <row r="8386" spans="16:16">
      <c r="P8386" s="2498"/>
    </row>
    <row r="8387" spans="16:16">
      <c r="P8387" s="2498"/>
    </row>
    <row r="8388" spans="16:16">
      <c r="P8388" s="2498"/>
    </row>
    <row r="8389" spans="16:16">
      <c r="P8389" s="2498"/>
    </row>
    <row r="8390" spans="16:16">
      <c r="P8390" s="2498"/>
    </row>
    <row r="8391" spans="16:16">
      <c r="P8391" s="2498"/>
    </row>
    <row r="8392" spans="16:16">
      <c r="P8392" s="2498"/>
    </row>
    <row r="8393" spans="16:16">
      <c r="P8393" s="2498"/>
    </row>
    <row r="8394" spans="16:16">
      <c r="P8394" s="2498"/>
    </row>
    <row r="8395" spans="16:16">
      <c r="P8395" s="2498"/>
    </row>
    <row r="8396" spans="16:16">
      <c r="P8396" s="2498"/>
    </row>
    <row r="8397" spans="16:16">
      <c r="P8397" s="2498"/>
    </row>
    <row r="8398" spans="16:16">
      <c r="P8398" s="2498"/>
    </row>
    <row r="8399" spans="16:16">
      <c r="P8399" s="2498"/>
    </row>
    <row r="8400" spans="16:16">
      <c r="P8400" s="2498"/>
    </row>
    <row r="8401" spans="16:16">
      <c r="P8401" s="2498"/>
    </row>
    <row r="8402" spans="16:16">
      <c r="P8402" s="2498"/>
    </row>
    <row r="8403" spans="16:16">
      <c r="P8403" s="2498"/>
    </row>
    <row r="8404" spans="16:16">
      <c r="P8404" s="2498"/>
    </row>
    <row r="8405" spans="16:16">
      <c r="P8405" s="2498"/>
    </row>
    <row r="8406" spans="16:16">
      <c r="P8406" s="2498"/>
    </row>
    <row r="8407" spans="16:16">
      <c r="P8407" s="2498"/>
    </row>
    <row r="8408" spans="16:16">
      <c r="P8408" s="2498"/>
    </row>
    <row r="8409" spans="16:16">
      <c r="P8409" s="2498"/>
    </row>
    <row r="8410" spans="16:16">
      <c r="P8410" s="2498"/>
    </row>
    <row r="8411" spans="16:16">
      <c r="P8411" s="2498"/>
    </row>
    <row r="8412" spans="16:16">
      <c r="P8412" s="2498"/>
    </row>
    <row r="8413" spans="16:16">
      <c r="P8413" s="2498"/>
    </row>
    <row r="8414" spans="16:16">
      <c r="P8414" s="2498"/>
    </row>
    <row r="8415" spans="16:16">
      <c r="P8415" s="2498"/>
    </row>
    <row r="8416" spans="16:16">
      <c r="P8416" s="2498"/>
    </row>
    <row r="8417" spans="16:16">
      <c r="P8417" s="2498"/>
    </row>
    <row r="8418" spans="16:16">
      <c r="P8418" s="2498"/>
    </row>
    <row r="8419" spans="16:16">
      <c r="P8419" s="2498"/>
    </row>
    <row r="8420" spans="16:16">
      <c r="P8420" s="2498"/>
    </row>
    <row r="8421" spans="16:16">
      <c r="P8421" s="2498"/>
    </row>
    <row r="8422" spans="16:16">
      <c r="P8422" s="2498"/>
    </row>
    <row r="8423" spans="16:16">
      <c r="P8423" s="2498"/>
    </row>
    <row r="8424" spans="16:16">
      <c r="P8424" s="2498"/>
    </row>
    <row r="8425" spans="16:16">
      <c r="P8425" s="2498"/>
    </row>
    <row r="8426" spans="16:16">
      <c r="P8426" s="2498"/>
    </row>
    <row r="8427" spans="16:16">
      <c r="P8427" s="2498"/>
    </row>
    <row r="8428" spans="16:16">
      <c r="P8428" s="2498"/>
    </row>
    <row r="8429" spans="16:16">
      <c r="P8429" s="2498"/>
    </row>
    <row r="8430" spans="16:16">
      <c r="P8430" s="2498"/>
    </row>
    <row r="8431" spans="16:16">
      <c r="P8431" s="2498"/>
    </row>
    <row r="8432" spans="16:16">
      <c r="P8432" s="2498"/>
    </row>
    <row r="8433" spans="16:16">
      <c r="P8433" s="2498"/>
    </row>
    <row r="8434" spans="16:16">
      <c r="P8434" s="2498"/>
    </row>
    <row r="8435" spans="16:16">
      <c r="P8435" s="2498"/>
    </row>
    <row r="8436" spans="16:16">
      <c r="P8436" s="2498"/>
    </row>
    <row r="8437" spans="16:16">
      <c r="P8437" s="2498"/>
    </row>
    <row r="8438" spans="16:16">
      <c r="P8438" s="2498"/>
    </row>
    <row r="8439" spans="16:16">
      <c r="P8439" s="2498"/>
    </row>
    <row r="8440" spans="16:16">
      <c r="P8440" s="2498"/>
    </row>
    <row r="8441" spans="16:16">
      <c r="P8441" s="2498"/>
    </row>
    <row r="8442" spans="16:16">
      <c r="P8442" s="2498"/>
    </row>
    <row r="8443" spans="16:16">
      <c r="P8443" s="2498"/>
    </row>
    <row r="8444" spans="16:16">
      <c r="P8444" s="2498"/>
    </row>
    <row r="8445" spans="16:16">
      <c r="P8445" s="2498"/>
    </row>
    <row r="8446" spans="16:16">
      <c r="P8446" s="2498"/>
    </row>
    <row r="8447" spans="16:16">
      <c r="P8447" s="2498"/>
    </row>
    <row r="8448" spans="16:16">
      <c r="P8448" s="2498"/>
    </row>
    <row r="8449" spans="16:16">
      <c r="P8449" s="2498"/>
    </row>
    <row r="8450" spans="16:16">
      <c r="P8450" s="2498"/>
    </row>
    <row r="8451" spans="16:16">
      <c r="P8451" s="2498"/>
    </row>
    <row r="8452" spans="16:16">
      <c r="P8452" s="2498"/>
    </row>
    <row r="8453" spans="16:16">
      <c r="P8453" s="2498"/>
    </row>
    <row r="8454" spans="16:16">
      <c r="P8454" s="2498"/>
    </row>
    <row r="8455" spans="16:16">
      <c r="P8455" s="2498"/>
    </row>
    <row r="8456" spans="16:16">
      <c r="P8456" s="2498"/>
    </row>
    <row r="8457" spans="16:16">
      <c r="P8457" s="2498"/>
    </row>
    <row r="8458" spans="16:16">
      <c r="P8458" s="2498"/>
    </row>
    <row r="8459" spans="16:16">
      <c r="P8459" s="2498"/>
    </row>
    <row r="8460" spans="16:16">
      <c r="P8460" s="2498"/>
    </row>
    <row r="8461" spans="16:16">
      <c r="P8461" s="2498"/>
    </row>
    <row r="8462" spans="16:16">
      <c r="P8462" s="2498"/>
    </row>
    <row r="8463" spans="16:16">
      <c r="P8463" s="2498"/>
    </row>
    <row r="8464" spans="16:16">
      <c r="P8464" s="2498"/>
    </row>
    <row r="8465" spans="16:16">
      <c r="P8465" s="2498"/>
    </row>
    <row r="8466" spans="16:16">
      <c r="P8466" s="2498"/>
    </row>
    <row r="8467" spans="16:16">
      <c r="P8467" s="2498"/>
    </row>
    <row r="8468" spans="16:16">
      <c r="P8468" s="2498"/>
    </row>
    <row r="8469" spans="16:16">
      <c r="P8469" s="2498"/>
    </row>
    <row r="8470" spans="16:16">
      <c r="P8470" s="2498"/>
    </row>
    <row r="8471" spans="16:16">
      <c r="P8471" s="2498"/>
    </row>
    <row r="8472" spans="16:16">
      <c r="P8472" s="2498"/>
    </row>
    <row r="8473" spans="16:16">
      <c r="P8473" s="2498"/>
    </row>
    <row r="8474" spans="16:16">
      <c r="P8474" s="2498"/>
    </row>
    <row r="8475" spans="16:16">
      <c r="P8475" s="2498"/>
    </row>
    <row r="8476" spans="16:16">
      <c r="P8476" s="2498"/>
    </row>
    <row r="8477" spans="16:16">
      <c r="P8477" s="2498"/>
    </row>
    <row r="8478" spans="16:16">
      <c r="P8478" s="2498"/>
    </row>
    <row r="8479" spans="16:16">
      <c r="P8479" s="2498"/>
    </row>
    <row r="8480" spans="16:16">
      <c r="P8480" s="2498"/>
    </row>
    <row r="8481" spans="16:16">
      <c r="P8481" s="2498"/>
    </row>
    <row r="8482" spans="16:16">
      <c r="P8482" s="2498"/>
    </row>
    <row r="8483" spans="16:16">
      <c r="P8483" s="2498"/>
    </row>
    <row r="8484" spans="16:16">
      <c r="P8484" s="2498"/>
    </row>
    <row r="8485" spans="16:16">
      <c r="P8485" s="2498"/>
    </row>
    <row r="8486" spans="16:16">
      <c r="P8486" s="2498"/>
    </row>
    <row r="8487" spans="16:16">
      <c r="P8487" s="2498"/>
    </row>
    <row r="8488" spans="16:16">
      <c r="P8488" s="2498"/>
    </row>
    <row r="8489" spans="16:16">
      <c r="P8489" s="2498"/>
    </row>
    <row r="8490" spans="16:16">
      <c r="P8490" s="2498"/>
    </row>
    <row r="8491" spans="16:16">
      <c r="P8491" s="2498"/>
    </row>
    <row r="8492" spans="16:16">
      <c r="P8492" s="2498"/>
    </row>
    <row r="8493" spans="16:16">
      <c r="P8493" s="2498"/>
    </row>
    <row r="8494" spans="16:16">
      <c r="P8494" s="2498"/>
    </row>
    <row r="8495" spans="16:16">
      <c r="P8495" s="2498"/>
    </row>
    <row r="8496" spans="16:16">
      <c r="P8496" s="2498"/>
    </row>
    <row r="8497" spans="16:16">
      <c r="P8497" s="2498"/>
    </row>
    <row r="8498" spans="16:16">
      <c r="P8498" s="2498"/>
    </row>
    <row r="8499" spans="16:16">
      <c r="P8499" s="2498"/>
    </row>
    <row r="8500" spans="16:16">
      <c r="P8500" s="2498"/>
    </row>
    <row r="8501" spans="16:16">
      <c r="P8501" s="2498"/>
    </row>
    <row r="8502" spans="16:16">
      <c r="P8502" s="2498"/>
    </row>
    <row r="8503" spans="16:16">
      <c r="P8503" s="2498"/>
    </row>
    <row r="8504" spans="16:16">
      <c r="P8504" s="2498"/>
    </row>
    <row r="8505" spans="16:16">
      <c r="P8505" s="2498"/>
    </row>
    <row r="8506" spans="16:16">
      <c r="P8506" s="2498"/>
    </row>
    <row r="8507" spans="16:16">
      <c r="P8507" s="2498"/>
    </row>
    <row r="8508" spans="16:16">
      <c r="P8508" s="2498"/>
    </row>
    <row r="8509" spans="16:16">
      <c r="P8509" s="2498"/>
    </row>
    <row r="8510" spans="16:16">
      <c r="P8510" s="2498"/>
    </row>
    <row r="8511" spans="16:16">
      <c r="P8511" s="2498"/>
    </row>
    <row r="8512" spans="16:16">
      <c r="P8512" s="2498"/>
    </row>
    <row r="8513" spans="16:16">
      <c r="P8513" s="2498"/>
    </row>
    <row r="8514" spans="16:16">
      <c r="P8514" s="2498"/>
    </row>
    <row r="8515" spans="16:16">
      <c r="P8515" s="2498"/>
    </row>
    <row r="8516" spans="16:16">
      <c r="P8516" s="2498"/>
    </row>
    <row r="8517" spans="16:16">
      <c r="P8517" s="2498"/>
    </row>
    <row r="8518" spans="16:16">
      <c r="P8518" s="2498"/>
    </row>
    <row r="8519" spans="16:16">
      <c r="P8519" s="2498"/>
    </row>
    <row r="8520" spans="16:16">
      <c r="P8520" s="2498"/>
    </row>
    <row r="8521" spans="16:16">
      <c r="P8521" s="2498"/>
    </row>
    <row r="8522" spans="16:16">
      <c r="P8522" s="2498"/>
    </row>
    <row r="8523" spans="16:16">
      <c r="P8523" s="2498"/>
    </row>
    <row r="8524" spans="16:16">
      <c r="P8524" s="2498"/>
    </row>
    <row r="8525" spans="16:16">
      <c r="P8525" s="2498"/>
    </row>
    <row r="8526" spans="16:16">
      <c r="P8526" s="2498"/>
    </row>
    <row r="8527" spans="16:16">
      <c r="P8527" s="2498"/>
    </row>
    <row r="8528" spans="16:16">
      <c r="P8528" s="2498"/>
    </row>
    <row r="8529" spans="16:16">
      <c r="P8529" s="2498"/>
    </row>
    <row r="8530" spans="16:16">
      <c r="P8530" s="2498"/>
    </row>
    <row r="8531" spans="16:16">
      <c r="P8531" s="2498"/>
    </row>
    <row r="8532" spans="16:16">
      <c r="P8532" s="2498"/>
    </row>
    <row r="8533" spans="16:16">
      <c r="P8533" s="2498"/>
    </row>
    <row r="8534" spans="16:16">
      <c r="P8534" s="2498"/>
    </row>
    <row r="8535" spans="16:16">
      <c r="P8535" s="2498"/>
    </row>
    <row r="8536" spans="16:16">
      <c r="P8536" s="2498"/>
    </row>
    <row r="8537" spans="16:16">
      <c r="P8537" s="2498"/>
    </row>
    <row r="8538" spans="16:16">
      <c r="P8538" s="2498"/>
    </row>
    <row r="8539" spans="16:16">
      <c r="P8539" s="2498"/>
    </row>
    <row r="8540" spans="16:16">
      <c r="P8540" s="2498"/>
    </row>
    <row r="8541" spans="16:16">
      <c r="P8541" s="2498"/>
    </row>
    <row r="8542" spans="16:16">
      <c r="P8542" s="2498"/>
    </row>
    <row r="8543" spans="16:16">
      <c r="P8543" s="2498"/>
    </row>
    <row r="8544" spans="16:16">
      <c r="P8544" s="2498"/>
    </row>
    <row r="8545" spans="16:16">
      <c r="P8545" s="2498"/>
    </row>
    <row r="8546" spans="16:16">
      <c r="P8546" s="2498"/>
    </row>
    <row r="8547" spans="16:16">
      <c r="P8547" s="2498"/>
    </row>
    <row r="8548" spans="16:16">
      <c r="P8548" s="2498"/>
    </row>
    <row r="8549" spans="16:16">
      <c r="P8549" s="2498"/>
    </row>
    <row r="8550" spans="16:16">
      <c r="P8550" s="2498"/>
    </row>
    <row r="8551" spans="16:16">
      <c r="P8551" s="2498"/>
    </row>
    <row r="8552" spans="16:16">
      <c r="P8552" s="2498"/>
    </row>
    <row r="8553" spans="16:16">
      <c r="P8553" s="2498"/>
    </row>
    <row r="8554" spans="16:16">
      <c r="P8554" s="2498"/>
    </row>
    <row r="8555" spans="16:16">
      <c r="P8555" s="2498"/>
    </row>
    <row r="8556" spans="16:16">
      <c r="P8556" s="2498"/>
    </row>
    <row r="8557" spans="16:16">
      <c r="P8557" s="2498"/>
    </row>
    <row r="8558" spans="16:16">
      <c r="P8558" s="2498"/>
    </row>
    <row r="8559" spans="16:16">
      <c r="P8559" s="2498"/>
    </row>
    <row r="8560" spans="16:16">
      <c r="P8560" s="2498"/>
    </row>
    <row r="8561" spans="16:16">
      <c r="P8561" s="2498"/>
    </row>
    <row r="8562" spans="16:16">
      <c r="P8562" s="2498"/>
    </row>
    <row r="8563" spans="16:16">
      <c r="P8563" s="2498"/>
    </row>
    <row r="8564" spans="16:16">
      <c r="P8564" s="2498"/>
    </row>
    <row r="8565" spans="16:16">
      <c r="P8565" s="2498"/>
    </row>
    <row r="8566" spans="16:16">
      <c r="P8566" s="2498"/>
    </row>
    <row r="8567" spans="16:16">
      <c r="P8567" s="2498"/>
    </row>
    <row r="8568" spans="16:16">
      <c r="P8568" s="2498"/>
    </row>
    <row r="8569" spans="16:16">
      <c r="P8569" s="2498"/>
    </row>
    <row r="8570" spans="16:16">
      <c r="P8570" s="2498"/>
    </row>
    <row r="8571" spans="16:16">
      <c r="P8571" s="2498"/>
    </row>
    <row r="8572" spans="16:16">
      <c r="P8572" s="2498"/>
    </row>
    <row r="8573" spans="16:16">
      <c r="P8573" s="2498"/>
    </row>
    <row r="8574" spans="16:16">
      <c r="P8574" s="2498"/>
    </row>
    <row r="8575" spans="16:16">
      <c r="P8575" s="2498"/>
    </row>
    <row r="8576" spans="16:16">
      <c r="P8576" s="2498"/>
    </row>
    <row r="8577" spans="16:16">
      <c r="P8577" s="2498"/>
    </row>
    <row r="8578" spans="16:16">
      <c r="P8578" s="2498"/>
    </row>
    <row r="8579" spans="16:16">
      <c r="P8579" s="2498"/>
    </row>
    <row r="8580" spans="16:16">
      <c r="P8580" s="2498"/>
    </row>
    <row r="8581" spans="16:16">
      <c r="P8581" s="2498"/>
    </row>
    <row r="8582" spans="16:16">
      <c r="P8582" s="2498"/>
    </row>
    <row r="8583" spans="16:16">
      <c r="P8583" s="2498"/>
    </row>
    <row r="8584" spans="16:16">
      <c r="P8584" s="2498"/>
    </row>
    <row r="8585" spans="16:16">
      <c r="P8585" s="2498"/>
    </row>
    <row r="8586" spans="16:16">
      <c r="P8586" s="2498"/>
    </row>
    <row r="8587" spans="16:16">
      <c r="P8587" s="2498"/>
    </row>
    <row r="8588" spans="16:16">
      <c r="P8588" s="2498"/>
    </row>
    <row r="8589" spans="16:16">
      <c r="P8589" s="2498"/>
    </row>
    <row r="8590" spans="16:16">
      <c r="P8590" s="2498"/>
    </row>
    <row r="8591" spans="16:16">
      <c r="P8591" s="2498"/>
    </row>
    <row r="8592" spans="16:16">
      <c r="P8592" s="2498"/>
    </row>
    <row r="8593" spans="16:16">
      <c r="P8593" s="2498"/>
    </row>
    <row r="8594" spans="16:16">
      <c r="P8594" s="2498"/>
    </row>
    <row r="8595" spans="16:16">
      <c r="P8595" s="2498"/>
    </row>
    <row r="8596" spans="16:16">
      <c r="P8596" s="2498"/>
    </row>
    <row r="8597" spans="16:16">
      <c r="P8597" s="2498"/>
    </row>
    <row r="8598" spans="16:16">
      <c r="P8598" s="2498"/>
    </row>
    <row r="8599" spans="16:16">
      <c r="P8599" s="2498"/>
    </row>
    <row r="8600" spans="16:16">
      <c r="P8600" s="2498"/>
    </row>
    <row r="8601" spans="16:16">
      <c r="P8601" s="2498"/>
    </row>
    <row r="8602" spans="16:16">
      <c r="P8602" s="2498"/>
    </row>
    <row r="8603" spans="16:16">
      <c r="P8603" s="2498"/>
    </row>
    <row r="8604" spans="16:16">
      <c r="P8604" s="2498"/>
    </row>
    <row r="8605" spans="16:16">
      <c r="P8605" s="2498"/>
    </row>
    <row r="8606" spans="16:16">
      <c r="P8606" s="2498"/>
    </row>
    <row r="8607" spans="16:16">
      <c r="P8607" s="2498"/>
    </row>
    <row r="8608" spans="16:16">
      <c r="P8608" s="2498"/>
    </row>
    <row r="8609" spans="16:16">
      <c r="P8609" s="2498"/>
    </row>
    <row r="8610" spans="16:16">
      <c r="P8610" s="2498"/>
    </row>
    <row r="8611" spans="16:16">
      <c r="P8611" s="2498"/>
    </row>
    <row r="8612" spans="16:16">
      <c r="P8612" s="2498"/>
    </row>
    <row r="8613" spans="16:16">
      <c r="P8613" s="2498"/>
    </row>
    <row r="8614" spans="16:16">
      <c r="P8614" s="2498"/>
    </row>
    <row r="8615" spans="16:16">
      <c r="P8615" s="2498"/>
    </row>
    <row r="8616" spans="16:16">
      <c r="P8616" s="2498"/>
    </row>
    <row r="8617" spans="16:16">
      <c r="P8617" s="2498"/>
    </row>
    <row r="8618" spans="16:16">
      <c r="P8618" s="2498"/>
    </row>
    <row r="8619" spans="16:16">
      <c r="P8619" s="2498"/>
    </row>
    <row r="8620" spans="16:16">
      <c r="P8620" s="2498"/>
    </row>
    <row r="8621" spans="16:16">
      <c r="P8621" s="2498"/>
    </row>
    <row r="8622" spans="16:16">
      <c r="P8622" s="2498"/>
    </row>
    <row r="8623" spans="16:16">
      <c r="P8623" s="2498"/>
    </row>
    <row r="8624" spans="16:16">
      <c r="P8624" s="2498"/>
    </row>
    <row r="8625" spans="16:16">
      <c r="P8625" s="2498"/>
    </row>
    <row r="8626" spans="16:16">
      <c r="P8626" s="2498"/>
    </row>
    <row r="8627" spans="16:16">
      <c r="P8627" s="2498"/>
    </row>
    <row r="8628" spans="16:16">
      <c r="P8628" s="2498"/>
    </row>
    <row r="8629" spans="16:16">
      <c r="P8629" s="2498"/>
    </row>
    <row r="8630" spans="16:16">
      <c r="P8630" s="2498"/>
    </row>
    <row r="8631" spans="16:16">
      <c r="P8631" s="2498"/>
    </row>
    <row r="8632" spans="16:16">
      <c r="P8632" s="2498"/>
    </row>
    <row r="8633" spans="16:16">
      <c r="P8633" s="2498"/>
    </row>
    <row r="8634" spans="16:16">
      <c r="P8634" s="2498"/>
    </row>
    <row r="8635" spans="16:16">
      <c r="P8635" s="2498"/>
    </row>
    <row r="8636" spans="16:16">
      <c r="P8636" s="2498"/>
    </row>
    <row r="8637" spans="16:16">
      <c r="P8637" s="2498"/>
    </row>
    <row r="8638" spans="16:16">
      <c r="P8638" s="2498"/>
    </row>
    <row r="8639" spans="16:16">
      <c r="P8639" s="2498"/>
    </row>
    <row r="8640" spans="16:16">
      <c r="P8640" s="2498"/>
    </row>
    <row r="8641" spans="16:16">
      <c r="P8641" s="2498"/>
    </row>
    <row r="8642" spans="16:16">
      <c r="P8642" s="2498"/>
    </row>
    <row r="8643" spans="16:16">
      <c r="P8643" s="2498"/>
    </row>
    <row r="8644" spans="16:16">
      <c r="P8644" s="2498"/>
    </row>
    <row r="8645" spans="16:16">
      <c r="P8645" s="2498"/>
    </row>
    <row r="8646" spans="16:16">
      <c r="P8646" s="2498"/>
    </row>
    <row r="8647" spans="16:16">
      <c r="P8647" s="2498"/>
    </row>
    <row r="8648" spans="16:16">
      <c r="P8648" s="2498"/>
    </row>
    <row r="8649" spans="16:16">
      <c r="P8649" s="2498"/>
    </row>
    <row r="8650" spans="16:16">
      <c r="P8650" s="2498"/>
    </row>
    <row r="8651" spans="16:16">
      <c r="P8651" s="2498"/>
    </row>
    <row r="8652" spans="16:16">
      <c r="P8652" s="2498"/>
    </row>
    <row r="8653" spans="16:16">
      <c r="P8653" s="2498"/>
    </row>
    <row r="8654" spans="16:16">
      <c r="P8654" s="2498"/>
    </row>
    <row r="8655" spans="16:16">
      <c r="P8655" s="2498"/>
    </row>
    <row r="8656" spans="16:16">
      <c r="P8656" s="2498"/>
    </row>
    <row r="8657" spans="16:16">
      <c r="P8657" s="2498"/>
    </row>
    <row r="8658" spans="16:16">
      <c r="P8658" s="2498"/>
    </row>
    <row r="8659" spans="16:16">
      <c r="P8659" s="2498"/>
    </row>
    <row r="8660" spans="16:16">
      <c r="P8660" s="2498"/>
    </row>
    <row r="8661" spans="16:16">
      <c r="P8661" s="2498"/>
    </row>
    <row r="8662" spans="16:16">
      <c r="P8662" s="2498"/>
    </row>
    <row r="8663" spans="16:16">
      <c r="P8663" s="2498"/>
    </row>
    <row r="8664" spans="16:16">
      <c r="P8664" s="2498"/>
    </row>
    <row r="8665" spans="16:16">
      <c r="P8665" s="2498"/>
    </row>
    <row r="8666" spans="16:16">
      <c r="P8666" s="2498"/>
    </row>
    <row r="8667" spans="16:16">
      <c r="P8667" s="2498"/>
    </row>
    <row r="8668" spans="16:16">
      <c r="P8668" s="2498"/>
    </row>
    <row r="8669" spans="16:16">
      <c r="P8669" s="2498"/>
    </row>
    <row r="8670" spans="16:16">
      <c r="P8670" s="2498"/>
    </row>
    <row r="8671" spans="16:16">
      <c r="P8671" s="2498"/>
    </row>
    <row r="8672" spans="16:16">
      <c r="P8672" s="2498"/>
    </row>
    <row r="8673" spans="16:16">
      <c r="P8673" s="2498"/>
    </row>
    <row r="8674" spans="16:16">
      <c r="P8674" s="2498"/>
    </row>
    <row r="8675" spans="16:16">
      <c r="P8675" s="2498"/>
    </row>
    <row r="8676" spans="16:16">
      <c r="P8676" s="2498"/>
    </row>
    <row r="8677" spans="16:16">
      <c r="P8677" s="2498"/>
    </row>
    <row r="8678" spans="16:16">
      <c r="P8678" s="2498"/>
    </row>
    <row r="8679" spans="16:16">
      <c r="P8679" s="2498"/>
    </row>
    <row r="8680" spans="16:16">
      <c r="P8680" s="2498"/>
    </row>
    <row r="8681" spans="16:16">
      <c r="P8681" s="2498"/>
    </row>
    <row r="8682" spans="16:16">
      <c r="P8682" s="2498"/>
    </row>
    <row r="8683" spans="16:16">
      <c r="P8683" s="2498"/>
    </row>
    <row r="8684" spans="16:16">
      <c r="P8684" s="2498"/>
    </row>
    <row r="8685" spans="16:16">
      <c r="P8685" s="2498"/>
    </row>
    <row r="8686" spans="16:16">
      <c r="P8686" s="2498"/>
    </row>
    <row r="8687" spans="16:16">
      <c r="P8687" s="2498"/>
    </row>
    <row r="8688" spans="16:16">
      <c r="P8688" s="2498"/>
    </row>
    <row r="8689" spans="16:16">
      <c r="P8689" s="2498"/>
    </row>
    <row r="8690" spans="16:16">
      <c r="P8690" s="2498"/>
    </row>
    <row r="8691" spans="16:16">
      <c r="P8691" s="2498"/>
    </row>
    <row r="8692" spans="16:16">
      <c r="P8692" s="2498"/>
    </row>
    <row r="8693" spans="16:16">
      <c r="P8693" s="2498"/>
    </row>
    <row r="8694" spans="16:16">
      <c r="P8694" s="2498"/>
    </row>
    <row r="8695" spans="16:16">
      <c r="P8695" s="2498"/>
    </row>
    <row r="8696" spans="16:16">
      <c r="P8696" s="2498"/>
    </row>
    <row r="8697" spans="16:16">
      <c r="P8697" s="2498"/>
    </row>
    <row r="8698" spans="16:16">
      <c r="P8698" s="2498"/>
    </row>
    <row r="8699" spans="16:16">
      <c r="P8699" s="2498"/>
    </row>
    <row r="8700" spans="16:16">
      <c r="P8700" s="2498"/>
    </row>
    <row r="8701" spans="16:16">
      <c r="P8701" s="2498"/>
    </row>
    <row r="8702" spans="16:16">
      <c r="P8702" s="2498"/>
    </row>
    <row r="8703" spans="16:16">
      <c r="P8703" s="2498"/>
    </row>
    <row r="8704" spans="16:16">
      <c r="P8704" s="2498"/>
    </row>
    <row r="8705" spans="16:16">
      <c r="P8705" s="2498"/>
    </row>
    <row r="8706" spans="16:16">
      <c r="P8706" s="2498"/>
    </row>
    <row r="8707" spans="16:16">
      <c r="P8707" s="2498"/>
    </row>
    <row r="8708" spans="16:16">
      <c r="P8708" s="2498"/>
    </row>
    <row r="8709" spans="16:16">
      <c r="P8709" s="2498"/>
    </row>
    <row r="8710" spans="16:16">
      <c r="P8710" s="2498"/>
    </row>
    <row r="8711" spans="16:16">
      <c r="P8711" s="2498"/>
    </row>
    <row r="8712" spans="16:16">
      <c r="P8712" s="2498"/>
    </row>
    <row r="8713" spans="16:16">
      <c r="P8713" s="2498"/>
    </row>
    <row r="8714" spans="16:16">
      <c r="P8714" s="2498"/>
    </row>
    <row r="8715" spans="16:16">
      <c r="P8715" s="2498"/>
    </row>
    <row r="8716" spans="16:16">
      <c r="P8716" s="2498"/>
    </row>
    <row r="8717" spans="16:16">
      <c r="P8717" s="2498"/>
    </row>
    <row r="8718" spans="16:16">
      <c r="P8718" s="2498"/>
    </row>
    <row r="8719" spans="16:16">
      <c r="P8719" s="2498"/>
    </row>
    <row r="8720" spans="16:16">
      <c r="P8720" s="2498"/>
    </row>
    <row r="8721" spans="16:16">
      <c r="P8721" s="2498"/>
    </row>
    <row r="8722" spans="16:16">
      <c r="P8722" s="2498"/>
    </row>
    <row r="8723" spans="16:16">
      <c r="P8723" s="2498"/>
    </row>
    <row r="8724" spans="16:16">
      <c r="P8724" s="2498"/>
    </row>
    <row r="8725" spans="16:16">
      <c r="P8725" s="2498"/>
    </row>
    <row r="8726" spans="16:16">
      <c r="P8726" s="2498"/>
    </row>
    <row r="8727" spans="16:16">
      <c r="P8727" s="2498"/>
    </row>
    <row r="8728" spans="16:16">
      <c r="P8728" s="2498"/>
    </row>
    <row r="8729" spans="16:16">
      <c r="P8729" s="2498"/>
    </row>
    <row r="8730" spans="16:16">
      <c r="P8730" s="2498"/>
    </row>
    <row r="8731" spans="16:16">
      <c r="P8731" s="2498"/>
    </row>
    <row r="8732" spans="16:16">
      <c r="P8732" s="2498"/>
    </row>
    <row r="8733" spans="16:16">
      <c r="P8733" s="2498"/>
    </row>
    <row r="8734" spans="16:16">
      <c r="P8734" s="2498"/>
    </row>
    <row r="8735" spans="16:16">
      <c r="P8735" s="2498"/>
    </row>
    <row r="8736" spans="16:16">
      <c r="P8736" s="2498"/>
    </row>
    <row r="8737" spans="16:16">
      <c r="P8737" s="2498"/>
    </row>
    <row r="8738" spans="16:16">
      <c r="P8738" s="2498"/>
    </row>
    <row r="8739" spans="16:16">
      <c r="P8739" s="2498"/>
    </row>
    <row r="8740" spans="16:16">
      <c r="P8740" s="2498"/>
    </row>
    <row r="8741" spans="16:16">
      <c r="P8741" s="2498"/>
    </row>
    <row r="8742" spans="16:16">
      <c r="P8742" s="2498"/>
    </row>
    <row r="8743" spans="16:16">
      <c r="P8743" s="2498"/>
    </row>
    <row r="8744" spans="16:16">
      <c r="P8744" s="2498"/>
    </row>
    <row r="8745" spans="16:16">
      <c r="P8745" s="2498"/>
    </row>
    <row r="8746" spans="16:16">
      <c r="P8746" s="2498"/>
    </row>
    <row r="8747" spans="16:16">
      <c r="P8747" s="2498"/>
    </row>
    <row r="8748" spans="16:16">
      <c r="P8748" s="2498"/>
    </row>
    <row r="8749" spans="16:16">
      <c r="P8749" s="2498"/>
    </row>
    <row r="8750" spans="16:16">
      <c r="P8750" s="2498"/>
    </row>
    <row r="8751" spans="16:16">
      <c r="P8751" s="2498"/>
    </row>
    <row r="8752" spans="16:16">
      <c r="P8752" s="2498"/>
    </row>
    <row r="8753" spans="16:16">
      <c r="P8753" s="2498"/>
    </row>
    <row r="8754" spans="16:16">
      <c r="P8754" s="2498"/>
    </row>
    <row r="8755" spans="16:16">
      <c r="P8755" s="2498"/>
    </row>
    <row r="8756" spans="16:16">
      <c r="P8756" s="2498"/>
    </row>
    <row r="8757" spans="16:16">
      <c r="P8757" s="2498"/>
    </row>
    <row r="8758" spans="16:16">
      <c r="P8758" s="2498"/>
    </row>
    <row r="8759" spans="16:16">
      <c r="P8759" s="2498"/>
    </row>
    <row r="8760" spans="16:16">
      <c r="P8760" s="2498"/>
    </row>
    <row r="8761" spans="16:16">
      <c r="P8761" s="2498"/>
    </row>
    <row r="8762" spans="16:16">
      <c r="P8762" s="2498"/>
    </row>
    <row r="8763" spans="16:16">
      <c r="P8763" s="2498"/>
    </row>
    <row r="8764" spans="16:16">
      <c r="P8764" s="2498"/>
    </row>
    <row r="8765" spans="16:16">
      <c r="P8765" s="2498"/>
    </row>
    <row r="8766" spans="16:16">
      <c r="P8766" s="2498"/>
    </row>
    <row r="8767" spans="16:16">
      <c r="P8767" s="2498"/>
    </row>
    <row r="8768" spans="16:16">
      <c r="P8768" s="2498"/>
    </row>
    <row r="8769" spans="16:16">
      <c r="P8769" s="2498"/>
    </row>
    <row r="8770" spans="16:16">
      <c r="P8770" s="2498"/>
    </row>
    <row r="8771" spans="16:16">
      <c r="P8771" s="2498"/>
    </row>
    <row r="8772" spans="16:16">
      <c r="P8772" s="2498"/>
    </row>
    <row r="8773" spans="16:16">
      <c r="P8773" s="2498"/>
    </row>
    <row r="8774" spans="16:16">
      <c r="P8774" s="2498"/>
    </row>
    <row r="8775" spans="16:16">
      <c r="P8775" s="2498"/>
    </row>
    <row r="8776" spans="16:16">
      <c r="P8776" s="2498"/>
    </row>
    <row r="8777" spans="16:16">
      <c r="P8777" s="2498"/>
    </row>
    <row r="8778" spans="16:16">
      <c r="P8778" s="2498"/>
    </row>
    <row r="8779" spans="16:16">
      <c r="P8779" s="2498"/>
    </row>
    <row r="8780" spans="16:16">
      <c r="P8780" s="2498"/>
    </row>
    <row r="8781" spans="16:16">
      <c r="P8781" s="2498"/>
    </row>
    <row r="8782" spans="16:16">
      <c r="P8782" s="2498"/>
    </row>
    <row r="8783" spans="16:16">
      <c r="P8783" s="2498"/>
    </row>
    <row r="8784" spans="16:16">
      <c r="P8784" s="2498"/>
    </row>
    <row r="8785" spans="16:16">
      <c r="P8785" s="2498"/>
    </row>
    <row r="8786" spans="16:16">
      <c r="P8786" s="2498"/>
    </row>
    <row r="8787" spans="16:16">
      <c r="P8787" s="2498"/>
    </row>
    <row r="8788" spans="16:16">
      <c r="P8788" s="2498"/>
    </row>
    <row r="8789" spans="16:16">
      <c r="P8789" s="2498"/>
    </row>
    <row r="8790" spans="16:16">
      <c r="P8790" s="2498"/>
    </row>
    <row r="8791" spans="16:16">
      <c r="P8791" s="2498"/>
    </row>
    <row r="8792" spans="16:16">
      <c r="P8792" s="2498"/>
    </row>
    <row r="8793" spans="16:16">
      <c r="P8793" s="2498"/>
    </row>
    <row r="8794" spans="16:16">
      <c r="P8794" s="2498"/>
    </row>
    <row r="8795" spans="16:16">
      <c r="P8795" s="2498"/>
    </row>
    <row r="8796" spans="16:16">
      <c r="P8796" s="2498"/>
    </row>
    <row r="8797" spans="16:16">
      <c r="P8797" s="2498"/>
    </row>
    <row r="8798" spans="16:16">
      <c r="P8798" s="2498"/>
    </row>
    <row r="8799" spans="16:16">
      <c r="P8799" s="2498"/>
    </row>
    <row r="8800" spans="16:16">
      <c r="P8800" s="2498"/>
    </row>
    <row r="8801" spans="16:16">
      <c r="P8801" s="2498"/>
    </row>
    <row r="8802" spans="16:16">
      <c r="P8802" s="2498"/>
    </row>
    <row r="8803" spans="16:16">
      <c r="P8803" s="2498"/>
    </row>
    <row r="8804" spans="16:16">
      <c r="P8804" s="2498"/>
    </row>
    <row r="8805" spans="16:16">
      <c r="P8805" s="2498"/>
    </row>
    <row r="8806" spans="16:16">
      <c r="P8806" s="2498"/>
    </row>
    <row r="8807" spans="16:16">
      <c r="P8807" s="2498"/>
    </row>
    <row r="8808" spans="16:16">
      <c r="P8808" s="2498"/>
    </row>
    <row r="8809" spans="16:16">
      <c r="P8809" s="2498"/>
    </row>
    <row r="8810" spans="16:16">
      <c r="P8810" s="2498"/>
    </row>
    <row r="8811" spans="16:16">
      <c r="P8811" s="2498"/>
    </row>
    <row r="8812" spans="16:16">
      <c r="P8812" s="2498"/>
    </row>
    <row r="8813" spans="16:16">
      <c r="P8813" s="2498"/>
    </row>
    <row r="8814" spans="16:16">
      <c r="P8814" s="2498"/>
    </row>
    <row r="8815" spans="16:16">
      <c r="P8815" s="2498"/>
    </row>
    <row r="8816" spans="16:16">
      <c r="P8816" s="2498"/>
    </row>
    <row r="8817" spans="16:16">
      <c r="P8817" s="2498"/>
    </row>
    <row r="8818" spans="16:16">
      <c r="P8818" s="2498"/>
    </row>
    <row r="8819" spans="16:16">
      <c r="P8819" s="2498"/>
    </row>
    <row r="8820" spans="16:16">
      <c r="P8820" s="2498"/>
    </row>
    <row r="8821" spans="16:16">
      <c r="P8821" s="2498"/>
    </row>
    <row r="8822" spans="16:16">
      <c r="P8822" s="2498"/>
    </row>
    <row r="8823" spans="16:16">
      <c r="P8823" s="2498"/>
    </row>
    <row r="8824" spans="16:16">
      <c r="P8824" s="2498"/>
    </row>
    <row r="8825" spans="16:16">
      <c r="P8825" s="2498"/>
    </row>
    <row r="8826" spans="16:16">
      <c r="P8826" s="2498"/>
    </row>
    <row r="8827" spans="16:16">
      <c r="P8827" s="2498"/>
    </row>
    <row r="8828" spans="16:16">
      <c r="P8828" s="2498"/>
    </row>
    <row r="8829" spans="16:16">
      <c r="P8829" s="2498"/>
    </row>
    <row r="8830" spans="16:16">
      <c r="P8830" s="2498"/>
    </row>
    <row r="8831" spans="16:16">
      <c r="P8831" s="2498"/>
    </row>
    <row r="8832" spans="16:16">
      <c r="P8832" s="2498"/>
    </row>
    <row r="8833" spans="16:16">
      <c r="P8833" s="2498"/>
    </row>
    <row r="8834" spans="16:16">
      <c r="P8834" s="2498"/>
    </row>
    <row r="8835" spans="16:16">
      <c r="P8835" s="2498"/>
    </row>
    <row r="8836" spans="16:16">
      <c r="P8836" s="2498"/>
    </row>
    <row r="8837" spans="16:16">
      <c r="P8837" s="2498"/>
    </row>
    <row r="8838" spans="16:16">
      <c r="P8838" s="2498"/>
    </row>
    <row r="8839" spans="16:16">
      <c r="P8839" s="2498"/>
    </row>
    <row r="8840" spans="16:16">
      <c r="P8840" s="2498"/>
    </row>
    <row r="8841" spans="16:16">
      <c r="P8841" s="2498"/>
    </row>
    <row r="8842" spans="16:16">
      <c r="P8842" s="2498"/>
    </row>
    <row r="8843" spans="16:16">
      <c r="P8843" s="2498"/>
    </row>
    <row r="8844" spans="16:16">
      <c r="P8844" s="2498"/>
    </row>
    <row r="8845" spans="16:16">
      <c r="P8845" s="2498"/>
    </row>
    <row r="8846" spans="16:16">
      <c r="P8846" s="2498"/>
    </row>
    <row r="8847" spans="16:16">
      <c r="P8847" s="2498"/>
    </row>
    <row r="8848" spans="16:16">
      <c r="P8848" s="2498"/>
    </row>
    <row r="8849" spans="16:16">
      <c r="P8849" s="2498"/>
    </row>
    <row r="8850" spans="16:16">
      <c r="P8850" s="2498"/>
    </row>
    <row r="8851" spans="16:16">
      <c r="P8851" s="2498"/>
    </row>
    <row r="8852" spans="16:16">
      <c r="P8852" s="2498"/>
    </row>
    <row r="8853" spans="16:16">
      <c r="P8853" s="2498"/>
    </row>
    <row r="8854" spans="16:16">
      <c r="P8854" s="2498"/>
    </row>
    <row r="8855" spans="16:16">
      <c r="P8855" s="2498"/>
    </row>
    <row r="8856" spans="16:16">
      <c r="P8856" s="2498"/>
    </row>
    <row r="8857" spans="16:16">
      <c r="P8857" s="2498"/>
    </row>
    <row r="8858" spans="16:16">
      <c r="P8858" s="2498"/>
    </row>
    <row r="8859" spans="16:16">
      <c r="P8859" s="2498"/>
    </row>
    <row r="8860" spans="16:16">
      <c r="P8860" s="2498"/>
    </row>
    <row r="8861" spans="16:16">
      <c r="P8861" s="2498"/>
    </row>
    <row r="8862" spans="16:16">
      <c r="P8862" s="2498"/>
    </row>
    <row r="8863" spans="16:16">
      <c r="P8863" s="2498"/>
    </row>
    <row r="8864" spans="16:16">
      <c r="P8864" s="2498"/>
    </row>
    <row r="8865" spans="16:16">
      <c r="P8865" s="2498"/>
    </row>
    <row r="8866" spans="16:16">
      <c r="P8866" s="2498"/>
    </row>
    <row r="8867" spans="16:16">
      <c r="P8867" s="2498"/>
    </row>
    <row r="8868" spans="16:16">
      <c r="P8868" s="2498"/>
    </row>
    <row r="8869" spans="16:16">
      <c r="P8869" s="2498"/>
    </row>
    <row r="8870" spans="16:16">
      <c r="P8870" s="2498"/>
    </row>
    <row r="8871" spans="16:16">
      <c r="P8871" s="2498"/>
    </row>
    <row r="8872" spans="16:16">
      <c r="P8872" s="2498"/>
    </row>
    <row r="8873" spans="16:16">
      <c r="P8873" s="2498"/>
    </row>
    <row r="8874" spans="16:16">
      <c r="P8874" s="2498"/>
    </row>
    <row r="8875" spans="16:16">
      <c r="P8875" s="2498"/>
    </row>
    <row r="8876" spans="16:16">
      <c r="P8876" s="2498"/>
    </row>
    <row r="8877" spans="16:16">
      <c r="P8877" s="2498"/>
    </row>
    <row r="8878" spans="16:16">
      <c r="P8878" s="2498"/>
    </row>
    <row r="8879" spans="16:16">
      <c r="P8879" s="2498"/>
    </row>
    <row r="8880" spans="16:16">
      <c r="P8880" s="2498"/>
    </row>
    <row r="8881" spans="16:16">
      <c r="P8881" s="2498"/>
    </row>
    <row r="8882" spans="16:16">
      <c r="P8882" s="2498"/>
    </row>
    <row r="8883" spans="16:16">
      <c r="P8883" s="2498"/>
    </row>
    <row r="8884" spans="16:16">
      <c r="P8884" s="2498"/>
    </row>
    <row r="8885" spans="16:16">
      <c r="P8885" s="2498"/>
    </row>
    <row r="8886" spans="16:16">
      <c r="P8886" s="2498"/>
    </row>
    <row r="8887" spans="16:16">
      <c r="P8887" s="2498"/>
    </row>
    <row r="8888" spans="16:16">
      <c r="P8888" s="2498"/>
    </row>
    <row r="8889" spans="16:16">
      <c r="P8889" s="2498"/>
    </row>
    <row r="8890" spans="16:16">
      <c r="P8890" s="2498"/>
    </row>
    <row r="8891" spans="16:16">
      <c r="P8891" s="2498"/>
    </row>
    <row r="8892" spans="16:16">
      <c r="P8892" s="2498"/>
    </row>
    <row r="8893" spans="16:16">
      <c r="P8893" s="2498"/>
    </row>
    <row r="8894" spans="16:16">
      <c r="P8894" s="2498"/>
    </row>
    <row r="8895" spans="16:16">
      <c r="P8895" s="2498"/>
    </row>
    <row r="8896" spans="16:16">
      <c r="P8896" s="2498"/>
    </row>
    <row r="8897" spans="16:16">
      <c r="P8897" s="2498"/>
    </row>
    <row r="8898" spans="16:16">
      <c r="P8898" s="2498"/>
    </row>
    <row r="8899" spans="16:16">
      <c r="P8899" s="2498"/>
    </row>
    <row r="8900" spans="16:16">
      <c r="P8900" s="2498"/>
    </row>
    <row r="8901" spans="16:16">
      <c r="P8901" s="2498"/>
    </row>
    <row r="8902" spans="16:16">
      <c r="P8902" s="2498"/>
    </row>
    <row r="8903" spans="16:16">
      <c r="P8903" s="2498"/>
    </row>
    <row r="8904" spans="16:16">
      <c r="P8904" s="2498"/>
    </row>
    <row r="8905" spans="16:16">
      <c r="P8905" s="2498"/>
    </row>
    <row r="8906" spans="16:16">
      <c r="P8906" s="2498"/>
    </row>
    <row r="8907" spans="16:16">
      <c r="P8907" s="2498"/>
    </row>
    <row r="8908" spans="16:16">
      <c r="P8908" s="2498"/>
    </row>
    <row r="8909" spans="16:16">
      <c r="P8909" s="2498"/>
    </row>
    <row r="8910" spans="16:16">
      <c r="P8910" s="2498"/>
    </row>
    <row r="8911" spans="16:16">
      <c r="P8911" s="2498"/>
    </row>
    <row r="8912" spans="16:16">
      <c r="P8912" s="2498"/>
    </row>
    <row r="8913" spans="16:16">
      <c r="P8913" s="2498"/>
    </row>
    <row r="8914" spans="16:16">
      <c r="P8914" s="2498"/>
    </row>
    <row r="8915" spans="16:16">
      <c r="P8915" s="2498"/>
    </row>
    <row r="8916" spans="16:16">
      <c r="P8916" s="2498"/>
    </row>
    <row r="8917" spans="16:16">
      <c r="P8917" s="2498"/>
    </row>
    <row r="8918" spans="16:16">
      <c r="P8918" s="2498"/>
    </row>
    <row r="8919" spans="16:16">
      <c r="P8919" s="2498"/>
    </row>
    <row r="8920" spans="16:16">
      <c r="P8920" s="2498"/>
    </row>
    <row r="8921" spans="16:16">
      <c r="P8921" s="2498"/>
    </row>
    <row r="8922" spans="16:16">
      <c r="P8922" s="2498"/>
    </row>
    <row r="8923" spans="16:16">
      <c r="P8923" s="2498"/>
    </row>
    <row r="8924" spans="16:16">
      <c r="P8924" s="2498"/>
    </row>
    <row r="8925" spans="16:16">
      <c r="P8925" s="2498"/>
    </row>
    <row r="8926" spans="16:16">
      <c r="P8926" s="2498"/>
    </row>
    <row r="8927" spans="16:16">
      <c r="P8927" s="2498"/>
    </row>
    <row r="8928" spans="16:16">
      <c r="P8928" s="2498"/>
    </row>
    <row r="8929" spans="16:16">
      <c r="P8929" s="2498"/>
    </row>
    <row r="8930" spans="16:16">
      <c r="P8930" s="2498"/>
    </row>
    <row r="8931" spans="16:16">
      <c r="P8931" s="2498"/>
    </row>
    <row r="8932" spans="16:16">
      <c r="P8932" s="2498"/>
    </row>
    <row r="8933" spans="16:16">
      <c r="P8933" s="2498"/>
    </row>
    <row r="8934" spans="16:16">
      <c r="P8934" s="2498"/>
    </row>
    <row r="8935" spans="16:16">
      <c r="P8935" s="2498"/>
    </row>
    <row r="8936" spans="16:16">
      <c r="P8936" s="2498"/>
    </row>
    <row r="8937" spans="16:16">
      <c r="P8937" s="2498"/>
    </row>
    <row r="8938" spans="16:16">
      <c r="P8938" s="2498"/>
    </row>
    <row r="8939" spans="16:16">
      <c r="P8939" s="2498"/>
    </row>
    <row r="8940" spans="16:16">
      <c r="P8940" s="2498"/>
    </row>
    <row r="8941" spans="16:16">
      <c r="P8941" s="2498"/>
    </row>
    <row r="8942" spans="16:16">
      <c r="P8942" s="2498"/>
    </row>
    <row r="8943" spans="16:16">
      <c r="P8943" s="2498"/>
    </row>
    <row r="8944" spans="16:16">
      <c r="P8944" s="2498"/>
    </row>
    <row r="8945" spans="16:16">
      <c r="P8945" s="2498"/>
    </row>
    <row r="8946" spans="16:16">
      <c r="P8946" s="2498"/>
    </row>
    <row r="8947" spans="16:16">
      <c r="P8947" s="2498"/>
    </row>
    <row r="8948" spans="16:16">
      <c r="P8948" s="2498"/>
    </row>
    <row r="8949" spans="16:16">
      <c r="P8949" s="2498"/>
    </row>
    <row r="8950" spans="16:16">
      <c r="P8950" s="2498"/>
    </row>
    <row r="8951" spans="16:16">
      <c r="P8951" s="2498"/>
    </row>
    <row r="8952" spans="16:16">
      <c r="P8952" s="2498"/>
    </row>
    <row r="8953" spans="16:16">
      <c r="P8953" s="2498"/>
    </row>
    <row r="8954" spans="16:16">
      <c r="P8954" s="2498"/>
    </row>
    <row r="8955" spans="16:16">
      <c r="P8955" s="2498"/>
    </row>
    <row r="8956" spans="16:16">
      <c r="P8956" s="2498"/>
    </row>
    <row r="8957" spans="16:16">
      <c r="P8957" s="2498"/>
    </row>
    <row r="8958" spans="16:16">
      <c r="P8958" s="2498"/>
    </row>
    <row r="8959" spans="16:16">
      <c r="P8959" s="2498"/>
    </row>
    <row r="8960" spans="16:16">
      <c r="P8960" s="2498"/>
    </row>
    <row r="8961" spans="16:16">
      <c r="P8961" s="2498"/>
    </row>
    <row r="8962" spans="16:16">
      <c r="P8962" s="2498"/>
    </row>
    <row r="8963" spans="16:16">
      <c r="P8963" s="2498"/>
    </row>
    <row r="8964" spans="16:16">
      <c r="P8964" s="2498"/>
    </row>
    <row r="8965" spans="16:16">
      <c r="P8965" s="2498"/>
    </row>
    <row r="8966" spans="16:16">
      <c r="P8966" s="2498"/>
    </row>
    <row r="8967" spans="16:16">
      <c r="P8967" s="2498"/>
    </row>
    <row r="8968" spans="16:16">
      <c r="P8968" s="2498"/>
    </row>
    <row r="8969" spans="16:16">
      <c r="P8969" s="2498"/>
    </row>
    <row r="8970" spans="16:16">
      <c r="P8970" s="2498"/>
    </row>
    <row r="8971" spans="16:16">
      <c r="P8971" s="2498"/>
    </row>
    <row r="8972" spans="16:16">
      <c r="P8972" s="2498"/>
    </row>
    <row r="8973" spans="16:16">
      <c r="P8973" s="2498"/>
    </row>
    <row r="8974" spans="16:16">
      <c r="P8974" s="2498"/>
    </row>
    <row r="8975" spans="16:16">
      <c r="P8975" s="2498"/>
    </row>
    <row r="8976" spans="16:16">
      <c r="P8976" s="2498"/>
    </row>
    <row r="8977" spans="16:16">
      <c r="P8977" s="2498"/>
    </row>
    <row r="8978" spans="16:16">
      <c r="P8978" s="2498"/>
    </row>
    <row r="8979" spans="16:16">
      <c r="P8979" s="2498"/>
    </row>
    <row r="8980" spans="16:16">
      <c r="P8980" s="2498"/>
    </row>
    <row r="8981" spans="16:16">
      <c r="P8981" s="2498"/>
    </row>
    <row r="8982" spans="16:16">
      <c r="P8982" s="2498"/>
    </row>
    <row r="8983" spans="16:16">
      <c r="P8983" s="2498"/>
    </row>
    <row r="8984" spans="16:16">
      <c r="P8984" s="2498"/>
    </row>
    <row r="8985" spans="16:16">
      <c r="P8985" s="2498"/>
    </row>
    <row r="8986" spans="16:16">
      <c r="P8986" s="2498"/>
    </row>
    <row r="8987" spans="16:16">
      <c r="P8987" s="2498"/>
    </row>
    <row r="8988" spans="16:16">
      <c r="P8988" s="2498"/>
    </row>
    <row r="8989" spans="16:16">
      <c r="P8989" s="2498"/>
    </row>
    <row r="8990" spans="16:16">
      <c r="P8990" s="2498"/>
    </row>
    <row r="8991" spans="16:16">
      <c r="P8991" s="2498"/>
    </row>
    <row r="8992" spans="16:16">
      <c r="P8992" s="2498"/>
    </row>
    <row r="8993" spans="16:16">
      <c r="P8993" s="2498"/>
    </row>
    <row r="8994" spans="16:16">
      <c r="P8994" s="2498"/>
    </row>
    <row r="8995" spans="16:16">
      <c r="P8995" s="2498"/>
    </row>
    <row r="8996" spans="16:16">
      <c r="P8996" s="2498"/>
    </row>
    <row r="8997" spans="16:16">
      <c r="P8997" s="2498"/>
    </row>
    <row r="8998" spans="16:16">
      <c r="P8998" s="2498"/>
    </row>
    <row r="8999" spans="16:16">
      <c r="P8999" s="2498"/>
    </row>
    <row r="9000" spans="16:16">
      <c r="P9000" s="2498"/>
    </row>
    <row r="9001" spans="16:16">
      <c r="P9001" s="2498"/>
    </row>
    <row r="9002" spans="16:16">
      <c r="P9002" s="2498"/>
    </row>
    <row r="9003" spans="16:16">
      <c r="P9003" s="2498"/>
    </row>
    <row r="9004" spans="16:16">
      <c r="P9004" s="2498"/>
    </row>
    <row r="9005" spans="16:16">
      <c r="P9005" s="2498"/>
    </row>
    <row r="9006" spans="16:16">
      <c r="P9006" s="2498"/>
    </row>
    <row r="9007" spans="16:16">
      <c r="P9007" s="2498"/>
    </row>
    <row r="9008" spans="16:16">
      <c r="P9008" s="2498"/>
    </row>
    <row r="9009" spans="16:16">
      <c r="P9009" s="2498"/>
    </row>
    <row r="9010" spans="16:16">
      <c r="P9010" s="2498"/>
    </row>
    <row r="9011" spans="16:16">
      <c r="P9011" s="2498"/>
    </row>
    <row r="9012" spans="16:16">
      <c r="P9012" s="2498"/>
    </row>
    <row r="9013" spans="16:16">
      <c r="P9013" s="2498"/>
    </row>
    <row r="9014" spans="16:16">
      <c r="P9014" s="2498"/>
    </row>
    <row r="9015" spans="16:16">
      <c r="P9015" s="2498"/>
    </row>
    <row r="9016" spans="16:16">
      <c r="P9016" s="2498"/>
    </row>
    <row r="9017" spans="16:16">
      <c r="P9017" s="2498"/>
    </row>
    <row r="9018" spans="16:16">
      <c r="P9018" s="2498"/>
    </row>
    <row r="9019" spans="16:16">
      <c r="P9019" s="2498"/>
    </row>
    <row r="9020" spans="16:16">
      <c r="P9020" s="2498"/>
    </row>
    <row r="9021" spans="16:16">
      <c r="P9021" s="2498"/>
    </row>
    <row r="9022" spans="16:16">
      <c r="P9022" s="2498"/>
    </row>
    <row r="9023" spans="16:16">
      <c r="P9023" s="2498"/>
    </row>
    <row r="9024" spans="16:16">
      <c r="P9024" s="2498"/>
    </row>
    <row r="9025" spans="16:16">
      <c r="P9025" s="2498"/>
    </row>
    <row r="9026" spans="16:16">
      <c r="P9026" s="2498"/>
    </row>
    <row r="9027" spans="16:16">
      <c r="P9027" s="2498"/>
    </row>
    <row r="9028" spans="16:16">
      <c r="P9028" s="2498"/>
    </row>
    <row r="9029" spans="16:16">
      <c r="P9029" s="2498"/>
    </row>
    <row r="9030" spans="16:16">
      <c r="P9030" s="2498"/>
    </row>
    <row r="9031" spans="16:16">
      <c r="P9031" s="2498"/>
    </row>
    <row r="9032" spans="16:16">
      <c r="P9032" s="2498"/>
    </row>
    <row r="9033" spans="16:16">
      <c r="P9033" s="2498"/>
    </row>
    <row r="9034" spans="16:16">
      <c r="P9034" s="2498"/>
    </row>
    <row r="9035" spans="16:16">
      <c r="P9035" s="2498"/>
    </row>
    <row r="9036" spans="16:16">
      <c r="P9036" s="2498"/>
    </row>
    <row r="9037" spans="16:16">
      <c r="P9037" s="2498"/>
    </row>
    <row r="9038" spans="16:16">
      <c r="P9038" s="2498"/>
    </row>
    <row r="9039" spans="16:16">
      <c r="P9039" s="2498"/>
    </row>
    <row r="9040" spans="16:16">
      <c r="P9040" s="2498"/>
    </row>
    <row r="9041" spans="16:16">
      <c r="P9041" s="2498"/>
    </row>
    <row r="9042" spans="16:16">
      <c r="P9042" s="2498"/>
    </row>
    <row r="9043" spans="16:16">
      <c r="P9043" s="2498"/>
    </row>
    <row r="9044" spans="16:16">
      <c r="P9044" s="2498"/>
    </row>
    <row r="9045" spans="16:16">
      <c r="P9045" s="2498"/>
    </row>
    <row r="9046" spans="16:16">
      <c r="P9046" s="2498"/>
    </row>
    <row r="9047" spans="16:16">
      <c r="P9047" s="2498"/>
    </row>
    <row r="9048" spans="16:16">
      <c r="P9048" s="2498"/>
    </row>
    <row r="9049" spans="16:16">
      <c r="P9049" s="2498"/>
    </row>
    <row r="9050" spans="16:16">
      <c r="P9050" s="2498"/>
    </row>
    <row r="9051" spans="16:16">
      <c r="P9051" s="2498"/>
    </row>
    <row r="9052" spans="16:16">
      <c r="P9052" s="2498"/>
    </row>
    <row r="9053" spans="16:16">
      <c r="P9053" s="2498"/>
    </row>
    <row r="9054" spans="16:16">
      <c r="P9054" s="2498"/>
    </row>
    <row r="9055" spans="16:16">
      <c r="P9055" s="2498"/>
    </row>
    <row r="9056" spans="16:16">
      <c r="P9056" s="2498"/>
    </row>
    <row r="9057" spans="16:16">
      <c r="P9057" s="2498"/>
    </row>
    <row r="9058" spans="16:16">
      <c r="P9058" s="2498"/>
    </row>
    <row r="9059" spans="16:16">
      <c r="P9059" s="2498"/>
    </row>
    <row r="9060" spans="16:16">
      <c r="P9060" s="2498"/>
    </row>
    <row r="9061" spans="16:16">
      <c r="P9061" s="2498"/>
    </row>
    <row r="9062" spans="16:16">
      <c r="P9062" s="2498"/>
    </row>
    <row r="9063" spans="16:16">
      <c r="P9063" s="2498"/>
    </row>
    <row r="9064" spans="16:16">
      <c r="P9064" s="2498"/>
    </row>
    <row r="9065" spans="16:16">
      <c r="P9065" s="2498"/>
    </row>
    <row r="9066" spans="16:16">
      <c r="P9066" s="2498"/>
    </row>
    <row r="9067" spans="16:16">
      <c r="P9067" s="2498"/>
    </row>
    <row r="9068" spans="16:16">
      <c r="P9068" s="2498"/>
    </row>
    <row r="9069" spans="16:16">
      <c r="P9069" s="2498"/>
    </row>
    <row r="9070" spans="16:16">
      <c r="P9070" s="2498"/>
    </row>
    <row r="9071" spans="16:16">
      <c r="P9071" s="2498"/>
    </row>
    <row r="9072" spans="16:16">
      <c r="P9072" s="2498"/>
    </row>
    <row r="9073" spans="16:16">
      <c r="P9073" s="2498"/>
    </row>
    <row r="9074" spans="16:16">
      <c r="P9074" s="2498"/>
    </row>
    <row r="9075" spans="16:16">
      <c r="P9075" s="2498"/>
    </row>
    <row r="9076" spans="16:16">
      <c r="P9076" s="2498"/>
    </row>
    <row r="9077" spans="16:16">
      <c r="P9077" s="2498"/>
    </row>
    <row r="9078" spans="16:16">
      <c r="P9078" s="2498"/>
    </row>
    <row r="9079" spans="16:16">
      <c r="P9079" s="2498"/>
    </row>
    <row r="9080" spans="16:16">
      <c r="P9080" s="2498"/>
    </row>
    <row r="9081" spans="16:16">
      <c r="P9081" s="2498"/>
    </row>
    <row r="9082" spans="16:16">
      <c r="P9082" s="2498"/>
    </row>
    <row r="9083" spans="16:16">
      <c r="P9083" s="2498"/>
    </row>
    <row r="9084" spans="16:16">
      <c r="P9084" s="2498"/>
    </row>
    <row r="9085" spans="16:16">
      <c r="P9085" s="2498"/>
    </row>
    <row r="9086" spans="16:16">
      <c r="P9086" s="2498"/>
    </row>
    <row r="9087" spans="16:16">
      <c r="P9087" s="2498"/>
    </row>
    <row r="9088" spans="16:16">
      <c r="P9088" s="2498"/>
    </row>
    <row r="9089" spans="16:16">
      <c r="P9089" s="2498"/>
    </row>
    <row r="9090" spans="16:16">
      <c r="P9090" s="2498"/>
    </row>
    <row r="9091" spans="16:16">
      <c r="P9091" s="2498"/>
    </row>
    <row r="9092" spans="16:16">
      <c r="P9092" s="2498"/>
    </row>
    <row r="9093" spans="16:16">
      <c r="P9093" s="2498"/>
    </row>
    <row r="9094" spans="16:16">
      <c r="P9094" s="2498"/>
    </row>
    <row r="9095" spans="16:16">
      <c r="P9095" s="2498"/>
    </row>
    <row r="9096" spans="16:16">
      <c r="P9096" s="2498"/>
    </row>
    <row r="9097" spans="16:16">
      <c r="P9097" s="2498"/>
    </row>
    <row r="9098" spans="16:16">
      <c r="P9098" s="2498"/>
    </row>
    <row r="9099" spans="16:16">
      <c r="P9099" s="2498"/>
    </row>
    <row r="9100" spans="16:16">
      <c r="P9100" s="2498"/>
    </row>
    <row r="9101" spans="16:16">
      <c r="P9101" s="2498"/>
    </row>
    <row r="9102" spans="16:16">
      <c r="P9102" s="2498"/>
    </row>
    <row r="9103" spans="16:16">
      <c r="P9103" s="2498"/>
    </row>
    <row r="9104" spans="16:16">
      <c r="P9104" s="2498"/>
    </row>
    <row r="9105" spans="16:16">
      <c r="P9105" s="2498"/>
    </row>
    <row r="9106" spans="16:16">
      <c r="P9106" s="2498"/>
    </row>
    <row r="9107" spans="16:16">
      <c r="P9107" s="2498"/>
    </row>
    <row r="9108" spans="16:16">
      <c r="P9108" s="2498"/>
    </row>
    <row r="9109" spans="16:16">
      <c r="P9109" s="2498"/>
    </row>
    <row r="9110" spans="16:16">
      <c r="P9110" s="2498"/>
    </row>
    <row r="9111" spans="16:16">
      <c r="P9111" s="2498"/>
    </row>
    <row r="9112" spans="16:16">
      <c r="P9112" s="2498"/>
    </row>
    <row r="9113" spans="16:16">
      <c r="P9113" s="2498"/>
    </row>
    <row r="9114" spans="16:16">
      <c r="P9114" s="2498"/>
    </row>
    <row r="9115" spans="16:16">
      <c r="P9115" s="2498"/>
    </row>
    <row r="9116" spans="16:16">
      <c r="P9116" s="2498"/>
    </row>
    <row r="9117" spans="16:16">
      <c r="P9117" s="2498"/>
    </row>
    <row r="9118" spans="16:16">
      <c r="P9118" s="2498"/>
    </row>
    <row r="9119" spans="16:16">
      <c r="P9119" s="2498"/>
    </row>
    <row r="9120" spans="16:16">
      <c r="P9120" s="2498"/>
    </row>
    <row r="9121" spans="16:16">
      <c r="P9121" s="2498"/>
    </row>
    <row r="9122" spans="16:16">
      <c r="P9122" s="2498"/>
    </row>
    <row r="9123" spans="16:16">
      <c r="P9123" s="2498"/>
    </row>
    <row r="9124" spans="16:16">
      <c r="P9124" s="2498"/>
    </row>
    <row r="9125" spans="16:16">
      <c r="P9125" s="2498"/>
    </row>
    <row r="9126" spans="16:16">
      <c r="P9126" s="2498"/>
    </row>
    <row r="9127" spans="16:16">
      <c r="P9127" s="2498"/>
    </row>
    <row r="9128" spans="16:16">
      <c r="P9128" s="2498"/>
    </row>
    <row r="9129" spans="16:16">
      <c r="P9129" s="2498"/>
    </row>
    <row r="9130" spans="16:16">
      <c r="P9130" s="2498"/>
    </row>
    <row r="9131" spans="16:16">
      <c r="P9131" s="2498"/>
    </row>
    <row r="9132" spans="16:16">
      <c r="P9132" s="2498"/>
    </row>
    <row r="9133" spans="16:16">
      <c r="P9133" s="2498"/>
    </row>
    <row r="9134" spans="16:16">
      <c r="P9134" s="2498"/>
    </row>
    <row r="9135" spans="16:16">
      <c r="P9135" s="2498"/>
    </row>
    <row r="9136" spans="16:16">
      <c r="P9136" s="2498"/>
    </row>
    <row r="9137" spans="16:16">
      <c r="P9137" s="2498"/>
    </row>
    <row r="9138" spans="16:16">
      <c r="P9138" s="2498"/>
    </row>
    <row r="9139" spans="16:16">
      <c r="P9139" s="2498"/>
    </row>
    <row r="9140" spans="16:16">
      <c r="P9140" s="2498"/>
    </row>
    <row r="9141" spans="16:16">
      <c r="P9141" s="2498"/>
    </row>
    <row r="9142" spans="16:16">
      <c r="P9142" s="2498"/>
    </row>
    <row r="9143" spans="16:16">
      <c r="P9143" s="2498"/>
    </row>
    <row r="9144" spans="16:16">
      <c r="P9144" s="2498"/>
    </row>
    <row r="9145" spans="16:16">
      <c r="P9145" s="2498"/>
    </row>
    <row r="9146" spans="16:16">
      <c r="P9146" s="2498"/>
    </row>
    <row r="9147" spans="16:16">
      <c r="P9147" s="2498"/>
    </row>
    <row r="9148" spans="16:16">
      <c r="P9148" s="2498"/>
    </row>
    <row r="9149" spans="16:16">
      <c r="P9149" s="2498"/>
    </row>
    <row r="9150" spans="16:16">
      <c r="P9150" s="2498"/>
    </row>
    <row r="9151" spans="16:16">
      <c r="P9151" s="2498"/>
    </row>
    <row r="9152" spans="16:16">
      <c r="P9152" s="2498"/>
    </row>
    <row r="9153" spans="16:16">
      <c r="P9153" s="2498"/>
    </row>
    <row r="9154" spans="16:16">
      <c r="P9154" s="2498"/>
    </row>
    <row r="9155" spans="16:16">
      <c r="P9155" s="2498"/>
    </row>
    <row r="9156" spans="16:16">
      <c r="P9156" s="2498"/>
    </row>
    <row r="9157" spans="16:16">
      <c r="P9157" s="2498"/>
    </row>
    <row r="9158" spans="16:16">
      <c r="P9158" s="2498"/>
    </row>
    <row r="9159" spans="16:16">
      <c r="P9159" s="2498"/>
    </row>
    <row r="9160" spans="16:16">
      <c r="P9160" s="2498"/>
    </row>
    <row r="9161" spans="16:16">
      <c r="P9161" s="2498"/>
    </row>
    <row r="9162" spans="16:16">
      <c r="P9162" s="2498"/>
    </row>
    <row r="9163" spans="16:16">
      <c r="P9163" s="2498"/>
    </row>
    <row r="9164" spans="16:16">
      <c r="P9164" s="2498"/>
    </row>
    <row r="9165" spans="16:16">
      <c r="P9165" s="2498"/>
    </row>
    <row r="9166" spans="16:16">
      <c r="P9166" s="2498"/>
    </row>
    <row r="9167" spans="16:16">
      <c r="P9167" s="2498"/>
    </row>
    <row r="9168" spans="16:16">
      <c r="P9168" s="2498"/>
    </row>
    <row r="9169" spans="16:16">
      <c r="P9169" s="2498"/>
    </row>
    <row r="9170" spans="16:16">
      <c r="P9170" s="2498"/>
    </row>
    <row r="9171" spans="16:16">
      <c r="P9171" s="2498"/>
    </row>
    <row r="9172" spans="16:16">
      <c r="P9172" s="2498"/>
    </row>
    <row r="9173" spans="16:16">
      <c r="P9173" s="2498"/>
    </row>
    <row r="9174" spans="16:16">
      <c r="P9174" s="2498"/>
    </row>
    <row r="9175" spans="16:16">
      <c r="P9175" s="2498"/>
    </row>
    <row r="9176" spans="16:16">
      <c r="P9176" s="2498"/>
    </row>
    <row r="9177" spans="16:16">
      <c r="P9177" s="2498"/>
    </row>
    <row r="9178" spans="16:16">
      <c r="P9178" s="2498"/>
    </row>
    <row r="9179" spans="16:16">
      <c r="P9179" s="2498"/>
    </row>
    <row r="9180" spans="16:16">
      <c r="P9180" s="2498"/>
    </row>
    <row r="9181" spans="16:16">
      <c r="P9181" s="2498"/>
    </row>
    <row r="9182" spans="16:16">
      <c r="P9182" s="2498"/>
    </row>
    <row r="9183" spans="16:16">
      <c r="P9183" s="2498"/>
    </row>
    <row r="9184" spans="16:16">
      <c r="P9184" s="2498"/>
    </row>
    <row r="9185" spans="16:16">
      <c r="P9185" s="2498"/>
    </row>
    <row r="9186" spans="16:16">
      <c r="P9186" s="2498"/>
    </row>
    <row r="9187" spans="16:16">
      <c r="P9187" s="2498"/>
    </row>
    <row r="9188" spans="16:16">
      <c r="P9188" s="2498"/>
    </row>
    <row r="9189" spans="16:16">
      <c r="P9189" s="2498"/>
    </row>
    <row r="9190" spans="16:16">
      <c r="P9190" s="2498"/>
    </row>
    <row r="9191" spans="16:16">
      <c r="P9191" s="2498"/>
    </row>
    <row r="9192" spans="16:16">
      <c r="P9192" s="2498"/>
    </row>
    <row r="9193" spans="16:16">
      <c r="P9193" s="2498"/>
    </row>
    <row r="9194" spans="16:16">
      <c r="P9194" s="2498"/>
    </row>
    <row r="9195" spans="16:16">
      <c r="P9195" s="2498"/>
    </row>
    <row r="9196" spans="16:16">
      <c r="P9196" s="2498"/>
    </row>
    <row r="9197" spans="16:16">
      <c r="P9197" s="2498"/>
    </row>
    <row r="9198" spans="16:16">
      <c r="P9198" s="2498"/>
    </row>
    <row r="9199" spans="16:16">
      <c r="P9199" s="2498"/>
    </row>
    <row r="9200" spans="16:16">
      <c r="P9200" s="2498"/>
    </row>
    <row r="9201" spans="16:16">
      <c r="P9201" s="2498"/>
    </row>
    <row r="9202" spans="16:16">
      <c r="P9202" s="2498"/>
    </row>
    <row r="9203" spans="16:16">
      <c r="P9203" s="2498"/>
    </row>
    <row r="9204" spans="16:16">
      <c r="P9204" s="2498"/>
    </row>
    <row r="9205" spans="16:16">
      <c r="P9205" s="2498"/>
    </row>
    <row r="9206" spans="16:16">
      <c r="P9206" s="2498"/>
    </row>
    <row r="9207" spans="16:16">
      <c r="P9207" s="2498"/>
    </row>
    <row r="9208" spans="16:16">
      <c r="P9208" s="2498"/>
    </row>
    <row r="9209" spans="16:16">
      <c r="P9209" s="2498"/>
    </row>
    <row r="9210" spans="16:16">
      <c r="P9210" s="2498"/>
    </row>
    <row r="9211" spans="16:16">
      <c r="P9211" s="2498"/>
    </row>
    <row r="9212" spans="16:16">
      <c r="P9212" s="2498"/>
    </row>
    <row r="9213" spans="16:16">
      <c r="P9213" s="2498"/>
    </row>
    <row r="9214" spans="16:16">
      <c r="P9214" s="2498"/>
    </row>
    <row r="9215" spans="16:16">
      <c r="P9215" s="2498"/>
    </row>
    <row r="9216" spans="16:16">
      <c r="P9216" s="2498"/>
    </row>
    <row r="9217" spans="16:16">
      <c r="P9217" s="2498"/>
    </row>
    <row r="9218" spans="16:16">
      <c r="P9218" s="2498"/>
    </row>
    <row r="9219" spans="16:16">
      <c r="P9219" s="2498"/>
    </row>
    <row r="9220" spans="16:16">
      <c r="P9220" s="2498"/>
    </row>
    <row r="9221" spans="16:16">
      <c r="P9221" s="2498"/>
    </row>
    <row r="9222" spans="16:16">
      <c r="P9222" s="2498"/>
    </row>
    <row r="9223" spans="16:16">
      <c r="P9223" s="2498"/>
    </row>
    <row r="9224" spans="16:16">
      <c r="P9224" s="2498"/>
    </row>
    <row r="9225" spans="16:16">
      <c r="P9225" s="2498"/>
    </row>
    <row r="9226" spans="16:16">
      <c r="P9226" s="2498"/>
    </row>
    <row r="9227" spans="16:16">
      <c r="P9227" s="2498"/>
    </row>
    <row r="9228" spans="16:16">
      <c r="P9228" s="2498"/>
    </row>
    <row r="9229" spans="16:16">
      <c r="P9229" s="2498"/>
    </row>
    <row r="9230" spans="16:16">
      <c r="P9230" s="2498"/>
    </row>
    <row r="9231" spans="16:16">
      <c r="P9231" s="2498"/>
    </row>
    <row r="9232" spans="16:16">
      <c r="P9232" s="2498"/>
    </row>
    <row r="9233" spans="16:16">
      <c r="P9233" s="2498"/>
    </row>
    <row r="9234" spans="16:16">
      <c r="P9234" s="2498"/>
    </row>
    <row r="9235" spans="16:16">
      <c r="P9235" s="2498"/>
    </row>
    <row r="9236" spans="16:16">
      <c r="P9236" s="2498"/>
    </row>
    <row r="9237" spans="16:16">
      <c r="P9237" s="2498"/>
    </row>
    <row r="9238" spans="16:16">
      <c r="P9238" s="2498"/>
    </row>
    <row r="9239" spans="16:16">
      <c r="P9239" s="2498"/>
    </row>
    <row r="9240" spans="16:16">
      <c r="P9240" s="2498"/>
    </row>
    <row r="9241" spans="16:16">
      <c r="P9241" s="2498"/>
    </row>
    <row r="9242" spans="16:16">
      <c r="P9242" s="2498"/>
    </row>
    <row r="9243" spans="16:16">
      <c r="P9243" s="2498"/>
    </row>
    <row r="9244" spans="16:16">
      <c r="P9244" s="2498"/>
    </row>
    <row r="9245" spans="16:16">
      <c r="P9245" s="2498"/>
    </row>
    <row r="9246" spans="16:16">
      <c r="P9246" s="2498"/>
    </row>
    <row r="9247" spans="16:16">
      <c r="P9247" s="2498"/>
    </row>
    <row r="9248" spans="16:16">
      <c r="P9248" s="2498"/>
    </row>
    <row r="9249" spans="16:16">
      <c r="P9249" s="2498"/>
    </row>
    <row r="9250" spans="16:16">
      <c r="P9250" s="2498"/>
    </row>
    <row r="9251" spans="16:16">
      <c r="P9251" s="2498"/>
    </row>
    <row r="9252" spans="16:16">
      <c r="P9252" s="2498"/>
    </row>
    <row r="9253" spans="16:16">
      <c r="P9253" s="2498"/>
    </row>
    <row r="9254" spans="16:16">
      <c r="P9254" s="2498"/>
    </row>
    <row r="9255" spans="16:16">
      <c r="P9255" s="2498"/>
    </row>
    <row r="9256" spans="16:16">
      <c r="P9256" s="2498"/>
    </row>
    <row r="9257" spans="16:16">
      <c r="P9257" s="2498"/>
    </row>
    <row r="9258" spans="16:16">
      <c r="P9258" s="2498"/>
    </row>
    <row r="9259" spans="16:16">
      <c r="P9259" s="2498"/>
    </row>
    <row r="9260" spans="16:16">
      <c r="P9260" s="2498"/>
    </row>
    <row r="9261" spans="16:16">
      <c r="P9261" s="2498"/>
    </row>
    <row r="9262" spans="16:16">
      <c r="P9262" s="2498"/>
    </row>
    <row r="9263" spans="16:16">
      <c r="P9263" s="2498"/>
    </row>
    <row r="9264" spans="16:16">
      <c r="P9264" s="2498"/>
    </row>
    <row r="9265" spans="16:16">
      <c r="P9265" s="2498"/>
    </row>
    <row r="9266" spans="16:16">
      <c r="P9266" s="2498"/>
    </row>
    <row r="9267" spans="16:16">
      <c r="P9267" s="2498"/>
    </row>
    <row r="9268" spans="16:16">
      <c r="P9268" s="2498"/>
    </row>
    <row r="9269" spans="16:16">
      <c r="P9269" s="2498"/>
    </row>
    <row r="9270" spans="16:16">
      <c r="P9270" s="2498"/>
    </row>
    <row r="9271" spans="16:16">
      <c r="P9271" s="2498"/>
    </row>
    <row r="9272" spans="16:16">
      <c r="P9272" s="2498"/>
    </row>
    <row r="9273" spans="16:16">
      <c r="P9273" s="2498"/>
    </row>
    <row r="9274" spans="16:16">
      <c r="P9274" s="2498"/>
    </row>
    <row r="9275" spans="16:16">
      <c r="P9275" s="2498"/>
    </row>
    <row r="9276" spans="16:16">
      <c r="P9276" s="2498"/>
    </row>
    <row r="9277" spans="16:16">
      <c r="P9277" s="2498"/>
    </row>
    <row r="9278" spans="16:16">
      <c r="P9278" s="2498"/>
    </row>
    <row r="9279" spans="16:16">
      <c r="P9279" s="2498"/>
    </row>
    <row r="9280" spans="16:16">
      <c r="P9280" s="2498"/>
    </row>
    <row r="9281" spans="16:16">
      <c r="P9281" s="2498"/>
    </row>
    <row r="9282" spans="16:16">
      <c r="P9282" s="2498"/>
    </row>
    <row r="9283" spans="16:16">
      <c r="P9283" s="2498"/>
    </row>
    <row r="9284" spans="16:16">
      <c r="P9284" s="2498"/>
    </row>
    <row r="9285" spans="16:16">
      <c r="P9285" s="2498"/>
    </row>
    <row r="9286" spans="16:16">
      <c r="P9286" s="2498"/>
    </row>
    <row r="9287" spans="16:16">
      <c r="P9287" s="2498"/>
    </row>
    <row r="9288" spans="16:16">
      <c r="P9288" s="2498"/>
    </row>
    <row r="9289" spans="16:16">
      <c r="P9289" s="2498"/>
    </row>
    <row r="9290" spans="16:16">
      <c r="P9290" s="2498"/>
    </row>
    <row r="9291" spans="16:16">
      <c r="P9291" s="2498"/>
    </row>
    <row r="9292" spans="16:16">
      <c r="P9292" s="2498"/>
    </row>
    <row r="9293" spans="16:16">
      <c r="P9293" s="2498"/>
    </row>
    <row r="9294" spans="16:16">
      <c r="P9294" s="2498"/>
    </row>
    <row r="9295" spans="16:16">
      <c r="P9295" s="2498"/>
    </row>
    <row r="9296" spans="16:16">
      <c r="P9296" s="2498"/>
    </row>
    <row r="9297" spans="16:16">
      <c r="P9297" s="2498"/>
    </row>
    <row r="9298" spans="16:16">
      <c r="P9298" s="2498"/>
    </row>
    <row r="9299" spans="16:16">
      <c r="P9299" s="2498"/>
    </row>
    <row r="9300" spans="16:16">
      <c r="P9300" s="2498"/>
    </row>
    <row r="9301" spans="16:16">
      <c r="P9301" s="2498"/>
    </row>
    <row r="9302" spans="16:16">
      <c r="P9302" s="2498"/>
    </row>
    <row r="9303" spans="16:16">
      <c r="P9303" s="2498"/>
    </row>
    <row r="9304" spans="16:16">
      <c r="P9304" s="2498"/>
    </row>
    <row r="9305" spans="16:16">
      <c r="P9305" s="2498"/>
    </row>
    <row r="9306" spans="16:16">
      <c r="P9306" s="2498"/>
    </row>
    <row r="9307" spans="16:16">
      <c r="P9307" s="2498"/>
    </row>
    <row r="9308" spans="16:16">
      <c r="P9308" s="2498"/>
    </row>
    <row r="9309" spans="16:16">
      <c r="P9309" s="2498"/>
    </row>
    <row r="9310" spans="16:16">
      <c r="P9310" s="2498"/>
    </row>
    <row r="9311" spans="16:16">
      <c r="P9311" s="2498"/>
    </row>
    <row r="9312" spans="16:16">
      <c r="P9312" s="2498"/>
    </row>
    <row r="9313" spans="16:16">
      <c r="P9313" s="2498"/>
    </row>
    <row r="9314" spans="16:16">
      <c r="P9314" s="2498"/>
    </row>
    <row r="9315" spans="16:16">
      <c r="P9315" s="2498"/>
    </row>
    <row r="9316" spans="16:16">
      <c r="P9316" s="2498"/>
    </row>
    <row r="9317" spans="16:16">
      <c r="P9317" s="2498"/>
    </row>
    <row r="9318" spans="16:16">
      <c r="P9318" s="2498"/>
    </row>
    <row r="9319" spans="16:16">
      <c r="P9319" s="2498"/>
    </row>
    <row r="9320" spans="16:16">
      <c r="P9320" s="2498"/>
    </row>
    <row r="9321" spans="16:16">
      <c r="P9321" s="2498"/>
    </row>
    <row r="9322" spans="16:16">
      <c r="P9322" s="2498"/>
    </row>
    <row r="9323" spans="16:16">
      <c r="P9323" s="2498"/>
    </row>
    <row r="9324" spans="16:16">
      <c r="P9324" s="2498"/>
    </row>
    <row r="9325" spans="16:16">
      <c r="P9325" s="2498"/>
    </row>
    <row r="9326" spans="16:16">
      <c r="P9326" s="2498"/>
    </row>
    <row r="9327" spans="16:16">
      <c r="P9327" s="2498"/>
    </row>
    <row r="9328" spans="16:16">
      <c r="P9328" s="2498"/>
    </row>
    <row r="9329" spans="16:16">
      <c r="P9329" s="2498"/>
    </row>
    <row r="9330" spans="16:16">
      <c r="P9330" s="2498"/>
    </row>
    <row r="9331" spans="16:16">
      <c r="P9331" s="2498"/>
    </row>
    <row r="9332" spans="16:16">
      <c r="P9332" s="2498"/>
    </row>
    <row r="9333" spans="16:16">
      <c r="P9333" s="2498"/>
    </row>
    <row r="9334" spans="16:16">
      <c r="P9334" s="2498"/>
    </row>
    <row r="9335" spans="16:16">
      <c r="P9335" s="2498"/>
    </row>
    <row r="9336" spans="16:16">
      <c r="P9336" s="2498"/>
    </row>
    <row r="9337" spans="16:16">
      <c r="P9337" s="2498"/>
    </row>
    <row r="9338" spans="16:16">
      <c r="P9338" s="2498"/>
    </row>
    <row r="9339" spans="16:16">
      <c r="P9339" s="2498"/>
    </row>
    <row r="9340" spans="16:16">
      <c r="P9340" s="2498"/>
    </row>
    <row r="9341" spans="16:16">
      <c r="P9341" s="2498"/>
    </row>
    <row r="9342" spans="16:16">
      <c r="P9342" s="2498"/>
    </row>
    <row r="9343" spans="16:16">
      <c r="P9343" s="2498"/>
    </row>
    <row r="9344" spans="16:16">
      <c r="P9344" s="2498"/>
    </row>
    <row r="9345" spans="16:16">
      <c r="P9345" s="2498"/>
    </row>
    <row r="9346" spans="16:16">
      <c r="P9346" s="2498"/>
    </row>
    <row r="9347" spans="16:16">
      <c r="P9347" s="2498"/>
    </row>
    <row r="9348" spans="16:16">
      <c r="P9348" s="2498"/>
    </row>
    <row r="9349" spans="16:16">
      <c r="P9349" s="2498"/>
    </row>
    <row r="9350" spans="16:16">
      <c r="P9350" s="2498"/>
    </row>
    <row r="9351" spans="16:16">
      <c r="P9351" s="2498"/>
    </row>
    <row r="9352" spans="16:16">
      <c r="P9352" s="2498"/>
    </row>
    <row r="9353" spans="16:16">
      <c r="P9353" s="2498"/>
    </row>
    <row r="9354" spans="16:16">
      <c r="P9354" s="2498"/>
    </row>
    <row r="9355" spans="16:16">
      <c r="P9355" s="2498"/>
    </row>
    <row r="9356" spans="16:16">
      <c r="P9356" s="2498"/>
    </row>
    <row r="9357" spans="16:16">
      <c r="P9357" s="2498"/>
    </row>
    <row r="9358" spans="16:16">
      <c r="P9358" s="2498"/>
    </row>
    <row r="9359" spans="16:16">
      <c r="P9359" s="2498"/>
    </row>
    <row r="9360" spans="16:16">
      <c r="P9360" s="2498"/>
    </row>
    <row r="9361" spans="16:16">
      <c r="P9361" s="2498"/>
    </row>
    <row r="9362" spans="16:16">
      <c r="P9362" s="2498"/>
    </row>
    <row r="9363" spans="16:16">
      <c r="P9363" s="2498"/>
    </row>
    <row r="9364" spans="16:16">
      <c r="P9364" s="2498"/>
    </row>
    <row r="9365" spans="16:16">
      <c r="P9365" s="2498"/>
    </row>
    <row r="9366" spans="16:16">
      <c r="P9366" s="2498"/>
    </row>
    <row r="9367" spans="16:16">
      <c r="P9367" s="2498"/>
    </row>
    <row r="9368" spans="16:16">
      <c r="P9368" s="2498"/>
    </row>
    <row r="9369" spans="16:16">
      <c r="P9369" s="2498"/>
    </row>
    <row r="9370" spans="16:16">
      <c r="P9370" s="2498"/>
    </row>
    <row r="9371" spans="16:16">
      <c r="P9371" s="2498"/>
    </row>
    <row r="9372" spans="16:16">
      <c r="P9372" s="2498"/>
    </row>
    <row r="9373" spans="16:16">
      <c r="P9373" s="2498"/>
    </row>
    <row r="9374" spans="16:16">
      <c r="P9374" s="2498"/>
    </row>
    <row r="9375" spans="16:16">
      <c r="P9375" s="2498"/>
    </row>
    <row r="9376" spans="16:16">
      <c r="P9376" s="2498"/>
    </row>
    <row r="9377" spans="16:16">
      <c r="P9377" s="2498"/>
    </row>
    <row r="9378" spans="16:16">
      <c r="P9378" s="2498"/>
    </row>
    <row r="9379" spans="16:16">
      <c r="P9379" s="2498"/>
    </row>
    <row r="9380" spans="16:16">
      <c r="P9380" s="2498"/>
    </row>
    <row r="9381" spans="16:16">
      <c r="P9381" s="2498"/>
    </row>
    <row r="9382" spans="16:16">
      <c r="P9382" s="2498"/>
    </row>
    <row r="9383" spans="16:16">
      <c r="P9383" s="2498"/>
    </row>
    <row r="9384" spans="16:16">
      <c r="P9384" s="2498"/>
    </row>
    <row r="9385" spans="16:16">
      <c r="P9385" s="2498"/>
    </row>
    <row r="9386" spans="16:16">
      <c r="P9386" s="2498"/>
    </row>
    <row r="9387" spans="16:16">
      <c r="P9387" s="2498"/>
    </row>
    <row r="9388" spans="16:16">
      <c r="P9388" s="2498"/>
    </row>
    <row r="9389" spans="16:16">
      <c r="P9389" s="2498"/>
    </row>
    <row r="9390" spans="16:16">
      <c r="P9390" s="2498"/>
    </row>
    <row r="9391" spans="16:16">
      <c r="P9391" s="2498"/>
    </row>
    <row r="9392" spans="16:16">
      <c r="P9392" s="2498"/>
    </row>
    <row r="9393" spans="16:16">
      <c r="P9393" s="2498"/>
    </row>
    <row r="9394" spans="16:16">
      <c r="P9394" s="2498"/>
    </row>
    <row r="9395" spans="16:16">
      <c r="P9395" s="2498"/>
    </row>
    <row r="9396" spans="16:16">
      <c r="P9396" s="2498"/>
    </row>
    <row r="9397" spans="16:16">
      <c r="P9397" s="2498"/>
    </row>
    <row r="9398" spans="16:16">
      <c r="P9398" s="2498"/>
    </row>
    <row r="9399" spans="16:16">
      <c r="P9399" s="2498"/>
    </row>
    <row r="9400" spans="16:16">
      <c r="P9400" s="2498"/>
    </row>
    <row r="9401" spans="16:16">
      <c r="P9401" s="2498"/>
    </row>
    <row r="9402" spans="16:16">
      <c r="P9402" s="2498"/>
    </row>
    <row r="9403" spans="16:16">
      <c r="P9403" s="2498"/>
    </row>
    <row r="9404" spans="16:16">
      <c r="P9404" s="2498"/>
    </row>
    <row r="9405" spans="16:16">
      <c r="P9405" s="2498"/>
    </row>
    <row r="9406" spans="16:16">
      <c r="P9406" s="2498"/>
    </row>
    <row r="9407" spans="16:16">
      <c r="P9407" s="2498"/>
    </row>
    <row r="9408" spans="16:16">
      <c r="P9408" s="2498"/>
    </row>
    <row r="9409" spans="16:16">
      <c r="P9409" s="2498"/>
    </row>
    <row r="9410" spans="16:16">
      <c r="P9410" s="2498"/>
    </row>
    <row r="9411" spans="16:16">
      <c r="P9411" s="2498"/>
    </row>
    <row r="9412" spans="16:16">
      <c r="P9412" s="2498"/>
    </row>
    <row r="9413" spans="16:16">
      <c r="P9413" s="2498"/>
    </row>
    <row r="9414" spans="16:16">
      <c r="P9414" s="2498"/>
    </row>
    <row r="9415" spans="16:16">
      <c r="P9415" s="2498"/>
    </row>
    <row r="9416" spans="16:16">
      <c r="P9416" s="2498"/>
    </row>
    <row r="9417" spans="16:16">
      <c r="P9417" s="2498"/>
    </row>
    <row r="9418" spans="16:16">
      <c r="P9418" s="2498"/>
    </row>
    <row r="9419" spans="16:16">
      <c r="P9419" s="2498"/>
    </row>
    <row r="9420" spans="16:16">
      <c r="P9420" s="2498"/>
    </row>
    <row r="9421" spans="16:16">
      <c r="P9421" s="2498"/>
    </row>
    <row r="9422" spans="16:16">
      <c r="P9422" s="2498"/>
    </row>
    <row r="9423" spans="16:16">
      <c r="P9423" s="2498"/>
    </row>
    <row r="9424" spans="16:16">
      <c r="P9424" s="2498"/>
    </row>
    <row r="9425" spans="16:16">
      <c r="P9425" s="2498"/>
    </row>
    <row r="9426" spans="16:16">
      <c r="P9426" s="2498"/>
    </row>
    <row r="9427" spans="16:16">
      <c r="P9427" s="2498"/>
    </row>
    <row r="9428" spans="16:16">
      <c r="P9428" s="2498"/>
    </row>
    <row r="9429" spans="16:16">
      <c r="P9429" s="2498"/>
    </row>
    <row r="9430" spans="16:16">
      <c r="P9430" s="2498"/>
    </row>
    <row r="9431" spans="16:16">
      <c r="P9431" s="2498"/>
    </row>
    <row r="9432" spans="16:16">
      <c r="P9432" s="2498"/>
    </row>
    <row r="9433" spans="16:16">
      <c r="P9433" s="2498"/>
    </row>
    <row r="9434" spans="16:16">
      <c r="P9434" s="2498"/>
    </row>
    <row r="9435" spans="16:16">
      <c r="P9435" s="2498"/>
    </row>
    <row r="9436" spans="16:16">
      <c r="P9436" s="2498"/>
    </row>
    <row r="9437" spans="16:16">
      <c r="P9437" s="2498"/>
    </row>
    <row r="9438" spans="16:16">
      <c r="P9438" s="2498"/>
    </row>
    <row r="9439" spans="16:16">
      <c r="P9439" s="2498"/>
    </row>
    <row r="9440" spans="16:16">
      <c r="P9440" s="2498"/>
    </row>
    <row r="9441" spans="16:16">
      <c r="P9441" s="2498"/>
    </row>
    <row r="9442" spans="16:16">
      <c r="P9442" s="2498"/>
    </row>
    <row r="9443" spans="16:16">
      <c r="P9443" s="2498"/>
    </row>
    <row r="9444" spans="16:16">
      <c r="P9444" s="2498"/>
    </row>
    <row r="9445" spans="16:16">
      <c r="P9445" s="2498"/>
    </row>
    <row r="9446" spans="16:16">
      <c r="P9446" s="2498"/>
    </row>
    <row r="9447" spans="16:16">
      <c r="P9447" s="2498"/>
    </row>
    <row r="9448" spans="16:16">
      <c r="P9448" s="2498"/>
    </row>
    <row r="9449" spans="16:16">
      <c r="P9449" s="2498"/>
    </row>
    <row r="9450" spans="16:16">
      <c r="P9450" s="2498"/>
    </row>
    <row r="9451" spans="16:16">
      <c r="P9451" s="2498"/>
    </row>
    <row r="9452" spans="16:16">
      <c r="P9452" s="2498"/>
    </row>
    <row r="9453" spans="16:16">
      <c r="P9453" s="2498"/>
    </row>
    <row r="9454" spans="16:16">
      <c r="P9454" s="2498"/>
    </row>
    <row r="9455" spans="16:16">
      <c r="P9455" s="2498"/>
    </row>
    <row r="9456" spans="16:16">
      <c r="P9456" s="2498"/>
    </row>
    <row r="9457" spans="16:16">
      <c r="P9457" s="2498"/>
    </row>
    <row r="9458" spans="16:16">
      <c r="P9458" s="2498"/>
    </row>
    <row r="9459" spans="16:16">
      <c r="P9459" s="2498"/>
    </row>
    <row r="9460" spans="16:16">
      <c r="P9460" s="2498"/>
    </row>
    <row r="9461" spans="16:16">
      <c r="P9461" s="2498"/>
    </row>
    <row r="9462" spans="16:16">
      <c r="P9462" s="2498"/>
    </row>
    <row r="9463" spans="16:16">
      <c r="P9463" s="2498"/>
    </row>
    <row r="9464" spans="16:16">
      <c r="P9464" s="2498"/>
    </row>
    <row r="9465" spans="16:16">
      <c r="P9465" s="2498"/>
    </row>
    <row r="9466" spans="16:16">
      <c r="P9466" s="2498"/>
    </row>
    <row r="9467" spans="16:16">
      <c r="P9467" s="2498"/>
    </row>
    <row r="9468" spans="16:16">
      <c r="P9468" s="2498"/>
    </row>
    <row r="9469" spans="16:16">
      <c r="P9469" s="2498"/>
    </row>
    <row r="9470" spans="16:16">
      <c r="P9470" s="2498"/>
    </row>
    <row r="9471" spans="16:16">
      <c r="P9471" s="2498"/>
    </row>
    <row r="9472" spans="16:16">
      <c r="P9472" s="2498"/>
    </row>
    <row r="9473" spans="16:16">
      <c r="P9473" s="2498"/>
    </row>
    <row r="9474" spans="16:16">
      <c r="P9474" s="2498"/>
    </row>
    <row r="9475" spans="16:16">
      <c r="P9475" s="2498"/>
    </row>
    <row r="9476" spans="16:16">
      <c r="P9476" s="2498"/>
    </row>
    <row r="9477" spans="16:16">
      <c r="P9477" s="2498"/>
    </row>
    <row r="9478" spans="16:16">
      <c r="P9478" s="2498"/>
    </row>
    <row r="9479" spans="16:16">
      <c r="P9479" s="2498"/>
    </row>
    <row r="9480" spans="16:16">
      <c r="P9480" s="2498"/>
    </row>
    <row r="9481" spans="16:16">
      <c r="P9481" s="2498"/>
    </row>
    <row r="9482" spans="16:16">
      <c r="P9482" s="2498"/>
    </row>
    <row r="9483" spans="16:16">
      <c r="P9483" s="2498"/>
    </row>
    <row r="9484" spans="16:16">
      <c r="P9484" s="2498"/>
    </row>
    <row r="9485" spans="16:16">
      <c r="P9485" s="2498"/>
    </row>
    <row r="9486" spans="16:16">
      <c r="P9486" s="2498"/>
    </row>
    <row r="9487" spans="16:16">
      <c r="P9487" s="2498"/>
    </row>
    <row r="9488" spans="16:16">
      <c r="P9488" s="2498"/>
    </row>
    <row r="9489" spans="16:16">
      <c r="P9489" s="2498"/>
    </row>
    <row r="9490" spans="16:16">
      <c r="P9490" s="2498"/>
    </row>
    <row r="9491" spans="16:16">
      <c r="P9491" s="2498"/>
    </row>
    <row r="9492" spans="16:16">
      <c r="P9492" s="2498"/>
    </row>
    <row r="9493" spans="16:16">
      <c r="P9493" s="2498"/>
    </row>
    <row r="9494" spans="16:16">
      <c r="P9494" s="2498"/>
    </row>
    <row r="9495" spans="16:16">
      <c r="P9495" s="2498"/>
    </row>
    <row r="9496" spans="16:16">
      <c r="P9496" s="2498"/>
    </row>
    <row r="9497" spans="16:16">
      <c r="P9497" s="2498"/>
    </row>
    <row r="9498" spans="16:16">
      <c r="P9498" s="2498"/>
    </row>
    <row r="9499" spans="16:16">
      <c r="P9499" s="2498"/>
    </row>
    <row r="9500" spans="16:16">
      <c r="P9500" s="2498"/>
    </row>
    <row r="9501" spans="16:16">
      <c r="P9501" s="2498"/>
    </row>
    <row r="9502" spans="16:16">
      <c r="P9502" s="2498"/>
    </row>
    <row r="9503" spans="16:16">
      <c r="P9503" s="2498"/>
    </row>
    <row r="9504" spans="16:16">
      <c r="P9504" s="2498"/>
    </row>
    <row r="9505" spans="16:16">
      <c r="P9505" s="2498"/>
    </row>
    <row r="9506" spans="16:16">
      <c r="P9506" s="2498"/>
    </row>
    <row r="9507" spans="16:16">
      <c r="P9507" s="2498"/>
    </row>
    <row r="9508" spans="16:16">
      <c r="P9508" s="2498"/>
    </row>
    <row r="9509" spans="16:16">
      <c r="P9509" s="2498"/>
    </row>
    <row r="9510" spans="16:16">
      <c r="P9510" s="2498"/>
    </row>
    <row r="9511" spans="16:16">
      <c r="P9511" s="2498"/>
    </row>
    <row r="9512" spans="16:16">
      <c r="P9512" s="2498"/>
    </row>
    <row r="9513" spans="16:16">
      <c r="P9513" s="2498"/>
    </row>
    <row r="9514" spans="16:16">
      <c r="P9514" s="2498"/>
    </row>
    <row r="9515" spans="16:16">
      <c r="P9515" s="2498"/>
    </row>
    <row r="9516" spans="16:16">
      <c r="P9516" s="2498"/>
    </row>
    <row r="9517" spans="16:16">
      <c r="P9517" s="2498"/>
    </row>
    <row r="9518" spans="16:16">
      <c r="P9518" s="2498"/>
    </row>
    <row r="9519" spans="16:16">
      <c r="P9519" s="2498"/>
    </row>
    <row r="9520" spans="16:16">
      <c r="P9520" s="2498"/>
    </row>
    <row r="9521" spans="16:16">
      <c r="P9521" s="2498"/>
    </row>
    <row r="9522" spans="16:16">
      <c r="P9522" s="2498"/>
    </row>
    <row r="9523" spans="16:16">
      <c r="P9523" s="2498"/>
    </row>
    <row r="9524" spans="16:16">
      <c r="P9524" s="2498"/>
    </row>
    <row r="9525" spans="16:16">
      <c r="P9525" s="2498"/>
    </row>
    <row r="9526" spans="16:16">
      <c r="P9526" s="2498"/>
    </row>
    <row r="9527" spans="16:16">
      <c r="P9527" s="2498"/>
    </row>
    <row r="9528" spans="16:16">
      <c r="P9528" s="2498"/>
    </row>
    <row r="9529" spans="16:16">
      <c r="P9529" s="2498"/>
    </row>
    <row r="9530" spans="16:16">
      <c r="P9530" s="2498"/>
    </row>
    <row r="9531" spans="16:16">
      <c r="P9531" s="2498"/>
    </row>
    <row r="9532" spans="16:16">
      <c r="P9532" s="2498"/>
    </row>
    <row r="9533" spans="16:16">
      <c r="P9533" s="2498"/>
    </row>
    <row r="9534" spans="16:16">
      <c r="P9534" s="2498"/>
    </row>
    <row r="9535" spans="16:16">
      <c r="P9535" s="2498"/>
    </row>
    <row r="9536" spans="16:16">
      <c r="P9536" s="2498"/>
    </row>
    <row r="9537" spans="16:16">
      <c r="P9537" s="2498"/>
    </row>
    <row r="9538" spans="16:16">
      <c r="P9538" s="2498"/>
    </row>
    <row r="9539" spans="16:16">
      <c r="P9539" s="2498"/>
    </row>
    <row r="9540" spans="16:16">
      <c r="P9540" s="2498"/>
    </row>
    <row r="9541" spans="16:16">
      <c r="P9541" s="2498"/>
    </row>
    <row r="9542" spans="16:16">
      <c r="P9542" s="2498"/>
    </row>
    <row r="9543" spans="16:16">
      <c r="P9543" s="2498"/>
    </row>
    <row r="9544" spans="16:16">
      <c r="P9544" s="2498"/>
    </row>
    <row r="9545" spans="16:16">
      <c r="P9545" s="2498"/>
    </row>
    <row r="9546" spans="16:16">
      <c r="P9546" s="2498"/>
    </row>
    <row r="9547" spans="16:16">
      <c r="P9547" s="2498"/>
    </row>
    <row r="9548" spans="16:16">
      <c r="P9548" s="2498"/>
    </row>
    <row r="9549" spans="16:16">
      <c r="P9549" s="2498"/>
    </row>
    <row r="9550" spans="16:16">
      <c r="P9550" s="2498"/>
    </row>
    <row r="9551" spans="16:16">
      <c r="P9551" s="2498"/>
    </row>
    <row r="9552" spans="16:16">
      <c r="P9552" s="2498"/>
    </row>
    <row r="9553" spans="16:16">
      <c r="P9553" s="2498"/>
    </row>
    <row r="9554" spans="16:16">
      <c r="P9554" s="2498"/>
    </row>
    <row r="9555" spans="16:16">
      <c r="P9555" s="2498"/>
    </row>
    <row r="9556" spans="16:16">
      <c r="P9556" s="2498"/>
    </row>
    <row r="9557" spans="16:16">
      <c r="P9557" s="2498"/>
    </row>
    <row r="9558" spans="16:16">
      <c r="P9558" s="2498"/>
    </row>
    <row r="9559" spans="16:16">
      <c r="P9559" s="2498"/>
    </row>
    <row r="9560" spans="16:16">
      <c r="P9560" s="2498"/>
    </row>
    <row r="9561" spans="16:16">
      <c r="P9561" s="2498"/>
    </row>
    <row r="9562" spans="16:16">
      <c r="P9562" s="2498"/>
    </row>
    <row r="9563" spans="16:16">
      <c r="P9563" s="2498"/>
    </row>
    <row r="9564" spans="16:16">
      <c r="P9564" s="2498"/>
    </row>
    <row r="9565" spans="16:16">
      <c r="P9565" s="2498"/>
    </row>
    <row r="9566" spans="16:16">
      <c r="P9566" s="2498"/>
    </row>
    <row r="9567" spans="16:16">
      <c r="P9567" s="2498"/>
    </row>
    <row r="9568" spans="16:16">
      <c r="P9568" s="2498"/>
    </row>
    <row r="9569" spans="16:16">
      <c r="P9569" s="2498"/>
    </row>
    <row r="9570" spans="16:16">
      <c r="P9570" s="2498"/>
    </row>
    <row r="9571" spans="16:16">
      <c r="P9571" s="2498"/>
    </row>
    <row r="9572" spans="16:16">
      <c r="P9572" s="2498"/>
    </row>
    <row r="9573" spans="16:16">
      <c r="P9573" s="2498"/>
    </row>
    <row r="9574" spans="16:16">
      <c r="P9574" s="2498"/>
    </row>
    <row r="9575" spans="16:16">
      <c r="P9575" s="2498"/>
    </row>
    <row r="9576" spans="16:16">
      <c r="P9576" s="2498"/>
    </row>
    <row r="9577" spans="16:16">
      <c r="P9577" s="2498"/>
    </row>
    <row r="9578" spans="16:16">
      <c r="P9578" s="2498"/>
    </row>
    <row r="9579" spans="16:16">
      <c r="P9579" s="2498"/>
    </row>
    <row r="9580" spans="16:16">
      <c r="P9580" s="2498"/>
    </row>
    <row r="9581" spans="16:16">
      <c r="P9581" s="2498"/>
    </row>
    <row r="9582" spans="16:16">
      <c r="P9582" s="2498"/>
    </row>
    <row r="9583" spans="16:16">
      <c r="P9583" s="2498"/>
    </row>
    <row r="9584" spans="16:16">
      <c r="P9584" s="2498"/>
    </row>
    <row r="9585" spans="16:16">
      <c r="P9585" s="2498"/>
    </row>
    <row r="9586" spans="16:16">
      <c r="P9586" s="2498"/>
    </row>
    <row r="9587" spans="16:16">
      <c r="P9587" s="2498"/>
    </row>
    <row r="9588" spans="16:16">
      <c r="P9588" s="2498"/>
    </row>
    <row r="9589" spans="16:16">
      <c r="P9589" s="2498"/>
    </row>
    <row r="9590" spans="16:16">
      <c r="P9590" s="2498"/>
    </row>
    <row r="9591" spans="16:16">
      <c r="P9591" s="2498"/>
    </row>
    <row r="9592" spans="16:16">
      <c r="P9592" s="2498"/>
    </row>
    <row r="9593" spans="16:16">
      <c r="P9593" s="2498"/>
    </row>
    <row r="9594" spans="16:16">
      <c r="P9594" s="2498"/>
    </row>
    <row r="9595" spans="16:16">
      <c r="P9595" s="2498"/>
    </row>
    <row r="9596" spans="16:16">
      <c r="P9596" s="2498"/>
    </row>
    <row r="9597" spans="16:16">
      <c r="P9597" s="2498"/>
    </row>
    <row r="9598" spans="16:16">
      <c r="P9598" s="2498"/>
    </row>
    <row r="9599" spans="16:16">
      <c r="P9599" s="2498"/>
    </row>
    <row r="9600" spans="16:16">
      <c r="P9600" s="2498"/>
    </row>
    <row r="9601" spans="16:16">
      <c r="P9601" s="2498"/>
    </row>
    <row r="9602" spans="16:16">
      <c r="P9602" s="2498"/>
    </row>
    <row r="9603" spans="16:16">
      <c r="P9603" s="2498"/>
    </row>
    <row r="9604" spans="16:16">
      <c r="P9604" s="2498"/>
    </row>
    <row r="9605" spans="16:16">
      <c r="P9605" s="2498"/>
    </row>
    <row r="9606" spans="16:16">
      <c r="P9606" s="2498"/>
    </row>
    <row r="9607" spans="16:16">
      <c r="P9607" s="2498"/>
    </row>
    <row r="9608" spans="16:16">
      <c r="P9608" s="2498"/>
    </row>
    <row r="9609" spans="16:16">
      <c r="P9609" s="2498"/>
    </row>
    <row r="9610" spans="16:16">
      <c r="P9610" s="2498"/>
    </row>
    <row r="9611" spans="16:16">
      <c r="P9611" s="2498"/>
    </row>
    <row r="9612" spans="16:16">
      <c r="P9612" s="2498"/>
    </row>
    <row r="9613" spans="16:16">
      <c r="P9613" s="2498"/>
    </row>
    <row r="9614" spans="16:16">
      <c r="P9614" s="2498"/>
    </row>
    <row r="9615" spans="16:16">
      <c r="P9615" s="2498"/>
    </row>
    <row r="9616" spans="16:16">
      <c r="P9616" s="2498"/>
    </row>
    <row r="9617" spans="16:16">
      <c r="P9617" s="2498"/>
    </row>
    <row r="9618" spans="16:16">
      <c r="P9618" s="2498"/>
    </row>
    <row r="9619" spans="16:16">
      <c r="P9619" s="2498"/>
    </row>
    <row r="9620" spans="16:16">
      <c r="P9620" s="2498"/>
    </row>
    <row r="9621" spans="16:16">
      <c r="P9621" s="2498"/>
    </row>
    <row r="9622" spans="16:16">
      <c r="P9622" s="2498"/>
    </row>
    <row r="9623" spans="16:16">
      <c r="P9623" s="2498"/>
    </row>
    <row r="9624" spans="16:16">
      <c r="P9624" s="2498"/>
    </row>
    <row r="9625" spans="16:16">
      <c r="P9625" s="2498"/>
    </row>
    <row r="9626" spans="16:16">
      <c r="P9626" s="2498"/>
    </row>
    <row r="9627" spans="16:16">
      <c r="P9627" s="2498"/>
    </row>
    <row r="9628" spans="16:16">
      <c r="P9628" s="2498"/>
    </row>
    <row r="9629" spans="16:16">
      <c r="P9629" s="2498"/>
    </row>
    <row r="9630" spans="16:16">
      <c r="P9630" s="2498"/>
    </row>
    <row r="9631" spans="16:16">
      <c r="P9631" s="2498"/>
    </row>
    <row r="9632" spans="16:16">
      <c r="P9632" s="2498"/>
    </row>
    <row r="9633" spans="16:16">
      <c r="P9633" s="2498"/>
    </row>
    <row r="9634" spans="16:16">
      <c r="P9634" s="2498"/>
    </row>
    <row r="9635" spans="16:16">
      <c r="P9635" s="2498"/>
    </row>
    <row r="9636" spans="16:16">
      <c r="P9636" s="2498"/>
    </row>
    <row r="9637" spans="16:16">
      <c r="P9637" s="2498"/>
    </row>
    <row r="9638" spans="16:16">
      <c r="P9638" s="2498"/>
    </row>
    <row r="9639" spans="16:16">
      <c r="P9639" s="2498"/>
    </row>
    <row r="9640" spans="16:16">
      <c r="P9640" s="2498"/>
    </row>
    <row r="9641" spans="16:16">
      <c r="P9641" s="2498"/>
    </row>
    <row r="9642" spans="16:16">
      <c r="P9642" s="2498"/>
    </row>
    <row r="9643" spans="16:16">
      <c r="P9643" s="2498"/>
    </row>
    <row r="9644" spans="16:16">
      <c r="P9644" s="2498"/>
    </row>
    <row r="9645" spans="16:16">
      <c r="P9645" s="2498"/>
    </row>
    <row r="9646" spans="16:16">
      <c r="P9646" s="2498"/>
    </row>
    <row r="9647" spans="16:16">
      <c r="P9647" s="2498"/>
    </row>
    <row r="9648" spans="16:16">
      <c r="P9648" s="2498"/>
    </row>
    <row r="9649" spans="16:16">
      <c r="P9649" s="2498"/>
    </row>
    <row r="9650" spans="16:16">
      <c r="P9650" s="2498"/>
    </row>
    <row r="9651" spans="16:16">
      <c r="P9651" s="2498"/>
    </row>
    <row r="9652" spans="16:16">
      <c r="P9652" s="2498"/>
    </row>
    <row r="9653" spans="16:16">
      <c r="P9653" s="2498"/>
    </row>
    <row r="9654" spans="16:16">
      <c r="P9654" s="2498"/>
    </row>
    <row r="9655" spans="16:16">
      <c r="P9655" s="2498"/>
    </row>
    <row r="9656" spans="16:16">
      <c r="P9656" s="2498"/>
    </row>
    <row r="9657" spans="16:16">
      <c r="P9657" s="2498"/>
    </row>
    <row r="9658" spans="16:16">
      <c r="P9658" s="2498"/>
    </row>
    <row r="9659" spans="16:16">
      <c r="P9659" s="2498"/>
    </row>
    <row r="9660" spans="16:16">
      <c r="P9660" s="2498"/>
    </row>
    <row r="9661" spans="16:16">
      <c r="P9661" s="2498"/>
    </row>
    <row r="9662" spans="16:16">
      <c r="P9662" s="2498"/>
    </row>
    <row r="9663" spans="16:16">
      <c r="P9663" s="2498"/>
    </row>
    <row r="9664" spans="16:16">
      <c r="P9664" s="2498"/>
    </row>
    <row r="9665" spans="16:16">
      <c r="P9665" s="2498"/>
    </row>
    <row r="9666" spans="16:16">
      <c r="P9666" s="2498"/>
    </row>
    <row r="9667" spans="16:16">
      <c r="P9667" s="2498"/>
    </row>
    <row r="9668" spans="16:16">
      <c r="P9668" s="2498"/>
    </row>
    <row r="9669" spans="16:16">
      <c r="P9669" s="2498"/>
    </row>
    <row r="9670" spans="16:16">
      <c r="P9670" s="2498"/>
    </row>
    <row r="9671" spans="16:16">
      <c r="P9671" s="2498"/>
    </row>
    <row r="9672" spans="16:16">
      <c r="P9672" s="2498"/>
    </row>
    <row r="9673" spans="16:16">
      <c r="P9673" s="2498"/>
    </row>
    <row r="9674" spans="16:16">
      <c r="P9674" s="2498"/>
    </row>
    <row r="9675" spans="16:16">
      <c r="P9675" s="2498"/>
    </row>
    <row r="9676" spans="16:16">
      <c r="P9676" s="2498"/>
    </row>
    <row r="9677" spans="16:16">
      <c r="P9677" s="2498"/>
    </row>
    <row r="9678" spans="16:16">
      <c r="P9678" s="2498"/>
    </row>
    <row r="9679" spans="16:16">
      <c r="P9679" s="2498"/>
    </row>
    <row r="9680" spans="16:16">
      <c r="P9680" s="2498"/>
    </row>
    <row r="9681" spans="16:16">
      <c r="P9681" s="2498"/>
    </row>
    <row r="9682" spans="16:16">
      <c r="P9682" s="2498"/>
    </row>
    <row r="9683" spans="16:16">
      <c r="P9683" s="2498"/>
    </row>
    <row r="9684" spans="16:16">
      <c r="P9684" s="2498"/>
    </row>
    <row r="9685" spans="16:16">
      <c r="P9685" s="2498"/>
    </row>
    <row r="9686" spans="16:16">
      <c r="P9686" s="2498"/>
    </row>
    <row r="9687" spans="16:16">
      <c r="P9687" s="2498"/>
    </row>
    <row r="9688" spans="16:16">
      <c r="P9688" s="2498"/>
    </row>
    <row r="9689" spans="16:16">
      <c r="P9689" s="2498"/>
    </row>
    <row r="9690" spans="16:16">
      <c r="P9690" s="2498"/>
    </row>
    <row r="9691" spans="16:16">
      <c r="P9691" s="2498"/>
    </row>
    <row r="9692" spans="16:16">
      <c r="P9692" s="2498"/>
    </row>
    <row r="9693" spans="16:16">
      <c r="P9693" s="2498"/>
    </row>
    <row r="9694" spans="16:16">
      <c r="P9694" s="2498"/>
    </row>
    <row r="9695" spans="16:16">
      <c r="P9695" s="2498"/>
    </row>
    <row r="9696" spans="16:16">
      <c r="P9696" s="2498"/>
    </row>
    <row r="9697" spans="16:16">
      <c r="P9697" s="2498"/>
    </row>
    <row r="9698" spans="16:16">
      <c r="P9698" s="2498"/>
    </row>
    <row r="9699" spans="16:16">
      <c r="P9699" s="2498"/>
    </row>
    <row r="9700" spans="16:16">
      <c r="P9700" s="2498"/>
    </row>
    <row r="9701" spans="16:16">
      <c r="P9701" s="2498"/>
    </row>
    <row r="9702" spans="16:16">
      <c r="P9702" s="2498"/>
    </row>
    <row r="9703" spans="16:16">
      <c r="P9703" s="2498"/>
    </row>
    <row r="9704" spans="16:16">
      <c r="P9704" s="2498"/>
    </row>
    <row r="9705" spans="16:16">
      <c r="P9705" s="2498"/>
    </row>
    <row r="9706" spans="16:16">
      <c r="P9706" s="2498"/>
    </row>
    <row r="9707" spans="16:16">
      <c r="P9707" s="2498"/>
    </row>
    <row r="9708" spans="16:16">
      <c r="P9708" s="2498"/>
    </row>
    <row r="9709" spans="16:16">
      <c r="P9709" s="2498"/>
    </row>
    <row r="9710" spans="16:16">
      <c r="P9710" s="2498"/>
    </row>
    <row r="9711" spans="16:16">
      <c r="P9711" s="2498"/>
    </row>
    <row r="9712" spans="16:16">
      <c r="P9712" s="2498"/>
    </row>
    <row r="9713" spans="16:16">
      <c r="P9713" s="2498"/>
    </row>
    <row r="9714" spans="16:16">
      <c r="P9714" s="2498"/>
    </row>
    <row r="9715" spans="16:16">
      <c r="P9715" s="2498"/>
    </row>
    <row r="9716" spans="16:16">
      <c r="P9716" s="2498"/>
    </row>
    <row r="9717" spans="16:16">
      <c r="P9717" s="2498"/>
    </row>
    <row r="9718" spans="16:16">
      <c r="P9718" s="2498"/>
    </row>
    <row r="9719" spans="16:16">
      <c r="P9719" s="2498"/>
    </row>
    <row r="9720" spans="16:16">
      <c r="P9720" s="2498"/>
    </row>
    <row r="9721" spans="16:16">
      <c r="P9721" s="2498"/>
    </row>
    <row r="9722" spans="16:16">
      <c r="P9722" s="2498"/>
    </row>
    <row r="9723" spans="16:16">
      <c r="P9723" s="2498"/>
    </row>
    <row r="9724" spans="16:16">
      <c r="P9724" s="2498"/>
    </row>
    <row r="9725" spans="16:16">
      <c r="P9725" s="2498"/>
    </row>
    <row r="9726" spans="16:16">
      <c r="P9726" s="2498"/>
    </row>
    <row r="9727" spans="16:16">
      <c r="P9727" s="2498"/>
    </row>
    <row r="9728" spans="16:16">
      <c r="P9728" s="2498"/>
    </row>
    <row r="9729" spans="16:16">
      <c r="P9729" s="2498"/>
    </row>
    <row r="9730" spans="16:16">
      <c r="P9730" s="2498"/>
    </row>
    <row r="9731" spans="16:16">
      <c r="P9731" s="2498"/>
    </row>
    <row r="9732" spans="16:16">
      <c r="P9732" s="2498"/>
    </row>
    <row r="9733" spans="16:16">
      <c r="P9733" s="2498"/>
    </row>
    <row r="9734" spans="16:16">
      <c r="P9734" s="2498"/>
    </row>
    <row r="9735" spans="16:16">
      <c r="P9735" s="2498"/>
    </row>
    <row r="9736" spans="16:16">
      <c r="P9736" s="2498"/>
    </row>
    <row r="9737" spans="16:16">
      <c r="P9737" s="2498"/>
    </row>
    <row r="9738" spans="16:16">
      <c r="P9738" s="2498"/>
    </row>
    <row r="9739" spans="16:16">
      <c r="P9739" s="2498"/>
    </row>
    <row r="9740" spans="16:16">
      <c r="P9740" s="2498"/>
    </row>
    <row r="9741" spans="16:16">
      <c r="P9741" s="2498"/>
    </row>
    <row r="9742" spans="16:16">
      <c r="P9742" s="2498"/>
    </row>
    <row r="9743" spans="16:16">
      <c r="P9743" s="2498"/>
    </row>
    <row r="9744" spans="16:16">
      <c r="P9744" s="2498"/>
    </row>
    <row r="9745" spans="16:16">
      <c r="P9745" s="2498"/>
    </row>
    <row r="9746" spans="16:16">
      <c r="P9746" s="2498"/>
    </row>
    <row r="9747" spans="16:16">
      <c r="P9747" s="2498"/>
    </row>
    <row r="9748" spans="16:16">
      <c r="P9748" s="2498"/>
    </row>
    <row r="9749" spans="16:16">
      <c r="P9749" s="2498"/>
    </row>
    <row r="9750" spans="16:16">
      <c r="P9750" s="2498"/>
    </row>
    <row r="9751" spans="16:16">
      <c r="P9751" s="2498"/>
    </row>
    <row r="9752" spans="16:16">
      <c r="P9752" s="2498"/>
    </row>
    <row r="9753" spans="16:16">
      <c r="P9753" s="2498"/>
    </row>
    <row r="9754" spans="16:16">
      <c r="P9754" s="2498"/>
    </row>
    <row r="9755" spans="16:16">
      <c r="P9755" s="2498"/>
    </row>
    <row r="9756" spans="16:16">
      <c r="P9756" s="2498"/>
    </row>
    <row r="9757" spans="16:16">
      <c r="P9757" s="2498"/>
    </row>
    <row r="9758" spans="16:16">
      <c r="P9758" s="2498"/>
    </row>
    <row r="9759" spans="16:16">
      <c r="P9759" s="2498"/>
    </row>
    <row r="9760" spans="16:16">
      <c r="P9760" s="2498"/>
    </row>
    <row r="9761" spans="16:16">
      <c r="P9761" s="2498"/>
    </row>
    <row r="9762" spans="16:16">
      <c r="P9762" s="2498"/>
    </row>
    <row r="9763" spans="16:16">
      <c r="P9763" s="2498"/>
    </row>
    <row r="9764" spans="16:16">
      <c r="P9764" s="2498"/>
    </row>
    <row r="9765" spans="16:16">
      <c r="P9765" s="2498"/>
    </row>
    <row r="9766" spans="16:16">
      <c r="P9766" s="2498"/>
    </row>
    <row r="9767" spans="16:16">
      <c r="P9767" s="2498"/>
    </row>
    <row r="9768" spans="16:16">
      <c r="P9768" s="2498"/>
    </row>
    <row r="9769" spans="16:16">
      <c r="P9769" s="2498"/>
    </row>
    <row r="9770" spans="16:16">
      <c r="P9770" s="2498"/>
    </row>
    <row r="9771" spans="16:16">
      <c r="P9771" s="2498"/>
    </row>
    <row r="9772" spans="16:16">
      <c r="P9772" s="2498"/>
    </row>
    <row r="9773" spans="16:16">
      <c r="P9773" s="2498"/>
    </row>
    <row r="9774" spans="16:16">
      <c r="P9774" s="2498"/>
    </row>
    <row r="9775" spans="16:16">
      <c r="P9775" s="2498"/>
    </row>
    <row r="9776" spans="16:16">
      <c r="P9776" s="2498"/>
    </row>
    <row r="9777" spans="16:16">
      <c r="P9777" s="2498"/>
    </row>
    <row r="9778" spans="16:16">
      <c r="P9778" s="2498"/>
    </row>
    <row r="9779" spans="16:16">
      <c r="P9779" s="2498"/>
    </row>
    <row r="9780" spans="16:16">
      <c r="P9780" s="2498"/>
    </row>
    <row r="9781" spans="16:16">
      <c r="P9781" s="2498"/>
    </row>
    <row r="9782" spans="16:16">
      <c r="P9782" s="2498"/>
    </row>
    <row r="9783" spans="16:16">
      <c r="P9783" s="2498"/>
    </row>
    <row r="9784" spans="16:16">
      <c r="P9784" s="2498"/>
    </row>
    <row r="9785" spans="16:16">
      <c r="P9785" s="2498"/>
    </row>
    <row r="9786" spans="16:16">
      <c r="P9786" s="2498"/>
    </row>
    <row r="9787" spans="16:16">
      <c r="P9787" s="2498"/>
    </row>
    <row r="9788" spans="16:16">
      <c r="P9788" s="2498"/>
    </row>
    <row r="9789" spans="16:16">
      <c r="P9789" s="2498"/>
    </row>
    <row r="9790" spans="16:16">
      <c r="P9790" s="2498"/>
    </row>
    <row r="9791" spans="16:16">
      <c r="P9791" s="2498"/>
    </row>
    <row r="9792" spans="16:16">
      <c r="P9792" s="2498"/>
    </row>
    <row r="9793" spans="16:16">
      <c r="P9793" s="2498"/>
    </row>
    <row r="9794" spans="16:16">
      <c r="P9794" s="2498"/>
    </row>
    <row r="9795" spans="16:16">
      <c r="P9795" s="2498"/>
    </row>
    <row r="9796" spans="16:16">
      <c r="P9796" s="2498"/>
    </row>
    <row r="9797" spans="16:16">
      <c r="P9797" s="2498"/>
    </row>
    <row r="9798" spans="16:16">
      <c r="P9798" s="2498"/>
    </row>
    <row r="9799" spans="16:16">
      <c r="P9799" s="2498"/>
    </row>
    <row r="9800" spans="16:16">
      <c r="P9800" s="2498"/>
    </row>
    <row r="9801" spans="16:16">
      <c r="P9801" s="2498"/>
    </row>
    <row r="9802" spans="16:16">
      <c r="P9802" s="2498"/>
    </row>
    <row r="9803" spans="16:16">
      <c r="P9803" s="2498"/>
    </row>
    <row r="9804" spans="16:16">
      <c r="P9804" s="2498"/>
    </row>
    <row r="9805" spans="16:16">
      <c r="P9805" s="2498"/>
    </row>
    <row r="9806" spans="16:16">
      <c r="P9806" s="2498"/>
    </row>
    <row r="9807" spans="16:16">
      <c r="P9807" s="2498"/>
    </row>
    <row r="9808" spans="16:16">
      <c r="P9808" s="2498"/>
    </row>
    <row r="9809" spans="16:16">
      <c r="P9809" s="2498"/>
    </row>
    <row r="9810" spans="16:16">
      <c r="P9810" s="2498"/>
    </row>
    <row r="9811" spans="16:16">
      <c r="P9811" s="2498"/>
    </row>
    <row r="9812" spans="16:16">
      <c r="P9812" s="2498"/>
    </row>
    <row r="9813" spans="16:16">
      <c r="P9813" s="2498"/>
    </row>
    <row r="9814" spans="16:16">
      <c r="P9814" s="2498"/>
    </row>
    <row r="9815" spans="16:16">
      <c r="P9815" s="2498"/>
    </row>
    <row r="9816" spans="16:16">
      <c r="P9816" s="2498"/>
    </row>
    <row r="9817" spans="16:16">
      <c r="P9817" s="2498"/>
    </row>
    <row r="9818" spans="16:16">
      <c r="P9818" s="2498"/>
    </row>
    <row r="9819" spans="16:16">
      <c r="P9819" s="2498"/>
    </row>
    <row r="9820" spans="16:16">
      <c r="P9820" s="2498"/>
    </row>
    <row r="9821" spans="16:16">
      <c r="P9821" s="2498"/>
    </row>
    <row r="9822" spans="16:16">
      <c r="P9822" s="2498"/>
    </row>
    <row r="9823" spans="16:16">
      <c r="P9823" s="2498"/>
    </row>
    <row r="9824" spans="16:16">
      <c r="P9824" s="2498"/>
    </row>
    <row r="9825" spans="16:16">
      <c r="P9825" s="2498"/>
    </row>
    <row r="9826" spans="16:16">
      <c r="P9826" s="2498"/>
    </row>
    <row r="9827" spans="16:16">
      <c r="P9827" s="2498"/>
    </row>
    <row r="9828" spans="16:16">
      <c r="P9828" s="2498"/>
    </row>
    <row r="9829" spans="16:16">
      <c r="P9829" s="2498"/>
    </row>
    <row r="9830" spans="16:16">
      <c r="P9830" s="2498"/>
    </row>
    <row r="9831" spans="16:16">
      <c r="P9831" s="2498"/>
    </row>
    <row r="9832" spans="16:16">
      <c r="P9832" s="2498"/>
    </row>
    <row r="9833" spans="16:16">
      <c r="P9833" s="2498"/>
    </row>
    <row r="9834" spans="16:16">
      <c r="P9834" s="2498"/>
    </row>
    <row r="9835" spans="16:16">
      <c r="P9835" s="2498"/>
    </row>
    <row r="9836" spans="16:16">
      <c r="P9836" s="2498"/>
    </row>
    <row r="9837" spans="16:16">
      <c r="P9837" s="2498"/>
    </row>
    <row r="9838" spans="16:16">
      <c r="P9838" s="2498"/>
    </row>
    <row r="9839" spans="16:16">
      <c r="P9839" s="2498"/>
    </row>
    <row r="9840" spans="16:16">
      <c r="P9840" s="2498"/>
    </row>
    <row r="9841" spans="16:16">
      <c r="P9841" s="2498"/>
    </row>
    <row r="9842" spans="16:16">
      <c r="P9842" s="2498"/>
    </row>
    <row r="9843" spans="16:16">
      <c r="P9843" s="2498"/>
    </row>
    <row r="9844" spans="16:16">
      <c r="P9844" s="2498"/>
    </row>
    <row r="9845" spans="16:16">
      <c r="P9845" s="2498"/>
    </row>
    <row r="9846" spans="16:16">
      <c r="P9846" s="2498"/>
    </row>
    <row r="9847" spans="16:16">
      <c r="P9847" s="2498"/>
    </row>
    <row r="9848" spans="16:16">
      <c r="P9848" s="2498"/>
    </row>
    <row r="9849" spans="16:16">
      <c r="P9849" s="2498"/>
    </row>
    <row r="9850" spans="16:16">
      <c r="P9850" s="2498"/>
    </row>
    <row r="9851" spans="16:16">
      <c r="P9851" s="2498"/>
    </row>
    <row r="9852" spans="16:16">
      <c r="P9852" s="2498"/>
    </row>
    <row r="9853" spans="16:16">
      <c r="P9853" s="2498"/>
    </row>
    <row r="9854" spans="16:16">
      <c r="P9854" s="2498"/>
    </row>
    <row r="9855" spans="16:16">
      <c r="P9855" s="2498"/>
    </row>
    <row r="9856" spans="16:16">
      <c r="P9856" s="2498"/>
    </row>
    <row r="9857" spans="16:16">
      <c r="P9857" s="2498"/>
    </row>
    <row r="9858" spans="16:16">
      <c r="P9858" s="2498"/>
    </row>
    <row r="9859" spans="16:16">
      <c r="P9859" s="2498"/>
    </row>
    <row r="9860" spans="16:16">
      <c r="P9860" s="2498"/>
    </row>
    <row r="9861" spans="16:16">
      <c r="P9861" s="2498"/>
    </row>
    <row r="9862" spans="16:16">
      <c r="P9862" s="2498"/>
    </row>
    <row r="9863" spans="16:16">
      <c r="P9863" s="2498"/>
    </row>
    <row r="9864" spans="16:16">
      <c r="P9864" s="2498"/>
    </row>
    <row r="9865" spans="16:16">
      <c r="P9865" s="2498"/>
    </row>
    <row r="9866" spans="16:16">
      <c r="P9866" s="2498"/>
    </row>
    <row r="9867" spans="16:16">
      <c r="P9867" s="2498"/>
    </row>
    <row r="9868" spans="16:16">
      <c r="P9868" s="2498"/>
    </row>
    <row r="9869" spans="16:16">
      <c r="P9869" s="2498"/>
    </row>
    <row r="9870" spans="16:16">
      <c r="P9870" s="2498"/>
    </row>
    <row r="9871" spans="16:16">
      <c r="P9871" s="2498"/>
    </row>
    <row r="9872" spans="16:16">
      <c r="P9872" s="2498"/>
    </row>
    <row r="9873" spans="16:16">
      <c r="P9873" s="2498"/>
    </row>
    <row r="9874" spans="16:16">
      <c r="P9874" s="2498"/>
    </row>
    <row r="9875" spans="16:16">
      <c r="P9875" s="2498"/>
    </row>
    <row r="9876" spans="16:16">
      <c r="P9876" s="2498"/>
    </row>
    <row r="9877" spans="16:16">
      <c r="P9877" s="2498"/>
    </row>
    <row r="9878" spans="16:16">
      <c r="P9878" s="2498"/>
    </row>
    <row r="9879" spans="16:16">
      <c r="P9879" s="2498"/>
    </row>
    <row r="9880" spans="16:16">
      <c r="P9880" s="2498"/>
    </row>
    <row r="9881" spans="16:16">
      <c r="P9881" s="2498"/>
    </row>
    <row r="9882" spans="16:16">
      <c r="P9882" s="2498"/>
    </row>
    <row r="9883" spans="16:16">
      <c r="P9883" s="2498"/>
    </row>
    <row r="9884" spans="16:16">
      <c r="P9884" s="2498"/>
    </row>
    <row r="9885" spans="16:16">
      <c r="P9885" s="2498"/>
    </row>
    <row r="9886" spans="16:16">
      <c r="P9886" s="2498"/>
    </row>
    <row r="9887" spans="16:16">
      <c r="P9887" s="2498"/>
    </row>
    <row r="9888" spans="16:16">
      <c r="P9888" s="2498"/>
    </row>
    <row r="9889" spans="16:16">
      <c r="P9889" s="2498"/>
    </row>
    <row r="9890" spans="16:16">
      <c r="P9890" s="2498"/>
    </row>
    <row r="9891" spans="16:16">
      <c r="P9891" s="2498"/>
    </row>
    <row r="9892" spans="16:16">
      <c r="P9892" s="2498"/>
    </row>
    <row r="9893" spans="16:16">
      <c r="P9893" s="2498"/>
    </row>
    <row r="9894" spans="16:16">
      <c r="P9894" s="2498"/>
    </row>
    <row r="9895" spans="16:16">
      <c r="P9895" s="2498"/>
    </row>
    <row r="9896" spans="16:16">
      <c r="P9896" s="2498"/>
    </row>
    <row r="9897" spans="16:16">
      <c r="P9897" s="2498"/>
    </row>
    <row r="9898" spans="16:16">
      <c r="P9898" s="2498"/>
    </row>
    <row r="9899" spans="16:16">
      <c r="P9899" s="2498"/>
    </row>
    <row r="9900" spans="16:16">
      <c r="P9900" s="2498"/>
    </row>
    <row r="9901" spans="16:16">
      <c r="P9901" s="2498"/>
    </row>
    <row r="9902" spans="16:16">
      <c r="P9902" s="2498"/>
    </row>
    <row r="9903" spans="16:16">
      <c r="P9903" s="2498"/>
    </row>
    <row r="9904" spans="16:16">
      <c r="P9904" s="2498"/>
    </row>
    <row r="9905" spans="16:16">
      <c r="P9905" s="2498"/>
    </row>
    <row r="9906" spans="16:16">
      <c r="P9906" s="2498"/>
    </row>
    <row r="9907" spans="16:16">
      <c r="P9907" s="2498"/>
    </row>
    <row r="9908" spans="16:16">
      <c r="P9908" s="2498"/>
    </row>
    <row r="9909" spans="16:16">
      <c r="P9909" s="2498"/>
    </row>
    <row r="9910" spans="16:16">
      <c r="P9910" s="2498"/>
    </row>
    <row r="9911" spans="16:16">
      <c r="P9911" s="2498"/>
    </row>
    <row r="9912" spans="16:16">
      <c r="P9912" s="2498"/>
    </row>
    <row r="9913" spans="16:16">
      <c r="P9913" s="2498"/>
    </row>
    <row r="9914" spans="16:16">
      <c r="P9914" s="2498"/>
    </row>
    <row r="9915" spans="16:16">
      <c r="P9915" s="2498"/>
    </row>
    <row r="9916" spans="16:16">
      <c r="P9916" s="2498"/>
    </row>
    <row r="9917" spans="16:16">
      <c r="P9917" s="2498"/>
    </row>
    <row r="9918" spans="16:16">
      <c r="P9918" s="2498"/>
    </row>
    <row r="9919" spans="16:16">
      <c r="P9919" s="2498"/>
    </row>
    <row r="9920" spans="16:16">
      <c r="P9920" s="2498"/>
    </row>
    <row r="9921" spans="16:16">
      <c r="P9921" s="2498"/>
    </row>
    <row r="9922" spans="16:16">
      <c r="P9922" s="2498"/>
    </row>
    <row r="9923" spans="16:16">
      <c r="P9923" s="2498"/>
    </row>
    <row r="9924" spans="16:16">
      <c r="P9924" s="2498"/>
    </row>
    <row r="9925" spans="16:16">
      <c r="P9925" s="2498"/>
    </row>
    <row r="9926" spans="16:16">
      <c r="P9926" s="2498"/>
    </row>
    <row r="9927" spans="16:16">
      <c r="P9927" s="2498"/>
    </row>
    <row r="9928" spans="16:16">
      <c r="P9928" s="2498"/>
    </row>
    <row r="9929" spans="16:16">
      <c r="P9929" s="2498"/>
    </row>
    <row r="9930" spans="16:16">
      <c r="P9930" s="2498"/>
    </row>
    <row r="9931" spans="16:16">
      <c r="P9931" s="2498"/>
    </row>
    <row r="9932" spans="16:16">
      <c r="P9932" s="2498"/>
    </row>
    <row r="9933" spans="16:16">
      <c r="P9933" s="2498"/>
    </row>
    <row r="9934" spans="16:16">
      <c r="P9934" s="2498"/>
    </row>
    <row r="9935" spans="16:16">
      <c r="P9935" s="2498"/>
    </row>
    <row r="9936" spans="16:16">
      <c r="P9936" s="2498"/>
    </row>
    <row r="9937" spans="16:16">
      <c r="P9937" s="2498"/>
    </row>
    <row r="9938" spans="16:16">
      <c r="P9938" s="2498"/>
    </row>
    <row r="9939" spans="16:16">
      <c r="P9939" s="2498"/>
    </row>
    <row r="9940" spans="16:16">
      <c r="P9940" s="2498"/>
    </row>
    <row r="9941" spans="16:16">
      <c r="P9941" s="2498"/>
    </row>
    <row r="9942" spans="16:16">
      <c r="P9942" s="2498"/>
    </row>
    <row r="9943" spans="16:16">
      <c r="P9943" s="2498"/>
    </row>
    <row r="9944" spans="16:16">
      <c r="P9944" s="2498"/>
    </row>
    <row r="9945" spans="16:16">
      <c r="P9945" s="2498"/>
    </row>
    <row r="9946" spans="16:16">
      <c r="P9946" s="2498"/>
    </row>
    <row r="9947" spans="16:16">
      <c r="P9947" s="2498"/>
    </row>
    <row r="9948" spans="16:16">
      <c r="P9948" s="2498"/>
    </row>
    <row r="9949" spans="16:16">
      <c r="P9949" s="2498"/>
    </row>
    <row r="9950" spans="16:16">
      <c r="P9950" s="2498"/>
    </row>
    <row r="9951" spans="16:16">
      <c r="P9951" s="2498"/>
    </row>
    <row r="9952" spans="16:16">
      <c r="P9952" s="2498"/>
    </row>
    <row r="9953" spans="16:16">
      <c r="P9953" s="2498"/>
    </row>
    <row r="9954" spans="16:16">
      <c r="P9954" s="2498"/>
    </row>
    <row r="9955" spans="16:16">
      <c r="P9955" s="2498"/>
    </row>
    <row r="9956" spans="16:16">
      <c r="P9956" s="2498"/>
    </row>
    <row r="9957" spans="16:16">
      <c r="P9957" s="2498"/>
    </row>
    <row r="9958" spans="16:16">
      <c r="P9958" s="2498"/>
    </row>
    <row r="9959" spans="16:16">
      <c r="P9959" s="2498"/>
    </row>
    <row r="9960" spans="16:16">
      <c r="P9960" s="2498"/>
    </row>
    <row r="9961" spans="16:16">
      <c r="P9961" s="2498"/>
    </row>
    <row r="9962" spans="16:16">
      <c r="P9962" s="2498"/>
    </row>
    <row r="9963" spans="16:16">
      <c r="P9963" s="2498"/>
    </row>
    <row r="9964" spans="16:16">
      <c r="P9964" s="2498"/>
    </row>
    <row r="9965" spans="16:16">
      <c r="P9965" s="2498"/>
    </row>
    <row r="9966" spans="16:16">
      <c r="P9966" s="2498"/>
    </row>
    <row r="9967" spans="16:16">
      <c r="P9967" s="2498"/>
    </row>
    <row r="9968" spans="16:16">
      <c r="P9968" s="2498"/>
    </row>
    <row r="9969" spans="16:16">
      <c r="P9969" s="2498"/>
    </row>
    <row r="9970" spans="16:16">
      <c r="P9970" s="2498"/>
    </row>
    <row r="9971" spans="16:16">
      <c r="P9971" s="2498"/>
    </row>
    <row r="9972" spans="16:16">
      <c r="P9972" s="2498"/>
    </row>
    <row r="9973" spans="16:16">
      <c r="P9973" s="2498"/>
    </row>
    <row r="9974" spans="16:16">
      <c r="P9974" s="2498"/>
    </row>
    <row r="9975" spans="16:16">
      <c r="P9975" s="2498"/>
    </row>
    <row r="9976" spans="16:16">
      <c r="P9976" s="2498"/>
    </row>
    <row r="9977" spans="16:16">
      <c r="P9977" s="2498"/>
    </row>
    <row r="9978" spans="16:16">
      <c r="P9978" s="2498"/>
    </row>
    <row r="9979" spans="16:16">
      <c r="P9979" s="2498"/>
    </row>
    <row r="9980" spans="16:16">
      <c r="P9980" s="2498"/>
    </row>
    <row r="9981" spans="16:16">
      <c r="P9981" s="2498"/>
    </row>
    <row r="9982" spans="16:16">
      <c r="P9982" s="2498"/>
    </row>
    <row r="9983" spans="16:16">
      <c r="P9983" s="2498"/>
    </row>
    <row r="9984" spans="16:16">
      <c r="P9984" s="2498"/>
    </row>
    <row r="9985" spans="16:16">
      <c r="P9985" s="2498"/>
    </row>
    <row r="9986" spans="16:16">
      <c r="P9986" s="2498"/>
    </row>
    <row r="9987" spans="16:16">
      <c r="P9987" s="2498"/>
    </row>
    <row r="9988" spans="16:16">
      <c r="P9988" s="2498"/>
    </row>
    <row r="9989" spans="16:16">
      <c r="P9989" s="2498"/>
    </row>
    <row r="9990" spans="16:16">
      <c r="P9990" s="2498"/>
    </row>
    <row r="9991" spans="16:16">
      <c r="P9991" s="2498"/>
    </row>
    <row r="9992" spans="16:16">
      <c r="P9992" s="2498"/>
    </row>
    <row r="9993" spans="16:16">
      <c r="P9993" s="2498"/>
    </row>
    <row r="9994" spans="16:16">
      <c r="P9994" s="2498"/>
    </row>
    <row r="9995" spans="16:16">
      <c r="P9995" s="2498"/>
    </row>
    <row r="9996" spans="16:16">
      <c r="P9996" s="2498"/>
    </row>
    <row r="9997" spans="16:16">
      <c r="P9997" s="2498"/>
    </row>
    <row r="9998" spans="16:16">
      <c r="P9998" s="2498"/>
    </row>
    <row r="9999" spans="16:16">
      <c r="P9999" s="2498"/>
    </row>
    <row r="10000" spans="16:16">
      <c r="P10000" s="2498"/>
    </row>
    <row r="10001" spans="16:16">
      <c r="P10001" s="2498"/>
    </row>
    <row r="10002" spans="16:16">
      <c r="P10002" s="2498"/>
    </row>
    <row r="10003" spans="16:16">
      <c r="P10003" s="2498"/>
    </row>
    <row r="10004" spans="16:16">
      <c r="P10004" s="2498"/>
    </row>
    <row r="10005" spans="16:16">
      <c r="P10005" s="2498"/>
    </row>
    <row r="10006" spans="16:16">
      <c r="P10006" s="2498"/>
    </row>
    <row r="10007" spans="16:16">
      <c r="P10007" s="2498"/>
    </row>
    <row r="10008" spans="16:16">
      <c r="P10008" s="2498"/>
    </row>
    <row r="10009" spans="16:16">
      <c r="P10009" s="2498"/>
    </row>
    <row r="10010" spans="16:16">
      <c r="P10010" s="2498"/>
    </row>
    <row r="10011" spans="16:16">
      <c r="P10011" s="2498"/>
    </row>
    <row r="10012" spans="16:16">
      <c r="P10012" s="2498"/>
    </row>
    <row r="10013" spans="16:16">
      <c r="P10013" s="2498"/>
    </row>
    <row r="10014" spans="16:16">
      <c r="P10014" s="2498"/>
    </row>
    <row r="10015" spans="16:16">
      <c r="P10015" s="2498"/>
    </row>
    <row r="10016" spans="16:16">
      <c r="P10016" s="2498"/>
    </row>
    <row r="10017" spans="16:16">
      <c r="P10017" s="2498"/>
    </row>
    <row r="10018" spans="16:16">
      <c r="P10018" s="2498"/>
    </row>
    <row r="10019" spans="16:16">
      <c r="P10019" s="2498"/>
    </row>
    <row r="10020" spans="16:16">
      <c r="P10020" s="2498"/>
    </row>
    <row r="10021" spans="16:16">
      <c r="P10021" s="2498"/>
    </row>
    <row r="10022" spans="16:16">
      <c r="P10022" s="2498"/>
    </row>
    <row r="10023" spans="16:16">
      <c r="P10023" s="2498"/>
    </row>
    <row r="10024" spans="16:16">
      <c r="P10024" s="2498"/>
    </row>
    <row r="10025" spans="16:16">
      <c r="P10025" s="2498"/>
    </row>
    <row r="10026" spans="16:16">
      <c r="P10026" s="2498"/>
    </row>
    <row r="10027" spans="16:16">
      <c r="P10027" s="2498"/>
    </row>
    <row r="10028" spans="16:16">
      <c r="P10028" s="2498"/>
    </row>
    <row r="10029" spans="16:16">
      <c r="P10029" s="2498"/>
    </row>
    <row r="10030" spans="16:16">
      <c r="P10030" s="2498"/>
    </row>
    <row r="10031" spans="16:16">
      <c r="P10031" s="2498"/>
    </row>
    <row r="10032" spans="16:16">
      <c r="P10032" s="2498"/>
    </row>
    <row r="10033" spans="16:16">
      <c r="P10033" s="2498"/>
    </row>
    <row r="10034" spans="16:16">
      <c r="P10034" s="2498"/>
    </row>
    <row r="10035" spans="16:16">
      <c r="P10035" s="2498"/>
    </row>
    <row r="10036" spans="16:16">
      <c r="P10036" s="2498"/>
    </row>
    <row r="10037" spans="16:16">
      <c r="P10037" s="2498"/>
    </row>
    <row r="10038" spans="16:16">
      <c r="P10038" s="2498"/>
    </row>
    <row r="10039" spans="16:16">
      <c r="P10039" s="2498"/>
    </row>
    <row r="10040" spans="16:16">
      <c r="P10040" s="2498"/>
    </row>
    <row r="10041" spans="16:16">
      <c r="P10041" s="2498"/>
    </row>
    <row r="10042" spans="16:16">
      <c r="P10042" s="2498"/>
    </row>
    <row r="10043" spans="16:16">
      <c r="P10043" s="2498"/>
    </row>
    <row r="10044" spans="16:16">
      <c r="P10044" s="2498"/>
    </row>
    <row r="10045" spans="16:16">
      <c r="P10045" s="2498"/>
    </row>
    <row r="10046" spans="16:16">
      <c r="P10046" s="2498"/>
    </row>
    <row r="10047" spans="16:16">
      <c r="P10047" s="2498"/>
    </row>
    <row r="10048" spans="16:16">
      <c r="P10048" s="2498"/>
    </row>
    <row r="10049" spans="16:16">
      <c r="P10049" s="2498"/>
    </row>
    <row r="10050" spans="16:16">
      <c r="P10050" s="2498"/>
    </row>
    <row r="10051" spans="16:16">
      <c r="P10051" s="2498"/>
    </row>
    <row r="10052" spans="16:16">
      <c r="P10052" s="2498"/>
    </row>
    <row r="10053" spans="16:16">
      <c r="P10053" s="2498"/>
    </row>
    <row r="10054" spans="16:16">
      <c r="P10054" s="2498"/>
    </row>
    <row r="10055" spans="16:16">
      <c r="P10055" s="2498"/>
    </row>
    <row r="10056" spans="16:16">
      <c r="P10056" s="2498"/>
    </row>
    <row r="10057" spans="16:16">
      <c r="P10057" s="2498"/>
    </row>
    <row r="10058" spans="16:16">
      <c r="P10058" s="2498"/>
    </row>
    <row r="10059" spans="16:16">
      <c r="P10059" s="2498"/>
    </row>
    <row r="10060" spans="16:16">
      <c r="P10060" s="2498"/>
    </row>
    <row r="10061" spans="16:16">
      <c r="P10061" s="2498"/>
    </row>
    <row r="10062" spans="16:16">
      <c r="P10062" s="2498"/>
    </row>
    <row r="10063" spans="16:16">
      <c r="P10063" s="2498"/>
    </row>
    <row r="10064" spans="16:16">
      <c r="P10064" s="2498"/>
    </row>
    <row r="10065" spans="16:16">
      <c r="P10065" s="2498"/>
    </row>
    <row r="10066" spans="16:16">
      <c r="P10066" s="2498"/>
    </row>
    <row r="10067" spans="16:16">
      <c r="P10067" s="2498"/>
    </row>
    <row r="10068" spans="16:16">
      <c r="P10068" s="2498"/>
    </row>
    <row r="10069" spans="16:16">
      <c r="P10069" s="2498"/>
    </row>
    <row r="10070" spans="16:16">
      <c r="P10070" s="2498"/>
    </row>
    <row r="10071" spans="16:16">
      <c r="P10071" s="2498"/>
    </row>
    <row r="10072" spans="16:16">
      <c r="P10072" s="2498"/>
    </row>
    <row r="10073" spans="16:16">
      <c r="P10073" s="2498"/>
    </row>
    <row r="10074" spans="16:16">
      <c r="P10074" s="2498"/>
    </row>
    <row r="10075" spans="16:16">
      <c r="P10075" s="2498"/>
    </row>
    <row r="10076" spans="16:16">
      <c r="P10076" s="2498"/>
    </row>
    <row r="10077" spans="16:16">
      <c r="P10077" s="2498"/>
    </row>
    <row r="10078" spans="16:16">
      <c r="P10078" s="2498"/>
    </row>
    <row r="10079" spans="16:16">
      <c r="P10079" s="2498"/>
    </row>
    <row r="10080" spans="16:16">
      <c r="P10080" s="2498"/>
    </row>
    <row r="10081" spans="16:16">
      <c r="P10081" s="2498"/>
    </row>
    <row r="10082" spans="16:16">
      <c r="P10082" s="2498"/>
    </row>
    <row r="10083" spans="16:16">
      <c r="P10083" s="2498"/>
    </row>
    <row r="10084" spans="16:16">
      <c r="P10084" s="2498"/>
    </row>
    <row r="10085" spans="16:16">
      <c r="P10085" s="2498"/>
    </row>
    <row r="10086" spans="16:16">
      <c r="P10086" s="2498"/>
    </row>
    <row r="10087" spans="16:16">
      <c r="P10087" s="2498"/>
    </row>
    <row r="10088" spans="16:16">
      <c r="P10088" s="2498"/>
    </row>
    <row r="10089" spans="16:16">
      <c r="P10089" s="2498"/>
    </row>
    <row r="10090" spans="16:16">
      <c r="P10090" s="2498"/>
    </row>
    <row r="10091" spans="16:16">
      <c r="P10091" s="2498"/>
    </row>
    <row r="10092" spans="16:16">
      <c r="P10092" s="2498"/>
    </row>
    <row r="10093" spans="16:16">
      <c r="P10093" s="2498"/>
    </row>
    <row r="10094" spans="16:16">
      <c r="P10094" s="2498"/>
    </row>
    <row r="10095" spans="16:16">
      <c r="P10095" s="2498"/>
    </row>
    <row r="10096" spans="16:16">
      <c r="P10096" s="2498"/>
    </row>
    <row r="10097" spans="16:16">
      <c r="P10097" s="2498"/>
    </row>
    <row r="10098" spans="16:16">
      <c r="P10098" s="2498"/>
    </row>
    <row r="10099" spans="16:16">
      <c r="P10099" s="2498"/>
    </row>
    <row r="10100" spans="16:16">
      <c r="P10100" s="2498"/>
    </row>
    <row r="10101" spans="16:16">
      <c r="P10101" s="2498"/>
    </row>
    <row r="10102" spans="16:16">
      <c r="P10102" s="2498"/>
    </row>
    <row r="10103" spans="16:16">
      <c r="P10103" s="2498"/>
    </row>
    <row r="10104" spans="16:16">
      <c r="P10104" s="2498"/>
    </row>
    <row r="10105" spans="16:16">
      <c r="P10105" s="2498"/>
    </row>
    <row r="10106" spans="16:16">
      <c r="P10106" s="2498"/>
    </row>
    <row r="10107" spans="16:16">
      <c r="P10107" s="2498"/>
    </row>
    <row r="10108" spans="16:16">
      <c r="P10108" s="2498"/>
    </row>
    <row r="10109" spans="16:16">
      <c r="P10109" s="2498"/>
    </row>
    <row r="10110" spans="16:16">
      <c r="P10110" s="2498"/>
    </row>
    <row r="10111" spans="16:16">
      <c r="P10111" s="2498"/>
    </row>
    <row r="10112" spans="16:16">
      <c r="P10112" s="2498"/>
    </row>
    <row r="10113" spans="16:16">
      <c r="P10113" s="2498"/>
    </row>
    <row r="10114" spans="16:16">
      <c r="P10114" s="2498"/>
    </row>
    <row r="10115" spans="16:16">
      <c r="P10115" s="2498"/>
    </row>
    <row r="10116" spans="16:16">
      <c r="P10116" s="2498"/>
    </row>
    <row r="10117" spans="16:16">
      <c r="P10117" s="2498"/>
    </row>
    <row r="10118" spans="16:16">
      <c r="P10118" s="2498"/>
    </row>
    <row r="10119" spans="16:16">
      <c r="P10119" s="2498"/>
    </row>
    <row r="10120" spans="16:16">
      <c r="P10120" s="2498"/>
    </row>
    <row r="10121" spans="16:16">
      <c r="P10121" s="2498"/>
    </row>
    <row r="10122" spans="16:16">
      <c r="P10122" s="2498"/>
    </row>
    <row r="10123" spans="16:16">
      <c r="P10123" s="2498"/>
    </row>
    <row r="10124" spans="16:16">
      <c r="P10124" s="2498"/>
    </row>
    <row r="10125" spans="16:16">
      <c r="P10125" s="2498"/>
    </row>
    <row r="10126" spans="16:16">
      <c r="P10126" s="2498"/>
    </row>
    <row r="10127" spans="16:16">
      <c r="P10127" s="2498"/>
    </row>
    <row r="10128" spans="16:16">
      <c r="P10128" s="2498"/>
    </row>
    <row r="10129" spans="16:16">
      <c r="P10129" s="2498"/>
    </row>
    <row r="10130" spans="16:16">
      <c r="P10130" s="2498"/>
    </row>
    <row r="10131" spans="16:16">
      <c r="P10131" s="2498"/>
    </row>
    <row r="10132" spans="16:16">
      <c r="P10132" s="2498"/>
    </row>
    <row r="10133" spans="16:16">
      <c r="P10133" s="2498"/>
    </row>
    <row r="10134" spans="16:16">
      <c r="P10134" s="2498"/>
    </row>
    <row r="10135" spans="16:16">
      <c r="P10135" s="2498"/>
    </row>
    <row r="10136" spans="16:16">
      <c r="P10136" s="2498"/>
    </row>
    <row r="10137" spans="16:16">
      <c r="P10137" s="2498"/>
    </row>
    <row r="10138" spans="16:16">
      <c r="P10138" s="2498"/>
    </row>
    <row r="10139" spans="16:16">
      <c r="P10139" s="2498"/>
    </row>
    <row r="10140" spans="16:16">
      <c r="P10140" s="2498"/>
    </row>
    <row r="10141" spans="16:16">
      <c r="P10141" s="2498"/>
    </row>
    <row r="10142" spans="16:16">
      <c r="P10142" s="2498"/>
    </row>
    <row r="10143" spans="16:16">
      <c r="P10143" s="2498"/>
    </row>
    <row r="10144" spans="16:16">
      <c r="P10144" s="2498"/>
    </row>
    <row r="10145" spans="16:16">
      <c r="P10145" s="2498"/>
    </row>
    <row r="10146" spans="16:16">
      <c r="P10146" s="2498"/>
    </row>
    <row r="10147" spans="16:16">
      <c r="P10147" s="2498"/>
    </row>
    <row r="10148" spans="16:16">
      <c r="P10148" s="2498"/>
    </row>
    <row r="10149" spans="16:16">
      <c r="P10149" s="2498"/>
    </row>
    <row r="10150" spans="16:16">
      <c r="P10150" s="2498"/>
    </row>
    <row r="10151" spans="16:16">
      <c r="P10151" s="2498"/>
    </row>
    <row r="10152" spans="16:16">
      <c r="P10152" s="2498"/>
    </row>
    <row r="10153" spans="16:16">
      <c r="P10153" s="2498"/>
    </row>
    <row r="10154" spans="16:16">
      <c r="P10154" s="2498"/>
    </row>
    <row r="10155" spans="16:16">
      <c r="P10155" s="2498"/>
    </row>
    <row r="10156" spans="16:16">
      <c r="P10156" s="2498"/>
    </row>
    <row r="10157" spans="16:16">
      <c r="P10157" s="2498"/>
    </row>
    <row r="10158" spans="16:16">
      <c r="P10158" s="2498"/>
    </row>
    <row r="10159" spans="16:16">
      <c r="P10159" s="2498"/>
    </row>
    <row r="10160" spans="16:16">
      <c r="P10160" s="2498"/>
    </row>
    <row r="10161" spans="16:16">
      <c r="P10161" s="2498"/>
    </row>
    <row r="10162" spans="16:16">
      <c r="P10162" s="2498"/>
    </row>
    <row r="10163" spans="16:16">
      <c r="P10163" s="2498"/>
    </row>
    <row r="10164" spans="16:16">
      <c r="P10164" s="2498"/>
    </row>
    <row r="10165" spans="16:16">
      <c r="P10165" s="2498"/>
    </row>
    <row r="10166" spans="16:16">
      <c r="P10166" s="2498"/>
    </row>
    <row r="10167" spans="16:16">
      <c r="P10167" s="2498"/>
    </row>
    <row r="10168" spans="16:16">
      <c r="P10168" s="2498"/>
    </row>
    <row r="10169" spans="16:16">
      <c r="P10169" s="2498"/>
    </row>
    <row r="10170" spans="16:16">
      <c r="P10170" s="2498"/>
    </row>
    <row r="10171" spans="16:16">
      <c r="P10171" s="2498"/>
    </row>
    <row r="10172" spans="16:16">
      <c r="P10172" s="2498"/>
    </row>
    <row r="10173" spans="16:16">
      <c r="P10173" s="2498"/>
    </row>
    <row r="10174" spans="16:16">
      <c r="P10174" s="2498"/>
    </row>
    <row r="10175" spans="16:16">
      <c r="P10175" s="2498"/>
    </row>
    <row r="10176" spans="16:16">
      <c r="P10176" s="2498"/>
    </row>
    <row r="10177" spans="16:16">
      <c r="P10177" s="2498"/>
    </row>
    <row r="10178" spans="16:16">
      <c r="P10178" s="2498"/>
    </row>
    <row r="10179" spans="16:16">
      <c r="P10179" s="2498"/>
    </row>
    <row r="10180" spans="16:16">
      <c r="P10180" s="2498"/>
    </row>
    <row r="10181" spans="16:16">
      <c r="P10181" s="2498"/>
    </row>
    <row r="10182" spans="16:16">
      <c r="P10182" s="2498"/>
    </row>
    <row r="10183" spans="16:16">
      <c r="P10183" s="2498"/>
    </row>
    <row r="10184" spans="16:16">
      <c r="P10184" s="2498"/>
    </row>
    <row r="10185" spans="16:16">
      <c r="P10185" s="2498"/>
    </row>
    <row r="10186" spans="16:16">
      <c r="P10186" s="2498"/>
    </row>
    <row r="10187" spans="16:16">
      <c r="P10187" s="2498"/>
    </row>
    <row r="10188" spans="16:16">
      <c r="P10188" s="2498"/>
    </row>
    <row r="10189" spans="16:16">
      <c r="P10189" s="2498"/>
    </row>
    <row r="10190" spans="16:16">
      <c r="P10190" s="2498"/>
    </row>
    <row r="10191" spans="16:16">
      <c r="P10191" s="2498"/>
    </row>
    <row r="10192" spans="16:16">
      <c r="P10192" s="2498"/>
    </row>
    <row r="10193" spans="16:16">
      <c r="P10193" s="2498"/>
    </row>
    <row r="10194" spans="16:16">
      <c r="P10194" s="2498"/>
    </row>
    <row r="10195" spans="16:16">
      <c r="P10195" s="2498"/>
    </row>
    <row r="10196" spans="16:16">
      <c r="P10196" s="2498"/>
    </row>
    <row r="10197" spans="16:16">
      <c r="P10197" s="2498"/>
    </row>
    <row r="10198" spans="16:16">
      <c r="P10198" s="2498"/>
    </row>
    <row r="10199" spans="16:16">
      <c r="P10199" s="2498"/>
    </row>
    <row r="10200" spans="16:16">
      <c r="P10200" s="2498"/>
    </row>
    <row r="10201" spans="16:16">
      <c r="P10201" s="2498"/>
    </row>
    <row r="10202" spans="16:16">
      <c r="P10202" s="2498"/>
    </row>
    <row r="10203" spans="16:16">
      <c r="P10203" s="2498"/>
    </row>
    <row r="10204" spans="16:16">
      <c r="P10204" s="2498"/>
    </row>
    <row r="10205" spans="16:16">
      <c r="P10205" s="2498"/>
    </row>
    <row r="10206" spans="16:16">
      <c r="P10206" s="2498"/>
    </row>
    <row r="10207" spans="16:16">
      <c r="P10207" s="2498"/>
    </row>
    <row r="10208" spans="16:16">
      <c r="P10208" s="2498"/>
    </row>
    <row r="10209" spans="16:16">
      <c r="P10209" s="2498"/>
    </row>
    <row r="10210" spans="16:16">
      <c r="P10210" s="2498"/>
    </row>
    <row r="10211" spans="16:16">
      <c r="P10211" s="2498"/>
    </row>
    <row r="10212" spans="16:16">
      <c r="P10212" s="2498"/>
    </row>
    <row r="10213" spans="16:16">
      <c r="P10213" s="2498"/>
    </row>
    <row r="10214" spans="16:16">
      <c r="P10214" s="2498"/>
    </row>
    <row r="10215" spans="16:16">
      <c r="P10215" s="2498"/>
    </row>
    <row r="10216" spans="16:16">
      <c r="P10216" s="2498"/>
    </row>
    <row r="10217" spans="16:16">
      <c r="P10217" s="2498"/>
    </row>
    <row r="10218" spans="16:16">
      <c r="P10218" s="2498"/>
    </row>
    <row r="10219" spans="16:16">
      <c r="P10219" s="2498"/>
    </row>
    <row r="10220" spans="16:16">
      <c r="P10220" s="2498"/>
    </row>
    <row r="10221" spans="16:16">
      <c r="P10221" s="2498"/>
    </row>
    <row r="10222" spans="16:16">
      <c r="P10222" s="2498"/>
    </row>
    <row r="10223" spans="16:16">
      <c r="P10223" s="2498"/>
    </row>
    <row r="10224" spans="16:16">
      <c r="P10224" s="2498"/>
    </row>
    <row r="10225" spans="16:16">
      <c r="P10225" s="2498"/>
    </row>
    <row r="10226" spans="16:16">
      <c r="P10226" s="2498"/>
    </row>
    <row r="10227" spans="16:16">
      <c r="P10227" s="2498"/>
    </row>
    <row r="10228" spans="16:16">
      <c r="P10228" s="2498"/>
    </row>
    <row r="10229" spans="16:16">
      <c r="P10229" s="2498"/>
    </row>
    <row r="10230" spans="16:16">
      <c r="P10230" s="2498"/>
    </row>
    <row r="10231" spans="16:16">
      <c r="P10231" s="2498"/>
    </row>
    <row r="10232" spans="16:16">
      <c r="P10232" s="2498"/>
    </row>
    <row r="10233" spans="16:16">
      <c r="P10233" s="2498"/>
    </row>
    <row r="10234" spans="16:16">
      <c r="P10234" s="2498"/>
    </row>
    <row r="10235" spans="16:16">
      <c r="P10235" s="2498"/>
    </row>
    <row r="10236" spans="16:16">
      <c r="P10236" s="2498"/>
    </row>
    <row r="10237" spans="16:16">
      <c r="P10237" s="2498"/>
    </row>
    <row r="10238" spans="16:16">
      <c r="P10238" s="2498"/>
    </row>
    <row r="10239" spans="16:16">
      <c r="P10239" s="2498"/>
    </row>
    <row r="10240" spans="16:16">
      <c r="P10240" s="2498"/>
    </row>
    <row r="10241" spans="16:16">
      <c r="P10241" s="2498"/>
    </row>
    <row r="10242" spans="16:16">
      <c r="P10242" s="2498"/>
    </row>
    <row r="10243" spans="16:16">
      <c r="P10243" s="2498"/>
    </row>
    <row r="10244" spans="16:16">
      <c r="P10244" s="2498"/>
    </row>
    <row r="10245" spans="16:16">
      <c r="P10245" s="2498"/>
    </row>
    <row r="10246" spans="16:16">
      <c r="P10246" s="2498"/>
    </row>
    <row r="10247" spans="16:16">
      <c r="P10247" s="2498"/>
    </row>
    <row r="10248" spans="16:16">
      <c r="P10248" s="2498"/>
    </row>
    <row r="10249" spans="16:16">
      <c r="P10249" s="2498"/>
    </row>
    <row r="10250" spans="16:16">
      <c r="P10250" s="2498"/>
    </row>
    <row r="10251" spans="16:16">
      <c r="P10251" s="2498"/>
    </row>
    <row r="10252" spans="16:16">
      <c r="P10252" s="2498"/>
    </row>
    <row r="10253" spans="16:16">
      <c r="P10253" s="2498"/>
    </row>
    <row r="10254" spans="16:16">
      <c r="P10254" s="2498"/>
    </row>
    <row r="10255" spans="16:16">
      <c r="P10255" s="2498"/>
    </row>
    <row r="10256" spans="16:16">
      <c r="P10256" s="2498"/>
    </row>
    <row r="10257" spans="16:16">
      <c r="P10257" s="2498"/>
    </row>
    <row r="10258" spans="16:16">
      <c r="P10258" s="2498"/>
    </row>
    <row r="10259" spans="16:16">
      <c r="P10259" s="2498"/>
    </row>
    <row r="10260" spans="16:16">
      <c r="P10260" s="2498"/>
    </row>
    <row r="10261" spans="16:16">
      <c r="P10261" s="2498"/>
    </row>
    <row r="10262" spans="16:16">
      <c r="P10262" s="2498"/>
    </row>
    <row r="10263" spans="16:16">
      <c r="P10263" s="2498"/>
    </row>
    <row r="10264" spans="16:16">
      <c r="P10264" s="2498"/>
    </row>
    <row r="10265" spans="16:16">
      <c r="P10265" s="2498"/>
    </row>
    <row r="10266" spans="16:16">
      <c r="P10266" s="2498"/>
    </row>
    <row r="10267" spans="16:16">
      <c r="P10267" s="2498"/>
    </row>
    <row r="10268" spans="16:16">
      <c r="P10268" s="2498"/>
    </row>
    <row r="10269" spans="16:16">
      <c r="P10269" s="2498"/>
    </row>
    <row r="10270" spans="16:16">
      <c r="P10270" s="2498"/>
    </row>
    <row r="10271" spans="16:16">
      <c r="P10271" s="2498"/>
    </row>
    <row r="10272" spans="16:16">
      <c r="P10272" s="2498"/>
    </row>
    <row r="10273" spans="16:16">
      <c r="P10273" s="2498"/>
    </row>
    <row r="10274" spans="16:16">
      <c r="P10274" s="2498"/>
    </row>
    <row r="10275" spans="16:16">
      <c r="P10275" s="2498"/>
    </row>
    <row r="10276" spans="16:16">
      <c r="P10276" s="2498"/>
    </row>
    <row r="10277" spans="16:16">
      <c r="P10277" s="2498"/>
    </row>
    <row r="10278" spans="16:16">
      <c r="P10278" s="2498"/>
    </row>
    <row r="10279" spans="16:16">
      <c r="P10279" s="2498"/>
    </row>
    <row r="10280" spans="16:16">
      <c r="P10280" s="2498"/>
    </row>
    <row r="10281" spans="16:16">
      <c r="P10281" s="2498"/>
    </row>
    <row r="10282" spans="16:16">
      <c r="P10282" s="2498"/>
    </row>
    <row r="10283" spans="16:16">
      <c r="P10283" s="2498"/>
    </row>
    <row r="10284" spans="16:16">
      <c r="P10284" s="2498"/>
    </row>
    <row r="10285" spans="16:16">
      <c r="P10285" s="2498"/>
    </row>
    <row r="10286" spans="16:16">
      <c r="P10286" s="2498"/>
    </row>
    <row r="10287" spans="16:16">
      <c r="P10287" s="2498"/>
    </row>
    <row r="10288" spans="16:16">
      <c r="P10288" s="2498"/>
    </row>
    <row r="10289" spans="16:16">
      <c r="P10289" s="2498"/>
    </row>
    <row r="10290" spans="16:16">
      <c r="P10290" s="2498"/>
    </row>
    <row r="10291" spans="16:16">
      <c r="P10291" s="2498"/>
    </row>
    <row r="10292" spans="16:16">
      <c r="P10292" s="2498"/>
    </row>
    <row r="10293" spans="16:16">
      <c r="P10293" s="2498"/>
    </row>
    <row r="10294" spans="16:16">
      <c r="P10294" s="2498"/>
    </row>
    <row r="10295" spans="16:16">
      <c r="P10295" s="2498"/>
    </row>
    <row r="10296" spans="16:16">
      <c r="P10296" s="2498"/>
    </row>
    <row r="10297" spans="16:16">
      <c r="P10297" s="2498"/>
    </row>
    <row r="10298" spans="16:16">
      <c r="P10298" s="2498"/>
    </row>
    <row r="10299" spans="16:16">
      <c r="P10299" s="2498"/>
    </row>
    <row r="10300" spans="16:16">
      <c r="P10300" s="2498"/>
    </row>
    <row r="10301" spans="16:16">
      <c r="P10301" s="2498"/>
    </row>
    <row r="10302" spans="16:16">
      <c r="P10302" s="2498"/>
    </row>
    <row r="10303" spans="16:16">
      <c r="P10303" s="2498"/>
    </row>
    <row r="10304" spans="16:16">
      <c r="P10304" s="2498"/>
    </row>
    <row r="10305" spans="16:16">
      <c r="P10305" s="2498"/>
    </row>
    <row r="10306" spans="16:16">
      <c r="P10306" s="2498"/>
    </row>
    <row r="10307" spans="16:16">
      <c r="P10307" s="2498"/>
    </row>
    <row r="10308" spans="16:16">
      <c r="P10308" s="2498"/>
    </row>
    <row r="10309" spans="16:16">
      <c r="P10309" s="2498"/>
    </row>
    <row r="10310" spans="16:16">
      <c r="P10310" s="2498"/>
    </row>
    <row r="10311" spans="16:16">
      <c r="P10311" s="2498"/>
    </row>
    <row r="10312" spans="16:16">
      <c r="P10312" s="2498"/>
    </row>
    <row r="10313" spans="16:16">
      <c r="P10313" s="2498"/>
    </row>
    <row r="10314" spans="16:16">
      <c r="P10314" s="2498"/>
    </row>
    <row r="10315" spans="16:16">
      <c r="P10315" s="2498"/>
    </row>
    <row r="10316" spans="16:16">
      <c r="P10316" s="2498"/>
    </row>
    <row r="10317" spans="16:16">
      <c r="P10317" s="2498"/>
    </row>
    <row r="10318" spans="16:16">
      <c r="P10318" s="2498"/>
    </row>
    <row r="10319" spans="16:16">
      <c r="P10319" s="2498"/>
    </row>
    <row r="10320" spans="16:16">
      <c r="P10320" s="2498"/>
    </row>
    <row r="10321" spans="16:16">
      <c r="P10321" s="2498"/>
    </row>
    <row r="10322" spans="16:16">
      <c r="P10322" s="2498"/>
    </row>
    <row r="10323" spans="16:16">
      <c r="P10323" s="2498"/>
    </row>
    <row r="10324" spans="16:16">
      <c r="P10324" s="2498"/>
    </row>
    <row r="10325" spans="16:16">
      <c r="P10325" s="2498"/>
    </row>
    <row r="10326" spans="16:16">
      <c r="P10326" s="2498"/>
    </row>
    <row r="10327" spans="16:16">
      <c r="P10327" s="2498"/>
    </row>
    <row r="10328" spans="16:16">
      <c r="P10328" s="2498"/>
    </row>
    <row r="10329" spans="16:16">
      <c r="P10329" s="2498"/>
    </row>
    <row r="10330" spans="16:16">
      <c r="P10330" s="2498"/>
    </row>
    <row r="10331" spans="16:16">
      <c r="P10331" s="2498"/>
    </row>
    <row r="10332" spans="16:16">
      <c r="P10332" s="2498"/>
    </row>
    <row r="10333" spans="16:16">
      <c r="P10333" s="2498"/>
    </row>
    <row r="10334" spans="16:16">
      <c r="P10334" s="2498"/>
    </row>
    <row r="10335" spans="16:16">
      <c r="P10335" s="2498"/>
    </row>
    <row r="10336" spans="16:16">
      <c r="P10336" s="2498"/>
    </row>
    <row r="10337" spans="16:16">
      <c r="P10337" s="2498"/>
    </row>
    <row r="10338" spans="16:16">
      <c r="P10338" s="2498"/>
    </row>
    <row r="10339" spans="16:16">
      <c r="P10339" s="2498"/>
    </row>
    <row r="10340" spans="16:16">
      <c r="P10340" s="2498"/>
    </row>
    <row r="10341" spans="16:16">
      <c r="P10341" s="2498"/>
    </row>
    <row r="10342" spans="16:16">
      <c r="P10342" s="2498"/>
    </row>
    <row r="10343" spans="16:16">
      <c r="P10343" s="2498"/>
    </row>
    <row r="10344" spans="16:16">
      <c r="P10344" s="2498"/>
    </row>
    <row r="10345" spans="16:16">
      <c r="P10345" s="2498"/>
    </row>
    <row r="10346" spans="16:16">
      <c r="P10346" s="2498"/>
    </row>
    <row r="10347" spans="16:16">
      <c r="P10347" s="2498"/>
    </row>
    <row r="10348" spans="16:16">
      <c r="P10348" s="2498"/>
    </row>
    <row r="10349" spans="16:16">
      <c r="P10349" s="2498"/>
    </row>
    <row r="10350" spans="16:16">
      <c r="P10350" s="2498"/>
    </row>
    <row r="10351" spans="16:16">
      <c r="P10351" s="2498"/>
    </row>
    <row r="10352" spans="16:16">
      <c r="P10352" s="2498"/>
    </row>
    <row r="10353" spans="16:16">
      <c r="P10353" s="2498"/>
    </row>
    <row r="10354" spans="16:16">
      <c r="P10354" s="2498"/>
    </row>
    <row r="10355" spans="16:16">
      <c r="P10355" s="2498"/>
    </row>
    <row r="10356" spans="16:16">
      <c r="P10356" s="2498"/>
    </row>
    <row r="10357" spans="16:16">
      <c r="P10357" s="2498"/>
    </row>
    <row r="10358" spans="16:16">
      <c r="P10358" s="2498"/>
    </row>
    <row r="10359" spans="16:16">
      <c r="P10359" s="2498"/>
    </row>
    <row r="10360" spans="16:16">
      <c r="P10360" s="2498"/>
    </row>
    <row r="10361" spans="16:16">
      <c r="P10361" s="2498"/>
    </row>
    <row r="10362" spans="16:16">
      <c r="P10362" s="2498"/>
    </row>
    <row r="10363" spans="16:16">
      <c r="P10363" s="2498"/>
    </row>
    <row r="10364" spans="16:16">
      <c r="P10364" s="2498"/>
    </row>
    <row r="10365" spans="16:16">
      <c r="P10365" s="2498"/>
    </row>
    <row r="10366" spans="16:16">
      <c r="P10366" s="2498"/>
    </row>
    <row r="10367" spans="16:16">
      <c r="P10367" s="2498"/>
    </row>
    <row r="10368" spans="16:16">
      <c r="P10368" s="2498"/>
    </row>
    <row r="10369" spans="16:16">
      <c r="P10369" s="2498"/>
    </row>
    <row r="10370" spans="16:16">
      <c r="P10370" s="2498"/>
    </row>
    <row r="10371" spans="16:16">
      <c r="P10371" s="2498"/>
    </row>
    <row r="10372" spans="16:16">
      <c r="P10372" s="2498"/>
    </row>
    <row r="10373" spans="16:16">
      <c r="P10373" s="2498"/>
    </row>
    <row r="10374" spans="16:16">
      <c r="P10374" s="2498"/>
    </row>
    <row r="10375" spans="16:16">
      <c r="P10375" s="2498"/>
    </row>
    <row r="10376" spans="16:16">
      <c r="P10376" s="2498"/>
    </row>
    <row r="10377" spans="16:16">
      <c r="P10377" s="2498"/>
    </row>
    <row r="10378" spans="16:16">
      <c r="P10378" s="2498"/>
    </row>
    <row r="10379" spans="16:16">
      <c r="P10379" s="2498"/>
    </row>
    <row r="10380" spans="16:16">
      <c r="P10380" s="2498"/>
    </row>
    <row r="10381" spans="16:16">
      <c r="P10381" s="2498"/>
    </row>
    <row r="10382" spans="16:16">
      <c r="P10382" s="2498"/>
    </row>
    <row r="10383" spans="16:16">
      <c r="P10383" s="2498"/>
    </row>
    <row r="10384" spans="16:16">
      <c r="P10384" s="2498"/>
    </row>
    <row r="10385" spans="16:16">
      <c r="P10385" s="2498"/>
    </row>
    <row r="10386" spans="16:16">
      <c r="P10386" s="2498"/>
    </row>
    <row r="10387" spans="16:16">
      <c r="P10387" s="2498"/>
    </row>
    <row r="10388" spans="16:16">
      <c r="P10388" s="2498"/>
    </row>
    <row r="10389" spans="16:16">
      <c r="P10389" s="2498"/>
    </row>
    <row r="10390" spans="16:16">
      <c r="P10390" s="2498"/>
    </row>
    <row r="10391" spans="16:16">
      <c r="P10391" s="2498"/>
    </row>
    <row r="10392" spans="16:16">
      <c r="P10392" s="2498"/>
    </row>
    <row r="10393" spans="16:16">
      <c r="P10393" s="2498"/>
    </row>
    <row r="10394" spans="16:16">
      <c r="P10394" s="2498"/>
    </row>
    <row r="10395" spans="16:16">
      <c r="P10395" s="2498"/>
    </row>
    <row r="10396" spans="16:16">
      <c r="P10396" s="2498"/>
    </row>
    <row r="10397" spans="16:16">
      <c r="P10397" s="2498"/>
    </row>
    <row r="10398" spans="16:16">
      <c r="P10398" s="2498"/>
    </row>
    <row r="10399" spans="16:16">
      <c r="P10399" s="2498"/>
    </row>
    <row r="10400" spans="16:16">
      <c r="P10400" s="2498"/>
    </row>
    <row r="10401" spans="16:16">
      <c r="P10401" s="2498"/>
    </row>
    <row r="10402" spans="16:16">
      <c r="P10402" s="2498"/>
    </row>
    <row r="10403" spans="16:16">
      <c r="P10403" s="2498"/>
    </row>
    <row r="10404" spans="16:16">
      <c r="P10404" s="2498"/>
    </row>
    <row r="10405" spans="16:16">
      <c r="P10405" s="2498"/>
    </row>
    <row r="10406" spans="16:16">
      <c r="P10406" s="2498"/>
    </row>
    <row r="10407" spans="16:16">
      <c r="P10407" s="2498"/>
    </row>
    <row r="10408" spans="16:16">
      <c r="P10408" s="2498"/>
    </row>
    <row r="10409" spans="16:16">
      <c r="P10409" s="2498"/>
    </row>
    <row r="10410" spans="16:16">
      <c r="P10410" s="2498"/>
    </row>
    <row r="10411" spans="16:16">
      <c r="P10411" s="2498"/>
    </row>
    <row r="10412" spans="16:16">
      <c r="P10412" s="2498"/>
    </row>
    <row r="10413" spans="16:16">
      <c r="P10413" s="2498"/>
    </row>
    <row r="10414" spans="16:16">
      <c r="P10414" s="2498"/>
    </row>
    <row r="10415" spans="16:16">
      <c r="P10415" s="2498"/>
    </row>
    <row r="10416" spans="16:16">
      <c r="P10416" s="2498"/>
    </row>
    <row r="10417" spans="16:16">
      <c r="P10417" s="2498"/>
    </row>
    <row r="10418" spans="16:16">
      <c r="P10418" s="2498"/>
    </row>
    <row r="10419" spans="16:16">
      <c r="P10419" s="2498"/>
    </row>
    <row r="10420" spans="16:16">
      <c r="P10420" s="2498"/>
    </row>
    <row r="10421" spans="16:16">
      <c r="P10421" s="2498"/>
    </row>
    <row r="10422" spans="16:16">
      <c r="P10422" s="2498"/>
    </row>
    <row r="10423" spans="16:16">
      <c r="P10423" s="2498"/>
    </row>
    <row r="10424" spans="16:16">
      <c r="P10424" s="2498"/>
    </row>
    <row r="10425" spans="16:16">
      <c r="P10425" s="2498"/>
    </row>
    <row r="10426" spans="16:16">
      <c r="P10426" s="2498"/>
    </row>
    <row r="10427" spans="16:16">
      <c r="P10427" s="2498"/>
    </row>
    <row r="10428" spans="16:16">
      <c r="P10428" s="2498"/>
    </row>
    <row r="10429" spans="16:16">
      <c r="P10429" s="2498"/>
    </row>
    <row r="10430" spans="16:16">
      <c r="P10430" s="2498"/>
    </row>
    <row r="10431" spans="16:16">
      <c r="P10431" s="2498"/>
    </row>
    <row r="10432" spans="16:16">
      <c r="P10432" s="2498"/>
    </row>
    <row r="10433" spans="16:16">
      <c r="P10433" s="2498"/>
    </row>
    <row r="10434" spans="16:16">
      <c r="P10434" s="2498"/>
    </row>
    <row r="10435" spans="16:16">
      <c r="P10435" s="2498"/>
    </row>
    <row r="10436" spans="16:16">
      <c r="P10436" s="2498"/>
    </row>
    <row r="10437" spans="16:16">
      <c r="P10437" s="2498"/>
    </row>
    <row r="10438" spans="16:16">
      <c r="P10438" s="2498"/>
    </row>
    <row r="10439" spans="16:16">
      <c r="P10439" s="2498"/>
    </row>
    <row r="10440" spans="16:16">
      <c r="P10440" s="2498"/>
    </row>
    <row r="10441" spans="16:16">
      <c r="P10441" s="2498"/>
    </row>
    <row r="10442" spans="16:16">
      <c r="P10442" s="2498"/>
    </row>
    <row r="10443" spans="16:16">
      <c r="P10443" s="2498"/>
    </row>
    <row r="10444" spans="16:16">
      <c r="P10444" s="2498"/>
    </row>
    <row r="10445" spans="16:16">
      <c r="P10445" s="2498"/>
    </row>
    <row r="10446" spans="16:16">
      <c r="P10446" s="2498"/>
    </row>
    <row r="10447" spans="16:16">
      <c r="P10447" s="2498"/>
    </row>
    <row r="10448" spans="16:16">
      <c r="P10448" s="2498"/>
    </row>
    <row r="10449" spans="16:16">
      <c r="P10449" s="2498"/>
    </row>
    <row r="10450" spans="16:16">
      <c r="P10450" s="2498"/>
    </row>
    <row r="10451" spans="16:16">
      <c r="P10451" s="2498"/>
    </row>
    <row r="10452" spans="16:16">
      <c r="P10452" s="2498"/>
    </row>
    <row r="10453" spans="16:16">
      <c r="P10453" s="2498"/>
    </row>
    <row r="10454" spans="16:16">
      <c r="P10454" s="2498"/>
    </row>
    <row r="10455" spans="16:16">
      <c r="P10455" s="2498"/>
    </row>
    <row r="10456" spans="16:16">
      <c r="P10456" s="2498"/>
    </row>
    <row r="10457" spans="16:16">
      <c r="P10457" s="2498"/>
    </row>
    <row r="10458" spans="16:16">
      <c r="P10458" s="2498"/>
    </row>
    <row r="10459" spans="16:16">
      <c r="P10459" s="2498"/>
    </row>
    <row r="10460" spans="16:16">
      <c r="P10460" s="2498"/>
    </row>
    <row r="10461" spans="16:16">
      <c r="P10461" s="2498"/>
    </row>
    <row r="10462" spans="16:16">
      <c r="P10462" s="2498"/>
    </row>
    <row r="10463" spans="16:16">
      <c r="P10463" s="2498"/>
    </row>
    <row r="10464" spans="16:16">
      <c r="P10464" s="2498"/>
    </row>
    <row r="10465" spans="16:16">
      <c r="P10465" s="2498"/>
    </row>
    <row r="10466" spans="16:16">
      <c r="P10466" s="2498"/>
    </row>
    <row r="10467" spans="16:16">
      <c r="P10467" s="2498"/>
    </row>
    <row r="10468" spans="16:16">
      <c r="P10468" s="2498"/>
    </row>
    <row r="10469" spans="16:16">
      <c r="P10469" s="2498"/>
    </row>
    <row r="10470" spans="16:16">
      <c r="P10470" s="2498"/>
    </row>
    <row r="10471" spans="16:16">
      <c r="P10471" s="2498"/>
    </row>
    <row r="10472" spans="16:16">
      <c r="P10472" s="2498"/>
    </row>
    <row r="10473" spans="16:16">
      <c r="P10473" s="2498"/>
    </row>
    <row r="10474" spans="16:16">
      <c r="P10474" s="2498"/>
    </row>
    <row r="10475" spans="16:16">
      <c r="P10475" s="2498"/>
    </row>
    <row r="10476" spans="16:16">
      <c r="P10476" s="2498"/>
    </row>
    <row r="10477" spans="16:16">
      <c r="P10477" s="2498"/>
    </row>
    <row r="10478" spans="16:16">
      <c r="P10478" s="2498"/>
    </row>
    <row r="10479" spans="16:16">
      <c r="P10479" s="2498"/>
    </row>
    <row r="10480" spans="16:16">
      <c r="P10480" s="2498"/>
    </row>
    <row r="10481" spans="16:16">
      <c r="P10481" s="2498"/>
    </row>
    <row r="10482" spans="16:16">
      <c r="P10482" s="2498"/>
    </row>
    <row r="10483" spans="16:16">
      <c r="P10483" s="2498"/>
    </row>
    <row r="10484" spans="16:16">
      <c r="P10484" s="2498"/>
    </row>
    <row r="10485" spans="16:16">
      <c r="P10485" s="2498"/>
    </row>
    <row r="10486" spans="16:16">
      <c r="P10486" s="2498"/>
    </row>
    <row r="10487" spans="16:16">
      <c r="P10487" s="2498"/>
    </row>
    <row r="10488" spans="16:16">
      <c r="P10488" s="2498"/>
    </row>
    <row r="10489" spans="16:16">
      <c r="P10489" s="2498"/>
    </row>
    <row r="10490" spans="16:16">
      <c r="P10490" s="2498"/>
    </row>
    <row r="10491" spans="16:16">
      <c r="P10491" s="2498"/>
    </row>
    <row r="10492" spans="16:16">
      <c r="P10492" s="2498"/>
    </row>
    <row r="10493" spans="16:16">
      <c r="P10493" s="2498"/>
    </row>
    <row r="10494" spans="16:16">
      <c r="P10494" s="2498"/>
    </row>
    <row r="10495" spans="16:16">
      <c r="P10495" s="2498"/>
    </row>
    <row r="10496" spans="16:16">
      <c r="P10496" s="2498"/>
    </row>
    <row r="10497" spans="16:16">
      <c r="P10497" s="2498"/>
    </row>
    <row r="10498" spans="16:16">
      <c r="P10498" s="2498"/>
    </row>
    <row r="10499" spans="16:16">
      <c r="P10499" s="2498"/>
    </row>
    <row r="10500" spans="16:16">
      <c r="P10500" s="2498"/>
    </row>
    <row r="10501" spans="16:16">
      <c r="P10501" s="2498"/>
    </row>
    <row r="10502" spans="16:16">
      <c r="P10502" s="2498"/>
    </row>
    <row r="10503" spans="16:16">
      <c r="P10503" s="2498"/>
    </row>
    <row r="10504" spans="16:16">
      <c r="P10504" s="2498"/>
    </row>
    <row r="10505" spans="16:16">
      <c r="P10505" s="2498"/>
    </row>
    <row r="10506" spans="16:16">
      <c r="P10506" s="2498"/>
    </row>
    <row r="10507" spans="16:16">
      <c r="P10507" s="2498"/>
    </row>
    <row r="10508" spans="16:16">
      <c r="P10508" s="2498"/>
    </row>
    <row r="10509" spans="16:16">
      <c r="P10509" s="2498"/>
    </row>
    <row r="10510" spans="16:16">
      <c r="P10510" s="2498"/>
    </row>
    <row r="10511" spans="16:16">
      <c r="P10511" s="2498"/>
    </row>
    <row r="10512" spans="16:16">
      <c r="P10512" s="2498"/>
    </row>
    <row r="10513" spans="16:16">
      <c r="P10513" s="2498"/>
    </row>
    <row r="10514" spans="16:16">
      <c r="P10514" s="2498"/>
    </row>
    <row r="10515" spans="16:16">
      <c r="P10515" s="2498"/>
    </row>
    <row r="10516" spans="16:16">
      <c r="P10516" s="2498"/>
    </row>
    <row r="10517" spans="16:16">
      <c r="P10517" s="2498"/>
    </row>
    <row r="10518" spans="16:16">
      <c r="P10518" s="2498"/>
    </row>
    <row r="10519" spans="16:16">
      <c r="P10519" s="2498"/>
    </row>
    <row r="10520" spans="16:16">
      <c r="P10520" s="2498"/>
    </row>
    <row r="10521" spans="16:16">
      <c r="P10521" s="2498"/>
    </row>
    <row r="10522" spans="16:16">
      <c r="P10522" s="2498"/>
    </row>
    <row r="10523" spans="16:16">
      <c r="P10523" s="2498"/>
    </row>
    <row r="10524" spans="16:16">
      <c r="P10524" s="2498"/>
    </row>
    <row r="10525" spans="16:16">
      <c r="P10525" s="2498"/>
    </row>
    <row r="10526" spans="16:16">
      <c r="P10526" s="2498"/>
    </row>
    <row r="10527" spans="16:16">
      <c r="P10527" s="2498"/>
    </row>
    <row r="10528" spans="16:16">
      <c r="P10528" s="2498"/>
    </row>
    <row r="10529" spans="16:16">
      <c r="P10529" s="2498"/>
    </row>
    <row r="10530" spans="16:16">
      <c r="P10530" s="2498"/>
    </row>
    <row r="10531" spans="16:16">
      <c r="P10531" s="2498"/>
    </row>
    <row r="10532" spans="16:16">
      <c r="P10532" s="2498"/>
    </row>
    <row r="10533" spans="16:16">
      <c r="P10533" s="2498"/>
    </row>
    <row r="10534" spans="16:16">
      <c r="P10534" s="2498"/>
    </row>
    <row r="10535" spans="16:16">
      <c r="P10535" s="2498"/>
    </row>
    <row r="10536" spans="16:16">
      <c r="P10536" s="2498"/>
    </row>
    <row r="10537" spans="16:16">
      <c r="P10537" s="2498"/>
    </row>
    <row r="10538" spans="16:16">
      <c r="P10538" s="2498"/>
    </row>
    <row r="10539" spans="16:16">
      <c r="P10539" s="2498"/>
    </row>
    <row r="10540" spans="16:16">
      <c r="P10540" s="2498"/>
    </row>
    <row r="10541" spans="16:16">
      <c r="P10541" s="2498"/>
    </row>
    <row r="10542" spans="16:16">
      <c r="P10542" s="2498"/>
    </row>
    <row r="10543" spans="16:16">
      <c r="P10543" s="2498"/>
    </row>
    <row r="10544" spans="16:16">
      <c r="P10544" s="2498"/>
    </row>
    <row r="10545" spans="16:16">
      <c r="P10545" s="2498"/>
    </row>
    <row r="10546" spans="16:16">
      <c r="P10546" s="2498"/>
    </row>
    <row r="10547" spans="16:16">
      <c r="P10547" s="2498"/>
    </row>
    <row r="10548" spans="16:16">
      <c r="P10548" s="2498"/>
    </row>
    <row r="10549" spans="16:16">
      <c r="P10549" s="2498"/>
    </row>
    <row r="10550" spans="16:16">
      <c r="P10550" s="2498"/>
    </row>
    <row r="10551" spans="16:16">
      <c r="P10551" s="2498"/>
    </row>
    <row r="10552" spans="16:16">
      <c r="P10552" s="2498"/>
    </row>
    <row r="10553" spans="16:16">
      <c r="P10553" s="2498"/>
    </row>
    <row r="10554" spans="16:16">
      <c r="P10554" s="2498"/>
    </row>
    <row r="10555" spans="16:16">
      <c r="P10555" s="2498"/>
    </row>
    <row r="10556" spans="16:16">
      <c r="P10556" s="2498"/>
    </row>
    <row r="10557" spans="16:16">
      <c r="P10557" s="2498"/>
    </row>
    <row r="10558" spans="16:16">
      <c r="P10558" s="2498"/>
    </row>
    <row r="10559" spans="16:16">
      <c r="P10559" s="2498"/>
    </row>
    <row r="10560" spans="16:16">
      <c r="P10560" s="2498"/>
    </row>
    <row r="10561" spans="16:16">
      <c r="P10561" s="2498"/>
    </row>
    <row r="10562" spans="16:16">
      <c r="P10562" s="2498"/>
    </row>
    <row r="10563" spans="16:16">
      <c r="P10563" s="2498"/>
    </row>
    <row r="10564" spans="16:16">
      <c r="P10564" s="2498"/>
    </row>
    <row r="10565" spans="16:16">
      <c r="P10565" s="2498"/>
    </row>
    <row r="10566" spans="16:16">
      <c r="P10566" s="2498"/>
    </row>
    <row r="10567" spans="16:16">
      <c r="P10567" s="2498"/>
    </row>
    <row r="10568" spans="16:16">
      <c r="P10568" s="2498"/>
    </row>
    <row r="10569" spans="16:16">
      <c r="P10569" s="2498"/>
    </row>
    <row r="10570" spans="16:16">
      <c r="P10570" s="2498"/>
    </row>
    <row r="10571" spans="16:16">
      <c r="P10571" s="2498"/>
    </row>
    <row r="10572" spans="16:16">
      <c r="P10572" s="2498"/>
    </row>
    <row r="10573" spans="16:16">
      <c r="P10573" s="2498"/>
    </row>
    <row r="10574" spans="16:16">
      <c r="P10574" s="2498"/>
    </row>
    <row r="10575" spans="16:16">
      <c r="P10575" s="2498"/>
    </row>
    <row r="10576" spans="16:16">
      <c r="P10576" s="2498"/>
    </row>
    <row r="10577" spans="16:16">
      <c r="P10577" s="2498"/>
    </row>
    <row r="10578" spans="16:16">
      <c r="P10578" s="2498"/>
    </row>
    <row r="10579" spans="16:16">
      <c r="P10579" s="2498"/>
    </row>
    <row r="10580" spans="16:16">
      <c r="P10580" s="2498"/>
    </row>
    <row r="10581" spans="16:16">
      <c r="P10581" s="2498"/>
    </row>
    <row r="10582" spans="16:16">
      <c r="P10582" s="2498"/>
    </row>
    <row r="10583" spans="16:16">
      <c r="P10583" s="2498"/>
    </row>
    <row r="10584" spans="16:16">
      <c r="P10584" s="2498"/>
    </row>
    <row r="10585" spans="16:16">
      <c r="P10585" s="2498"/>
    </row>
    <row r="10586" spans="16:16">
      <c r="P10586" s="2498"/>
    </row>
    <row r="10587" spans="16:16">
      <c r="P10587" s="2498"/>
    </row>
    <row r="10588" spans="16:16">
      <c r="P10588" s="2498"/>
    </row>
    <row r="10589" spans="16:16">
      <c r="P10589" s="2498"/>
    </row>
    <row r="10590" spans="16:16">
      <c r="P10590" s="2498"/>
    </row>
    <row r="10591" spans="16:16">
      <c r="P10591" s="2498"/>
    </row>
    <row r="10592" spans="16:16">
      <c r="P10592" s="2498"/>
    </row>
    <row r="10593" spans="16:16">
      <c r="P10593" s="2498"/>
    </row>
    <row r="10594" spans="16:16">
      <c r="P10594" s="2498"/>
    </row>
    <row r="10595" spans="16:16">
      <c r="P10595" s="2498"/>
    </row>
    <row r="10596" spans="16:16">
      <c r="P10596" s="2498"/>
    </row>
    <row r="10597" spans="16:16">
      <c r="P10597" s="2498"/>
    </row>
    <row r="10598" spans="16:16">
      <c r="P10598" s="2498"/>
    </row>
    <row r="10599" spans="16:16">
      <c r="P10599" s="2498"/>
    </row>
    <row r="10600" spans="16:16">
      <c r="P10600" s="2498"/>
    </row>
    <row r="10601" spans="16:16">
      <c r="P10601" s="2498"/>
    </row>
    <row r="10602" spans="16:16">
      <c r="P10602" s="2498"/>
    </row>
    <row r="10603" spans="16:16">
      <c r="P10603" s="2498"/>
    </row>
    <row r="10604" spans="16:16">
      <c r="P10604" s="2498"/>
    </row>
    <row r="10605" spans="16:16">
      <c r="P10605" s="2498"/>
    </row>
    <row r="10606" spans="16:16">
      <c r="P10606" s="2498"/>
    </row>
    <row r="10607" spans="16:16">
      <c r="P10607" s="2498"/>
    </row>
    <row r="10608" spans="16:16">
      <c r="P10608" s="2498"/>
    </row>
    <row r="10609" spans="16:16">
      <c r="P10609" s="2498"/>
    </row>
    <row r="10610" spans="16:16">
      <c r="P10610" s="2498"/>
    </row>
    <row r="10611" spans="16:16">
      <c r="P10611" s="2498"/>
    </row>
    <row r="10612" spans="16:16">
      <c r="P10612" s="2498"/>
    </row>
    <row r="10613" spans="16:16">
      <c r="P10613" s="2498"/>
    </row>
    <row r="10614" spans="16:16">
      <c r="P10614" s="2498"/>
    </row>
    <row r="10615" spans="16:16">
      <c r="P10615" s="2498"/>
    </row>
    <row r="10616" spans="16:16">
      <c r="P10616" s="2498"/>
    </row>
    <row r="10617" spans="16:16">
      <c r="P10617" s="2498"/>
    </row>
    <row r="10618" spans="16:16">
      <c r="P10618" s="2498"/>
    </row>
    <row r="10619" spans="16:16">
      <c r="P10619" s="2498"/>
    </row>
    <row r="10620" spans="16:16">
      <c r="P10620" s="2498"/>
    </row>
    <row r="10621" spans="16:16">
      <c r="P10621" s="2498"/>
    </row>
    <row r="10622" spans="16:16">
      <c r="P10622" s="2498"/>
    </row>
    <row r="10623" spans="16:16">
      <c r="P10623" s="2498"/>
    </row>
    <row r="10624" spans="16:16">
      <c r="P10624" s="2498"/>
    </row>
    <row r="10625" spans="16:16">
      <c r="P10625" s="2498"/>
    </row>
    <row r="10626" spans="16:16">
      <c r="P10626" s="2498"/>
    </row>
    <row r="10627" spans="16:16">
      <c r="P10627" s="2498"/>
    </row>
    <row r="10628" spans="16:16">
      <c r="P10628" s="2498"/>
    </row>
    <row r="10629" spans="16:16">
      <c r="P10629" s="2498"/>
    </row>
    <row r="10630" spans="16:16">
      <c r="P10630" s="2498"/>
    </row>
    <row r="10631" spans="16:16">
      <c r="P10631" s="2498"/>
    </row>
    <row r="10632" spans="16:16">
      <c r="P10632" s="2498"/>
    </row>
    <row r="10633" spans="16:16">
      <c r="P10633" s="2498"/>
    </row>
    <row r="10634" spans="16:16">
      <c r="P10634" s="2498"/>
    </row>
    <row r="10635" spans="16:16">
      <c r="P10635" s="2498"/>
    </row>
    <row r="10636" spans="16:16">
      <c r="P10636" s="2498"/>
    </row>
    <row r="10637" spans="16:16">
      <c r="P10637" s="2498"/>
    </row>
    <row r="10638" spans="16:16">
      <c r="P10638" s="2498"/>
    </row>
    <row r="10639" spans="16:16">
      <c r="P10639" s="2498"/>
    </row>
    <row r="10640" spans="16:16">
      <c r="P10640" s="2498"/>
    </row>
    <row r="10641" spans="16:16">
      <c r="P10641" s="2498"/>
    </row>
    <row r="10642" spans="16:16">
      <c r="P10642" s="2498"/>
    </row>
    <row r="10643" spans="16:16">
      <c r="P10643" s="2498"/>
    </row>
    <row r="10644" spans="16:16">
      <c r="P10644" s="2498"/>
    </row>
    <row r="10645" spans="16:16">
      <c r="P10645" s="2498"/>
    </row>
    <row r="10646" spans="16:16">
      <c r="P10646" s="2498"/>
    </row>
    <row r="10647" spans="16:16">
      <c r="P10647" s="2498"/>
    </row>
    <row r="10648" spans="16:16">
      <c r="P10648" s="2498"/>
    </row>
    <row r="10649" spans="16:16">
      <c r="P10649" s="2498"/>
    </row>
    <row r="10650" spans="16:16">
      <c r="P10650" s="2498"/>
    </row>
    <row r="10651" spans="16:16">
      <c r="P10651" s="2498"/>
    </row>
    <row r="10652" spans="16:16">
      <c r="P10652" s="2498"/>
    </row>
    <row r="10653" spans="16:16">
      <c r="P10653" s="2498"/>
    </row>
    <row r="10654" spans="16:16">
      <c r="P10654" s="2498"/>
    </row>
    <row r="10655" spans="16:16">
      <c r="P10655" s="2498"/>
    </row>
    <row r="10656" spans="16:16">
      <c r="P10656" s="2498"/>
    </row>
    <row r="10657" spans="16:16">
      <c r="P10657" s="2498"/>
    </row>
    <row r="10658" spans="16:16">
      <c r="P10658" s="2498"/>
    </row>
    <row r="10659" spans="16:16">
      <c r="P10659" s="2498"/>
    </row>
    <row r="10660" spans="16:16">
      <c r="P10660" s="2498"/>
    </row>
    <row r="10661" spans="16:16">
      <c r="P10661" s="2498"/>
    </row>
    <row r="10662" spans="16:16">
      <c r="P10662" s="2498"/>
    </row>
    <row r="10663" spans="16:16">
      <c r="P10663" s="2498"/>
    </row>
    <row r="10664" spans="16:16">
      <c r="P10664" s="2498"/>
    </row>
    <row r="10665" spans="16:16">
      <c r="P10665" s="2498"/>
    </row>
    <row r="10666" spans="16:16">
      <c r="P10666" s="2498"/>
    </row>
    <row r="10667" spans="16:16">
      <c r="P10667" s="2498"/>
    </row>
    <row r="10668" spans="16:16">
      <c r="P10668" s="2498"/>
    </row>
    <row r="10669" spans="16:16">
      <c r="P10669" s="2498"/>
    </row>
    <row r="10670" spans="16:16">
      <c r="P10670" s="2498"/>
    </row>
    <row r="10671" spans="16:16">
      <c r="P10671" s="2498"/>
    </row>
    <row r="10672" spans="16:16">
      <c r="P10672" s="2498"/>
    </row>
    <row r="10673" spans="16:16">
      <c r="P10673" s="2498"/>
    </row>
    <row r="10674" spans="16:16">
      <c r="P10674" s="2498"/>
    </row>
    <row r="10675" spans="16:16">
      <c r="P10675" s="2498"/>
    </row>
    <row r="10676" spans="16:16">
      <c r="P10676" s="2498"/>
    </row>
    <row r="10677" spans="16:16">
      <c r="P10677" s="2498"/>
    </row>
    <row r="10678" spans="16:16">
      <c r="P10678" s="2498"/>
    </row>
    <row r="10679" spans="16:16">
      <c r="P10679" s="2498"/>
    </row>
    <row r="10680" spans="16:16">
      <c r="P10680" s="2498"/>
    </row>
    <row r="10681" spans="16:16">
      <c r="P10681" s="2498"/>
    </row>
    <row r="10682" spans="16:16">
      <c r="P10682" s="2498"/>
    </row>
    <row r="10683" spans="16:16">
      <c r="P10683" s="2498"/>
    </row>
    <row r="10684" spans="16:16">
      <c r="P10684" s="2498"/>
    </row>
    <row r="10685" spans="16:16">
      <c r="P10685" s="2498"/>
    </row>
    <row r="10686" spans="16:16">
      <c r="P10686" s="2498"/>
    </row>
    <row r="10687" spans="16:16">
      <c r="P10687" s="2498"/>
    </row>
    <row r="10688" spans="16:16">
      <c r="P10688" s="2498"/>
    </row>
    <row r="10689" spans="16:16">
      <c r="P10689" s="2498"/>
    </row>
    <row r="10690" spans="16:16">
      <c r="P10690" s="2498"/>
    </row>
    <row r="10691" spans="16:16">
      <c r="P10691" s="2498"/>
    </row>
    <row r="10692" spans="16:16">
      <c r="P10692" s="2498"/>
    </row>
    <row r="10693" spans="16:16">
      <c r="P10693" s="2498"/>
    </row>
    <row r="10694" spans="16:16">
      <c r="P10694" s="2498"/>
    </row>
    <row r="10695" spans="16:16">
      <c r="P10695" s="2498"/>
    </row>
    <row r="10696" spans="16:16">
      <c r="P10696" s="2498"/>
    </row>
    <row r="10697" spans="16:16">
      <c r="P10697" s="2498"/>
    </row>
    <row r="10698" spans="16:16">
      <c r="P10698" s="2498"/>
    </row>
    <row r="10699" spans="16:16">
      <c r="P10699" s="2498"/>
    </row>
    <row r="10700" spans="16:16">
      <c r="P10700" s="2498"/>
    </row>
    <row r="10701" spans="16:16">
      <c r="P10701" s="2498"/>
    </row>
    <row r="10702" spans="16:16">
      <c r="P10702" s="2498"/>
    </row>
    <row r="10703" spans="16:16">
      <c r="P10703" s="2498"/>
    </row>
    <row r="10704" spans="16:16">
      <c r="P10704" s="2498"/>
    </row>
    <row r="10705" spans="16:16">
      <c r="P10705" s="2498"/>
    </row>
    <row r="10706" spans="16:16">
      <c r="P10706" s="2498"/>
    </row>
    <row r="10707" spans="16:16">
      <c r="P10707" s="2498"/>
    </row>
    <row r="10708" spans="16:16">
      <c r="P10708" s="2498"/>
    </row>
    <row r="10709" spans="16:16">
      <c r="P10709" s="2498"/>
    </row>
    <row r="10710" spans="16:16">
      <c r="P10710" s="2498"/>
    </row>
    <row r="10711" spans="16:16">
      <c r="P10711" s="2498"/>
    </row>
    <row r="10712" spans="16:16">
      <c r="P10712" s="2498"/>
    </row>
    <row r="10713" spans="16:16">
      <c r="P10713" s="2498"/>
    </row>
    <row r="10714" spans="16:16">
      <c r="P10714" s="2498"/>
    </row>
    <row r="10715" spans="16:16">
      <c r="P10715" s="2498"/>
    </row>
    <row r="10716" spans="16:16">
      <c r="P10716" s="2498"/>
    </row>
    <row r="10717" spans="16:16">
      <c r="P10717" s="2498"/>
    </row>
    <row r="10718" spans="16:16">
      <c r="P10718" s="2498"/>
    </row>
    <row r="10719" spans="16:16">
      <c r="P10719" s="2498"/>
    </row>
    <row r="10720" spans="16:16">
      <c r="P10720" s="2498"/>
    </row>
    <row r="10721" spans="16:16">
      <c r="P10721" s="2498"/>
    </row>
    <row r="10722" spans="16:16">
      <c r="P10722" s="2498"/>
    </row>
    <row r="10723" spans="16:16">
      <c r="P10723" s="2498"/>
    </row>
    <row r="10724" spans="16:16">
      <c r="P10724" s="2498"/>
    </row>
    <row r="10725" spans="16:16">
      <c r="P10725" s="2498"/>
    </row>
    <row r="10726" spans="16:16">
      <c r="P10726" s="2498"/>
    </row>
    <row r="10727" spans="16:16">
      <c r="P10727" s="2498"/>
    </row>
    <row r="10728" spans="16:16">
      <c r="P10728" s="2498"/>
    </row>
    <row r="10729" spans="16:16">
      <c r="P10729" s="2498"/>
    </row>
    <row r="10730" spans="16:16">
      <c r="P10730" s="2498"/>
    </row>
    <row r="10731" spans="16:16">
      <c r="P10731" s="2498"/>
    </row>
    <row r="10732" spans="16:16">
      <c r="P10732" s="2498"/>
    </row>
    <row r="10733" spans="16:16">
      <c r="P10733" s="2498"/>
    </row>
    <row r="10734" spans="16:16">
      <c r="P10734" s="2498"/>
    </row>
    <row r="10735" spans="16:16">
      <c r="P10735" s="2498"/>
    </row>
    <row r="10736" spans="16:16">
      <c r="P10736" s="2498"/>
    </row>
    <row r="10737" spans="16:16">
      <c r="P10737" s="2498"/>
    </row>
    <row r="10738" spans="16:16">
      <c r="P10738" s="2498"/>
    </row>
    <row r="10739" spans="16:16">
      <c r="P10739" s="2498"/>
    </row>
    <row r="10740" spans="16:16">
      <c r="P10740" s="2498"/>
    </row>
    <row r="10741" spans="16:16">
      <c r="P10741" s="2498"/>
    </row>
    <row r="10742" spans="16:16">
      <c r="P10742" s="2498"/>
    </row>
    <row r="10743" spans="16:16">
      <c r="P10743" s="2498"/>
    </row>
    <row r="10744" spans="16:16">
      <c r="P10744" s="2498"/>
    </row>
    <row r="10745" spans="16:16">
      <c r="P10745" s="2498"/>
    </row>
    <row r="10746" spans="16:16">
      <c r="P10746" s="2498"/>
    </row>
    <row r="10747" spans="16:16">
      <c r="P10747" s="2498"/>
    </row>
    <row r="10748" spans="16:16">
      <c r="P10748" s="2498"/>
    </row>
    <row r="10749" spans="16:16">
      <c r="P10749" s="2498"/>
    </row>
    <row r="10750" spans="16:16">
      <c r="P10750" s="2498"/>
    </row>
    <row r="10751" spans="16:16">
      <c r="P10751" s="2498"/>
    </row>
    <row r="10752" spans="16:16">
      <c r="P10752" s="2498"/>
    </row>
    <row r="10753" spans="16:16">
      <c r="P10753" s="2498"/>
    </row>
    <row r="10754" spans="16:16">
      <c r="P10754" s="2498"/>
    </row>
    <row r="10755" spans="16:16">
      <c r="P10755" s="2498"/>
    </row>
    <row r="10756" spans="16:16">
      <c r="P10756" s="2498"/>
    </row>
    <row r="10757" spans="16:16">
      <c r="P10757" s="2498"/>
    </row>
    <row r="10758" spans="16:16">
      <c r="P10758" s="2498"/>
    </row>
    <row r="10759" spans="16:16">
      <c r="P10759" s="2498"/>
    </row>
    <row r="10760" spans="16:16">
      <c r="P10760" s="2498"/>
    </row>
    <row r="10761" spans="16:16">
      <c r="P10761" s="2498"/>
    </row>
    <row r="10762" spans="16:16">
      <c r="P10762" s="2498"/>
    </row>
    <row r="10763" spans="16:16">
      <c r="P10763" s="2498"/>
    </row>
    <row r="10764" spans="16:16">
      <c r="P10764" s="2498"/>
    </row>
    <row r="10765" spans="16:16">
      <c r="P10765" s="2498"/>
    </row>
    <row r="10766" spans="16:16">
      <c r="P10766" s="2498"/>
    </row>
    <row r="10767" spans="16:16">
      <c r="P10767" s="2498"/>
    </row>
    <row r="10768" spans="16:16">
      <c r="P10768" s="2498"/>
    </row>
    <row r="10769" spans="16:16">
      <c r="P10769" s="2498"/>
    </row>
    <row r="10770" spans="16:16">
      <c r="P10770" s="2498"/>
    </row>
    <row r="10771" spans="16:16">
      <c r="P10771" s="2498"/>
    </row>
    <row r="10772" spans="16:16">
      <c r="P10772" s="2498"/>
    </row>
    <row r="10773" spans="16:16">
      <c r="P10773" s="2498"/>
    </row>
    <row r="10774" spans="16:16">
      <c r="P10774" s="2498"/>
    </row>
    <row r="10775" spans="16:16">
      <c r="P10775" s="2498"/>
    </row>
    <row r="10776" spans="16:16">
      <c r="P10776" s="2498"/>
    </row>
    <row r="10777" spans="16:16">
      <c r="P10777" s="2498"/>
    </row>
    <row r="10778" spans="16:16">
      <c r="P10778" s="2498"/>
    </row>
    <row r="10779" spans="16:16">
      <c r="P10779" s="2498"/>
    </row>
    <row r="10780" spans="16:16">
      <c r="P10780" s="2498"/>
    </row>
    <row r="10781" spans="16:16">
      <c r="P10781" s="2498"/>
    </row>
    <row r="10782" spans="16:16">
      <c r="P10782" s="2498"/>
    </row>
    <row r="10783" spans="16:16">
      <c r="P10783" s="2498"/>
    </row>
    <row r="10784" spans="16:16">
      <c r="P10784" s="2498"/>
    </row>
    <row r="10785" spans="16:16">
      <c r="P10785" s="2498"/>
    </row>
    <row r="10786" spans="16:16">
      <c r="P10786" s="2498"/>
    </row>
    <row r="10787" spans="16:16">
      <c r="P10787" s="2498"/>
    </row>
    <row r="10788" spans="16:16">
      <c r="P10788" s="2498"/>
    </row>
    <row r="10789" spans="16:16">
      <c r="P10789" s="2498"/>
    </row>
    <row r="10790" spans="16:16">
      <c r="P10790" s="2498"/>
    </row>
    <row r="10791" spans="16:16">
      <c r="P10791" s="2498"/>
    </row>
    <row r="10792" spans="16:16">
      <c r="P10792" s="2498"/>
    </row>
    <row r="10793" spans="16:16">
      <c r="P10793" s="2498"/>
    </row>
    <row r="10794" spans="16:16">
      <c r="P10794" s="2498"/>
    </row>
    <row r="10795" spans="16:16">
      <c r="P10795" s="2498"/>
    </row>
    <row r="10796" spans="16:16">
      <c r="P10796" s="2498"/>
    </row>
    <row r="10797" spans="16:16">
      <c r="P10797" s="2498"/>
    </row>
    <row r="10798" spans="16:16">
      <c r="P10798" s="2498"/>
    </row>
    <row r="10799" spans="16:16">
      <c r="P10799" s="2498"/>
    </row>
    <row r="10800" spans="16:16">
      <c r="P10800" s="2498"/>
    </row>
    <row r="10801" spans="16:16">
      <c r="P10801" s="2498"/>
    </row>
    <row r="10802" spans="16:16">
      <c r="P10802" s="2498"/>
    </row>
    <row r="10803" spans="16:16">
      <c r="P10803" s="2498"/>
    </row>
    <row r="10804" spans="16:16">
      <c r="P10804" s="2498"/>
    </row>
    <row r="10805" spans="16:16">
      <c r="P10805" s="2498"/>
    </row>
    <row r="10806" spans="16:16">
      <c r="P10806" s="2498"/>
    </row>
    <row r="10807" spans="16:16">
      <c r="P10807" s="2498"/>
    </row>
    <row r="10808" spans="16:16">
      <c r="P10808" s="2498"/>
    </row>
    <row r="10809" spans="16:16">
      <c r="P10809" s="2498"/>
    </row>
    <row r="10810" spans="16:16">
      <c r="P10810" s="2498"/>
    </row>
    <row r="10811" spans="16:16">
      <c r="P10811" s="2498"/>
    </row>
    <row r="10812" spans="16:16">
      <c r="P10812" s="2498"/>
    </row>
    <row r="10813" spans="16:16">
      <c r="P10813" s="2498"/>
    </row>
    <row r="10814" spans="16:16">
      <c r="P10814" s="2498"/>
    </row>
    <row r="10815" spans="16:16">
      <c r="P10815" s="2498"/>
    </row>
    <row r="10816" spans="16:16">
      <c r="P10816" s="2498"/>
    </row>
    <row r="10817" spans="16:16">
      <c r="P10817" s="2498"/>
    </row>
    <row r="10818" spans="16:16">
      <c r="P10818" s="2498"/>
    </row>
    <row r="10819" spans="16:16">
      <c r="P10819" s="2498"/>
    </row>
    <row r="10820" spans="16:16">
      <c r="P10820" s="2498"/>
    </row>
    <row r="10821" spans="16:16">
      <c r="P10821" s="2498"/>
    </row>
    <row r="10822" spans="16:16">
      <c r="P10822" s="2498"/>
    </row>
    <row r="10823" spans="16:16">
      <c r="P10823" s="2498"/>
    </row>
    <row r="10824" spans="16:16">
      <c r="P10824" s="2498"/>
    </row>
    <row r="10825" spans="16:16">
      <c r="P10825" s="2498"/>
    </row>
    <row r="10826" spans="16:16">
      <c r="P10826" s="2498"/>
    </row>
    <row r="10827" spans="16:16">
      <c r="P10827" s="2498"/>
    </row>
    <row r="10828" spans="16:16">
      <c r="P10828" s="2498"/>
    </row>
    <row r="10829" spans="16:16">
      <c r="P10829" s="2498"/>
    </row>
    <row r="10830" spans="16:16">
      <c r="P10830" s="2498"/>
    </row>
    <row r="10831" spans="16:16">
      <c r="P10831" s="2498"/>
    </row>
    <row r="10832" spans="16:16">
      <c r="P10832" s="2498"/>
    </row>
    <row r="10833" spans="16:16">
      <c r="P10833" s="2498"/>
    </row>
    <row r="10834" spans="16:16">
      <c r="P10834" s="2498"/>
    </row>
    <row r="10835" spans="16:16">
      <c r="P10835" s="2498"/>
    </row>
    <row r="10836" spans="16:16">
      <c r="P10836" s="2498"/>
    </row>
    <row r="10837" spans="16:16">
      <c r="P10837" s="2498"/>
    </row>
    <row r="10838" spans="16:16">
      <c r="P10838" s="2498"/>
    </row>
    <row r="10839" spans="16:16">
      <c r="P10839" s="2498"/>
    </row>
    <row r="10840" spans="16:16">
      <c r="P10840" s="2498"/>
    </row>
    <row r="10841" spans="16:16">
      <c r="P10841" s="2498"/>
    </row>
    <row r="10842" spans="16:16">
      <c r="P10842" s="2498"/>
    </row>
    <row r="10843" spans="16:16">
      <c r="P10843" s="2498"/>
    </row>
    <row r="10844" spans="16:16">
      <c r="P10844" s="2498"/>
    </row>
    <row r="10845" spans="16:16">
      <c r="P10845" s="2498"/>
    </row>
    <row r="10846" spans="16:16">
      <c r="P10846" s="2498"/>
    </row>
    <row r="10847" spans="16:16">
      <c r="P10847" s="2498"/>
    </row>
    <row r="10848" spans="16:16">
      <c r="P10848" s="2498"/>
    </row>
    <row r="10849" spans="16:16">
      <c r="P10849" s="2498"/>
    </row>
    <row r="10850" spans="16:16">
      <c r="P10850" s="2498"/>
    </row>
    <row r="10851" spans="16:16">
      <c r="P10851" s="2498"/>
    </row>
    <row r="10852" spans="16:16">
      <c r="P10852" s="2498"/>
    </row>
    <row r="10853" spans="16:16">
      <c r="P10853" s="2498"/>
    </row>
    <row r="10854" spans="16:16">
      <c r="P10854" s="2498"/>
    </row>
    <row r="10855" spans="16:16">
      <c r="P10855" s="2498"/>
    </row>
    <row r="10856" spans="16:16">
      <c r="P10856" s="2498"/>
    </row>
    <row r="10857" spans="16:16">
      <c r="P10857" s="2498"/>
    </row>
    <row r="10858" spans="16:16">
      <c r="P10858" s="2498"/>
    </row>
    <row r="10859" spans="16:16">
      <c r="P10859" s="2498"/>
    </row>
    <row r="10860" spans="16:16">
      <c r="P10860" s="2498"/>
    </row>
    <row r="10861" spans="16:16">
      <c r="P10861" s="2498"/>
    </row>
    <row r="10862" spans="16:16">
      <c r="P10862" s="2498"/>
    </row>
    <row r="10863" spans="16:16">
      <c r="P10863" s="2498"/>
    </row>
    <row r="10864" spans="16:16">
      <c r="P10864" s="2498"/>
    </row>
    <row r="10865" spans="16:16">
      <c r="P10865" s="2498"/>
    </row>
    <row r="10866" spans="16:16">
      <c r="P10866" s="2498"/>
    </row>
    <row r="10867" spans="16:16">
      <c r="P10867" s="2498"/>
    </row>
    <row r="10868" spans="16:16">
      <c r="P10868" s="2498"/>
    </row>
    <row r="10869" spans="16:16">
      <c r="P10869" s="2498"/>
    </row>
    <row r="10870" spans="16:16">
      <c r="P10870" s="2498"/>
    </row>
    <row r="10871" spans="16:16">
      <c r="P10871" s="2498"/>
    </row>
    <row r="10872" spans="16:16">
      <c r="P10872" s="2498"/>
    </row>
    <row r="10873" spans="16:16">
      <c r="P10873" s="2498"/>
    </row>
    <row r="10874" spans="16:16">
      <c r="P10874" s="2498"/>
    </row>
    <row r="10875" spans="16:16">
      <c r="P10875" s="2498"/>
    </row>
    <row r="10876" spans="16:16">
      <c r="P10876" s="2498"/>
    </row>
    <row r="10877" spans="16:16">
      <c r="P10877" s="2498"/>
    </row>
    <row r="10878" spans="16:16">
      <c r="P10878" s="2498"/>
    </row>
    <row r="10879" spans="16:16">
      <c r="P10879" s="2498"/>
    </row>
    <row r="10880" spans="16:16">
      <c r="P10880" s="2498"/>
    </row>
    <row r="10881" spans="16:16">
      <c r="P10881" s="2498"/>
    </row>
    <row r="10882" spans="16:16">
      <c r="P10882" s="2498"/>
    </row>
    <row r="10883" spans="16:16">
      <c r="P10883" s="2498"/>
    </row>
    <row r="10884" spans="16:16">
      <c r="P10884" s="2498"/>
    </row>
    <row r="10885" spans="16:16">
      <c r="P10885" s="2498"/>
    </row>
    <row r="10886" spans="16:16">
      <c r="P10886" s="2498"/>
    </row>
    <row r="10887" spans="16:16">
      <c r="P10887" s="2498"/>
    </row>
    <row r="10888" spans="16:16">
      <c r="P10888" s="2498"/>
    </row>
    <row r="10889" spans="16:16">
      <c r="P10889" s="2498"/>
    </row>
    <row r="10890" spans="16:16">
      <c r="P10890" s="2498"/>
    </row>
    <row r="10891" spans="16:16">
      <c r="P10891" s="2498"/>
    </row>
    <row r="10892" spans="16:16">
      <c r="P10892" s="2498"/>
    </row>
    <row r="10893" spans="16:16">
      <c r="P10893" s="2498"/>
    </row>
    <row r="10894" spans="16:16">
      <c r="P10894" s="2498"/>
    </row>
    <row r="10895" spans="16:16">
      <c r="P10895" s="2498"/>
    </row>
    <row r="10896" spans="16:16">
      <c r="P10896" s="2498"/>
    </row>
    <row r="10897" spans="16:16">
      <c r="P10897" s="2498"/>
    </row>
    <row r="10898" spans="16:16">
      <c r="P10898" s="2498"/>
    </row>
    <row r="10899" spans="16:16">
      <c r="P10899" s="2498"/>
    </row>
    <row r="10900" spans="16:16">
      <c r="P10900" s="2498"/>
    </row>
    <row r="10901" spans="16:16">
      <c r="P10901" s="2498"/>
    </row>
    <row r="10902" spans="16:16">
      <c r="P10902" s="2498"/>
    </row>
    <row r="10903" spans="16:16">
      <c r="P10903" s="2498"/>
    </row>
    <row r="10904" spans="16:16">
      <c r="P10904" s="2498"/>
    </row>
    <row r="10905" spans="16:16">
      <c r="P10905" s="2498"/>
    </row>
    <row r="10906" spans="16:16">
      <c r="P10906" s="2498"/>
    </row>
    <row r="10907" spans="16:16">
      <c r="P10907" s="2498"/>
    </row>
    <row r="10908" spans="16:16">
      <c r="P10908" s="2498"/>
    </row>
    <row r="10909" spans="16:16">
      <c r="P10909" s="2498"/>
    </row>
    <row r="10910" spans="16:16">
      <c r="P10910" s="2498"/>
    </row>
    <row r="10911" spans="16:16">
      <c r="P10911" s="2498"/>
    </row>
    <row r="10912" spans="16:16">
      <c r="P10912" s="2498"/>
    </row>
    <row r="10913" spans="16:16">
      <c r="P10913" s="2498"/>
    </row>
    <row r="10914" spans="16:16">
      <c r="P10914" s="2498"/>
    </row>
    <row r="10915" spans="16:16">
      <c r="P10915" s="2498"/>
    </row>
    <row r="10916" spans="16:16">
      <c r="P10916" s="2498"/>
    </row>
    <row r="10917" spans="16:16">
      <c r="P10917" s="2498"/>
    </row>
    <row r="10918" spans="16:16">
      <c r="P10918" s="2498"/>
    </row>
    <row r="10919" spans="16:16">
      <c r="P10919" s="2498"/>
    </row>
    <row r="10920" spans="16:16">
      <c r="P10920" s="2498"/>
    </row>
    <row r="10921" spans="16:16">
      <c r="P10921" s="2498"/>
    </row>
    <row r="10922" spans="16:16">
      <c r="P10922" s="2498"/>
    </row>
    <row r="10923" spans="16:16">
      <c r="P10923" s="2498"/>
    </row>
    <row r="10924" spans="16:16">
      <c r="P10924" s="2498"/>
    </row>
    <row r="10925" spans="16:16">
      <c r="P10925" s="2498"/>
    </row>
    <row r="10926" spans="16:16">
      <c r="P10926" s="2498"/>
    </row>
    <row r="10927" spans="16:16">
      <c r="P10927" s="2498"/>
    </row>
    <row r="10928" spans="16:16">
      <c r="P10928" s="2498"/>
    </row>
    <row r="10929" spans="16:16">
      <c r="P10929" s="2498"/>
    </row>
    <row r="10930" spans="16:16">
      <c r="P10930" s="2498"/>
    </row>
    <row r="10931" spans="16:16">
      <c r="P10931" s="2498"/>
    </row>
    <row r="10932" spans="16:16">
      <c r="P10932" s="2498"/>
    </row>
    <row r="10933" spans="16:16">
      <c r="P10933" s="2498"/>
    </row>
    <row r="10934" spans="16:16">
      <c r="P10934" s="2498"/>
    </row>
    <row r="10935" spans="16:16">
      <c r="P10935" s="2498"/>
    </row>
    <row r="10936" spans="16:16">
      <c r="P10936" s="2498"/>
    </row>
    <row r="10937" spans="16:16">
      <c r="P10937" s="2498"/>
    </row>
    <row r="10938" spans="16:16">
      <c r="P10938" s="2498"/>
    </row>
    <row r="10939" spans="16:16">
      <c r="P10939" s="2498"/>
    </row>
    <row r="10940" spans="16:16">
      <c r="P10940" s="2498"/>
    </row>
    <row r="10941" spans="16:16">
      <c r="P10941" s="2498"/>
    </row>
    <row r="10942" spans="16:16">
      <c r="P10942" s="2498"/>
    </row>
    <row r="10943" spans="16:16">
      <c r="P10943" s="2498"/>
    </row>
    <row r="10944" spans="16:16">
      <c r="P10944" s="2498"/>
    </row>
    <row r="10945" spans="16:16">
      <c r="P10945" s="2498"/>
    </row>
    <row r="10946" spans="16:16">
      <c r="P10946" s="2498"/>
    </row>
    <row r="10947" spans="16:16">
      <c r="P10947" s="2498"/>
    </row>
    <row r="10948" spans="16:16">
      <c r="P10948" s="2498"/>
    </row>
    <row r="10949" spans="16:16">
      <c r="P10949" s="2498"/>
    </row>
    <row r="10950" spans="16:16">
      <c r="P10950" s="2498"/>
    </row>
    <row r="10951" spans="16:16">
      <c r="P10951" s="2498"/>
    </row>
    <row r="10952" spans="16:16">
      <c r="P10952" s="2498"/>
    </row>
    <row r="10953" spans="16:16">
      <c r="P10953" s="2498"/>
    </row>
    <row r="10954" spans="16:16">
      <c r="P10954" s="2498"/>
    </row>
    <row r="10955" spans="16:16">
      <c r="P10955" s="2498"/>
    </row>
    <row r="10956" spans="16:16">
      <c r="P10956" s="2498"/>
    </row>
    <row r="10957" spans="16:16">
      <c r="P10957" s="2498"/>
    </row>
    <row r="10958" spans="16:16">
      <c r="P10958" s="2498"/>
    </row>
    <row r="10959" spans="16:16">
      <c r="P10959" s="2498"/>
    </row>
    <row r="10960" spans="16:16">
      <c r="P10960" s="2498"/>
    </row>
    <row r="10961" spans="16:16">
      <c r="P10961" s="2498"/>
    </row>
    <row r="10962" spans="16:16">
      <c r="P10962" s="2498"/>
    </row>
    <row r="10963" spans="16:16">
      <c r="P10963" s="2498"/>
    </row>
    <row r="10964" spans="16:16">
      <c r="P10964" s="2498"/>
    </row>
    <row r="10965" spans="16:16">
      <c r="P10965" s="2498"/>
    </row>
    <row r="10966" spans="16:16">
      <c r="P10966" s="2498"/>
    </row>
    <row r="10967" spans="16:16">
      <c r="P10967" s="2498"/>
    </row>
    <row r="10968" spans="16:16">
      <c r="P10968" s="2498"/>
    </row>
    <row r="10969" spans="16:16">
      <c r="P10969" s="2498"/>
    </row>
    <row r="10970" spans="16:16">
      <c r="P10970" s="2498"/>
    </row>
    <row r="10971" spans="16:16">
      <c r="P10971" s="2498"/>
    </row>
    <row r="10972" spans="16:16">
      <c r="P10972" s="2498"/>
    </row>
    <row r="10973" spans="16:16">
      <c r="P10973" s="2498"/>
    </row>
    <row r="10974" spans="16:16">
      <c r="P10974" s="2498"/>
    </row>
    <row r="10975" spans="16:16">
      <c r="P10975" s="2498"/>
    </row>
    <row r="10976" spans="16:16">
      <c r="P10976" s="2498"/>
    </row>
    <row r="10977" spans="16:16">
      <c r="P10977" s="2498"/>
    </row>
    <row r="10978" spans="16:16">
      <c r="P10978" s="2498"/>
    </row>
    <row r="10979" spans="16:16">
      <c r="P10979" s="2498"/>
    </row>
    <row r="10980" spans="16:16">
      <c r="P10980" s="2498"/>
    </row>
    <row r="10981" spans="16:16">
      <c r="P10981" s="2498"/>
    </row>
    <row r="10982" spans="16:16">
      <c r="P10982" s="2498"/>
    </row>
    <row r="10983" spans="16:16">
      <c r="P10983" s="2498"/>
    </row>
    <row r="10984" spans="16:16">
      <c r="P10984" s="2498"/>
    </row>
    <row r="10985" spans="16:16">
      <c r="P10985" s="2498"/>
    </row>
    <row r="10986" spans="16:16">
      <c r="P10986" s="2498"/>
    </row>
    <row r="10987" spans="16:16">
      <c r="P10987" s="2498"/>
    </row>
    <row r="10988" spans="16:16">
      <c r="P10988" s="2498"/>
    </row>
    <row r="10989" spans="16:16">
      <c r="P10989" s="2498"/>
    </row>
    <row r="10990" spans="16:16">
      <c r="P10990" s="2498"/>
    </row>
    <row r="10991" spans="16:16">
      <c r="P10991" s="2498"/>
    </row>
    <row r="10992" spans="16:16">
      <c r="P10992" s="2498"/>
    </row>
    <row r="10993" spans="16:16">
      <c r="P10993" s="2498"/>
    </row>
    <row r="10994" spans="16:16">
      <c r="P10994" s="2498"/>
    </row>
    <row r="10995" spans="16:16">
      <c r="P10995" s="2498"/>
    </row>
    <row r="10996" spans="16:16">
      <c r="P10996" s="2498"/>
    </row>
    <row r="10997" spans="16:16">
      <c r="P10997" s="2498"/>
    </row>
    <row r="10998" spans="16:16">
      <c r="P10998" s="2498"/>
    </row>
    <row r="10999" spans="16:16">
      <c r="P10999" s="2498"/>
    </row>
    <row r="11000" spans="16:16">
      <c r="P11000" s="2498"/>
    </row>
    <row r="11001" spans="16:16">
      <c r="P11001" s="2498"/>
    </row>
    <row r="11002" spans="16:16">
      <c r="P11002" s="2498"/>
    </row>
    <row r="11003" spans="16:16">
      <c r="P11003" s="2498"/>
    </row>
    <row r="11004" spans="16:16">
      <c r="P11004" s="2498"/>
    </row>
    <row r="11005" spans="16:16">
      <c r="P11005" s="2498"/>
    </row>
    <row r="11006" spans="16:16">
      <c r="P11006" s="2498"/>
    </row>
    <row r="11007" spans="16:16">
      <c r="P11007" s="2498"/>
    </row>
    <row r="11008" spans="16:16">
      <c r="P11008" s="2498"/>
    </row>
    <row r="11009" spans="16:16">
      <c r="P11009" s="2498"/>
    </row>
    <row r="11010" spans="16:16">
      <c r="P11010" s="2498"/>
    </row>
    <row r="11011" spans="16:16">
      <c r="P11011" s="2498"/>
    </row>
    <row r="11012" spans="16:16">
      <c r="P11012" s="2498"/>
    </row>
    <row r="11013" spans="16:16">
      <c r="P11013" s="2498"/>
    </row>
    <row r="11014" spans="16:16">
      <c r="P11014" s="2498"/>
    </row>
    <row r="11015" spans="16:16">
      <c r="P11015" s="2498"/>
    </row>
    <row r="11016" spans="16:16">
      <c r="P11016" s="2498"/>
    </row>
    <row r="11017" spans="16:16">
      <c r="P11017" s="2498"/>
    </row>
    <row r="11018" spans="16:16">
      <c r="P11018" s="2498"/>
    </row>
    <row r="11019" spans="16:16">
      <c r="P11019" s="2498"/>
    </row>
    <row r="11020" spans="16:16">
      <c r="P11020" s="2498"/>
    </row>
    <row r="11021" spans="16:16">
      <c r="P11021" s="2498"/>
    </row>
    <row r="11022" spans="16:16">
      <c r="P11022" s="2498"/>
    </row>
    <row r="11023" spans="16:16">
      <c r="P11023" s="2498"/>
    </row>
    <row r="11024" spans="16:16">
      <c r="P11024" s="2498"/>
    </row>
    <row r="11025" spans="16:16">
      <c r="P11025" s="2498"/>
    </row>
    <row r="11026" spans="16:16">
      <c r="P11026" s="2498"/>
    </row>
    <row r="11027" spans="16:16">
      <c r="P11027" s="2498"/>
    </row>
    <row r="11028" spans="16:16">
      <c r="P11028" s="2498"/>
    </row>
    <row r="11029" spans="16:16">
      <c r="P11029" s="2498"/>
    </row>
    <row r="11030" spans="16:16">
      <c r="P11030" s="2498"/>
    </row>
    <row r="11031" spans="16:16">
      <c r="P11031" s="2498"/>
    </row>
    <row r="11032" spans="16:16">
      <c r="P11032" s="2498"/>
    </row>
    <row r="11033" spans="16:16">
      <c r="P11033" s="2498"/>
    </row>
    <row r="11034" spans="16:16">
      <c r="P11034" s="2498"/>
    </row>
    <row r="11035" spans="16:16">
      <c r="P11035" s="2498"/>
    </row>
    <row r="11036" spans="16:16">
      <c r="P11036" s="2498"/>
    </row>
    <row r="11037" spans="16:16">
      <c r="P11037" s="2498"/>
    </row>
    <row r="11038" spans="16:16">
      <c r="P11038" s="2498"/>
    </row>
    <row r="11039" spans="16:16">
      <c r="P11039" s="2498"/>
    </row>
    <row r="11040" spans="16:16">
      <c r="P11040" s="2498"/>
    </row>
    <row r="11041" spans="16:16">
      <c r="P11041" s="2498"/>
    </row>
    <row r="11042" spans="16:16">
      <c r="P11042" s="2498"/>
    </row>
    <row r="11043" spans="16:16">
      <c r="P11043" s="2498"/>
    </row>
    <row r="11044" spans="16:16">
      <c r="P11044" s="2498"/>
    </row>
    <row r="11045" spans="16:16">
      <c r="P11045" s="2498"/>
    </row>
    <row r="11046" spans="16:16">
      <c r="P11046" s="2498"/>
    </row>
    <row r="11047" spans="16:16">
      <c r="P11047" s="2498"/>
    </row>
    <row r="11048" spans="16:16">
      <c r="P11048" s="2498"/>
    </row>
    <row r="11049" spans="16:16">
      <c r="P11049" s="2498"/>
    </row>
    <row r="11050" spans="16:16">
      <c r="P11050" s="2498"/>
    </row>
    <row r="11051" spans="16:16">
      <c r="P11051" s="2498"/>
    </row>
    <row r="11052" spans="16:16">
      <c r="P11052" s="2498"/>
    </row>
    <row r="11053" spans="16:16">
      <c r="P11053" s="2498"/>
    </row>
    <row r="11054" spans="16:16">
      <c r="P11054" s="2498"/>
    </row>
    <row r="11055" spans="16:16">
      <c r="P11055" s="2498"/>
    </row>
    <row r="11056" spans="16:16">
      <c r="P11056" s="2498"/>
    </row>
    <row r="11057" spans="16:16">
      <c r="P11057" s="2498"/>
    </row>
    <row r="11058" spans="16:16">
      <c r="P11058" s="2498"/>
    </row>
    <row r="11059" spans="16:16">
      <c r="P11059" s="2498"/>
    </row>
    <row r="11060" spans="16:16">
      <c r="P11060" s="2498"/>
    </row>
    <row r="11061" spans="16:16">
      <c r="P11061" s="2498"/>
    </row>
    <row r="11062" spans="16:16">
      <c r="P11062" s="2498"/>
    </row>
    <row r="11063" spans="16:16">
      <c r="P11063" s="2498"/>
    </row>
    <row r="11064" spans="16:16">
      <c r="P11064" s="2498"/>
    </row>
    <row r="11065" spans="16:16">
      <c r="P11065" s="2498"/>
    </row>
    <row r="11066" spans="16:16">
      <c r="P11066" s="2498"/>
    </row>
    <row r="11067" spans="16:16">
      <c r="P11067" s="2498"/>
    </row>
    <row r="11068" spans="16:16">
      <c r="P11068" s="2498"/>
    </row>
    <row r="11069" spans="16:16">
      <c r="P11069" s="2498"/>
    </row>
    <row r="11070" spans="16:16">
      <c r="P11070" s="2498"/>
    </row>
    <row r="11071" spans="16:16">
      <c r="P11071" s="2498"/>
    </row>
    <row r="11072" spans="16:16">
      <c r="P11072" s="2498"/>
    </row>
    <row r="11073" spans="16:16">
      <c r="P11073" s="2498"/>
    </row>
    <row r="11074" spans="16:16">
      <c r="P11074" s="2498"/>
    </row>
    <row r="11075" spans="16:16">
      <c r="P11075" s="2498"/>
    </row>
    <row r="11076" spans="16:16">
      <c r="P11076" s="2498"/>
    </row>
    <row r="11077" spans="16:16">
      <c r="P11077" s="2498"/>
    </row>
    <row r="11078" spans="16:16">
      <c r="P11078" s="2498"/>
    </row>
    <row r="11079" spans="16:16">
      <c r="P11079" s="2498"/>
    </row>
    <row r="11080" spans="16:16">
      <c r="P11080" s="2498"/>
    </row>
    <row r="11081" spans="16:16">
      <c r="P11081" s="2498"/>
    </row>
    <row r="11082" spans="16:16">
      <c r="P11082" s="2498"/>
    </row>
    <row r="11083" spans="16:16">
      <c r="P11083" s="2498"/>
    </row>
    <row r="11084" spans="16:16">
      <c r="P11084" s="2498"/>
    </row>
    <row r="11085" spans="16:16">
      <c r="P11085" s="2498"/>
    </row>
    <row r="11086" spans="16:16">
      <c r="P11086" s="2498"/>
    </row>
    <row r="11087" spans="16:16">
      <c r="P11087" s="2498"/>
    </row>
    <row r="11088" spans="16:16">
      <c r="P11088" s="2498"/>
    </row>
    <row r="11089" spans="16:16">
      <c r="P11089" s="2498"/>
    </row>
    <row r="11090" spans="16:16">
      <c r="P11090" s="2498"/>
    </row>
    <row r="11091" spans="16:16">
      <c r="P11091" s="2498"/>
    </row>
    <row r="11092" spans="16:16">
      <c r="P11092" s="2498"/>
    </row>
    <row r="11093" spans="16:16">
      <c r="P11093" s="2498"/>
    </row>
    <row r="11094" spans="16:16">
      <c r="P11094" s="2498"/>
    </row>
    <row r="11095" spans="16:16">
      <c r="P11095" s="2498"/>
    </row>
    <row r="11096" spans="16:16">
      <c r="P11096" s="2498"/>
    </row>
    <row r="11097" spans="16:16">
      <c r="P11097" s="2498"/>
    </row>
    <row r="11098" spans="16:16">
      <c r="P11098" s="2498"/>
    </row>
    <row r="11099" spans="16:16">
      <c r="P11099" s="2498"/>
    </row>
    <row r="11100" spans="16:16">
      <c r="P11100" s="2498"/>
    </row>
    <row r="11101" spans="16:16">
      <c r="P11101" s="2498"/>
    </row>
    <row r="11102" spans="16:16">
      <c r="P11102" s="2498"/>
    </row>
    <row r="11103" spans="16:16">
      <c r="P11103" s="2498"/>
    </row>
    <row r="11104" spans="16:16">
      <c r="P11104" s="2498"/>
    </row>
    <row r="11105" spans="16:16">
      <c r="P11105" s="2498"/>
    </row>
    <row r="11106" spans="16:16">
      <c r="P11106" s="2498"/>
    </row>
    <row r="11107" spans="16:16">
      <c r="P11107" s="2498"/>
    </row>
    <row r="11108" spans="16:16">
      <c r="P11108" s="2498"/>
    </row>
    <row r="11109" spans="16:16">
      <c r="P11109" s="2498"/>
    </row>
    <row r="11110" spans="16:16">
      <c r="P11110" s="2498"/>
    </row>
    <row r="11111" spans="16:16">
      <c r="P11111" s="2498"/>
    </row>
    <row r="11112" spans="16:16">
      <c r="P11112" s="2498"/>
    </row>
    <row r="11113" spans="16:16">
      <c r="P11113" s="2498"/>
    </row>
    <row r="11114" spans="16:16">
      <c r="P11114" s="2498"/>
    </row>
    <row r="11115" spans="16:16">
      <c r="P11115" s="2498"/>
    </row>
    <row r="11116" spans="16:16">
      <c r="P11116" s="2498"/>
    </row>
    <row r="11117" spans="16:16">
      <c r="P11117" s="2498"/>
    </row>
    <row r="11118" spans="16:16">
      <c r="P11118" s="2498"/>
    </row>
    <row r="11119" spans="16:16">
      <c r="P11119" s="2498"/>
    </row>
    <row r="11120" spans="16:16">
      <c r="P11120" s="2498"/>
    </row>
    <row r="11121" spans="16:16">
      <c r="P11121" s="2498"/>
    </row>
    <row r="11122" spans="16:16">
      <c r="P11122" s="2498"/>
    </row>
    <row r="11123" spans="16:16">
      <c r="P11123" s="2498"/>
    </row>
    <row r="11124" spans="16:16">
      <c r="P11124" s="2498"/>
    </row>
    <row r="11125" spans="16:16">
      <c r="P11125" s="2498"/>
    </row>
    <row r="11126" spans="16:16">
      <c r="P11126" s="2498"/>
    </row>
    <row r="11127" spans="16:16">
      <c r="P11127" s="2498"/>
    </row>
    <row r="11128" spans="16:16">
      <c r="P11128" s="2498"/>
    </row>
    <row r="11129" spans="16:16">
      <c r="P11129" s="2498"/>
    </row>
    <row r="11130" spans="16:16">
      <c r="P11130" s="2498"/>
    </row>
    <row r="11131" spans="16:16">
      <c r="P11131" s="2498"/>
    </row>
    <row r="11132" spans="16:16">
      <c r="P11132" s="2498"/>
    </row>
    <row r="11133" spans="16:16">
      <c r="P11133" s="2498"/>
    </row>
    <row r="11134" spans="16:16">
      <c r="P11134" s="2498"/>
    </row>
    <row r="11135" spans="16:16">
      <c r="P11135" s="2498"/>
    </row>
    <row r="11136" spans="16:16">
      <c r="P11136" s="2498"/>
    </row>
    <row r="11137" spans="16:16">
      <c r="P11137" s="2498"/>
    </row>
    <row r="11138" spans="16:16">
      <c r="P11138" s="2498"/>
    </row>
    <row r="11139" spans="16:16">
      <c r="P11139" s="2498"/>
    </row>
    <row r="11140" spans="16:16">
      <c r="P11140" s="2498"/>
    </row>
    <row r="11141" spans="16:16">
      <c r="P11141" s="2498"/>
    </row>
    <row r="11142" spans="16:16">
      <c r="P11142" s="2498"/>
    </row>
    <row r="11143" spans="16:16">
      <c r="P11143" s="2498"/>
    </row>
    <row r="11144" spans="16:16">
      <c r="P11144" s="2498"/>
    </row>
    <row r="11145" spans="16:16">
      <c r="P11145" s="2498"/>
    </row>
    <row r="11146" spans="16:16">
      <c r="P11146" s="2498"/>
    </row>
    <row r="11147" spans="16:16">
      <c r="P11147" s="2498"/>
    </row>
    <row r="11148" spans="16:16">
      <c r="P11148" s="2498"/>
    </row>
    <row r="11149" spans="16:16">
      <c r="P11149" s="2498"/>
    </row>
    <row r="11150" spans="16:16">
      <c r="P11150" s="2498"/>
    </row>
    <row r="11151" spans="16:16">
      <c r="P11151" s="2498"/>
    </row>
    <row r="11152" spans="16:16">
      <c r="P11152" s="2498"/>
    </row>
    <row r="11153" spans="16:16">
      <c r="P11153" s="2498"/>
    </row>
    <row r="11154" spans="16:16">
      <c r="P11154" s="2498"/>
    </row>
    <row r="11155" spans="16:16">
      <c r="P11155" s="2498"/>
    </row>
    <row r="11156" spans="16:16">
      <c r="P11156" s="2498"/>
    </row>
    <row r="11157" spans="16:16">
      <c r="P11157" s="2498"/>
    </row>
    <row r="11158" spans="16:16">
      <c r="P11158" s="2498"/>
    </row>
    <row r="11159" spans="16:16">
      <c r="P11159" s="2498"/>
    </row>
    <row r="11160" spans="16:16">
      <c r="P11160" s="2498"/>
    </row>
    <row r="11161" spans="16:16">
      <c r="P11161" s="2498"/>
    </row>
    <row r="11162" spans="16:16">
      <c r="P11162" s="2498"/>
    </row>
    <row r="11163" spans="16:16">
      <c r="P11163" s="2498"/>
    </row>
    <row r="11164" spans="16:16">
      <c r="P11164" s="2498"/>
    </row>
    <row r="11165" spans="16:16">
      <c r="P11165" s="2498"/>
    </row>
    <row r="11166" spans="16:16">
      <c r="P11166" s="2498"/>
    </row>
    <row r="11167" spans="16:16">
      <c r="P11167" s="2498"/>
    </row>
    <row r="11168" spans="16:16">
      <c r="P11168" s="2498"/>
    </row>
    <row r="11169" spans="16:16">
      <c r="P11169" s="2498"/>
    </row>
    <row r="11170" spans="16:16">
      <c r="P11170" s="2498"/>
    </row>
    <row r="11171" spans="16:16">
      <c r="P11171" s="2498"/>
    </row>
    <row r="11172" spans="16:16">
      <c r="P11172" s="2498"/>
    </row>
    <row r="11173" spans="16:16">
      <c r="P11173" s="2498"/>
    </row>
    <row r="11174" spans="16:16">
      <c r="P11174" s="2498"/>
    </row>
    <row r="11175" spans="16:16">
      <c r="P11175" s="2498"/>
    </row>
    <row r="11176" spans="16:16">
      <c r="P11176" s="2498"/>
    </row>
    <row r="11177" spans="16:16">
      <c r="P11177" s="2498"/>
    </row>
    <row r="11178" spans="16:16">
      <c r="P11178" s="2498"/>
    </row>
    <row r="11179" spans="16:16">
      <c r="P11179" s="2498"/>
    </row>
    <row r="11180" spans="16:16">
      <c r="P11180" s="2498"/>
    </row>
    <row r="11181" spans="16:16">
      <c r="P11181" s="2498"/>
    </row>
    <row r="11182" spans="16:16">
      <c r="P11182" s="2498"/>
    </row>
    <row r="11183" spans="16:16">
      <c r="P11183" s="2498"/>
    </row>
    <row r="11184" spans="16:16">
      <c r="P11184" s="2498"/>
    </row>
    <row r="11185" spans="16:16">
      <c r="P11185" s="2498"/>
    </row>
    <row r="11186" spans="16:16">
      <c r="P11186" s="2498"/>
    </row>
    <row r="11187" spans="16:16">
      <c r="P11187" s="2498"/>
    </row>
    <row r="11188" spans="16:16">
      <c r="P11188" s="2498"/>
    </row>
    <row r="11189" spans="16:16">
      <c r="P11189" s="2498"/>
    </row>
    <row r="11190" spans="16:16">
      <c r="P11190" s="2498"/>
    </row>
    <row r="11191" spans="16:16">
      <c r="P11191" s="2498"/>
    </row>
    <row r="11192" spans="16:16">
      <c r="P11192" s="2498"/>
    </row>
    <row r="11193" spans="16:16">
      <c r="P11193" s="2498"/>
    </row>
    <row r="11194" spans="16:16">
      <c r="P11194" s="2498"/>
    </row>
    <row r="11195" spans="16:16">
      <c r="P11195" s="2498"/>
    </row>
    <row r="11196" spans="16:16">
      <c r="P11196" s="2498"/>
    </row>
    <row r="11197" spans="16:16">
      <c r="P11197" s="2498"/>
    </row>
    <row r="11198" spans="16:16">
      <c r="P11198" s="2498"/>
    </row>
    <row r="11199" spans="16:16">
      <c r="P11199" s="2498"/>
    </row>
    <row r="11200" spans="16:16">
      <c r="P11200" s="2498"/>
    </row>
    <row r="11201" spans="16:16">
      <c r="P11201" s="2498"/>
    </row>
    <row r="11202" spans="16:16">
      <c r="P11202" s="2498"/>
    </row>
    <row r="11203" spans="16:16">
      <c r="P11203" s="2498"/>
    </row>
    <row r="11204" spans="16:16">
      <c r="P11204" s="2498"/>
    </row>
    <row r="11205" spans="16:16">
      <c r="P11205" s="2498"/>
    </row>
    <row r="11206" spans="16:16">
      <c r="P11206" s="2498"/>
    </row>
    <row r="11207" spans="16:16">
      <c r="P11207" s="2498"/>
    </row>
    <row r="11208" spans="16:16">
      <c r="P11208" s="2498"/>
    </row>
    <row r="11209" spans="16:16">
      <c r="P11209" s="2498"/>
    </row>
    <row r="11210" spans="16:16">
      <c r="P11210" s="2498"/>
    </row>
    <row r="11211" spans="16:16">
      <c r="P11211" s="2498"/>
    </row>
    <row r="11212" spans="16:16">
      <c r="P11212" s="2498"/>
    </row>
    <row r="11213" spans="16:16">
      <c r="P11213" s="2498"/>
    </row>
    <row r="11214" spans="16:16">
      <c r="P11214" s="2498"/>
    </row>
    <row r="11215" spans="16:16">
      <c r="P11215" s="2498"/>
    </row>
    <row r="11216" spans="16:16">
      <c r="P11216" s="2498"/>
    </row>
    <row r="11217" spans="16:16">
      <c r="P11217" s="2498"/>
    </row>
    <row r="11218" spans="16:16">
      <c r="P11218" s="2498"/>
    </row>
    <row r="11219" spans="16:16">
      <c r="P11219" s="2498"/>
    </row>
    <row r="11220" spans="16:16">
      <c r="P11220" s="2498"/>
    </row>
    <row r="11221" spans="16:16">
      <c r="P11221" s="2498"/>
    </row>
    <row r="11222" spans="16:16">
      <c r="P11222" s="2498"/>
    </row>
    <row r="11223" spans="16:16">
      <c r="P11223" s="2498"/>
    </row>
    <row r="11224" spans="16:16">
      <c r="P11224" s="2498"/>
    </row>
    <row r="11225" spans="16:16">
      <c r="P11225" s="2498"/>
    </row>
    <row r="11226" spans="16:16">
      <c r="P11226" s="2498"/>
    </row>
    <row r="11227" spans="16:16">
      <c r="P11227" s="2498"/>
    </row>
    <row r="11228" spans="16:16">
      <c r="P11228" s="2498"/>
    </row>
    <row r="11229" spans="16:16">
      <c r="P11229" s="2498"/>
    </row>
    <row r="11230" spans="16:16">
      <c r="P11230" s="2498"/>
    </row>
    <row r="11231" spans="16:16">
      <c r="P11231" s="2498"/>
    </row>
    <row r="11232" spans="16:16">
      <c r="P11232" s="2498"/>
    </row>
    <row r="11233" spans="16:16">
      <c r="P11233" s="2498"/>
    </row>
    <row r="11234" spans="16:16">
      <c r="P11234" s="2498"/>
    </row>
    <row r="11235" spans="16:16">
      <c r="P11235" s="2498"/>
    </row>
    <row r="11236" spans="16:16">
      <c r="P11236" s="2498"/>
    </row>
    <row r="11237" spans="16:16">
      <c r="P11237" s="2498"/>
    </row>
    <row r="11238" spans="16:16">
      <c r="P11238" s="2498"/>
    </row>
    <row r="11239" spans="16:16">
      <c r="P11239" s="2498"/>
    </row>
    <row r="11240" spans="16:16">
      <c r="P11240" s="2498"/>
    </row>
    <row r="11241" spans="16:16">
      <c r="P11241" s="2498"/>
    </row>
    <row r="11242" spans="16:16">
      <c r="P11242" s="2498"/>
    </row>
    <row r="11243" spans="16:16">
      <c r="P11243" s="2498"/>
    </row>
    <row r="11244" spans="16:16">
      <c r="P11244" s="2498"/>
    </row>
    <row r="11245" spans="16:16">
      <c r="P11245" s="2498"/>
    </row>
    <row r="11246" spans="16:16">
      <c r="P11246" s="2498"/>
    </row>
    <row r="11247" spans="16:16">
      <c r="P11247" s="2498"/>
    </row>
    <row r="11248" spans="16:16">
      <c r="P11248" s="2498"/>
    </row>
    <row r="11249" spans="16:16">
      <c r="P11249" s="2498"/>
    </row>
    <row r="11250" spans="16:16">
      <c r="P11250" s="2498"/>
    </row>
    <row r="11251" spans="16:16">
      <c r="P11251" s="2498"/>
    </row>
    <row r="11252" spans="16:16">
      <c r="P11252" s="2498"/>
    </row>
    <row r="11253" spans="16:16">
      <c r="P11253" s="2498"/>
    </row>
    <row r="11254" spans="16:16">
      <c r="P11254" s="2498"/>
    </row>
    <row r="11255" spans="16:16">
      <c r="P11255" s="2498"/>
    </row>
    <row r="11256" spans="16:16">
      <c r="P11256" s="2498"/>
    </row>
    <row r="11257" spans="16:16">
      <c r="P11257" s="2498"/>
    </row>
    <row r="11258" spans="16:16">
      <c r="P11258" s="2498"/>
    </row>
    <row r="11259" spans="16:16">
      <c r="P11259" s="2498"/>
    </row>
    <row r="11260" spans="16:16">
      <c r="P11260" s="2498"/>
    </row>
    <row r="11261" spans="16:16">
      <c r="P11261" s="2498"/>
    </row>
    <row r="11262" spans="16:16">
      <c r="P11262" s="2498"/>
    </row>
    <row r="11263" spans="16:16">
      <c r="P11263" s="2498"/>
    </row>
    <row r="11264" spans="16:16">
      <c r="P11264" s="2498"/>
    </row>
    <row r="11265" spans="16:16">
      <c r="P11265" s="2498"/>
    </row>
    <row r="11266" spans="16:16">
      <c r="P11266" s="2498"/>
    </row>
    <row r="11267" spans="16:16">
      <c r="P11267" s="2498"/>
    </row>
    <row r="11268" spans="16:16">
      <c r="P11268" s="2498"/>
    </row>
    <row r="11269" spans="16:16">
      <c r="P11269" s="2498"/>
    </row>
    <row r="11270" spans="16:16">
      <c r="P11270" s="2498"/>
    </row>
    <row r="11271" spans="16:16">
      <c r="P11271" s="2498"/>
    </row>
    <row r="11272" spans="16:16">
      <c r="P11272" s="2498"/>
    </row>
    <row r="11273" spans="16:16">
      <c r="P11273" s="2498"/>
    </row>
    <row r="11274" spans="16:16">
      <c r="P11274" s="2498"/>
    </row>
    <row r="11275" spans="16:16">
      <c r="P11275" s="2498"/>
    </row>
    <row r="11276" spans="16:16">
      <c r="P11276" s="2498"/>
    </row>
    <row r="11277" spans="16:16">
      <c r="P11277" s="2498"/>
    </row>
    <row r="11278" spans="16:16">
      <c r="P11278" s="2498"/>
    </row>
    <row r="11279" spans="16:16">
      <c r="P11279" s="2498"/>
    </row>
    <row r="11280" spans="16:16">
      <c r="P11280" s="2498"/>
    </row>
    <row r="11281" spans="16:16">
      <c r="P11281" s="2498"/>
    </row>
    <row r="11282" spans="16:16">
      <c r="P11282" s="2498"/>
    </row>
    <row r="11283" spans="16:16">
      <c r="P11283" s="2498"/>
    </row>
    <row r="11284" spans="16:16">
      <c r="P11284" s="2498"/>
    </row>
    <row r="11285" spans="16:16">
      <c r="P11285" s="2498"/>
    </row>
    <row r="11286" spans="16:16">
      <c r="P11286" s="2498"/>
    </row>
    <row r="11287" spans="16:16">
      <c r="P11287" s="2498"/>
    </row>
    <row r="11288" spans="16:16">
      <c r="P11288" s="2498"/>
    </row>
    <row r="11289" spans="16:16">
      <c r="P11289" s="2498"/>
    </row>
    <row r="11290" spans="16:16">
      <c r="P11290" s="2498"/>
    </row>
    <row r="11291" spans="16:16">
      <c r="P11291" s="2498"/>
    </row>
    <row r="11292" spans="16:16">
      <c r="P11292" s="2498"/>
    </row>
    <row r="11293" spans="16:16">
      <c r="P11293" s="2498"/>
    </row>
    <row r="11294" spans="16:16">
      <c r="P11294" s="2498"/>
    </row>
    <row r="11295" spans="16:16">
      <c r="P11295" s="2498"/>
    </row>
    <row r="11296" spans="16:16">
      <c r="P11296" s="2498"/>
    </row>
    <row r="11297" spans="16:16">
      <c r="P11297" s="2498"/>
    </row>
    <row r="11298" spans="16:16">
      <c r="P11298" s="2498"/>
    </row>
    <row r="11299" spans="16:16">
      <c r="P11299" s="2498"/>
    </row>
    <row r="11300" spans="16:16">
      <c r="P11300" s="2498"/>
    </row>
    <row r="11301" spans="16:16">
      <c r="P11301" s="2498"/>
    </row>
    <row r="11302" spans="16:16">
      <c r="P11302" s="2498"/>
    </row>
    <row r="11303" spans="16:16">
      <c r="P11303" s="2498"/>
    </row>
    <row r="11304" spans="16:16">
      <c r="P11304" s="2498"/>
    </row>
    <row r="11305" spans="16:16">
      <c r="P11305" s="2498"/>
    </row>
    <row r="11306" spans="16:16">
      <c r="P11306" s="2498"/>
    </row>
    <row r="11307" spans="16:16">
      <c r="P11307" s="2498"/>
    </row>
    <row r="11308" spans="16:16">
      <c r="P11308" s="2498"/>
    </row>
    <row r="11309" spans="16:16">
      <c r="P11309" s="2498"/>
    </row>
    <row r="11310" spans="16:16">
      <c r="P11310" s="2498"/>
    </row>
    <row r="11311" spans="16:16">
      <c r="P11311" s="2498"/>
    </row>
    <row r="11312" spans="16:16">
      <c r="P11312" s="2498"/>
    </row>
    <row r="11313" spans="16:16">
      <c r="P11313" s="2498"/>
    </row>
    <row r="11314" spans="16:16">
      <c r="P11314" s="2498"/>
    </row>
    <row r="11315" spans="16:16">
      <c r="P11315" s="2498"/>
    </row>
    <row r="11316" spans="16:16">
      <c r="P11316" s="2498"/>
    </row>
    <row r="11317" spans="16:16">
      <c r="P11317" s="2498"/>
    </row>
    <row r="11318" spans="16:16">
      <c r="P11318" s="2498"/>
    </row>
    <row r="11319" spans="16:16">
      <c r="P11319" s="2498"/>
    </row>
    <row r="11320" spans="16:16">
      <c r="P11320" s="2498"/>
    </row>
    <row r="11321" spans="16:16">
      <c r="P11321" s="2498"/>
    </row>
    <row r="11322" spans="16:16">
      <c r="P11322" s="2498"/>
    </row>
    <row r="11323" spans="16:16">
      <c r="P11323" s="2498"/>
    </row>
    <row r="11324" spans="16:16">
      <c r="P11324" s="2498"/>
    </row>
    <row r="11325" spans="16:16">
      <c r="P11325" s="2498"/>
    </row>
    <row r="11326" spans="16:16">
      <c r="P11326" s="2498"/>
    </row>
    <row r="11327" spans="16:16">
      <c r="P11327" s="2498"/>
    </row>
    <row r="11328" spans="16:16">
      <c r="P11328" s="2498"/>
    </row>
    <row r="11329" spans="16:16">
      <c r="P11329" s="2498"/>
    </row>
    <row r="11330" spans="16:16">
      <c r="P11330" s="2498"/>
    </row>
    <row r="11331" spans="16:16">
      <c r="P11331" s="2498"/>
    </row>
    <row r="11332" spans="16:16">
      <c r="P11332" s="2498"/>
    </row>
    <row r="11333" spans="16:16">
      <c r="P11333" s="2498"/>
    </row>
    <row r="11334" spans="16:16">
      <c r="P11334" s="2498"/>
    </row>
    <row r="11335" spans="16:16">
      <c r="P11335" s="2498"/>
    </row>
    <row r="11336" spans="16:16">
      <c r="P11336" s="2498"/>
    </row>
    <row r="11337" spans="16:16">
      <c r="P11337" s="2498"/>
    </row>
    <row r="11338" spans="16:16">
      <c r="P11338" s="2498"/>
    </row>
    <row r="11339" spans="16:16">
      <c r="P11339" s="2498"/>
    </row>
    <row r="11340" spans="16:16">
      <c r="P11340" s="2498"/>
    </row>
    <row r="11341" spans="16:16">
      <c r="P11341" s="2498"/>
    </row>
    <row r="11342" spans="16:16">
      <c r="P11342" s="2498"/>
    </row>
    <row r="11343" spans="16:16">
      <c r="P11343" s="2498"/>
    </row>
    <row r="11344" spans="16:16">
      <c r="P11344" s="2498"/>
    </row>
    <row r="11345" spans="16:16">
      <c r="P11345" s="2498"/>
    </row>
    <row r="11346" spans="16:16">
      <c r="P11346" s="2498"/>
    </row>
    <row r="11347" spans="16:16">
      <c r="P11347" s="2498"/>
    </row>
    <row r="11348" spans="16:16">
      <c r="P11348" s="2498"/>
    </row>
    <row r="11349" spans="16:16">
      <c r="P11349" s="2498"/>
    </row>
    <row r="11350" spans="16:16">
      <c r="P11350" s="2498"/>
    </row>
    <row r="11351" spans="16:16">
      <c r="P11351" s="2498"/>
    </row>
    <row r="11352" spans="16:16">
      <c r="P11352" s="2498"/>
    </row>
    <row r="11353" spans="16:16">
      <c r="P11353" s="2498"/>
    </row>
    <row r="11354" spans="16:16">
      <c r="P11354" s="2498"/>
    </row>
    <row r="11355" spans="16:16">
      <c r="P11355" s="2498"/>
    </row>
    <row r="11356" spans="16:16">
      <c r="P11356" s="2498"/>
    </row>
    <row r="11357" spans="16:16">
      <c r="P11357" s="2498"/>
    </row>
    <row r="11358" spans="16:16">
      <c r="P11358" s="2498"/>
    </row>
    <row r="11359" spans="16:16">
      <c r="P11359" s="2498"/>
    </row>
    <row r="11360" spans="16:16">
      <c r="P11360" s="2498"/>
    </row>
    <row r="11361" spans="16:16">
      <c r="P11361" s="2498"/>
    </row>
    <row r="11362" spans="16:16">
      <c r="P11362" s="2498"/>
    </row>
    <row r="11363" spans="16:16">
      <c r="P11363" s="2498"/>
    </row>
    <row r="11364" spans="16:16">
      <c r="P11364" s="2498"/>
    </row>
    <row r="11365" spans="16:16">
      <c r="P11365" s="2498"/>
    </row>
    <row r="11366" spans="16:16">
      <c r="P11366" s="2498"/>
    </row>
    <row r="11367" spans="16:16">
      <c r="P11367" s="2498"/>
    </row>
    <row r="11368" spans="16:16">
      <c r="P11368" s="2498"/>
    </row>
    <row r="11369" spans="16:16">
      <c r="P11369" s="2498"/>
    </row>
    <row r="11370" spans="16:16">
      <c r="P11370" s="2498"/>
    </row>
    <row r="11371" spans="16:16">
      <c r="P11371" s="2498"/>
    </row>
    <row r="11372" spans="16:16">
      <c r="P11372" s="2498"/>
    </row>
    <row r="11373" spans="16:16">
      <c r="P11373" s="2498"/>
    </row>
    <row r="11374" spans="16:16">
      <c r="P11374" s="2498"/>
    </row>
    <row r="11375" spans="16:16">
      <c r="P11375" s="2498"/>
    </row>
    <row r="11376" spans="16:16">
      <c r="P11376" s="2498"/>
    </row>
    <row r="11377" spans="16:16">
      <c r="P11377" s="2498"/>
    </row>
    <row r="11378" spans="16:16">
      <c r="P11378" s="2498"/>
    </row>
    <row r="11379" spans="16:16">
      <c r="P11379" s="2498"/>
    </row>
    <row r="11380" spans="16:16">
      <c r="P11380" s="2498"/>
    </row>
    <row r="11381" spans="16:16">
      <c r="P11381" s="2498"/>
    </row>
    <row r="11382" spans="16:16">
      <c r="P11382" s="2498"/>
    </row>
    <row r="11383" spans="16:16">
      <c r="P11383" s="2498"/>
    </row>
    <row r="11384" spans="16:16">
      <c r="P11384" s="2498"/>
    </row>
    <row r="11385" spans="16:16">
      <c r="P11385" s="2498"/>
    </row>
    <row r="11386" spans="16:16">
      <c r="P11386" s="2498"/>
    </row>
    <row r="11387" spans="16:16">
      <c r="P11387" s="2498"/>
    </row>
    <row r="11388" spans="16:16">
      <c r="P11388" s="2498"/>
    </row>
    <row r="11389" spans="16:16">
      <c r="P11389" s="2498"/>
    </row>
    <row r="11390" spans="16:16">
      <c r="P11390" s="2498"/>
    </row>
    <row r="11391" spans="16:16">
      <c r="P11391" s="2498"/>
    </row>
    <row r="11392" spans="16:16">
      <c r="P11392" s="2498"/>
    </row>
    <row r="11393" spans="16:16">
      <c r="P11393" s="2498"/>
    </row>
    <row r="11394" spans="16:16">
      <c r="P11394" s="2498"/>
    </row>
    <row r="11395" spans="16:16">
      <c r="P11395" s="2498"/>
    </row>
    <row r="11396" spans="16:16">
      <c r="P11396" s="2498"/>
    </row>
    <row r="11397" spans="16:16">
      <c r="P11397" s="2498"/>
    </row>
    <row r="11398" spans="16:16">
      <c r="P11398" s="2498"/>
    </row>
    <row r="11399" spans="16:16">
      <c r="P11399" s="2498"/>
    </row>
    <row r="11400" spans="16:16">
      <c r="P11400" s="2498"/>
    </row>
    <row r="11401" spans="16:16">
      <c r="P11401" s="2498"/>
    </row>
    <row r="11402" spans="16:16">
      <c r="P11402" s="2498"/>
    </row>
    <row r="11403" spans="16:16">
      <c r="P11403" s="2498"/>
    </row>
    <row r="11404" spans="16:16">
      <c r="P11404" s="2498"/>
    </row>
    <row r="11405" spans="16:16">
      <c r="P11405" s="2498"/>
    </row>
    <row r="11406" spans="16:16">
      <c r="P11406" s="2498"/>
    </row>
    <row r="11407" spans="16:16">
      <c r="P11407" s="2498"/>
    </row>
    <row r="11408" spans="16:16">
      <c r="P11408" s="2498"/>
    </row>
    <row r="11409" spans="16:16">
      <c r="P11409" s="2498"/>
    </row>
    <row r="11410" spans="16:16">
      <c r="P11410" s="2498"/>
    </row>
    <row r="11411" spans="16:16">
      <c r="P11411" s="2498"/>
    </row>
    <row r="11412" spans="16:16">
      <c r="P11412" s="2498"/>
    </row>
    <row r="11413" spans="16:16">
      <c r="P11413" s="2498"/>
    </row>
    <row r="11414" spans="16:16">
      <c r="P11414" s="2498"/>
    </row>
    <row r="11415" spans="16:16">
      <c r="P11415" s="2498"/>
    </row>
    <row r="11416" spans="16:16">
      <c r="P11416" s="2498"/>
    </row>
    <row r="11417" spans="16:16">
      <c r="P11417" s="2498"/>
    </row>
    <row r="11418" spans="16:16">
      <c r="P11418" s="2498"/>
    </row>
    <row r="11419" spans="16:16">
      <c r="P11419" s="2498"/>
    </row>
    <row r="11420" spans="16:16">
      <c r="P11420" s="2498"/>
    </row>
    <row r="11421" spans="16:16">
      <c r="P11421" s="2498"/>
    </row>
    <row r="11422" spans="16:16">
      <c r="P11422" s="2498"/>
    </row>
    <row r="11423" spans="16:16">
      <c r="P11423" s="2498"/>
    </row>
    <row r="11424" spans="16:16">
      <c r="P11424" s="2498"/>
    </row>
    <row r="11425" spans="16:16">
      <c r="P11425" s="2498"/>
    </row>
    <row r="11426" spans="16:16">
      <c r="P11426" s="2498"/>
    </row>
    <row r="11427" spans="16:16">
      <c r="P11427" s="2498"/>
    </row>
    <row r="11428" spans="16:16">
      <c r="P11428" s="2498"/>
    </row>
    <row r="11429" spans="16:16">
      <c r="P11429" s="2498"/>
    </row>
    <row r="11430" spans="16:16">
      <c r="P11430" s="2498"/>
    </row>
    <row r="11431" spans="16:16">
      <c r="P11431" s="2498"/>
    </row>
    <row r="11432" spans="16:16">
      <c r="P11432" s="2498"/>
    </row>
    <row r="11433" spans="16:16">
      <c r="P11433" s="2498"/>
    </row>
    <row r="11434" spans="16:16">
      <c r="P11434" s="2498"/>
    </row>
    <row r="11435" spans="16:16">
      <c r="P11435" s="2498"/>
    </row>
    <row r="11436" spans="16:16">
      <c r="P11436" s="2498"/>
    </row>
    <row r="11437" spans="16:16">
      <c r="P11437" s="2498"/>
    </row>
    <row r="11438" spans="16:16">
      <c r="P11438" s="2498"/>
    </row>
    <row r="11439" spans="16:16">
      <c r="P11439" s="2498"/>
    </row>
    <row r="11440" spans="16:16">
      <c r="P11440" s="2498"/>
    </row>
    <row r="11441" spans="16:16">
      <c r="P11441" s="2498"/>
    </row>
    <row r="11442" spans="16:16">
      <c r="P11442" s="2498"/>
    </row>
    <row r="11443" spans="16:16">
      <c r="P11443" s="2498"/>
    </row>
    <row r="11444" spans="16:16">
      <c r="P11444" s="2498"/>
    </row>
    <row r="11445" spans="16:16">
      <c r="P11445" s="2498"/>
    </row>
    <row r="11446" spans="16:16">
      <c r="P11446" s="2498"/>
    </row>
    <row r="11447" spans="16:16">
      <c r="P11447" s="2498"/>
    </row>
    <row r="11448" spans="16:16">
      <c r="P11448" s="2498"/>
    </row>
    <row r="11449" spans="16:16">
      <c r="P11449" s="2498"/>
    </row>
    <row r="11450" spans="16:16">
      <c r="P11450" s="2498"/>
    </row>
    <row r="11451" spans="16:16">
      <c r="P11451" s="2498"/>
    </row>
    <row r="11452" spans="16:16">
      <c r="P11452" s="2498"/>
    </row>
    <row r="11453" spans="16:16">
      <c r="P11453" s="2498"/>
    </row>
    <row r="11454" spans="16:16">
      <c r="P11454" s="2498"/>
    </row>
    <row r="11455" spans="16:16">
      <c r="P11455" s="2498"/>
    </row>
    <row r="11456" spans="16:16">
      <c r="P11456" s="2498"/>
    </row>
    <row r="11457" spans="16:16">
      <c r="P11457" s="2498"/>
    </row>
    <row r="11458" spans="16:16">
      <c r="P11458" s="2498"/>
    </row>
    <row r="11459" spans="16:16">
      <c r="P11459" s="2498"/>
    </row>
    <row r="11460" spans="16:16">
      <c r="P11460" s="2498"/>
    </row>
    <row r="11461" spans="16:16">
      <c r="P11461" s="2498"/>
    </row>
    <row r="11462" spans="16:16">
      <c r="P11462" s="2498"/>
    </row>
    <row r="11463" spans="16:16">
      <c r="P11463" s="2498"/>
    </row>
    <row r="11464" spans="16:16">
      <c r="P11464" s="2498"/>
    </row>
    <row r="11465" spans="16:16">
      <c r="P11465" s="2498"/>
    </row>
    <row r="11466" spans="16:16">
      <c r="P11466" s="2498"/>
    </row>
    <row r="11467" spans="16:16">
      <c r="P11467" s="2498"/>
    </row>
    <row r="11468" spans="16:16">
      <c r="P11468" s="2498"/>
    </row>
    <row r="11469" spans="16:16">
      <c r="P11469" s="2498"/>
    </row>
    <row r="11470" spans="16:16">
      <c r="P11470" s="2498"/>
    </row>
    <row r="11471" spans="16:16">
      <c r="P11471" s="2498"/>
    </row>
    <row r="11472" spans="16:16">
      <c r="P11472" s="2498"/>
    </row>
    <row r="11473" spans="16:16">
      <c r="P11473" s="2498"/>
    </row>
    <row r="11474" spans="16:16">
      <c r="P11474" s="2498"/>
    </row>
    <row r="11475" spans="16:16">
      <c r="P11475" s="2498"/>
    </row>
    <row r="11476" spans="16:16">
      <c r="P11476" s="2498"/>
    </row>
    <row r="11477" spans="16:16">
      <c r="P11477" s="2498"/>
    </row>
    <row r="11478" spans="16:16">
      <c r="P11478" s="2498"/>
    </row>
    <row r="11479" spans="16:16">
      <c r="P11479" s="2498"/>
    </row>
    <row r="11480" spans="16:16">
      <c r="P11480" s="2498"/>
    </row>
    <row r="11481" spans="16:16">
      <c r="P11481" s="2498"/>
    </row>
    <row r="11482" spans="16:16">
      <c r="P11482" s="2498"/>
    </row>
    <row r="11483" spans="16:16">
      <c r="P11483" s="2498"/>
    </row>
    <row r="11484" spans="16:16">
      <c r="P11484" s="2498"/>
    </row>
    <row r="11485" spans="16:16">
      <c r="P11485" s="2498"/>
    </row>
    <row r="11486" spans="16:16">
      <c r="P11486" s="2498"/>
    </row>
    <row r="11487" spans="16:16">
      <c r="P11487" s="2498"/>
    </row>
    <row r="11488" spans="16:16">
      <c r="P11488" s="2498"/>
    </row>
    <row r="11489" spans="16:16">
      <c r="P11489" s="2498"/>
    </row>
    <row r="11490" spans="16:16">
      <c r="P11490" s="2498"/>
    </row>
    <row r="11491" spans="16:16">
      <c r="P11491" s="2498"/>
    </row>
    <row r="11492" spans="16:16">
      <c r="P11492" s="2498"/>
    </row>
    <row r="11493" spans="16:16">
      <c r="P11493" s="2498"/>
    </row>
    <row r="11494" spans="16:16">
      <c r="P11494" s="2498"/>
    </row>
    <row r="11495" spans="16:16">
      <c r="P11495" s="2498"/>
    </row>
    <row r="11496" spans="16:16">
      <c r="P11496" s="2498"/>
    </row>
    <row r="11497" spans="16:16">
      <c r="P11497" s="2498"/>
    </row>
    <row r="11498" spans="16:16">
      <c r="P11498" s="2498"/>
    </row>
    <row r="11499" spans="16:16">
      <c r="P11499" s="2498"/>
    </row>
    <row r="11500" spans="16:16">
      <c r="P11500" s="2498"/>
    </row>
    <row r="11501" spans="16:16">
      <c r="P11501" s="2498"/>
    </row>
    <row r="11502" spans="16:16">
      <c r="P11502" s="2498"/>
    </row>
    <row r="11503" spans="16:16">
      <c r="P11503" s="2498"/>
    </row>
    <row r="11504" spans="16:16">
      <c r="P11504" s="2498"/>
    </row>
    <row r="11505" spans="16:16">
      <c r="P11505" s="2498"/>
    </row>
    <row r="11506" spans="16:16">
      <c r="P11506" s="2498"/>
    </row>
    <row r="11507" spans="16:16">
      <c r="P11507" s="2498"/>
    </row>
    <row r="11508" spans="16:16">
      <c r="P11508" s="2498"/>
    </row>
    <row r="11509" spans="16:16">
      <c r="P11509" s="2498"/>
    </row>
    <row r="11510" spans="16:16">
      <c r="P11510" s="2498"/>
    </row>
    <row r="11511" spans="16:16">
      <c r="P11511" s="2498"/>
    </row>
    <row r="11512" spans="16:16">
      <c r="P11512" s="2498"/>
    </row>
    <row r="11513" spans="16:16">
      <c r="P11513" s="2498"/>
    </row>
    <row r="11514" spans="16:16">
      <c r="P11514" s="2498"/>
    </row>
    <row r="11515" spans="16:16">
      <c r="P11515" s="2498"/>
    </row>
    <row r="11516" spans="16:16">
      <c r="P11516" s="2498"/>
    </row>
    <row r="11517" spans="16:16">
      <c r="P11517" s="2498"/>
    </row>
    <row r="11518" spans="16:16">
      <c r="P11518" s="2498"/>
    </row>
    <row r="11519" spans="16:16">
      <c r="P11519" s="2498"/>
    </row>
    <row r="11520" spans="16:16">
      <c r="P11520" s="2498"/>
    </row>
    <row r="11521" spans="16:16">
      <c r="P11521" s="2498"/>
    </row>
    <row r="11522" spans="16:16">
      <c r="P11522" s="2498"/>
    </row>
    <row r="11523" spans="16:16">
      <c r="P11523" s="2498"/>
    </row>
    <row r="11524" spans="16:16">
      <c r="P11524" s="2498"/>
    </row>
    <row r="11525" spans="16:16">
      <c r="P11525" s="2498"/>
    </row>
    <row r="11526" spans="16:16">
      <c r="P11526" s="2498"/>
    </row>
    <row r="11527" spans="16:16">
      <c r="P11527" s="2498"/>
    </row>
    <row r="11528" spans="16:16">
      <c r="P11528" s="2498"/>
    </row>
    <row r="11529" spans="16:16">
      <c r="P11529" s="2498"/>
    </row>
    <row r="11530" spans="16:16">
      <c r="P11530" s="2498"/>
    </row>
    <row r="11531" spans="16:16">
      <c r="P11531" s="2498"/>
    </row>
    <row r="11532" spans="16:16">
      <c r="P11532" s="2498"/>
    </row>
    <row r="11533" spans="16:16">
      <c r="P11533" s="2498"/>
    </row>
    <row r="11534" spans="16:16">
      <c r="P11534" s="2498"/>
    </row>
    <row r="11535" spans="16:16">
      <c r="P11535" s="2498"/>
    </row>
    <row r="11536" spans="16:16">
      <c r="P11536" s="2498"/>
    </row>
    <row r="11537" spans="16:16">
      <c r="P11537" s="2498"/>
    </row>
    <row r="11538" spans="16:16">
      <c r="P11538" s="2498"/>
    </row>
    <row r="11539" spans="16:16">
      <c r="P11539" s="2498"/>
    </row>
    <row r="11540" spans="16:16">
      <c r="P11540" s="2498"/>
    </row>
    <row r="11541" spans="16:16">
      <c r="P11541" s="2498"/>
    </row>
    <row r="11542" spans="16:16">
      <c r="P11542" s="2498"/>
    </row>
    <row r="11543" spans="16:16">
      <c r="P11543" s="2498"/>
    </row>
    <row r="11544" spans="16:16">
      <c r="P11544" s="2498"/>
    </row>
    <row r="11545" spans="16:16">
      <c r="P11545" s="2498"/>
    </row>
    <row r="11546" spans="16:16">
      <c r="P11546" s="2498"/>
    </row>
    <row r="11547" spans="16:16">
      <c r="P11547" s="2498"/>
    </row>
    <row r="11548" spans="16:16">
      <c r="P11548" s="2498"/>
    </row>
    <row r="11549" spans="16:16">
      <c r="P11549" s="2498"/>
    </row>
    <row r="11550" spans="16:16">
      <c r="P11550" s="2498"/>
    </row>
    <row r="11551" spans="16:16">
      <c r="P11551" s="2498"/>
    </row>
    <row r="11552" spans="16:16">
      <c r="P11552" s="2498"/>
    </row>
    <row r="11553" spans="16:16">
      <c r="P11553" s="2498"/>
    </row>
    <row r="11554" spans="16:16">
      <c r="P11554" s="2498"/>
    </row>
    <row r="11555" spans="16:16">
      <c r="P11555" s="2498"/>
    </row>
    <row r="11556" spans="16:16">
      <c r="P11556" s="2498"/>
    </row>
    <row r="11557" spans="16:16">
      <c r="P11557" s="2498"/>
    </row>
    <row r="11558" spans="16:16">
      <c r="P11558" s="2498"/>
    </row>
    <row r="11559" spans="16:16">
      <c r="P11559" s="2498"/>
    </row>
    <row r="11560" spans="16:16">
      <c r="P11560" s="2498"/>
    </row>
    <row r="11561" spans="16:16">
      <c r="P11561" s="2498"/>
    </row>
    <row r="11562" spans="16:16">
      <c r="P11562" s="2498"/>
    </row>
    <row r="11563" spans="16:16">
      <c r="P11563" s="2498"/>
    </row>
    <row r="11564" spans="16:16">
      <c r="P11564" s="2498"/>
    </row>
    <row r="11565" spans="16:16">
      <c r="P11565" s="2498"/>
    </row>
    <row r="11566" spans="16:16">
      <c r="P11566" s="2498"/>
    </row>
    <row r="11567" spans="16:16">
      <c r="P11567" s="2498"/>
    </row>
    <row r="11568" spans="16:16">
      <c r="P11568" s="2498"/>
    </row>
    <row r="11569" spans="16:16">
      <c r="P11569" s="2498"/>
    </row>
    <row r="11570" spans="16:16">
      <c r="P11570" s="2498"/>
    </row>
    <row r="11571" spans="16:16">
      <c r="P11571" s="2498"/>
    </row>
    <row r="11572" spans="16:16">
      <c r="P11572" s="2498"/>
    </row>
    <row r="11573" spans="16:16">
      <c r="P11573" s="2498"/>
    </row>
    <row r="11574" spans="16:16">
      <c r="P11574" s="2498"/>
    </row>
    <row r="11575" spans="16:16">
      <c r="P11575" s="2498"/>
    </row>
    <row r="11576" spans="16:16">
      <c r="P11576" s="2498"/>
    </row>
    <row r="11577" spans="16:16">
      <c r="P11577" s="2498"/>
    </row>
    <row r="11578" spans="16:16">
      <c r="P11578" s="2498"/>
    </row>
    <row r="11579" spans="16:16">
      <c r="P11579" s="2498"/>
    </row>
    <row r="11580" spans="16:16">
      <c r="P11580" s="2498"/>
    </row>
    <row r="11581" spans="16:16">
      <c r="P11581" s="2498"/>
    </row>
    <row r="11582" spans="16:16">
      <c r="P11582" s="2498"/>
    </row>
    <row r="11583" spans="16:16">
      <c r="P11583" s="2498"/>
    </row>
    <row r="11584" spans="16:16">
      <c r="P11584" s="2498"/>
    </row>
    <row r="11585" spans="16:16">
      <c r="P11585" s="2498"/>
    </row>
    <row r="11586" spans="16:16">
      <c r="P11586" s="2498"/>
    </row>
    <row r="11587" spans="16:16">
      <c r="P11587" s="2498"/>
    </row>
    <row r="11588" spans="16:16">
      <c r="P11588" s="2498"/>
    </row>
    <row r="11589" spans="16:16">
      <c r="P11589" s="2498"/>
    </row>
    <row r="11590" spans="16:16">
      <c r="P11590" s="2498"/>
    </row>
    <row r="11591" spans="16:16">
      <c r="P11591" s="2498"/>
    </row>
    <row r="11592" spans="16:16">
      <c r="P11592" s="2498"/>
    </row>
    <row r="11593" spans="16:16">
      <c r="P11593" s="2498"/>
    </row>
    <row r="11594" spans="16:16">
      <c r="P11594" s="2498"/>
    </row>
    <row r="11595" spans="16:16">
      <c r="P11595" s="2498"/>
    </row>
    <row r="11596" spans="16:16">
      <c r="P11596" s="2498"/>
    </row>
    <row r="11597" spans="16:16">
      <c r="P11597" s="2498"/>
    </row>
    <row r="11598" spans="16:16">
      <c r="P11598" s="2498"/>
    </row>
    <row r="11599" spans="16:16">
      <c r="P11599" s="2498"/>
    </row>
    <row r="11600" spans="16:16">
      <c r="P11600" s="2498"/>
    </row>
    <row r="11601" spans="16:16">
      <c r="P11601" s="2498"/>
    </row>
    <row r="11602" spans="16:16">
      <c r="P11602" s="2498"/>
    </row>
    <row r="11603" spans="16:16">
      <c r="P11603" s="2498"/>
    </row>
    <row r="11604" spans="16:16">
      <c r="P11604" s="2498"/>
    </row>
    <row r="11605" spans="16:16">
      <c r="P11605" s="2498"/>
    </row>
    <row r="11606" spans="16:16">
      <c r="P11606" s="2498"/>
    </row>
    <row r="11607" spans="16:16">
      <c r="P11607" s="2498"/>
    </row>
    <row r="11608" spans="16:16">
      <c r="P11608" s="2498"/>
    </row>
    <row r="11609" spans="16:16">
      <c r="P11609" s="2498"/>
    </row>
    <row r="11610" spans="16:16">
      <c r="P11610" s="2498"/>
    </row>
    <row r="11611" spans="16:16">
      <c r="P11611" s="2498"/>
    </row>
    <row r="11612" spans="16:16">
      <c r="P11612" s="2498"/>
    </row>
    <row r="11613" spans="16:16">
      <c r="P11613" s="2498"/>
    </row>
    <row r="11614" spans="16:16">
      <c r="P11614" s="2498"/>
    </row>
    <row r="11615" spans="16:16">
      <c r="P11615" s="2498"/>
    </row>
    <row r="11616" spans="16:16">
      <c r="P11616" s="2498"/>
    </row>
    <row r="11617" spans="16:16">
      <c r="P11617" s="2498"/>
    </row>
    <row r="11618" spans="16:16">
      <c r="P11618" s="2498"/>
    </row>
    <row r="11619" spans="16:16">
      <c r="P11619" s="2498"/>
    </row>
    <row r="11620" spans="16:16">
      <c r="P11620" s="2498"/>
    </row>
    <row r="11621" spans="16:16">
      <c r="P11621" s="2498"/>
    </row>
    <row r="11622" spans="16:16">
      <c r="P11622" s="2498"/>
    </row>
    <row r="11623" spans="16:16">
      <c r="P11623" s="2498"/>
    </row>
    <row r="11624" spans="16:16">
      <c r="P11624" s="2498"/>
    </row>
    <row r="11625" spans="16:16">
      <c r="P11625" s="2498"/>
    </row>
    <row r="11626" spans="16:16">
      <c r="P11626" s="2498"/>
    </row>
    <row r="11627" spans="16:16">
      <c r="P11627" s="2498"/>
    </row>
    <row r="11628" spans="16:16">
      <c r="P11628" s="2498"/>
    </row>
    <row r="11629" spans="16:16">
      <c r="P11629" s="2498"/>
    </row>
    <row r="11630" spans="16:16">
      <c r="P11630" s="2498"/>
    </row>
    <row r="11631" spans="16:16">
      <c r="P11631" s="2498"/>
    </row>
    <row r="11632" spans="16:16">
      <c r="P11632" s="2498"/>
    </row>
    <row r="11633" spans="16:16">
      <c r="P11633" s="2498"/>
    </row>
    <row r="11634" spans="16:16">
      <c r="P11634" s="2498"/>
    </row>
    <row r="11635" spans="16:16">
      <c r="P11635" s="2498"/>
    </row>
    <row r="11636" spans="16:16">
      <c r="P11636" s="2498"/>
    </row>
    <row r="11637" spans="16:16">
      <c r="P11637" s="2498"/>
    </row>
    <row r="11638" spans="16:16">
      <c r="P11638" s="2498"/>
    </row>
    <row r="11639" spans="16:16">
      <c r="P11639" s="2498"/>
    </row>
    <row r="11640" spans="16:16">
      <c r="P11640" s="2498"/>
    </row>
    <row r="11641" spans="16:16">
      <c r="P11641" s="2498"/>
    </row>
    <row r="11642" spans="16:16">
      <c r="P11642" s="2498"/>
    </row>
    <row r="11643" spans="16:16">
      <c r="P11643" s="2498"/>
    </row>
    <row r="11644" spans="16:16">
      <c r="P11644" s="2498"/>
    </row>
    <row r="11645" spans="16:16">
      <c r="P11645" s="2498"/>
    </row>
    <row r="11646" spans="16:16">
      <c r="P11646" s="2498"/>
    </row>
    <row r="11647" spans="16:16">
      <c r="P11647" s="2498"/>
    </row>
    <row r="11648" spans="16:16">
      <c r="P11648" s="2498"/>
    </row>
    <row r="11649" spans="16:16">
      <c r="P11649" s="2498"/>
    </row>
    <row r="11650" spans="16:16">
      <c r="P11650" s="2498"/>
    </row>
    <row r="11651" spans="16:16">
      <c r="P11651" s="2498"/>
    </row>
    <row r="11652" spans="16:16">
      <c r="P11652" s="2498"/>
    </row>
    <row r="11653" spans="16:16">
      <c r="P11653" s="2498"/>
    </row>
    <row r="11654" spans="16:16">
      <c r="P11654" s="2498"/>
    </row>
    <row r="11655" spans="16:16">
      <c r="P11655" s="2498"/>
    </row>
    <row r="11656" spans="16:16">
      <c r="P11656" s="2498"/>
    </row>
    <row r="11657" spans="16:16">
      <c r="P11657" s="2498"/>
    </row>
    <row r="11658" spans="16:16">
      <c r="P11658" s="2498"/>
    </row>
    <row r="11659" spans="16:16">
      <c r="P11659" s="2498"/>
    </row>
    <row r="11660" spans="16:16">
      <c r="P11660" s="2498"/>
    </row>
    <row r="11661" spans="16:16">
      <c r="P11661" s="2498"/>
    </row>
    <row r="11662" spans="16:16">
      <c r="P11662" s="2498"/>
    </row>
    <row r="11663" spans="16:16">
      <c r="P11663" s="2498"/>
    </row>
    <row r="11664" spans="16:16">
      <c r="P11664" s="2498"/>
    </row>
    <row r="11665" spans="16:16">
      <c r="P11665" s="2498"/>
    </row>
    <row r="11666" spans="16:16">
      <c r="P11666" s="2498"/>
    </row>
    <row r="11667" spans="16:16">
      <c r="P11667" s="2498"/>
    </row>
    <row r="11668" spans="16:16">
      <c r="P11668" s="2498"/>
    </row>
    <row r="11669" spans="16:16">
      <c r="P11669" s="2498"/>
    </row>
    <row r="11670" spans="16:16">
      <c r="P11670" s="2498"/>
    </row>
    <row r="11671" spans="16:16">
      <c r="P11671" s="2498"/>
    </row>
    <row r="11672" spans="16:16">
      <c r="P11672" s="2498"/>
    </row>
    <row r="11673" spans="16:16">
      <c r="P11673" s="2498"/>
    </row>
    <row r="11674" spans="16:16">
      <c r="P11674" s="2498"/>
    </row>
    <row r="11675" spans="16:16">
      <c r="P11675" s="2498"/>
    </row>
    <row r="11676" spans="16:16">
      <c r="P11676" s="2498"/>
    </row>
    <row r="11677" spans="16:16">
      <c r="P11677" s="2498"/>
    </row>
    <row r="11678" spans="16:16">
      <c r="P11678" s="2498"/>
    </row>
    <row r="11679" spans="16:16">
      <c r="P11679" s="2498"/>
    </row>
    <row r="11680" spans="16:16">
      <c r="P11680" s="2498"/>
    </row>
    <row r="11681" spans="16:16">
      <c r="P11681" s="2498"/>
    </row>
    <row r="11682" spans="16:16">
      <c r="P11682" s="2498"/>
    </row>
    <row r="11683" spans="16:16">
      <c r="P11683" s="2498"/>
    </row>
    <row r="11684" spans="16:16">
      <c r="P11684" s="2498"/>
    </row>
    <row r="11685" spans="16:16">
      <c r="P11685" s="2498"/>
    </row>
    <row r="11686" spans="16:16">
      <c r="P11686" s="2498"/>
    </row>
    <row r="11687" spans="16:16">
      <c r="P11687" s="2498"/>
    </row>
    <row r="11688" spans="16:16">
      <c r="P11688" s="2498"/>
    </row>
    <row r="11689" spans="16:16">
      <c r="P11689" s="2498"/>
    </row>
    <row r="11690" spans="16:16">
      <c r="P11690" s="2498"/>
    </row>
    <row r="11691" spans="16:16">
      <c r="P11691" s="2498"/>
    </row>
    <row r="11692" spans="16:16">
      <c r="P11692" s="2498"/>
    </row>
    <row r="11693" spans="16:16">
      <c r="P11693" s="2498"/>
    </row>
    <row r="11694" spans="16:16">
      <c r="P11694" s="2498"/>
    </row>
    <row r="11695" spans="16:16">
      <c r="P11695" s="2498"/>
    </row>
    <row r="11696" spans="16:16">
      <c r="P11696" s="2498"/>
    </row>
    <row r="11697" spans="16:16">
      <c r="P11697" s="2498"/>
    </row>
    <row r="11698" spans="16:16">
      <c r="P11698" s="2498"/>
    </row>
    <row r="11699" spans="16:16">
      <c r="P11699" s="2498"/>
    </row>
    <row r="11700" spans="16:16">
      <c r="P11700" s="2498"/>
    </row>
    <row r="11701" spans="16:16">
      <c r="P11701" s="2498"/>
    </row>
    <row r="11702" spans="16:16">
      <c r="P11702" s="2498"/>
    </row>
    <row r="11703" spans="16:16">
      <c r="P11703" s="2498"/>
    </row>
    <row r="11704" spans="16:16">
      <c r="P11704" s="2498"/>
    </row>
    <row r="11705" spans="16:16">
      <c r="P11705" s="2498"/>
    </row>
    <row r="11706" spans="16:16">
      <c r="P11706" s="2498"/>
    </row>
    <row r="11707" spans="16:16">
      <c r="P11707" s="2498"/>
    </row>
    <row r="11708" spans="16:16">
      <c r="P11708" s="2498"/>
    </row>
    <row r="11709" spans="16:16">
      <c r="P11709" s="2498"/>
    </row>
    <row r="11710" spans="16:16">
      <c r="P11710" s="2498"/>
    </row>
    <row r="11711" spans="16:16">
      <c r="P11711" s="2498"/>
    </row>
    <row r="11712" spans="16:16">
      <c r="P11712" s="2498"/>
    </row>
    <row r="11713" spans="16:16">
      <c r="P11713" s="2498"/>
    </row>
    <row r="11714" spans="16:16">
      <c r="P11714" s="2498"/>
    </row>
    <row r="11715" spans="16:16">
      <c r="P11715" s="2498"/>
    </row>
    <row r="11716" spans="16:16">
      <c r="P11716" s="2498"/>
    </row>
    <row r="11717" spans="16:16">
      <c r="P11717" s="2498"/>
    </row>
    <row r="11718" spans="16:16">
      <c r="P11718" s="2498"/>
    </row>
    <row r="11719" spans="16:16">
      <c r="P11719" s="2498"/>
    </row>
    <row r="11720" spans="16:16">
      <c r="P11720" s="2498"/>
    </row>
    <row r="11721" spans="16:16">
      <c r="P11721" s="2498"/>
    </row>
    <row r="11722" spans="16:16">
      <c r="P11722" s="2498"/>
    </row>
    <row r="11723" spans="16:16">
      <c r="P11723" s="2498"/>
    </row>
    <row r="11724" spans="16:16">
      <c r="P11724" s="2498"/>
    </row>
    <row r="11725" spans="16:16">
      <c r="P11725" s="2498"/>
    </row>
    <row r="11726" spans="16:16">
      <c r="P11726" s="2498"/>
    </row>
    <row r="11727" spans="16:16">
      <c r="P11727" s="2498"/>
    </row>
    <row r="11728" spans="16:16">
      <c r="P11728" s="2498"/>
    </row>
    <row r="11729" spans="16:16">
      <c r="P11729" s="2498"/>
    </row>
    <row r="11730" spans="16:16">
      <c r="P11730" s="2498"/>
    </row>
    <row r="11731" spans="16:16">
      <c r="P11731" s="2498"/>
    </row>
    <row r="11732" spans="16:16">
      <c r="P11732" s="2498"/>
    </row>
    <row r="11733" spans="16:16">
      <c r="P11733" s="2498"/>
    </row>
    <row r="11734" spans="16:16">
      <c r="P11734" s="2498"/>
    </row>
    <row r="11735" spans="16:16">
      <c r="P11735" s="2498"/>
    </row>
    <row r="11736" spans="16:16">
      <c r="P11736" s="2498"/>
    </row>
    <row r="11737" spans="16:16">
      <c r="P11737" s="2498"/>
    </row>
    <row r="11738" spans="16:16">
      <c r="P11738" s="2498"/>
    </row>
    <row r="11739" spans="16:16">
      <c r="P11739" s="2498"/>
    </row>
    <row r="11740" spans="16:16">
      <c r="P11740" s="2498"/>
    </row>
    <row r="11741" spans="16:16">
      <c r="P11741" s="2498"/>
    </row>
    <row r="11742" spans="16:16">
      <c r="P11742" s="2498"/>
    </row>
    <row r="11743" spans="16:16">
      <c r="P11743" s="2498"/>
    </row>
    <row r="11744" spans="16:16">
      <c r="P11744" s="2498"/>
    </row>
    <row r="11745" spans="16:16">
      <c r="P11745" s="2498"/>
    </row>
    <row r="11746" spans="16:16">
      <c r="P11746" s="2498"/>
    </row>
    <row r="11747" spans="16:16">
      <c r="P11747" s="2498"/>
    </row>
    <row r="11748" spans="16:16">
      <c r="P11748" s="2498"/>
    </row>
    <row r="11749" spans="16:16">
      <c r="P11749" s="2498"/>
    </row>
    <row r="11750" spans="16:16">
      <c r="P11750" s="2498"/>
    </row>
    <row r="11751" spans="16:16">
      <c r="P11751" s="2498"/>
    </row>
    <row r="11752" spans="16:16">
      <c r="P11752" s="2498"/>
    </row>
    <row r="11753" spans="16:16">
      <c r="P11753" s="2498"/>
    </row>
    <row r="11754" spans="16:16">
      <c r="P11754" s="2498"/>
    </row>
    <row r="11755" spans="16:16">
      <c r="P11755" s="2498"/>
    </row>
    <row r="11756" spans="16:16">
      <c r="P11756" s="2498"/>
    </row>
    <row r="11757" spans="16:16">
      <c r="P11757" s="2498"/>
    </row>
    <row r="11758" spans="16:16">
      <c r="P11758" s="2498"/>
    </row>
    <row r="11759" spans="16:16">
      <c r="P11759" s="2498"/>
    </row>
    <row r="11760" spans="16:16">
      <c r="P11760" s="2498"/>
    </row>
    <row r="11761" spans="16:16">
      <c r="P11761" s="2498"/>
    </row>
    <row r="11762" spans="16:16">
      <c r="P11762" s="2498"/>
    </row>
    <row r="11763" spans="16:16">
      <c r="P11763" s="2498"/>
    </row>
    <row r="11764" spans="16:16">
      <c r="P11764" s="2498"/>
    </row>
    <row r="11765" spans="16:16">
      <c r="P11765" s="2498"/>
    </row>
    <row r="11766" spans="16:16">
      <c r="P11766" s="2498"/>
    </row>
    <row r="11767" spans="16:16">
      <c r="P11767" s="2498"/>
    </row>
    <row r="11768" spans="16:16">
      <c r="P11768" s="2498"/>
    </row>
    <row r="11769" spans="16:16">
      <c r="P11769" s="2498"/>
    </row>
    <row r="11770" spans="16:16">
      <c r="P11770" s="2498"/>
    </row>
    <row r="11771" spans="16:16">
      <c r="P11771" s="2498"/>
    </row>
    <row r="11772" spans="16:16">
      <c r="P11772" s="2498"/>
    </row>
    <row r="11773" spans="16:16">
      <c r="P11773" s="2498"/>
    </row>
    <row r="11774" spans="16:16">
      <c r="P11774" s="2498"/>
    </row>
    <row r="11775" spans="16:16">
      <c r="P11775" s="2498"/>
    </row>
    <row r="11776" spans="16:16">
      <c r="P11776" s="2498"/>
    </row>
    <row r="11777" spans="16:16">
      <c r="P11777" s="2498"/>
    </row>
    <row r="11778" spans="16:16">
      <c r="P11778" s="2498"/>
    </row>
    <row r="11779" spans="16:16">
      <c r="P11779" s="2498"/>
    </row>
    <row r="11780" spans="16:16">
      <c r="P11780" s="2498"/>
    </row>
    <row r="11781" spans="16:16">
      <c r="P11781" s="2498"/>
    </row>
    <row r="11782" spans="16:16">
      <c r="P11782" s="2498"/>
    </row>
    <row r="11783" spans="16:16">
      <c r="P11783" s="2498"/>
    </row>
    <row r="11784" spans="16:16">
      <c r="P11784" s="2498"/>
    </row>
    <row r="11785" spans="16:16">
      <c r="P11785" s="2498"/>
    </row>
    <row r="11786" spans="16:16">
      <c r="P11786" s="2498"/>
    </row>
    <row r="11787" spans="16:16">
      <c r="P11787" s="2498"/>
    </row>
    <row r="11788" spans="16:16">
      <c r="P11788" s="2498"/>
    </row>
    <row r="11789" spans="16:16">
      <c r="P11789" s="2498"/>
    </row>
    <row r="11790" spans="16:16">
      <c r="P11790" s="2498"/>
    </row>
    <row r="11791" spans="16:16">
      <c r="P11791" s="2498"/>
    </row>
    <row r="11792" spans="16:16">
      <c r="P11792" s="2498"/>
    </row>
    <row r="11793" spans="16:16">
      <c r="P11793" s="2498"/>
    </row>
    <row r="11794" spans="16:16">
      <c r="P11794" s="2498"/>
    </row>
    <row r="11795" spans="16:16">
      <c r="P11795" s="2498"/>
    </row>
    <row r="11796" spans="16:16">
      <c r="P11796" s="2498"/>
    </row>
    <row r="11797" spans="16:16">
      <c r="P11797" s="2498"/>
    </row>
    <row r="11798" spans="16:16">
      <c r="P11798" s="2498"/>
    </row>
    <row r="11799" spans="16:16">
      <c r="P11799" s="2498"/>
    </row>
    <row r="11800" spans="16:16">
      <c r="P11800" s="2498"/>
    </row>
    <row r="11801" spans="16:16">
      <c r="P11801" s="2498"/>
    </row>
    <row r="11802" spans="16:16">
      <c r="P11802" s="2498"/>
    </row>
    <row r="11803" spans="16:16">
      <c r="P11803" s="2498"/>
    </row>
    <row r="11804" spans="16:16">
      <c r="P11804" s="2498"/>
    </row>
    <row r="11805" spans="16:16">
      <c r="P11805" s="2498"/>
    </row>
    <row r="11806" spans="16:16">
      <c r="P11806" s="2498"/>
    </row>
    <row r="11807" spans="16:16">
      <c r="P11807" s="2498"/>
    </row>
    <row r="11808" spans="16:16">
      <c r="P11808" s="2498"/>
    </row>
    <row r="11809" spans="16:16">
      <c r="P11809" s="2498"/>
    </row>
    <row r="11810" spans="16:16">
      <c r="P11810" s="2498"/>
    </row>
    <row r="11811" spans="16:16">
      <c r="P11811" s="2498"/>
    </row>
    <row r="11812" spans="16:16">
      <c r="P11812" s="2498"/>
    </row>
    <row r="11813" spans="16:16">
      <c r="P11813" s="2498"/>
    </row>
    <row r="11814" spans="16:16">
      <c r="P11814" s="2498"/>
    </row>
    <row r="11815" spans="16:16">
      <c r="P11815" s="2498"/>
    </row>
    <row r="11816" spans="16:16">
      <c r="P11816" s="2498"/>
    </row>
    <row r="11817" spans="16:16">
      <c r="P11817" s="2498"/>
    </row>
    <row r="11818" spans="16:16">
      <c r="P11818" s="2498"/>
    </row>
    <row r="11819" spans="16:16">
      <c r="P11819" s="2498"/>
    </row>
    <row r="11820" spans="16:16">
      <c r="P11820" s="2498"/>
    </row>
    <row r="11821" spans="16:16">
      <c r="P11821" s="2498"/>
    </row>
    <row r="11822" spans="16:16">
      <c r="P11822" s="2498"/>
    </row>
    <row r="11823" spans="16:16">
      <c r="P11823" s="2498"/>
    </row>
    <row r="11824" spans="16:16">
      <c r="P11824" s="2498"/>
    </row>
    <row r="11825" spans="16:16">
      <c r="P11825" s="2498"/>
    </row>
    <row r="11826" spans="16:16">
      <c r="P11826" s="2498"/>
    </row>
    <row r="11827" spans="16:16">
      <c r="P11827" s="2498"/>
    </row>
    <row r="11828" spans="16:16">
      <c r="P11828" s="2498"/>
    </row>
    <row r="11829" spans="16:16">
      <c r="P11829" s="2498"/>
    </row>
    <row r="11830" spans="16:16">
      <c r="P11830" s="2498"/>
    </row>
    <row r="11831" spans="16:16">
      <c r="P11831" s="2498"/>
    </row>
    <row r="11832" spans="16:16">
      <c r="P11832" s="2498"/>
    </row>
    <row r="11833" spans="16:16">
      <c r="P11833" s="2498"/>
    </row>
    <row r="11834" spans="16:16">
      <c r="P11834" s="2498"/>
    </row>
    <row r="11835" spans="16:16">
      <c r="P11835" s="2498"/>
    </row>
    <row r="11836" spans="16:16">
      <c r="P11836" s="2498"/>
    </row>
    <row r="11837" spans="16:16">
      <c r="P11837" s="2498"/>
    </row>
    <row r="11838" spans="16:16">
      <c r="P11838" s="2498"/>
    </row>
    <row r="11839" spans="16:16">
      <c r="P11839" s="2498"/>
    </row>
    <row r="11840" spans="16:16">
      <c r="P11840" s="2498"/>
    </row>
    <row r="11841" spans="16:16">
      <c r="P11841" s="2498"/>
    </row>
    <row r="11842" spans="16:16">
      <c r="P11842" s="2498"/>
    </row>
    <row r="11843" spans="16:16">
      <c r="P11843" s="2498"/>
    </row>
    <row r="11844" spans="16:16">
      <c r="P11844" s="2498"/>
    </row>
    <row r="11845" spans="16:16">
      <c r="P11845" s="2498"/>
    </row>
    <row r="11846" spans="16:16">
      <c r="P11846" s="2498"/>
    </row>
    <row r="11847" spans="16:16">
      <c r="P11847" s="2498"/>
    </row>
    <row r="11848" spans="16:16">
      <c r="P11848" s="2498"/>
    </row>
    <row r="11849" spans="16:16">
      <c r="P11849" s="2498"/>
    </row>
    <row r="11850" spans="16:16">
      <c r="P11850" s="2498"/>
    </row>
    <row r="11851" spans="16:16">
      <c r="P11851" s="2498"/>
    </row>
    <row r="11852" spans="16:16">
      <c r="P11852" s="2498"/>
    </row>
    <row r="11853" spans="16:16">
      <c r="P11853" s="2498"/>
    </row>
    <row r="11854" spans="16:16">
      <c r="P11854" s="2498"/>
    </row>
    <row r="11855" spans="16:16">
      <c r="P11855" s="2498"/>
    </row>
    <row r="11856" spans="16:16">
      <c r="P11856" s="2498"/>
    </row>
    <row r="11857" spans="16:16">
      <c r="P11857" s="2498"/>
    </row>
    <row r="11858" spans="16:16">
      <c r="P11858" s="2498"/>
    </row>
    <row r="11859" spans="16:16">
      <c r="P11859" s="2498"/>
    </row>
    <row r="11860" spans="16:16">
      <c r="P11860" s="2498"/>
    </row>
    <row r="11861" spans="16:16">
      <c r="P11861" s="2498"/>
    </row>
    <row r="11862" spans="16:16">
      <c r="P11862" s="2498"/>
    </row>
    <row r="11863" spans="16:16">
      <c r="P11863" s="2498"/>
    </row>
    <row r="11864" spans="16:16">
      <c r="P11864" s="2498"/>
    </row>
    <row r="11865" spans="16:16">
      <c r="P11865" s="2498"/>
    </row>
    <row r="11866" spans="16:16">
      <c r="P11866" s="2498"/>
    </row>
    <row r="11867" spans="16:16">
      <c r="P11867" s="2498"/>
    </row>
    <row r="11868" spans="16:16">
      <c r="P11868" s="2498"/>
    </row>
    <row r="11869" spans="16:16">
      <c r="P11869" s="2498"/>
    </row>
    <row r="11870" spans="16:16">
      <c r="P11870" s="2498"/>
    </row>
    <row r="11871" spans="16:16">
      <c r="P11871" s="2498"/>
    </row>
    <row r="11872" spans="16:16">
      <c r="P11872" s="2498"/>
    </row>
    <row r="11873" spans="16:16">
      <c r="P11873" s="2498"/>
    </row>
    <row r="11874" spans="16:16">
      <c r="P11874" s="2498"/>
    </row>
    <row r="11875" spans="16:16">
      <c r="P11875" s="2498"/>
    </row>
    <row r="11876" spans="16:16">
      <c r="P11876" s="2498"/>
    </row>
    <row r="11877" spans="16:16">
      <c r="P11877" s="2498"/>
    </row>
    <row r="11878" spans="16:16">
      <c r="P11878" s="2498"/>
    </row>
    <row r="11879" spans="16:16">
      <c r="P11879" s="2498"/>
    </row>
    <row r="11880" spans="16:16">
      <c r="P11880" s="2498"/>
    </row>
    <row r="11881" spans="16:16">
      <c r="P11881" s="2498"/>
    </row>
    <row r="11882" spans="16:16">
      <c r="P11882" s="2498"/>
    </row>
    <row r="11883" spans="16:16">
      <c r="P11883" s="2498"/>
    </row>
    <row r="11884" spans="16:16">
      <c r="P11884" s="2498"/>
    </row>
    <row r="11885" spans="16:16">
      <c r="P11885" s="2498"/>
    </row>
    <row r="11886" spans="16:16">
      <c r="P11886" s="2498"/>
    </row>
    <row r="11887" spans="16:16">
      <c r="P11887" s="2498"/>
    </row>
    <row r="11888" spans="16:16">
      <c r="P11888" s="2498"/>
    </row>
    <row r="11889" spans="16:16">
      <c r="P11889" s="2498"/>
    </row>
    <row r="11890" spans="16:16">
      <c r="P11890" s="2498"/>
    </row>
    <row r="11891" spans="16:16">
      <c r="P11891" s="2498"/>
    </row>
    <row r="11892" spans="16:16">
      <c r="P11892" s="2498"/>
    </row>
    <row r="11893" spans="16:16">
      <c r="P11893" s="2498"/>
    </row>
    <row r="11894" spans="16:16">
      <c r="P11894" s="2498"/>
    </row>
    <row r="11895" spans="16:16">
      <c r="P11895" s="2498"/>
    </row>
    <row r="11896" spans="16:16">
      <c r="P11896" s="2498"/>
    </row>
    <row r="11897" spans="16:16">
      <c r="P11897" s="2498"/>
    </row>
    <row r="11898" spans="16:16">
      <c r="P11898" s="2498"/>
    </row>
    <row r="11899" spans="16:16">
      <c r="P11899" s="2498"/>
    </row>
    <row r="11900" spans="16:16">
      <c r="P11900" s="2498"/>
    </row>
    <row r="11901" spans="16:16">
      <c r="P11901" s="2498"/>
    </row>
    <row r="11902" spans="16:16">
      <c r="P11902" s="2498"/>
    </row>
    <row r="11903" spans="16:16">
      <c r="P11903" s="2498"/>
    </row>
    <row r="11904" spans="16:16">
      <c r="P11904" s="2498"/>
    </row>
    <row r="11905" spans="16:16">
      <c r="P11905" s="2498"/>
    </row>
    <row r="11906" spans="16:16">
      <c r="P11906" s="2498"/>
    </row>
    <row r="11907" spans="16:16">
      <c r="P11907" s="2498"/>
    </row>
    <row r="11908" spans="16:16">
      <c r="P11908" s="2498"/>
    </row>
    <row r="11909" spans="16:16">
      <c r="P11909" s="2498"/>
    </row>
    <row r="11910" spans="16:16">
      <c r="P11910" s="2498"/>
    </row>
    <row r="11911" spans="16:16">
      <c r="P11911" s="2498"/>
    </row>
    <row r="11912" spans="16:16">
      <c r="P11912" s="2498"/>
    </row>
    <row r="11913" spans="16:16">
      <c r="P11913" s="2498"/>
    </row>
    <row r="11914" spans="16:16">
      <c r="P11914" s="2498"/>
    </row>
    <row r="11915" spans="16:16">
      <c r="P11915" s="2498"/>
    </row>
    <row r="11916" spans="16:16">
      <c r="P11916" s="2498"/>
    </row>
    <row r="11917" spans="16:16">
      <c r="P11917" s="2498"/>
    </row>
    <row r="11918" spans="16:16">
      <c r="P11918" s="2498"/>
    </row>
    <row r="11919" spans="16:16">
      <c r="P11919" s="2498"/>
    </row>
    <row r="11920" spans="16:16">
      <c r="P11920" s="2498"/>
    </row>
    <row r="11921" spans="16:16">
      <c r="P11921" s="2498"/>
    </row>
    <row r="11922" spans="16:16">
      <c r="P11922" s="2498"/>
    </row>
    <row r="11923" spans="16:16">
      <c r="P11923" s="2498"/>
    </row>
    <row r="11924" spans="16:16">
      <c r="P11924" s="2498"/>
    </row>
    <row r="11925" spans="16:16">
      <c r="P11925" s="2498"/>
    </row>
    <row r="11926" spans="16:16">
      <c r="P11926" s="2498"/>
    </row>
    <row r="11927" spans="16:16">
      <c r="P11927" s="2498"/>
    </row>
    <row r="11928" spans="16:16">
      <c r="P11928" s="2498"/>
    </row>
    <row r="11929" spans="16:16">
      <c r="P11929" s="2498"/>
    </row>
    <row r="11930" spans="16:16">
      <c r="P11930" s="2498"/>
    </row>
    <row r="11931" spans="16:16">
      <c r="P11931" s="2498"/>
    </row>
    <row r="11932" spans="16:16">
      <c r="P11932" s="2498"/>
    </row>
    <row r="11933" spans="16:16">
      <c r="P11933" s="2498"/>
    </row>
    <row r="11934" spans="16:16">
      <c r="P11934" s="2498"/>
    </row>
    <row r="11935" spans="16:16">
      <c r="P11935" s="2498"/>
    </row>
    <row r="11936" spans="16:16">
      <c r="P11936" s="2498"/>
    </row>
    <row r="11937" spans="16:16">
      <c r="P11937" s="2498"/>
    </row>
    <row r="11938" spans="16:16">
      <c r="P11938" s="2498"/>
    </row>
    <row r="11939" spans="16:16">
      <c r="P11939" s="2498"/>
    </row>
    <row r="11940" spans="16:16">
      <c r="P11940" s="2498"/>
    </row>
    <row r="11941" spans="16:16">
      <c r="P11941" s="2498"/>
    </row>
    <row r="11942" spans="16:16">
      <c r="P11942" s="2498"/>
    </row>
    <row r="11943" spans="16:16">
      <c r="P11943" s="2498"/>
    </row>
    <row r="11944" spans="16:16">
      <c r="P11944" s="2498"/>
    </row>
    <row r="11945" spans="16:16">
      <c r="P11945" s="2498"/>
    </row>
    <row r="11946" spans="16:16">
      <c r="P11946" s="2498"/>
    </row>
    <row r="11947" spans="16:16">
      <c r="P11947" s="2498"/>
    </row>
    <row r="11948" spans="16:16">
      <c r="P11948" s="2498"/>
    </row>
    <row r="11949" spans="16:16">
      <c r="P11949" s="2498"/>
    </row>
    <row r="11950" spans="16:16">
      <c r="P11950" s="2498"/>
    </row>
    <row r="11951" spans="16:16">
      <c r="P11951" s="2498"/>
    </row>
    <row r="11952" spans="16:16">
      <c r="P11952" s="2498"/>
    </row>
    <row r="11953" spans="16:16">
      <c r="P11953" s="2498"/>
    </row>
    <row r="11954" spans="16:16">
      <c r="P11954" s="2498"/>
    </row>
    <row r="11955" spans="16:16">
      <c r="P11955" s="2498"/>
    </row>
    <row r="11956" spans="16:16">
      <c r="P11956" s="2498"/>
    </row>
    <row r="11957" spans="16:16">
      <c r="P11957" s="2498"/>
    </row>
    <row r="11958" spans="16:16">
      <c r="P11958" s="2498"/>
    </row>
    <row r="11959" spans="16:16">
      <c r="P11959" s="2498"/>
    </row>
    <row r="11960" spans="16:16">
      <c r="P11960" s="2498"/>
    </row>
    <row r="11961" spans="16:16">
      <c r="P11961" s="2498"/>
    </row>
    <row r="11962" spans="16:16">
      <c r="P11962" s="2498"/>
    </row>
    <row r="11963" spans="16:16">
      <c r="P11963" s="2498"/>
    </row>
    <row r="11964" spans="16:16">
      <c r="P11964" s="2498"/>
    </row>
    <row r="11965" spans="16:16">
      <c r="P11965" s="2498"/>
    </row>
    <row r="11966" spans="16:16">
      <c r="P11966" s="2498"/>
    </row>
    <row r="11967" spans="16:16">
      <c r="P11967" s="2498"/>
    </row>
    <row r="11968" spans="16:16">
      <c r="P11968" s="2498"/>
    </row>
    <row r="11969" spans="16:16">
      <c r="P11969" s="2498"/>
    </row>
    <row r="11970" spans="16:16">
      <c r="P11970" s="2498"/>
    </row>
    <row r="11971" spans="16:16">
      <c r="P11971" s="2498"/>
    </row>
    <row r="11972" spans="16:16">
      <c r="P11972" s="2498"/>
    </row>
    <row r="11973" spans="16:16">
      <c r="P11973" s="2498"/>
    </row>
    <row r="11974" spans="16:16">
      <c r="P11974" s="2498"/>
    </row>
    <row r="11975" spans="16:16">
      <c r="P11975" s="2498"/>
    </row>
    <row r="11976" spans="16:16">
      <c r="P11976" s="2498"/>
    </row>
    <row r="11977" spans="16:16">
      <c r="P11977" s="2498"/>
    </row>
    <row r="11978" spans="16:16">
      <c r="P11978" s="2498"/>
    </row>
    <row r="11979" spans="16:16">
      <c r="P11979" s="2498"/>
    </row>
    <row r="11980" spans="16:16">
      <c r="P11980" s="2498"/>
    </row>
    <row r="11981" spans="16:16">
      <c r="P11981" s="2498"/>
    </row>
    <row r="11982" spans="16:16">
      <c r="P11982" s="2498"/>
    </row>
    <row r="11983" spans="16:16">
      <c r="P11983" s="2498"/>
    </row>
    <row r="11984" spans="16:16">
      <c r="P11984" s="2498"/>
    </row>
    <row r="11985" spans="16:16">
      <c r="P11985" s="2498"/>
    </row>
    <row r="11986" spans="16:16">
      <c r="P11986" s="2498"/>
    </row>
    <row r="11987" spans="16:16">
      <c r="P11987" s="2498"/>
    </row>
    <row r="11988" spans="16:16">
      <c r="P11988" s="2498"/>
    </row>
    <row r="11989" spans="16:16">
      <c r="P11989" s="2498"/>
    </row>
    <row r="11990" spans="16:16">
      <c r="P11990" s="2498"/>
    </row>
    <row r="11991" spans="16:16">
      <c r="P11991" s="2498"/>
    </row>
    <row r="11992" spans="16:16">
      <c r="P11992" s="2498"/>
    </row>
    <row r="11993" spans="16:16">
      <c r="P11993" s="2498"/>
    </row>
    <row r="11994" spans="16:16">
      <c r="P11994" s="2498"/>
    </row>
    <row r="11995" spans="16:16">
      <c r="P11995" s="2498"/>
    </row>
    <row r="11996" spans="16:16">
      <c r="P11996" s="2498"/>
    </row>
    <row r="11997" spans="16:16">
      <c r="P11997" s="2498"/>
    </row>
    <row r="11998" spans="16:16">
      <c r="P11998" s="2498"/>
    </row>
    <row r="11999" spans="16:16">
      <c r="P11999" s="2498"/>
    </row>
    <row r="12000" spans="16:16">
      <c r="P12000" s="2498"/>
    </row>
    <row r="12001" spans="16:16">
      <c r="P12001" s="2498"/>
    </row>
    <row r="12002" spans="16:16">
      <c r="P12002" s="2498"/>
    </row>
    <row r="12003" spans="16:16">
      <c r="P12003" s="2498"/>
    </row>
    <row r="12004" spans="16:16">
      <c r="P12004" s="2498"/>
    </row>
    <row r="12005" spans="16:16">
      <c r="P12005" s="2498"/>
    </row>
    <row r="12006" spans="16:16">
      <c r="P12006" s="2498"/>
    </row>
    <row r="12007" spans="16:16">
      <c r="P12007" s="2498"/>
    </row>
    <row r="12008" spans="16:16">
      <c r="P12008" s="2498"/>
    </row>
    <row r="12009" spans="16:16">
      <c r="P12009" s="2498"/>
    </row>
    <row r="12010" spans="16:16">
      <c r="P12010" s="2498"/>
    </row>
    <row r="12011" spans="16:16">
      <c r="P12011" s="2498"/>
    </row>
    <row r="12012" spans="16:16">
      <c r="P12012" s="2498"/>
    </row>
    <row r="12013" spans="16:16">
      <c r="P12013" s="2498"/>
    </row>
    <row r="12014" spans="16:16">
      <c r="P12014" s="2498"/>
    </row>
    <row r="12015" spans="16:16">
      <c r="P12015" s="2498"/>
    </row>
    <row r="12016" spans="16:16">
      <c r="P12016" s="2498"/>
    </row>
    <row r="12017" spans="16:16">
      <c r="P12017" s="2498"/>
    </row>
    <row r="12018" spans="16:16">
      <c r="P12018" s="2498"/>
    </row>
    <row r="12019" spans="16:16">
      <c r="P12019" s="2498"/>
    </row>
    <row r="12020" spans="16:16">
      <c r="P12020" s="2498"/>
    </row>
    <row r="12021" spans="16:16">
      <c r="P12021" s="2498"/>
    </row>
    <row r="12022" spans="16:16">
      <c r="P12022" s="2498"/>
    </row>
    <row r="12023" spans="16:16">
      <c r="P12023" s="2498"/>
    </row>
    <row r="12024" spans="16:16">
      <c r="P12024" s="2498"/>
    </row>
    <row r="12025" spans="16:16">
      <c r="P12025" s="2498"/>
    </row>
    <row r="12026" spans="16:16">
      <c r="P12026" s="2498"/>
    </row>
    <row r="12027" spans="16:16">
      <c r="P12027" s="2498"/>
    </row>
    <row r="12028" spans="16:16">
      <c r="P12028" s="2498"/>
    </row>
    <row r="12029" spans="16:16">
      <c r="P12029" s="2498"/>
    </row>
    <row r="12030" spans="16:16">
      <c r="P12030" s="2498"/>
    </row>
    <row r="12031" spans="16:16">
      <c r="P12031" s="2498"/>
    </row>
    <row r="12032" spans="16:16">
      <c r="P12032" s="2498"/>
    </row>
    <row r="12033" spans="16:16">
      <c r="P12033" s="2498"/>
    </row>
    <row r="12034" spans="16:16">
      <c r="P12034" s="2498"/>
    </row>
    <row r="12035" spans="16:16">
      <c r="P12035" s="2498"/>
    </row>
    <row r="12036" spans="16:16">
      <c r="P12036" s="2498"/>
    </row>
    <row r="12037" spans="16:16">
      <c r="P12037" s="2498"/>
    </row>
    <row r="12038" spans="16:16">
      <c r="P12038" s="2498"/>
    </row>
    <row r="12039" spans="16:16">
      <c r="P12039" s="2498"/>
    </row>
    <row r="12040" spans="16:16">
      <c r="P12040" s="2498"/>
    </row>
    <row r="12041" spans="16:16">
      <c r="P12041" s="2498"/>
    </row>
    <row r="12042" spans="16:16">
      <c r="P12042" s="2498"/>
    </row>
    <row r="12043" spans="16:16">
      <c r="P12043" s="2498"/>
    </row>
    <row r="12044" spans="16:16">
      <c r="P12044" s="2498"/>
    </row>
    <row r="12045" spans="16:16">
      <c r="P12045" s="2498"/>
    </row>
    <row r="12046" spans="16:16">
      <c r="P12046" s="2498"/>
    </row>
    <row r="12047" spans="16:16">
      <c r="P12047" s="2498"/>
    </row>
    <row r="12048" spans="16:16">
      <c r="P12048" s="2498"/>
    </row>
    <row r="12049" spans="16:16">
      <c r="P12049" s="2498"/>
    </row>
    <row r="12050" spans="16:16">
      <c r="P12050" s="2498"/>
    </row>
    <row r="12051" spans="16:16">
      <c r="P12051" s="2498"/>
    </row>
    <row r="12052" spans="16:16">
      <c r="P12052" s="2498"/>
    </row>
    <row r="12053" spans="16:16">
      <c r="P12053" s="2498"/>
    </row>
    <row r="12054" spans="16:16">
      <c r="P12054" s="2498"/>
    </row>
    <row r="12055" spans="16:16">
      <c r="P12055" s="2498"/>
    </row>
    <row r="12056" spans="16:16">
      <c r="P12056" s="2498"/>
    </row>
    <row r="12057" spans="16:16">
      <c r="P12057" s="2498"/>
    </row>
    <row r="12058" spans="16:16">
      <c r="P12058" s="2498"/>
    </row>
    <row r="12059" spans="16:16">
      <c r="P12059" s="2498"/>
    </row>
    <row r="12060" spans="16:16">
      <c r="P12060" s="2498"/>
    </row>
    <row r="12061" spans="16:16">
      <c r="P12061" s="2498"/>
    </row>
    <row r="12062" spans="16:16">
      <c r="P12062" s="2498"/>
    </row>
    <row r="12063" spans="16:16">
      <c r="P12063" s="2498"/>
    </row>
    <row r="12064" spans="16:16">
      <c r="P12064" s="2498"/>
    </row>
    <row r="12065" spans="16:16">
      <c r="P12065" s="2498"/>
    </row>
    <row r="12066" spans="16:16">
      <c r="P12066" s="2498"/>
    </row>
    <row r="12067" spans="16:16">
      <c r="P12067" s="2498"/>
    </row>
    <row r="12068" spans="16:16">
      <c r="P12068" s="2498"/>
    </row>
    <row r="12069" spans="16:16">
      <c r="P12069" s="2498"/>
    </row>
    <row r="12070" spans="16:16">
      <c r="P12070" s="2498"/>
    </row>
    <row r="12071" spans="16:16">
      <c r="P12071" s="2498"/>
    </row>
    <row r="12072" spans="16:16">
      <c r="P12072" s="2498"/>
    </row>
    <row r="12073" spans="16:16">
      <c r="P12073" s="2498"/>
    </row>
    <row r="12074" spans="16:16">
      <c r="P12074" s="2498"/>
    </row>
    <row r="12075" spans="16:16">
      <c r="P12075" s="2498"/>
    </row>
    <row r="12076" spans="16:16">
      <c r="P12076" s="2498"/>
    </row>
    <row r="12077" spans="16:16">
      <c r="P12077" s="2498"/>
    </row>
    <row r="12078" spans="16:16">
      <c r="P12078" s="2498"/>
    </row>
    <row r="12079" spans="16:16">
      <c r="P12079" s="2498"/>
    </row>
    <row r="12080" spans="16:16">
      <c r="P12080" s="2498"/>
    </row>
    <row r="12081" spans="16:16">
      <c r="P12081" s="2498"/>
    </row>
    <row r="12082" spans="16:16">
      <c r="P12082" s="2498"/>
    </row>
    <row r="12083" spans="16:16">
      <c r="P12083" s="2498"/>
    </row>
    <row r="12084" spans="16:16">
      <c r="P12084" s="2498"/>
    </row>
    <row r="12085" spans="16:16">
      <c r="P12085" s="2498"/>
    </row>
    <row r="12086" spans="16:16">
      <c r="P12086" s="2498"/>
    </row>
    <row r="12087" spans="16:16">
      <c r="P12087" s="2498"/>
    </row>
    <row r="12088" spans="16:16">
      <c r="P12088" s="2498"/>
    </row>
    <row r="12089" spans="16:16">
      <c r="P12089" s="2498"/>
    </row>
    <row r="12090" spans="16:16">
      <c r="P12090" s="2498"/>
    </row>
    <row r="12091" spans="16:16">
      <c r="P12091" s="2498"/>
    </row>
    <row r="12092" spans="16:16">
      <c r="P12092" s="2498"/>
    </row>
    <row r="12093" spans="16:16">
      <c r="P12093" s="2498"/>
    </row>
    <row r="12094" spans="16:16">
      <c r="P12094" s="2498"/>
    </row>
    <row r="12095" spans="16:16">
      <c r="P12095" s="2498"/>
    </row>
    <row r="12096" spans="16:16">
      <c r="P12096" s="2498"/>
    </row>
    <row r="12097" spans="16:16">
      <c r="P12097" s="2498"/>
    </row>
    <row r="12098" spans="16:16">
      <c r="P12098" s="2498"/>
    </row>
    <row r="12099" spans="16:16">
      <c r="P12099" s="2498"/>
    </row>
    <row r="12100" spans="16:16">
      <c r="P12100" s="2498"/>
    </row>
    <row r="12101" spans="16:16">
      <c r="P12101" s="2498"/>
    </row>
    <row r="12102" spans="16:16">
      <c r="P12102" s="2498"/>
    </row>
    <row r="12103" spans="16:16">
      <c r="P12103" s="2498"/>
    </row>
    <row r="12104" spans="16:16">
      <c r="P12104" s="2498"/>
    </row>
    <row r="12105" spans="16:16">
      <c r="P12105" s="2498"/>
    </row>
    <row r="12106" spans="16:16">
      <c r="P12106" s="2498"/>
    </row>
    <row r="12107" spans="16:16">
      <c r="P12107" s="2498"/>
    </row>
    <row r="12108" spans="16:16">
      <c r="P12108" s="2498"/>
    </row>
    <row r="12109" spans="16:16">
      <c r="P12109" s="2498"/>
    </row>
    <row r="12110" spans="16:16">
      <c r="P12110" s="2498"/>
    </row>
    <row r="12111" spans="16:16">
      <c r="P12111" s="2498"/>
    </row>
    <row r="12112" spans="16:16">
      <c r="P12112" s="2498"/>
    </row>
    <row r="12113" spans="16:16">
      <c r="P12113" s="2498"/>
    </row>
    <row r="12114" spans="16:16">
      <c r="P12114" s="2498"/>
    </row>
    <row r="12115" spans="16:16">
      <c r="P12115" s="2498"/>
    </row>
    <row r="12116" spans="16:16">
      <c r="P12116" s="2498"/>
    </row>
    <row r="12117" spans="16:16">
      <c r="P12117" s="2498"/>
    </row>
    <row r="12118" spans="16:16">
      <c r="P12118" s="2498"/>
    </row>
    <row r="12119" spans="16:16">
      <c r="P12119" s="2498"/>
    </row>
    <row r="12120" spans="16:16">
      <c r="P12120" s="2498"/>
    </row>
    <row r="12121" spans="16:16">
      <c r="P12121" s="2498"/>
    </row>
    <row r="12122" spans="16:16">
      <c r="P12122" s="2498"/>
    </row>
    <row r="12123" spans="16:16">
      <c r="P12123" s="2498"/>
    </row>
    <row r="12124" spans="16:16">
      <c r="P12124" s="2498"/>
    </row>
    <row r="12125" spans="16:16">
      <c r="P12125" s="2498"/>
    </row>
    <row r="12126" spans="16:16">
      <c r="P12126" s="2498"/>
    </row>
    <row r="12127" spans="16:16">
      <c r="P12127" s="2498"/>
    </row>
    <row r="12128" spans="16:16">
      <c r="P12128" s="2498"/>
    </row>
    <row r="12129" spans="16:16">
      <c r="P12129" s="2498"/>
    </row>
    <row r="12130" spans="16:16">
      <c r="P12130" s="2498"/>
    </row>
    <row r="12131" spans="16:16">
      <c r="P12131" s="2498"/>
    </row>
    <row r="12132" spans="16:16">
      <c r="P12132" s="2498"/>
    </row>
    <row r="12133" spans="16:16">
      <c r="P12133" s="2498"/>
    </row>
    <row r="12134" spans="16:16">
      <c r="P12134" s="2498"/>
    </row>
    <row r="12135" spans="16:16">
      <c r="P12135" s="2498"/>
    </row>
    <row r="12136" spans="16:16">
      <c r="P12136" s="2498"/>
    </row>
    <row r="12137" spans="16:16">
      <c r="P12137" s="2498"/>
    </row>
    <row r="12138" spans="16:16">
      <c r="P12138" s="2498"/>
    </row>
    <row r="12139" spans="16:16">
      <c r="P12139" s="2498"/>
    </row>
    <row r="12140" spans="16:16">
      <c r="P12140" s="2498"/>
    </row>
    <row r="12141" spans="16:16">
      <c r="P12141" s="2498"/>
    </row>
    <row r="12142" spans="16:16">
      <c r="P12142" s="2498"/>
    </row>
    <row r="12143" spans="16:16">
      <c r="P12143" s="2498"/>
    </row>
    <row r="12144" spans="16:16">
      <c r="P12144" s="2498"/>
    </row>
    <row r="12145" spans="16:16">
      <c r="P12145" s="2498"/>
    </row>
    <row r="12146" spans="16:16">
      <c r="P12146" s="2498"/>
    </row>
    <row r="12147" spans="16:16">
      <c r="P12147" s="2498"/>
    </row>
    <row r="12148" spans="16:16">
      <c r="P12148" s="2498"/>
    </row>
    <row r="12149" spans="16:16">
      <c r="P12149" s="2498"/>
    </row>
    <row r="12150" spans="16:16">
      <c r="P12150" s="2498"/>
    </row>
    <row r="12151" spans="16:16">
      <c r="P12151" s="2498"/>
    </row>
    <row r="12152" spans="16:16">
      <c r="P12152" s="2498"/>
    </row>
    <row r="12153" spans="16:16">
      <c r="P12153" s="2498"/>
    </row>
    <row r="12154" spans="16:16">
      <c r="P12154" s="2498"/>
    </row>
    <row r="12155" spans="16:16">
      <c r="P12155" s="2498"/>
    </row>
    <row r="12156" spans="16:16">
      <c r="P12156" s="2498"/>
    </row>
    <row r="12157" spans="16:16">
      <c r="P12157" s="2498"/>
    </row>
    <row r="12158" spans="16:16">
      <c r="P12158" s="2498"/>
    </row>
    <row r="12159" spans="16:16">
      <c r="P12159" s="2498"/>
    </row>
    <row r="12160" spans="16:16">
      <c r="P12160" s="2498"/>
    </row>
    <row r="12161" spans="16:16">
      <c r="P12161" s="2498"/>
    </row>
    <row r="12162" spans="16:16">
      <c r="P12162" s="2498"/>
    </row>
    <row r="12163" spans="16:16">
      <c r="P12163" s="2498"/>
    </row>
    <row r="12164" spans="16:16">
      <c r="P12164" s="2498"/>
    </row>
    <row r="12165" spans="16:16">
      <c r="P12165" s="2498"/>
    </row>
    <row r="12166" spans="16:16">
      <c r="P12166" s="2498"/>
    </row>
    <row r="12167" spans="16:16">
      <c r="P12167" s="2498"/>
    </row>
    <row r="12168" spans="16:16">
      <c r="P12168" s="2498"/>
    </row>
    <row r="12169" spans="16:16">
      <c r="P12169" s="2498"/>
    </row>
    <row r="12170" spans="16:16">
      <c r="P12170" s="2498"/>
    </row>
    <row r="12171" spans="16:16">
      <c r="P12171" s="2498"/>
    </row>
    <row r="12172" spans="16:16">
      <c r="P12172" s="2498"/>
    </row>
    <row r="12173" spans="16:16">
      <c r="P12173" s="2498"/>
    </row>
    <row r="12174" spans="16:16">
      <c r="P12174" s="2498"/>
    </row>
    <row r="12175" spans="16:16">
      <c r="P12175" s="2498"/>
    </row>
    <row r="12176" spans="16:16">
      <c r="P12176" s="2498"/>
    </row>
    <row r="12177" spans="16:16">
      <c r="P12177" s="2498"/>
    </row>
    <row r="12178" spans="16:16">
      <c r="P12178" s="2498"/>
    </row>
    <row r="12179" spans="16:16">
      <c r="P12179" s="2498"/>
    </row>
    <row r="12180" spans="16:16">
      <c r="P12180" s="2498"/>
    </row>
    <row r="12181" spans="16:16">
      <c r="P12181" s="2498"/>
    </row>
    <row r="12182" spans="16:16">
      <c r="P12182" s="2498"/>
    </row>
    <row r="12183" spans="16:16">
      <c r="P12183" s="2498"/>
    </row>
    <row r="12184" spans="16:16">
      <c r="P12184" s="2498"/>
    </row>
    <row r="12185" spans="16:16">
      <c r="P12185" s="2498"/>
    </row>
    <row r="12186" spans="16:16">
      <c r="P12186" s="2498"/>
    </row>
    <row r="12187" spans="16:16">
      <c r="P12187" s="2498"/>
    </row>
    <row r="12188" spans="16:16">
      <c r="P12188" s="2498"/>
    </row>
    <row r="12189" spans="16:16">
      <c r="P12189" s="2498"/>
    </row>
    <row r="12190" spans="16:16">
      <c r="P12190" s="2498"/>
    </row>
    <row r="12191" spans="16:16">
      <c r="P12191" s="2498"/>
    </row>
    <row r="12192" spans="16:16">
      <c r="P12192" s="2498"/>
    </row>
    <row r="12193" spans="16:16">
      <c r="P12193" s="2498"/>
    </row>
    <row r="12194" spans="16:16">
      <c r="P12194" s="2498"/>
    </row>
    <row r="12195" spans="16:16">
      <c r="P12195" s="2498"/>
    </row>
    <row r="12196" spans="16:16">
      <c r="P12196" s="2498"/>
    </row>
    <row r="12197" spans="16:16">
      <c r="P12197" s="2498"/>
    </row>
    <row r="12198" spans="16:16">
      <c r="P12198" s="2498"/>
    </row>
    <row r="12199" spans="16:16">
      <c r="P12199" s="2498"/>
    </row>
    <row r="12200" spans="16:16">
      <c r="P12200" s="2498"/>
    </row>
    <row r="12201" spans="16:16">
      <c r="P12201" s="2498"/>
    </row>
    <row r="12202" spans="16:16">
      <c r="P12202" s="2498"/>
    </row>
    <row r="12203" spans="16:16">
      <c r="P12203" s="2498"/>
    </row>
    <row r="12204" spans="16:16">
      <c r="P12204" s="2498"/>
    </row>
    <row r="12205" spans="16:16">
      <c r="P12205" s="2498"/>
    </row>
    <row r="12206" spans="16:16">
      <c r="P12206" s="2498"/>
    </row>
    <row r="12207" spans="16:16">
      <c r="P12207" s="2498"/>
    </row>
    <row r="12208" spans="16:16">
      <c r="P12208" s="2498"/>
    </row>
    <row r="12209" spans="16:16">
      <c r="P12209" s="2498"/>
    </row>
    <row r="12210" spans="16:16">
      <c r="P12210" s="2498"/>
    </row>
    <row r="12211" spans="16:16">
      <c r="P12211" s="2498"/>
    </row>
    <row r="12212" spans="16:16">
      <c r="P12212" s="2498"/>
    </row>
    <row r="12213" spans="16:16">
      <c r="P12213" s="2498"/>
    </row>
    <row r="12214" spans="16:16">
      <c r="P12214" s="2498"/>
    </row>
    <row r="12215" spans="16:16">
      <c r="P12215" s="2498"/>
    </row>
    <row r="12216" spans="16:16">
      <c r="P12216" s="2498"/>
    </row>
    <row r="12217" spans="16:16">
      <c r="P12217" s="2498"/>
    </row>
    <row r="12218" spans="16:16">
      <c r="P12218" s="2498"/>
    </row>
    <row r="12219" spans="16:16">
      <c r="P12219" s="2498"/>
    </row>
    <row r="12220" spans="16:16">
      <c r="P12220" s="2498"/>
    </row>
    <row r="12221" spans="16:16">
      <c r="P12221" s="2498"/>
    </row>
    <row r="12222" spans="16:16">
      <c r="P12222" s="2498"/>
    </row>
    <row r="12223" spans="16:16">
      <c r="P12223" s="2498"/>
    </row>
    <row r="12224" spans="16:16">
      <c r="P12224" s="2498"/>
    </row>
    <row r="12225" spans="16:16">
      <c r="P12225" s="2498"/>
    </row>
    <row r="12226" spans="16:16">
      <c r="P12226" s="2498"/>
    </row>
    <row r="12227" spans="16:16">
      <c r="P12227" s="2498"/>
    </row>
    <row r="12228" spans="16:16">
      <c r="P12228" s="2498"/>
    </row>
    <row r="12229" spans="16:16">
      <c r="P12229" s="2498"/>
    </row>
    <row r="12230" spans="16:16">
      <c r="P12230" s="2498"/>
    </row>
    <row r="12231" spans="16:16">
      <c r="P12231" s="2498"/>
    </row>
    <row r="12232" spans="16:16">
      <c r="P12232" s="2498"/>
    </row>
    <row r="12233" spans="16:16">
      <c r="P12233" s="2498"/>
    </row>
    <row r="12234" spans="16:16">
      <c r="P12234" s="2498"/>
    </row>
    <row r="12235" spans="16:16">
      <c r="P12235" s="2498"/>
    </row>
    <row r="12236" spans="16:16">
      <c r="P12236" s="2498"/>
    </row>
    <row r="12237" spans="16:16">
      <c r="P12237" s="2498"/>
    </row>
    <row r="12238" spans="16:16">
      <c r="P12238" s="2498"/>
    </row>
    <row r="12239" spans="16:16">
      <c r="P12239" s="2498"/>
    </row>
    <row r="12240" spans="16:16">
      <c r="P12240" s="2498"/>
    </row>
    <row r="12241" spans="16:16">
      <c r="P12241" s="2498"/>
    </row>
    <row r="12242" spans="16:16">
      <c r="P12242" s="2498"/>
    </row>
    <row r="12243" spans="16:16">
      <c r="P12243" s="2498"/>
    </row>
    <row r="12244" spans="16:16">
      <c r="P12244" s="2498"/>
    </row>
    <row r="12245" spans="16:16">
      <c r="P12245" s="2498"/>
    </row>
    <row r="12246" spans="16:16">
      <c r="P12246" s="2498"/>
    </row>
    <row r="12247" spans="16:16">
      <c r="P12247" s="2498"/>
    </row>
    <row r="12248" spans="16:16">
      <c r="P12248" s="2498"/>
    </row>
    <row r="12249" spans="16:16">
      <c r="P12249" s="2498"/>
    </row>
    <row r="12250" spans="16:16">
      <c r="P12250" s="2498"/>
    </row>
    <row r="12251" spans="16:16">
      <c r="P12251" s="2498"/>
    </row>
    <row r="12252" spans="16:16">
      <c r="P12252" s="2498"/>
    </row>
    <row r="12253" spans="16:16">
      <c r="P12253" s="2498"/>
    </row>
    <row r="12254" spans="16:16">
      <c r="P12254" s="2498"/>
    </row>
    <row r="12255" spans="16:16">
      <c r="P12255" s="2498"/>
    </row>
    <row r="12256" spans="16:16">
      <c r="P12256" s="2498"/>
    </row>
    <row r="12257" spans="16:16">
      <c r="P12257" s="2498"/>
    </row>
    <row r="12258" spans="16:16">
      <c r="P12258" s="2498"/>
    </row>
    <row r="12259" spans="16:16">
      <c r="P12259" s="2498"/>
    </row>
    <row r="12260" spans="16:16">
      <c r="P12260" s="2498"/>
    </row>
    <row r="12261" spans="16:16">
      <c r="P12261" s="2498"/>
    </row>
    <row r="12262" spans="16:16">
      <c r="P12262" s="2498"/>
    </row>
    <row r="12263" spans="16:16">
      <c r="P12263" s="2498"/>
    </row>
    <row r="12264" spans="16:16">
      <c r="P12264" s="2498"/>
    </row>
    <row r="12265" spans="16:16">
      <c r="P12265" s="2498"/>
    </row>
    <row r="12266" spans="16:16">
      <c r="P12266" s="2498"/>
    </row>
    <row r="12267" spans="16:16">
      <c r="P12267" s="2498"/>
    </row>
    <row r="12268" spans="16:16">
      <c r="P12268" s="2498"/>
    </row>
    <row r="12269" spans="16:16">
      <c r="P12269" s="2498"/>
    </row>
    <row r="12270" spans="16:16">
      <c r="P12270" s="2498"/>
    </row>
    <row r="12271" spans="16:16">
      <c r="P12271" s="2498"/>
    </row>
    <row r="12272" spans="16:16">
      <c r="P12272" s="2498"/>
    </row>
    <row r="12273" spans="16:16">
      <c r="P12273" s="2498"/>
    </row>
    <row r="12274" spans="16:16">
      <c r="P12274" s="2498"/>
    </row>
    <row r="12275" spans="16:16">
      <c r="P12275" s="2498"/>
    </row>
    <row r="12276" spans="16:16">
      <c r="P12276" s="2498"/>
    </row>
    <row r="12277" spans="16:16">
      <c r="P12277" s="2498"/>
    </row>
    <row r="12278" spans="16:16">
      <c r="P12278" s="2498"/>
    </row>
    <row r="12279" spans="16:16">
      <c r="P12279" s="2498"/>
    </row>
    <row r="12280" spans="16:16">
      <c r="P12280" s="2498"/>
    </row>
    <row r="12281" spans="16:16">
      <c r="P12281" s="2498"/>
    </row>
    <row r="12282" spans="16:16">
      <c r="P12282" s="2498"/>
    </row>
    <row r="12283" spans="16:16">
      <c r="P12283" s="2498"/>
    </row>
    <row r="12284" spans="16:16">
      <c r="P12284" s="2498"/>
    </row>
    <row r="12285" spans="16:16">
      <c r="P12285" s="2498"/>
    </row>
    <row r="12286" spans="16:16">
      <c r="P12286" s="2498"/>
    </row>
    <row r="12287" spans="16:16">
      <c r="P12287" s="2498"/>
    </row>
    <row r="12288" spans="16:16">
      <c r="P12288" s="2498"/>
    </row>
    <row r="12289" spans="16:16">
      <c r="P12289" s="2498"/>
    </row>
    <row r="12290" spans="16:16">
      <c r="P12290" s="2498"/>
    </row>
    <row r="12291" spans="16:16">
      <c r="P12291" s="2498"/>
    </row>
    <row r="12292" spans="16:16">
      <c r="P12292" s="2498"/>
    </row>
    <row r="12293" spans="16:16">
      <c r="P12293" s="2498"/>
    </row>
    <row r="12294" spans="16:16">
      <c r="P12294" s="2498"/>
    </row>
    <row r="12295" spans="16:16">
      <c r="P12295" s="2498"/>
    </row>
    <row r="12296" spans="16:16">
      <c r="P12296" s="2498"/>
    </row>
    <row r="12297" spans="16:16">
      <c r="P12297" s="2498"/>
    </row>
    <row r="12298" spans="16:16">
      <c r="P12298" s="2498"/>
    </row>
    <row r="12299" spans="16:16">
      <c r="P12299" s="2498"/>
    </row>
    <row r="12300" spans="16:16">
      <c r="P12300" s="2498"/>
    </row>
    <row r="12301" spans="16:16">
      <c r="P12301" s="2498"/>
    </row>
    <row r="12302" spans="16:16">
      <c r="P12302" s="2498"/>
    </row>
    <row r="12303" spans="16:16">
      <c r="P12303" s="2498"/>
    </row>
    <row r="12304" spans="16:16">
      <c r="P12304" s="2498"/>
    </row>
    <row r="12305" spans="16:16">
      <c r="P12305" s="2498"/>
    </row>
    <row r="12306" spans="16:16">
      <c r="P12306" s="2498"/>
    </row>
    <row r="12307" spans="16:16">
      <c r="P12307" s="2498"/>
    </row>
    <row r="12308" spans="16:16">
      <c r="P12308" s="2498"/>
    </row>
    <row r="12309" spans="16:16">
      <c r="P12309" s="2498"/>
    </row>
    <row r="12310" spans="16:16">
      <c r="P12310" s="2498"/>
    </row>
    <row r="12311" spans="16:16">
      <c r="P12311" s="2498"/>
    </row>
    <row r="12312" spans="16:16">
      <c r="P12312" s="2498"/>
    </row>
    <row r="12313" spans="16:16">
      <c r="P12313" s="2498"/>
    </row>
    <row r="12314" spans="16:16">
      <c r="P12314" s="2498"/>
    </row>
    <row r="12315" spans="16:16">
      <c r="P12315" s="2498"/>
    </row>
    <row r="12316" spans="16:16">
      <c r="P12316" s="2498"/>
    </row>
    <row r="12317" spans="16:16">
      <c r="P12317" s="2498"/>
    </row>
    <row r="12318" spans="16:16">
      <c r="P12318" s="2498"/>
    </row>
    <row r="12319" spans="16:16">
      <c r="P12319" s="2498"/>
    </row>
    <row r="12320" spans="16:16">
      <c r="P12320" s="2498"/>
    </row>
    <row r="12321" spans="16:16">
      <c r="P12321" s="2498"/>
    </row>
    <row r="12322" spans="16:16">
      <c r="P12322" s="2498"/>
    </row>
    <row r="12323" spans="16:16">
      <c r="P12323" s="2498"/>
    </row>
    <row r="12324" spans="16:16">
      <c r="P12324" s="2498"/>
    </row>
    <row r="12325" spans="16:16">
      <c r="P12325" s="2498"/>
    </row>
    <row r="12326" spans="16:16">
      <c r="P12326" s="2498"/>
    </row>
    <row r="12327" spans="16:16">
      <c r="P12327" s="2498"/>
    </row>
    <row r="12328" spans="16:16">
      <c r="P12328" s="2498"/>
    </row>
    <row r="12329" spans="16:16">
      <c r="P12329" s="2498"/>
    </row>
    <row r="12330" spans="16:16">
      <c r="P12330" s="2498"/>
    </row>
    <row r="12331" spans="16:16">
      <c r="P12331" s="2498"/>
    </row>
    <row r="12332" spans="16:16">
      <c r="P12332" s="2498"/>
    </row>
    <row r="12333" spans="16:16">
      <c r="P12333" s="2498"/>
    </row>
    <row r="12334" spans="16:16">
      <c r="P12334" s="2498"/>
    </row>
    <row r="12335" spans="16:16">
      <c r="P12335" s="2498"/>
    </row>
    <row r="12336" spans="16:16">
      <c r="P12336" s="2498"/>
    </row>
    <row r="12337" spans="16:16">
      <c r="P12337" s="2498"/>
    </row>
    <row r="12338" spans="16:16">
      <c r="P12338" s="2498"/>
    </row>
    <row r="12339" spans="16:16">
      <c r="P12339" s="2498"/>
    </row>
    <row r="12340" spans="16:16">
      <c r="P12340" s="2498"/>
    </row>
    <row r="12341" spans="16:16">
      <c r="P12341" s="2498"/>
    </row>
    <row r="12342" spans="16:16">
      <c r="P12342" s="2498"/>
    </row>
    <row r="12343" spans="16:16">
      <c r="P12343" s="2498"/>
    </row>
    <row r="12344" spans="16:16">
      <c r="P12344" s="2498"/>
    </row>
    <row r="12345" spans="16:16">
      <c r="P12345" s="2498"/>
    </row>
    <row r="12346" spans="16:16">
      <c r="P12346" s="2498"/>
    </row>
    <row r="12347" spans="16:16">
      <c r="P12347" s="2498"/>
    </row>
    <row r="12348" spans="16:16">
      <c r="P12348" s="2498"/>
    </row>
    <row r="12349" spans="16:16">
      <c r="P12349" s="2498"/>
    </row>
    <row r="12350" spans="16:16">
      <c r="P12350" s="2498"/>
    </row>
    <row r="12351" spans="16:16">
      <c r="P12351" s="2498"/>
    </row>
    <row r="12352" spans="16:16">
      <c r="P12352" s="2498"/>
    </row>
    <row r="12353" spans="16:16">
      <c r="P12353" s="2498"/>
    </row>
    <row r="12354" spans="16:16">
      <c r="P12354" s="2498"/>
    </row>
    <row r="12355" spans="16:16">
      <c r="P12355" s="2498"/>
    </row>
    <row r="12356" spans="16:16">
      <c r="P12356" s="2498"/>
    </row>
    <row r="12357" spans="16:16">
      <c r="P12357" s="2498"/>
    </row>
    <row r="12358" spans="16:16">
      <c r="P12358" s="2498"/>
    </row>
    <row r="12359" spans="16:16">
      <c r="P12359" s="2498"/>
    </row>
    <row r="12360" spans="16:16">
      <c r="P12360" s="2498"/>
    </row>
    <row r="12361" spans="16:16">
      <c r="P12361" s="2498"/>
    </row>
    <row r="12362" spans="16:16">
      <c r="P12362" s="2498"/>
    </row>
    <row r="12363" spans="16:16">
      <c r="P12363" s="2498"/>
    </row>
    <row r="12364" spans="16:16">
      <c r="P12364" s="2498"/>
    </row>
    <row r="12365" spans="16:16">
      <c r="P12365" s="2498"/>
    </row>
    <row r="12366" spans="16:16">
      <c r="P12366" s="2498"/>
    </row>
    <row r="12367" spans="16:16">
      <c r="P12367" s="2498"/>
    </row>
    <row r="12368" spans="16:16">
      <c r="P12368" s="2498"/>
    </row>
    <row r="12369" spans="16:16">
      <c r="P12369" s="2498"/>
    </row>
    <row r="12370" spans="16:16">
      <c r="P12370" s="2498"/>
    </row>
    <row r="12371" spans="16:16">
      <c r="P12371" s="2498"/>
    </row>
    <row r="12372" spans="16:16">
      <c r="P12372" s="2498"/>
    </row>
    <row r="12373" spans="16:16">
      <c r="P12373" s="2498"/>
    </row>
    <row r="12374" spans="16:16">
      <c r="P12374" s="2498"/>
    </row>
    <row r="12375" spans="16:16">
      <c r="P12375" s="2498"/>
    </row>
    <row r="12376" spans="16:16">
      <c r="P12376" s="2498"/>
    </row>
    <row r="12377" spans="16:16">
      <c r="P12377" s="2498"/>
    </row>
    <row r="12378" spans="16:16">
      <c r="P12378" s="2498"/>
    </row>
    <row r="12379" spans="16:16">
      <c r="P12379" s="2498"/>
    </row>
    <row r="12380" spans="16:16">
      <c r="P12380" s="2498"/>
    </row>
    <row r="12381" spans="16:16">
      <c r="P12381" s="2498"/>
    </row>
    <row r="12382" spans="16:16">
      <c r="P12382" s="2498"/>
    </row>
    <row r="12383" spans="16:16">
      <c r="P12383" s="2498"/>
    </row>
    <row r="12384" spans="16:16">
      <c r="P12384" s="2498"/>
    </row>
    <row r="12385" spans="16:16">
      <c r="P12385" s="2498"/>
    </row>
    <row r="12386" spans="16:16">
      <c r="P12386" s="2498"/>
    </row>
    <row r="12387" spans="16:16">
      <c r="P12387" s="2498"/>
    </row>
    <row r="12388" spans="16:16">
      <c r="P12388" s="2498"/>
    </row>
    <row r="12389" spans="16:16">
      <c r="P12389" s="2498"/>
    </row>
    <row r="12390" spans="16:16">
      <c r="P12390" s="2498"/>
    </row>
    <row r="12391" spans="16:16">
      <c r="P12391" s="2498"/>
    </row>
    <row r="12392" spans="16:16">
      <c r="P12392" s="2498"/>
    </row>
    <row r="12393" spans="16:16">
      <c r="P12393" s="2498"/>
    </row>
    <row r="12394" spans="16:16">
      <c r="P12394" s="2498"/>
    </row>
    <row r="12395" spans="16:16">
      <c r="P12395" s="2498"/>
    </row>
    <row r="12396" spans="16:16">
      <c r="P12396" s="2498"/>
    </row>
    <row r="12397" spans="16:16">
      <c r="P12397" s="2498"/>
    </row>
    <row r="12398" spans="16:16">
      <c r="P12398" s="2498"/>
    </row>
    <row r="12399" spans="16:16">
      <c r="P12399" s="2498"/>
    </row>
    <row r="12400" spans="16:16">
      <c r="P12400" s="2498"/>
    </row>
    <row r="12401" spans="16:16">
      <c r="P12401" s="2498"/>
    </row>
    <row r="12402" spans="16:16">
      <c r="P12402" s="2498"/>
    </row>
    <row r="12403" spans="16:16">
      <c r="P12403" s="2498"/>
    </row>
    <row r="12404" spans="16:16">
      <c r="P12404" s="2498"/>
    </row>
    <row r="12405" spans="16:16">
      <c r="P12405" s="2498"/>
    </row>
    <row r="12406" spans="16:16">
      <c r="P12406" s="2498"/>
    </row>
    <row r="12407" spans="16:16">
      <c r="P12407" s="2498"/>
    </row>
    <row r="12408" spans="16:16">
      <c r="P12408" s="2498"/>
    </row>
    <row r="12409" spans="16:16">
      <c r="P12409" s="2498"/>
    </row>
    <row r="12410" spans="16:16">
      <c r="P12410" s="2498"/>
    </row>
    <row r="12411" spans="16:16">
      <c r="P12411" s="2498"/>
    </row>
    <row r="12412" spans="16:16">
      <c r="P12412" s="2498"/>
    </row>
    <row r="12413" spans="16:16">
      <c r="P12413" s="2498"/>
    </row>
    <row r="12414" spans="16:16">
      <c r="P12414" s="2498"/>
    </row>
    <row r="12415" spans="16:16">
      <c r="P12415" s="2498"/>
    </row>
    <row r="12416" spans="16:16">
      <c r="P12416" s="2498"/>
    </row>
    <row r="12417" spans="16:16">
      <c r="P12417" s="2498"/>
    </row>
    <row r="12418" spans="16:16">
      <c r="P12418" s="2498"/>
    </row>
    <row r="12419" spans="16:16">
      <c r="P12419" s="2498"/>
    </row>
    <row r="12420" spans="16:16">
      <c r="P12420" s="2498"/>
    </row>
    <row r="12421" spans="16:16">
      <c r="P12421" s="2498"/>
    </row>
    <row r="12422" spans="16:16">
      <c r="P12422" s="2498"/>
    </row>
    <row r="12423" spans="16:16">
      <c r="P12423" s="2498"/>
    </row>
    <row r="12424" spans="16:16">
      <c r="P12424" s="2498"/>
    </row>
    <row r="12425" spans="16:16">
      <c r="P12425" s="2498"/>
    </row>
    <row r="12426" spans="16:16">
      <c r="P12426" s="2498"/>
    </row>
    <row r="12427" spans="16:16">
      <c r="P12427" s="2498"/>
    </row>
    <row r="12428" spans="16:16">
      <c r="P12428" s="2498"/>
    </row>
    <row r="12429" spans="16:16">
      <c r="P12429" s="2498"/>
    </row>
    <row r="12430" spans="16:16">
      <c r="P12430" s="2498"/>
    </row>
    <row r="12431" spans="16:16">
      <c r="P12431" s="2498"/>
    </row>
    <row r="12432" spans="16:16">
      <c r="P12432" s="2498"/>
    </row>
    <row r="12433" spans="16:16">
      <c r="P12433" s="2498"/>
    </row>
    <row r="12434" spans="16:16">
      <c r="P12434" s="2498"/>
    </row>
    <row r="12435" spans="16:16">
      <c r="P12435" s="2498"/>
    </row>
    <row r="12436" spans="16:16">
      <c r="P12436" s="2498"/>
    </row>
    <row r="12437" spans="16:16">
      <c r="P12437" s="2498"/>
    </row>
    <row r="12438" spans="16:16">
      <c r="P12438" s="2498"/>
    </row>
    <row r="12439" spans="16:16">
      <c r="P12439" s="2498"/>
    </row>
    <row r="12440" spans="16:16">
      <c r="P12440" s="2498"/>
    </row>
    <row r="12441" spans="16:16">
      <c r="P12441" s="2498"/>
    </row>
    <row r="12442" spans="16:16">
      <c r="P12442" s="2498"/>
    </row>
    <row r="12443" spans="16:16">
      <c r="P12443" s="2498"/>
    </row>
    <row r="12444" spans="16:16">
      <c r="P12444" s="2498"/>
    </row>
    <row r="12445" spans="16:16">
      <c r="P12445" s="2498"/>
    </row>
    <row r="12446" spans="16:16">
      <c r="P12446" s="2498"/>
    </row>
    <row r="12447" spans="16:16">
      <c r="P12447" s="2498"/>
    </row>
    <row r="12448" spans="16:16">
      <c r="P12448" s="2498"/>
    </row>
    <row r="12449" spans="16:16">
      <c r="P12449" s="2498"/>
    </row>
    <row r="12450" spans="16:16">
      <c r="P12450" s="2498"/>
    </row>
    <row r="12451" spans="16:16">
      <c r="P12451" s="2498"/>
    </row>
    <row r="12452" spans="16:16">
      <c r="P12452" s="2498"/>
    </row>
    <row r="12453" spans="16:16">
      <c r="P12453" s="2498"/>
    </row>
    <row r="12454" spans="16:16">
      <c r="P12454" s="2498"/>
    </row>
    <row r="12455" spans="16:16">
      <c r="P12455" s="2498"/>
    </row>
    <row r="12456" spans="16:16">
      <c r="P12456" s="2498"/>
    </row>
    <row r="12457" spans="16:16">
      <c r="P12457" s="2498"/>
    </row>
    <row r="12458" spans="16:16">
      <c r="P12458" s="2498"/>
    </row>
    <row r="12459" spans="16:16">
      <c r="P12459" s="2498"/>
    </row>
    <row r="12460" spans="16:16">
      <c r="P12460" s="2498"/>
    </row>
    <row r="12461" spans="16:16">
      <c r="P12461" s="2498"/>
    </row>
    <row r="12462" spans="16:16">
      <c r="P12462" s="2498"/>
    </row>
    <row r="12463" spans="16:16">
      <c r="P12463" s="2498"/>
    </row>
    <row r="12464" spans="16:16">
      <c r="P12464" s="2498"/>
    </row>
    <row r="12465" spans="16:16">
      <c r="P12465" s="2498"/>
    </row>
    <row r="12466" spans="16:16">
      <c r="P12466" s="2498"/>
    </row>
    <row r="12467" spans="16:16">
      <c r="P12467" s="2498"/>
    </row>
    <row r="12468" spans="16:16">
      <c r="P12468" s="2498"/>
    </row>
    <row r="12469" spans="16:16">
      <c r="P12469" s="2498"/>
    </row>
    <row r="12470" spans="16:16">
      <c r="P12470" s="2498"/>
    </row>
    <row r="12471" spans="16:16">
      <c r="P12471" s="2498"/>
    </row>
    <row r="12472" spans="16:16">
      <c r="P12472" s="2498"/>
    </row>
    <row r="12473" spans="16:16">
      <c r="P12473" s="2498"/>
    </row>
    <row r="12474" spans="16:16">
      <c r="P12474" s="2498"/>
    </row>
    <row r="12475" spans="16:16">
      <c r="P12475" s="2498"/>
    </row>
    <row r="12476" spans="16:16">
      <c r="P12476" s="2498"/>
    </row>
    <row r="12477" spans="16:16">
      <c r="P12477" s="2498"/>
    </row>
    <row r="12478" spans="16:16">
      <c r="P12478" s="2498"/>
    </row>
    <row r="12479" spans="16:16">
      <c r="P12479" s="2498"/>
    </row>
    <row r="12480" spans="16:16">
      <c r="P12480" s="2498"/>
    </row>
    <row r="12481" spans="16:16">
      <c r="P12481" s="2498"/>
    </row>
    <row r="12482" spans="16:16">
      <c r="P12482" s="2498"/>
    </row>
    <row r="12483" spans="16:16">
      <c r="P12483" s="2498"/>
    </row>
    <row r="12484" spans="16:16">
      <c r="P12484" s="2498"/>
    </row>
    <row r="12485" spans="16:16">
      <c r="P12485" s="2498"/>
    </row>
    <row r="12486" spans="16:16">
      <c r="P12486" s="2498"/>
    </row>
    <row r="12487" spans="16:16">
      <c r="P12487" s="2498"/>
    </row>
    <row r="12488" spans="16:16">
      <c r="P12488" s="2498"/>
    </row>
    <row r="12489" spans="16:16">
      <c r="P12489" s="2498"/>
    </row>
    <row r="12490" spans="16:16">
      <c r="P12490" s="2498"/>
    </row>
    <row r="12491" spans="16:16">
      <c r="P12491" s="2498"/>
    </row>
    <row r="12492" spans="16:16">
      <c r="P12492" s="2498"/>
    </row>
    <row r="12493" spans="16:16">
      <c r="P12493" s="2498"/>
    </row>
    <row r="12494" spans="16:16">
      <c r="P12494" s="2498"/>
    </row>
    <row r="12495" spans="16:16">
      <c r="P12495" s="2498"/>
    </row>
    <row r="12496" spans="16:16">
      <c r="P12496" s="2498"/>
    </row>
    <row r="12497" spans="16:16">
      <c r="P12497" s="2498"/>
    </row>
    <row r="12498" spans="16:16">
      <c r="P12498" s="2498"/>
    </row>
    <row r="12499" spans="16:16">
      <c r="P12499" s="2498"/>
    </row>
    <row r="12500" spans="16:16">
      <c r="P12500" s="2498"/>
    </row>
    <row r="12501" spans="16:16">
      <c r="P12501" s="2498"/>
    </row>
    <row r="12502" spans="16:16">
      <c r="P12502" s="2498"/>
    </row>
    <row r="12503" spans="16:16">
      <c r="P12503" s="2498"/>
    </row>
    <row r="12504" spans="16:16">
      <c r="P12504" s="2498"/>
    </row>
    <row r="12505" spans="16:16">
      <c r="P12505" s="2498"/>
    </row>
    <row r="12506" spans="16:16">
      <c r="P12506" s="2498"/>
    </row>
    <row r="12507" spans="16:16">
      <c r="P12507" s="2498"/>
    </row>
    <row r="12508" spans="16:16">
      <c r="P12508" s="2498"/>
    </row>
    <row r="12509" spans="16:16">
      <c r="P12509" s="2498"/>
    </row>
    <row r="12510" spans="16:16">
      <c r="P12510" s="2498"/>
    </row>
    <row r="12511" spans="16:16">
      <c r="P12511" s="2498"/>
    </row>
    <row r="12512" spans="16:16">
      <c r="P12512" s="2498"/>
    </row>
    <row r="12513" spans="16:16">
      <c r="P12513" s="2498"/>
    </row>
    <row r="12514" spans="16:16">
      <c r="P12514" s="2498"/>
    </row>
    <row r="12515" spans="16:16">
      <c r="P12515" s="2498"/>
    </row>
    <row r="12516" spans="16:16">
      <c r="P12516" s="2498"/>
    </row>
    <row r="12517" spans="16:16">
      <c r="P12517" s="2498"/>
    </row>
    <row r="12518" spans="16:16">
      <c r="P12518" s="2498"/>
    </row>
    <row r="12519" spans="16:16">
      <c r="P12519" s="2498"/>
    </row>
    <row r="12520" spans="16:16">
      <c r="P12520" s="2498"/>
    </row>
    <row r="12521" spans="16:16">
      <c r="P12521" s="2498"/>
    </row>
    <row r="12522" spans="16:16">
      <c r="P12522" s="2498"/>
    </row>
    <row r="12523" spans="16:16">
      <c r="P12523" s="2498"/>
    </row>
    <row r="12524" spans="16:16">
      <c r="P12524" s="2498"/>
    </row>
    <row r="12525" spans="16:16">
      <c r="P12525" s="2498"/>
    </row>
    <row r="12526" spans="16:16">
      <c r="P12526" s="2498"/>
    </row>
    <row r="12527" spans="16:16">
      <c r="P12527" s="2498"/>
    </row>
    <row r="12528" spans="16:16">
      <c r="P12528" s="2498"/>
    </row>
    <row r="12529" spans="16:16">
      <c r="P12529" s="2498"/>
    </row>
    <row r="12530" spans="16:16">
      <c r="P12530" s="2498"/>
    </row>
    <row r="12531" spans="16:16">
      <c r="P12531" s="2498"/>
    </row>
    <row r="12532" spans="16:16">
      <c r="P12532" s="2498"/>
    </row>
    <row r="12533" spans="16:16">
      <c r="P12533" s="2498"/>
    </row>
    <row r="12534" spans="16:16">
      <c r="P12534" s="2498"/>
    </row>
    <row r="12535" spans="16:16">
      <c r="P12535" s="2498"/>
    </row>
    <row r="12536" spans="16:16">
      <c r="P12536" s="2498"/>
    </row>
    <row r="12537" spans="16:16">
      <c r="P12537" s="2498"/>
    </row>
    <row r="12538" spans="16:16">
      <c r="P12538" s="2498"/>
    </row>
    <row r="12539" spans="16:16">
      <c r="P12539" s="2498"/>
    </row>
    <row r="12540" spans="16:16">
      <c r="P12540" s="2498"/>
    </row>
    <row r="12541" spans="16:16">
      <c r="P12541" s="2498"/>
    </row>
    <row r="12542" spans="16:16">
      <c r="P12542" s="2498"/>
    </row>
    <row r="12543" spans="16:16">
      <c r="P12543" s="2498"/>
    </row>
    <row r="12544" spans="16:16">
      <c r="P12544" s="2498"/>
    </row>
    <row r="12545" spans="16:16">
      <c r="P12545" s="2498"/>
    </row>
    <row r="12546" spans="16:16">
      <c r="P12546" s="2498"/>
    </row>
    <row r="12547" spans="16:16">
      <c r="P12547" s="2498"/>
    </row>
    <row r="12548" spans="16:16">
      <c r="P12548" s="2498"/>
    </row>
    <row r="12549" spans="16:16">
      <c r="P12549" s="2498"/>
    </row>
    <row r="12550" spans="16:16">
      <c r="P12550" s="2498"/>
    </row>
    <row r="12551" spans="16:16">
      <c r="P12551" s="2498"/>
    </row>
    <row r="12552" spans="16:16">
      <c r="P12552" s="2498"/>
    </row>
    <row r="12553" spans="16:16">
      <c r="P12553" s="2498"/>
    </row>
    <row r="12554" spans="16:16">
      <c r="P12554" s="2498"/>
    </row>
    <row r="12555" spans="16:16">
      <c r="P12555" s="2498"/>
    </row>
    <row r="12556" spans="16:16">
      <c r="P12556" s="2498"/>
    </row>
    <row r="12557" spans="16:16">
      <c r="P12557" s="2498"/>
    </row>
    <row r="12558" spans="16:16">
      <c r="P12558" s="2498"/>
    </row>
    <row r="12559" spans="16:16">
      <c r="P12559" s="2498"/>
    </row>
    <row r="12560" spans="16:16">
      <c r="P12560" s="2498"/>
    </row>
    <row r="12561" spans="16:16">
      <c r="P12561" s="2498"/>
    </row>
    <row r="12562" spans="16:16">
      <c r="P12562" s="2498"/>
    </row>
    <row r="12563" spans="16:16">
      <c r="P12563" s="2498"/>
    </row>
    <row r="12564" spans="16:16">
      <c r="P12564" s="2498"/>
    </row>
    <row r="12565" spans="16:16">
      <c r="P12565" s="2498"/>
    </row>
    <row r="12566" spans="16:16">
      <c r="P12566" s="2498"/>
    </row>
    <row r="12567" spans="16:16">
      <c r="P12567" s="2498"/>
    </row>
    <row r="12568" spans="16:16">
      <c r="P12568" s="2498"/>
    </row>
    <row r="12569" spans="16:16">
      <c r="P12569" s="2498"/>
    </row>
    <row r="12570" spans="16:16">
      <c r="P12570" s="2498"/>
    </row>
    <row r="12571" spans="16:16">
      <c r="P12571" s="2498"/>
    </row>
    <row r="12572" spans="16:16">
      <c r="P12572" s="2498"/>
    </row>
    <row r="12573" spans="16:16">
      <c r="P12573" s="2498"/>
    </row>
    <row r="12574" spans="16:16">
      <c r="P12574" s="2498"/>
    </row>
    <row r="12575" spans="16:16">
      <c r="P12575" s="2498"/>
    </row>
    <row r="12576" spans="16:16">
      <c r="P12576" s="2498"/>
    </row>
    <row r="12577" spans="16:16">
      <c r="P12577" s="2498"/>
    </row>
    <row r="12578" spans="16:16">
      <c r="P12578" s="2498"/>
    </row>
    <row r="12579" spans="16:16">
      <c r="P12579" s="2498"/>
    </row>
    <row r="12580" spans="16:16">
      <c r="P12580" s="2498"/>
    </row>
    <row r="12581" spans="16:16">
      <c r="P12581" s="2498"/>
    </row>
    <row r="12582" spans="16:16">
      <c r="P12582" s="2498"/>
    </row>
    <row r="12583" spans="16:16">
      <c r="P12583" s="2498"/>
    </row>
    <row r="12584" spans="16:16">
      <c r="P12584" s="2498"/>
    </row>
    <row r="12585" spans="16:16">
      <c r="P12585" s="2498"/>
    </row>
    <row r="12586" spans="16:16">
      <c r="P12586" s="2498"/>
    </row>
    <row r="12587" spans="16:16">
      <c r="P12587" s="2498"/>
    </row>
    <row r="12588" spans="16:16">
      <c r="P12588" s="2498"/>
    </row>
    <row r="12589" spans="16:16">
      <c r="P12589" s="2498"/>
    </row>
    <row r="12590" spans="16:16">
      <c r="P12590" s="2498"/>
    </row>
    <row r="12591" spans="16:16">
      <c r="P12591" s="2498"/>
    </row>
    <row r="12592" spans="16:16">
      <c r="P12592" s="2498"/>
    </row>
    <row r="12593" spans="16:16">
      <c r="P12593" s="2498"/>
    </row>
    <row r="12594" spans="16:16">
      <c r="P12594" s="2498"/>
    </row>
    <row r="12595" spans="16:16">
      <c r="P12595" s="2498"/>
    </row>
    <row r="12596" spans="16:16">
      <c r="P12596" s="2498"/>
    </row>
    <row r="12597" spans="16:16">
      <c r="P12597" s="2498"/>
    </row>
    <row r="12598" spans="16:16">
      <c r="P12598" s="2498"/>
    </row>
    <row r="12599" spans="16:16">
      <c r="P12599" s="2498"/>
    </row>
    <row r="12600" spans="16:16">
      <c r="P12600" s="2498"/>
    </row>
    <row r="12601" spans="16:16">
      <c r="P12601" s="2498"/>
    </row>
    <row r="12602" spans="16:16">
      <c r="P12602" s="2498"/>
    </row>
    <row r="12603" spans="16:16">
      <c r="P12603" s="2498"/>
    </row>
    <row r="12604" spans="16:16">
      <c r="P12604" s="2498"/>
    </row>
    <row r="12605" spans="16:16">
      <c r="P12605" s="2498"/>
    </row>
    <row r="12606" spans="16:16">
      <c r="P12606" s="2498"/>
    </row>
    <row r="12607" spans="16:16">
      <c r="P12607" s="2498"/>
    </row>
    <row r="12608" spans="16:16">
      <c r="P12608" s="2498"/>
    </row>
    <row r="12609" spans="16:16">
      <c r="P12609" s="2498"/>
    </row>
    <row r="12610" spans="16:16">
      <c r="P12610" s="2498"/>
    </row>
    <row r="12611" spans="16:16">
      <c r="P12611" s="2498"/>
    </row>
    <row r="12612" spans="16:16">
      <c r="P12612" s="2498"/>
    </row>
    <row r="12613" spans="16:16">
      <c r="P12613" s="2498"/>
    </row>
    <row r="12614" spans="16:16">
      <c r="P12614" s="2498"/>
    </row>
    <row r="12615" spans="16:16">
      <c r="P12615" s="2498"/>
    </row>
    <row r="12616" spans="16:16">
      <c r="P12616" s="2498"/>
    </row>
    <row r="12617" spans="16:16">
      <c r="P12617" s="2498"/>
    </row>
    <row r="12618" spans="16:16">
      <c r="P12618" s="2498"/>
    </row>
    <row r="12619" spans="16:16">
      <c r="P12619" s="2498"/>
    </row>
    <row r="12620" spans="16:16">
      <c r="P12620" s="2498"/>
    </row>
    <row r="12621" spans="16:16">
      <c r="P12621" s="2498"/>
    </row>
    <row r="12622" spans="16:16">
      <c r="P12622" s="2498"/>
    </row>
    <row r="12623" spans="16:16">
      <c r="P12623" s="2498"/>
    </row>
    <row r="12624" spans="16:16">
      <c r="P12624" s="2498"/>
    </row>
    <row r="12625" spans="16:16">
      <c r="P12625" s="2498"/>
    </row>
    <row r="12626" spans="16:16">
      <c r="P12626" s="2498"/>
    </row>
    <row r="12627" spans="16:16">
      <c r="P12627" s="2498"/>
    </row>
    <row r="12628" spans="16:16">
      <c r="P12628" s="2498"/>
    </row>
    <row r="12629" spans="16:16">
      <c r="P12629" s="2498"/>
    </row>
    <row r="12630" spans="16:16">
      <c r="P12630" s="2498"/>
    </row>
    <row r="12631" spans="16:16">
      <c r="P12631" s="2498"/>
    </row>
    <row r="12632" spans="16:16">
      <c r="P12632" s="2498"/>
    </row>
    <row r="12633" spans="16:16">
      <c r="P12633" s="2498"/>
    </row>
    <row r="12634" spans="16:16">
      <c r="P12634" s="2498"/>
    </row>
    <row r="12635" spans="16:16">
      <c r="P12635" s="2498"/>
    </row>
    <row r="12636" spans="16:16">
      <c r="P12636" s="2498"/>
    </row>
    <row r="12637" spans="16:16">
      <c r="P12637" s="2498"/>
    </row>
    <row r="12638" spans="16:16">
      <c r="P12638" s="2498"/>
    </row>
    <row r="12639" spans="16:16">
      <c r="P12639" s="2498"/>
    </row>
    <row r="12640" spans="16:16">
      <c r="P12640" s="2498"/>
    </row>
    <row r="12641" spans="16:16">
      <c r="P12641" s="2498"/>
    </row>
    <row r="12642" spans="16:16">
      <c r="P12642" s="2498"/>
    </row>
    <row r="12643" spans="16:16">
      <c r="P12643" s="2498"/>
    </row>
    <row r="12644" spans="16:16">
      <c r="P12644" s="2498"/>
    </row>
    <row r="12645" spans="16:16">
      <c r="P12645" s="2498"/>
    </row>
    <row r="12646" spans="16:16">
      <c r="P12646" s="2498"/>
    </row>
    <row r="12647" spans="16:16">
      <c r="P12647" s="2498"/>
    </row>
    <row r="12648" spans="16:16">
      <c r="P12648" s="2498"/>
    </row>
    <row r="12649" spans="16:16">
      <c r="P12649" s="2498"/>
    </row>
    <row r="12650" spans="16:16">
      <c r="P12650" s="2498"/>
    </row>
    <row r="12651" spans="16:16">
      <c r="P12651" s="2498"/>
    </row>
    <row r="12652" spans="16:16">
      <c r="P12652" s="2498"/>
    </row>
    <row r="12653" spans="16:16">
      <c r="P12653" s="2498"/>
    </row>
    <row r="12654" spans="16:16">
      <c r="P12654" s="2498"/>
    </row>
    <row r="12655" spans="16:16">
      <c r="P12655" s="2498"/>
    </row>
    <row r="12656" spans="16:16">
      <c r="P12656" s="2498"/>
    </row>
    <row r="12657" spans="16:16">
      <c r="P12657" s="2498"/>
    </row>
    <row r="12658" spans="16:16">
      <c r="P12658" s="2498"/>
    </row>
    <row r="12659" spans="16:16">
      <c r="P12659" s="2498"/>
    </row>
    <row r="12660" spans="16:16">
      <c r="P12660" s="2498"/>
    </row>
    <row r="12661" spans="16:16">
      <c r="P12661" s="2498"/>
    </row>
    <row r="12662" spans="16:16">
      <c r="P12662" s="2498"/>
    </row>
    <row r="12663" spans="16:16">
      <c r="P12663" s="2498"/>
    </row>
    <row r="12664" spans="16:16">
      <c r="P12664" s="2498"/>
    </row>
    <row r="12665" spans="16:16">
      <c r="P12665" s="2498"/>
    </row>
    <row r="12666" spans="16:16">
      <c r="P12666" s="2498"/>
    </row>
    <row r="12667" spans="16:16">
      <c r="P12667" s="2498"/>
    </row>
    <row r="12668" spans="16:16">
      <c r="P12668" s="2498"/>
    </row>
    <row r="12669" spans="16:16">
      <c r="P12669" s="2498"/>
    </row>
    <row r="12670" spans="16:16">
      <c r="P12670" s="2498"/>
    </row>
    <row r="12671" spans="16:16">
      <c r="P12671" s="2498"/>
    </row>
    <row r="12672" spans="16:16">
      <c r="P12672" s="2498"/>
    </row>
    <row r="12673" spans="16:16">
      <c r="P12673" s="2498"/>
    </row>
    <row r="12674" spans="16:16">
      <c r="P12674" s="2498"/>
    </row>
    <row r="12675" spans="16:16">
      <c r="P12675" s="2498"/>
    </row>
    <row r="12676" spans="16:16">
      <c r="P12676" s="2498"/>
    </row>
    <row r="12677" spans="16:16">
      <c r="P12677" s="2498"/>
    </row>
    <row r="12678" spans="16:16">
      <c r="P12678" s="2498"/>
    </row>
    <row r="12679" spans="16:16">
      <c r="P12679" s="2498"/>
    </row>
    <row r="12680" spans="16:16">
      <c r="P12680" s="2498"/>
    </row>
    <row r="12681" spans="16:16">
      <c r="P12681" s="2498"/>
    </row>
    <row r="12682" spans="16:16">
      <c r="P12682" s="2498"/>
    </row>
    <row r="12683" spans="16:16">
      <c r="P12683" s="2498"/>
    </row>
    <row r="12684" spans="16:16">
      <c r="P12684" s="2498"/>
    </row>
    <row r="12685" spans="16:16">
      <c r="P12685" s="2498"/>
    </row>
    <row r="12686" spans="16:16">
      <c r="P12686" s="2498"/>
    </row>
    <row r="12687" spans="16:16">
      <c r="P12687" s="2498"/>
    </row>
    <row r="12688" spans="16:16">
      <c r="P12688" s="2498"/>
    </row>
    <row r="12689" spans="16:16">
      <c r="P12689" s="2498"/>
    </row>
    <row r="12690" spans="16:16">
      <c r="P12690" s="2498"/>
    </row>
    <row r="12691" spans="16:16">
      <c r="P12691" s="2498"/>
    </row>
    <row r="12692" spans="16:16">
      <c r="P12692" s="2498"/>
    </row>
    <row r="12693" spans="16:16">
      <c r="P12693" s="2498"/>
    </row>
    <row r="12694" spans="16:16">
      <c r="P12694" s="2498"/>
    </row>
    <row r="12695" spans="16:16">
      <c r="P12695" s="2498"/>
    </row>
    <row r="12696" spans="16:16">
      <c r="P12696" s="2498"/>
    </row>
    <row r="12697" spans="16:16">
      <c r="P12697" s="2498"/>
    </row>
    <row r="12698" spans="16:16">
      <c r="P12698" s="2498"/>
    </row>
    <row r="12699" spans="16:16">
      <c r="P12699" s="2498"/>
    </row>
    <row r="12700" spans="16:16">
      <c r="P12700" s="2498"/>
    </row>
    <row r="12701" spans="16:16">
      <c r="P12701" s="2498"/>
    </row>
    <row r="12702" spans="16:16">
      <c r="P12702" s="2498"/>
    </row>
    <row r="12703" spans="16:16">
      <c r="P12703" s="2498"/>
    </row>
    <row r="12704" spans="16:16">
      <c r="P12704" s="2498"/>
    </row>
    <row r="12705" spans="16:16">
      <c r="P12705" s="2498"/>
    </row>
    <row r="12706" spans="16:16">
      <c r="P12706" s="2498"/>
    </row>
    <row r="12707" spans="16:16">
      <c r="P12707" s="2498"/>
    </row>
    <row r="12708" spans="16:16">
      <c r="P12708" s="2498"/>
    </row>
    <row r="12709" spans="16:16">
      <c r="P12709" s="2498"/>
    </row>
    <row r="12710" spans="16:16">
      <c r="P12710" s="2498"/>
    </row>
    <row r="12711" spans="16:16">
      <c r="P12711" s="2498"/>
    </row>
    <row r="12712" spans="16:16">
      <c r="P12712" s="2498"/>
    </row>
    <row r="12713" spans="16:16">
      <c r="P12713" s="2498"/>
    </row>
    <row r="12714" spans="16:16">
      <c r="P12714" s="2498"/>
    </row>
    <row r="12715" spans="16:16">
      <c r="P12715" s="2498"/>
    </row>
    <row r="12716" spans="16:16">
      <c r="P12716" s="2498"/>
    </row>
    <row r="12717" spans="16:16">
      <c r="P12717" s="2498"/>
    </row>
    <row r="12718" spans="16:16">
      <c r="P12718" s="2498"/>
    </row>
    <row r="12719" spans="16:16">
      <c r="P12719" s="2498"/>
    </row>
    <row r="12720" spans="16:16">
      <c r="P12720" s="2498"/>
    </row>
    <row r="12721" spans="16:16">
      <c r="P12721" s="2498"/>
    </row>
    <row r="12722" spans="16:16">
      <c r="P12722" s="2498"/>
    </row>
    <row r="12723" spans="16:16">
      <c r="P12723" s="2498"/>
    </row>
    <row r="12724" spans="16:16">
      <c r="P12724" s="2498"/>
    </row>
    <row r="12725" spans="16:16">
      <c r="P12725" s="2498"/>
    </row>
    <row r="12726" spans="16:16">
      <c r="P12726" s="2498"/>
    </row>
    <row r="12727" spans="16:16">
      <c r="P12727" s="2498"/>
    </row>
    <row r="12728" spans="16:16">
      <c r="P12728" s="2498"/>
    </row>
    <row r="12729" spans="16:16">
      <c r="P12729" s="2498"/>
    </row>
    <row r="12730" spans="16:16">
      <c r="P12730" s="2498"/>
    </row>
    <row r="12731" spans="16:16">
      <c r="P12731" s="2498"/>
    </row>
    <row r="12732" spans="16:16">
      <c r="P12732" s="2498"/>
    </row>
    <row r="12733" spans="16:16">
      <c r="P12733" s="2498"/>
    </row>
    <row r="12734" spans="16:16">
      <c r="P12734" s="2498"/>
    </row>
    <row r="12735" spans="16:16">
      <c r="P12735" s="2498"/>
    </row>
    <row r="12736" spans="16:16">
      <c r="P12736" s="2498"/>
    </row>
    <row r="12737" spans="16:16">
      <c r="P12737" s="2498"/>
    </row>
    <row r="12738" spans="16:16">
      <c r="P12738" s="2498"/>
    </row>
    <row r="12739" spans="16:16">
      <c r="P12739" s="2498"/>
    </row>
    <row r="12740" spans="16:16">
      <c r="P12740" s="2498"/>
    </row>
    <row r="12741" spans="16:16">
      <c r="P12741" s="2498"/>
    </row>
    <row r="12742" spans="16:16">
      <c r="P12742" s="2498"/>
    </row>
    <row r="12743" spans="16:16">
      <c r="P12743" s="2498"/>
    </row>
    <row r="12744" spans="16:16">
      <c r="P12744" s="2498"/>
    </row>
    <row r="12745" spans="16:16">
      <c r="P12745" s="2498"/>
    </row>
    <row r="12746" spans="16:16">
      <c r="P12746" s="2498"/>
    </row>
    <row r="12747" spans="16:16">
      <c r="P12747" s="2498"/>
    </row>
    <row r="12748" spans="16:16">
      <c r="P12748" s="2498"/>
    </row>
    <row r="12749" spans="16:16">
      <c r="P12749" s="2498"/>
    </row>
    <row r="12750" spans="16:16">
      <c r="P12750" s="2498"/>
    </row>
    <row r="12751" spans="16:16">
      <c r="P12751" s="2498"/>
    </row>
    <row r="12752" spans="16:16">
      <c r="P12752" s="2498"/>
    </row>
    <row r="12753" spans="16:16">
      <c r="P12753" s="2498"/>
    </row>
    <row r="12754" spans="16:16">
      <c r="P12754" s="2498"/>
    </row>
    <row r="12755" spans="16:16">
      <c r="P12755" s="2498"/>
    </row>
    <row r="12756" spans="16:16">
      <c r="P12756" s="2498"/>
    </row>
    <row r="12757" spans="16:16">
      <c r="P12757" s="2498"/>
    </row>
    <row r="12758" spans="16:16">
      <c r="P12758" s="2498"/>
    </row>
    <row r="12759" spans="16:16">
      <c r="P12759" s="2498"/>
    </row>
    <row r="12760" spans="16:16">
      <c r="P12760" s="2498"/>
    </row>
    <row r="12761" spans="16:16">
      <c r="P12761" s="2498"/>
    </row>
    <row r="12762" spans="16:16">
      <c r="P12762" s="2498"/>
    </row>
    <row r="12763" spans="16:16">
      <c r="P12763" s="2498"/>
    </row>
    <row r="12764" spans="16:16">
      <c r="P12764" s="2498"/>
    </row>
    <row r="12765" spans="16:16">
      <c r="P12765" s="2498"/>
    </row>
    <row r="12766" spans="16:16">
      <c r="P12766" s="2498"/>
    </row>
    <row r="12767" spans="16:16">
      <c r="P12767" s="2498"/>
    </row>
    <row r="12768" spans="16:16">
      <c r="P12768" s="2498"/>
    </row>
    <row r="12769" spans="16:16">
      <c r="P12769" s="2498"/>
    </row>
    <row r="12770" spans="16:16">
      <c r="P12770" s="2498"/>
    </row>
    <row r="12771" spans="16:16">
      <c r="P12771" s="2498"/>
    </row>
    <row r="12772" spans="16:16">
      <c r="P12772" s="2498"/>
    </row>
    <row r="12773" spans="16:16">
      <c r="P12773" s="2498"/>
    </row>
    <row r="12774" spans="16:16">
      <c r="P12774" s="2498"/>
    </row>
    <row r="12775" spans="16:16">
      <c r="P12775" s="2498"/>
    </row>
    <row r="12776" spans="16:16">
      <c r="P12776" s="2498"/>
    </row>
    <row r="12777" spans="16:16">
      <c r="P12777" s="2498"/>
    </row>
    <row r="12778" spans="16:16">
      <c r="P12778" s="2498"/>
    </row>
    <row r="12779" spans="16:16">
      <c r="P12779" s="2498"/>
    </row>
    <row r="12780" spans="16:16">
      <c r="P12780" s="2498"/>
    </row>
    <row r="12781" spans="16:16">
      <c r="P12781" s="2498"/>
    </row>
    <row r="12782" spans="16:16">
      <c r="P12782" s="2498"/>
    </row>
    <row r="12783" spans="16:16">
      <c r="P12783" s="2498"/>
    </row>
    <row r="12784" spans="16:16">
      <c r="P12784" s="2498"/>
    </row>
    <row r="12785" spans="16:16">
      <c r="P12785" s="2498"/>
    </row>
    <row r="12786" spans="16:16">
      <c r="P12786" s="2498"/>
    </row>
    <row r="12787" spans="16:16">
      <c r="P12787" s="2498"/>
    </row>
    <row r="12788" spans="16:16">
      <c r="P12788" s="2498"/>
    </row>
    <row r="12789" spans="16:16">
      <c r="P12789" s="2498"/>
    </row>
    <row r="12790" spans="16:16">
      <c r="P12790" s="2498"/>
    </row>
    <row r="12791" spans="16:16">
      <c r="P12791" s="2498"/>
    </row>
    <row r="12792" spans="16:16">
      <c r="P12792" s="2498"/>
    </row>
    <row r="12793" spans="16:16">
      <c r="P12793" s="2498"/>
    </row>
    <row r="12794" spans="16:16">
      <c r="P12794" s="2498"/>
    </row>
    <row r="12795" spans="16:16">
      <c r="P12795" s="2498"/>
    </row>
    <row r="12796" spans="16:16">
      <c r="P12796" s="2498"/>
    </row>
    <row r="12797" spans="16:16">
      <c r="P12797" s="2498"/>
    </row>
    <row r="12798" spans="16:16">
      <c r="P12798" s="2498"/>
    </row>
    <row r="12799" spans="16:16">
      <c r="P12799" s="2498"/>
    </row>
    <row r="12800" spans="16:16">
      <c r="P12800" s="2498"/>
    </row>
    <row r="12801" spans="16:16">
      <c r="P12801" s="2498"/>
    </row>
    <row r="12802" spans="16:16">
      <c r="P12802" s="2498"/>
    </row>
    <row r="12803" spans="16:16">
      <c r="P12803" s="2498"/>
    </row>
    <row r="12804" spans="16:16">
      <c r="P12804" s="2498"/>
    </row>
    <row r="12805" spans="16:16">
      <c r="P12805" s="2498"/>
    </row>
    <row r="12806" spans="16:16">
      <c r="P12806" s="2498"/>
    </row>
    <row r="12807" spans="16:16">
      <c r="P12807" s="2498"/>
    </row>
    <row r="12808" spans="16:16">
      <c r="P12808" s="2498"/>
    </row>
    <row r="12809" spans="16:16">
      <c r="P12809" s="2498"/>
    </row>
    <row r="12810" spans="16:16">
      <c r="P12810" s="2498"/>
    </row>
    <row r="12811" spans="16:16">
      <c r="P12811" s="2498"/>
    </row>
    <row r="12812" spans="16:16">
      <c r="P12812" s="2498"/>
    </row>
    <row r="12813" spans="16:16">
      <c r="P12813" s="2498"/>
    </row>
    <row r="12814" spans="16:16">
      <c r="P12814" s="2498"/>
    </row>
    <row r="12815" spans="16:16">
      <c r="P12815" s="2498"/>
    </row>
    <row r="12816" spans="16:16">
      <c r="P12816" s="2498"/>
    </row>
    <row r="12817" spans="16:16">
      <c r="P12817" s="2498"/>
    </row>
    <row r="12818" spans="16:16">
      <c r="P12818" s="2498"/>
    </row>
    <row r="12819" spans="16:16">
      <c r="P12819" s="2498"/>
    </row>
    <row r="12820" spans="16:16">
      <c r="P12820" s="2498"/>
    </row>
    <row r="12821" spans="16:16">
      <c r="P12821" s="2498"/>
    </row>
    <row r="12822" spans="16:16">
      <c r="P12822" s="2498"/>
    </row>
    <row r="12823" spans="16:16">
      <c r="P12823" s="2498"/>
    </row>
    <row r="12824" spans="16:16">
      <c r="P12824" s="2498"/>
    </row>
    <row r="12825" spans="16:16">
      <c r="P12825" s="2498"/>
    </row>
    <row r="12826" spans="16:16">
      <c r="P12826" s="2498"/>
    </row>
    <row r="12827" spans="16:16">
      <c r="P12827" s="2498"/>
    </row>
    <row r="12828" spans="16:16">
      <c r="P12828" s="2498"/>
    </row>
    <row r="12829" spans="16:16">
      <c r="P12829" s="2498"/>
    </row>
    <row r="12830" spans="16:16">
      <c r="P12830" s="2498"/>
    </row>
    <row r="12831" spans="16:16">
      <c r="P12831" s="2498"/>
    </row>
    <row r="12832" spans="16:16">
      <c r="P12832" s="2498"/>
    </row>
    <row r="12833" spans="16:16">
      <c r="P12833" s="2498"/>
    </row>
    <row r="12834" spans="16:16">
      <c r="P12834" s="2498"/>
    </row>
    <row r="12835" spans="16:16">
      <c r="P12835" s="2498"/>
    </row>
    <row r="12836" spans="16:16">
      <c r="P12836" s="2498"/>
    </row>
    <row r="12837" spans="16:16">
      <c r="P12837" s="2498"/>
    </row>
    <row r="12838" spans="16:16">
      <c r="P12838" s="2498"/>
    </row>
    <row r="12839" spans="16:16">
      <c r="P12839" s="2498"/>
    </row>
    <row r="12840" spans="16:16">
      <c r="P12840" s="2498"/>
    </row>
    <row r="12841" spans="16:16">
      <c r="P12841" s="2498"/>
    </row>
    <row r="12842" spans="16:16">
      <c r="P12842" s="2498"/>
    </row>
    <row r="12843" spans="16:16">
      <c r="P12843" s="2498"/>
    </row>
    <row r="12844" spans="16:16">
      <c r="P12844" s="2498"/>
    </row>
    <row r="12845" spans="16:16">
      <c r="P12845" s="2498"/>
    </row>
    <row r="12846" spans="16:16">
      <c r="P12846" s="2498"/>
    </row>
    <row r="12847" spans="16:16">
      <c r="P12847" s="2498"/>
    </row>
    <row r="12848" spans="16:16">
      <c r="P12848" s="2498"/>
    </row>
    <row r="12849" spans="16:16">
      <c r="P12849" s="2498"/>
    </row>
    <row r="12850" spans="16:16">
      <c r="P12850" s="2498"/>
    </row>
    <row r="12851" spans="16:16">
      <c r="P12851" s="2498"/>
    </row>
    <row r="12852" spans="16:16">
      <c r="P12852" s="2498"/>
    </row>
    <row r="12853" spans="16:16">
      <c r="P12853" s="2498"/>
    </row>
    <row r="12854" spans="16:16">
      <c r="P12854" s="2498"/>
    </row>
    <row r="12855" spans="16:16">
      <c r="P12855" s="2498"/>
    </row>
    <row r="12856" spans="16:16">
      <c r="P12856" s="2498"/>
    </row>
    <row r="12857" spans="16:16">
      <c r="P12857" s="2498"/>
    </row>
    <row r="12858" spans="16:16">
      <c r="P12858" s="2498"/>
    </row>
    <row r="12859" spans="16:16">
      <c r="P12859" s="2498"/>
    </row>
    <row r="12860" spans="16:16">
      <c r="P12860" s="2498"/>
    </row>
    <row r="12861" spans="16:16">
      <c r="P12861" s="2498"/>
    </row>
    <row r="12862" spans="16:16">
      <c r="P12862" s="2498"/>
    </row>
    <row r="12863" spans="16:16">
      <c r="P12863" s="2498"/>
    </row>
    <row r="12864" spans="16:16">
      <c r="P12864" s="2498"/>
    </row>
    <row r="12865" spans="16:16">
      <c r="P12865" s="2498"/>
    </row>
    <row r="12866" spans="16:16">
      <c r="P12866" s="2498"/>
    </row>
    <row r="12867" spans="16:16">
      <c r="P12867" s="2498"/>
    </row>
    <row r="12868" spans="16:16">
      <c r="P12868" s="2498"/>
    </row>
    <row r="12869" spans="16:16">
      <c r="P12869" s="2498"/>
    </row>
    <row r="12870" spans="16:16">
      <c r="P12870" s="2498"/>
    </row>
    <row r="12871" spans="16:16">
      <c r="P12871" s="2498"/>
    </row>
    <row r="12872" spans="16:16">
      <c r="P12872" s="2498"/>
    </row>
    <row r="12873" spans="16:16">
      <c r="P12873" s="2498"/>
    </row>
    <row r="12874" spans="16:16">
      <c r="P12874" s="2498"/>
    </row>
    <row r="12875" spans="16:16">
      <c r="P12875" s="2498"/>
    </row>
    <row r="12876" spans="16:16">
      <c r="P12876" s="2498"/>
    </row>
    <row r="12877" spans="16:16">
      <c r="P12877" s="2498"/>
    </row>
    <row r="12878" spans="16:16">
      <c r="P12878" s="2498"/>
    </row>
    <row r="12879" spans="16:16">
      <c r="P12879" s="2498"/>
    </row>
    <row r="12880" spans="16:16">
      <c r="P12880" s="2498"/>
    </row>
    <row r="12881" spans="16:16">
      <c r="P12881" s="2498"/>
    </row>
    <row r="12882" spans="16:16">
      <c r="P12882" s="2498"/>
    </row>
    <row r="12883" spans="16:16">
      <c r="P12883" s="2498"/>
    </row>
    <row r="12884" spans="16:16">
      <c r="P12884" s="2498"/>
    </row>
    <row r="12885" spans="16:16">
      <c r="P12885" s="2498"/>
    </row>
    <row r="12886" spans="16:16">
      <c r="P12886" s="2498"/>
    </row>
    <row r="12887" spans="16:16">
      <c r="P12887" s="2498"/>
    </row>
    <row r="12888" spans="16:16">
      <c r="P12888" s="2498"/>
    </row>
    <row r="12889" spans="16:16">
      <c r="P12889" s="2498"/>
    </row>
    <row r="12890" spans="16:16">
      <c r="P12890" s="2498"/>
    </row>
    <row r="12891" spans="16:16">
      <c r="P12891" s="2498"/>
    </row>
    <row r="12892" spans="16:16">
      <c r="P12892" s="2498"/>
    </row>
    <row r="12893" spans="16:16">
      <c r="P12893" s="2498"/>
    </row>
    <row r="12894" spans="16:16">
      <c r="P12894" s="2498"/>
    </row>
    <row r="12895" spans="16:16">
      <c r="P12895" s="2498"/>
    </row>
    <row r="12896" spans="16:16">
      <c r="P12896" s="2498"/>
    </row>
    <row r="12897" spans="16:16">
      <c r="P12897" s="2498"/>
    </row>
    <row r="12898" spans="16:16">
      <c r="P12898" s="2498"/>
    </row>
    <row r="12899" spans="16:16">
      <c r="P12899" s="2498"/>
    </row>
    <row r="12900" spans="16:16">
      <c r="P12900" s="2498"/>
    </row>
    <row r="12901" spans="16:16">
      <c r="P12901" s="2498"/>
    </row>
    <row r="12902" spans="16:16">
      <c r="P12902" s="2498"/>
    </row>
    <row r="12903" spans="16:16">
      <c r="P12903" s="2498"/>
    </row>
    <row r="12904" spans="16:16">
      <c r="P12904" s="2498"/>
    </row>
    <row r="12905" spans="16:16">
      <c r="P12905" s="2498"/>
    </row>
    <row r="12906" spans="16:16">
      <c r="P12906" s="2498"/>
    </row>
    <row r="12907" spans="16:16">
      <c r="P12907" s="2498"/>
    </row>
    <row r="12908" spans="16:16">
      <c r="P12908" s="2498"/>
    </row>
    <row r="12909" spans="16:16">
      <c r="P12909" s="2498"/>
    </row>
    <row r="12910" spans="16:16">
      <c r="P12910" s="2498"/>
    </row>
    <row r="12911" spans="16:16">
      <c r="P12911" s="2498"/>
    </row>
    <row r="12912" spans="16:16">
      <c r="P12912" s="2498"/>
    </row>
    <row r="12913" spans="16:16">
      <c r="P12913" s="2498"/>
    </row>
    <row r="12914" spans="16:16">
      <c r="P12914" s="2498"/>
    </row>
    <row r="12915" spans="16:16">
      <c r="P12915" s="2498"/>
    </row>
    <row r="12916" spans="16:16">
      <c r="P12916" s="2498"/>
    </row>
    <row r="12917" spans="16:16">
      <c r="P12917" s="2498"/>
    </row>
    <row r="12918" spans="16:16">
      <c r="P12918" s="2498"/>
    </row>
    <row r="12919" spans="16:16">
      <c r="P12919" s="2498"/>
    </row>
    <row r="12920" spans="16:16">
      <c r="P12920" s="2498"/>
    </row>
    <row r="12921" spans="16:16">
      <c r="P12921" s="2498"/>
    </row>
    <row r="12922" spans="16:16">
      <c r="P12922" s="2498"/>
    </row>
    <row r="12923" spans="16:16">
      <c r="P12923" s="2498"/>
    </row>
    <row r="12924" spans="16:16">
      <c r="P12924" s="2498"/>
    </row>
    <row r="12925" spans="16:16">
      <c r="P12925" s="2498"/>
    </row>
    <row r="12926" spans="16:16">
      <c r="P12926" s="2498"/>
    </row>
    <row r="12927" spans="16:16">
      <c r="P12927" s="2498"/>
    </row>
    <row r="12928" spans="16:16">
      <c r="P12928" s="2498"/>
    </row>
    <row r="12929" spans="16:16">
      <c r="P12929" s="2498"/>
    </row>
    <row r="12930" spans="16:16">
      <c r="P12930" s="2498"/>
    </row>
    <row r="12931" spans="16:16">
      <c r="P12931" s="2498"/>
    </row>
    <row r="12932" spans="16:16">
      <c r="P12932" s="2498"/>
    </row>
    <row r="12933" spans="16:16">
      <c r="P12933" s="2498"/>
    </row>
    <row r="12934" spans="16:16">
      <c r="P12934" s="2498"/>
    </row>
    <row r="12935" spans="16:16">
      <c r="P12935" s="2498"/>
    </row>
    <row r="12936" spans="16:16">
      <c r="P12936" s="2498"/>
    </row>
    <row r="12937" spans="16:16">
      <c r="P12937" s="2498"/>
    </row>
    <row r="12938" spans="16:16">
      <c r="P12938" s="2498"/>
    </row>
    <row r="12939" spans="16:16">
      <c r="P12939" s="2498"/>
    </row>
    <row r="12940" spans="16:16">
      <c r="P12940" s="2498"/>
    </row>
    <row r="12941" spans="16:16">
      <c r="P12941" s="2498"/>
    </row>
    <row r="12942" spans="16:16">
      <c r="P12942" s="2498"/>
    </row>
    <row r="12943" spans="16:16">
      <c r="P12943" s="2498"/>
    </row>
    <row r="12944" spans="16:16">
      <c r="P12944" s="2498"/>
    </row>
    <row r="12945" spans="16:16">
      <c r="P12945" s="2498"/>
    </row>
    <row r="12946" spans="16:16">
      <c r="P12946" s="2498"/>
    </row>
    <row r="12947" spans="16:16">
      <c r="P12947" s="2498"/>
    </row>
    <row r="12948" spans="16:16">
      <c r="P12948" s="2498"/>
    </row>
    <row r="12949" spans="16:16">
      <c r="P12949" s="2498"/>
    </row>
    <row r="12950" spans="16:16">
      <c r="P12950" s="2498"/>
    </row>
    <row r="12951" spans="16:16">
      <c r="P12951" s="2498"/>
    </row>
    <row r="12952" spans="16:16">
      <c r="P12952" s="2498"/>
    </row>
    <row r="12953" spans="16:16">
      <c r="P12953" s="2498"/>
    </row>
    <row r="12954" spans="16:16">
      <c r="P12954" s="2498"/>
    </row>
    <row r="12955" spans="16:16">
      <c r="P12955" s="2498"/>
    </row>
    <row r="12956" spans="16:16">
      <c r="P12956" s="2498"/>
    </row>
    <row r="12957" spans="16:16">
      <c r="P12957" s="2498"/>
    </row>
    <row r="12958" spans="16:16">
      <c r="P12958" s="2498"/>
    </row>
    <row r="12959" spans="16:16">
      <c r="P12959" s="2498"/>
    </row>
    <row r="12960" spans="16:16">
      <c r="P12960" s="2498"/>
    </row>
    <row r="12961" spans="16:16">
      <c r="P12961" s="2498"/>
    </row>
    <row r="12962" spans="16:16">
      <c r="P12962" s="2498"/>
    </row>
    <row r="12963" spans="16:16">
      <c r="P12963" s="2498"/>
    </row>
    <row r="12964" spans="16:16">
      <c r="P12964" s="2498"/>
    </row>
    <row r="12965" spans="16:16">
      <c r="P12965" s="2498"/>
    </row>
    <row r="12966" spans="16:16">
      <c r="P12966" s="2498"/>
    </row>
    <row r="12967" spans="16:16">
      <c r="P12967" s="2498"/>
    </row>
    <row r="12968" spans="16:16">
      <c r="P12968" s="2498"/>
    </row>
    <row r="12969" spans="16:16">
      <c r="P12969" s="2498"/>
    </row>
    <row r="12970" spans="16:16">
      <c r="P12970" s="2498"/>
    </row>
    <row r="12971" spans="16:16">
      <c r="P12971" s="2498"/>
    </row>
    <row r="12972" spans="16:16">
      <c r="P12972" s="2498"/>
    </row>
    <row r="12973" spans="16:16">
      <c r="P12973" s="2498"/>
    </row>
    <row r="12974" spans="16:16">
      <c r="P12974" s="2498"/>
    </row>
    <row r="12975" spans="16:16">
      <c r="P12975" s="2498"/>
    </row>
    <row r="12976" spans="16:16">
      <c r="P12976" s="2498"/>
    </row>
    <row r="12977" spans="16:16">
      <c r="P12977" s="2498"/>
    </row>
    <row r="12978" spans="16:16">
      <c r="P12978" s="2498"/>
    </row>
    <row r="12979" spans="16:16">
      <c r="P12979" s="2498"/>
    </row>
    <row r="12980" spans="16:16">
      <c r="P12980" s="2498"/>
    </row>
    <row r="12981" spans="16:16">
      <c r="P12981" s="2498"/>
    </row>
    <row r="12982" spans="16:16">
      <c r="P12982" s="2498"/>
    </row>
    <row r="12983" spans="16:16">
      <c r="P12983" s="2498"/>
    </row>
    <row r="12984" spans="16:16">
      <c r="P12984" s="2498"/>
    </row>
    <row r="12985" spans="16:16">
      <c r="P12985" s="2498"/>
    </row>
    <row r="12986" spans="16:16">
      <c r="P12986" s="2498"/>
    </row>
    <row r="12987" spans="16:16">
      <c r="P12987" s="2498"/>
    </row>
    <row r="12988" spans="16:16">
      <c r="P12988" s="2498"/>
    </row>
    <row r="12989" spans="16:16">
      <c r="P12989" s="2498"/>
    </row>
    <row r="12990" spans="16:16">
      <c r="P12990" s="2498"/>
    </row>
    <row r="12991" spans="16:16">
      <c r="P12991" s="2498"/>
    </row>
    <row r="12992" spans="16:16">
      <c r="P12992" s="2498"/>
    </row>
    <row r="12993" spans="16:16">
      <c r="P12993" s="2498"/>
    </row>
    <row r="12994" spans="16:16">
      <c r="P12994" s="2498"/>
    </row>
    <row r="12995" spans="16:16">
      <c r="P12995" s="2498"/>
    </row>
    <row r="12996" spans="16:16">
      <c r="P12996" s="2498"/>
    </row>
    <row r="12997" spans="16:16">
      <c r="P12997" s="2498"/>
    </row>
    <row r="12998" spans="16:16">
      <c r="P12998" s="2498"/>
    </row>
    <row r="12999" spans="16:16">
      <c r="P12999" s="2498"/>
    </row>
    <row r="13000" spans="16:16">
      <c r="P13000" s="2498"/>
    </row>
    <row r="13001" spans="16:16">
      <c r="P13001" s="2498"/>
    </row>
    <row r="13002" spans="16:16">
      <c r="P13002" s="2498"/>
    </row>
    <row r="13003" spans="16:16">
      <c r="P13003" s="2498"/>
    </row>
    <row r="13004" spans="16:16">
      <c r="P13004" s="2498"/>
    </row>
    <row r="13005" spans="16:16">
      <c r="P13005" s="2498"/>
    </row>
    <row r="13006" spans="16:16">
      <c r="P13006" s="2498"/>
    </row>
    <row r="13007" spans="16:16">
      <c r="P13007" s="2498"/>
    </row>
    <row r="13008" spans="16:16">
      <c r="P13008" s="2498"/>
    </row>
    <row r="13009" spans="16:16">
      <c r="P13009" s="2498"/>
    </row>
    <row r="13010" spans="16:16">
      <c r="P13010" s="2498"/>
    </row>
    <row r="13011" spans="16:16">
      <c r="P13011" s="2498"/>
    </row>
    <row r="13012" spans="16:16">
      <c r="P13012" s="2498"/>
    </row>
    <row r="13013" spans="16:16">
      <c r="P13013" s="2498"/>
    </row>
    <row r="13014" spans="16:16">
      <c r="P13014" s="2498"/>
    </row>
    <row r="13015" spans="16:16">
      <c r="P13015" s="2498"/>
    </row>
    <row r="13016" spans="16:16">
      <c r="P13016" s="2498"/>
    </row>
    <row r="13017" spans="16:16">
      <c r="P13017" s="2498"/>
    </row>
    <row r="13018" spans="16:16">
      <c r="P13018" s="2498"/>
    </row>
    <row r="13019" spans="16:16">
      <c r="P13019" s="2498"/>
    </row>
    <row r="13020" spans="16:16">
      <c r="P13020" s="2498"/>
    </row>
    <row r="13021" spans="16:16">
      <c r="P13021" s="2498"/>
    </row>
    <row r="13022" spans="16:16">
      <c r="P13022" s="2498"/>
    </row>
    <row r="13023" spans="16:16">
      <c r="P13023" s="2498"/>
    </row>
    <row r="13024" spans="16:16">
      <c r="P13024" s="2498"/>
    </row>
    <row r="13025" spans="16:16">
      <c r="P13025" s="2498"/>
    </row>
    <row r="13026" spans="16:16">
      <c r="P13026" s="2498"/>
    </row>
    <row r="13027" spans="16:16">
      <c r="P13027" s="2498"/>
    </row>
    <row r="13028" spans="16:16">
      <c r="P13028" s="2498"/>
    </row>
    <row r="13029" spans="16:16">
      <c r="P13029" s="2498"/>
    </row>
    <row r="13030" spans="16:16">
      <c r="P13030" s="2498"/>
    </row>
    <row r="13031" spans="16:16">
      <c r="P13031" s="2498"/>
    </row>
    <row r="13032" spans="16:16">
      <c r="P13032" s="2498"/>
    </row>
    <row r="13033" spans="16:16">
      <c r="P13033" s="2498"/>
    </row>
    <row r="13034" spans="16:16">
      <c r="P13034" s="2498"/>
    </row>
    <row r="13035" spans="16:16">
      <c r="P13035" s="2498"/>
    </row>
    <row r="13036" spans="16:16">
      <c r="P13036" s="2498"/>
    </row>
    <row r="13037" spans="16:16">
      <c r="P13037" s="2498"/>
    </row>
    <row r="13038" spans="16:16">
      <c r="P13038" s="2498"/>
    </row>
    <row r="13039" spans="16:16">
      <c r="P13039" s="2498"/>
    </row>
    <row r="13040" spans="16:16">
      <c r="P13040" s="2498"/>
    </row>
    <row r="13041" spans="16:16">
      <c r="P13041" s="2498"/>
    </row>
    <row r="13042" spans="16:16">
      <c r="P13042" s="2498"/>
    </row>
    <row r="13043" spans="16:16">
      <c r="P13043" s="2498"/>
    </row>
    <row r="13044" spans="16:16">
      <c r="P13044" s="2498"/>
    </row>
    <row r="13045" spans="16:16">
      <c r="P13045" s="2498"/>
    </row>
    <row r="13046" spans="16:16">
      <c r="P13046" s="2498"/>
    </row>
    <row r="13047" spans="16:16">
      <c r="P13047" s="2498"/>
    </row>
    <row r="13048" spans="16:16">
      <c r="P13048" s="2498"/>
    </row>
    <row r="13049" spans="16:16">
      <c r="P13049" s="2498"/>
    </row>
    <row r="13050" spans="16:16">
      <c r="P13050" s="2498"/>
    </row>
    <row r="13051" spans="16:16">
      <c r="P13051" s="2498"/>
    </row>
    <row r="13052" spans="16:16">
      <c r="P13052" s="2498"/>
    </row>
    <row r="13053" spans="16:16">
      <c r="P13053" s="2498"/>
    </row>
    <row r="13054" spans="16:16">
      <c r="P13054" s="2498"/>
    </row>
    <row r="13055" spans="16:16">
      <c r="P13055" s="2498"/>
    </row>
    <row r="13056" spans="16:16">
      <c r="P13056" s="2498"/>
    </row>
    <row r="13057" spans="16:16">
      <c r="P13057" s="2498"/>
    </row>
    <row r="13058" spans="16:16">
      <c r="P13058" s="2498"/>
    </row>
    <row r="13059" spans="16:16">
      <c r="P13059" s="2498"/>
    </row>
    <row r="13060" spans="16:16">
      <c r="P13060" s="2498"/>
    </row>
    <row r="13061" spans="16:16">
      <c r="P13061" s="2498"/>
    </row>
    <row r="13062" spans="16:16">
      <c r="P13062" s="2498"/>
    </row>
    <row r="13063" spans="16:16">
      <c r="P13063" s="2498"/>
    </row>
    <row r="13064" spans="16:16">
      <c r="P13064" s="2498"/>
    </row>
    <row r="13065" spans="16:16">
      <c r="P13065" s="2498"/>
    </row>
    <row r="13066" spans="16:16">
      <c r="P13066" s="2498"/>
    </row>
    <row r="13067" spans="16:16">
      <c r="P13067" s="2498"/>
    </row>
    <row r="13068" spans="16:16">
      <c r="P13068" s="2498"/>
    </row>
    <row r="13069" spans="16:16">
      <c r="P13069" s="2498"/>
    </row>
    <row r="13070" spans="16:16">
      <c r="P13070" s="2498"/>
    </row>
    <row r="13071" spans="16:16">
      <c r="P13071" s="2498"/>
    </row>
    <row r="13072" spans="16:16">
      <c r="P13072" s="2498"/>
    </row>
    <row r="13073" spans="16:16">
      <c r="P13073" s="2498"/>
    </row>
    <row r="13074" spans="16:16">
      <c r="P13074" s="2498"/>
    </row>
    <row r="13075" spans="16:16">
      <c r="P13075" s="2498"/>
    </row>
    <row r="13076" spans="16:16">
      <c r="P13076" s="2498"/>
    </row>
    <row r="13077" spans="16:16">
      <c r="P13077" s="2498"/>
    </row>
    <row r="13078" spans="16:16">
      <c r="P13078" s="2498"/>
    </row>
    <row r="13079" spans="16:16">
      <c r="P13079" s="2498"/>
    </row>
    <row r="13080" spans="16:16">
      <c r="P13080" s="2498"/>
    </row>
    <row r="13081" spans="16:16">
      <c r="P13081" s="2498"/>
    </row>
    <row r="13082" spans="16:16">
      <c r="P13082" s="2498"/>
    </row>
    <row r="13083" spans="16:16">
      <c r="P13083" s="2498"/>
    </row>
    <row r="13084" spans="16:16">
      <c r="P13084" s="2498"/>
    </row>
    <row r="13085" spans="16:16">
      <c r="P13085" s="2498"/>
    </row>
    <row r="13086" spans="16:16">
      <c r="P13086" s="2498"/>
    </row>
    <row r="13087" spans="16:16">
      <c r="P13087" s="2498"/>
    </row>
    <row r="13088" spans="16:16">
      <c r="P13088" s="2498"/>
    </row>
    <row r="13089" spans="16:16">
      <c r="P13089" s="2498"/>
    </row>
    <row r="13090" spans="16:16">
      <c r="P13090" s="2498"/>
    </row>
    <row r="13091" spans="16:16">
      <c r="P13091" s="2498"/>
    </row>
    <row r="13092" spans="16:16">
      <c r="P13092" s="2498"/>
    </row>
    <row r="13093" spans="16:16">
      <c r="P13093" s="2498"/>
    </row>
    <row r="13094" spans="16:16">
      <c r="P13094" s="2498"/>
    </row>
    <row r="13095" spans="16:16">
      <c r="P13095" s="2498"/>
    </row>
    <row r="13096" spans="16:16">
      <c r="P13096" s="2498"/>
    </row>
    <row r="13097" spans="16:16">
      <c r="P13097" s="2498"/>
    </row>
    <row r="13098" spans="16:16">
      <c r="P13098" s="2498"/>
    </row>
    <row r="13099" spans="16:16">
      <c r="P13099" s="2498"/>
    </row>
    <row r="13100" spans="16:16">
      <c r="P13100" s="2498"/>
    </row>
    <row r="13101" spans="16:16">
      <c r="P13101" s="2498"/>
    </row>
    <row r="13102" spans="16:16">
      <c r="P13102" s="2498"/>
    </row>
    <row r="13103" spans="16:16">
      <c r="P13103" s="2498"/>
    </row>
    <row r="13104" spans="16:16">
      <c r="P13104" s="2498"/>
    </row>
    <row r="13105" spans="16:16">
      <c r="P13105" s="2498"/>
    </row>
    <row r="13106" spans="16:16">
      <c r="P13106" s="2498"/>
    </row>
    <row r="13107" spans="16:16">
      <c r="P13107" s="2498"/>
    </row>
    <row r="13108" spans="16:16">
      <c r="P13108" s="2498"/>
    </row>
    <row r="13109" spans="16:16">
      <c r="P13109" s="2498"/>
    </row>
    <row r="13110" spans="16:16">
      <c r="P13110" s="2498"/>
    </row>
    <row r="13111" spans="16:16">
      <c r="P13111" s="2498"/>
    </row>
    <row r="13112" spans="16:16">
      <c r="P13112" s="2498"/>
    </row>
    <row r="13113" spans="16:16">
      <c r="P13113" s="2498"/>
    </row>
    <row r="13114" spans="16:16">
      <c r="P13114" s="2498"/>
    </row>
    <row r="13115" spans="16:16">
      <c r="P13115" s="2498"/>
    </row>
    <row r="13116" spans="16:16">
      <c r="P13116" s="2498"/>
    </row>
    <row r="13117" spans="16:16">
      <c r="P13117" s="2498"/>
    </row>
    <row r="13118" spans="16:16">
      <c r="P13118" s="2498"/>
    </row>
    <row r="13119" spans="16:16">
      <c r="P13119" s="2498"/>
    </row>
    <row r="13120" spans="16:16">
      <c r="P13120" s="2498"/>
    </row>
    <row r="13121" spans="16:16">
      <c r="P13121" s="2498"/>
    </row>
    <row r="13122" spans="16:16">
      <c r="P13122" s="2498"/>
    </row>
    <row r="13123" spans="16:16">
      <c r="P13123" s="2498"/>
    </row>
    <row r="13124" spans="16:16">
      <c r="P13124" s="2498"/>
    </row>
    <row r="13125" spans="16:16">
      <c r="P13125" s="2498"/>
    </row>
    <row r="13126" spans="16:16">
      <c r="P13126" s="2498"/>
    </row>
    <row r="13127" spans="16:16">
      <c r="P13127" s="2498"/>
    </row>
    <row r="13128" spans="16:16">
      <c r="P13128" s="2498"/>
    </row>
    <row r="13129" spans="16:16">
      <c r="P13129" s="2498"/>
    </row>
    <row r="13130" spans="16:16">
      <c r="P13130" s="2498"/>
    </row>
    <row r="13131" spans="16:16">
      <c r="P13131" s="2498"/>
    </row>
    <row r="13132" spans="16:16">
      <c r="P13132" s="2498"/>
    </row>
    <row r="13133" spans="16:16">
      <c r="P13133" s="2498"/>
    </row>
    <row r="13134" spans="16:16">
      <c r="P13134" s="2498"/>
    </row>
    <row r="13135" spans="16:16">
      <c r="P13135" s="2498"/>
    </row>
    <row r="13136" spans="16:16">
      <c r="P13136" s="2498"/>
    </row>
    <row r="13137" spans="16:16">
      <c r="P13137" s="2498"/>
    </row>
    <row r="13138" spans="16:16">
      <c r="P13138" s="2498"/>
    </row>
    <row r="13139" spans="16:16">
      <c r="P13139" s="2498"/>
    </row>
    <row r="13140" spans="16:16">
      <c r="P13140" s="2498"/>
    </row>
    <row r="13141" spans="16:16">
      <c r="P13141" s="2498"/>
    </row>
    <row r="13142" spans="16:16">
      <c r="P13142" s="2498"/>
    </row>
    <row r="13143" spans="16:16">
      <c r="P13143" s="2498"/>
    </row>
    <row r="13144" spans="16:16">
      <c r="P13144" s="2498"/>
    </row>
    <row r="13145" spans="16:16">
      <c r="P13145" s="2498"/>
    </row>
    <row r="13146" spans="16:16">
      <c r="P13146" s="2498"/>
    </row>
    <row r="13147" spans="16:16">
      <c r="P13147" s="2498"/>
    </row>
    <row r="13148" spans="16:16">
      <c r="P13148" s="2498"/>
    </row>
    <row r="13149" spans="16:16">
      <c r="P13149" s="2498"/>
    </row>
    <row r="13150" spans="16:16">
      <c r="P13150" s="2498"/>
    </row>
    <row r="13151" spans="16:16">
      <c r="P13151" s="2498"/>
    </row>
    <row r="13152" spans="16:16">
      <c r="P13152" s="2498"/>
    </row>
    <row r="13153" spans="16:16">
      <c r="P13153" s="2498"/>
    </row>
    <row r="13154" spans="16:16">
      <c r="P13154" s="2498"/>
    </row>
    <row r="13155" spans="16:16">
      <c r="P13155" s="2498"/>
    </row>
    <row r="13156" spans="16:16">
      <c r="P13156" s="2498"/>
    </row>
    <row r="13157" spans="16:16">
      <c r="P13157" s="2498"/>
    </row>
    <row r="13158" spans="16:16">
      <c r="P13158" s="2498"/>
    </row>
    <row r="13159" spans="16:16">
      <c r="P13159" s="2498"/>
    </row>
    <row r="13160" spans="16:16">
      <c r="P13160" s="2498"/>
    </row>
    <row r="13161" spans="16:16">
      <c r="P13161" s="2498"/>
    </row>
    <row r="13162" spans="16:16">
      <c r="P13162" s="2498"/>
    </row>
    <row r="13163" spans="16:16">
      <c r="P13163" s="2498"/>
    </row>
    <row r="13164" spans="16:16">
      <c r="P13164" s="2498"/>
    </row>
    <row r="13165" spans="16:16">
      <c r="P13165" s="2498"/>
    </row>
    <row r="13166" spans="16:16">
      <c r="P13166" s="2498"/>
    </row>
    <row r="13167" spans="16:16">
      <c r="P13167" s="2498"/>
    </row>
    <row r="13168" spans="16:16">
      <c r="P13168" s="2498"/>
    </row>
    <row r="13169" spans="16:16">
      <c r="P13169" s="2498"/>
    </row>
    <row r="13170" spans="16:16">
      <c r="P13170" s="2498"/>
    </row>
    <row r="13171" spans="16:16">
      <c r="P13171" s="2498"/>
    </row>
    <row r="13172" spans="16:16">
      <c r="P13172" s="2498"/>
    </row>
    <row r="13173" spans="16:16">
      <c r="P13173" s="2498"/>
    </row>
    <row r="13174" spans="16:16">
      <c r="P13174" s="2498"/>
    </row>
    <row r="13175" spans="16:16">
      <c r="P13175" s="2498"/>
    </row>
    <row r="13176" spans="16:16">
      <c r="P13176" s="2498"/>
    </row>
    <row r="13177" spans="16:16">
      <c r="P13177" s="2498"/>
    </row>
    <row r="13178" spans="16:16">
      <c r="P13178" s="2498"/>
    </row>
    <row r="13179" spans="16:16">
      <c r="P13179" s="2498"/>
    </row>
    <row r="13180" spans="16:16">
      <c r="P13180" s="2498"/>
    </row>
    <row r="13181" spans="16:16">
      <c r="P13181" s="2498"/>
    </row>
    <row r="13182" spans="16:16">
      <c r="P13182" s="2498"/>
    </row>
    <row r="13183" spans="16:16">
      <c r="P13183" s="2498"/>
    </row>
    <row r="13184" spans="16:16">
      <c r="P13184" s="2498"/>
    </row>
    <row r="13185" spans="16:16">
      <c r="P13185" s="2498"/>
    </row>
    <row r="13186" spans="16:16">
      <c r="P13186" s="2498"/>
    </row>
    <row r="13187" spans="16:16">
      <c r="P13187" s="2498"/>
    </row>
    <row r="13188" spans="16:16">
      <c r="P13188" s="2498"/>
    </row>
    <row r="13189" spans="16:16">
      <c r="P13189" s="2498"/>
    </row>
    <row r="13190" spans="16:16">
      <c r="P13190" s="2498"/>
    </row>
    <row r="13191" spans="16:16">
      <c r="P13191" s="2498"/>
    </row>
    <row r="13192" spans="16:16">
      <c r="P13192" s="2498"/>
    </row>
    <row r="13193" spans="16:16">
      <c r="P13193" s="2498"/>
    </row>
    <row r="13194" spans="16:16">
      <c r="P13194" s="2498"/>
    </row>
    <row r="13195" spans="16:16">
      <c r="P13195" s="2498"/>
    </row>
    <row r="13196" spans="16:16">
      <c r="P13196" s="2498"/>
    </row>
    <row r="13197" spans="16:16">
      <c r="P13197" s="2498"/>
    </row>
    <row r="13198" spans="16:16">
      <c r="P13198" s="2498"/>
    </row>
    <row r="13199" spans="16:16">
      <c r="P13199" s="2498"/>
    </row>
    <row r="13200" spans="16:16">
      <c r="P13200" s="2498"/>
    </row>
    <row r="13201" spans="16:16">
      <c r="P13201" s="2498"/>
    </row>
    <row r="13202" spans="16:16">
      <c r="P13202" s="2498"/>
    </row>
    <row r="13203" spans="16:16">
      <c r="P13203" s="2498"/>
    </row>
    <row r="13204" spans="16:16">
      <c r="P13204" s="2498"/>
    </row>
    <row r="13205" spans="16:16">
      <c r="P13205" s="2498"/>
    </row>
    <row r="13206" spans="16:16">
      <c r="P13206" s="2498"/>
    </row>
    <row r="13207" spans="16:16">
      <c r="P13207" s="2498"/>
    </row>
    <row r="13208" spans="16:16">
      <c r="P13208" s="2498"/>
    </row>
    <row r="13209" spans="16:16">
      <c r="P13209" s="2498"/>
    </row>
    <row r="13210" spans="16:16">
      <c r="P13210" s="2498"/>
    </row>
    <row r="13211" spans="16:16">
      <c r="P13211" s="2498"/>
    </row>
    <row r="13212" spans="16:16">
      <c r="P13212" s="2498"/>
    </row>
    <row r="13213" spans="16:16">
      <c r="P13213" s="2498"/>
    </row>
    <row r="13214" spans="16:16">
      <c r="P13214" s="2498"/>
    </row>
    <row r="13215" spans="16:16">
      <c r="P13215" s="2498"/>
    </row>
    <row r="13216" spans="16:16">
      <c r="P13216" s="2498"/>
    </row>
    <row r="13217" spans="16:16">
      <c r="P13217" s="2498"/>
    </row>
    <row r="13218" spans="16:16">
      <c r="P13218" s="2498"/>
    </row>
    <row r="13219" spans="16:16">
      <c r="P13219" s="2498"/>
    </row>
    <row r="13220" spans="16:16">
      <c r="P13220" s="2498"/>
    </row>
    <row r="13221" spans="16:16">
      <c r="P13221" s="2498"/>
    </row>
    <row r="13222" spans="16:16">
      <c r="P13222" s="2498"/>
    </row>
    <row r="13223" spans="16:16">
      <c r="P13223" s="2498"/>
    </row>
    <row r="13224" spans="16:16">
      <c r="P13224" s="2498"/>
    </row>
    <row r="13225" spans="16:16">
      <c r="P13225" s="2498"/>
    </row>
    <row r="13226" spans="16:16">
      <c r="P13226" s="2498"/>
    </row>
    <row r="13227" spans="16:16">
      <c r="P13227" s="2498"/>
    </row>
    <row r="13228" spans="16:16">
      <c r="P13228" s="2498"/>
    </row>
    <row r="13229" spans="16:16">
      <c r="P13229" s="2498"/>
    </row>
    <row r="13230" spans="16:16">
      <c r="P13230" s="2498"/>
    </row>
    <row r="13231" spans="16:16">
      <c r="P13231" s="2498"/>
    </row>
    <row r="13232" spans="16:16">
      <c r="P13232" s="2498"/>
    </row>
    <row r="13233" spans="16:16">
      <c r="P13233" s="2498"/>
    </row>
    <row r="13234" spans="16:16">
      <c r="P13234" s="2498"/>
    </row>
    <row r="13235" spans="16:16">
      <c r="P13235" s="2498"/>
    </row>
    <row r="13236" spans="16:16">
      <c r="P13236" s="2498"/>
    </row>
    <row r="13237" spans="16:16">
      <c r="P13237" s="2498"/>
    </row>
    <row r="13238" spans="16:16">
      <c r="P13238" s="2498"/>
    </row>
    <row r="13239" spans="16:16">
      <c r="P13239" s="2498"/>
    </row>
    <row r="13240" spans="16:16">
      <c r="P13240" s="2498"/>
    </row>
    <row r="13241" spans="16:16">
      <c r="P13241" s="2498"/>
    </row>
    <row r="13242" spans="16:16">
      <c r="P13242" s="2498"/>
    </row>
    <row r="13243" spans="16:16">
      <c r="P13243" s="2498"/>
    </row>
    <row r="13244" spans="16:16">
      <c r="P13244" s="2498"/>
    </row>
    <row r="13245" spans="16:16">
      <c r="P13245" s="2498"/>
    </row>
    <row r="13246" spans="16:16">
      <c r="P13246" s="2498"/>
    </row>
    <row r="13247" spans="16:16">
      <c r="P13247" s="2498"/>
    </row>
    <row r="13248" spans="16:16">
      <c r="P13248" s="2498"/>
    </row>
    <row r="13249" spans="16:16">
      <c r="P13249" s="2498"/>
    </row>
    <row r="13250" spans="16:16">
      <c r="P13250" s="2498"/>
    </row>
    <row r="13251" spans="16:16">
      <c r="P13251" s="2498"/>
    </row>
    <row r="13252" spans="16:16">
      <c r="P13252" s="2498"/>
    </row>
    <row r="13253" spans="16:16">
      <c r="P13253" s="2498"/>
    </row>
    <row r="13254" spans="16:16">
      <c r="P13254" s="2498"/>
    </row>
    <row r="13255" spans="16:16">
      <c r="P13255" s="2498"/>
    </row>
    <row r="13256" spans="16:16">
      <c r="P13256" s="2498"/>
    </row>
    <row r="13257" spans="16:16">
      <c r="P13257" s="2498"/>
    </row>
    <row r="13258" spans="16:16">
      <c r="P13258" s="2498"/>
    </row>
    <row r="13259" spans="16:16">
      <c r="P13259" s="2498"/>
    </row>
    <row r="13260" spans="16:16">
      <c r="P13260" s="2498"/>
    </row>
    <row r="13261" spans="16:16">
      <c r="P13261" s="2498"/>
    </row>
    <row r="13262" spans="16:16">
      <c r="P13262" s="2498"/>
    </row>
    <row r="13263" spans="16:16">
      <c r="P13263" s="2498"/>
    </row>
    <row r="13264" spans="16:16">
      <c r="P13264" s="2498"/>
    </row>
    <row r="13265" spans="16:16">
      <c r="P13265" s="2498"/>
    </row>
    <row r="13266" spans="16:16">
      <c r="P13266" s="2498"/>
    </row>
    <row r="13267" spans="16:16">
      <c r="P13267" s="2498"/>
    </row>
    <row r="13268" spans="16:16">
      <c r="P13268" s="2498"/>
    </row>
    <row r="13269" spans="16:16">
      <c r="P13269" s="2498"/>
    </row>
    <row r="13270" spans="16:16">
      <c r="P13270" s="2498"/>
    </row>
    <row r="13271" spans="16:16">
      <c r="P13271" s="2498"/>
    </row>
    <row r="13272" spans="16:16">
      <c r="P13272" s="2498"/>
    </row>
    <row r="13273" spans="16:16">
      <c r="P13273" s="2498"/>
    </row>
    <row r="13274" spans="16:16">
      <c r="P13274" s="2498"/>
    </row>
    <row r="13275" spans="16:16">
      <c r="P13275" s="2498"/>
    </row>
    <row r="13276" spans="16:16">
      <c r="P13276" s="2498"/>
    </row>
    <row r="13277" spans="16:16">
      <c r="P13277" s="2498"/>
    </row>
    <row r="13278" spans="16:16">
      <c r="P13278" s="2498"/>
    </row>
    <row r="13279" spans="16:16">
      <c r="P13279" s="2498"/>
    </row>
    <row r="13280" spans="16:16">
      <c r="P13280" s="2498"/>
    </row>
    <row r="13281" spans="16:16">
      <c r="P13281" s="2498"/>
    </row>
    <row r="13282" spans="16:16">
      <c r="P13282" s="2498"/>
    </row>
    <row r="13283" spans="16:16">
      <c r="P13283" s="2498"/>
    </row>
    <row r="13284" spans="16:16">
      <c r="P13284" s="2498"/>
    </row>
    <row r="13285" spans="16:16">
      <c r="P13285" s="2498"/>
    </row>
    <row r="13286" spans="16:16">
      <c r="P13286" s="2498"/>
    </row>
    <row r="13287" spans="16:16">
      <c r="P13287" s="2498"/>
    </row>
    <row r="13288" spans="16:16">
      <c r="P13288" s="2498"/>
    </row>
    <row r="13289" spans="16:16">
      <c r="P13289" s="2498"/>
    </row>
    <row r="13290" spans="16:16">
      <c r="P13290" s="2498"/>
    </row>
    <row r="13291" spans="16:16">
      <c r="P13291" s="2498"/>
    </row>
    <row r="13292" spans="16:16">
      <c r="P13292" s="2498"/>
    </row>
    <row r="13293" spans="16:16">
      <c r="P13293" s="2498"/>
    </row>
    <row r="13294" spans="16:16">
      <c r="P13294" s="2498"/>
    </row>
    <row r="13295" spans="16:16">
      <c r="P13295" s="2498"/>
    </row>
    <row r="13296" spans="16:16">
      <c r="P13296" s="2498"/>
    </row>
    <row r="13297" spans="16:16">
      <c r="P13297" s="2498"/>
    </row>
    <row r="13298" spans="16:16">
      <c r="P13298" s="2498"/>
    </row>
    <row r="13299" spans="16:16">
      <c r="P13299" s="2498"/>
    </row>
    <row r="13300" spans="16:16">
      <c r="P13300" s="2498"/>
    </row>
    <row r="13301" spans="16:16">
      <c r="P13301" s="2498"/>
    </row>
    <row r="13302" spans="16:16">
      <c r="P13302" s="2498"/>
    </row>
    <row r="13303" spans="16:16">
      <c r="P13303" s="2498"/>
    </row>
    <row r="13304" spans="16:16">
      <c r="P13304" s="2498"/>
    </row>
    <row r="13305" spans="16:16">
      <c r="P13305" s="2498"/>
    </row>
    <row r="13306" spans="16:16">
      <c r="P13306" s="2498"/>
    </row>
    <row r="13307" spans="16:16">
      <c r="P13307" s="2498"/>
    </row>
    <row r="13308" spans="16:16">
      <c r="P13308" s="2498"/>
    </row>
    <row r="13309" spans="16:16">
      <c r="P13309" s="2498"/>
    </row>
    <row r="13310" spans="16:16">
      <c r="P13310" s="2498"/>
    </row>
    <row r="13311" spans="16:16">
      <c r="P13311" s="2498"/>
    </row>
    <row r="13312" spans="16:16">
      <c r="P13312" s="2498"/>
    </row>
    <row r="13313" spans="16:16">
      <c r="P13313" s="2498"/>
    </row>
    <row r="13314" spans="16:16">
      <c r="P13314" s="2498"/>
    </row>
    <row r="13315" spans="16:16">
      <c r="P13315" s="2498"/>
    </row>
    <row r="13316" spans="16:16">
      <c r="P13316" s="2498"/>
    </row>
    <row r="13317" spans="16:16">
      <c r="P13317" s="2498"/>
    </row>
    <row r="13318" spans="16:16">
      <c r="P13318" s="2498"/>
    </row>
    <row r="13319" spans="16:16">
      <c r="P13319" s="2498"/>
    </row>
    <row r="13320" spans="16:16">
      <c r="P13320" s="2498"/>
    </row>
    <row r="13321" spans="16:16">
      <c r="P13321" s="2498"/>
    </row>
    <row r="13322" spans="16:16">
      <c r="P13322" s="2498"/>
    </row>
    <row r="13323" spans="16:16">
      <c r="P13323" s="2498"/>
    </row>
    <row r="13324" spans="16:16">
      <c r="P13324" s="2498"/>
    </row>
    <row r="13325" spans="16:16">
      <c r="P13325" s="2498"/>
    </row>
    <row r="13326" spans="16:16">
      <c r="P13326" s="2498"/>
    </row>
    <row r="13327" spans="16:16">
      <c r="P13327" s="2498"/>
    </row>
    <row r="13328" spans="16:16">
      <c r="P13328" s="2498"/>
    </row>
    <row r="13329" spans="16:16">
      <c r="P13329" s="2498"/>
    </row>
    <row r="13330" spans="16:16">
      <c r="P13330" s="2498"/>
    </row>
    <row r="13331" spans="16:16">
      <c r="P13331" s="2498"/>
    </row>
    <row r="13332" spans="16:16">
      <c r="P13332" s="2498"/>
    </row>
    <row r="13333" spans="16:16">
      <c r="P13333" s="2498"/>
    </row>
    <row r="13334" spans="16:16">
      <c r="P13334" s="2498"/>
    </row>
    <row r="13335" spans="16:16">
      <c r="P13335" s="2498"/>
    </row>
    <row r="13336" spans="16:16">
      <c r="P13336" s="2498"/>
    </row>
    <row r="13337" spans="16:16">
      <c r="P13337" s="2498"/>
    </row>
    <row r="13338" spans="16:16">
      <c r="P13338" s="2498"/>
    </row>
    <row r="13339" spans="16:16">
      <c r="P13339" s="2498"/>
    </row>
    <row r="13340" spans="16:16">
      <c r="P13340" s="2498"/>
    </row>
    <row r="13341" spans="16:16">
      <c r="P13341" s="2498"/>
    </row>
    <row r="13342" spans="16:16">
      <c r="P13342" s="2498"/>
    </row>
    <row r="13343" spans="16:16">
      <c r="P13343" s="2498"/>
    </row>
    <row r="13344" spans="16:16">
      <c r="P13344" s="2498"/>
    </row>
    <row r="13345" spans="16:16">
      <c r="P13345" s="2498"/>
    </row>
    <row r="13346" spans="16:16">
      <c r="P13346" s="2498"/>
    </row>
    <row r="13347" spans="16:16">
      <c r="P13347" s="2498"/>
    </row>
    <row r="13348" spans="16:16">
      <c r="P13348" s="2498"/>
    </row>
    <row r="13349" spans="16:16">
      <c r="P13349" s="2498"/>
    </row>
    <row r="13350" spans="16:16">
      <c r="P13350" s="2498"/>
    </row>
    <row r="13351" spans="16:16">
      <c r="P13351" s="2498"/>
    </row>
    <row r="13352" spans="16:16">
      <c r="P13352" s="2498"/>
    </row>
    <row r="13353" spans="16:16">
      <c r="P13353" s="2498"/>
    </row>
    <row r="13354" spans="16:16">
      <c r="P13354" s="2498"/>
    </row>
    <row r="13355" spans="16:16">
      <c r="P13355" s="2498"/>
    </row>
    <row r="13356" spans="16:16">
      <c r="P13356" s="2498"/>
    </row>
    <row r="13357" spans="16:16">
      <c r="P13357" s="2498"/>
    </row>
    <row r="13358" spans="16:16">
      <c r="P13358" s="2498"/>
    </row>
    <row r="13359" spans="16:16">
      <c r="P13359" s="2498"/>
    </row>
    <row r="13360" spans="16:16">
      <c r="P13360" s="2498"/>
    </row>
    <row r="13361" spans="16:16">
      <c r="P13361" s="2498"/>
    </row>
    <row r="13362" spans="16:16">
      <c r="P13362" s="2498"/>
    </row>
    <row r="13363" spans="16:16">
      <c r="P13363" s="2498"/>
    </row>
    <row r="13364" spans="16:16">
      <c r="P13364" s="2498"/>
    </row>
    <row r="13365" spans="16:16">
      <c r="P13365" s="2498"/>
    </row>
    <row r="13366" spans="16:16">
      <c r="P13366" s="2498"/>
    </row>
    <row r="13367" spans="16:16">
      <c r="P13367" s="2498"/>
    </row>
    <row r="13368" spans="16:16">
      <c r="P13368" s="2498"/>
    </row>
    <row r="13369" spans="16:16">
      <c r="P13369" s="2498"/>
    </row>
    <row r="13370" spans="16:16">
      <c r="P13370" s="2498"/>
    </row>
    <row r="13371" spans="16:16">
      <c r="P13371" s="2498"/>
    </row>
    <row r="13372" spans="16:16">
      <c r="P13372" s="2498"/>
    </row>
    <row r="13373" spans="16:16">
      <c r="P13373" s="2498"/>
    </row>
    <row r="13374" spans="16:16">
      <c r="P13374" s="2498"/>
    </row>
    <row r="13375" spans="16:16">
      <c r="P13375" s="2498"/>
    </row>
    <row r="13376" spans="16:16">
      <c r="P13376" s="2498"/>
    </row>
    <row r="13377" spans="16:16">
      <c r="P13377" s="2498"/>
    </row>
    <row r="13378" spans="16:16">
      <c r="P13378" s="2498"/>
    </row>
    <row r="13379" spans="16:16">
      <c r="P13379" s="2498"/>
    </row>
    <row r="13380" spans="16:16">
      <c r="P13380" s="2498"/>
    </row>
    <row r="13381" spans="16:16">
      <c r="P13381" s="2498"/>
    </row>
    <row r="13382" spans="16:16">
      <c r="P13382" s="2498"/>
    </row>
    <row r="13383" spans="16:16">
      <c r="P13383" s="2498"/>
    </row>
    <row r="13384" spans="16:16">
      <c r="P13384" s="2498"/>
    </row>
    <row r="13385" spans="16:16">
      <c r="P13385" s="2498"/>
    </row>
    <row r="13386" spans="16:16">
      <c r="P13386" s="2498"/>
    </row>
    <row r="13387" spans="16:16">
      <c r="P13387" s="2498"/>
    </row>
    <row r="13388" spans="16:16">
      <c r="P13388" s="2498"/>
    </row>
    <row r="13389" spans="16:16">
      <c r="P13389" s="2498"/>
    </row>
    <row r="13390" spans="16:16">
      <c r="P13390" s="2498"/>
    </row>
    <row r="13391" spans="16:16">
      <c r="P13391" s="2498"/>
    </row>
    <row r="13392" spans="16:16">
      <c r="P13392" s="2498"/>
    </row>
    <row r="13393" spans="16:16">
      <c r="P13393" s="2498"/>
    </row>
    <row r="13394" spans="16:16">
      <c r="P13394" s="2498"/>
    </row>
    <row r="13395" spans="16:16">
      <c r="P13395" s="2498"/>
    </row>
    <row r="13396" spans="16:16">
      <c r="P13396" s="2498"/>
    </row>
    <row r="13397" spans="16:16">
      <c r="P13397" s="2498"/>
    </row>
    <row r="13398" spans="16:16">
      <c r="P13398" s="2498"/>
    </row>
    <row r="13399" spans="16:16">
      <c r="P13399" s="2498"/>
    </row>
    <row r="13400" spans="16:16">
      <c r="P13400" s="2498"/>
    </row>
    <row r="13401" spans="16:16">
      <c r="P13401" s="2498"/>
    </row>
    <row r="13402" spans="16:16">
      <c r="P13402" s="2498"/>
    </row>
    <row r="13403" spans="16:16">
      <c r="P13403" s="2498"/>
    </row>
    <row r="13404" spans="16:16">
      <c r="P13404" s="2498"/>
    </row>
    <row r="13405" spans="16:16">
      <c r="P13405" s="2498"/>
    </row>
    <row r="13406" spans="16:16">
      <c r="P13406" s="2498"/>
    </row>
    <row r="13407" spans="16:16">
      <c r="P13407" s="2498"/>
    </row>
    <row r="13408" spans="16:16">
      <c r="P13408" s="2498"/>
    </row>
    <row r="13409" spans="16:16">
      <c r="P13409" s="2498"/>
    </row>
    <row r="13410" spans="16:16">
      <c r="P13410" s="2498"/>
    </row>
    <row r="13411" spans="16:16">
      <c r="P13411" s="2498"/>
    </row>
    <row r="13412" spans="16:16">
      <c r="P13412" s="2498"/>
    </row>
    <row r="13413" spans="16:16">
      <c r="P13413" s="2498"/>
    </row>
    <row r="13414" spans="16:16">
      <c r="P13414" s="2498"/>
    </row>
    <row r="13415" spans="16:16">
      <c r="P13415" s="2498"/>
    </row>
    <row r="13416" spans="16:16">
      <c r="P13416" s="2498"/>
    </row>
    <row r="13417" spans="16:16">
      <c r="P13417" s="2498"/>
    </row>
    <row r="13418" spans="16:16">
      <c r="P13418" s="2498"/>
    </row>
    <row r="13419" spans="16:16">
      <c r="P13419" s="2498"/>
    </row>
    <row r="13420" spans="16:16">
      <c r="P13420" s="2498"/>
    </row>
    <row r="13421" spans="16:16">
      <c r="P13421" s="2498"/>
    </row>
    <row r="13422" spans="16:16">
      <c r="P13422" s="2498"/>
    </row>
    <row r="13423" spans="16:16">
      <c r="P13423" s="2498"/>
    </row>
    <row r="13424" spans="16:16">
      <c r="P13424" s="2498"/>
    </row>
    <row r="13425" spans="16:16">
      <c r="P13425" s="2498"/>
    </row>
    <row r="13426" spans="16:16">
      <c r="P13426" s="2498"/>
    </row>
    <row r="13427" spans="16:16">
      <c r="P13427" s="2498"/>
    </row>
    <row r="13428" spans="16:16">
      <c r="P13428" s="2498"/>
    </row>
    <row r="13429" spans="16:16">
      <c r="P13429" s="2498"/>
    </row>
    <row r="13430" spans="16:16">
      <c r="P13430" s="2498"/>
    </row>
    <row r="13431" spans="16:16">
      <c r="P13431" s="2498"/>
    </row>
    <row r="13432" spans="16:16">
      <c r="P13432" s="2498"/>
    </row>
    <row r="13433" spans="16:16">
      <c r="P13433" s="2498"/>
    </row>
    <row r="13434" spans="16:16">
      <c r="P13434" s="2498"/>
    </row>
    <row r="13435" spans="16:16">
      <c r="P13435" s="2498"/>
    </row>
    <row r="13436" spans="16:16">
      <c r="P13436" s="2498"/>
    </row>
    <row r="13437" spans="16:16">
      <c r="P13437" s="2498"/>
    </row>
    <row r="13438" spans="16:16">
      <c r="P13438" s="2498"/>
    </row>
    <row r="13439" spans="16:16">
      <c r="P13439" s="2498"/>
    </row>
    <row r="13440" spans="16:16">
      <c r="P13440" s="2498"/>
    </row>
    <row r="13441" spans="16:16">
      <c r="P13441" s="2498"/>
    </row>
    <row r="13442" spans="16:16">
      <c r="P13442" s="2498"/>
    </row>
    <row r="13443" spans="16:16">
      <c r="P13443" s="2498"/>
    </row>
    <row r="13444" spans="16:16">
      <c r="P13444" s="2498"/>
    </row>
    <row r="13445" spans="16:16">
      <c r="P13445" s="2498"/>
    </row>
    <row r="13446" spans="16:16">
      <c r="P13446" s="2498"/>
    </row>
    <row r="13447" spans="16:16">
      <c r="P13447" s="2498"/>
    </row>
    <row r="13448" spans="16:16">
      <c r="P13448" s="2498"/>
    </row>
    <row r="13449" spans="16:16">
      <c r="P13449" s="2498"/>
    </row>
    <row r="13450" spans="16:16">
      <c r="P13450" s="2498"/>
    </row>
    <row r="13451" spans="16:16">
      <c r="P13451" s="2498"/>
    </row>
    <row r="13452" spans="16:16">
      <c r="P13452" s="2498"/>
    </row>
    <row r="13453" spans="16:16">
      <c r="P13453" s="2498"/>
    </row>
    <row r="13454" spans="16:16">
      <c r="P13454" s="2498"/>
    </row>
    <row r="13455" spans="16:16">
      <c r="P13455" s="2498"/>
    </row>
    <row r="13456" spans="16:16">
      <c r="P13456" s="2498"/>
    </row>
    <row r="13457" spans="16:16">
      <c r="P13457" s="2498"/>
    </row>
    <row r="13458" spans="16:16">
      <c r="P13458" s="2498"/>
    </row>
    <row r="13459" spans="16:16">
      <c r="P13459" s="2498"/>
    </row>
    <row r="13460" spans="16:16">
      <c r="P13460" s="2498"/>
    </row>
    <row r="13461" spans="16:16">
      <c r="P13461" s="2498"/>
    </row>
    <row r="13462" spans="16:16">
      <c r="P13462" s="2498"/>
    </row>
    <row r="13463" spans="16:16">
      <c r="P13463" s="2498"/>
    </row>
    <row r="13464" spans="16:16">
      <c r="P13464" s="2498"/>
    </row>
    <row r="13465" spans="16:16">
      <c r="P13465" s="2498"/>
    </row>
    <row r="13466" spans="16:16">
      <c r="P13466" s="2498"/>
    </row>
    <row r="13467" spans="16:16">
      <c r="P13467" s="2498"/>
    </row>
    <row r="13468" spans="16:16">
      <c r="P13468" s="2498"/>
    </row>
    <row r="13469" spans="16:16">
      <c r="P13469" s="2498"/>
    </row>
    <row r="13470" spans="16:16">
      <c r="P13470" s="2498"/>
    </row>
    <row r="13471" spans="16:16">
      <c r="P13471" s="2498"/>
    </row>
    <row r="13472" spans="16:16">
      <c r="P13472" s="2498"/>
    </row>
    <row r="13473" spans="16:16">
      <c r="P13473" s="2498"/>
    </row>
    <row r="13474" spans="16:16">
      <c r="P13474" s="2498"/>
    </row>
    <row r="13475" spans="16:16">
      <c r="P13475" s="2498"/>
    </row>
    <row r="13476" spans="16:16">
      <c r="P13476" s="2498"/>
    </row>
    <row r="13477" spans="16:16">
      <c r="P13477" s="2498"/>
    </row>
    <row r="13478" spans="16:16">
      <c r="P13478" s="2498"/>
    </row>
    <row r="13479" spans="16:16">
      <c r="P13479" s="2498"/>
    </row>
    <row r="13480" spans="16:16">
      <c r="P13480" s="2498"/>
    </row>
    <row r="13481" spans="16:16">
      <c r="P13481" s="2498"/>
    </row>
    <row r="13482" spans="16:16">
      <c r="P13482" s="2498"/>
    </row>
    <row r="13483" spans="16:16">
      <c r="P13483" s="2498"/>
    </row>
    <row r="13484" spans="16:16">
      <c r="P13484" s="2498"/>
    </row>
    <row r="13485" spans="16:16">
      <c r="P13485" s="2498"/>
    </row>
    <row r="13486" spans="16:16">
      <c r="P13486" s="2498"/>
    </row>
    <row r="13487" spans="16:16">
      <c r="P13487" s="2498"/>
    </row>
    <row r="13488" spans="16:16">
      <c r="P13488" s="2498"/>
    </row>
    <row r="13489" spans="16:16">
      <c r="P13489" s="2498"/>
    </row>
    <row r="13490" spans="16:16">
      <c r="P13490" s="2498"/>
    </row>
    <row r="13491" spans="16:16">
      <c r="P13491" s="2498"/>
    </row>
    <row r="13492" spans="16:16">
      <c r="P13492" s="2498"/>
    </row>
    <row r="13493" spans="16:16">
      <c r="P13493" s="2498"/>
    </row>
    <row r="13494" spans="16:16">
      <c r="P13494" s="2498"/>
    </row>
    <row r="13495" spans="16:16">
      <c r="P13495" s="2498"/>
    </row>
    <row r="13496" spans="16:16">
      <c r="P13496" s="2498"/>
    </row>
    <row r="13497" spans="16:16">
      <c r="P13497" s="2498"/>
    </row>
    <row r="13498" spans="16:16">
      <c r="P13498" s="2498"/>
    </row>
    <row r="13499" spans="16:16">
      <c r="P13499" s="2498"/>
    </row>
    <row r="13500" spans="16:16">
      <c r="P13500" s="2498"/>
    </row>
    <row r="13501" spans="16:16">
      <c r="P13501" s="2498"/>
    </row>
    <row r="13502" spans="16:16">
      <c r="P13502" s="2498"/>
    </row>
    <row r="13503" spans="16:16">
      <c r="P13503" s="2498"/>
    </row>
    <row r="13504" spans="16:16">
      <c r="P13504" s="2498"/>
    </row>
    <row r="13505" spans="16:16">
      <c r="P13505" s="2498"/>
    </row>
    <row r="13506" spans="16:16">
      <c r="P13506" s="2498"/>
    </row>
    <row r="13507" spans="16:16">
      <c r="P13507" s="2498"/>
    </row>
    <row r="13508" spans="16:16">
      <c r="P13508" s="2498"/>
    </row>
    <row r="13509" spans="16:16">
      <c r="P13509" s="2498"/>
    </row>
    <row r="13510" spans="16:16">
      <c r="P13510" s="2498"/>
    </row>
    <row r="13511" spans="16:16">
      <c r="P13511" s="2498"/>
    </row>
    <row r="13512" spans="16:16">
      <c r="P13512" s="2498"/>
    </row>
    <row r="13513" spans="16:16">
      <c r="P13513" s="2498"/>
    </row>
    <row r="13514" spans="16:16">
      <c r="P13514" s="2498"/>
    </row>
    <row r="13515" spans="16:16">
      <c r="P13515" s="2498"/>
    </row>
    <row r="13516" spans="16:16">
      <c r="P13516" s="2498"/>
    </row>
    <row r="13517" spans="16:16">
      <c r="P13517" s="2498"/>
    </row>
    <row r="13518" spans="16:16">
      <c r="P13518" s="2498"/>
    </row>
    <row r="13519" spans="16:16">
      <c r="P13519" s="2498"/>
    </row>
    <row r="13520" spans="16:16">
      <c r="P13520" s="2498"/>
    </row>
    <row r="13521" spans="16:16">
      <c r="P13521" s="2498"/>
    </row>
    <row r="13522" spans="16:16">
      <c r="P13522" s="2498"/>
    </row>
    <row r="13523" spans="16:16">
      <c r="P13523" s="2498"/>
    </row>
    <row r="13524" spans="16:16">
      <c r="P13524" s="2498"/>
    </row>
    <row r="13525" spans="16:16">
      <c r="P13525" s="2498"/>
    </row>
    <row r="13526" spans="16:16">
      <c r="P13526" s="2498"/>
    </row>
    <row r="13527" spans="16:16">
      <c r="P13527" s="2498"/>
    </row>
    <row r="13528" spans="16:16">
      <c r="P13528" s="2498"/>
    </row>
    <row r="13529" spans="16:16">
      <c r="P13529" s="2498"/>
    </row>
    <row r="13530" spans="16:16">
      <c r="P13530" s="2498"/>
    </row>
    <row r="13531" spans="16:16">
      <c r="P13531" s="2498"/>
    </row>
    <row r="13532" spans="16:16">
      <c r="P13532" s="2498"/>
    </row>
    <row r="13533" spans="16:16">
      <c r="P13533" s="2498"/>
    </row>
    <row r="13534" spans="16:16">
      <c r="P13534" s="2498"/>
    </row>
    <row r="13535" spans="16:16">
      <c r="P13535" s="2498"/>
    </row>
    <row r="13536" spans="16:16">
      <c r="P13536" s="2498"/>
    </row>
    <row r="13537" spans="16:16">
      <c r="P13537" s="2498"/>
    </row>
    <row r="13538" spans="16:16">
      <c r="P13538" s="2498"/>
    </row>
    <row r="13539" spans="16:16">
      <c r="P13539" s="2498"/>
    </row>
    <row r="13540" spans="16:16">
      <c r="P13540" s="2498"/>
    </row>
    <row r="13541" spans="16:16">
      <c r="P13541" s="2498"/>
    </row>
    <row r="13542" spans="16:16">
      <c r="P13542" s="2498"/>
    </row>
    <row r="13543" spans="16:16">
      <c r="P13543" s="2498"/>
    </row>
    <row r="13544" spans="16:16">
      <c r="P13544" s="2498"/>
    </row>
    <row r="13545" spans="16:16">
      <c r="P13545" s="2498"/>
    </row>
    <row r="13546" spans="16:16">
      <c r="P13546" s="2498"/>
    </row>
    <row r="13547" spans="16:16">
      <c r="P13547" s="2498"/>
    </row>
    <row r="13548" spans="16:16">
      <c r="P13548" s="2498"/>
    </row>
    <row r="13549" spans="16:16">
      <c r="P13549" s="2498"/>
    </row>
    <row r="13550" spans="16:16">
      <c r="P13550" s="2498"/>
    </row>
    <row r="13551" spans="16:16">
      <c r="P13551" s="2498"/>
    </row>
    <row r="13552" spans="16:16">
      <c r="P13552" s="2498"/>
    </row>
    <row r="13553" spans="16:16">
      <c r="P13553" s="2498"/>
    </row>
    <row r="13554" spans="16:16">
      <c r="P13554" s="2498"/>
    </row>
    <row r="13555" spans="16:16">
      <c r="P13555" s="2498"/>
    </row>
    <row r="13556" spans="16:16">
      <c r="P13556" s="2498"/>
    </row>
    <row r="13557" spans="16:16">
      <c r="P13557" s="2498"/>
    </row>
    <row r="13558" spans="16:16">
      <c r="P13558" s="2498"/>
    </row>
    <row r="13559" spans="16:16">
      <c r="P13559" s="2498"/>
    </row>
    <row r="13560" spans="16:16">
      <c r="P13560" s="2498"/>
    </row>
    <row r="13561" spans="16:16">
      <c r="P13561" s="2498"/>
    </row>
    <row r="13562" spans="16:16">
      <c r="P13562" s="2498"/>
    </row>
    <row r="13563" spans="16:16">
      <c r="P13563" s="2498"/>
    </row>
    <row r="13564" spans="16:16">
      <c r="P13564" s="2498"/>
    </row>
    <row r="13565" spans="16:16">
      <c r="P13565" s="2498"/>
    </row>
    <row r="13566" spans="16:16">
      <c r="P13566" s="2498"/>
    </row>
    <row r="13567" spans="16:16">
      <c r="P13567" s="2498"/>
    </row>
    <row r="13568" spans="16:16">
      <c r="P13568" s="2498"/>
    </row>
    <row r="13569" spans="16:16">
      <c r="P13569" s="2498"/>
    </row>
    <row r="13570" spans="16:16">
      <c r="P13570" s="2498"/>
    </row>
    <row r="13571" spans="16:16">
      <c r="P13571" s="2498"/>
    </row>
    <row r="13572" spans="16:16">
      <c r="P13572" s="2498"/>
    </row>
    <row r="13573" spans="16:16">
      <c r="P13573" s="2498"/>
    </row>
    <row r="13574" spans="16:16">
      <c r="P13574" s="2498"/>
    </row>
    <row r="13575" spans="16:16">
      <c r="P13575" s="2498"/>
    </row>
    <row r="13576" spans="16:16">
      <c r="P13576" s="2498"/>
    </row>
    <row r="13577" spans="16:16">
      <c r="P13577" s="2498"/>
    </row>
    <row r="13578" spans="16:16">
      <c r="P13578" s="2498"/>
    </row>
    <row r="13579" spans="16:16">
      <c r="P13579" s="2498"/>
    </row>
    <row r="13580" spans="16:16">
      <c r="P13580" s="2498"/>
    </row>
    <row r="13581" spans="16:16">
      <c r="P13581" s="2498"/>
    </row>
    <row r="13582" spans="16:16">
      <c r="P13582" s="2498"/>
    </row>
    <row r="13583" spans="16:16">
      <c r="P13583" s="2498"/>
    </row>
    <row r="13584" spans="16:16">
      <c r="P13584" s="2498"/>
    </row>
    <row r="13585" spans="16:16">
      <c r="P13585" s="2498"/>
    </row>
    <row r="13586" spans="16:16">
      <c r="P13586" s="2498"/>
    </row>
    <row r="13587" spans="16:16">
      <c r="P13587" s="2498"/>
    </row>
    <row r="13588" spans="16:16">
      <c r="P13588" s="2498"/>
    </row>
    <row r="13589" spans="16:16">
      <c r="P13589" s="2498"/>
    </row>
    <row r="13590" spans="16:16">
      <c r="P13590" s="2498"/>
    </row>
    <row r="13591" spans="16:16">
      <c r="P13591" s="2498"/>
    </row>
    <row r="13592" spans="16:16">
      <c r="P13592" s="2498"/>
    </row>
    <row r="13593" spans="16:16">
      <c r="P13593" s="2498"/>
    </row>
    <row r="13594" spans="16:16">
      <c r="P13594" s="2498"/>
    </row>
    <row r="13595" spans="16:16">
      <c r="P13595" s="2498"/>
    </row>
    <row r="13596" spans="16:16">
      <c r="P13596" s="2498"/>
    </row>
    <row r="13597" spans="16:16">
      <c r="P13597" s="2498"/>
    </row>
    <row r="13598" spans="16:16">
      <c r="P13598" s="2498"/>
    </row>
    <row r="13599" spans="16:16">
      <c r="P13599" s="2498"/>
    </row>
    <row r="13600" spans="16:16">
      <c r="P13600" s="2498"/>
    </row>
    <row r="13601" spans="16:16">
      <c r="P13601" s="2498"/>
    </row>
    <row r="13602" spans="16:16">
      <c r="P13602" s="2498"/>
    </row>
    <row r="13603" spans="16:16">
      <c r="P13603" s="2498"/>
    </row>
    <row r="13604" spans="16:16">
      <c r="P13604" s="2498"/>
    </row>
    <row r="13605" spans="16:16">
      <c r="P13605" s="2498"/>
    </row>
    <row r="13606" spans="16:16">
      <c r="P13606" s="2498"/>
    </row>
    <row r="13607" spans="16:16">
      <c r="P13607" s="2498"/>
    </row>
    <row r="13608" spans="16:16">
      <c r="P13608" s="2498"/>
    </row>
    <row r="13609" spans="16:16">
      <c r="P13609" s="2498"/>
    </row>
    <row r="13610" spans="16:16">
      <c r="P13610" s="2498"/>
    </row>
    <row r="13611" spans="16:16">
      <c r="P13611" s="2498"/>
    </row>
    <row r="13612" spans="16:16">
      <c r="P13612" s="2498"/>
    </row>
    <row r="13613" spans="16:16">
      <c r="P13613" s="2498"/>
    </row>
    <row r="13614" spans="16:16">
      <c r="P13614" s="2498"/>
    </row>
    <row r="13615" spans="16:16">
      <c r="P13615" s="2498"/>
    </row>
    <row r="13616" spans="16:16">
      <c r="P13616" s="2498"/>
    </row>
    <row r="13617" spans="16:16">
      <c r="P13617" s="2498"/>
    </row>
    <row r="13618" spans="16:16">
      <c r="P13618" s="2498"/>
    </row>
    <row r="13619" spans="16:16">
      <c r="P13619" s="2498"/>
    </row>
    <row r="13620" spans="16:16">
      <c r="P13620" s="2498"/>
    </row>
    <row r="13621" spans="16:16">
      <c r="P13621" s="2498"/>
    </row>
    <row r="13622" spans="16:16">
      <c r="P13622" s="2498"/>
    </row>
    <row r="13623" spans="16:16">
      <c r="P13623" s="2498"/>
    </row>
    <row r="13624" spans="16:16">
      <c r="P13624" s="2498"/>
    </row>
    <row r="13625" spans="16:16">
      <c r="P13625" s="2498"/>
    </row>
    <row r="13626" spans="16:16">
      <c r="P13626" s="2498"/>
    </row>
    <row r="13627" spans="16:16">
      <c r="P13627" s="2498"/>
    </row>
    <row r="13628" spans="16:16">
      <c r="P13628" s="2498"/>
    </row>
    <row r="13629" spans="16:16">
      <c r="P13629" s="2498"/>
    </row>
    <row r="13630" spans="16:16">
      <c r="P13630" s="2498"/>
    </row>
    <row r="13631" spans="16:16">
      <c r="P13631" s="2498"/>
    </row>
    <row r="13632" spans="16:16">
      <c r="P13632" s="2498"/>
    </row>
    <row r="13633" spans="16:16">
      <c r="P13633" s="2498"/>
    </row>
    <row r="13634" spans="16:16">
      <c r="P13634" s="2498"/>
    </row>
    <row r="13635" spans="16:16">
      <c r="P13635" s="2498"/>
    </row>
    <row r="13636" spans="16:16">
      <c r="P13636" s="2498"/>
    </row>
    <row r="13637" spans="16:16">
      <c r="P13637" s="2498"/>
    </row>
    <row r="13638" spans="16:16">
      <c r="P13638" s="2498"/>
    </row>
    <row r="13639" spans="16:16">
      <c r="P13639" s="2498"/>
    </row>
    <row r="13640" spans="16:16">
      <c r="P13640" s="2498"/>
    </row>
    <row r="13641" spans="16:16">
      <c r="P13641" s="2498"/>
    </row>
    <row r="13642" spans="16:16">
      <c r="P13642" s="2498"/>
    </row>
    <row r="13643" spans="16:16">
      <c r="P13643" s="2498"/>
    </row>
    <row r="13644" spans="16:16">
      <c r="P13644" s="2498"/>
    </row>
    <row r="13645" spans="16:16">
      <c r="P13645" s="2498"/>
    </row>
    <row r="13646" spans="16:16">
      <c r="P13646" s="2498"/>
    </row>
    <row r="13647" spans="16:16">
      <c r="P13647" s="2498"/>
    </row>
    <row r="13648" spans="16:16">
      <c r="P13648" s="2498"/>
    </row>
    <row r="13649" spans="16:16">
      <c r="P13649" s="2498"/>
    </row>
    <row r="13650" spans="16:16">
      <c r="P13650" s="2498"/>
    </row>
    <row r="13651" spans="16:16">
      <c r="P13651" s="2498"/>
    </row>
    <row r="13652" spans="16:16">
      <c r="P13652" s="2498"/>
    </row>
    <row r="13653" spans="16:16">
      <c r="P13653" s="2498"/>
    </row>
    <row r="13654" spans="16:16">
      <c r="P13654" s="2498"/>
    </row>
    <row r="13655" spans="16:16">
      <c r="P13655" s="2498"/>
    </row>
    <row r="13656" spans="16:16">
      <c r="P13656" s="2498"/>
    </row>
    <row r="13657" spans="16:16">
      <c r="P13657" s="2498"/>
    </row>
    <row r="13658" spans="16:16">
      <c r="P13658" s="2498"/>
    </row>
    <row r="13659" spans="16:16">
      <c r="P13659" s="2498"/>
    </row>
    <row r="13660" spans="16:16">
      <c r="P13660" s="2498"/>
    </row>
    <row r="13661" spans="16:16">
      <c r="P13661" s="2498"/>
    </row>
    <row r="13662" spans="16:16">
      <c r="P13662" s="2498"/>
    </row>
    <row r="13663" spans="16:16">
      <c r="P13663" s="2498"/>
    </row>
    <row r="13664" spans="16:16">
      <c r="P13664" s="2498"/>
    </row>
    <row r="13665" spans="16:16">
      <c r="P13665" s="2498"/>
    </row>
    <row r="13666" spans="16:16">
      <c r="P13666" s="2498"/>
    </row>
    <row r="13667" spans="16:16">
      <c r="P13667" s="2498"/>
    </row>
    <row r="13668" spans="16:16">
      <c r="P13668" s="2498"/>
    </row>
    <row r="13669" spans="16:16">
      <c r="P13669" s="2498"/>
    </row>
    <row r="13670" spans="16:16">
      <c r="P13670" s="2498"/>
    </row>
    <row r="13671" spans="16:16">
      <c r="P13671" s="2498"/>
    </row>
    <row r="13672" spans="16:16">
      <c r="P13672" s="2498"/>
    </row>
    <row r="13673" spans="16:16">
      <c r="P13673" s="2498"/>
    </row>
    <row r="13674" spans="16:16">
      <c r="P13674" s="2498"/>
    </row>
    <row r="13675" spans="16:16">
      <c r="P13675" s="2498"/>
    </row>
    <row r="13676" spans="16:16">
      <c r="P13676" s="2498"/>
    </row>
    <row r="13677" spans="16:16">
      <c r="P13677" s="2498"/>
    </row>
    <row r="13678" spans="16:16">
      <c r="P13678" s="2498"/>
    </row>
    <row r="13679" spans="16:16">
      <c r="P13679" s="2498"/>
    </row>
    <row r="13680" spans="16:16">
      <c r="P13680" s="2498"/>
    </row>
    <row r="13681" spans="16:16">
      <c r="P13681" s="2498"/>
    </row>
    <row r="13682" spans="16:16">
      <c r="P13682" s="2498"/>
    </row>
    <row r="13683" spans="16:16">
      <c r="P13683" s="2498"/>
    </row>
    <row r="13684" spans="16:16">
      <c r="P13684" s="2498"/>
    </row>
    <row r="13685" spans="16:16">
      <c r="P13685" s="2498"/>
    </row>
    <row r="13686" spans="16:16">
      <c r="P13686" s="2498"/>
    </row>
    <row r="13687" spans="16:16">
      <c r="P13687" s="2498"/>
    </row>
    <row r="13688" spans="16:16">
      <c r="P13688" s="2498"/>
    </row>
    <row r="13689" spans="16:16">
      <c r="P13689" s="2498"/>
    </row>
    <row r="13690" spans="16:16">
      <c r="P13690" s="2498"/>
    </row>
    <row r="13691" spans="16:16">
      <c r="P13691" s="2498"/>
    </row>
    <row r="13692" spans="16:16">
      <c r="P13692" s="2498"/>
    </row>
    <row r="13693" spans="16:16">
      <c r="P13693" s="2498"/>
    </row>
    <row r="13694" spans="16:16">
      <c r="P13694" s="2498"/>
    </row>
    <row r="13695" spans="16:16">
      <c r="P13695" s="2498"/>
    </row>
    <row r="13696" spans="16:16">
      <c r="P13696" s="2498"/>
    </row>
    <row r="13697" spans="16:16">
      <c r="P13697" s="2498"/>
    </row>
    <row r="13698" spans="16:16">
      <c r="P13698" s="2498"/>
    </row>
    <row r="13699" spans="16:16">
      <c r="P13699" s="2498"/>
    </row>
    <row r="13700" spans="16:16">
      <c r="P13700" s="2498"/>
    </row>
    <row r="13701" spans="16:16">
      <c r="P13701" s="2498"/>
    </row>
    <row r="13702" spans="16:16">
      <c r="P13702" s="2498"/>
    </row>
    <row r="13703" spans="16:16">
      <c r="P13703" s="2498"/>
    </row>
    <row r="13704" spans="16:16">
      <c r="P13704" s="2498"/>
    </row>
    <row r="13705" spans="16:16">
      <c r="P13705" s="2498"/>
    </row>
    <row r="13706" spans="16:16">
      <c r="P13706" s="2498"/>
    </row>
    <row r="13707" spans="16:16">
      <c r="P13707" s="2498"/>
    </row>
    <row r="13708" spans="16:16">
      <c r="P13708" s="2498"/>
    </row>
    <row r="13709" spans="16:16">
      <c r="P13709" s="2498"/>
    </row>
    <row r="13710" spans="16:16">
      <c r="P13710" s="2498"/>
    </row>
    <row r="13711" spans="16:16">
      <c r="P13711" s="2498"/>
    </row>
    <row r="13712" spans="16:16">
      <c r="P13712" s="2498"/>
    </row>
    <row r="13713" spans="16:16">
      <c r="P13713" s="2498"/>
    </row>
    <row r="13714" spans="16:16">
      <c r="P13714" s="2498"/>
    </row>
    <row r="13715" spans="16:16">
      <c r="P13715" s="2498"/>
    </row>
    <row r="13716" spans="16:16">
      <c r="P13716" s="2498"/>
    </row>
    <row r="13717" spans="16:16">
      <c r="P13717" s="2498"/>
    </row>
    <row r="13718" spans="16:16">
      <c r="P13718" s="2498"/>
    </row>
    <row r="13719" spans="16:16">
      <c r="P13719" s="2498"/>
    </row>
    <row r="13720" spans="16:16">
      <c r="P13720" s="2498"/>
    </row>
    <row r="13721" spans="16:16">
      <c r="P13721" s="2498"/>
    </row>
    <row r="13722" spans="16:16">
      <c r="P13722" s="2498"/>
    </row>
    <row r="13723" spans="16:16">
      <c r="P13723" s="2498"/>
    </row>
    <row r="13724" spans="16:16">
      <c r="P13724" s="2498"/>
    </row>
    <row r="13725" spans="16:16">
      <c r="P13725" s="2498"/>
    </row>
    <row r="13726" spans="16:16">
      <c r="P13726" s="2498"/>
    </row>
    <row r="13727" spans="16:16">
      <c r="P13727" s="2498"/>
    </row>
    <row r="13728" spans="16:16">
      <c r="P13728" s="2498"/>
    </row>
    <row r="13729" spans="16:16">
      <c r="P13729" s="2498"/>
    </row>
    <row r="13730" spans="16:16">
      <c r="P13730" s="2498"/>
    </row>
    <row r="13731" spans="16:16">
      <c r="P13731" s="2498"/>
    </row>
    <row r="13732" spans="16:16">
      <c r="P13732" s="2498"/>
    </row>
    <row r="13733" spans="16:16">
      <c r="P13733" s="2498"/>
    </row>
    <row r="13734" spans="16:16">
      <c r="P13734" s="2498"/>
    </row>
    <row r="13735" spans="16:16">
      <c r="P13735" s="2498"/>
    </row>
    <row r="13736" spans="16:16">
      <c r="P13736" s="2498"/>
    </row>
    <row r="13737" spans="16:16">
      <c r="P13737" s="2498"/>
    </row>
    <row r="13738" spans="16:16">
      <c r="P13738" s="2498"/>
    </row>
    <row r="13739" spans="16:16">
      <c r="P13739" s="2498"/>
    </row>
    <row r="13740" spans="16:16">
      <c r="P13740" s="2498"/>
    </row>
    <row r="13741" spans="16:16">
      <c r="P13741" s="2498"/>
    </row>
    <row r="13742" spans="16:16">
      <c r="P13742" s="2498"/>
    </row>
    <row r="13743" spans="16:16">
      <c r="P13743" s="2498"/>
    </row>
    <row r="13744" spans="16:16">
      <c r="P13744" s="2498"/>
    </row>
    <row r="13745" spans="16:16">
      <c r="P13745" s="2498"/>
    </row>
    <row r="13746" spans="16:16">
      <c r="P13746" s="2498"/>
    </row>
    <row r="13747" spans="16:16">
      <c r="P13747" s="2498"/>
    </row>
    <row r="13748" spans="16:16">
      <c r="P13748" s="2498"/>
    </row>
    <row r="13749" spans="16:16">
      <c r="P13749" s="2498"/>
    </row>
    <row r="13750" spans="16:16">
      <c r="P13750" s="2498"/>
    </row>
    <row r="13751" spans="16:16">
      <c r="P13751" s="2498"/>
    </row>
    <row r="13752" spans="16:16">
      <c r="P13752" s="2498"/>
    </row>
    <row r="13753" spans="16:16">
      <c r="P13753" s="2498"/>
    </row>
    <row r="13754" spans="16:16">
      <c r="P13754" s="2498"/>
    </row>
    <row r="13755" spans="16:16">
      <c r="P13755" s="2498"/>
    </row>
    <row r="13756" spans="16:16">
      <c r="P13756" s="2498"/>
    </row>
    <row r="13757" spans="16:16">
      <c r="P13757" s="2498"/>
    </row>
    <row r="13758" spans="16:16">
      <c r="P13758" s="2498"/>
    </row>
    <row r="13759" spans="16:16">
      <c r="P13759" s="2498"/>
    </row>
    <row r="13760" spans="16:16">
      <c r="P13760" s="2498"/>
    </row>
    <row r="13761" spans="16:16">
      <c r="P13761" s="2498"/>
    </row>
    <row r="13762" spans="16:16">
      <c r="P13762" s="2498"/>
    </row>
    <row r="13763" spans="16:16">
      <c r="P13763" s="2498"/>
    </row>
    <row r="13764" spans="16:16">
      <c r="P13764" s="2498"/>
    </row>
    <row r="13765" spans="16:16">
      <c r="P13765" s="2498"/>
    </row>
    <row r="13766" spans="16:16">
      <c r="P13766" s="2498"/>
    </row>
    <row r="13767" spans="16:16">
      <c r="P13767" s="2498"/>
    </row>
    <row r="13768" spans="16:16">
      <c r="P13768" s="2498"/>
    </row>
    <row r="13769" spans="16:16">
      <c r="P13769" s="2498"/>
    </row>
    <row r="13770" spans="16:16">
      <c r="P13770" s="2498"/>
    </row>
    <row r="13771" spans="16:16">
      <c r="P13771" s="2498"/>
    </row>
    <row r="13772" spans="16:16">
      <c r="P13772" s="2498"/>
    </row>
    <row r="13773" spans="16:16">
      <c r="P13773" s="2498"/>
    </row>
    <row r="13774" spans="16:16">
      <c r="P13774" s="2498"/>
    </row>
    <row r="13775" spans="16:16">
      <c r="P13775" s="2498"/>
    </row>
    <row r="13776" spans="16:16">
      <c r="P13776" s="2498"/>
    </row>
    <row r="13777" spans="16:16">
      <c r="P13777" s="2498"/>
    </row>
    <row r="13778" spans="16:16">
      <c r="P13778" s="2498"/>
    </row>
    <row r="13779" spans="16:16">
      <c r="P13779" s="2498"/>
    </row>
    <row r="13780" spans="16:16">
      <c r="P13780" s="2498"/>
    </row>
    <row r="13781" spans="16:16">
      <c r="P13781" s="2498"/>
    </row>
    <row r="13782" spans="16:16">
      <c r="P13782" s="2498"/>
    </row>
    <row r="13783" spans="16:16">
      <c r="P13783" s="2498"/>
    </row>
    <row r="13784" spans="16:16">
      <c r="P13784" s="2498"/>
    </row>
    <row r="13785" spans="16:16">
      <c r="P13785" s="2498"/>
    </row>
    <row r="13786" spans="16:16">
      <c r="P13786" s="2498"/>
    </row>
    <row r="13787" spans="16:16">
      <c r="P13787" s="2498"/>
    </row>
    <row r="13788" spans="16:16">
      <c r="P13788" s="2498"/>
    </row>
    <row r="13789" spans="16:16">
      <c r="P13789" s="2498"/>
    </row>
    <row r="13790" spans="16:16">
      <c r="P13790" s="2498"/>
    </row>
    <row r="13791" spans="16:16">
      <c r="P13791" s="2498"/>
    </row>
    <row r="13792" spans="16:16">
      <c r="P13792" s="2498"/>
    </row>
    <row r="13793" spans="16:16">
      <c r="P13793" s="2498"/>
    </row>
    <row r="13794" spans="16:16">
      <c r="P13794" s="2498"/>
    </row>
    <row r="13795" spans="16:16">
      <c r="P13795" s="2498"/>
    </row>
    <row r="13796" spans="16:16">
      <c r="P13796" s="2498"/>
    </row>
    <row r="13797" spans="16:16">
      <c r="P13797" s="2498"/>
    </row>
    <row r="13798" spans="16:16">
      <c r="P13798" s="2498"/>
    </row>
    <row r="13799" spans="16:16">
      <c r="P13799" s="2498"/>
    </row>
    <row r="13800" spans="16:16">
      <c r="P13800" s="2498"/>
    </row>
    <row r="13801" spans="16:16">
      <c r="P13801" s="2498"/>
    </row>
    <row r="13802" spans="16:16">
      <c r="P13802" s="2498"/>
    </row>
    <row r="13803" spans="16:16">
      <c r="P13803" s="2498"/>
    </row>
    <row r="13804" spans="16:16">
      <c r="P13804" s="2498"/>
    </row>
    <row r="13805" spans="16:16">
      <c r="P13805" s="2498"/>
    </row>
    <row r="13806" spans="16:16">
      <c r="P13806" s="2498"/>
    </row>
    <row r="13807" spans="16:16">
      <c r="P13807" s="2498"/>
    </row>
    <row r="13808" spans="16:16">
      <c r="P13808" s="2498"/>
    </row>
    <row r="13809" spans="16:16">
      <c r="P13809" s="2498"/>
    </row>
    <row r="13810" spans="16:16">
      <c r="P13810" s="2498"/>
    </row>
    <row r="13811" spans="16:16">
      <c r="P13811" s="2498"/>
    </row>
    <row r="13812" spans="16:16">
      <c r="P13812" s="2498"/>
    </row>
    <row r="13813" spans="16:16">
      <c r="P13813" s="2498"/>
    </row>
    <row r="13814" spans="16:16">
      <c r="P13814" s="2498"/>
    </row>
    <row r="13815" spans="16:16">
      <c r="P13815" s="2498"/>
    </row>
    <row r="13816" spans="16:16">
      <c r="P13816" s="2498"/>
    </row>
    <row r="13817" spans="16:16">
      <c r="P13817" s="2498"/>
    </row>
    <row r="13818" spans="16:16">
      <c r="P13818" s="2498"/>
    </row>
    <row r="13819" spans="16:16">
      <c r="P13819" s="2498"/>
    </row>
    <row r="13820" spans="16:16">
      <c r="P13820" s="2498"/>
    </row>
    <row r="13821" spans="16:16">
      <c r="P13821" s="2498"/>
    </row>
    <row r="13822" spans="16:16">
      <c r="P13822" s="2498"/>
    </row>
    <row r="13823" spans="16:16">
      <c r="P13823" s="2498"/>
    </row>
    <row r="13824" spans="16:16">
      <c r="P13824" s="2498"/>
    </row>
    <row r="13825" spans="16:16">
      <c r="P13825" s="2498"/>
    </row>
    <row r="13826" spans="16:16">
      <c r="P13826" s="2498"/>
    </row>
    <row r="13827" spans="16:16">
      <c r="P13827" s="2498"/>
    </row>
    <row r="13828" spans="16:16">
      <c r="P13828" s="2498"/>
    </row>
    <row r="13829" spans="16:16">
      <c r="P13829" s="2498"/>
    </row>
    <row r="13830" spans="16:16">
      <c r="P13830" s="2498"/>
    </row>
    <row r="13831" spans="16:16">
      <c r="P13831" s="2498"/>
    </row>
    <row r="13832" spans="16:16">
      <c r="P13832" s="2498"/>
    </row>
    <row r="13833" spans="16:16">
      <c r="P13833" s="2498"/>
    </row>
    <row r="13834" spans="16:16">
      <c r="P13834" s="2498"/>
    </row>
    <row r="13835" spans="16:16">
      <c r="P13835" s="2498"/>
    </row>
    <row r="13836" spans="16:16">
      <c r="P13836" s="2498"/>
    </row>
    <row r="13837" spans="16:16">
      <c r="P13837" s="2498"/>
    </row>
    <row r="13838" spans="16:16">
      <c r="P13838" s="2498"/>
    </row>
    <row r="13839" spans="16:16">
      <c r="P13839" s="2498"/>
    </row>
    <row r="13840" spans="16:16">
      <c r="P13840" s="2498"/>
    </row>
    <row r="13841" spans="16:16">
      <c r="P13841" s="2498"/>
    </row>
    <row r="13842" spans="16:16">
      <c r="P13842" s="2498"/>
    </row>
    <row r="13843" spans="16:16">
      <c r="P13843" s="2498"/>
    </row>
    <row r="13844" spans="16:16">
      <c r="P13844" s="2498"/>
    </row>
    <row r="13845" spans="16:16">
      <c r="P13845" s="2498"/>
    </row>
    <row r="13846" spans="16:16">
      <c r="P13846" s="2498"/>
    </row>
    <row r="13847" spans="16:16">
      <c r="P13847" s="2498"/>
    </row>
    <row r="13848" spans="16:16">
      <c r="P13848" s="2498"/>
    </row>
    <row r="13849" spans="16:16">
      <c r="P13849" s="2498"/>
    </row>
    <row r="13850" spans="16:16">
      <c r="P13850" s="2498"/>
    </row>
    <row r="13851" spans="16:16">
      <c r="P13851" s="2498"/>
    </row>
    <row r="13852" spans="16:16">
      <c r="P13852" s="2498"/>
    </row>
    <row r="13853" spans="16:16">
      <c r="P13853" s="2498"/>
    </row>
    <row r="13854" spans="16:16">
      <c r="P13854" s="2498"/>
    </row>
    <row r="13855" spans="16:16">
      <c r="P13855" s="2498"/>
    </row>
    <row r="13856" spans="16:16">
      <c r="P13856" s="2498"/>
    </row>
    <row r="13857" spans="16:16">
      <c r="P13857" s="2498"/>
    </row>
    <row r="13858" spans="16:16">
      <c r="P13858" s="2498"/>
    </row>
    <row r="13859" spans="16:16">
      <c r="P13859" s="2498"/>
    </row>
    <row r="13860" spans="16:16">
      <c r="P13860" s="2498"/>
    </row>
    <row r="13861" spans="16:16">
      <c r="P13861" s="2498"/>
    </row>
    <row r="13862" spans="16:16">
      <c r="P13862" s="2498"/>
    </row>
    <row r="13863" spans="16:16">
      <c r="P13863" s="2498"/>
    </row>
    <row r="13864" spans="16:16">
      <c r="P13864" s="2498"/>
    </row>
    <row r="13865" spans="16:16">
      <c r="P13865" s="2498"/>
    </row>
    <row r="13866" spans="16:16">
      <c r="P13866" s="2498"/>
    </row>
    <row r="13867" spans="16:16">
      <c r="P13867" s="2498"/>
    </row>
    <row r="13868" spans="16:16">
      <c r="P13868" s="2498"/>
    </row>
    <row r="13869" spans="16:16">
      <c r="P13869" s="2498"/>
    </row>
    <row r="13870" spans="16:16">
      <c r="P13870" s="2498"/>
    </row>
    <row r="13871" spans="16:16">
      <c r="P13871" s="2498"/>
    </row>
    <row r="13872" spans="16:16">
      <c r="P13872" s="2498"/>
    </row>
    <row r="13873" spans="16:16">
      <c r="P13873" s="2498"/>
    </row>
    <row r="13874" spans="16:16">
      <c r="P13874" s="2498"/>
    </row>
    <row r="13875" spans="16:16">
      <c r="P13875" s="2498"/>
    </row>
    <row r="13876" spans="16:16">
      <c r="P13876" s="2498"/>
    </row>
    <row r="13877" spans="16:16">
      <c r="P13877" s="2498"/>
    </row>
    <row r="13878" spans="16:16">
      <c r="P13878" s="2498"/>
    </row>
    <row r="13879" spans="16:16">
      <c r="P13879" s="2498"/>
    </row>
    <row r="13880" spans="16:16">
      <c r="P13880" s="2498"/>
    </row>
    <row r="13881" spans="16:16">
      <c r="P13881" s="2498"/>
    </row>
    <row r="13882" spans="16:16">
      <c r="P13882" s="2498"/>
    </row>
    <row r="13883" spans="16:16">
      <c r="P13883" s="2498"/>
    </row>
    <row r="13884" spans="16:16">
      <c r="P13884" s="2498"/>
    </row>
    <row r="13885" spans="16:16">
      <c r="P13885" s="2498"/>
    </row>
    <row r="13886" spans="16:16">
      <c r="P13886" s="2498"/>
    </row>
    <row r="13887" spans="16:16">
      <c r="P13887" s="2498"/>
    </row>
    <row r="13888" spans="16:16">
      <c r="P13888" s="2498"/>
    </row>
    <row r="13889" spans="16:16">
      <c r="P13889" s="2498"/>
    </row>
    <row r="13890" spans="16:16">
      <c r="P13890" s="2498"/>
    </row>
    <row r="13891" spans="16:16">
      <c r="P13891" s="2498"/>
    </row>
    <row r="13892" spans="16:16">
      <c r="P13892" s="2498"/>
    </row>
    <row r="13893" spans="16:16">
      <c r="P13893" s="2498"/>
    </row>
    <row r="13894" spans="16:16">
      <c r="P13894" s="2498"/>
    </row>
    <row r="13895" spans="16:16">
      <c r="P13895" s="2498"/>
    </row>
    <row r="13896" spans="16:16">
      <c r="P13896" s="2498"/>
    </row>
    <row r="13897" spans="16:16">
      <c r="P13897" s="2498"/>
    </row>
    <row r="13898" spans="16:16">
      <c r="P13898" s="2498"/>
    </row>
    <row r="13899" spans="16:16">
      <c r="P13899" s="2498"/>
    </row>
    <row r="13900" spans="16:16">
      <c r="P13900" s="2498"/>
    </row>
    <row r="13901" spans="16:16">
      <c r="P13901" s="2498"/>
    </row>
    <row r="13902" spans="16:16">
      <c r="P13902" s="2498"/>
    </row>
    <row r="13903" spans="16:16">
      <c r="P13903" s="2498"/>
    </row>
    <row r="13904" spans="16:16">
      <c r="P13904" s="2498"/>
    </row>
    <row r="13905" spans="16:16">
      <c r="P13905" s="2498"/>
    </row>
    <row r="13906" spans="16:16">
      <c r="P13906" s="2498"/>
    </row>
    <row r="13907" spans="16:16">
      <c r="P13907" s="2498"/>
    </row>
    <row r="13908" spans="16:16">
      <c r="P13908" s="2498"/>
    </row>
    <row r="13909" spans="16:16">
      <c r="P13909" s="2498"/>
    </row>
    <row r="13910" spans="16:16">
      <c r="P13910" s="2498"/>
    </row>
    <row r="13911" spans="16:16">
      <c r="P13911" s="2498"/>
    </row>
    <row r="13912" spans="16:16">
      <c r="P13912" s="2498"/>
    </row>
    <row r="13913" spans="16:16">
      <c r="P13913" s="2498"/>
    </row>
    <row r="13914" spans="16:16">
      <c r="P13914" s="2498"/>
    </row>
    <row r="13915" spans="16:16">
      <c r="P13915" s="2498"/>
    </row>
    <row r="13916" spans="16:16">
      <c r="P13916" s="2498"/>
    </row>
    <row r="13917" spans="16:16">
      <c r="P13917" s="2498"/>
    </row>
    <row r="13918" spans="16:16">
      <c r="P13918" s="2498"/>
    </row>
    <row r="13919" spans="16:16">
      <c r="P13919" s="2498"/>
    </row>
    <row r="13920" spans="16:16">
      <c r="P13920" s="2498"/>
    </row>
    <row r="13921" spans="16:16">
      <c r="P13921" s="2498"/>
    </row>
    <row r="13922" spans="16:16">
      <c r="P13922" s="2498"/>
    </row>
    <row r="13923" spans="16:16">
      <c r="P13923" s="2498"/>
    </row>
    <row r="13924" spans="16:16">
      <c r="P13924" s="2498"/>
    </row>
    <row r="13925" spans="16:16">
      <c r="P13925" s="2498"/>
    </row>
    <row r="13926" spans="16:16">
      <c r="P13926" s="2498"/>
    </row>
    <row r="13927" spans="16:16">
      <c r="P13927" s="2498"/>
    </row>
    <row r="13928" spans="16:16">
      <c r="P13928" s="2498"/>
    </row>
    <row r="13929" spans="16:16">
      <c r="P13929" s="2498"/>
    </row>
    <row r="13930" spans="16:16">
      <c r="P13930" s="2498"/>
    </row>
    <row r="13931" spans="16:16">
      <c r="P13931" s="2498"/>
    </row>
    <row r="13932" spans="16:16">
      <c r="P13932" s="2498"/>
    </row>
    <row r="13933" spans="16:16">
      <c r="P13933" s="2498"/>
    </row>
    <row r="13934" spans="16:16">
      <c r="P13934" s="2498"/>
    </row>
    <row r="13935" spans="16:16">
      <c r="P13935" s="2498"/>
    </row>
    <row r="13936" spans="16:16">
      <c r="P13936" s="2498"/>
    </row>
    <row r="13937" spans="16:16">
      <c r="P13937" s="2498"/>
    </row>
    <row r="13938" spans="16:16">
      <c r="P13938" s="2498"/>
    </row>
    <row r="13939" spans="16:16">
      <c r="P13939" s="2498"/>
    </row>
    <row r="13940" spans="16:16">
      <c r="P13940" s="2498"/>
    </row>
    <row r="13941" spans="16:16">
      <c r="P13941" s="2498"/>
    </row>
    <row r="13942" spans="16:16">
      <c r="P13942" s="2498"/>
    </row>
    <row r="13943" spans="16:16">
      <c r="P13943" s="2498"/>
    </row>
    <row r="13944" spans="16:16">
      <c r="P13944" s="2498"/>
    </row>
    <row r="13945" spans="16:16">
      <c r="P13945" s="2498"/>
    </row>
    <row r="13946" spans="16:16">
      <c r="P13946" s="2498"/>
    </row>
    <row r="13947" spans="16:16">
      <c r="P13947" s="2498"/>
    </row>
    <row r="13948" spans="16:16">
      <c r="P13948" s="2498"/>
    </row>
    <row r="13949" spans="16:16">
      <c r="P13949" s="2498"/>
    </row>
    <row r="13950" spans="16:16">
      <c r="P13950" s="2498"/>
    </row>
    <row r="13951" spans="16:16">
      <c r="P13951" s="2498"/>
    </row>
    <row r="13952" spans="16:16">
      <c r="P13952" s="2498"/>
    </row>
    <row r="13953" spans="16:16">
      <c r="P13953" s="2498"/>
    </row>
    <row r="13954" spans="16:16">
      <c r="P13954" s="2498"/>
    </row>
    <row r="13955" spans="16:16">
      <c r="P13955" s="2498"/>
    </row>
    <row r="13956" spans="16:16">
      <c r="P13956" s="2498"/>
    </row>
    <row r="13957" spans="16:16">
      <c r="P13957" s="2498"/>
    </row>
    <row r="13958" spans="16:16">
      <c r="P13958" s="2498"/>
    </row>
    <row r="13959" spans="16:16">
      <c r="P13959" s="2498"/>
    </row>
    <row r="13960" spans="16:16">
      <c r="P13960" s="2498"/>
    </row>
    <row r="13961" spans="16:16">
      <c r="P13961" s="2498"/>
    </row>
    <row r="13962" spans="16:16">
      <c r="P13962" s="2498"/>
    </row>
    <row r="13963" spans="16:16">
      <c r="P13963" s="2498"/>
    </row>
    <row r="13964" spans="16:16">
      <c r="P13964" s="2498"/>
    </row>
    <row r="13965" spans="16:16">
      <c r="P13965" s="2498"/>
    </row>
    <row r="13966" spans="16:16">
      <c r="P13966" s="2498"/>
    </row>
    <row r="13967" spans="16:16">
      <c r="P13967" s="2498"/>
    </row>
    <row r="13968" spans="16:16">
      <c r="P13968" s="2498"/>
    </row>
    <row r="13969" spans="16:16">
      <c r="P13969" s="2498"/>
    </row>
    <row r="13970" spans="16:16">
      <c r="P13970" s="2498"/>
    </row>
    <row r="13971" spans="16:16">
      <c r="P13971" s="2498"/>
    </row>
    <row r="13972" spans="16:16">
      <c r="P13972" s="2498"/>
    </row>
    <row r="13973" spans="16:16">
      <c r="P13973" s="2498"/>
    </row>
    <row r="13974" spans="16:16">
      <c r="P13974" s="2498"/>
    </row>
    <row r="13975" spans="16:16">
      <c r="P13975" s="2498"/>
    </row>
    <row r="13976" spans="16:16">
      <c r="P13976" s="2498"/>
    </row>
    <row r="13977" spans="16:16">
      <c r="P13977" s="2498"/>
    </row>
    <row r="13978" spans="16:16">
      <c r="P13978" s="2498"/>
    </row>
    <row r="13979" spans="16:16">
      <c r="P13979" s="2498"/>
    </row>
    <row r="13980" spans="16:16">
      <c r="P13980" s="2498"/>
    </row>
    <row r="13981" spans="16:16">
      <c r="P13981" s="2498"/>
    </row>
    <row r="13982" spans="16:16">
      <c r="P13982" s="2498"/>
    </row>
    <row r="13983" spans="16:16">
      <c r="P13983" s="2498"/>
    </row>
    <row r="13984" spans="16:16">
      <c r="P13984" s="2498"/>
    </row>
    <row r="13985" spans="16:16">
      <c r="P13985" s="2498"/>
    </row>
    <row r="13986" spans="16:16">
      <c r="P13986" s="2498"/>
    </row>
    <row r="13987" spans="16:16">
      <c r="P13987" s="2498"/>
    </row>
    <row r="13988" spans="16:16">
      <c r="P13988" s="2498"/>
    </row>
    <row r="13989" spans="16:16">
      <c r="P13989" s="2498"/>
    </row>
    <row r="13990" spans="16:16">
      <c r="P13990" s="2498"/>
    </row>
    <row r="13991" spans="16:16">
      <c r="P13991" s="2498"/>
    </row>
    <row r="13992" spans="16:16">
      <c r="P13992" s="2498"/>
    </row>
    <row r="13993" spans="16:16">
      <c r="P13993" s="2498"/>
    </row>
    <row r="13994" spans="16:16">
      <c r="P13994" s="2498"/>
    </row>
    <row r="13995" spans="16:16">
      <c r="P13995" s="2498"/>
    </row>
    <row r="13996" spans="16:16">
      <c r="P13996" s="2498"/>
    </row>
    <row r="13997" spans="16:16">
      <c r="P13997" s="2498"/>
    </row>
    <row r="13998" spans="16:16">
      <c r="P13998" s="2498"/>
    </row>
    <row r="13999" spans="16:16">
      <c r="P13999" s="2498"/>
    </row>
    <row r="14000" spans="16:16">
      <c r="P14000" s="2498"/>
    </row>
    <row r="14001" spans="16:16">
      <c r="P14001" s="2498"/>
    </row>
    <row r="14002" spans="16:16">
      <c r="P14002" s="2498"/>
    </row>
    <row r="14003" spans="16:16">
      <c r="P14003" s="2498"/>
    </row>
    <row r="14004" spans="16:16">
      <c r="P14004" s="2498"/>
    </row>
    <row r="14005" spans="16:16">
      <c r="P14005" s="2498"/>
    </row>
    <row r="14006" spans="16:16">
      <c r="P14006" s="2498"/>
    </row>
    <row r="14007" spans="16:16">
      <c r="P14007" s="2498"/>
    </row>
    <row r="14008" spans="16:16">
      <c r="P14008" s="2498"/>
    </row>
    <row r="14009" spans="16:16">
      <c r="P14009" s="2498"/>
    </row>
    <row r="14010" spans="16:16">
      <c r="P14010" s="2498"/>
    </row>
    <row r="14011" spans="16:16">
      <c r="P14011" s="2498"/>
    </row>
    <row r="14012" spans="16:16">
      <c r="P14012" s="2498"/>
    </row>
    <row r="14013" spans="16:16">
      <c r="P14013" s="2498"/>
    </row>
    <row r="14014" spans="16:16">
      <c r="P14014" s="2498"/>
    </row>
    <row r="14015" spans="16:16">
      <c r="P14015" s="2498"/>
    </row>
    <row r="14016" spans="16:16">
      <c r="P14016" s="2498"/>
    </row>
    <row r="14017" spans="16:16">
      <c r="P14017" s="2498"/>
    </row>
    <row r="14018" spans="16:16">
      <c r="P14018" s="2498"/>
    </row>
    <row r="14019" spans="16:16">
      <c r="P14019" s="2498"/>
    </row>
    <row r="14020" spans="16:16">
      <c r="P14020" s="2498"/>
    </row>
    <row r="14021" spans="16:16">
      <c r="P14021" s="2498"/>
    </row>
    <row r="14022" spans="16:16">
      <c r="P14022" s="2498"/>
    </row>
    <row r="14023" spans="16:16">
      <c r="P14023" s="2498"/>
    </row>
    <row r="14024" spans="16:16">
      <c r="P14024" s="2498"/>
    </row>
    <row r="14025" spans="16:16">
      <c r="P14025" s="2498"/>
    </row>
    <row r="14026" spans="16:16">
      <c r="P14026" s="2498"/>
    </row>
    <row r="14027" spans="16:16">
      <c r="P14027" s="2498"/>
    </row>
    <row r="14028" spans="16:16">
      <c r="P14028" s="2498"/>
    </row>
    <row r="14029" spans="16:16">
      <c r="P14029" s="2498"/>
    </row>
    <row r="14030" spans="16:16">
      <c r="P14030" s="2498"/>
    </row>
    <row r="14031" spans="16:16">
      <c r="P14031" s="2498"/>
    </row>
    <row r="14032" spans="16:16">
      <c r="P14032" s="2498"/>
    </row>
    <row r="14033" spans="16:16">
      <c r="P14033" s="2498"/>
    </row>
    <row r="14034" spans="16:16">
      <c r="P14034" s="2498"/>
    </row>
    <row r="14035" spans="16:16">
      <c r="P14035" s="2498"/>
    </row>
    <row r="14036" spans="16:16">
      <c r="P14036" s="2498"/>
    </row>
    <row r="14037" spans="16:16">
      <c r="P14037" s="2498"/>
    </row>
    <row r="14038" spans="16:16">
      <c r="P14038" s="2498"/>
    </row>
    <row r="14039" spans="16:16">
      <c r="P14039" s="2498"/>
    </row>
    <row r="14040" spans="16:16">
      <c r="P14040" s="2498"/>
    </row>
    <row r="14041" spans="16:16">
      <c r="P14041" s="2498"/>
    </row>
    <row r="14042" spans="16:16">
      <c r="P14042" s="2498"/>
    </row>
    <row r="14043" spans="16:16">
      <c r="P14043" s="2498"/>
    </row>
    <row r="14044" spans="16:16">
      <c r="P14044" s="2498"/>
    </row>
    <row r="14045" spans="16:16">
      <c r="P14045" s="2498"/>
    </row>
    <row r="14046" spans="16:16">
      <c r="P14046" s="2498"/>
    </row>
    <row r="14047" spans="16:16">
      <c r="P14047" s="2498"/>
    </row>
    <row r="14048" spans="16:16">
      <c r="P14048" s="2498"/>
    </row>
    <row r="14049" spans="16:16">
      <c r="P14049" s="2498"/>
    </row>
    <row r="14050" spans="16:16">
      <c r="P14050" s="2498"/>
    </row>
    <row r="14051" spans="16:16">
      <c r="P14051" s="2498"/>
    </row>
    <row r="14052" spans="16:16">
      <c r="P14052" s="2498"/>
    </row>
    <row r="14053" spans="16:16">
      <c r="P14053" s="2498"/>
    </row>
    <row r="14054" spans="16:16">
      <c r="P14054" s="2498"/>
    </row>
    <row r="14055" spans="16:16">
      <c r="P14055" s="2498"/>
    </row>
    <row r="14056" spans="16:16">
      <c r="P14056" s="2498"/>
    </row>
    <row r="14057" spans="16:16">
      <c r="P14057" s="2498"/>
    </row>
    <row r="14058" spans="16:16">
      <c r="P14058" s="2498"/>
    </row>
    <row r="14059" spans="16:16">
      <c r="P14059" s="2498"/>
    </row>
    <row r="14060" spans="16:16">
      <c r="P14060" s="2498"/>
    </row>
    <row r="14061" spans="16:16">
      <c r="P14061" s="2498"/>
    </row>
    <row r="14062" spans="16:16">
      <c r="P14062" s="2498"/>
    </row>
    <row r="14063" spans="16:16">
      <c r="P14063" s="2498"/>
    </row>
    <row r="14064" spans="16:16">
      <c r="P14064" s="2498"/>
    </row>
    <row r="14065" spans="16:16">
      <c r="P14065" s="2498"/>
    </row>
    <row r="14066" spans="16:16">
      <c r="P14066" s="2498"/>
    </row>
    <row r="14067" spans="16:16">
      <c r="P14067" s="2498"/>
    </row>
    <row r="14068" spans="16:16">
      <c r="P14068" s="2498"/>
    </row>
    <row r="14069" spans="16:16">
      <c r="P14069" s="2498"/>
    </row>
    <row r="14070" spans="16:16">
      <c r="P14070" s="2498"/>
    </row>
    <row r="14071" spans="16:16">
      <c r="P14071" s="2498"/>
    </row>
    <row r="14072" spans="16:16">
      <c r="P14072" s="2498"/>
    </row>
    <row r="14073" spans="16:16">
      <c r="P14073" s="2498"/>
    </row>
    <row r="14074" spans="16:16">
      <c r="P14074" s="2498"/>
    </row>
    <row r="14075" spans="16:16">
      <c r="P14075" s="2498"/>
    </row>
    <row r="14076" spans="16:16">
      <c r="P14076" s="2498"/>
    </row>
    <row r="14077" spans="16:16">
      <c r="P14077" s="2498"/>
    </row>
    <row r="14078" spans="16:16">
      <c r="P14078" s="2498"/>
    </row>
    <row r="14079" spans="16:16">
      <c r="P14079" s="2498"/>
    </row>
    <row r="14080" spans="16:16">
      <c r="P14080" s="2498"/>
    </row>
    <row r="14081" spans="16:16">
      <c r="P14081" s="2498"/>
    </row>
    <row r="14082" spans="16:16">
      <c r="P14082" s="2498"/>
    </row>
    <row r="14083" spans="16:16">
      <c r="P14083" s="2498"/>
    </row>
    <row r="14084" spans="16:16">
      <c r="P14084" s="2498"/>
    </row>
    <row r="14085" spans="16:16">
      <c r="P14085" s="2498"/>
    </row>
    <row r="14086" spans="16:16">
      <c r="P14086" s="2498"/>
    </row>
    <row r="14087" spans="16:16">
      <c r="P14087" s="2498"/>
    </row>
    <row r="14088" spans="16:16">
      <c r="P14088" s="2498"/>
    </row>
    <row r="14089" spans="16:16">
      <c r="P14089" s="2498"/>
    </row>
    <row r="14090" spans="16:16">
      <c r="P14090" s="2498"/>
    </row>
    <row r="14091" spans="16:16">
      <c r="P14091" s="2498"/>
    </row>
    <row r="14092" spans="16:16">
      <c r="P14092" s="2498"/>
    </row>
    <row r="14093" spans="16:16">
      <c r="P14093" s="2498"/>
    </row>
    <row r="14094" spans="16:16">
      <c r="P14094" s="2498"/>
    </row>
    <row r="14095" spans="16:16">
      <c r="P14095" s="2498"/>
    </row>
    <row r="14096" spans="16:16">
      <c r="P14096" s="2498"/>
    </row>
    <row r="14097" spans="16:16">
      <c r="P14097" s="2498"/>
    </row>
    <row r="14098" spans="16:16">
      <c r="P14098" s="2498"/>
    </row>
    <row r="14099" spans="16:16">
      <c r="P14099" s="2498"/>
    </row>
    <row r="14100" spans="16:16">
      <c r="P14100" s="2498"/>
    </row>
    <row r="14101" spans="16:16">
      <c r="P14101" s="2498"/>
    </row>
    <row r="14102" spans="16:16">
      <c r="P14102" s="2498"/>
    </row>
    <row r="14103" spans="16:16">
      <c r="P14103" s="2498"/>
    </row>
    <row r="14104" spans="16:16">
      <c r="P14104" s="2498"/>
    </row>
    <row r="14105" spans="16:16">
      <c r="P14105" s="2498"/>
    </row>
    <row r="14106" spans="16:16">
      <c r="P14106" s="2498"/>
    </row>
    <row r="14107" spans="16:16">
      <c r="P14107" s="2498"/>
    </row>
    <row r="14108" spans="16:16">
      <c r="P14108" s="2498"/>
    </row>
    <row r="14109" spans="16:16">
      <c r="P14109" s="2498"/>
    </row>
    <row r="14110" spans="16:16">
      <c r="P14110" s="2498"/>
    </row>
    <row r="14111" spans="16:16">
      <c r="P14111" s="2498"/>
    </row>
    <row r="14112" spans="16:16">
      <c r="P14112" s="2498"/>
    </row>
    <row r="14113" spans="16:16">
      <c r="P14113" s="2498"/>
    </row>
    <row r="14114" spans="16:16">
      <c r="P14114" s="2498"/>
    </row>
    <row r="14115" spans="16:16">
      <c r="P14115" s="2498"/>
    </row>
    <row r="14116" spans="16:16">
      <c r="P14116" s="2498"/>
    </row>
    <row r="14117" spans="16:16">
      <c r="P14117" s="2498"/>
    </row>
    <row r="14118" spans="16:16">
      <c r="P14118" s="2498"/>
    </row>
    <row r="14119" spans="16:16">
      <c r="P14119" s="2498"/>
    </row>
    <row r="14120" spans="16:16">
      <c r="P14120" s="2498"/>
    </row>
    <row r="14121" spans="16:16">
      <c r="P14121" s="2498"/>
    </row>
    <row r="14122" spans="16:16">
      <c r="P14122" s="2498"/>
    </row>
    <row r="14123" spans="16:16">
      <c r="P14123" s="2498"/>
    </row>
    <row r="14124" spans="16:16">
      <c r="P14124" s="2498"/>
    </row>
    <row r="14125" spans="16:16">
      <c r="P14125" s="2498"/>
    </row>
    <row r="14126" spans="16:16">
      <c r="P14126" s="2498"/>
    </row>
    <row r="14127" spans="16:16">
      <c r="P14127" s="2498"/>
    </row>
    <row r="14128" spans="16:16">
      <c r="P14128" s="2498"/>
    </row>
    <row r="14129" spans="16:16">
      <c r="P14129" s="2498"/>
    </row>
    <row r="14130" spans="16:16">
      <c r="P14130" s="2498"/>
    </row>
    <row r="14131" spans="16:16">
      <c r="P14131" s="2498"/>
    </row>
    <row r="14132" spans="16:16">
      <c r="P14132" s="2498"/>
    </row>
    <row r="14133" spans="16:16">
      <c r="P14133" s="2498"/>
    </row>
    <row r="14134" spans="16:16">
      <c r="P14134" s="2498"/>
    </row>
    <row r="14135" spans="16:16">
      <c r="P14135" s="2498"/>
    </row>
    <row r="14136" spans="16:16">
      <c r="P14136" s="2498"/>
    </row>
    <row r="14137" spans="16:16">
      <c r="P14137" s="2498"/>
    </row>
    <row r="14138" spans="16:16">
      <c r="P14138" s="2498"/>
    </row>
    <row r="14139" spans="16:16">
      <c r="P14139" s="2498"/>
    </row>
    <row r="14140" spans="16:16">
      <c r="P14140" s="2498"/>
    </row>
    <row r="14141" spans="16:16">
      <c r="P14141" s="2498"/>
    </row>
    <row r="14142" spans="16:16">
      <c r="P14142" s="2498"/>
    </row>
    <row r="14143" spans="16:16">
      <c r="P14143" s="2498"/>
    </row>
    <row r="14144" spans="16:16">
      <c r="P14144" s="2498"/>
    </row>
    <row r="14145" spans="16:16">
      <c r="P14145" s="2498"/>
    </row>
    <row r="14146" spans="16:16">
      <c r="P14146" s="2498"/>
    </row>
    <row r="14147" spans="16:16">
      <c r="P14147" s="2498"/>
    </row>
    <row r="14148" spans="16:16">
      <c r="P14148" s="2498"/>
    </row>
    <row r="14149" spans="16:16">
      <c r="P14149" s="2498"/>
    </row>
    <row r="14150" spans="16:16">
      <c r="P14150" s="2498"/>
    </row>
    <row r="14151" spans="16:16">
      <c r="P14151" s="2498"/>
    </row>
    <row r="14152" spans="16:16">
      <c r="P14152" s="2498"/>
    </row>
    <row r="14153" spans="16:16">
      <c r="P14153" s="2498"/>
    </row>
    <row r="14154" spans="16:16">
      <c r="P14154" s="2498"/>
    </row>
    <row r="14155" spans="16:16">
      <c r="P14155" s="2498"/>
    </row>
    <row r="14156" spans="16:16">
      <c r="P14156" s="2498"/>
    </row>
    <row r="14157" spans="16:16">
      <c r="P14157" s="2498"/>
    </row>
    <row r="14158" spans="16:16">
      <c r="P14158" s="2498"/>
    </row>
    <row r="14159" spans="16:16">
      <c r="P14159" s="2498"/>
    </row>
    <row r="14160" spans="16:16">
      <c r="P14160" s="2498"/>
    </row>
    <row r="14161" spans="16:16">
      <c r="P14161" s="2498"/>
    </row>
    <row r="14162" spans="16:16">
      <c r="P14162" s="2498"/>
    </row>
    <row r="14163" spans="16:16">
      <c r="P14163" s="2498"/>
    </row>
    <row r="14164" spans="16:16">
      <c r="P14164" s="2498"/>
    </row>
    <row r="14165" spans="16:16">
      <c r="P14165" s="2498"/>
    </row>
    <row r="14166" spans="16:16">
      <c r="P14166" s="2498"/>
    </row>
    <row r="14167" spans="16:16">
      <c r="P14167" s="2498"/>
    </row>
    <row r="14168" spans="16:16">
      <c r="P14168" s="2498"/>
    </row>
    <row r="14169" spans="16:16">
      <c r="P14169" s="2498"/>
    </row>
    <row r="14170" spans="16:16">
      <c r="P14170" s="2498"/>
    </row>
    <row r="14171" spans="16:16">
      <c r="P14171" s="2498"/>
    </row>
    <row r="14172" spans="16:16">
      <c r="P14172" s="2498"/>
    </row>
    <row r="14173" spans="16:16">
      <c r="P14173" s="2498"/>
    </row>
    <row r="14174" spans="16:16">
      <c r="P14174" s="2498"/>
    </row>
    <row r="14175" spans="16:16">
      <c r="P14175" s="2498"/>
    </row>
    <row r="14176" spans="16:16">
      <c r="P14176" s="2498"/>
    </row>
    <row r="14177" spans="16:16">
      <c r="P14177" s="2498"/>
    </row>
    <row r="14178" spans="16:16">
      <c r="P14178" s="2498"/>
    </row>
    <row r="14179" spans="16:16">
      <c r="P14179" s="2498"/>
    </row>
    <row r="14180" spans="16:16">
      <c r="P14180" s="2498"/>
    </row>
    <row r="14181" spans="16:16">
      <c r="P14181" s="2498"/>
    </row>
    <row r="14182" spans="16:16">
      <c r="P14182" s="2498"/>
    </row>
    <row r="14183" spans="16:16">
      <c r="P14183" s="2498"/>
    </row>
    <row r="14184" spans="16:16">
      <c r="P14184" s="2498"/>
    </row>
    <row r="14185" spans="16:16">
      <c r="P14185" s="2498"/>
    </row>
    <row r="14186" spans="16:16">
      <c r="P14186" s="2498"/>
    </row>
    <row r="14187" spans="16:16">
      <c r="P14187" s="2498"/>
    </row>
    <row r="14188" spans="16:16">
      <c r="P14188" s="2498"/>
    </row>
    <row r="14189" spans="16:16">
      <c r="P14189" s="2498"/>
    </row>
    <row r="14190" spans="16:16">
      <c r="P14190" s="2498"/>
    </row>
    <row r="14191" spans="16:16">
      <c r="P14191" s="2498"/>
    </row>
    <row r="14192" spans="16:16">
      <c r="P14192" s="2498"/>
    </row>
    <row r="14193" spans="16:16">
      <c r="P14193" s="2498"/>
    </row>
    <row r="14194" spans="16:16">
      <c r="P14194" s="2498"/>
    </row>
    <row r="14195" spans="16:16">
      <c r="P14195" s="2498"/>
    </row>
    <row r="14196" spans="16:16">
      <c r="P14196" s="2498"/>
    </row>
    <row r="14197" spans="16:16">
      <c r="P14197" s="2498"/>
    </row>
    <row r="14198" spans="16:16">
      <c r="P14198" s="2498"/>
    </row>
    <row r="14199" spans="16:16">
      <c r="P14199" s="2498"/>
    </row>
    <row r="14200" spans="16:16">
      <c r="P14200" s="2498"/>
    </row>
    <row r="14201" spans="16:16">
      <c r="P14201" s="2498"/>
    </row>
    <row r="14202" spans="16:16">
      <c r="P14202" s="2498"/>
    </row>
    <row r="14203" spans="16:16">
      <c r="P14203" s="2498"/>
    </row>
    <row r="14204" spans="16:16">
      <c r="P14204" s="2498"/>
    </row>
    <row r="14205" spans="16:16">
      <c r="P14205" s="2498"/>
    </row>
    <row r="14206" spans="16:16">
      <c r="P14206" s="2498"/>
    </row>
    <row r="14207" spans="16:16">
      <c r="P14207" s="2498"/>
    </row>
    <row r="14208" spans="16:16">
      <c r="P14208" s="2498"/>
    </row>
    <row r="14209" spans="16:16">
      <c r="P14209" s="2498"/>
    </row>
    <row r="14210" spans="16:16">
      <c r="P14210" s="2498"/>
    </row>
    <row r="14211" spans="16:16">
      <c r="P14211" s="2498"/>
    </row>
    <row r="14212" spans="16:16">
      <c r="P14212" s="2498"/>
    </row>
    <row r="14213" spans="16:16">
      <c r="P14213" s="2498"/>
    </row>
    <row r="14214" spans="16:16">
      <c r="P14214" s="2498"/>
    </row>
    <row r="14215" spans="16:16">
      <c r="P14215" s="2498"/>
    </row>
    <row r="14216" spans="16:16">
      <c r="P14216" s="2498"/>
    </row>
    <row r="14217" spans="16:16">
      <c r="P14217" s="2498"/>
    </row>
    <row r="14218" spans="16:16">
      <c r="P14218" s="2498"/>
    </row>
    <row r="14219" spans="16:16">
      <c r="P14219" s="2498"/>
    </row>
    <row r="14220" spans="16:16">
      <c r="P14220" s="2498"/>
    </row>
    <row r="14221" spans="16:16">
      <c r="P14221" s="2498"/>
    </row>
    <row r="14222" spans="16:16">
      <c r="P14222" s="2498"/>
    </row>
    <row r="14223" spans="16:16">
      <c r="P14223" s="2498"/>
    </row>
    <row r="14224" spans="16:16">
      <c r="P14224" s="2498"/>
    </row>
    <row r="14225" spans="16:16">
      <c r="P14225" s="2498"/>
    </row>
    <row r="14226" spans="16:16">
      <c r="P14226" s="2498"/>
    </row>
    <row r="14227" spans="16:16">
      <c r="P14227" s="2498"/>
    </row>
    <row r="14228" spans="16:16">
      <c r="P14228" s="2498"/>
    </row>
    <row r="14229" spans="16:16">
      <c r="P14229" s="2498"/>
    </row>
    <row r="14230" spans="16:16">
      <c r="P14230" s="2498"/>
    </row>
    <row r="14231" spans="16:16">
      <c r="P14231" s="2498"/>
    </row>
    <row r="14232" spans="16:16">
      <c r="P14232" s="2498"/>
    </row>
    <row r="14233" spans="16:16">
      <c r="P14233" s="2498"/>
    </row>
    <row r="14234" spans="16:16">
      <c r="P14234" s="2498"/>
    </row>
    <row r="14235" spans="16:16">
      <c r="P14235" s="2498"/>
    </row>
    <row r="14236" spans="16:16">
      <c r="P14236" s="2498"/>
    </row>
    <row r="14237" spans="16:16">
      <c r="P14237" s="2498"/>
    </row>
    <row r="14238" spans="16:16">
      <c r="P14238" s="2498"/>
    </row>
    <row r="14239" spans="16:16">
      <c r="P14239" s="2498"/>
    </row>
    <row r="14240" spans="16:16">
      <c r="P14240" s="2498"/>
    </row>
    <row r="14241" spans="16:16">
      <c r="P14241" s="2498"/>
    </row>
    <row r="14242" spans="16:16">
      <c r="P14242" s="2498"/>
    </row>
    <row r="14243" spans="16:16">
      <c r="P14243" s="2498"/>
    </row>
    <row r="14244" spans="16:16">
      <c r="P14244" s="2498"/>
    </row>
    <row r="14245" spans="16:16">
      <c r="P14245" s="2498"/>
    </row>
    <row r="14246" spans="16:16">
      <c r="P14246" s="2498"/>
    </row>
    <row r="14247" spans="16:16">
      <c r="P14247" s="2498"/>
    </row>
    <row r="14248" spans="16:16">
      <c r="P14248" s="2498"/>
    </row>
    <row r="14249" spans="16:16">
      <c r="P14249" s="2498"/>
    </row>
    <row r="14250" spans="16:16">
      <c r="P14250" s="2498"/>
    </row>
    <row r="14251" spans="16:16">
      <c r="P14251" s="2498"/>
    </row>
    <row r="14252" spans="16:16">
      <c r="P14252" s="2498"/>
    </row>
    <row r="14253" spans="16:16">
      <c r="P14253" s="2498"/>
    </row>
    <row r="14254" spans="16:16">
      <c r="P14254" s="2498"/>
    </row>
    <row r="14255" spans="16:16">
      <c r="P14255" s="2498"/>
    </row>
    <row r="14256" spans="16:16">
      <c r="P14256" s="2498"/>
    </row>
    <row r="14257" spans="16:16">
      <c r="P14257" s="2498"/>
    </row>
    <row r="14258" spans="16:16">
      <c r="P14258" s="2498"/>
    </row>
    <row r="14259" spans="16:16">
      <c r="P14259" s="2498"/>
    </row>
    <row r="14260" spans="16:16">
      <c r="P14260" s="2498"/>
    </row>
    <row r="14261" spans="16:16">
      <c r="P14261" s="2498"/>
    </row>
    <row r="14262" spans="16:16">
      <c r="P14262" s="2498"/>
    </row>
    <row r="14263" spans="16:16">
      <c r="P14263" s="2498"/>
    </row>
    <row r="14264" spans="16:16">
      <c r="P14264" s="2498"/>
    </row>
    <row r="14265" spans="16:16">
      <c r="P14265" s="2498"/>
    </row>
    <row r="14266" spans="16:16">
      <c r="P14266" s="2498"/>
    </row>
    <row r="14267" spans="16:16">
      <c r="P14267" s="2498"/>
    </row>
    <row r="14268" spans="16:16">
      <c r="P14268" s="2498"/>
    </row>
    <row r="14269" spans="16:16">
      <c r="P14269" s="2498"/>
    </row>
    <row r="14270" spans="16:16">
      <c r="P14270" s="2498"/>
    </row>
    <row r="14271" spans="16:16">
      <c r="P14271" s="2498"/>
    </row>
    <row r="14272" spans="16:16">
      <c r="P14272" s="2498"/>
    </row>
    <row r="14273" spans="16:16">
      <c r="P14273" s="2498"/>
    </row>
    <row r="14274" spans="16:16">
      <c r="P14274" s="2498"/>
    </row>
    <row r="14275" spans="16:16">
      <c r="P14275" s="2498"/>
    </row>
    <row r="14276" spans="16:16">
      <c r="P14276" s="2498"/>
    </row>
    <row r="14277" spans="16:16">
      <c r="P14277" s="2498"/>
    </row>
    <row r="14278" spans="16:16">
      <c r="P14278" s="2498"/>
    </row>
    <row r="14279" spans="16:16">
      <c r="P14279" s="2498"/>
    </row>
    <row r="14280" spans="16:16">
      <c r="P14280" s="2498"/>
    </row>
    <row r="14281" spans="16:16">
      <c r="P14281" s="2498"/>
    </row>
    <row r="14282" spans="16:16">
      <c r="P14282" s="2498"/>
    </row>
    <row r="14283" spans="16:16">
      <c r="P14283" s="2498"/>
    </row>
    <row r="14284" spans="16:16">
      <c r="P14284" s="2498"/>
    </row>
    <row r="14285" spans="16:16">
      <c r="P14285" s="2498"/>
    </row>
    <row r="14286" spans="16:16">
      <c r="P14286" s="2498"/>
    </row>
    <row r="14287" spans="16:16">
      <c r="P14287" s="2498"/>
    </row>
    <row r="14288" spans="16:16">
      <c r="P14288" s="2498"/>
    </row>
    <row r="14289" spans="16:16">
      <c r="P14289" s="2498"/>
    </row>
    <row r="14290" spans="16:16">
      <c r="P14290" s="2498"/>
    </row>
    <row r="14291" spans="16:16">
      <c r="P14291" s="2498"/>
    </row>
    <row r="14292" spans="16:16">
      <c r="P14292" s="2498"/>
    </row>
    <row r="14293" spans="16:16">
      <c r="P14293" s="2498"/>
    </row>
    <row r="14294" spans="16:16">
      <c r="P14294" s="2498"/>
    </row>
    <row r="14295" spans="16:16">
      <c r="P14295" s="2498"/>
    </row>
    <row r="14296" spans="16:16">
      <c r="P14296" s="2498"/>
    </row>
    <row r="14297" spans="16:16">
      <c r="P14297" s="2498"/>
    </row>
    <row r="14298" spans="16:16">
      <c r="P14298" s="2498"/>
    </row>
    <row r="14299" spans="16:16">
      <c r="P14299" s="2498"/>
    </row>
    <row r="14300" spans="16:16">
      <c r="P14300" s="2498"/>
    </row>
    <row r="14301" spans="16:16">
      <c r="P14301" s="2498"/>
    </row>
    <row r="14302" spans="16:16">
      <c r="P14302" s="2498"/>
    </row>
    <row r="14303" spans="16:16">
      <c r="P14303" s="2498"/>
    </row>
    <row r="14304" spans="16:16">
      <c r="P14304" s="2498"/>
    </row>
    <row r="14305" spans="16:16">
      <c r="P14305" s="2498"/>
    </row>
    <row r="14306" spans="16:16">
      <c r="P14306" s="2498"/>
    </row>
    <row r="14307" spans="16:16">
      <c r="P14307" s="2498"/>
    </row>
    <row r="14308" spans="16:16">
      <c r="P14308" s="2498"/>
    </row>
    <row r="14309" spans="16:16">
      <c r="P14309" s="2498"/>
    </row>
    <row r="14310" spans="16:16">
      <c r="P14310" s="2498"/>
    </row>
    <row r="14311" spans="16:16">
      <c r="P14311" s="2498"/>
    </row>
    <row r="14312" spans="16:16">
      <c r="P14312" s="2498"/>
    </row>
    <row r="14313" spans="16:16">
      <c r="P14313" s="2498"/>
    </row>
    <row r="14314" spans="16:16">
      <c r="P14314" s="2498"/>
    </row>
    <row r="14315" spans="16:16">
      <c r="P14315" s="2498"/>
    </row>
    <row r="14316" spans="16:16">
      <c r="P14316" s="2498"/>
    </row>
    <row r="14317" spans="16:16">
      <c r="P14317" s="2498"/>
    </row>
    <row r="14318" spans="16:16">
      <c r="P14318" s="2498"/>
    </row>
    <row r="14319" spans="16:16">
      <c r="P14319" s="2498"/>
    </row>
    <row r="14320" spans="16:16">
      <c r="P14320" s="2498"/>
    </row>
    <row r="14321" spans="16:16">
      <c r="P14321" s="2498"/>
    </row>
    <row r="14322" spans="16:16">
      <c r="P14322" s="2498"/>
    </row>
    <row r="14323" spans="16:16">
      <c r="P14323" s="2498"/>
    </row>
    <row r="14324" spans="16:16">
      <c r="P14324" s="2498"/>
    </row>
    <row r="14325" spans="16:16">
      <c r="P14325" s="2498"/>
    </row>
    <row r="14326" spans="16:16">
      <c r="P14326" s="2498"/>
    </row>
    <row r="14327" spans="16:16">
      <c r="P14327" s="2498"/>
    </row>
    <row r="14328" spans="16:16">
      <c r="P14328" s="2498"/>
    </row>
    <row r="14329" spans="16:16">
      <c r="P14329" s="2498"/>
    </row>
    <row r="14330" spans="16:16">
      <c r="P14330" s="2498"/>
    </row>
    <row r="14331" spans="16:16">
      <c r="P14331" s="2498"/>
    </row>
    <row r="14332" spans="16:16">
      <c r="P14332" s="2498"/>
    </row>
    <row r="14333" spans="16:16">
      <c r="P14333" s="2498"/>
    </row>
    <row r="14334" spans="16:16">
      <c r="P14334" s="2498"/>
    </row>
    <row r="14335" spans="16:16">
      <c r="P14335" s="2498"/>
    </row>
    <row r="14336" spans="16:16">
      <c r="P14336" s="2498"/>
    </row>
    <row r="14337" spans="16:16">
      <c r="P14337" s="2498"/>
    </row>
    <row r="14338" spans="16:16">
      <c r="P14338" s="2498"/>
    </row>
    <row r="14339" spans="16:16">
      <c r="P14339" s="2498"/>
    </row>
    <row r="14340" spans="16:16">
      <c r="P14340" s="2498"/>
    </row>
    <row r="14341" spans="16:16">
      <c r="P14341" s="2498"/>
    </row>
    <row r="14342" spans="16:16">
      <c r="P14342" s="2498"/>
    </row>
    <row r="14343" spans="16:16">
      <c r="P14343" s="2498"/>
    </row>
    <row r="14344" spans="16:16">
      <c r="P14344" s="2498"/>
    </row>
    <row r="14345" spans="16:16">
      <c r="P14345" s="2498"/>
    </row>
    <row r="14346" spans="16:16">
      <c r="P14346" s="2498"/>
    </row>
    <row r="14347" spans="16:16">
      <c r="P14347" s="2498"/>
    </row>
    <row r="14348" spans="16:16">
      <c r="P14348" s="2498"/>
    </row>
    <row r="14349" spans="16:16">
      <c r="P14349" s="2498"/>
    </row>
    <row r="14350" spans="16:16">
      <c r="P14350" s="2498"/>
    </row>
    <row r="14351" spans="16:16">
      <c r="P14351" s="2498"/>
    </row>
    <row r="14352" spans="16:16">
      <c r="P14352" s="2498"/>
    </row>
    <row r="14353" spans="16:16">
      <c r="P14353" s="2498"/>
    </row>
    <row r="14354" spans="16:16">
      <c r="P14354" s="2498"/>
    </row>
    <row r="14355" spans="16:16">
      <c r="P14355" s="2498"/>
    </row>
    <row r="14356" spans="16:16">
      <c r="P14356" s="2498"/>
    </row>
    <row r="14357" spans="16:16">
      <c r="P14357" s="2498"/>
    </row>
    <row r="14358" spans="16:16">
      <c r="P14358" s="2498"/>
    </row>
    <row r="14359" spans="16:16">
      <c r="P14359" s="2498"/>
    </row>
    <row r="14360" spans="16:16">
      <c r="P14360" s="2498"/>
    </row>
    <row r="14361" spans="16:16">
      <c r="P14361" s="2498"/>
    </row>
    <row r="14362" spans="16:16">
      <c r="P14362" s="2498"/>
    </row>
    <row r="14363" spans="16:16">
      <c r="P14363" s="2498"/>
    </row>
    <row r="14364" spans="16:16">
      <c r="P14364" s="2498"/>
    </row>
    <row r="14365" spans="16:16">
      <c r="P14365" s="2498"/>
    </row>
    <row r="14366" spans="16:16">
      <c r="P14366" s="2498"/>
    </row>
    <row r="14367" spans="16:16">
      <c r="P14367" s="2498"/>
    </row>
    <row r="14368" spans="16:16">
      <c r="P14368" s="2498"/>
    </row>
    <row r="14369" spans="16:16">
      <c r="P14369" s="2498"/>
    </row>
    <row r="14370" spans="16:16">
      <c r="P14370" s="2498"/>
    </row>
    <row r="14371" spans="16:16">
      <c r="P14371" s="2498"/>
    </row>
    <row r="14372" spans="16:16">
      <c r="P14372" s="2498"/>
    </row>
    <row r="14373" spans="16:16">
      <c r="P14373" s="2498"/>
    </row>
    <row r="14374" spans="16:16">
      <c r="P14374" s="2498"/>
    </row>
    <row r="14375" spans="16:16">
      <c r="P14375" s="2498"/>
    </row>
    <row r="14376" spans="16:16">
      <c r="P14376" s="2498"/>
    </row>
    <row r="14377" spans="16:16">
      <c r="P14377" s="2498"/>
    </row>
    <row r="14378" spans="16:16">
      <c r="P14378" s="2498"/>
    </row>
    <row r="14379" spans="16:16">
      <c r="P14379" s="2498"/>
    </row>
    <row r="14380" spans="16:16">
      <c r="P14380" s="2498"/>
    </row>
    <row r="14381" spans="16:16">
      <c r="P14381" s="2498"/>
    </row>
    <row r="14382" spans="16:16">
      <c r="P14382" s="2498"/>
    </row>
    <row r="14383" spans="16:16">
      <c r="P14383" s="2498"/>
    </row>
    <row r="14384" spans="16:16">
      <c r="P14384" s="2498"/>
    </row>
    <row r="14385" spans="16:16">
      <c r="P14385" s="2498"/>
    </row>
    <row r="14386" spans="16:16">
      <c r="P14386" s="2498"/>
    </row>
    <row r="14387" spans="16:16">
      <c r="P14387" s="2498"/>
    </row>
    <row r="14388" spans="16:16">
      <c r="P14388" s="2498"/>
    </row>
    <row r="14389" spans="16:16">
      <c r="P14389" s="2498"/>
    </row>
    <row r="14390" spans="16:16">
      <c r="P14390" s="2498"/>
    </row>
    <row r="14391" spans="16:16">
      <c r="P14391" s="2498"/>
    </row>
    <row r="14392" spans="16:16">
      <c r="P14392" s="2498"/>
    </row>
    <row r="14393" spans="16:16">
      <c r="P14393" s="2498"/>
    </row>
    <row r="14394" spans="16:16">
      <c r="P14394" s="2498"/>
    </row>
    <row r="14395" spans="16:16">
      <c r="P14395" s="2498"/>
    </row>
    <row r="14396" spans="16:16">
      <c r="P14396" s="2498"/>
    </row>
    <row r="14397" spans="16:16">
      <c r="P14397" s="2498"/>
    </row>
    <row r="14398" spans="16:16">
      <c r="P14398" s="2498"/>
    </row>
    <row r="14399" spans="16:16">
      <c r="P14399" s="2498"/>
    </row>
    <row r="14400" spans="16:16">
      <c r="P14400" s="2498"/>
    </row>
    <row r="14401" spans="16:16">
      <c r="P14401" s="2498"/>
    </row>
    <row r="14402" spans="16:16">
      <c r="P14402" s="2498"/>
    </row>
    <row r="14403" spans="16:16">
      <c r="P14403" s="2498"/>
    </row>
    <row r="14404" spans="16:16">
      <c r="P14404" s="2498"/>
    </row>
    <row r="14405" spans="16:16">
      <c r="P14405" s="2498"/>
    </row>
    <row r="14406" spans="16:16">
      <c r="P14406" s="2498"/>
    </row>
    <row r="14407" spans="16:16">
      <c r="P14407" s="2498"/>
    </row>
    <row r="14408" spans="16:16">
      <c r="P14408" s="2498"/>
    </row>
    <row r="14409" spans="16:16">
      <c r="P14409" s="2498"/>
    </row>
    <row r="14410" spans="16:16">
      <c r="P14410" s="2498"/>
    </row>
    <row r="14411" spans="16:16">
      <c r="P14411" s="2498"/>
    </row>
    <row r="14412" spans="16:16">
      <c r="P14412" s="2498"/>
    </row>
    <row r="14413" spans="16:16">
      <c r="P14413" s="2498"/>
    </row>
    <row r="14414" spans="16:16">
      <c r="P14414" s="2498"/>
    </row>
    <row r="14415" spans="16:16">
      <c r="P14415" s="2498"/>
    </row>
    <row r="14416" spans="16:16">
      <c r="P14416" s="2498"/>
    </row>
    <row r="14417" spans="16:16">
      <c r="P14417" s="2498"/>
    </row>
    <row r="14418" spans="16:16">
      <c r="P14418" s="2498"/>
    </row>
    <row r="14419" spans="16:16">
      <c r="P14419" s="2498"/>
    </row>
    <row r="14420" spans="16:16">
      <c r="P14420" s="2498"/>
    </row>
    <row r="14421" spans="16:16">
      <c r="P14421" s="2498"/>
    </row>
    <row r="14422" spans="16:16">
      <c r="P14422" s="2498"/>
    </row>
    <row r="14423" spans="16:16">
      <c r="P14423" s="2498"/>
    </row>
    <row r="14424" spans="16:16">
      <c r="P14424" s="2498"/>
    </row>
    <row r="14425" spans="16:16">
      <c r="P14425" s="2498"/>
    </row>
    <row r="14426" spans="16:16">
      <c r="P14426" s="2498"/>
    </row>
    <row r="14427" spans="16:16">
      <c r="P14427" s="2498"/>
    </row>
    <row r="14428" spans="16:16">
      <c r="P14428" s="2498"/>
    </row>
    <row r="14429" spans="16:16">
      <c r="P14429" s="2498"/>
    </row>
    <row r="14430" spans="16:16">
      <c r="P14430" s="2498"/>
    </row>
    <row r="14431" spans="16:16">
      <c r="P14431" s="2498"/>
    </row>
    <row r="14432" spans="16:16">
      <c r="P14432" s="2498"/>
    </row>
    <row r="14433" spans="16:16">
      <c r="P14433" s="2498"/>
    </row>
    <row r="14434" spans="16:16">
      <c r="P14434" s="2498"/>
    </row>
    <row r="14435" spans="16:16">
      <c r="P14435" s="2498"/>
    </row>
    <row r="14436" spans="16:16">
      <c r="P14436" s="2498"/>
    </row>
    <row r="14437" spans="16:16">
      <c r="P14437" s="2498"/>
    </row>
    <row r="14438" spans="16:16">
      <c r="P14438" s="2498"/>
    </row>
    <row r="14439" spans="16:16">
      <c r="P14439" s="2498"/>
    </row>
    <row r="14440" spans="16:16">
      <c r="P14440" s="2498"/>
    </row>
    <row r="14441" spans="16:16">
      <c r="P14441" s="2498"/>
    </row>
    <row r="14442" spans="16:16">
      <c r="P14442" s="2498"/>
    </row>
    <row r="14443" spans="16:16">
      <c r="P14443" s="2498"/>
    </row>
    <row r="14444" spans="16:16">
      <c r="P14444" s="2498"/>
    </row>
    <row r="14445" spans="16:16">
      <c r="P14445" s="2498"/>
    </row>
    <row r="14446" spans="16:16">
      <c r="P14446" s="2498"/>
    </row>
    <row r="14447" spans="16:16">
      <c r="P14447" s="2498"/>
    </row>
    <row r="14448" spans="16:16">
      <c r="P14448" s="2498"/>
    </row>
    <row r="14449" spans="16:16">
      <c r="P14449" s="2498"/>
    </row>
    <row r="14450" spans="16:16">
      <c r="P14450" s="2498"/>
    </row>
    <row r="14451" spans="16:16">
      <c r="P14451" s="2498"/>
    </row>
    <row r="14452" spans="16:16">
      <c r="P14452" s="2498"/>
    </row>
    <row r="14453" spans="16:16">
      <c r="P14453" s="2498"/>
    </row>
    <row r="14454" spans="16:16">
      <c r="P14454" s="2498"/>
    </row>
    <row r="14455" spans="16:16">
      <c r="P14455" s="2498"/>
    </row>
    <row r="14456" spans="16:16">
      <c r="P14456" s="2498"/>
    </row>
    <row r="14457" spans="16:16">
      <c r="P14457" s="2498"/>
    </row>
    <row r="14458" spans="16:16">
      <c r="P14458" s="2498"/>
    </row>
    <row r="14459" spans="16:16">
      <c r="P14459" s="2498"/>
    </row>
    <row r="14460" spans="16:16">
      <c r="P14460" s="2498"/>
    </row>
    <row r="14461" spans="16:16">
      <c r="P14461" s="2498"/>
    </row>
    <row r="14462" spans="16:16">
      <c r="P14462" s="2498"/>
    </row>
    <row r="14463" spans="16:16">
      <c r="P14463" s="2498"/>
    </row>
    <row r="14464" spans="16:16">
      <c r="P14464" s="2498"/>
    </row>
    <row r="14465" spans="16:16">
      <c r="P14465" s="2498"/>
    </row>
    <row r="14466" spans="16:16">
      <c r="P14466" s="2498"/>
    </row>
    <row r="14467" spans="16:16">
      <c r="P14467" s="2498"/>
    </row>
    <row r="14468" spans="16:16">
      <c r="P14468" s="2498"/>
    </row>
    <row r="14469" spans="16:16">
      <c r="P14469" s="2498"/>
    </row>
    <row r="14470" spans="16:16">
      <c r="P14470" s="2498"/>
    </row>
    <row r="14471" spans="16:16">
      <c r="P14471" s="2498"/>
    </row>
    <row r="14472" spans="16:16">
      <c r="P14472" s="2498"/>
    </row>
    <row r="14473" spans="16:16">
      <c r="P14473" s="2498"/>
    </row>
    <row r="14474" spans="16:16">
      <c r="P14474" s="2498"/>
    </row>
    <row r="14475" spans="16:16">
      <c r="P14475" s="2498"/>
    </row>
    <row r="14476" spans="16:16">
      <c r="P14476" s="2498"/>
    </row>
    <row r="14477" spans="16:16">
      <c r="P14477" s="2498"/>
    </row>
    <row r="14478" spans="16:16">
      <c r="P14478" s="2498"/>
    </row>
    <row r="14479" spans="16:16">
      <c r="P14479" s="2498"/>
    </row>
    <row r="14480" spans="16:16">
      <c r="P14480" s="2498"/>
    </row>
    <row r="14481" spans="16:16">
      <c r="P14481" s="2498"/>
    </row>
    <row r="14482" spans="16:16">
      <c r="P14482" s="2498"/>
    </row>
    <row r="14483" spans="16:16">
      <c r="P14483" s="2498"/>
    </row>
    <row r="14484" spans="16:16">
      <c r="P14484" s="2498"/>
    </row>
    <row r="14485" spans="16:16">
      <c r="P14485" s="2498"/>
    </row>
    <row r="14486" spans="16:16">
      <c r="P14486" s="2498"/>
    </row>
    <row r="14487" spans="16:16">
      <c r="P14487" s="2498"/>
    </row>
    <row r="14488" spans="16:16">
      <c r="P14488" s="2498"/>
    </row>
    <row r="14489" spans="16:16">
      <c r="P14489" s="2498"/>
    </row>
    <row r="14490" spans="16:16">
      <c r="P14490" s="2498"/>
    </row>
    <row r="14491" spans="16:16">
      <c r="P14491" s="2498"/>
    </row>
    <row r="14492" spans="16:16">
      <c r="P14492" s="2498"/>
    </row>
    <row r="14493" spans="16:16">
      <c r="P14493" s="2498"/>
    </row>
    <row r="14494" spans="16:16">
      <c r="P14494" s="2498"/>
    </row>
    <row r="14495" spans="16:16">
      <c r="P14495" s="2498"/>
    </row>
    <row r="14496" spans="16:16">
      <c r="P14496" s="2498"/>
    </row>
    <row r="14497" spans="16:16">
      <c r="P14497" s="2498"/>
    </row>
    <row r="14498" spans="16:16">
      <c r="P14498" s="2498"/>
    </row>
    <row r="14499" spans="16:16">
      <c r="P14499" s="2498"/>
    </row>
    <row r="14500" spans="16:16">
      <c r="P14500" s="2498"/>
    </row>
    <row r="14501" spans="16:16">
      <c r="P14501" s="2498"/>
    </row>
    <row r="14502" spans="16:16">
      <c r="P14502" s="2498"/>
    </row>
    <row r="14503" spans="16:16">
      <c r="P14503" s="2498"/>
    </row>
    <row r="14504" spans="16:16">
      <c r="P14504" s="2498"/>
    </row>
    <row r="14505" spans="16:16">
      <c r="P14505" s="2498"/>
    </row>
    <row r="14506" spans="16:16">
      <c r="P14506" s="2498"/>
    </row>
    <row r="14507" spans="16:16">
      <c r="P14507" s="2498"/>
    </row>
    <row r="14508" spans="16:16">
      <c r="P14508" s="2498"/>
    </row>
    <row r="14509" spans="16:16">
      <c r="P14509" s="2498"/>
    </row>
    <row r="14510" spans="16:16">
      <c r="P14510" s="2498"/>
    </row>
    <row r="14511" spans="16:16">
      <c r="P14511" s="2498"/>
    </row>
    <row r="14512" spans="16:16">
      <c r="P14512" s="2498"/>
    </row>
    <row r="14513" spans="16:16">
      <c r="P14513" s="2498"/>
    </row>
    <row r="14514" spans="16:16">
      <c r="P14514" s="2498"/>
    </row>
    <row r="14515" spans="16:16">
      <c r="P14515" s="2498"/>
    </row>
    <row r="14516" spans="16:16">
      <c r="P14516" s="2498"/>
    </row>
    <row r="14517" spans="16:16">
      <c r="P14517" s="2498"/>
    </row>
    <row r="14518" spans="16:16">
      <c r="P14518" s="2498"/>
    </row>
    <row r="14519" spans="16:16">
      <c r="P14519" s="2498"/>
    </row>
    <row r="14520" spans="16:16">
      <c r="P14520" s="2498"/>
    </row>
    <row r="14521" spans="16:16">
      <c r="P14521" s="2498"/>
    </row>
    <row r="14522" spans="16:16">
      <c r="P14522" s="2498"/>
    </row>
    <row r="14523" spans="16:16">
      <c r="P14523" s="2498"/>
    </row>
    <row r="14524" spans="16:16">
      <c r="P14524" s="2498"/>
    </row>
    <row r="14525" spans="16:16">
      <c r="P14525" s="2498"/>
    </row>
    <row r="14526" spans="16:16">
      <c r="P14526" s="2498"/>
    </row>
    <row r="14527" spans="16:16">
      <c r="P14527" s="2498"/>
    </row>
    <row r="14528" spans="16:16">
      <c r="P14528" s="2498"/>
    </row>
    <row r="14529" spans="16:16">
      <c r="P14529" s="2498"/>
    </row>
    <row r="14530" spans="16:16">
      <c r="P14530" s="2498"/>
    </row>
    <row r="14531" spans="16:16">
      <c r="P14531" s="2498"/>
    </row>
    <row r="14532" spans="16:16">
      <c r="P14532" s="2498"/>
    </row>
    <row r="14533" spans="16:16">
      <c r="P14533" s="2498"/>
    </row>
    <row r="14534" spans="16:16">
      <c r="P14534" s="2498"/>
    </row>
    <row r="14535" spans="16:16">
      <c r="P14535" s="2498"/>
    </row>
    <row r="14536" spans="16:16">
      <c r="P14536" s="2498"/>
    </row>
    <row r="14537" spans="16:16">
      <c r="P14537" s="2498"/>
    </row>
    <row r="14538" spans="16:16">
      <c r="P14538" s="2498"/>
    </row>
    <row r="14539" spans="16:16">
      <c r="P14539" s="2498"/>
    </row>
    <row r="14540" spans="16:16">
      <c r="P14540" s="2498"/>
    </row>
    <row r="14541" spans="16:16">
      <c r="P14541" s="2498"/>
    </row>
    <row r="14542" spans="16:16">
      <c r="P14542" s="2498"/>
    </row>
    <row r="14543" spans="16:16">
      <c r="P14543" s="2498"/>
    </row>
    <row r="14544" spans="16:16">
      <c r="P14544" s="2498"/>
    </row>
    <row r="14545" spans="16:16">
      <c r="P14545" s="2498"/>
    </row>
    <row r="14546" spans="16:16">
      <c r="P14546" s="2498"/>
    </row>
    <row r="14547" spans="16:16">
      <c r="P14547" s="2498"/>
    </row>
    <row r="14548" spans="16:16">
      <c r="P14548" s="2498"/>
    </row>
    <row r="14549" spans="16:16">
      <c r="P14549" s="2498"/>
    </row>
    <row r="14550" spans="16:16">
      <c r="P14550" s="2498"/>
    </row>
    <row r="14551" spans="16:16">
      <c r="P14551" s="2498"/>
    </row>
    <row r="14552" spans="16:16">
      <c r="P14552" s="2498"/>
    </row>
    <row r="14553" spans="16:16">
      <c r="P14553" s="2498"/>
    </row>
    <row r="14554" spans="16:16">
      <c r="P14554" s="2498"/>
    </row>
    <row r="14555" spans="16:16">
      <c r="P14555" s="2498"/>
    </row>
    <row r="14556" spans="16:16">
      <c r="P14556" s="2498"/>
    </row>
    <row r="14557" spans="16:16">
      <c r="P14557" s="2498"/>
    </row>
    <row r="14558" spans="16:16">
      <c r="P14558" s="2498"/>
    </row>
    <row r="14559" spans="16:16">
      <c r="P14559" s="2498"/>
    </row>
    <row r="14560" spans="16:16">
      <c r="P14560" s="2498"/>
    </row>
    <row r="14561" spans="16:16">
      <c r="P14561" s="2498"/>
    </row>
    <row r="14562" spans="16:16">
      <c r="P14562" s="2498"/>
    </row>
    <row r="14563" spans="16:16">
      <c r="P14563" s="2498"/>
    </row>
    <row r="14564" spans="16:16">
      <c r="P14564" s="2498"/>
    </row>
    <row r="14565" spans="16:16">
      <c r="P14565" s="2498"/>
    </row>
    <row r="14566" spans="16:16">
      <c r="P14566" s="2498"/>
    </row>
    <row r="14567" spans="16:16">
      <c r="P14567" s="2498"/>
    </row>
    <row r="14568" spans="16:16">
      <c r="P14568" s="2498"/>
    </row>
    <row r="14569" spans="16:16">
      <c r="P14569" s="2498"/>
    </row>
    <row r="14570" spans="16:16">
      <c r="P14570" s="2498"/>
    </row>
    <row r="14571" spans="16:16">
      <c r="P14571" s="2498"/>
    </row>
    <row r="14572" spans="16:16">
      <c r="P14572" s="2498"/>
    </row>
    <row r="14573" spans="16:16">
      <c r="P14573" s="2498"/>
    </row>
    <row r="14574" spans="16:16">
      <c r="P14574" s="2498"/>
    </row>
    <row r="14575" spans="16:16">
      <c r="P14575" s="2498"/>
    </row>
    <row r="14576" spans="16:16">
      <c r="P14576" s="2498"/>
    </row>
    <row r="14577" spans="16:16">
      <c r="P14577" s="2498"/>
    </row>
    <row r="14578" spans="16:16">
      <c r="P14578" s="2498"/>
    </row>
    <row r="14579" spans="16:16">
      <c r="P14579" s="2498"/>
    </row>
    <row r="14580" spans="16:16">
      <c r="P14580" s="2498"/>
    </row>
    <row r="14581" spans="16:16">
      <c r="P14581" s="2498"/>
    </row>
    <row r="14582" spans="16:16">
      <c r="P14582" s="2498"/>
    </row>
    <row r="14583" spans="16:16">
      <c r="P14583" s="2498"/>
    </row>
    <row r="14584" spans="16:16">
      <c r="P14584" s="2498"/>
    </row>
    <row r="14585" spans="16:16">
      <c r="P14585" s="2498"/>
    </row>
    <row r="14586" spans="16:16">
      <c r="P14586" s="2498"/>
    </row>
    <row r="14587" spans="16:16">
      <c r="P14587" s="2498"/>
    </row>
    <row r="14588" spans="16:16">
      <c r="P14588" s="2498"/>
    </row>
    <row r="14589" spans="16:16">
      <c r="P14589" s="2498"/>
    </row>
    <row r="14590" spans="16:16">
      <c r="P14590" s="2498"/>
    </row>
    <row r="14591" spans="16:16">
      <c r="P14591" s="2498"/>
    </row>
    <row r="14592" spans="16:16">
      <c r="P14592" s="2498"/>
    </row>
    <row r="14593" spans="16:16">
      <c r="P14593" s="2498"/>
    </row>
    <row r="14594" spans="16:16">
      <c r="P14594" s="2498"/>
    </row>
    <row r="14595" spans="16:16">
      <c r="P14595" s="2498"/>
    </row>
    <row r="14596" spans="16:16">
      <c r="P14596" s="2498"/>
    </row>
    <row r="14597" spans="16:16">
      <c r="P14597" s="2498"/>
    </row>
    <row r="14598" spans="16:16">
      <c r="P14598" s="2498"/>
    </row>
    <row r="14599" spans="16:16">
      <c r="P14599" s="2498"/>
    </row>
    <row r="14600" spans="16:16">
      <c r="P14600" s="2498"/>
    </row>
    <row r="14601" spans="16:16">
      <c r="P14601" s="2498"/>
    </row>
    <row r="14602" spans="16:16">
      <c r="P14602" s="2498"/>
    </row>
    <row r="14603" spans="16:16">
      <c r="P14603" s="2498"/>
    </row>
    <row r="14604" spans="16:16">
      <c r="P14604" s="2498"/>
    </row>
    <row r="14605" spans="16:16">
      <c r="P14605" s="2498"/>
    </row>
    <row r="14606" spans="16:16">
      <c r="P14606" s="2498"/>
    </row>
    <row r="14607" spans="16:16">
      <c r="P14607" s="2498"/>
    </row>
    <row r="14608" spans="16:16">
      <c r="P14608" s="2498"/>
    </row>
    <row r="14609" spans="16:16">
      <c r="P14609" s="2498"/>
    </row>
    <row r="14610" spans="16:16">
      <c r="P14610" s="2498"/>
    </row>
    <row r="14611" spans="16:16">
      <c r="P14611" s="2498"/>
    </row>
    <row r="14612" spans="16:16">
      <c r="P14612" s="2498"/>
    </row>
    <row r="14613" spans="16:16">
      <c r="P14613" s="2498"/>
    </row>
    <row r="14614" spans="16:16">
      <c r="P14614" s="2498"/>
    </row>
    <row r="14615" spans="16:16">
      <c r="P14615" s="2498"/>
    </row>
    <row r="14616" spans="16:16">
      <c r="P14616" s="2498"/>
    </row>
    <row r="14617" spans="16:16">
      <c r="P14617" s="2498"/>
    </row>
    <row r="14618" spans="16:16">
      <c r="P14618" s="2498"/>
    </row>
    <row r="14619" spans="16:16">
      <c r="P14619" s="2498"/>
    </row>
    <row r="14620" spans="16:16">
      <c r="P14620" s="2498"/>
    </row>
    <row r="14621" spans="16:16">
      <c r="P14621" s="2498"/>
    </row>
    <row r="14622" spans="16:16">
      <c r="P14622" s="2498"/>
    </row>
    <row r="14623" spans="16:16">
      <c r="P14623" s="2498"/>
    </row>
    <row r="14624" spans="16:16">
      <c r="P14624" s="2498"/>
    </row>
    <row r="14625" spans="16:16">
      <c r="P14625" s="2498"/>
    </row>
    <row r="14626" spans="16:16">
      <c r="P14626" s="2498"/>
    </row>
    <row r="14627" spans="16:16">
      <c r="P14627" s="2498"/>
    </row>
    <row r="14628" spans="16:16">
      <c r="P14628" s="2498"/>
    </row>
    <row r="14629" spans="16:16">
      <c r="P14629" s="2498"/>
    </row>
    <row r="14630" spans="16:16">
      <c r="P14630" s="2498"/>
    </row>
    <row r="14631" spans="16:16">
      <c r="P14631" s="2498"/>
    </row>
    <row r="14632" spans="16:16">
      <c r="P14632" s="2498"/>
    </row>
    <row r="14633" spans="16:16">
      <c r="P14633" s="2498"/>
    </row>
    <row r="14634" spans="16:16">
      <c r="P14634" s="2498"/>
    </row>
    <row r="14635" spans="16:16">
      <c r="P14635" s="2498"/>
    </row>
    <row r="14636" spans="16:16">
      <c r="P14636" s="2498"/>
    </row>
    <row r="14637" spans="16:16">
      <c r="P14637" s="2498"/>
    </row>
    <row r="14638" spans="16:16">
      <c r="P14638" s="2498"/>
    </row>
    <row r="14639" spans="16:16">
      <c r="P14639" s="2498"/>
    </row>
    <row r="14640" spans="16:16">
      <c r="P14640" s="2498"/>
    </row>
    <row r="14641" spans="16:16">
      <c r="P14641" s="2498"/>
    </row>
    <row r="14642" spans="16:16">
      <c r="P14642" s="2498"/>
    </row>
    <row r="14643" spans="16:16">
      <c r="P14643" s="2498"/>
    </row>
    <row r="14644" spans="16:16">
      <c r="P14644" s="2498"/>
    </row>
    <row r="14645" spans="16:16">
      <c r="P14645" s="2498"/>
    </row>
    <row r="14646" spans="16:16">
      <c r="P14646" s="2498"/>
    </row>
    <row r="14647" spans="16:16">
      <c r="P14647" s="2498"/>
    </row>
    <row r="14648" spans="16:16">
      <c r="P14648" s="2498"/>
    </row>
    <row r="14649" spans="16:16">
      <c r="P14649" s="2498"/>
    </row>
    <row r="14650" spans="16:16">
      <c r="P14650" s="2498"/>
    </row>
    <row r="14651" spans="16:16">
      <c r="P14651" s="2498"/>
    </row>
    <row r="14652" spans="16:16">
      <c r="P14652" s="2498"/>
    </row>
    <row r="14653" spans="16:16">
      <c r="P14653" s="2498"/>
    </row>
    <row r="14654" spans="16:16">
      <c r="P14654" s="2498"/>
    </row>
    <row r="14655" spans="16:16">
      <c r="P14655" s="2498"/>
    </row>
    <row r="14656" spans="16:16">
      <c r="P14656" s="2498"/>
    </row>
    <row r="14657" spans="16:16">
      <c r="P14657" s="2498"/>
    </row>
    <row r="14658" spans="16:16">
      <c r="P14658" s="2498"/>
    </row>
    <row r="14659" spans="16:16">
      <c r="P14659" s="2498"/>
    </row>
    <row r="14660" spans="16:16">
      <c r="P14660" s="2498"/>
    </row>
    <row r="14661" spans="16:16">
      <c r="P14661" s="2498"/>
    </row>
    <row r="14662" spans="16:16">
      <c r="P14662" s="2498"/>
    </row>
    <row r="14663" spans="16:16">
      <c r="P14663" s="2498"/>
    </row>
    <row r="14664" spans="16:16">
      <c r="P14664" s="2498"/>
    </row>
    <row r="14665" spans="16:16">
      <c r="P14665" s="2498"/>
    </row>
    <row r="14666" spans="16:16">
      <c r="P14666" s="2498"/>
    </row>
    <row r="14667" spans="16:16">
      <c r="P14667" s="2498"/>
    </row>
    <row r="14668" spans="16:16">
      <c r="P14668" s="2498"/>
    </row>
    <row r="14669" spans="16:16">
      <c r="P14669" s="2498"/>
    </row>
    <row r="14670" spans="16:16">
      <c r="P14670" s="2498"/>
    </row>
    <row r="14671" spans="16:16">
      <c r="P14671" s="2498"/>
    </row>
    <row r="14672" spans="16:16">
      <c r="P14672" s="2498"/>
    </row>
    <row r="14673" spans="16:16">
      <c r="P14673" s="2498"/>
    </row>
    <row r="14674" spans="16:16">
      <c r="P14674" s="2498"/>
    </row>
    <row r="14675" spans="16:16">
      <c r="P14675" s="2498"/>
    </row>
    <row r="14676" spans="16:16">
      <c r="P14676" s="2498"/>
    </row>
    <row r="14677" spans="16:16">
      <c r="P14677" s="2498"/>
    </row>
    <row r="14678" spans="16:16">
      <c r="P14678" s="2498"/>
    </row>
    <row r="14679" spans="16:16">
      <c r="P14679" s="2498"/>
    </row>
    <row r="14680" spans="16:16">
      <c r="P14680" s="2498"/>
    </row>
    <row r="14681" spans="16:16">
      <c r="P14681" s="2498"/>
    </row>
    <row r="14682" spans="16:16">
      <c r="P14682" s="2498"/>
    </row>
    <row r="14683" spans="16:16">
      <c r="P14683" s="2498"/>
    </row>
    <row r="14684" spans="16:16">
      <c r="P14684" s="2498"/>
    </row>
    <row r="14685" spans="16:16">
      <c r="P14685" s="2498"/>
    </row>
    <row r="14686" spans="16:16">
      <c r="P14686" s="2498"/>
    </row>
    <row r="14687" spans="16:16">
      <c r="P14687" s="2498"/>
    </row>
    <row r="14688" spans="16:16">
      <c r="P14688" s="2498"/>
    </row>
    <row r="14689" spans="16:16">
      <c r="P14689" s="2498"/>
    </row>
    <row r="14690" spans="16:16">
      <c r="P14690" s="2498"/>
    </row>
    <row r="14691" spans="16:16">
      <c r="P14691" s="2498"/>
    </row>
    <row r="14692" spans="16:16">
      <c r="P14692" s="2498"/>
    </row>
    <row r="14693" spans="16:16">
      <c r="P14693" s="2498"/>
    </row>
    <row r="14694" spans="16:16">
      <c r="P14694" s="2498"/>
    </row>
    <row r="14695" spans="16:16">
      <c r="P14695" s="2498"/>
    </row>
    <row r="14696" spans="16:16">
      <c r="P14696" s="2498"/>
    </row>
    <row r="14697" spans="16:16">
      <c r="P14697" s="2498"/>
    </row>
    <row r="14698" spans="16:16">
      <c r="P14698" s="2498"/>
    </row>
    <row r="14699" spans="16:16">
      <c r="P14699" s="2498"/>
    </row>
    <row r="14700" spans="16:16">
      <c r="P14700" s="2498"/>
    </row>
    <row r="14701" spans="16:16">
      <c r="P14701" s="2498"/>
    </row>
    <row r="14702" spans="16:16">
      <c r="P14702" s="2498"/>
    </row>
    <row r="14703" spans="16:16">
      <c r="P14703" s="2498"/>
    </row>
    <row r="14704" spans="16:16">
      <c r="P14704" s="2498"/>
    </row>
    <row r="14705" spans="16:16">
      <c r="P14705" s="2498"/>
    </row>
    <row r="14706" spans="16:16">
      <c r="P14706" s="2498"/>
    </row>
    <row r="14707" spans="16:16">
      <c r="P14707" s="2498"/>
    </row>
    <row r="14708" spans="16:16">
      <c r="P14708" s="2498"/>
    </row>
    <row r="14709" spans="16:16">
      <c r="P14709" s="2498"/>
    </row>
    <row r="14710" spans="16:16">
      <c r="P14710" s="2498"/>
    </row>
    <row r="14711" spans="16:16">
      <c r="P14711" s="2498"/>
    </row>
    <row r="14712" spans="16:16">
      <c r="P14712" s="2498"/>
    </row>
    <row r="14713" spans="16:16">
      <c r="P14713" s="2498"/>
    </row>
    <row r="14714" spans="16:16">
      <c r="P14714" s="2498"/>
    </row>
    <row r="14715" spans="16:16">
      <c r="P14715" s="2498"/>
    </row>
    <row r="14716" spans="16:16">
      <c r="P14716" s="2498"/>
    </row>
    <row r="14717" spans="16:16">
      <c r="P14717" s="2498"/>
    </row>
    <row r="14718" spans="16:16">
      <c r="P14718" s="2498"/>
    </row>
    <row r="14719" spans="16:16">
      <c r="P14719" s="2498"/>
    </row>
    <row r="14720" spans="16:16">
      <c r="P14720" s="2498"/>
    </row>
    <row r="14721" spans="16:16">
      <c r="P14721" s="2498"/>
    </row>
    <row r="14722" spans="16:16">
      <c r="P14722" s="2498"/>
    </row>
    <row r="14723" spans="16:16">
      <c r="P14723" s="2498"/>
    </row>
    <row r="14724" spans="16:16">
      <c r="P14724" s="2498"/>
    </row>
    <row r="14725" spans="16:16">
      <c r="P14725" s="2498"/>
    </row>
    <row r="14726" spans="16:16">
      <c r="P14726" s="2498"/>
    </row>
    <row r="14727" spans="16:16">
      <c r="P14727" s="2498"/>
    </row>
    <row r="14728" spans="16:16">
      <c r="P14728" s="2498"/>
    </row>
    <row r="14729" spans="16:16">
      <c r="P14729" s="2498"/>
    </row>
    <row r="14730" spans="16:16">
      <c r="P14730" s="2498"/>
    </row>
    <row r="14731" spans="16:16">
      <c r="P14731" s="2498"/>
    </row>
    <row r="14732" spans="16:16">
      <c r="P14732" s="2498"/>
    </row>
    <row r="14733" spans="16:16">
      <c r="P14733" s="2498"/>
    </row>
    <row r="14734" spans="16:16">
      <c r="P14734" s="2498"/>
    </row>
    <row r="14735" spans="16:16">
      <c r="P14735" s="2498"/>
    </row>
    <row r="14736" spans="16:16">
      <c r="P14736" s="2498"/>
    </row>
    <row r="14737" spans="16:16">
      <c r="P14737" s="2498"/>
    </row>
    <row r="14738" spans="16:16">
      <c r="P14738" s="2498"/>
    </row>
    <row r="14739" spans="16:16">
      <c r="P14739" s="2498"/>
    </row>
    <row r="14740" spans="16:16">
      <c r="P14740" s="2498"/>
    </row>
    <row r="14741" spans="16:16">
      <c r="P14741" s="2498"/>
    </row>
    <row r="14742" spans="16:16">
      <c r="P14742" s="2498"/>
    </row>
    <row r="14743" spans="16:16">
      <c r="P14743" s="2498"/>
    </row>
    <row r="14744" spans="16:16">
      <c r="P14744" s="2498"/>
    </row>
    <row r="14745" spans="16:16">
      <c r="P14745" s="2498"/>
    </row>
    <row r="14746" spans="16:16">
      <c r="P14746" s="2498"/>
    </row>
    <row r="14747" spans="16:16">
      <c r="P14747" s="2498"/>
    </row>
    <row r="14748" spans="16:16">
      <c r="P14748" s="2498"/>
    </row>
    <row r="14749" spans="16:16">
      <c r="P14749" s="2498"/>
    </row>
    <row r="14750" spans="16:16">
      <c r="P14750" s="2498"/>
    </row>
    <row r="14751" spans="16:16">
      <c r="P14751" s="2498"/>
    </row>
    <row r="14752" spans="16:16">
      <c r="P14752" s="2498"/>
    </row>
    <row r="14753" spans="16:16">
      <c r="P14753" s="2498"/>
    </row>
    <row r="14754" spans="16:16">
      <c r="P14754" s="2498"/>
    </row>
    <row r="14755" spans="16:16">
      <c r="P14755" s="2498"/>
    </row>
    <row r="14756" spans="16:16">
      <c r="P14756" s="2498"/>
    </row>
    <row r="14757" spans="16:16">
      <c r="P14757" s="2498"/>
    </row>
    <row r="14758" spans="16:16">
      <c r="P14758" s="2498"/>
    </row>
    <row r="14759" spans="16:16">
      <c r="P14759" s="2498"/>
    </row>
    <row r="14760" spans="16:16">
      <c r="P14760" s="2498"/>
    </row>
    <row r="14761" spans="16:16">
      <c r="P14761" s="2498"/>
    </row>
    <row r="14762" spans="16:16">
      <c r="P14762" s="2498"/>
    </row>
    <row r="14763" spans="16:16">
      <c r="P14763" s="2498"/>
    </row>
    <row r="14764" spans="16:16">
      <c r="P14764" s="2498"/>
    </row>
    <row r="14765" spans="16:16">
      <c r="P14765" s="2498"/>
    </row>
    <row r="14766" spans="16:16">
      <c r="P14766" s="2498"/>
    </row>
    <row r="14767" spans="16:16">
      <c r="P14767" s="2498"/>
    </row>
    <row r="14768" spans="16:16">
      <c r="P14768" s="2498"/>
    </row>
    <row r="14769" spans="16:16">
      <c r="P14769" s="2498"/>
    </row>
    <row r="14770" spans="16:16">
      <c r="P14770" s="2498"/>
    </row>
    <row r="14771" spans="16:16">
      <c r="P14771" s="2498"/>
    </row>
    <row r="14772" spans="16:16">
      <c r="P14772" s="2498"/>
    </row>
    <row r="14773" spans="16:16">
      <c r="P14773" s="2498"/>
    </row>
    <row r="14774" spans="16:16">
      <c r="P14774" s="2498"/>
    </row>
    <row r="14775" spans="16:16">
      <c r="P14775" s="2498"/>
    </row>
    <row r="14776" spans="16:16">
      <c r="P14776" s="2498"/>
    </row>
    <row r="14777" spans="16:16">
      <c r="P14777" s="2498"/>
    </row>
    <row r="14778" spans="16:16">
      <c r="P14778" s="2498"/>
    </row>
    <row r="14779" spans="16:16">
      <c r="P14779" s="2498"/>
    </row>
    <row r="14780" spans="16:16">
      <c r="P14780" s="2498"/>
    </row>
    <row r="14781" spans="16:16">
      <c r="P14781" s="2498"/>
    </row>
    <row r="14782" spans="16:16">
      <c r="P14782" s="2498"/>
    </row>
    <row r="14783" spans="16:16">
      <c r="P14783" s="2498"/>
    </row>
    <row r="14784" spans="16:16">
      <c r="P14784" s="2498"/>
    </row>
    <row r="14785" spans="16:16">
      <c r="P14785" s="2498"/>
    </row>
    <row r="14786" spans="16:16">
      <c r="P14786" s="2498"/>
    </row>
    <row r="14787" spans="16:16">
      <c r="P14787" s="2498"/>
    </row>
    <row r="14788" spans="16:16">
      <c r="P14788" s="2498"/>
    </row>
    <row r="14789" spans="16:16">
      <c r="P14789" s="2498"/>
    </row>
    <row r="14790" spans="16:16">
      <c r="P14790" s="2498"/>
    </row>
    <row r="14791" spans="16:16">
      <c r="P14791" s="2498"/>
    </row>
    <row r="14792" spans="16:16">
      <c r="P14792" s="2498"/>
    </row>
    <row r="14793" spans="16:16">
      <c r="P14793" s="2498"/>
    </row>
    <row r="14794" spans="16:16">
      <c r="P14794" s="2498"/>
    </row>
    <row r="14795" spans="16:16">
      <c r="P14795" s="2498"/>
    </row>
    <row r="14796" spans="16:16">
      <c r="P14796" s="2498"/>
    </row>
    <row r="14797" spans="16:16">
      <c r="P14797" s="2498"/>
    </row>
    <row r="14798" spans="16:16">
      <c r="P14798" s="2498"/>
    </row>
    <row r="14799" spans="16:16">
      <c r="P14799" s="2498"/>
    </row>
    <row r="14800" spans="16:16">
      <c r="P14800" s="2498"/>
    </row>
    <row r="14801" spans="16:16">
      <c r="P14801" s="2498"/>
    </row>
    <row r="14802" spans="16:16">
      <c r="P14802" s="2498"/>
    </row>
    <row r="14803" spans="16:16">
      <c r="P14803" s="2498"/>
    </row>
    <row r="14804" spans="16:16">
      <c r="P14804" s="2498"/>
    </row>
    <row r="14805" spans="16:16">
      <c r="P14805" s="2498"/>
    </row>
    <row r="14806" spans="16:16">
      <c r="P14806" s="2498"/>
    </row>
    <row r="14807" spans="16:16">
      <c r="P14807" s="2498"/>
    </row>
    <row r="14808" spans="16:16">
      <c r="P14808" s="2498"/>
    </row>
    <row r="14809" spans="16:16">
      <c r="P14809" s="2498"/>
    </row>
    <row r="14810" spans="16:16">
      <c r="P14810" s="2498"/>
    </row>
    <row r="14811" spans="16:16">
      <c r="P14811" s="2498"/>
    </row>
    <row r="14812" spans="16:16">
      <c r="P14812" s="2498"/>
    </row>
    <row r="14813" spans="16:16">
      <c r="P14813" s="2498"/>
    </row>
    <row r="14814" spans="16:16">
      <c r="P14814" s="2498"/>
    </row>
    <row r="14815" spans="16:16">
      <c r="P14815" s="2498"/>
    </row>
    <row r="14816" spans="16:16">
      <c r="P14816" s="2498"/>
    </row>
    <row r="14817" spans="16:16">
      <c r="P14817" s="2498"/>
    </row>
    <row r="14818" spans="16:16">
      <c r="P14818" s="2498"/>
    </row>
    <row r="14819" spans="16:16">
      <c r="P14819" s="2498"/>
    </row>
    <row r="14820" spans="16:16">
      <c r="P14820" s="2498"/>
    </row>
    <row r="14821" spans="16:16">
      <c r="P14821" s="2498"/>
    </row>
    <row r="14822" spans="16:16">
      <c r="P14822" s="2498"/>
    </row>
    <row r="14823" spans="16:16">
      <c r="P14823" s="2498"/>
    </row>
    <row r="14824" spans="16:16">
      <c r="P14824" s="2498"/>
    </row>
    <row r="14825" spans="16:16">
      <c r="P14825" s="2498"/>
    </row>
    <row r="14826" spans="16:16">
      <c r="P14826" s="2498"/>
    </row>
    <row r="14827" spans="16:16">
      <c r="P14827" s="2498"/>
    </row>
    <row r="14828" spans="16:16">
      <c r="P14828" s="2498"/>
    </row>
    <row r="14829" spans="16:16">
      <c r="P14829" s="2498"/>
    </row>
    <row r="14830" spans="16:16">
      <c r="P14830" s="2498"/>
    </row>
    <row r="14831" spans="16:16">
      <c r="P14831" s="2498"/>
    </row>
    <row r="14832" spans="16:16">
      <c r="P14832" s="2498"/>
    </row>
    <row r="14833" spans="16:16">
      <c r="P14833" s="2498"/>
    </row>
    <row r="14834" spans="16:16">
      <c r="P14834" s="2498"/>
    </row>
    <row r="14835" spans="16:16">
      <c r="P14835" s="2498"/>
    </row>
    <row r="14836" spans="16:16">
      <c r="P14836" s="2498"/>
    </row>
    <row r="14837" spans="16:16">
      <c r="P14837" s="2498"/>
    </row>
    <row r="14838" spans="16:16">
      <c r="P14838" s="2498"/>
    </row>
    <row r="14839" spans="16:16">
      <c r="P14839" s="2498"/>
    </row>
    <row r="14840" spans="16:16">
      <c r="P14840" s="2498"/>
    </row>
    <row r="14841" spans="16:16">
      <c r="P14841" s="2498"/>
    </row>
    <row r="14842" spans="16:16">
      <c r="P14842" s="2498"/>
    </row>
    <row r="14843" spans="16:16">
      <c r="P14843" s="2498"/>
    </row>
    <row r="14844" spans="16:16">
      <c r="P14844" s="2498"/>
    </row>
    <row r="14845" spans="16:16">
      <c r="P14845" s="2498"/>
    </row>
    <row r="14846" spans="16:16">
      <c r="P14846" s="2498"/>
    </row>
    <row r="14847" spans="16:16">
      <c r="P14847" s="2498"/>
    </row>
    <row r="14848" spans="16:16">
      <c r="P14848" s="2498"/>
    </row>
    <row r="14849" spans="16:16">
      <c r="P14849" s="2498"/>
    </row>
    <row r="14850" spans="16:16">
      <c r="P14850" s="2498"/>
    </row>
    <row r="14851" spans="16:16">
      <c r="P14851" s="2498"/>
    </row>
    <row r="14852" spans="16:16">
      <c r="P14852" s="2498"/>
    </row>
    <row r="14853" spans="16:16">
      <c r="P14853" s="2498"/>
    </row>
    <row r="14854" spans="16:16">
      <c r="P14854" s="2498"/>
    </row>
    <row r="14855" spans="16:16">
      <c r="P14855" s="2498"/>
    </row>
    <row r="14856" spans="16:16">
      <c r="P14856" s="2498"/>
    </row>
    <row r="14857" spans="16:16">
      <c r="P14857" s="2498"/>
    </row>
    <row r="14858" spans="16:16">
      <c r="P14858" s="2498"/>
    </row>
    <row r="14859" spans="16:16">
      <c r="P14859" s="2498"/>
    </row>
    <row r="14860" spans="16:16">
      <c r="P14860" s="2498"/>
    </row>
    <row r="14861" spans="16:16">
      <c r="P14861" s="2498"/>
    </row>
    <row r="14862" spans="16:16">
      <c r="P14862" s="2498"/>
    </row>
    <row r="14863" spans="16:16">
      <c r="P14863" s="2498"/>
    </row>
    <row r="14864" spans="16:16">
      <c r="P14864" s="2498"/>
    </row>
    <row r="14865" spans="16:16">
      <c r="P14865" s="2498"/>
    </row>
    <row r="14866" spans="16:16">
      <c r="P14866" s="2498"/>
    </row>
    <row r="14867" spans="16:16">
      <c r="P14867" s="2498"/>
    </row>
    <row r="14868" spans="16:16">
      <c r="P14868" s="2498"/>
    </row>
    <row r="14869" spans="16:16">
      <c r="P14869" s="2498"/>
    </row>
    <row r="14870" spans="16:16">
      <c r="P14870" s="2498"/>
    </row>
    <row r="14871" spans="16:16">
      <c r="P14871" s="2498"/>
    </row>
    <row r="14872" spans="16:16">
      <c r="P14872" s="2498"/>
    </row>
    <row r="14873" spans="16:16">
      <c r="P14873" s="2498"/>
    </row>
    <row r="14874" spans="16:16">
      <c r="P14874" s="2498"/>
    </row>
    <row r="14875" spans="16:16">
      <c r="P14875" s="2498"/>
    </row>
    <row r="14876" spans="16:16">
      <c r="P14876" s="2498"/>
    </row>
    <row r="14877" spans="16:16">
      <c r="P14877" s="2498"/>
    </row>
    <row r="14878" spans="16:16">
      <c r="P14878" s="2498"/>
    </row>
    <row r="14879" spans="16:16">
      <c r="P14879" s="2498"/>
    </row>
    <row r="14880" spans="16:16">
      <c r="P14880" s="2498"/>
    </row>
    <row r="14881" spans="16:16">
      <c r="P14881" s="2498"/>
    </row>
    <row r="14882" spans="16:16">
      <c r="P14882" s="2498"/>
    </row>
    <row r="14883" spans="16:16">
      <c r="P14883" s="2498"/>
    </row>
    <row r="14884" spans="16:16">
      <c r="P14884" s="2498"/>
    </row>
    <row r="14885" spans="16:16">
      <c r="P14885" s="2498"/>
    </row>
    <row r="14886" spans="16:16">
      <c r="P14886" s="2498"/>
    </row>
    <row r="14887" spans="16:16">
      <c r="P14887" s="2498"/>
    </row>
    <row r="14888" spans="16:16">
      <c r="P14888" s="2498"/>
    </row>
    <row r="14889" spans="16:16">
      <c r="P14889" s="2498"/>
    </row>
    <row r="14890" spans="16:16">
      <c r="P14890" s="2498"/>
    </row>
    <row r="14891" spans="16:16">
      <c r="P14891" s="2498"/>
    </row>
    <row r="14892" spans="16:16">
      <c r="P14892" s="2498"/>
    </row>
    <row r="14893" spans="16:16">
      <c r="P14893" s="2498"/>
    </row>
    <row r="14894" spans="16:16">
      <c r="P14894" s="2498"/>
    </row>
    <row r="14895" spans="16:16">
      <c r="P14895" s="2498"/>
    </row>
    <row r="14896" spans="16:16">
      <c r="P14896" s="2498"/>
    </row>
    <row r="14897" spans="16:16">
      <c r="P14897" s="2498"/>
    </row>
    <row r="14898" spans="16:16">
      <c r="P14898" s="2498"/>
    </row>
    <row r="14899" spans="16:16">
      <c r="P14899" s="2498"/>
    </row>
    <row r="14900" spans="16:16">
      <c r="P14900" s="2498"/>
    </row>
    <row r="14901" spans="16:16">
      <c r="P14901" s="2498"/>
    </row>
    <row r="14902" spans="16:16">
      <c r="P14902" s="2498"/>
    </row>
    <row r="14903" spans="16:16">
      <c r="P14903" s="2498"/>
    </row>
    <row r="14904" spans="16:16">
      <c r="P14904" s="2498"/>
    </row>
    <row r="14905" spans="16:16">
      <c r="P14905" s="2498"/>
    </row>
    <row r="14906" spans="16:16">
      <c r="P14906" s="2498"/>
    </row>
    <row r="14907" spans="16:16">
      <c r="P14907" s="2498"/>
    </row>
    <row r="14908" spans="16:16">
      <c r="P14908" s="2498"/>
    </row>
    <row r="14909" spans="16:16">
      <c r="P14909" s="2498"/>
    </row>
    <row r="14910" spans="16:16">
      <c r="P14910" s="2498"/>
    </row>
    <row r="14911" spans="16:16">
      <c r="P14911" s="2498"/>
    </row>
    <row r="14912" spans="16:16">
      <c r="P14912" s="2498"/>
    </row>
    <row r="14913" spans="16:16">
      <c r="P14913" s="2498"/>
    </row>
    <row r="14914" spans="16:16">
      <c r="P14914" s="2498"/>
    </row>
    <row r="14915" spans="16:16">
      <c r="P14915" s="2498"/>
    </row>
    <row r="14916" spans="16:16">
      <c r="P14916" s="2498"/>
    </row>
    <row r="14917" spans="16:16">
      <c r="P14917" s="2498"/>
    </row>
    <row r="14918" spans="16:16">
      <c r="P14918" s="2498"/>
    </row>
    <row r="14919" spans="16:16">
      <c r="P14919" s="2498"/>
    </row>
    <row r="14920" spans="16:16">
      <c r="P14920" s="2498"/>
    </row>
    <row r="14921" spans="16:16">
      <c r="P14921" s="2498"/>
    </row>
    <row r="14922" spans="16:16">
      <c r="P14922" s="2498"/>
    </row>
    <row r="14923" spans="16:16">
      <c r="P14923" s="2498"/>
    </row>
    <row r="14924" spans="16:16">
      <c r="P14924" s="2498"/>
    </row>
    <row r="14925" spans="16:16">
      <c r="P14925" s="2498"/>
    </row>
    <row r="14926" spans="16:16">
      <c r="P14926" s="2498"/>
    </row>
    <row r="14927" spans="16:16">
      <c r="P14927" s="2498"/>
    </row>
    <row r="14928" spans="16:16">
      <c r="P14928" s="2498"/>
    </row>
    <row r="14929" spans="16:16">
      <c r="P14929" s="2498"/>
    </row>
    <row r="14930" spans="16:16">
      <c r="P14930" s="2498"/>
    </row>
    <row r="14931" spans="16:16">
      <c r="P14931" s="2498"/>
    </row>
    <row r="14932" spans="16:16">
      <c r="P14932" s="2498"/>
    </row>
    <row r="14933" spans="16:16">
      <c r="P14933" s="2498"/>
    </row>
    <row r="14934" spans="16:16">
      <c r="P14934" s="2498"/>
    </row>
    <row r="14935" spans="16:16">
      <c r="P14935" s="2498"/>
    </row>
    <row r="14936" spans="16:16">
      <c r="P14936" s="2498"/>
    </row>
    <row r="14937" spans="16:16">
      <c r="P14937" s="2498"/>
    </row>
    <row r="14938" spans="16:16">
      <c r="P14938" s="2498"/>
    </row>
    <row r="14939" spans="16:16">
      <c r="P14939" s="2498"/>
    </row>
    <row r="14940" spans="16:16">
      <c r="P14940" s="2498"/>
    </row>
    <row r="14941" spans="16:16">
      <c r="P14941" s="2498"/>
    </row>
    <row r="14942" spans="16:16">
      <c r="P14942" s="2498"/>
    </row>
    <row r="14943" spans="16:16">
      <c r="P14943" s="2498"/>
    </row>
    <row r="14944" spans="16:16">
      <c r="P14944" s="2498"/>
    </row>
    <row r="14945" spans="16:16">
      <c r="P14945" s="2498"/>
    </row>
    <row r="14946" spans="16:16">
      <c r="P14946" s="2498"/>
    </row>
    <row r="14947" spans="16:16">
      <c r="P14947" s="2498"/>
    </row>
    <row r="14948" spans="16:16">
      <c r="P14948" s="2498"/>
    </row>
    <row r="14949" spans="16:16">
      <c r="P14949" s="2498"/>
    </row>
    <row r="14950" spans="16:16">
      <c r="P14950" s="2498"/>
    </row>
    <row r="14951" spans="16:16">
      <c r="P14951" s="2498"/>
    </row>
    <row r="14952" spans="16:16">
      <c r="P14952" s="2498"/>
    </row>
    <row r="14953" spans="16:16">
      <c r="P14953" s="2498"/>
    </row>
    <row r="14954" spans="16:16">
      <c r="P14954" s="2498"/>
    </row>
    <row r="14955" spans="16:16">
      <c r="P14955" s="2498"/>
    </row>
    <row r="14956" spans="16:16">
      <c r="P14956" s="2498"/>
    </row>
    <row r="14957" spans="16:16">
      <c r="P14957" s="2498"/>
    </row>
    <row r="14958" spans="16:16">
      <c r="P14958" s="2498"/>
    </row>
    <row r="14959" spans="16:16">
      <c r="P14959" s="2498"/>
    </row>
    <row r="14960" spans="16:16">
      <c r="P14960" s="2498"/>
    </row>
    <row r="14961" spans="16:16">
      <c r="P14961" s="2498"/>
    </row>
    <row r="14962" spans="16:16">
      <c r="P14962" s="2498"/>
    </row>
    <row r="14963" spans="16:16">
      <c r="P14963" s="2498"/>
    </row>
    <row r="14964" spans="16:16">
      <c r="P14964" s="2498"/>
    </row>
    <row r="14965" spans="16:16">
      <c r="P14965" s="2498"/>
    </row>
    <row r="14966" spans="16:16">
      <c r="P14966" s="2498"/>
    </row>
    <row r="14967" spans="16:16">
      <c r="P14967" s="2498"/>
    </row>
    <row r="14968" spans="16:16">
      <c r="P14968" s="2498"/>
    </row>
    <row r="14969" spans="16:16">
      <c r="P14969" s="2498"/>
    </row>
    <row r="14970" spans="16:16">
      <c r="P14970" s="2498"/>
    </row>
    <row r="14971" spans="16:16">
      <c r="P14971" s="2498"/>
    </row>
    <row r="14972" spans="16:16">
      <c r="P14972" s="2498"/>
    </row>
    <row r="14973" spans="16:16">
      <c r="P14973" s="2498"/>
    </row>
    <row r="14974" spans="16:16">
      <c r="P14974" s="2498"/>
    </row>
    <row r="14975" spans="16:16">
      <c r="P14975" s="2498"/>
    </row>
    <row r="14976" spans="16:16">
      <c r="P14976" s="2498"/>
    </row>
    <row r="14977" spans="16:16">
      <c r="P14977" s="2498"/>
    </row>
    <row r="14978" spans="16:16">
      <c r="P14978" s="2498"/>
    </row>
    <row r="14979" spans="16:16">
      <c r="P14979" s="2498"/>
    </row>
    <row r="14980" spans="16:16">
      <c r="P14980" s="2498"/>
    </row>
    <row r="14981" spans="16:16">
      <c r="P14981" s="2498"/>
    </row>
    <row r="14982" spans="16:16">
      <c r="P14982" s="2498"/>
    </row>
    <row r="14983" spans="16:16">
      <c r="P14983" s="2498"/>
    </row>
    <row r="14984" spans="16:16">
      <c r="P14984" s="2498"/>
    </row>
    <row r="14985" spans="16:16">
      <c r="P14985" s="2498"/>
    </row>
    <row r="14986" spans="16:16">
      <c r="P14986" s="2498"/>
    </row>
    <row r="14987" spans="16:16">
      <c r="P14987" s="2498"/>
    </row>
    <row r="14988" spans="16:16">
      <c r="P14988" s="2498"/>
    </row>
    <row r="14989" spans="16:16">
      <c r="P14989" s="2498"/>
    </row>
    <row r="14990" spans="16:16">
      <c r="P14990" s="2498"/>
    </row>
    <row r="14991" spans="16:16">
      <c r="P14991" s="2498"/>
    </row>
    <row r="14992" spans="16:16">
      <c r="P14992" s="2498"/>
    </row>
    <row r="14993" spans="16:16">
      <c r="P14993" s="2498"/>
    </row>
    <row r="14994" spans="16:16">
      <c r="P14994" s="2498"/>
    </row>
    <row r="14995" spans="16:16">
      <c r="P14995" s="2498"/>
    </row>
    <row r="14996" spans="16:16">
      <c r="P14996" s="2498"/>
    </row>
    <row r="14997" spans="16:16">
      <c r="P14997" s="2498"/>
    </row>
    <row r="14998" spans="16:16">
      <c r="P14998" s="2498"/>
    </row>
    <row r="14999" spans="16:16">
      <c r="P14999" s="2498"/>
    </row>
    <row r="15000" spans="16:16">
      <c r="P15000" s="2498"/>
    </row>
    <row r="15001" spans="16:16">
      <c r="P15001" s="2498"/>
    </row>
    <row r="15002" spans="16:16">
      <c r="P15002" s="2498"/>
    </row>
    <row r="15003" spans="16:16">
      <c r="P15003" s="2498"/>
    </row>
    <row r="15004" spans="16:16">
      <c r="P15004" s="2498"/>
    </row>
    <row r="15005" spans="16:16">
      <c r="P15005" s="2498"/>
    </row>
    <row r="15006" spans="16:16">
      <c r="P15006" s="2498"/>
    </row>
    <row r="15007" spans="16:16">
      <c r="P15007" s="2498"/>
    </row>
    <row r="15008" spans="16:16">
      <c r="P15008" s="2498"/>
    </row>
    <row r="15009" spans="16:16">
      <c r="P15009" s="2498"/>
    </row>
    <row r="15010" spans="16:16">
      <c r="P15010" s="2498"/>
    </row>
    <row r="15011" spans="16:16">
      <c r="P15011" s="2498"/>
    </row>
    <row r="15012" spans="16:16">
      <c r="P15012" s="2498"/>
    </row>
    <row r="15013" spans="16:16">
      <c r="P15013" s="2498"/>
    </row>
    <row r="15014" spans="16:16">
      <c r="P15014" s="2498"/>
    </row>
    <row r="15015" spans="16:16">
      <c r="P15015" s="2498"/>
    </row>
    <row r="15016" spans="16:16">
      <c r="P15016" s="2498"/>
    </row>
    <row r="15017" spans="16:16">
      <c r="P15017" s="2498"/>
    </row>
    <row r="15018" spans="16:16">
      <c r="P15018" s="2498"/>
    </row>
    <row r="15019" spans="16:16">
      <c r="P15019" s="2498"/>
    </row>
    <row r="15020" spans="16:16">
      <c r="P15020" s="2498"/>
    </row>
    <row r="15021" spans="16:16">
      <c r="P15021" s="2498"/>
    </row>
    <row r="15022" spans="16:16">
      <c r="P15022" s="2498"/>
    </row>
    <row r="15023" spans="16:16">
      <c r="P15023" s="2498"/>
    </row>
    <row r="15024" spans="16:16">
      <c r="P15024" s="2498"/>
    </row>
    <row r="15025" spans="16:16">
      <c r="P15025" s="2498"/>
    </row>
    <row r="15026" spans="16:16">
      <c r="P15026" s="2498"/>
    </row>
    <row r="15027" spans="16:16">
      <c r="P15027" s="2498"/>
    </row>
    <row r="15028" spans="16:16">
      <c r="P15028" s="2498"/>
    </row>
    <row r="15029" spans="16:16">
      <c r="P15029" s="2498"/>
    </row>
    <row r="15030" spans="16:16">
      <c r="P15030" s="2498"/>
    </row>
    <row r="15031" spans="16:16">
      <c r="P15031" s="2498"/>
    </row>
    <row r="15032" spans="16:16">
      <c r="P15032" s="2498"/>
    </row>
    <row r="15033" spans="16:16">
      <c r="P15033" s="2498"/>
    </row>
    <row r="15034" spans="16:16">
      <c r="P15034" s="2498"/>
    </row>
    <row r="15035" spans="16:16">
      <c r="P15035" s="2498"/>
    </row>
    <row r="15036" spans="16:16">
      <c r="P15036" s="2498"/>
    </row>
    <row r="15037" spans="16:16">
      <c r="P15037" s="2498"/>
    </row>
    <row r="15038" spans="16:16">
      <c r="P15038" s="2498"/>
    </row>
    <row r="15039" spans="16:16">
      <c r="P15039" s="2498"/>
    </row>
    <row r="15040" spans="16:16">
      <c r="P15040" s="2498"/>
    </row>
    <row r="15041" spans="16:16">
      <c r="P15041" s="2498"/>
    </row>
    <row r="15042" spans="16:16">
      <c r="P15042" s="2498"/>
    </row>
    <row r="15043" spans="16:16">
      <c r="P15043" s="2498"/>
    </row>
    <row r="15044" spans="16:16">
      <c r="P15044" s="2498"/>
    </row>
    <row r="15045" spans="16:16">
      <c r="P15045" s="2498"/>
    </row>
    <row r="15046" spans="16:16">
      <c r="P15046" s="2498"/>
    </row>
    <row r="15047" spans="16:16">
      <c r="P15047" s="2498"/>
    </row>
    <row r="15048" spans="16:16">
      <c r="P15048" s="2498"/>
    </row>
    <row r="15049" spans="16:16">
      <c r="P15049" s="2498"/>
    </row>
    <row r="15050" spans="16:16">
      <c r="P15050" s="2498"/>
    </row>
    <row r="15051" spans="16:16">
      <c r="P15051" s="2498"/>
    </row>
    <row r="15052" spans="16:16">
      <c r="P15052" s="2498"/>
    </row>
    <row r="15053" spans="16:16">
      <c r="P15053" s="2498"/>
    </row>
    <row r="15054" spans="16:16">
      <c r="P15054" s="2498"/>
    </row>
    <row r="15055" spans="16:16">
      <c r="P15055" s="2498"/>
    </row>
    <row r="15056" spans="16:16">
      <c r="P15056" s="2498"/>
    </row>
    <row r="15057" spans="16:16">
      <c r="P15057" s="2498"/>
    </row>
    <row r="15058" spans="16:16">
      <c r="P15058" s="2498"/>
    </row>
    <row r="15059" spans="16:16">
      <c r="P15059" s="2498"/>
    </row>
    <row r="15060" spans="16:16">
      <c r="P15060" s="2498"/>
    </row>
    <row r="15061" spans="16:16">
      <c r="P15061" s="2498"/>
    </row>
    <row r="15062" spans="16:16">
      <c r="P15062" s="2498"/>
    </row>
    <row r="15063" spans="16:16">
      <c r="P15063" s="2498"/>
    </row>
    <row r="15064" spans="16:16">
      <c r="P15064" s="2498"/>
    </row>
    <row r="15065" spans="16:16">
      <c r="P15065" s="2498"/>
    </row>
    <row r="15066" spans="16:16">
      <c r="P15066" s="2498"/>
    </row>
    <row r="15067" spans="16:16">
      <c r="P15067" s="2498"/>
    </row>
    <row r="15068" spans="16:16">
      <c r="P15068" s="2498"/>
    </row>
    <row r="15069" spans="16:16">
      <c r="P15069" s="2498"/>
    </row>
    <row r="15070" spans="16:16">
      <c r="P15070" s="2498"/>
    </row>
    <row r="15071" spans="16:16">
      <c r="P15071" s="2498"/>
    </row>
    <row r="15072" spans="16:16">
      <c r="P15072" s="2498"/>
    </row>
    <row r="15073" spans="16:16">
      <c r="P15073" s="2498"/>
    </row>
    <row r="15074" spans="16:16">
      <c r="P15074" s="2498"/>
    </row>
    <row r="15075" spans="16:16">
      <c r="P15075" s="2498"/>
    </row>
    <row r="15076" spans="16:16">
      <c r="P15076" s="2498"/>
    </row>
    <row r="15077" spans="16:16">
      <c r="P15077" s="2498"/>
    </row>
    <row r="15078" spans="16:16">
      <c r="P15078" s="2498"/>
    </row>
    <row r="15079" spans="16:16">
      <c r="P15079" s="2498"/>
    </row>
    <row r="15080" spans="16:16">
      <c r="P15080" s="2498"/>
    </row>
    <row r="15081" spans="16:16">
      <c r="P15081" s="2498"/>
    </row>
    <row r="15082" spans="16:16">
      <c r="P15082" s="2498"/>
    </row>
    <row r="15083" spans="16:16">
      <c r="P15083" s="2498"/>
    </row>
    <row r="15084" spans="16:16">
      <c r="P15084" s="2498"/>
    </row>
    <row r="15085" spans="16:16">
      <c r="P15085" s="2498"/>
    </row>
    <row r="15086" spans="16:16">
      <c r="P15086" s="2498"/>
    </row>
    <row r="15087" spans="16:16">
      <c r="P15087" s="2498"/>
    </row>
    <row r="15088" spans="16:16">
      <c r="P15088" s="2498"/>
    </row>
    <row r="15089" spans="16:16">
      <c r="P15089" s="2498"/>
    </row>
    <row r="15090" spans="16:16">
      <c r="P15090" s="2498"/>
    </row>
    <row r="15091" spans="16:16">
      <c r="P15091" s="2498"/>
    </row>
    <row r="15092" spans="16:16">
      <c r="P15092" s="2498"/>
    </row>
    <row r="15093" spans="16:16">
      <c r="P15093" s="2498"/>
    </row>
    <row r="15094" spans="16:16">
      <c r="P15094" s="2498"/>
    </row>
    <row r="15095" spans="16:16">
      <c r="P15095" s="2498"/>
    </row>
    <row r="15096" spans="16:16">
      <c r="P15096" s="2498"/>
    </row>
    <row r="15097" spans="16:16">
      <c r="P15097" s="2498"/>
    </row>
    <row r="15098" spans="16:16">
      <c r="P15098" s="2498"/>
    </row>
    <row r="15099" spans="16:16">
      <c r="P15099" s="2498"/>
    </row>
    <row r="15100" spans="16:16">
      <c r="P15100" s="2498"/>
    </row>
    <row r="15101" spans="16:16">
      <c r="P15101" s="2498"/>
    </row>
    <row r="15102" spans="16:16">
      <c r="P15102" s="2498"/>
    </row>
    <row r="15103" spans="16:16">
      <c r="P15103" s="2498"/>
    </row>
    <row r="15104" spans="16:16">
      <c r="P15104" s="2498"/>
    </row>
    <row r="15105" spans="16:16">
      <c r="P15105" s="2498"/>
    </row>
    <row r="15106" spans="16:16">
      <c r="P15106" s="2498"/>
    </row>
    <row r="15107" spans="16:16">
      <c r="P15107" s="2498"/>
    </row>
    <row r="15108" spans="16:16">
      <c r="P15108" s="2498"/>
    </row>
    <row r="15109" spans="16:16">
      <c r="P15109" s="2498"/>
    </row>
    <row r="15110" spans="16:16">
      <c r="P15110" s="2498"/>
    </row>
    <row r="15111" spans="16:16">
      <c r="P15111" s="2498"/>
    </row>
    <row r="15112" spans="16:16">
      <c r="P15112" s="2498"/>
    </row>
    <row r="15113" spans="16:16">
      <c r="P15113" s="2498"/>
    </row>
    <row r="15114" spans="16:16">
      <c r="P15114" s="2498"/>
    </row>
    <row r="15115" spans="16:16">
      <c r="P15115" s="2498"/>
    </row>
    <row r="15116" spans="16:16">
      <c r="P15116" s="2498"/>
    </row>
    <row r="15117" spans="16:16">
      <c r="P15117" s="2498"/>
    </row>
    <row r="15118" spans="16:16">
      <c r="P15118" s="2498"/>
    </row>
    <row r="15119" spans="16:16">
      <c r="P15119" s="2498"/>
    </row>
    <row r="15120" spans="16:16">
      <c r="P15120" s="2498"/>
    </row>
    <row r="15121" spans="16:16">
      <c r="P15121" s="2498"/>
    </row>
    <row r="15122" spans="16:16">
      <c r="P15122" s="2498"/>
    </row>
    <row r="15123" spans="16:16">
      <c r="P15123" s="2498"/>
    </row>
    <row r="15124" spans="16:16">
      <c r="P15124" s="2498"/>
    </row>
    <row r="15125" spans="16:16">
      <c r="P15125" s="2498"/>
    </row>
    <row r="15126" spans="16:16">
      <c r="P15126" s="2498"/>
    </row>
    <row r="15127" spans="16:16">
      <c r="P15127" s="2498"/>
    </row>
    <row r="15128" spans="16:16">
      <c r="P15128" s="2498"/>
    </row>
    <row r="15129" spans="16:16">
      <c r="P15129" s="2498"/>
    </row>
    <row r="15130" spans="16:16">
      <c r="P15130" s="2498"/>
    </row>
    <row r="15131" spans="16:16">
      <c r="P15131" s="2498"/>
    </row>
    <row r="15132" spans="16:16">
      <c r="P15132" s="2498"/>
    </row>
    <row r="15133" spans="16:16">
      <c r="P15133" s="2498"/>
    </row>
    <row r="15134" spans="16:16">
      <c r="P15134" s="2498"/>
    </row>
    <row r="15135" spans="16:16">
      <c r="P15135" s="2498"/>
    </row>
    <row r="15136" spans="16:16">
      <c r="P15136" s="2498"/>
    </row>
    <row r="15137" spans="16:16">
      <c r="P15137" s="2498"/>
    </row>
    <row r="15138" spans="16:16">
      <c r="P15138" s="2498"/>
    </row>
    <row r="15139" spans="16:16">
      <c r="P15139" s="2498"/>
    </row>
    <row r="15140" spans="16:16">
      <c r="P15140" s="2498"/>
    </row>
    <row r="15141" spans="16:16">
      <c r="P15141" s="2498"/>
    </row>
    <row r="15142" spans="16:16">
      <c r="P15142" s="2498"/>
    </row>
    <row r="15143" spans="16:16">
      <c r="P15143" s="2498"/>
    </row>
    <row r="15144" spans="16:16">
      <c r="P15144" s="2498"/>
    </row>
    <row r="15145" spans="16:16">
      <c r="P15145" s="2498"/>
    </row>
    <row r="15146" spans="16:16">
      <c r="P15146" s="2498"/>
    </row>
    <row r="15147" spans="16:16">
      <c r="P15147" s="2498"/>
    </row>
    <row r="15148" spans="16:16">
      <c r="P15148" s="2498"/>
    </row>
    <row r="15149" spans="16:16">
      <c r="P15149" s="2498"/>
    </row>
    <row r="15150" spans="16:16">
      <c r="P15150" s="2498"/>
    </row>
    <row r="15151" spans="16:16">
      <c r="P15151" s="2498"/>
    </row>
    <row r="15152" spans="16:16">
      <c r="P15152" s="2498"/>
    </row>
    <row r="15153" spans="16:16">
      <c r="P15153" s="2498"/>
    </row>
    <row r="15154" spans="16:16">
      <c r="P15154" s="2498"/>
    </row>
    <row r="15155" spans="16:16">
      <c r="P15155" s="2498"/>
    </row>
    <row r="15156" spans="16:16">
      <c r="P15156" s="2498"/>
    </row>
    <row r="15157" spans="16:16">
      <c r="P15157" s="2498"/>
    </row>
    <row r="15158" spans="16:16">
      <c r="P15158" s="2498"/>
    </row>
    <row r="15159" spans="16:16">
      <c r="P15159" s="2498"/>
    </row>
    <row r="15160" spans="16:16">
      <c r="P15160" s="2498"/>
    </row>
    <row r="15161" spans="16:16">
      <c r="P15161" s="2498"/>
    </row>
    <row r="15162" spans="16:16">
      <c r="P15162" s="2498"/>
    </row>
    <row r="15163" spans="16:16">
      <c r="P15163" s="2498"/>
    </row>
    <row r="15164" spans="16:16">
      <c r="P15164" s="2498"/>
    </row>
    <row r="15165" spans="16:16">
      <c r="P15165" s="2498"/>
    </row>
    <row r="15166" spans="16:16">
      <c r="P15166" s="2498"/>
    </row>
    <row r="15167" spans="16:16">
      <c r="P15167" s="2498"/>
    </row>
    <row r="15168" spans="16:16">
      <c r="P15168" s="2498"/>
    </row>
    <row r="15169" spans="16:16">
      <c r="P15169" s="2498"/>
    </row>
    <row r="15170" spans="16:16">
      <c r="P15170" s="2498"/>
    </row>
    <row r="15171" spans="16:16">
      <c r="P15171" s="2498"/>
    </row>
    <row r="15172" spans="16:16">
      <c r="P15172" s="2498"/>
    </row>
    <row r="15173" spans="16:16">
      <c r="P15173" s="2498"/>
    </row>
    <row r="15174" spans="16:16">
      <c r="P15174" s="2498"/>
    </row>
    <row r="15175" spans="16:16">
      <c r="P15175" s="2498"/>
    </row>
    <row r="15176" spans="16:16">
      <c r="P15176" s="2498"/>
    </row>
    <row r="15177" spans="16:16">
      <c r="P15177" s="2498"/>
    </row>
    <row r="15178" spans="16:16">
      <c r="P15178" s="2498"/>
    </row>
    <row r="15179" spans="16:16">
      <c r="P15179" s="2498"/>
    </row>
    <row r="15180" spans="16:16">
      <c r="P15180" s="2498"/>
    </row>
    <row r="15181" spans="16:16">
      <c r="P15181" s="2498"/>
    </row>
    <row r="15182" spans="16:16">
      <c r="P15182" s="2498"/>
    </row>
    <row r="15183" spans="16:16">
      <c r="P15183" s="2498"/>
    </row>
    <row r="15184" spans="16:16">
      <c r="P15184" s="2498"/>
    </row>
    <row r="15185" spans="16:16">
      <c r="P15185" s="2498"/>
    </row>
    <row r="15186" spans="16:16">
      <c r="P15186" s="2498"/>
    </row>
    <row r="15187" spans="16:16">
      <c r="P15187" s="2498"/>
    </row>
    <row r="15188" spans="16:16">
      <c r="P15188" s="2498"/>
    </row>
    <row r="15189" spans="16:16">
      <c r="P15189" s="2498"/>
    </row>
    <row r="15190" spans="16:16">
      <c r="P15190" s="2498"/>
    </row>
    <row r="15191" spans="16:16">
      <c r="P15191" s="2498"/>
    </row>
    <row r="15192" spans="16:16">
      <c r="P15192" s="2498"/>
    </row>
    <row r="15193" spans="16:16">
      <c r="P15193" s="2498"/>
    </row>
    <row r="15194" spans="16:16">
      <c r="P15194" s="2498"/>
    </row>
    <row r="15195" spans="16:16">
      <c r="P15195" s="2498"/>
    </row>
    <row r="15196" spans="16:16">
      <c r="P15196" s="2498"/>
    </row>
    <row r="15197" spans="16:16">
      <c r="P15197" s="2498"/>
    </row>
    <row r="15198" spans="16:16">
      <c r="P15198" s="2498"/>
    </row>
    <row r="15199" spans="16:16">
      <c r="P15199" s="2498"/>
    </row>
    <row r="15200" spans="16:16">
      <c r="P15200" s="2498"/>
    </row>
    <row r="15201" spans="16:16">
      <c r="P15201" s="2498"/>
    </row>
    <row r="15202" spans="16:16">
      <c r="P15202" s="2498"/>
    </row>
    <row r="15203" spans="16:16">
      <c r="P15203" s="2498"/>
    </row>
    <row r="15204" spans="16:16">
      <c r="P15204" s="2498"/>
    </row>
    <row r="15205" spans="16:16">
      <c r="P15205" s="2498"/>
    </row>
    <row r="15206" spans="16:16">
      <c r="P15206" s="2498"/>
    </row>
    <row r="15207" spans="16:16">
      <c r="P15207" s="2498"/>
    </row>
    <row r="15208" spans="16:16">
      <c r="P15208" s="2498"/>
    </row>
    <row r="15209" spans="16:16">
      <c r="P15209" s="2498"/>
    </row>
    <row r="15210" spans="16:16">
      <c r="P15210" s="2498"/>
    </row>
    <row r="15211" spans="16:16">
      <c r="P15211" s="2498"/>
    </row>
    <row r="15212" spans="16:16">
      <c r="P15212" s="2498"/>
    </row>
    <row r="15213" spans="16:16">
      <c r="P15213" s="2498"/>
    </row>
    <row r="15214" spans="16:16">
      <c r="P15214" s="2498"/>
    </row>
    <row r="15215" spans="16:16">
      <c r="P15215" s="2498"/>
    </row>
    <row r="15216" spans="16:16">
      <c r="P15216" s="2498"/>
    </row>
    <row r="15217" spans="16:16">
      <c r="P15217" s="2498"/>
    </row>
    <row r="15218" spans="16:16">
      <c r="P15218" s="2498"/>
    </row>
    <row r="15219" spans="16:16">
      <c r="P15219" s="2498"/>
    </row>
    <row r="15220" spans="16:16">
      <c r="P15220" s="2498"/>
    </row>
    <row r="15221" spans="16:16">
      <c r="P15221" s="2498"/>
    </row>
    <row r="15222" spans="16:16">
      <c r="P15222" s="2498"/>
    </row>
    <row r="15223" spans="16:16">
      <c r="P15223" s="2498"/>
    </row>
    <row r="15224" spans="16:16">
      <c r="P15224" s="2498"/>
    </row>
    <row r="15225" spans="16:16">
      <c r="P15225" s="2498"/>
    </row>
    <row r="15226" spans="16:16">
      <c r="P15226" s="2498"/>
    </row>
    <row r="15227" spans="16:16">
      <c r="P15227" s="2498"/>
    </row>
    <row r="15228" spans="16:16">
      <c r="P15228" s="2498"/>
    </row>
    <row r="15229" spans="16:16">
      <c r="P15229" s="2498"/>
    </row>
    <row r="15230" spans="16:16">
      <c r="P15230" s="2498"/>
    </row>
    <row r="15231" spans="16:16">
      <c r="P15231" s="2498"/>
    </row>
    <row r="15232" spans="16:16">
      <c r="P15232" s="2498"/>
    </row>
    <row r="15233" spans="16:16">
      <c r="P15233" s="2498"/>
    </row>
    <row r="15234" spans="16:16">
      <c r="P15234" s="2498"/>
    </row>
    <row r="15235" spans="16:16">
      <c r="P15235" s="2498"/>
    </row>
    <row r="15236" spans="16:16">
      <c r="P15236" s="2498"/>
    </row>
    <row r="15237" spans="16:16">
      <c r="P15237" s="2498"/>
    </row>
    <row r="15238" spans="16:16">
      <c r="P15238" s="2498"/>
    </row>
    <row r="15239" spans="16:16">
      <c r="P15239" s="2498"/>
    </row>
    <row r="15240" spans="16:16">
      <c r="P15240" s="2498"/>
    </row>
    <row r="15241" spans="16:16">
      <c r="P15241" s="2498"/>
    </row>
    <row r="15242" spans="16:16">
      <c r="P15242" s="2498"/>
    </row>
    <row r="15243" spans="16:16">
      <c r="P15243" s="2498"/>
    </row>
    <row r="15244" spans="16:16">
      <c r="P15244" s="2498"/>
    </row>
    <row r="15245" spans="16:16">
      <c r="P15245" s="2498"/>
    </row>
    <row r="15246" spans="16:16">
      <c r="P15246" s="2498"/>
    </row>
    <row r="15247" spans="16:16">
      <c r="P15247" s="2498"/>
    </row>
    <row r="15248" spans="16:16">
      <c r="P15248" s="2498"/>
    </row>
    <row r="15249" spans="16:16">
      <c r="P15249" s="2498"/>
    </row>
    <row r="15250" spans="16:16">
      <c r="P15250" s="2498"/>
    </row>
    <row r="15251" spans="16:16">
      <c r="P15251" s="2498"/>
    </row>
    <row r="15252" spans="16:16">
      <c r="P15252" s="2498"/>
    </row>
    <row r="15253" spans="16:16">
      <c r="P15253" s="2498"/>
    </row>
    <row r="15254" spans="16:16">
      <c r="P15254" s="2498"/>
    </row>
    <row r="15255" spans="16:16">
      <c r="P15255" s="2498"/>
    </row>
    <row r="15256" spans="16:16">
      <c r="P15256" s="2498"/>
    </row>
    <row r="15257" spans="16:16">
      <c r="P15257" s="2498"/>
    </row>
    <row r="15258" spans="16:16">
      <c r="P15258" s="2498"/>
    </row>
    <row r="15259" spans="16:16">
      <c r="P15259" s="2498"/>
    </row>
    <row r="15260" spans="16:16">
      <c r="P15260" s="2498"/>
    </row>
    <row r="15261" spans="16:16">
      <c r="P15261" s="2498"/>
    </row>
    <row r="15262" spans="16:16">
      <c r="P15262" s="2498"/>
    </row>
    <row r="15263" spans="16:16">
      <c r="P15263" s="2498"/>
    </row>
    <row r="15264" spans="16:16">
      <c r="P15264" s="2498"/>
    </row>
    <row r="15265" spans="16:16">
      <c r="P15265" s="2498"/>
    </row>
    <row r="15266" spans="16:16">
      <c r="P15266" s="2498"/>
    </row>
    <row r="15267" spans="16:16">
      <c r="P15267" s="2498"/>
    </row>
    <row r="15268" spans="16:16">
      <c r="P15268" s="2498"/>
    </row>
    <row r="15269" spans="16:16">
      <c r="P15269" s="2498"/>
    </row>
    <row r="15270" spans="16:16">
      <c r="P15270" s="2498"/>
    </row>
    <row r="15271" spans="16:16">
      <c r="P15271" s="2498"/>
    </row>
    <row r="15272" spans="16:16">
      <c r="P15272" s="2498"/>
    </row>
    <row r="15273" spans="16:16">
      <c r="P15273" s="2498"/>
    </row>
    <row r="15274" spans="16:16">
      <c r="P15274" s="2498"/>
    </row>
    <row r="15275" spans="16:16">
      <c r="P15275" s="2498"/>
    </row>
    <row r="15276" spans="16:16">
      <c r="P15276" s="2498"/>
    </row>
    <row r="15277" spans="16:16">
      <c r="P15277" s="2498"/>
    </row>
    <row r="15278" spans="16:16">
      <c r="P15278" s="2498"/>
    </row>
    <row r="15279" spans="16:16">
      <c r="P15279" s="2498"/>
    </row>
    <row r="15280" spans="16:16">
      <c r="P15280" s="2498"/>
    </row>
    <row r="15281" spans="16:16">
      <c r="P15281" s="2498"/>
    </row>
    <row r="15282" spans="16:16">
      <c r="P15282" s="2498"/>
    </row>
    <row r="15283" spans="16:16">
      <c r="P15283" s="2498"/>
    </row>
    <row r="15284" spans="16:16">
      <c r="P15284" s="2498"/>
    </row>
    <row r="15285" spans="16:16">
      <c r="P15285" s="2498"/>
    </row>
    <row r="15286" spans="16:16">
      <c r="P15286" s="2498"/>
    </row>
    <row r="15287" spans="16:16">
      <c r="P15287" s="2498"/>
    </row>
    <row r="15288" spans="16:16">
      <c r="P15288" s="2498"/>
    </row>
    <row r="15289" spans="16:16">
      <c r="P15289" s="2498"/>
    </row>
    <row r="15290" spans="16:16">
      <c r="P15290" s="2498"/>
    </row>
    <row r="15291" spans="16:16">
      <c r="P15291" s="2498"/>
    </row>
    <row r="15292" spans="16:16">
      <c r="P15292" s="2498"/>
    </row>
    <row r="15293" spans="16:16">
      <c r="P15293" s="2498"/>
    </row>
    <row r="15294" spans="16:16">
      <c r="P15294" s="2498"/>
    </row>
    <row r="15295" spans="16:16">
      <c r="P15295" s="2498"/>
    </row>
    <row r="15296" spans="16:16">
      <c r="P15296" s="2498"/>
    </row>
    <row r="15297" spans="16:16">
      <c r="P15297" s="2498"/>
    </row>
    <row r="15298" spans="16:16">
      <c r="P15298" s="2498"/>
    </row>
    <row r="15299" spans="16:16">
      <c r="P15299" s="2498"/>
    </row>
    <row r="15300" spans="16:16">
      <c r="P15300" s="2498"/>
    </row>
    <row r="15301" spans="16:16">
      <c r="P15301" s="2498"/>
    </row>
    <row r="15302" spans="16:16">
      <c r="P15302" s="2498"/>
    </row>
    <row r="15303" spans="16:16">
      <c r="P15303" s="2498"/>
    </row>
    <row r="15304" spans="16:16">
      <c r="P15304" s="2498"/>
    </row>
    <row r="15305" spans="16:16">
      <c r="P15305" s="2498"/>
    </row>
    <row r="15306" spans="16:16">
      <c r="P15306" s="2498"/>
    </row>
    <row r="15307" spans="16:16">
      <c r="P15307" s="2498"/>
    </row>
    <row r="15308" spans="16:16">
      <c r="P15308" s="2498"/>
    </row>
    <row r="15309" spans="16:16">
      <c r="P15309" s="2498"/>
    </row>
    <row r="15310" spans="16:16">
      <c r="P15310" s="2498"/>
    </row>
    <row r="15311" spans="16:16">
      <c r="P15311" s="2498"/>
    </row>
    <row r="15312" spans="16:16">
      <c r="P15312" s="2498"/>
    </row>
    <row r="15313" spans="16:16">
      <c r="P15313" s="2498"/>
    </row>
    <row r="15314" spans="16:16">
      <c r="P15314" s="2498"/>
    </row>
    <row r="15315" spans="16:16">
      <c r="P15315" s="2498"/>
    </row>
    <row r="15316" spans="16:16">
      <c r="P15316" s="2498"/>
    </row>
    <row r="15317" spans="16:16">
      <c r="P15317" s="2498"/>
    </row>
    <row r="15318" spans="16:16">
      <c r="P15318" s="2498"/>
    </row>
    <row r="15319" spans="16:16">
      <c r="P15319" s="2498"/>
    </row>
    <row r="15320" spans="16:16">
      <c r="P15320" s="2498"/>
    </row>
    <row r="15321" spans="16:16">
      <c r="P15321" s="2498"/>
    </row>
    <row r="15322" spans="16:16">
      <c r="P15322" s="2498"/>
    </row>
    <row r="15323" spans="16:16">
      <c r="P15323" s="2498"/>
    </row>
    <row r="15324" spans="16:16">
      <c r="P15324" s="2498"/>
    </row>
    <row r="15325" spans="16:16">
      <c r="P15325" s="2498"/>
    </row>
    <row r="15326" spans="16:16">
      <c r="P15326" s="2498"/>
    </row>
    <row r="15327" spans="16:16">
      <c r="P15327" s="2498"/>
    </row>
    <row r="15328" spans="16:16">
      <c r="P15328" s="2498"/>
    </row>
    <row r="15329" spans="16:16">
      <c r="P15329" s="2498"/>
    </row>
    <row r="15330" spans="16:16">
      <c r="P15330" s="2498"/>
    </row>
    <row r="15331" spans="16:16">
      <c r="P15331" s="2498"/>
    </row>
    <row r="15332" spans="16:16">
      <c r="P15332" s="2498"/>
    </row>
    <row r="15333" spans="16:16">
      <c r="P15333" s="2498"/>
    </row>
    <row r="15334" spans="16:16">
      <c r="P15334" s="2498"/>
    </row>
    <row r="15335" spans="16:16">
      <c r="P15335" s="2498"/>
    </row>
    <row r="15336" spans="16:16">
      <c r="P15336" s="2498"/>
    </row>
    <row r="15337" spans="16:16">
      <c r="P15337" s="2498"/>
    </row>
    <row r="15338" spans="16:16">
      <c r="P15338" s="2498"/>
    </row>
    <row r="15339" spans="16:16">
      <c r="P15339" s="2498"/>
    </row>
    <row r="15340" spans="16:16">
      <c r="P15340" s="2498"/>
    </row>
    <row r="15341" spans="16:16">
      <c r="P15341" s="2498"/>
    </row>
    <row r="15342" spans="16:16">
      <c r="P15342" s="2498"/>
    </row>
    <row r="15343" spans="16:16">
      <c r="P15343" s="2498"/>
    </row>
    <row r="15344" spans="16:16">
      <c r="P15344" s="2498"/>
    </row>
    <row r="15345" spans="16:16">
      <c r="P15345" s="2498"/>
    </row>
    <row r="15346" spans="16:16">
      <c r="P15346" s="2498"/>
    </row>
    <row r="15347" spans="16:16">
      <c r="P15347" s="2498"/>
    </row>
    <row r="15348" spans="16:16">
      <c r="P15348" s="2498"/>
    </row>
    <row r="15349" spans="16:16">
      <c r="P15349" s="2498"/>
    </row>
    <row r="15350" spans="16:16">
      <c r="P15350" s="2498"/>
    </row>
    <row r="15351" spans="16:16">
      <c r="P15351" s="2498"/>
    </row>
    <row r="15352" spans="16:16">
      <c r="P15352" s="2498"/>
    </row>
    <row r="15353" spans="16:16">
      <c r="P15353" s="2498"/>
    </row>
    <row r="15354" spans="16:16">
      <c r="P15354" s="2498"/>
    </row>
    <row r="15355" spans="16:16">
      <c r="P15355" s="2498"/>
    </row>
    <row r="15356" spans="16:16">
      <c r="P15356" s="2498"/>
    </row>
    <row r="15357" spans="16:16">
      <c r="P15357" s="2498"/>
    </row>
    <row r="15358" spans="16:16">
      <c r="P15358" s="2498"/>
    </row>
    <row r="15359" spans="16:16">
      <c r="P15359" s="2498"/>
    </row>
    <row r="15360" spans="16:16">
      <c r="P15360" s="2498"/>
    </row>
    <row r="15361" spans="16:16">
      <c r="P15361" s="2498"/>
    </row>
    <row r="15362" spans="16:16">
      <c r="P15362" s="2498"/>
    </row>
    <row r="15363" spans="16:16">
      <c r="P15363" s="2498"/>
    </row>
    <row r="15364" spans="16:16">
      <c r="P15364" s="2498"/>
    </row>
    <row r="15365" spans="16:16">
      <c r="P15365" s="2498"/>
    </row>
    <row r="15366" spans="16:16">
      <c r="P15366" s="2498"/>
    </row>
    <row r="15367" spans="16:16">
      <c r="P15367" s="2498"/>
    </row>
    <row r="15368" spans="16:16">
      <c r="P15368" s="2498"/>
    </row>
    <row r="15369" spans="16:16">
      <c r="P15369" s="2498"/>
    </row>
    <row r="15370" spans="16:16">
      <c r="P15370" s="2498"/>
    </row>
    <row r="15371" spans="16:16">
      <c r="P15371" s="2498"/>
    </row>
    <row r="15372" spans="16:16">
      <c r="P15372" s="2498"/>
    </row>
    <row r="15373" spans="16:16">
      <c r="P15373" s="2498"/>
    </row>
    <row r="15374" spans="16:16">
      <c r="P15374" s="2498"/>
    </row>
    <row r="15375" spans="16:16">
      <c r="P15375" s="2498"/>
    </row>
    <row r="15376" spans="16:16">
      <c r="P15376" s="2498"/>
    </row>
    <row r="15377" spans="16:16">
      <c r="P15377" s="2498"/>
    </row>
    <row r="15378" spans="16:16">
      <c r="P15378" s="2498"/>
    </row>
    <row r="15379" spans="16:16">
      <c r="P15379" s="2498"/>
    </row>
    <row r="15380" spans="16:16">
      <c r="P15380" s="2498"/>
    </row>
    <row r="15381" spans="16:16">
      <c r="P15381" s="2498"/>
    </row>
    <row r="15382" spans="16:16">
      <c r="P15382" s="2498"/>
    </row>
    <row r="15383" spans="16:16">
      <c r="P15383" s="2498"/>
    </row>
    <row r="15384" spans="16:16">
      <c r="P15384" s="2498"/>
    </row>
    <row r="15385" spans="16:16">
      <c r="P15385" s="2498"/>
    </row>
    <row r="15386" spans="16:16">
      <c r="P15386" s="2498"/>
    </row>
    <row r="15387" spans="16:16">
      <c r="P15387" s="2498"/>
    </row>
    <row r="15388" spans="16:16">
      <c r="P15388" s="2498"/>
    </row>
    <row r="15389" spans="16:16">
      <c r="P15389" s="2498"/>
    </row>
    <row r="15390" spans="16:16">
      <c r="P15390" s="2498"/>
    </row>
    <row r="15391" spans="16:16">
      <c r="P15391" s="2498"/>
    </row>
    <row r="15392" spans="16:16">
      <c r="P15392" s="2498"/>
    </row>
    <row r="15393" spans="16:16">
      <c r="P15393" s="2498"/>
    </row>
    <row r="15394" spans="16:16">
      <c r="P15394" s="2498"/>
    </row>
    <row r="15395" spans="16:16">
      <c r="P15395" s="2498"/>
    </row>
    <row r="15396" spans="16:16">
      <c r="P15396" s="2498"/>
    </row>
    <row r="15397" spans="16:16">
      <c r="P15397" s="2498"/>
    </row>
    <row r="15398" spans="16:16">
      <c r="P15398" s="2498"/>
    </row>
    <row r="15399" spans="16:16">
      <c r="P15399" s="2498"/>
    </row>
    <row r="15400" spans="16:16">
      <c r="P15400" s="2498"/>
    </row>
    <row r="15401" spans="16:16">
      <c r="P15401" s="2498"/>
    </row>
    <row r="15402" spans="16:16">
      <c r="P15402" s="2498"/>
    </row>
    <row r="15403" spans="16:16">
      <c r="P15403" s="2498"/>
    </row>
    <row r="15404" spans="16:16">
      <c r="P15404" s="2498"/>
    </row>
    <row r="15405" spans="16:16">
      <c r="P15405" s="2498"/>
    </row>
    <row r="15406" spans="16:16">
      <c r="P15406" s="2498"/>
    </row>
    <row r="15407" spans="16:16">
      <c r="P15407" s="2498"/>
    </row>
    <row r="15408" spans="16:16">
      <c r="P15408" s="2498"/>
    </row>
    <row r="15409" spans="16:16">
      <c r="P15409" s="2498"/>
    </row>
    <row r="15410" spans="16:16">
      <c r="P15410" s="2498"/>
    </row>
    <row r="15411" spans="16:16">
      <c r="P15411" s="2498"/>
    </row>
    <row r="15412" spans="16:16">
      <c r="P15412" s="2498"/>
    </row>
    <row r="15413" spans="16:16">
      <c r="P15413" s="2498"/>
    </row>
    <row r="15414" spans="16:16">
      <c r="P15414" s="2498"/>
    </row>
    <row r="15415" spans="16:16">
      <c r="P15415" s="2498"/>
    </row>
    <row r="15416" spans="16:16">
      <c r="P15416" s="2498"/>
    </row>
    <row r="15417" spans="16:16">
      <c r="P15417" s="2498"/>
    </row>
    <row r="15418" spans="16:16">
      <c r="P15418" s="2498"/>
    </row>
    <row r="15419" spans="16:16">
      <c r="P15419" s="2498"/>
    </row>
    <row r="15420" spans="16:16">
      <c r="P15420" s="2498"/>
    </row>
    <row r="15421" spans="16:16">
      <c r="P15421" s="2498"/>
    </row>
    <row r="15422" spans="16:16">
      <c r="P15422" s="2498"/>
    </row>
    <row r="15423" spans="16:16">
      <c r="P15423" s="2498"/>
    </row>
    <row r="15424" spans="16:16">
      <c r="P15424" s="2498"/>
    </row>
    <row r="15425" spans="16:16">
      <c r="P15425" s="2498"/>
    </row>
    <row r="15426" spans="16:16">
      <c r="P15426" s="2498"/>
    </row>
    <row r="15427" spans="16:16">
      <c r="P15427" s="2498"/>
    </row>
    <row r="15428" spans="16:16">
      <c r="P15428" s="2498"/>
    </row>
    <row r="15429" spans="16:16">
      <c r="P15429" s="2498"/>
    </row>
    <row r="15430" spans="16:16">
      <c r="P15430" s="2498"/>
    </row>
    <row r="15431" spans="16:16">
      <c r="P15431" s="2498"/>
    </row>
    <row r="15432" spans="16:16">
      <c r="P15432" s="2498"/>
    </row>
    <row r="15433" spans="16:16">
      <c r="P15433" s="2498"/>
    </row>
    <row r="15434" spans="16:16">
      <c r="P15434" s="2498"/>
    </row>
    <row r="15435" spans="16:16">
      <c r="P15435" s="2498"/>
    </row>
    <row r="15436" spans="16:16">
      <c r="P15436" s="2498"/>
    </row>
    <row r="15437" spans="16:16">
      <c r="P15437" s="2498"/>
    </row>
    <row r="15438" spans="16:16">
      <c r="P15438" s="2498"/>
    </row>
    <row r="15439" spans="16:16">
      <c r="P15439" s="2498"/>
    </row>
    <row r="15440" spans="16:16">
      <c r="P15440" s="2498"/>
    </row>
    <row r="15441" spans="16:16">
      <c r="P15441" s="2498"/>
    </row>
    <row r="15442" spans="16:16">
      <c r="P15442" s="2498"/>
    </row>
    <row r="15443" spans="16:16">
      <c r="P15443" s="2498"/>
    </row>
    <row r="15444" spans="16:16">
      <c r="P15444" s="2498"/>
    </row>
    <row r="15445" spans="16:16">
      <c r="P15445" s="2498"/>
    </row>
    <row r="15446" spans="16:16">
      <c r="P15446" s="2498"/>
    </row>
    <row r="15447" spans="16:16">
      <c r="P15447" s="2498"/>
    </row>
    <row r="15448" spans="16:16">
      <c r="P15448" s="2498"/>
    </row>
    <row r="15449" spans="16:16">
      <c r="P15449" s="2498"/>
    </row>
    <row r="15450" spans="16:16">
      <c r="P15450" s="2498"/>
    </row>
    <row r="15451" spans="16:16">
      <c r="P15451" s="2498"/>
    </row>
    <row r="15452" spans="16:16">
      <c r="P15452" s="2498"/>
    </row>
    <row r="15453" spans="16:16">
      <c r="P15453" s="2498"/>
    </row>
    <row r="15454" spans="16:16">
      <c r="P15454" s="2498"/>
    </row>
    <row r="15455" spans="16:16">
      <c r="P15455" s="2498"/>
    </row>
    <row r="15456" spans="16:16">
      <c r="P15456" s="2498"/>
    </row>
    <row r="15457" spans="16:16">
      <c r="P15457" s="2498"/>
    </row>
    <row r="15458" spans="16:16">
      <c r="P15458" s="2498"/>
    </row>
    <row r="15459" spans="16:16">
      <c r="P15459" s="2498"/>
    </row>
    <row r="15460" spans="16:16">
      <c r="P15460" s="2498"/>
    </row>
    <row r="15461" spans="16:16">
      <c r="P15461" s="2498"/>
    </row>
    <row r="15462" spans="16:16">
      <c r="P15462" s="2498"/>
    </row>
    <row r="15463" spans="16:16">
      <c r="P15463" s="2498"/>
    </row>
    <row r="15464" spans="16:16">
      <c r="P15464" s="2498"/>
    </row>
    <row r="15465" spans="16:16">
      <c r="P15465" s="2498"/>
    </row>
    <row r="15466" spans="16:16">
      <c r="P15466" s="2498"/>
    </row>
    <row r="15467" spans="16:16">
      <c r="P15467" s="2498"/>
    </row>
    <row r="15468" spans="16:16">
      <c r="P15468" s="2498"/>
    </row>
    <row r="15469" spans="16:16">
      <c r="P15469" s="2498"/>
    </row>
    <row r="15470" spans="16:16">
      <c r="P15470" s="2498"/>
    </row>
    <row r="15471" spans="16:16">
      <c r="P15471" s="2498"/>
    </row>
    <row r="15472" spans="16:16">
      <c r="P15472" s="2498"/>
    </row>
    <row r="15473" spans="16:16">
      <c r="P15473" s="2498"/>
    </row>
    <row r="15474" spans="16:16">
      <c r="P15474" s="2498"/>
    </row>
    <row r="15475" spans="16:16">
      <c r="P15475" s="2498"/>
    </row>
    <row r="15476" spans="16:16">
      <c r="P15476" s="2498"/>
    </row>
    <row r="15477" spans="16:16">
      <c r="P15477" s="2498"/>
    </row>
    <row r="15478" spans="16:16">
      <c r="P15478" s="2498"/>
    </row>
    <row r="15479" spans="16:16">
      <c r="P15479" s="2498"/>
    </row>
    <row r="15480" spans="16:16">
      <c r="P15480" s="2498"/>
    </row>
    <row r="15481" spans="16:16">
      <c r="P15481" s="2498"/>
    </row>
    <row r="15482" spans="16:16">
      <c r="P15482" s="2498"/>
    </row>
    <row r="15483" spans="16:16">
      <c r="P15483" s="2498"/>
    </row>
    <row r="15484" spans="16:16">
      <c r="P15484" s="2498"/>
    </row>
    <row r="15485" spans="16:16">
      <c r="P15485" s="2498"/>
    </row>
    <row r="15486" spans="16:16">
      <c r="P15486" s="2498"/>
    </row>
    <row r="15487" spans="16:16">
      <c r="P15487" s="2498"/>
    </row>
    <row r="15488" spans="16:16">
      <c r="P15488" s="2498"/>
    </row>
    <row r="15489" spans="16:16">
      <c r="P15489" s="2498"/>
    </row>
    <row r="15490" spans="16:16">
      <c r="P15490" s="2498"/>
    </row>
    <row r="15491" spans="16:16">
      <c r="P15491" s="2498"/>
    </row>
    <row r="15492" spans="16:16">
      <c r="P15492" s="2498"/>
    </row>
    <row r="15493" spans="16:16">
      <c r="P15493" s="2498"/>
    </row>
    <row r="15494" spans="16:16">
      <c r="P15494" s="2498"/>
    </row>
    <row r="15495" spans="16:16">
      <c r="P15495" s="2498"/>
    </row>
    <row r="15496" spans="16:16">
      <c r="P15496" s="2498"/>
    </row>
    <row r="15497" spans="16:16">
      <c r="P15497" s="2498"/>
    </row>
    <row r="15498" spans="16:16">
      <c r="P15498" s="2498"/>
    </row>
    <row r="15499" spans="16:16">
      <c r="P15499" s="2498"/>
    </row>
    <row r="15500" spans="16:16">
      <c r="P15500" s="2498"/>
    </row>
    <row r="15501" spans="16:16">
      <c r="P15501" s="2498"/>
    </row>
    <row r="15502" spans="16:16">
      <c r="P15502" s="2498"/>
    </row>
    <row r="15503" spans="16:16">
      <c r="P15503" s="2498"/>
    </row>
    <row r="15504" spans="16:16">
      <c r="P15504" s="2498"/>
    </row>
    <row r="15505" spans="16:16">
      <c r="P15505" s="2498"/>
    </row>
    <row r="15506" spans="16:16">
      <c r="P15506" s="2498"/>
    </row>
    <row r="15507" spans="16:16">
      <c r="P15507" s="2498"/>
    </row>
    <row r="15508" spans="16:16">
      <c r="P15508" s="2498"/>
    </row>
    <row r="15509" spans="16:16">
      <c r="P15509" s="2498"/>
    </row>
    <row r="15510" spans="16:16">
      <c r="P15510" s="2498"/>
    </row>
    <row r="15511" spans="16:16">
      <c r="P15511" s="2498"/>
    </row>
    <row r="15512" spans="16:16">
      <c r="P15512" s="2498"/>
    </row>
    <row r="15513" spans="16:16">
      <c r="P15513" s="2498"/>
    </row>
    <row r="15514" spans="16:16">
      <c r="P15514" s="2498"/>
    </row>
    <row r="15515" spans="16:16">
      <c r="P15515" s="2498"/>
    </row>
    <row r="15516" spans="16:16">
      <c r="P15516" s="2498"/>
    </row>
    <row r="15517" spans="16:16">
      <c r="P15517" s="2498"/>
    </row>
    <row r="15518" spans="16:16">
      <c r="P15518" s="2498"/>
    </row>
    <row r="15519" spans="16:16">
      <c r="P15519" s="2498"/>
    </row>
    <row r="15520" spans="16:16">
      <c r="P15520" s="2498"/>
    </row>
    <row r="15521" spans="16:16">
      <c r="P15521" s="2498"/>
    </row>
    <row r="15522" spans="16:16">
      <c r="P15522" s="2498"/>
    </row>
    <row r="15523" spans="16:16">
      <c r="P15523" s="2498"/>
    </row>
    <row r="15524" spans="16:16">
      <c r="P15524" s="2498"/>
    </row>
    <row r="15525" spans="16:16">
      <c r="P15525" s="2498"/>
    </row>
    <row r="15526" spans="16:16">
      <c r="P15526" s="2498"/>
    </row>
    <row r="15527" spans="16:16">
      <c r="P15527" s="2498"/>
    </row>
    <row r="15528" spans="16:16">
      <c r="P15528" s="2498"/>
    </row>
    <row r="15529" spans="16:16">
      <c r="P15529" s="2498"/>
    </row>
    <row r="15530" spans="16:16">
      <c r="P15530" s="2498"/>
    </row>
    <row r="15531" spans="16:16">
      <c r="P15531" s="2498"/>
    </row>
    <row r="15532" spans="16:16">
      <c r="P15532" s="2498"/>
    </row>
    <row r="15533" spans="16:16">
      <c r="P15533" s="2498"/>
    </row>
    <row r="15534" spans="16:16">
      <c r="P15534" s="2498"/>
    </row>
    <row r="15535" spans="16:16">
      <c r="P15535" s="2498"/>
    </row>
    <row r="15536" spans="16:16">
      <c r="P15536" s="2498"/>
    </row>
    <row r="15537" spans="16:16">
      <c r="P15537" s="2498"/>
    </row>
    <row r="15538" spans="16:16">
      <c r="P15538" s="2498"/>
    </row>
    <row r="15539" spans="16:16">
      <c r="P15539" s="2498"/>
    </row>
    <row r="15540" spans="16:16">
      <c r="P15540" s="2498"/>
    </row>
    <row r="15541" spans="16:16">
      <c r="P15541" s="2498"/>
    </row>
    <row r="15542" spans="16:16">
      <c r="P15542" s="2498"/>
    </row>
    <row r="15543" spans="16:16">
      <c r="P15543" s="2498"/>
    </row>
    <row r="15544" spans="16:16">
      <c r="P15544" s="2498"/>
    </row>
    <row r="15545" spans="16:16">
      <c r="P15545" s="2498"/>
    </row>
    <row r="15546" spans="16:16">
      <c r="P15546" s="2498"/>
    </row>
    <row r="15547" spans="16:16">
      <c r="P15547" s="2498"/>
    </row>
    <row r="15548" spans="16:16">
      <c r="P15548" s="2498"/>
    </row>
    <row r="15549" spans="16:16">
      <c r="P15549" s="2498"/>
    </row>
    <row r="15550" spans="16:16">
      <c r="P15550" s="2498"/>
    </row>
    <row r="15551" spans="16:16">
      <c r="P15551" s="2498"/>
    </row>
    <row r="15552" spans="16:16">
      <c r="P15552" s="2498"/>
    </row>
    <row r="15553" spans="16:16">
      <c r="P15553" s="2498"/>
    </row>
    <row r="15554" spans="16:16">
      <c r="P15554" s="2498"/>
    </row>
    <row r="15555" spans="16:16">
      <c r="P15555" s="2498"/>
    </row>
    <row r="15556" spans="16:16">
      <c r="P15556" s="2498"/>
    </row>
    <row r="15557" spans="16:16">
      <c r="P15557" s="2498"/>
    </row>
    <row r="15558" spans="16:16">
      <c r="P15558" s="2498"/>
    </row>
    <row r="15559" spans="16:16">
      <c r="P15559" s="2498"/>
    </row>
    <row r="15560" spans="16:16">
      <c r="P15560" s="2498"/>
    </row>
    <row r="15561" spans="16:16">
      <c r="P15561" s="2498"/>
    </row>
    <row r="15562" spans="16:16">
      <c r="P15562" s="2498"/>
    </row>
    <row r="15563" spans="16:16">
      <c r="P15563" s="2498"/>
    </row>
    <row r="15564" spans="16:16">
      <c r="P15564" s="2498"/>
    </row>
    <row r="15565" spans="16:16">
      <c r="P15565" s="2498"/>
    </row>
    <row r="15566" spans="16:16">
      <c r="P15566" s="2498"/>
    </row>
    <row r="15567" spans="16:16">
      <c r="P15567" s="2498"/>
    </row>
    <row r="15568" spans="16:16">
      <c r="P15568" s="2498"/>
    </row>
    <row r="15569" spans="16:16">
      <c r="P15569" s="2498"/>
    </row>
    <row r="15570" spans="16:16">
      <c r="P15570" s="2498"/>
    </row>
    <row r="15571" spans="16:16">
      <c r="P15571" s="2498"/>
    </row>
    <row r="15572" spans="16:16">
      <c r="P15572" s="2498"/>
    </row>
    <row r="15573" spans="16:16">
      <c r="P15573" s="2498"/>
    </row>
    <row r="15574" spans="16:16">
      <c r="P15574" s="2498"/>
    </row>
    <row r="15575" spans="16:16">
      <c r="P15575" s="2498"/>
    </row>
    <row r="15576" spans="16:16">
      <c r="P15576" s="2498"/>
    </row>
    <row r="15577" spans="16:16">
      <c r="P15577" s="2498"/>
    </row>
    <row r="15578" spans="16:16">
      <c r="P15578" s="2498"/>
    </row>
    <row r="15579" spans="16:16">
      <c r="P15579" s="2498"/>
    </row>
    <row r="15580" spans="16:16">
      <c r="P15580" s="2498"/>
    </row>
    <row r="15581" spans="16:16">
      <c r="P15581" s="2498"/>
    </row>
    <row r="15582" spans="16:16">
      <c r="P15582" s="2498"/>
    </row>
    <row r="15583" spans="16:16">
      <c r="P15583" s="2498"/>
    </row>
    <row r="15584" spans="16:16">
      <c r="P15584" s="2498"/>
    </row>
    <row r="15585" spans="16:16">
      <c r="P15585" s="2498"/>
    </row>
    <row r="15586" spans="16:16">
      <c r="P15586" s="2498"/>
    </row>
    <row r="15587" spans="16:16">
      <c r="P15587" s="2498"/>
    </row>
    <row r="15588" spans="16:16">
      <c r="P15588" s="2498"/>
    </row>
    <row r="15589" spans="16:16">
      <c r="P15589" s="2498"/>
    </row>
    <row r="15590" spans="16:16">
      <c r="P15590" s="2498"/>
    </row>
    <row r="15591" spans="16:16">
      <c r="P15591" s="2498"/>
    </row>
    <row r="15592" spans="16:16">
      <c r="P15592" s="2498"/>
    </row>
    <row r="15593" spans="16:16">
      <c r="P15593" s="2498"/>
    </row>
    <row r="15594" spans="16:16">
      <c r="P15594" s="2498"/>
    </row>
    <row r="15595" spans="16:16">
      <c r="P15595" s="2498"/>
    </row>
    <row r="15596" spans="16:16">
      <c r="P15596" s="2498"/>
    </row>
    <row r="15597" spans="16:16">
      <c r="P15597" s="2498"/>
    </row>
    <row r="15598" spans="16:16">
      <c r="P15598" s="2498"/>
    </row>
    <row r="15599" spans="16:16">
      <c r="P15599" s="2498"/>
    </row>
    <row r="15600" spans="16:16">
      <c r="P15600" s="2498"/>
    </row>
    <row r="15601" spans="16:16">
      <c r="P15601" s="2498"/>
    </row>
    <row r="15602" spans="16:16">
      <c r="P15602" s="2498"/>
    </row>
    <row r="15603" spans="16:16">
      <c r="P15603" s="2498"/>
    </row>
    <row r="15604" spans="16:16">
      <c r="P15604" s="2498"/>
    </row>
    <row r="15605" spans="16:16">
      <c r="P15605" s="2498"/>
    </row>
    <row r="15606" spans="16:16">
      <c r="P15606" s="2498"/>
    </row>
    <row r="15607" spans="16:16">
      <c r="P15607" s="2498"/>
    </row>
    <row r="15608" spans="16:16">
      <c r="P15608" s="2498"/>
    </row>
    <row r="15609" spans="16:16">
      <c r="P15609" s="2498"/>
    </row>
    <row r="15610" spans="16:16">
      <c r="P15610" s="2498"/>
    </row>
    <row r="15611" spans="16:16">
      <c r="P15611" s="2498"/>
    </row>
    <row r="15612" spans="16:16">
      <c r="P15612" s="2498"/>
    </row>
    <row r="15613" spans="16:16">
      <c r="P15613" s="2498"/>
    </row>
    <row r="15614" spans="16:16">
      <c r="P15614" s="2498"/>
    </row>
    <row r="15615" spans="16:16">
      <c r="P15615" s="2498"/>
    </row>
    <row r="15616" spans="16:16">
      <c r="P15616" s="2498"/>
    </row>
    <row r="15617" spans="16:16">
      <c r="P15617" s="2498"/>
    </row>
    <row r="15618" spans="16:16">
      <c r="P15618" s="2498"/>
    </row>
    <row r="15619" spans="16:16">
      <c r="P15619" s="2498"/>
    </row>
    <row r="15620" spans="16:16">
      <c r="P15620" s="2498"/>
    </row>
    <row r="15621" spans="16:16">
      <c r="P15621" s="2498"/>
    </row>
    <row r="15622" spans="16:16">
      <c r="P15622" s="2498"/>
    </row>
    <row r="15623" spans="16:16">
      <c r="P15623" s="2498"/>
    </row>
    <row r="15624" spans="16:16">
      <c r="P15624" s="2498"/>
    </row>
    <row r="15625" spans="16:16">
      <c r="P15625" s="2498"/>
    </row>
    <row r="15626" spans="16:16">
      <c r="P15626" s="2498"/>
    </row>
    <row r="15627" spans="16:16">
      <c r="P15627" s="2498"/>
    </row>
    <row r="15628" spans="16:16">
      <c r="P15628" s="2498"/>
    </row>
    <row r="15629" spans="16:16">
      <c r="P15629" s="2498"/>
    </row>
    <row r="15630" spans="16:16">
      <c r="P15630" s="2498"/>
    </row>
    <row r="15631" spans="16:16">
      <c r="P15631" s="2498"/>
    </row>
    <row r="15632" spans="16:16">
      <c r="P15632" s="2498"/>
    </row>
    <row r="15633" spans="16:16">
      <c r="P15633" s="2498"/>
    </row>
    <row r="15634" spans="16:16">
      <c r="P15634" s="2498"/>
    </row>
    <row r="15635" spans="16:16">
      <c r="P15635" s="2498"/>
    </row>
    <row r="15636" spans="16:16">
      <c r="P15636" s="2498"/>
    </row>
    <row r="15637" spans="16:16">
      <c r="P15637" s="2498"/>
    </row>
    <row r="15638" spans="16:16">
      <c r="P15638" s="2498"/>
    </row>
    <row r="15639" spans="16:16">
      <c r="P15639" s="2498"/>
    </row>
    <row r="15640" spans="16:16">
      <c r="P15640" s="2498"/>
    </row>
    <row r="15641" spans="16:16">
      <c r="P15641" s="2498"/>
    </row>
    <row r="15642" spans="16:16">
      <c r="P15642" s="2498"/>
    </row>
    <row r="15643" spans="16:16">
      <c r="P15643" s="2498"/>
    </row>
    <row r="15644" spans="16:16">
      <c r="P15644" s="2498"/>
    </row>
    <row r="15645" spans="16:16">
      <c r="P15645" s="2498"/>
    </row>
    <row r="15646" spans="16:16">
      <c r="P15646" s="2498"/>
    </row>
    <row r="15647" spans="16:16">
      <c r="P15647" s="2498"/>
    </row>
    <row r="15648" spans="16:16">
      <c r="P15648" s="2498"/>
    </row>
    <row r="15649" spans="16:16">
      <c r="P15649" s="2498"/>
    </row>
    <row r="15650" spans="16:16">
      <c r="P15650" s="2498"/>
    </row>
    <row r="15651" spans="16:16">
      <c r="P15651" s="2498"/>
    </row>
    <row r="15652" spans="16:16">
      <c r="P15652" s="2498"/>
    </row>
    <row r="15653" spans="16:16">
      <c r="P15653" s="2498"/>
    </row>
    <row r="15654" spans="16:16">
      <c r="P15654" s="2498"/>
    </row>
    <row r="15655" spans="16:16">
      <c r="P15655" s="2498"/>
    </row>
    <row r="15656" spans="16:16">
      <c r="P15656" s="2498"/>
    </row>
    <row r="15657" spans="16:16">
      <c r="P15657" s="2498"/>
    </row>
    <row r="15658" spans="16:16">
      <c r="P15658" s="2498"/>
    </row>
    <row r="15659" spans="16:16">
      <c r="P15659" s="2498"/>
    </row>
    <row r="15660" spans="16:16">
      <c r="P15660" s="2498"/>
    </row>
    <row r="15661" spans="16:16">
      <c r="P15661" s="2498"/>
    </row>
    <row r="15662" spans="16:16">
      <c r="P15662" s="2498"/>
    </row>
    <row r="15663" spans="16:16">
      <c r="P15663" s="2498"/>
    </row>
    <row r="15664" spans="16:16">
      <c r="P15664" s="2498"/>
    </row>
    <row r="15665" spans="16:16">
      <c r="P15665" s="2498"/>
    </row>
    <row r="15666" spans="16:16">
      <c r="P15666" s="2498"/>
    </row>
    <row r="15667" spans="16:16">
      <c r="P15667" s="2498"/>
    </row>
    <row r="15668" spans="16:16">
      <c r="P15668" s="2498"/>
    </row>
    <row r="15669" spans="16:16">
      <c r="P15669" s="2498"/>
    </row>
    <row r="15670" spans="16:16">
      <c r="P15670" s="2498"/>
    </row>
    <row r="15671" spans="16:16">
      <c r="P15671" s="2498"/>
    </row>
    <row r="15672" spans="16:16">
      <c r="P15672" s="2498"/>
    </row>
    <row r="15673" spans="16:16">
      <c r="P15673" s="2498"/>
    </row>
    <row r="15674" spans="16:16">
      <c r="P15674" s="2498"/>
    </row>
    <row r="15675" spans="16:16">
      <c r="P15675" s="2498"/>
    </row>
    <row r="15676" spans="16:16">
      <c r="P15676" s="2498"/>
    </row>
    <row r="15677" spans="16:16">
      <c r="P15677" s="2498"/>
    </row>
    <row r="15678" spans="16:16">
      <c r="P15678" s="2498"/>
    </row>
    <row r="15679" spans="16:16">
      <c r="P15679" s="2498"/>
    </row>
    <row r="15680" spans="16:16">
      <c r="P15680" s="2498"/>
    </row>
    <row r="15681" spans="16:16">
      <c r="P15681" s="2498"/>
    </row>
    <row r="15682" spans="16:16">
      <c r="P15682" s="2498"/>
    </row>
    <row r="15683" spans="16:16">
      <c r="P15683" s="2498"/>
    </row>
    <row r="15684" spans="16:16">
      <c r="P15684" s="2498"/>
    </row>
    <row r="15685" spans="16:16">
      <c r="P15685" s="2498"/>
    </row>
    <row r="15686" spans="16:16">
      <c r="P15686" s="2498"/>
    </row>
    <row r="15687" spans="16:16">
      <c r="P15687" s="2498"/>
    </row>
    <row r="15688" spans="16:16">
      <c r="P15688" s="2498"/>
    </row>
    <row r="15689" spans="16:16">
      <c r="P15689" s="2498"/>
    </row>
    <row r="15690" spans="16:16">
      <c r="P15690" s="2498"/>
    </row>
    <row r="15691" spans="16:16">
      <c r="P15691" s="2498"/>
    </row>
    <row r="15692" spans="16:16">
      <c r="P15692" s="2498"/>
    </row>
    <row r="15693" spans="16:16">
      <c r="P15693" s="2498"/>
    </row>
    <row r="15694" spans="16:16">
      <c r="P15694" s="2498"/>
    </row>
    <row r="15695" spans="16:16">
      <c r="P15695" s="2498"/>
    </row>
    <row r="15696" spans="16:16">
      <c r="P15696" s="2498"/>
    </row>
    <row r="15697" spans="16:16">
      <c r="P15697" s="2498"/>
    </row>
    <row r="15698" spans="16:16">
      <c r="P15698" s="2498"/>
    </row>
    <row r="15699" spans="16:16">
      <c r="P15699" s="2498"/>
    </row>
    <row r="15700" spans="16:16">
      <c r="P15700" s="2498"/>
    </row>
    <row r="15701" spans="16:16">
      <c r="P15701" s="2498"/>
    </row>
    <row r="15702" spans="16:16">
      <c r="P15702" s="2498"/>
    </row>
    <row r="15703" spans="16:16">
      <c r="P15703" s="2498"/>
    </row>
    <row r="15704" spans="16:16">
      <c r="P15704" s="2498"/>
    </row>
    <row r="15705" spans="16:16">
      <c r="P15705" s="2498"/>
    </row>
    <row r="15706" spans="16:16">
      <c r="P15706" s="2498"/>
    </row>
    <row r="15707" spans="16:16">
      <c r="P15707" s="2498"/>
    </row>
    <row r="15708" spans="16:16">
      <c r="P15708" s="2498"/>
    </row>
    <row r="15709" spans="16:16">
      <c r="P15709" s="2498"/>
    </row>
    <row r="15710" spans="16:16">
      <c r="P15710" s="2498"/>
    </row>
    <row r="15711" spans="16:16">
      <c r="P15711" s="2498"/>
    </row>
    <row r="15712" spans="16:16">
      <c r="P15712" s="2498"/>
    </row>
    <row r="15713" spans="16:16">
      <c r="P15713" s="2498"/>
    </row>
    <row r="15714" spans="16:16">
      <c r="P15714" s="2498"/>
    </row>
    <row r="15715" spans="16:16">
      <c r="P15715" s="2498"/>
    </row>
    <row r="15716" spans="16:16">
      <c r="P15716" s="2498"/>
    </row>
    <row r="15717" spans="16:16">
      <c r="P15717" s="2498"/>
    </row>
    <row r="15718" spans="16:16">
      <c r="P15718" s="2498"/>
    </row>
    <row r="15719" spans="16:16">
      <c r="P15719" s="2498"/>
    </row>
    <row r="15720" spans="16:16">
      <c r="P15720" s="2498"/>
    </row>
    <row r="15721" spans="16:16">
      <c r="P15721" s="2498"/>
    </row>
    <row r="15722" spans="16:16">
      <c r="P15722" s="2498"/>
    </row>
    <row r="15723" spans="16:16">
      <c r="P15723" s="2498"/>
    </row>
    <row r="15724" spans="16:16">
      <c r="P15724" s="2498"/>
    </row>
    <row r="15725" spans="16:16">
      <c r="P15725" s="2498"/>
    </row>
    <row r="15726" spans="16:16">
      <c r="P15726" s="2498"/>
    </row>
    <row r="15727" spans="16:16">
      <c r="P15727" s="2498"/>
    </row>
    <row r="15728" spans="16:16">
      <c r="P15728" s="2498"/>
    </row>
    <row r="15729" spans="16:16">
      <c r="P15729" s="2498"/>
    </row>
    <row r="15730" spans="16:16">
      <c r="P15730" s="2498"/>
    </row>
    <row r="15731" spans="16:16">
      <c r="P15731" s="2498"/>
    </row>
    <row r="15732" spans="16:16">
      <c r="P15732" s="2498"/>
    </row>
    <row r="15733" spans="16:16">
      <c r="P15733" s="2498"/>
    </row>
    <row r="15734" spans="16:16">
      <c r="P15734" s="2498"/>
    </row>
    <row r="15735" spans="16:16">
      <c r="P15735" s="2498"/>
    </row>
    <row r="15736" spans="16:16">
      <c r="P15736" s="2498"/>
    </row>
    <row r="15737" spans="16:16">
      <c r="P15737" s="2498"/>
    </row>
    <row r="15738" spans="16:16">
      <c r="P15738" s="2498"/>
    </row>
    <row r="15739" spans="16:16">
      <c r="P15739" s="2498"/>
    </row>
    <row r="15740" spans="16:16">
      <c r="P15740" s="2498"/>
    </row>
    <row r="15741" spans="16:16">
      <c r="P15741" s="2498"/>
    </row>
    <row r="15742" spans="16:16">
      <c r="P15742" s="2498"/>
    </row>
    <row r="15743" spans="16:16">
      <c r="P15743" s="2498"/>
    </row>
    <row r="15744" spans="16:16">
      <c r="P15744" s="2498"/>
    </row>
    <row r="15745" spans="16:16">
      <c r="P15745" s="2498"/>
    </row>
    <row r="15746" spans="16:16">
      <c r="P15746" s="2498"/>
    </row>
    <row r="15747" spans="16:16">
      <c r="P15747" s="2498"/>
    </row>
    <row r="15748" spans="16:16">
      <c r="P15748" s="2498"/>
    </row>
    <row r="15749" spans="16:16">
      <c r="P15749" s="2498"/>
    </row>
    <row r="15750" spans="16:16">
      <c r="P15750" s="2498"/>
    </row>
    <row r="15751" spans="16:16">
      <c r="P15751" s="2498"/>
    </row>
    <row r="15752" spans="16:16">
      <c r="P15752" s="2498"/>
    </row>
    <row r="15753" spans="16:16">
      <c r="P15753" s="2498"/>
    </row>
    <row r="15754" spans="16:16">
      <c r="P15754" s="2498"/>
    </row>
    <row r="15755" spans="16:16">
      <c r="P15755" s="2498"/>
    </row>
    <row r="15756" spans="16:16">
      <c r="P15756" s="2498"/>
    </row>
    <row r="15757" spans="16:16">
      <c r="P15757" s="2498"/>
    </row>
    <row r="15758" spans="16:16">
      <c r="P15758" s="2498"/>
    </row>
    <row r="15759" spans="16:16">
      <c r="P15759" s="2498"/>
    </row>
    <row r="15760" spans="16:16">
      <c r="P15760" s="2498"/>
    </row>
    <row r="15761" spans="16:16">
      <c r="P15761" s="2498"/>
    </row>
    <row r="15762" spans="16:16">
      <c r="P15762" s="2498"/>
    </row>
    <row r="15763" spans="16:16">
      <c r="P15763" s="2498"/>
    </row>
    <row r="15764" spans="16:16">
      <c r="P15764" s="2498"/>
    </row>
    <row r="15765" spans="16:16">
      <c r="P15765" s="2498"/>
    </row>
    <row r="15766" spans="16:16">
      <c r="P15766" s="2498"/>
    </row>
    <row r="15767" spans="16:16">
      <c r="P15767" s="2498"/>
    </row>
    <row r="15768" spans="16:16">
      <c r="P15768" s="2498"/>
    </row>
    <row r="15769" spans="16:16">
      <c r="P15769" s="2498"/>
    </row>
    <row r="15770" spans="16:16">
      <c r="P15770" s="2498"/>
    </row>
    <row r="15771" spans="16:16">
      <c r="P15771" s="2498"/>
    </row>
    <row r="15772" spans="16:16">
      <c r="P15772" s="2498"/>
    </row>
    <row r="15773" spans="16:16">
      <c r="P15773" s="2498"/>
    </row>
    <row r="15774" spans="16:16">
      <c r="P15774" s="2498"/>
    </row>
    <row r="15775" spans="16:16">
      <c r="P15775" s="2498"/>
    </row>
    <row r="15776" spans="16:16">
      <c r="P15776" s="2498"/>
    </row>
    <row r="15777" spans="16:16">
      <c r="P15777" s="2498"/>
    </row>
    <row r="15778" spans="16:16">
      <c r="P15778" s="2498"/>
    </row>
    <row r="15779" spans="16:16">
      <c r="P15779" s="2498"/>
    </row>
    <row r="15780" spans="16:16">
      <c r="P15780" s="2498"/>
    </row>
    <row r="15781" spans="16:16">
      <c r="P15781" s="2498"/>
    </row>
    <row r="15782" spans="16:16">
      <c r="P15782" s="2498"/>
    </row>
    <row r="15783" spans="16:16">
      <c r="P15783" s="2498"/>
    </row>
    <row r="15784" spans="16:16">
      <c r="P15784" s="2498"/>
    </row>
    <row r="15785" spans="16:16">
      <c r="P15785" s="2498"/>
    </row>
    <row r="15786" spans="16:16">
      <c r="P15786" s="2498"/>
    </row>
    <row r="15787" spans="16:16">
      <c r="P15787" s="2498"/>
    </row>
    <row r="15788" spans="16:16">
      <c r="P15788" s="2498"/>
    </row>
    <row r="15789" spans="16:16">
      <c r="P15789" s="2498"/>
    </row>
    <row r="15790" spans="16:16">
      <c r="P15790" s="2498"/>
    </row>
    <row r="15791" spans="16:16">
      <c r="P15791" s="2498"/>
    </row>
    <row r="15792" spans="16:16">
      <c r="P15792" s="2498"/>
    </row>
    <row r="15793" spans="16:16">
      <c r="P15793" s="2498"/>
    </row>
    <row r="15794" spans="16:16">
      <c r="P15794" s="2498"/>
    </row>
    <row r="15795" spans="16:16">
      <c r="P15795" s="2498"/>
    </row>
    <row r="15796" spans="16:16">
      <c r="P15796" s="2498"/>
    </row>
    <row r="15797" spans="16:16">
      <c r="P15797" s="2498"/>
    </row>
    <row r="15798" spans="16:16">
      <c r="P15798" s="2498"/>
    </row>
    <row r="15799" spans="16:16">
      <c r="P15799" s="2498"/>
    </row>
    <row r="15800" spans="16:16">
      <c r="P15800" s="2498"/>
    </row>
    <row r="15801" spans="16:16">
      <c r="P15801" s="2498"/>
    </row>
    <row r="15802" spans="16:16">
      <c r="P15802" s="2498"/>
    </row>
    <row r="15803" spans="16:16">
      <c r="P15803" s="2498"/>
    </row>
    <row r="15804" spans="16:16">
      <c r="P15804" s="2498"/>
    </row>
    <row r="15805" spans="16:16">
      <c r="P15805" s="2498"/>
    </row>
    <row r="15806" spans="16:16">
      <c r="P15806" s="2498"/>
    </row>
    <row r="15807" spans="16:16">
      <c r="P15807" s="2498"/>
    </row>
    <row r="15808" spans="16:16">
      <c r="P15808" s="2498"/>
    </row>
    <row r="15809" spans="16:16">
      <c r="P15809" s="2498"/>
    </row>
    <row r="15810" spans="16:16">
      <c r="P15810" s="2498"/>
    </row>
    <row r="15811" spans="16:16">
      <c r="P15811" s="2498"/>
    </row>
    <row r="15812" spans="16:16">
      <c r="P15812" s="2498"/>
    </row>
    <row r="15813" spans="16:16">
      <c r="P15813" s="2498"/>
    </row>
    <row r="15814" spans="16:16">
      <c r="P15814" s="2498"/>
    </row>
    <row r="15815" spans="16:16">
      <c r="P15815" s="2498"/>
    </row>
    <row r="15816" spans="16:16">
      <c r="P15816" s="2498"/>
    </row>
    <row r="15817" spans="16:16">
      <c r="P15817" s="2498"/>
    </row>
    <row r="15818" spans="16:16">
      <c r="P15818" s="2498"/>
    </row>
    <row r="15819" spans="16:16">
      <c r="P15819" s="2498"/>
    </row>
    <row r="15820" spans="16:16">
      <c r="P15820" s="2498"/>
    </row>
    <row r="15821" spans="16:16">
      <c r="P15821" s="2498"/>
    </row>
    <row r="15822" spans="16:16">
      <c r="P15822" s="2498"/>
    </row>
    <row r="15823" spans="16:16">
      <c r="P15823" s="2498"/>
    </row>
    <row r="15824" spans="16:16">
      <c r="P15824" s="2498"/>
    </row>
    <row r="15825" spans="16:16">
      <c r="P15825" s="2498"/>
    </row>
    <row r="15826" spans="16:16">
      <c r="P15826" s="2498"/>
    </row>
    <row r="15827" spans="16:16">
      <c r="P15827" s="2498"/>
    </row>
    <row r="15828" spans="16:16">
      <c r="P15828" s="2498"/>
    </row>
    <row r="15829" spans="16:16">
      <c r="P15829" s="2498"/>
    </row>
    <row r="15830" spans="16:16">
      <c r="P15830" s="2498"/>
    </row>
    <row r="15831" spans="16:16">
      <c r="P15831" s="2498"/>
    </row>
    <row r="15832" spans="16:16">
      <c r="P15832" s="2498"/>
    </row>
    <row r="15833" spans="16:16">
      <c r="P15833" s="2498"/>
    </row>
    <row r="15834" spans="16:16">
      <c r="P15834" s="2498"/>
    </row>
    <row r="15835" spans="16:16">
      <c r="P15835" s="2498"/>
    </row>
    <row r="15836" spans="16:16">
      <c r="P15836" s="2498"/>
    </row>
    <row r="15837" spans="16:16">
      <c r="P15837" s="2498"/>
    </row>
    <row r="15838" spans="16:16">
      <c r="P15838" s="2498"/>
    </row>
    <row r="15839" spans="16:16">
      <c r="P15839" s="2498"/>
    </row>
    <row r="15840" spans="16:16">
      <c r="P15840" s="2498"/>
    </row>
    <row r="15841" spans="16:16">
      <c r="P15841" s="2498"/>
    </row>
    <row r="15842" spans="16:16">
      <c r="P15842" s="2498"/>
    </row>
    <row r="15843" spans="16:16">
      <c r="P15843" s="2498"/>
    </row>
    <row r="15844" spans="16:16">
      <c r="P15844" s="2498"/>
    </row>
    <row r="15845" spans="16:16">
      <c r="P15845" s="2498"/>
    </row>
    <row r="15846" spans="16:16">
      <c r="P15846" s="2498"/>
    </row>
    <row r="15847" spans="16:16">
      <c r="P15847" s="2498"/>
    </row>
    <row r="15848" spans="16:16">
      <c r="P15848" s="2498"/>
    </row>
    <row r="15849" spans="16:16">
      <c r="P15849" s="2498"/>
    </row>
    <row r="15850" spans="16:16">
      <c r="P15850" s="2498"/>
    </row>
    <row r="15851" spans="16:16">
      <c r="P15851" s="2498"/>
    </row>
    <row r="15852" spans="16:16">
      <c r="P15852" s="2498"/>
    </row>
    <row r="15853" spans="16:16">
      <c r="P15853" s="2498"/>
    </row>
    <row r="15854" spans="16:16">
      <c r="P15854" s="2498"/>
    </row>
    <row r="15855" spans="16:16">
      <c r="P15855" s="2498"/>
    </row>
    <row r="15856" spans="16:16">
      <c r="P15856" s="2498"/>
    </row>
    <row r="15857" spans="16:16">
      <c r="P15857" s="2498"/>
    </row>
    <row r="15858" spans="16:16">
      <c r="P15858" s="2498"/>
    </row>
    <row r="15859" spans="16:16">
      <c r="P15859" s="2498"/>
    </row>
    <row r="15860" spans="16:16">
      <c r="P15860" s="2498"/>
    </row>
    <row r="15861" spans="16:16">
      <c r="P15861" s="2498"/>
    </row>
    <row r="15862" spans="16:16">
      <c r="P15862" s="2498"/>
    </row>
    <row r="15863" spans="16:16">
      <c r="P15863" s="2498"/>
    </row>
    <row r="15864" spans="16:16">
      <c r="P15864" s="2498"/>
    </row>
    <row r="15865" spans="16:16">
      <c r="P15865" s="2498"/>
    </row>
    <row r="15866" spans="16:16">
      <c r="P15866" s="2498"/>
    </row>
    <row r="15867" spans="16:16">
      <c r="P15867" s="2498"/>
    </row>
    <row r="15868" spans="16:16">
      <c r="P15868" s="2498"/>
    </row>
    <row r="15869" spans="16:16">
      <c r="P15869" s="2498"/>
    </row>
    <row r="15870" spans="16:16">
      <c r="P15870" s="2498"/>
    </row>
    <row r="15871" spans="16:16">
      <c r="P15871" s="2498"/>
    </row>
    <row r="15872" spans="16:16">
      <c r="P15872" s="2498"/>
    </row>
    <row r="15873" spans="16:16">
      <c r="P15873" s="2498"/>
    </row>
    <row r="15874" spans="16:16">
      <c r="P15874" s="2498"/>
    </row>
    <row r="15875" spans="16:16">
      <c r="P15875" s="2498"/>
    </row>
    <row r="15876" spans="16:16">
      <c r="P15876" s="2498"/>
    </row>
    <row r="15877" spans="16:16">
      <c r="P15877" s="2498"/>
    </row>
    <row r="15878" spans="16:16">
      <c r="P15878" s="2498"/>
    </row>
    <row r="15879" spans="16:16">
      <c r="P15879" s="2498"/>
    </row>
    <row r="15880" spans="16:16">
      <c r="P15880" s="2498"/>
    </row>
    <row r="15881" spans="16:16">
      <c r="P15881" s="2498"/>
    </row>
    <row r="15882" spans="16:16">
      <c r="P15882" s="2498"/>
    </row>
    <row r="15883" spans="16:16">
      <c r="P15883" s="2498"/>
    </row>
    <row r="15884" spans="16:16">
      <c r="P15884" s="2498"/>
    </row>
    <row r="15885" spans="16:16">
      <c r="P15885" s="2498"/>
    </row>
    <row r="15886" spans="16:16">
      <c r="P15886" s="2498"/>
    </row>
    <row r="15887" spans="16:16">
      <c r="P15887" s="2498"/>
    </row>
    <row r="15888" spans="16:16">
      <c r="P15888" s="2498"/>
    </row>
    <row r="15889" spans="16:16">
      <c r="P15889" s="2498"/>
    </row>
    <row r="15890" spans="16:16">
      <c r="P15890" s="2498"/>
    </row>
    <row r="15891" spans="16:16">
      <c r="P15891" s="2498"/>
    </row>
    <row r="15892" spans="16:16">
      <c r="P15892" s="2498"/>
    </row>
    <row r="15893" spans="16:16">
      <c r="P15893" s="2498"/>
    </row>
    <row r="15894" spans="16:16">
      <c r="P15894" s="2498"/>
    </row>
    <row r="15895" spans="16:16">
      <c r="P15895" s="2498"/>
    </row>
    <row r="15896" spans="16:16">
      <c r="P15896" s="2498"/>
    </row>
    <row r="15897" spans="16:16">
      <c r="P15897" s="2498"/>
    </row>
    <row r="15898" spans="16:16">
      <c r="P15898" s="2498"/>
    </row>
    <row r="15899" spans="16:16">
      <c r="P15899" s="2498"/>
    </row>
    <row r="15900" spans="16:16">
      <c r="P15900" s="2498"/>
    </row>
    <row r="15901" spans="16:16">
      <c r="P15901" s="2498"/>
    </row>
    <row r="15902" spans="16:16">
      <c r="P15902" s="2498"/>
    </row>
    <row r="15903" spans="16:16">
      <c r="P15903" s="2498"/>
    </row>
    <row r="15904" spans="16:16">
      <c r="P15904" s="2498"/>
    </row>
    <row r="15905" spans="16:16">
      <c r="P15905" s="2498"/>
    </row>
    <row r="15906" spans="16:16">
      <c r="P15906" s="2498"/>
    </row>
    <row r="15907" spans="16:16">
      <c r="P15907" s="2498"/>
    </row>
    <row r="15908" spans="16:16">
      <c r="P15908" s="2498"/>
    </row>
    <row r="15909" spans="16:16">
      <c r="P15909" s="2498"/>
    </row>
    <row r="15910" spans="16:16">
      <c r="P15910" s="2498"/>
    </row>
    <row r="15911" spans="16:16">
      <c r="P15911" s="2498"/>
    </row>
    <row r="15912" spans="16:16">
      <c r="P15912" s="2498"/>
    </row>
    <row r="15913" spans="16:16">
      <c r="P15913" s="2498"/>
    </row>
    <row r="15914" spans="16:16">
      <c r="P15914" s="2498"/>
    </row>
    <row r="15915" spans="16:16">
      <c r="P15915" s="2498"/>
    </row>
    <row r="15916" spans="16:16">
      <c r="P15916" s="2498"/>
    </row>
    <row r="15917" spans="16:16">
      <c r="P15917" s="2498"/>
    </row>
    <row r="15918" spans="16:16">
      <c r="P15918" s="2498"/>
    </row>
    <row r="15919" spans="16:16">
      <c r="P15919" s="2498"/>
    </row>
    <row r="15920" spans="16:16">
      <c r="P15920" s="2498"/>
    </row>
    <row r="15921" spans="16:16">
      <c r="P15921" s="2498"/>
    </row>
    <row r="15922" spans="16:16">
      <c r="P15922" s="2498"/>
    </row>
    <row r="15923" spans="16:16">
      <c r="P15923" s="2498"/>
    </row>
    <row r="15924" spans="16:16">
      <c r="P15924" s="2498"/>
    </row>
    <row r="15925" spans="16:16">
      <c r="P15925" s="2498"/>
    </row>
    <row r="15926" spans="16:16">
      <c r="P15926" s="2498"/>
    </row>
    <row r="15927" spans="16:16">
      <c r="P15927" s="2498"/>
    </row>
    <row r="15928" spans="16:16">
      <c r="P15928" s="2498"/>
    </row>
    <row r="15929" spans="16:16">
      <c r="P15929" s="2498"/>
    </row>
    <row r="15930" spans="16:16">
      <c r="P15930" s="2498"/>
    </row>
    <row r="15931" spans="16:16">
      <c r="P15931" s="2498"/>
    </row>
    <row r="15932" spans="16:16">
      <c r="P15932" s="2498"/>
    </row>
    <row r="15933" spans="16:16">
      <c r="P15933" s="2498"/>
    </row>
    <row r="15934" spans="16:16">
      <c r="P15934" s="2498"/>
    </row>
    <row r="15935" spans="16:16">
      <c r="P15935" s="2498"/>
    </row>
    <row r="15936" spans="16:16">
      <c r="P15936" s="2498"/>
    </row>
    <row r="15937" spans="16:16">
      <c r="P15937" s="2498"/>
    </row>
    <row r="15938" spans="16:16">
      <c r="P15938" s="2498"/>
    </row>
    <row r="15939" spans="16:16">
      <c r="P15939" s="2498"/>
    </row>
    <row r="15940" spans="16:16">
      <c r="P15940" s="2498"/>
    </row>
    <row r="15941" spans="16:16">
      <c r="P15941" s="2498"/>
    </row>
    <row r="15942" spans="16:16">
      <c r="P15942" s="2498"/>
    </row>
    <row r="15943" spans="16:16">
      <c r="P15943" s="2498"/>
    </row>
    <row r="15944" spans="16:16">
      <c r="P15944" s="2498"/>
    </row>
    <row r="15945" spans="16:16">
      <c r="P15945" s="2498"/>
    </row>
    <row r="15946" spans="16:16">
      <c r="P15946" s="2498"/>
    </row>
    <row r="15947" spans="16:16">
      <c r="P15947" s="2498"/>
    </row>
    <row r="15948" spans="16:16">
      <c r="P15948" s="2498"/>
    </row>
    <row r="15949" spans="16:16">
      <c r="P15949" s="2498"/>
    </row>
    <row r="15950" spans="16:16">
      <c r="P15950" s="2498"/>
    </row>
    <row r="15951" spans="16:16">
      <c r="P15951" s="2498"/>
    </row>
    <row r="15952" spans="16:16">
      <c r="P15952" s="2498"/>
    </row>
    <row r="15953" spans="16:16">
      <c r="P15953" s="2498"/>
    </row>
    <row r="15954" spans="16:16">
      <c r="P15954" s="2498"/>
    </row>
    <row r="15955" spans="16:16">
      <c r="P15955" s="2498"/>
    </row>
    <row r="15956" spans="16:16">
      <c r="P15956" s="2498"/>
    </row>
    <row r="15957" spans="16:16">
      <c r="P15957" s="2498"/>
    </row>
    <row r="15958" spans="16:16">
      <c r="P15958" s="2498"/>
    </row>
    <row r="15959" spans="16:16">
      <c r="P15959" s="2498"/>
    </row>
    <row r="15960" spans="16:16">
      <c r="P15960" s="2498"/>
    </row>
    <row r="15961" spans="16:16">
      <c r="P15961" s="2498"/>
    </row>
    <row r="15962" spans="16:16">
      <c r="P15962" s="2498"/>
    </row>
    <row r="15963" spans="16:16">
      <c r="P15963" s="2498"/>
    </row>
    <row r="15964" spans="16:16">
      <c r="P15964" s="2498"/>
    </row>
    <row r="15965" spans="16:16">
      <c r="P15965" s="2498"/>
    </row>
    <row r="15966" spans="16:16">
      <c r="P15966" s="2498"/>
    </row>
    <row r="15967" spans="16:16">
      <c r="P15967" s="2498"/>
    </row>
    <row r="15968" spans="16:16">
      <c r="P15968" s="2498"/>
    </row>
    <row r="15969" spans="16:16">
      <c r="P15969" s="2498"/>
    </row>
    <row r="15970" spans="16:16">
      <c r="P15970" s="2498"/>
    </row>
    <row r="15971" spans="16:16">
      <c r="P15971" s="2498"/>
    </row>
    <row r="15972" spans="16:16">
      <c r="P15972" s="2498"/>
    </row>
    <row r="15973" spans="16:16">
      <c r="P15973" s="2498"/>
    </row>
    <row r="15974" spans="16:16">
      <c r="P15974" s="2498"/>
    </row>
    <row r="15975" spans="16:16">
      <c r="P15975" s="2498"/>
    </row>
    <row r="15976" spans="16:16">
      <c r="P15976" s="2498"/>
    </row>
    <row r="15977" spans="16:16">
      <c r="P15977" s="2498"/>
    </row>
    <row r="15978" spans="16:16">
      <c r="P15978" s="2498"/>
    </row>
    <row r="15979" spans="16:16">
      <c r="P15979" s="2498"/>
    </row>
    <row r="15980" spans="16:16">
      <c r="P15980" s="2498"/>
    </row>
    <row r="15981" spans="16:16">
      <c r="P15981" s="2498"/>
    </row>
    <row r="15982" spans="16:16">
      <c r="P15982" s="2498"/>
    </row>
    <row r="15983" spans="16:16">
      <c r="P15983" s="2498"/>
    </row>
    <row r="15984" spans="16:16">
      <c r="P15984" s="2498"/>
    </row>
    <row r="15985" spans="16:16">
      <c r="P15985" s="2498"/>
    </row>
    <row r="15986" spans="16:16">
      <c r="P15986" s="2498"/>
    </row>
    <row r="15987" spans="16:16">
      <c r="P15987" s="2498"/>
    </row>
    <row r="15988" spans="16:16">
      <c r="P15988" s="2498"/>
    </row>
    <row r="15989" spans="16:16">
      <c r="P15989" s="2498"/>
    </row>
    <row r="15990" spans="16:16">
      <c r="P15990" s="2498"/>
    </row>
    <row r="15991" spans="16:16">
      <c r="P15991" s="2498"/>
    </row>
    <row r="15992" spans="16:16">
      <c r="P15992" s="2498"/>
    </row>
    <row r="15993" spans="16:16">
      <c r="P15993" s="2498"/>
    </row>
    <row r="15994" spans="16:16">
      <c r="P15994" s="2498"/>
    </row>
    <row r="15995" spans="16:16">
      <c r="P15995" s="2498"/>
    </row>
    <row r="15996" spans="16:16">
      <c r="P15996" s="2498"/>
    </row>
    <row r="15997" spans="16:16">
      <c r="P15997" s="2498"/>
    </row>
    <row r="15998" spans="16:16">
      <c r="P15998" s="2498"/>
    </row>
    <row r="15999" spans="16:16">
      <c r="P15999" s="2498"/>
    </row>
    <row r="16000" spans="16:16">
      <c r="P16000" s="2498"/>
    </row>
    <row r="16001" spans="16:16">
      <c r="P16001" s="2498"/>
    </row>
    <row r="16002" spans="16:16">
      <c r="P16002" s="2498"/>
    </row>
    <row r="16003" spans="16:16">
      <c r="P16003" s="2498"/>
    </row>
    <row r="16004" spans="16:16">
      <c r="P16004" s="2498"/>
    </row>
    <row r="16005" spans="16:16">
      <c r="P16005" s="2498"/>
    </row>
    <row r="16006" spans="16:16">
      <c r="P16006" s="2498"/>
    </row>
    <row r="16007" spans="16:16">
      <c r="P16007" s="2498"/>
    </row>
    <row r="16008" spans="16:16">
      <c r="P16008" s="2498"/>
    </row>
    <row r="16009" spans="16:16">
      <c r="P16009" s="2498"/>
    </row>
    <row r="16010" spans="16:16">
      <c r="P16010" s="2498"/>
    </row>
    <row r="16011" spans="16:16">
      <c r="P16011" s="2498"/>
    </row>
    <row r="16012" spans="16:16">
      <c r="P16012" s="2498"/>
    </row>
    <row r="16013" spans="16:16">
      <c r="P16013" s="2498"/>
    </row>
    <row r="16014" spans="16:16">
      <c r="P16014" s="2498"/>
    </row>
    <row r="16015" spans="16:16">
      <c r="P16015" s="2498"/>
    </row>
    <row r="16016" spans="16:16">
      <c r="P16016" s="2498"/>
    </row>
    <row r="16017" spans="16:16">
      <c r="P16017" s="2498"/>
    </row>
    <row r="16018" spans="16:16">
      <c r="P16018" s="2498"/>
    </row>
    <row r="16019" spans="16:16">
      <c r="P16019" s="2498"/>
    </row>
    <row r="16020" spans="16:16">
      <c r="P16020" s="2498"/>
    </row>
    <row r="16021" spans="16:16">
      <c r="P16021" s="2498"/>
    </row>
    <row r="16022" spans="16:16">
      <c r="P16022" s="2498"/>
    </row>
    <row r="16023" spans="16:16">
      <c r="P16023" s="2498"/>
    </row>
    <row r="16024" spans="16:16">
      <c r="P16024" s="2498"/>
    </row>
    <row r="16025" spans="16:16">
      <c r="P16025" s="2498"/>
    </row>
    <row r="16026" spans="16:16">
      <c r="P16026" s="2498"/>
    </row>
    <row r="16027" spans="16:16">
      <c r="P16027" s="2498"/>
    </row>
    <row r="16028" spans="16:16">
      <c r="P16028" s="2498"/>
    </row>
    <row r="16029" spans="16:16">
      <c r="P16029" s="2498"/>
    </row>
    <row r="16030" spans="16:16">
      <c r="P16030" s="2498"/>
    </row>
    <row r="16031" spans="16:16">
      <c r="P16031" s="2498"/>
    </row>
    <row r="16032" spans="16:16">
      <c r="P16032" s="2498"/>
    </row>
    <row r="16033" spans="16:16">
      <c r="P16033" s="2498"/>
    </row>
    <row r="16034" spans="16:16">
      <c r="P16034" s="2498"/>
    </row>
    <row r="16035" spans="16:16">
      <c r="P16035" s="2498"/>
    </row>
    <row r="16036" spans="16:16">
      <c r="P16036" s="2498"/>
    </row>
    <row r="16037" spans="16:16">
      <c r="P16037" s="2498"/>
    </row>
    <row r="16038" spans="16:16">
      <c r="P16038" s="2498"/>
    </row>
    <row r="16039" spans="16:16">
      <c r="P16039" s="2498"/>
    </row>
    <row r="16040" spans="16:16">
      <c r="P16040" s="2498"/>
    </row>
    <row r="16041" spans="16:16">
      <c r="P16041" s="2498"/>
    </row>
    <row r="16042" spans="16:16">
      <c r="P16042" s="2498"/>
    </row>
    <row r="16043" spans="16:16">
      <c r="P16043" s="2498"/>
    </row>
    <row r="16044" spans="16:16">
      <c r="P16044" s="2498"/>
    </row>
    <row r="16045" spans="16:16">
      <c r="P16045" s="2498"/>
    </row>
    <row r="16046" spans="16:16">
      <c r="P16046" s="2498"/>
    </row>
    <row r="16047" spans="16:16">
      <c r="P16047" s="2498"/>
    </row>
    <row r="16048" spans="16:16">
      <c r="P16048" s="2498"/>
    </row>
    <row r="16049" spans="16:16">
      <c r="P16049" s="2498"/>
    </row>
    <row r="16050" spans="16:16">
      <c r="P16050" s="2498"/>
    </row>
    <row r="16051" spans="16:16">
      <c r="P16051" s="2498"/>
    </row>
    <row r="16052" spans="16:16">
      <c r="P16052" s="2498"/>
    </row>
    <row r="16053" spans="16:16">
      <c r="P16053" s="2498"/>
    </row>
    <row r="16054" spans="16:16">
      <c r="P16054" s="2498"/>
    </row>
    <row r="16055" spans="16:16">
      <c r="P16055" s="2498"/>
    </row>
    <row r="16056" spans="16:16">
      <c r="P16056" s="2498"/>
    </row>
    <row r="16057" spans="16:16">
      <c r="P16057" s="2498"/>
    </row>
    <row r="16058" spans="16:16">
      <c r="P16058" s="2498"/>
    </row>
    <row r="16059" spans="16:16">
      <c r="P16059" s="2498"/>
    </row>
    <row r="16060" spans="16:16">
      <c r="P16060" s="2498"/>
    </row>
    <row r="16061" spans="16:16">
      <c r="P16061" s="2498"/>
    </row>
    <row r="16062" spans="16:16">
      <c r="P16062" s="2498"/>
    </row>
    <row r="16063" spans="16:16">
      <c r="P16063" s="2498"/>
    </row>
    <row r="16064" spans="16:16">
      <c r="P16064" s="2498"/>
    </row>
    <row r="16065" spans="16:16">
      <c r="P16065" s="2498"/>
    </row>
    <row r="16066" spans="16:16">
      <c r="P16066" s="2498"/>
    </row>
    <row r="16067" spans="16:16">
      <c r="P16067" s="2498"/>
    </row>
    <row r="16068" spans="16:16">
      <c r="P16068" s="2498"/>
    </row>
    <row r="16069" spans="16:16">
      <c r="P16069" s="2498"/>
    </row>
    <row r="16070" spans="16:16">
      <c r="P16070" s="2498"/>
    </row>
    <row r="16071" spans="16:16">
      <c r="P16071" s="2498"/>
    </row>
    <row r="16072" spans="16:16">
      <c r="P16072" s="2498"/>
    </row>
    <row r="16073" spans="16:16">
      <c r="P16073" s="2498"/>
    </row>
    <row r="16074" spans="16:16">
      <c r="P16074" s="2498"/>
    </row>
    <row r="16075" spans="16:16">
      <c r="P16075" s="2498"/>
    </row>
    <row r="16076" spans="16:16">
      <c r="P16076" s="2498"/>
    </row>
    <row r="16077" spans="16:16">
      <c r="P16077" s="2498"/>
    </row>
    <row r="16078" spans="16:16">
      <c r="P16078" s="2498"/>
    </row>
    <row r="16079" spans="16:16">
      <c r="P16079" s="2498"/>
    </row>
    <row r="16080" spans="16:16">
      <c r="P16080" s="2498"/>
    </row>
    <row r="16081" spans="16:16">
      <c r="P16081" s="2498"/>
    </row>
    <row r="16082" spans="16:16">
      <c r="P16082" s="2498"/>
    </row>
    <row r="16083" spans="16:16">
      <c r="P16083" s="2498"/>
    </row>
    <row r="16084" spans="16:16">
      <c r="P16084" s="2498"/>
    </row>
    <row r="16085" spans="16:16">
      <c r="P16085" s="2498"/>
    </row>
    <row r="16086" spans="16:16">
      <c r="P16086" s="2498"/>
    </row>
    <row r="16087" spans="16:16">
      <c r="P16087" s="2498"/>
    </row>
    <row r="16088" spans="16:16">
      <c r="P16088" s="2498"/>
    </row>
    <row r="16089" spans="16:16">
      <c r="P16089" s="2498"/>
    </row>
    <row r="16090" spans="16:16">
      <c r="P16090" s="2498"/>
    </row>
    <row r="16091" spans="16:16">
      <c r="P16091" s="2498"/>
    </row>
    <row r="16092" spans="16:16">
      <c r="P16092" s="2498"/>
    </row>
    <row r="16093" spans="16:16">
      <c r="P16093" s="2498"/>
    </row>
    <row r="16094" spans="16:16">
      <c r="P16094" s="2498"/>
    </row>
    <row r="16095" spans="16:16">
      <c r="P16095" s="2498"/>
    </row>
    <row r="16096" spans="16:16">
      <c r="P16096" s="2498"/>
    </row>
    <row r="16097" spans="16:16">
      <c r="P16097" s="2498"/>
    </row>
    <row r="16098" spans="16:16">
      <c r="P16098" s="2498"/>
    </row>
    <row r="16099" spans="16:16">
      <c r="P16099" s="2498"/>
    </row>
    <row r="16100" spans="16:16">
      <c r="P16100" s="2498"/>
    </row>
    <row r="16101" spans="16:16">
      <c r="P16101" s="2498"/>
    </row>
    <row r="16102" spans="16:16">
      <c r="P16102" s="2498"/>
    </row>
    <row r="16103" spans="16:16">
      <c r="P16103" s="2498"/>
    </row>
    <row r="16104" spans="16:16">
      <c r="P16104" s="2498"/>
    </row>
    <row r="16105" spans="16:16">
      <c r="P16105" s="2498"/>
    </row>
    <row r="16106" spans="16:16">
      <c r="P16106" s="2498"/>
    </row>
    <row r="16107" spans="16:16">
      <c r="P16107" s="2498"/>
    </row>
    <row r="16108" spans="16:16">
      <c r="P16108" s="2498"/>
    </row>
    <row r="16109" spans="16:16">
      <c r="P16109" s="2498"/>
    </row>
    <row r="16110" spans="16:16">
      <c r="P16110" s="2498"/>
    </row>
    <row r="16111" spans="16:16">
      <c r="P16111" s="2498"/>
    </row>
    <row r="16112" spans="16:16">
      <c r="P16112" s="2498"/>
    </row>
    <row r="16113" spans="16:16">
      <c r="P16113" s="2498"/>
    </row>
    <row r="16114" spans="16:16">
      <c r="P16114" s="2498"/>
    </row>
    <row r="16115" spans="16:16">
      <c r="P16115" s="2498"/>
    </row>
    <row r="16116" spans="16:16">
      <c r="P16116" s="2498"/>
    </row>
    <row r="16117" spans="16:16">
      <c r="P16117" s="2498"/>
    </row>
    <row r="16118" spans="16:16">
      <c r="P16118" s="2498"/>
    </row>
    <row r="16119" spans="16:16">
      <c r="P16119" s="2498"/>
    </row>
    <row r="16120" spans="16:16">
      <c r="P16120" s="2498"/>
    </row>
    <row r="16121" spans="16:16">
      <c r="P16121" s="2498"/>
    </row>
    <row r="16122" spans="16:16">
      <c r="P16122" s="2498"/>
    </row>
    <row r="16123" spans="16:16">
      <c r="P16123" s="2498"/>
    </row>
    <row r="16124" spans="16:16">
      <c r="P16124" s="2498"/>
    </row>
    <row r="16125" spans="16:16">
      <c r="P16125" s="2498"/>
    </row>
    <row r="16126" spans="16:16">
      <c r="P16126" s="2498"/>
    </row>
    <row r="16127" spans="16:16">
      <c r="P16127" s="2498"/>
    </row>
    <row r="16128" spans="16:16">
      <c r="P16128" s="2498"/>
    </row>
    <row r="16129" spans="16:16">
      <c r="P16129" s="2498"/>
    </row>
    <row r="16130" spans="16:16">
      <c r="P16130" s="2498"/>
    </row>
    <row r="16131" spans="16:16">
      <c r="P16131" s="2498"/>
    </row>
    <row r="16132" spans="16:16">
      <c r="P16132" s="2498"/>
    </row>
    <row r="16133" spans="16:16">
      <c r="P16133" s="2498"/>
    </row>
    <row r="16134" spans="16:16">
      <c r="P16134" s="2498"/>
    </row>
    <row r="16135" spans="16:16">
      <c r="P16135" s="2498"/>
    </row>
    <row r="16136" spans="16:16">
      <c r="P16136" s="2498"/>
    </row>
    <row r="16137" spans="16:16">
      <c r="P16137" s="2498"/>
    </row>
    <row r="16138" spans="16:16">
      <c r="P16138" s="2498"/>
    </row>
    <row r="16139" spans="16:16">
      <c r="P16139" s="2498"/>
    </row>
    <row r="16140" spans="16:16">
      <c r="P16140" s="2498"/>
    </row>
    <row r="16141" spans="16:16">
      <c r="P16141" s="2498"/>
    </row>
    <row r="16142" spans="16:16">
      <c r="P16142" s="2498"/>
    </row>
    <row r="16143" spans="16:16">
      <c r="P16143" s="2498"/>
    </row>
    <row r="16144" spans="16:16">
      <c r="P16144" s="2498"/>
    </row>
    <row r="16145" spans="16:16">
      <c r="P16145" s="2498"/>
    </row>
    <row r="16146" spans="16:16">
      <c r="P16146" s="2498"/>
    </row>
    <row r="16147" spans="16:16">
      <c r="P16147" s="2498"/>
    </row>
    <row r="16148" spans="16:16">
      <c r="P16148" s="2498"/>
    </row>
    <row r="16149" spans="16:16">
      <c r="P16149" s="2498"/>
    </row>
    <row r="16150" spans="16:16">
      <c r="P16150" s="2498"/>
    </row>
    <row r="16151" spans="16:16">
      <c r="P16151" s="2498"/>
    </row>
    <row r="16152" spans="16:16">
      <c r="P16152" s="2498"/>
    </row>
    <row r="16153" spans="16:16">
      <c r="P16153" s="2498"/>
    </row>
    <row r="16154" spans="16:16">
      <c r="P16154" s="2498"/>
    </row>
    <row r="16155" spans="16:16">
      <c r="P16155" s="2498"/>
    </row>
    <row r="16156" spans="16:16">
      <c r="P16156" s="2498"/>
    </row>
    <row r="16157" spans="16:16">
      <c r="P16157" s="2498"/>
    </row>
    <row r="16158" spans="16:16">
      <c r="P16158" s="2498"/>
    </row>
    <row r="16159" spans="16:16">
      <c r="P16159" s="2498"/>
    </row>
    <row r="16160" spans="16:16">
      <c r="P16160" s="2498"/>
    </row>
    <row r="16161" spans="16:16">
      <c r="P16161" s="2498"/>
    </row>
    <row r="16162" spans="16:16">
      <c r="P16162" s="2498"/>
    </row>
    <row r="16163" spans="16:16">
      <c r="P16163" s="2498"/>
    </row>
    <row r="16164" spans="16:16">
      <c r="P16164" s="2498"/>
    </row>
    <row r="16165" spans="16:16">
      <c r="P16165" s="2498"/>
    </row>
    <row r="16166" spans="16:16">
      <c r="P16166" s="2498"/>
    </row>
    <row r="16167" spans="16:16">
      <c r="P16167" s="2498"/>
    </row>
    <row r="16168" spans="16:16">
      <c r="P16168" s="2498"/>
    </row>
    <row r="16169" spans="16:16">
      <c r="P16169" s="2498"/>
    </row>
    <row r="16170" spans="16:16">
      <c r="P16170" s="2498"/>
    </row>
    <row r="16171" spans="16:16">
      <c r="P16171" s="2498"/>
    </row>
    <row r="16172" spans="16:16">
      <c r="P16172" s="2498"/>
    </row>
    <row r="16173" spans="16:16">
      <c r="P16173" s="2498"/>
    </row>
    <row r="16174" spans="16:16">
      <c r="P16174" s="2498"/>
    </row>
    <row r="16175" spans="16:16">
      <c r="P16175" s="2498"/>
    </row>
    <row r="16176" spans="16:16">
      <c r="P16176" s="2498"/>
    </row>
    <row r="16177" spans="16:16">
      <c r="P16177" s="2498"/>
    </row>
    <row r="16178" spans="16:16">
      <c r="P16178" s="2498"/>
    </row>
    <row r="16179" spans="16:16">
      <c r="P16179" s="2498"/>
    </row>
    <row r="16180" spans="16:16">
      <c r="P16180" s="2498"/>
    </row>
    <row r="16181" spans="16:16">
      <c r="P16181" s="2498"/>
    </row>
    <row r="16182" spans="16:16">
      <c r="P16182" s="2498"/>
    </row>
    <row r="16183" spans="16:16">
      <c r="P16183" s="2498"/>
    </row>
    <row r="16184" spans="16:16">
      <c r="P16184" s="2498"/>
    </row>
    <row r="16185" spans="16:16">
      <c r="P16185" s="2498"/>
    </row>
    <row r="16186" spans="16:16">
      <c r="P16186" s="2498"/>
    </row>
    <row r="16187" spans="16:16">
      <c r="P16187" s="2498"/>
    </row>
    <row r="16188" spans="16:16">
      <c r="P16188" s="2498"/>
    </row>
    <row r="16189" spans="16:16">
      <c r="P16189" s="2498"/>
    </row>
    <row r="16190" spans="16:16">
      <c r="P16190" s="2498"/>
    </row>
    <row r="16191" spans="16:16">
      <c r="P16191" s="2498"/>
    </row>
    <row r="16192" spans="16:16">
      <c r="P16192" s="2498"/>
    </row>
    <row r="16193" spans="16:16">
      <c r="P16193" s="2498"/>
    </row>
    <row r="16194" spans="16:16">
      <c r="P16194" s="2498"/>
    </row>
    <row r="16195" spans="16:16">
      <c r="P16195" s="2498"/>
    </row>
    <row r="16196" spans="16:16">
      <c r="P16196" s="2498"/>
    </row>
    <row r="16197" spans="16:16">
      <c r="P16197" s="2498"/>
    </row>
    <row r="16198" spans="16:16">
      <c r="P16198" s="2498"/>
    </row>
    <row r="16199" spans="16:16">
      <c r="P16199" s="2498"/>
    </row>
    <row r="16200" spans="16:16">
      <c r="P16200" s="2498"/>
    </row>
    <row r="16201" spans="16:16">
      <c r="P16201" s="2498"/>
    </row>
    <row r="16202" spans="16:16">
      <c r="P16202" s="2498"/>
    </row>
    <row r="16203" spans="16:16">
      <c r="P16203" s="2498"/>
    </row>
    <row r="16204" spans="16:16">
      <c r="P16204" s="2498"/>
    </row>
    <row r="16205" spans="16:16">
      <c r="P16205" s="2498"/>
    </row>
    <row r="16206" spans="16:16">
      <c r="P16206" s="2498"/>
    </row>
    <row r="16207" spans="16:16">
      <c r="P16207" s="2498"/>
    </row>
    <row r="16208" spans="16:16">
      <c r="P16208" s="2498"/>
    </row>
    <row r="16209" spans="16:16">
      <c r="P16209" s="2498"/>
    </row>
    <row r="16210" spans="16:16">
      <c r="P16210" s="2498"/>
    </row>
    <row r="16211" spans="16:16">
      <c r="P16211" s="2498"/>
    </row>
    <row r="16212" spans="16:16">
      <c r="P16212" s="2498"/>
    </row>
    <row r="16213" spans="16:16">
      <c r="P16213" s="2498"/>
    </row>
    <row r="16214" spans="16:16">
      <c r="P16214" s="2498"/>
    </row>
    <row r="16215" spans="16:16">
      <c r="P16215" s="2498"/>
    </row>
    <row r="16216" spans="16:16">
      <c r="P16216" s="2498"/>
    </row>
    <row r="16217" spans="16:16">
      <c r="P16217" s="2498"/>
    </row>
    <row r="16218" spans="16:16">
      <c r="P16218" s="2498"/>
    </row>
    <row r="16219" spans="16:16">
      <c r="P16219" s="2498"/>
    </row>
    <row r="16220" spans="16:16">
      <c r="P16220" s="2498"/>
    </row>
    <row r="16221" spans="16:16">
      <c r="P16221" s="2498"/>
    </row>
    <row r="16222" spans="16:16">
      <c r="P16222" s="2498"/>
    </row>
    <row r="16223" spans="16:16">
      <c r="P16223" s="2498"/>
    </row>
    <row r="16224" spans="16:16">
      <c r="P16224" s="2498"/>
    </row>
    <row r="16225" spans="16:16">
      <c r="P16225" s="2498"/>
    </row>
    <row r="16226" spans="16:16">
      <c r="P16226" s="2498"/>
    </row>
    <row r="16227" spans="16:16">
      <c r="P16227" s="2498"/>
    </row>
    <row r="16228" spans="16:16">
      <c r="P16228" s="2498"/>
    </row>
    <row r="16229" spans="16:16">
      <c r="P16229" s="2498"/>
    </row>
    <row r="16230" spans="16:16">
      <c r="P16230" s="2498"/>
    </row>
    <row r="16231" spans="16:16">
      <c r="P16231" s="2498"/>
    </row>
    <row r="16232" spans="16:16">
      <c r="P16232" s="2498"/>
    </row>
    <row r="16233" spans="16:16">
      <c r="P16233" s="2498"/>
    </row>
    <row r="16234" spans="16:16">
      <c r="P16234" s="2498"/>
    </row>
    <row r="16235" spans="16:16">
      <c r="P16235" s="2498"/>
    </row>
    <row r="16236" spans="16:16">
      <c r="P16236" s="2498"/>
    </row>
    <row r="16237" spans="16:16">
      <c r="P16237" s="2498"/>
    </row>
    <row r="16238" spans="16:16">
      <c r="P16238" s="2498"/>
    </row>
    <row r="16239" spans="16:16">
      <c r="P16239" s="2498"/>
    </row>
    <row r="16240" spans="16:16">
      <c r="P16240" s="2498"/>
    </row>
    <row r="16241" spans="16:16">
      <c r="P16241" s="2498"/>
    </row>
    <row r="16242" spans="16:16">
      <c r="P16242" s="2498"/>
    </row>
    <row r="16243" spans="16:16">
      <c r="P16243" s="2498"/>
    </row>
    <row r="16244" spans="16:16">
      <c r="P16244" s="2498"/>
    </row>
    <row r="16245" spans="16:16">
      <c r="P16245" s="2498"/>
    </row>
    <row r="16246" spans="16:16">
      <c r="P16246" s="2498"/>
    </row>
    <row r="16247" spans="16:16">
      <c r="P16247" s="2498"/>
    </row>
    <row r="16248" spans="16:16">
      <c r="P16248" s="2498"/>
    </row>
    <row r="16249" spans="16:16">
      <c r="P16249" s="2498"/>
    </row>
    <row r="16250" spans="16:16">
      <c r="P16250" s="2498"/>
    </row>
    <row r="16251" spans="16:16">
      <c r="P16251" s="2498"/>
    </row>
    <row r="16252" spans="16:16">
      <c r="P16252" s="2498"/>
    </row>
    <row r="16253" spans="16:16">
      <c r="P16253" s="2498"/>
    </row>
    <row r="16254" spans="16:16">
      <c r="P16254" s="2498"/>
    </row>
    <row r="16255" spans="16:16">
      <c r="P16255" s="2498"/>
    </row>
    <row r="16256" spans="16:16">
      <c r="P16256" s="2498"/>
    </row>
    <row r="16257" spans="16:16">
      <c r="P16257" s="2498"/>
    </row>
    <row r="16258" spans="16:16">
      <c r="P16258" s="2498"/>
    </row>
    <row r="16259" spans="16:16">
      <c r="P16259" s="2498"/>
    </row>
    <row r="16260" spans="16:16">
      <c r="P16260" s="2498"/>
    </row>
    <row r="16261" spans="16:16">
      <c r="P16261" s="2498"/>
    </row>
    <row r="16262" spans="16:16">
      <c r="P16262" s="2498"/>
    </row>
    <row r="16263" spans="16:16">
      <c r="P16263" s="2498"/>
    </row>
    <row r="16264" spans="16:16">
      <c r="P16264" s="2498"/>
    </row>
    <row r="16265" spans="16:16">
      <c r="P16265" s="2498"/>
    </row>
    <row r="16266" spans="16:16">
      <c r="P16266" s="2498"/>
    </row>
    <row r="16267" spans="16:16">
      <c r="P16267" s="2498"/>
    </row>
    <row r="16268" spans="16:16">
      <c r="P16268" s="2498"/>
    </row>
    <row r="16269" spans="16:16">
      <c r="P16269" s="2498"/>
    </row>
    <row r="16270" spans="16:16">
      <c r="P16270" s="2498"/>
    </row>
    <row r="16271" spans="16:16">
      <c r="P16271" s="2498"/>
    </row>
    <row r="16272" spans="16:16">
      <c r="P16272" s="2498"/>
    </row>
    <row r="16273" spans="16:16">
      <c r="P16273" s="2498"/>
    </row>
    <row r="16274" spans="16:16">
      <c r="P16274" s="2498"/>
    </row>
    <row r="16275" spans="16:16">
      <c r="P16275" s="2498"/>
    </row>
    <row r="16276" spans="16:16">
      <c r="P16276" s="2498"/>
    </row>
    <row r="16277" spans="16:16">
      <c r="P16277" s="2498"/>
    </row>
    <row r="16278" spans="16:16">
      <c r="P16278" s="2498"/>
    </row>
    <row r="16279" spans="16:16">
      <c r="P16279" s="2498"/>
    </row>
    <row r="16280" spans="16:16">
      <c r="P16280" s="2498"/>
    </row>
    <row r="16281" spans="16:16">
      <c r="P16281" s="2498"/>
    </row>
    <row r="16282" spans="16:16">
      <c r="P16282" s="2498"/>
    </row>
    <row r="16283" spans="16:16">
      <c r="P16283" s="2498"/>
    </row>
    <row r="16284" spans="16:16">
      <c r="P16284" s="2498"/>
    </row>
    <row r="16285" spans="16:16">
      <c r="P16285" s="2498"/>
    </row>
    <row r="16286" spans="16:16">
      <c r="P16286" s="2498"/>
    </row>
    <row r="16287" spans="16:16">
      <c r="P16287" s="2498"/>
    </row>
    <row r="16288" spans="16:16">
      <c r="P16288" s="2498"/>
    </row>
    <row r="16289" spans="16:16">
      <c r="P16289" s="2498"/>
    </row>
    <row r="16290" spans="16:16">
      <c r="P16290" s="2498"/>
    </row>
    <row r="16291" spans="16:16">
      <c r="P16291" s="2498"/>
    </row>
    <row r="16292" spans="16:16">
      <c r="P16292" s="2498"/>
    </row>
    <row r="16293" spans="16:16">
      <c r="P16293" s="2498"/>
    </row>
    <row r="16294" spans="16:16">
      <c r="P16294" s="2498"/>
    </row>
    <row r="16295" spans="16:16">
      <c r="P16295" s="2498"/>
    </row>
    <row r="16296" spans="16:16">
      <c r="P16296" s="2498"/>
    </row>
    <row r="16297" spans="16:16">
      <c r="P16297" s="2498"/>
    </row>
    <row r="16298" spans="16:16">
      <c r="P16298" s="2498"/>
    </row>
    <row r="16299" spans="16:16">
      <c r="P16299" s="2498"/>
    </row>
    <row r="16300" spans="16:16">
      <c r="P16300" s="2498"/>
    </row>
    <row r="16301" spans="16:16">
      <c r="P16301" s="2498"/>
    </row>
    <row r="16302" spans="16:16">
      <c r="P16302" s="2498"/>
    </row>
    <row r="16303" spans="16:16">
      <c r="P16303" s="2498"/>
    </row>
    <row r="16304" spans="16:16">
      <c r="P16304" s="2498"/>
    </row>
    <row r="16305" spans="16:16">
      <c r="P16305" s="2498"/>
    </row>
    <row r="16306" spans="16:16">
      <c r="P16306" s="2498"/>
    </row>
    <row r="16307" spans="16:16">
      <c r="P16307" s="2498"/>
    </row>
    <row r="16308" spans="16:16">
      <c r="P16308" s="2498"/>
    </row>
    <row r="16309" spans="16:16">
      <c r="P16309" s="2498"/>
    </row>
    <row r="16310" spans="16:16">
      <c r="P16310" s="2498"/>
    </row>
    <row r="16311" spans="16:16">
      <c r="P16311" s="2498"/>
    </row>
    <row r="16312" spans="16:16">
      <c r="P16312" s="2498"/>
    </row>
    <row r="16313" spans="16:16">
      <c r="P16313" s="2498"/>
    </row>
    <row r="16314" spans="16:16">
      <c r="P16314" s="2498"/>
    </row>
    <row r="16315" spans="16:16">
      <c r="P16315" s="2498"/>
    </row>
    <row r="16316" spans="16:16">
      <c r="P16316" s="2498"/>
    </row>
    <row r="16317" spans="16:16">
      <c r="P16317" s="2498"/>
    </row>
    <row r="16318" spans="16:16">
      <c r="P16318" s="2498"/>
    </row>
    <row r="16319" spans="16:16">
      <c r="P16319" s="2498"/>
    </row>
    <row r="16320" spans="16:16">
      <c r="P16320" s="2498"/>
    </row>
    <row r="16321" spans="16:16">
      <c r="P16321" s="2498"/>
    </row>
    <row r="16322" spans="16:16">
      <c r="P16322" s="2498"/>
    </row>
    <row r="16323" spans="16:16">
      <c r="P16323" s="2498"/>
    </row>
    <row r="16324" spans="16:16">
      <c r="P16324" s="2498"/>
    </row>
    <row r="16325" spans="16:16">
      <c r="P16325" s="2498"/>
    </row>
    <row r="16326" spans="16:16">
      <c r="P16326" s="2498"/>
    </row>
    <row r="16327" spans="16:16">
      <c r="P16327" s="2498"/>
    </row>
    <row r="16328" spans="16:16">
      <c r="P16328" s="2498"/>
    </row>
    <row r="16329" spans="16:16">
      <c r="P16329" s="2498"/>
    </row>
    <row r="16330" spans="16:16">
      <c r="P16330" s="2498"/>
    </row>
    <row r="16331" spans="16:16">
      <c r="P16331" s="2498"/>
    </row>
    <row r="16332" spans="16:16">
      <c r="P16332" s="2498"/>
    </row>
    <row r="16333" spans="16:16">
      <c r="P16333" s="2498"/>
    </row>
    <row r="16334" spans="16:16">
      <c r="P16334" s="2498"/>
    </row>
    <row r="16335" spans="16:16">
      <c r="P16335" s="2498"/>
    </row>
    <row r="16336" spans="16:16">
      <c r="P16336" s="2498"/>
    </row>
    <row r="16337" spans="16:16">
      <c r="P16337" s="2498"/>
    </row>
    <row r="16338" spans="16:16">
      <c r="P16338" s="2498"/>
    </row>
    <row r="16339" spans="16:16">
      <c r="P16339" s="2498"/>
    </row>
    <row r="16340" spans="16:16">
      <c r="P16340" s="2498"/>
    </row>
    <row r="16341" spans="16:16">
      <c r="P16341" s="2498"/>
    </row>
    <row r="16342" spans="16:16">
      <c r="P16342" s="2498"/>
    </row>
    <row r="16343" spans="16:16">
      <c r="P16343" s="2498"/>
    </row>
    <row r="16344" spans="16:16">
      <c r="P16344" s="2498"/>
    </row>
    <row r="16345" spans="16:16">
      <c r="P16345" s="2498"/>
    </row>
    <row r="16346" spans="16:16">
      <c r="P16346" s="2498"/>
    </row>
    <row r="16347" spans="16:16">
      <c r="P16347" s="2498"/>
    </row>
    <row r="16348" spans="16:16">
      <c r="P16348" s="2498"/>
    </row>
    <row r="16349" spans="16:16">
      <c r="P16349" s="2498"/>
    </row>
    <row r="16350" spans="16:16">
      <c r="P16350" s="2498"/>
    </row>
    <row r="16351" spans="16:16">
      <c r="P16351" s="2498"/>
    </row>
    <row r="16352" spans="16:16">
      <c r="P16352" s="2498"/>
    </row>
    <row r="16353" spans="16:16">
      <c r="P16353" s="2498"/>
    </row>
    <row r="16354" spans="16:16">
      <c r="P16354" s="2498"/>
    </row>
    <row r="16355" spans="16:16">
      <c r="P16355" s="2498"/>
    </row>
    <row r="16356" spans="16:16">
      <c r="P16356" s="2498"/>
    </row>
    <row r="16357" spans="16:16">
      <c r="P16357" s="2498"/>
    </row>
    <row r="16358" spans="16:16">
      <c r="P16358" s="2498"/>
    </row>
    <row r="16359" spans="16:16">
      <c r="P16359" s="2498"/>
    </row>
    <row r="16360" spans="16:16">
      <c r="P16360" s="2498"/>
    </row>
    <row r="16361" spans="16:16">
      <c r="P16361" s="2498"/>
    </row>
    <row r="16362" spans="16:16">
      <c r="P16362" s="2498"/>
    </row>
    <row r="16363" spans="16:16">
      <c r="P16363" s="2498"/>
    </row>
    <row r="16364" spans="16:16">
      <c r="P16364" s="2498"/>
    </row>
    <row r="16365" spans="16:16">
      <c r="P16365" s="2498"/>
    </row>
    <row r="16366" spans="16:16">
      <c r="P16366" s="2498"/>
    </row>
    <row r="16367" spans="16:16">
      <c r="P16367" s="2498"/>
    </row>
    <row r="16368" spans="16:16">
      <c r="P16368" s="2498"/>
    </row>
    <row r="16369" spans="16:16">
      <c r="P16369" s="2498"/>
    </row>
    <row r="16370" spans="16:16">
      <c r="P16370" s="2498"/>
    </row>
    <row r="16371" spans="16:16">
      <c r="P16371" s="2498"/>
    </row>
    <row r="16372" spans="16:16">
      <c r="P16372" s="2498"/>
    </row>
    <row r="16373" spans="16:16">
      <c r="P16373" s="2498"/>
    </row>
    <row r="16374" spans="16:16">
      <c r="P16374" s="2498"/>
    </row>
    <row r="16375" spans="16:16">
      <c r="P16375" s="2498"/>
    </row>
    <row r="16376" spans="16:16">
      <c r="P16376" s="2498"/>
    </row>
    <row r="16377" spans="16:16">
      <c r="P16377" s="2498"/>
    </row>
    <row r="16378" spans="16:16">
      <c r="P16378" s="2498"/>
    </row>
    <row r="16379" spans="16:16">
      <c r="P16379" s="2498"/>
    </row>
    <row r="16380" spans="16:16">
      <c r="P16380" s="2498"/>
    </row>
    <row r="16381" spans="16:16">
      <c r="P16381" s="2498"/>
    </row>
    <row r="16382" spans="16:16">
      <c r="P16382" s="2498"/>
    </row>
    <row r="16383" spans="16:16">
      <c r="P16383" s="2498"/>
    </row>
    <row r="16384" spans="16:16">
      <c r="P16384" s="2498"/>
    </row>
    <row r="16385" spans="16:16">
      <c r="P16385" s="2498"/>
    </row>
    <row r="16386" spans="16:16">
      <c r="P16386" s="2498"/>
    </row>
    <row r="16387" spans="16:16">
      <c r="P16387" s="2498"/>
    </row>
    <row r="16388" spans="16:16">
      <c r="P16388" s="2498"/>
    </row>
    <row r="16389" spans="16:16">
      <c r="P16389" s="2498"/>
    </row>
    <row r="16390" spans="16:16">
      <c r="P16390" s="2498"/>
    </row>
    <row r="16391" spans="16:16">
      <c r="P16391" s="2498"/>
    </row>
    <row r="16392" spans="16:16">
      <c r="P16392" s="2498"/>
    </row>
    <row r="16393" spans="16:16">
      <c r="P16393" s="2498"/>
    </row>
    <row r="16394" spans="16:16">
      <c r="P16394" s="2498"/>
    </row>
    <row r="16395" spans="16:16">
      <c r="P16395" s="2498"/>
    </row>
    <row r="16396" spans="16:16">
      <c r="P16396" s="2498"/>
    </row>
    <row r="16397" spans="16:16">
      <c r="P16397" s="2498"/>
    </row>
    <row r="16398" spans="16:16">
      <c r="P16398" s="2498"/>
    </row>
    <row r="16399" spans="16:16">
      <c r="P16399" s="2498"/>
    </row>
    <row r="16400" spans="16:16">
      <c r="P16400" s="2498"/>
    </row>
    <row r="16401" spans="16:16">
      <c r="P16401" s="2498"/>
    </row>
    <row r="16402" spans="16:16">
      <c r="P16402" s="2498"/>
    </row>
    <row r="16403" spans="16:16">
      <c r="P16403" s="2498"/>
    </row>
    <row r="16404" spans="16:16">
      <c r="P16404" s="2498"/>
    </row>
    <row r="16405" spans="16:16">
      <c r="P16405" s="2498"/>
    </row>
    <row r="16406" spans="16:16">
      <c r="P16406" s="2498"/>
    </row>
    <row r="16407" spans="16:16">
      <c r="P16407" s="2498"/>
    </row>
    <row r="16408" spans="16:16">
      <c r="P16408" s="2498"/>
    </row>
    <row r="16409" spans="16:16">
      <c r="P16409" s="2498"/>
    </row>
    <row r="16410" spans="16:16">
      <c r="P16410" s="2498"/>
    </row>
    <row r="16411" spans="16:16">
      <c r="P16411" s="2498"/>
    </row>
    <row r="16412" spans="16:16">
      <c r="P16412" s="2498"/>
    </row>
    <row r="16413" spans="16:16">
      <c r="P16413" s="2498"/>
    </row>
    <row r="16414" spans="16:16">
      <c r="P16414" s="2498"/>
    </row>
    <row r="16415" spans="16:16">
      <c r="P16415" s="2498"/>
    </row>
    <row r="16416" spans="16:16">
      <c r="P16416" s="2498"/>
    </row>
    <row r="16417" spans="16:16">
      <c r="P16417" s="2498"/>
    </row>
    <row r="16418" spans="16:16">
      <c r="P16418" s="2498"/>
    </row>
    <row r="16419" spans="16:16">
      <c r="P16419" s="2498"/>
    </row>
    <row r="16420" spans="16:16">
      <c r="P16420" s="2498"/>
    </row>
    <row r="16421" spans="16:16">
      <c r="P16421" s="2498"/>
    </row>
    <row r="16422" spans="16:16">
      <c r="P16422" s="2498"/>
    </row>
    <row r="16423" spans="16:16">
      <c r="P16423" s="2498"/>
    </row>
    <row r="16424" spans="16:16">
      <c r="P16424" s="2498"/>
    </row>
    <row r="16425" spans="16:16">
      <c r="P16425" s="2498"/>
    </row>
    <row r="16426" spans="16:16">
      <c r="P16426" s="2498"/>
    </row>
    <row r="16427" spans="16:16">
      <c r="P16427" s="2498"/>
    </row>
    <row r="16428" spans="16:16">
      <c r="P16428" s="2498"/>
    </row>
    <row r="16429" spans="16:16">
      <c r="P16429" s="2498"/>
    </row>
    <row r="16430" spans="16:16">
      <c r="P16430" s="2498"/>
    </row>
    <row r="16431" spans="16:16">
      <c r="P16431" s="2498"/>
    </row>
    <row r="16432" spans="16:16">
      <c r="P16432" s="2498"/>
    </row>
    <row r="16433" spans="16:16">
      <c r="P16433" s="2498"/>
    </row>
    <row r="16434" spans="16:16">
      <c r="P16434" s="2498"/>
    </row>
    <row r="16435" spans="16:16">
      <c r="P16435" s="2498"/>
    </row>
    <row r="16436" spans="16:16">
      <c r="P16436" s="2498"/>
    </row>
    <row r="16437" spans="16:16">
      <c r="P16437" s="2498"/>
    </row>
    <row r="16438" spans="16:16">
      <c r="P16438" s="2498"/>
    </row>
    <row r="16439" spans="16:16">
      <c r="P16439" s="2498"/>
    </row>
    <row r="16440" spans="16:16">
      <c r="P16440" s="2498"/>
    </row>
    <row r="16441" spans="16:16">
      <c r="P16441" s="2498"/>
    </row>
    <row r="16442" spans="16:16">
      <c r="P16442" s="2498"/>
    </row>
    <row r="16443" spans="16:16">
      <c r="P16443" s="2498"/>
    </row>
    <row r="16444" spans="16:16">
      <c r="P16444" s="2498"/>
    </row>
    <row r="16445" spans="16:16">
      <c r="P16445" s="2498"/>
    </row>
    <row r="16446" spans="16:16">
      <c r="P16446" s="2498"/>
    </row>
    <row r="16447" spans="16:16">
      <c r="P16447" s="2498"/>
    </row>
    <row r="16448" spans="16:16">
      <c r="P16448" s="2498"/>
    </row>
    <row r="16449" spans="16:16">
      <c r="P16449" s="2498"/>
    </row>
    <row r="16450" spans="16:16">
      <c r="P16450" s="2498"/>
    </row>
    <row r="16451" spans="16:16">
      <c r="P16451" s="2498"/>
    </row>
    <row r="16452" spans="16:16">
      <c r="P16452" s="2498"/>
    </row>
    <row r="16453" spans="16:16">
      <c r="P16453" s="2498"/>
    </row>
    <row r="16454" spans="16:16">
      <c r="P16454" s="2498"/>
    </row>
    <row r="16455" spans="16:16">
      <c r="P16455" s="2498"/>
    </row>
    <row r="16456" spans="16:16">
      <c r="P16456" s="2498"/>
    </row>
    <row r="16457" spans="16:16">
      <c r="P16457" s="2498"/>
    </row>
    <row r="16458" spans="16:16">
      <c r="P16458" s="2498"/>
    </row>
    <row r="16459" spans="16:16">
      <c r="P16459" s="2498"/>
    </row>
    <row r="16460" spans="16:16">
      <c r="P16460" s="2498"/>
    </row>
    <row r="16461" spans="16:16">
      <c r="P16461" s="2498"/>
    </row>
    <row r="16462" spans="16:16">
      <c r="P16462" s="2498"/>
    </row>
    <row r="16463" spans="16:16">
      <c r="P16463" s="2498"/>
    </row>
    <row r="16464" spans="16:16">
      <c r="P16464" s="2498"/>
    </row>
    <row r="16465" spans="16:16">
      <c r="P16465" s="2498"/>
    </row>
    <row r="16466" spans="16:16">
      <c r="P16466" s="2498"/>
    </row>
    <row r="16467" spans="16:16">
      <c r="P16467" s="2498"/>
    </row>
    <row r="16468" spans="16:16">
      <c r="P16468" s="2498"/>
    </row>
    <row r="16469" spans="16:16">
      <c r="P16469" s="2498"/>
    </row>
    <row r="16470" spans="16:16">
      <c r="P16470" s="2498"/>
    </row>
    <row r="16471" spans="16:16">
      <c r="P16471" s="2498"/>
    </row>
    <row r="16472" spans="16:16">
      <c r="P16472" s="2498"/>
    </row>
    <row r="16473" spans="16:16">
      <c r="P16473" s="2498"/>
    </row>
    <row r="16474" spans="16:16">
      <c r="P16474" s="2498"/>
    </row>
    <row r="16475" spans="16:16">
      <c r="P16475" s="2498"/>
    </row>
    <row r="16476" spans="16:16">
      <c r="P16476" s="2498"/>
    </row>
    <row r="16477" spans="16:16">
      <c r="P16477" s="2498"/>
    </row>
    <row r="16478" spans="16:16">
      <c r="P16478" s="2498"/>
    </row>
    <row r="16479" spans="16:16">
      <c r="P16479" s="2498"/>
    </row>
    <row r="16480" spans="16:16">
      <c r="P16480" s="2498"/>
    </row>
    <row r="16481" spans="16:16">
      <c r="P16481" s="2498"/>
    </row>
    <row r="16482" spans="16:16">
      <c r="P16482" s="2498"/>
    </row>
    <row r="16483" spans="16:16">
      <c r="P16483" s="2498"/>
    </row>
    <row r="16484" spans="16:16">
      <c r="P16484" s="2498"/>
    </row>
    <row r="16485" spans="16:16">
      <c r="P16485" s="2498"/>
    </row>
    <row r="16486" spans="16:16">
      <c r="P16486" s="2498"/>
    </row>
    <row r="16487" spans="16:16">
      <c r="P16487" s="2498"/>
    </row>
    <row r="16488" spans="16:16">
      <c r="P16488" s="2498"/>
    </row>
    <row r="16489" spans="16:16">
      <c r="P16489" s="2498"/>
    </row>
    <row r="16490" spans="16:16">
      <c r="P16490" s="2498"/>
    </row>
    <row r="16491" spans="16:16">
      <c r="P16491" s="2498"/>
    </row>
    <row r="16492" spans="16:16">
      <c r="P16492" s="2498"/>
    </row>
    <row r="16493" spans="16:16">
      <c r="P16493" s="2498"/>
    </row>
    <row r="16494" spans="16:16">
      <c r="P16494" s="2498"/>
    </row>
    <row r="16495" spans="16:16">
      <c r="P16495" s="2498"/>
    </row>
    <row r="16496" spans="16:16">
      <c r="P16496" s="2498"/>
    </row>
    <row r="16497" spans="16:16">
      <c r="P16497" s="2498"/>
    </row>
    <row r="16498" spans="16:16">
      <c r="P16498" s="2498"/>
    </row>
    <row r="16499" spans="16:16">
      <c r="P16499" s="2498"/>
    </row>
    <row r="16500" spans="16:16">
      <c r="P16500" s="2498"/>
    </row>
    <row r="16501" spans="16:16">
      <c r="P16501" s="2498"/>
    </row>
    <row r="16502" spans="16:16">
      <c r="P16502" s="2498"/>
    </row>
    <row r="16503" spans="16:16">
      <c r="P16503" s="2498"/>
    </row>
    <row r="16504" spans="16:16">
      <c r="P16504" s="2498"/>
    </row>
    <row r="16505" spans="16:16">
      <c r="P16505" s="2498"/>
    </row>
    <row r="16506" spans="16:16">
      <c r="P16506" s="2498"/>
    </row>
    <row r="16507" spans="16:16">
      <c r="P16507" s="2498"/>
    </row>
    <row r="16508" spans="16:16">
      <c r="P16508" s="2498"/>
    </row>
    <row r="16509" spans="16:16">
      <c r="P16509" s="2498"/>
    </row>
    <row r="16510" spans="16:16">
      <c r="P16510" s="2498"/>
    </row>
    <row r="16511" spans="16:16">
      <c r="P16511" s="2498"/>
    </row>
    <row r="16512" spans="16:16">
      <c r="P16512" s="2498"/>
    </row>
    <row r="16513" spans="16:16">
      <c r="P16513" s="2498"/>
    </row>
    <row r="16514" spans="16:16">
      <c r="P16514" s="2498"/>
    </row>
    <row r="16515" spans="16:16">
      <c r="P16515" s="2498"/>
    </row>
    <row r="16516" spans="16:16">
      <c r="P16516" s="2498"/>
    </row>
    <row r="16517" spans="16:16">
      <c r="P16517" s="2498"/>
    </row>
    <row r="16518" spans="16:16">
      <c r="P16518" s="2498"/>
    </row>
    <row r="16519" spans="16:16">
      <c r="P16519" s="2498"/>
    </row>
    <row r="16520" spans="16:16">
      <c r="P16520" s="2498"/>
    </row>
    <row r="16521" spans="16:16">
      <c r="P16521" s="2498"/>
    </row>
    <row r="16522" spans="16:16">
      <c r="P16522" s="2498"/>
    </row>
    <row r="16523" spans="16:16">
      <c r="P16523" s="2498"/>
    </row>
    <row r="16524" spans="16:16">
      <c r="P16524" s="2498"/>
    </row>
    <row r="16525" spans="16:16">
      <c r="P16525" s="2498"/>
    </row>
    <row r="16526" spans="16:16">
      <c r="P16526" s="2498"/>
    </row>
    <row r="16527" spans="16:16">
      <c r="P16527" s="2498"/>
    </row>
    <row r="16528" spans="16:16">
      <c r="P16528" s="2498"/>
    </row>
    <row r="16529" spans="16:16">
      <c r="P16529" s="2498"/>
    </row>
    <row r="16530" spans="16:16">
      <c r="P16530" s="2498"/>
    </row>
    <row r="16531" spans="16:16">
      <c r="P16531" s="2498"/>
    </row>
    <row r="16532" spans="16:16">
      <c r="P16532" s="2498"/>
    </row>
    <row r="16533" spans="16:16">
      <c r="P16533" s="2498"/>
    </row>
    <row r="16534" spans="16:16">
      <c r="P16534" s="2498"/>
    </row>
    <row r="16535" spans="16:16">
      <c r="P16535" s="2498"/>
    </row>
    <row r="16536" spans="16:16">
      <c r="P16536" s="2498"/>
    </row>
    <row r="16537" spans="16:16">
      <c r="P16537" s="2498"/>
    </row>
    <row r="16538" spans="16:16">
      <c r="P16538" s="2498"/>
    </row>
    <row r="16539" spans="16:16">
      <c r="P16539" s="2498"/>
    </row>
    <row r="16540" spans="16:16">
      <c r="P16540" s="2498"/>
    </row>
    <row r="16541" spans="16:16">
      <c r="P16541" s="2498"/>
    </row>
    <row r="16542" spans="16:16">
      <c r="P16542" s="2498"/>
    </row>
    <row r="16543" spans="16:16">
      <c r="P16543" s="2498"/>
    </row>
    <row r="16544" spans="16:16">
      <c r="P16544" s="2498"/>
    </row>
    <row r="16545" spans="16:16">
      <c r="P16545" s="2498"/>
    </row>
    <row r="16546" spans="16:16">
      <c r="P16546" s="2498"/>
    </row>
    <row r="16547" spans="16:16">
      <c r="P16547" s="2498"/>
    </row>
    <row r="16548" spans="16:16">
      <c r="P16548" s="2498"/>
    </row>
    <row r="16549" spans="16:16">
      <c r="P16549" s="2498"/>
    </row>
    <row r="16550" spans="16:16">
      <c r="P16550" s="2498"/>
    </row>
    <row r="16551" spans="16:16">
      <c r="P16551" s="2498"/>
    </row>
    <row r="16552" spans="16:16">
      <c r="P16552" s="2498"/>
    </row>
    <row r="16553" spans="16:16">
      <c r="P16553" s="2498"/>
    </row>
    <row r="16554" spans="16:16">
      <c r="P16554" s="2498"/>
    </row>
    <row r="16555" spans="16:16">
      <c r="P16555" s="2498"/>
    </row>
    <row r="16556" spans="16:16">
      <c r="P16556" s="2498"/>
    </row>
    <row r="16557" spans="16:16">
      <c r="P16557" s="2498"/>
    </row>
    <row r="16558" spans="16:16">
      <c r="P16558" s="2498"/>
    </row>
    <row r="16559" spans="16:16">
      <c r="P16559" s="2498"/>
    </row>
    <row r="16560" spans="16:16">
      <c r="P16560" s="2498"/>
    </row>
    <row r="16561" spans="16:16">
      <c r="P16561" s="2498"/>
    </row>
    <row r="16562" spans="16:16">
      <c r="P16562" s="2498"/>
    </row>
    <row r="16563" spans="16:16">
      <c r="P16563" s="2498"/>
    </row>
    <row r="16564" spans="16:16">
      <c r="P16564" s="2498"/>
    </row>
    <row r="16565" spans="16:16">
      <c r="P16565" s="2498"/>
    </row>
    <row r="16566" spans="16:16">
      <c r="P16566" s="2498"/>
    </row>
    <row r="16567" spans="16:16">
      <c r="P16567" s="2498"/>
    </row>
    <row r="16568" spans="16:16">
      <c r="P16568" s="2498"/>
    </row>
    <row r="16569" spans="16:16">
      <c r="P16569" s="2498"/>
    </row>
    <row r="16570" spans="16:16">
      <c r="P16570" s="2498"/>
    </row>
    <row r="16571" spans="16:16">
      <c r="P16571" s="2498"/>
    </row>
    <row r="16572" spans="16:16">
      <c r="P16572" s="2498"/>
    </row>
    <row r="16573" spans="16:16">
      <c r="P16573" s="2498"/>
    </row>
    <row r="16574" spans="16:16">
      <c r="P16574" s="2498"/>
    </row>
    <row r="16575" spans="16:16">
      <c r="P16575" s="2498"/>
    </row>
    <row r="16576" spans="16:16">
      <c r="P16576" s="2498"/>
    </row>
    <row r="16577" spans="16:16">
      <c r="P16577" s="2498"/>
    </row>
    <row r="16578" spans="16:16">
      <c r="P16578" s="2498"/>
    </row>
    <row r="16579" spans="16:16">
      <c r="P16579" s="2498"/>
    </row>
    <row r="16580" spans="16:16">
      <c r="P16580" s="2498"/>
    </row>
    <row r="16581" spans="16:16">
      <c r="P16581" s="2498"/>
    </row>
    <row r="16582" spans="16:16">
      <c r="P16582" s="2498"/>
    </row>
    <row r="16583" spans="16:16">
      <c r="P16583" s="2498"/>
    </row>
    <row r="16584" spans="16:16">
      <c r="P16584" s="2498"/>
    </row>
    <row r="16585" spans="16:16">
      <c r="P16585" s="2498"/>
    </row>
    <row r="16586" spans="16:16">
      <c r="P16586" s="2498"/>
    </row>
    <row r="16587" spans="16:16">
      <c r="P16587" s="2498"/>
    </row>
    <row r="16588" spans="16:16">
      <c r="P16588" s="2498"/>
    </row>
    <row r="16589" spans="16:16">
      <c r="P16589" s="2498"/>
    </row>
    <row r="16590" spans="16:16">
      <c r="P16590" s="2498"/>
    </row>
    <row r="16591" spans="16:16">
      <c r="P16591" s="2498"/>
    </row>
    <row r="16592" spans="16:16">
      <c r="P16592" s="2498"/>
    </row>
    <row r="16593" spans="16:16">
      <c r="P16593" s="2498"/>
    </row>
    <row r="16594" spans="16:16">
      <c r="P16594" s="2498"/>
    </row>
    <row r="16595" spans="16:16">
      <c r="P16595" s="2498"/>
    </row>
    <row r="16596" spans="16:16">
      <c r="P16596" s="2498"/>
    </row>
    <row r="16597" spans="16:16">
      <c r="P16597" s="2498"/>
    </row>
    <row r="16598" spans="16:16">
      <c r="P16598" s="2498"/>
    </row>
    <row r="16599" spans="16:16">
      <c r="P16599" s="2498"/>
    </row>
    <row r="16600" spans="16:16">
      <c r="P16600" s="2498"/>
    </row>
    <row r="16601" spans="16:16">
      <c r="P16601" s="2498"/>
    </row>
    <row r="16602" spans="16:16">
      <c r="P16602" s="2498"/>
    </row>
    <row r="16603" spans="16:16">
      <c r="P16603" s="2498"/>
    </row>
    <row r="16604" spans="16:16">
      <c r="P16604" s="2498"/>
    </row>
    <row r="16605" spans="16:16">
      <c r="P16605" s="2498"/>
    </row>
    <row r="16606" spans="16:16">
      <c r="P16606" s="2498"/>
    </row>
    <row r="16607" spans="16:16">
      <c r="P16607" s="2498"/>
    </row>
    <row r="16608" spans="16:16">
      <c r="P16608" s="2498"/>
    </row>
    <row r="16609" spans="16:16">
      <c r="P16609" s="2498"/>
    </row>
    <row r="16610" spans="16:16">
      <c r="P16610" s="2498"/>
    </row>
    <row r="16611" spans="16:16">
      <c r="P16611" s="2498"/>
    </row>
    <row r="16612" spans="16:16">
      <c r="P16612" s="2498"/>
    </row>
    <row r="16613" spans="16:16">
      <c r="P16613" s="2498"/>
    </row>
    <row r="16614" spans="16:16">
      <c r="P16614" s="2498"/>
    </row>
    <row r="16615" spans="16:16">
      <c r="P16615" s="2498"/>
    </row>
    <row r="16616" spans="16:16">
      <c r="P16616" s="2498"/>
    </row>
    <row r="16617" spans="16:16">
      <c r="P16617" s="2498"/>
    </row>
    <row r="16618" spans="16:16">
      <c r="P16618" s="2498"/>
    </row>
    <row r="16619" spans="16:16">
      <c r="P16619" s="2498"/>
    </row>
    <row r="16620" spans="16:16">
      <c r="P16620" s="2498"/>
    </row>
    <row r="16621" spans="16:16">
      <c r="P16621" s="2498"/>
    </row>
    <row r="16622" spans="16:16">
      <c r="P16622" s="2498"/>
    </row>
    <row r="16623" spans="16:16">
      <c r="P16623" s="2498"/>
    </row>
    <row r="16624" spans="16:16">
      <c r="P16624" s="2498"/>
    </row>
    <row r="16625" spans="16:16">
      <c r="P16625" s="2498"/>
    </row>
    <row r="16626" spans="16:16">
      <c r="P16626" s="2498"/>
    </row>
    <row r="16627" spans="16:16">
      <c r="P16627" s="2498"/>
    </row>
    <row r="16628" spans="16:16">
      <c r="P16628" s="2498"/>
    </row>
    <row r="16629" spans="16:16">
      <c r="P16629" s="2498"/>
    </row>
    <row r="16630" spans="16:16">
      <c r="P16630" s="2498"/>
    </row>
    <row r="16631" spans="16:16">
      <c r="P16631" s="2498"/>
    </row>
    <row r="16632" spans="16:16">
      <c r="P16632" s="2498"/>
    </row>
    <row r="16633" spans="16:16">
      <c r="P16633" s="2498"/>
    </row>
    <row r="16634" spans="16:16">
      <c r="P16634" s="2498"/>
    </row>
    <row r="16635" spans="16:16">
      <c r="P16635" s="2498"/>
    </row>
    <row r="16636" spans="16:16">
      <c r="P16636" s="2498"/>
    </row>
    <row r="16637" spans="16:16">
      <c r="P16637" s="2498"/>
    </row>
    <row r="16638" spans="16:16">
      <c r="P16638" s="2498"/>
    </row>
    <row r="16639" spans="16:16">
      <c r="P16639" s="2498"/>
    </row>
    <row r="16640" spans="16:16">
      <c r="P16640" s="2498"/>
    </row>
    <row r="16641" spans="16:16">
      <c r="P16641" s="2498"/>
    </row>
    <row r="16642" spans="16:16">
      <c r="P16642" s="2498"/>
    </row>
    <row r="16643" spans="16:16">
      <c r="P16643" s="2498"/>
    </row>
    <row r="16644" spans="16:16">
      <c r="P16644" s="2498"/>
    </row>
    <row r="16645" spans="16:16">
      <c r="P16645" s="2498"/>
    </row>
    <row r="16646" spans="16:16">
      <c r="P16646" s="2498"/>
    </row>
    <row r="16647" spans="16:16">
      <c r="P16647" s="2498"/>
    </row>
    <row r="16648" spans="16:16">
      <c r="P16648" s="2498"/>
    </row>
    <row r="16649" spans="16:16">
      <c r="P16649" s="2498"/>
    </row>
    <row r="16650" spans="16:16">
      <c r="P16650" s="2498"/>
    </row>
    <row r="16651" spans="16:16">
      <c r="P16651" s="2498"/>
    </row>
    <row r="16652" spans="16:16">
      <c r="P16652" s="2498"/>
    </row>
    <row r="16653" spans="16:16">
      <c r="P16653" s="2498"/>
    </row>
    <row r="16654" spans="16:16">
      <c r="P16654" s="2498"/>
    </row>
    <row r="16655" spans="16:16">
      <c r="P16655" s="2498"/>
    </row>
    <row r="16656" spans="16:16">
      <c r="P16656" s="2498"/>
    </row>
    <row r="16657" spans="16:16">
      <c r="P16657" s="2498"/>
    </row>
    <row r="16658" spans="16:16">
      <c r="P16658" s="2498"/>
    </row>
    <row r="16659" spans="16:16">
      <c r="P16659" s="2498"/>
    </row>
    <row r="16660" spans="16:16">
      <c r="P16660" s="2498"/>
    </row>
    <row r="16661" spans="16:16">
      <c r="P16661" s="2498"/>
    </row>
    <row r="16662" spans="16:16">
      <c r="P16662" s="2498"/>
    </row>
    <row r="16663" spans="16:16">
      <c r="P16663" s="2498"/>
    </row>
    <row r="16664" spans="16:16">
      <c r="P16664" s="2498"/>
    </row>
    <row r="16665" spans="16:16">
      <c r="P16665" s="2498"/>
    </row>
    <row r="16666" spans="16:16">
      <c r="P16666" s="2498"/>
    </row>
    <row r="16667" spans="16:16">
      <c r="P16667" s="2498"/>
    </row>
    <row r="16668" spans="16:16">
      <c r="P16668" s="2498"/>
    </row>
    <row r="16669" spans="16:16">
      <c r="P16669" s="2498"/>
    </row>
    <row r="16670" spans="16:16">
      <c r="P16670" s="2498"/>
    </row>
    <row r="16671" spans="16:16">
      <c r="P16671" s="2498"/>
    </row>
    <row r="16672" spans="16:16">
      <c r="P16672" s="2498"/>
    </row>
    <row r="16673" spans="16:16">
      <c r="P16673" s="2498"/>
    </row>
    <row r="16674" spans="16:16">
      <c r="P16674" s="2498"/>
    </row>
    <row r="16675" spans="16:16">
      <c r="P16675" s="2498"/>
    </row>
    <row r="16676" spans="16:16">
      <c r="P16676" s="2498"/>
    </row>
    <row r="16677" spans="16:16">
      <c r="P16677" s="2498"/>
    </row>
    <row r="16678" spans="16:16">
      <c r="P16678" s="2498"/>
    </row>
    <row r="16679" spans="16:16">
      <c r="P16679" s="2498"/>
    </row>
    <row r="16680" spans="16:16">
      <c r="P16680" s="2498"/>
    </row>
    <row r="16681" spans="16:16">
      <c r="P16681" s="2498"/>
    </row>
    <row r="16682" spans="16:16">
      <c r="P16682" s="2498"/>
    </row>
    <row r="16683" spans="16:16">
      <c r="P16683" s="2498"/>
    </row>
    <row r="16684" spans="16:16">
      <c r="P16684" s="2498"/>
    </row>
    <row r="16685" spans="16:16">
      <c r="P16685" s="2498"/>
    </row>
    <row r="16686" spans="16:16">
      <c r="P16686" s="2498"/>
    </row>
    <row r="16687" spans="16:16">
      <c r="P16687" s="2498"/>
    </row>
    <row r="16688" spans="16:16">
      <c r="P16688" s="2498"/>
    </row>
    <row r="16689" spans="16:16">
      <c r="P16689" s="2498"/>
    </row>
    <row r="16690" spans="16:16">
      <c r="P16690" s="2498"/>
    </row>
    <row r="16691" spans="16:16">
      <c r="P16691" s="2498"/>
    </row>
    <row r="16692" spans="16:16">
      <c r="P16692" s="2498"/>
    </row>
    <row r="16693" spans="16:16">
      <c r="P16693" s="2498"/>
    </row>
    <row r="16694" spans="16:16">
      <c r="P16694" s="2498"/>
    </row>
    <row r="16695" spans="16:16">
      <c r="P16695" s="2498"/>
    </row>
    <row r="16696" spans="16:16">
      <c r="P16696" s="2498"/>
    </row>
    <row r="16697" spans="16:16">
      <c r="P16697" s="2498"/>
    </row>
    <row r="16698" spans="16:16">
      <c r="P16698" s="2498"/>
    </row>
    <row r="16699" spans="16:16">
      <c r="P16699" s="2498"/>
    </row>
    <row r="16700" spans="16:16">
      <c r="P16700" s="2498"/>
    </row>
    <row r="16701" spans="16:16">
      <c r="P16701" s="2498"/>
    </row>
    <row r="16702" spans="16:16">
      <c r="P16702" s="2498"/>
    </row>
    <row r="16703" spans="16:16">
      <c r="P16703" s="2498"/>
    </row>
    <row r="16704" spans="16:16">
      <c r="P16704" s="2498"/>
    </row>
    <row r="16705" spans="16:16">
      <c r="P16705" s="2498"/>
    </row>
    <row r="16706" spans="16:16">
      <c r="P16706" s="2498"/>
    </row>
    <row r="16707" spans="16:16">
      <c r="P16707" s="2498"/>
    </row>
    <row r="16708" spans="16:16">
      <c r="P16708" s="2498"/>
    </row>
    <row r="16709" spans="16:16">
      <c r="P16709" s="2498"/>
    </row>
    <row r="16710" spans="16:16">
      <c r="P16710" s="2498"/>
    </row>
    <row r="16711" spans="16:16">
      <c r="P16711" s="2498"/>
    </row>
    <row r="16712" spans="16:16">
      <c r="P16712" s="2498"/>
    </row>
    <row r="16713" spans="16:16">
      <c r="P16713" s="2498"/>
    </row>
    <row r="16714" spans="16:16">
      <c r="P16714" s="2498"/>
    </row>
    <row r="16715" spans="16:16">
      <c r="P16715" s="2498"/>
    </row>
    <row r="16716" spans="16:16">
      <c r="P16716" s="2498"/>
    </row>
    <row r="16717" spans="16:16">
      <c r="P16717" s="2498"/>
    </row>
    <row r="16718" spans="16:16">
      <c r="P16718" s="2498"/>
    </row>
    <row r="16719" spans="16:16">
      <c r="P16719" s="2498"/>
    </row>
    <row r="16720" spans="16:16">
      <c r="P16720" s="2498"/>
    </row>
    <row r="16721" spans="16:16">
      <c r="P16721" s="2498"/>
    </row>
    <row r="16722" spans="16:16">
      <c r="P16722" s="2498"/>
    </row>
    <row r="16723" spans="16:16">
      <c r="P16723" s="2498"/>
    </row>
    <row r="16724" spans="16:16">
      <c r="P16724" s="2498"/>
    </row>
    <row r="16725" spans="16:16">
      <c r="P16725" s="2498"/>
    </row>
    <row r="16726" spans="16:16">
      <c r="P16726" s="2498"/>
    </row>
    <row r="16727" spans="16:16">
      <c r="P16727" s="2498"/>
    </row>
    <row r="16728" spans="16:16">
      <c r="P16728" s="2498"/>
    </row>
    <row r="16729" spans="16:16">
      <c r="P16729" s="2498"/>
    </row>
    <row r="16730" spans="16:16">
      <c r="P16730" s="2498"/>
    </row>
    <row r="16731" spans="16:16">
      <c r="P16731" s="2498"/>
    </row>
    <row r="16732" spans="16:16">
      <c r="P16732" s="2498"/>
    </row>
    <row r="16733" spans="16:16">
      <c r="P16733" s="2498"/>
    </row>
    <row r="16734" spans="16:16">
      <c r="P16734" s="2498"/>
    </row>
    <row r="16735" spans="16:16">
      <c r="P16735" s="2498"/>
    </row>
    <row r="16736" spans="16:16">
      <c r="P16736" s="2498"/>
    </row>
    <row r="16737" spans="16:16">
      <c r="P16737" s="2498"/>
    </row>
    <row r="16738" spans="16:16">
      <c r="P16738" s="2498"/>
    </row>
    <row r="16739" spans="16:16">
      <c r="P16739" s="2498"/>
    </row>
    <row r="16740" spans="16:16">
      <c r="P16740" s="2498"/>
    </row>
    <row r="16741" spans="16:16">
      <c r="P16741" s="2498"/>
    </row>
    <row r="16742" spans="16:16">
      <c r="P16742" s="2498"/>
    </row>
    <row r="16743" spans="16:16">
      <c r="P16743" s="2498"/>
    </row>
    <row r="16744" spans="16:16">
      <c r="P16744" s="2498"/>
    </row>
    <row r="16745" spans="16:16">
      <c r="P16745" s="2498"/>
    </row>
    <row r="16746" spans="16:16">
      <c r="P16746" s="2498"/>
    </row>
    <row r="16747" spans="16:16">
      <c r="P16747" s="2498"/>
    </row>
    <row r="16748" spans="16:16">
      <c r="P16748" s="2498"/>
    </row>
    <row r="16749" spans="16:16">
      <c r="P16749" s="2498"/>
    </row>
    <row r="16750" spans="16:16">
      <c r="P16750" s="2498"/>
    </row>
    <row r="16751" spans="16:16">
      <c r="P16751" s="2498"/>
    </row>
    <row r="16752" spans="16:16">
      <c r="P16752" s="2498"/>
    </row>
    <row r="16753" spans="16:16">
      <c r="P16753" s="2498"/>
    </row>
    <row r="16754" spans="16:16">
      <c r="P16754" s="2498"/>
    </row>
    <row r="16755" spans="16:16">
      <c r="P16755" s="2498"/>
    </row>
    <row r="16756" spans="16:16">
      <c r="P16756" s="2498"/>
    </row>
    <row r="16757" spans="16:16">
      <c r="P16757" s="2498"/>
    </row>
    <row r="16758" spans="16:16">
      <c r="P16758" s="2498"/>
    </row>
    <row r="16759" spans="16:16">
      <c r="P16759" s="2498"/>
    </row>
    <row r="16760" spans="16:16">
      <c r="P16760" s="2498"/>
    </row>
    <row r="16761" spans="16:16">
      <c r="P16761" s="2498"/>
    </row>
    <row r="16762" spans="16:16">
      <c r="P16762" s="2498"/>
    </row>
    <row r="16763" spans="16:16">
      <c r="P16763" s="2498"/>
    </row>
    <row r="16764" spans="16:16">
      <c r="P16764" s="2498"/>
    </row>
    <row r="16765" spans="16:16">
      <c r="P16765" s="2498"/>
    </row>
    <row r="16766" spans="16:16">
      <c r="P16766" s="2498"/>
    </row>
    <row r="16767" spans="16:16">
      <c r="P16767" s="2498"/>
    </row>
    <row r="16768" spans="16:16">
      <c r="P16768" s="2498"/>
    </row>
    <row r="16769" spans="16:16">
      <c r="P16769" s="2498"/>
    </row>
    <row r="16770" spans="16:16">
      <c r="P16770" s="2498"/>
    </row>
    <row r="16771" spans="16:16">
      <c r="P16771" s="2498"/>
    </row>
    <row r="16772" spans="16:16">
      <c r="P16772" s="2498"/>
    </row>
    <row r="16773" spans="16:16">
      <c r="P16773" s="2498"/>
    </row>
    <row r="16774" spans="16:16">
      <c r="P16774" s="2498"/>
    </row>
    <row r="16775" spans="16:16">
      <c r="P16775" s="2498"/>
    </row>
    <row r="16776" spans="16:16">
      <c r="P16776" s="2498"/>
    </row>
    <row r="16777" spans="16:16">
      <c r="P16777" s="2498"/>
    </row>
    <row r="16778" spans="16:16">
      <c r="P16778" s="2498"/>
    </row>
    <row r="16779" spans="16:16">
      <c r="P16779" s="2498"/>
    </row>
    <row r="16780" spans="16:16">
      <c r="P16780" s="2498"/>
    </row>
    <row r="16781" spans="16:16">
      <c r="P16781" s="2498"/>
    </row>
    <row r="16782" spans="16:16">
      <c r="P16782" s="2498"/>
    </row>
    <row r="16783" spans="16:16">
      <c r="P16783" s="2498"/>
    </row>
    <row r="16784" spans="16:16">
      <c r="P16784" s="2498"/>
    </row>
    <row r="16785" spans="16:16">
      <c r="P16785" s="2498"/>
    </row>
    <row r="16786" spans="16:16">
      <c r="P16786" s="2498"/>
    </row>
    <row r="16787" spans="16:16">
      <c r="P16787" s="2498"/>
    </row>
    <row r="16788" spans="16:16">
      <c r="P16788" s="2498"/>
    </row>
    <row r="16789" spans="16:16">
      <c r="P16789" s="2498"/>
    </row>
    <row r="16790" spans="16:16">
      <c r="P16790" s="2498"/>
    </row>
    <row r="16791" spans="16:16">
      <c r="P16791" s="2498"/>
    </row>
    <row r="16792" spans="16:16">
      <c r="P16792" s="2498"/>
    </row>
    <row r="16793" spans="16:16">
      <c r="P16793" s="2498"/>
    </row>
    <row r="16794" spans="16:16">
      <c r="P16794" s="2498"/>
    </row>
    <row r="16795" spans="16:16">
      <c r="P16795" s="2498"/>
    </row>
    <row r="16796" spans="16:16">
      <c r="P16796" s="2498"/>
    </row>
    <row r="16797" spans="16:16">
      <c r="P16797" s="2498"/>
    </row>
    <row r="16798" spans="16:16">
      <c r="P16798" s="2498"/>
    </row>
    <row r="16799" spans="16:16">
      <c r="P16799" s="2498"/>
    </row>
    <row r="16800" spans="16:16">
      <c r="P16800" s="2498"/>
    </row>
    <row r="16801" spans="16:16">
      <c r="P16801" s="2498"/>
    </row>
    <row r="16802" spans="16:16">
      <c r="P16802" s="2498"/>
    </row>
    <row r="16803" spans="16:16">
      <c r="P16803" s="2498"/>
    </row>
    <row r="16804" spans="16:16">
      <c r="P16804" s="2498"/>
    </row>
    <row r="16805" spans="16:16">
      <c r="P16805" s="2498"/>
    </row>
    <row r="16806" spans="16:16">
      <c r="P16806" s="2498"/>
    </row>
    <row r="16807" spans="16:16">
      <c r="P16807" s="2498"/>
    </row>
    <row r="16808" spans="16:16">
      <c r="P16808" s="2498"/>
    </row>
    <row r="16809" spans="16:16">
      <c r="P16809" s="2498"/>
    </row>
    <row r="16810" spans="16:16">
      <c r="P16810" s="2498"/>
    </row>
    <row r="16811" spans="16:16">
      <c r="P16811" s="2498"/>
    </row>
    <row r="16812" spans="16:16">
      <c r="P16812" s="2498"/>
    </row>
    <row r="16813" spans="16:16">
      <c r="P16813" s="2498"/>
    </row>
    <row r="16814" spans="16:16">
      <c r="P16814" s="2498"/>
    </row>
    <row r="16815" spans="16:16">
      <c r="P16815" s="2498"/>
    </row>
    <row r="16816" spans="16:16">
      <c r="P16816" s="2498"/>
    </row>
    <row r="16817" spans="16:16">
      <c r="P16817" s="2498"/>
    </row>
    <row r="16818" spans="16:16">
      <c r="P16818" s="2498"/>
    </row>
    <row r="16819" spans="16:16">
      <c r="P16819" s="2498"/>
    </row>
    <row r="16820" spans="16:16">
      <c r="P16820" s="2498"/>
    </row>
    <row r="16821" spans="16:16">
      <c r="P16821" s="2498"/>
    </row>
    <row r="16822" spans="16:16">
      <c r="P16822" s="2498"/>
    </row>
    <row r="16823" spans="16:16">
      <c r="P16823" s="2498"/>
    </row>
    <row r="16824" spans="16:16">
      <c r="P16824" s="2498"/>
    </row>
    <row r="16825" spans="16:16">
      <c r="P16825" s="2498"/>
    </row>
    <row r="16826" spans="16:16">
      <c r="P16826" s="2498"/>
    </row>
    <row r="16827" spans="16:16">
      <c r="P16827" s="2498"/>
    </row>
    <row r="16828" spans="16:16">
      <c r="P16828" s="2498"/>
    </row>
    <row r="16829" spans="16:16">
      <c r="P16829" s="2498"/>
    </row>
    <row r="16830" spans="16:16">
      <c r="P16830" s="2498"/>
    </row>
    <row r="16831" spans="16:16">
      <c r="P16831" s="2498"/>
    </row>
    <row r="16832" spans="16:16">
      <c r="P16832" s="2498"/>
    </row>
    <row r="16833" spans="16:16">
      <c r="P16833" s="2498"/>
    </row>
    <row r="16834" spans="16:16">
      <c r="P16834" s="2498"/>
    </row>
    <row r="16835" spans="16:16">
      <c r="P16835" s="2498"/>
    </row>
    <row r="16836" spans="16:16">
      <c r="P16836" s="2498"/>
    </row>
    <row r="16837" spans="16:16">
      <c r="P16837" s="2498"/>
    </row>
    <row r="16838" spans="16:16">
      <c r="P16838" s="2498"/>
    </row>
    <row r="16839" spans="16:16">
      <c r="P16839" s="2498"/>
    </row>
    <row r="16840" spans="16:16">
      <c r="P16840" s="2498"/>
    </row>
    <row r="16841" spans="16:16">
      <c r="P16841" s="2498"/>
    </row>
    <row r="16842" spans="16:16">
      <c r="P16842" s="2498"/>
    </row>
    <row r="16843" spans="16:16">
      <c r="P16843" s="2498"/>
    </row>
    <row r="16844" spans="16:16">
      <c r="P16844" s="2498"/>
    </row>
    <row r="16845" spans="16:16">
      <c r="P16845" s="2498"/>
    </row>
    <row r="16846" spans="16:16">
      <c r="P16846" s="2498"/>
    </row>
    <row r="16847" spans="16:16">
      <c r="P16847" s="2498"/>
    </row>
    <row r="16848" spans="16:16">
      <c r="P16848" s="2498"/>
    </row>
    <row r="16849" spans="16:16">
      <c r="P16849" s="2498"/>
    </row>
    <row r="16850" spans="16:16">
      <c r="P16850" s="2498"/>
    </row>
    <row r="16851" spans="16:16">
      <c r="P16851" s="2498"/>
    </row>
    <row r="16852" spans="16:16">
      <c r="P16852" s="2498"/>
    </row>
    <row r="16853" spans="16:16">
      <c r="P16853" s="2498"/>
    </row>
    <row r="16854" spans="16:16">
      <c r="P16854" s="2498"/>
    </row>
    <row r="16855" spans="16:16">
      <c r="P16855" s="2498"/>
    </row>
    <row r="16856" spans="16:16">
      <c r="P16856" s="2498"/>
    </row>
    <row r="16857" spans="16:16">
      <c r="P16857" s="2498"/>
    </row>
    <row r="16858" spans="16:16">
      <c r="P16858" s="2498"/>
    </row>
    <row r="16859" spans="16:16">
      <c r="P16859" s="2498"/>
    </row>
    <row r="16860" spans="16:16">
      <c r="P16860" s="2498"/>
    </row>
    <row r="16861" spans="16:16">
      <c r="P16861" s="2498"/>
    </row>
    <row r="16862" spans="16:16">
      <c r="P16862" s="2498"/>
    </row>
    <row r="16863" spans="16:16">
      <c r="P16863" s="2498"/>
    </row>
    <row r="16864" spans="16:16">
      <c r="P16864" s="2498"/>
    </row>
    <row r="16865" spans="16:16">
      <c r="P16865" s="2498"/>
    </row>
    <row r="16866" spans="16:16">
      <c r="P16866" s="2498"/>
    </row>
    <row r="16867" spans="16:16">
      <c r="P16867" s="2498"/>
    </row>
    <row r="16868" spans="16:16">
      <c r="P16868" s="2498"/>
    </row>
    <row r="16869" spans="16:16">
      <c r="P16869" s="2498"/>
    </row>
    <row r="16870" spans="16:16">
      <c r="P16870" s="2498"/>
    </row>
    <row r="16871" spans="16:16">
      <c r="P16871" s="2498"/>
    </row>
    <row r="16872" spans="16:16">
      <c r="P16872" s="2498"/>
    </row>
    <row r="16873" spans="16:16">
      <c r="P16873" s="2498"/>
    </row>
    <row r="16874" spans="16:16">
      <c r="P16874" s="2498"/>
    </row>
    <row r="16875" spans="16:16">
      <c r="P16875" s="2498"/>
    </row>
    <row r="16876" spans="16:16">
      <c r="P16876" s="2498"/>
    </row>
    <row r="16877" spans="16:16">
      <c r="P16877" s="2498"/>
    </row>
    <row r="16878" spans="16:16">
      <c r="P16878" s="2498"/>
    </row>
    <row r="16879" spans="16:16">
      <c r="P16879" s="2498"/>
    </row>
    <row r="16880" spans="16:16">
      <c r="P16880" s="2498"/>
    </row>
    <row r="16881" spans="16:16">
      <c r="P16881" s="2498"/>
    </row>
    <row r="16882" spans="16:16">
      <c r="P16882" s="2498"/>
    </row>
    <row r="16883" spans="16:16">
      <c r="P16883" s="2498"/>
    </row>
    <row r="16884" spans="16:16">
      <c r="P16884" s="2498"/>
    </row>
    <row r="16885" spans="16:16">
      <c r="P16885" s="2498"/>
    </row>
    <row r="16886" spans="16:16">
      <c r="P16886" s="2498"/>
    </row>
    <row r="16887" spans="16:16">
      <c r="P16887" s="2498"/>
    </row>
    <row r="16888" spans="16:16">
      <c r="P16888" s="2498"/>
    </row>
    <row r="16889" spans="16:16">
      <c r="P16889" s="2498"/>
    </row>
    <row r="16890" spans="16:16">
      <c r="P16890" s="2498"/>
    </row>
    <row r="16891" spans="16:16">
      <c r="P16891" s="2498"/>
    </row>
    <row r="16892" spans="16:16">
      <c r="P16892" s="2498"/>
    </row>
    <row r="16893" spans="16:16">
      <c r="P16893" s="2498"/>
    </row>
    <row r="16894" spans="16:16">
      <c r="P16894" s="2498"/>
    </row>
    <row r="16895" spans="16:16">
      <c r="P16895" s="2498"/>
    </row>
    <row r="16896" spans="16:16">
      <c r="P16896" s="2498"/>
    </row>
    <row r="16897" spans="16:16">
      <c r="P16897" s="2498"/>
    </row>
    <row r="16898" spans="16:16">
      <c r="P16898" s="2498"/>
    </row>
    <row r="16899" spans="16:16">
      <c r="P16899" s="2498"/>
    </row>
    <row r="16900" spans="16:16">
      <c r="P16900" s="2498"/>
    </row>
    <row r="16901" spans="16:16">
      <c r="P16901" s="2498"/>
    </row>
    <row r="16902" spans="16:16">
      <c r="P16902" s="2498"/>
    </row>
    <row r="16903" spans="16:16">
      <c r="P16903" s="2498"/>
    </row>
    <row r="16904" spans="16:16">
      <c r="P16904" s="2498"/>
    </row>
    <row r="16905" spans="16:16">
      <c r="P16905" s="2498"/>
    </row>
    <row r="16906" spans="16:16">
      <c r="P16906" s="2498"/>
    </row>
    <row r="16907" spans="16:16">
      <c r="P16907" s="2498"/>
    </row>
    <row r="16908" spans="16:16">
      <c r="P16908" s="2498"/>
    </row>
    <row r="16909" spans="16:16">
      <c r="P16909" s="2498"/>
    </row>
    <row r="16910" spans="16:16">
      <c r="P16910" s="2498"/>
    </row>
    <row r="16911" spans="16:16">
      <c r="P16911" s="2498"/>
    </row>
    <row r="16912" spans="16:16">
      <c r="P16912" s="2498"/>
    </row>
    <row r="16913" spans="16:16">
      <c r="P16913" s="2498"/>
    </row>
    <row r="16914" spans="16:16">
      <c r="P16914" s="2498"/>
    </row>
    <row r="16915" spans="16:16">
      <c r="P16915" s="2498"/>
    </row>
    <row r="16916" spans="16:16">
      <c r="P16916" s="2498"/>
    </row>
    <row r="16917" spans="16:16">
      <c r="P16917" s="2498"/>
    </row>
    <row r="16918" spans="16:16">
      <c r="P16918" s="2498"/>
    </row>
    <row r="16919" spans="16:16">
      <c r="P16919" s="2498"/>
    </row>
    <row r="16920" spans="16:16">
      <c r="P16920" s="2498"/>
    </row>
    <row r="16921" spans="16:16">
      <c r="P16921" s="2498"/>
    </row>
    <row r="16922" spans="16:16">
      <c r="P16922" s="2498"/>
    </row>
    <row r="16923" spans="16:16">
      <c r="P16923" s="2498"/>
    </row>
    <row r="16924" spans="16:16">
      <c r="P16924" s="2498"/>
    </row>
    <row r="16925" spans="16:16">
      <c r="P16925" s="2498"/>
    </row>
    <row r="16926" spans="16:16">
      <c r="P16926" s="2498"/>
    </row>
    <row r="16927" spans="16:16">
      <c r="P16927" s="2498"/>
    </row>
    <row r="16928" spans="16:16">
      <c r="P16928" s="2498"/>
    </row>
    <row r="16929" spans="16:16">
      <c r="P16929" s="2498"/>
    </row>
    <row r="16930" spans="16:16">
      <c r="P16930" s="2498"/>
    </row>
    <row r="16931" spans="16:16">
      <c r="P16931" s="2498"/>
    </row>
    <row r="16932" spans="16:16">
      <c r="P16932" s="2498"/>
    </row>
    <row r="16933" spans="16:16">
      <c r="P16933" s="2498"/>
    </row>
    <row r="16934" spans="16:16">
      <c r="P16934" s="2498"/>
    </row>
    <row r="16935" spans="16:16">
      <c r="P16935" s="2498"/>
    </row>
    <row r="16936" spans="16:16">
      <c r="P16936" s="2498"/>
    </row>
    <row r="16937" spans="16:16">
      <c r="P16937" s="2498"/>
    </row>
    <row r="16938" spans="16:16">
      <c r="P16938" s="2498"/>
    </row>
    <row r="16939" spans="16:16">
      <c r="P16939" s="2498"/>
    </row>
    <row r="16940" spans="16:16">
      <c r="P16940" s="2498"/>
    </row>
    <row r="16941" spans="16:16">
      <c r="P16941" s="2498"/>
    </row>
    <row r="16942" spans="16:16">
      <c r="P16942" s="2498"/>
    </row>
    <row r="16943" spans="16:16">
      <c r="P16943" s="2498"/>
    </row>
    <row r="16944" spans="16:16">
      <c r="P16944" s="2498"/>
    </row>
    <row r="16945" spans="16:16">
      <c r="P16945" s="2498"/>
    </row>
    <row r="16946" spans="16:16">
      <c r="P16946" s="2498"/>
    </row>
    <row r="16947" spans="16:16">
      <c r="P16947" s="2498"/>
    </row>
    <row r="16948" spans="16:16">
      <c r="P16948" s="2498"/>
    </row>
    <row r="16949" spans="16:16">
      <c r="P16949" s="2498"/>
    </row>
    <row r="16950" spans="16:16">
      <c r="P16950" s="2498"/>
    </row>
    <row r="16951" spans="16:16">
      <c r="P16951" s="2498"/>
    </row>
    <row r="16952" spans="16:16">
      <c r="P16952" s="2498"/>
    </row>
    <row r="16953" spans="16:16">
      <c r="P16953" s="2498"/>
    </row>
    <row r="16954" spans="16:16">
      <c r="P16954" s="2498"/>
    </row>
    <row r="16955" spans="16:16">
      <c r="P16955" s="2498"/>
    </row>
    <row r="16956" spans="16:16">
      <c r="P16956" s="2498"/>
    </row>
    <row r="16957" spans="16:16">
      <c r="P16957" s="2498"/>
    </row>
    <row r="16958" spans="16:16">
      <c r="P16958" s="2498"/>
    </row>
    <row r="16959" spans="16:16">
      <c r="P16959" s="2498"/>
    </row>
    <row r="16960" spans="16:16">
      <c r="P16960" s="2498"/>
    </row>
    <row r="16961" spans="16:16">
      <c r="P16961" s="2498"/>
    </row>
    <row r="16962" spans="16:16">
      <c r="P16962" s="2498"/>
    </row>
    <row r="16963" spans="16:16">
      <c r="P16963" s="2498"/>
    </row>
    <row r="16964" spans="16:16">
      <c r="P16964" s="2498"/>
    </row>
    <row r="16965" spans="16:16">
      <c r="P16965" s="2498"/>
    </row>
    <row r="16966" spans="16:16">
      <c r="P16966" s="2498"/>
    </row>
    <row r="16967" spans="16:16">
      <c r="P16967" s="2498"/>
    </row>
    <row r="16968" spans="16:16">
      <c r="P16968" s="2498"/>
    </row>
    <row r="16969" spans="16:16">
      <c r="P16969" s="2498"/>
    </row>
    <row r="16970" spans="16:16">
      <c r="P16970" s="2498"/>
    </row>
    <row r="16971" spans="16:16">
      <c r="P16971" s="2498"/>
    </row>
    <row r="16972" spans="16:16">
      <c r="P16972" s="2498"/>
    </row>
    <row r="16973" spans="16:16">
      <c r="P16973" s="2498"/>
    </row>
    <row r="16974" spans="16:16">
      <c r="P16974" s="2498"/>
    </row>
    <row r="16975" spans="16:16">
      <c r="P16975" s="2498"/>
    </row>
    <row r="16976" spans="16:16">
      <c r="P16976" s="2498"/>
    </row>
    <row r="16977" spans="16:16">
      <c r="P16977" s="2498"/>
    </row>
    <row r="16978" spans="16:16">
      <c r="P16978" s="2498"/>
    </row>
    <row r="16979" spans="16:16">
      <c r="P16979" s="2498"/>
    </row>
    <row r="16980" spans="16:16">
      <c r="P16980" s="2498"/>
    </row>
    <row r="16981" spans="16:16">
      <c r="P16981" s="2498"/>
    </row>
    <row r="16982" spans="16:16">
      <c r="P16982" s="2498"/>
    </row>
    <row r="16983" spans="16:16">
      <c r="P16983" s="2498"/>
    </row>
    <row r="16984" spans="16:16">
      <c r="P16984" s="2498"/>
    </row>
    <row r="16985" spans="16:16">
      <c r="P16985" s="2498"/>
    </row>
    <row r="16986" spans="16:16">
      <c r="P16986" s="2498"/>
    </row>
    <row r="16987" spans="16:16">
      <c r="P16987" s="2498"/>
    </row>
    <row r="16988" spans="16:16">
      <c r="P16988" s="2498"/>
    </row>
    <row r="16989" spans="16:16">
      <c r="P16989" s="2498"/>
    </row>
    <row r="16990" spans="16:16">
      <c r="P16990" s="2498"/>
    </row>
    <row r="16991" spans="16:16">
      <c r="P16991" s="2498"/>
    </row>
    <row r="16992" spans="16:16">
      <c r="P16992" s="2498"/>
    </row>
    <row r="16993" spans="16:16">
      <c r="P16993" s="2498"/>
    </row>
    <row r="16994" spans="16:16">
      <c r="P16994" s="2498"/>
    </row>
    <row r="16995" spans="16:16">
      <c r="P16995" s="2498"/>
    </row>
    <row r="16996" spans="16:16">
      <c r="P16996" s="2498"/>
    </row>
    <row r="16997" spans="16:16">
      <c r="P16997" s="2498"/>
    </row>
    <row r="16998" spans="16:16">
      <c r="P16998" s="2498"/>
    </row>
    <row r="16999" spans="16:16">
      <c r="P16999" s="2498"/>
    </row>
    <row r="17000" spans="16:16">
      <c r="P17000" s="2498"/>
    </row>
    <row r="17001" spans="16:16">
      <c r="P17001" s="2498"/>
    </row>
    <row r="17002" spans="16:16">
      <c r="P17002" s="2498"/>
    </row>
    <row r="17003" spans="16:16">
      <c r="P17003" s="2498"/>
    </row>
    <row r="17004" spans="16:16">
      <c r="P17004" s="2498"/>
    </row>
    <row r="17005" spans="16:16">
      <c r="P17005" s="2498"/>
    </row>
    <row r="17006" spans="16:16">
      <c r="P17006" s="2498"/>
    </row>
    <row r="17007" spans="16:16">
      <c r="P17007" s="2498"/>
    </row>
    <row r="17008" spans="16:16">
      <c r="P17008" s="2498"/>
    </row>
    <row r="17009" spans="16:16">
      <c r="P17009" s="2498"/>
    </row>
    <row r="17010" spans="16:16">
      <c r="P17010" s="2498"/>
    </row>
    <row r="17011" spans="16:16">
      <c r="P17011" s="2498"/>
    </row>
    <row r="17012" spans="16:16">
      <c r="P17012" s="2498"/>
    </row>
    <row r="17013" spans="16:16">
      <c r="P17013" s="2498"/>
    </row>
    <row r="17014" spans="16:16">
      <c r="P17014" s="2498"/>
    </row>
    <row r="17015" spans="16:16">
      <c r="P17015" s="2498"/>
    </row>
    <row r="17016" spans="16:16">
      <c r="P17016" s="2498"/>
    </row>
    <row r="17017" spans="16:16">
      <c r="P17017" s="2498"/>
    </row>
    <row r="17018" spans="16:16">
      <c r="P17018" s="2498"/>
    </row>
    <row r="17019" spans="16:16">
      <c r="P17019" s="2498"/>
    </row>
    <row r="17020" spans="16:16">
      <c r="P17020" s="2498"/>
    </row>
    <row r="17021" spans="16:16">
      <c r="P17021" s="2498"/>
    </row>
    <row r="17022" spans="16:16">
      <c r="P17022" s="2498"/>
    </row>
    <row r="17023" spans="16:16">
      <c r="P17023" s="2498"/>
    </row>
    <row r="17024" spans="16:16">
      <c r="P17024" s="2498"/>
    </row>
    <row r="17025" spans="16:16">
      <c r="P17025" s="2498"/>
    </row>
    <row r="17026" spans="16:16">
      <c r="P17026" s="2498"/>
    </row>
    <row r="17027" spans="16:16">
      <c r="P17027" s="2498"/>
    </row>
    <row r="17028" spans="16:16">
      <c r="P17028" s="2498"/>
    </row>
    <row r="17029" spans="16:16">
      <c r="P17029" s="2498"/>
    </row>
    <row r="17030" spans="16:16">
      <c r="P17030" s="2498"/>
    </row>
    <row r="17031" spans="16:16">
      <c r="P17031" s="2498"/>
    </row>
    <row r="17032" spans="16:16">
      <c r="P17032" s="2498"/>
    </row>
    <row r="17033" spans="16:16">
      <c r="P17033" s="2498"/>
    </row>
    <row r="17034" spans="16:16">
      <c r="P17034" s="2498"/>
    </row>
    <row r="17035" spans="16:16">
      <c r="P17035" s="2498"/>
    </row>
    <row r="17036" spans="16:16">
      <c r="P17036" s="2498"/>
    </row>
    <row r="17037" spans="16:16">
      <c r="P17037" s="2498"/>
    </row>
    <row r="17038" spans="16:16">
      <c r="P17038" s="2498"/>
    </row>
    <row r="17039" spans="16:16">
      <c r="P17039" s="2498"/>
    </row>
    <row r="17040" spans="16:16">
      <c r="P17040" s="2498"/>
    </row>
    <row r="17041" spans="16:16">
      <c r="P17041" s="2498"/>
    </row>
    <row r="17042" spans="16:16">
      <c r="P17042" s="2498"/>
    </row>
    <row r="17043" spans="16:16">
      <c r="P17043" s="2498"/>
    </row>
    <row r="17044" spans="16:16">
      <c r="P17044" s="2498"/>
    </row>
    <row r="17045" spans="16:16">
      <c r="P17045" s="2498"/>
    </row>
    <row r="17046" spans="16:16">
      <c r="P17046" s="2498"/>
    </row>
    <row r="17047" spans="16:16">
      <c r="P17047" s="2498"/>
    </row>
    <row r="17048" spans="16:16">
      <c r="P17048" s="2498"/>
    </row>
    <row r="17049" spans="16:16">
      <c r="P17049" s="2498"/>
    </row>
    <row r="17050" spans="16:16">
      <c r="P17050" s="2498"/>
    </row>
    <row r="17051" spans="16:16">
      <c r="P17051" s="2498"/>
    </row>
    <row r="17052" spans="16:16">
      <c r="P17052" s="2498"/>
    </row>
    <row r="17053" spans="16:16">
      <c r="P17053" s="2498"/>
    </row>
    <row r="17054" spans="16:16">
      <c r="P17054" s="2498"/>
    </row>
    <row r="17055" spans="16:16">
      <c r="P17055" s="2498"/>
    </row>
    <row r="17056" spans="16:16">
      <c r="P17056" s="2498"/>
    </row>
    <row r="17057" spans="16:16">
      <c r="P17057" s="2498"/>
    </row>
    <row r="17058" spans="16:16">
      <c r="P17058" s="2498"/>
    </row>
    <row r="17059" spans="16:16">
      <c r="P17059" s="2498"/>
    </row>
    <row r="17060" spans="16:16">
      <c r="P17060" s="2498"/>
    </row>
    <row r="17061" spans="16:16">
      <c r="P17061" s="2498"/>
    </row>
    <row r="17062" spans="16:16">
      <c r="P17062" s="2498"/>
    </row>
    <row r="17063" spans="16:16">
      <c r="P17063" s="2498"/>
    </row>
    <row r="17064" spans="16:16">
      <c r="P17064" s="2498"/>
    </row>
    <row r="17065" spans="16:16">
      <c r="P17065" s="2498"/>
    </row>
    <row r="17066" spans="16:16">
      <c r="P17066" s="2498"/>
    </row>
    <row r="17067" spans="16:16">
      <c r="P17067" s="2498"/>
    </row>
    <row r="17068" spans="16:16">
      <c r="P17068" s="2498"/>
    </row>
    <row r="17069" spans="16:16">
      <c r="P17069" s="2498"/>
    </row>
    <row r="17070" spans="16:16">
      <c r="P17070" s="2498"/>
    </row>
    <row r="17071" spans="16:16">
      <c r="P17071" s="2498"/>
    </row>
    <row r="17072" spans="16:16">
      <c r="P17072" s="2498"/>
    </row>
    <row r="17073" spans="16:16">
      <c r="P17073" s="2498"/>
    </row>
    <row r="17074" spans="16:16">
      <c r="P17074" s="2498"/>
    </row>
    <row r="17075" spans="16:16">
      <c r="P17075" s="2498"/>
    </row>
    <row r="17076" spans="16:16">
      <c r="P17076" s="2498"/>
    </row>
    <row r="17077" spans="16:16">
      <c r="P17077" s="2498"/>
    </row>
    <row r="17078" spans="16:16">
      <c r="P17078" s="2498"/>
    </row>
    <row r="17079" spans="16:16">
      <c r="P17079" s="2498"/>
    </row>
    <row r="17080" spans="16:16">
      <c r="P17080" s="2498"/>
    </row>
    <row r="17081" spans="16:16">
      <c r="P17081" s="2498"/>
    </row>
    <row r="17082" spans="16:16">
      <c r="P17082" s="2498"/>
    </row>
    <row r="17083" spans="16:16">
      <c r="P17083" s="2498"/>
    </row>
    <row r="17084" spans="16:16">
      <c r="P17084" s="2498"/>
    </row>
    <row r="17085" spans="16:16">
      <c r="P17085" s="2498"/>
    </row>
    <row r="17086" spans="16:16">
      <c r="P17086" s="2498"/>
    </row>
    <row r="17087" spans="16:16">
      <c r="P17087" s="2498"/>
    </row>
    <row r="17088" spans="16:16">
      <c r="P17088" s="2498"/>
    </row>
    <row r="17089" spans="16:16">
      <c r="P17089" s="2498"/>
    </row>
    <row r="17090" spans="16:16">
      <c r="P17090" s="2498"/>
    </row>
    <row r="17091" spans="16:16">
      <c r="P17091" s="2498"/>
    </row>
    <row r="17092" spans="16:16">
      <c r="P17092" s="2498"/>
    </row>
    <row r="17093" spans="16:16">
      <c r="P17093" s="2498"/>
    </row>
    <row r="17094" spans="16:16">
      <c r="P17094" s="2498"/>
    </row>
    <row r="17095" spans="16:16">
      <c r="P17095" s="2498"/>
    </row>
    <row r="17096" spans="16:16">
      <c r="P17096" s="2498"/>
    </row>
    <row r="17097" spans="16:16">
      <c r="P17097" s="2498"/>
    </row>
    <row r="17098" spans="16:16">
      <c r="P17098" s="2498"/>
    </row>
    <row r="17099" spans="16:16">
      <c r="P17099" s="2498"/>
    </row>
    <row r="17100" spans="16:16">
      <c r="P17100" s="2498"/>
    </row>
    <row r="17101" spans="16:16">
      <c r="P17101" s="2498"/>
    </row>
    <row r="17102" spans="16:16">
      <c r="P17102" s="2498"/>
    </row>
    <row r="17103" spans="16:16">
      <c r="P17103" s="2498"/>
    </row>
    <row r="17104" spans="16:16">
      <c r="P17104" s="2498"/>
    </row>
    <row r="17105" spans="16:16">
      <c r="P17105" s="2498"/>
    </row>
    <row r="17106" spans="16:16">
      <c r="P17106" s="2498"/>
    </row>
    <row r="17107" spans="16:16">
      <c r="P17107" s="2498"/>
    </row>
    <row r="17108" spans="16:16">
      <c r="P17108" s="2498"/>
    </row>
    <row r="17109" spans="16:16">
      <c r="P17109" s="2498"/>
    </row>
    <row r="17110" spans="16:16">
      <c r="P17110" s="2498"/>
    </row>
    <row r="17111" spans="16:16">
      <c r="P17111" s="2498"/>
    </row>
    <row r="17112" spans="16:16">
      <c r="P17112" s="2498"/>
    </row>
    <row r="17113" spans="16:16">
      <c r="P17113" s="2498"/>
    </row>
    <row r="17114" spans="16:16">
      <c r="P17114" s="2498"/>
    </row>
    <row r="17115" spans="16:16">
      <c r="P17115" s="2498"/>
    </row>
    <row r="17116" spans="16:16">
      <c r="P17116" s="2498"/>
    </row>
    <row r="17117" spans="16:16">
      <c r="P17117" s="2498"/>
    </row>
    <row r="17118" spans="16:16">
      <c r="P17118" s="2498"/>
    </row>
    <row r="17119" spans="16:16">
      <c r="P17119" s="2498"/>
    </row>
    <row r="17120" spans="16:16">
      <c r="P17120" s="2498"/>
    </row>
    <row r="17121" spans="16:16">
      <c r="P17121" s="2498"/>
    </row>
    <row r="17122" spans="16:16">
      <c r="P17122" s="2498"/>
    </row>
    <row r="17123" spans="16:16">
      <c r="P17123" s="2498"/>
    </row>
    <row r="17124" spans="16:16">
      <c r="P17124" s="2498"/>
    </row>
    <row r="17125" spans="16:16">
      <c r="P17125" s="2498"/>
    </row>
    <row r="17126" spans="16:16">
      <c r="P17126" s="2498"/>
    </row>
    <row r="17127" spans="16:16">
      <c r="P17127" s="2498"/>
    </row>
    <row r="17128" spans="16:16">
      <c r="P17128" s="2498"/>
    </row>
    <row r="17129" spans="16:16">
      <c r="P17129" s="2498"/>
    </row>
    <row r="17130" spans="16:16">
      <c r="P17130" s="2498"/>
    </row>
    <row r="17131" spans="16:16">
      <c r="P17131" s="2498"/>
    </row>
    <row r="17132" spans="16:16">
      <c r="P17132" s="2498"/>
    </row>
    <row r="17133" spans="16:16">
      <c r="P17133" s="2498"/>
    </row>
    <row r="17134" spans="16:16">
      <c r="P17134" s="2498"/>
    </row>
    <row r="17135" spans="16:16">
      <c r="P17135" s="2498"/>
    </row>
    <row r="17136" spans="16:16">
      <c r="P17136" s="2498"/>
    </row>
    <row r="17137" spans="16:16">
      <c r="P17137" s="2498"/>
    </row>
    <row r="17138" spans="16:16">
      <c r="P17138" s="2498"/>
    </row>
    <row r="17139" spans="16:16">
      <c r="P17139" s="2498"/>
    </row>
    <row r="17140" spans="16:16">
      <c r="P17140" s="2498"/>
    </row>
    <row r="17141" spans="16:16">
      <c r="P17141" s="2498"/>
    </row>
    <row r="17142" spans="16:16">
      <c r="P17142" s="2498"/>
    </row>
    <row r="17143" spans="16:16">
      <c r="P17143" s="2498"/>
    </row>
    <row r="17144" spans="16:16">
      <c r="P17144" s="2498"/>
    </row>
    <row r="17145" spans="16:16">
      <c r="P17145" s="2498"/>
    </row>
    <row r="17146" spans="16:16">
      <c r="P17146" s="2498"/>
    </row>
    <row r="17147" spans="16:16">
      <c r="P17147" s="2498"/>
    </row>
    <row r="17148" spans="16:16">
      <c r="P17148" s="2498"/>
    </row>
    <row r="17149" spans="16:16">
      <c r="P17149" s="2498"/>
    </row>
    <row r="17150" spans="16:16">
      <c r="P17150" s="2498"/>
    </row>
    <row r="17151" spans="16:16">
      <c r="P17151" s="2498"/>
    </row>
    <row r="17152" spans="16:16">
      <c r="P17152" s="2498"/>
    </row>
    <row r="17153" spans="16:16">
      <c r="P17153" s="2498"/>
    </row>
    <row r="17154" spans="16:16">
      <c r="P17154" s="2498"/>
    </row>
    <row r="17155" spans="16:16">
      <c r="P17155" s="2498"/>
    </row>
    <row r="17156" spans="16:16">
      <c r="P17156" s="2498"/>
    </row>
    <row r="17157" spans="16:16">
      <c r="P17157" s="2498"/>
    </row>
    <row r="17158" spans="16:16">
      <c r="P17158" s="2498"/>
    </row>
    <row r="17159" spans="16:16">
      <c r="P17159" s="2498"/>
    </row>
    <row r="17160" spans="16:16">
      <c r="P17160" s="2498"/>
    </row>
    <row r="17161" spans="16:16">
      <c r="P17161" s="2498"/>
    </row>
    <row r="17162" spans="16:16">
      <c r="P17162" s="2498"/>
    </row>
    <row r="17163" spans="16:16">
      <c r="P17163" s="2498"/>
    </row>
    <row r="17164" spans="16:16">
      <c r="P17164" s="2498"/>
    </row>
    <row r="17165" spans="16:16">
      <c r="P17165" s="2498"/>
    </row>
    <row r="17166" spans="16:16">
      <c r="P17166" s="2498"/>
    </row>
    <row r="17167" spans="16:16">
      <c r="P17167" s="2498"/>
    </row>
    <row r="17168" spans="16:16">
      <c r="P17168" s="2498"/>
    </row>
    <row r="17169" spans="16:16">
      <c r="P17169" s="2498"/>
    </row>
    <row r="17170" spans="16:16">
      <c r="P17170" s="2498"/>
    </row>
    <row r="17171" spans="16:16">
      <c r="P17171" s="2498"/>
    </row>
    <row r="17172" spans="16:16">
      <c r="P17172" s="2498"/>
    </row>
    <row r="17173" spans="16:16">
      <c r="P17173" s="2498"/>
    </row>
    <row r="17174" spans="16:16">
      <c r="P17174" s="2498"/>
    </row>
    <row r="17175" spans="16:16">
      <c r="P17175" s="2498"/>
    </row>
    <row r="17176" spans="16:16">
      <c r="P17176" s="2498"/>
    </row>
    <row r="17177" spans="16:16">
      <c r="P17177" s="2498"/>
    </row>
    <row r="17178" spans="16:16">
      <c r="P17178" s="2498"/>
    </row>
    <row r="17179" spans="16:16">
      <c r="P17179" s="2498"/>
    </row>
    <row r="17180" spans="16:16">
      <c r="P17180" s="2498"/>
    </row>
    <row r="17181" spans="16:16">
      <c r="P17181" s="2498"/>
    </row>
    <row r="17182" spans="16:16">
      <c r="P17182" s="2498"/>
    </row>
    <row r="17183" spans="16:16">
      <c r="P17183" s="2498"/>
    </row>
    <row r="17184" spans="16:16">
      <c r="P17184" s="2498"/>
    </row>
    <row r="17185" spans="16:16">
      <c r="P17185" s="2498"/>
    </row>
    <row r="17186" spans="16:16">
      <c r="P17186" s="2498"/>
    </row>
    <row r="17187" spans="16:16">
      <c r="P17187" s="2498"/>
    </row>
    <row r="17188" spans="16:16">
      <c r="P17188" s="2498"/>
    </row>
    <row r="17189" spans="16:16">
      <c r="P17189" s="2498"/>
    </row>
    <row r="17190" spans="16:16">
      <c r="P17190" s="2498"/>
    </row>
    <row r="17191" spans="16:16">
      <c r="P17191" s="2498"/>
    </row>
    <row r="17192" spans="16:16">
      <c r="P17192" s="2498"/>
    </row>
    <row r="17193" spans="16:16">
      <c r="P17193" s="2498"/>
    </row>
    <row r="17194" spans="16:16">
      <c r="P17194" s="2498"/>
    </row>
    <row r="17195" spans="16:16">
      <c r="P17195" s="2498"/>
    </row>
    <row r="17196" spans="16:16">
      <c r="P17196" s="2498"/>
    </row>
    <row r="17197" spans="16:16">
      <c r="P17197" s="2498"/>
    </row>
    <row r="17198" spans="16:16">
      <c r="P17198" s="2498"/>
    </row>
    <row r="17199" spans="16:16">
      <c r="P17199" s="2498"/>
    </row>
    <row r="17200" spans="16:16">
      <c r="P17200" s="2498"/>
    </row>
    <row r="17201" spans="16:16">
      <c r="P17201" s="2498"/>
    </row>
    <row r="17202" spans="16:16">
      <c r="P17202" s="2498"/>
    </row>
    <row r="17203" spans="16:16">
      <c r="P17203" s="2498"/>
    </row>
    <row r="17204" spans="16:16">
      <c r="P17204" s="2498"/>
    </row>
    <row r="17205" spans="16:16">
      <c r="P17205" s="2498"/>
    </row>
    <row r="17206" spans="16:16">
      <c r="P17206" s="2498"/>
    </row>
    <row r="17207" spans="16:16">
      <c r="P17207" s="2498"/>
    </row>
    <row r="17208" spans="16:16">
      <c r="P17208" s="2498"/>
    </row>
    <row r="17209" spans="16:16">
      <c r="P17209" s="2498"/>
    </row>
    <row r="17210" spans="16:16">
      <c r="P17210" s="2498"/>
    </row>
    <row r="17211" spans="16:16">
      <c r="P17211" s="2498"/>
    </row>
    <row r="17212" spans="16:16">
      <c r="P17212" s="2498"/>
    </row>
    <row r="17213" spans="16:16">
      <c r="P17213" s="2498"/>
    </row>
    <row r="17214" spans="16:16">
      <c r="P17214" s="2498"/>
    </row>
    <row r="17215" spans="16:16">
      <c r="P17215" s="2498"/>
    </row>
    <row r="17216" spans="16:16">
      <c r="P17216" s="2498"/>
    </row>
    <row r="17217" spans="16:16">
      <c r="P17217" s="2498"/>
    </row>
    <row r="17218" spans="16:16">
      <c r="P17218" s="2498"/>
    </row>
    <row r="17219" spans="16:16">
      <c r="P17219" s="2498"/>
    </row>
    <row r="17220" spans="16:16">
      <c r="P17220" s="2498"/>
    </row>
    <row r="17221" spans="16:16">
      <c r="P17221" s="2498"/>
    </row>
    <row r="17222" spans="16:16">
      <c r="P17222" s="2498"/>
    </row>
    <row r="17223" spans="16:16">
      <c r="P17223" s="2498"/>
    </row>
    <row r="17224" spans="16:16">
      <c r="P17224" s="2498"/>
    </row>
    <row r="17225" spans="16:16">
      <c r="P17225" s="2498"/>
    </row>
    <row r="17226" spans="16:16">
      <c r="P17226" s="2498"/>
    </row>
    <row r="17227" spans="16:16">
      <c r="P17227" s="2498"/>
    </row>
    <row r="17228" spans="16:16">
      <c r="P17228" s="2498"/>
    </row>
    <row r="17229" spans="16:16">
      <c r="P17229" s="2498"/>
    </row>
    <row r="17230" spans="16:16">
      <c r="P17230" s="2498"/>
    </row>
    <row r="17231" spans="16:16">
      <c r="P17231" s="2498"/>
    </row>
    <row r="17232" spans="16:16">
      <c r="P17232" s="2498"/>
    </row>
    <row r="17233" spans="16:16">
      <c r="P17233" s="2498"/>
    </row>
    <row r="17234" spans="16:16">
      <c r="P17234" s="2498"/>
    </row>
    <row r="17235" spans="16:16">
      <c r="P17235" s="2498"/>
    </row>
    <row r="17236" spans="16:16">
      <c r="P17236" s="2498"/>
    </row>
    <row r="17237" spans="16:16">
      <c r="P17237" s="2498"/>
    </row>
    <row r="17238" spans="16:16">
      <c r="P17238" s="2498"/>
    </row>
    <row r="17239" spans="16:16">
      <c r="P17239" s="2498"/>
    </row>
    <row r="17240" spans="16:16">
      <c r="P17240" s="2498"/>
    </row>
    <row r="17241" spans="16:16">
      <c r="P17241" s="2498"/>
    </row>
    <row r="17242" spans="16:16">
      <c r="P17242" s="2498"/>
    </row>
    <row r="17243" spans="16:16">
      <c r="P17243" s="2498"/>
    </row>
    <row r="17244" spans="16:16">
      <c r="P17244" s="2498"/>
    </row>
    <row r="17245" spans="16:16">
      <c r="P17245" s="2498"/>
    </row>
    <row r="17246" spans="16:16">
      <c r="P17246" s="2498"/>
    </row>
    <row r="17247" spans="16:16">
      <c r="P17247" s="2498"/>
    </row>
    <row r="17248" spans="16:16">
      <c r="P17248" s="2498"/>
    </row>
    <row r="17249" spans="16:16">
      <c r="P17249" s="2498"/>
    </row>
    <row r="17250" spans="16:16">
      <c r="P17250" s="2498"/>
    </row>
    <row r="17251" spans="16:16">
      <c r="P17251" s="2498"/>
    </row>
    <row r="17252" spans="16:16">
      <c r="P17252" s="2498"/>
    </row>
    <row r="17253" spans="16:16">
      <c r="P17253" s="2498"/>
    </row>
    <row r="17254" spans="16:16">
      <c r="P17254" s="2498"/>
    </row>
    <row r="17255" spans="16:16">
      <c r="P17255" s="2498"/>
    </row>
    <row r="17256" spans="16:16">
      <c r="P17256" s="2498"/>
    </row>
    <row r="17257" spans="16:16">
      <c r="P17257" s="2498"/>
    </row>
    <row r="17258" spans="16:16">
      <c r="P17258" s="2498"/>
    </row>
    <row r="17259" spans="16:16">
      <c r="P17259" s="2498"/>
    </row>
    <row r="17260" spans="16:16">
      <c r="P17260" s="2498"/>
    </row>
    <row r="17261" spans="16:16">
      <c r="P17261" s="2498"/>
    </row>
    <row r="17262" spans="16:16">
      <c r="P17262" s="2498"/>
    </row>
    <row r="17263" spans="16:16">
      <c r="P17263" s="2498"/>
    </row>
    <row r="17264" spans="16:16">
      <c r="P17264" s="2498"/>
    </row>
    <row r="17265" spans="16:16">
      <c r="P17265" s="2498"/>
    </row>
    <row r="17266" spans="16:16">
      <c r="P17266" s="2498"/>
    </row>
    <row r="17267" spans="16:16">
      <c r="P17267" s="2498"/>
    </row>
    <row r="17268" spans="16:16">
      <c r="P17268" s="2498"/>
    </row>
    <row r="17269" spans="16:16">
      <c r="P17269" s="2498"/>
    </row>
    <row r="17270" spans="16:16">
      <c r="P17270" s="2498"/>
    </row>
    <row r="17271" spans="16:16">
      <c r="P17271" s="2498"/>
    </row>
    <row r="17272" spans="16:16">
      <c r="P17272" s="2498"/>
    </row>
    <row r="17273" spans="16:16">
      <c r="P17273" s="2498"/>
    </row>
    <row r="17274" spans="16:16">
      <c r="P17274" s="2498"/>
    </row>
    <row r="17275" spans="16:16">
      <c r="P17275" s="2498"/>
    </row>
    <row r="17276" spans="16:16">
      <c r="P17276" s="2498"/>
    </row>
    <row r="17277" spans="16:16">
      <c r="P17277" s="2498"/>
    </row>
    <row r="17278" spans="16:16">
      <c r="P17278" s="2498"/>
    </row>
    <row r="17279" spans="16:16">
      <c r="P17279" s="2498"/>
    </row>
    <row r="17280" spans="16:16">
      <c r="P17280" s="2498"/>
    </row>
    <row r="17281" spans="16:16">
      <c r="P17281" s="2498"/>
    </row>
    <row r="17282" spans="16:16">
      <c r="P17282" s="2498"/>
    </row>
    <row r="17283" spans="16:16">
      <c r="P17283" s="2498"/>
    </row>
    <row r="17284" spans="16:16">
      <c r="P17284" s="2498"/>
    </row>
    <row r="17285" spans="16:16">
      <c r="P17285" s="2498"/>
    </row>
    <row r="17286" spans="16:16">
      <c r="P17286" s="2498"/>
    </row>
    <row r="17287" spans="16:16">
      <c r="P17287" s="2498"/>
    </row>
    <row r="17288" spans="16:16">
      <c r="P17288" s="2498"/>
    </row>
    <row r="17289" spans="16:16">
      <c r="P17289" s="2498"/>
    </row>
    <row r="17290" spans="16:16">
      <c r="P17290" s="2498"/>
    </row>
    <row r="17291" spans="16:16">
      <c r="P17291" s="2498"/>
    </row>
    <row r="17292" spans="16:16">
      <c r="P17292" s="2498"/>
    </row>
    <row r="17293" spans="16:16">
      <c r="P17293" s="2498"/>
    </row>
    <row r="17294" spans="16:16">
      <c r="P17294" s="2498"/>
    </row>
    <row r="17295" spans="16:16">
      <c r="P17295" s="2498"/>
    </row>
    <row r="17296" spans="16:16">
      <c r="P17296" s="2498"/>
    </row>
    <row r="17297" spans="16:16">
      <c r="P17297" s="2498"/>
    </row>
    <row r="17298" spans="16:16">
      <c r="P17298" s="2498"/>
    </row>
    <row r="17299" spans="16:16">
      <c r="P17299" s="2498"/>
    </row>
    <row r="17300" spans="16:16">
      <c r="P17300" s="2498"/>
    </row>
    <row r="17301" spans="16:16">
      <c r="P17301" s="2498"/>
    </row>
    <row r="17302" spans="16:16">
      <c r="P17302" s="2498"/>
    </row>
    <row r="17303" spans="16:16">
      <c r="P17303" s="2498"/>
    </row>
    <row r="17304" spans="16:16">
      <c r="P17304" s="2498"/>
    </row>
    <row r="17305" spans="16:16">
      <c r="P17305" s="2498"/>
    </row>
    <row r="17306" spans="16:16">
      <c r="P17306" s="2498"/>
    </row>
    <row r="17307" spans="16:16">
      <c r="P17307" s="2498"/>
    </row>
    <row r="17308" spans="16:16">
      <c r="P17308" s="2498"/>
    </row>
    <row r="17309" spans="16:16">
      <c r="P17309" s="2498"/>
    </row>
    <row r="17310" spans="16:16">
      <c r="P17310" s="2498"/>
    </row>
    <row r="17311" spans="16:16">
      <c r="P17311" s="2498"/>
    </row>
    <row r="17312" spans="16:16">
      <c r="P17312" s="2498"/>
    </row>
    <row r="17313" spans="16:16">
      <c r="P17313" s="2498"/>
    </row>
    <row r="17314" spans="16:16">
      <c r="P17314" s="2498"/>
    </row>
    <row r="17315" spans="16:16">
      <c r="P17315" s="2498"/>
    </row>
    <row r="17316" spans="16:16">
      <c r="P17316" s="2498"/>
    </row>
    <row r="17317" spans="16:16">
      <c r="P17317" s="2498"/>
    </row>
    <row r="17318" spans="16:16">
      <c r="P17318" s="2498"/>
    </row>
    <row r="17319" spans="16:16">
      <c r="P17319" s="2498"/>
    </row>
    <row r="17320" spans="16:16">
      <c r="P17320" s="2498"/>
    </row>
    <row r="17321" spans="16:16">
      <c r="P17321" s="2498"/>
    </row>
    <row r="17322" spans="16:16">
      <c r="P17322" s="2498"/>
    </row>
    <row r="17323" spans="16:16">
      <c r="P17323" s="2498"/>
    </row>
    <row r="17324" spans="16:16">
      <c r="P17324" s="2498"/>
    </row>
    <row r="17325" spans="16:16">
      <c r="P17325" s="2498"/>
    </row>
    <row r="17326" spans="16:16">
      <c r="P17326" s="2498"/>
    </row>
    <row r="17327" spans="16:16">
      <c r="P17327" s="2498"/>
    </row>
    <row r="17328" spans="16:16">
      <c r="P17328" s="2498"/>
    </row>
    <row r="17329" spans="16:16">
      <c r="P17329" s="2498"/>
    </row>
    <row r="17330" spans="16:16">
      <c r="P17330" s="2498"/>
    </row>
    <row r="17331" spans="16:16">
      <c r="P17331" s="2498"/>
    </row>
    <row r="17332" spans="16:16">
      <c r="P17332" s="2498"/>
    </row>
    <row r="17333" spans="16:16">
      <c r="P17333" s="2498"/>
    </row>
    <row r="17334" spans="16:16">
      <c r="P17334" s="2498"/>
    </row>
    <row r="17335" spans="16:16">
      <c r="P17335" s="2498"/>
    </row>
    <row r="17336" spans="16:16">
      <c r="P17336" s="2498"/>
    </row>
    <row r="17337" spans="16:16">
      <c r="P17337" s="2498"/>
    </row>
    <row r="17338" spans="16:16">
      <c r="P17338" s="2498"/>
    </row>
    <row r="17339" spans="16:16">
      <c r="P17339" s="2498"/>
    </row>
    <row r="17340" spans="16:16">
      <c r="P17340" s="2498"/>
    </row>
    <row r="17341" spans="16:16">
      <c r="P17341" s="2498"/>
    </row>
    <row r="17342" spans="16:16">
      <c r="P17342" s="2498"/>
    </row>
    <row r="17343" spans="16:16">
      <c r="P17343" s="2498"/>
    </row>
    <row r="17344" spans="16:16">
      <c r="P17344" s="2498"/>
    </row>
    <row r="17345" spans="16:16">
      <c r="P17345" s="2498"/>
    </row>
    <row r="17346" spans="16:16">
      <c r="P17346" s="2498"/>
    </row>
    <row r="17347" spans="16:16">
      <c r="P17347" s="2498"/>
    </row>
    <row r="17348" spans="16:16">
      <c r="P17348" s="2498"/>
    </row>
    <row r="17349" spans="16:16">
      <c r="P17349" s="2498"/>
    </row>
    <row r="17350" spans="16:16">
      <c r="P17350" s="2498"/>
    </row>
    <row r="17351" spans="16:16">
      <c r="P17351" s="2498"/>
    </row>
    <row r="17352" spans="16:16">
      <c r="P17352" s="2498"/>
    </row>
    <row r="17353" spans="16:16">
      <c r="P17353" s="2498"/>
    </row>
    <row r="17354" spans="16:16">
      <c r="P17354" s="2498"/>
    </row>
    <row r="17355" spans="16:16">
      <c r="P17355" s="2498"/>
    </row>
    <row r="17356" spans="16:16">
      <c r="P17356" s="2498"/>
    </row>
    <row r="17357" spans="16:16">
      <c r="P17357" s="2498"/>
    </row>
    <row r="17358" spans="16:16">
      <c r="P17358" s="2498"/>
    </row>
    <row r="17359" spans="16:16">
      <c r="P17359" s="2498"/>
    </row>
    <row r="17360" spans="16:16">
      <c r="P17360" s="2498"/>
    </row>
    <row r="17361" spans="16:16">
      <c r="P17361" s="2498"/>
    </row>
    <row r="17362" spans="16:16">
      <c r="P17362" s="2498"/>
    </row>
    <row r="17363" spans="16:16">
      <c r="P17363" s="2498"/>
    </row>
    <row r="17364" spans="16:16">
      <c r="P17364" s="2498"/>
    </row>
    <row r="17365" spans="16:16">
      <c r="P17365" s="2498"/>
    </row>
    <row r="17366" spans="16:16">
      <c r="P17366" s="2498"/>
    </row>
    <row r="17367" spans="16:16">
      <c r="P17367" s="2498"/>
    </row>
    <row r="17368" spans="16:16">
      <c r="P17368" s="2498"/>
    </row>
    <row r="17369" spans="16:16">
      <c r="P17369" s="2498"/>
    </row>
    <row r="17370" spans="16:16">
      <c r="P17370" s="2498"/>
    </row>
    <row r="17371" spans="16:16">
      <c r="P17371" s="2498"/>
    </row>
    <row r="17372" spans="16:16">
      <c r="P17372" s="2498"/>
    </row>
    <row r="17373" spans="16:16">
      <c r="P17373" s="2498"/>
    </row>
    <row r="17374" spans="16:16">
      <c r="P17374" s="2498"/>
    </row>
    <row r="17375" spans="16:16">
      <c r="P17375" s="2498"/>
    </row>
    <row r="17376" spans="16:16">
      <c r="P17376" s="2498"/>
    </row>
    <row r="17377" spans="16:16">
      <c r="P17377" s="2498"/>
    </row>
    <row r="17378" spans="16:16">
      <c r="P17378" s="2498"/>
    </row>
    <row r="17379" spans="16:16">
      <c r="P17379" s="2498"/>
    </row>
    <row r="17380" spans="16:16">
      <c r="P17380" s="2498"/>
    </row>
    <row r="17381" spans="16:16">
      <c r="P17381" s="2498"/>
    </row>
    <row r="17382" spans="16:16">
      <c r="P17382" s="2498"/>
    </row>
    <row r="17383" spans="16:16">
      <c r="P17383" s="2498"/>
    </row>
    <row r="17384" spans="16:16">
      <c r="P17384" s="2498"/>
    </row>
    <row r="17385" spans="16:16">
      <c r="P17385" s="2498"/>
    </row>
    <row r="17386" spans="16:16">
      <c r="P17386" s="2498"/>
    </row>
    <row r="17387" spans="16:16">
      <c r="P17387" s="2498"/>
    </row>
    <row r="17388" spans="16:16">
      <c r="P17388" s="2498"/>
    </row>
    <row r="17389" spans="16:16">
      <c r="P17389" s="2498"/>
    </row>
    <row r="17390" spans="16:16">
      <c r="P17390" s="2498"/>
    </row>
    <row r="17391" spans="16:16">
      <c r="P17391" s="2498"/>
    </row>
    <row r="17392" spans="16:16">
      <c r="P17392" s="2498"/>
    </row>
    <row r="17393" spans="16:16">
      <c r="P17393" s="2498"/>
    </row>
    <row r="17394" spans="16:16">
      <c r="P17394" s="2498"/>
    </row>
    <row r="17395" spans="16:16">
      <c r="P17395" s="2498"/>
    </row>
    <row r="17396" spans="16:16">
      <c r="P17396" s="2498"/>
    </row>
    <row r="17397" spans="16:16">
      <c r="P17397" s="2498"/>
    </row>
    <row r="17398" spans="16:16">
      <c r="P17398" s="2498"/>
    </row>
    <row r="17399" spans="16:16">
      <c r="P17399" s="2498"/>
    </row>
    <row r="17400" spans="16:16">
      <c r="P17400" s="2498"/>
    </row>
    <row r="17401" spans="16:16">
      <c r="P17401" s="2498"/>
    </row>
    <row r="17402" spans="16:16">
      <c r="P17402" s="2498"/>
    </row>
    <row r="17403" spans="16:16">
      <c r="P17403" s="2498"/>
    </row>
    <row r="17404" spans="16:16">
      <c r="P17404" s="2498"/>
    </row>
    <row r="17405" spans="16:16">
      <c r="P17405" s="2498"/>
    </row>
    <row r="17406" spans="16:16">
      <c r="P17406" s="2498"/>
    </row>
    <row r="17407" spans="16:16">
      <c r="P17407" s="2498"/>
    </row>
    <row r="17408" spans="16:16">
      <c r="P17408" s="2498"/>
    </row>
    <row r="17409" spans="16:16">
      <c r="P17409" s="2498"/>
    </row>
    <row r="17410" spans="16:16">
      <c r="P17410" s="2498"/>
    </row>
    <row r="17411" spans="16:16">
      <c r="P17411" s="2498"/>
    </row>
    <row r="17412" spans="16:16">
      <c r="P17412" s="2498"/>
    </row>
    <row r="17413" spans="16:16">
      <c r="P17413" s="2498"/>
    </row>
    <row r="17414" spans="16:16">
      <c r="P17414" s="2498"/>
    </row>
    <row r="17415" spans="16:16">
      <c r="P17415" s="2498"/>
    </row>
    <row r="17416" spans="16:16">
      <c r="P17416" s="2498"/>
    </row>
    <row r="17417" spans="16:16">
      <c r="P17417" s="2498"/>
    </row>
    <row r="17418" spans="16:16">
      <c r="P17418" s="2498"/>
    </row>
    <row r="17419" spans="16:16">
      <c r="P17419" s="2498"/>
    </row>
    <row r="17420" spans="16:16">
      <c r="P17420" s="2498"/>
    </row>
    <row r="17421" spans="16:16">
      <c r="P17421" s="2498"/>
    </row>
    <row r="17422" spans="16:16">
      <c r="P17422" s="2498"/>
    </row>
    <row r="17423" spans="16:16">
      <c r="P17423" s="2498"/>
    </row>
    <row r="17424" spans="16:16">
      <c r="P17424" s="2498"/>
    </row>
    <row r="17425" spans="16:16">
      <c r="P17425" s="2498"/>
    </row>
    <row r="17426" spans="16:16">
      <c r="P17426" s="2498"/>
    </row>
    <row r="17427" spans="16:16">
      <c r="P17427" s="2498"/>
    </row>
    <row r="17428" spans="16:16">
      <c r="P17428" s="2498"/>
    </row>
    <row r="17429" spans="16:16">
      <c r="P17429" s="2498"/>
    </row>
    <row r="17430" spans="16:16">
      <c r="P17430" s="2498"/>
    </row>
    <row r="17431" spans="16:16">
      <c r="P17431" s="2498"/>
    </row>
    <row r="17432" spans="16:16">
      <c r="P17432" s="2498"/>
    </row>
    <row r="17433" spans="16:16">
      <c r="P17433" s="2498"/>
    </row>
    <row r="17434" spans="16:16">
      <c r="P17434" s="2498"/>
    </row>
    <row r="17435" spans="16:16">
      <c r="P17435" s="2498"/>
    </row>
    <row r="17436" spans="16:16">
      <c r="P17436" s="2498"/>
    </row>
    <row r="17437" spans="16:16">
      <c r="P17437" s="2498"/>
    </row>
    <row r="17438" spans="16:16">
      <c r="P17438" s="2498"/>
    </row>
    <row r="17439" spans="16:16">
      <c r="P17439" s="2498"/>
    </row>
    <row r="17440" spans="16:16">
      <c r="P17440" s="2498"/>
    </row>
    <row r="17441" spans="16:16">
      <c r="P17441" s="2498"/>
    </row>
    <row r="17442" spans="16:16">
      <c r="P17442" s="2498"/>
    </row>
    <row r="17443" spans="16:16">
      <c r="P17443" s="2498"/>
    </row>
    <row r="17444" spans="16:16">
      <c r="P17444" s="2498"/>
    </row>
    <row r="17445" spans="16:16">
      <c r="P17445" s="2498"/>
    </row>
    <row r="17446" spans="16:16">
      <c r="P17446" s="2498"/>
    </row>
    <row r="17447" spans="16:16">
      <c r="P17447" s="2498"/>
    </row>
    <row r="17448" spans="16:16">
      <c r="P17448" s="2498"/>
    </row>
    <row r="17449" spans="16:16">
      <c r="P17449" s="2498"/>
    </row>
    <row r="17450" spans="16:16">
      <c r="P17450" s="2498"/>
    </row>
    <row r="17451" spans="16:16">
      <c r="P17451" s="2498"/>
    </row>
    <row r="17452" spans="16:16">
      <c r="P17452" s="2498"/>
    </row>
    <row r="17453" spans="16:16">
      <c r="P17453" s="2498"/>
    </row>
    <row r="17454" spans="16:16">
      <c r="P17454" s="2498"/>
    </row>
    <row r="17455" spans="16:16">
      <c r="P17455" s="2498"/>
    </row>
    <row r="17456" spans="16:16">
      <c r="P17456" s="2498"/>
    </row>
    <row r="17457" spans="16:16">
      <c r="P17457" s="2498"/>
    </row>
    <row r="17458" spans="16:16">
      <c r="P17458" s="2498"/>
    </row>
    <row r="17459" spans="16:16">
      <c r="P17459" s="2498"/>
    </row>
    <row r="17460" spans="16:16">
      <c r="P17460" s="2498"/>
    </row>
    <row r="17461" spans="16:16">
      <c r="P17461" s="2498"/>
    </row>
    <row r="17462" spans="16:16">
      <c r="P17462" s="2498"/>
    </row>
    <row r="17463" spans="16:16">
      <c r="P17463" s="2498"/>
    </row>
    <row r="17464" spans="16:16">
      <c r="P17464" s="2498"/>
    </row>
    <row r="17465" spans="16:16">
      <c r="P17465" s="2498"/>
    </row>
    <row r="17466" spans="16:16">
      <c r="P17466" s="2498"/>
    </row>
    <row r="17467" spans="16:16">
      <c r="P17467" s="2498"/>
    </row>
    <row r="17468" spans="16:16">
      <c r="P17468" s="2498"/>
    </row>
    <row r="17469" spans="16:16">
      <c r="P17469" s="2498"/>
    </row>
    <row r="17470" spans="16:16">
      <c r="P17470" s="2498"/>
    </row>
    <row r="17471" spans="16:16">
      <c r="P17471" s="2498"/>
    </row>
    <row r="17472" spans="16:16">
      <c r="P17472" s="2498"/>
    </row>
    <row r="17473" spans="16:16">
      <c r="P17473" s="2498"/>
    </row>
    <row r="17474" spans="16:16">
      <c r="P17474" s="2498"/>
    </row>
    <row r="17475" spans="16:16">
      <c r="P17475" s="2498"/>
    </row>
    <row r="17476" spans="16:16">
      <c r="P17476" s="2498"/>
    </row>
    <row r="17477" spans="16:16">
      <c r="P17477" s="2498"/>
    </row>
    <row r="17478" spans="16:16">
      <c r="P17478" s="2498"/>
    </row>
    <row r="17479" spans="16:16">
      <c r="P17479" s="2498"/>
    </row>
    <row r="17480" spans="16:16">
      <c r="P17480" s="2498"/>
    </row>
    <row r="17481" spans="16:16">
      <c r="P17481" s="2498"/>
    </row>
    <row r="17482" spans="16:16">
      <c r="P17482" s="2498"/>
    </row>
    <row r="17483" spans="16:16">
      <c r="P17483" s="2498"/>
    </row>
    <row r="17484" spans="16:16">
      <c r="P17484" s="2498"/>
    </row>
    <row r="17485" spans="16:16">
      <c r="P17485" s="2498"/>
    </row>
    <row r="17486" spans="16:16">
      <c r="P17486" s="2498"/>
    </row>
    <row r="17487" spans="16:16">
      <c r="P17487" s="2498"/>
    </row>
    <row r="17488" spans="16:16">
      <c r="P17488" s="2498"/>
    </row>
    <row r="17489" spans="16:16">
      <c r="P17489" s="2498"/>
    </row>
    <row r="17490" spans="16:16">
      <c r="P17490" s="2498"/>
    </row>
    <row r="17491" spans="16:16">
      <c r="P17491" s="2498"/>
    </row>
    <row r="17492" spans="16:16">
      <c r="P17492" s="2498"/>
    </row>
    <row r="17493" spans="16:16">
      <c r="P17493" s="2498"/>
    </row>
    <row r="17494" spans="16:16">
      <c r="P17494" s="2498"/>
    </row>
    <row r="17495" spans="16:16">
      <c r="P17495" s="2498"/>
    </row>
    <row r="17496" spans="16:16">
      <c r="P17496" s="2498"/>
    </row>
    <row r="17497" spans="16:16">
      <c r="P17497" s="2498"/>
    </row>
    <row r="17498" spans="16:16">
      <c r="P17498" s="2498"/>
    </row>
    <row r="17499" spans="16:16">
      <c r="P17499" s="2498"/>
    </row>
    <row r="17500" spans="16:16">
      <c r="P17500" s="2498"/>
    </row>
    <row r="17501" spans="16:16">
      <c r="P17501" s="2498"/>
    </row>
    <row r="17502" spans="16:16">
      <c r="P17502" s="2498"/>
    </row>
    <row r="17503" spans="16:16">
      <c r="P17503" s="2498"/>
    </row>
    <row r="17504" spans="16:16">
      <c r="P17504" s="2498"/>
    </row>
    <row r="17505" spans="16:16">
      <c r="P17505" s="2498"/>
    </row>
    <row r="17506" spans="16:16">
      <c r="P17506" s="2498"/>
    </row>
    <row r="17507" spans="16:16">
      <c r="P17507" s="2498"/>
    </row>
    <row r="17508" spans="16:16">
      <c r="P17508" s="2498"/>
    </row>
    <row r="17509" spans="16:16">
      <c r="P17509" s="2498"/>
    </row>
    <row r="17510" spans="16:16">
      <c r="P17510" s="2498"/>
    </row>
    <row r="17511" spans="16:16">
      <c r="P17511" s="2498"/>
    </row>
    <row r="17512" spans="16:16">
      <c r="P17512" s="2498"/>
    </row>
    <row r="17513" spans="16:16">
      <c r="P17513" s="2498"/>
    </row>
    <row r="17514" spans="16:16">
      <c r="P17514" s="2498"/>
    </row>
    <row r="17515" spans="16:16">
      <c r="P17515" s="2498"/>
    </row>
    <row r="17516" spans="16:16">
      <c r="P17516" s="2498"/>
    </row>
    <row r="17517" spans="16:16">
      <c r="P17517" s="2498"/>
    </row>
    <row r="17518" spans="16:16">
      <c r="P17518" s="2498"/>
    </row>
    <row r="17519" spans="16:16">
      <c r="P17519" s="2498"/>
    </row>
    <row r="17520" spans="16:16">
      <c r="P17520" s="2498"/>
    </row>
    <row r="17521" spans="16:16">
      <c r="P17521" s="2498"/>
    </row>
    <row r="17522" spans="16:16">
      <c r="P17522" s="2498"/>
    </row>
    <row r="17523" spans="16:16">
      <c r="P17523" s="2498"/>
    </row>
    <row r="17524" spans="16:16">
      <c r="P17524" s="2498"/>
    </row>
    <row r="17525" spans="16:16">
      <c r="P17525" s="2498"/>
    </row>
    <row r="17526" spans="16:16">
      <c r="P17526" s="2498"/>
    </row>
    <row r="17527" spans="16:16">
      <c r="P17527" s="2498"/>
    </row>
    <row r="17528" spans="16:16">
      <c r="P17528" s="2498"/>
    </row>
    <row r="17529" spans="16:16">
      <c r="P17529" s="2498"/>
    </row>
    <row r="17530" spans="16:16">
      <c r="P17530" s="2498"/>
    </row>
    <row r="17531" spans="16:16">
      <c r="P17531" s="2498"/>
    </row>
    <row r="17532" spans="16:16">
      <c r="P17532" s="2498"/>
    </row>
    <row r="17533" spans="16:16">
      <c r="P17533" s="2498"/>
    </row>
    <row r="17534" spans="16:16">
      <c r="P17534" s="2498"/>
    </row>
    <row r="17535" spans="16:16">
      <c r="P17535" s="2498"/>
    </row>
    <row r="17536" spans="16:16">
      <c r="P17536" s="2498"/>
    </row>
    <row r="17537" spans="16:16">
      <c r="P17537" s="2498"/>
    </row>
    <row r="17538" spans="16:16">
      <c r="P17538" s="2498"/>
    </row>
    <row r="17539" spans="16:16">
      <c r="P17539" s="2498"/>
    </row>
    <row r="17540" spans="16:16">
      <c r="P17540" s="2498"/>
    </row>
    <row r="17541" spans="16:16">
      <c r="P17541" s="2498"/>
    </row>
    <row r="17542" spans="16:16">
      <c r="P17542" s="2498"/>
    </row>
    <row r="17543" spans="16:16">
      <c r="P17543" s="2498"/>
    </row>
    <row r="17544" spans="16:16">
      <c r="P17544" s="2498"/>
    </row>
    <row r="17545" spans="16:16">
      <c r="P17545" s="2498"/>
    </row>
    <row r="17546" spans="16:16">
      <c r="P17546" s="2498"/>
    </row>
    <row r="17547" spans="16:16">
      <c r="P17547" s="2498"/>
    </row>
    <row r="17548" spans="16:16">
      <c r="P17548" s="2498"/>
    </row>
    <row r="17549" spans="16:16">
      <c r="P17549" s="2498"/>
    </row>
    <row r="17550" spans="16:16">
      <c r="P17550" s="2498"/>
    </row>
    <row r="17551" spans="16:16">
      <c r="P17551" s="2498"/>
    </row>
    <row r="17552" spans="16:16">
      <c r="P17552" s="2498"/>
    </row>
    <row r="17553" spans="16:16">
      <c r="P17553" s="2498"/>
    </row>
    <row r="17554" spans="16:16">
      <c r="P17554" s="2498"/>
    </row>
    <row r="17555" spans="16:16">
      <c r="P17555" s="2498"/>
    </row>
    <row r="17556" spans="16:16">
      <c r="P17556" s="2498"/>
    </row>
    <row r="17557" spans="16:16">
      <c r="P17557" s="2498"/>
    </row>
    <row r="17558" spans="16:16">
      <c r="P17558" s="2498"/>
    </row>
    <row r="17559" spans="16:16">
      <c r="P17559" s="2498"/>
    </row>
    <row r="17560" spans="16:16">
      <c r="P17560" s="2498"/>
    </row>
    <row r="17561" spans="16:16">
      <c r="P17561" s="2498"/>
    </row>
    <row r="17562" spans="16:16">
      <c r="P17562" s="2498"/>
    </row>
    <row r="17563" spans="16:16">
      <c r="P17563" s="2498"/>
    </row>
    <row r="17564" spans="16:16">
      <c r="P17564" s="2498"/>
    </row>
    <row r="17565" spans="16:16">
      <c r="P17565" s="2498"/>
    </row>
    <row r="17566" spans="16:16">
      <c r="P17566" s="2498"/>
    </row>
    <row r="17567" spans="16:16">
      <c r="P17567" s="2498"/>
    </row>
    <row r="17568" spans="16:16">
      <c r="P17568" s="2498"/>
    </row>
    <row r="17569" spans="16:16">
      <c r="P17569" s="2498"/>
    </row>
    <row r="17570" spans="16:16">
      <c r="P17570" s="2498"/>
    </row>
    <row r="17571" spans="16:16">
      <c r="P17571" s="2498"/>
    </row>
    <row r="17572" spans="16:16">
      <c r="P17572" s="2498"/>
    </row>
    <row r="17573" spans="16:16">
      <c r="P17573" s="2498"/>
    </row>
    <row r="17574" spans="16:16">
      <c r="P17574" s="2498"/>
    </row>
    <row r="17575" spans="16:16">
      <c r="P17575" s="2498"/>
    </row>
    <row r="17576" spans="16:16">
      <c r="P17576" s="2498"/>
    </row>
    <row r="17577" spans="16:16">
      <c r="P17577" s="2498"/>
    </row>
    <row r="17578" spans="16:16">
      <c r="P17578" s="2498"/>
    </row>
    <row r="17579" spans="16:16">
      <c r="P17579" s="2498"/>
    </row>
    <row r="17580" spans="16:16">
      <c r="P17580" s="2498"/>
    </row>
    <row r="17581" spans="16:16">
      <c r="P17581" s="2498"/>
    </row>
    <row r="17582" spans="16:16">
      <c r="P17582" s="2498"/>
    </row>
    <row r="17583" spans="16:16">
      <c r="P17583" s="2498"/>
    </row>
    <row r="17584" spans="16:16">
      <c r="P17584" s="2498"/>
    </row>
    <row r="17585" spans="16:16">
      <c r="P17585" s="2498"/>
    </row>
    <row r="17586" spans="16:16">
      <c r="P17586" s="2498"/>
    </row>
    <row r="17587" spans="16:16">
      <c r="P17587" s="2498"/>
    </row>
    <row r="17588" spans="16:16">
      <c r="P17588" s="2498"/>
    </row>
    <row r="17589" spans="16:16">
      <c r="P17589" s="2498"/>
    </row>
    <row r="17590" spans="16:16">
      <c r="P17590" s="2498"/>
    </row>
    <row r="17591" spans="16:16">
      <c r="P17591" s="2498"/>
    </row>
    <row r="17592" spans="16:16">
      <c r="P17592" s="2498"/>
    </row>
    <row r="17593" spans="16:16">
      <c r="P17593" s="2498"/>
    </row>
    <row r="17594" spans="16:16">
      <c r="P17594" s="2498"/>
    </row>
    <row r="17595" spans="16:16">
      <c r="P17595" s="2498"/>
    </row>
    <row r="17596" spans="16:16">
      <c r="P17596" s="2498"/>
    </row>
    <row r="17597" spans="16:16">
      <c r="P17597" s="2498"/>
    </row>
    <row r="17598" spans="16:16">
      <c r="P17598" s="2498"/>
    </row>
    <row r="17599" spans="16:16">
      <c r="P17599" s="2498"/>
    </row>
    <row r="17600" spans="16:16">
      <c r="P17600" s="2498"/>
    </row>
    <row r="17601" spans="16:16">
      <c r="P17601" s="2498"/>
    </row>
    <row r="17602" spans="16:16">
      <c r="P17602" s="2498"/>
    </row>
    <row r="17603" spans="16:16">
      <c r="P17603" s="2498"/>
    </row>
    <row r="17604" spans="16:16">
      <c r="P17604" s="2498"/>
    </row>
    <row r="17605" spans="16:16">
      <c r="P17605" s="2498"/>
    </row>
    <row r="17606" spans="16:16">
      <c r="P17606" s="2498"/>
    </row>
    <row r="17607" spans="16:16">
      <c r="P17607" s="2498"/>
    </row>
    <row r="17608" spans="16:16">
      <c r="P17608" s="2498"/>
    </row>
    <row r="17609" spans="16:16">
      <c r="P17609" s="2498"/>
    </row>
    <row r="17610" spans="16:16">
      <c r="P17610" s="2498"/>
    </row>
    <row r="17611" spans="16:16">
      <c r="P17611" s="2498"/>
    </row>
    <row r="17612" spans="16:16">
      <c r="P17612" s="2498"/>
    </row>
    <row r="17613" spans="16:16">
      <c r="P17613" s="2498"/>
    </row>
    <row r="17614" spans="16:16">
      <c r="P17614" s="2498"/>
    </row>
    <row r="17615" spans="16:16">
      <c r="P17615" s="2498"/>
    </row>
    <row r="17616" spans="16:16">
      <c r="P17616" s="2498"/>
    </row>
    <row r="17617" spans="16:16">
      <c r="P17617" s="2498"/>
    </row>
    <row r="17618" spans="16:16">
      <c r="P17618" s="2498"/>
    </row>
    <row r="17619" spans="16:16">
      <c r="P17619" s="2498"/>
    </row>
    <row r="17620" spans="16:16">
      <c r="P17620" s="2498"/>
    </row>
    <row r="17621" spans="16:16">
      <c r="P17621" s="2498"/>
    </row>
    <row r="17622" spans="16:16">
      <c r="P17622" s="2498"/>
    </row>
    <row r="17623" spans="16:16">
      <c r="P17623" s="2498"/>
    </row>
    <row r="17624" spans="16:16">
      <c r="P17624" s="2498"/>
    </row>
    <row r="17625" spans="16:16">
      <c r="P17625" s="2498"/>
    </row>
    <row r="17626" spans="16:16">
      <c r="P17626" s="2498"/>
    </row>
    <row r="17627" spans="16:16">
      <c r="P17627" s="2498"/>
    </row>
    <row r="17628" spans="16:16">
      <c r="P17628" s="2498"/>
    </row>
    <row r="17629" spans="16:16">
      <c r="P17629" s="2498"/>
    </row>
    <row r="17630" spans="16:16">
      <c r="P17630" s="2498"/>
    </row>
    <row r="17631" spans="16:16">
      <c r="P17631" s="2498"/>
    </row>
    <row r="17632" spans="16:16">
      <c r="P17632" s="2498"/>
    </row>
    <row r="17633" spans="16:16">
      <c r="P17633" s="2498"/>
    </row>
    <row r="17634" spans="16:16">
      <c r="P17634" s="2498"/>
    </row>
    <row r="17635" spans="16:16">
      <c r="P17635" s="2498"/>
    </row>
    <row r="17636" spans="16:16">
      <c r="P17636" s="2498"/>
    </row>
    <row r="17637" spans="16:16">
      <c r="P17637" s="2498"/>
    </row>
    <row r="17638" spans="16:16">
      <c r="P17638" s="2498"/>
    </row>
    <row r="17639" spans="16:16">
      <c r="P17639" s="2498"/>
    </row>
    <row r="17640" spans="16:16">
      <c r="P17640" s="2498"/>
    </row>
    <row r="17641" spans="16:16">
      <c r="P17641" s="2498"/>
    </row>
    <row r="17642" spans="16:16">
      <c r="P17642" s="2498"/>
    </row>
    <row r="17643" spans="16:16">
      <c r="P17643" s="2498"/>
    </row>
    <row r="17644" spans="16:16">
      <c r="P17644" s="2498"/>
    </row>
    <row r="17645" spans="16:16">
      <c r="P17645" s="2498"/>
    </row>
    <row r="17646" spans="16:16">
      <c r="P17646" s="2498"/>
    </row>
    <row r="17647" spans="16:16">
      <c r="P17647" s="2498"/>
    </row>
    <row r="17648" spans="16:16">
      <c r="P17648" s="2498"/>
    </row>
    <row r="17649" spans="16:16">
      <c r="P17649" s="2498"/>
    </row>
    <row r="17650" spans="16:16">
      <c r="P17650" s="2498"/>
    </row>
    <row r="17651" spans="16:16">
      <c r="P17651" s="2498"/>
    </row>
    <row r="17652" spans="16:16">
      <c r="P17652" s="2498"/>
    </row>
    <row r="17653" spans="16:16">
      <c r="P17653" s="2498"/>
    </row>
    <row r="17654" spans="16:16">
      <c r="P17654" s="2498"/>
    </row>
    <row r="17655" spans="16:16">
      <c r="P17655" s="2498"/>
    </row>
    <row r="17656" spans="16:16">
      <c r="P17656" s="2498"/>
    </row>
    <row r="17657" spans="16:16">
      <c r="P17657" s="2498"/>
    </row>
    <row r="17658" spans="16:16">
      <c r="P17658" s="2498"/>
    </row>
    <row r="17659" spans="16:16">
      <c r="P17659" s="2498"/>
    </row>
    <row r="17660" spans="16:16">
      <c r="P17660" s="2498"/>
    </row>
    <row r="17661" spans="16:16">
      <c r="P17661" s="2498"/>
    </row>
    <row r="17662" spans="16:16">
      <c r="P17662" s="2498"/>
    </row>
    <row r="17663" spans="16:16">
      <c r="P17663" s="2498"/>
    </row>
    <row r="17664" spans="16:16">
      <c r="P17664" s="2498"/>
    </row>
    <row r="17665" spans="16:16">
      <c r="P17665" s="2498"/>
    </row>
    <row r="17666" spans="16:16">
      <c r="P17666" s="2498"/>
    </row>
    <row r="17667" spans="16:16">
      <c r="P17667" s="2498"/>
    </row>
    <row r="17668" spans="16:16">
      <c r="P17668" s="2498"/>
    </row>
    <row r="17669" spans="16:16">
      <c r="P17669" s="2498"/>
    </row>
    <row r="17670" spans="16:16">
      <c r="P17670" s="2498"/>
    </row>
    <row r="17671" spans="16:16">
      <c r="P17671" s="2498"/>
    </row>
    <row r="17672" spans="16:16">
      <c r="P17672" s="2498"/>
    </row>
    <row r="17673" spans="16:16">
      <c r="P17673" s="2498"/>
    </row>
    <row r="17674" spans="16:16">
      <c r="P17674" s="2498"/>
    </row>
    <row r="17675" spans="16:16">
      <c r="P17675" s="2498"/>
    </row>
    <row r="17676" spans="16:16">
      <c r="P17676" s="2498"/>
    </row>
    <row r="17677" spans="16:16">
      <c r="P17677" s="2498"/>
    </row>
    <row r="17678" spans="16:16">
      <c r="P17678" s="2498"/>
    </row>
    <row r="17679" spans="16:16">
      <c r="P17679" s="2498"/>
    </row>
    <row r="17680" spans="16:16">
      <c r="P17680" s="2498"/>
    </row>
    <row r="17681" spans="16:16">
      <c r="P17681" s="2498"/>
    </row>
    <row r="17682" spans="16:16">
      <c r="P17682" s="2498"/>
    </row>
    <row r="17683" spans="16:16">
      <c r="P17683" s="2498"/>
    </row>
    <row r="17684" spans="16:16">
      <c r="P17684" s="2498"/>
    </row>
    <row r="17685" spans="16:16">
      <c r="P17685" s="2498"/>
    </row>
    <row r="17686" spans="16:16">
      <c r="P17686" s="2498"/>
    </row>
    <row r="17687" spans="16:16">
      <c r="P17687" s="2498"/>
    </row>
    <row r="17688" spans="16:16">
      <c r="P17688" s="2498"/>
    </row>
    <row r="17689" spans="16:16">
      <c r="P17689" s="2498"/>
    </row>
    <row r="17690" spans="16:16">
      <c r="P17690" s="2498"/>
    </row>
    <row r="17691" spans="16:16">
      <c r="P17691" s="2498"/>
    </row>
    <row r="17692" spans="16:16">
      <c r="P17692" s="2498"/>
    </row>
    <row r="17693" spans="16:16">
      <c r="P17693" s="2498"/>
    </row>
    <row r="17694" spans="16:16">
      <c r="P17694" s="2498"/>
    </row>
    <row r="17695" spans="16:16">
      <c r="P17695" s="2498"/>
    </row>
    <row r="17696" spans="16:16">
      <c r="P17696" s="2498"/>
    </row>
    <row r="17697" spans="16:16">
      <c r="P17697" s="2498"/>
    </row>
    <row r="17698" spans="16:16">
      <c r="P17698" s="2498"/>
    </row>
    <row r="17699" spans="16:16">
      <c r="P17699" s="2498"/>
    </row>
    <row r="17700" spans="16:16">
      <c r="P17700" s="2498"/>
    </row>
    <row r="17701" spans="16:16">
      <c r="P17701" s="2498"/>
    </row>
    <row r="17702" spans="16:16">
      <c r="P17702" s="2498"/>
    </row>
    <row r="17703" spans="16:16">
      <c r="P17703" s="2498"/>
    </row>
    <row r="17704" spans="16:16">
      <c r="P17704" s="2498"/>
    </row>
    <row r="17705" spans="16:16">
      <c r="P17705" s="2498"/>
    </row>
    <row r="17706" spans="16:16">
      <c r="P17706" s="2498"/>
    </row>
    <row r="17707" spans="16:16">
      <c r="P17707" s="2498"/>
    </row>
    <row r="17708" spans="16:16">
      <c r="P17708" s="2498"/>
    </row>
    <row r="17709" spans="16:16">
      <c r="P17709" s="2498"/>
    </row>
    <row r="17710" spans="16:16">
      <c r="P17710" s="2498"/>
    </row>
    <row r="17711" spans="16:16">
      <c r="P17711" s="2498"/>
    </row>
    <row r="17712" spans="16:16">
      <c r="P17712" s="2498"/>
    </row>
    <row r="17713" spans="16:16">
      <c r="P17713" s="2498"/>
    </row>
    <row r="17714" spans="16:16">
      <c r="P17714" s="2498"/>
    </row>
    <row r="17715" spans="16:16">
      <c r="P17715" s="2498"/>
    </row>
    <row r="17716" spans="16:16">
      <c r="P17716" s="2498"/>
    </row>
    <row r="17717" spans="16:16">
      <c r="P17717" s="2498"/>
    </row>
    <row r="17718" spans="16:16">
      <c r="P17718" s="2498"/>
    </row>
    <row r="17719" spans="16:16">
      <c r="P17719" s="2498"/>
    </row>
    <row r="17720" spans="16:16">
      <c r="P17720" s="2498"/>
    </row>
    <row r="17721" spans="16:16">
      <c r="P17721" s="2498"/>
    </row>
    <row r="17722" spans="16:16">
      <c r="P17722" s="2498"/>
    </row>
    <row r="17723" spans="16:16">
      <c r="P17723" s="2498"/>
    </row>
    <row r="17724" spans="16:16">
      <c r="P17724" s="2498"/>
    </row>
    <row r="17725" spans="16:16">
      <c r="P17725" s="2498"/>
    </row>
    <row r="17726" spans="16:16">
      <c r="P17726" s="2498"/>
    </row>
    <row r="17727" spans="16:16">
      <c r="P17727" s="2498"/>
    </row>
    <row r="17728" spans="16:16">
      <c r="P17728" s="2498"/>
    </row>
    <row r="17729" spans="16:16">
      <c r="P17729" s="2498"/>
    </row>
    <row r="17730" spans="16:16">
      <c r="P17730" s="2498"/>
    </row>
    <row r="17731" spans="16:16">
      <c r="P17731" s="2498"/>
    </row>
    <row r="17732" spans="16:16">
      <c r="P17732" s="2498"/>
    </row>
    <row r="17733" spans="16:16">
      <c r="P17733" s="2498"/>
    </row>
    <row r="17734" spans="16:16">
      <c r="P17734" s="2498"/>
    </row>
    <row r="17735" spans="16:16">
      <c r="P17735" s="2498"/>
    </row>
    <row r="17736" spans="16:16">
      <c r="P17736" s="2498"/>
    </row>
    <row r="17737" spans="16:16">
      <c r="P17737" s="2498"/>
    </row>
    <row r="17738" spans="16:16">
      <c r="P17738" s="2498"/>
    </row>
    <row r="17739" spans="16:16">
      <c r="P17739" s="2498"/>
    </row>
    <row r="17740" spans="16:16">
      <c r="P17740" s="2498"/>
    </row>
    <row r="17741" spans="16:16">
      <c r="P17741" s="2498"/>
    </row>
    <row r="17742" spans="16:16">
      <c r="P17742" s="2498"/>
    </row>
    <row r="17743" spans="16:16">
      <c r="P17743" s="2498"/>
    </row>
    <row r="17744" spans="16:16">
      <c r="P17744" s="2498"/>
    </row>
    <row r="17745" spans="16:16">
      <c r="P17745" s="2498"/>
    </row>
    <row r="17746" spans="16:16">
      <c r="P17746" s="2498"/>
    </row>
    <row r="17747" spans="16:16">
      <c r="P17747" s="2498"/>
    </row>
    <row r="17748" spans="16:16">
      <c r="P17748" s="2498"/>
    </row>
    <row r="17749" spans="16:16">
      <c r="P17749" s="2498"/>
    </row>
    <row r="17750" spans="16:16">
      <c r="P17750" s="2498"/>
    </row>
    <row r="17751" spans="16:16">
      <c r="P17751" s="2498"/>
    </row>
    <row r="17752" spans="16:16">
      <c r="P17752" s="2498"/>
    </row>
    <row r="17753" spans="16:16">
      <c r="P17753" s="2498"/>
    </row>
    <row r="17754" spans="16:16">
      <c r="P17754" s="2498"/>
    </row>
    <row r="17755" spans="16:16">
      <c r="P17755" s="2498"/>
    </row>
    <row r="17756" spans="16:16">
      <c r="P17756" s="2498"/>
    </row>
    <row r="17757" spans="16:16">
      <c r="P17757" s="2498"/>
    </row>
    <row r="17758" spans="16:16">
      <c r="P17758" s="2498"/>
    </row>
    <row r="17759" spans="16:16">
      <c r="P17759" s="2498"/>
    </row>
    <row r="17760" spans="16:16">
      <c r="P17760" s="2498"/>
    </row>
    <row r="17761" spans="16:16">
      <c r="P17761" s="2498"/>
    </row>
    <row r="17762" spans="16:16">
      <c r="P17762" s="2498"/>
    </row>
    <row r="17763" spans="16:16">
      <c r="P17763" s="2498"/>
    </row>
    <row r="17764" spans="16:16">
      <c r="P17764" s="2498"/>
    </row>
    <row r="17765" spans="16:16">
      <c r="P17765" s="2498"/>
    </row>
    <row r="17766" spans="16:16">
      <c r="P17766" s="2498"/>
    </row>
    <row r="17767" spans="16:16">
      <c r="P17767" s="2498"/>
    </row>
    <row r="17768" spans="16:16">
      <c r="P17768" s="2498"/>
    </row>
    <row r="17769" spans="16:16">
      <c r="P17769" s="2498"/>
    </row>
    <row r="17770" spans="16:16">
      <c r="P17770" s="2498"/>
    </row>
    <row r="17771" spans="16:16">
      <c r="P17771" s="2498"/>
    </row>
    <row r="17772" spans="16:16">
      <c r="P17772" s="2498"/>
    </row>
    <row r="17773" spans="16:16">
      <c r="P17773" s="2498"/>
    </row>
    <row r="17774" spans="16:16">
      <c r="P17774" s="2498"/>
    </row>
    <row r="17775" spans="16:16">
      <c r="P17775" s="2498"/>
    </row>
    <row r="17776" spans="16:16">
      <c r="P17776" s="2498"/>
    </row>
    <row r="17777" spans="16:16">
      <c r="P17777" s="2498"/>
    </row>
    <row r="17778" spans="16:16">
      <c r="P17778" s="2498"/>
    </row>
    <row r="17779" spans="16:16">
      <c r="P17779" s="2498"/>
    </row>
    <row r="17780" spans="16:16">
      <c r="P17780" s="2498"/>
    </row>
    <row r="17781" spans="16:16">
      <c r="P17781" s="2498"/>
    </row>
    <row r="17782" spans="16:16">
      <c r="P17782" s="2498"/>
    </row>
    <row r="17783" spans="16:16">
      <c r="P17783" s="2498"/>
    </row>
    <row r="17784" spans="16:16">
      <c r="P17784" s="2498"/>
    </row>
    <row r="17785" spans="16:16">
      <c r="P17785" s="2498"/>
    </row>
    <row r="17786" spans="16:16">
      <c r="P17786" s="2498"/>
    </row>
    <row r="17787" spans="16:16">
      <c r="P17787" s="2498"/>
    </row>
    <row r="17788" spans="16:16">
      <c r="P17788" s="2498"/>
    </row>
    <row r="17789" spans="16:16">
      <c r="P17789" s="2498"/>
    </row>
    <row r="17790" spans="16:16">
      <c r="P17790" s="2498"/>
    </row>
    <row r="17791" spans="16:16">
      <c r="P17791" s="2498"/>
    </row>
    <row r="17792" spans="16:16">
      <c r="P17792" s="2498"/>
    </row>
    <row r="17793" spans="16:16">
      <c r="P17793" s="2498"/>
    </row>
    <row r="17794" spans="16:16">
      <c r="P17794" s="2498"/>
    </row>
    <row r="17795" spans="16:16">
      <c r="P17795" s="2498"/>
    </row>
    <row r="17796" spans="16:16">
      <c r="P17796" s="2498"/>
    </row>
    <row r="17797" spans="16:16">
      <c r="P17797" s="2498"/>
    </row>
    <row r="17798" spans="16:16">
      <c r="P17798" s="2498"/>
    </row>
    <row r="17799" spans="16:16">
      <c r="P17799" s="2498"/>
    </row>
    <row r="17800" spans="16:16">
      <c r="P17800" s="2498"/>
    </row>
    <row r="17801" spans="16:16">
      <c r="P17801" s="2498"/>
    </row>
    <row r="17802" spans="16:16">
      <c r="P17802" s="2498"/>
    </row>
    <row r="17803" spans="16:16">
      <c r="P17803" s="2498"/>
    </row>
    <row r="17804" spans="16:16">
      <c r="P17804" s="2498"/>
    </row>
    <row r="17805" spans="16:16">
      <c r="P17805" s="2498"/>
    </row>
    <row r="17806" spans="16:16">
      <c r="P17806" s="2498"/>
    </row>
    <row r="17807" spans="16:16">
      <c r="P17807" s="2498"/>
    </row>
    <row r="17808" spans="16:16">
      <c r="P17808" s="2498"/>
    </row>
    <row r="17809" spans="16:16">
      <c r="P17809" s="2498"/>
    </row>
    <row r="17810" spans="16:16">
      <c r="P17810" s="2498"/>
    </row>
    <row r="17811" spans="16:16">
      <c r="P17811" s="2498"/>
    </row>
    <row r="17812" spans="16:16">
      <c r="P17812" s="2498"/>
    </row>
    <row r="17813" spans="16:16">
      <c r="P17813" s="2498"/>
    </row>
    <row r="17814" spans="16:16">
      <c r="P17814" s="2498"/>
    </row>
    <row r="17815" spans="16:16">
      <c r="P17815" s="2498"/>
    </row>
    <row r="17816" spans="16:16">
      <c r="P17816" s="2498"/>
    </row>
    <row r="17817" spans="16:16">
      <c r="P17817" s="2498"/>
    </row>
    <row r="17818" spans="16:16">
      <c r="P17818" s="2498"/>
    </row>
    <row r="17819" spans="16:16">
      <c r="P17819" s="2498"/>
    </row>
    <row r="17820" spans="16:16">
      <c r="P17820" s="2498"/>
    </row>
    <row r="17821" spans="16:16">
      <c r="P17821" s="2498"/>
    </row>
    <row r="17822" spans="16:16">
      <c r="P17822" s="2498"/>
    </row>
    <row r="17823" spans="16:16">
      <c r="P17823" s="2498"/>
    </row>
    <row r="17824" spans="16:16">
      <c r="P17824" s="2498"/>
    </row>
    <row r="17825" spans="16:16">
      <c r="P17825" s="2498"/>
    </row>
    <row r="17826" spans="16:16">
      <c r="P17826" s="2498"/>
    </row>
    <row r="17827" spans="16:16">
      <c r="P17827" s="2498"/>
    </row>
    <row r="17828" spans="16:16">
      <c r="P17828" s="2498"/>
    </row>
    <row r="17829" spans="16:16">
      <c r="P17829" s="2498"/>
    </row>
    <row r="17830" spans="16:16">
      <c r="P17830" s="2498"/>
    </row>
    <row r="17831" spans="16:16">
      <c r="P17831" s="2498"/>
    </row>
    <row r="17832" spans="16:16">
      <c r="P17832" s="2498"/>
    </row>
    <row r="17833" spans="16:16">
      <c r="P17833" s="2498"/>
    </row>
    <row r="17834" spans="16:16">
      <c r="P17834" s="2498"/>
    </row>
    <row r="17835" spans="16:16">
      <c r="P17835" s="2498"/>
    </row>
    <row r="17836" spans="16:16">
      <c r="P17836" s="2498"/>
    </row>
    <row r="17837" spans="16:16">
      <c r="P17837" s="2498"/>
    </row>
    <row r="17838" spans="16:16">
      <c r="P17838" s="2498"/>
    </row>
    <row r="17839" spans="16:16">
      <c r="P17839" s="2498"/>
    </row>
    <row r="17840" spans="16:16">
      <c r="P17840" s="2498"/>
    </row>
    <row r="17841" spans="16:16">
      <c r="P17841" s="2498"/>
    </row>
    <row r="17842" spans="16:16">
      <c r="P17842" s="2498"/>
    </row>
    <row r="17843" spans="16:16">
      <c r="P17843" s="2498"/>
    </row>
    <row r="17844" spans="16:16">
      <c r="P17844" s="2498"/>
    </row>
    <row r="17845" spans="16:16">
      <c r="P17845" s="2498"/>
    </row>
    <row r="17846" spans="16:16">
      <c r="P17846" s="2498"/>
    </row>
    <row r="17847" spans="16:16">
      <c r="P17847" s="2498"/>
    </row>
    <row r="17848" spans="16:16">
      <c r="P17848" s="2498"/>
    </row>
    <row r="17849" spans="16:16">
      <c r="P17849" s="2498"/>
    </row>
    <row r="17850" spans="16:16">
      <c r="P17850" s="2498"/>
    </row>
    <row r="17851" spans="16:16">
      <c r="P17851" s="2498"/>
    </row>
    <row r="17852" spans="16:16">
      <c r="P17852" s="2498"/>
    </row>
    <row r="17853" spans="16:16">
      <c r="P17853" s="2498"/>
    </row>
    <row r="17854" spans="16:16">
      <c r="P17854" s="2498"/>
    </row>
    <row r="17855" spans="16:16">
      <c r="P17855" s="2498"/>
    </row>
    <row r="17856" spans="16:16">
      <c r="P17856" s="2498"/>
    </row>
    <row r="17857" spans="16:16">
      <c r="P17857" s="2498"/>
    </row>
    <row r="17858" spans="16:16">
      <c r="P17858" s="2498"/>
    </row>
    <row r="17859" spans="16:16">
      <c r="P17859" s="2498"/>
    </row>
    <row r="17860" spans="16:16">
      <c r="P17860" s="2498"/>
    </row>
    <row r="17861" spans="16:16">
      <c r="P17861" s="2498"/>
    </row>
    <row r="17862" spans="16:16">
      <c r="P17862" s="2498"/>
    </row>
    <row r="17863" spans="16:16">
      <c r="P17863" s="2498"/>
    </row>
    <row r="17864" spans="16:16">
      <c r="P17864" s="2498"/>
    </row>
    <row r="17865" spans="16:16">
      <c r="P17865" s="2498"/>
    </row>
    <row r="17866" spans="16:16">
      <c r="P17866" s="2498"/>
    </row>
    <row r="17867" spans="16:16">
      <c r="P17867" s="2498"/>
    </row>
    <row r="17868" spans="16:16">
      <c r="P17868" s="2498"/>
    </row>
    <row r="17869" spans="16:16">
      <c r="P17869" s="2498"/>
    </row>
    <row r="17870" spans="16:16">
      <c r="P17870" s="2498"/>
    </row>
    <row r="17871" spans="16:16">
      <c r="P17871" s="2498"/>
    </row>
    <row r="17872" spans="16:16">
      <c r="P17872" s="2498"/>
    </row>
    <row r="17873" spans="16:16">
      <c r="P17873" s="2498"/>
    </row>
    <row r="17874" spans="16:16">
      <c r="P17874" s="2498"/>
    </row>
    <row r="17875" spans="16:16">
      <c r="P17875" s="2498"/>
    </row>
    <row r="17876" spans="16:16">
      <c r="P17876" s="2498"/>
    </row>
    <row r="17877" spans="16:16">
      <c r="P17877" s="2498"/>
    </row>
    <row r="17878" spans="16:16">
      <c r="P17878" s="2498"/>
    </row>
    <row r="17879" spans="16:16">
      <c r="P17879" s="2498"/>
    </row>
    <row r="17880" spans="16:16">
      <c r="P17880" s="2498"/>
    </row>
    <row r="17881" spans="16:16">
      <c r="P17881" s="2498"/>
    </row>
    <row r="17882" spans="16:16">
      <c r="P17882" s="2498"/>
    </row>
    <row r="17883" spans="16:16">
      <c r="P17883" s="2498"/>
    </row>
    <row r="17884" spans="16:16">
      <c r="P17884" s="2498"/>
    </row>
    <row r="17885" spans="16:16">
      <c r="P17885" s="2498"/>
    </row>
    <row r="17886" spans="16:16">
      <c r="P17886" s="2498"/>
    </row>
    <row r="17887" spans="16:16">
      <c r="P17887" s="2498"/>
    </row>
    <row r="17888" spans="16:16">
      <c r="P17888" s="2498"/>
    </row>
    <row r="17889" spans="16:16">
      <c r="P17889" s="2498"/>
    </row>
    <row r="17890" spans="16:16">
      <c r="P17890" s="2498"/>
    </row>
    <row r="17891" spans="16:16">
      <c r="P17891" s="2498"/>
    </row>
    <row r="17892" spans="16:16">
      <c r="P17892" s="2498"/>
    </row>
    <row r="17893" spans="16:16">
      <c r="P17893" s="2498"/>
    </row>
    <row r="17894" spans="16:16">
      <c r="P17894" s="2498"/>
    </row>
    <row r="17895" spans="16:16">
      <c r="P17895" s="2498"/>
    </row>
    <row r="17896" spans="16:16">
      <c r="P17896" s="2498"/>
    </row>
    <row r="17897" spans="16:16">
      <c r="P17897" s="2498"/>
    </row>
    <row r="17898" spans="16:16">
      <c r="P17898" s="2498"/>
    </row>
    <row r="17899" spans="16:16">
      <c r="P17899" s="2498"/>
    </row>
    <row r="17900" spans="16:16">
      <c r="P17900" s="2498"/>
    </row>
    <row r="17901" spans="16:16">
      <c r="P17901" s="2498"/>
    </row>
    <row r="17902" spans="16:16">
      <c r="P17902" s="2498"/>
    </row>
    <row r="17903" spans="16:16">
      <c r="P17903" s="2498"/>
    </row>
    <row r="17904" spans="16:16">
      <c r="P17904" s="2498"/>
    </row>
    <row r="17905" spans="16:16">
      <c r="P17905" s="2498"/>
    </row>
    <row r="17906" spans="16:16">
      <c r="P17906" s="2498"/>
    </row>
    <row r="17907" spans="16:16">
      <c r="P17907" s="2498"/>
    </row>
    <row r="17908" spans="16:16">
      <c r="P17908" s="2498"/>
    </row>
    <row r="17909" spans="16:16">
      <c r="P17909" s="2498"/>
    </row>
    <row r="17910" spans="16:16">
      <c r="P17910" s="2498"/>
    </row>
    <row r="17911" spans="16:16">
      <c r="P17911" s="2498"/>
    </row>
    <row r="17912" spans="16:16">
      <c r="P17912" s="2498"/>
    </row>
    <row r="17913" spans="16:16">
      <c r="P17913" s="2498"/>
    </row>
    <row r="17914" spans="16:16">
      <c r="P17914" s="2498"/>
    </row>
    <row r="17915" spans="16:16">
      <c r="P17915" s="2498"/>
    </row>
    <row r="17916" spans="16:16">
      <c r="P17916" s="2498"/>
    </row>
    <row r="17917" spans="16:16">
      <c r="P17917" s="2498"/>
    </row>
    <row r="17918" spans="16:16">
      <c r="P17918" s="2498"/>
    </row>
    <row r="17919" spans="16:16">
      <c r="P17919" s="2498"/>
    </row>
    <row r="17920" spans="16:16">
      <c r="P17920" s="2498"/>
    </row>
    <row r="17921" spans="16:16">
      <c r="P17921" s="2498"/>
    </row>
    <row r="17922" spans="16:16">
      <c r="P17922" s="2498"/>
    </row>
    <row r="17923" spans="16:16">
      <c r="P17923" s="2498"/>
    </row>
    <row r="17924" spans="16:16">
      <c r="P17924" s="2498"/>
    </row>
    <row r="17925" spans="16:16">
      <c r="P17925" s="2498"/>
    </row>
    <row r="17926" spans="16:16">
      <c r="P17926" s="2498"/>
    </row>
    <row r="17927" spans="16:16">
      <c r="P17927" s="2498"/>
    </row>
    <row r="17928" spans="16:16">
      <c r="P17928" s="2498"/>
    </row>
    <row r="17929" spans="16:16">
      <c r="P17929" s="2498"/>
    </row>
    <row r="17930" spans="16:16">
      <c r="P17930" s="2498"/>
    </row>
    <row r="17931" spans="16:16">
      <c r="P17931" s="2498"/>
    </row>
    <row r="17932" spans="16:16">
      <c r="P17932" s="2498"/>
    </row>
    <row r="17933" spans="16:16">
      <c r="P17933" s="2498"/>
    </row>
    <row r="17934" spans="16:16">
      <c r="P17934" s="2498"/>
    </row>
    <row r="17935" spans="16:16">
      <c r="P17935" s="2498"/>
    </row>
    <row r="17936" spans="16:16">
      <c r="P17936" s="2498"/>
    </row>
    <row r="17937" spans="16:16">
      <c r="P17937" s="2498"/>
    </row>
    <row r="17938" spans="16:16">
      <c r="P17938" s="2498"/>
    </row>
    <row r="17939" spans="16:16">
      <c r="P17939" s="2498"/>
    </row>
    <row r="17940" spans="16:16">
      <c r="P17940" s="2498"/>
    </row>
    <row r="17941" spans="16:16">
      <c r="P17941" s="2498"/>
    </row>
    <row r="17942" spans="16:16">
      <c r="P17942" s="2498"/>
    </row>
    <row r="17943" spans="16:16">
      <c r="P17943" s="2498"/>
    </row>
    <row r="17944" spans="16:16">
      <c r="P17944" s="2498"/>
    </row>
    <row r="17945" spans="16:16">
      <c r="P17945" s="2498"/>
    </row>
    <row r="17946" spans="16:16">
      <c r="P17946" s="2498"/>
    </row>
    <row r="17947" spans="16:16">
      <c r="P17947" s="2498"/>
    </row>
    <row r="17948" spans="16:16">
      <c r="P17948" s="2498"/>
    </row>
    <row r="17949" spans="16:16">
      <c r="P17949" s="2498"/>
    </row>
    <row r="17950" spans="16:16">
      <c r="P17950" s="2498"/>
    </row>
    <row r="17951" spans="16:16">
      <c r="P17951" s="2498"/>
    </row>
    <row r="17952" spans="16:16">
      <c r="P17952" s="2498"/>
    </row>
    <row r="17953" spans="16:16">
      <c r="P17953" s="2498"/>
    </row>
    <row r="17954" spans="16:16">
      <c r="P17954" s="2498"/>
    </row>
    <row r="17955" spans="16:16">
      <c r="P17955" s="2498"/>
    </row>
    <row r="17956" spans="16:16">
      <c r="P17956" s="2498"/>
    </row>
    <row r="17957" spans="16:16">
      <c r="P17957" s="2498"/>
    </row>
    <row r="17958" spans="16:16">
      <c r="P17958" s="2498"/>
    </row>
    <row r="17959" spans="16:16">
      <c r="P17959" s="2498"/>
    </row>
    <row r="17960" spans="16:16">
      <c r="P17960" s="2498"/>
    </row>
    <row r="17961" spans="16:16">
      <c r="P17961" s="2498"/>
    </row>
    <row r="17962" spans="16:16">
      <c r="P17962" s="2498"/>
    </row>
    <row r="17963" spans="16:16">
      <c r="P17963" s="2498"/>
    </row>
    <row r="17964" spans="16:16">
      <c r="P17964" s="2498"/>
    </row>
    <row r="17965" spans="16:16">
      <c r="P17965" s="2498"/>
    </row>
    <row r="17966" spans="16:16">
      <c r="P17966" s="2498"/>
    </row>
    <row r="17967" spans="16:16">
      <c r="P17967" s="2498"/>
    </row>
    <row r="17968" spans="16:16">
      <c r="P17968" s="2498"/>
    </row>
    <row r="17969" spans="16:16">
      <c r="P17969" s="2498"/>
    </row>
    <row r="17970" spans="16:16">
      <c r="P17970" s="2498"/>
    </row>
    <row r="17971" spans="16:16">
      <c r="P17971" s="2498"/>
    </row>
    <row r="17972" spans="16:16">
      <c r="P17972" s="2498"/>
    </row>
    <row r="17973" spans="16:16">
      <c r="P17973" s="2498"/>
    </row>
    <row r="17974" spans="16:16">
      <c r="P17974" s="2498"/>
    </row>
    <row r="17975" spans="16:16">
      <c r="P17975" s="2498"/>
    </row>
    <row r="17976" spans="16:16">
      <c r="P17976" s="2498"/>
    </row>
    <row r="17977" spans="16:16">
      <c r="P17977" s="2498"/>
    </row>
    <row r="17978" spans="16:16">
      <c r="P17978" s="2498"/>
    </row>
    <row r="17979" spans="16:16">
      <c r="P17979" s="2498"/>
    </row>
    <row r="17980" spans="16:16">
      <c r="P17980" s="2498"/>
    </row>
    <row r="17981" spans="16:16">
      <c r="P17981" s="2498"/>
    </row>
    <row r="17982" spans="16:16">
      <c r="P17982" s="2498"/>
    </row>
    <row r="17983" spans="16:16">
      <c r="P17983" s="2498"/>
    </row>
    <row r="17984" spans="16:16">
      <c r="P17984" s="2498"/>
    </row>
    <row r="17985" spans="16:16">
      <c r="P17985" s="2498"/>
    </row>
    <row r="17986" spans="16:16">
      <c r="P17986" s="2498"/>
    </row>
    <row r="17987" spans="16:16">
      <c r="P17987" s="2498"/>
    </row>
    <row r="17988" spans="16:16">
      <c r="P17988" s="2498"/>
    </row>
    <row r="17989" spans="16:16">
      <c r="P17989" s="2498"/>
    </row>
    <row r="17990" spans="16:16">
      <c r="P17990" s="2498"/>
    </row>
    <row r="17991" spans="16:16">
      <c r="P17991" s="2498"/>
    </row>
    <row r="17992" spans="16:16">
      <c r="P17992" s="2498"/>
    </row>
    <row r="17993" spans="16:16">
      <c r="P17993" s="2498"/>
    </row>
    <row r="17994" spans="16:16">
      <c r="P17994" s="2498"/>
    </row>
    <row r="17995" spans="16:16">
      <c r="P17995" s="2498"/>
    </row>
    <row r="17996" spans="16:16">
      <c r="P17996" s="2498"/>
    </row>
    <row r="17997" spans="16:16">
      <c r="P17997" s="2498"/>
    </row>
    <row r="17998" spans="16:16">
      <c r="P17998" s="2498"/>
    </row>
    <row r="17999" spans="16:16">
      <c r="P17999" s="2498"/>
    </row>
    <row r="18000" spans="16:16">
      <c r="P18000" s="2498"/>
    </row>
    <row r="18001" spans="16:16">
      <c r="P18001" s="2498"/>
    </row>
    <row r="18002" spans="16:16">
      <c r="P18002" s="2498"/>
    </row>
    <row r="18003" spans="16:16">
      <c r="P18003" s="2498"/>
    </row>
    <row r="18004" spans="16:16">
      <c r="P18004" s="2498"/>
    </row>
    <row r="18005" spans="16:16">
      <c r="P18005" s="2498"/>
    </row>
    <row r="18006" spans="16:16">
      <c r="P18006" s="2498"/>
    </row>
    <row r="18007" spans="16:16">
      <c r="P18007" s="2498"/>
    </row>
    <row r="18008" spans="16:16">
      <c r="P18008" s="2498"/>
    </row>
    <row r="18009" spans="16:16">
      <c r="P18009" s="2498"/>
    </row>
    <row r="18010" spans="16:16">
      <c r="P18010" s="2498"/>
    </row>
    <row r="18011" spans="16:16">
      <c r="P18011" s="2498"/>
    </row>
    <row r="18012" spans="16:16">
      <c r="P18012" s="2498"/>
    </row>
    <row r="18013" spans="16:16">
      <c r="P18013" s="2498"/>
    </row>
    <row r="18014" spans="16:16">
      <c r="P18014" s="2498"/>
    </row>
    <row r="18015" spans="16:16">
      <c r="P18015" s="2498"/>
    </row>
    <row r="18016" spans="16:16">
      <c r="P18016" s="2498"/>
    </row>
    <row r="18017" spans="16:16">
      <c r="P18017" s="2498"/>
    </row>
    <row r="18018" spans="16:16">
      <c r="P18018" s="2498"/>
    </row>
    <row r="18019" spans="16:16">
      <c r="P18019" s="2498"/>
    </row>
    <row r="18020" spans="16:16">
      <c r="P18020" s="2498"/>
    </row>
    <row r="18021" spans="16:16">
      <c r="P18021" s="2498"/>
    </row>
    <row r="18022" spans="16:16">
      <c r="P18022" s="2498"/>
    </row>
    <row r="18023" spans="16:16">
      <c r="P18023" s="2498"/>
    </row>
    <row r="18024" spans="16:16">
      <c r="P18024" s="2498"/>
    </row>
    <row r="18025" spans="16:16">
      <c r="P18025" s="2498"/>
    </row>
    <row r="18026" spans="16:16">
      <c r="P18026" s="2498"/>
    </row>
    <row r="18027" spans="16:16">
      <c r="P18027" s="2498"/>
    </row>
    <row r="18028" spans="16:16">
      <c r="P18028" s="2498"/>
    </row>
    <row r="18029" spans="16:16">
      <c r="P18029" s="2498"/>
    </row>
    <row r="18030" spans="16:16">
      <c r="P18030" s="2498"/>
    </row>
    <row r="18031" spans="16:16">
      <c r="P18031" s="2498"/>
    </row>
    <row r="18032" spans="16:16">
      <c r="P18032" s="2498"/>
    </row>
    <row r="18033" spans="16:16">
      <c r="P18033" s="2498"/>
    </row>
    <row r="18034" spans="16:16">
      <c r="P18034" s="2498"/>
    </row>
    <row r="18035" spans="16:16">
      <c r="P18035" s="2498"/>
    </row>
    <row r="18036" spans="16:16">
      <c r="P18036" s="2498"/>
    </row>
    <row r="18037" spans="16:16">
      <c r="P18037" s="2498"/>
    </row>
    <row r="18038" spans="16:16">
      <c r="P18038" s="2498"/>
    </row>
    <row r="18039" spans="16:16">
      <c r="P18039" s="2498"/>
    </row>
    <row r="18040" spans="16:16">
      <c r="P18040" s="2498"/>
    </row>
    <row r="18041" spans="16:16">
      <c r="P18041" s="2498"/>
    </row>
    <row r="18042" spans="16:16">
      <c r="P18042" s="2498"/>
    </row>
    <row r="18043" spans="16:16">
      <c r="P18043" s="2498"/>
    </row>
    <row r="18044" spans="16:16">
      <c r="P18044" s="2498"/>
    </row>
    <row r="18045" spans="16:16">
      <c r="P18045" s="2498"/>
    </row>
    <row r="18046" spans="16:16">
      <c r="P18046" s="2498"/>
    </row>
    <row r="18047" spans="16:16">
      <c r="P18047" s="2498"/>
    </row>
    <row r="18048" spans="16:16">
      <c r="P18048" s="2498"/>
    </row>
    <row r="18049" spans="16:16">
      <c r="P18049" s="2498"/>
    </row>
    <row r="18050" spans="16:16">
      <c r="P18050" s="2498"/>
    </row>
    <row r="18051" spans="16:16">
      <c r="P18051" s="2498"/>
    </row>
    <row r="18052" spans="16:16">
      <c r="P18052" s="2498"/>
    </row>
    <row r="18053" spans="16:16">
      <c r="P18053" s="2498"/>
    </row>
    <row r="18054" spans="16:16">
      <c r="P18054" s="2498"/>
    </row>
    <row r="18055" spans="16:16">
      <c r="P18055" s="2498"/>
    </row>
    <row r="18056" spans="16:16">
      <c r="P18056" s="2498"/>
    </row>
    <row r="18057" spans="16:16">
      <c r="P18057" s="2498"/>
    </row>
    <row r="18058" spans="16:16">
      <c r="P18058" s="2498"/>
    </row>
    <row r="18059" spans="16:16">
      <c r="P18059" s="2498"/>
    </row>
    <row r="18060" spans="16:16">
      <c r="P18060" s="2498"/>
    </row>
    <row r="18061" spans="16:16">
      <c r="P18061" s="2498"/>
    </row>
    <row r="18062" spans="16:16">
      <c r="P18062" s="2498"/>
    </row>
    <row r="18063" spans="16:16">
      <c r="P18063" s="2498"/>
    </row>
    <row r="18064" spans="16:16">
      <c r="P18064" s="2498"/>
    </row>
    <row r="18065" spans="16:16">
      <c r="P18065" s="2498"/>
    </row>
    <row r="18066" spans="16:16">
      <c r="P18066" s="2498"/>
    </row>
    <row r="18067" spans="16:16">
      <c r="P18067" s="2498"/>
    </row>
    <row r="18068" spans="16:16">
      <c r="P18068" s="2498"/>
    </row>
    <row r="18069" spans="16:16">
      <c r="P18069" s="2498"/>
    </row>
    <row r="18070" spans="16:16">
      <c r="P18070" s="2498"/>
    </row>
    <row r="18071" spans="16:16">
      <c r="P18071" s="2498"/>
    </row>
    <row r="18072" spans="16:16">
      <c r="P18072" s="2498"/>
    </row>
    <row r="18073" spans="16:16">
      <c r="P18073" s="2498"/>
    </row>
    <row r="18074" spans="16:16">
      <c r="P18074" s="2498"/>
    </row>
    <row r="18075" spans="16:16">
      <c r="P18075" s="2498"/>
    </row>
    <row r="18076" spans="16:16">
      <c r="P18076" s="2498"/>
    </row>
    <row r="18077" spans="16:16">
      <c r="P18077" s="2498"/>
    </row>
    <row r="18078" spans="16:16">
      <c r="P18078" s="2498"/>
    </row>
    <row r="18079" spans="16:16">
      <c r="P18079" s="2498"/>
    </row>
    <row r="18080" spans="16:16">
      <c r="P18080" s="2498"/>
    </row>
    <row r="18081" spans="16:16">
      <c r="P18081" s="2498"/>
    </row>
    <row r="18082" spans="16:16">
      <c r="P18082" s="2498"/>
    </row>
    <row r="18083" spans="16:16">
      <c r="P18083" s="2498"/>
    </row>
    <row r="18084" spans="16:16">
      <c r="P18084" s="2498"/>
    </row>
    <row r="18085" spans="16:16">
      <c r="P18085" s="2498"/>
    </row>
    <row r="18086" spans="16:16">
      <c r="P18086" s="2498"/>
    </row>
    <row r="18087" spans="16:16">
      <c r="P18087" s="2498"/>
    </row>
    <row r="18088" spans="16:16">
      <c r="P18088" s="2498"/>
    </row>
    <row r="18089" spans="16:16">
      <c r="P18089" s="2498"/>
    </row>
    <row r="18090" spans="16:16">
      <c r="P18090" s="2498"/>
    </row>
    <row r="18091" spans="16:16">
      <c r="P18091" s="2498"/>
    </row>
    <row r="18092" spans="16:16">
      <c r="P18092" s="2498"/>
    </row>
    <row r="18093" spans="16:16">
      <c r="P18093" s="2498"/>
    </row>
    <row r="18094" spans="16:16">
      <c r="P18094" s="2498"/>
    </row>
    <row r="18095" spans="16:16">
      <c r="P18095" s="2498"/>
    </row>
    <row r="18096" spans="16:16">
      <c r="P18096" s="2498"/>
    </row>
    <row r="18097" spans="16:16">
      <c r="P18097" s="2498"/>
    </row>
    <row r="18098" spans="16:16">
      <c r="P18098" s="2498"/>
    </row>
    <row r="18099" spans="16:16">
      <c r="P18099" s="2498"/>
    </row>
    <row r="18100" spans="16:16">
      <c r="P18100" s="2498"/>
    </row>
    <row r="18101" spans="16:16">
      <c r="P18101" s="2498"/>
    </row>
    <row r="18102" spans="16:16">
      <c r="P18102" s="2498"/>
    </row>
    <row r="18103" spans="16:16">
      <c r="P18103" s="2498"/>
    </row>
    <row r="18104" spans="16:16">
      <c r="P18104" s="2498"/>
    </row>
    <row r="18105" spans="16:16">
      <c r="P18105" s="2498"/>
    </row>
    <row r="18106" spans="16:16">
      <c r="P18106" s="2498"/>
    </row>
    <row r="18107" spans="16:16">
      <c r="P18107" s="2498"/>
    </row>
    <row r="18108" spans="16:16">
      <c r="P18108" s="2498"/>
    </row>
    <row r="18109" spans="16:16">
      <c r="P18109" s="2498"/>
    </row>
    <row r="18110" spans="16:16">
      <c r="P18110" s="2498"/>
    </row>
    <row r="18111" spans="16:16">
      <c r="P18111" s="2498"/>
    </row>
    <row r="18112" spans="16:16">
      <c r="P18112" s="2498"/>
    </row>
    <row r="18113" spans="16:16">
      <c r="P18113" s="2498"/>
    </row>
    <row r="18114" spans="16:16">
      <c r="P18114" s="2498"/>
    </row>
    <row r="18115" spans="16:16">
      <c r="P18115" s="2498"/>
    </row>
    <row r="18116" spans="16:16">
      <c r="P18116" s="2498"/>
    </row>
    <row r="18117" spans="16:16">
      <c r="P18117" s="2498"/>
    </row>
    <row r="18118" spans="16:16">
      <c r="P18118" s="2498"/>
    </row>
    <row r="18119" spans="16:16">
      <c r="P18119" s="2498"/>
    </row>
    <row r="18120" spans="16:16">
      <c r="P18120" s="2498"/>
    </row>
    <row r="18121" spans="16:16">
      <c r="P18121" s="2498"/>
    </row>
    <row r="18122" spans="16:16">
      <c r="P18122" s="2498"/>
    </row>
    <row r="18123" spans="16:16">
      <c r="P18123" s="2498"/>
    </row>
    <row r="18124" spans="16:16">
      <c r="P18124" s="2498"/>
    </row>
    <row r="18125" spans="16:16">
      <c r="P18125" s="2498"/>
    </row>
    <row r="18126" spans="16:16">
      <c r="P18126" s="2498"/>
    </row>
    <row r="18127" spans="16:16">
      <c r="P18127" s="2498"/>
    </row>
    <row r="18128" spans="16:16">
      <c r="P18128" s="2498"/>
    </row>
    <row r="18129" spans="16:16">
      <c r="P18129" s="2498"/>
    </row>
    <row r="18130" spans="16:16">
      <c r="P18130" s="2498"/>
    </row>
    <row r="18131" spans="16:16">
      <c r="P18131" s="2498"/>
    </row>
    <row r="18132" spans="16:16">
      <c r="P18132" s="2498"/>
    </row>
    <row r="18133" spans="16:16">
      <c r="P18133" s="2498"/>
    </row>
    <row r="18134" spans="16:16">
      <c r="P18134" s="2498"/>
    </row>
    <row r="18135" spans="16:16">
      <c r="P18135" s="2498"/>
    </row>
    <row r="18136" spans="16:16">
      <c r="P18136" s="2498"/>
    </row>
    <row r="18137" spans="16:16">
      <c r="P18137" s="2498"/>
    </row>
    <row r="18138" spans="16:16">
      <c r="P18138" s="2498"/>
    </row>
    <row r="18139" spans="16:16">
      <c r="P18139" s="2498"/>
    </row>
    <row r="18140" spans="16:16">
      <c r="P18140" s="2498"/>
    </row>
    <row r="18141" spans="16:16">
      <c r="P18141" s="2498"/>
    </row>
    <row r="18142" spans="16:16">
      <c r="P18142" s="2498"/>
    </row>
    <row r="18143" spans="16:16">
      <c r="P18143" s="2498"/>
    </row>
    <row r="18144" spans="16:16">
      <c r="P18144" s="2498"/>
    </row>
    <row r="18145" spans="16:16">
      <c r="P18145" s="2498"/>
    </row>
    <row r="18146" spans="16:16">
      <c r="P18146" s="2498"/>
    </row>
    <row r="18147" spans="16:16">
      <c r="P18147" s="2498"/>
    </row>
    <row r="18148" spans="16:16">
      <c r="P18148" s="2498"/>
    </row>
    <row r="18149" spans="16:16">
      <c r="P18149" s="2498"/>
    </row>
    <row r="18150" spans="16:16">
      <c r="P18150" s="2498"/>
    </row>
    <row r="18151" spans="16:16">
      <c r="P18151" s="2498"/>
    </row>
    <row r="18152" spans="16:16">
      <c r="P18152" s="2498"/>
    </row>
    <row r="18153" spans="16:16">
      <c r="P18153" s="2498"/>
    </row>
    <row r="18154" spans="16:16">
      <c r="P18154" s="2498"/>
    </row>
    <row r="18155" spans="16:16">
      <c r="P18155" s="2498"/>
    </row>
    <row r="18156" spans="16:16">
      <c r="P18156" s="2498"/>
    </row>
    <row r="18157" spans="16:16">
      <c r="P18157" s="2498"/>
    </row>
    <row r="18158" spans="16:16">
      <c r="P18158" s="2498"/>
    </row>
    <row r="18159" spans="16:16">
      <c r="P18159" s="2498"/>
    </row>
    <row r="18160" spans="16:16">
      <c r="P18160" s="2498"/>
    </row>
    <row r="18161" spans="16:16">
      <c r="P18161" s="2498"/>
    </row>
    <row r="18162" spans="16:16">
      <c r="P18162" s="2498"/>
    </row>
    <row r="18163" spans="16:16">
      <c r="P18163" s="2498"/>
    </row>
    <row r="18164" spans="16:16">
      <c r="P18164" s="2498"/>
    </row>
    <row r="18165" spans="16:16">
      <c r="P18165" s="2498"/>
    </row>
    <row r="18166" spans="16:16">
      <c r="P18166" s="2498"/>
    </row>
    <row r="18167" spans="16:16">
      <c r="P18167" s="2498"/>
    </row>
    <row r="18168" spans="16:16">
      <c r="P18168" s="2498"/>
    </row>
    <row r="18169" spans="16:16">
      <c r="P18169" s="2498"/>
    </row>
    <row r="18170" spans="16:16">
      <c r="P18170" s="2498"/>
    </row>
    <row r="18171" spans="16:16">
      <c r="P18171" s="2498"/>
    </row>
    <row r="18172" spans="16:16">
      <c r="P18172" s="2498"/>
    </row>
    <row r="18173" spans="16:16">
      <c r="P18173" s="2498"/>
    </row>
    <row r="18174" spans="16:16">
      <c r="P18174" s="2498"/>
    </row>
    <row r="18175" spans="16:16">
      <c r="P18175" s="2498"/>
    </row>
    <row r="18176" spans="16:16">
      <c r="P18176" s="2498"/>
    </row>
    <row r="18177" spans="16:16">
      <c r="P18177" s="2498"/>
    </row>
    <row r="18178" spans="16:16">
      <c r="P18178" s="2498"/>
    </row>
    <row r="18179" spans="16:16">
      <c r="P18179" s="2498"/>
    </row>
    <row r="18180" spans="16:16">
      <c r="P18180" s="2498"/>
    </row>
    <row r="18181" spans="16:16">
      <c r="P18181" s="2498"/>
    </row>
    <row r="18182" spans="16:16">
      <c r="P18182" s="2498"/>
    </row>
    <row r="18183" spans="16:16">
      <c r="P18183" s="2498"/>
    </row>
    <row r="18184" spans="16:16">
      <c r="P18184" s="2498"/>
    </row>
    <row r="18185" spans="16:16">
      <c r="P18185" s="2498"/>
    </row>
    <row r="18186" spans="16:16">
      <c r="P18186" s="2498"/>
    </row>
    <row r="18187" spans="16:16">
      <c r="P18187" s="2498"/>
    </row>
    <row r="18188" spans="16:16">
      <c r="P18188" s="2498"/>
    </row>
    <row r="18189" spans="16:16">
      <c r="P18189" s="2498"/>
    </row>
    <row r="18190" spans="16:16">
      <c r="P18190" s="2498"/>
    </row>
    <row r="18191" spans="16:16">
      <c r="P18191" s="2498"/>
    </row>
    <row r="18192" spans="16:16">
      <c r="P18192" s="2498"/>
    </row>
    <row r="18193" spans="16:16">
      <c r="P18193" s="2498"/>
    </row>
    <row r="18194" spans="16:16">
      <c r="P18194" s="2498"/>
    </row>
    <row r="18195" spans="16:16">
      <c r="P18195" s="2498"/>
    </row>
    <row r="18196" spans="16:16">
      <c r="P18196" s="2498"/>
    </row>
    <row r="18197" spans="16:16">
      <c r="P18197" s="2498"/>
    </row>
    <row r="18198" spans="16:16">
      <c r="P18198" s="2498"/>
    </row>
    <row r="18199" spans="16:16">
      <c r="P18199" s="2498"/>
    </row>
    <row r="18200" spans="16:16">
      <c r="P18200" s="2498"/>
    </row>
    <row r="18201" spans="16:16">
      <c r="P18201" s="2498"/>
    </row>
    <row r="18202" spans="16:16">
      <c r="P18202" s="2498"/>
    </row>
    <row r="18203" spans="16:16">
      <c r="P18203" s="2498"/>
    </row>
    <row r="18204" spans="16:16">
      <c r="P18204" s="2498"/>
    </row>
    <row r="18205" spans="16:16">
      <c r="P18205" s="2498"/>
    </row>
    <row r="18206" spans="16:16">
      <c r="P18206" s="2498"/>
    </row>
    <row r="18207" spans="16:16">
      <c r="P18207" s="2498"/>
    </row>
    <row r="18208" spans="16:16">
      <c r="P18208" s="2498"/>
    </row>
    <row r="18209" spans="16:16">
      <c r="P18209" s="2498"/>
    </row>
    <row r="18210" spans="16:16">
      <c r="P18210" s="2498"/>
    </row>
    <row r="18211" spans="16:16">
      <c r="P18211" s="2498"/>
    </row>
    <row r="18212" spans="16:16">
      <c r="P18212" s="2498"/>
    </row>
    <row r="18213" spans="16:16">
      <c r="P18213" s="2498"/>
    </row>
    <row r="18214" spans="16:16">
      <c r="P18214" s="2498"/>
    </row>
    <row r="18215" spans="16:16">
      <c r="P18215" s="2498"/>
    </row>
    <row r="18216" spans="16:16">
      <c r="P18216" s="2498"/>
    </row>
    <row r="18217" spans="16:16">
      <c r="P18217" s="2498"/>
    </row>
    <row r="18218" spans="16:16">
      <c r="P18218" s="2498"/>
    </row>
    <row r="18219" spans="16:16">
      <c r="P18219" s="2498"/>
    </row>
    <row r="18220" spans="16:16">
      <c r="P18220" s="2498"/>
    </row>
    <row r="18221" spans="16:16">
      <c r="P18221" s="2498"/>
    </row>
    <row r="18222" spans="16:16">
      <c r="P18222" s="2498"/>
    </row>
    <row r="18223" spans="16:16">
      <c r="P18223" s="2498"/>
    </row>
    <row r="18224" spans="16:16">
      <c r="P18224" s="2498"/>
    </row>
    <row r="18225" spans="16:16">
      <c r="P18225" s="2498"/>
    </row>
    <row r="18226" spans="16:16">
      <c r="P18226" s="2498"/>
    </row>
    <row r="18227" spans="16:16">
      <c r="P18227" s="2498"/>
    </row>
    <row r="18228" spans="16:16">
      <c r="P18228" s="2498"/>
    </row>
    <row r="18229" spans="16:16">
      <c r="P18229" s="2498"/>
    </row>
    <row r="18230" spans="16:16">
      <c r="P18230" s="2498"/>
    </row>
    <row r="18231" spans="16:16">
      <c r="P18231" s="2498"/>
    </row>
    <row r="18232" spans="16:16">
      <c r="P18232" s="2498"/>
    </row>
    <row r="18233" spans="16:16">
      <c r="P18233" s="2498"/>
    </row>
    <row r="18234" spans="16:16">
      <c r="P18234" s="2498"/>
    </row>
    <row r="18235" spans="16:16">
      <c r="P18235" s="2498"/>
    </row>
    <row r="18236" spans="16:16">
      <c r="P18236" s="2498"/>
    </row>
    <row r="18237" spans="16:16">
      <c r="P18237" s="2498"/>
    </row>
    <row r="18238" spans="16:16">
      <c r="P18238" s="2498"/>
    </row>
    <row r="18239" spans="16:16">
      <c r="P18239" s="2498"/>
    </row>
    <row r="18240" spans="16:16">
      <c r="P18240" s="2498"/>
    </row>
    <row r="18241" spans="16:16">
      <c r="P18241" s="2498"/>
    </row>
    <row r="18242" spans="16:16">
      <c r="P18242" s="2498"/>
    </row>
    <row r="18243" spans="16:16">
      <c r="P18243" s="2498"/>
    </row>
    <row r="18244" spans="16:16">
      <c r="P18244" s="2498"/>
    </row>
    <row r="18245" spans="16:16">
      <c r="P18245" s="2498"/>
    </row>
    <row r="18246" spans="16:16">
      <c r="P18246" s="2498"/>
    </row>
    <row r="18247" spans="16:16">
      <c r="P18247" s="2498"/>
    </row>
    <row r="18248" spans="16:16">
      <c r="P18248" s="2498"/>
    </row>
    <row r="18249" spans="16:16">
      <c r="P18249" s="2498"/>
    </row>
    <row r="18250" spans="16:16">
      <c r="P18250" s="2498"/>
    </row>
    <row r="18251" spans="16:16">
      <c r="P18251" s="2498"/>
    </row>
    <row r="18252" spans="16:16">
      <c r="P18252" s="2498"/>
    </row>
    <row r="18253" spans="16:16">
      <c r="P18253" s="2498"/>
    </row>
    <row r="18254" spans="16:16">
      <c r="P18254" s="2498"/>
    </row>
    <row r="18255" spans="16:16">
      <c r="P18255" s="2498"/>
    </row>
    <row r="18256" spans="16:16">
      <c r="P18256" s="2498"/>
    </row>
    <row r="18257" spans="16:16">
      <c r="P18257" s="2498"/>
    </row>
    <row r="18258" spans="16:16">
      <c r="P18258" s="2498"/>
    </row>
    <row r="18259" spans="16:16">
      <c r="P18259" s="2498"/>
    </row>
    <row r="18260" spans="16:16">
      <c r="P18260" s="2498"/>
    </row>
    <row r="18261" spans="16:16">
      <c r="P18261" s="2498"/>
    </row>
    <row r="18262" spans="16:16">
      <c r="P18262" s="2498"/>
    </row>
    <row r="18263" spans="16:16">
      <c r="P18263" s="2498"/>
    </row>
    <row r="18264" spans="16:16">
      <c r="P18264" s="2498"/>
    </row>
    <row r="18265" spans="16:16">
      <c r="P18265" s="2498"/>
    </row>
    <row r="18266" spans="16:16">
      <c r="P18266" s="2498"/>
    </row>
    <row r="18267" spans="16:16">
      <c r="P18267" s="2498"/>
    </row>
    <row r="18268" spans="16:16">
      <c r="P18268" s="2498"/>
    </row>
    <row r="18269" spans="16:16">
      <c r="P18269" s="2498"/>
    </row>
    <row r="18270" spans="16:16">
      <c r="P18270" s="2498"/>
    </row>
    <row r="18271" spans="16:16">
      <c r="P18271" s="2498"/>
    </row>
    <row r="18272" spans="16:16">
      <c r="P18272" s="2498"/>
    </row>
    <row r="18273" spans="16:16">
      <c r="P18273" s="2498"/>
    </row>
    <row r="18274" spans="16:16">
      <c r="P18274" s="2498"/>
    </row>
    <row r="18275" spans="16:16">
      <c r="P18275" s="2498"/>
    </row>
    <row r="18276" spans="16:16">
      <c r="P18276" s="2498"/>
    </row>
    <row r="18277" spans="16:16">
      <c r="P18277" s="2498"/>
    </row>
    <row r="18278" spans="16:16">
      <c r="P18278" s="2498"/>
    </row>
    <row r="18279" spans="16:16">
      <c r="P18279" s="2498"/>
    </row>
    <row r="18280" spans="16:16">
      <c r="P18280" s="2498"/>
    </row>
    <row r="18281" spans="16:16">
      <c r="P18281" s="2498"/>
    </row>
    <row r="18282" spans="16:16">
      <c r="P18282" s="2498"/>
    </row>
    <row r="18283" spans="16:16">
      <c r="P18283" s="2498"/>
    </row>
    <row r="18284" spans="16:16">
      <c r="P18284" s="2498"/>
    </row>
    <row r="18285" spans="16:16">
      <c r="P18285" s="2498"/>
    </row>
    <row r="18286" spans="16:16">
      <c r="P18286" s="2498"/>
    </row>
    <row r="18287" spans="16:16">
      <c r="P18287" s="2498"/>
    </row>
    <row r="18288" spans="16:16">
      <c r="P18288" s="2498"/>
    </row>
    <row r="18289" spans="16:16">
      <c r="P18289" s="2498"/>
    </row>
    <row r="18290" spans="16:16">
      <c r="P18290" s="2498"/>
    </row>
    <row r="18291" spans="16:16">
      <c r="P18291" s="2498"/>
    </row>
    <row r="18292" spans="16:16">
      <c r="P18292" s="2498"/>
    </row>
    <row r="18293" spans="16:16">
      <c r="P18293" s="2498"/>
    </row>
    <row r="18294" spans="16:16">
      <c r="P18294" s="2498"/>
    </row>
    <row r="18295" spans="16:16">
      <c r="P18295" s="2498"/>
    </row>
    <row r="18296" spans="16:16">
      <c r="P18296" s="2498"/>
    </row>
    <row r="18297" spans="16:16">
      <c r="P18297" s="2498"/>
    </row>
    <row r="18298" spans="16:16">
      <c r="P18298" s="2498"/>
    </row>
    <row r="18299" spans="16:16">
      <c r="P18299" s="2498"/>
    </row>
    <row r="18300" spans="16:16">
      <c r="P18300" s="2498"/>
    </row>
    <row r="18301" spans="16:16">
      <c r="P18301" s="2498"/>
    </row>
    <row r="18302" spans="16:16">
      <c r="P18302" s="2498"/>
    </row>
    <row r="18303" spans="16:16">
      <c r="P18303" s="2498"/>
    </row>
    <row r="18304" spans="16:16">
      <c r="P18304" s="2498"/>
    </row>
    <row r="18305" spans="16:16">
      <c r="P18305" s="2498"/>
    </row>
    <row r="18306" spans="16:16">
      <c r="P18306" s="2498"/>
    </row>
    <row r="18307" spans="16:16">
      <c r="P18307" s="2498"/>
    </row>
    <row r="18308" spans="16:16">
      <c r="P18308" s="2498"/>
    </row>
    <row r="18309" spans="16:16">
      <c r="P18309" s="2498"/>
    </row>
    <row r="18310" spans="16:16">
      <c r="P18310" s="2498"/>
    </row>
    <row r="18311" spans="16:16">
      <c r="P18311" s="2498"/>
    </row>
    <row r="18312" spans="16:16">
      <c r="P18312" s="2498"/>
    </row>
    <row r="18313" spans="16:16">
      <c r="P18313" s="2498"/>
    </row>
    <row r="18314" spans="16:16">
      <c r="P18314" s="2498"/>
    </row>
    <row r="18315" spans="16:16">
      <c r="P18315" s="2498"/>
    </row>
    <row r="18316" spans="16:16">
      <c r="P18316" s="2498"/>
    </row>
    <row r="18317" spans="16:16">
      <c r="P18317" s="2498"/>
    </row>
    <row r="18318" spans="16:16">
      <c r="P18318" s="2498"/>
    </row>
    <row r="18319" spans="16:16">
      <c r="P18319" s="2498"/>
    </row>
    <row r="18320" spans="16:16">
      <c r="P18320" s="2498"/>
    </row>
    <row r="18321" spans="16:16">
      <c r="P18321" s="2498"/>
    </row>
    <row r="18322" spans="16:16">
      <c r="P18322" s="2498"/>
    </row>
    <row r="18323" spans="16:16">
      <c r="P18323" s="2498"/>
    </row>
    <row r="18324" spans="16:16">
      <c r="P18324" s="2498"/>
    </row>
    <row r="18325" spans="16:16">
      <c r="P18325" s="2498"/>
    </row>
    <row r="18326" spans="16:16">
      <c r="P18326" s="2498"/>
    </row>
    <row r="18327" spans="16:16">
      <c r="P18327" s="2498"/>
    </row>
    <row r="18328" spans="16:16">
      <c r="P18328" s="2498"/>
    </row>
    <row r="18329" spans="16:16">
      <c r="P18329" s="2498"/>
    </row>
    <row r="18330" spans="16:16">
      <c r="P18330" s="2498"/>
    </row>
    <row r="18331" spans="16:16">
      <c r="P18331" s="2498"/>
    </row>
    <row r="18332" spans="16:16">
      <c r="P18332" s="2498"/>
    </row>
    <row r="18333" spans="16:16">
      <c r="P18333" s="2498"/>
    </row>
    <row r="18334" spans="16:16">
      <c r="P18334" s="2498"/>
    </row>
    <row r="18335" spans="16:16">
      <c r="P18335" s="2498"/>
    </row>
    <row r="18336" spans="16:16">
      <c r="P18336" s="2498"/>
    </row>
    <row r="18337" spans="16:16">
      <c r="P18337" s="2498"/>
    </row>
    <row r="18338" spans="16:16">
      <c r="P18338" s="2498"/>
    </row>
    <row r="18339" spans="16:16">
      <c r="P18339" s="2498"/>
    </row>
    <row r="18340" spans="16:16">
      <c r="P18340" s="2498"/>
    </row>
    <row r="18341" spans="16:16">
      <c r="P18341" s="2498"/>
    </row>
    <row r="18342" spans="16:16">
      <c r="P18342" s="2498"/>
    </row>
    <row r="18343" spans="16:16">
      <c r="P18343" s="2498"/>
    </row>
    <row r="18344" spans="16:16">
      <c r="P18344" s="2498"/>
    </row>
    <row r="18345" spans="16:16">
      <c r="P18345" s="2498"/>
    </row>
    <row r="18346" spans="16:16">
      <c r="P18346" s="2498"/>
    </row>
    <row r="18347" spans="16:16">
      <c r="P18347" s="2498"/>
    </row>
    <row r="18348" spans="16:16">
      <c r="P18348" s="2498"/>
    </row>
    <row r="18349" spans="16:16">
      <c r="P18349" s="2498"/>
    </row>
    <row r="18350" spans="16:16">
      <c r="P18350" s="2498"/>
    </row>
    <row r="18351" spans="16:16">
      <c r="P18351" s="2498"/>
    </row>
    <row r="18352" spans="16:16">
      <c r="P18352" s="2498"/>
    </row>
    <row r="18353" spans="16:16">
      <c r="P18353" s="2498"/>
    </row>
    <row r="18354" spans="16:16">
      <c r="P18354" s="2498"/>
    </row>
    <row r="18355" spans="16:16">
      <c r="P18355" s="2498"/>
    </row>
    <row r="18356" spans="16:16">
      <c r="P18356" s="2498"/>
    </row>
    <row r="18357" spans="16:16">
      <c r="P18357" s="2498"/>
    </row>
    <row r="18358" spans="16:16">
      <c r="P18358" s="2498"/>
    </row>
    <row r="18359" spans="16:16">
      <c r="P18359" s="2498"/>
    </row>
    <row r="18360" spans="16:16">
      <c r="P18360" s="2498"/>
    </row>
    <row r="18361" spans="16:16">
      <c r="P18361" s="2498"/>
    </row>
    <row r="18362" spans="16:16">
      <c r="P18362" s="2498"/>
    </row>
    <row r="18363" spans="16:16">
      <c r="P18363" s="2498"/>
    </row>
    <row r="18364" spans="16:16">
      <c r="P18364" s="2498"/>
    </row>
    <row r="18365" spans="16:16">
      <c r="P18365" s="2498"/>
    </row>
    <row r="18366" spans="16:16">
      <c r="P18366" s="2498"/>
    </row>
    <row r="18367" spans="16:16">
      <c r="P18367" s="2498"/>
    </row>
    <row r="18368" spans="16:16">
      <c r="P18368" s="2498"/>
    </row>
    <row r="18369" spans="16:16">
      <c r="P18369" s="2498"/>
    </row>
    <row r="18370" spans="16:16">
      <c r="P18370" s="2498"/>
    </row>
    <row r="18371" spans="16:16">
      <c r="P18371" s="2498"/>
    </row>
    <row r="18372" spans="16:16">
      <c r="P18372" s="2498"/>
    </row>
    <row r="18373" spans="16:16">
      <c r="P18373" s="2498"/>
    </row>
    <row r="18374" spans="16:16">
      <c r="P18374" s="2498"/>
    </row>
    <row r="18375" spans="16:16">
      <c r="P18375" s="2498"/>
    </row>
    <row r="18376" spans="16:16">
      <c r="P18376" s="2498"/>
    </row>
    <row r="18377" spans="16:16">
      <c r="P18377" s="2498"/>
    </row>
    <row r="18378" spans="16:16">
      <c r="P18378" s="2498"/>
    </row>
    <row r="18379" spans="16:16">
      <c r="P18379" s="2498"/>
    </row>
    <row r="18380" spans="16:16">
      <c r="P18380" s="2498"/>
    </row>
    <row r="18381" spans="16:16">
      <c r="P18381" s="2498"/>
    </row>
    <row r="18382" spans="16:16">
      <c r="P18382" s="2498"/>
    </row>
    <row r="18383" spans="16:16">
      <c r="P18383" s="2498"/>
    </row>
    <row r="18384" spans="16:16">
      <c r="P18384" s="2498"/>
    </row>
    <row r="18385" spans="16:16">
      <c r="P18385" s="2498"/>
    </row>
    <row r="18386" spans="16:16">
      <c r="P18386" s="2498"/>
    </row>
    <row r="18387" spans="16:16">
      <c r="P18387" s="2498"/>
    </row>
    <row r="18388" spans="16:16">
      <c r="P18388" s="2498"/>
    </row>
    <row r="18389" spans="16:16">
      <c r="P18389" s="2498"/>
    </row>
    <row r="18390" spans="16:16">
      <c r="P18390" s="2498"/>
    </row>
    <row r="18391" spans="16:16">
      <c r="P18391" s="2498"/>
    </row>
    <row r="18392" spans="16:16">
      <c r="P18392" s="2498"/>
    </row>
    <row r="18393" spans="16:16">
      <c r="P18393" s="2498"/>
    </row>
    <row r="18394" spans="16:16">
      <c r="P18394" s="2498"/>
    </row>
    <row r="18395" spans="16:16">
      <c r="P18395" s="2498"/>
    </row>
    <row r="18396" spans="16:16">
      <c r="P18396" s="2498"/>
    </row>
    <row r="18397" spans="16:16">
      <c r="P18397" s="2498"/>
    </row>
    <row r="18398" spans="16:16">
      <c r="P18398" s="2498"/>
    </row>
    <row r="18399" spans="16:16">
      <c r="P18399" s="2498"/>
    </row>
    <row r="18400" spans="16:16">
      <c r="P18400" s="2498"/>
    </row>
    <row r="18401" spans="16:16">
      <c r="P18401" s="2498"/>
    </row>
    <row r="18402" spans="16:16">
      <c r="P18402" s="2498"/>
    </row>
    <row r="18403" spans="16:16">
      <c r="P18403" s="2498"/>
    </row>
    <row r="18404" spans="16:16">
      <c r="P18404" s="2498"/>
    </row>
    <row r="18405" spans="16:16">
      <c r="P18405" s="2498"/>
    </row>
    <row r="18406" spans="16:16">
      <c r="P18406" s="2498"/>
    </row>
    <row r="18407" spans="16:16">
      <c r="P18407" s="2498"/>
    </row>
    <row r="18408" spans="16:16">
      <c r="P18408" s="2498"/>
    </row>
    <row r="18409" spans="16:16">
      <c r="P18409" s="2498"/>
    </row>
    <row r="18410" spans="16:16">
      <c r="P18410" s="2498"/>
    </row>
    <row r="18411" spans="16:16">
      <c r="P18411" s="2498"/>
    </row>
    <row r="18412" spans="16:16">
      <c r="P18412" s="2498"/>
    </row>
    <row r="18413" spans="16:16">
      <c r="P18413" s="2498"/>
    </row>
    <row r="18414" spans="16:16">
      <c r="P18414" s="2498"/>
    </row>
    <row r="18415" spans="16:16">
      <c r="P18415" s="2498"/>
    </row>
    <row r="18416" spans="16:16">
      <c r="P18416" s="2498"/>
    </row>
    <row r="18417" spans="16:16">
      <c r="P18417" s="2498"/>
    </row>
    <row r="18418" spans="16:16">
      <c r="P18418" s="2498"/>
    </row>
    <row r="18419" spans="16:16">
      <c r="P18419" s="2498"/>
    </row>
    <row r="18420" spans="16:16">
      <c r="P18420" s="2498"/>
    </row>
    <row r="18421" spans="16:16">
      <c r="P18421" s="2498"/>
    </row>
    <row r="18422" spans="16:16">
      <c r="P18422" s="2498"/>
    </row>
    <row r="18423" spans="16:16">
      <c r="P18423" s="2498"/>
    </row>
    <row r="18424" spans="16:16">
      <c r="P18424" s="2498"/>
    </row>
    <row r="18425" spans="16:16">
      <c r="P18425" s="2498"/>
    </row>
    <row r="18426" spans="16:16">
      <c r="P18426" s="2498"/>
    </row>
    <row r="18427" spans="16:16">
      <c r="P18427" s="2498"/>
    </row>
    <row r="18428" spans="16:16">
      <c r="P18428" s="2498"/>
    </row>
    <row r="18429" spans="16:16">
      <c r="P18429" s="2498"/>
    </row>
    <row r="18430" spans="16:16">
      <c r="P18430" s="2498"/>
    </row>
    <row r="18431" spans="16:16">
      <c r="P18431" s="2498"/>
    </row>
    <row r="18432" spans="16:16">
      <c r="P18432" s="2498"/>
    </row>
    <row r="18433" spans="16:16">
      <c r="P18433" s="2498"/>
    </row>
    <row r="18434" spans="16:16">
      <c r="P18434" s="2498"/>
    </row>
    <row r="18435" spans="16:16">
      <c r="P18435" s="2498"/>
    </row>
    <row r="18436" spans="16:16">
      <c r="P18436" s="2498"/>
    </row>
    <row r="18437" spans="16:16">
      <c r="P18437" s="2498"/>
    </row>
    <row r="18438" spans="16:16">
      <c r="P18438" s="2498"/>
    </row>
    <row r="18439" spans="16:16">
      <c r="P18439" s="2498"/>
    </row>
    <row r="18440" spans="16:16">
      <c r="P18440" s="2498"/>
    </row>
    <row r="18441" spans="16:16">
      <c r="P18441" s="2498"/>
    </row>
    <row r="18442" spans="16:16">
      <c r="P18442" s="2498"/>
    </row>
    <row r="18443" spans="16:16">
      <c r="P18443" s="2498"/>
    </row>
    <row r="18444" spans="16:16">
      <c r="P18444" s="2498"/>
    </row>
    <row r="18445" spans="16:16">
      <c r="P18445" s="2498"/>
    </row>
    <row r="18446" spans="16:16">
      <c r="P18446" s="2498"/>
    </row>
    <row r="18447" spans="16:16">
      <c r="P18447" s="2498"/>
    </row>
    <row r="18448" spans="16:16">
      <c r="P18448" s="2498"/>
    </row>
    <row r="18449" spans="16:16">
      <c r="P18449" s="2498"/>
    </row>
    <row r="18450" spans="16:16">
      <c r="P18450" s="2498"/>
    </row>
    <row r="18451" spans="16:16">
      <c r="P18451" s="2498"/>
    </row>
    <row r="18452" spans="16:16">
      <c r="P18452" s="2498"/>
    </row>
    <row r="18453" spans="16:16">
      <c r="P18453" s="2498"/>
    </row>
    <row r="18454" spans="16:16">
      <c r="P18454" s="2498"/>
    </row>
    <row r="18455" spans="16:16">
      <c r="P18455" s="2498"/>
    </row>
    <row r="18456" spans="16:16">
      <c r="P18456" s="2498"/>
    </row>
    <row r="18457" spans="16:16">
      <c r="P18457" s="2498"/>
    </row>
    <row r="18458" spans="16:16">
      <c r="P18458" s="2498"/>
    </row>
    <row r="18459" spans="16:16">
      <c r="P18459" s="2498"/>
    </row>
    <row r="18460" spans="16:16">
      <c r="P18460" s="2498"/>
    </row>
    <row r="18461" spans="16:16">
      <c r="P18461" s="2498"/>
    </row>
    <row r="18462" spans="16:16">
      <c r="P18462" s="2498"/>
    </row>
    <row r="18463" spans="16:16">
      <c r="P18463" s="2498"/>
    </row>
    <row r="18464" spans="16:16">
      <c r="P18464" s="2498"/>
    </row>
    <row r="18465" spans="16:16">
      <c r="P18465" s="2498"/>
    </row>
    <row r="18466" spans="16:16">
      <c r="P18466" s="2498"/>
    </row>
    <row r="18467" spans="16:16">
      <c r="P18467" s="2498"/>
    </row>
    <row r="18468" spans="16:16">
      <c r="P18468" s="2498"/>
    </row>
    <row r="18469" spans="16:16">
      <c r="P18469" s="2498"/>
    </row>
    <row r="18470" spans="16:16">
      <c r="P18470" s="2498"/>
    </row>
    <row r="18471" spans="16:16">
      <c r="P18471" s="2498"/>
    </row>
    <row r="18472" spans="16:16">
      <c r="P18472" s="2498"/>
    </row>
    <row r="18473" spans="16:16">
      <c r="P18473" s="2498"/>
    </row>
    <row r="18474" spans="16:16">
      <c r="P18474" s="2498"/>
    </row>
    <row r="18475" spans="16:16">
      <c r="P18475" s="2498"/>
    </row>
    <row r="18476" spans="16:16">
      <c r="P18476" s="2498"/>
    </row>
    <row r="18477" spans="16:16">
      <c r="P18477" s="2498"/>
    </row>
    <row r="18478" spans="16:16">
      <c r="P18478" s="2498"/>
    </row>
    <row r="18479" spans="16:16">
      <c r="P18479" s="2498"/>
    </row>
    <row r="18480" spans="16:16">
      <c r="P18480" s="2498"/>
    </row>
    <row r="18481" spans="16:16">
      <c r="P18481" s="2498"/>
    </row>
    <row r="18482" spans="16:16">
      <c r="P18482" s="2498"/>
    </row>
    <row r="18483" spans="16:16">
      <c r="P18483" s="2498"/>
    </row>
    <row r="18484" spans="16:16">
      <c r="P18484" s="2498"/>
    </row>
    <row r="18485" spans="16:16">
      <c r="P18485" s="2498"/>
    </row>
    <row r="18486" spans="16:16">
      <c r="P18486" s="2498"/>
    </row>
    <row r="18487" spans="16:16">
      <c r="P18487" s="2498"/>
    </row>
    <row r="18488" spans="16:16">
      <c r="P18488" s="2498"/>
    </row>
    <row r="18489" spans="16:16">
      <c r="P18489" s="2498"/>
    </row>
    <row r="18490" spans="16:16">
      <c r="P18490" s="2498"/>
    </row>
    <row r="18491" spans="16:16">
      <c r="P18491" s="2498"/>
    </row>
    <row r="18492" spans="16:16">
      <c r="P18492" s="2498"/>
    </row>
    <row r="18493" spans="16:16">
      <c r="P18493" s="2498"/>
    </row>
    <row r="18494" spans="16:16">
      <c r="P18494" s="2498"/>
    </row>
    <row r="18495" spans="16:16">
      <c r="P18495" s="2498"/>
    </row>
    <row r="18496" spans="16:16">
      <c r="P18496" s="2498"/>
    </row>
    <row r="18497" spans="16:16">
      <c r="P18497" s="2498"/>
    </row>
    <row r="18498" spans="16:16">
      <c r="P18498" s="2498"/>
    </row>
    <row r="18499" spans="16:16">
      <c r="P18499" s="2498"/>
    </row>
    <row r="18500" spans="16:16">
      <c r="P18500" s="2498"/>
    </row>
    <row r="18501" spans="16:16">
      <c r="P18501" s="2498"/>
    </row>
    <row r="18502" spans="16:16">
      <c r="P18502" s="2498"/>
    </row>
    <row r="18503" spans="16:16">
      <c r="P18503" s="2498"/>
    </row>
    <row r="18504" spans="16:16">
      <c r="P18504" s="2498"/>
    </row>
    <row r="18505" spans="16:16">
      <c r="P18505" s="2498"/>
    </row>
    <row r="18506" spans="16:16">
      <c r="P18506" s="2498"/>
    </row>
    <row r="18507" spans="16:16">
      <c r="P18507" s="2498"/>
    </row>
    <row r="18508" spans="16:16">
      <c r="P18508" s="2498"/>
    </row>
    <row r="18509" spans="16:16">
      <c r="P18509" s="2498"/>
    </row>
    <row r="18510" spans="16:16">
      <c r="P18510" s="2498"/>
    </row>
    <row r="18511" spans="16:16">
      <c r="P18511" s="2498"/>
    </row>
    <row r="18512" spans="16:16">
      <c r="P18512" s="2498"/>
    </row>
    <row r="18513" spans="16:16">
      <c r="P18513" s="2498"/>
    </row>
    <row r="18514" spans="16:16">
      <c r="P18514" s="2498"/>
    </row>
    <row r="18515" spans="16:16">
      <c r="P18515" s="2498"/>
    </row>
    <row r="18516" spans="16:16">
      <c r="P18516" s="2498"/>
    </row>
    <row r="18517" spans="16:16">
      <c r="P18517" s="2498"/>
    </row>
    <row r="18518" spans="16:16">
      <c r="P18518" s="2498"/>
    </row>
    <row r="18519" spans="16:16">
      <c r="P18519" s="2498"/>
    </row>
    <row r="18520" spans="16:16">
      <c r="P18520" s="2498"/>
    </row>
    <row r="18521" spans="16:16">
      <c r="P18521" s="2498"/>
    </row>
    <row r="18522" spans="16:16">
      <c r="P18522" s="2498"/>
    </row>
    <row r="18523" spans="16:16">
      <c r="P18523" s="2498"/>
    </row>
    <row r="18524" spans="16:16">
      <c r="P18524" s="2498"/>
    </row>
    <row r="18525" spans="16:16">
      <c r="P18525" s="2498"/>
    </row>
    <row r="18526" spans="16:16">
      <c r="P18526" s="2498"/>
    </row>
    <row r="18527" spans="16:16">
      <c r="P18527" s="2498"/>
    </row>
    <row r="18528" spans="16:16">
      <c r="P18528" s="2498"/>
    </row>
    <row r="18529" spans="16:16">
      <c r="P18529" s="2498"/>
    </row>
    <row r="18530" spans="16:16">
      <c r="P18530" s="2498"/>
    </row>
    <row r="18531" spans="16:16">
      <c r="P18531" s="2498"/>
    </row>
    <row r="18532" spans="16:16">
      <c r="P18532" s="2498"/>
    </row>
    <row r="18533" spans="16:16">
      <c r="P18533" s="2498"/>
    </row>
    <row r="18534" spans="16:16">
      <c r="P18534" s="2498"/>
    </row>
    <row r="18535" spans="16:16">
      <c r="P18535" s="2498"/>
    </row>
    <row r="18536" spans="16:16">
      <c r="P18536" s="2498"/>
    </row>
    <row r="18537" spans="16:16">
      <c r="P18537" s="2498"/>
    </row>
    <row r="18538" spans="16:16">
      <c r="P18538" s="2498"/>
    </row>
    <row r="18539" spans="16:16">
      <c r="P18539" s="2498"/>
    </row>
    <row r="18540" spans="16:16">
      <c r="P18540" s="2498"/>
    </row>
    <row r="18541" spans="16:16">
      <c r="P18541" s="2498"/>
    </row>
    <row r="18542" spans="16:16">
      <c r="P18542" s="2498"/>
    </row>
    <row r="18543" spans="16:16">
      <c r="P18543" s="2498"/>
    </row>
    <row r="18544" spans="16:16">
      <c r="P18544" s="2498"/>
    </row>
    <row r="18545" spans="16:16">
      <c r="P18545" s="2498"/>
    </row>
    <row r="18546" spans="16:16">
      <c r="P18546" s="2498"/>
    </row>
    <row r="18547" spans="16:16">
      <c r="P18547" s="2498"/>
    </row>
    <row r="18548" spans="16:16">
      <c r="P18548" s="2498"/>
    </row>
    <row r="18549" spans="16:16">
      <c r="P18549" s="2498"/>
    </row>
    <row r="18550" spans="16:16">
      <c r="P18550" s="2498"/>
    </row>
    <row r="18551" spans="16:16">
      <c r="P18551" s="2498"/>
    </row>
    <row r="18552" spans="16:16">
      <c r="P18552" s="2498"/>
    </row>
    <row r="18553" spans="16:16">
      <c r="P18553" s="2498"/>
    </row>
    <row r="18554" spans="16:16">
      <c r="P18554" s="2498"/>
    </row>
    <row r="18555" spans="16:16">
      <c r="P18555" s="2498"/>
    </row>
    <row r="18556" spans="16:16">
      <c r="P18556" s="2498"/>
    </row>
    <row r="18557" spans="16:16">
      <c r="P18557" s="2498"/>
    </row>
    <row r="18558" spans="16:16">
      <c r="P18558" s="2498"/>
    </row>
    <row r="18559" spans="16:16">
      <c r="P18559" s="2498"/>
    </row>
    <row r="18560" spans="16:16">
      <c r="P18560" s="2498"/>
    </row>
    <row r="18561" spans="16:16">
      <c r="P18561" s="2498"/>
    </row>
    <row r="18562" spans="16:16">
      <c r="P18562" s="2498"/>
    </row>
    <row r="18563" spans="16:16">
      <c r="P18563" s="2498"/>
    </row>
    <row r="18564" spans="16:16">
      <c r="P18564" s="2498"/>
    </row>
    <row r="18565" spans="16:16">
      <c r="P18565" s="2498"/>
    </row>
    <row r="18566" spans="16:16">
      <c r="P18566" s="2498"/>
    </row>
    <row r="18567" spans="16:16">
      <c r="P18567" s="2498"/>
    </row>
    <row r="18568" spans="16:16">
      <c r="P18568" s="2498"/>
    </row>
    <row r="18569" spans="16:16">
      <c r="P18569" s="2498"/>
    </row>
    <row r="18570" spans="16:16">
      <c r="P18570" s="2498"/>
    </row>
    <row r="18571" spans="16:16">
      <c r="P18571" s="2498"/>
    </row>
    <row r="18572" spans="16:16">
      <c r="P18572" s="2498"/>
    </row>
    <row r="18573" spans="16:16">
      <c r="P18573" s="2498"/>
    </row>
    <row r="18574" spans="16:16">
      <c r="P18574" s="2498"/>
    </row>
    <row r="18575" spans="16:16">
      <c r="P18575" s="2498"/>
    </row>
    <row r="18576" spans="16:16">
      <c r="P18576" s="2498"/>
    </row>
    <row r="18577" spans="16:16">
      <c r="P18577" s="2498"/>
    </row>
    <row r="18578" spans="16:16">
      <c r="P18578" s="2498"/>
    </row>
    <row r="18579" spans="16:16">
      <c r="P18579" s="2498"/>
    </row>
    <row r="18580" spans="16:16">
      <c r="P18580" s="2498"/>
    </row>
    <row r="18581" spans="16:16">
      <c r="P18581" s="2498"/>
    </row>
    <row r="18582" spans="16:16">
      <c r="P18582" s="2498"/>
    </row>
    <row r="18583" spans="16:16">
      <c r="P18583" s="2498"/>
    </row>
    <row r="18584" spans="16:16">
      <c r="P18584" s="2498"/>
    </row>
    <row r="18585" spans="16:16">
      <c r="P18585" s="2498"/>
    </row>
    <row r="18586" spans="16:16">
      <c r="P18586" s="2498"/>
    </row>
    <row r="18587" spans="16:16">
      <c r="P18587" s="2498"/>
    </row>
    <row r="18588" spans="16:16">
      <c r="P18588" s="2498"/>
    </row>
    <row r="18589" spans="16:16">
      <c r="P18589" s="2498"/>
    </row>
    <row r="18590" spans="16:16">
      <c r="P18590" s="2498"/>
    </row>
    <row r="18591" spans="16:16">
      <c r="P18591" s="2498"/>
    </row>
    <row r="18592" spans="16:16">
      <c r="P18592" s="2498"/>
    </row>
    <row r="18593" spans="16:16">
      <c r="P18593" s="2498"/>
    </row>
    <row r="18594" spans="16:16">
      <c r="P18594" s="2498"/>
    </row>
    <row r="18595" spans="16:16">
      <c r="P18595" s="2498"/>
    </row>
    <row r="18596" spans="16:16">
      <c r="P18596" s="2498"/>
    </row>
    <row r="18597" spans="16:16">
      <c r="P18597" s="2498"/>
    </row>
    <row r="18598" spans="16:16">
      <c r="P18598" s="2498"/>
    </row>
    <row r="18599" spans="16:16">
      <c r="P18599" s="2498"/>
    </row>
    <row r="18600" spans="16:16">
      <c r="P18600" s="2498"/>
    </row>
    <row r="18601" spans="16:16">
      <c r="P18601" s="2498"/>
    </row>
    <row r="18602" spans="16:16">
      <c r="P18602" s="2498"/>
    </row>
    <row r="18603" spans="16:16">
      <c r="P18603" s="2498"/>
    </row>
    <row r="18604" spans="16:16">
      <c r="P18604" s="2498"/>
    </row>
    <row r="18605" spans="16:16">
      <c r="P18605" s="2498"/>
    </row>
    <row r="18606" spans="16:16">
      <c r="P18606" s="2498"/>
    </row>
    <row r="18607" spans="16:16">
      <c r="P18607" s="2498"/>
    </row>
    <row r="18608" spans="16:16">
      <c r="P18608" s="2498"/>
    </row>
    <row r="18609" spans="16:16">
      <c r="P18609" s="2498"/>
    </row>
    <row r="18610" spans="16:16">
      <c r="P18610" s="2498"/>
    </row>
    <row r="18611" spans="16:16">
      <c r="P18611" s="2498"/>
    </row>
    <row r="18612" spans="16:16">
      <c r="P18612" s="2498"/>
    </row>
    <row r="18613" spans="16:16">
      <c r="P18613" s="2498"/>
    </row>
    <row r="18614" spans="16:16">
      <c r="P18614" s="2498"/>
    </row>
    <row r="18615" spans="16:16">
      <c r="P18615" s="2498"/>
    </row>
    <row r="18616" spans="16:16">
      <c r="P18616" s="2498"/>
    </row>
    <row r="18617" spans="16:16">
      <c r="P18617" s="2498"/>
    </row>
    <row r="18618" spans="16:16">
      <c r="P18618" s="2498"/>
    </row>
    <row r="18619" spans="16:16">
      <c r="P18619" s="2498"/>
    </row>
    <row r="18620" spans="16:16">
      <c r="P18620" s="2498"/>
    </row>
    <row r="18621" spans="16:16">
      <c r="P18621" s="2498"/>
    </row>
    <row r="18622" spans="16:16">
      <c r="P18622" s="2498"/>
    </row>
    <row r="18623" spans="16:16">
      <c r="P18623" s="2498"/>
    </row>
    <row r="18624" spans="16:16">
      <c r="P18624" s="2498"/>
    </row>
    <row r="18625" spans="16:16">
      <c r="P18625" s="2498"/>
    </row>
    <row r="18626" spans="16:16">
      <c r="P18626" s="2498"/>
    </row>
    <row r="18627" spans="16:16">
      <c r="P18627" s="2498"/>
    </row>
    <row r="18628" spans="16:16">
      <c r="P18628" s="2498"/>
    </row>
    <row r="18629" spans="16:16">
      <c r="P18629" s="2498"/>
    </row>
    <row r="18630" spans="16:16">
      <c r="P18630" s="2498"/>
    </row>
    <row r="18631" spans="16:16">
      <c r="P18631" s="2498"/>
    </row>
    <row r="18632" spans="16:16">
      <c r="P18632" s="2498"/>
    </row>
    <row r="18633" spans="16:16">
      <c r="P18633" s="2498"/>
    </row>
    <row r="18634" spans="16:16">
      <c r="P18634" s="2498"/>
    </row>
    <row r="18635" spans="16:16">
      <c r="P18635" s="2498"/>
    </row>
    <row r="18636" spans="16:16">
      <c r="P18636" s="2498"/>
    </row>
    <row r="18637" spans="16:16">
      <c r="P18637" s="2498"/>
    </row>
    <row r="18638" spans="16:16">
      <c r="P18638" s="2498"/>
    </row>
    <row r="18639" spans="16:16">
      <c r="P18639" s="2498"/>
    </row>
    <row r="18640" spans="16:16">
      <c r="P18640" s="2498"/>
    </row>
    <row r="18641" spans="16:16">
      <c r="P18641" s="2498"/>
    </row>
    <row r="18642" spans="16:16">
      <c r="P18642" s="2498"/>
    </row>
    <row r="18643" spans="16:16">
      <c r="P18643" s="2498"/>
    </row>
    <row r="18644" spans="16:16">
      <c r="P18644" s="2498"/>
    </row>
    <row r="18645" spans="16:16">
      <c r="P18645" s="2498"/>
    </row>
    <row r="18646" spans="16:16">
      <c r="P18646" s="2498"/>
    </row>
    <row r="18647" spans="16:16">
      <c r="P18647" s="2498"/>
    </row>
    <row r="18648" spans="16:16">
      <c r="P18648" s="2498"/>
    </row>
    <row r="18649" spans="16:16">
      <c r="P18649" s="2498"/>
    </row>
    <row r="18650" spans="16:16">
      <c r="P18650" s="2498"/>
    </row>
    <row r="18651" spans="16:16">
      <c r="P18651" s="2498"/>
    </row>
    <row r="18652" spans="16:16">
      <c r="P18652" s="2498"/>
    </row>
    <row r="18653" spans="16:16">
      <c r="P18653" s="2498"/>
    </row>
    <row r="18654" spans="16:16">
      <c r="P18654" s="2498"/>
    </row>
    <row r="18655" spans="16:16">
      <c r="P18655" s="2498"/>
    </row>
    <row r="18656" spans="16:16">
      <c r="P18656" s="2498"/>
    </row>
    <row r="18657" spans="16:16">
      <c r="P18657" s="2498"/>
    </row>
    <row r="18658" spans="16:16">
      <c r="P18658" s="2498"/>
    </row>
    <row r="18659" spans="16:16">
      <c r="P18659" s="2498"/>
    </row>
    <row r="18660" spans="16:16">
      <c r="P18660" s="2498"/>
    </row>
    <row r="18661" spans="16:16">
      <c r="P18661" s="2498"/>
    </row>
    <row r="18662" spans="16:16">
      <c r="P18662" s="2498"/>
    </row>
    <row r="18663" spans="16:16">
      <c r="P18663" s="2498"/>
    </row>
    <row r="18664" spans="16:16">
      <c r="P18664" s="2498"/>
    </row>
    <row r="18665" spans="16:16">
      <c r="P18665" s="2498"/>
    </row>
    <row r="18666" spans="16:16">
      <c r="P18666" s="2498"/>
    </row>
    <row r="18667" spans="16:16">
      <c r="P18667" s="2498"/>
    </row>
    <row r="18668" spans="16:16">
      <c r="P18668" s="2498"/>
    </row>
    <row r="18669" spans="16:16">
      <c r="P18669" s="2498"/>
    </row>
    <row r="18670" spans="16:16">
      <c r="P18670" s="2498"/>
    </row>
    <row r="18671" spans="16:16">
      <c r="P18671" s="2498"/>
    </row>
    <row r="18672" spans="16:16">
      <c r="P18672" s="2498"/>
    </row>
    <row r="18673" spans="16:16">
      <c r="P18673" s="2498"/>
    </row>
    <row r="18674" spans="16:16">
      <c r="P18674" s="2498"/>
    </row>
    <row r="18675" spans="16:16">
      <c r="P18675" s="2498"/>
    </row>
    <row r="18676" spans="16:16">
      <c r="P18676" s="2498"/>
    </row>
    <row r="18677" spans="16:16">
      <c r="P18677" s="2498"/>
    </row>
    <row r="18678" spans="16:16">
      <c r="P18678" s="2498"/>
    </row>
    <row r="18679" spans="16:16">
      <c r="P18679" s="2498"/>
    </row>
    <row r="18680" spans="16:16">
      <c r="P18680" s="2498"/>
    </row>
    <row r="18681" spans="16:16">
      <c r="P18681" s="2498"/>
    </row>
    <row r="18682" spans="16:16">
      <c r="P18682" s="2498"/>
    </row>
    <row r="18683" spans="16:16">
      <c r="P18683" s="2498"/>
    </row>
    <row r="18684" spans="16:16">
      <c r="P18684" s="2498"/>
    </row>
    <row r="18685" spans="16:16">
      <c r="P18685" s="2498"/>
    </row>
    <row r="18686" spans="16:16">
      <c r="P18686" s="2498"/>
    </row>
    <row r="18687" spans="16:16">
      <c r="P18687" s="2498"/>
    </row>
    <row r="18688" spans="16:16">
      <c r="P18688" s="2498"/>
    </row>
    <row r="18689" spans="16:16">
      <c r="P18689" s="2498"/>
    </row>
    <row r="18690" spans="16:16">
      <c r="P18690" s="2498"/>
    </row>
    <row r="18691" spans="16:16">
      <c r="P18691" s="2498"/>
    </row>
    <row r="18692" spans="16:16">
      <c r="P18692" s="2498"/>
    </row>
    <row r="18693" spans="16:16">
      <c r="P18693" s="2498"/>
    </row>
    <row r="18694" spans="16:16">
      <c r="P18694" s="2498"/>
    </row>
    <row r="18695" spans="16:16">
      <c r="P18695" s="2498"/>
    </row>
    <row r="18696" spans="16:16">
      <c r="P18696" s="2498"/>
    </row>
    <row r="18697" spans="16:16">
      <c r="P18697" s="2498"/>
    </row>
    <row r="18698" spans="16:16">
      <c r="P18698" s="2498"/>
    </row>
    <row r="18699" spans="16:16">
      <c r="P18699" s="2498"/>
    </row>
    <row r="18700" spans="16:16">
      <c r="P18700" s="2498"/>
    </row>
    <row r="18701" spans="16:16">
      <c r="P18701" s="2498"/>
    </row>
    <row r="18702" spans="16:16">
      <c r="P18702" s="2498"/>
    </row>
    <row r="18703" spans="16:16">
      <c r="P18703" s="2498"/>
    </row>
    <row r="18704" spans="16:16">
      <c r="P18704" s="2498"/>
    </row>
    <row r="18705" spans="16:16">
      <c r="P18705" s="2498"/>
    </row>
    <row r="18706" spans="16:16">
      <c r="P18706" s="2498"/>
    </row>
    <row r="18707" spans="16:16">
      <c r="P18707" s="2498"/>
    </row>
    <row r="18708" spans="16:16">
      <c r="P18708" s="2498"/>
    </row>
    <row r="18709" spans="16:16">
      <c r="P18709" s="2498"/>
    </row>
    <row r="18710" spans="16:16">
      <c r="P18710" s="2498"/>
    </row>
    <row r="18711" spans="16:16">
      <c r="P18711" s="2498"/>
    </row>
    <row r="18712" spans="16:16">
      <c r="P18712" s="2498"/>
    </row>
    <row r="18713" spans="16:16">
      <c r="P18713" s="2498"/>
    </row>
    <row r="18714" spans="16:16">
      <c r="P18714" s="2498"/>
    </row>
    <row r="18715" spans="16:16">
      <c r="P18715" s="2498"/>
    </row>
    <row r="18716" spans="16:16">
      <c r="P18716" s="2498"/>
    </row>
    <row r="18717" spans="16:16">
      <c r="P18717" s="2498"/>
    </row>
    <row r="18718" spans="16:16">
      <c r="P18718" s="2498"/>
    </row>
    <row r="18719" spans="16:16">
      <c r="P18719" s="2498"/>
    </row>
    <row r="18720" spans="16:16">
      <c r="P18720" s="2498"/>
    </row>
    <row r="18721" spans="16:16">
      <c r="P18721" s="2498"/>
    </row>
    <row r="18722" spans="16:16">
      <c r="P18722" s="2498"/>
    </row>
    <row r="18723" spans="16:16">
      <c r="P18723" s="2498"/>
    </row>
    <row r="18724" spans="16:16">
      <c r="P18724" s="2498"/>
    </row>
    <row r="18725" spans="16:16">
      <c r="P18725" s="2498"/>
    </row>
    <row r="18726" spans="16:16">
      <c r="P18726" s="2498"/>
    </row>
    <row r="18727" spans="16:16">
      <c r="P18727" s="2498"/>
    </row>
    <row r="18728" spans="16:16">
      <c r="P18728" s="2498"/>
    </row>
    <row r="18729" spans="16:16">
      <c r="P18729" s="2498"/>
    </row>
    <row r="18730" spans="16:16">
      <c r="P18730" s="2498"/>
    </row>
    <row r="18731" spans="16:16">
      <c r="P18731" s="2498"/>
    </row>
    <row r="18732" spans="16:16">
      <c r="P18732" s="2498"/>
    </row>
    <row r="18733" spans="16:16">
      <c r="P18733" s="2498"/>
    </row>
    <row r="18734" spans="16:16">
      <c r="P18734" s="2498"/>
    </row>
    <row r="18735" spans="16:16">
      <c r="P18735" s="2498"/>
    </row>
    <row r="18736" spans="16:16">
      <c r="P18736" s="2498"/>
    </row>
    <row r="18737" spans="16:16">
      <c r="P18737" s="2498"/>
    </row>
    <row r="18738" spans="16:16">
      <c r="P18738" s="2498"/>
    </row>
    <row r="18739" spans="16:16">
      <c r="P18739" s="2498"/>
    </row>
    <row r="18740" spans="16:16">
      <c r="P18740" s="2498"/>
    </row>
    <row r="18741" spans="16:16">
      <c r="P18741" s="2498"/>
    </row>
    <row r="18742" spans="16:16">
      <c r="P18742" s="2498"/>
    </row>
    <row r="18743" spans="16:16">
      <c r="P18743" s="2498"/>
    </row>
    <row r="18744" spans="16:16">
      <c r="P18744" s="2498"/>
    </row>
    <row r="18745" spans="16:16">
      <c r="P18745" s="2498"/>
    </row>
    <row r="18746" spans="16:16">
      <c r="P18746" s="2498"/>
    </row>
    <row r="18747" spans="16:16">
      <c r="P18747" s="2498"/>
    </row>
    <row r="18748" spans="16:16">
      <c r="P18748" s="2498"/>
    </row>
    <row r="18749" spans="16:16">
      <c r="P18749" s="2498"/>
    </row>
    <row r="18750" spans="16:16">
      <c r="P18750" s="2498"/>
    </row>
    <row r="18751" spans="16:16">
      <c r="P18751" s="2498"/>
    </row>
    <row r="18752" spans="16:16">
      <c r="P18752" s="2498"/>
    </row>
    <row r="18753" spans="16:16">
      <c r="P18753" s="2498"/>
    </row>
    <row r="18754" spans="16:16">
      <c r="P18754" s="2498"/>
    </row>
    <row r="18755" spans="16:16">
      <c r="P18755" s="2498"/>
    </row>
    <row r="18756" spans="16:16">
      <c r="P18756" s="2498"/>
    </row>
    <row r="18757" spans="16:16">
      <c r="P18757" s="2498"/>
    </row>
    <row r="18758" spans="16:16">
      <c r="P18758" s="2498"/>
    </row>
    <row r="18759" spans="16:16">
      <c r="P18759" s="2498"/>
    </row>
    <row r="18760" spans="16:16">
      <c r="P18760" s="2498"/>
    </row>
    <row r="18761" spans="16:16">
      <c r="P18761" s="2498"/>
    </row>
    <row r="18762" spans="16:16">
      <c r="P18762" s="2498"/>
    </row>
    <row r="18763" spans="16:16">
      <c r="P18763" s="2498"/>
    </row>
    <row r="18764" spans="16:16">
      <c r="P18764" s="2498"/>
    </row>
    <row r="18765" spans="16:16">
      <c r="P18765" s="2498"/>
    </row>
    <row r="18766" spans="16:16">
      <c r="P18766" s="2498"/>
    </row>
    <row r="18767" spans="16:16">
      <c r="P18767" s="2498"/>
    </row>
    <row r="18768" spans="16:16">
      <c r="P18768" s="2498"/>
    </row>
    <row r="18769" spans="16:16">
      <c r="P18769" s="2498"/>
    </row>
    <row r="18770" spans="16:16">
      <c r="P18770" s="2498"/>
    </row>
    <row r="18771" spans="16:16">
      <c r="P18771" s="2498"/>
    </row>
    <row r="18772" spans="16:16">
      <c r="P18772" s="2498"/>
    </row>
    <row r="18773" spans="16:16">
      <c r="P18773" s="2498"/>
    </row>
    <row r="18774" spans="16:16">
      <c r="P18774" s="2498"/>
    </row>
    <row r="18775" spans="16:16">
      <c r="P18775" s="2498"/>
    </row>
    <row r="18776" spans="16:16">
      <c r="P18776" s="2498"/>
    </row>
    <row r="18777" spans="16:16">
      <c r="P18777" s="2498"/>
    </row>
    <row r="18778" spans="16:16">
      <c r="P18778" s="2498"/>
    </row>
    <row r="18779" spans="16:16">
      <c r="P18779" s="2498"/>
    </row>
    <row r="18780" spans="16:16">
      <c r="P18780" s="2498"/>
    </row>
    <row r="18781" spans="16:16">
      <c r="P18781" s="2498"/>
    </row>
    <row r="18782" spans="16:16">
      <c r="P18782" s="2498"/>
    </row>
    <row r="18783" spans="16:16">
      <c r="P18783" s="2498"/>
    </row>
    <row r="18784" spans="16:16">
      <c r="P18784" s="2498"/>
    </row>
    <row r="18785" spans="16:16">
      <c r="P18785" s="2498"/>
    </row>
    <row r="18786" spans="16:16">
      <c r="P18786" s="2498"/>
    </row>
    <row r="18787" spans="16:16">
      <c r="P18787" s="2498"/>
    </row>
    <row r="18788" spans="16:16">
      <c r="P18788" s="2498"/>
    </row>
    <row r="18789" spans="16:16">
      <c r="P18789" s="2498"/>
    </row>
    <row r="18790" spans="16:16">
      <c r="P18790" s="2498"/>
    </row>
    <row r="18791" spans="16:16">
      <c r="P18791" s="2498"/>
    </row>
    <row r="18792" spans="16:16">
      <c r="P18792" s="2498"/>
    </row>
    <row r="18793" spans="16:16">
      <c r="P18793" s="2498"/>
    </row>
    <row r="18794" spans="16:16">
      <c r="P18794" s="2498"/>
    </row>
    <row r="18795" spans="16:16">
      <c r="P18795" s="2498"/>
    </row>
    <row r="18796" spans="16:16">
      <c r="P18796" s="2498"/>
    </row>
    <row r="18797" spans="16:16">
      <c r="P18797" s="2498"/>
    </row>
    <row r="18798" spans="16:16">
      <c r="P18798" s="2498"/>
    </row>
    <row r="18799" spans="16:16">
      <c r="P18799" s="2498"/>
    </row>
    <row r="18800" spans="16:16">
      <c r="P18800" s="2498"/>
    </row>
    <row r="18801" spans="16:16">
      <c r="P18801" s="2498"/>
    </row>
    <row r="18802" spans="16:16">
      <c r="P18802" s="2498"/>
    </row>
    <row r="18803" spans="16:16">
      <c r="P18803" s="2498"/>
    </row>
    <row r="18804" spans="16:16">
      <c r="P18804" s="2498"/>
    </row>
    <row r="18805" spans="16:16">
      <c r="P18805" s="2498"/>
    </row>
    <row r="18806" spans="16:16">
      <c r="P18806" s="2498"/>
    </row>
    <row r="18807" spans="16:16">
      <c r="P18807" s="2498"/>
    </row>
    <row r="18808" spans="16:16">
      <c r="P18808" s="2498"/>
    </row>
    <row r="18809" spans="16:16">
      <c r="P18809" s="2498"/>
    </row>
    <row r="18810" spans="16:16">
      <c r="P18810" s="2498"/>
    </row>
    <row r="18811" spans="16:16">
      <c r="P18811" s="2498"/>
    </row>
    <row r="18812" spans="16:16">
      <c r="P18812" s="2498"/>
    </row>
    <row r="18813" spans="16:16">
      <c r="P18813" s="2498"/>
    </row>
    <row r="18814" spans="16:16">
      <c r="P18814" s="2498"/>
    </row>
    <row r="18815" spans="16:16">
      <c r="P18815" s="2498"/>
    </row>
    <row r="18816" spans="16:16">
      <c r="P18816" s="2498"/>
    </row>
    <row r="18817" spans="16:16">
      <c r="P18817" s="2498"/>
    </row>
    <row r="18818" spans="16:16">
      <c r="P18818" s="2498"/>
    </row>
    <row r="18819" spans="16:16">
      <c r="P18819" s="2498"/>
    </row>
    <row r="18820" spans="16:16">
      <c r="P18820" s="2498"/>
    </row>
    <row r="18821" spans="16:16">
      <c r="P18821" s="2498"/>
    </row>
    <row r="18822" spans="16:16">
      <c r="P18822" s="2498"/>
    </row>
    <row r="18823" spans="16:16">
      <c r="P18823" s="2498"/>
    </row>
    <row r="18824" spans="16:16">
      <c r="P18824" s="2498"/>
    </row>
    <row r="18825" spans="16:16">
      <c r="P18825" s="2498"/>
    </row>
    <row r="18826" spans="16:16">
      <c r="P18826" s="2498"/>
    </row>
    <row r="18827" spans="16:16">
      <c r="P18827" s="2498"/>
    </row>
    <row r="18828" spans="16:16">
      <c r="P18828" s="2498"/>
    </row>
    <row r="18829" spans="16:16">
      <c r="P18829" s="2498"/>
    </row>
    <row r="18830" spans="16:16">
      <c r="P18830" s="2498"/>
    </row>
    <row r="18831" spans="16:16">
      <c r="P18831" s="2498"/>
    </row>
    <row r="18832" spans="16:16">
      <c r="P18832" s="2498"/>
    </row>
    <row r="18833" spans="16:16">
      <c r="P18833" s="2498"/>
    </row>
    <row r="18834" spans="16:16">
      <c r="P18834" s="2498"/>
    </row>
    <row r="18835" spans="16:16">
      <c r="P18835" s="2498"/>
    </row>
    <row r="18836" spans="16:16">
      <c r="P18836" s="2498"/>
    </row>
    <row r="18837" spans="16:16">
      <c r="P18837" s="2498"/>
    </row>
    <row r="18838" spans="16:16">
      <c r="P18838" s="2498"/>
    </row>
    <row r="18839" spans="16:16">
      <c r="P18839" s="2498"/>
    </row>
    <row r="18840" spans="16:16">
      <c r="P18840" s="2498"/>
    </row>
    <row r="18841" spans="16:16">
      <c r="P18841" s="2498"/>
    </row>
    <row r="18842" spans="16:16">
      <c r="P18842" s="2498"/>
    </row>
    <row r="18843" spans="16:16">
      <c r="P18843" s="2498"/>
    </row>
    <row r="18844" spans="16:16">
      <c r="P18844" s="2498"/>
    </row>
    <row r="18845" spans="16:16">
      <c r="P18845" s="2498"/>
    </row>
    <row r="18846" spans="16:16">
      <c r="P18846" s="2498"/>
    </row>
    <row r="18847" spans="16:16">
      <c r="P18847" s="2498"/>
    </row>
    <row r="18848" spans="16:16">
      <c r="P18848" s="2498"/>
    </row>
    <row r="18849" spans="16:16">
      <c r="P18849" s="2498"/>
    </row>
    <row r="18850" spans="16:16">
      <c r="P18850" s="2498"/>
    </row>
    <row r="18851" spans="16:16">
      <c r="P18851" s="2498"/>
    </row>
    <row r="18852" spans="16:16">
      <c r="P18852" s="2498"/>
    </row>
    <row r="18853" spans="16:16">
      <c r="P18853" s="2498"/>
    </row>
    <row r="18854" spans="16:16">
      <c r="P18854" s="2498"/>
    </row>
    <row r="18855" spans="16:16">
      <c r="P18855" s="2498"/>
    </row>
    <row r="18856" spans="16:16">
      <c r="P18856" s="2498"/>
    </row>
    <row r="18857" spans="16:16">
      <c r="P18857" s="2498"/>
    </row>
    <row r="18858" spans="16:16">
      <c r="P18858" s="2498"/>
    </row>
    <row r="18859" spans="16:16">
      <c r="P18859" s="2498"/>
    </row>
    <row r="18860" spans="16:16">
      <c r="P18860" s="2498"/>
    </row>
    <row r="18861" spans="16:16">
      <c r="P18861" s="2498"/>
    </row>
    <row r="18862" spans="16:16">
      <c r="P18862" s="2498"/>
    </row>
    <row r="18863" spans="16:16">
      <c r="P18863" s="2498"/>
    </row>
    <row r="18864" spans="16:16">
      <c r="P18864" s="2498"/>
    </row>
    <row r="18865" spans="16:16">
      <c r="P18865" s="2498"/>
    </row>
    <row r="18866" spans="16:16">
      <c r="P18866" s="2498"/>
    </row>
    <row r="18867" spans="16:16">
      <c r="P18867" s="2498"/>
    </row>
    <row r="18868" spans="16:16">
      <c r="P18868" s="2498"/>
    </row>
    <row r="18869" spans="16:16">
      <c r="P18869" s="2498"/>
    </row>
    <row r="18870" spans="16:16">
      <c r="P18870" s="2498"/>
    </row>
    <row r="18871" spans="16:16">
      <c r="P18871" s="2498"/>
    </row>
    <row r="18872" spans="16:16">
      <c r="P18872" s="2498"/>
    </row>
    <row r="18873" spans="16:16">
      <c r="P18873" s="2498"/>
    </row>
    <row r="18874" spans="16:16">
      <c r="P18874" s="2498"/>
    </row>
    <row r="18875" spans="16:16">
      <c r="P18875" s="2498"/>
    </row>
    <row r="18876" spans="16:16">
      <c r="P18876" s="2498"/>
    </row>
    <row r="18877" spans="16:16">
      <c r="P18877" s="2498"/>
    </row>
    <row r="18878" spans="16:16">
      <c r="P18878" s="2498"/>
    </row>
    <row r="18879" spans="16:16">
      <c r="P18879" s="2498"/>
    </row>
    <row r="18880" spans="16:16">
      <c r="P18880" s="2498"/>
    </row>
    <row r="18881" spans="16:16">
      <c r="P18881" s="2498"/>
    </row>
    <row r="18882" spans="16:16">
      <c r="P18882" s="2498"/>
    </row>
    <row r="18883" spans="16:16">
      <c r="P18883" s="2498"/>
    </row>
    <row r="18884" spans="16:16">
      <c r="P18884" s="2498"/>
    </row>
    <row r="18885" spans="16:16">
      <c r="P18885" s="2498"/>
    </row>
    <row r="18886" spans="16:16">
      <c r="P18886" s="2498"/>
    </row>
    <row r="18887" spans="16:16">
      <c r="P18887" s="2498"/>
    </row>
    <row r="18888" spans="16:16">
      <c r="P18888" s="2498"/>
    </row>
    <row r="18889" spans="16:16">
      <c r="P18889" s="2498"/>
    </row>
    <row r="18890" spans="16:16">
      <c r="P18890" s="2498"/>
    </row>
    <row r="18891" spans="16:16">
      <c r="P18891" s="2498"/>
    </row>
    <row r="18892" spans="16:16">
      <c r="P18892" s="2498"/>
    </row>
    <row r="18893" spans="16:16">
      <c r="P18893" s="2498"/>
    </row>
    <row r="18894" spans="16:16">
      <c r="P18894" s="2498"/>
    </row>
    <row r="18895" spans="16:16">
      <c r="P18895" s="2498"/>
    </row>
    <row r="18896" spans="16:16">
      <c r="P18896" s="2498"/>
    </row>
    <row r="18897" spans="16:16">
      <c r="P18897" s="2498"/>
    </row>
    <row r="18898" spans="16:16">
      <c r="P18898" s="2498"/>
    </row>
    <row r="18899" spans="16:16">
      <c r="P18899" s="2498"/>
    </row>
    <row r="18900" spans="16:16">
      <c r="P18900" s="2498"/>
    </row>
    <row r="18901" spans="16:16">
      <c r="P18901" s="2498"/>
    </row>
    <row r="18902" spans="16:16">
      <c r="P18902" s="2498"/>
    </row>
    <row r="18903" spans="16:16">
      <c r="P18903" s="2498"/>
    </row>
    <row r="18904" spans="16:16">
      <c r="P18904" s="2498"/>
    </row>
    <row r="18905" spans="16:16">
      <c r="P18905" s="2498"/>
    </row>
    <row r="18906" spans="16:16">
      <c r="P18906" s="2498"/>
    </row>
    <row r="18907" spans="16:16">
      <c r="P18907" s="2498"/>
    </row>
    <row r="18908" spans="16:16">
      <c r="P18908" s="2498"/>
    </row>
    <row r="18909" spans="16:16">
      <c r="P18909" s="2498"/>
    </row>
    <row r="18910" spans="16:16">
      <c r="P18910" s="2498"/>
    </row>
    <row r="18911" spans="16:16">
      <c r="P18911" s="2498"/>
    </row>
    <row r="18912" spans="16:16">
      <c r="P18912" s="2498"/>
    </row>
    <row r="18913" spans="16:16">
      <c r="P18913" s="2498"/>
    </row>
    <row r="18914" spans="16:16">
      <c r="P18914" s="2498"/>
    </row>
    <row r="18915" spans="16:16">
      <c r="P18915" s="2498"/>
    </row>
    <row r="18916" spans="16:16">
      <c r="P18916" s="2498"/>
    </row>
    <row r="18917" spans="16:16">
      <c r="P18917" s="2498"/>
    </row>
    <row r="18918" spans="16:16">
      <c r="P18918" s="2498"/>
    </row>
    <row r="18919" spans="16:16">
      <c r="P18919" s="2498"/>
    </row>
    <row r="18920" spans="16:16">
      <c r="P18920" s="2498"/>
    </row>
    <row r="18921" spans="16:16">
      <c r="P18921" s="2498"/>
    </row>
    <row r="18922" spans="16:16">
      <c r="P18922" s="2498"/>
    </row>
    <row r="18923" spans="16:16">
      <c r="P18923" s="2498"/>
    </row>
    <row r="18924" spans="16:16">
      <c r="P18924" s="2498"/>
    </row>
    <row r="18925" spans="16:16">
      <c r="P18925" s="2498"/>
    </row>
    <row r="18926" spans="16:16">
      <c r="P18926" s="2498"/>
    </row>
    <row r="18927" spans="16:16">
      <c r="P18927" s="2498"/>
    </row>
    <row r="18928" spans="16:16">
      <c r="P18928" s="2498"/>
    </row>
    <row r="18929" spans="16:16">
      <c r="P18929" s="2498"/>
    </row>
    <row r="18930" spans="16:16">
      <c r="P18930" s="2498"/>
    </row>
    <row r="18931" spans="16:16">
      <c r="P18931" s="2498"/>
    </row>
    <row r="18932" spans="16:16">
      <c r="P18932" s="2498"/>
    </row>
    <row r="18933" spans="16:16">
      <c r="P18933" s="2498"/>
    </row>
    <row r="18934" spans="16:16">
      <c r="P18934" s="2498"/>
    </row>
    <row r="18935" spans="16:16">
      <c r="P18935" s="2498"/>
    </row>
    <row r="18936" spans="16:16">
      <c r="P18936" s="2498"/>
    </row>
    <row r="18937" spans="16:16">
      <c r="P18937" s="2498"/>
    </row>
    <row r="18938" spans="16:16">
      <c r="P18938" s="2498"/>
    </row>
    <row r="18939" spans="16:16">
      <c r="P18939" s="2498"/>
    </row>
    <row r="18940" spans="16:16">
      <c r="P18940" s="2498"/>
    </row>
    <row r="18941" spans="16:16">
      <c r="P18941" s="2498"/>
    </row>
    <row r="18942" spans="16:16">
      <c r="P18942" s="2498"/>
    </row>
    <row r="18943" spans="16:16">
      <c r="P18943" s="2498"/>
    </row>
    <row r="18944" spans="16:16">
      <c r="P18944" s="2498"/>
    </row>
    <row r="18945" spans="16:16">
      <c r="P18945" s="2498"/>
    </row>
    <row r="18946" spans="16:16">
      <c r="P18946" s="2498"/>
    </row>
    <row r="18947" spans="16:16">
      <c r="P18947" s="2498"/>
    </row>
    <row r="18948" spans="16:16">
      <c r="P18948" s="2498"/>
    </row>
    <row r="18949" spans="16:16">
      <c r="P18949" s="2498"/>
    </row>
    <row r="18950" spans="16:16">
      <c r="P18950" s="2498"/>
    </row>
    <row r="18951" spans="16:16">
      <c r="P18951" s="2498"/>
    </row>
    <row r="18952" spans="16:16">
      <c r="P18952" s="2498"/>
    </row>
    <row r="18953" spans="16:16">
      <c r="P18953" s="2498"/>
    </row>
    <row r="18954" spans="16:16">
      <c r="P18954" s="2498"/>
    </row>
    <row r="18955" spans="16:16">
      <c r="P18955" s="2498"/>
    </row>
    <row r="18956" spans="16:16">
      <c r="P18956" s="2498"/>
    </row>
    <row r="18957" spans="16:16">
      <c r="P18957" s="2498"/>
    </row>
    <row r="18958" spans="16:16">
      <c r="P18958" s="2498"/>
    </row>
    <row r="18959" spans="16:16">
      <c r="P18959" s="2498"/>
    </row>
    <row r="18960" spans="16:16">
      <c r="P18960" s="2498"/>
    </row>
    <row r="18961" spans="16:16">
      <c r="P18961" s="2498"/>
    </row>
    <row r="18962" spans="16:16">
      <c r="P18962" s="2498"/>
    </row>
    <row r="18963" spans="16:16">
      <c r="P18963" s="2498"/>
    </row>
    <row r="18964" spans="16:16">
      <c r="P18964" s="2498"/>
    </row>
    <row r="18965" spans="16:16">
      <c r="P18965" s="2498"/>
    </row>
    <row r="18966" spans="16:16">
      <c r="P18966" s="2498"/>
    </row>
    <row r="18967" spans="16:16">
      <c r="P18967" s="2498"/>
    </row>
    <row r="18968" spans="16:16">
      <c r="P18968" s="2498"/>
    </row>
    <row r="18969" spans="16:16">
      <c r="P18969" s="2498"/>
    </row>
    <row r="18970" spans="16:16">
      <c r="P18970" s="2498"/>
    </row>
    <row r="18971" spans="16:16">
      <c r="P18971" s="2498"/>
    </row>
    <row r="18972" spans="16:16">
      <c r="P18972" s="2498"/>
    </row>
    <row r="18973" spans="16:16">
      <c r="P18973" s="2498"/>
    </row>
    <row r="18974" spans="16:16">
      <c r="P18974" s="2498"/>
    </row>
    <row r="18975" spans="16:16">
      <c r="P18975" s="2498"/>
    </row>
    <row r="18976" spans="16:16">
      <c r="P18976" s="2498"/>
    </row>
    <row r="18977" spans="16:16">
      <c r="P18977" s="2498"/>
    </row>
    <row r="18978" spans="16:16">
      <c r="P18978" s="2498"/>
    </row>
    <row r="18979" spans="16:16">
      <c r="P18979" s="2498"/>
    </row>
    <row r="18980" spans="16:16">
      <c r="P18980" s="2498"/>
    </row>
    <row r="18981" spans="16:16">
      <c r="P18981" s="2498"/>
    </row>
    <row r="18982" spans="16:16">
      <c r="P18982" s="2498"/>
    </row>
    <row r="18983" spans="16:16">
      <c r="P18983" s="2498"/>
    </row>
    <row r="18984" spans="16:16">
      <c r="P18984" s="2498"/>
    </row>
    <row r="18985" spans="16:16">
      <c r="P18985" s="2498"/>
    </row>
    <row r="18986" spans="16:16">
      <c r="P18986" s="2498"/>
    </row>
    <row r="18987" spans="16:16">
      <c r="P18987" s="2498"/>
    </row>
    <row r="18988" spans="16:16">
      <c r="P18988" s="2498"/>
    </row>
    <row r="18989" spans="16:16">
      <c r="P18989" s="2498"/>
    </row>
    <row r="18990" spans="16:16">
      <c r="P18990" s="2498"/>
    </row>
    <row r="18991" spans="16:16">
      <c r="P18991" s="2498"/>
    </row>
    <row r="18992" spans="16:16">
      <c r="P18992" s="2498"/>
    </row>
    <row r="18993" spans="16:16">
      <c r="P18993" s="2498"/>
    </row>
    <row r="18994" spans="16:16">
      <c r="P18994" s="2498"/>
    </row>
    <row r="18995" spans="16:16">
      <c r="P18995" s="2498"/>
    </row>
    <row r="18996" spans="16:16">
      <c r="P18996" s="2498"/>
    </row>
    <row r="18997" spans="16:16">
      <c r="P18997" s="2498"/>
    </row>
    <row r="18998" spans="16:16">
      <c r="P18998" s="2498"/>
    </row>
    <row r="18999" spans="16:16">
      <c r="P18999" s="2498"/>
    </row>
    <row r="19000" spans="16:16">
      <c r="P19000" s="2498"/>
    </row>
    <row r="19001" spans="16:16">
      <c r="P19001" s="2498"/>
    </row>
    <row r="19002" spans="16:16">
      <c r="P19002" s="2498"/>
    </row>
    <row r="19003" spans="16:16">
      <c r="P19003" s="2498"/>
    </row>
    <row r="19004" spans="16:16">
      <c r="P19004" s="2498"/>
    </row>
    <row r="19005" spans="16:16">
      <c r="P19005" s="2498"/>
    </row>
    <row r="19006" spans="16:16">
      <c r="P19006" s="2498"/>
    </row>
    <row r="19007" spans="16:16">
      <c r="P19007" s="2498"/>
    </row>
    <row r="19008" spans="16:16">
      <c r="P19008" s="2498"/>
    </row>
    <row r="19009" spans="16:16">
      <c r="P19009" s="2498"/>
    </row>
    <row r="19010" spans="16:16">
      <c r="P19010" s="2498"/>
    </row>
    <row r="19011" spans="16:16">
      <c r="P19011" s="2498"/>
    </row>
    <row r="19012" spans="16:16">
      <c r="P19012" s="2498"/>
    </row>
    <row r="19013" spans="16:16">
      <c r="P19013" s="2498"/>
    </row>
    <row r="19014" spans="16:16">
      <c r="P19014" s="2498"/>
    </row>
    <row r="19015" spans="16:16">
      <c r="P19015" s="2498"/>
    </row>
    <row r="19016" spans="16:16">
      <c r="P19016" s="2498"/>
    </row>
    <row r="19017" spans="16:16">
      <c r="P19017" s="2498"/>
    </row>
    <row r="19018" spans="16:16">
      <c r="P19018" s="2498"/>
    </row>
    <row r="19019" spans="16:16">
      <c r="P19019" s="2498"/>
    </row>
    <row r="19020" spans="16:16">
      <c r="P19020" s="2498"/>
    </row>
    <row r="19021" spans="16:16">
      <c r="P19021" s="2498"/>
    </row>
    <row r="19022" spans="16:16">
      <c r="P19022" s="2498"/>
    </row>
    <row r="19023" spans="16:16">
      <c r="P19023" s="2498"/>
    </row>
    <row r="19024" spans="16:16">
      <c r="P19024" s="2498"/>
    </row>
    <row r="19025" spans="16:16">
      <c r="P19025" s="2498"/>
    </row>
    <row r="19026" spans="16:16">
      <c r="P19026" s="2498"/>
    </row>
    <row r="19027" spans="16:16">
      <c r="P19027" s="2498"/>
    </row>
    <row r="19028" spans="16:16">
      <c r="P19028" s="2498"/>
    </row>
    <row r="19029" spans="16:16">
      <c r="P19029" s="2498"/>
    </row>
    <row r="19030" spans="16:16">
      <c r="P19030" s="2498"/>
    </row>
    <row r="19031" spans="16:16">
      <c r="P19031" s="2498"/>
    </row>
    <row r="19032" spans="16:16">
      <c r="P19032" s="2498"/>
    </row>
    <row r="19033" spans="16:16">
      <c r="P19033" s="2498"/>
    </row>
    <row r="19034" spans="16:16">
      <c r="P19034" s="2498"/>
    </row>
    <row r="19035" spans="16:16">
      <c r="P19035" s="2498"/>
    </row>
    <row r="19036" spans="16:16">
      <c r="P19036" s="2498"/>
    </row>
    <row r="19037" spans="16:16">
      <c r="P19037" s="2498"/>
    </row>
    <row r="19038" spans="16:16">
      <c r="P19038" s="2498"/>
    </row>
    <row r="19039" spans="16:16">
      <c r="P19039" s="2498"/>
    </row>
    <row r="19040" spans="16:16">
      <c r="P19040" s="2498"/>
    </row>
    <row r="19041" spans="16:16">
      <c r="P19041" s="2498"/>
    </row>
    <row r="19042" spans="16:16">
      <c r="P19042" s="2498"/>
    </row>
    <row r="19043" spans="16:16">
      <c r="P19043" s="2498"/>
    </row>
    <row r="19044" spans="16:16">
      <c r="P19044" s="2498"/>
    </row>
    <row r="19045" spans="16:16">
      <c r="P19045" s="2498"/>
    </row>
    <row r="19046" spans="16:16">
      <c r="P19046" s="2498"/>
    </row>
    <row r="19047" spans="16:16">
      <c r="P19047" s="2498"/>
    </row>
    <row r="19048" spans="16:16">
      <c r="P19048" s="2498"/>
    </row>
    <row r="19049" spans="16:16">
      <c r="P19049" s="2498"/>
    </row>
    <row r="19050" spans="16:16">
      <c r="P19050" s="2498"/>
    </row>
    <row r="19051" spans="16:16">
      <c r="P19051" s="2498"/>
    </row>
    <row r="19052" spans="16:16">
      <c r="P19052" s="2498"/>
    </row>
    <row r="19053" spans="16:16">
      <c r="P19053" s="2498"/>
    </row>
    <row r="19054" spans="16:16">
      <c r="P19054" s="2498"/>
    </row>
    <row r="19055" spans="16:16">
      <c r="P19055" s="2498"/>
    </row>
    <row r="19056" spans="16:16">
      <c r="P19056" s="2498"/>
    </row>
    <row r="19057" spans="16:16">
      <c r="P19057" s="2498"/>
    </row>
    <row r="19058" spans="16:16">
      <c r="P19058" s="2498"/>
    </row>
    <row r="19059" spans="16:16">
      <c r="P19059" s="2498"/>
    </row>
    <row r="19060" spans="16:16">
      <c r="P19060" s="2498"/>
    </row>
    <row r="19061" spans="16:16">
      <c r="P19061" s="2498"/>
    </row>
    <row r="19062" spans="16:16">
      <c r="P19062" s="2498"/>
    </row>
    <row r="19063" spans="16:16">
      <c r="P19063" s="2498"/>
    </row>
    <row r="19064" spans="16:16">
      <c r="P19064" s="2498"/>
    </row>
    <row r="19065" spans="16:16">
      <c r="P19065" s="2498"/>
    </row>
    <row r="19066" spans="16:16">
      <c r="P19066" s="2498"/>
    </row>
    <row r="19067" spans="16:16">
      <c r="P19067" s="2498"/>
    </row>
    <row r="19068" spans="16:16">
      <c r="P19068" s="2498"/>
    </row>
    <row r="19069" spans="16:16">
      <c r="P19069" s="2498"/>
    </row>
    <row r="19070" spans="16:16">
      <c r="P19070" s="2498"/>
    </row>
    <row r="19071" spans="16:16">
      <c r="P19071" s="2498"/>
    </row>
    <row r="19072" spans="16:16">
      <c r="P19072" s="2498"/>
    </row>
    <row r="19073" spans="16:16">
      <c r="P19073" s="2498"/>
    </row>
    <row r="19074" spans="16:16">
      <c r="P19074" s="2498"/>
    </row>
    <row r="19075" spans="16:16">
      <c r="P19075" s="2498"/>
    </row>
    <row r="19076" spans="16:16">
      <c r="P19076" s="2498"/>
    </row>
    <row r="19077" spans="16:16">
      <c r="P19077" s="2498"/>
    </row>
    <row r="19078" spans="16:16">
      <c r="P19078" s="2498"/>
    </row>
    <row r="19079" spans="16:16">
      <c r="P19079" s="2498"/>
    </row>
    <row r="19080" spans="16:16">
      <c r="P19080" s="2498"/>
    </row>
    <row r="19081" spans="16:16">
      <c r="P19081" s="2498"/>
    </row>
    <row r="19082" spans="16:16">
      <c r="P19082" s="2498"/>
    </row>
    <row r="19083" spans="16:16">
      <c r="P19083" s="2498"/>
    </row>
    <row r="19084" spans="16:16">
      <c r="P19084" s="2498"/>
    </row>
    <row r="19085" spans="16:16">
      <c r="P19085" s="2498"/>
    </row>
    <row r="19086" spans="16:16">
      <c r="P19086" s="2498"/>
    </row>
    <row r="19087" spans="16:16">
      <c r="P19087" s="2498"/>
    </row>
    <row r="19088" spans="16:16">
      <c r="P19088" s="2498"/>
    </row>
    <row r="19089" spans="16:16">
      <c r="P19089" s="2498"/>
    </row>
    <row r="19090" spans="16:16">
      <c r="P19090" s="2498"/>
    </row>
    <row r="19091" spans="16:16">
      <c r="P19091" s="2498"/>
    </row>
    <row r="19092" spans="16:16">
      <c r="P19092" s="2498"/>
    </row>
    <row r="19093" spans="16:16">
      <c r="P19093" s="2498"/>
    </row>
    <row r="19094" spans="16:16">
      <c r="P19094" s="2498"/>
    </row>
    <row r="19095" spans="16:16">
      <c r="P19095" s="2498"/>
    </row>
    <row r="19096" spans="16:16">
      <c r="P19096" s="2498"/>
    </row>
    <row r="19097" spans="16:16">
      <c r="P19097" s="2498"/>
    </row>
    <row r="19098" spans="16:16">
      <c r="P19098" s="2498"/>
    </row>
    <row r="19099" spans="16:16">
      <c r="P19099" s="2498"/>
    </row>
    <row r="19100" spans="16:16">
      <c r="P19100" s="2498"/>
    </row>
    <row r="19101" spans="16:16">
      <c r="P19101" s="2498"/>
    </row>
    <row r="19102" spans="16:16">
      <c r="P19102" s="2498"/>
    </row>
    <row r="19103" spans="16:16">
      <c r="P19103" s="2498"/>
    </row>
    <row r="19104" spans="16:16">
      <c r="P19104" s="2498"/>
    </row>
    <row r="19105" spans="16:16">
      <c r="P19105" s="2498"/>
    </row>
    <row r="19106" spans="16:16">
      <c r="P19106" s="2498"/>
    </row>
    <row r="19107" spans="16:16">
      <c r="P19107" s="2498"/>
    </row>
    <row r="19108" spans="16:16">
      <c r="P19108" s="2498"/>
    </row>
    <row r="19109" spans="16:16">
      <c r="P19109" s="2498"/>
    </row>
    <row r="19110" spans="16:16">
      <c r="P19110" s="2498"/>
    </row>
    <row r="19111" spans="16:16">
      <c r="P19111" s="2498"/>
    </row>
    <row r="19112" spans="16:16">
      <c r="P19112" s="2498"/>
    </row>
    <row r="19113" spans="16:16">
      <c r="P19113" s="2498"/>
    </row>
    <row r="19114" spans="16:16">
      <c r="P19114" s="2498"/>
    </row>
    <row r="19115" spans="16:16">
      <c r="P19115" s="2498"/>
    </row>
    <row r="19116" spans="16:16">
      <c r="P19116" s="2498"/>
    </row>
    <row r="19117" spans="16:16">
      <c r="P19117" s="2498"/>
    </row>
    <row r="19118" spans="16:16">
      <c r="P19118" s="2498"/>
    </row>
    <row r="19119" spans="16:16">
      <c r="P19119" s="2498"/>
    </row>
    <row r="19120" spans="16:16">
      <c r="P19120" s="2498"/>
    </row>
    <row r="19121" spans="16:16">
      <c r="P19121" s="2498"/>
    </row>
    <row r="19122" spans="16:16">
      <c r="P19122" s="2498"/>
    </row>
    <row r="19123" spans="16:16">
      <c r="P19123" s="2498"/>
    </row>
    <row r="19124" spans="16:16">
      <c r="P19124" s="2498"/>
    </row>
    <row r="19125" spans="16:16">
      <c r="P19125" s="2498"/>
    </row>
    <row r="19126" spans="16:16">
      <c r="P19126" s="2498"/>
    </row>
    <row r="19127" spans="16:16">
      <c r="P19127" s="2498"/>
    </row>
    <row r="19128" spans="16:16">
      <c r="P19128" s="2498"/>
    </row>
    <row r="19129" spans="16:16">
      <c r="P19129" s="2498"/>
    </row>
    <row r="19130" spans="16:16">
      <c r="P19130" s="2498"/>
    </row>
    <row r="19131" spans="16:16">
      <c r="P19131" s="2498"/>
    </row>
    <row r="19132" spans="16:16">
      <c r="P19132" s="2498"/>
    </row>
    <row r="19133" spans="16:16">
      <c r="P19133" s="2498"/>
    </row>
    <row r="19134" spans="16:16">
      <c r="P19134" s="2498"/>
    </row>
    <row r="19135" spans="16:16">
      <c r="P19135" s="2498"/>
    </row>
    <row r="19136" spans="16:16">
      <c r="P19136" s="2498"/>
    </row>
    <row r="19137" spans="16:16">
      <c r="P19137" s="2498"/>
    </row>
    <row r="19138" spans="16:16">
      <c r="P19138" s="2498"/>
    </row>
    <row r="19139" spans="16:16">
      <c r="P19139" s="2498"/>
    </row>
    <row r="19140" spans="16:16">
      <c r="P19140" s="2498"/>
    </row>
    <row r="19141" spans="16:16">
      <c r="P19141" s="2498"/>
    </row>
    <row r="19142" spans="16:16">
      <c r="P19142" s="2498"/>
    </row>
    <row r="19143" spans="16:16">
      <c r="P19143" s="2498"/>
    </row>
    <row r="19144" spans="16:16">
      <c r="P19144" s="2498"/>
    </row>
    <row r="19145" spans="16:16">
      <c r="P19145" s="2498"/>
    </row>
    <row r="19146" spans="16:16">
      <c r="P19146" s="2498"/>
    </row>
    <row r="19147" spans="16:16">
      <c r="P19147" s="2498"/>
    </row>
    <row r="19148" spans="16:16">
      <c r="P19148" s="2498"/>
    </row>
    <row r="19149" spans="16:16">
      <c r="P19149" s="2498"/>
    </row>
    <row r="19150" spans="16:16">
      <c r="P19150" s="2498"/>
    </row>
    <row r="19151" spans="16:16">
      <c r="P19151" s="2498"/>
    </row>
    <row r="19152" spans="16:16">
      <c r="P19152" s="2498"/>
    </row>
    <row r="19153" spans="16:16">
      <c r="P19153" s="2498"/>
    </row>
    <row r="19154" spans="16:16">
      <c r="P19154" s="2498"/>
    </row>
    <row r="19155" spans="16:16">
      <c r="P19155" s="2498"/>
    </row>
    <row r="19156" spans="16:16">
      <c r="P19156" s="2498"/>
    </row>
    <row r="19157" spans="16:16">
      <c r="P19157" s="2498"/>
    </row>
    <row r="19158" spans="16:16">
      <c r="P19158" s="2498"/>
    </row>
    <row r="19159" spans="16:16">
      <c r="P19159" s="2498"/>
    </row>
    <row r="19160" spans="16:16">
      <c r="P19160" s="2498"/>
    </row>
    <row r="19161" spans="16:16">
      <c r="P19161" s="2498"/>
    </row>
    <row r="19162" spans="16:16">
      <c r="P19162" s="2498"/>
    </row>
    <row r="19163" spans="16:16">
      <c r="P19163" s="2498"/>
    </row>
    <row r="19164" spans="16:16">
      <c r="P19164" s="2498"/>
    </row>
    <row r="19165" spans="16:16">
      <c r="P19165" s="2498"/>
    </row>
    <row r="19166" spans="16:16">
      <c r="P19166" s="2498"/>
    </row>
    <row r="19167" spans="16:16">
      <c r="P19167" s="2498"/>
    </row>
    <row r="19168" spans="16:16">
      <c r="P19168" s="2498"/>
    </row>
    <row r="19169" spans="16:16">
      <c r="P19169" s="2498"/>
    </row>
    <row r="19170" spans="16:16">
      <c r="P19170" s="2498"/>
    </row>
    <row r="19171" spans="16:16">
      <c r="P19171" s="2498"/>
    </row>
    <row r="19172" spans="16:16">
      <c r="P19172" s="2498"/>
    </row>
    <row r="19173" spans="16:16">
      <c r="P19173" s="2498"/>
    </row>
    <row r="19174" spans="16:16">
      <c r="P19174" s="2498"/>
    </row>
    <row r="19175" spans="16:16">
      <c r="P19175" s="2498"/>
    </row>
    <row r="19176" spans="16:16">
      <c r="P19176" s="2498"/>
    </row>
    <row r="19177" spans="16:16">
      <c r="P19177" s="2498"/>
    </row>
    <row r="19178" spans="16:16">
      <c r="P19178" s="2498"/>
    </row>
    <row r="19179" spans="16:16">
      <c r="P19179" s="2498"/>
    </row>
    <row r="19180" spans="16:16">
      <c r="P19180" s="2498"/>
    </row>
    <row r="19181" spans="16:16">
      <c r="P19181" s="2498"/>
    </row>
    <row r="19182" spans="16:16">
      <c r="P19182" s="2498"/>
    </row>
    <row r="19183" spans="16:16">
      <c r="P19183" s="2498"/>
    </row>
    <row r="19184" spans="16:16">
      <c r="P19184" s="2498"/>
    </row>
    <row r="19185" spans="16:16">
      <c r="P19185" s="2498"/>
    </row>
    <row r="19186" spans="16:16">
      <c r="P19186" s="2498"/>
    </row>
    <row r="19187" spans="16:16">
      <c r="P19187" s="2498"/>
    </row>
    <row r="19188" spans="16:16">
      <c r="P19188" s="2498"/>
    </row>
    <row r="19189" spans="16:16">
      <c r="P19189" s="2498"/>
    </row>
    <row r="19190" spans="16:16">
      <c r="P19190" s="2498"/>
    </row>
    <row r="19191" spans="16:16">
      <c r="P19191" s="2498"/>
    </row>
    <row r="19192" spans="16:16">
      <c r="P19192" s="2498"/>
    </row>
    <row r="19193" spans="16:16">
      <c r="P19193" s="2498"/>
    </row>
    <row r="19194" spans="16:16">
      <c r="P19194" s="2498"/>
    </row>
    <row r="19195" spans="16:16">
      <c r="P19195" s="2498"/>
    </row>
    <row r="19196" spans="16:16">
      <c r="P19196" s="2498"/>
    </row>
    <row r="19197" spans="16:16">
      <c r="P19197" s="2498"/>
    </row>
    <row r="19198" spans="16:16">
      <c r="P19198" s="2498"/>
    </row>
    <row r="19199" spans="16:16">
      <c r="P19199" s="2498"/>
    </row>
    <row r="19200" spans="16:16">
      <c r="P19200" s="2498"/>
    </row>
    <row r="19201" spans="16:16">
      <c r="P19201" s="2498"/>
    </row>
    <row r="19202" spans="16:16">
      <c r="P19202" s="2498"/>
    </row>
    <row r="19203" spans="16:16">
      <c r="P19203" s="2498"/>
    </row>
    <row r="19204" spans="16:16">
      <c r="P19204" s="2498"/>
    </row>
    <row r="19205" spans="16:16">
      <c r="P19205" s="2498"/>
    </row>
    <row r="19206" spans="16:16">
      <c r="P19206" s="2498"/>
    </row>
    <row r="19207" spans="16:16">
      <c r="P19207" s="2498"/>
    </row>
    <row r="19208" spans="16:16">
      <c r="P19208" s="2498"/>
    </row>
    <row r="19209" spans="16:16">
      <c r="P19209" s="2498"/>
    </row>
    <row r="19210" spans="16:16">
      <c r="P19210" s="2498"/>
    </row>
    <row r="19211" spans="16:16">
      <c r="P19211" s="2498"/>
    </row>
    <row r="19212" spans="16:16">
      <c r="P19212" s="2498"/>
    </row>
    <row r="19213" spans="16:16">
      <c r="P19213" s="2498"/>
    </row>
    <row r="19214" spans="16:16">
      <c r="P19214" s="2498"/>
    </row>
    <row r="19215" spans="16:16">
      <c r="P19215" s="2498"/>
    </row>
    <row r="19216" spans="16:16">
      <c r="P19216" s="2498"/>
    </row>
    <row r="19217" spans="16:16">
      <c r="P19217" s="2498"/>
    </row>
    <row r="19218" spans="16:16">
      <c r="P19218" s="2498"/>
    </row>
    <row r="19219" spans="16:16">
      <c r="P19219" s="2498"/>
    </row>
    <row r="19220" spans="16:16">
      <c r="P19220" s="2498"/>
    </row>
    <row r="19221" spans="16:16">
      <c r="P19221" s="2498"/>
    </row>
    <row r="19222" spans="16:16">
      <c r="P19222" s="2498"/>
    </row>
    <row r="19223" spans="16:16">
      <c r="P19223" s="2498"/>
    </row>
    <row r="19224" spans="16:16">
      <c r="P19224" s="2498"/>
    </row>
    <row r="19225" spans="16:16">
      <c r="P19225" s="2498"/>
    </row>
    <row r="19226" spans="16:16">
      <c r="P19226" s="2498"/>
    </row>
    <row r="19227" spans="16:16">
      <c r="P19227" s="2498"/>
    </row>
    <row r="19228" spans="16:16">
      <c r="P19228" s="2498"/>
    </row>
    <row r="19229" spans="16:16">
      <c r="P19229" s="2498"/>
    </row>
    <row r="19230" spans="16:16">
      <c r="P19230" s="2498"/>
    </row>
    <row r="19231" spans="16:16">
      <c r="P19231" s="2498"/>
    </row>
    <row r="19232" spans="16:16">
      <c r="P19232" s="2498"/>
    </row>
    <row r="19233" spans="16:16">
      <c r="P19233" s="2498"/>
    </row>
    <row r="19234" spans="16:16">
      <c r="P19234" s="2498"/>
    </row>
    <row r="19235" spans="16:16">
      <c r="P19235" s="2498"/>
    </row>
    <row r="19236" spans="16:16">
      <c r="P19236" s="2498"/>
    </row>
    <row r="19237" spans="16:16">
      <c r="P19237" s="2498"/>
    </row>
    <row r="19238" spans="16:16">
      <c r="P19238" s="2498"/>
    </row>
    <row r="19239" spans="16:16">
      <c r="P19239" s="2498"/>
    </row>
    <row r="19240" spans="16:16">
      <c r="P19240" s="2498"/>
    </row>
    <row r="19241" spans="16:16">
      <c r="P19241" s="2498"/>
    </row>
    <row r="19242" spans="16:16">
      <c r="P19242" s="2498"/>
    </row>
    <row r="19243" spans="16:16">
      <c r="P19243" s="2498"/>
    </row>
    <row r="19244" spans="16:16">
      <c r="P19244" s="2498"/>
    </row>
    <row r="19245" spans="16:16">
      <c r="P19245" s="2498"/>
    </row>
    <row r="19246" spans="16:16">
      <c r="P19246" s="2498"/>
    </row>
    <row r="19247" spans="16:16">
      <c r="P19247" s="2498"/>
    </row>
    <row r="19248" spans="16:16">
      <c r="P19248" s="2498"/>
    </row>
    <row r="19249" spans="16:16">
      <c r="P19249" s="2498"/>
    </row>
    <row r="19250" spans="16:16">
      <c r="P19250" s="2498"/>
    </row>
    <row r="19251" spans="16:16">
      <c r="P19251" s="2498"/>
    </row>
    <row r="19252" spans="16:16">
      <c r="P19252" s="2498"/>
    </row>
    <row r="19253" spans="16:16">
      <c r="P19253" s="2498"/>
    </row>
    <row r="19254" spans="16:16">
      <c r="P19254" s="2498"/>
    </row>
    <row r="19255" spans="16:16">
      <c r="P19255" s="2498"/>
    </row>
    <row r="19256" spans="16:16">
      <c r="P19256" s="2498"/>
    </row>
    <row r="19257" spans="16:16">
      <c r="P19257" s="2498"/>
    </row>
    <row r="19258" spans="16:16">
      <c r="P19258" s="2498"/>
    </row>
    <row r="19259" spans="16:16">
      <c r="P19259" s="2498"/>
    </row>
    <row r="19260" spans="16:16">
      <c r="P19260" s="2498"/>
    </row>
    <row r="19261" spans="16:16">
      <c r="P19261" s="2498"/>
    </row>
    <row r="19262" spans="16:16">
      <c r="P19262" s="2498"/>
    </row>
    <row r="19263" spans="16:16">
      <c r="P19263" s="2498"/>
    </row>
    <row r="19264" spans="16:16">
      <c r="P19264" s="2498"/>
    </row>
    <row r="19265" spans="16:16">
      <c r="P19265" s="2498"/>
    </row>
    <row r="19266" spans="16:16">
      <c r="P19266" s="2498"/>
    </row>
    <row r="19267" spans="16:16">
      <c r="P19267" s="2498"/>
    </row>
    <row r="19268" spans="16:16">
      <c r="P19268" s="2498"/>
    </row>
    <row r="19269" spans="16:16">
      <c r="P19269" s="2498"/>
    </row>
    <row r="19270" spans="16:16">
      <c r="P19270" s="2498"/>
    </row>
    <row r="19271" spans="16:16">
      <c r="P19271" s="2498"/>
    </row>
    <row r="19272" spans="16:16">
      <c r="P19272" s="2498"/>
    </row>
    <row r="19273" spans="16:16">
      <c r="P19273" s="2498"/>
    </row>
    <row r="19274" spans="16:16">
      <c r="P19274" s="2498"/>
    </row>
    <row r="19275" spans="16:16">
      <c r="P19275" s="2498"/>
    </row>
    <row r="19276" spans="16:16">
      <c r="P19276" s="2498"/>
    </row>
    <row r="19277" spans="16:16">
      <c r="P19277" s="2498"/>
    </row>
    <row r="19278" spans="16:16">
      <c r="P19278" s="2498"/>
    </row>
    <row r="19279" spans="16:16">
      <c r="P19279" s="2498"/>
    </row>
    <row r="19280" spans="16:16">
      <c r="P19280" s="2498"/>
    </row>
    <row r="19281" spans="16:16">
      <c r="P19281" s="2498"/>
    </row>
    <row r="19282" spans="16:16">
      <c r="P19282" s="2498"/>
    </row>
    <row r="19283" spans="16:16">
      <c r="P19283" s="2498"/>
    </row>
    <row r="19284" spans="16:16">
      <c r="P19284" s="2498"/>
    </row>
    <row r="19285" spans="16:16">
      <c r="P19285" s="2498"/>
    </row>
    <row r="19286" spans="16:16">
      <c r="P19286" s="2498"/>
    </row>
    <row r="19287" spans="16:16">
      <c r="P19287" s="2498"/>
    </row>
    <row r="19288" spans="16:16">
      <c r="P19288" s="2498"/>
    </row>
    <row r="19289" spans="16:16">
      <c r="P19289" s="2498"/>
    </row>
    <row r="19290" spans="16:16">
      <c r="P19290" s="2498"/>
    </row>
    <row r="19291" spans="16:16">
      <c r="P19291" s="2498"/>
    </row>
    <row r="19292" spans="16:16">
      <c r="P19292" s="2498"/>
    </row>
    <row r="19293" spans="16:16">
      <c r="P19293" s="2498"/>
    </row>
    <row r="19294" spans="16:16">
      <c r="P19294" s="2498"/>
    </row>
    <row r="19295" spans="16:16">
      <c r="P19295" s="2498"/>
    </row>
    <row r="19296" spans="16:16">
      <c r="P19296" s="2498"/>
    </row>
    <row r="19297" spans="16:16">
      <c r="P19297" s="2498"/>
    </row>
    <row r="19298" spans="16:16">
      <c r="P19298" s="2498"/>
    </row>
    <row r="19299" spans="16:16">
      <c r="P19299" s="2498"/>
    </row>
    <row r="19300" spans="16:16">
      <c r="P19300" s="2498"/>
    </row>
    <row r="19301" spans="16:16">
      <c r="P19301" s="2498"/>
    </row>
    <row r="19302" spans="16:16">
      <c r="P19302" s="2498"/>
    </row>
    <row r="19303" spans="16:16">
      <c r="P19303" s="2498"/>
    </row>
    <row r="19304" spans="16:16">
      <c r="P19304" s="2498"/>
    </row>
    <row r="19305" spans="16:16">
      <c r="P19305" s="2498"/>
    </row>
    <row r="19306" spans="16:16">
      <c r="P19306" s="2498"/>
    </row>
    <row r="19307" spans="16:16">
      <c r="P19307" s="2498"/>
    </row>
    <row r="19308" spans="16:16">
      <c r="P19308" s="2498"/>
    </row>
    <row r="19309" spans="16:16">
      <c r="P19309" s="2498"/>
    </row>
    <row r="19310" spans="16:16">
      <c r="P19310" s="2498"/>
    </row>
    <row r="19311" spans="16:16">
      <c r="P19311" s="2498"/>
    </row>
    <row r="19312" spans="16:16">
      <c r="P19312" s="2498"/>
    </row>
    <row r="19313" spans="16:16">
      <c r="P19313" s="2498"/>
    </row>
    <row r="19314" spans="16:16">
      <c r="P19314" s="2498"/>
    </row>
    <row r="19315" spans="16:16">
      <c r="P19315" s="2498"/>
    </row>
    <row r="19316" spans="16:16">
      <c r="P19316" s="2498"/>
    </row>
    <row r="19317" spans="16:16">
      <c r="P19317" s="2498"/>
    </row>
    <row r="19318" spans="16:16">
      <c r="P19318" s="2498"/>
    </row>
    <row r="19319" spans="16:16">
      <c r="P19319" s="2498"/>
    </row>
    <row r="19320" spans="16:16">
      <c r="P19320" s="2498"/>
    </row>
    <row r="19321" spans="16:16">
      <c r="P19321" s="2498"/>
    </row>
    <row r="19322" spans="16:16">
      <c r="P19322" s="2498"/>
    </row>
    <row r="19323" spans="16:16">
      <c r="P19323" s="2498"/>
    </row>
    <row r="19324" spans="16:16">
      <c r="P19324" s="2498"/>
    </row>
    <row r="19325" spans="16:16">
      <c r="P19325" s="2498"/>
    </row>
    <row r="19326" spans="16:16">
      <c r="P19326" s="2498"/>
    </row>
    <row r="19327" spans="16:16">
      <c r="P19327" s="2498"/>
    </row>
    <row r="19328" spans="16:16">
      <c r="P19328" s="2498"/>
    </row>
    <row r="19329" spans="16:16">
      <c r="P19329" s="2498"/>
    </row>
    <row r="19330" spans="16:16">
      <c r="P19330" s="2498"/>
    </row>
    <row r="19331" spans="16:16">
      <c r="P19331" s="2498"/>
    </row>
    <row r="19332" spans="16:16">
      <c r="P19332" s="2498"/>
    </row>
    <row r="19333" spans="16:16">
      <c r="P19333" s="2498"/>
    </row>
    <row r="19334" spans="16:16">
      <c r="P19334" s="2498"/>
    </row>
    <row r="19335" spans="16:16">
      <c r="P19335" s="2498"/>
    </row>
    <row r="19336" spans="16:16">
      <c r="P19336" s="2498"/>
    </row>
    <row r="19337" spans="16:16">
      <c r="P19337" s="2498"/>
    </row>
    <row r="19338" spans="16:16">
      <c r="P19338" s="2498"/>
    </row>
    <row r="19339" spans="16:16">
      <c r="P19339" s="2498"/>
    </row>
    <row r="19340" spans="16:16">
      <c r="P19340" s="2498"/>
    </row>
    <row r="19341" spans="16:16">
      <c r="P19341" s="2498"/>
    </row>
    <row r="19342" spans="16:16">
      <c r="P19342" s="2498"/>
    </row>
    <row r="19343" spans="16:16">
      <c r="P19343" s="2498"/>
    </row>
    <row r="19344" spans="16:16">
      <c r="P19344" s="2498"/>
    </row>
    <row r="19345" spans="16:16">
      <c r="P19345" s="2498"/>
    </row>
    <row r="19346" spans="16:16">
      <c r="P19346" s="2498"/>
    </row>
    <row r="19347" spans="16:16">
      <c r="P19347" s="2498"/>
    </row>
    <row r="19348" spans="16:16">
      <c r="P19348" s="2498"/>
    </row>
    <row r="19349" spans="16:16">
      <c r="P19349" s="2498"/>
    </row>
    <row r="19350" spans="16:16">
      <c r="P19350" s="2498"/>
    </row>
    <row r="19351" spans="16:16">
      <c r="P19351" s="2498"/>
    </row>
    <row r="19352" spans="16:16">
      <c r="P19352" s="2498"/>
    </row>
    <row r="19353" spans="16:16">
      <c r="P19353" s="2498"/>
    </row>
    <row r="19354" spans="16:16">
      <c r="P19354" s="2498"/>
    </row>
    <row r="19355" spans="16:16">
      <c r="P19355" s="2498"/>
    </row>
    <row r="19356" spans="16:16">
      <c r="P19356" s="2498"/>
    </row>
    <row r="19357" spans="16:16">
      <c r="P19357" s="2498"/>
    </row>
    <row r="19358" spans="16:16">
      <c r="P19358" s="2498"/>
    </row>
    <row r="19359" spans="16:16">
      <c r="P19359" s="2498"/>
    </row>
    <row r="19360" spans="16:16">
      <c r="P19360" s="2498"/>
    </row>
    <row r="19361" spans="16:16">
      <c r="P19361" s="2498"/>
    </row>
    <row r="19362" spans="16:16">
      <c r="P19362" s="2498"/>
    </row>
    <row r="19363" spans="16:16">
      <c r="P19363" s="2498"/>
    </row>
    <row r="19364" spans="16:16">
      <c r="P19364" s="2498"/>
    </row>
    <row r="19365" spans="16:16">
      <c r="P19365" s="2498"/>
    </row>
    <row r="19366" spans="16:16">
      <c r="P19366" s="2498"/>
    </row>
    <row r="19367" spans="16:16">
      <c r="P19367" s="2498"/>
    </row>
    <row r="19368" spans="16:16">
      <c r="P19368" s="2498"/>
    </row>
    <row r="19369" spans="16:16">
      <c r="P19369" s="2498"/>
    </row>
    <row r="19370" spans="16:16">
      <c r="P19370" s="2498"/>
    </row>
    <row r="19371" spans="16:16">
      <c r="P19371" s="2498"/>
    </row>
    <row r="19372" spans="16:16">
      <c r="P19372" s="2498"/>
    </row>
    <row r="19373" spans="16:16">
      <c r="P19373" s="2498"/>
    </row>
    <row r="19374" spans="16:16">
      <c r="P19374" s="2498"/>
    </row>
    <row r="19375" spans="16:16">
      <c r="P19375" s="2498"/>
    </row>
    <row r="19376" spans="16:16">
      <c r="P19376" s="2498"/>
    </row>
    <row r="19377" spans="16:16">
      <c r="P19377" s="2498"/>
    </row>
    <row r="19378" spans="16:16">
      <c r="P19378" s="2498"/>
    </row>
    <row r="19379" spans="16:16">
      <c r="P19379" s="2498"/>
    </row>
    <row r="19380" spans="16:16">
      <c r="P19380" s="2498"/>
    </row>
    <row r="19381" spans="16:16">
      <c r="P19381" s="2498"/>
    </row>
    <row r="19382" spans="16:16">
      <c r="P19382" s="2498"/>
    </row>
    <row r="19383" spans="16:16">
      <c r="P19383" s="2498"/>
    </row>
    <row r="19384" spans="16:16">
      <c r="P19384" s="2498"/>
    </row>
    <row r="19385" spans="16:16">
      <c r="P19385" s="2498"/>
    </row>
    <row r="19386" spans="16:16">
      <c r="P19386" s="2498"/>
    </row>
    <row r="19387" spans="16:16">
      <c r="P19387" s="2498"/>
    </row>
    <row r="19388" spans="16:16">
      <c r="P19388" s="2498"/>
    </row>
    <row r="19389" spans="16:16">
      <c r="P19389" s="2498"/>
    </row>
    <row r="19390" spans="16:16">
      <c r="P19390" s="2498"/>
    </row>
    <row r="19391" spans="16:16">
      <c r="P19391" s="2498"/>
    </row>
    <row r="19392" spans="16:16">
      <c r="P19392" s="2498"/>
    </row>
    <row r="19393" spans="16:16">
      <c r="P19393" s="2498"/>
    </row>
    <row r="19394" spans="16:16">
      <c r="P19394" s="2498"/>
    </row>
    <row r="19395" spans="16:16">
      <c r="P19395" s="2498"/>
    </row>
    <row r="19396" spans="16:16">
      <c r="P19396" s="2498"/>
    </row>
    <row r="19397" spans="16:16">
      <c r="P19397" s="2498"/>
    </row>
    <row r="19398" spans="16:16">
      <c r="P19398" s="2498"/>
    </row>
    <row r="19399" spans="16:16">
      <c r="P19399" s="2498"/>
    </row>
    <row r="19400" spans="16:16">
      <c r="P19400" s="2498"/>
    </row>
    <row r="19401" spans="16:16">
      <c r="P19401" s="2498"/>
    </row>
    <row r="19402" spans="16:16">
      <c r="P19402" s="2498"/>
    </row>
    <row r="19403" spans="16:16">
      <c r="P19403" s="2498"/>
    </row>
    <row r="19404" spans="16:16">
      <c r="P19404" s="2498"/>
    </row>
    <row r="19405" spans="16:16">
      <c r="P19405" s="2498"/>
    </row>
    <row r="19406" spans="16:16">
      <c r="P19406" s="2498"/>
    </row>
    <row r="19407" spans="16:16">
      <c r="P19407" s="2498"/>
    </row>
    <row r="19408" spans="16:16">
      <c r="P19408" s="2498"/>
    </row>
    <row r="19409" spans="16:16">
      <c r="P19409" s="2498"/>
    </row>
    <row r="19410" spans="16:16">
      <c r="P19410" s="2498"/>
    </row>
    <row r="19411" spans="16:16">
      <c r="P19411" s="2498"/>
    </row>
    <row r="19412" spans="16:16">
      <c r="P19412" s="2498"/>
    </row>
    <row r="19413" spans="16:16">
      <c r="P19413" s="2498"/>
    </row>
    <row r="19414" spans="16:16">
      <c r="P19414" s="2498"/>
    </row>
    <row r="19415" spans="16:16">
      <c r="P19415" s="2498"/>
    </row>
    <row r="19416" spans="16:16">
      <c r="P19416" s="2498"/>
    </row>
    <row r="19417" spans="16:16">
      <c r="P19417" s="2498"/>
    </row>
    <row r="19418" spans="16:16">
      <c r="P19418" s="2498"/>
    </row>
    <row r="19419" spans="16:16">
      <c r="P19419" s="2498"/>
    </row>
    <row r="19420" spans="16:16">
      <c r="P19420" s="2498"/>
    </row>
    <row r="19421" spans="16:16">
      <c r="P19421" s="2498"/>
    </row>
    <row r="19422" spans="16:16">
      <c r="P19422" s="2498"/>
    </row>
    <row r="19423" spans="16:16">
      <c r="P19423" s="2498"/>
    </row>
    <row r="19424" spans="16:16">
      <c r="P19424" s="2498"/>
    </row>
    <row r="19425" spans="16:16">
      <c r="P19425" s="2498"/>
    </row>
    <row r="19426" spans="16:16">
      <c r="P19426" s="2498"/>
    </row>
    <row r="19427" spans="16:16">
      <c r="P19427" s="2498"/>
    </row>
    <row r="19428" spans="16:16">
      <c r="P19428" s="2498"/>
    </row>
    <row r="19429" spans="16:16">
      <c r="P19429" s="2498"/>
    </row>
    <row r="19430" spans="16:16">
      <c r="P19430" s="2498"/>
    </row>
    <row r="19431" spans="16:16">
      <c r="P19431" s="2498"/>
    </row>
    <row r="19432" spans="16:16">
      <c r="P19432" s="2498"/>
    </row>
    <row r="19433" spans="16:16">
      <c r="P19433" s="2498"/>
    </row>
    <row r="19434" spans="16:16">
      <c r="P19434" s="2498"/>
    </row>
    <row r="19435" spans="16:16">
      <c r="P19435" s="2498"/>
    </row>
    <row r="19436" spans="16:16">
      <c r="P19436" s="2498"/>
    </row>
    <row r="19437" spans="16:16">
      <c r="P19437" s="2498"/>
    </row>
    <row r="19438" spans="16:16">
      <c r="P19438" s="2498"/>
    </row>
    <row r="19439" spans="16:16">
      <c r="P19439" s="2498"/>
    </row>
    <row r="19440" spans="16:16">
      <c r="P19440" s="2498"/>
    </row>
    <row r="19441" spans="16:16">
      <c r="P19441" s="2498"/>
    </row>
    <row r="19442" spans="16:16">
      <c r="P19442" s="2498"/>
    </row>
    <row r="19443" spans="16:16">
      <c r="P19443" s="2498"/>
    </row>
    <row r="19444" spans="16:16">
      <c r="P19444" s="2498"/>
    </row>
    <row r="19445" spans="16:16">
      <c r="P19445" s="2498"/>
    </row>
    <row r="19446" spans="16:16">
      <c r="P19446" s="2498"/>
    </row>
    <row r="19447" spans="16:16">
      <c r="P19447" s="2498"/>
    </row>
    <row r="19448" spans="16:16">
      <c r="P19448" s="2498"/>
    </row>
    <row r="19449" spans="16:16">
      <c r="P19449" s="2498"/>
    </row>
    <row r="19450" spans="16:16">
      <c r="P19450" s="2498"/>
    </row>
    <row r="19451" spans="16:16">
      <c r="P19451" s="2498"/>
    </row>
    <row r="19452" spans="16:16">
      <c r="P19452" s="2498"/>
    </row>
    <row r="19453" spans="16:16">
      <c r="P19453" s="2498"/>
    </row>
    <row r="19454" spans="16:16">
      <c r="P19454" s="2498"/>
    </row>
    <row r="19455" spans="16:16">
      <c r="P19455" s="2498"/>
    </row>
    <row r="19456" spans="16:16">
      <c r="P19456" s="2498"/>
    </row>
    <row r="19457" spans="16:16">
      <c r="P19457" s="2498"/>
    </row>
    <row r="19458" spans="16:16">
      <c r="P19458" s="2498"/>
    </row>
    <row r="19459" spans="16:16">
      <c r="P19459" s="2498"/>
    </row>
    <row r="19460" spans="16:16">
      <c r="P19460" s="2498"/>
    </row>
    <row r="19461" spans="16:16">
      <c r="P19461" s="2498"/>
    </row>
    <row r="19462" spans="16:16">
      <c r="P19462" s="2498"/>
    </row>
    <row r="19463" spans="16:16">
      <c r="P19463" s="2498"/>
    </row>
    <row r="19464" spans="16:16">
      <c r="P19464" s="2498"/>
    </row>
    <row r="19465" spans="16:16">
      <c r="P19465" s="2498"/>
    </row>
    <row r="19466" spans="16:16">
      <c r="P19466" s="2498"/>
    </row>
    <row r="19467" spans="16:16">
      <c r="P19467" s="2498"/>
    </row>
    <row r="19468" spans="16:16">
      <c r="P19468" s="2498"/>
    </row>
    <row r="19469" spans="16:16">
      <c r="P19469" s="2498"/>
    </row>
    <row r="19470" spans="16:16">
      <c r="P19470" s="2498"/>
    </row>
    <row r="19471" spans="16:16">
      <c r="P19471" s="2498"/>
    </row>
    <row r="19472" spans="16:16">
      <c r="P19472" s="2498"/>
    </row>
    <row r="19473" spans="16:16">
      <c r="P19473" s="2498"/>
    </row>
    <row r="19474" spans="16:16">
      <c r="P19474" s="2498"/>
    </row>
    <row r="19475" spans="16:16">
      <c r="P19475" s="2498"/>
    </row>
    <row r="19476" spans="16:16">
      <c r="P19476" s="2498"/>
    </row>
    <row r="19477" spans="16:16">
      <c r="P19477" s="2498"/>
    </row>
    <row r="19478" spans="16:16">
      <c r="P19478" s="2498"/>
    </row>
    <row r="19479" spans="16:16">
      <c r="P19479" s="2498"/>
    </row>
    <row r="19480" spans="16:16">
      <c r="P19480" s="2498"/>
    </row>
    <row r="19481" spans="16:16">
      <c r="P19481" s="2498"/>
    </row>
    <row r="19482" spans="16:16">
      <c r="P19482" s="2498"/>
    </row>
    <row r="19483" spans="16:16">
      <c r="P19483" s="2498"/>
    </row>
    <row r="19484" spans="16:16">
      <c r="P19484" s="2498"/>
    </row>
    <row r="19485" spans="16:16">
      <c r="P19485" s="2498"/>
    </row>
    <row r="19486" spans="16:16">
      <c r="P19486" s="2498"/>
    </row>
    <row r="19487" spans="16:16">
      <c r="P19487" s="2498"/>
    </row>
    <row r="19488" spans="16:16">
      <c r="P19488" s="2498"/>
    </row>
    <row r="19489" spans="16:16">
      <c r="P19489" s="2498"/>
    </row>
    <row r="19490" spans="16:16">
      <c r="P19490" s="2498"/>
    </row>
    <row r="19491" spans="16:16">
      <c r="P19491" s="2498"/>
    </row>
    <row r="19492" spans="16:16">
      <c r="P19492" s="2498"/>
    </row>
    <row r="19493" spans="16:16">
      <c r="P19493" s="2498"/>
    </row>
    <row r="19494" spans="16:16">
      <c r="P19494" s="2498"/>
    </row>
    <row r="19495" spans="16:16">
      <c r="P19495" s="2498"/>
    </row>
    <row r="19496" spans="16:16">
      <c r="P19496" s="2498"/>
    </row>
    <row r="19497" spans="16:16">
      <c r="P19497" s="2498"/>
    </row>
    <row r="19498" spans="16:16">
      <c r="P19498" s="2498"/>
    </row>
    <row r="19499" spans="16:16">
      <c r="P19499" s="2498"/>
    </row>
    <row r="19500" spans="16:16">
      <c r="P19500" s="2498"/>
    </row>
    <row r="19501" spans="16:16">
      <c r="P19501" s="2498"/>
    </row>
    <row r="19502" spans="16:16">
      <c r="P19502" s="2498"/>
    </row>
    <row r="19503" spans="16:16">
      <c r="P19503" s="2498"/>
    </row>
    <row r="19504" spans="16:16">
      <c r="P19504" s="2498"/>
    </row>
    <row r="19505" spans="16:16">
      <c r="P19505" s="2498"/>
    </row>
    <row r="19506" spans="16:16">
      <c r="P19506" s="2498"/>
    </row>
    <row r="19507" spans="16:16">
      <c r="P19507" s="2498"/>
    </row>
    <row r="19508" spans="16:16">
      <c r="P19508" s="2498"/>
    </row>
    <row r="19509" spans="16:16">
      <c r="P19509" s="2498"/>
    </row>
    <row r="19510" spans="16:16">
      <c r="P19510" s="2498"/>
    </row>
    <row r="19511" spans="16:16">
      <c r="P19511" s="2498"/>
    </row>
    <row r="19512" spans="16:16">
      <c r="P19512" s="2498"/>
    </row>
    <row r="19513" spans="16:16">
      <c r="P19513" s="2498"/>
    </row>
    <row r="19514" spans="16:16">
      <c r="P19514" s="2498"/>
    </row>
    <row r="19515" spans="16:16">
      <c r="P19515" s="2498"/>
    </row>
    <row r="19516" spans="16:16">
      <c r="P19516" s="2498"/>
    </row>
    <row r="19517" spans="16:16">
      <c r="P19517" s="2498"/>
    </row>
    <row r="19518" spans="16:16">
      <c r="P19518" s="2498"/>
    </row>
    <row r="19519" spans="16:16">
      <c r="P19519" s="2498"/>
    </row>
    <row r="19520" spans="16:16">
      <c r="P19520" s="2498"/>
    </row>
    <row r="19521" spans="16:16">
      <c r="P19521" s="2498"/>
    </row>
    <row r="19522" spans="16:16">
      <c r="P19522" s="2498"/>
    </row>
    <row r="19523" spans="16:16">
      <c r="P19523" s="2498"/>
    </row>
    <row r="19524" spans="16:16">
      <c r="P19524" s="2498"/>
    </row>
    <row r="19525" spans="16:16">
      <c r="P19525" s="2498"/>
    </row>
    <row r="19526" spans="16:16">
      <c r="P19526" s="2498"/>
    </row>
    <row r="19527" spans="16:16">
      <c r="P19527" s="2498"/>
    </row>
    <row r="19528" spans="16:16">
      <c r="P19528" s="2498"/>
    </row>
    <row r="19529" spans="16:16">
      <c r="P19529" s="2498"/>
    </row>
    <row r="19530" spans="16:16">
      <c r="P19530" s="2498"/>
    </row>
    <row r="19531" spans="16:16">
      <c r="P19531" s="2498"/>
    </row>
    <row r="19532" spans="16:16">
      <c r="P19532" s="2498"/>
    </row>
    <row r="19533" spans="16:16">
      <c r="P19533" s="2498"/>
    </row>
    <row r="19534" spans="16:16">
      <c r="P19534" s="2498"/>
    </row>
    <row r="19535" spans="16:16">
      <c r="P19535" s="2498"/>
    </row>
    <row r="19536" spans="16:16">
      <c r="P19536" s="2498"/>
    </row>
    <row r="19537" spans="16:16">
      <c r="P19537" s="2498"/>
    </row>
    <row r="19538" spans="16:16">
      <c r="P19538" s="2498"/>
    </row>
    <row r="19539" spans="16:16">
      <c r="P19539" s="2498"/>
    </row>
    <row r="19540" spans="16:16">
      <c r="P19540" s="2498"/>
    </row>
    <row r="19541" spans="16:16">
      <c r="P19541" s="2498"/>
    </row>
    <row r="19542" spans="16:16">
      <c r="P19542" s="2498"/>
    </row>
    <row r="19543" spans="16:16">
      <c r="P19543" s="2498"/>
    </row>
    <row r="19544" spans="16:16">
      <c r="P19544" s="2498"/>
    </row>
    <row r="19545" spans="16:16">
      <c r="P19545" s="2498"/>
    </row>
    <row r="19546" spans="16:16">
      <c r="P19546" s="2498"/>
    </row>
    <row r="19547" spans="16:16">
      <c r="P19547" s="2498"/>
    </row>
    <row r="19548" spans="16:16">
      <c r="P19548" s="2498"/>
    </row>
    <row r="19549" spans="16:16">
      <c r="P19549" s="2498"/>
    </row>
    <row r="19550" spans="16:16">
      <c r="P19550" s="2498"/>
    </row>
    <row r="19551" spans="16:16">
      <c r="P19551" s="2498"/>
    </row>
    <row r="19552" spans="16:16">
      <c r="P19552" s="2498"/>
    </row>
    <row r="19553" spans="16:16">
      <c r="P19553" s="2498"/>
    </row>
    <row r="19554" spans="16:16">
      <c r="P19554" s="2498"/>
    </row>
    <row r="19555" spans="16:16">
      <c r="P19555" s="2498"/>
    </row>
    <row r="19556" spans="16:16">
      <c r="P19556" s="2498"/>
    </row>
    <row r="19557" spans="16:16">
      <c r="P19557" s="2498"/>
    </row>
    <row r="19558" spans="16:16">
      <c r="P19558" s="2498"/>
    </row>
    <row r="19559" spans="16:16">
      <c r="P19559" s="2498"/>
    </row>
    <row r="19560" spans="16:16">
      <c r="P19560" s="2498"/>
    </row>
    <row r="19561" spans="16:16">
      <c r="P19561" s="2498"/>
    </row>
    <row r="19562" spans="16:16">
      <c r="P19562" s="2498"/>
    </row>
    <row r="19563" spans="16:16">
      <c r="P19563" s="2498"/>
    </row>
    <row r="19564" spans="16:16">
      <c r="P19564" s="2498"/>
    </row>
    <row r="19565" spans="16:16">
      <c r="P19565" s="2498"/>
    </row>
    <row r="19566" spans="16:16">
      <c r="P19566" s="2498"/>
    </row>
    <row r="19567" spans="16:16">
      <c r="P19567" s="2498"/>
    </row>
    <row r="19568" spans="16:16">
      <c r="P19568" s="2498"/>
    </row>
    <row r="19569" spans="16:16">
      <c r="P19569" s="2498"/>
    </row>
    <row r="19570" spans="16:16">
      <c r="P19570" s="2498"/>
    </row>
    <row r="19571" spans="16:16">
      <c r="P19571" s="2498"/>
    </row>
    <row r="19572" spans="16:16">
      <c r="P19572" s="2498"/>
    </row>
    <row r="19573" spans="16:16">
      <c r="P19573" s="2498"/>
    </row>
    <row r="19574" spans="16:16">
      <c r="P19574" s="2498"/>
    </row>
    <row r="19575" spans="16:16">
      <c r="P19575" s="2498"/>
    </row>
    <row r="19576" spans="16:16">
      <c r="P19576" s="2498"/>
    </row>
    <row r="19577" spans="16:16">
      <c r="P19577" s="2498"/>
    </row>
    <row r="19578" spans="16:16">
      <c r="P19578" s="2498"/>
    </row>
    <row r="19579" spans="16:16">
      <c r="P19579" s="2498"/>
    </row>
    <row r="19580" spans="16:16">
      <c r="P19580" s="2498"/>
    </row>
    <row r="19581" spans="16:16">
      <c r="P19581" s="2498"/>
    </row>
    <row r="19582" spans="16:16">
      <c r="P19582" s="2498"/>
    </row>
    <row r="19583" spans="16:16">
      <c r="P19583" s="2498"/>
    </row>
    <row r="19584" spans="16:16">
      <c r="P19584" s="2498"/>
    </row>
    <row r="19585" spans="16:16">
      <c r="P19585" s="2498"/>
    </row>
    <row r="19586" spans="16:16">
      <c r="P19586" s="2498"/>
    </row>
    <row r="19587" spans="16:16">
      <c r="P19587" s="2498"/>
    </row>
    <row r="19588" spans="16:16">
      <c r="P19588" s="2498"/>
    </row>
    <row r="19589" spans="16:16">
      <c r="P19589" s="2498"/>
    </row>
    <row r="19590" spans="16:16">
      <c r="P19590" s="2498"/>
    </row>
    <row r="19591" spans="16:16">
      <c r="P19591" s="2498"/>
    </row>
    <row r="19592" spans="16:16">
      <c r="P19592" s="2498"/>
    </row>
    <row r="19593" spans="16:16">
      <c r="P19593" s="2498"/>
    </row>
    <row r="19594" spans="16:16">
      <c r="P19594" s="2498"/>
    </row>
    <row r="19595" spans="16:16">
      <c r="P19595" s="2498"/>
    </row>
    <row r="19596" spans="16:16">
      <c r="P19596" s="2498"/>
    </row>
    <row r="19597" spans="16:16">
      <c r="P19597" s="2498"/>
    </row>
    <row r="19598" spans="16:16">
      <c r="P19598" s="2498"/>
    </row>
    <row r="19599" spans="16:16">
      <c r="P19599" s="2498"/>
    </row>
    <row r="19600" spans="16:16">
      <c r="P19600" s="2498"/>
    </row>
    <row r="19601" spans="16:16">
      <c r="P19601" s="2498"/>
    </row>
    <row r="19602" spans="16:16">
      <c r="P19602" s="2498"/>
    </row>
    <row r="19603" spans="16:16">
      <c r="P19603" s="2498"/>
    </row>
    <row r="19604" spans="16:16">
      <c r="P19604" s="2498"/>
    </row>
    <row r="19605" spans="16:16">
      <c r="P19605" s="2498"/>
    </row>
    <row r="19606" spans="16:16">
      <c r="P19606" s="2498"/>
    </row>
    <row r="19607" spans="16:16">
      <c r="P19607" s="2498"/>
    </row>
    <row r="19608" spans="16:16">
      <c r="P19608" s="2498"/>
    </row>
    <row r="19609" spans="16:16">
      <c r="P19609" s="2498"/>
    </row>
    <row r="19610" spans="16:16">
      <c r="P19610" s="2498"/>
    </row>
    <row r="19611" spans="16:16">
      <c r="P19611" s="2498"/>
    </row>
    <row r="19612" spans="16:16">
      <c r="P19612" s="2498"/>
    </row>
    <row r="19613" spans="16:16">
      <c r="P19613" s="2498"/>
    </row>
    <row r="19614" spans="16:16">
      <c r="P19614" s="2498"/>
    </row>
    <row r="19615" spans="16:16">
      <c r="P19615" s="2498"/>
    </row>
    <row r="19616" spans="16:16">
      <c r="P19616" s="2498"/>
    </row>
    <row r="19617" spans="16:16">
      <c r="P19617" s="2498"/>
    </row>
    <row r="19618" spans="16:16">
      <c r="P19618" s="2498"/>
    </row>
    <row r="19619" spans="16:16">
      <c r="P19619" s="2498"/>
    </row>
    <row r="19620" spans="16:16">
      <c r="P19620" s="2498"/>
    </row>
    <row r="19621" spans="16:16">
      <c r="P19621" s="2498"/>
    </row>
    <row r="19622" spans="16:16">
      <c r="P19622" s="2498"/>
    </row>
    <row r="19623" spans="16:16">
      <c r="P19623" s="2498"/>
    </row>
    <row r="19624" spans="16:16">
      <c r="P19624" s="2498"/>
    </row>
    <row r="19625" spans="16:16">
      <c r="P19625" s="2498"/>
    </row>
    <row r="19626" spans="16:16">
      <c r="P19626" s="2498"/>
    </row>
    <row r="19627" spans="16:16">
      <c r="P19627" s="2498"/>
    </row>
    <row r="19628" spans="16:16">
      <c r="P19628" s="2498"/>
    </row>
    <row r="19629" spans="16:16">
      <c r="P19629" s="2498"/>
    </row>
    <row r="19630" spans="16:16">
      <c r="P19630" s="2498"/>
    </row>
    <row r="19631" spans="16:16">
      <c r="P19631" s="2498"/>
    </row>
    <row r="19632" spans="16:16">
      <c r="P19632" s="2498"/>
    </row>
    <row r="19633" spans="16:16">
      <c r="P19633" s="2498"/>
    </row>
    <row r="19634" spans="16:16">
      <c r="P19634" s="2498"/>
    </row>
    <row r="19635" spans="16:16">
      <c r="P19635" s="2498"/>
    </row>
    <row r="19636" spans="16:16">
      <c r="P19636" s="2498"/>
    </row>
    <row r="19637" spans="16:16">
      <c r="P19637" s="2498"/>
    </row>
    <row r="19638" spans="16:16">
      <c r="P19638" s="2498"/>
    </row>
    <row r="19639" spans="16:16">
      <c r="P19639" s="2498"/>
    </row>
    <row r="19640" spans="16:16">
      <c r="P19640" s="2498"/>
    </row>
    <row r="19641" spans="16:16">
      <c r="P19641" s="2498"/>
    </row>
    <row r="19642" spans="16:16">
      <c r="P19642" s="2498"/>
    </row>
    <row r="19643" spans="16:16">
      <c r="P19643" s="2498"/>
    </row>
    <row r="19644" spans="16:16">
      <c r="P19644" s="2498"/>
    </row>
    <row r="19645" spans="16:16">
      <c r="P19645" s="2498"/>
    </row>
    <row r="19646" spans="16:16">
      <c r="P19646" s="2498"/>
    </row>
    <row r="19647" spans="16:16">
      <c r="P19647" s="2498"/>
    </row>
    <row r="19648" spans="16:16">
      <c r="P19648" s="2498"/>
    </row>
    <row r="19649" spans="16:16">
      <c r="P19649" s="2498"/>
    </row>
    <row r="19650" spans="16:16">
      <c r="P19650" s="2498"/>
    </row>
    <row r="19651" spans="16:16">
      <c r="P19651" s="2498"/>
    </row>
    <row r="19652" spans="16:16">
      <c r="P19652" s="2498"/>
    </row>
    <row r="19653" spans="16:16">
      <c r="P19653" s="2498"/>
    </row>
    <row r="19654" spans="16:16">
      <c r="P19654" s="2498"/>
    </row>
    <row r="19655" spans="16:16">
      <c r="P19655" s="2498"/>
    </row>
    <row r="19656" spans="16:16">
      <c r="P19656" s="2498"/>
    </row>
    <row r="19657" spans="16:16">
      <c r="P19657" s="2498"/>
    </row>
    <row r="19658" spans="16:16">
      <c r="P19658" s="2498"/>
    </row>
    <row r="19659" spans="16:16">
      <c r="P19659" s="2498"/>
    </row>
    <row r="19660" spans="16:16">
      <c r="P19660" s="2498"/>
    </row>
    <row r="19661" spans="16:16">
      <c r="P19661" s="2498"/>
    </row>
    <row r="19662" spans="16:16">
      <c r="P19662" s="2498"/>
    </row>
    <row r="19663" spans="16:16">
      <c r="P19663" s="2498"/>
    </row>
    <row r="19664" spans="16:16">
      <c r="P19664" s="2498"/>
    </row>
    <row r="19665" spans="16:16">
      <c r="P19665" s="2498"/>
    </row>
    <row r="19666" spans="16:16">
      <c r="P19666" s="2498"/>
    </row>
    <row r="19667" spans="16:16">
      <c r="P19667" s="2498"/>
    </row>
    <row r="19668" spans="16:16">
      <c r="P19668" s="2498"/>
    </row>
    <row r="19669" spans="16:16">
      <c r="P19669" s="2498"/>
    </row>
    <row r="19670" spans="16:16">
      <c r="P19670" s="2498"/>
    </row>
    <row r="19671" spans="16:16">
      <c r="P19671" s="2498"/>
    </row>
    <row r="19672" spans="16:16">
      <c r="P19672" s="2498"/>
    </row>
    <row r="19673" spans="16:16">
      <c r="P19673" s="2498"/>
    </row>
    <row r="19674" spans="16:16">
      <c r="P19674" s="2498"/>
    </row>
    <row r="19675" spans="16:16">
      <c r="P19675" s="2498"/>
    </row>
    <row r="19676" spans="16:16">
      <c r="P19676" s="2498"/>
    </row>
    <row r="19677" spans="16:16">
      <c r="P19677" s="2498"/>
    </row>
    <row r="19678" spans="16:16">
      <c r="P19678" s="2498"/>
    </row>
    <row r="19679" spans="16:16">
      <c r="P19679" s="2498"/>
    </row>
    <row r="19680" spans="16:16">
      <c r="P19680" s="2498"/>
    </row>
    <row r="19681" spans="16:16">
      <c r="P19681" s="2498"/>
    </row>
    <row r="19682" spans="16:16">
      <c r="P19682" s="2498"/>
    </row>
    <row r="19683" spans="16:16">
      <c r="P19683" s="2498"/>
    </row>
    <row r="19684" spans="16:16">
      <c r="P19684" s="2498"/>
    </row>
    <row r="19685" spans="16:16">
      <c r="P19685" s="2498"/>
    </row>
    <row r="19686" spans="16:16">
      <c r="P19686" s="2498"/>
    </row>
    <row r="19687" spans="16:16">
      <c r="P19687" s="2498"/>
    </row>
    <row r="19688" spans="16:16">
      <c r="P19688" s="2498"/>
    </row>
    <row r="19689" spans="16:16">
      <c r="P19689" s="2498"/>
    </row>
    <row r="19690" spans="16:16">
      <c r="P19690" s="2498"/>
    </row>
    <row r="19691" spans="16:16">
      <c r="P19691" s="2498"/>
    </row>
    <row r="19692" spans="16:16">
      <c r="P19692" s="2498"/>
    </row>
    <row r="19693" spans="16:16">
      <c r="P19693" s="2498"/>
    </row>
    <row r="19694" spans="16:16">
      <c r="P19694" s="2498"/>
    </row>
    <row r="19695" spans="16:16">
      <c r="P19695" s="2498"/>
    </row>
    <row r="19696" spans="16:16">
      <c r="P19696" s="2498"/>
    </row>
    <row r="19697" spans="16:16">
      <c r="P19697" s="2498"/>
    </row>
    <row r="19698" spans="16:16">
      <c r="P19698" s="2498"/>
    </row>
    <row r="19699" spans="16:16">
      <c r="P19699" s="2498"/>
    </row>
    <row r="19700" spans="16:16">
      <c r="P19700" s="2498"/>
    </row>
    <row r="19701" spans="16:16">
      <c r="P19701" s="2498"/>
    </row>
    <row r="19702" spans="16:16">
      <c r="P19702" s="2498"/>
    </row>
    <row r="19703" spans="16:16">
      <c r="P19703" s="2498"/>
    </row>
    <row r="19704" spans="16:16">
      <c r="P19704" s="2498"/>
    </row>
    <row r="19705" spans="16:16">
      <c r="P19705" s="2498"/>
    </row>
    <row r="19706" spans="16:16">
      <c r="P19706" s="2498"/>
    </row>
    <row r="19707" spans="16:16">
      <c r="P19707" s="2498"/>
    </row>
    <row r="19708" spans="16:16">
      <c r="P19708" s="2498"/>
    </row>
    <row r="19709" spans="16:16">
      <c r="P19709" s="2498"/>
    </row>
    <row r="19710" spans="16:16">
      <c r="P19710" s="2498"/>
    </row>
    <row r="19711" spans="16:16">
      <c r="P19711" s="2498"/>
    </row>
    <row r="19712" spans="16:16">
      <c r="P19712" s="2498"/>
    </row>
    <row r="19713" spans="16:16">
      <c r="P19713" s="2498"/>
    </row>
    <row r="19714" spans="16:16">
      <c r="P19714" s="2498"/>
    </row>
    <row r="19715" spans="16:16">
      <c r="P19715" s="2498"/>
    </row>
    <row r="19716" spans="16:16">
      <c r="P19716" s="2498"/>
    </row>
    <row r="19717" spans="16:16">
      <c r="P19717" s="2498"/>
    </row>
    <row r="19718" spans="16:16">
      <c r="P19718" s="2498"/>
    </row>
    <row r="19719" spans="16:16">
      <c r="P19719" s="2498"/>
    </row>
    <row r="19720" spans="16:16">
      <c r="P19720" s="2498"/>
    </row>
    <row r="19721" spans="16:16">
      <c r="P19721" s="2498"/>
    </row>
    <row r="19722" spans="16:16">
      <c r="P19722" s="2498"/>
    </row>
    <row r="19723" spans="16:16">
      <c r="P19723" s="2498"/>
    </row>
    <row r="19724" spans="16:16">
      <c r="P19724" s="2498"/>
    </row>
    <row r="19725" spans="16:16">
      <c r="P19725" s="2498"/>
    </row>
    <row r="19726" spans="16:16">
      <c r="P19726" s="2498"/>
    </row>
    <row r="19727" spans="16:16">
      <c r="P19727" s="2498"/>
    </row>
    <row r="19728" spans="16:16">
      <c r="P19728" s="2498"/>
    </row>
    <row r="19729" spans="16:16">
      <c r="P19729" s="2498"/>
    </row>
    <row r="19730" spans="16:16">
      <c r="P19730" s="2498"/>
    </row>
    <row r="19731" spans="16:16">
      <c r="P19731" s="2498"/>
    </row>
    <row r="19732" spans="16:16">
      <c r="P19732" s="2498"/>
    </row>
    <row r="19733" spans="16:16">
      <c r="P19733" s="2498"/>
    </row>
    <row r="19734" spans="16:16">
      <c r="P19734" s="2498"/>
    </row>
    <row r="19735" spans="16:16">
      <c r="P19735" s="2498"/>
    </row>
    <row r="19736" spans="16:16">
      <c r="P19736" s="2498"/>
    </row>
    <row r="19737" spans="16:16">
      <c r="P19737" s="2498"/>
    </row>
    <row r="19738" spans="16:16">
      <c r="P19738" s="2498"/>
    </row>
    <row r="19739" spans="16:16">
      <c r="P19739" s="2498"/>
    </row>
    <row r="19740" spans="16:16">
      <c r="P19740" s="2498"/>
    </row>
    <row r="19741" spans="16:16">
      <c r="P19741" s="2498"/>
    </row>
    <row r="19742" spans="16:16">
      <c r="P19742" s="2498"/>
    </row>
    <row r="19743" spans="16:16">
      <c r="P19743" s="2498"/>
    </row>
    <row r="19744" spans="16:16">
      <c r="P19744" s="2498"/>
    </row>
    <row r="19745" spans="16:16">
      <c r="P19745" s="2498"/>
    </row>
    <row r="19746" spans="16:16">
      <c r="P19746" s="2498"/>
    </row>
    <row r="19747" spans="16:16">
      <c r="P19747" s="2498"/>
    </row>
    <row r="19748" spans="16:16">
      <c r="P19748" s="2498"/>
    </row>
    <row r="19749" spans="16:16">
      <c r="P19749" s="2498"/>
    </row>
    <row r="19750" spans="16:16">
      <c r="P19750" s="2498"/>
    </row>
    <row r="19751" spans="16:16">
      <c r="P19751" s="2498"/>
    </row>
    <row r="19752" spans="16:16">
      <c r="P19752" s="2498"/>
    </row>
    <row r="19753" spans="16:16">
      <c r="P19753" s="2498"/>
    </row>
    <row r="19754" spans="16:16">
      <c r="P19754" s="2498"/>
    </row>
    <row r="19755" spans="16:16">
      <c r="P19755" s="2498"/>
    </row>
    <row r="19756" spans="16:16">
      <c r="P19756" s="2498"/>
    </row>
    <row r="19757" spans="16:16">
      <c r="P19757" s="2498"/>
    </row>
    <row r="19758" spans="16:16">
      <c r="P19758" s="2498"/>
    </row>
    <row r="19759" spans="16:16">
      <c r="P19759" s="2498"/>
    </row>
    <row r="19760" spans="16:16">
      <c r="P19760" s="2498"/>
    </row>
    <row r="19761" spans="16:16">
      <c r="P19761" s="2498"/>
    </row>
    <row r="19762" spans="16:16">
      <c r="P19762" s="2498"/>
    </row>
    <row r="19763" spans="16:16">
      <c r="P19763" s="2498"/>
    </row>
    <row r="19764" spans="16:16">
      <c r="P19764" s="2498"/>
    </row>
    <row r="19765" spans="16:16">
      <c r="P19765" s="2498"/>
    </row>
    <row r="19766" spans="16:16">
      <c r="P19766" s="2498"/>
    </row>
    <row r="19767" spans="16:16">
      <c r="P19767" s="2498"/>
    </row>
    <row r="19768" spans="16:16">
      <c r="P19768" s="2498"/>
    </row>
    <row r="19769" spans="16:16">
      <c r="P19769" s="2498"/>
    </row>
    <row r="19770" spans="16:16">
      <c r="P19770" s="2498"/>
    </row>
    <row r="19771" spans="16:16">
      <c r="P19771" s="2498"/>
    </row>
    <row r="19772" spans="16:16">
      <c r="P19772" s="2498"/>
    </row>
    <row r="19773" spans="16:16">
      <c r="P19773" s="2498"/>
    </row>
    <row r="19774" spans="16:16">
      <c r="P19774" s="2498"/>
    </row>
    <row r="19775" spans="16:16">
      <c r="P19775" s="2498"/>
    </row>
    <row r="19776" spans="16:16">
      <c r="P19776" s="2498"/>
    </row>
    <row r="19777" spans="16:16">
      <c r="P19777" s="2498"/>
    </row>
    <row r="19778" spans="16:16">
      <c r="P19778" s="2498"/>
    </row>
    <row r="19779" spans="16:16">
      <c r="P19779" s="2498"/>
    </row>
    <row r="19780" spans="16:16">
      <c r="P19780" s="2498"/>
    </row>
    <row r="19781" spans="16:16">
      <c r="P19781" s="2498"/>
    </row>
    <row r="19782" spans="16:16">
      <c r="P19782" s="2498"/>
    </row>
    <row r="19783" spans="16:16">
      <c r="P19783" s="2498"/>
    </row>
    <row r="19784" spans="16:16">
      <c r="P19784" s="2498"/>
    </row>
    <row r="19785" spans="16:16">
      <c r="P19785" s="2498"/>
    </row>
    <row r="19786" spans="16:16">
      <c r="P19786" s="2498"/>
    </row>
    <row r="19787" spans="16:16">
      <c r="P19787" s="2498"/>
    </row>
    <row r="19788" spans="16:16">
      <c r="P19788" s="2498"/>
    </row>
    <row r="19789" spans="16:16">
      <c r="P19789" s="2498"/>
    </row>
    <row r="19790" spans="16:16">
      <c r="P19790" s="2498"/>
    </row>
    <row r="19791" spans="16:16">
      <c r="P19791" s="2498"/>
    </row>
    <row r="19792" spans="16:16">
      <c r="P19792" s="2498"/>
    </row>
    <row r="19793" spans="16:16">
      <c r="P19793" s="2498"/>
    </row>
    <row r="19794" spans="16:16">
      <c r="P19794" s="2498"/>
    </row>
    <row r="19795" spans="16:16">
      <c r="P19795" s="2498"/>
    </row>
    <row r="19796" spans="16:16">
      <c r="P19796" s="2498"/>
    </row>
    <row r="19797" spans="16:16">
      <c r="P19797" s="2498"/>
    </row>
    <row r="19798" spans="16:16">
      <c r="P19798" s="2498"/>
    </row>
    <row r="19799" spans="16:16">
      <c r="P19799" s="2498"/>
    </row>
    <row r="19800" spans="16:16">
      <c r="P19800" s="2498"/>
    </row>
    <row r="19801" spans="16:16">
      <c r="P19801" s="2498"/>
    </row>
    <row r="19802" spans="16:16">
      <c r="P19802" s="2498"/>
    </row>
    <row r="19803" spans="16:16">
      <c r="P19803" s="2498"/>
    </row>
    <row r="19804" spans="16:16">
      <c r="P19804" s="2498"/>
    </row>
    <row r="19805" spans="16:16">
      <c r="P19805" s="2498"/>
    </row>
    <row r="19806" spans="16:16">
      <c r="P19806" s="2498"/>
    </row>
    <row r="19807" spans="16:16">
      <c r="P19807" s="2498"/>
    </row>
    <row r="19808" spans="16:16">
      <c r="P19808" s="2498"/>
    </row>
    <row r="19809" spans="16:16">
      <c r="P19809" s="2498"/>
    </row>
    <row r="19810" spans="16:16">
      <c r="P19810" s="2498"/>
    </row>
    <row r="19811" spans="16:16">
      <c r="P19811" s="2498"/>
    </row>
    <row r="19812" spans="16:16">
      <c r="P19812" s="2498"/>
    </row>
    <row r="19813" spans="16:16">
      <c r="P19813" s="2498"/>
    </row>
    <row r="19814" spans="16:16">
      <c r="P19814" s="2498"/>
    </row>
    <row r="19815" spans="16:16">
      <c r="P19815" s="2498"/>
    </row>
    <row r="19816" spans="16:16">
      <c r="P19816" s="2498"/>
    </row>
    <row r="19817" spans="16:16">
      <c r="P19817" s="2498"/>
    </row>
    <row r="19818" spans="16:16">
      <c r="P19818" s="2498"/>
    </row>
    <row r="19819" spans="16:16">
      <c r="P19819" s="2498"/>
    </row>
    <row r="19820" spans="16:16">
      <c r="P19820" s="2498"/>
    </row>
    <row r="19821" spans="16:16">
      <c r="P19821" s="2498"/>
    </row>
    <row r="19822" spans="16:16">
      <c r="P19822" s="2498"/>
    </row>
    <row r="19823" spans="16:16">
      <c r="P19823" s="2498"/>
    </row>
    <row r="19824" spans="16:16">
      <c r="P19824" s="2498"/>
    </row>
    <row r="19825" spans="16:16">
      <c r="P19825" s="2498"/>
    </row>
    <row r="19826" spans="16:16">
      <c r="P19826" s="2498"/>
    </row>
    <row r="19827" spans="16:16">
      <c r="P19827" s="2498"/>
    </row>
    <row r="19828" spans="16:16">
      <c r="P19828" s="2498"/>
    </row>
    <row r="19829" spans="16:16">
      <c r="P19829" s="2498"/>
    </row>
    <row r="19830" spans="16:16">
      <c r="P19830" s="2498"/>
    </row>
    <row r="19831" spans="16:16">
      <c r="P19831" s="2498"/>
    </row>
    <row r="19832" spans="16:16">
      <c r="P19832" s="2498"/>
    </row>
    <row r="19833" spans="16:16">
      <c r="P19833" s="2498"/>
    </row>
    <row r="19834" spans="16:16">
      <c r="P19834" s="2498"/>
    </row>
    <row r="19835" spans="16:16">
      <c r="P19835" s="2498"/>
    </row>
    <row r="19836" spans="16:16">
      <c r="P19836" s="2498"/>
    </row>
    <row r="19837" spans="16:16">
      <c r="P19837" s="2498"/>
    </row>
    <row r="19838" spans="16:16">
      <c r="P19838" s="2498"/>
    </row>
    <row r="19839" spans="16:16">
      <c r="P19839" s="2498"/>
    </row>
    <row r="19840" spans="16:16">
      <c r="P19840" s="2498"/>
    </row>
    <row r="19841" spans="16:16">
      <c r="P19841" s="2498"/>
    </row>
    <row r="19842" spans="16:16">
      <c r="P19842" s="2498"/>
    </row>
    <row r="19843" spans="16:16">
      <c r="P19843" s="2498"/>
    </row>
    <row r="19844" spans="16:16">
      <c r="P19844" s="2498"/>
    </row>
    <row r="19845" spans="16:16">
      <c r="P19845" s="2498"/>
    </row>
    <row r="19846" spans="16:16">
      <c r="P19846" s="2498"/>
    </row>
    <row r="19847" spans="16:16">
      <c r="P19847" s="2498"/>
    </row>
    <row r="19848" spans="16:16">
      <c r="P19848" s="2498"/>
    </row>
    <row r="19849" spans="16:16">
      <c r="P19849" s="2498"/>
    </row>
    <row r="19850" spans="16:16">
      <c r="P19850" s="2498"/>
    </row>
    <row r="19851" spans="16:16">
      <c r="P19851" s="2498"/>
    </row>
    <row r="19852" spans="16:16">
      <c r="P19852" s="2498"/>
    </row>
    <row r="19853" spans="16:16">
      <c r="P19853" s="2498"/>
    </row>
    <row r="19854" spans="16:16">
      <c r="P19854" s="2498"/>
    </row>
    <row r="19855" spans="16:16">
      <c r="P19855" s="2498"/>
    </row>
    <row r="19856" spans="16:16">
      <c r="P19856" s="2498"/>
    </row>
    <row r="19857" spans="16:16">
      <c r="P19857" s="2498"/>
    </row>
    <row r="19858" spans="16:16">
      <c r="P19858" s="2498"/>
    </row>
    <row r="19859" spans="16:16">
      <c r="P19859" s="2498"/>
    </row>
    <row r="19860" spans="16:16">
      <c r="P19860" s="2498"/>
    </row>
    <row r="19861" spans="16:16">
      <c r="P19861" s="2498"/>
    </row>
    <row r="19862" spans="16:16">
      <c r="P19862" s="2498"/>
    </row>
    <row r="19863" spans="16:16">
      <c r="P19863" s="2498"/>
    </row>
    <row r="19864" spans="16:16">
      <c r="P19864" s="2498"/>
    </row>
    <row r="19865" spans="16:16">
      <c r="P19865" s="2498"/>
    </row>
    <row r="19866" spans="16:16">
      <c r="P19866" s="2498"/>
    </row>
    <row r="19867" spans="16:16">
      <c r="P19867" s="2498"/>
    </row>
    <row r="19868" spans="16:16">
      <c r="P19868" s="2498"/>
    </row>
    <row r="19869" spans="16:16">
      <c r="P19869" s="2498"/>
    </row>
    <row r="19870" spans="16:16">
      <c r="P19870" s="2498"/>
    </row>
    <row r="19871" spans="16:16">
      <c r="P19871" s="2498"/>
    </row>
    <row r="19872" spans="16:16">
      <c r="P19872" s="2498"/>
    </row>
    <row r="19873" spans="16:16">
      <c r="P19873" s="2498"/>
    </row>
    <row r="19874" spans="16:16">
      <c r="P19874" s="2498"/>
    </row>
    <row r="19875" spans="16:16">
      <c r="P19875" s="2498"/>
    </row>
    <row r="19876" spans="16:16">
      <c r="P19876" s="2498"/>
    </row>
    <row r="19877" spans="16:16">
      <c r="P19877" s="2498"/>
    </row>
    <row r="19878" spans="16:16">
      <c r="P19878" s="2498"/>
    </row>
    <row r="19879" spans="16:16">
      <c r="P19879" s="2498"/>
    </row>
    <row r="19880" spans="16:16">
      <c r="P19880" s="2498"/>
    </row>
    <row r="19881" spans="16:16">
      <c r="P19881" s="2498"/>
    </row>
    <row r="19882" spans="16:16">
      <c r="P19882" s="2498"/>
    </row>
    <row r="19883" spans="16:16">
      <c r="P19883" s="2498"/>
    </row>
    <row r="19884" spans="16:16">
      <c r="P19884" s="2498"/>
    </row>
    <row r="19885" spans="16:16">
      <c r="P19885" s="2498"/>
    </row>
    <row r="19886" spans="16:16">
      <c r="P19886" s="2498"/>
    </row>
    <row r="19887" spans="16:16">
      <c r="P19887" s="2498"/>
    </row>
    <row r="19888" spans="16:16">
      <c r="P19888" s="2498"/>
    </row>
    <row r="19889" spans="16:16">
      <c r="P19889" s="2498"/>
    </row>
    <row r="19890" spans="16:16">
      <c r="P19890" s="2498"/>
    </row>
    <row r="19891" spans="16:16">
      <c r="P19891" s="2498"/>
    </row>
    <row r="19892" spans="16:16">
      <c r="P19892" s="2498"/>
    </row>
    <row r="19893" spans="16:16">
      <c r="P19893" s="2498"/>
    </row>
    <row r="19894" spans="16:16">
      <c r="P19894" s="2498"/>
    </row>
    <row r="19895" spans="16:16">
      <c r="P19895" s="2498"/>
    </row>
    <row r="19896" spans="16:16">
      <c r="P19896" s="2498"/>
    </row>
    <row r="19897" spans="16:16">
      <c r="P19897" s="2498"/>
    </row>
    <row r="19898" spans="16:16">
      <c r="P19898" s="2498"/>
    </row>
    <row r="19899" spans="16:16">
      <c r="P19899" s="2498"/>
    </row>
    <row r="19900" spans="16:16">
      <c r="P19900" s="2498"/>
    </row>
    <row r="19901" spans="16:16">
      <c r="P19901" s="2498"/>
    </row>
    <row r="19902" spans="16:16">
      <c r="P19902" s="2498"/>
    </row>
    <row r="19903" spans="16:16">
      <c r="P19903" s="2498"/>
    </row>
    <row r="19904" spans="16:16">
      <c r="P19904" s="2498"/>
    </row>
    <row r="19905" spans="16:16">
      <c r="P19905" s="2498"/>
    </row>
    <row r="19906" spans="16:16">
      <c r="P19906" s="2498"/>
    </row>
    <row r="19907" spans="16:16">
      <c r="P19907" s="2498"/>
    </row>
    <row r="19908" spans="16:16">
      <c r="P19908" s="2498"/>
    </row>
    <row r="19909" spans="16:16">
      <c r="P19909" s="2498"/>
    </row>
    <row r="19910" spans="16:16">
      <c r="P19910" s="2498"/>
    </row>
    <row r="19911" spans="16:16">
      <c r="P19911" s="2498"/>
    </row>
    <row r="19912" spans="16:16">
      <c r="P19912" s="2498"/>
    </row>
    <row r="19913" spans="16:16">
      <c r="P19913" s="2498"/>
    </row>
    <row r="19914" spans="16:16">
      <c r="P19914" s="2498"/>
    </row>
    <row r="19915" spans="16:16">
      <c r="P19915" s="2498"/>
    </row>
    <row r="19916" spans="16:16">
      <c r="P19916" s="2498"/>
    </row>
    <row r="19917" spans="16:16">
      <c r="P19917" s="2498"/>
    </row>
    <row r="19918" spans="16:16">
      <c r="P19918" s="2498"/>
    </row>
    <row r="19919" spans="16:16">
      <c r="P19919" s="2498"/>
    </row>
    <row r="19920" spans="16:16">
      <c r="P19920" s="2498"/>
    </row>
    <row r="19921" spans="16:16">
      <c r="P19921" s="2498"/>
    </row>
    <row r="19922" spans="16:16">
      <c r="P19922" s="2498"/>
    </row>
    <row r="19923" spans="16:16">
      <c r="P19923" s="2498"/>
    </row>
    <row r="19924" spans="16:16">
      <c r="P19924" s="2498"/>
    </row>
    <row r="19925" spans="16:16">
      <c r="P19925" s="2498"/>
    </row>
    <row r="19926" spans="16:16">
      <c r="P19926" s="2498"/>
    </row>
    <row r="19927" spans="16:16">
      <c r="P19927" s="2498"/>
    </row>
    <row r="19928" spans="16:16">
      <c r="P19928" s="2498"/>
    </row>
    <row r="19929" spans="16:16">
      <c r="P19929" s="2498"/>
    </row>
    <row r="19930" spans="16:16">
      <c r="P19930" s="2498"/>
    </row>
    <row r="19931" spans="16:16">
      <c r="P19931" s="2498"/>
    </row>
    <row r="19932" spans="16:16">
      <c r="P19932" s="2498"/>
    </row>
    <row r="19933" spans="16:16">
      <c r="P19933" s="2498"/>
    </row>
    <row r="19934" spans="16:16">
      <c r="P19934" s="2498"/>
    </row>
    <row r="19935" spans="16:16">
      <c r="P19935" s="2498"/>
    </row>
    <row r="19936" spans="16:16">
      <c r="P19936" s="2498"/>
    </row>
    <row r="19937" spans="16:16">
      <c r="P19937" s="2498"/>
    </row>
    <row r="19938" spans="16:16">
      <c r="P19938" s="2498"/>
    </row>
    <row r="19939" spans="16:16">
      <c r="P19939" s="2498"/>
    </row>
    <row r="19940" spans="16:16">
      <c r="P19940" s="2498"/>
    </row>
    <row r="19941" spans="16:16">
      <c r="P19941" s="2498"/>
    </row>
    <row r="19942" spans="16:16">
      <c r="P19942" s="2498"/>
    </row>
    <row r="19943" spans="16:16">
      <c r="P19943" s="2498"/>
    </row>
    <row r="19944" spans="16:16">
      <c r="P19944" s="2498"/>
    </row>
    <row r="19945" spans="16:16">
      <c r="P19945" s="2498"/>
    </row>
    <row r="19946" spans="16:16">
      <c r="P19946" s="2498"/>
    </row>
    <row r="19947" spans="16:16">
      <c r="P19947" s="2498"/>
    </row>
    <row r="19948" spans="16:16">
      <c r="P19948" s="2498"/>
    </row>
    <row r="19949" spans="16:16">
      <c r="P19949" s="2498"/>
    </row>
    <row r="19950" spans="16:16">
      <c r="P19950" s="2498"/>
    </row>
    <row r="19951" spans="16:16">
      <c r="P19951" s="2498"/>
    </row>
    <row r="19952" spans="16:16">
      <c r="P19952" s="2498"/>
    </row>
    <row r="19953" spans="16:16">
      <c r="P19953" s="2498"/>
    </row>
    <row r="19954" spans="16:16">
      <c r="P19954" s="2498"/>
    </row>
    <row r="19955" spans="16:16">
      <c r="P19955" s="2498"/>
    </row>
    <row r="19956" spans="16:16">
      <c r="P19956" s="2498"/>
    </row>
    <row r="19957" spans="16:16">
      <c r="P19957" s="2498"/>
    </row>
    <row r="19958" spans="16:16">
      <c r="P19958" s="2498"/>
    </row>
    <row r="19959" spans="16:16">
      <c r="P19959" s="2498"/>
    </row>
    <row r="19960" spans="16:16">
      <c r="P19960" s="2498"/>
    </row>
    <row r="19961" spans="16:16">
      <c r="P19961" s="2498"/>
    </row>
    <row r="19962" spans="16:16">
      <c r="P19962" s="2498"/>
    </row>
    <row r="19963" spans="16:16">
      <c r="P19963" s="2498"/>
    </row>
    <row r="19964" spans="16:16">
      <c r="P19964" s="2498"/>
    </row>
    <row r="19965" spans="16:16">
      <c r="P19965" s="2498"/>
    </row>
    <row r="19966" spans="16:16">
      <c r="P19966" s="2498"/>
    </row>
    <row r="19967" spans="16:16">
      <c r="P19967" s="2498"/>
    </row>
    <row r="19968" spans="16:16">
      <c r="P19968" s="2498"/>
    </row>
    <row r="19969" spans="16:16">
      <c r="P19969" s="2498"/>
    </row>
    <row r="19970" spans="16:16">
      <c r="P19970" s="2498"/>
    </row>
    <row r="19971" spans="16:16">
      <c r="P19971" s="2498"/>
    </row>
    <row r="19972" spans="16:16">
      <c r="P19972" s="2498"/>
    </row>
    <row r="19973" spans="16:16">
      <c r="P19973" s="2498"/>
    </row>
    <row r="19974" spans="16:16">
      <c r="P19974" s="2498"/>
    </row>
    <row r="19975" spans="16:16">
      <c r="P19975" s="2498"/>
    </row>
    <row r="19976" spans="16:16">
      <c r="P19976" s="2498"/>
    </row>
    <row r="19977" spans="16:16">
      <c r="P19977" s="2498"/>
    </row>
    <row r="19978" spans="16:16">
      <c r="P19978" s="2498"/>
    </row>
    <row r="19979" spans="16:16">
      <c r="P19979" s="2498"/>
    </row>
    <row r="19980" spans="16:16">
      <c r="P19980" s="2498"/>
    </row>
    <row r="19981" spans="16:16">
      <c r="P19981" s="2498"/>
    </row>
    <row r="19982" spans="16:16">
      <c r="P19982" s="2498"/>
    </row>
    <row r="19983" spans="16:16">
      <c r="P19983" s="2498"/>
    </row>
    <row r="19984" spans="16:16">
      <c r="P19984" s="2498"/>
    </row>
    <row r="19985" spans="16:16">
      <c r="P19985" s="2498"/>
    </row>
    <row r="19986" spans="16:16">
      <c r="P19986" s="2498"/>
    </row>
    <row r="19987" spans="16:16">
      <c r="P19987" s="2498"/>
    </row>
    <row r="19988" spans="16:16">
      <c r="P19988" s="2498"/>
    </row>
    <row r="19989" spans="16:16">
      <c r="P19989" s="2498"/>
    </row>
    <row r="19990" spans="16:16">
      <c r="P19990" s="2498"/>
    </row>
    <row r="19991" spans="16:16">
      <c r="P19991" s="2498"/>
    </row>
    <row r="19992" spans="16:16">
      <c r="P19992" s="2498"/>
    </row>
    <row r="19993" spans="16:16">
      <c r="P19993" s="2498"/>
    </row>
    <row r="19994" spans="16:16">
      <c r="P19994" s="2498"/>
    </row>
    <row r="19995" spans="16:16">
      <c r="P19995" s="2498"/>
    </row>
    <row r="19996" spans="16:16">
      <c r="P19996" s="2498"/>
    </row>
    <row r="19997" spans="16:16">
      <c r="P19997" s="2498"/>
    </row>
    <row r="19998" spans="16:16">
      <c r="P19998" s="2498"/>
    </row>
    <row r="19999" spans="16:16">
      <c r="P19999" s="2498"/>
    </row>
    <row r="20000" spans="16:16">
      <c r="P20000" s="2498"/>
    </row>
    <row r="20001" spans="16:16">
      <c r="P20001" s="2498"/>
    </row>
    <row r="20002" spans="16:16">
      <c r="P20002" s="2498"/>
    </row>
    <row r="20003" spans="16:16">
      <c r="P20003" s="2498"/>
    </row>
    <row r="20004" spans="16:16">
      <c r="P20004" s="2498"/>
    </row>
    <row r="20005" spans="16:16">
      <c r="P20005" s="2498"/>
    </row>
    <row r="20006" spans="16:16">
      <c r="P20006" s="2498"/>
    </row>
    <row r="20007" spans="16:16">
      <c r="P20007" s="2498"/>
    </row>
    <row r="20008" spans="16:16">
      <c r="P20008" s="2498"/>
    </row>
    <row r="20009" spans="16:16">
      <c r="P20009" s="2498"/>
    </row>
    <row r="20010" spans="16:16">
      <c r="P20010" s="2498"/>
    </row>
    <row r="20011" spans="16:16">
      <c r="P20011" s="2498"/>
    </row>
    <row r="20012" spans="16:16">
      <c r="P20012" s="2498"/>
    </row>
    <row r="20013" spans="16:16">
      <c r="P20013" s="2498"/>
    </row>
    <row r="20014" spans="16:16">
      <c r="P20014" s="2498"/>
    </row>
    <row r="20015" spans="16:16">
      <c r="P20015" s="2498"/>
    </row>
    <row r="20016" spans="16:16">
      <c r="P20016" s="2498"/>
    </row>
    <row r="20017" spans="16:16">
      <c r="P20017" s="2498"/>
    </row>
    <row r="20018" spans="16:16">
      <c r="P20018" s="2498"/>
    </row>
    <row r="20019" spans="16:16">
      <c r="P20019" s="2498"/>
    </row>
    <row r="20020" spans="16:16">
      <c r="P20020" s="2498"/>
    </row>
    <row r="20021" spans="16:16">
      <c r="P20021" s="2498"/>
    </row>
    <row r="20022" spans="16:16">
      <c r="P20022" s="2498"/>
    </row>
    <row r="20023" spans="16:16">
      <c r="P20023" s="2498"/>
    </row>
    <row r="20024" spans="16:16">
      <c r="P20024" s="2498"/>
    </row>
    <row r="20025" spans="16:16">
      <c r="P20025" s="2498"/>
    </row>
    <row r="20026" spans="16:16">
      <c r="P20026" s="2498"/>
    </row>
    <row r="20027" spans="16:16">
      <c r="P20027" s="2498"/>
    </row>
    <row r="20028" spans="16:16">
      <c r="P20028" s="2498"/>
    </row>
    <row r="20029" spans="16:16">
      <c r="P20029" s="2498"/>
    </row>
    <row r="20030" spans="16:16">
      <c r="P20030" s="2498"/>
    </row>
    <row r="20031" spans="16:16">
      <c r="P20031" s="2498"/>
    </row>
    <row r="20032" spans="16:16">
      <c r="P20032" s="2498"/>
    </row>
    <row r="20033" spans="16:16">
      <c r="P20033" s="2498"/>
    </row>
    <row r="20034" spans="16:16">
      <c r="P20034" s="2498"/>
    </row>
    <row r="20035" spans="16:16">
      <c r="P20035" s="2498"/>
    </row>
    <row r="20036" spans="16:16">
      <c r="P20036" s="2498"/>
    </row>
    <row r="20037" spans="16:16">
      <c r="P20037" s="2498"/>
    </row>
    <row r="20038" spans="16:16">
      <c r="P20038" s="2498"/>
    </row>
    <row r="20039" spans="16:16">
      <c r="P20039" s="2498"/>
    </row>
    <row r="20040" spans="16:16">
      <c r="P20040" s="2498"/>
    </row>
    <row r="20041" spans="16:16">
      <c r="P20041" s="2498"/>
    </row>
    <row r="20042" spans="16:16">
      <c r="P20042" s="2498"/>
    </row>
    <row r="20043" spans="16:16">
      <c r="P20043" s="2498"/>
    </row>
    <row r="20044" spans="16:16">
      <c r="P20044" s="2498"/>
    </row>
    <row r="20045" spans="16:16">
      <c r="P20045" s="2498"/>
    </row>
    <row r="20046" spans="16:16">
      <c r="P20046" s="2498"/>
    </row>
    <row r="20047" spans="16:16">
      <c r="P20047" s="2498"/>
    </row>
    <row r="20048" spans="16:16">
      <c r="P20048" s="2498"/>
    </row>
    <row r="20049" spans="16:16">
      <c r="P20049" s="2498"/>
    </row>
    <row r="20050" spans="16:16">
      <c r="P20050" s="2498"/>
    </row>
    <row r="20051" spans="16:16">
      <c r="P20051" s="2498"/>
    </row>
    <row r="20052" spans="16:16">
      <c r="P20052" s="2498"/>
    </row>
    <row r="20053" spans="16:16">
      <c r="P20053" s="2498"/>
    </row>
    <row r="20054" spans="16:16">
      <c r="P20054" s="2498"/>
    </row>
    <row r="20055" spans="16:16">
      <c r="P20055" s="2498"/>
    </row>
    <row r="20056" spans="16:16">
      <c r="P20056" s="2498"/>
    </row>
    <row r="20057" spans="16:16">
      <c r="P20057" s="2498"/>
    </row>
    <row r="20058" spans="16:16">
      <c r="P20058" s="2498"/>
    </row>
    <row r="20059" spans="16:16">
      <c r="P20059" s="2498"/>
    </row>
    <row r="20060" spans="16:16">
      <c r="P20060" s="2498"/>
    </row>
    <row r="20061" spans="16:16">
      <c r="P20061" s="2498"/>
    </row>
    <row r="20062" spans="16:16">
      <c r="P20062" s="2498"/>
    </row>
    <row r="20063" spans="16:16">
      <c r="P20063" s="2498"/>
    </row>
    <row r="20064" spans="16:16">
      <c r="P20064" s="2498"/>
    </row>
    <row r="20065" spans="16:16">
      <c r="P20065" s="2498"/>
    </row>
    <row r="20066" spans="16:16">
      <c r="P20066" s="2498"/>
    </row>
    <row r="20067" spans="16:16">
      <c r="P20067" s="2498"/>
    </row>
    <row r="20068" spans="16:16">
      <c r="P20068" s="2498"/>
    </row>
    <row r="20069" spans="16:16">
      <c r="P20069" s="2498"/>
    </row>
    <row r="20070" spans="16:16">
      <c r="P20070" s="2498"/>
    </row>
    <row r="20071" spans="16:16">
      <c r="P20071" s="2498"/>
    </row>
    <row r="20072" spans="16:16">
      <c r="P20072" s="2498"/>
    </row>
    <row r="20073" spans="16:16">
      <c r="P20073" s="2498"/>
    </row>
    <row r="20074" spans="16:16">
      <c r="P20074" s="2498"/>
    </row>
    <row r="20075" spans="16:16">
      <c r="P20075" s="2498"/>
    </row>
    <row r="20076" spans="16:16">
      <c r="P20076" s="2498"/>
    </row>
    <row r="20077" spans="16:16">
      <c r="P20077" s="2498"/>
    </row>
    <row r="20078" spans="16:16">
      <c r="P20078" s="2498"/>
    </row>
    <row r="20079" spans="16:16">
      <c r="P20079" s="2498"/>
    </row>
    <row r="20080" spans="16:16">
      <c r="P20080" s="2498"/>
    </row>
    <row r="20081" spans="16:16">
      <c r="P20081" s="2498"/>
    </row>
    <row r="20082" spans="16:16">
      <c r="P20082" s="2498"/>
    </row>
    <row r="20083" spans="16:16">
      <c r="P20083" s="2498"/>
    </row>
    <row r="20084" spans="16:16">
      <c r="P20084" s="2498"/>
    </row>
    <row r="20085" spans="16:16">
      <c r="P20085" s="2498"/>
    </row>
    <row r="20086" spans="16:16">
      <c r="P20086" s="2498"/>
    </row>
    <row r="20087" spans="16:16">
      <c r="P20087" s="2498"/>
    </row>
    <row r="20088" spans="16:16">
      <c r="P20088" s="2498"/>
    </row>
    <row r="20089" spans="16:16">
      <c r="P20089" s="2498"/>
    </row>
    <row r="20090" spans="16:16">
      <c r="P20090" s="2498"/>
    </row>
    <row r="20091" spans="16:16">
      <c r="P20091" s="2498"/>
    </row>
    <row r="20092" spans="16:16">
      <c r="P20092" s="2498"/>
    </row>
    <row r="20093" spans="16:16">
      <c r="P20093" s="2498"/>
    </row>
    <row r="20094" spans="16:16">
      <c r="P20094" s="2498"/>
    </row>
    <row r="20095" spans="16:16">
      <c r="P20095" s="2498"/>
    </row>
    <row r="20096" spans="16:16">
      <c r="P20096" s="2498"/>
    </row>
    <row r="20097" spans="16:16">
      <c r="P20097" s="2498"/>
    </row>
    <row r="20098" spans="16:16">
      <c r="P20098" s="2498"/>
    </row>
    <row r="20099" spans="16:16">
      <c r="P20099" s="2498"/>
    </row>
    <row r="20100" spans="16:16">
      <c r="P20100" s="2498"/>
    </row>
    <row r="20101" spans="16:16">
      <c r="P20101" s="2498"/>
    </row>
    <row r="20102" spans="16:16">
      <c r="P20102" s="2498"/>
    </row>
    <row r="20103" spans="16:16">
      <c r="P20103" s="2498"/>
    </row>
    <row r="20104" spans="16:16">
      <c r="P20104" s="2498"/>
    </row>
    <row r="20105" spans="16:16">
      <c r="P20105" s="2498"/>
    </row>
    <row r="20106" spans="16:16">
      <c r="P20106" s="2498"/>
    </row>
    <row r="20107" spans="16:16">
      <c r="P20107" s="2498"/>
    </row>
    <row r="20108" spans="16:16">
      <c r="P20108" s="2498"/>
    </row>
    <row r="20109" spans="16:16">
      <c r="P20109" s="2498"/>
    </row>
    <row r="20110" spans="16:16">
      <c r="P20110" s="2498"/>
    </row>
    <row r="20111" spans="16:16">
      <c r="P20111" s="2498"/>
    </row>
    <row r="20112" spans="16:16">
      <c r="P20112" s="2498"/>
    </row>
    <row r="20113" spans="16:16">
      <c r="P20113" s="2498"/>
    </row>
    <row r="20114" spans="16:16">
      <c r="P20114" s="2498"/>
    </row>
    <row r="20115" spans="16:16">
      <c r="P20115" s="2498"/>
    </row>
    <row r="20116" spans="16:16">
      <c r="P20116" s="2498"/>
    </row>
    <row r="20117" spans="16:16">
      <c r="P20117" s="2498"/>
    </row>
    <row r="20118" spans="16:16">
      <c r="P20118" s="2498"/>
    </row>
    <row r="20119" spans="16:16">
      <c r="P20119" s="2498"/>
    </row>
    <row r="20120" spans="16:16">
      <c r="P20120" s="2498"/>
    </row>
    <row r="20121" spans="16:16">
      <c r="P20121" s="2498"/>
    </row>
    <row r="20122" spans="16:16">
      <c r="P20122" s="2498"/>
    </row>
    <row r="20123" spans="16:16">
      <c r="P20123" s="2498"/>
    </row>
    <row r="20124" spans="16:16">
      <c r="P20124" s="2498"/>
    </row>
    <row r="20125" spans="16:16">
      <c r="P20125" s="2498"/>
    </row>
    <row r="20126" spans="16:16">
      <c r="P20126" s="2498"/>
    </row>
    <row r="20127" spans="16:16">
      <c r="P20127" s="2498"/>
    </row>
    <row r="20128" spans="16:16">
      <c r="P20128" s="2498"/>
    </row>
    <row r="20129" spans="16:16">
      <c r="P20129" s="2498"/>
    </row>
    <row r="20130" spans="16:16">
      <c r="P20130" s="2498"/>
    </row>
    <row r="20131" spans="16:16">
      <c r="P20131" s="2498"/>
    </row>
    <row r="20132" spans="16:16">
      <c r="P20132" s="2498"/>
    </row>
    <row r="20133" spans="16:16">
      <c r="P20133" s="2498"/>
    </row>
    <row r="20134" spans="16:16">
      <c r="P20134" s="2498"/>
    </row>
    <row r="20135" spans="16:16">
      <c r="P20135" s="2498"/>
    </row>
    <row r="20136" spans="16:16">
      <c r="P20136" s="2498"/>
    </row>
    <row r="20137" spans="16:16">
      <c r="P20137" s="2498"/>
    </row>
    <row r="20138" spans="16:16">
      <c r="P20138" s="2498"/>
    </row>
    <row r="20139" spans="16:16">
      <c r="P20139" s="2498"/>
    </row>
    <row r="20140" spans="16:16">
      <c r="P20140" s="2498"/>
    </row>
    <row r="20141" spans="16:16">
      <c r="P20141" s="2498"/>
    </row>
    <row r="20142" spans="16:16">
      <c r="P20142" s="2498"/>
    </row>
    <row r="20143" spans="16:16">
      <c r="P20143" s="2498"/>
    </row>
    <row r="20144" spans="16:16">
      <c r="P20144" s="2498"/>
    </row>
    <row r="20145" spans="16:16">
      <c r="P20145" s="2498"/>
    </row>
    <row r="20146" spans="16:16">
      <c r="P20146" s="2498"/>
    </row>
    <row r="20147" spans="16:16">
      <c r="P20147" s="2498"/>
    </row>
    <row r="20148" spans="16:16">
      <c r="P20148" s="2498"/>
    </row>
    <row r="20149" spans="16:16">
      <c r="P20149" s="2498"/>
    </row>
    <row r="20150" spans="16:16">
      <c r="P20150" s="2498"/>
    </row>
    <row r="20151" spans="16:16">
      <c r="P20151" s="2498"/>
    </row>
    <row r="20152" spans="16:16">
      <c r="P20152" s="2498"/>
    </row>
    <row r="20153" spans="16:16">
      <c r="P20153" s="2498"/>
    </row>
    <row r="20154" spans="16:16">
      <c r="P20154" s="2498"/>
    </row>
    <row r="20155" spans="16:16">
      <c r="P20155" s="2498"/>
    </row>
    <row r="20156" spans="16:16">
      <c r="P20156" s="2498"/>
    </row>
    <row r="20157" spans="16:16">
      <c r="P20157" s="2498"/>
    </row>
    <row r="20158" spans="16:16">
      <c r="P20158" s="2498"/>
    </row>
    <row r="20159" spans="16:16">
      <c r="P20159" s="2498"/>
    </row>
    <row r="20160" spans="16:16">
      <c r="P20160" s="2498"/>
    </row>
    <row r="20161" spans="16:16">
      <c r="P20161" s="2498"/>
    </row>
    <row r="20162" spans="16:16">
      <c r="P20162" s="2498"/>
    </row>
    <row r="20163" spans="16:16">
      <c r="P20163" s="2498"/>
    </row>
    <row r="20164" spans="16:16">
      <c r="P20164" s="2498"/>
    </row>
    <row r="20165" spans="16:16">
      <c r="P20165" s="2498"/>
    </row>
    <row r="20166" spans="16:16">
      <c r="P20166" s="2498"/>
    </row>
    <row r="20167" spans="16:16">
      <c r="P20167" s="2498"/>
    </row>
    <row r="20168" spans="16:16">
      <c r="P20168" s="2498"/>
    </row>
    <row r="20169" spans="16:16">
      <c r="P20169" s="2498"/>
    </row>
    <row r="20170" spans="16:16">
      <c r="P20170" s="2498"/>
    </row>
    <row r="20171" spans="16:16">
      <c r="P20171" s="2498"/>
    </row>
    <row r="20172" spans="16:16">
      <c r="P20172" s="2498"/>
    </row>
    <row r="20173" spans="16:16">
      <c r="P20173" s="2498"/>
    </row>
    <row r="20174" spans="16:16">
      <c r="P20174" s="2498"/>
    </row>
    <row r="20175" spans="16:16">
      <c r="P20175" s="2498"/>
    </row>
    <row r="20176" spans="16:16">
      <c r="P20176" s="2498"/>
    </row>
    <row r="20177" spans="16:16">
      <c r="P20177" s="2498"/>
    </row>
    <row r="20178" spans="16:16">
      <c r="P20178" s="2498"/>
    </row>
    <row r="20179" spans="16:16">
      <c r="P20179" s="2498"/>
    </row>
    <row r="20180" spans="16:16">
      <c r="P20180" s="2498"/>
    </row>
    <row r="20181" spans="16:16">
      <c r="P20181" s="2498"/>
    </row>
    <row r="20182" spans="16:16">
      <c r="P20182" s="2498"/>
    </row>
    <row r="20183" spans="16:16">
      <c r="P20183" s="2498"/>
    </row>
    <row r="20184" spans="16:16">
      <c r="P20184" s="2498"/>
    </row>
    <row r="20185" spans="16:16">
      <c r="P20185" s="2498"/>
    </row>
    <row r="20186" spans="16:16">
      <c r="P20186" s="2498"/>
    </row>
    <row r="20187" spans="16:16">
      <c r="P20187" s="2498"/>
    </row>
    <row r="20188" spans="16:16">
      <c r="P20188" s="2498"/>
    </row>
    <row r="20189" spans="16:16">
      <c r="P20189" s="2498"/>
    </row>
    <row r="20190" spans="16:16">
      <c r="P20190" s="2498"/>
    </row>
    <row r="20191" spans="16:16">
      <c r="P20191" s="2498"/>
    </row>
    <row r="20192" spans="16:16">
      <c r="P20192" s="2498"/>
    </row>
    <row r="20193" spans="16:16">
      <c r="P20193" s="2498"/>
    </row>
    <row r="20194" spans="16:16">
      <c r="P20194" s="2498"/>
    </row>
    <row r="20195" spans="16:16">
      <c r="P20195" s="2498"/>
    </row>
    <row r="20196" spans="16:16">
      <c r="P20196" s="2498"/>
    </row>
    <row r="20197" spans="16:16">
      <c r="P20197" s="2498"/>
    </row>
    <row r="20198" spans="16:16">
      <c r="P20198" s="2498"/>
    </row>
    <row r="20199" spans="16:16">
      <c r="P20199" s="2498"/>
    </row>
    <row r="20200" spans="16:16">
      <c r="P20200" s="2498"/>
    </row>
    <row r="20201" spans="16:16">
      <c r="P20201" s="2498"/>
    </row>
    <row r="20202" spans="16:16">
      <c r="P20202" s="2498"/>
    </row>
    <row r="20203" spans="16:16">
      <c r="P20203" s="2498"/>
    </row>
    <row r="20204" spans="16:16">
      <c r="P20204" s="2498"/>
    </row>
    <row r="20205" spans="16:16">
      <c r="P20205" s="2498"/>
    </row>
    <row r="20206" spans="16:16">
      <c r="P20206" s="2498"/>
    </row>
    <row r="20207" spans="16:16">
      <c r="P20207" s="2498"/>
    </row>
    <row r="20208" spans="16:16">
      <c r="P20208" s="2498"/>
    </row>
    <row r="20209" spans="16:16">
      <c r="P20209" s="2498"/>
    </row>
    <row r="20210" spans="16:16">
      <c r="P20210" s="2498"/>
    </row>
    <row r="20211" spans="16:16">
      <c r="P20211" s="2498"/>
    </row>
    <row r="20212" spans="16:16">
      <c r="P20212" s="2498"/>
    </row>
    <row r="20213" spans="16:16">
      <c r="P20213" s="2498"/>
    </row>
    <row r="20214" spans="16:16">
      <c r="P20214" s="2498"/>
    </row>
    <row r="20215" spans="16:16">
      <c r="P20215" s="2498"/>
    </row>
    <row r="20216" spans="16:16">
      <c r="P20216" s="2498"/>
    </row>
    <row r="20217" spans="16:16">
      <c r="P20217" s="2498"/>
    </row>
    <row r="20218" spans="16:16">
      <c r="P20218" s="2498"/>
    </row>
    <row r="20219" spans="16:16">
      <c r="P20219" s="2498"/>
    </row>
    <row r="20220" spans="16:16">
      <c r="P20220" s="2498"/>
    </row>
    <row r="20221" spans="16:16">
      <c r="P20221" s="2498"/>
    </row>
    <row r="20222" spans="16:16">
      <c r="P20222" s="2498"/>
    </row>
    <row r="20223" spans="16:16">
      <c r="P20223" s="2498"/>
    </row>
    <row r="20224" spans="16:16">
      <c r="P20224" s="2498"/>
    </row>
    <row r="20225" spans="16:16">
      <c r="P20225" s="2498"/>
    </row>
    <row r="20226" spans="16:16">
      <c r="P20226" s="2498"/>
    </row>
    <row r="20227" spans="16:16">
      <c r="P20227" s="2498"/>
    </row>
    <row r="20228" spans="16:16">
      <c r="P20228" s="2498"/>
    </row>
    <row r="20229" spans="16:16">
      <c r="P20229" s="2498"/>
    </row>
    <row r="20230" spans="16:16">
      <c r="P20230" s="2498"/>
    </row>
    <row r="20231" spans="16:16">
      <c r="P20231" s="2498"/>
    </row>
    <row r="20232" spans="16:16">
      <c r="P20232" s="2498"/>
    </row>
    <row r="20233" spans="16:16">
      <c r="P20233" s="2498"/>
    </row>
    <row r="20234" spans="16:16">
      <c r="P20234" s="2498"/>
    </row>
    <row r="20235" spans="16:16">
      <c r="P20235" s="2498"/>
    </row>
    <row r="20236" spans="16:16">
      <c r="P20236" s="2498"/>
    </row>
    <row r="20237" spans="16:16">
      <c r="P20237" s="2498"/>
    </row>
    <row r="20238" spans="16:16">
      <c r="P20238" s="2498"/>
    </row>
    <row r="20239" spans="16:16">
      <c r="P20239" s="2498"/>
    </row>
    <row r="20240" spans="16:16">
      <c r="P20240" s="2498"/>
    </row>
    <row r="20241" spans="16:16">
      <c r="P20241" s="2498"/>
    </row>
    <row r="20242" spans="16:16">
      <c r="P20242" s="2498"/>
    </row>
    <row r="20243" spans="16:16">
      <c r="P20243" s="2498"/>
    </row>
    <row r="20244" spans="16:16">
      <c r="P20244" s="2498"/>
    </row>
    <row r="20245" spans="16:16">
      <c r="P20245" s="2498"/>
    </row>
    <row r="20246" spans="16:16">
      <c r="P20246" s="2498"/>
    </row>
    <row r="20247" spans="16:16">
      <c r="P20247" s="2498"/>
    </row>
    <row r="20248" spans="16:16">
      <c r="P20248" s="2498"/>
    </row>
    <row r="20249" spans="16:16">
      <c r="P20249" s="2498"/>
    </row>
    <row r="20250" spans="16:16">
      <c r="P20250" s="2498"/>
    </row>
    <row r="20251" spans="16:16">
      <c r="P20251" s="2498"/>
    </row>
    <row r="20252" spans="16:16">
      <c r="P20252" s="2498"/>
    </row>
    <row r="20253" spans="16:16">
      <c r="P20253" s="2498"/>
    </row>
    <row r="20254" spans="16:16">
      <c r="P20254" s="2498"/>
    </row>
    <row r="20255" spans="16:16">
      <c r="P20255" s="2498"/>
    </row>
    <row r="20256" spans="16:16">
      <c r="P20256" s="2498"/>
    </row>
    <row r="20257" spans="16:16">
      <c r="P20257" s="2498"/>
    </row>
    <row r="20258" spans="16:16">
      <c r="P20258" s="2498"/>
    </row>
    <row r="20259" spans="16:16">
      <c r="P20259" s="2498"/>
    </row>
    <row r="20260" spans="16:16">
      <c r="P20260" s="2498"/>
    </row>
    <row r="20261" spans="16:16">
      <c r="P20261" s="2498"/>
    </row>
    <row r="20262" spans="16:16">
      <c r="P20262" s="2498"/>
    </row>
    <row r="20263" spans="16:16">
      <c r="P20263" s="2498"/>
    </row>
    <row r="20264" spans="16:16">
      <c r="P20264" s="2498"/>
    </row>
    <row r="20265" spans="16:16">
      <c r="P20265" s="2498"/>
    </row>
    <row r="20266" spans="16:16">
      <c r="P20266" s="2498"/>
    </row>
    <row r="20267" spans="16:16">
      <c r="P20267" s="2498"/>
    </row>
    <row r="20268" spans="16:16">
      <c r="P20268" s="2498"/>
    </row>
    <row r="20269" spans="16:16">
      <c r="P20269" s="2498"/>
    </row>
    <row r="20270" spans="16:16">
      <c r="P20270" s="2498"/>
    </row>
    <row r="20271" spans="16:16">
      <c r="P20271" s="2498"/>
    </row>
    <row r="20272" spans="16:16">
      <c r="P20272" s="2498"/>
    </row>
    <row r="20273" spans="16:16">
      <c r="P20273" s="2498"/>
    </row>
    <row r="20274" spans="16:16">
      <c r="P20274" s="2498"/>
    </row>
    <row r="20275" spans="16:16">
      <c r="P20275" s="2498"/>
    </row>
    <row r="20276" spans="16:16">
      <c r="P20276" s="2498"/>
    </row>
    <row r="20277" spans="16:16">
      <c r="P20277" s="2498"/>
    </row>
    <row r="20278" spans="16:16">
      <c r="P20278" s="2498"/>
    </row>
    <row r="20279" spans="16:16">
      <c r="P20279" s="2498"/>
    </row>
    <row r="20280" spans="16:16">
      <c r="P20280" s="2498"/>
    </row>
    <row r="20281" spans="16:16">
      <c r="P20281" s="2498"/>
    </row>
    <row r="20282" spans="16:16">
      <c r="P20282" s="2498"/>
    </row>
    <row r="20283" spans="16:16">
      <c r="P20283" s="2498"/>
    </row>
    <row r="20284" spans="16:16">
      <c r="P20284" s="2498"/>
    </row>
    <row r="20285" spans="16:16">
      <c r="P20285" s="2498"/>
    </row>
    <row r="20286" spans="16:16">
      <c r="P20286" s="2498"/>
    </row>
    <row r="20287" spans="16:16">
      <c r="P20287" s="2498"/>
    </row>
    <row r="20288" spans="16:16">
      <c r="P20288" s="2498"/>
    </row>
    <row r="20289" spans="16:16">
      <c r="P20289" s="2498"/>
    </row>
    <row r="20290" spans="16:16">
      <c r="P20290" s="2498"/>
    </row>
    <row r="20291" spans="16:16">
      <c r="P20291" s="2498"/>
    </row>
    <row r="20292" spans="16:16">
      <c r="P20292" s="2498"/>
    </row>
    <row r="20293" spans="16:16">
      <c r="P20293" s="2498"/>
    </row>
    <row r="20294" spans="16:16">
      <c r="P20294" s="2498"/>
    </row>
    <row r="20295" spans="16:16">
      <c r="P20295" s="2498"/>
    </row>
    <row r="20296" spans="16:16">
      <c r="P20296" s="2498"/>
    </row>
    <row r="20297" spans="16:16">
      <c r="P20297" s="2498"/>
    </row>
    <row r="20298" spans="16:16">
      <c r="P20298" s="2498"/>
    </row>
    <row r="20299" spans="16:16">
      <c r="P20299" s="2498"/>
    </row>
    <row r="20300" spans="16:16">
      <c r="P20300" s="2498"/>
    </row>
    <row r="20301" spans="16:16">
      <c r="P20301" s="2498"/>
    </row>
    <row r="20302" spans="16:16">
      <c r="P20302" s="2498"/>
    </row>
    <row r="20303" spans="16:16">
      <c r="P20303" s="2498"/>
    </row>
    <row r="20304" spans="16:16">
      <c r="P20304" s="2498"/>
    </row>
    <row r="20305" spans="16:16">
      <c r="P20305" s="2498"/>
    </row>
    <row r="20306" spans="16:16">
      <c r="P20306" s="2498"/>
    </row>
    <row r="20307" spans="16:16">
      <c r="P20307" s="2498"/>
    </row>
    <row r="20308" spans="16:16">
      <c r="P20308" s="2498"/>
    </row>
    <row r="20309" spans="16:16">
      <c r="P20309" s="2498"/>
    </row>
    <row r="20310" spans="16:16">
      <c r="P20310" s="2498"/>
    </row>
    <row r="20311" spans="16:16">
      <c r="P20311" s="2498"/>
    </row>
    <row r="20312" spans="16:16">
      <c r="P20312" s="2498"/>
    </row>
    <row r="20313" spans="16:16">
      <c r="P20313" s="2498"/>
    </row>
    <row r="20314" spans="16:16">
      <c r="P20314" s="2498"/>
    </row>
    <row r="20315" spans="16:16">
      <c r="P20315" s="2498"/>
    </row>
    <row r="20316" spans="16:16">
      <c r="P20316" s="2498"/>
    </row>
    <row r="20317" spans="16:16">
      <c r="P20317" s="2498"/>
    </row>
    <row r="20318" spans="16:16">
      <c r="P20318" s="2498"/>
    </row>
    <row r="20319" spans="16:16">
      <c r="P20319" s="2498"/>
    </row>
    <row r="20320" spans="16:16">
      <c r="P20320" s="2498"/>
    </row>
    <row r="20321" spans="16:16">
      <c r="P20321" s="2498"/>
    </row>
    <row r="20322" spans="16:16">
      <c r="P20322" s="2498"/>
    </row>
    <row r="20323" spans="16:16">
      <c r="P20323" s="2498"/>
    </row>
    <row r="20324" spans="16:16">
      <c r="P20324" s="2498"/>
    </row>
    <row r="20325" spans="16:16">
      <c r="P20325" s="2498"/>
    </row>
    <row r="20326" spans="16:16">
      <c r="P20326" s="2498"/>
    </row>
    <row r="20327" spans="16:16">
      <c r="P20327" s="2498"/>
    </row>
    <row r="20328" spans="16:16">
      <c r="P20328" s="2498"/>
    </row>
    <row r="20329" spans="16:16">
      <c r="P20329" s="2498"/>
    </row>
    <row r="20330" spans="16:16">
      <c r="P20330" s="2498"/>
    </row>
    <row r="20331" spans="16:16">
      <c r="P20331" s="2498"/>
    </row>
    <row r="20332" spans="16:16">
      <c r="P20332" s="2498"/>
    </row>
    <row r="20333" spans="16:16">
      <c r="P20333" s="2498"/>
    </row>
    <row r="20334" spans="16:16">
      <c r="P20334" s="2498"/>
    </row>
    <row r="20335" spans="16:16">
      <c r="P20335" s="2498"/>
    </row>
    <row r="20336" spans="16:16">
      <c r="P20336" s="2498"/>
    </row>
    <row r="20337" spans="16:16">
      <c r="P20337" s="2498"/>
    </row>
    <row r="20338" spans="16:16">
      <c r="P20338" s="2498"/>
    </row>
    <row r="20339" spans="16:16">
      <c r="P20339" s="2498"/>
    </row>
    <row r="20340" spans="16:16">
      <c r="P20340" s="2498"/>
    </row>
    <row r="20341" spans="16:16">
      <c r="P20341" s="2498"/>
    </row>
    <row r="20342" spans="16:16">
      <c r="P20342" s="2498"/>
    </row>
    <row r="20343" spans="16:16">
      <c r="P20343" s="2498"/>
    </row>
    <row r="20344" spans="16:16">
      <c r="P20344" s="2498"/>
    </row>
    <row r="20345" spans="16:16">
      <c r="P20345" s="2498"/>
    </row>
    <row r="20346" spans="16:16">
      <c r="P20346" s="2498"/>
    </row>
    <row r="20347" spans="16:16">
      <c r="P20347" s="2498"/>
    </row>
    <row r="20348" spans="16:16">
      <c r="P20348" s="2498"/>
    </row>
    <row r="20349" spans="16:16">
      <c r="P20349" s="2498"/>
    </row>
    <row r="20350" spans="16:16">
      <c r="P20350" s="2498"/>
    </row>
    <row r="20351" spans="16:16">
      <c r="P20351" s="2498"/>
    </row>
    <row r="20352" spans="16:16">
      <c r="P20352" s="2498"/>
    </row>
    <row r="20353" spans="16:16">
      <c r="P20353" s="2498"/>
    </row>
    <row r="20354" spans="16:16">
      <c r="P20354" s="2498"/>
    </row>
    <row r="20355" spans="16:16">
      <c r="P20355" s="2498"/>
    </row>
    <row r="20356" spans="16:16">
      <c r="P20356" s="2498"/>
    </row>
    <row r="20357" spans="16:16">
      <c r="P20357" s="2498"/>
    </row>
    <row r="20358" spans="16:16">
      <c r="P20358" s="2498"/>
    </row>
    <row r="20359" spans="16:16">
      <c r="P20359" s="2498"/>
    </row>
    <row r="20360" spans="16:16">
      <c r="P20360" s="2498"/>
    </row>
    <row r="20361" spans="16:16">
      <c r="P20361" s="2498"/>
    </row>
    <row r="20362" spans="16:16">
      <c r="P20362" s="2498"/>
    </row>
    <row r="20363" spans="16:16">
      <c r="P20363" s="2498"/>
    </row>
    <row r="20364" spans="16:16">
      <c r="P20364" s="2498"/>
    </row>
    <row r="20365" spans="16:16">
      <c r="P20365" s="2498"/>
    </row>
    <row r="20366" spans="16:16">
      <c r="P20366" s="2498"/>
    </row>
    <row r="20367" spans="16:16">
      <c r="P20367" s="2498"/>
    </row>
    <row r="20368" spans="16:16">
      <c r="P20368" s="2498"/>
    </row>
    <row r="20369" spans="16:16">
      <c r="P20369" s="2498"/>
    </row>
    <row r="20370" spans="16:16">
      <c r="P20370" s="2498"/>
    </row>
    <row r="20371" spans="16:16">
      <c r="P20371" s="2498"/>
    </row>
    <row r="20372" spans="16:16">
      <c r="P20372" s="2498"/>
    </row>
    <row r="20373" spans="16:16">
      <c r="P20373" s="2498"/>
    </row>
    <row r="20374" spans="16:16">
      <c r="P20374" s="2498"/>
    </row>
    <row r="20375" spans="16:16">
      <c r="P20375" s="2498"/>
    </row>
    <row r="20376" spans="16:16">
      <c r="P20376" s="2498"/>
    </row>
    <row r="20377" spans="16:16">
      <c r="P20377" s="2498"/>
    </row>
    <row r="20378" spans="16:16">
      <c r="P20378" s="2498"/>
    </row>
    <row r="20379" spans="16:16">
      <c r="P20379" s="2498"/>
    </row>
    <row r="20380" spans="16:16">
      <c r="P20380" s="2498"/>
    </row>
    <row r="20381" spans="16:16">
      <c r="P20381" s="2498"/>
    </row>
    <row r="20382" spans="16:16">
      <c r="P20382" s="2498"/>
    </row>
    <row r="20383" spans="16:16">
      <c r="P20383" s="2498"/>
    </row>
    <row r="20384" spans="16:16">
      <c r="P20384" s="2498"/>
    </row>
    <row r="20385" spans="16:16">
      <c r="P20385" s="2498"/>
    </row>
    <row r="20386" spans="16:16">
      <c r="P20386" s="2498"/>
    </row>
    <row r="20387" spans="16:16">
      <c r="P20387" s="2498"/>
    </row>
    <row r="20388" spans="16:16">
      <c r="P20388" s="2498"/>
    </row>
    <row r="20389" spans="16:16">
      <c r="P20389" s="2498"/>
    </row>
    <row r="20390" spans="16:16">
      <c r="P20390" s="2498"/>
    </row>
    <row r="20391" spans="16:16">
      <c r="P20391" s="2498"/>
    </row>
    <row r="20392" spans="16:16">
      <c r="P20392" s="2498"/>
    </row>
    <row r="20393" spans="16:16">
      <c r="P20393" s="2498"/>
    </row>
    <row r="20394" spans="16:16">
      <c r="P20394" s="2498"/>
    </row>
    <row r="20395" spans="16:16">
      <c r="P20395" s="2498"/>
    </row>
    <row r="20396" spans="16:16">
      <c r="P20396" s="2498"/>
    </row>
    <row r="20397" spans="16:16">
      <c r="P20397" s="2498"/>
    </row>
    <row r="20398" spans="16:16">
      <c r="P20398" s="2498"/>
    </row>
    <row r="20399" spans="16:16">
      <c r="P20399" s="2498"/>
    </row>
    <row r="20400" spans="16:16">
      <c r="P20400" s="2498"/>
    </row>
    <row r="20401" spans="16:16">
      <c r="P20401" s="2498"/>
    </row>
    <row r="20402" spans="16:16">
      <c r="P20402" s="2498"/>
    </row>
    <row r="20403" spans="16:16">
      <c r="P20403" s="2498"/>
    </row>
    <row r="20404" spans="16:16">
      <c r="P20404" s="2498"/>
    </row>
    <row r="20405" spans="16:16">
      <c r="P20405" s="2498"/>
    </row>
    <row r="20406" spans="16:16">
      <c r="P20406" s="2498"/>
    </row>
    <row r="20407" spans="16:16">
      <c r="P20407" s="2498"/>
    </row>
    <row r="20408" spans="16:16">
      <c r="P20408" s="2498"/>
    </row>
    <row r="20409" spans="16:16">
      <c r="P20409" s="2498"/>
    </row>
    <row r="20410" spans="16:16">
      <c r="P20410" s="2498"/>
    </row>
    <row r="20411" spans="16:16">
      <c r="P20411" s="2498"/>
    </row>
    <row r="20412" spans="16:16">
      <c r="P20412" s="2498"/>
    </row>
    <row r="20413" spans="16:16">
      <c r="P20413" s="2498"/>
    </row>
    <row r="20414" spans="16:16">
      <c r="P20414" s="2498"/>
    </row>
    <row r="20415" spans="16:16">
      <c r="P20415" s="2498"/>
    </row>
    <row r="20416" spans="16:16">
      <c r="P20416" s="2498"/>
    </row>
    <row r="20417" spans="16:16">
      <c r="P20417" s="2498"/>
    </row>
    <row r="20418" spans="16:16">
      <c r="P20418" s="2498"/>
    </row>
    <row r="20419" spans="16:16">
      <c r="P20419" s="2498"/>
    </row>
    <row r="20420" spans="16:16">
      <c r="P20420" s="2498"/>
    </row>
    <row r="20421" spans="16:16">
      <c r="P20421" s="2498"/>
    </row>
    <row r="20422" spans="16:16">
      <c r="P20422" s="2498"/>
    </row>
    <row r="20423" spans="16:16">
      <c r="P20423" s="2498"/>
    </row>
    <row r="20424" spans="16:16">
      <c r="P20424" s="2498"/>
    </row>
    <row r="20425" spans="16:16">
      <c r="P20425" s="2498"/>
    </row>
    <row r="20426" spans="16:16">
      <c r="P20426" s="2498"/>
    </row>
    <row r="20427" spans="16:16">
      <c r="P20427" s="2498"/>
    </row>
    <row r="20428" spans="16:16">
      <c r="P20428" s="2498"/>
    </row>
    <row r="20429" spans="16:16">
      <c r="P20429" s="2498"/>
    </row>
    <row r="20430" spans="16:16">
      <c r="P20430" s="2498"/>
    </row>
    <row r="20431" spans="16:16">
      <c r="P20431" s="2498"/>
    </row>
    <row r="20432" spans="16:16">
      <c r="P20432" s="2498"/>
    </row>
    <row r="20433" spans="16:16">
      <c r="P20433" s="2498"/>
    </row>
    <row r="20434" spans="16:16">
      <c r="P20434" s="2498"/>
    </row>
    <row r="20435" spans="16:16">
      <c r="P20435" s="2498"/>
    </row>
    <row r="20436" spans="16:16">
      <c r="P20436" s="2498"/>
    </row>
    <row r="20437" spans="16:16">
      <c r="P20437" s="2498"/>
    </row>
    <row r="20438" spans="16:16">
      <c r="P20438" s="2498"/>
    </row>
    <row r="20439" spans="16:16">
      <c r="P20439" s="2498"/>
    </row>
    <row r="20440" spans="16:16">
      <c r="P20440" s="2498"/>
    </row>
    <row r="20441" spans="16:16">
      <c r="P20441" s="2498"/>
    </row>
    <row r="20442" spans="16:16">
      <c r="P20442" s="2498"/>
    </row>
    <row r="20443" spans="16:16">
      <c r="P20443" s="2498"/>
    </row>
    <row r="20444" spans="16:16">
      <c r="P20444" s="2498"/>
    </row>
    <row r="20445" spans="16:16">
      <c r="P20445" s="2498"/>
    </row>
    <row r="20446" spans="16:16">
      <c r="P20446" s="2498"/>
    </row>
    <row r="20447" spans="16:16">
      <c r="P20447" s="2498"/>
    </row>
    <row r="20448" spans="16:16">
      <c r="P20448" s="2498"/>
    </row>
    <row r="20449" spans="16:16">
      <c r="P20449" s="2498"/>
    </row>
    <row r="20450" spans="16:16">
      <c r="P20450" s="2498"/>
    </row>
    <row r="20451" spans="16:16">
      <c r="P20451" s="2498"/>
    </row>
    <row r="20452" spans="16:16">
      <c r="P20452" s="2498"/>
    </row>
    <row r="20453" spans="16:16">
      <c r="P20453" s="2498"/>
    </row>
    <row r="20454" spans="16:16">
      <c r="P20454" s="2498"/>
    </row>
    <row r="20455" spans="16:16">
      <c r="P20455" s="2498"/>
    </row>
    <row r="20456" spans="16:16">
      <c r="P20456" s="2498"/>
    </row>
    <row r="20457" spans="16:16">
      <c r="P20457" s="2498"/>
    </row>
    <row r="20458" spans="16:16">
      <c r="P20458" s="2498"/>
    </row>
    <row r="20459" spans="16:16">
      <c r="P20459" s="2498"/>
    </row>
    <row r="20460" spans="16:16">
      <c r="P20460" s="2498"/>
    </row>
    <row r="20461" spans="16:16">
      <c r="P20461" s="2498"/>
    </row>
    <row r="20462" spans="16:16">
      <c r="P20462" s="2498"/>
    </row>
    <row r="20463" spans="16:16">
      <c r="P20463" s="2498"/>
    </row>
    <row r="20464" spans="16:16">
      <c r="P20464" s="2498"/>
    </row>
    <row r="20465" spans="16:16">
      <c r="P20465" s="2498"/>
    </row>
    <row r="20466" spans="16:16">
      <c r="P20466" s="2498"/>
    </row>
    <row r="20467" spans="16:16">
      <c r="P20467" s="2498"/>
    </row>
    <row r="20468" spans="16:16">
      <c r="P20468" s="2498"/>
    </row>
    <row r="20469" spans="16:16">
      <c r="P20469" s="2498"/>
    </row>
    <row r="20470" spans="16:16">
      <c r="P20470" s="2498"/>
    </row>
    <row r="20471" spans="16:16">
      <c r="P20471" s="2498"/>
    </row>
    <row r="20472" spans="16:16">
      <c r="P20472" s="2498"/>
    </row>
    <row r="20473" spans="16:16">
      <c r="P20473" s="2498"/>
    </row>
    <row r="20474" spans="16:16">
      <c r="P20474" s="2498"/>
    </row>
    <row r="20475" spans="16:16">
      <c r="P20475" s="2498"/>
    </row>
    <row r="20476" spans="16:16">
      <c r="P20476" s="2498"/>
    </row>
    <row r="20477" spans="16:16">
      <c r="P20477" s="2498"/>
    </row>
    <row r="20478" spans="16:16">
      <c r="P20478" s="2498"/>
    </row>
    <row r="20479" spans="16:16">
      <c r="P20479" s="2498"/>
    </row>
    <row r="20480" spans="16:16">
      <c r="P20480" s="2498"/>
    </row>
    <row r="20481" spans="16:16">
      <c r="P20481" s="2498"/>
    </row>
    <row r="20482" spans="16:16">
      <c r="P20482" s="2498"/>
    </row>
    <row r="20483" spans="16:16">
      <c r="P20483" s="2498"/>
    </row>
    <row r="20484" spans="16:16">
      <c r="P20484" s="2498"/>
    </row>
    <row r="20485" spans="16:16">
      <c r="P20485" s="2498"/>
    </row>
    <row r="20486" spans="16:16">
      <c r="P20486" s="2498"/>
    </row>
    <row r="20487" spans="16:16">
      <c r="P20487" s="2498"/>
    </row>
    <row r="20488" spans="16:16">
      <c r="P20488" s="2498"/>
    </row>
    <row r="20489" spans="16:16">
      <c r="P20489" s="2498"/>
    </row>
    <row r="20490" spans="16:16">
      <c r="P20490" s="2498"/>
    </row>
    <row r="20491" spans="16:16">
      <c r="P20491" s="2498"/>
    </row>
    <row r="20492" spans="16:16">
      <c r="P20492" s="2498"/>
    </row>
    <row r="20493" spans="16:16">
      <c r="P20493" s="2498"/>
    </row>
    <row r="20494" spans="16:16">
      <c r="P20494" s="2498"/>
    </row>
    <row r="20495" spans="16:16">
      <c r="P20495" s="2498"/>
    </row>
    <row r="20496" spans="16:16">
      <c r="P20496" s="2498"/>
    </row>
    <row r="20497" spans="16:16">
      <c r="P20497" s="2498"/>
    </row>
    <row r="20498" spans="16:16">
      <c r="P20498" s="2498"/>
    </row>
    <row r="20499" spans="16:16">
      <c r="P20499" s="2498"/>
    </row>
    <row r="20500" spans="16:16">
      <c r="P20500" s="2498"/>
    </row>
    <row r="20501" spans="16:16">
      <c r="P20501" s="2498"/>
    </row>
    <row r="20502" spans="16:16">
      <c r="P20502" s="2498"/>
    </row>
    <row r="20503" spans="16:16">
      <c r="P20503" s="2498"/>
    </row>
    <row r="20504" spans="16:16">
      <c r="P20504" s="2498"/>
    </row>
    <row r="20505" spans="16:16">
      <c r="P20505" s="2498"/>
    </row>
    <row r="20506" spans="16:16">
      <c r="P20506" s="2498"/>
    </row>
    <row r="20507" spans="16:16">
      <c r="P20507" s="2498"/>
    </row>
    <row r="20508" spans="16:16">
      <c r="P20508" s="2498"/>
    </row>
    <row r="20509" spans="16:16">
      <c r="P20509" s="2498"/>
    </row>
    <row r="20510" spans="16:16">
      <c r="P20510" s="2498"/>
    </row>
    <row r="20511" spans="16:16">
      <c r="P20511" s="2498"/>
    </row>
    <row r="20512" spans="16:16">
      <c r="P20512" s="2498"/>
    </row>
    <row r="20513" spans="16:16">
      <c r="P20513" s="2498"/>
    </row>
    <row r="20514" spans="16:16">
      <c r="P20514" s="2498"/>
    </row>
    <row r="20515" spans="16:16">
      <c r="P20515" s="2498"/>
    </row>
    <row r="20516" spans="16:16">
      <c r="P20516" s="2498"/>
    </row>
    <row r="20517" spans="16:16">
      <c r="P20517" s="2498"/>
    </row>
    <row r="20518" spans="16:16">
      <c r="P20518" s="2498"/>
    </row>
    <row r="20519" spans="16:16">
      <c r="P20519" s="2498"/>
    </row>
    <row r="20520" spans="16:16">
      <c r="P20520" s="2498"/>
    </row>
    <row r="20521" spans="16:16">
      <c r="P20521" s="2498"/>
    </row>
    <row r="20522" spans="16:16">
      <c r="P20522" s="2498"/>
    </row>
    <row r="20523" spans="16:16">
      <c r="P20523" s="2498"/>
    </row>
    <row r="20524" spans="16:16">
      <c r="P20524" s="2498"/>
    </row>
    <row r="20525" spans="16:16">
      <c r="P20525" s="2498"/>
    </row>
    <row r="20526" spans="16:16">
      <c r="P20526" s="2498"/>
    </row>
    <row r="20527" spans="16:16">
      <c r="P20527" s="2498"/>
    </row>
    <row r="20528" spans="16:16">
      <c r="P20528" s="2498"/>
    </row>
    <row r="20529" spans="16:16">
      <c r="P20529" s="2498"/>
    </row>
    <row r="20530" spans="16:16">
      <c r="P20530" s="2498"/>
    </row>
    <row r="20531" spans="16:16">
      <c r="P20531" s="2498"/>
    </row>
    <row r="20532" spans="16:16">
      <c r="P20532" s="2498"/>
    </row>
    <row r="20533" spans="16:16">
      <c r="P20533" s="2498"/>
    </row>
    <row r="20534" spans="16:16">
      <c r="P20534" s="2498"/>
    </row>
    <row r="20535" spans="16:16">
      <c r="P20535" s="2498"/>
    </row>
    <row r="20536" spans="16:16">
      <c r="P20536" s="2498"/>
    </row>
    <row r="20537" spans="16:16">
      <c r="P20537" s="2498"/>
    </row>
    <row r="20538" spans="16:16">
      <c r="P20538" s="2498"/>
    </row>
    <row r="20539" spans="16:16">
      <c r="P20539" s="2498"/>
    </row>
    <row r="20540" spans="16:16">
      <c r="P20540" s="2498"/>
    </row>
    <row r="20541" spans="16:16">
      <c r="P20541" s="2498"/>
    </row>
    <row r="20542" spans="16:16">
      <c r="P20542" s="2498"/>
    </row>
    <row r="20543" spans="16:16">
      <c r="P20543" s="2498"/>
    </row>
    <row r="20544" spans="16:16">
      <c r="P20544" s="2498"/>
    </row>
    <row r="20545" spans="16:16">
      <c r="P20545" s="2498"/>
    </row>
    <row r="20546" spans="16:16">
      <c r="P20546" s="2498"/>
    </row>
    <row r="20547" spans="16:16">
      <c r="P20547" s="2498"/>
    </row>
    <row r="20548" spans="16:16">
      <c r="P20548" s="2498"/>
    </row>
    <row r="20549" spans="16:16">
      <c r="P20549" s="2498"/>
    </row>
    <row r="20550" spans="16:16">
      <c r="P20550" s="2498"/>
    </row>
    <row r="20551" spans="16:16">
      <c r="P20551" s="2498"/>
    </row>
    <row r="20552" spans="16:16">
      <c r="P20552" s="2498"/>
    </row>
    <row r="20553" spans="16:16">
      <c r="P20553" s="2498"/>
    </row>
    <row r="20554" spans="16:16">
      <c r="P20554" s="2498"/>
    </row>
    <row r="20555" spans="16:16">
      <c r="P20555" s="2498"/>
    </row>
    <row r="20556" spans="16:16">
      <c r="P20556" s="2498"/>
    </row>
    <row r="20557" spans="16:16">
      <c r="P20557" s="2498"/>
    </row>
    <row r="20558" spans="16:16">
      <c r="P20558" s="2498"/>
    </row>
    <row r="20559" spans="16:16">
      <c r="P20559" s="2498"/>
    </row>
    <row r="20560" spans="16:16">
      <c r="P20560" s="2498"/>
    </row>
    <row r="20561" spans="16:16">
      <c r="P20561" s="2498"/>
    </row>
    <row r="20562" spans="16:16">
      <c r="P20562" s="2498"/>
    </row>
    <row r="20563" spans="16:16">
      <c r="P20563" s="2498"/>
    </row>
    <row r="20564" spans="16:16">
      <c r="P20564" s="2498"/>
    </row>
    <row r="20565" spans="16:16">
      <c r="P20565" s="2498"/>
    </row>
    <row r="20566" spans="16:16">
      <c r="P20566" s="2498"/>
    </row>
    <row r="20567" spans="16:16">
      <c r="P20567" s="2498"/>
    </row>
    <row r="20568" spans="16:16">
      <c r="P20568" s="2498"/>
    </row>
    <row r="20569" spans="16:16">
      <c r="P20569" s="2498"/>
    </row>
    <row r="20570" spans="16:16">
      <c r="P20570" s="2498"/>
    </row>
    <row r="20571" spans="16:16">
      <c r="P20571" s="2498"/>
    </row>
    <row r="20572" spans="16:16">
      <c r="P20572" s="2498"/>
    </row>
    <row r="20573" spans="16:16">
      <c r="P20573" s="2498"/>
    </row>
    <row r="20574" spans="16:16">
      <c r="P20574" s="2498"/>
    </row>
    <row r="20575" spans="16:16">
      <c r="P20575" s="2498"/>
    </row>
    <row r="20576" spans="16:16">
      <c r="P20576" s="2498"/>
    </row>
    <row r="20577" spans="16:16">
      <c r="P20577" s="2498"/>
    </row>
    <row r="20578" spans="16:16">
      <c r="P20578" s="2498"/>
    </row>
    <row r="20579" spans="16:16">
      <c r="P20579" s="2498"/>
    </row>
    <row r="20580" spans="16:16">
      <c r="P20580" s="2498"/>
    </row>
    <row r="20581" spans="16:16">
      <c r="P20581" s="2498"/>
    </row>
    <row r="20582" spans="16:16">
      <c r="P20582" s="2498"/>
    </row>
    <row r="20583" spans="16:16">
      <c r="P20583" s="2498"/>
    </row>
    <row r="20584" spans="16:16">
      <c r="P20584" s="2498"/>
    </row>
    <row r="20585" spans="16:16">
      <c r="P20585" s="2498"/>
    </row>
    <row r="20586" spans="16:16">
      <c r="P20586" s="2498"/>
    </row>
    <row r="20587" spans="16:16">
      <c r="P20587" s="2498"/>
    </row>
    <row r="20588" spans="16:16">
      <c r="P20588" s="2498"/>
    </row>
    <row r="20589" spans="16:16">
      <c r="P20589" s="2498"/>
    </row>
    <row r="20590" spans="16:16">
      <c r="P20590" s="2498"/>
    </row>
    <row r="20591" spans="16:16">
      <c r="P20591" s="2498"/>
    </row>
    <row r="20592" spans="16:16">
      <c r="P20592" s="2498"/>
    </row>
    <row r="20593" spans="16:16">
      <c r="P20593" s="2498"/>
    </row>
    <row r="20594" spans="16:16">
      <c r="P20594" s="2498"/>
    </row>
    <row r="20595" spans="16:16">
      <c r="P20595" s="2498"/>
    </row>
    <row r="20596" spans="16:16">
      <c r="P20596" s="2498"/>
    </row>
    <row r="20597" spans="16:16">
      <c r="P20597" s="2498"/>
    </row>
    <row r="20598" spans="16:16">
      <c r="P20598" s="2498"/>
    </row>
    <row r="20599" spans="16:16">
      <c r="P20599" s="2498"/>
    </row>
    <row r="20600" spans="16:16">
      <c r="P20600" s="2498"/>
    </row>
    <row r="20601" spans="16:16">
      <c r="P20601" s="2498"/>
    </row>
    <row r="20602" spans="16:16">
      <c r="P20602" s="2498"/>
    </row>
    <row r="20603" spans="16:16">
      <c r="P20603" s="2498"/>
    </row>
    <row r="20604" spans="16:16">
      <c r="P20604" s="2498"/>
    </row>
    <row r="20605" spans="16:16">
      <c r="P20605" s="2498"/>
    </row>
    <row r="20606" spans="16:16">
      <c r="P20606" s="2498"/>
    </row>
    <row r="20607" spans="16:16">
      <c r="P20607" s="2498"/>
    </row>
    <row r="20608" spans="16:16">
      <c r="P20608" s="2498"/>
    </row>
    <row r="20609" spans="16:16">
      <c r="P20609" s="2498"/>
    </row>
    <row r="20610" spans="16:16">
      <c r="P20610" s="2498"/>
    </row>
    <row r="20611" spans="16:16">
      <c r="P20611" s="2498"/>
    </row>
    <row r="20612" spans="16:16">
      <c r="P20612" s="2498"/>
    </row>
    <row r="20613" spans="16:16">
      <c r="P20613" s="2498"/>
    </row>
    <row r="20614" spans="16:16">
      <c r="P20614" s="2498"/>
    </row>
    <row r="20615" spans="16:16">
      <c r="P20615" s="2498"/>
    </row>
    <row r="20616" spans="16:16">
      <c r="P20616" s="2498"/>
    </row>
    <row r="20617" spans="16:16">
      <c r="P20617" s="2498"/>
    </row>
    <row r="20618" spans="16:16">
      <c r="P20618" s="2498"/>
    </row>
    <row r="20619" spans="16:16">
      <c r="P20619" s="2498"/>
    </row>
    <row r="20620" spans="16:16">
      <c r="P20620" s="2498"/>
    </row>
    <row r="20621" spans="16:16">
      <c r="P20621" s="2498"/>
    </row>
    <row r="20622" spans="16:16">
      <c r="P20622" s="2498"/>
    </row>
    <row r="20623" spans="16:16">
      <c r="P20623" s="2498"/>
    </row>
    <row r="20624" spans="16:16">
      <c r="P20624" s="2498"/>
    </row>
    <row r="20625" spans="16:16">
      <c r="P20625" s="2498"/>
    </row>
    <row r="20626" spans="16:16">
      <c r="P20626" s="2498"/>
    </row>
    <row r="20627" spans="16:16">
      <c r="P20627" s="2498"/>
    </row>
    <row r="20628" spans="16:16">
      <c r="P20628" s="2498"/>
    </row>
    <row r="20629" spans="16:16">
      <c r="P20629" s="2498"/>
    </row>
    <row r="20630" spans="16:16">
      <c r="P20630" s="2498"/>
    </row>
    <row r="20631" spans="16:16">
      <c r="P20631" s="2498"/>
    </row>
    <row r="20632" spans="16:16">
      <c r="P20632" s="2498"/>
    </row>
    <row r="20633" spans="16:16">
      <c r="P20633" s="2498"/>
    </row>
    <row r="20634" spans="16:16">
      <c r="P20634" s="2498"/>
    </row>
    <row r="20635" spans="16:16">
      <c r="P20635" s="2498"/>
    </row>
    <row r="20636" spans="16:16">
      <c r="P20636" s="2498"/>
    </row>
    <row r="20637" spans="16:16">
      <c r="P20637" s="2498"/>
    </row>
    <row r="20638" spans="16:16">
      <c r="P20638" s="2498"/>
    </row>
    <row r="20639" spans="16:16">
      <c r="P20639" s="2498"/>
    </row>
    <row r="20640" spans="16:16">
      <c r="P20640" s="2498"/>
    </row>
    <row r="20641" spans="16:16">
      <c r="P20641" s="2498"/>
    </row>
    <row r="20642" spans="16:16">
      <c r="P20642" s="2498"/>
    </row>
    <row r="20643" spans="16:16">
      <c r="P20643" s="2498"/>
    </row>
    <row r="20644" spans="16:16">
      <c r="P20644" s="2498"/>
    </row>
    <row r="20645" spans="16:16">
      <c r="P20645" s="2498"/>
    </row>
    <row r="20646" spans="16:16">
      <c r="P20646" s="2498"/>
    </row>
    <row r="20647" spans="16:16">
      <c r="P20647" s="2498"/>
    </row>
    <row r="20648" spans="16:16">
      <c r="P20648" s="2498"/>
    </row>
    <row r="20649" spans="16:16">
      <c r="P20649" s="2498"/>
    </row>
    <row r="20650" spans="16:16">
      <c r="P20650" s="2498"/>
    </row>
    <row r="20651" spans="16:16">
      <c r="P20651" s="2498"/>
    </row>
    <row r="20652" spans="16:16">
      <c r="P20652" s="2498"/>
    </row>
    <row r="20653" spans="16:16">
      <c r="P20653" s="2498"/>
    </row>
    <row r="20654" spans="16:16">
      <c r="P20654" s="2498"/>
    </row>
    <row r="20655" spans="16:16">
      <c r="P20655" s="2498"/>
    </row>
    <row r="20656" spans="16:16">
      <c r="P20656" s="2498"/>
    </row>
    <row r="20657" spans="16:16">
      <c r="P20657" s="2498"/>
    </row>
    <row r="20658" spans="16:16">
      <c r="P20658" s="2498"/>
    </row>
    <row r="20659" spans="16:16">
      <c r="P20659" s="2498"/>
    </row>
    <row r="20660" spans="16:16">
      <c r="P20660" s="2498"/>
    </row>
    <row r="20661" spans="16:16">
      <c r="P20661" s="2498"/>
    </row>
    <row r="20662" spans="16:16">
      <c r="P20662" s="2498"/>
    </row>
    <row r="20663" spans="16:16">
      <c r="P20663" s="2498"/>
    </row>
    <row r="20664" spans="16:16">
      <c r="P20664" s="2498"/>
    </row>
    <row r="20665" spans="16:16">
      <c r="P20665" s="2498"/>
    </row>
    <row r="20666" spans="16:16">
      <c r="P20666" s="2498"/>
    </row>
    <row r="20667" spans="16:16">
      <c r="P20667" s="2498"/>
    </row>
    <row r="20668" spans="16:16">
      <c r="P20668" s="2498"/>
    </row>
    <row r="20669" spans="16:16">
      <c r="P20669" s="2498"/>
    </row>
    <row r="20670" spans="16:16">
      <c r="P20670" s="2498"/>
    </row>
    <row r="20671" spans="16:16">
      <c r="P20671" s="2498"/>
    </row>
    <row r="20672" spans="16:16">
      <c r="P20672" s="2498"/>
    </row>
    <row r="20673" spans="16:16">
      <c r="P20673" s="2498"/>
    </row>
    <row r="20674" spans="16:16">
      <c r="P20674" s="2498"/>
    </row>
    <row r="20675" spans="16:16">
      <c r="P20675" s="2498"/>
    </row>
    <row r="20676" spans="16:16">
      <c r="P20676" s="2498"/>
    </row>
    <row r="20677" spans="16:16">
      <c r="P20677" s="2498"/>
    </row>
    <row r="20678" spans="16:16">
      <c r="P20678" s="2498"/>
    </row>
    <row r="20679" spans="16:16">
      <c r="P20679" s="2498"/>
    </row>
    <row r="20680" spans="16:16">
      <c r="P20680" s="2498"/>
    </row>
    <row r="20681" spans="16:16">
      <c r="P20681" s="2498"/>
    </row>
    <row r="20682" spans="16:16">
      <c r="P20682" s="2498"/>
    </row>
    <row r="20683" spans="16:16">
      <c r="P20683" s="2498"/>
    </row>
    <row r="20684" spans="16:16">
      <c r="P20684" s="2498"/>
    </row>
    <row r="20685" spans="16:16">
      <c r="P20685" s="2498"/>
    </row>
    <row r="20686" spans="16:16">
      <c r="P20686" s="2498"/>
    </row>
    <row r="20687" spans="16:16">
      <c r="P20687" s="2498"/>
    </row>
    <row r="20688" spans="16:16">
      <c r="P20688" s="2498"/>
    </row>
    <row r="20689" spans="16:16">
      <c r="P20689" s="2498"/>
    </row>
    <row r="20690" spans="16:16">
      <c r="P20690" s="2498"/>
    </row>
    <row r="20691" spans="16:16">
      <c r="P20691" s="2498"/>
    </row>
    <row r="20692" spans="16:16">
      <c r="P20692" s="2498"/>
    </row>
    <row r="20693" spans="16:16">
      <c r="P20693" s="2498"/>
    </row>
    <row r="20694" spans="16:16">
      <c r="P20694" s="2498"/>
    </row>
    <row r="20695" spans="16:16">
      <c r="P20695" s="2498"/>
    </row>
    <row r="20696" spans="16:16">
      <c r="P20696" s="2498"/>
    </row>
    <row r="20697" spans="16:16">
      <c r="P20697" s="2498"/>
    </row>
    <row r="20698" spans="16:16">
      <c r="P20698" s="2498"/>
    </row>
    <row r="20699" spans="16:16">
      <c r="P20699" s="2498"/>
    </row>
    <row r="20700" spans="16:16">
      <c r="P20700" s="2498"/>
    </row>
    <row r="20701" spans="16:16">
      <c r="P20701" s="2498"/>
    </row>
    <row r="20702" spans="16:16">
      <c r="P20702" s="2498"/>
    </row>
    <row r="20703" spans="16:16">
      <c r="P20703" s="2498"/>
    </row>
    <row r="20704" spans="16:16">
      <c r="P20704" s="2498"/>
    </row>
    <row r="20705" spans="16:16">
      <c r="P20705" s="2498"/>
    </row>
    <row r="20706" spans="16:16">
      <c r="P20706" s="2498"/>
    </row>
    <row r="20707" spans="16:16">
      <c r="P20707" s="2498"/>
    </row>
    <row r="20708" spans="16:16">
      <c r="P20708" s="2498"/>
    </row>
    <row r="20709" spans="16:16">
      <c r="P20709" s="2498"/>
    </row>
    <row r="20710" spans="16:16">
      <c r="P20710" s="2498"/>
    </row>
    <row r="20711" spans="16:16">
      <c r="P20711" s="2498"/>
    </row>
    <row r="20712" spans="16:16">
      <c r="P20712" s="2498"/>
    </row>
    <row r="20713" spans="16:16">
      <c r="P20713" s="2498"/>
    </row>
    <row r="20714" spans="16:16">
      <c r="P20714" s="2498"/>
    </row>
    <row r="20715" spans="16:16">
      <c r="P20715" s="2498"/>
    </row>
    <row r="20716" spans="16:16">
      <c r="P20716" s="2498"/>
    </row>
    <row r="20717" spans="16:16">
      <c r="P20717" s="2498"/>
    </row>
    <row r="20718" spans="16:16">
      <c r="P20718" s="2498"/>
    </row>
    <row r="20719" spans="16:16">
      <c r="P20719" s="2498"/>
    </row>
    <row r="20720" spans="16:16">
      <c r="P20720" s="2498"/>
    </row>
    <row r="20721" spans="16:16">
      <c r="P20721" s="2498"/>
    </row>
    <row r="20722" spans="16:16">
      <c r="P20722" s="2498"/>
    </row>
    <row r="20723" spans="16:16">
      <c r="P20723" s="2498"/>
    </row>
    <row r="20724" spans="16:16">
      <c r="P20724" s="2498"/>
    </row>
    <row r="20725" spans="16:16">
      <c r="P20725" s="2498"/>
    </row>
    <row r="20726" spans="16:16">
      <c r="P20726" s="2498"/>
    </row>
    <row r="20727" spans="16:16">
      <c r="P20727" s="2498"/>
    </row>
    <row r="20728" spans="16:16">
      <c r="P20728" s="2498"/>
    </row>
    <row r="20729" spans="16:16">
      <c r="P20729" s="2498"/>
    </row>
    <row r="20730" spans="16:16">
      <c r="P20730" s="2498"/>
    </row>
    <row r="20731" spans="16:16">
      <c r="P20731" s="2498"/>
    </row>
    <row r="20732" spans="16:16">
      <c r="P20732" s="2498"/>
    </row>
    <row r="20733" spans="16:16">
      <c r="P20733" s="2498"/>
    </row>
    <row r="20734" spans="16:16">
      <c r="P20734" s="2498"/>
    </row>
    <row r="20735" spans="16:16">
      <c r="P20735" s="2498"/>
    </row>
    <row r="20736" spans="16:16">
      <c r="P20736" s="2498"/>
    </row>
    <row r="20737" spans="16:16">
      <c r="P20737" s="2498"/>
    </row>
    <row r="20738" spans="16:16">
      <c r="P20738" s="2498"/>
    </row>
    <row r="20739" spans="16:16">
      <c r="P20739" s="2498"/>
    </row>
    <row r="20740" spans="16:16">
      <c r="P20740" s="2498"/>
    </row>
    <row r="20741" spans="16:16">
      <c r="P20741" s="2498"/>
    </row>
    <row r="20742" spans="16:16">
      <c r="P20742" s="2498"/>
    </row>
    <row r="20743" spans="16:16">
      <c r="P20743" s="2498"/>
    </row>
    <row r="20744" spans="16:16">
      <c r="P20744" s="2498"/>
    </row>
    <row r="20745" spans="16:16">
      <c r="P20745" s="2498"/>
    </row>
    <row r="20746" spans="16:16">
      <c r="P20746" s="2498"/>
    </row>
    <row r="20747" spans="16:16">
      <c r="P20747" s="2498"/>
    </row>
    <row r="20748" spans="16:16">
      <c r="P20748" s="2498"/>
    </row>
    <row r="20749" spans="16:16">
      <c r="P20749" s="2498"/>
    </row>
    <row r="20750" spans="16:16">
      <c r="P20750" s="2498"/>
    </row>
    <row r="20751" spans="16:16">
      <c r="P20751" s="2498"/>
    </row>
    <row r="20752" spans="16:16">
      <c r="P20752" s="2498"/>
    </row>
    <row r="20753" spans="16:16">
      <c r="P20753" s="2498"/>
    </row>
    <row r="20754" spans="16:16">
      <c r="P20754" s="2498"/>
    </row>
    <row r="20755" spans="16:16">
      <c r="P20755" s="2498"/>
    </row>
    <row r="20756" spans="16:16">
      <c r="P20756" s="2498"/>
    </row>
    <row r="20757" spans="16:16">
      <c r="P20757" s="2498"/>
    </row>
    <row r="20758" spans="16:16">
      <c r="P20758" s="2498"/>
    </row>
    <row r="20759" spans="16:16">
      <c r="P20759" s="2498"/>
    </row>
    <row r="20760" spans="16:16">
      <c r="P20760" s="2498"/>
    </row>
    <row r="20761" spans="16:16">
      <c r="P20761" s="2498"/>
    </row>
    <row r="20762" spans="16:16">
      <c r="P20762" s="2498"/>
    </row>
    <row r="20763" spans="16:16">
      <c r="P20763" s="2498"/>
    </row>
    <row r="20764" spans="16:16">
      <c r="P20764" s="2498"/>
    </row>
    <row r="20765" spans="16:16">
      <c r="P20765" s="2498"/>
    </row>
    <row r="20766" spans="16:16">
      <c r="P20766" s="2498"/>
    </row>
    <row r="20767" spans="16:16">
      <c r="P20767" s="2498"/>
    </row>
    <row r="20768" spans="16:16">
      <c r="P20768" s="2498"/>
    </row>
    <row r="20769" spans="16:16">
      <c r="P20769" s="2498"/>
    </row>
    <row r="20770" spans="16:16">
      <c r="P20770" s="2498"/>
    </row>
    <row r="20771" spans="16:16">
      <c r="P20771" s="2498"/>
    </row>
    <row r="20772" spans="16:16">
      <c r="P20772" s="2498"/>
    </row>
    <row r="20773" spans="16:16">
      <c r="P20773" s="2498"/>
    </row>
    <row r="20774" spans="16:16">
      <c r="P20774" s="2498"/>
    </row>
    <row r="20775" spans="16:16">
      <c r="P20775" s="2498"/>
    </row>
    <row r="20776" spans="16:16">
      <c r="P20776" s="2498"/>
    </row>
    <row r="20777" spans="16:16">
      <c r="P20777" s="2498"/>
    </row>
    <row r="20778" spans="16:16">
      <c r="P20778" s="2498"/>
    </row>
    <row r="20779" spans="16:16">
      <c r="P20779" s="2498"/>
    </row>
    <row r="20780" spans="16:16">
      <c r="P20780" s="2498"/>
    </row>
    <row r="20781" spans="16:16">
      <c r="P20781" s="2498"/>
    </row>
    <row r="20782" spans="16:16">
      <c r="P20782" s="2498"/>
    </row>
    <row r="20783" spans="16:16">
      <c r="P20783" s="2498"/>
    </row>
    <row r="20784" spans="16:16">
      <c r="P20784" s="2498"/>
    </row>
    <row r="20785" spans="16:16">
      <c r="P20785" s="2498"/>
    </row>
    <row r="20786" spans="16:16">
      <c r="P20786" s="2498"/>
    </row>
    <row r="20787" spans="16:16">
      <c r="P20787" s="2498"/>
    </row>
    <row r="20788" spans="16:16">
      <c r="P20788" s="2498"/>
    </row>
    <row r="20789" spans="16:16">
      <c r="P20789" s="2498"/>
    </row>
    <row r="20790" spans="16:16">
      <c r="P20790" s="2498"/>
    </row>
    <row r="20791" spans="16:16">
      <c r="P20791" s="2498"/>
    </row>
    <row r="20792" spans="16:16">
      <c r="P20792" s="2498"/>
    </row>
    <row r="20793" spans="16:16">
      <c r="P20793" s="2498"/>
    </row>
    <row r="20794" spans="16:16">
      <c r="P20794" s="2498"/>
    </row>
    <row r="20795" spans="16:16">
      <c r="P20795" s="2498"/>
    </row>
    <row r="20796" spans="16:16">
      <c r="P20796" s="2498"/>
    </row>
    <row r="20797" spans="16:16">
      <c r="P20797" s="2498"/>
    </row>
    <row r="20798" spans="16:16">
      <c r="P20798" s="2498"/>
    </row>
    <row r="20799" spans="16:16">
      <c r="P20799" s="2498"/>
    </row>
    <row r="20800" spans="16:16">
      <c r="P20800" s="2498"/>
    </row>
    <row r="20801" spans="16:16">
      <c r="P20801" s="2498"/>
    </row>
    <row r="20802" spans="16:16">
      <c r="P20802" s="2498"/>
    </row>
    <row r="20803" spans="16:16">
      <c r="P20803" s="2498"/>
    </row>
    <row r="20804" spans="16:16">
      <c r="P20804" s="2498"/>
    </row>
    <row r="20805" spans="16:16">
      <c r="P20805" s="2498"/>
    </row>
    <row r="20806" spans="16:16">
      <c r="P20806" s="2498"/>
    </row>
    <row r="20807" spans="16:16">
      <c r="P20807" s="2498"/>
    </row>
    <row r="20808" spans="16:16">
      <c r="P20808" s="2498"/>
    </row>
    <row r="20809" spans="16:16">
      <c r="P20809" s="2498"/>
    </row>
    <row r="20810" spans="16:16">
      <c r="P20810" s="2498"/>
    </row>
    <row r="20811" spans="16:16">
      <c r="P20811" s="2498"/>
    </row>
    <row r="20812" spans="16:16">
      <c r="P20812" s="2498"/>
    </row>
    <row r="20813" spans="16:16">
      <c r="P20813" s="2498"/>
    </row>
    <row r="20814" spans="16:16">
      <c r="P20814" s="2498"/>
    </row>
    <row r="20815" spans="16:16">
      <c r="P20815" s="2498"/>
    </row>
    <row r="20816" spans="16:16">
      <c r="P20816" s="2498"/>
    </row>
    <row r="20817" spans="16:16">
      <c r="P20817" s="2498"/>
    </row>
    <row r="20818" spans="16:16">
      <c r="P20818" s="2498"/>
    </row>
    <row r="20819" spans="16:16">
      <c r="P20819" s="2498"/>
    </row>
    <row r="20820" spans="16:16">
      <c r="P20820" s="2498"/>
    </row>
    <row r="20821" spans="16:16">
      <c r="P20821" s="2498"/>
    </row>
    <row r="20822" spans="16:16">
      <c r="P20822" s="2498"/>
    </row>
    <row r="20823" spans="16:16">
      <c r="P20823" s="2498"/>
    </row>
    <row r="20824" spans="16:16">
      <c r="P20824" s="2498"/>
    </row>
    <row r="20825" spans="16:16">
      <c r="P20825" s="2498"/>
    </row>
    <row r="20826" spans="16:16">
      <c r="P20826" s="2498"/>
    </row>
    <row r="20827" spans="16:16">
      <c r="P20827" s="2498"/>
    </row>
    <row r="20828" spans="16:16">
      <c r="P20828" s="2498"/>
    </row>
    <row r="20829" spans="16:16">
      <c r="P20829" s="2498"/>
    </row>
    <row r="20830" spans="16:16">
      <c r="P20830" s="2498"/>
    </row>
    <row r="20831" spans="16:16">
      <c r="P20831" s="2498"/>
    </row>
    <row r="20832" spans="16:16">
      <c r="P20832" s="2498"/>
    </row>
    <row r="20833" spans="16:16">
      <c r="P20833" s="2498"/>
    </row>
    <row r="20834" spans="16:16">
      <c r="P20834" s="2498"/>
    </row>
    <row r="20835" spans="16:16">
      <c r="P20835" s="2498"/>
    </row>
    <row r="20836" spans="16:16">
      <c r="P20836" s="2498"/>
    </row>
    <row r="20837" spans="16:16">
      <c r="P20837" s="2498"/>
    </row>
    <row r="20838" spans="16:16">
      <c r="P20838" s="2498"/>
    </row>
    <row r="20839" spans="16:16">
      <c r="P20839" s="2498"/>
    </row>
    <row r="20840" spans="16:16">
      <c r="P20840" s="2498"/>
    </row>
    <row r="20841" spans="16:16">
      <c r="P20841" s="2498"/>
    </row>
    <row r="20842" spans="16:16">
      <c r="P20842" s="2498"/>
    </row>
    <row r="20843" spans="16:16">
      <c r="P20843" s="2498"/>
    </row>
    <row r="20844" spans="16:16">
      <c r="P20844" s="2498"/>
    </row>
    <row r="20845" spans="16:16">
      <c r="P20845" s="2498"/>
    </row>
    <row r="20846" spans="16:16">
      <c r="P20846" s="2498"/>
    </row>
    <row r="20847" spans="16:16">
      <c r="P20847" s="2498"/>
    </row>
    <row r="20848" spans="16:16">
      <c r="P20848" s="2498"/>
    </row>
    <row r="20849" spans="16:16">
      <c r="P20849" s="2498"/>
    </row>
    <row r="20850" spans="16:16">
      <c r="P20850" s="2498"/>
    </row>
    <row r="20851" spans="16:16">
      <c r="P20851" s="2498"/>
    </row>
    <row r="20852" spans="16:16">
      <c r="P20852" s="2498"/>
    </row>
    <row r="20853" spans="16:16">
      <c r="P20853" s="2498"/>
    </row>
    <row r="20854" spans="16:16">
      <c r="P20854" s="2498"/>
    </row>
    <row r="20855" spans="16:16">
      <c r="P20855" s="2498"/>
    </row>
    <row r="20856" spans="16:16">
      <c r="P20856" s="2498"/>
    </row>
    <row r="20857" spans="16:16">
      <c r="P20857" s="2498"/>
    </row>
    <row r="20858" spans="16:16">
      <c r="P20858" s="2498"/>
    </row>
    <row r="20859" spans="16:16">
      <c r="P20859" s="2498"/>
    </row>
    <row r="20860" spans="16:16">
      <c r="P20860" s="2498"/>
    </row>
    <row r="20861" spans="16:16">
      <c r="P20861" s="2498"/>
    </row>
    <row r="20862" spans="16:16">
      <c r="P20862" s="2498"/>
    </row>
    <row r="20863" spans="16:16">
      <c r="P20863" s="2498"/>
    </row>
    <row r="20864" spans="16:16">
      <c r="P20864" s="2498"/>
    </row>
    <row r="20865" spans="16:16">
      <c r="P20865" s="2498"/>
    </row>
    <row r="20866" spans="16:16">
      <c r="P20866" s="2498"/>
    </row>
    <row r="20867" spans="16:16">
      <c r="P20867" s="2498"/>
    </row>
    <row r="20868" spans="16:16">
      <c r="P20868" s="2498"/>
    </row>
    <row r="20869" spans="16:16">
      <c r="P20869" s="2498"/>
    </row>
    <row r="20870" spans="16:16">
      <c r="P20870" s="2498"/>
    </row>
    <row r="20871" spans="16:16">
      <c r="P20871" s="2498"/>
    </row>
    <row r="20872" spans="16:16">
      <c r="P20872" s="2498"/>
    </row>
    <row r="20873" spans="16:16">
      <c r="P20873" s="2498"/>
    </row>
    <row r="20874" spans="16:16">
      <c r="P20874" s="2498"/>
    </row>
    <row r="20875" spans="16:16">
      <c r="P20875" s="2498"/>
    </row>
    <row r="20876" spans="16:16">
      <c r="P20876" s="2498"/>
    </row>
    <row r="20877" spans="16:16">
      <c r="P20877" s="2498"/>
    </row>
    <row r="20878" spans="16:16">
      <c r="P20878" s="2498"/>
    </row>
    <row r="20879" spans="16:16">
      <c r="P20879" s="2498"/>
    </row>
    <row r="20880" spans="16:16">
      <c r="P20880" s="2498"/>
    </row>
    <row r="20881" spans="16:16">
      <c r="P20881" s="2498"/>
    </row>
    <row r="20882" spans="16:16">
      <c r="P20882" s="2498"/>
    </row>
    <row r="20883" spans="16:16">
      <c r="P20883" s="2498"/>
    </row>
    <row r="20884" spans="16:16">
      <c r="P20884" s="2498"/>
    </row>
    <row r="20885" spans="16:16">
      <c r="P20885" s="2498"/>
    </row>
    <row r="20886" spans="16:16">
      <c r="P20886" s="2498"/>
    </row>
    <row r="20887" spans="16:16">
      <c r="P20887" s="2498"/>
    </row>
    <row r="20888" spans="16:16">
      <c r="P20888" s="2498"/>
    </row>
    <row r="20889" spans="16:16">
      <c r="P20889" s="2498"/>
    </row>
    <row r="20890" spans="16:16">
      <c r="P20890" s="2498"/>
    </row>
    <row r="20891" spans="16:16">
      <c r="P20891" s="2498"/>
    </row>
    <row r="20892" spans="16:16">
      <c r="P20892" s="2498"/>
    </row>
    <row r="20893" spans="16:16">
      <c r="P20893" s="2498"/>
    </row>
    <row r="20894" spans="16:16">
      <c r="P20894" s="2498"/>
    </row>
    <row r="20895" spans="16:16">
      <c r="P20895" s="2498"/>
    </row>
    <row r="20896" spans="16:16">
      <c r="P20896" s="2498"/>
    </row>
    <row r="20897" spans="16:16">
      <c r="P20897" s="2498"/>
    </row>
    <row r="20898" spans="16:16">
      <c r="P20898" s="2498"/>
    </row>
    <row r="20899" spans="16:16">
      <c r="P20899" s="2498"/>
    </row>
    <row r="20900" spans="16:16">
      <c r="P20900" s="2498"/>
    </row>
    <row r="20901" spans="16:16">
      <c r="P20901" s="2498"/>
    </row>
    <row r="20902" spans="16:16">
      <c r="P20902" s="2498"/>
    </row>
    <row r="20903" spans="16:16">
      <c r="P20903" s="2498"/>
    </row>
    <row r="20904" spans="16:16">
      <c r="P20904" s="2498"/>
    </row>
    <row r="20905" spans="16:16">
      <c r="P20905" s="2498"/>
    </row>
    <row r="20906" spans="16:16">
      <c r="P20906" s="2498"/>
    </row>
    <row r="20907" spans="16:16">
      <c r="P20907" s="2498"/>
    </row>
    <row r="20908" spans="16:16">
      <c r="P20908" s="2498"/>
    </row>
    <row r="20909" spans="16:16">
      <c r="P20909" s="2498"/>
    </row>
    <row r="20910" spans="16:16">
      <c r="P20910" s="2498"/>
    </row>
    <row r="20911" spans="16:16">
      <c r="P20911" s="2498"/>
    </row>
    <row r="20912" spans="16:16">
      <c r="P20912" s="2498"/>
    </row>
    <row r="20913" spans="16:16">
      <c r="P20913" s="2498"/>
    </row>
    <row r="20914" spans="16:16">
      <c r="P20914" s="2498"/>
    </row>
    <row r="20915" spans="16:16">
      <c r="P20915" s="2498"/>
    </row>
    <row r="20916" spans="16:16">
      <c r="P20916" s="2498"/>
    </row>
    <row r="20917" spans="16:16">
      <c r="P20917" s="2498"/>
    </row>
    <row r="20918" spans="16:16">
      <c r="P20918" s="2498"/>
    </row>
    <row r="20919" spans="16:16">
      <c r="P20919" s="2498"/>
    </row>
    <row r="20920" spans="16:16">
      <c r="P20920" s="2498"/>
    </row>
    <row r="20921" spans="16:16">
      <c r="P20921" s="2498"/>
    </row>
    <row r="20922" spans="16:16">
      <c r="P20922" s="2498"/>
    </row>
    <row r="20923" spans="16:16">
      <c r="P20923" s="2498"/>
    </row>
    <row r="20924" spans="16:16">
      <c r="P20924" s="2498"/>
    </row>
    <row r="20925" spans="16:16">
      <c r="P20925" s="2498"/>
    </row>
    <row r="20926" spans="16:16">
      <c r="P20926" s="2498"/>
    </row>
    <row r="20927" spans="16:16">
      <c r="P20927" s="2498"/>
    </row>
    <row r="20928" spans="16:16">
      <c r="P20928" s="2498"/>
    </row>
    <row r="20929" spans="16:16">
      <c r="P20929" s="2498"/>
    </row>
    <row r="20930" spans="16:16">
      <c r="P20930" s="2498"/>
    </row>
    <row r="20931" spans="16:16">
      <c r="P20931" s="2498"/>
    </row>
    <row r="20932" spans="16:16">
      <c r="P20932" s="2498"/>
    </row>
    <row r="20933" spans="16:16">
      <c r="P20933" s="2498"/>
    </row>
    <row r="20934" spans="16:16">
      <c r="P20934" s="2498"/>
    </row>
    <row r="20935" spans="16:16">
      <c r="P20935" s="2498"/>
    </row>
    <row r="20936" spans="16:16">
      <c r="P20936" s="2498"/>
    </row>
    <row r="20937" spans="16:16">
      <c r="P20937" s="2498"/>
    </row>
    <row r="20938" spans="16:16">
      <c r="P20938" s="2498"/>
    </row>
    <row r="20939" spans="16:16">
      <c r="P20939" s="2498"/>
    </row>
    <row r="20940" spans="16:16">
      <c r="P20940" s="2498"/>
    </row>
    <row r="20941" spans="16:16">
      <c r="P20941" s="2498"/>
    </row>
    <row r="20942" spans="16:16">
      <c r="P20942" s="2498"/>
    </row>
    <row r="20943" spans="16:16">
      <c r="P20943" s="2498"/>
    </row>
    <row r="20944" spans="16:16">
      <c r="P20944" s="2498"/>
    </row>
    <row r="20945" spans="16:16">
      <c r="P20945" s="2498"/>
    </row>
    <row r="20946" spans="16:16">
      <c r="P20946" s="2498"/>
    </row>
    <row r="20947" spans="16:16">
      <c r="P20947" s="2498"/>
    </row>
    <row r="20948" spans="16:16">
      <c r="P20948" s="2498"/>
    </row>
    <row r="20949" spans="16:16">
      <c r="P20949" s="2498"/>
    </row>
    <row r="20950" spans="16:16">
      <c r="P20950" s="2498"/>
    </row>
    <row r="20951" spans="16:16">
      <c r="P20951" s="2498"/>
    </row>
    <row r="20952" spans="16:16">
      <c r="P20952" s="2498"/>
    </row>
    <row r="20953" spans="16:16">
      <c r="P20953" s="2498"/>
    </row>
    <row r="20954" spans="16:16">
      <c r="P20954" s="2498"/>
    </row>
    <row r="20955" spans="16:16">
      <c r="P20955" s="2498"/>
    </row>
    <row r="20956" spans="16:16">
      <c r="P20956" s="2498"/>
    </row>
    <row r="20957" spans="16:16">
      <c r="P20957" s="2498"/>
    </row>
    <row r="20958" spans="16:16">
      <c r="P20958" s="2498"/>
    </row>
    <row r="20959" spans="16:16">
      <c r="P20959" s="2498"/>
    </row>
    <row r="20960" spans="16:16">
      <c r="P20960" s="2498"/>
    </row>
    <row r="20961" spans="16:16">
      <c r="P20961" s="2498"/>
    </row>
    <row r="20962" spans="16:16">
      <c r="P20962" s="2498"/>
    </row>
    <row r="20963" spans="16:16">
      <c r="P20963" s="2498"/>
    </row>
    <row r="20964" spans="16:16">
      <c r="P20964" s="2498"/>
    </row>
    <row r="20965" spans="16:16">
      <c r="P20965" s="2498"/>
    </row>
    <row r="20966" spans="16:16">
      <c r="P20966" s="2498"/>
    </row>
    <row r="20967" spans="16:16">
      <c r="P20967" s="2498"/>
    </row>
    <row r="20968" spans="16:16">
      <c r="P20968" s="2498"/>
    </row>
    <row r="20969" spans="16:16">
      <c r="P20969" s="2498"/>
    </row>
    <row r="20970" spans="16:16">
      <c r="P20970" s="2498"/>
    </row>
    <row r="20971" spans="16:16">
      <c r="P20971" s="2498"/>
    </row>
    <row r="20972" spans="16:16">
      <c r="P20972" s="2498"/>
    </row>
    <row r="20973" spans="16:16">
      <c r="P20973" s="2498"/>
    </row>
    <row r="20974" spans="16:16">
      <c r="P20974" s="2498"/>
    </row>
    <row r="20975" spans="16:16">
      <c r="P20975" s="2498"/>
    </row>
    <row r="20976" spans="16:16">
      <c r="P20976" s="2498"/>
    </row>
    <row r="20977" spans="16:16">
      <c r="P20977" s="2498"/>
    </row>
    <row r="20978" spans="16:16">
      <c r="P20978" s="2498"/>
    </row>
    <row r="20979" spans="16:16">
      <c r="P20979" s="2498"/>
    </row>
    <row r="20980" spans="16:16">
      <c r="P20980" s="2498"/>
    </row>
    <row r="20981" spans="16:16">
      <c r="P20981" s="2498"/>
    </row>
    <row r="20982" spans="16:16">
      <c r="P20982" s="2498"/>
    </row>
    <row r="20983" spans="16:16">
      <c r="P20983" s="2498"/>
    </row>
    <row r="20984" spans="16:16">
      <c r="P20984" s="2498"/>
    </row>
    <row r="20985" spans="16:16">
      <c r="P20985" s="2498"/>
    </row>
    <row r="20986" spans="16:16">
      <c r="P20986" s="2498"/>
    </row>
    <row r="20987" spans="16:16">
      <c r="P20987" s="2498"/>
    </row>
    <row r="20988" spans="16:16">
      <c r="P20988" s="2498"/>
    </row>
    <row r="20989" spans="16:16">
      <c r="P20989" s="2498"/>
    </row>
    <row r="20990" spans="16:16">
      <c r="P20990" s="2498"/>
    </row>
    <row r="20991" spans="16:16">
      <c r="P20991" s="2498"/>
    </row>
    <row r="20992" spans="16:16">
      <c r="P20992" s="2498"/>
    </row>
    <row r="20993" spans="16:16">
      <c r="P20993" s="2498"/>
    </row>
    <row r="20994" spans="16:16">
      <c r="P20994" s="2498"/>
    </row>
    <row r="20995" spans="16:16">
      <c r="P20995" s="2498"/>
    </row>
    <row r="20996" spans="16:16">
      <c r="P20996" s="2498"/>
    </row>
    <row r="20997" spans="16:16">
      <c r="P20997" s="2498"/>
    </row>
    <row r="20998" spans="16:16">
      <c r="P20998" s="2498"/>
    </row>
    <row r="20999" spans="16:16">
      <c r="P20999" s="2498"/>
    </row>
    <row r="21000" spans="16:16">
      <c r="P21000" s="2498"/>
    </row>
    <row r="21001" spans="16:16">
      <c r="P21001" s="2498"/>
    </row>
    <row r="21002" spans="16:16">
      <c r="P21002" s="2498"/>
    </row>
    <row r="21003" spans="16:16">
      <c r="P21003" s="2498"/>
    </row>
    <row r="21004" spans="16:16">
      <c r="P21004" s="2498"/>
    </row>
    <row r="21005" spans="16:16">
      <c r="P21005" s="2498"/>
    </row>
    <row r="21006" spans="16:16">
      <c r="P21006" s="2498"/>
    </row>
    <row r="21007" spans="16:16">
      <c r="P21007" s="2498"/>
    </row>
    <row r="21008" spans="16:16">
      <c r="P21008" s="2498"/>
    </row>
    <row r="21009" spans="16:16">
      <c r="P21009" s="2498"/>
    </row>
    <row r="21010" spans="16:16">
      <c r="P21010" s="2498"/>
    </row>
    <row r="21011" spans="16:16">
      <c r="P21011" s="2498"/>
    </row>
    <row r="21012" spans="16:16">
      <c r="P21012" s="2498"/>
    </row>
    <row r="21013" spans="16:16">
      <c r="P21013" s="2498"/>
    </row>
    <row r="21014" spans="16:16">
      <c r="P21014" s="2498"/>
    </row>
    <row r="21015" spans="16:16">
      <c r="P21015" s="2498"/>
    </row>
    <row r="21016" spans="16:16">
      <c r="P21016" s="2498"/>
    </row>
    <row r="21017" spans="16:16">
      <c r="P21017" s="2498"/>
    </row>
    <row r="21018" spans="16:16">
      <c r="P21018" s="2498"/>
    </row>
    <row r="21019" spans="16:16">
      <c r="P21019" s="2498"/>
    </row>
    <row r="21020" spans="16:16">
      <c r="P21020" s="2498"/>
    </row>
    <row r="21021" spans="16:16">
      <c r="P21021" s="2498"/>
    </row>
    <row r="21022" spans="16:16">
      <c r="P21022" s="2498"/>
    </row>
    <row r="21023" spans="16:16">
      <c r="P21023" s="2498"/>
    </row>
    <row r="21024" spans="16:16">
      <c r="P21024" s="2498"/>
    </row>
    <row r="21025" spans="16:16">
      <c r="P21025" s="2498"/>
    </row>
    <row r="21026" spans="16:16">
      <c r="P21026" s="2498"/>
    </row>
    <row r="21027" spans="16:16">
      <c r="P21027" s="2498"/>
    </row>
    <row r="21028" spans="16:16">
      <c r="P21028" s="2498"/>
    </row>
    <row r="21029" spans="16:16">
      <c r="P21029" s="2498"/>
    </row>
    <row r="21030" spans="16:16">
      <c r="P21030" s="2498"/>
    </row>
    <row r="21031" spans="16:16">
      <c r="P21031" s="2498"/>
    </row>
    <row r="21032" spans="16:16">
      <c r="P21032" s="2498"/>
    </row>
    <row r="21033" spans="16:16">
      <c r="P21033" s="2498"/>
    </row>
    <row r="21034" spans="16:16">
      <c r="P21034" s="2498"/>
    </row>
    <row r="21035" spans="16:16">
      <c r="P21035" s="2498"/>
    </row>
    <row r="21036" spans="16:16">
      <c r="P21036" s="2498"/>
    </row>
    <row r="21037" spans="16:16">
      <c r="P21037" s="2498"/>
    </row>
    <row r="21038" spans="16:16">
      <c r="P21038" s="2498"/>
    </row>
    <row r="21039" spans="16:16">
      <c r="P21039" s="2498"/>
    </row>
    <row r="21040" spans="16:16">
      <c r="P21040" s="2498"/>
    </row>
    <row r="21041" spans="16:16">
      <c r="P21041" s="2498"/>
    </row>
    <row r="21042" spans="16:16">
      <c r="P21042" s="2498"/>
    </row>
    <row r="21043" spans="16:16">
      <c r="P21043" s="2498"/>
    </row>
    <row r="21044" spans="16:16">
      <c r="P21044" s="2498"/>
    </row>
    <row r="21045" spans="16:16">
      <c r="P21045" s="2498"/>
    </row>
    <row r="21046" spans="16:16">
      <c r="P21046" s="2498"/>
    </row>
    <row r="21047" spans="16:16">
      <c r="P21047" s="2498"/>
    </row>
    <row r="21048" spans="16:16">
      <c r="P21048" s="2498"/>
    </row>
    <row r="21049" spans="16:16">
      <c r="P21049" s="2498"/>
    </row>
    <row r="21050" spans="16:16">
      <c r="P21050" s="2498"/>
    </row>
    <row r="21051" spans="16:16">
      <c r="P21051" s="2498"/>
    </row>
    <row r="21052" spans="16:16">
      <c r="P21052" s="2498"/>
    </row>
    <row r="21053" spans="16:16">
      <c r="P21053" s="2498"/>
    </row>
    <row r="21054" spans="16:16">
      <c r="P21054" s="2498"/>
    </row>
    <row r="21055" spans="16:16">
      <c r="P21055" s="2498"/>
    </row>
    <row r="21056" spans="16:16">
      <c r="P21056" s="2498"/>
    </row>
    <row r="21057" spans="16:16">
      <c r="P21057" s="2498"/>
    </row>
    <row r="21058" spans="16:16">
      <c r="P21058" s="2498"/>
    </row>
    <row r="21059" spans="16:16">
      <c r="P21059" s="2498"/>
    </row>
    <row r="21060" spans="16:16">
      <c r="P21060" s="2498"/>
    </row>
    <row r="21061" spans="16:16">
      <c r="P21061" s="2498"/>
    </row>
    <row r="21062" spans="16:16">
      <c r="P21062" s="2498"/>
    </row>
    <row r="21063" spans="16:16">
      <c r="P21063" s="2498"/>
    </row>
    <row r="21064" spans="16:16">
      <c r="P21064" s="2498"/>
    </row>
    <row r="21065" spans="16:16">
      <c r="P21065" s="2498"/>
    </row>
    <row r="21066" spans="16:16">
      <c r="P21066" s="2498"/>
    </row>
    <row r="21067" spans="16:16">
      <c r="P21067" s="2498"/>
    </row>
    <row r="21068" spans="16:16">
      <c r="P21068" s="2498"/>
    </row>
    <row r="21069" spans="16:16">
      <c r="P21069" s="2498"/>
    </row>
    <row r="21070" spans="16:16">
      <c r="P21070" s="2498"/>
    </row>
    <row r="21071" spans="16:16">
      <c r="P21071" s="2498"/>
    </row>
    <row r="21072" spans="16:16">
      <c r="P21072" s="2498"/>
    </row>
    <row r="21073" spans="16:16">
      <c r="P21073" s="2498"/>
    </row>
    <row r="21074" spans="16:16">
      <c r="P21074" s="2498"/>
    </row>
    <row r="21075" spans="16:16">
      <c r="P21075" s="2498"/>
    </row>
    <row r="21076" spans="16:16">
      <c r="P21076" s="2498"/>
    </row>
    <row r="21077" spans="16:16">
      <c r="P21077" s="2498"/>
    </row>
    <row r="21078" spans="16:16">
      <c r="P21078" s="2498"/>
    </row>
    <row r="21079" spans="16:16">
      <c r="P21079" s="2498"/>
    </row>
    <row r="21080" spans="16:16">
      <c r="P21080" s="2498"/>
    </row>
    <row r="21081" spans="16:16">
      <c r="P21081" s="2498"/>
    </row>
    <row r="21082" spans="16:16">
      <c r="P21082" s="2498"/>
    </row>
    <row r="21083" spans="16:16">
      <c r="P21083" s="2498"/>
    </row>
    <row r="21084" spans="16:16">
      <c r="P21084" s="2498"/>
    </row>
    <row r="21085" spans="16:16">
      <c r="P21085" s="2498"/>
    </row>
    <row r="21086" spans="16:16">
      <c r="P21086" s="2498"/>
    </row>
    <row r="21087" spans="16:16">
      <c r="P21087" s="2498"/>
    </row>
    <row r="21088" spans="16:16">
      <c r="P21088" s="2498"/>
    </row>
    <row r="21089" spans="16:16">
      <c r="P21089" s="2498"/>
    </row>
    <row r="21090" spans="16:16">
      <c r="P21090" s="2498"/>
    </row>
    <row r="21091" spans="16:16">
      <c r="P21091" s="2498"/>
    </row>
    <row r="21092" spans="16:16">
      <c r="P21092" s="2498"/>
    </row>
    <row r="21093" spans="16:16">
      <c r="P21093" s="2498"/>
    </row>
    <row r="21094" spans="16:16">
      <c r="P21094" s="2498"/>
    </row>
    <row r="21095" spans="16:16">
      <c r="P21095" s="2498"/>
    </row>
    <row r="21096" spans="16:16">
      <c r="P21096" s="2498"/>
    </row>
    <row r="21097" spans="16:16">
      <c r="P21097" s="2498"/>
    </row>
    <row r="21098" spans="16:16">
      <c r="P21098" s="2498"/>
    </row>
    <row r="21099" spans="16:16">
      <c r="P21099" s="2498"/>
    </row>
    <row r="21100" spans="16:16">
      <c r="P21100" s="2498"/>
    </row>
    <row r="21101" spans="16:16">
      <c r="P21101" s="2498"/>
    </row>
    <row r="21102" spans="16:16">
      <c r="P21102" s="2498"/>
    </row>
    <row r="21103" spans="16:16">
      <c r="P21103" s="2498"/>
    </row>
    <row r="21104" spans="16:16">
      <c r="P21104" s="2498"/>
    </row>
    <row r="21105" spans="16:16">
      <c r="P21105" s="2498"/>
    </row>
    <row r="21106" spans="16:16">
      <c r="P21106" s="2498"/>
    </row>
    <row r="21107" spans="16:16">
      <c r="P21107" s="2498"/>
    </row>
    <row r="21108" spans="16:16">
      <c r="P21108" s="2498"/>
    </row>
    <row r="21109" spans="16:16">
      <c r="P21109" s="2498"/>
    </row>
    <row r="21110" spans="16:16">
      <c r="P21110" s="2498"/>
    </row>
    <row r="21111" spans="16:16">
      <c r="P21111" s="2498"/>
    </row>
    <row r="21112" spans="16:16">
      <c r="P21112" s="2498"/>
    </row>
    <row r="21113" spans="16:16">
      <c r="P21113" s="2498"/>
    </row>
    <row r="21114" spans="16:16">
      <c r="P21114" s="2498"/>
    </row>
    <row r="21115" spans="16:16">
      <c r="P21115" s="2498"/>
    </row>
    <row r="21116" spans="16:16">
      <c r="P21116" s="2498"/>
    </row>
    <row r="21117" spans="16:16">
      <c r="P21117" s="2498"/>
    </row>
    <row r="21118" spans="16:16">
      <c r="P21118" s="2498"/>
    </row>
    <row r="21119" spans="16:16">
      <c r="P21119" s="2498"/>
    </row>
    <row r="21120" spans="16:16">
      <c r="P21120" s="2498"/>
    </row>
    <row r="21121" spans="16:16">
      <c r="P21121" s="2498"/>
    </row>
    <row r="21122" spans="16:16">
      <c r="P21122" s="2498"/>
    </row>
    <row r="21123" spans="16:16">
      <c r="P21123" s="2498"/>
    </row>
    <row r="21124" spans="16:16">
      <c r="P21124" s="2498"/>
    </row>
    <row r="21125" spans="16:16">
      <c r="P21125" s="2498"/>
    </row>
    <row r="21126" spans="16:16">
      <c r="P21126" s="2498"/>
    </row>
    <row r="21127" spans="16:16">
      <c r="P21127" s="2498"/>
    </row>
    <row r="21128" spans="16:16">
      <c r="P21128" s="2498"/>
    </row>
    <row r="21129" spans="16:16">
      <c r="P21129" s="2498"/>
    </row>
    <row r="21130" spans="16:16">
      <c r="P21130" s="2498"/>
    </row>
    <row r="21131" spans="16:16">
      <c r="P21131" s="2498"/>
    </row>
    <row r="21132" spans="16:16">
      <c r="P21132" s="2498"/>
    </row>
    <row r="21133" spans="16:16">
      <c r="P21133" s="2498"/>
    </row>
    <row r="21134" spans="16:16">
      <c r="P21134" s="2498"/>
    </row>
    <row r="21135" spans="16:16">
      <c r="P21135" s="2498"/>
    </row>
    <row r="21136" spans="16:16">
      <c r="P21136" s="2498"/>
    </row>
    <row r="21137" spans="16:16">
      <c r="P21137" s="2498"/>
    </row>
    <row r="21138" spans="16:16">
      <c r="P21138" s="2498"/>
    </row>
    <row r="21139" spans="16:16">
      <c r="P21139" s="2498"/>
    </row>
    <row r="21140" spans="16:16">
      <c r="P21140" s="2498"/>
    </row>
    <row r="21141" spans="16:16">
      <c r="P21141" s="2498"/>
    </row>
    <row r="21142" spans="16:16">
      <c r="P21142" s="2498"/>
    </row>
    <row r="21143" spans="16:16">
      <c r="P21143" s="2498"/>
    </row>
    <row r="21144" spans="16:16">
      <c r="P21144" s="2498"/>
    </row>
    <row r="21145" spans="16:16">
      <c r="P21145" s="2498"/>
    </row>
    <row r="21146" spans="16:16">
      <c r="P21146" s="2498"/>
    </row>
    <row r="21147" spans="16:16">
      <c r="P21147" s="2498"/>
    </row>
    <row r="21148" spans="16:16">
      <c r="P21148" s="2498"/>
    </row>
    <row r="21149" spans="16:16">
      <c r="P21149" s="2498"/>
    </row>
    <row r="21150" spans="16:16">
      <c r="P21150" s="2498"/>
    </row>
    <row r="21151" spans="16:16">
      <c r="P21151" s="2498"/>
    </row>
    <row r="21152" spans="16:16">
      <c r="P21152" s="2498"/>
    </row>
    <row r="21153" spans="16:16">
      <c r="P21153" s="2498"/>
    </row>
    <row r="21154" spans="16:16">
      <c r="P21154" s="2498"/>
    </row>
    <row r="21155" spans="16:16">
      <c r="P21155" s="2498"/>
    </row>
    <row r="21156" spans="16:16">
      <c r="P21156" s="2498"/>
    </row>
    <row r="21157" spans="16:16">
      <c r="P21157" s="2498"/>
    </row>
    <row r="21158" spans="16:16">
      <c r="P21158" s="2498"/>
    </row>
    <row r="21159" spans="16:16">
      <c r="P21159" s="2498"/>
    </row>
    <row r="21160" spans="16:16">
      <c r="P21160" s="2498"/>
    </row>
    <row r="21161" spans="16:16">
      <c r="P21161" s="2498"/>
    </row>
    <row r="21162" spans="16:16">
      <c r="P21162" s="2498"/>
    </row>
    <row r="21163" spans="16:16">
      <c r="P21163" s="2498"/>
    </row>
    <row r="21164" spans="16:16">
      <c r="P21164" s="2498"/>
    </row>
    <row r="21165" spans="16:16">
      <c r="P21165" s="2498"/>
    </row>
    <row r="21166" spans="16:16">
      <c r="P21166" s="2498"/>
    </row>
    <row r="21167" spans="16:16">
      <c r="P21167" s="2498"/>
    </row>
    <row r="21168" spans="16:16">
      <c r="P21168" s="2498"/>
    </row>
    <row r="21169" spans="16:16">
      <c r="P21169" s="2498"/>
    </row>
    <row r="21170" spans="16:16">
      <c r="P21170" s="2498"/>
    </row>
    <row r="21171" spans="16:16">
      <c r="P21171" s="2498"/>
    </row>
    <row r="21172" spans="16:16">
      <c r="P21172" s="2498"/>
    </row>
    <row r="21173" spans="16:16">
      <c r="P21173" s="2498"/>
    </row>
    <row r="21174" spans="16:16">
      <c r="P21174" s="2498"/>
    </row>
    <row r="21175" spans="16:16">
      <c r="P21175" s="2498"/>
    </row>
    <row r="21176" spans="16:16">
      <c r="P21176" s="2498"/>
    </row>
    <row r="21177" spans="16:16">
      <c r="P21177" s="2498"/>
    </row>
    <row r="21178" spans="16:16">
      <c r="P21178" s="2498"/>
    </row>
    <row r="21179" spans="16:16">
      <c r="P21179" s="2498"/>
    </row>
    <row r="21180" spans="16:16">
      <c r="P21180" s="2498"/>
    </row>
    <row r="21181" spans="16:16">
      <c r="P21181" s="2498"/>
    </row>
    <row r="21182" spans="16:16">
      <c r="P21182" s="2498"/>
    </row>
    <row r="21183" spans="16:16">
      <c r="P21183" s="2498"/>
    </row>
    <row r="21184" spans="16:16">
      <c r="P21184" s="2498"/>
    </row>
    <row r="21185" spans="16:16">
      <c r="P21185" s="2498"/>
    </row>
    <row r="21186" spans="16:16">
      <c r="P21186" s="2498"/>
    </row>
    <row r="21187" spans="16:16">
      <c r="P21187" s="2498"/>
    </row>
    <row r="21188" spans="16:16">
      <c r="P21188" s="2498"/>
    </row>
    <row r="21189" spans="16:16">
      <c r="P21189" s="2498"/>
    </row>
    <row r="21190" spans="16:16">
      <c r="P21190" s="2498"/>
    </row>
    <row r="21191" spans="16:16">
      <c r="P21191" s="2498"/>
    </row>
    <row r="21192" spans="16:16">
      <c r="P21192" s="2498"/>
    </row>
    <row r="21193" spans="16:16">
      <c r="P21193" s="2498"/>
    </row>
    <row r="21194" spans="16:16">
      <c r="P21194" s="2498"/>
    </row>
    <row r="21195" spans="16:16">
      <c r="P21195" s="2498"/>
    </row>
    <row r="21196" spans="16:16">
      <c r="P21196" s="2498"/>
    </row>
    <row r="21197" spans="16:16">
      <c r="P21197" s="2498"/>
    </row>
    <row r="21198" spans="16:16">
      <c r="P21198" s="2498"/>
    </row>
    <row r="21199" spans="16:16">
      <c r="P21199" s="2498"/>
    </row>
    <row r="21200" spans="16:16">
      <c r="P21200" s="2498"/>
    </row>
    <row r="21201" spans="16:16">
      <c r="P21201" s="2498"/>
    </row>
    <row r="21202" spans="16:16">
      <c r="P21202" s="2498"/>
    </row>
    <row r="21203" spans="16:16">
      <c r="P21203" s="2498"/>
    </row>
    <row r="21204" spans="16:16">
      <c r="P21204" s="2498"/>
    </row>
    <row r="21205" spans="16:16">
      <c r="P21205" s="2498"/>
    </row>
    <row r="21206" spans="16:16">
      <c r="P21206" s="2498"/>
    </row>
    <row r="21207" spans="16:16">
      <c r="P21207" s="2498"/>
    </row>
    <row r="21208" spans="16:16">
      <c r="P21208" s="2498"/>
    </row>
    <row r="21209" spans="16:16">
      <c r="P21209" s="2498"/>
    </row>
    <row r="21210" spans="16:16">
      <c r="P21210" s="2498"/>
    </row>
    <row r="21211" spans="16:16">
      <c r="P21211" s="2498"/>
    </row>
    <row r="21212" spans="16:16">
      <c r="P21212" s="2498"/>
    </row>
    <row r="21213" spans="16:16">
      <c r="P21213" s="2498"/>
    </row>
    <row r="21214" spans="16:16">
      <c r="P21214" s="2498"/>
    </row>
    <row r="21215" spans="16:16">
      <c r="P21215" s="2498"/>
    </row>
    <row r="21216" spans="16:16">
      <c r="P21216" s="2498"/>
    </row>
    <row r="21217" spans="16:16">
      <c r="P21217" s="2498"/>
    </row>
    <row r="21218" spans="16:16">
      <c r="P21218" s="2498"/>
    </row>
    <row r="21219" spans="16:16">
      <c r="P21219" s="2498"/>
    </row>
    <row r="21220" spans="16:16">
      <c r="P21220" s="2498"/>
    </row>
    <row r="21221" spans="16:16">
      <c r="P21221" s="2498"/>
    </row>
    <row r="21222" spans="16:16">
      <c r="P21222" s="2498"/>
    </row>
    <row r="21223" spans="16:16">
      <c r="P21223" s="2498"/>
    </row>
    <row r="21224" spans="16:16">
      <c r="P21224" s="2498"/>
    </row>
    <row r="21225" spans="16:16">
      <c r="P21225" s="2498"/>
    </row>
    <row r="21226" spans="16:16">
      <c r="P21226" s="2498"/>
    </row>
    <row r="21227" spans="16:16">
      <c r="P21227" s="2498"/>
    </row>
    <row r="21228" spans="16:16">
      <c r="P21228" s="2498"/>
    </row>
    <row r="21229" spans="16:16">
      <c r="P21229" s="2498"/>
    </row>
    <row r="21230" spans="16:16">
      <c r="P21230" s="2498"/>
    </row>
    <row r="21231" spans="16:16">
      <c r="P21231" s="2498"/>
    </row>
    <row r="21232" spans="16:16">
      <c r="P21232" s="2498"/>
    </row>
    <row r="21233" spans="16:16">
      <c r="P21233" s="2498"/>
    </row>
    <row r="21234" spans="16:16">
      <c r="P21234" s="2498"/>
    </row>
    <row r="21235" spans="16:16">
      <c r="P21235" s="2498"/>
    </row>
    <row r="21236" spans="16:16">
      <c r="P21236" s="2498"/>
    </row>
    <row r="21237" spans="16:16">
      <c r="P21237" s="2498"/>
    </row>
    <row r="21238" spans="16:16">
      <c r="P21238" s="2498"/>
    </row>
    <row r="21239" spans="16:16">
      <c r="P21239" s="2498"/>
    </row>
    <row r="21240" spans="16:16">
      <c r="P21240" s="2498"/>
    </row>
    <row r="21241" spans="16:16">
      <c r="P21241" s="2498"/>
    </row>
    <row r="21242" spans="16:16">
      <c r="P21242" s="2498"/>
    </row>
    <row r="21243" spans="16:16">
      <c r="P21243" s="2498"/>
    </row>
    <row r="21244" spans="16:16">
      <c r="P21244" s="2498"/>
    </row>
    <row r="21245" spans="16:16">
      <c r="P21245" s="2498"/>
    </row>
    <row r="21246" spans="16:16">
      <c r="P21246" s="2498"/>
    </row>
    <row r="21247" spans="16:16">
      <c r="P21247" s="2498"/>
    </row>
    <row r="21248" spans="16:16">
      <c r="P21248" s="2498"/>
    </row>
    <row r="21249" spans="16:16">
      <c r="P21249" s="2498"/>
    </row>
    <row r="21250" spans="16:16">
      <c r="P21250" s="2498"/>
    </row>
    <row r="21251" spans="16:16">
      <c r="P21251" s="2498"/>
    </row>
    <row r="21252" spans="16:16">
      <c r="P21252" s="2498"/>
    </row>
    <row r="21253" spans="16:16">
      <c r="P21253" s="2498"/>
    </row>
    <row r="21254" spans="16:16">
      <c r="P21254" s="2498"/>
    </row>
    <row r="21255" spans="16:16">
      <c r="P21255" s="2498"/>
    </row>
    <row r="21256" spans="16:16">
      <c r="P21256" s="2498"/>
    </row>
    <row r="21257" spans="16:16">
      <c r="P21257" s="2498"/>
    </row>
    <row r="21258" spans="16:16">
      <c r="P21258" s="2498"/>
    </row>
    <row r="21259" spans="16:16">
      <c r="P21259" s="2498"/>
    </row>
    <row r="21260" spans="16:16">
      <c r="P21260" s="2498"/>
    </row>
    <row r="21261" spans="16:16">
      <c r="P21261" s="2498"/>
    </row>
    <row r="21262" spans="16:16">
      <c r="P21262" s="2498"/>
    </row>
    <row r="21263" spans="16:16">
      <c r="P21263" s="2498"/>
    </row>
    <row r="21264" spans="16:16">
      <c r="P21264" s="2498"/>
    </row>
    <row r="21265" spans="16:16">
      <c r="P21265" s="2498"/>
    </row>
    <row r="21266" spans="16:16">
      <c r="P21266" s="2498"/>
    </row>
    <row r="21267" spans="16:16">
      <c r="P21267" s="2498"/>
    </row>
    <row r="21268" spans="16:16">
      <c r="P21268" s="2498"/>
    </row>
    <row r="21269" spans="16:16">
      <c r="P21269" s="2498"/>
    </row>
    <row r="21270" spans="16:16">
      <c r="P21270" s="2498"/>
    </row>
    <row r="21271" spans="16:16">
      <c r="P21271" s="2498"/>
    </row>
    <row r="21272" spans="16:16">
      <c r="P21272" s="2498"/>
    </row>
    <row r="21273" spans="16:16">
      <c r="P21273" s="2498"/>
    </row>
    <row r="21274" spans="16:16">
      <c r="P21274" s="2498"/>
    </row>
    <row r="21275" spans="16:16">
      <c r="P21275" s="2498"/>
    </row>
    <row r="21276" spans="16:16">
      <c r="P21276" s="2498"/>
    </row>
    <row r="21277" spans="16:16">
      <c r="P21277" s="2498"/>
    </row>
    <row r="21278" spans="16:16">
      <c r="P21278" s="2498"/>
    </row>
    <row r="21279" spans="16:16">
      <c r="P21279" s="2498"/>
    </row>
    <row r="21280" spans="16:16">
      <c r="P21280" s="2498"/>
    </row>
    <row r="21281" spans="16:16">
      <c r="P21281" s="2498"/>
    </row>
    <row r="21282" spans="16:16">
      <c r="P21282" s="2498"/>
    </row>
    <row r="21283" spans="16:16">
      <c r="P21283" s="2498"/>
    </row>
    <row r="21284" spans="16:16">
      <c r="P21284" s="2498"/>
    </row>
    <row r="21285" spans="16:16">
      <c r="P21285" s="2498"/>
    </row>
    <row r="21286" spans="16:16">
      <c r="P21286" s="2498"/>
    </row>
    <row r="21287" spans="16:16">
      <c r="P21287" s="2498"/>
    </row>
    <row r="21288" spans="16:16">
      <c r="P21288" s="2498"/>
    </row>
    <row r="21289" spans="16:16">
      <c r="P21289" s="2498"/>
    </row>
    <row r="21290" spans="16:16">
      <c r="P21290" s="2498"/>
    </row>
    <row r="21291" spans="16:16">
      <c r="P21291" s="2498"/>
    </row>
    <row r="21292" spans="16:16">
      <c r="P21292" s="2498"/>
    </row>
    <row r="21293" spans="16:16">
      <c r="P21293" s="2498"/>
    </row>
    <row r="21294" spans="16:16">
      <c r="P21294" s="2498"/>
    </row>
    <row r="21295" spans="16:16">
      <c r="P21295" s="2498"/>
    </row>
    <row r="21296" spans="16:16">
      <c r="P21296" s="2498"/>
    </row>
    <row r="21297" spans="16:16">
      <c r="P21297" s="2498"/>
    </row>
    <row r="21298" spans="16:16">
      <c r="P21298" s="2498"/>
    </row>
    <row r="21299" spans="16:16">
      <c r="P21299" s="2498"/>
    </row>
    <row r="21300" spans="16:16">
      <c r="P21300" s="2498"/>
    </row>
    <row r="21301" spans="16:16">
      <c r="P21301" s="2498"/>
    </row>
    <row r="21302" spans="16:16">
      <c r="P21302" s="2498"/>
    </row>
    <row r="21303" spans="16:16">
      <c r="P21303" s="2498"/>
    </row>
    <row r="21304" spans="16:16">
      <c r="P21304" s="2498"/>
    </row>
    <row r="21305" spans="16:16">
      <c r="P21305" s="2498"/>
    </row>
    <row r="21306" spans="16:16">
      <c r="P21306" s="2498"/>
    </row>
    <row r="21307" spans="16:16">
      <c r="P21307" s="2498"/>
    </row>
    <row r="21308" spans="16:16">
      <c r="P21308" s="2498"/>
    </row>
    <row r="21309" spans="16:16">
      <c r="P21309" s="2498"/>
    </row>
    <row r="21310" spans="16:16">
      <c r="P21310" s="2498"/>
    </row>
    <row r="21311" spans="16:16">
      <c r="P21311" s="2498"/>
    </row>
    <row r="21312" spans="16:16">
      <c r="P21312" s="2498"/>
    </row>
    <row r="21313" spans="16:16">
      <c r="P21313" s="2498"/>
    </row>
    <row r="21314" spans="16:16">
      <c r="P21314" s="2498"/>
    </row>
    <row r="21315" spans="16:16">
      <c r="P21315" s="2498"/>
    </row>
    <row r="21316" spans="16:16">
      <c r="P21316" s="2498"/>
    </row>
    <row r="21317" spans="16:16">
      <c r="P21317" s="2498"/>
    </row>
    <row r="21318" spans="16:16">
      <c r="P21318" s="2498"/>
    </row>
    <row r="21319" spans="16:16">
      <c r="P21319" s="2498"/>
    </row>
    <row r="21320" spans="16:16">
      <c r="P21320" s="2498"/>
    </row>
    <row r="21321" spans="16:16">
      <c r="P21321" s="2498"/>
    </row>
    <row r="21322" spans="16:16">
      <c r="P21322" s="2498"/>
    </row>
    <row r="21323" spans="16:16">
      <c r="P21323" s="2498"/>
    </row>
    <row r="21324" spans="16:16">
      <c r="P21324" s="2498"/>
    </row>
    <row r="21325" spans="16:16">
      <c r="P21325" s="2498"/>
    </row>
    <row r="21326" spans="16:16">
      <c r="P21326" s="2498"/>
    </row>
    <row r="21327" spans="16:16">
      <c r="P21327" s="2498"/>
    </row>
    <row r="21328" spans="16:16">
      <c r="P21328" s="2498"/>
    </row>
    <row r="21329" spans="16:16">
      <c r="P21329" s="2498"/>
    </row>
    <row r="21330" spans="16:16">
      <c r="P21330" s="2498"/>
    </row>
    <row r="21331" spans="16:16">
      <c r="P21331" s="2498"/>
    </row>
    <row r="21332" spans="16:16">
      <c r="P21332" s="2498"/>
    </row>
    <row r="21333" spans="16:16">
      <c r="P21333" s="2498"/>
    </row>
    <row r="21334" spans="16:16">
      <c r="P21334" s="2498"/>
    </row>
    <row r="21335" spans="16:16">
      <c r="P21335" s="2498"/>
    </row>
    <row r="21336" spans="16:16">
      <c r="P21336" s="2498"/>
    </row>
    <row r="21337" spans="16:16">
      <c r="P21337" s="2498"/>
    </row>
    <row r="21338" spans="16:16">
      <c r="P21338" s="2498"/>
    </row>
    <row r="21339" spans="16:16">
      <c r="P21339" s="2498"/>
    </row>
    <row r="21340" spans="16:16">
      <c r="P21340" s="2498"/>
    </row>
    <row r="21341" spans="16:16">
      <c r="P21341" s="2498"/>
    </row>
    <row r="21342" spans="16:16">
      <c r="P21342" s="2498"/>
    </row>
    <row r="21343" spans="16:16">
      <c r="P21343" s="2498"/>
    </row>
    <row r="21344" spans="16:16">
      <c r="P21344" s="2498"/>
    </row>
    <row r="21345" spans="16:16">
      <c r="P21345" s="2498"/>
    </row>
    <row r="21346" spans="16:16">
      <c r="P21346" s="2498"/>
    </row>
    <row r="21347" spans="16:16">
      <c r="P21347" s="2498"/>
    </row>
    <row r="21348" spans="16:16">
      <c r="P21348" s="2498"/>
    </row>
    <row r="21349" spans="16:16">
      <c r="P21349" s="2498"/>
    </row>
    <row r="21350" spans="16:16">
      <c r="P21350" s="2498"/>
    </row>
    <row r="21351" spans="16:16">
      <c r="P21351" s="2498"/>
    </row>
    <row r="21352" spans="16:16">
      <c r="P21352" s="2498"/>
    </row>
    <row r="21353" spans="16:16">
      <c r="P21353" s="2498"/>
    </row>
    <row r="21354" spans="16:16">
      <c r="P21354" s="2498"/>
    </row>
    <row r="21355" spans="16:16">
      <c r="P21355" s="2498"/>
    </row>
    <row r="21356" spans="16:16">
      <c r="P21356" s="2498"/>
    </row>
    <row r="21357" spans="16:16">
      <c r="P21357" s="2498"/>
    </row>
    <row r="21358" spans="16:16">
      <c r="P21358" s="2498"/>
    </row>
    <row r="21359" spans="16:16">
      <c r="P21359" s="2498"/>
    </row>
    <row r="21360" spans="16:16">
      <c r="P21360" s="2498"/>
    </row>
    <row r="21361" spans="16:16">
      <c r="P21361" s="2498"/>
    </row>
    <row r="21362" spans="16:16">
      <c r="P21362" s="2498"/>
    </row>
    <row r="21363" spans="16:16">
      <c r="P21363" s="2498"/>
    </row>
    <row r="21364" spans="16:16">
      <c r="P21364" s="2498"/>
    </row>
    <row r="21365" spans="16:16">
      <c r="P21365" s="2498"/>
    </row>
    <row r="21366" spans="16:16">
      <c r="P21366" s="2498"/>
    </row>
    <row r="21367" spans="16:16">
      <c r="P21367" s="2498"/>
    </row>
    <row r="21368" spans="16:16">
      <c r="P21368" s="2498"/>
    </row>
    <row r="21369" spans="16:16">
      <c r="P21369" s="2498"/>
    </row>
    <row r="21370" spans="16:16">
      <c r="P21370" s="2498"/>
    </row>
    <row r="21371" spans="16:16">
      <c r="P21371" s="2498"/>
    </row>
    <row r="21372" spans="16:16">
      <c r="P21372" s="2498"/>
    </row>
    <row r="21373" spans="16:16">
      <c r="P21373" s="2498"/>
    </row>
    <row r="21374" spans="16:16">
      <c r="P21374" s="2498"/>
    </row>
    <row r="21375" spans="16:16">
      <c r="P21375" s="2498"/>
    </row>
    <row r="21376" spans="16:16">
      <c r="P21376" s="2498"/>
    </row>
    <row r="21377" spans="16:16">
      <c r="P21377" s="2498"/>
    </row>
    <row r="21378" spans="16:16">
      <c r="P21378" s="2498"/>
    </row>
    <row r="21379" spans="16:16">
      <c r="P21379" s="2498"/>
    </row>
    <row r="21380" spans="16:16">
      <c r="P21380" s="2498"/>
    </row>
    <row r="21381" spans="16:16">
      <c r="P21381" s="2498"/>
    </row>
    <row r="21382" spans="16:16">
      <c r="P21382" s="2498"/>
    </row>
    <row r="21383" spans="16:16">
      <c r="P21383" s="2498"/>
    </row>
    <row r="21384" spans="16:16">
      <c r="P21384" s="2498"/>
    </row>
    <row r="21385" spans="16:16">
      <c r="P21385" s="2498"/>
    </row>
    <row r="21386" spans="16:16">
      <c r="P21386" s="2498"/>
    </row>
    <row r="21387" spans="16:16">
      <c r="P21387" s="2498"/>
    </row>
    <row r="21388" spans="16:16">
      <c r="P21388" s="2498"/>
    </row>
    <row r="21389" spans="16:16">
      <c r="P21389" s="2498"/>
    </row>
    <row r="21390" spans="16:16">
      <c r="P21390" s="2498"/>
    </row>
    <row r="21391" spans="16:16">
      <c r="P21391" s="2498"/>
    </row>
    <row r="21392" spans="16:16">
      <c r="P21392" s="2498"/>
    </row>
    <row r="21393" spans="16:16">
      <c r="P21393" s="2498"/>
    </row>
    <row r="21394" spans="16:16">
      <c r="P21394" s="2498"/>
    </row>
    <row r="21395" spans="16:16">
      <c r="P21395" s="2498"/>
    </row>
    <row r="21396" spans="16:16">
      <c r="P21396" s="2498"/>
    </row>
    <row r="21397" spans="16:16">
      <c r="P21397" s="2498"/>
    </row>
    <row r="21398" spans="16:16">
      <c r="P21398" s="2498"/>
    </row>
    <row r="21399" spans="16:16">
      <c r="P21399" s="2498"/>
    </row>
    <row r="21400" spans="16:16">
      <c r="P21400" s="2498"/>
    </row>
    <row r="21401" spans="16:16">
      <c r="P21401" s="2498"/>
    </row>
    <row r="21402" spans="16:16">
      <c r="P21402" s="2498"/>
    </row>
    <row r="21403" spans="16:16">
      <c r="P21403" s="2498"/>
    </row>
    <row r="21404" spans="16:16">
      <c r="P21404" s="2498"/>
    </row>
    <row r="21405" spans="16:16">
      <c r="P21405" s="2498"/>
    </row>
    <row r="21406" spans="16:16">
      <c r="P21406" s="2498"/>
    </row>
    <row r="21407" spans="16:16">
      <c r="P21407" s="2498"/>
    </row>
    <row r="21408" spans="16:16">
      <c r="P21408" s="2498"/>
    </row>
    <row r="21409" spans="16:16">
      <c r="P21409" s="2498"/>
    </row>
    <row r="21410" spans="16:16">
      <c r="P21410" s="2498"/>
    </row>
    <row r="21411" spans="16:16">
      <c r="P21411" s="2498"/>
    </row>
    <row r="21412" spans="16:16">
      <c r="P21412" s="2498"/>
    </row>
    <row r="21413" spans="16:16">
      <c r="P21413" s="2498"/>
    </row>
    <row r="21414" spans="16:16">
      <c r="P21414" s="2498"/>
    </row>
    <row r="21415" spans="16:16">
      <c r="P21415" s="2498"/>
    </row>
    <row r="21416" spans="16:16">
      <c r="P21416" s="2498"/>
    </row>
    <row r="21417" spans="16:16">
      <c r="P21417" s="2498"/>
    </row>
    <row r="21418" spans="16:16">
      <c r="P21418" s="2498"/>
    </row>
    <row r="21419" spans="16:16">
      <c r="P21419" s="2498"/>
    </row>
    <row r="21420" spans="16:16">
      <c r="P21420" s="2498"/>
    </row>
    <row r="21421" spans="16:16">
      <c r="P21421" s="2498"/>
    </row>
    <row r="21422" spans="16:16">
      <c r="P21422" s="2498"/>
    </row>
    <row r="21423" spans="16:16">
      <c r="P21423" s="2498"/>
    </row>
    <row r="21424" spans="16:16">
      <c r="P21424" s="2498"/>
    </row>
    <row r="21425" spans="16:16">
      <c r="P21425" s="2498"/>
    </row>
    <row r="21426" spans="16:16">
      <c r="P21426" s="2498"/>
    </row>
    <row r="21427" spans="16:16">
      <c r="P21427" s="2498"/>
    </row>
    <row r="21428" spans="16:16">
      <c r="P21428" s="2498"/>
    </row>
    <row r="21429" spans="16:16">
      <c r="P21429" s="2498"/>
    </row>
    <row r="21430" spans="16:16">
      <c r="P21430" s="2498"/>
    </row>
    <row r="21431" spans="16:16">
      <c r="P21431" s="2498"/>
    </row>
    <row r="21432" spans="16:16">
      <c r="P21432" s="2498"/>
    </row>
    <row r="21433" spans="16:16">
      <c r="P21433" s="2498"/>
    </row>
    <row r="21434" spans="16:16">
      <c r="P21434" s="2498"/>
    </row>
    <row r="21435" spans="16:16">
      <c r="P21435" s="2498"/>
    </row>
    <row r="21436" spans="16:16">
      <c r="P21436" s="2498"/>
    </row>
    <row r="21437" spans="16:16">
      <c r="P21437" s="2498"/>
    </row>
    <row r="21438" spans="16:16">
      <c r="P21438" s="2498"/>
    </row>
    <row r="21439" spans="16:16">
      <c r="P21439" s="2498"/>
    </row>
    <row r="21440" spans="16:16">
      <c r="P21440" s="2498"/>
    </row>
    <row r="21441" spans="16:16">
      <c r="P21441" s="2498"/>
    </row>
    <row r="21442" spans="16:16">
      <c r="P21442" s="2498"/>
    </row>
    <row r="21443" spans="16:16">
      <c r="P21443" s="2498"/>
    </row>
    <row r="21444" spans="16:16">
      <c r="P21444" s="2498"/>
    </row>
    <row r="21445" spans="16:16">
      <c r="P21445" s="2498"/>
    </row>
    <row r="21446" spans="16:16">
      <c r="P21446" s="2498"/>
    </row>
    <row r="21447" spans="16:16">
      <c r="P21447" s="2498"/>
    </row>
    <row r="21448" spans="16:16">
      <c r="P21448" s="2498"/>
    </row>
    <row r="21449" spans="16:16">
      <c r="P21449" s="2498"/>
    </row>
    <row r="21450" spans="16:16">
      <c r="P21450" s="2498"/>
    </row>
    <row r="21451" spans="16:16">
      <c r="P21451" s="2498"/>
    </row>
    <row r="21452" spans="16:16">
      <c r="P21452" s="2498"/>
    </row>
    <row r="21453" spans="16:16">
      <c r="P21453" s="2498"/>
    </row>
    <row r="21454" spans="16:16">
      <c r="P21454" s="2498"/>
    </row>
    <row r="21455" spans="16:16">
      <c r="P21455" s="2498"/>
    </row>
    <row r="21456" spans="16:16">
      <c r="P21456" s="2498"/>
    </row>
    <row r="21457" spans="16:16">
      <c r="P21457" s="2498"/>
    </row>
    <row r="21458" spans="16:16">
      <c r="P21458" s="2498"/>
    </row>
    <row r="21459" spans="16:16">
      <c r="P21459" s="2498"/>
    </row>
    <row r="21460" spans="16:16">
      <c r="P21460" s="2498"/>
    </row>
    <row r="21461" spans="16:16">
      <c r="P21461" s="2498"/>
    </row>
    <row r="21462" spans="16:16">
      <c r="P21462" s="2498"/>
    </row>
    <row r="21463" spans="16:16">
      <c r="P21463" s="2498"/>
    </row>
    <row r="21464" spans="16:16">
      <c r="P21464" s="2498"/>
    </row>
    <row r="21465" spans="16:16">
      <c r="P21465" s="2498"/>
    </row>
    <row r="21466" spans="16:16">
      <c r="P21466" s="2498"/>
    </row>
    <row r="21467" spans="16:16">
      <c r="P21467" s="2498"/>
    </row>
    <row r="21468" spans="16:16">
      <c r="P21468" s="2498"/>
    </row>
    <row r="21469" spans="16:16">
      <c r="P21469" s="2498"/>
    </row>
    <row r="21470" spans="16:16">
      <c r="P21470" s="2498"/>
    </row>
    <row r="21471" spans="16:16">
      <c r="P21471" s="2498"/>
    </row>
    <row r="21472" spans="16:16">
      <c r="P21472" s="2498"/>
    </row>
    <row r="21473" spans="16:16">
      <c r="P21473" s="2498"/>
    </row>
    <row r="21474" spans="16:16">
      <c r="P21474" s="2498"/>
    </row>
    <row r="21475" spans="16:16">
      <c r="P21475" s="2498"/>
    </row>
    <row r="21476" spans="16:16">
      <c r="P21476" s="2498"/>
    </row>
    <row r="21477" spans="16:16">
      <c r="P21477" s="2498"/>
    </row>
    <row r="21478" spans="16:16">
      <c r="P21478" s="2498"/>
    </row>
    <row r="21479" spans="16:16">
      <c r="P21479" s="2498"/>
    </row>
    <row r="21480" spans="16:16">
      <c r="P21480" s="2498"/>
    </row>
    <row r="21481" spans="16:16">
      <c r="P21481" s="2498"/>
    </row>
    <row r="21482" spans="16:16">
      <c r="P21482" s="2498"/>
    </row>
    <row r="21483" spans="16:16">
      <c r="P21483" s="2498"/>
    </row>
    <row r="21484" spans="16:16">
      <c r="P21484" s="2498"/>
    </row>
    <row r="21485" spans="16:16">
      <c r="P21485" s="2498"/>
    </row>
    <row r="21486" spans="16:16">
      <c r="P21486" s="2498"/>
    </row>
    <row r="21487" spans="16:16">
      <c r="P21487" s="2498"/>
    </row>
    <row r="21488" spans="16:16">
      <c r="P21488" s="2498"/>
    </row>
    <row r="21489" spans="16:16">
      <c r="P21489" s="2498"/>
    </row>
    <row r="21490" spans="16:16">
      <c r="P21490" s="2498"/>
    </row>
    <row r="21491" spans="16:16">
      <c r="P21491" s="2498"/>
    </row>
    <row r="21492" spans="16:16">
      <c r="P21492" s="2498"/>
    </row>
    <row r="21493" spans="16:16">
      <c r="P21493" s="2498"/>
    </row>
    <row r="21494" spans="16:16">
      <c r="P21494" s="2498"/>
    </row>
    <row r="21495" spans="16:16">
      <c r="P21495" s="2498"/>
    </row>
    <row r="21496" spans="16:16">
      <c r="P21496" s="2498"/>
    </row>
    <row r="21497" spans="16:16">
      <c r="P21497" s="2498"/>
    </row>
    <row r="21498" spans="16:16">
      <c r="P21498" s="2498"/>
    </row>
    <row r="21499" spans="16:16">
      <c r="P21499" s="2498"/>
    </row>
    <row r="21500" spans="16:16">
      <c r="P21500" s="2498"/>
    </row>
    <row r="21501" spans="16:16">
      <c r="P21501" s="2498"/>
    </row>
    <row r="21502" spans="16:16">
      <c r="P21502" s="2498"/>
    </row>
    <row r="21503" spans="16:16">
      <c r="P21503" s="2498"/>
    </row>
    <row r="21504" spans="16:16">
      <c r="P21504" s="2498"/>
    </row>
    <row r="21505" spans="16:16">
      <c r="P21505" s="2498"/>
    </row>
    <row r="21506" spans="16:16">
      <c r="P21506" s="2498"/>
    </row>
    <row r="21507" spans="16:16">
      <c r="P21507" s="2498"/>
    </row>
    <row r="21508" spans="16:16">
      <c r="P21508" s="2498"/>
    </row>
    <row r="21509" spans="16:16">
      <c r="P21509" s="2498"/>
    </row>
    <row r="21510" spans="16:16">
      <c r="P21510" s="2498"/>
    </row>
    <row r="21511" spans="16:16">
      <c r="P21511" s="2498"/>
    </row>
    <row r="21512" spans="16:16">
      <c r="P21512" s="2498"/>
    </row>
    <row r="21513" spans="16:16">
      <c r="P21513" s="2498"/>
    </row>
    <row r="21514" spans="16:16">
      <c r="P21514" s="2498"/>
    </row>
    <row r="21515" spans="16:16">
      <c r="P21515" s="2498"/>
    </row>
    <row r="21516" spans="16:16">
      <c r="P21516" s="2498"/>
    </row>
    <row r="21517" spans="16:16">
      <c r="P21517" s="2498"/>
    </row>
    <row r="21518" spans="16:16">
      <c r="P21518" s="2498"/>
    </row>
    <row r="21519" spans="16:16">
      <c r="P21519" s="2498"/>
    </row>
    <row r="21520" spans="16:16">
      <c r="P21520" s="2498"/>
    </row>
    <row r="21521" spans="16:16">
      <c r="P21521" s="2498"/>
    </row>
    <row r="21522" spans="16:16">
      <c r="P21522" s="2498"/>
    </row>
    <row r="21523" spans="16:16">
      <c r="P21523" s="2498"/>
    </row>
    <row r="21524" spans="16:16">
      <c r="P21524" s="2498"/>
    </row>
    <row r="21525" spans="16:16">
      <c r="P21525" s="2498"/>
    </row>
    <row r="21526" spans="16:16">
      <c r="P21526" s="2498"/>
    </row>
    <row r="21527" spans="16:16">
      <c r="P21527" s="2498"/>
    </row>
    <row r="21528" spans="16:16">
      <c r="P21528" s="2498"/>
    </row>
    <row r="21529" spans="16:16">
      <c r="P21529" s="2498"/>
    </row>
    <row r="21530" spans="16:16">
      <c r="P21530" s="2498"/>
    </row>
    <row r="21531" spans="16:16">
      <c r="P21531" s="2498"/>
    </row>
    <row r="21532" spans="16:16">
      <c r="P21532" s="2498"/>
    </row>
    <row r="21533" spans="16:16">
      <c r="P21533" s="2498"/>
    </row>
    <row r="21534" spans="16:16">
      <c r="P21534" s="2498"/>
    </row>
    <row r="21535" spans="16:16">
      <c r="P21535" s="2498"/>
    </row>
    <row r="21536" spans="16:16">
      <c r="P21536" s="2498"/>
    </row>
    <row r="21537" spans="16:16">
      <c r="P21537" s="2498"/>
    </row>
    <row r="21538" spans="16:16">
      <c r="P21538" s="2498"/>
    </row>
    <row r="21539" spans="16:16">
      <c r="P21539" s="2498"/>
    </row>
    <row r="21540" spans="16:16">
      <c r="P21540" s="2498"/>
    </row>
    <row r="21541" spans="16:16">
      <c r="P21541" s="2498"/>
    </row>
    <row r="21542" spans="16:16">
      <c r="P21542" s="2498"/>
    </row>
    <row r="21543" spans="16:16">
      <c r="P21543" s="2498"/>
    </row>
    <row r="21544" spans="16:16">
      <c r="P21544" s="2498"/>
    </row>
    <row r="21545" spans="16:16">
      <c r="P21545" s="2498"/>
    </row>
    <row r="21546" spans="16:16">
      <c r="P21546" s="2498"/>
    </row>
    <row r="21547" spans="16:16">
      <c r="P21547" s="2498"/>
    </row>
    <row r="21548" spans="16:16">
      <c r="P21548" s="2498"/>
    </row>
    <row r="21549" spans="16:16">
      <c r="P21549" s="2498"/>
    </row>
    <row r="21550" spans="16:16">
      <c r="P21550" s="2498"/>
    </row>
    <row r="21551" spans="16:16">
      <c r="P21551" s="2498"/>
    </row>
    <row r="21552" spans="16:16">
      <c r="P21552" s="2498"/>
    </row>
    <row r="21553" spans="16:16">
      <c r="P21553" s="2498"/>
    </row>
    <row r="21554" spans="16:16">
      <c r="P21554" s="2498"/>
    </row>
    <row r="21555" spans="16:16">
      <c r="P21555" s="2498"/>
    </row>
    <row r="21556" spans="16:16">
      <c r="P21556" s="2498"/>
    </row>
    <row r="21557" spans="16:16">
      <c r="P21557" s="2498"/>
    </row>
    <row r="21558" spans="16:16">
      <c r="P21558" s="2498"/>
    </row>
    <row r="21559" spans="16:16">
      <c r="P21559" s="2498"/>
    </row>
    <row r="21560" spans="16:16">
      <c r="P21560" s="2498"/>
    </row>
    <row r="21561" spans="16:16">
      <c r="P21561" s="2498"/>
    </row>
    <row r="21562" spans="16:16">
      <c r="P21562" s="2498"/>
    </row>
    <row r="21563" spans="16:16">
      <c r="P21563" s="2498"/>
    </row>
    <row r="21564" spans="16:16">
      <c r="P21564" s="2498"/>
    </row>
    <row r="21565" spans="16:16">
      <c r="P21565" s="2498"/>
    </row>
    <row r="21566" spans="16:16">
      <c r="P21566" s="2498"/>
    </row>
    <row r="21567" spans="16:16">
      <c r="P21567" s="2498"/>
    </row>
    <row r="21568" spans="16:16">
      <c r="P21568" s="2498"/>
    </row>
    <row r="21569" spans="16:16">
      <c r="P21569" s="2498"/>
    </row>
    <row r="21570" spans="16:16">
      <c r="P21570" s="2498"/>
    </row>
    <row r="21571" spans="16:16">
      <c r="P21571" s="2498"/>
    </row>
    <row r="21572" spans="16:16">
      <c r="P21572" s="2498"/>
    </row>
    <row r="21573" spans="16:16">
      <c r="P21573" s="2498"/>
    </row>
    <row r="21574" spans="16:16">
      <c r="P21574" s="2498"/>
    </row>
    <row r="21575" spans="16:16">
      <c r="P21575" s="2498"/>
    </row>
    <row r="21576" spans="16:16">
      <c r="P21576" s="2498"/>
    </row>
    <row r="21577" spans="16:16">
      <c r="P21577" s="2498"/>
    </row>
    <row r="21578" spans="16:16">
      <c r="P21578" s="2498"/>
    </row>
    <row r="21579" spans="16:16">
      <c r="P21579" s="2498"/>
    </row>
    <row r="21580" spans="16:16">
      <c r="P21580" s="2498"/>
    </row>
    <row r="21581" spans="16:16">
      <c r="P21581" s="2498"/>
    </row>
    <row r="21582" spans="16:16">
      <c r="P21582" s="2498"/>
    </row>
    <row r="21583" spans="16:16">
      <c r="P21583" s="2498"/>
    </row>
    <row r="21584" spans="16:16">
      <c r="P21584" s="2498"/>
    </row>
    <row r="21585" spans="16:16">
      <c r="P21585" s="2498"/>
    </row>
    <row r="21586" spans="16:16">
      <c r="P21586" s="2498"/>
    </row>
    <row r="21587" spans="16:16">
      <c r="P21587" s="2498"/>
    </row>
    <row r="21588" spans="16:16">
      <c r="P21588" s="2498"/>
    </row>
    <row r="21589" spans="16:16">
      <c r="P21589" s="2498"/>
    </row>
    <row r="21590" spans="16:16">
      <c r="P21590" s="2498"/>
    </row>
    <row r="21591" spans="16:16">
      <c r="P21591" s="2498"/>
    </row>
    <row r="21592" spans="16:16">
      <c r="P21592" s="2498"/>
    </row>
    <row r="21593" spans="16:16">
      <c r="P21593" s="2498"/>
    </row>
    <row r="21594" spans="16:16">
      <c r="P21594" s="2498"/>
    </row>
    <row r="21595" spans="16:16">
      <c r="P21595" s="2498"/>
    </row>
    <row r="21596" spans="16:16">
      <c r="P21596" s="2498"/>
    </row>
    <row r="21597" spans="16:16">
      <c r="P21597" s="2498"/>
    </row>
    <row r="21598" spans="16:16">
      <c r="P21598" s="2498"/>
    </row>
    <row r="21599" spans="16:16">
      <c r="P21599" s="2498"/>
    </row>
    <row r="21600" spans="16:16">
      <c r="P21600" s="2498"/>
    </row>
    <row r="21601" spans="16:16">
      <c r="P21601" s="2498"/>
    </row>
    <row r="21602" spans="16:16">
      <c r="P21602" s="2498"/>
    </row>
    <row r="21603" spans="16:16">
      <c r="P21603" s="2498"/>
    </row>
    <row r="21604" spans="16:16">
      <c r="P21604" s="2498"/>
    </row>
    <row r="21605" spans="16:16">
      <c r="P21605" s="2498"/>
    </row>
    <row r="21606" spans="16:16">
      <c r="P21606" s="2498"/>
    </row>
    <row r="21607" spans="16:16">
      <c r="P21607" s="2498"/>
    </row>
    <row r="21608" spans="16:16">
      <c r="P21608" s="2498"/>
    </row>
    <row r="21609" spans="16:16">
      <c r="P21609" s="2498"/>
    </row>
    <row r="21610" spans="16:16">
      <c r="P21610" s="2498"/>
    </row>
    <row r="21611" spans="16:16">
      <c r="P21611" s="2498"/>
    </row>
    <row r="21612" spans="16:16">
      <c r="P21612" s="2498"/>
    </row>
    <row r="21613" spans="16:16">
      <c r="P21613" s="2498"/>
    </row>
    <row r="21614" spans="16:16">
      <c r="P21614" s="2498"/>
    </row>
    <row r="21615" spans="16:16">
      <c r="P21615" s="2498"/>
    </row>
    <row r="21616" spans="16:16">
      <c r="P21616" s="2498"/>
    </row>
    <row r="21617" spans="16:16">
      <c r="P21617" s="2498"/>
    </row>
    <row r="21618" spans="16:16">
      <c r="P21618" s="2498"/>
    </row>
    <row r="21619" spans="16:16">
      <c r="P21619" s="2498"/>
    </row>
    <row r="21620" spans="16:16">
      <c r="P21620" s="2498"/>
    </row>
    <row r="21621" spans="16:16">
      <c r="P21621" s="2498"/>
    </row>
    <row r="21622" spans="16:16">
      <c r="P21622" s="2498"/>
    </row>
    <row r="21623" spans="16:16">
      <c r="P21623" s="2498"/>
    </row>
    <row r="21624" spans="16:16">
      <c r="P21624" s="2498"/>
    </row>
    <row r="21625" spans="16:16">
      <c r="P21625" s="2498"/>
    </row>
    <row r="21626" spans="16:16">
      <c r="P21626" s="2498"/>
    </row>
    <row r="21627" spans="16:16">
      <c r="P21627" s="2498"/>
    </row>
    <row r="21628" spans="16:16">
      <c r="P21628" s="2498"/>
    </row>
    <row r="21629" spans="16:16">
      <c r="P21629" s="2498"/>
    </row>
    <row r="21630" spans="16:16">
      <c r="P21630" s="2498"/>
    </row>
    <row r="21631" spans="16:16">
      <c r="P21631" s="2498"/>
    </row>
    <row r="21632" spans="16:16">
      <c r="P21632" s="2498"/>
    </row>
    <row r="21633" spans="16:16">
      <c r="P21633" s="2498"/>
    </row>
    <row r="21634" spans="16:16">
      <c r="P21634" s="2498"/>
    </row>
    <row r="21635" spans="16:16">
      <c r="P21635" s="2498"/>
    </row>
    <row r="21636" spans="16:16">
      <c r="P21636" s="2498"/>
    </row>
    <row r="21637" spans="16:16">
      <c r="P21637" s="2498"/>
    </row>
    <row r="21638" spans="16:16">
      <c r="P21638" s="2498"/>
    </row>
    <row r="21639" spans="16:16">
      <c r="P21639" s="2498"/>
    </row>
    <row r="21640" spans="16:16">
      <c r="P21640" s="2498"/>
    </row>
    <row r="21641" spans="16:16">
      <c r="P21641" s="2498"/>
    </row>
    <row r="21642" spans="16:16">
      <c r="P21642" s="2498"/>
    </row>
    <row r="21643" spans="16:16">
      <c r="P21643" s="2498"/>
    </row>
    <row r="21644" spans="16:16">
      <c r="P21644" s="2498"/>
    </row>
    <row r="21645" spans="16:16">
      <c r="P21645" s="2498"/>
    </row>
    <row r="21646" spans="16:16">
      <c r="P21646" s="2498"/>
    </row>
    <row r="21647" spans="16:16">
      <c r="P21647" s="2498"/>
    </row>
    <row r="21648" spans="16:16">
      <c r="P21648" s="2498"/>
    </row>
    <row r="21649" spans="16:16">
      <c r="P21649" s="2498"/>
    </row>
    <row r="21650" spans="16:16">
      <c r="P21650" s="2498"/>
    </row>
    <row r="21651" spans="16:16">
      <c r="P21651" s="2498"/>
    </row>
    <row r="21652" spans="16:16">
      <c r="P21652" s="2498"/>
    </row>
    <row r="21653" spans="16:16">
      <c r="P21653" s="2498"/>
    </row>
    <row r="21654" spans="16:16">
      <c r="P21654" s="2498"/>
    </row>
    <row r="21655" spans="16:16">
      <c r="P21655" s="2498"/>
    </row>
    <row r="21656" spans="16:16">
      <c r="P21656" s="2498"/>
    </row>
    <row r="21657" spans="16:16">
      <c r="P21657" s="2498"/>
    </row>
    <row r="21658" spans="16:16">
      <c r="P21658" s="2498"/>
    </row>
    <row r="21659" spans="16:16">
      <c r="P21659" s="2498"/>
    </row>
    <row r="21660" spans="16:16">
      <c r="P21660" s="2498"/>
    </row>
    <row r="21661" spans="16:16">
      <c r="P21661" s="2498"/>
    </row>
    <row r="21662" spans="16:16">
      <c r="P21662" s="2498"/>
    </row>
    <row r="21663" spans="16:16">
      <c r="P21663" s="2498"/>
    </row>
    <row r="21664" spans="16:16">
      <c r="P21664" s="2498"/>
    </row>
    <row r="21665" spans="16:16">
      <c r="P21665" s="2498"/>
    </row>
    <row r="21666" spans="16:16">
      <c r="P21666" s="2498"/>
    </row>
    <row r="21667" spans="16:16">
      <c r="P21667" s="2498"/>
    </row>
    <row r="21668" spans="16:16">
      <c r="P21668" s="2498"/>
    </row>
    <row r="21669" spans="16:16">
      <c r="P21669" s="2498"/>
    </row>
    <row r="21670" spans="16:16">
      <c r="P21670" s="2498"/>
    </row>
    <row r="21671" spans="16:16">
      <c r="P21671" s="2498"/>
    </row>
    <row r="21672" spans="16:16">
      <c r="P21672" s="2498"/>
    </row>
    <row r="21673" spans="16:16">
      <c r="P21673" s="2498"/>
    </row>
    <row r="21674" spans="16:16">
      <c r="P21674" s="2498"/>
    </row>
    <row r="21675" spans="16:16">
      <c r="P21675" s="2498"/>
    </row>
    <row r="21676" spans="16:16">
      <c r="P21676" s="2498"/>
    </row>
    <row r="21677" spans="16:16">
      <c r="P21677" s="2498"/>
    </row>
    <row r="21678" spans="16:16">
      <c r="P21678" s="2498"/>
    </row>
    <row r="21679" spans="16:16">
      <c r="P21679" s="2498"/>
    </row>
    <row r="21680" spans="16:16">
      <c r="P21680" s="2498"/>
    </row>
    <row r="21681" spans="16:16">
      <c r="P21681" s="2498"/>
    </row>
    <row r="21682" spans="16:16">
      <c r="P21682" s="2498"/>
    </row>
    <row r="21683" spans="16:16">
      <c r="P21683" s="2498"/>
    </row>
    <row r="21684" spans="16:16">
      <c r="P21684" s="2498"/>
    </row>
    <row r="21685" spans="16:16">
      <c r="P21685" s="2498"/>
    </row>
    <row r="21686" spans="16:16">
      <c r="P21686" s="2498"/>
    </row>
    <row r="21687" spans="16:16">
      <c r="P21687" s="2498"/>
    </row>
    <row r="21688" spans="16:16">
      <c r="P21688" s="2498"/>
    </row>
    <row r="21689" spans="16:16">
      <c r="P21689" s="2498"/>
    </row>
    <row r="21690" spans="16:16">
      <c r="P21690" s="2498"/>
    </row>
    <row r="21691" spans="16:16">
      <c r="P21691" s="2498"/>
    </row>
    <row r="21692" spans="16:16">
      <c r="P21692" s="2498"/>
    </row>
    <row r="21693" spans="16:16">
      <c r="P21693" s="2498"/>
    </row>
    <row r="21694" spans="16:16">
      <c r="P21694" s="2498"/>
    </row>
    <row r="21695" spans="16:16">
      <c r="P21695" s="2498"/>
    </row>
    <row r="21696" spans="16:16">
      <c r="P21696" s="2498"/>
    </row>
    <row r="21697" spans="16:16">
      <c r="P21697" s="2498"/>
    </row>
    <row r="21698" spans="16:16">
      <c r="P21698" s="2498"/>
    </row>
    <row r="21699" spans="16:16">
      <c r="P21699" s="2498"/>
    </row>
    <row r="21700" spans="16:16">
      <c r="P21700" s="2498"/>
    </row>
    <row r="21701" spans="16:16">
      <c r="P21701" s="2498"/>
    </row>
    <row r="21702" spans="16:16">
      <c r="P21702" s="2498"/>
    </row>
    <row r="21703" spans="16:16">
      <c r="P21703" s="2498"/>
    </row>
    <row r="21704" spans="16:16">
      <c r="P21704" s="2498"/>
    </row>
    <row r="21705" spans="16:16">
      <c r="P21705" s="2498"/>
    </row>
    <row r="21706" spans="16:16">
      <c r="P21706" s="2498"/>
    </row>
    <row r="21707" spans="16:16">
      <c r="P21707" s="2498"/>
    </row>
    <row r="21708" spans="16:16">
      <c r="P21708" s="2498"/>
    </row>
    <row r="21709" spans="16:16">
      <c r="P21709" s="2498"/>
    </row>
    <row r="21710" spans="16:16">
      <c r="P21710" s="2498"/>
    </row>
    <row r="21711" spans="16:16">
      <c r="P21711" s="2498"/>
    </row>
    <row r="21712" spans="16:16">
      <c r="P21712" s="2498"/>
    </row>
    <row r="21713" spans="16:16">
      <c r="P21713" s="2498"/>
    </row>
    <row r="21714" spans="16:16">
      <c r="P21714" s="2498"/>
    </row>
    <row r="21715" spans="16:16">
      <c r="P21715" s="2498"/>
    </row>
    <row r="21716" spans="16:16">
      <c r="P21716" s="2498"/>
    </row>
    <row r="21717" spans="16:16">
      <c r="P21717" s="2498"/>
    </row>
    <row r="21718" spans="16:16">
      <c r="P21718" s="2498"/>
    </row>
    <row r="21719" spans="16:16">
      <c r="P21719" s="2498"/>
    </row>
    <row r="21720" spans="16:16">
      <c r="P21720" s="2498"/>
    </row>
    <row r="21721" spans="16:16">
      <c r="P21721" s="2498"/>
    </row>
    <row r="21722" spans="16:16">
      <c r="P21722" s="2498"/>
    </row>
    <row r="21723" spans="16:16">
      <c r="P21723" s="2498"/>
    </row>
    <row r="21724" spans="16:16">
      <c r="P21724" s="2498"/>
    </row>
    <row r="21725" spans="16:16">
      <c r="P21725" s="2498"/>
    </row>
    <row r="21726" spans="16:16">
      <c r="P21726" s="2498"/>
    </row>
    <row r="21727" spans="16:16">
      <c r="P21727" s="2498"/>
    </row>
    <row r="21728" spans="16:16">
      <c r="P21728" s="2498"/>
    </row>
    <row r="21729" spans="16:16">
      <c r="P21729" s="2498"/>
    </row>
    <row r="21730" spans="16:16">
      <c r="P21730" s="2498"/>
    </row>
    <row r="21731" spans="16:16">
      <c r="P21731" s="2498"/>
    </row>
    <row r="21732" spans="16:16">
      <c r="P21732" s="2498"/>
    </row>
    <row r="21733" spans="16:16">
      <c r="P21733" s="2498"/>
    </row>
    <row r="21734" spans="16:16">
      <c r="P21734" s="2498"/>
    </row>
    <row r="21735" spans="16:16">
      <c r="P21735" s="2498"/>
    </row>
    <row r="21736" spans="16:16">
      <c r="P21736" s="2498"/>
    </row>
    <row r="21737" spans="16:16">
      <c r="P21737" s="2498"/>
    </row>
    <row r="21738" spans="16:16">
      <c r="P21738" s="2498"/>
    </row>
    <row r="21739" spans="16:16">
      <c r="P21739" s="2498"/>
    </row>
    <row r="21740" spans="16:16">
      <c r="P21740" s="2498"/>
    </row>
    <row r="21741" spans="16:16">
      <c r="P21741" s="2498"/>
    </row>
    <row r="21742" spans="16:16">
      <c r="P21742" s="2498"/>
    </row>
    <row r="21743" spans="16:16">
      <c r="P21743" s="2498"/>
    </row>
    <row r="21744" spans="16:16">
      <c r="P21744" s="2498"/>
    </row>
    <row r="21745" spans="16:16">
      <c r="P21745" s="2498"/>
    </row>
    <row r="21746" spans="16:16">
      <c r="P21746" s="2498"/>
    </row>
    <row r="21747" spans="16:16">
      <c r="P21747" s="2498"/>
    </row>
    <row r="21748" spans="16:16">
      <c r="P21748" s="2498"/>
    </row>
    <row r="21749" spans="16:16">
      <c r="P21749" s="2498"/>
    </row>
    <row r="21750" spans="16:16">
      <c r="P21750" s="2498"/>
    </row>
    <row r="21751" spans="16:16">
      <c r="P21751" s="2498"/>
    </row>
    <row r="21752" spans="16:16">
      <c r="P21752" s="2498"/>
    </row>
    <row r="21753" spans="16:16">
      <c r="P21753" s="2498"/>
    </row>
    <row r="21754" spans="16:16">
      <c r="P21754" s="2498"/>
    </row>
    <row r="21755" spans="16:16">
      <c r="P21755" s="2498"/>
    </row>
    <row r="21756" spans="16:16">
      <c r="P21756" s="2498"/>
    </row>
    <row r="21757" spans="16:16">
      <c r="P21757" s="2498"/>
    </row>
    <row r="21758" spans="16:16">
      <c r="P21758" s="2498"/>
    </row>
    <row r="21759" spans="16:16">
      <c r="P21759" s="2498"/>
    </row>
    <row r="21760" spans="16:16">
      <c r="P21760" s="2498"/>
    </row>
    <row r="21761" spans="16:16">
      <c r="P21761" s="2498"/>
    </row>
    <row r="21762" spans="16:16">
      <c r="P21762" s="2498"/>
    </row>
    <row r="21763" spans="16:16">
      <c r="P21763" s="2498"/>
    </row>
    <row r="21764" spans="16:16">
      <c r="P21764" s="2498"/>
    </row>
    <row r="21765" spans="16:16">
      <c r="P21765" s="2498"/>
    </row>
    <row r="21766" spans="16:16">
      <c r="P21766" s="2498"/>
    </row>
    <row r="21767" spans="16:16">
      <c r="P21767" s="2498"/>
    </row>
    <row r="21768" spans="16:16">
      <c r="P21768" s="2498"/>
    </row>
    <row r="21769" spans="16:16">
      <c r="P21769" s="2498"/>
    </row>
    <row r="21770" spans="16:16">
      <c r="P21770" s="2498"/>
    </row>
    <row r="21771" spans="16:16">
      <c r="P21771" s="2498"/>
    </row>
    <row r="21772" spans="16:16">
      <c r="P21772" s="2498"/>
    </row>
    <row r="21773" spans="16:16">
      <c r="P21773" s="2498"/>
    </row>
    <row r="21774" spans="16:16">
      <c r="P21774" s="2498"/>
    </row>
    <row r="21775" spans="16:16">
      <c r="P21775" s="2498"/>
    </row>
    <row r="21776" spans="16:16">
      <c r="P21776" s="2498"/>
    </row>
    <row r="21777" spans="16:16">
      <c r="P21777" s="2498"/>
    </row>
    <row r="21778" spans="16:16">
      <c r="P21778" s="2498"/>
    </row>
    <row r="21779" spans="16:16">
      <c r="P21779" s="2498"/>
    </row>
    <row r="21780" spans="16:16">
      <c r="P21780" s="2498"/>
    </row>
    <row r="21781" spans="16:16">
      <c r="P21781" s="2498"/>
    </row>
    <row r="21782" spans="16:16">
      <c r="P21782" s="2498"/>
    </row>
    <row r="21783" spans="16:16">
      <c r="P21783" s="2498"/>
    </row>
    <row r="21784" spans="16:16">
      <c r="P21784" s="2498"/>
    </row>
    <row r="21785" spans="16:16">
      <c r="P21785" s="2498"/>
    </row>
    <row r="21786" spans="16:16">
      <c r="P21786" s="2498"/>
    </row>
    <row r="21787" spans="16:16">
      <c r="P21787" s="2498"/>
    </row>
    <row r="21788" spans="16:16">
      <c r="P21788" s="2498"/>
    </row>
    <row r="21789" spans="16:16">
      <c r="P21789" s="2498"/>
    </row>
    <row r="21790" spans="16:16">
      <c r="P21790" s="2498"/>
    </row>
    <row r="21791" spans="16:16">
      <c r="P21791" s="2498"/>
    </row>
    <row r="21792" spans="16:16">
      <c r="P21792" s="2498"/>
    </row>
    <row r="21793" spans="16:16">
      <c r="P21793" s="2498"/>
    </row>
    <row r="21794" spans="16:16">
      <c r="P21794" s="2498"/>
    </row>
    <row r="21795" spans="16:16">
      <c r="P21795" s="2498"/>
    </row>
    <row r="21796" spans="16:16">
      <c r="P21796" s="2498"/>
    </row>
    <row r="21797" spans="16:16">
      <c r="P21797" s="2498"/>
    </row>
    <row r="21798" spans="16:16">
      <c r="P21798" s="2498"/>
    </row>
    <row r="21799" spans="16:16">
      <c r="P21799" s="2498"/>
    </row>
    <row r="21800" spans="16:16">
      <c r="P21800" s="2498"/>
    </row>
    <row r="21801" spans="16:16">
      <c r="P21801" s="2498"/>
    </row>
    <row r="21802" spans="16:16">
      <c r="P21802" s="2498"/>
    </row>
    <row r="21803" spans="16:16">
      <c r="P21803" s="2498"/>
    </row>
    <row r="21804" spans="16:16">
      <c r="P21804" s="2498"/>
    </row>
    <row r="21805" spans="16:16">
      <c r="P21805" s="2498"/>
    </row>
    <row r="21806" spans="16:16">
      <c r="P21806" s="2498"/>
    </row>
    <row r="21807" spans="16:16">
      <c r="P21807" s="2498"/>
    </row>
    <row r="21808" spans="16:16">
      <c r="P21808" s="2498"/>
    </row>
    <row r="21809" spans="16:16">
      <c r="P21809" s="2498"/>
    </row>
    <row r="21810" spans="16:16">
      <c r="P21810" s="2498"/>
    </row>
    <row r="21811" spans="16:16">
      <c r="P21811" s="2498"/>
    </row>
    <row r="21812" spans="16:16">
      <c r="P21812" s="2498"/>
    </row>
    <row r="21813" spans="16:16">
      <c r="P21813" s="2498"/>
    </row>
    <row r="21814" spans="16:16">
      <c r="P21814" s="2498"/>
    </row>
    <row r="21815" spans="16:16">
      <c r="P21815" s="2498"/>
    </row>
    <row r="21816" spans="16:16">
      <c r="P21816" s="2498"/>
    </row>
    <row r="21817" spans="16:16">
      <c r="P21817" s="2498"/>
    </row>
    <row r="21818" spans="16:16">
      <c r="P21818" s="2498"/>
    </row>
    <row r="21819" spans="16:16">
      <c r="P21819" s="2498"/>
    </row>
    <row r="21820" spans="16:16">
      <c r="P21820" s="2498"/>
    </row>
    <row r="21821" spans="16:16">
      <c r="P21821" s="2498"/>
    </row>
    <row r="21822" spans="16:16">
      <c r="P21822" s="2498"/>
    </row>
    <row r="21823" spans="16:16">
      <c r="P21823" s="2498"/>
    </row>
    <row r="21824" spans="16:16">
      <c r="P21824" s="2498"/>
    </row>
    <row r="21825" spans="16:16">
      <c r="P21825" s="2498"/>
    </row>
    <row r="21826" spans="16:16">
      <c r="P21826" s="2498"/>
    </row>
    <row r="21827" spans="16:16">
      <c r="P21827" s="2498"/>
    </row>
    <row r="21828" spans="16:16">
      <c r="P21828" s="2498"/>
    </row>
    <row r="21829" spans="16:16">
      <c r="P21829" s="2498"/>
    </row>
    <row r="21830" spans="16:16">
      <c r="P21830" s="2498"/>
    </row>
    <row r="21831" spans="16:16">
      <c r="P21831" s="2498"/>
    </row>
    <row r="21832" spans="16:16">
      <c r="P21832" s="2498"/>
    </row>
    <row r="21833" spans="16:16">
      <c r="P21833" s="2498"/>
    </row>
    <row r="21834" spans="16:16">
      <c r="P21834" s="2498"/>
    </row>
    <row r="21835" spans="16:16">
      <c r="P21835" s="2498"/>
    </row>
    <row r="21836" spans="16:16">
      <c r="P21836" s="2498"/>
    </row>
    <row r="21837" spans="16:16">
      <c r="P21837" s="2498"/>
    </row>
    <row r="21838" spans="16:16">
      <c r="P21838" s="2498"/>
    </row>
    <row r="21839" spans="16:16">
      <c r="P21839" s="2498"/>
    </row>
    <row r="21840" spans="16:16">
      <c r="P21840" s="2498"/>
    </row>
    <row r="21841" spans="16:16">
      <c r="P21841" s="2498"/>
    </row>
    <row r="21842" spans="16:16">
      <c r="P21842" s="2498"/>
    </row>
    <row r="21843" spans="16:16">
      <c r="P21843" s="2498"/>
    </row>
    <row r="21844" spans="16:16">
      <c r="P21844" s="2498"/>
    </row>
    <row r="21845" spans="16:16">
      <c r="P21845" s="2498"/>
    </row>
    <row r="21846" spans="16:16">
      <c r="P21846" s="2498"/>
    </row>
    <row r="21847" spans="16:16">
      <c r="P21847" s="2498"/>
    </row>
    <row r="21848" spans="16:16">
      <c r="P21848" s="2498"/>
    </row>
    <row r="21849" spans="16:16">
      <c r="P21849" s="2498"/>
    </row>
    <row r="21850" spans="16:16">
      <c r="P21850" s="2498"/>
    </row>
    <row r="21851" spans="16:16">
      <c r="P21851" s="2498"/>
    </row>
    <row r="21852" spans="16:16">
      <c r="P21852" s="2498"/>
    </row>
    <row r="21853" spans="16:16">
      <c r="P21853" s="2498"/>
    </row>
    <row r="21854" spans="16:16">
      <c r="P21854" s="2498"/>
    </row>
    <row r="21855" spans="16:16">
      <c r="P21855" s="2498"/>
    </row>
    <row r="21856" spans="16:16">
      <c r="P21856" s="2498"/>
    </row>
    <row r="21857" spans="16:16">
      <c r="P21857" s="2498"/>
    </row>
    <row r="21858" spans="16:16">
      <c r="P21858" s="2498"/>
    </row>
    <row r="21859" spans="16:16">
      <c r="P21859" s="2498"/>
    </row>
    <row r="21860" spans="16:16">
      <c r="P21860" s="2498"/>
    </row>
    <row r="21861" spans="16:16">
      <c r="P21861" s="2498"/>
    </row>
    <row r="21862" spans="16:16">
      <c r="P21862" s="2498"/>
    </row>
    <row r="21863" spans="16:16">
      <c r="P21863" s="2498"/>
    </row>
    <row r="21864" spans="16:16">
      <c r="P21864" s="2498"/>
    </row>
    <row r="21865" spans="16:16">
      <c r="P21865" s="2498"/>
    </row>
    <row r="21866" spans="16:16">
      <c r="P21866" s="2498"/>
    </row>
    <row r="21867" spans="16:16">
      <c r="P21867" s="2498"/>
    </row>
    <row r="21868" spans="16:16">
      <c r="P21868" s="2498"/>
    </row>
    <row r="21869" spans="16:16">
      <c r="P21869" s="2498"/>
    </row>
    <row r="21870" spans="16:16">
      <c r="P21870" s="2498"/>
    </row>
    <row r="21871" spans="16:16">
      <c r="P21871" s="2498"/>
    </row>
    <row r="21872" spans="16:16">
      <c r="P21872" s="2498"/>
    </row>
    <row r="21873" spans="16:16">
      <c r="P21873" s="2498"/>
    </row>
    <row r="21874" spans="16:16">
      <c r="P21874" s="2498"/>
    </row>
    <row r="21875" spans="16:16">
      <c r="P21875" s="2498"/>
    </row>
    <row r="21876" spans="16:16">
      <c r="P21876" s="2498"/>
    </row>
    <row r="21877" spans="16:16">
      <c r="P21877" s="2498"/>
    </row>
    <row r="21878" spans="16:16">
      <c r="P21878" s="2498"/>
    </row>
    <row r="21879" spans="16:16">
      <c r="P21879" s="2498"/>
    </row>
    <row r="21880" spans="16:16">
      <c r="P21880" s="2498"/>
    </row>
    <row r="21881" spans="16:16">
      <c r="P21881" s="2498"/>
    </row>
    <row r="21882" spans="16:16">
      <c r="P21882" s="2498"/>
    </row>
    <row r="21883" spans="16:16">
      <c r="P21883" s="2498"/>
    </row>
    <row r="21884" spans="16:16">
      <c r="P21884" s="2498"/>
    </row>
    <row r="21885" spans="16:16">
      <c r="P21885" s="2498"/>
    </row>
    <row r="21886" spans="16:16">
      <c r="P21886" s="2498"/>
    </row>
    <row r="21887" spans="16:16">
      <c r="P21887" s="2498"/>
    </row>
    <row r="21888" spans="16:16">
      <c r="P21888" s="2498"/>
    </row>
    <row r="21889" spans="16:16">
      <c r="P21889" s="2498"/>
    </row>
    <row r="21890" spans="16:16">
      <c r="P21890" s="2498"/>
    </row>
    <row r="21891" spans="16:16">
      <c r="P21891" s="2498"/>
    </row>
    <row r="21892" spans="16:16">
      <c r="P21892" s="2498"/>
    </row>
    <row r="21893" spans="16:16">
      <c r="P21893" s="2498"/>
    </row>
    <row r="21894" spans="16:16">
      <c r="P21894" s="2498"/>
    </row>
    <row r="21895" spans="16:16">
      <c r="P21895" s="2498"/>
    </row>
    <row r="21896" spans="16:16">
      <c r="P21896" s="2498"/>
    </row>
    <row r="21897" spans="16:16">
      <c r="P21897" s="2498"/>
    </row>
    <row r="21898" spans="16:16">
      <c r="P21898" s="2498"/>
    </row>
    <row r="21899" spans="16:16">
      <c r="P21899" s="2498"/>
    </row>
    <row r="21900" spans="16:16">
      <c r="P21900" s="2498"/>
    </row>
    <row r="21901" spans="16:16">
      <c r="P21901" s="2498"/>
    </row>
    <row r="21902" spans="16:16">
      <c r="P21902" s="2498"/>
    </row>
    <row r="21903" spans="16:16">
      <c r="P21903" s="2498"/>
    </row>
    <row r="21904" spans="16:16">
      <c r="P21904" s="2498"/>
    </row>
    <row r="21905" spans="16:16">
      <c r="P21905" s="2498"/>
    </row>
    <row r="21906" spans="16:16">
      <c r="P21906" s="2498"/>
    </row>
    <row r="21907" spans="16:16">
      <c r="P21907" s="2498"/>
    </row>
    <row r="21908" spans="16:16">
      <c r="P21908" s="2498"/>
    </row>
    <row r="21909" spans="16:16">
      <c r="P21909" s="2498"/>
    </row>
    <row r="21910" spans="16:16">
      <c r="P21910" s="2498"/>
    </row>
    <row r="21911" spans="16:16">
      <c r="P21911" s="2498"/>
    </row>
    <row r="21912" spans="16:16">
      <c r="P21912" s="2498"/>
    </row>
    <row r="21913" spans="16:16">
      <c r="P21913" s="2498"/>
    </row>
    <row r="21914" spans="16:16">
      <c r="P21914" s="2498"/>
    </row>
    <row r="21915" spans="16:16">
      <c r="P21915" s="2498"/>
    </row>
    <row r="21916" spans="16:16">
      <c r="P21916" s="2498"/>
    </row>
    <row r="21917" spans="16:16">
      <c r="P21917" s="2498"/>
    </row>
    <row r="21918" spans="16:16">
      <c r="P21918" s="2498"/>
    </row>
    <row r="21919" spans="16:16">
      <c r="P21919" s="2498"/>
    </row>
    <row r="21920" spans="16:16">
      <c r="P21920" s="2498"/>
    </row>
    <row r="21921" spans="16:16">
      <c r="P21921" s="2498"/>
    </row>
    <row r="21922" spans="16:16">
      <c r="P21922" s="2498"/>
    </row>
    <row r="21923" spans="16:16">
      <c r="P21923" s="2498"/>
    </row>
    <row r="21924" spans="16:16">
      <c r="P21924" s="2498"/>
    </row>
    <row r="21925" spans="16:16">
      <c r="P21925" s="2498"/>
    </row>
    <row r="21926" spans="16:16">
      <c r="P21926" s="2498"/>
    </row>
    <row r="21927" spans="16:16">
      <c r="P21927" s="2498"/>
    </row>
    <row r="21928" spans="16:16">
      <c r="P21928" s="2498"/>
    </row>
    <row r="21929" spans="16:16">
      <c r="P21929" s="2498"/>
    </row>
    <row r="21930" spans="16:16">
      <c r="P21930" s="2498"/>
    </row>
    <row r="21931" spans="16:16">
      <c r="P21931" s="2498"/>
    </row>
    <row r="21932" spans="16:16">
      <c r="P21932" s="2498"/>
    </row>
    <row r="21933" spans="16:16">
      <c r="P21933" s="2498"/>
    </row>
    <row r="21934" spans="16:16">
      <c r="P21934" s="2498"/>
    </row>
    <row r="21935" spans="16:16">
      <c r="P21935" s="2498"/>
    </row>
    <row r="21936" spans="16:16">
      <c r="P21936" s="2498"/>
    </row>
    <row r="21937" spans="16:16">
      <c r="P21937" s="2498"/>
    </row>
    <row r="21938" spans="16:16">
      <c r="P21938" s="2498"/>
    </row>
    <row r="21939" spans="16:16">
      <c r="P21939" s="2498"/>
    </row>
    <row r="21940" spans="16:16">
      <c r="P21940" s="2498"/>
    </row>
    <row r="21941" spans="16:16">
      <c r="P21941" s="2498"/>
    </row>
    <row r="21942" spans="16:16">
      <c r="P21942" s="2498"/>
    </row>
    <row r="21943" spans="16:16">
      <c r="P21943" s="2498"/>
    </row>
    <row r="21944" spans="16:16">
      <c r="P21944" s="2498"/>
    </row>
    <row r="21945" spans="16:16">
      <c r="P21945" s="2498"/>
    </row>
    <row r="21946" spans="16:16">
      <c r="P21946" s="2498"/>
    </row>
    <row r="21947" spans="16:16">
      <c r="P21947" s="2498"/>
    </row>
    <row r="21948" spans="16:16">
      <c r="P21948" s="2498"/>
    </row>
    <row r="21949" spans="16:16">
      <c r="P21949" s="2498"/>
    </row>
    <row r="21950" spans="16:16">
      <c r="P21950" s="2498"/>
    </row>
    <row r="21951" spans="16:16">
      <c r="P21951" s="2498"/>
    </row>
    <row r="21952" spans="16:16">
      <c r="P21952" s="2498"/>
    </row>
    <row r="21953" spans="16:16">
      <c r="P21953" s="2498"/>
    </row>
    <row r="21954" spans="16:16">
      <c r="P21954" s="2498"/>
    </row>
    <row r="21955" spans="16:16">
      <c r="P21955" s="2498"/>
    </row>
    <row r="21956" spans="16:16">
      <c r="P21956" s="2498"/>
    </row>
    <row r="21957" spans="16:16">
      <c r="P21957" s="2498"/>
    </row>
    <row r="21958" spans="16:16">
      <c r="P21958" s="2498"/>
    </row>
    <row r="21959" spans="16:16">
      <c r="P21959" s="2498"/>
    </row>
    <row r="21960" spans="16:16">
      <c r="P21960" s="2498"/>
    </row>
    <row r="21961" spans="16:16">
      <c r="P21961" s="2498"/>
    </row>
    <row r="21962" spans="16:16">
      <c r="P21962" s="2498"/>
    </row>
    <row r="21963" spans="16:16">
      <c r="P21963" s="2498"/>
    </row>
    <row r="21964" spans="16:16">
      <c r="P21964" s="2498"/>
    </row>
    <row r="21965" spans="16:16">
      <c r="P21965" s="2498"/>
    </row>
    <row r="21966" spans="16:16">
      <c r="P21966" s="2498"/>
    </row>
    <row r="21967" spans="16:16">
      <c r="P21967" s="2498"/>
    </row>
    <row r="21968" spans="16:16">
      <c r="P21968" s="2498"/>
    </row>
    <row r="21969" spans="16:16">
      <c r="P21969" s="2498"/>
    </row>
    <row r="21970" spans="16:16">
      <c r="P21970" s="2498"/>
    </row>
    <row r="21971" spans="16:16">
      <c r="P21971" s="2498"/>
    </row>
    <row r="21972" spans="16:16">
      <c r="P21972" s="2498"/>
    </row>
    <row r="21973" spans="16:16">
      <c r="P21973" s="2498"/>
    </row>
    <row r="21974" spans="16:16">
      <c r="P21974" s="2498"/>
    </row>
    <row r="21975" spans="16:16">
      <c r="P21975" s="2498"/>
    </row>
    <row r="21976" spans="16:16">
      <c r="P21976" s="2498"/>
    </row>
    <row r="21977" spans="16:16">
      <c r="P21977" s="2498"/>
    </row>
    <row r="21978" spans="16:16">
      <c r="P21978" s="2498"/>
    </row>
    <row r="21979" spans="16:16">
      <c r="P21979" s="2498"/>
    </row>
    <row r="21980" spans="16:16">
      <c r="P21980" s="2498"/>
    </row>
    <row r="21981" spans="16:16">
      <c r="P21981" s="2498"/>
    </row>
    <row r="21982" spans="16:16">
      <c r="P21982" s="2498"/>
    </row>
    <row r="21983" spans="16:16">
      <c r="P21983" s="2498"/>
    </row>
    <row r="21984" spans="16:16">
      <c r="P21984" s="2498"/>
    </row>
    <row r="21985" spans="16:16">
      <c r="P21985" s="2498"/>
    </row>
    <row r="21986" spans="16:16">
      <c r="P21986" s="2498"/>
    </row>
    <row r="21987" spans="16:16">
      <c r="P21987" s="2498"/>
    </row>
    <row r="21988" spans="16:16">
      <c r="P21988" s="2498"/>
    </row>
    <row r="21989" spans="16:16">
      <c r="P21989" s="2498"/>
    </row>
    <row r="21990" spans="16:16">
      <c r="P21990" s="2498"/>
    </row>
    <row r="21991" spans="16:16">
      <c r="P21991" s="2498"/>
    </row>
    <row r="21992" spans="16:16">
      <c r="P21992" s="2498"/>
    </row>
    <row r="21993" spans="16:16">
      <c r="P21993" s="2498"/>
    </row>
    <row r="21994" spans="16:16">
      <c r="P21994" s="2498"/>
    </row>
    <row r="21995" spans="16:16">
      <c r="P21995" s="2498"/>
    </row>
    <row r="21996" spans="16:16">
      <c r="P21996" s="2498"/>
    </row>
    <row r="21997" spans="16:16">
      <c r="P21997" s="2498"/>
    </row>
    <row r="21998" spans="16:16">
      <c r="P21998" s="2498"/>
    </row>
    <row r="21999" spans="16:16">
      <c r="P21999" s="2498"/>
    </row>
    <row r="22000" spans="16:16">
      <c r="P22000" s="2498"/>
    </row>
    <row r="22001" spans="16:16">
      <c r="P22001" s="2498"/>
    </row>
    <row r="22002" spans="16:16">
      <c r="P22002" s="2498"/>
    </row>
    <row r="22003" spans="16:16">
      <c r="P22003" s="2498"/>
    </row>
    <row r="22004" spans="16:16">
      <c r="P22004" s="2498"/>
    </row>
    <row r="22005" spans="16:16">
      <c r="P22005" s="2498"/>
    </row>
    <row r="22006" spans="16:16">
      <c r="P22006" s="2498"/>
    </row>
    <row r="22007" spans="16:16">
      <c r="P22007" s="2498"/>
    </row>
    <row r="22008" spans="16:16">
      <c r="P22008" s="2498"/>
    </row>
    <row r="22009" spans="16:16">
      <c r="P22009" s="2498"/>
    </row>
    <row r="22010" spans="16:16">
      <c r="P22010" s="2498"/>
    </row>
    <row r="22011" spans="16:16">
      <c r="P22011" s="2498"/>
    </row>
    <row r="22012" spans="16:16">
      <c r="P22012" s="2498"/>
    </row>
    <row r="22013" spans="16:16">
      <c r="P22013" s="2498"/>
    </row>
    <row r="22014" spans="16:16">
      <c r="P22014" s="2498"/>
    </row>
    <row r="22015" spans="16:16">
      <c r="P22015" s="2498"/>
    </row>
    <row r="22016" spans="16:16">
      <c r="P22016" s="2498"/>
    </row>
    <row r="22017" spans="16:16">
      <c r="P22017" s="2498"/>
    </row>
    <row r="22018" spans="16:16">
      <c r="P22018" s="2498"/>
    </row>
    <row r="22019" spans="16:16">
      <c r="P22019" s="2498"/>
    </row>
    <row r="22020" spans="16:16">
      <c r="P22020" s="2498"/>
    </row>
    <row r="22021" spans="16:16">
      <c r="P22021" s="2498"/>
    </row>
    <row r="22022" spans="16:16">
      <c r="P22022" s="2498"/>
    </row>
    <row r="22023" spans="16:16">
      <c r="P22023" s="2498"/>
    </row>
    <row r="22024" spans="16:16">
      <c r="P22024" s="2498"/>
    </row>
    <row r="22025" spans="16:16">
      <c r="P22025" s="2498"/>
    </row>
    <row r="22026" spans="16:16">
      <c r="P22026" s="2498"/>
    </row>
    <row r="22027" spans="16:16">
      <c r="P22027" s="2498"/>
    </row>
    <row r="22028" spans="16:16">
      <c r="P22028" s="2498"/>
    </row>
    <row r="22029" spans="16:16">
      <c r="P22029" s="2498"/>
    </row>
    <row r="22030" spans="16:16">
      <c r="P22030" s="2498"/>
    </row>
    <row r="22031" spans="16:16">
      <c r="P22031" s="2498"/>
    </row>
    <row r="22032" spans="16:16">
      <c r="P22032" s="2498"/>
    </row>
    <row r="22033" spans="16:16">
      <c r="P22033" s="2498"/>
    </row>
    <row r="22034" spans="16:16">
      <c r="P22034" s="2498"/>
    </row>
    <row r="22035" spans="16:16">
      <c r="P22035" s="2498"/>
    </row>
    <row r="22036" spans="16:16">
      <c r="P22036" s="2498"/>
    </row>
    <row r="22037" spans="16:16">
      <c r="P22037" s="2498"/>
    </row>
    <row r="22038" spans="16:16">
      <c r="P22038" s="2498"/>
    </row>
    <row r="22039" spans="16:16">
      <c r="P22039" s="2498"/>
    </row>
    <row r="22040" spans="16:16">
      <c r="P22040" s="2498"/>
    </row>
    <row r="22041" spans="16:16">
      <c r="P22041" s="2498"/>
    </row>
    <row r="22042" spans="16:16">
      <c r="P22042" s="2498"/>
    </row>
    <row r="22043" spans="16:16">
      <c r="P22043" s="2498"/>
    </row>
    <row r="22044" spans="16:16">
      <c r="P22044" s="2498"/>
    </row>
    <row r="22045" spans="16:16">
      <c r="P22045" s="2498"/>
    </row>
    <row r="22046" spans="16:16">
      <c r="P22046" s="2498"/>
    </row>
    <row r="22047" spans="16:16">
      <c r="P22047" s="2498"/>
    </row>
    <row r="22048" spans="16:16">
      <c r="P22048" s="2498"/>
    </row>
    <row r="22049" spans="16:16">
      <c r="P22049" s="2498"/>
    </row>
    <row r="22050" spans="16:16">
      <c r="P22050" s="2498"/>
    </row>
    <row r="22051" spans="16:16">
      <c r="P22051" s="2498"/>
    </row>
    <row r="22052" spans="16:16">
      <c r="P22052" s="2498"/>
    </row>
    <row r="22053" spans="16:16">
      <c r="P22053" s="2498"/>
    </row>
    <row r="22054" spans="16:16">
      <c r="P22054" s="2498"/>
    </row>
    <row r="22055" spans="16:16">
      <c r="P22055" s="2498"/>
    </row>
    <row r="22056" spans="16:16">
      <c r="P22056" s="2498"/>
    </row>
    <row r="22057" spans="16:16">
      <c r="P22057" s="2498"/>
    </row>
    <row r="22058" spans="16:16">
      <c r="P22058" s="2498"/>
    </row>
    <row r="22059" spans="16:16">
      <c r="P22059" s="2498"/>
    </row>
    <row r="22060" spans="16:16">
      <c r="P22060" s="2498"/>
    </row>
    <row r="22061" spans="16:16">
      <c r="P22061" s="2498"/>
    </row>
    <row r="22062" spans="16:16">
      <c r="P22062" s="2498"/>
    </row>
    <row r="22063" spans="16:16">
      <c r="P22063" s="2498"/>
    </row>
    <row r="22064" spans="16:16">
      <c r="P22064" s="2498"/>
    </row>
    <row r="22065" spans="16:16">
      <c r="P22065" s="2498"/>
    </row>
    <row r="22066" spans="16:16">
      <c r="P22066" s="2498"/>
    </row>
    <row r="22067" spans="16:16">
      <c r="P22067" s="2498"/>
    </row>
    <row r="22068" spans="16:16">
      <c r="P22068" s="2498"/>
    </row>
    <row r="22069" spans="16:16">
      <c r="P22069" s="2498"/>
    </row>
    <row r="22070" spans="16:16">
      <c r="P22070" s="2498"/>
    </row>
    <row r="22071" spans="16:16">
      <c r="P22071" s="2498"/>
    </row>
    <row r="22072" spans="16:16">
      <c r="P22072" s="2498"/>
    </row>
    <row r="22073" spans="16:16">
      <c r="P22073" s="2498"/>
    </row>
    <row r="22074" spans="16:16">
      <c r="P22074" s="2498"/>
    </row>
    <row r="22075" spans="16:16">
      <c r="P22075" s="2498"/>
    </row>
    <row r="22076" spans="16:16">
      <c r="P22076" s="2498"/>
    </row>
    <row r="22077" spans="16:16">
      <c r="P22077" s="2498"/>
    </row>
    <row r="22078" spans="16:16">
      <c r="P22078" s="2498"/>
    </row>
    <row r="22079" spans="16:16">
      <c r="P22079" s="2498"/>
    </row>
    <row r="22080" spans="16:16">
      <c r="P22080" s="2498"/>
    </row>
    <row r="22081" spans="16:16">
      <c r="P22081" s="2498"/>
    </row>
    <row r="22082" spans="16:16">
      <c r="P22082" s="2498"/>
    </row>
    <row r="22083" spans="16:16">
      <c r="P22083" s="2498"/>
    </row>
    <row r="22084" spans="16:16">
      <c r="P22084" s="2498"/>
    </row>
    <row r="22085" spans="16:16">
      <c r="P22085" s="2498"/>
    </row>
    <row r="22086" spans="16:16">
      <c r="P22086" s="2498"/>
    </row>
    <row r="22087" spans="16:16">
      <c r="P22087" s="2498"/>
    </row>
    <row r="22088" spans="16:16">
      <c r="P22088" s="2498"/>
    </row>
    <row r="22089" spans="16:16">
      <c r="P22089" s="2498"/>
    </row>
    <row r="22090" spans="16:16">
      <c r="P22090" s="2498"/>
    </row>
    <row r="22091" spans="16:16">
      <c r="P22091" s="2498"/>
    </row>
    <row r="22092" spans="16:16">
      <c r="P22092" s="2498"/>
    </row>
    <row r="22093" spans="16:16">
      <c r="P22093" s="2498"/>
    </row>
    <row r="22094" spans="16:16">
      <c r="P22094" s="2498"/>
    </row>
    <row r="22095" spans="16:16">
      <c r="P22095" s="2498"/>
    </row>
    <row r="22096" spans="16:16">
      <c r="P22096" s="2498"/>
    </row>
    <row r="22097" spans="16:16">
      <c r="P22097" s="2498"/>
    </row>
    <row r="22098" spans="16:16">
      <c r="P22098" s="2498"/>
    </row>
    <row r="22099" spans="16:16">
      <c r="P22099" s="2498"/>
    </row>
    <row r="22100" spans="16:16">
      <c r="P22100" s="2498"/>
    </row>
    <row r="22101" spans="16:16">
      <c r="P22101" s="2498"/>
    </row>
    <row r="22102" spans="16:16">
      <c r="P22102" s="2498"/>
    </row>
    <row r="22103" spans="16:16">
      <c r="P22103" s="2498"/>
    </row>
    <row r="22104" spans="16:16">
      <c r="P22104" s="2498"/>
    </row>
    <row r="22105" spans="16:16">
      <c r="P22105" s="2498"/>
    </row>
    <row r="22106" spans="16:16">
      <c r="P22106" s="2498"/>
    </row>
    <row r="22107" spans="16:16">
      <c r="P22107" s="2498"/>
    </row>
    <row r="22108" spans="16:16">
      <c r="P22108" s="2498"/>
    </row>
    <row r="22109" spans="16:16">
      <c r="P22109" s="2498"/>
    </row>
    <row r="22110" spans="16:16">
      <c r="P22110" s="2498"/>
    </row>
    <row r="22111" spans="16:16">
      <c r="P22111" s="2498"/>
    </row>
    <row r="22112" spans="16:16">
      <c r="P22112" s="2498"/>
    </row>
    <row r="22113" spans="16:16">
      <c r="P22113" s="2498"/>
    </row>
    <row r="22114" spans="16:16">
      <c r="P22114" s="2498"/>
    </row>
    <row r="22115" spans="16:16">
      <c r="P22115" s="2498"/>
    </row>
    <row r="22116" spans="16:16">
      <c r="P22116" s="2498"/>
    </row>
    <row r="22117" spans="16:16">
      <c r="P22117" s="2498"/>
    </row>
    <row r="22118" spans="16:16">
      <c r="P22118" s="2498"/>
    </row>
    <row r="22119" spans="16:16">
      <c r="P22119" s="2498"/>
    </row>
    <row r="22120" spans="16:16">
      <c r="P22120" s="2498"/>
    </row>
    <row r="22121" spans="16:16">
      <c r="P22121" s="2498"/>
    </row>
    <row r="22122" spans="16:16">
      <c r="P22122" s="2498"/>
    </row>
    <row r="22123" spans="16:16">
      <c r="P22123" s="2498"/>
    </row>
    <row r="22124" spans="16:16">
      <c r="P22124" s="2498"/>
    </row>
    <row r="22125" spans="16:16">
      <c r="P22125" s="2498"/>
    </row>
    <row r="22126" spans="16:16">
      <c r="P22126" s="2498"/>
    </row>
    <row r="22127" spans="16:16">
      <c r="P22127" s="2498"/>
    </row>
    <row r="22128" spans="16:16">
      <c r="P22128" s="2498"/>
    </row>
    <row r="22129" spans="16:16">
      <c r="P22129" s="2498"/>
    </row>
    <row r="22130" spans="16:16">
      <c r="P22130" s="2498"/>
    </row>
    <row r="22131" spans="16:16">
      <c r="P22131" s="2498"/>
    </row>
    <row r="22132" spans="16:16">
      <c r="P22132" s="2498"/>
    </row>
    <row r="22133" spans="16:16">
      <c r="P22133" s="2498"/>
    </row>
    <row r="22134" spans="16:16">
      <c r="P22134" s="2498"/>
    </row>
    <row r="22135" spans="16:16">
      <c r="P22135" s="2498"/>
    </row>
    <row r="22136" spans="16:16">
      <c r="P22136" s="2498"/>
    </row>
    <row r="22137" spans="16:16">
      <c r="P22137" s="2498"/>
    </row>
    <row r="22138" spans="16:16">
      <c r="P22138" s="2498"/>
    </row>
    <row r="22139" spans="16:16">
      <c r="P22139" s="2498"/>
    </row>
    <row r="22140" spans="16:16">
      <c r="P22140" s="2498"/>
    </row>
    <row r="22141" spans="16:16">
      <c r="P22141" s="2498"/>
    </row>
    <row r="22142" spans="16:16">
      <c r="P22142" s="2498"/>
    </row>
    <row r="22143" spans="16:16">
      <c r="P22143" s="2498"/>
    </row>
    <row r="22144" spans="16:16">
      <c r="P22144" s="2498"/>
    </row>
    <row r="22145" spans="16:16">
      <c r="P22145" s="2498"/>
    </row>
    <row r="22146" spans="16:16">
      <c r="P22146" s="2498"/>
    </row>
    <row r="22147" spans="16:16">
      <c r="P22147" s="2498"/>
    </row>
    <row r="22148" spans="16:16">
      <c r="P22148" s="2498"/>
    </row>
    <row r="22149" spans="16:16">
      <c r="P22149" s="2498"/>
    </row>
    <row r="22150" spans="16:16">
      <c r="P22150" s="2498"/>
    </row>
    <row r="22151" spans="16:16">
      <c r="P22151" s="2498"/>
    </row>
    <row r="22152" spans="16:16">
      <c r="P22152" s="2498"/>
    </row>
    <row r="22153" spans="16:16">
      <c r="P22153" s="2498"/>
    </row>
    <row r="22154" spans="16:16">
      <c r="P22154" s="2498"/>
    </row>
    <row r="22155" spans="16:16">
      <c r="P22155" s="2498"/>
    </row>
    <row r="22156" spans="16:16">
      <c r="P22156" s="2498"/>
    </row>
    <row r="22157" spans="16:16">
      <c r="P22157" s="2498"/>
    </row>
    <row r="22158" spans="16:16">
      <c r="P22158" s="2498"/>
    </row>
    <row r="22159" spans="16:16">
      <c r="P22159" s="2498"/>
    </row>
    <row r="22160" spans="16:16">
      <c r="P22160" s="2498"/>
    </row>
    <row r="22161" spans="16:16">
      <c r="P22161" s="2498"/>
    </row>
    <row r="22162" spans="16:16">
      <c r="P22162" s="2498"/>
    </row>
    <row r="22163" spans="16:16">
      <c r="P22163" s="2498"/>
    </row>
    <row r="22164" spans="16:16">
      <c r="P22164" s="2498"/>
    </row>
    <row r="22165" spans="16:16">
      <c r="P22165" s="2498"/>
    </row>
    <row r="22166" spans="16:16">
      <c r="P22166" s="2498"/>
    </row>
    <row r="22167" spans="16:16">
      <c r="P22167" s="2498"/>
    </row>
    <row r="22168" spans="16:16">
      <c r="P22168" s="2498"/>
    </row>
    <row r="22169" spans="16:16">
      <c r="P22169" s="2498"/>
    </row>
    <row r="22170" spans="16:16">
      <c r="P22170" s="2498"/>
    </row>
    <row r="22171" spans="16:16">
      <c r="P22171" s="2498"/>
    </row>
    <row r="22172" spans="16:16">
      <c r="P22172" s="2498"/>
    </row>
    <row r="22173" spans="16:16">
      <c r="P22173" s="2498"/>
    </row>
    <row r="22174" spans="16:16">
      <c r="P22174" s="2498"/>
    </row>
    <row r="22175" spans="16:16">
      <c r="P22175" s="2498"/>
    </row>
    <row r="22176" spans="16:16">
      <c r="P22176" s="2498"/>
    </row>
    <row r="22177" spans="16:16">
      <c r="P22177" s="2498"/>
    </row>
    <row r="22178" spans="16:16">
      <c r="P22178" s="2498"/>
    </row>
    <row r="22179" spans="16:16">
      <c r="P22179" s="2498"/>
    </row>
    <row r="22180" spans="16:16">
      <c r="P22180" s="2498"/>
    </row>
    <row r="22181" spans="16:16">
      <c r="P22181" s="2498"/>
    </row>
    <row r="22182" spans="16:16">
      <c r="P22182" s="2498"/>
    </row>
    <row r="22183" spans="16:16">
      <c r="P22183" s="2498"/>
    </row>
    <row r="22184" spans="16:16">
      <c r="P22184" s="2498"/>
    </row>
    <row r="22185" spans="16:16">
      <c r="P22185" s="2498"/>
    </row>
    <row r="22186" spans="16:16">
      <c r="P22186" s="2498"/>
    </row>
    <row r="22187" spans="16:16">
      <c r="P22187" s="2498"/>
    </row>
    <row r="22188" spans="16:16">
      <c r="P22188" s="2498"/>
    </row>
    <row r="22189" spans="16:16">
      <c r="P22189" s="2498"/>
    </row>
    <row r="22190" spans="16:16">
      <c r="P22190" s="2498"/>
    </row>
    <row r="22191" spans="16:16">
      <c r="P22191" s="2498"/>
    </row>
    <row r="22192" spans="16:16">
      <c r="P22192" s="2498"/>
    </row>
    <row r="22193" spans="16:16">
      <c r="P22193" s="2498"/>
    </row>
    <row r="22194" spans="16:16">
      <c r="P22194" s="2498"/>
    </row>
    <row r="22195" spans="16:16">
      <c r="P22195" s="2498"/>
    </row>
    <row r="22196" spans="16:16">
      <c r="P22196" s="2498"/>
    </row>
    <row r="22197" spans="16:16">
      <c r="P22197" s="2498"/>
    </row>
    <row r="22198" spans="16:16">
      <c r="P22198" s="2498"/>
    </row>
    <row r="22199" spans="16:16">
      <c r="P22199" s="2498"/>
    </row>
    <row r="22200" spans="16:16">
      <c r="P22200" s="2498"/>
    </row>
    <row r="22201" spans="16:16">
      <c r="P22201" s="2498"/>
    </row>
    <row r="22202" spans="16:16">
      <c r="P22202" s="2498"/>
    </row>
    <row r="22203" spans="16:16">
      <c r="P22203" s="2498"/>
    </row>
    <row r="22204" spans="16:16">
      <c r="P22204" s="2498"/>
    </row>
    <row r="22205" spans="16:16">
      <c r="P22205" s="2498"/>
    </row>
    <row r="22206" spans="16:16">
      <c r="P22206" s="2498"/>
    </row>
    <row r="22207" spans="16:16">
      <c r="P22207" s="2498"/>
    </row>
    <row r="22208" spans="16:16">
      <c r="P22208" s="2498"/>
    </row>
    <row r="22209" spans="16:16">
      <c r="P22209" s="2498"/>
    </row>
    <row r="22210" spans="16:16">
      <c r="P22210" s="2498"/>
    </row>
    <row r="22211" spans="16:16">
      <c r="P22211" s="2498"/>
    </row>
    <row r="22212" spans="16:16">
      <c r="P22212" s="2498"/>
    </row>
    <row r="22213" spans="16:16">
      <c r="P22213" s="2498"/>
    </row>
    <row r="22214" spans="16:16">
      <c r="P22214" s="2498"/>
    </row>
    <row r="22215" spans="16:16">
      <c r="P22215" s="2498"/>
    </row>
    <row r="22216" spans="16:16">
      <c r="P22216" s="2498"/>
    </row>
    <row r="22217" spans="16:16">
      <c r="P22217" s="2498"/>
    </row>
    <row r="22218" spans="16:16">
      <c r="P22218" s="2498"/>
    </row>
    <row r="22219" spans="16:16">
      <c r="P22219" s="2498"/>
    </row>
    <row r="22220" spans="16:16">
      <c r="P22220" s="2498"/>
    </row>
    <row r="22221" spans="16:16">
      <c r="P22221" s="2498"/>
    </row>
    <row r="22222" spans="16:16">
      <c r="P22222" s="2498"/>
    </row>
    <row r="22223" spans="16:16">
      <c r="P22223" s="2498"/>
    </row>
    <row r="22224" spans="16:16">
      <c r="P22224" s="2498"/>
    </row>
    <row r="22225" spans="16:16">
      <c r="P22225" s="2498"/>
    </row>
    <row r="22226" spans="16:16">
      <c r="P22226" s="2498"/>
    </row>
    <row r="22227" spans="16:16">
      <c r="P22227" s="2498"/>
    </row>
    <row r="22228" spans="16:16">
      <c r="P22228" s="2498"/>
    </row>
    <row r="22229" spans="16:16">
      <c r="P22229" s="2498"/>
    </row>
    <row r="22230" spans="16:16">
      <c r="P22230" s="2498"/>
    </row>
    <row r="22231" spans="16:16">
      <c r="P22231" s="2498"/>
    </row>
    <row r="22232" spans="16:16">
      <c r="P22232" s="2498"/>
    </row>
    <row r="22233" spans="16:16">
      <c r="P22233" s="2498"/>
    </row>
    <row r="22234" spans="16:16">
      <c r="P22234" s="2498"/>
    </row>
    <row r="22235" spans="16:16">
      <c r="P22235" s="2498"/>
    </row>
    <row r="22236" spans="16:16">
      <c r="P22236" s="2498"/>
    </row>
    <row r="22237" spans="16:16">
      <c r="P22237" s="2498"/>
    </row>
    <row r="22238" spans="16:16">
      <c r="P22238" s="2498"/>
    </row>
    <row r="22239" spans="16:16">
      <c r="P22239" s="2498"/>
    </row>
    <row r="22240" spans="16:16">
      <c r="P22240" s="2498"/>
    </row>
    <row r="22241" spans="16:16">
      <c r="P22241" s="2498"/>
    </row>
    <row r="22242" spans="16:16">
      <c r="P22242" s="2498"/>
    </row>
    <row r="22243" spans="16:16">
      <c r="P22243" s="2498"/>
    </row>
    <row r="22244" spans="16:16">
      <c r="P22244" s="2498"/>
    </row>
    <row r="22245" spans="16:16">
      <c r="P22245" s="2498"/>
    </row>
    <row r="22246" spans="16:16">
      <c r="P22246" s="2498"/>
    </row>
    <row r="22247" spans="16:16">
      <c r="P22247" s="2498"/>
    </row>
    <row r="22248" spans="16:16">
      <c r="P22248" s="2498"/>
    </row>
    <row r="22249" spans="16:16">
      <c r="P22249" s="2498"/>
    </row>
    <row r="22250" spans="16:16">
      <c r="P22250" s="2498"/>
    </row>
    <row r="22251" spans="16:16">
      <c r="P22251" s="2498"/>
    </row>
    <row r="22252" spans="16:16">
      <c r="P22252" s="2498"/>
    </row>
    <row r="22253" spans="16:16">
      <c r="P22253" s="2498"/>
    </row>
    <row r="22254" spans="16:16">
      <c r="P22254" s="2498"/>
    </row>
    <row r="22255" spans="16:16">
      <c r="P22255" s="2498"/>
    </row>
    <row r="22256" spans="16:16">
      <c r="P22256" s="2498"/>
    </row>
    <row r="22257" spans="16:16">
      <c r="P22257" s="2498"/>
    </row>
    <row r="22258" spans="16:16">
      <c r="P22258" s="2498"/>
    </row>
    <row r="22259" spans="16:16">
      <c r="P22259" s="2498"/>
    </row>
    <row r="22260" spans="16:16">
      <c r="P22260" s="2498"/>
    </row>
    <row r="22261" spans="16:16">
      <c r="P22261" s="2498"/>
    </row>
    <row r="22262" spans="16:16">
      <c r="P22262" s="2498"/>
    </row>
    <row r="22263" spans="16:16">
      <c r="P22263" s="2498"/>
    </row>
    <row r="22264" spans="16:16">
      <c r="P22264" s="2498"/>
    </row>
    <row r="22265" spans="16:16">
      <c r="P22265" s="2498"/>
    </row>
    <row r="22266" spans="16:16">
      <c r="P22266" s="2498"/>
    </row>
    <row r="22267" spans="16:16">
      <c r="P22267" s="2498"/>
    </row>
    <row r="22268" spans="16:16">
      <c r="P22268" s="2498"/>
    </row>
    <row r="22269" spans="16:16">
      <c r="P22269" s="2498"/>
    </row>
    <row r="22270" spans="16:16">
      <c r="P22270" s="2498"/>
    </row>
    <row r="22271" spans="16:16">
      <c r="P22271" s="2498"/>
    </row>
    <row r="22272" spans="16:16">
      <c r="P22272" s="2498"/>
    </row>
    <row r="22273" spans="16:16">
      <c r="P22273" s="2498"/>
    </row>
    <row r="22274" spans="16:16">
      <c r="P22274" s="2498"/>
    </row>
    <row r="22275" spans="16:16">
      <c r="P22275" s="2498"/>
    </row>
    <row r="22276" spans="16:16">
      <c r="P22276" s="2498"/>
    </row>
    <row r="22277" spans="16:16">
      <c r="P22277" s="2498"/>
    </row>
    <row r="22278" spans="16:16">
      <c r="P22278" s="2498"/>
    </row>
    <row r="22279" spans="16:16">
      <c r="P22279" s="2498"/>
    </row>
    <row r="22280" spans="16:16">
      <c r="P22280" s="2498"/>
    </row>
    <row r="22281" spans="16:16">
      <c r="P22281" s="2498"/>
    </row>
    <row r="22282" spans="16:16">
      <c r="P22282" s="2498"/>
    </row>
    <row r="22283" spans="16:16">
      <c r="P22283" s="2498"/>
    </row>
    <row r="22284" spans="16:16">
      <c r="P22284" s="2498"/>
    </row>
    <row r="22285" spans="16:16">
      <c r="P22285" s="2498"/>
    </row>
    <row r="22286" spans="16:16">
      <c r="P22286" s="2498"/>
    </row>
    <row r="22287" spans="16:16">
      <c r="P22287" s="2498"/>
    </row>
    <row r="22288" spans="16:16">
      <c r="P22288" s="2498"/>
    </row>
    <row r="22289" spans="16:16">
      <c r="P22289" s="2498"/>
    </row>
    <row r="22290" spans="16:16">
      <c r="P22290" s="2498"/>
    </row>
    <row r="22291" spans="16:16">
      <c r="P22291" s="2498"/>
    </row>
    <row r="22292" spans="16:16">
      <c r="P22292" s="2498"/>
    </row>
    <row r="22293" spans="16:16">
      <c r="P22293" s="2498"/>
    </row>
    <row r="22294" spans="16:16">
      <c r="P22294" s="2498"/>
    </row>
    <row r="22295" spans="16:16">
      <c r="P22295" s="2498"/>
    </row>
    <row r="22296" spans="16:16">
      <c r="P22296" s="2498"/>
    </row>
    <row r="22297" spans="16:16">
      <c r="P22297" s="2498"/>
    </row>
    <row r="22298" spans="16:16">
      <c r="P22298" s="2498"/>
    </row>
    <row r="22299" spans="16:16">
      <c r="P22299" s="2498"/>
    </row>
    <row r="22300" spans="16:16">
      <c r="P22300" s="2498"/>
    </row>
    <row r="22301" spans="16:16">
      <c r="P22301" s="2498"/>
    </row>
    <row r="22302" spans="16:16">
      <c r="P22302" s="2498"/>
    </row>
    <row r="22303" spans="16:16">
      <c r="P22303" s="2498"/>
    </row>
    <row r="22304" spans="16:16">
      <c r="P22304" s="2498"/>
    </row>
    <row r="22305" spans="16:16">
      <c r="P22305" s="2498"/>
    </row>
    <row r="22306" spans="16:16">
      <c r="P22306" s="2498"/>
    </row>
    <row r="22307" spans="16:16">
      <c r="P22307" s="2498"/>
    </row>
    <row r="22308" spans="16:16">
      <c r="P22308" s="2498"/>
    </row>
    <row r="22309" spans="16:16">
      <c r="P22309" s="2498"/>
    </row>
    <row r="22310" spans="16:16">
      <c r="P22310" s="2498"/>
    </row>
    <row r="22311" spans="16:16">
      <c r="P22311" s="2498"/>
    </row>
    <row r="22312" spans="16:16">
      <c r="P22312" s="2498"/>
    </row>
    <row r="22313" spans="16:16">
      <c r="P22313" s="2498"/>
    </row>
    <row r="22314" spans="16:16">
      <c r="P22314" s="2498"/>
    </row>
    <row r="22315" spans="16:16">
      <c r="P22315" s="2498"/>
    </row>
    <row r="22316" spans="16:16">
      <c r="P22316" s="2498"/>
    </row>
    <row r="22317" spans="16:16">
      <c r="P22317" s="2498"/>
    </row>
    <row r="22318" spans="16:16">
      <c r="P22318" s="2498"/>
    </row>
    <row r="22319" spans="16:16">
      <c r="P22319" s="2498"/>
    </row>
    <row r="22320" spans="16:16">
      <c r="P22320" s="2498"/>
    </row>
    <row r="22321" spans="16:16">
      <c r="P22321" s="2498"/>
    </row>
    <row r="22322" spans="16:16">
      <c r="P22322" s="2498"/>
    </row>
    <row r="22323" spans="16:16">
      <c r="P22323" s="2498"/>
    </row>
    <row r="22324" spans="16:16">
      <c r="P22324" s="2498"/>
    </row>
    <row r="22325" spans="16:16">
      <c r="P22325" s="2498"/>
    </row>
    <row r="22326" spans="16:16">
      <c r="P22326" s="2498"/>
    </row>
    <row r="22327" spans="16:16">
      <c r="P22327" s="2498"/>
    </row>
    <row r="22328" spans="16:16">
      <c r="P22328" s="2498"/>
    </row>
    <row r="22329" spans="16:16">
      <c r="P22329" s="2498"/>
    </row>
    <row r="22330" spans="16:16">
      <c r="P22330" s="2498"/>
    </row>
    <row r="22331" spans="16:16">
      <c r="P22331" s="2498"/>
    </row>
    <row r="22332" spans="16:16">
      <c r="P22332" s="2498"/>
    </row>
    <row r="22333" spans="16:16">
      <c r="P22333" s="2498"/>
    </row>
    <row r="22334" spans="16:16">
      <c r="P22334" s="2498"/>
    </row>
    <row r="22335" spans="16:16">
      <c r="P22335" s="2498"/>
    </row>
    <row r="22336" spans="16:16">
      <c r="P22336" s="2498"/>
    </row>
    <row r="22337" spans="16:16">
      <c r="P22337" s="2498"/>
    </row>
    <row r="22338" spans="16:16">
      <c r="P22338" s="2498"/>
    </row>
    <row r="22339" spans="16:16">
      <c r="P22339" s="2498"/>
    </row>
    <row r="22340" spans="16:16">
      <c r="P22340" s="2498"/>
    </row>
    <row r="22341" spans="16:16">
      <c r="P22341" s="2498"/>
    </row>
    <row r="22342" spans="16:16">
      <c r="P22342" s="2498"/>
    </row>
    <row r="22343" spans="16:16">
      <c r="P22343" s="2498"/>
    </row>
    <row r="22344" spans="16:16">
      <c r="P22344" s="2498"/>
    </row>
    <row r="22345" spans="16:16">
      <c r="P22345" s="2498"/>
    </row>
    <row r="22346" spans="16:16">
      <c r="P22346" s="2498"/>
    </row>
    <row r="22347" spans="16:16">
      <c r="P22347" s="2498"/>
    </row>
    <row r="22348" spans="16:16">
      <c r="P22348" s="2498"/>
    </row>
    <row r="22349" spans="16:16">
      <c r="P22349" s="2498"/>
    </row>
    <row r="22350" spans="16:16">
      <c r="P22350" s="2498"/>
    </row>
    <row r="22351" spans="16:16">
      <c r="P22351" s="2498"/>
    </row>
    <row r="22352" spans="16:16">
      <c r="P22352" s="2498"/>
    </row>
    <row r="22353" spans="16:16">
      <c r="P22353" s="2498"/>
    </row>
    <row r="22354" spans="16:16">
      <c r="P22354" s="2498"/>
    </row>
    <row r="22355" spans="16:16">
      <c r="P22355" s="2498"/>
    </row>
    <row r="22356" spans="16:16">
      <c r="P22356" s="2498"/>
    </row>
    <row r="22357" spans="16:16">
      <c r="P22357" s="2498"/>
    </row>
    <row r="22358" spans="16:16">
      <c r="P22358" s="2498"/>
    </row>
    <row r="22359" spans="16:16">
      <c r="P22359" s="2498"/>
    </row>
    <row r="22360" spans="16:16">
      <c r="P22360" s="2498"/>
    </row>
    <row r="22361" spans="16:16">
      <c r="P22361" s="2498"/>
    </row>
    <row r="22362" spans="16:16">
      <c r="P22362" s="2498"/>
    </row>
    <row r="22363" spans="16:16">
      <c r="P22363" s="2498"/>
    </row>
    <row r="22364" spans="16:16">
      <c r="P22364" s="2498"/>
    </row>
    <row r="22365" spans="16:16">
      <c r="P22365" s="2498"/>
    </row>
    <row r="22366" spans="16:16">
      <c r="P22366" s="2498"/>
    </row>
    <row r="22367" spans="16:16">
      <c r="P22367" s="2498"/>
    </row>
    <row r="22368" spans="16:16">
      <c r="P22368" s="2498"/>
    </row>
    <row r="22369" spans="16:16">
      <c r="P22369" s="2498"/>
    </row>
    <row r="22370" spans="16:16">
      <c r="P22370" s="2498"/>
    </row>
    <row r="22371" spans="16:16">
      <c r="P22371" s="2498"/>
    </row>
    <row r="22372" spans="16:16">
      <c r="P22372" s="2498"/>
    </row>
    <row r="22373" spans="16:16">
      <c r="P22373" s="2498"/>
    </row>
    <row r="22374" spans="16:16">
      <c r="P22374" s="2498"/>
    </row>
    <row r="22375" spans="16:16">
      <c r="P22375" s="2498"/>
    </row>
    <row r="22376" spans="16:16">
      <c r="P22376" s="2498"/>
    </row>
    <row r="22377" spans="16:16">
      <c r="P22377" s="2498"/>
    </row>
    <row r="22378" spans="16:16">
      <c r="P22378" s="2498"/>
    </row>
    <row r="22379" spans="16:16">
      <c r="P22379" s="2498"/>
    </row>
    <row r="22380" spans="16:16">
      <c r="P22380" s="2498"/>
    </row>
    <row r="22381" spans="16:16">
      <c r="P22381" s="2498"/>
    </row>
    <row r="22382" spans="16:16">
      <c r="P22382" s="2498"/>
    </row>
    <row r="22383" spans="16:16">
      <c r="P22383" s="2498"/>
    </row>
    <row r="22384" spans="16:16">
      <c r="P22384" s="2498"/>
    </row>
    <row r="22385" spans="16:16">
      <c r="P22385" s="2498"/>
    </row>
    <row r="22386" spans="16:16">
      <c r="P22386" s="2498"/>
    </row>
    <row r="22387" spans="16:16">
      <c r="P22387" s="2498"/>
    </row>
    <row r="22388" spans="16:16">
      <c r="P22388" s="2498"/>
    </row>
    <row r="22389" spans="16:16">
      <c r="P22389" s="2498"/>
    </row>
    <row r="22390" spans="16:16">
      <c r="P22390" s="2498"/>
    </row>
    <row r="22391" spans="16:16">
      <c r="P22391" s="2498"/>
    </row>
    <row r="22392" spans="16:16">
      <c r="P22392" s="2498"/>
    </row>
    <row r="22393" spans="16:16">
      <c r="P22393" s="2498"/>
    </row>
    <row r="22394" spans="16:16">
      <c r="P22394" s="2498"/>
    </row>
    <row r="22395" spans="16:16">
      <c r="P22395" s="2498"/>
    </row>
    <row r="22396" spans="16:16">
      <c r="P22396" s="2498"/>
    </row>
    <row r="22397" spans="16:16">
      <c r="P22397" s="2498"/>
    </row>
    <row r="22398" spans="16:16">
      <c r="P22398" s="2498"/>
    </row>
    <row r="22399" spans="16:16">
      <c r="P22399" s="2498"/>
    </row>
    <row r="22400" spans="16:16">
      <c r="P22400" s="2498"/>
    </row>
    <row r="22401" spans="16:16">
      <c r="P22401" s="2498"/>
    </row>
    <row r="22402" spans="16:16">
      <c r="P22402" s="2498"/>
    </row>
    <row r="22403" spans="16:16">
      <c r="P22403" s="2498"/>
    </row>
    <row r="22404" spans="16:16">
      <c r="P22404" s="2498"/>
    </row>
    <row r="22405" spans="16:16">
      <c r="P22405" s="2498"/>
    </row>
    <row r="22406" spans="16:16">
      <c r="P22406" s="2498"/>
    </row>
    <row r="22407" spans="16:16">
      <c r="P22407" s="2498"/>
    </row>
    <row r="22408" spans="16:16">
      <c r="P22408" s="2498"/>
    </row>
    <row r="22409" spans="16:16">
      <c r="P22409" s="2498"/>
    </row>
    <row r="22410" spans="16:16">
      <c r="P22410" s="2498"/>
    </row>
    <row r="22411" spans="16:16">
      <c r="P22411" s="2498"/>
    </row>
    <row r="22412" spans="16:16">
      <c r="P22412" s="2498"/>
    </row>
    <row r="22413" spans="16:16">
      <c r="P22413" s="2498"/>
    </row>
    <row r="22414" spans="16:16">
      <c r="P22414" s="2498"/>
    </row>
    <row r="22415" spans="16:16">
      <c r="P22415" s="2498"/>
    </row>
    <row r="22416" spans="16:16">
      <c r="P22416" s="2498"/>
    </row>
    <row r="22417" spans="16:16">
      <c r="P22417" s="2498"/>
    </row>
    <row r="22418" spans="16:16">
      <c r="P22418" s="2498"/>
    </row>
    <row r="22419" spans="16:16">
      <c r="P22419" s="2498"/>
    </row>
    <row r="22420" spans="16:16">
      <c r="P22420" s="2498"/>
    </row>
    <row r="22421" spans="16:16">
      <c r="P22421" s="2498"/>
    </row>
    <row r="22422" spans="16:16">
      <c r="P22422" s="2498"/>
    </row>
    <row r="22423" spans="16:16">
      <c r="P22423" s="2498"/>
    </row>
    <row r="22424" spans="16:16">
      <c r="P22424" s="2498"/>
    </row>
    <row r="22425" spans="16:16">
      <c r="P22425" s="2498"/>
    </row>
    <row r="22426" spans="16:16">
      <c r="P22426" s="2498"/>
    </row>
    <row r="22427" spans="16:16">
      <c r="P22427" s="2498"/>
    </row>
    <row r="22428" spans="16:16">
      <c r="P22428" s="2498"/>
    </row>
    <row r="22429" spans="16:16">
      <c r="P22429" s="2498"/>
    </row>
    <row r="22430" spans="16:16">
      <c r="P22430" s="2498"/>
    </row>
    <row r="22431" spans="16:16">
      <c r="P22431" s="2498"/>
    </row>
    <row r="22432" spans="16:16">
      <c r="P22432" s="2498"/>
    </row>
    <row r="22433" spans="16:16">
      <c r="P22433" s="2498"/>
    </row>
    <row r="22434" spans="16:16">
      <c r="P22434" s="2498"/>
    </row>
    <row r="22435" spans="16:16">
      <c r="P22435" s="2498"/>
    </row>
    <row r="22436" spans="16:16">
      <c r="P22436" s="2498"/>
    </row>
    <row r="22437" spans="16:16">
      <c r="P22437" s="2498"/>
    </row>
    <row r="22438" spans="16:16">
      <c r="P22438" s="2498"/>
    </row>
    <row r="22439" spans="16:16">
      <c r="P22439" s="2498"/>
    </row>
    <row r="22440" spans="16:16">
      <c r="P22440" s="2498"/>
    </row>
    <row r="22441" spans="16:16">
      <c r="P22441" s="2498"/>
    </row>
    <row r="22442" spans="16:16">
      <c r="P22442" s="2498"/>
    </row>
    <row r="22443" spans="16:16">
      <c r="P22443" s="2498"/>
    </row>
    <row r="22444" spans="16:16">
      <c r="P22444" s="2498"/>
    </row>
    <row r="22445" spans="16:16">
      <c r="P22445" s="2498"/>
    </row>
    <row r="22446" spans="16:16">
      <c r="P22446" s="2498"/>
    </row>
    <row r="22447" spans="16:16">
      <c r="P22447" s="2498"/>
    </row>
    <row r="22448" spans="16:16">
      <c r="P22448" s="2498"/>
    </row>
    <row r="22449" spans="16:16">
      <c r="P22449" s="2498"/>
    </row>
    <row r="22450" spans="16:16">
      <c r="P22450" s="2498"/>
    </row>
    <row r="22451" spans="16:16">
      <c r="P22451" s="2498"/>
    </row>
    <row r="22452" spans="16:16">
      <c r="P22452" s="2498"/>
    </row>
    <row r="22453" spans="16:16">
      <c r="P22453" s="2498"/>
    </row>
    <row r="22454" spans="16:16">
      <c r="P22454" s="2498"/>
    </row>
    <row r="22455" spans="16:16">
      <c r="P22455" s="2498"/>
    </row>
    <row r="22456" spans="16:16">
      <c r="P22456" s="2498"/>
    </row>
    <row r="22457" spans="16:16">
      <c r="P22457" s="2498"/>
    </row>
    <row r="22458" spans="16:16">
      <c r="P22458" s="2498"/>
    </row>
    <row r="22459" spans="16:16">
      <c r="P22459" s="2498"/>
    </row>
    <row r="22460" spans="16:16">
      <c r="P22460" s="2498"/>
    </row>
    <row r="22461" spans="16:16">
      <c r="P22461" s="2498"/>
    </row>
    <row r="22462" spans="16:16">
      <c r="P22462" s="2498"/>
    </row>
    <row r="22463" spans="16:16">
      <c r="P22463" s="2498"/>
    </row>
    <row r="22464" spans="16:16">
      <c r="P22464" s="2498"/>
    </row>
    <row r="22465" spans="16:16">
      <c r="P22465" s="2498"/>
    </row>
    <row r="22466" spans="16:16">
      <c r="P22466" s="2498"/>
    </row>
    <row r="22467" spans="16:16">
      <c r="P22467" s="2498"/>
    </row>
    <row r="22468" spans="16:16">
      <c r="P22468" s="2498"/>
    </row>
    <row r="22469" spans="16:16">
      <c r="P22469" s="2498"/>
    </row>
    <row r="22470" spans="16:16">
      <c r="P22470" s="2498"/>
    </row>
    <row r="22471" spans="16:16">
      <c r="P22471" s="2498"/>
    </row>
    <row r="22472" spans="16:16">
      <c r="P22472" s="2498"/>
    </row>
    <row r="22473" spans="16:16">
      <c r="P22473" s="2498"/>
    </row>
    <row r="22474" spans="16:16">
      <c r="P22474" s="2498"/>
    </row>
    <row r="22475" spans="16:16">
      <c r="P22475" s="2498"/>
    </row>
    <row r="22476" spans="16:16">
      <c r="P22476" s="2498"/>
    </row>
    <row r="22477" spans="16:16">
      <c r="P22477" s="2498"/>
    </row>
    <row r="22478" spans="16:16">
      <c r="P22478" s="2498"/>
    </row>
    <row r="22479" spans="16:16">
      <c r="P22479" s="2498"/>
    </row>
    <row r="22480" spans="16:16">
      <c r="P22480" s="2498"/>
    </row>
    <row r="22481" spans="16:16">
      <c r="P22481" s="2498"/>
    </row>
    <row r="22482" spans="16:16">
      <c r="P22482" s="2498"/>
    </row>
    <row r="22483" spans="16:16">
      <c r="P22483" s="2498"/>
    </row>
    <row r="22484" spans="16:16">
      <c r="P22484" s="2498"/>
    </row>
    <row r="22485" spans="16:16">
      <c r="P22485" s="2498"/>
    </row>
    <row r="22486" spans="16:16">
      <c r="P22486" s="2498"/>
    </row>
    <row r="22487" spans="16:16">
      <c r="P22487" s="2498"/>
    </row>
    <row r="22488" spans="16:16">
      <c r="P22488" s="2498"/>
    </row>
    <row r="22489" spans="16:16">
      <c r="P22489" s="2498"/>
    </row>
    <row r="22490" spans="16:16">
      <c r="P22490" s="2498"/>
    </row>
    <row r="22491" spans="16:16">
      <c r="P22491" s="2498"/>
    </row>
    <row r="22492" spans="16:16">
      <c r="P22492" s="2498"/>
    </row>
    <row r="22493" spans="16:16">
      <c r="P22493" s="2498"/>
    </row>
    <row r="22494" spans="16:16">
      <c r="P22494" s="2498"/>
    </row>
    <row r="22495" spans="16:16">
      <c r="P22495" s="2498"/>
    </row>
    <row r="22496" spans="16:16">
      <c r="P22496" s="2498"/>
    </row>
    <row r="22497" spans="16:16">
      <c r="P22497" s="2498"/>
    </row>
    <row r="22498" spans="16:16">
      <c r="P22498" s="2498"/>
    </row>
    <row r="22499" spans="16:16">
      <c r="P22499" s="2498"/>
    </row>
    <row r="22500" spans="16:16">
      <c r="P22500" s="2498"/>
    </row>
    <row r="22501" spans="16:16">
      <c r="P22501" s="2498"/>
    </row>
    <row r="22502" spans="16:16">
      <c r="P22502" s="2498"/>
    </row>
    <row r="22503" spans="16:16">
      <c r="P22503" s="2498"/>
    </row>
    <row r="22504" spans="16:16">
      <c r="P22504" s="2498"/>
    </row>
    <row r="22505" spans="16:16">
      <c r="P22505" s="2498"/>
    </row>
    <row r="22506" spans="16:16">
      <c r="P22506" s="2498"/>
    </row>
    <row r="22507" spans="16:16">
      <c r="P22507" s="2498"/>
    </row>
    <row r="22508" spans="16:16">
      <c r="P22508" s="2498"/>
    </row>
    <row r="22509" spans="16:16">
      <c r="P22509" s="2498"/>
    </row>
    <row r="22510" spans="16:16">
      <c r="P22510" s="2498"/>
    </row>
    <row r="22511" spans="16:16">
      <c r="P22511" s="2498"/>
    </row>
    <row r="22512" spans="16:16">
      <c r="P22512" s="2498"/>
    </row>
    <row r="22513" spans="16:16">
      <c r="P22513" s="2498"/>
    </row>
    <row r="22514" spans="16:16">
      <c r="P22514" s="2498"/>
    </row>
    <row r="22515" spans="16:16">
      <c r="P22515" s="2498"/>
    </row>
    <row r="22516" spans="16:16">
      <c r="P22516" s="2498"/>
    </row>
    <row r="22517" spans="16:16">
      <c r="P22517" s="2498"/>
    </row>
    <row r="22518" spans="16:16">
      <c r="P22518" s="2498"/>
    </row>
    <row r="22519" spans="16:16">
      <c r="P22519" s="2498"/>
    </row>
    <row r="22520" spans="16:16">
      <c r="P22520" s="2498"/>
    </row>
    <row r="22521" spans="16:16">
      <c r="P22521" s="2498"/>
    </row>
    <row r="22522" spans="16:16">
      <c r="P22522" s="2498"/>
    </row>
    <row r="22523" spans="16:16">
      <c r="P22523" s="2498"/>
    </row>
    <row r="22524" spans="16:16">
      <c r="P22524" s="2498"/>
    </row>
    <row r="22525" spans="16:16">
      <c r="P22525" s="2498"/>
    </row>
    <row r="22526" spans="16:16">
      <c r="P22526" s="2498"/>
    </row>
    <row r="22527" spans="16:16">
      <c r="P22527" s="2498"/>
    </row>
    <row r="22528" spans="16:16">
      <c r="P22528" s="2498"/>
    </row>
    <row r="22529" spans="16:16">
      <c r="P22529" s="2498"/>
    </row>
    <row r="22530" spans="16:16">
      <c r="P22530" s="2498"/>
    </row>
    <row r="22531" spans="16:16">
      <c r="P22531" s="2498"/>
    </row>
    <row r="22532" spans="16:16">
      <c r="P22532" s="2498"/>
    </row>
    <row r="22533" spans="16:16">
      <c r="P22533" s="2498"/>
    </row>
    <row r="22534" spans="16:16">
      <c r="P22534" s="2498"/>
    </row>
    <row r="22535" spans="16:16">
      <c r="P22535" s="2498"/>
    </row>
    <row r="22536" spans="16:16">
      <c r="P22536" s="2498"/>
    </row>
    <row r="22537" spans="16:16">
      <c r="P22537" s="2498"/>
    </row>
    <row r="22538" spans="16:16">
      <c r="P22538" s="2498"/>
    </row>
    <row r="22539" spans="16:16">
      <c r="P22539" s="2498"/>
    </row>
    <row r="22540" spans="16:16">
      <c r="P22540" s="2498"/>
    </row>
    <row r="22541" spans="16:16">
      <c r="P22541" s="2498"/>
    </row>
    <row r="22542" spans="16:16">
      <c r="P22542" s="2498"/>
    </row>
    <row r="22543" spans="16:16">
      <c r="P22543" s="2498"/>
    </row>
    <row r="22544" spans="16:16">
      <c r="P22544" s="2498"/>
    </row>
    <row r="22545" spans="16:16">
      <c r="P22545" s="2498"/>
    </row>
    <row r="22546" spans="16:16">
      <c r="P22546" s="2498"/>
    </row>
    <row r="22547" spans="16:16">
      <c r="P22547" s="2498"/>
    </row>
    <row r="22548" spans="16:16">
      <c r="P22548" s="2498"/>
    </row>
    <row r="22549" spans="16:16">
      <c r="P22549" s="2498"/>
    </row>
    <row r="22550" spans="16:16">
      <c r="P22550" s="2498"/>
    </row>
    <row r="22551" spans="16:16">
      <c r="P22551" s="2498"/>
    </row>
    <row r="22552" spans="16:16">
      <c r="P22552" s="2498"/>
    </row>
    <row r="22553" spans="16:16">
      <c r="P22553" s="2498"/>
    </row>
    <row r="22554" spans="16:16">
      <c r="P22554" s="2498"/>
    </row>
    <row r="22555" spans="16:16">
      <c r="P22555" s="2498"/>
    </row>
    <row r="22556" spans="16:16">
      <c r="P22556" s="2498"/>
    </row>
    <row r="22557" spans="16:16">
      <c r="P22557" s="2498"/>
    </row>
    <row r="22558" spans="16:16">
      <c r="P22558" s="2498"/>
    </row>
    <row r="22559" spans="16:16">
      <c r="P22559" s="2498"/>
    </row>
    <row r="22560" spans="16:16">
      <c r="P22560" s="2498"/>
    </row>
    <row r="22561" spans="16:16">
      <c r="P22561" s="2498"/>
    </row>
    <row r="22562" spans="16:16">
      <c r="P22562" s="2498"/>
    </row>
    <row r="22563" spans="16:16">
      <c r="P22563" s="2498"/>
    </row>
    <row r="22564" spans="16:16">
      <c r="P22564" s="2498"/>
    </row>
    <row r="22565" spans="16:16">
      <c r="P22565" s="2498"/>
    </row>
    <row r="22566" spans="16:16">
      <c r="P22566" s="2498"/>
    </row>
    <row r="22567" spans="16:16">
      <c r="P22567" s="2498"/>
    </row>
    <row r="22568" spans="16:16">
      <c r="P22568" s="2498"/>
    </row>
    <row r="22569" spans="16:16">
      <c r="P22569" s="2498"/>
    </row>
    <row r="22570" spans="16:16">
      <c r="P22570" s="2498"/>
    </row>
    <row r="22571" spans="16:16">
      <c r="P22571" s="2498"/>
    </row>
    <row r="22572" spans="16:16">
      <c r="P22572" s="2498"/>
    </row>
    <row r="22573" spans="16:16">
      <c r="P22573" s="2498"/>
    </row>
    <row r="22574" spans="16:16">
      <c r="P22574" s="2498"/>
    </row>
    <row r="22575" spans="16:16">
      <c r="P22575" s="2498"/>
    </row>
    <row r="22576" spans="16:16">
      <c r="P22576" s="2498"/>
    </row>
    <row r="22577" spans="16:16">
      <c r="P22577" s="2498"/>
    </row>
    <row r="22578" spans="16:16">
      <c r="P22578" s="2498"/>
    </row>
    <row r="22579" spans="16:16">
      <c r="P22579" s="2498"/>
    </row>
    <row r="22580" spans="16:16">
      <c r="P22580" s="2498"/>
    </row>
    <row r="22581" spans="16:16">
      <c r="P22581" s="2498"/>
    </row>
    <row r="22582" spans="16:16">
      <c r="P22582" s="2498"/>
    </row>
    <row r="22583" spans="16:16">
      <c r="P22583" s="2498"/>
    </row>
    <row r="22584" spans="16:16">
      <c r="P22584" s="2498"/>
    </row>
    <row r="22585" spans="16:16">
      <c r="P22585" s="2498"/>
    </row>
    <row r="22586" spans="16:16">
      <c r="P22586" s="2498"/>
    </row>
    <row r="22587" spans="16:16">
      <c r="P22587" s="2498"/>
    </row>
    <row r="22588" spans="16:16">
      <c r="P22588" s="2498"/>
    </row>
    <row r="22589" spans="16:16">
      <c r="P22589" s="2498"/>
    </row>
    <row r="22590" spans="16:16">
      <c r="P22590" s="2498"/>
    </row>
    <row r="22591" spans="16:16">
      <c r="P22591" s="2498"/>
    </row>
    <row r="22592" spans="16:16">
      <c r="P22592" s="2498"/>
    </row>
    <row r="22593" spans="16:16">
      <c r="P22593" s="2498"/>
    </row>
    <row r="22594" spans="16:16">
      <c r="P22594" s="2498"/>
    </row>
    <row r="22595" spans="16:16">
      <c r="P22595" s="2498"/>
    </row>
    <row r="22596" spans="16:16">
      <c r="P22596" s="2498"/>
    </row>
    <row r="22597" spans="16:16">
      <c r="P22597" s="2498"/>
    </row>
    <row r="22598" spans="16:16">
      <c r="P22598" s="2498"/>
    </row>
    <row r="22599" spans="16:16">
      <c r="P22599" s="2498"/>
    </row>
    <row r="22600" spans="16:16">
      <c r="P22600" s="2498"/>
    </row>
    <row r="22601" spans="16:16">
      <c r="P22601" s="2498"/>
    </row>
    <row r="22602" spans="16:16">
      <c r="P22602" s="2498"/>
    </row>
    <row r="22603" spans="16:16">
      <c r="P22603" s="2498"/>
    </row>
    <row r="22604" spans="16:16">
      <c r="P22604" s="2498"/>
    </row>
    <row r="22605" spans="16:16">
      <c r="P22605" s="2498"/>
    </row>
    <row r="22606" spans="16:16">
      <c r="P22606" s="2498"/>
    </row>
    <row r="22607" spans="16:16">
      <c r="P22607" s="2498"/>
    </row>
    <row r="22608" spans="16:16">
      <c r="P22608" s="2498"/>
    </row>
    <row r="22609" spans="16:16">
      <c r="P22609" s="2498"/>
    </row>
    <row r="22610" spans="16:16">
      <c r="P22610" s="2498"/>
    </row>
    <row r="22611" spans="16:16">
      <c r="P22611" s="2498"/>
    </row>
    <row r="22612" spans="16:16">
      <c r="P22612" s="2498"/>
    </row>
    <row r="22613" spans="16:16">
      <c r="P22613" s="2498"/>
    </row>
    <row r="22614" spans="16:16">
      <c r="P22614" s="2498"/>
    </row>
    <row r="22615" spans="16:16">
      <c r="P22615" s="2498"/>
    </row>
    <row r="22616" spans="16:16">
      <c r="P22616" s="2498"/>
    </row>
    <row r="22617" spans="16:16">
      <c r="P22617" s="2498"/>
    </row>
    <row r="22618" spans="16:16">
      <c r="P22618" s="2498"/>
    </row>
    <row r="22619" spans="16:16">
      <c r="P22619" s="2498"/>
    </row>
    <row r="22620" spans="16:16">
      <c r="P22620" s="2498"/>
    </row>
    <row r="22621" spans="16:16">
      <c r="P22621" s="2498"/>
    </row>
    <row r="22622" spans="16:16">
      <c r="P22622" s="2498"/>
    </row>
    <row r="22623" spans="16:16">
      <c r="P22623" s="2498"/>
    </row>
    <row r="22624" spans="16:16">
      <c r="P22624" s="2498"/>
    </row>
    <row r="22625" spans="16:16">
      <c r="P22625" s="2498"/>
    </row>
    <row r="22626" spans="16:16">
      <c r="P22626" s="2498"/>
    </row>
    <row r="22627" spans="16:16">
      <c r="P22627" s="2498"/>
    </row>
    <row r="22628" spans="16:16">
      <c r="P22628" s="2498"/>
    </row>
    <row r="22629" spans="16:16">
      <c r="P22629" s="2498"/>
    </row>
    <row r="22630" spans="16:16">
      <c r="P22630" s="2498"/>
    </row>
    <row r="22631" spans="16:16">
      <c r="P22631" s="2498"/>
    </row>
    <row r="22632" spans="16:16">
      <c r="P22632" s="2498"/>
    </row>
    <row r="22633" spans="16:16">
      <c r="P22633" s="2498"/>
    </row>
    <row r="22634" spans="16:16">
      <c r="P22634" s="2498"/>
    </row>
    <row r="22635" spans="16:16">
      <c r="P22635" s="2498"/>
    </row>
    <row r="22636" spans="16:16">
      <c r="P22636" s="2498"/>
    </row>
    <row r="22637" spans="16:16">
      <c r="P22637" s="2498"/>
    </row>
    <row r="22638" spans="16:16">
      <c r="P22638" s="2498"/>
    </row>
    <row r="22639" spans="16:16">
      <c r="P22639" s="2498"/>
    </row>
    <row r="22640" spans="16:16">
      <c r="P22640" s="2498"/>
    </row>
    <row r="22641" spans="16:16">
      <c r="P22641" s="2498"/>
    </row>
    <row r="22642" spans="16:16">
      <c r="P22642" s="2498"/>
    </row>
    <row r="22643" spans="16:16">
      <c r="P22643" s="2498"/>
    </row>
    <row r="22644" spans="16:16">
      <c r="P22644" s="2498"/>
    </row>
    <row r="22645" spans="16:16">
      <c r="P22645" s="2498"/>
    </row>
    <row r="22646" spans="16:16">
      <c r="P22646" s="2498"/>
    </row>
    <row r="22647" spans="16:16">
      <c r="P22647" s="2498"/>
    </row>
    <row r="22648" spans="16:16">
      <c r="P22648" s="2498"/>
    </row>
    <row r="22649" spans="16:16">
      <c r="P22649" s="2498"/>
    </row>
    <row r="22650" spans="16:16">
      <c r="P22650" s="2498"/>
    </row>
    <row r="22651" spans="16:16">
      <c r="P22651" s="2498"/>
    </row>
    <row r="22652" spans="16:16">
      <c r="P22652" s="2498"/>
    </row>
    <row r="22653" spans="16:16">
      <c r="P22653" s="2498"/>
    </row>
    <row r="22654" spans="16:16">
      <c r="P22654" s="2498"/>
    </row>
    <row r="22655" spans="16:16">
      <c r="P22655" s="2498"/>
    </row>
    <row r="22656" spans="16:16">
      <c r="P22656" s="2498"/>
    </row>
    <row r="22657" spans="16:16">
      <c r="P22657" s="2498"/>
    </row>
    <row r="22658" spans="16:16">
      <c r="P22658" s="2498"/>
    </row>
    <row r="22659" spans="16:16">
      <c r="P22659" s="2498"/>
    </row>
    <row r="22660" spans="16:16">
      <c r="P22660" s="2498"/>
    </row>
    <row r="22661" spans="16:16">
      <c r="P22661" s="2498"/>
    </row>
    <row r="22662" spans="16:16">
      <c r="P22662" s="2498"/>
    </row>
    <row r="22663" spans="16:16">
      <c r="P22663" s="2498"/>
    </row>
    <row r="22664" spans="16:16">
      <c r="P22664" s="2498"/>
    </row>
    <row r="22665" spans="16:16">
      <c r="P22665" s="2498"/>
    </row>
    <row r="22666" spans="16:16">
      <c r="P22666" s="2498"/>
    </row>
    <row r="22667" spans="16:16">
      <c r="P22667" s="2498"/>
    </row>
    <row r="22668" spans="16:16">
      <c r="P22668" s="2498"/>
    </row>
    <row r="22669" spans="16:16">
      <c r="P22669" s="2498"/>
    </row>
    <row r="22670" spans="16:16">
      <c r="P22670" s="2498"/>
    </row>
    <row r="22671" spans="16:16">
      <c r="P22671" s="2498"/>
    </row>
    <row r="22672" spans="16:16">
      <c r="P22672" s="2498"/>
    </row>
    <row r="22673" spans="16:16">
      <c r="P22673" s="2498"/>
    </row>
    <row r="22674" spans="16:16">
      <c r="P22674" s="2498"/>
    </row>
    <row r="22675" spans="16:16">
      <c r="P22675" s="2498"/>
    </row>
    <row r="22676" spans="16:16">
      <c r="P22676" s="2498"/>
    </row>
    <row r="22677" spans="16:16">
      <c r="P22677" s="2498"/>
    </row>
    <row r="22678" spans="16:16">
      <c r="P22678" s="2498"/>
    </row>
    <row r="22679" spans="16:16">
      <c r="P22679" s="2498"/>
    </row>
    <row r="22680" spans="16:16">
      <c r="P22680" s="2498"/>
    </row>
    <row r="22681" spans="16:16">
      <c r="P22681" s="2498"/>
    </row>
    <row r="22682" spans="16:16">
      <c r="P22682" s="2498"/>
    </row>
    <row r="22683" spans="16:16">
      <c r="P22683" s="2498"/>
    </row>
    <row r="22684" spans="16:16">
      <c r="P22684" s="2498"/>
    </row>
    <row r="22685" spans="16:16">
      <c r="P22685" s="2498"/>
    </row>
    <row r="22686" spans="16:16">
      <c r="P22686" s="2498"/>
    </row>
    <row r="22687" spans="16:16">
      <c r="P22687" s="2498"/>
    </row>
    <row r="22688" spans="16:16">
      <c r="P22688" s="2498"/>
    </row>
    <row r="22689" spans="16:16">
      <c r="P22689" s="2498"/>
    </row>
    <row r="22690" spans="16:16">
      <c r="P22690" s="2498"/>
    </row>
    <row r="22691" spans="16:16">
      <c r="P22691" s="2498"/>
    </row>
    <row r="22692" spans="16:16">
      <c r="P22692" s="2498"/>
    </row>
    <row r="22693" spans="16:16">
      <c r="P22693" s="2498"/>
    </row>
    <row r="22694" spans="16:16">
      <c r="P22694" s="2498"/>
    </row>
    <row r="22695" spans="16:16">
      <c r="P22695" s="2498"/>
    </row>
    <row r="22696" spans="16:16">
      <c r="P22696" s="2498"/>
    </row>
    <row r="22697" spans="16:16">
      <c r="P22697" s="2498"/>
    </row>
    <row r="22698" spans="16:16">
      <c r="P22698" s="2498"/>
    </row>
    <row r="22699" spans="16:16">
      <c r="P22699" s="2498"/>
    </row>
    <row r="22700" spans="16:16">
      <c r="P22700" s="2498"/>
    </row>
    <row r="22701" spans="16:16">
      <c r="P22701" s="2498"/>
    </row>
    <row r="22702" spans="16:16">
      <c r="P22702" s="2498"/>
    </row>
    <row r="22703" spans="16:16">
      <c r="P22703" s="2498"/>
    </row>
    <row r="22704" spans="16:16">
      <c r="P22704" s="2498"/>
    </row>
    <row r="22705" spans="16:16">
      <c r="P22705" s="2498"/>
    </row>
    <row r="22706" spans="16:16">
      <c r="P22706" s="2498"/>
    </row>
    <row r="22707" spans="16:16">
      <c r="P22707" s="2498"/>
    </row>
    <row r="22708" spans="16:16">
      <c r="P22708" s="2498"/>
    </row>
    <row r="22709" spans="16:16">
      <c r="P22709" s="2498"/>
    </row>
    <row r="22710" spans="16:16">
      <c r="P22710" s="2498"/>
    </row>
    <row r="22711" spans="16:16">
      <c r="P22711" s="2498"/>
    </row>
    <row r="22712" spans="16:16">
      <c r="P22712" s="2498"/>
    </row>
    <row r="22713" spans="16:16">
      <c r="P22713" s="2498"/>
    </row>
    <row r="22714" spans="16:16">
      <c r="P22714" s="2498"/>
    </row>
    <row r="22715" spans="16:16">
      <c r="P22715" s="2498"/>
    </row>
    <row r="22716" spans="16:16">
      <c r="P22716" s="2498"/>
    </row>
    <row r="22717" spans="16:16">
      <c r="P22717" s="2498"/>
    </row>
    <row r="22718" spans="16:16">
      <c r="P22718" s="2498"/>
    </row>
    <row r="22719" spans="16:16">
      <c r="P22719" s="2498"/>
    </row>
    <row r="22720" spans="16:16">
      <c r="P22720" s="2498"/>
    </row>
    <row r="22721" spans="16:16">
      <c r="P22721" s="2498"/>
    </row>
    <row r="22722" spans="16:16">
      <c r="P22722" s="2498"/>
    </row>
    <row r="22723" spans="16:16">
      <c r="P22723" s="2498"/>
    </row>
    <row r="22724" spans="16:16">
      <c r="P22724" s="2498"/>
    </row>
    <row r="22725" spans="16:16">
      <c r="P22725" s="2498"/>
    </row>
    <row r="22726" spans="16:16">
      <c r="P22726" s="2498"/>
    </row>
    <row r="22727" spans="16:16">
      <c r="P22727" s="2498"/>
    </row>
    <row r="22728" spans="16:16">
      <c r="P22728" s="2498"/>
    </row>
    <row r="22729" spans="16:16">
      <c r="P22729" s="2498"/>
    </row>
    <row r="22730" spans="16:16">
      <c r="P22730" s="2498"/>
    </row>
    <row r="22731" spans="16:16">
      <c r="P22731" s="2498"/>
    </row>
    <row r="22732" spans="16:16">
      <c r="P22732" s="2498"/>
    </row>
    <row r="22733" spans="16:16">
      <c r="P22733" s="2498"/>
    </row>
    <row r="22734" spans="16:16">
      <c r="P22734" s="2498"/>
    </row>
    <row r="22735" spans="16:16">
      <c r="P22735" s="2498"/>
    </row>
    <row r="22736" spans="16:16">
      <c r="P22736" s="2498"/>
    </row>
    <row r="22737" spans="16:16">
      <c r="P22737" s="2498"/>
    </row>
    <row r="22738" spans="16:16">
      <c r="P22738" s="2498"/>
    </row>
    <row r="22739" spans="16:16">
      <c r="P22739" s="2498"/>
    </row>
    <row r="22740" spans="16:16">
      <c r="P22740" s="2498"/>
    </row>
    <row r="22741" spans="16:16">
      <c r="P22741" s="2498"/>
    </row>
    <row r="22742" spans="16:16">
      <c r="P22742" s="2498"/>
    </row>
    <row r="22743" spans="16:16">
      <c r="P22743" s="2498"/>
    </row>
    <row r="22744" spans="16:16">
      <c r="P22744" s="2498"/>
    </row>
    <row r="22745" spans="16:16">
      <c r="P22745" s="2498"/>
    </row>
    <row r="22746" spans="16:16">
      <c r="P22746" s="2498"/>
    </row>
    <row r="22747" spans="16:16">
      <c r="P22747" s="2498"/>
    </row>
    <row r="22748" spans="16:16">
      <c r="P22748" s="2498"/>
    </row>
    <row r="22749" spans="16:16">
      <c r="P22749" s="2498"/>
    </row>
    <row r="22750" spans="16:16">
      <c r="P22750" s="2498"/>
    </row>
    <row r="22751" spans="16:16">
      <c r="P22751" s="2498"/>
    </row>
    <row r="22752" spans="16:16">
      <c r="P22752" s="2498"/>
    </row>
    <row r="22753" spans="16:16">
      <c r="P22753" s="2498"/>
    </row>
    <row r="22754" spans="16:16">
      <c r="P22754" s="2498"/>
    </row>
    <row r="22755" spans="16:16">
      <c r="P22755" s="2498"/>
    </row>
    <row r="22756" spans="16:16">
      <c r="P22756" s="2498"/>
    </row>
    <row r="22757" spans="16:16">
      <c r="P22757" s="2498"/>
    </row>
    <row r="22758" spans="16:16">
      <c r="P22758" s="2498"/>
    </row>
    <row r="22759" spans="16:16">
      <c r="P22759" s="2498"/>
    </row>
    <row r="22760" spans="16:16">
      <c r="P22760" s="2498"/>
    </row>
    <row r="22761" spans="16:16">
      <c r="P22761" s="2498"/>
    </row>
    <row r="22762" spans="16:16">
      <c r="P22762" s="2498"/>
    </row>
    <row r="22763" spans="16:16">
      <c r="P22763" s="2498"/>
    </row>
    <row r="22764" spans="16:16">
      <c r="P22764" s="2498"/>
    </row>
    <row r="22765" spans="16:16">
      <c r="P22765" s="2498"/>
    </row>
    <row r="22766" spans="16:16">
      <c r="P22766" s="2498"/>
    </row>
    <row r="22767" spans="16:16">
      <c r="P22767" s="2498"/>
    </row>
    <row r="22768" spans="16:16">
      <c r="P22768" s="2498"/>
    </row>
    <row r="22769" spans="16:16">
      <c r="P22769" s="2498"/>
    </row>
    <row r="22770" spans="16:16">
      <c r="P22770" s="2498"/>
    </row>
    <row r="22771" spans="16:16">
      <c r="P22771" s="2498"/>
    </row>
    <row r="22772" spans="16:16">
      <c r="P22772" s="2498"/>
    </row>
    <row r="22773" spans="16:16">
      <c r="P22773" s="2498"/>
    </row>
    <row r="22774" spans="16:16">
      <c r="P22774" s="2498"/>
    </row>
    <row r="22775" spans="16:16">
      <c r="P22775" s="2498"/>
    </row>
    <row r="22776" spans="16:16">
      <c r="P22776" s="2498"/>
    </row>
    <row r="22777" spans="16:16">
      <c r="P22777" s="2498"/>
    </row>
    <row r="22778" spans="16:16">
      <c r="P22778" s="2498"/>
    </row>
    <row r="22779" spans="16:16">
      <c r="P22779" s="2498"/>
    </row>
    <row r="22780" spans="16:16">
      <c r="P22780" s="2498"/>
    </row>
    <row r="22781" spans="16:16">
      <c r="P22781" s="2498"/>
    </row>
    <row r="22782" spans="16:16">
      <c r="P22782" s="2498"/>
    </row>
    <row r="22783" spans="16:16">
      <c r="P22783" s="2498"/>
    </row>
    <row r="22784" spans="16:16">
      <c r="P22784" s="2498"/>
    </row>
    <row r="22785" spans="16:16">
      <c r="P22785" s="2498"/>
    </row>
    <row r="22786" spans="16:16">
      <c r="P22786" s="2498"/>
    </row>
    <row r="22787" spans="16:16">
      <c r="P22787" s="2498"/>
    </row>
    <row r="22788" spans="16:16">
      <c r="P22788" s="2498"/>
    </row>
    <row r="22789" spans="16:16">
      <c r="P22789" s="2498"/>
    </row>
    <row r="22790" spans="16:16">
      <c r="P22790" s="2498"/>
    </row>
    <row r="22791" spans="16:16">
      <c r="P22791" s="2498"/>
    </row>
    <row r="22792" spans="16:16">
      <c r="P22792" s="2498"/>
    </row>
    <row r="22793" spans="16:16">
      <c r="P22793" s="2498"/>
    </row>
    <row r="22794" spans="16:16">
      <c r="P22794" s="2498"/>
    </row>
    <row r="22795" spans="16:16">
      <c r="P22795" s="2498"/>
    </row>
    <row r="22796" spans="16:16">
      <c r="P22796" s="2498"/>
    </row>
    <row r="22797" spans="16:16">
      <c r="P22797" s="2498"/>
    </row>
    <row r="22798" spans="16:16">
      <c r="P22798" s="2498"/>
    </row>
    <row r="22799" spans="16:16">
      <c r="P22799" s="2498"/>
    </row>
    <row r="22800" spans="16:16">
      <c r="P22800" s="2498"/>
    </row>
    <row r="22801" spans="16:16">
      <c r="P22801" s="2498"/>
    </row>
    <row r="22802" spans="16:16">
      <c r="P22802" s="2498"/>
    </row>
    <row r="22803" spans="16:16">
      <c r="P22803" s="2498"/>
    </row>
    <row r="22804" spans="16:16">
      <c r="P22804" s="2498"/>
    </row>
    <row r="22805" spans="16:16">
      <c r="P22805" s="2498"/>
    </row>
    <row r="22806" spans="16:16">
      <c r="P22806" s="2498"/>
    </row>
    <row r="22807" spans="16:16">
      <c r="P22807" s="2498"/>
    </row>
    <row r="22808" spans="16:16">
      <c r="P22808" s="2498"/>
    </row>
    <row r="22809" spans="16:16">
      <c r="P22809" s="2498"/>
    </row>
    <row r="22810" spans="16:16">
      <c r="P22810" s="2498"/>
    </row>
    <row r="22811" spans="16:16">
      <c r="P22811" s="2498"/>
    </row>
    <row r="22812" spans="16:16">
      <c r="P22812" s="2498"/>
    </row>
    <row r="22813" spans="16:16">
      <c r="P22813" s="2498"/>
    </row>
    <row r="22814" spans="16:16">
      <c r="P22814" s="2498"/>
    </row>
    <row r="22815" spans="16:16">
      <c r="P22815" s="2498"/>
    </row>
    <row r="22816" spans="16:16">
      <c r="P22816" s="2498"/>
    </row>
    <row r="22817" spans="16:16">
      <c r="P22817" s="2498"/>
    </row>
    <row r="22818" spans="16:16">
      <c r="P22818" s="2498"/>
    </row>
    <row r="22819" spans="16:16">
      <c r="P22819" s="2498"/>
    </row>
    <row r="22820" spans="16:16">
      <c r="P22820" s="2498"/>
    </row>
    <row r="22821" spans="16:16">
      <c r="P22821" s="2498"/>
    </row>
    <row r="22822" spans="16:16">
      <c r="P22822" s="2498"/>
    </row>
    <row r="22823" spans="16:16">
      <c r="P22823" s="2498"/>
    </row>
    <row r="22824" spans="16:16">
      <c r="P22824" s="2498"/>
    </row>
    <row r="22825" spans="16:16">
      <c r="P22825" s="2498"/>
    </row>
    <row r="22826" spans="16:16">
      <c r="P22826" s="2498"/>
    </row>
    <row r="22827" spans="16:16">
      <c r="P22827" s="2498"/>
    </row>
    <row r="22828" spans="16:16">
      <c r="P22828" s="2498"/>
    </row>
    <row r="22829" spans="16:16">
      <c r="P22829" s="2498"/>
    </row>
    <row r="22830" spans="16:16">
      <c r="P22830" s="2498"/>
    </row>
    <row r="22831" spans="16:16">
      <c r="P22831" s="2498"/>
    </row>
    <row r="22832" spans="16:16">
      <c r="P22832" s="2498"/>
    </row>
    <row r="22833" spans="16:16">
      <c r="P22833" s="2498"/>
    </row>
    <row r="22834" spans="16:16">
      <c r="P22834" s="2498"/>
    </row>
    <row r="22835" spans="16:16">
      <c r="P22835" s="2498"/>
    </row>
    <row r="22836" spans="16:16">
      <c r="P22836" s="2498"/>
    </row>
    <row r="22837" spans="16:16">
      <c r="P22837" s="2498"/>
    </row>
    <row r="22838" spans="16:16">
      <c r="P22838" s="2498"/>
    </row>
    <row r="22839" spans="16:16">
      <c r="P22839" s="2498"/>
    </row>
    <row r="22840" spans="16:16">
      <c r="P22840" s="2498"/>
    </row>
    <row r="22841" spans="16:16">
      <c r="P22841" s="2498"/>
    </row>
    <row r="22842" spans="16:16">
      <c r="P22842" s="2498"/>
    </row>
    <row r="22843" spans="16:16">
      <c r="P22843" s="2498"/>
    </row>
    <row r="22844" spans="16:16">
      <c r="P22844" s="2498"/>
    </row>
    <row r="22845" spans="16:16">
      <c r="P22845" s="2498"/>
    </row>
    <row r="22846" spans="16:16">
      <c r="P22846" s="2498"/>
    </row>
    <row r="22847" spans="16:16">
      <c r="P22847" s="2498"/>
    </row>
    <row r="22848" spans="16:16">
      <c r="P22848" s="2498"/>
    </row>
    <row r="22849" spans="16:16">
      <c r="P22849" s="2498"/>
    </row>
    <row r="22850" spans="16:16">
      <c r="P22850" s="2498"/>
    </row>
    <row r="22851" spans="16:16">
      <c r="P22851" s="2498"/>
    </row>
    <row r="22852" spans="16:16">
      <c r="P22852" s="2498"/>
    </row>
    <row r="22853" spans="16:16">
      <c r="P22853" s="2498"/>
    </row>
    <row r="22854" spans="16:16">
      <c r="P22854" s="2498"/>
    </row>
    <row r="22855" spans="16:16">
      <c r="P22855" s="2498"/>
    </row>
    <row r="22856" spans="16:16">
      <c r="P22856" s="2498"/>
    </row>
    <row r="22857" spans="16:16">
      <c r="P22857" s="2498"/>
    </row>
    <row r="22858" spans="16:16">
      <c r="P22858" s="2498"/>
    </row>
    <row r="22859" spans="16:16">
      <c r="P22859" s="2498"/>
    </row>
    <row r="22860" spans="16:16">
      <c r="P22860" s="2498"/>
    </row>
    <row r="22861" spans="16:16">
      <c r="P22861" s="2498"/>
    </row>
    <row r="22862" spans="16:16">
      <c r="P22862" s="2498"/>
    </row>
    <row r="22863" spans="16:16">
      <c r="P22863" s="2498"/>
    </row>
    <row r="22864" spans="16:16">
      <c r="P22864" s="2498"/>
    </row>
    <row r="22865" spans="16:16">
      <c r="P22865" s="2498"/>
    </row>
    <row r="22866" spans="16:16">
      <c r="P22866" s="2498"/>
    </row>
    <row r="22867" spans="16:16">
      <c r="P22867" s="2498"/>
    </row>
    <row r="22868" spans="16:16">
      <c r="P22868" s="2498"/>
    </row>
    <row r="22869" spans="16:16">
      <c r="P22869" s="2498"/>
    </row>
    <row r="22870" spans="16:16">
      <c r="P22870" s="2498"/>
    </row>
    <row r="22871" spans="16:16">
      <c r="P22871" s="2498"/>
    </row>
    <row r="22872" spans="16:16">
      <c r="P22872" s="2498"/>
    </row>
    <row r="22873" spans="16:16">
      <c r="P22873" s="2498"/>
    </row>
    <row r="22874" spans="16:16">
      <c r="P22874" s="2498"/>
    </row>
    <row r="22875" spans="16:16">
      <c r="P22875" s="2498"/>
    </row>
    <row r="22876" spans="16:16">
      <c r="P22876" s="2498"/>
    </row>
    <row r="22877" spans="16:16">
      <c r="P22877" s="2498"/>
    </row>
    <row r="22878" spans="16:16">
      <c r="P22878" s="2498"/>
    </row>
    <row r="22879" spans="16:16">
      <c r="P22879" s="2498"/>
    </row>
    <row r="22880" spans="16:16">
      <c r="P22880" s="2498"/>
    </row>
    <row r="22881" spans="16:16">
      <c r="P22881" s="2498"/>
    </row>
    <row r="22882" spans="16:16">
      <c r="P22882" s="2498"/>
    </row>
    <row r="22883" spans="16:16">
      <c r="P22883" s="2498"/>
    </row>
    <row r="22884" spans="16:16">
      <c r="P22884" s="2498"/>
    </row>
    <row r="22885" spans="16:16">
      <c r="P22885" s="2498"/>
    </row>
    <row r="22886" spans="16:16">
      <c r="P22886" s="2498"/>
    </row>
    <row r="22887" spans="16:16">
      <c r="P22887" s="2498"/>
    </row>
    <row r="22888" spans="16:16">
      <c r="P22888" s="2498"/>
    </row>
    <row r="22889" spans="16:16">
      <c r="P22889" s="2498"/>
    </row>
    <row r="22890" spans="16:16">
      <c r="P22890" s="2498"/>
    </row>
    <row r="22891" spans="16:16">
      <c r="P22891" s="2498"/>
    </row>
    <row r="22892" spans="16:16">
      <c r="P22892" s="2498"/>
    </row>
    <row r="22893" spans="16:16">
      <c r="P22893" s="2498"/>
    </row>
    <row r="22894" spans="16:16">
      <c r="P22894" s="2498"/>
    </row>
    <row r="22895" spans="16:16">
      <c r="P22895" s="2498"/>
    </row>
    <row r="22896" spans="16:16">
      <c r="P22896" s="2498"/>
    </row>
    <row r="22897" spans="16:16">
      <c r="P22897" s="2498"/>
    </row>
    <row r="22898" spans="16:16">
      <c r="P22898" s="2498"/>
    </row>
    <row r="22899" spans="16:16">
      <c r="P22899" s="2498"/>
    </row>
    <row r="22900" spans="16:16">
      <c r="P22900" s="2498"/>
    </row>
    <row r="22901" spans="16:16">
      <c r="P22901" s="2498"/>
    </row>
    <row r="22902" spans="16:16">
      <c r="P22902" s="2498"/>
    </row>
    <row r="22903" spans="16:16">
      <c r="P22903" s="2498"/>
    </row>
    <row r="22904" spans="16:16">
      <c r="P22904" s="2498"/>
    </row>
    <row r="22905" spans="16:16">
      <c r="P22905" s="2498"/>
    </row>
    <row r="22906" spans="16:16">
      <c r="P22906" s="2498"/>
    </row>
    <row r="22907" spans="16:16">
      <c r="P22907" s="2498"/>
    </row>
    <row r="22908" spans="16:16">
      <c r="P22908" s="2498"/>
    </row>
    <row r="22909" spans="16:16">
      <c r="P22909" s="2498"/>
    </row>
    <row r="22910" spans="16:16">
      <c r="P22910" s="2498"/>
    </row>
    <row r="22911" spans="16:16">
      <c r="P22911" s="2498"/>
    </row>
    <row r="22912" spans="16:16">
      <c r="P22912" s="2498"/>
    </row>
    <row r="22913" spans="16:16">
      <c r="P22913" s="2498"/>
    </row>
    <row r="22914" spans="16:16">
      <c r="P22914" s="2498"/>
    </row>
    <row r="22915" spans="16:16">
      <c r="P22915" s="2498"/>
    </row>
    <row r="22916" spans="16:16">
      <c r="P22916" s="2498"/>
    </row>
    <row r="22917" spans="16:16">
      <c r="P22917" s="2498"/>
    </row>
    <row r="22918" spans="16:16">
      <c r="P22918" s="2498"/>
    </row>
    <row r="22919" spans="16:16">
      <c r="P22919" s="2498"/>
    </row>
    <row r="22920" spans="16:16">
      <c r="P22920" s="2498"/>
    </row>
    <row r="22921" spans="16:16">
      <c r="P22921" s="2498"/>
    </row>
    <row r="22922" spans="16:16">
      <c r="P22922" s="2498"/>
    </row>
    <row r="22923" spans="16:16">
      <c r="P22923" s="2498"/>
    </row>
    <row r="22924" spans="16:16">
      <c r="P22924" s="2498"/>
    </row>
    <row r="22925" spans="16:16">
      <c r="P22925" s="2498"/>
    </row>
    <row r="22926" spans="16:16">
      <c r="P22926" s="2498"/>
    </row>
    <row r="22927" spans="16:16">
      <c r="P22927" s="2498"/>
    </row>
    <row r="22928" spans="16:16">
      <c r="P22928" s="2498"/>
    </row>
    <row r="22929" spans="16:16">
      <c r="P22929" s="2498"/>
    </row>
    <row r="22930" spans="16:16">
      <c r="P22930" s="2498"/>
    </row>
    <row r="22931" spans="16:16">
      <c r="P22931" s="2498"/>
    </row>
    <row r="22932" spans="16:16">
      <c r="P22932" s="2498"/>
    </row>
    <row r="22933" spans="16:16">
      <c r="P22933" s="2498"/>
    </row>
    <row r="22934" spans="16:16">
      <c r="P22934" s="2498"/>
    </row>
    <row r="22935" spans="16:16">
      <c r="P22935" s="2498"/>
    </row>
    <row r="22936" spans="16:16">
      <c r="P22936" s="2498"/>
    </row>
    <row r="22937" spans="16:16">
      <c r="P22937" s="2498"/>
    </row>
    <row r="22938" spans="16:16">
      <c r="P22938" s="2498"/>
    </row>
    <row r="22939" spans="16:16">
      <c r="P22939" s="2498"/>
    </row>
    <row r="22940" spans="16:16">
      <c r="P22940" s="2498"/>
    </row>
    <row r="22941" spans="16:16">
      <c r="P22941" s="2498"/>
    </row>
    <row r="22942" spans="16:16">
      <c r="P22942" s="2498"/>
    </row>
    <row r="22943" spans="16:16">
      <c r="P22943" s="2498"/>
    </row>
    <row r="22944" spans="16:16">
      <c r="P22944" s="2498"/>
    </row>
    <row r="22945" spans="16:16">
      <c r="P22945" s="2498"/>
    </row>
    <row r="22946" spans="16:16">
      <c r="P22946" s="2498"/>
    </row>
    <row r="22947" spans="16:16">
      <c r="P22947" s="2498"/>
    </row>
    <row r="22948" spans="16:16">
      <c r="P22948" s="2498"/>
    </row>
    <row r="22949" spans="16:16">
      <c r="P22949" s="2498"/>
    </row>
    <row r="22950" spans="16:16">
      <c r="P22950" s="2498"/>
    </row>
    <row r="22951" spans="16:16">
      <c r="P22951" s="2498"/>
    </row>
    <row r="22952" spans="16:16">
      <c r="P22952" s="2498"/>
    </row>
    <row r="22953" spans="16:16">
      <c r="P22953" s="2498"/>
    </row>
    <row r="22954" spans="16:16">
      <c r="P22954" s="2498"/>
    </row>
    <row r="22955" spans="16:16">
      <c r="P22955" s="2498"/>
    </row>
    <row r="22956" spans="16:16">
      <c r="P22956" s="2498"/>
    </row>
    <row r="22957" spans="16:16">
      <c r="P22957" s="2498"/>
    </row>
    <row r="22958" spans="16:16">
      <c r="P22958" s="2498"/>
    </row>
    <row r="22959" spans="16:16">
      <c r="P22959" s="2498"/>
    </row>
    <row r="22960" spans="16:16">
      <c r="P22960" s="2498"/>
    </row>
    <row r="22961" spans="16:16">
      <c r="P22961" s="2498"/>
    </row>
    <row r="22962" spans="16:16">
      <c r="P22962" s="2498"/>
    </row>
    <row r="22963" spans="16:16">
      <c r="P22963" s="2498"/>
    </row>
    <row r="22964" spans="16:16">
      <c r="P22964" s="2498"/>
    </row>
    <row r="22965" spans="16:16">
      <c r="P22965" s="2498"/>
    </row>
    <row r="22966" spans="16:16">
      <c r="P22966" s="2498"/>
    </row>
    <row r="22967" spans="16:16">
      <c r="P22967" s="2498"/>
    </row>
    <row r="22968" spans="16:16">
      <c r="P22968" s="2498"/>
    </row>
    <row r="22969" spans="16:16">
      <c r="P22969" s="2498"/>
    </row>
    <row r="22970" spans="16:16">
      <c r="P22970" s="2498"/>
    </row>
    <row r="22971" spans="16:16">
      <c r="P22971" s="2498"/>
    </row>
    <row r="22972" spans="16:16">
      <c r="P22972" s="2498"/>
    </row>
    <row r="22973" spans="16:16">
      <c r="P22973" s="2498"/>
    </row>
    <row r="22974" spans="16:16">
      <c r="P22974" s="2498"/>
    </row>
    <row r="22975" spans="16:16">
      <c r="P22975" s="2498"/>
    </row>
    <row r="22976" spans="16:16">
      <c r="P22976" s="2498"/>
    </row>
    <row r="22977" spans="16:16">
      <c r="P22977" s="2498"/>
    </row>
    <row r="22978" spans="16:16">
      <c r="P22978" s="2498"/>
    </row>
    <row r="22979" spans="16:16">
      <c r="P22979" s="2498"/>
    </row>
    <row r="22980" spans="16:16">
      <c r="P22980" s="2498"/>
    </row>
    <row r="22981" spans="16:16">
      <c r="P22981" s="2498"/>
    </row>
    <row r="22982" spans="16:16">
      <c r="P22982" s="2498"/>
    </row>
    <row r="22983" spans="16:16">
      <c r="P22983" s="2498"/>
    </row>
    <row r="22984" spans="16:16">
      <c r="P22984" s="2498"/>
    </row>
    <row r="22985" spans="16:16">
      <c r="P22985" s="2498"/>
    </row>
    <row r="22986" spans="16:16">
      <c r="P22986" s="2498"/>
    </row>
    <row r="22987" spans="16:16">
      <c r="P22987" s="2498"/>
    </row>
    <row r="22988" spans="16:16">
      <c r="P22988" s="2498"/>
    </row>
    <row r="22989" spans="16:16">
      <c r="P22989" s="2498"/>
    </row>
    <row r="22990" spans="16:16">
      <c r="P22990" s="2498"/>
    </row>
    <row r="22991" spans="16:16">
      <c r="P22991" s="2498"/>
    </row>
    <row r="22992" spans="16:16">
      <c r="P22992" s="2498"/>
    </row>
    <row r="22993" spans="16:16">
      <c r="P22993" s="2498"/>
    </row>
    <row r="22994" spans="16:16">
      <c r="P22994" s="2498"/>
    </row>
    <row r="22995" spans="16:16">
      <c r="P22995" s="2498"/>
    </row>
    <row r="22996" spans="16:16">
      <c r="P22996" s="2498"/>
    </row>
    <row r="22997" spans="16:16">
      <c r="P22997" s="2498"/>
    </row>
    <row r="22998" spans="16:16">
      <c r="P22998" s="2498"/>
    </row>
    <row r="22999" spans="16:16">
      <c r="P22999" s="2498"/>
    </row>
    <row r="23000" spans="16:16">
      <c r="P23000" s="2498"/>
    </row>
    <row r="23001" spans="16:16">
      <c r="P23001" s="2498"/>
    </row>
    <row r="23002" spans="16:16">
      <c r="P23002" s="2498"/>
    </row>
    <row r="23003" spans="16:16">
      <c r="P23003" s="2498"/>
    </row>
    <row r="23004" spans="16:16">
      <c r="P23004" s="2498"/>
    </row>
    <row r="23005" spans="16:16">
      <c r="P23005" s="2498"/>
    </row>
    <row r="23006" spans="16:16">
      <c r="P23006" s="2498"/>
    </row>
    <row r="23007" spans="16:16">
      <c r="P23007" s="2498"/>
    </row>
    <row r="23008" spans="16:16">
      <c r="P23008" s="2498"/>
    </row>
    <row r="23009" spans="16:16">
      <c r="P23009" s="2498"/>
    </row>
    <row r="23010" spans="16:16">
      <c r="P23010" s="2498"/>
    </row>
    <row r="23011" spans="16:16">
      <c r="P23011" s="2498"/>
    </row>
    <row r="23012" spans="16:16">
      <c r="P23012" s="2498"/>
    </row>
    <row r="23013" spans="16:16">
      <c r="P23013" s="2498"/>
    </row>
    <row r="23014" spans="16:16">
      <c r="P23014" s="2498"/>
    </row>
    <row r="23015" spans="16:16">
      <c r="P23015" s="2498"/>
    </row>
    <row r="23016" spans="16:16">
      <c r="P23016" s="2498"/>
    </row>
    <row r="23017" spans="16:16">
      <c r="P23017" s="2498"/>
    </row>
    <row r="23018" spans="16:16">
      <c r="P23018" s="2498"/>
    </row>
    <row r="23019" spans="16:16">
      <c r="P23019" s="2498"/>
    </row>
    <row r="23020" spans="16:16">
      <c r="P23020" s="2498"/>
    </row>
    <row r="23021" spans="16:16">
      <c r="P23021" s="2498"/>
    </row>
    <row r="23022" spans="16:16">
      <c r="P23022" s="2498"/>
    </row>
    <row r="23023" spans="16:16">
      <c r="P23023" s="2498"/>
    </row>
    <row r="23024" spans="16:16">
      <c r="P23024" s="2498"/>
    </row>
    <row r="23025" spans="16:16">
      <c r="P23025" s="2498"/>
    </row>
    <row r="23026" spans="16:16">
      <c r="P23026" s="2498"/>
    </row>
    <row r="23027" spans="16:16">
      <c r="P23027" s="2498"/>
    </row>
    <row r="23028" spans="16:16">
      <c r="P23028" s="2498"/>
    </row>
    <row r="23029" spans="16:16">
      <c r="P23029" s="2498"/>
    </row>
    <row r="23030" spans="16:16">
      <c r="P23030" s="2498"/>
    </row>
    <row r="23031" spans="16:16">
      <c r="P23031" s="2498"/>
    </row>
    <row r="23032" spans="16:16">
      <c r="P23032" s="2498"/>
    </row>
    <row r="23033" spans="16:16">
      <c r="P23033" s="2498"/>
    </row>
    <row r="23034" spans="16:16">
      <c r="P23034" s="2498"/>
    </row>
    <row r="23035" spans="16:16">
      <c r="P23035" s="2498"/>
    </row>
    <row r="23036" spans="16:16">
      <c r="P23036" s="2498"/>
    </row>
    <row r="23037" spans="16:16">
      <c r="P23037" s="2498"/>
    </row>
    <row r="23038" spans="16:16">
      <c r="P23038" s="2498"/>
    </row>
    <row r="23039" spans="16:16">
      <c r="P23039" s="2498"/>
    </row>
    <row r="23040" spans="16:16">
      <c r="P23040" s="2498"/>
    </row>
    <row r="23041" spans="16:16">
      <c r="P23041" s="2498"/>
    </row>
    <row r="23042" spans="16:16">
      <c r="P23042" s="2498"/>
    </row>
    <row r="23043" spans="16:16">
      <c r="P23043" s="2498"/>
    </row>
    <row r="23044" spans="16:16">
      <c r="P23044" s="2498"/>
    </row>
    <row r="23045" spans="16:16">
      <c r="P23045" s="2498"/>
    </row>
    <row r="23046" spans="16:16">
      <c r="P23046" s="2498"/>
    </row>
    <row r="23047" spans="16:16">
      <c r="P23047" s="2498"/>
    </row>
    <row r="23048" spans="16:16">
      <c r="P23048" s="2498"/>
    </row>
    <row r="23049" spans="16:16">
      <c r="P23049" s="2498"/>
    </row>
    <row r="23050" spans="16:16">
      <c r="P23050" s="2498"/>
    </row>
    <row r="23051" spans="16:16">
      <c r="P23051" s="2498"/>
    </row>
    <row r="23052" spans="16:16">
      <c r="P23052" s="2498"/>
    </row>
    <row r="23053" spans="16:16">
      <c r="P23053" s="2498"/>
    </row>
    <row r="23054" spans="16:16">
      <c r="P23054" s="2498"/>
    </row>
    <row r="23055" spans="16:16">
      <c r="P23055" s="2498"/>
    </row>
    <row r="23056" spans="16:16">
      <c r="P23056" s="2498"/>
    </row>
    <row r="23057" spans="16:16">
      <c r="P23057" s="2498"/>
    </row>
    <row r="23058" spans="16:16">
      <c r="P23058" s="2498"/>
    </row>
    <row r="23059" spans="16:16">
      <c r="P23059" s="2498"/>
    </row>
    <row r="23060" spans="16:16">
      <c r="P23060" s="2498"/>
    </row>
    <row r="23061" spans="16:16">
      <c r="P23061" s="2498"/>
    </row>
    <row r="23062" spans="16:16">
      <c r="P23062" s="2498"/>
    </row>
    <row r="23063" spans="16:16">
      <c r="P23063" s="2498"/>
    </row>
    <row r="23064" spans="16:16">
      <c r="P23064" s="2498"/>
    </row>
    <row r="23065" spans="16:16">
      <c r="P23065" s="2498"/>
    </row>
    <row r="23066" spans="16:16">
      <c r="P23066" s="2498"/>
    </row>
    <row r="23067" spans="16:16">
      <c r="P23067" s="2498"/>
    </row>
    <row r="23068" spans="16:16">
      <c r="P23068" s="2498"/>
    </row>
    <row r="23069" spans="16:16">
      <c r="P23069" s="2498"/>
    </row>
    <row r="23070" spans="16:16">
      <c r="P23070" s="2498"/>
    </row>
    <row r="23071" spans="16:16">
      <c r="P23071" s="2498"/>
    </row>
    <row r="23072" spans="16:16">
      <c r="P23072" s="2498"/>
    </row>
    <row r="23073" spans="16:16">
      <c r="P23073" s="2498"/>
    </row>
    <row r="23074" spans="16:16">
      <c r="P23074" s="2498"/>
    </row>
    <row r="23075" spans="16:16">
      <c r="P23075" s="2498"/>
    </row>
    <row r="23076" spans="16:16">
      <c r="P23076" s="2498"/>
    </row>
    <row r="23077" spans="16:16">
      <c r="P23077" s="2498"/>
    </row>
    <row r="23078" spans="16:16">
      <c r="P23078" s="2498"/>
    </row>
    <row r="23079" spans="16:16">
      <c r="P23079" s="2498"/>
    </row>
    <row r="23080" spans="16:16">
      <c r="P23080" s="2498"/>
    </row>
    <row r="23081" spans="16:16">
      <c r="P23081" s="2498"/>
    </row>
    <row r="23082" spans="16:16">
      <c r="P23082" s="2498"/>
    </row>
    <row r="23083" spans="16:16">
      <c r="P23083" s="2498"/>
    </row>
    <row r="23084" spans="16:16">
      <c r="P23084" s="2498"/>
    </row>
    <row r="23085" spans="16:16">
      <c r="P23085" s="2498"/>
    </row>
    <row r="23086" spans="16:16">
      <c r="P23086" s="2498"/>
    </row>
    <row r="23087" spans="16:16">
      <c r="P23087" s="2498"/>
    </row>
    <row r="23088" spans="16:16">
      <c r="P23088" s="2498"/>
    </row>
    <row r="23089" spans="16:16">
      <c r="P23089" s="2498"/>
    </row>
    <row r="23090" spans="16:16">
      <c r="P23090" s="2498"/>
    </row>
    <row r="23091" spans="16:16">
      <c r="P23091" s="2498"/>
    </row>
    <row r="23092" spans="16:16">
      <c r="P23092" s="2498"/>
    </row>
    <row r="23093" spans="16:16">
      <c r="P23093" s="2498"/>
    </row>
    <row r="23094" spans="16:16">
      <c r="P23094" s="2498"/>
    </row>
    <row r="23095" spans="16:16">
      <c r="P23095" s="2498"/>
    </row>
    <row r="23096" spans="16:16">
      <c r="P23096" s="2498"/>
    </row>
    <row r="23097" spans="16:16">
      <c r="P23097" s="2498"/>
    </row>
    <row r="23098" spans="16:16">
      <c r="P23098" s="2498"/>
    </row>
    <row r="23099" spans="16:16">
      <c r="P23099" s="2498"/>
    </row>
    <row r="23100" spans="16:16">
      <c r="P23100" s="2498"/>
    </row>
    <row r="23101" spans="16:16">
      <c r="P23101" s="2498"/>
    </row>
    <row r="23102" spans="16:16">
      <c r="P23102" s="2498"/>
    </row>
    <row r="23103" spans="16:16">
      <c r="P23103" s="2498"/>
    </row>
    <row r="23104" spans="16:16">
      <c r="P23104" s="2498"/>
    </row>
    <row r="23105" spans="16:16">
      <c r="P23105" s="2498"/>
    </row>
    <row r="23106" spans="16:16">
      <c r="P23106" s="2498"/>
    </row>
    <row r="23107" spans="16:16">
      <c r="P23107" s="2498"/>
    </row>
    <row r="23108" spans="16:16">
      <c r="P23108" s="2498"/>
    </row>
    <row r="23109" spans="16:16">
      <c r="P23109" s="2498"/>
    </row>
    <row r="23110" spans="16:16">
      <c r="P23110" s="2498"/>
    </row>
    <row r="23111" spans="16:16">
      <c r="P23111" s="2498"/>
    </row>
    <row r="23112" spans="16:16">
      <c r="P23112" s="2498"/>
    </row>
    <row r="23113" spans="16:16">
      <c r="P23113" s="2498"/>
    </row>
    <row r="23114" spans="16:16">
      <c r="P23114" s="2498"/>
    </row>
    <row r="23115" spans="16:16">
      <c r="P23115" s="2498"/>
    </row>
    <row r="23116" spans="16:16">
      <c r="P23116" s="2498"/>
    </row>
    <row r="23117" spans="16:16">
      <c r="P23117" s="2498"/>
    </row>
    <row r="23118" spans="16:16">
      <c r="P23118" s="2498"/>
    </row>
    <row r="23119" spans="16:16">
      <c r="P23119" s="2498"/>
    </row>
    <row r="23120" spans="16:16">
      <c r="P23120" s="2498"/>
    </row>
    <row r="23121" spans="16:16">
      <c r="P23121" s="2498"/>
    </row>
    <row r="23122" spans="16:16">
      <c r="P23122" s="2498"/>
    </row>
    <row r="23123" spans="16:16">
      <c r="P23123" s="2498"/>
    </row>
    <row r="23124" spans="16:16">
      <c r="P23124" s="2498"/>
    </row>
    <row r="23125" spans="16:16">
      <c r="P23125" s="2498"/>
    </row>
    <row r="23126" spans="16:16">
      <c r="P23126" s="2498"/>
    </row>
    <row r="23127" spans="16:16">
      <c r="P23127" s="2498"/>
    </row>
    <row r="23128" spans="16:16">
      <c r="P23128" s="2498"/>
    </row>
    <row r="23129" spans="16:16">
      <c r="P23129" s="2498"/>
    </row>
    <row r="23130" spans="16:16">
      <c r="P23130" s="2498"/>
    </row>
    <row r="23131" spans="16:16">
      <c r="P23131" s="2498"/>
    </row>
    <row r="23132" spans="16:16">
      <c r="P23132" s="2498"/>
    </row>
    <row r="23133" spans="16:16">
      <c r="P23133" s="2498"/>
    </row>
    <row r="23134" spans="16:16">
      <c r="P23134" s="2498"/>
    </row>
    <row r="23135" spans="16:16">
      <c r="P23135" s="2498"/>
    </row>
    <row r="23136" spans="16:16">
      <c r="P23136" s="2498"/>
    </row>
    <row r="23137" spans="16:16">
      <c r="P23137" s="2498"/>
    </row>
    <row r="23138" spans="16:16">
      <c r="P23138" s="2498"/>
    </row>
    <row r="23139" spans="16:16">
      <c r="P23139" s="2498"/>
    </row>
    <row r="23140" spans="16:16">
      <c r="P23140" s="2498"/>
    </row>
    <row r="23141" spans="16:16">
      <c r="P23141" s="2498"/>
    </row>
    <row r="23142" spans="16:16">
      <c r="P23142" s="2498"/>
    </row>
    <row r="23143" spans="16:16">
      <c r="P23143" s="2498"/>
    </row>
    <row r="23144" spans="16:16">
      <c r="P23144" s="2498"/>
    </row>
    <row r="23145" spans="16:16">
      <c r="P23145" s="2498"/>
    </row>
    <row r="23146" spans="16:16">
      <c r="P23146" s="2498"/>
    </row>
    <row r="23147" spans="16:16">
      <c r="P23147" s="2498"/>
    </row>
    <row r="23148" spans="16:16">
      <c r="P23148" s="2498"/>
    </row>
    <row r="23149" spans="16:16">
      <c r="P23149" s="2498"/>
    </row>
    <row r="23150" spans="16:16">
      <c r="P23150" s="2498"/>
    </row>
    <row r="23151" spans="16:16">
      <c r="P23151" s="2498"/>
    </row>
    <row r="23152" spans="16:16">
      <c r="P23152" s="2498"/>
    </row>
    <row r="23153" spans="16:16">
      <c r="P23153" s="2498"/>
    </row>
    <row r="23154" spans="16:16">
      <c r="P23154" s="2498"/>
    </row>
    <row r="23155" spans="16:16">
      <c r="P23155" s="2498"/>
    </row>
    <row r="23156" spans="16:16">
      <c r="P23156" s="2498"/>
    </row>
    <row r="23157" spans="16:16">
      <c r="P23157" s="2498"/>
    </row>
    <row r="23158" spans="16:16">
      <c r="P23158" s="2498"/>
    </row>
    <row r="23159" spans="16:16">
      <c r="P23159" s="2498"/>
    </row>
    <row r="23160" spans="16:16">
      <c r="P23160" s="2498"/>
    </row>
    <row r="23161" spans="16:16">
      <c r="P23161" s="2498"/>
    </row>
    <row r="23162" spans="16:16">
      <c r="P23162" s="2498"/>
    </row>
    <row r="23163" spans="16:16">
      <c r="P23163" s="2498"/>
    </row>
    <row r="23164" spans="16:16">
      <c r="P23164" s="2498"/>
    </row>
    <row r="23165" spans="16:16">
      <c r="P23165" s="2498"/>
    </row>
    <row r="23166" spans="16:16">
      <c r="P23166" s="2498"/>
    </row>
    <row r="23167" spans="16:16">
      <c r="P23167" s="2498"/>
    </row>
    <row r="23168" spans="16:16">
      <c r="P23168" s="2498"/>
    </row>
    <row r="23169" spans="16:16">
      <c r="P23169" s="2498"/>
    </row>
    <row r="23170" spans="16:16">
      <c r="P23170" s="2498"/>
    </row>
    <row r="23171" spans="16:16">
      <c r="P23171" s="2498"/>
    </row>
    <row r="23172" spans="16:16">
      <c r="P23172" s="2498"/>
    </row>
    <row r="23173" spans="16:16">
      <c r="P23173" s="2498"/>
    </row>
    <row r="23174" spans="16:16">
      <c r="P23174" s="2498"/>
    </row>
    <row r="23175" spans="16:16">
      <c r="P23175" s="2498"/>
    </row>
    <row r="23176" spans="16:16">
      <c r="P23176" s="2498"/>
    </row>
    <row r="23177" spans="16:16">
      <c r="P23177" s="2498"/>
    </row>
    <row r="23178" spans="16:16">
      <c r="P23178" s="2498"/>
    </row>
    <row r="23179" spans="16:16">
      <c r="P23179" s="2498"/>
    </row>
    <row r="23180" spans="16:16">
      <c r="P23180" s="2498"/>
    </row>
    <row r="23181" spans="16:16">
      <c r="P23181" s="2498"/>
    </row>
    <row r="23182" spans="16:16">
      <c r="P23182" s="2498"/>
    </row>
    <row r="23183" spans="16:16">
      <c r="P23183" s="2498"/>
    </row>
    <row r="23184" spans="16:16">
      <c r="P23184" s="2498"/>
    </row>
    <row r="23185" spans="16:16">
      <c r="P23185" s="2498"/>
    </row>
    <row r="23186" spans="16:16">
      <c r="P23186" s="2498"/>
    </row>
    <row r="23187" spans="16:16">
      <c r="P23187" s="2498"/>
    </row>
    <row r="23188" spans="16:16">
      <c r="P23188" s="2498"/>
    </row>
    <row r="23189" spans="16:16">
      <c r="P23189" s="2498"/>
    </row>
    <row r="23190" spans="16:16">
      <c r="P23190" s="2498"/>
    </row>
    <row r="23191" spans="16:16">
      <c r="P23191" s="2498"/>
    </row>
    <row r="23192" spans="16:16">
      <c r="P23192" s="2498"/>
    </row>
    <row r="23193" spans="16:16">
      <c r="P23193" s="2498"/>
    </row>
    <row r="23194" spans="16:16">
      <c r="P23194" s="2498"/>
    </row>
    <row r="23195" spans="16:16">
      <c r="P23195" s="2498"/>
    </row>
    <row r="23196" spans="16:16">
      <c r="P23196" s="2498"/>
    </row>
    <row r="23197" spans="16:16">
      <c r="P23197" s="2498"/>
    </row>
    <row r="23198" spans="16:16">
      <c r="P23198" s="2498"/>
    </row>
    <row r="23199" spans="16:16">
      <c r="P23199" s="2498"/>
    </row>
    <row r="23200" spans="16:16">
      <c r="P23200" s="2498"/>
    </row>
    <row r="23201" spans="16:16">
      <c r="P23201" s="2498"/>
    </row>
    <row r="23202" spans="16:16">
      <c r="P23202" s="2498"/>
    </row>
    <row r="23203" spans="16:16">
      <c r="P23203" s="2498"/>
    </row>
    <row r="23204" spans="16:16">
      <c r="P23204" s="2498"/>
    </row>
    <row r="23205" spans="16:16">
      <c r="P23205" s="2498"/>
    </row>
    <row r="23206" spans="16:16">
      <c r="P23206" s="2498"/>
    </row>
    <row r="23207" spans="16:16">
      <c r="P23207" s="2498"/>
    </row>
    <row r="23208" spans="16:16">
      <c r="P23208" s="2498"/>
    </row>
    <row r="23209" spans="16:16">
      <c r="P23209" s="2498"/>
    </row>
    <row r="23210" spans="16:16">
      <c r="P23210" s="2498"/>
    </row>
    <row r="23211" spans="16:16">
      <c r="P23211" s="2498"/>
    </row>
    <row r="23212" spans="16:16">
      <c r="P23212" s="2498"/>
    </row>
    <row r="23213" spans="16:16">
      <c r="P23213" s="2498"/>
    </row>
    <row r="23214" spans="16:16">
      <c r="P23214" s="2498"/>
    </row>
    <row r="23215" spans="16:16">
      <c r="P23215" s="2498"/>
    </row>
    <row r="23216" spans="16:16">
      <c r="P23216" s="2498"/>
    </row>
    <row r="23217" spans="16:16">
      <c r="P23217" s="2498"/>
    </row>
    <row r="23218" spans="16:16">
      <c r="P23218" s="2498"/>
    </row>
    <row r="23219" spans="16:16">
      <c r="P23219" s="2498"/>
    </row>
    <row r="23220" spans="16:16">
      <c r="P23220" s="2498"/>
    </row>
    <row r="23221" spans="16:16">
      <c r="P23221" s="2498"/>
    </row>
    <row r="23222" spans="16:16">
      <c r="P23222" s="2498"/>
    </row>
    <row r="23223" spans="16:16">
      <c r="P23223" s="2498"/>
    </row>
    <row r="23224" spans="16:16">
      <c r="P23224" s="2498"/>
    </row>
    <row r="23225" spans="16:16">
      <c r="P23225" s="2498"/>
    </row>
    <row r="23226" spans="16:16">
      <c r="P23226" s="2498"/>
    </row>
    <row r="23227" spans="16:16">
      <c r="P23227" s="2498"/>
    </row>
    <row r="23228" spans="16:16">
      <c r="P23228" s="2498"/>
    </row>
    <row r="23229" spans="16:16">
      <c r="P23229" s="2498"/>
    </row>
    <row r="23230" spans="16:16">
      <c r="P23230" s="2498"/>
    </row>
    <row r="23231" spans="16:16">
      <c r="P23231" s="2498"/>
    </row>
    <row r="23232" spans="16:16">
      <c r="P23232" s="2498"/>
    </row>
    <row r="23233" spans="16:16">
      <c r="P23233" s="2498"/>
    </row>
    <row r="23234" spans="16:16">
      <c r="P23234" s="2498"/>
    </row>
    <row r="23235" spans="16:16">
      <c r="P23235" s="2498"/>
    </row>
    <row r="23236" spans="16:16">
      <c r="P23236" s="2498"/>
    </row>
    <row r="23237" spans="16:16">
      <c r="P23237" s="2498"/>
    </row>
    <row r="23238" spans="16:16">
      <c r="P23238" s="2498"/>
    </row>
    <row r="23239" spans="16:16">
      <c r="P23239" s="2498"/>
    </row>
    <row r="23240" spans="16:16">
      <c r="P23240" s="2498"/>
    </row>
    <row r="23241" spans="16:16">
      <c r="P23241" s="2498"/>
    </row>
    <row r="23242" spans="16:16">
      <c r="P23242" s="2498"/>
    </row>
    <row r="23243" spans="16:16">
      <c r="P23243" s="2498"/>
    </row>
    <row r="23244" spans="16:16">
      <c r="P23244" s="2498"/>
    </row>
    <row r="23245" spans="16:16">
      <c r="P23245" s="2498"/>
    </row>
    <row r="23246" spans="16:16">
      <c r="P23246" s="2498"/>
    </row>
    <row r="23247" spans="16:16">
      <c r="P23247" s="2498"/>
    </row>
    <row r="23248" spans="16:16">
      <c r="P23248" s="2498"/>
    </row>
    <row r="23249" spans="16:16">
      <c r="P23249" s="2498"/>
    </row>
    <row r="23250" spans="16:16">
      <c r="P23250" s="2498"/>
    </row>
    <row r="23251" spans="16:16">
      <c r="P23251" s="2498"/>
    </row>
    <row r="23252" spans="16:16">
      <c r="P23252" s="2498"/>
    </row>
    <row r="23253" spans="16:16">
      <c r="P23253" s="2498"/>
    </row>
    <row r="23254" spans="16:16">
      <c r="P23254" s="2498"/>
    </row>
    <row r="23255" spans="16:16">
      <c r="P23255" s="2498"/>
    </row>
    <row r="23256" spans="16:16">
      <c r="P23256" s="2498"/>
    </row>
    <row r="23257" spans="16:16">
      <c r="P23257" s="2498"/>
    </row>
    <row r="23258" spans="16:16">
      <c r="P23258" s="2498"/>
    </row>
    <row r="23259" spans="16:16">
      <c r="P23259" s="2498"/>
    </row>
    <row r="23260" spans="16:16">
      <c r="P23260" s="2498"/>
    </row>
    <row r="23261" spans="16:16">
      <c r="P23261" s="2498"/>
    </row>
    <row r="23262" spans="16:16">
      <c r="P23262" s="2498"/>
    </row>
    <row r="23263" spans="16:16">
      <c r="P23263" s="2498"/>
    </row>
    <row r="23264" spans="16:16">
      <c r="P23264" s="2498"/>
    </row>
    <row r="23265" spans="16:16">
      <c r="P23265" s="2498"/>
    </row>
    <row r="23266" spans="16:16">
      <c r="P23266" s="2498"/>
    </row>
    <row r="23267" spans="16:16">
      <c r="P23267" s="2498"/>
    </row>
    <row r="23268" spans="16:16">
      <c r="P23268" s="2498"/>
    </row>
    <row r="23269" spans="16:16">
      <c r="P23269" s="2498"/>
    </row>
    <row r="23270" spans="16:16">
      <c r="P23270" s="2498"/>
    </row>
    <row r="23271" spans="16:16">
      <c r="P23271" s="2498"/>
    </row>
    <row r="23272" spans="16:16">
      <c r="P23272" s="2498"/>
    </row>
    <row r="23273" spans="16:16">
      <c r="P23273" s="2498"/>
    </row>
    <row r="23274" spans="16:16">
      <c r="P23274" s="2498"/>
    </row>
    <row r="23275" spans="16:16">
      <c r="P23275" s="2498"/>
    </row>
    <row r="23276" spans="16:16">
      <c r="P23276" s="2498"/>
    </row>
    <row r="23277" spans="16:16">
      <c r="P23277" s="2498"/>
    </row>
    <row r="23278" spans="16:16">
      <c r="P23278" s="2498"/>
    </row>
    <row r="23279" spans="16:16">
      <c r="P23279" s="2498"/>
    </row>
    <row r="23280" spans="16:16">
      <c r="P23280" s="2498"/>
    </row>
    <row r="23281" spans="16:16">
      <c r="P23281" s="2498"/>
    </row>
    <row r="23282" spans="16:16">
      <c r="P23282" s="2498"/>
    </row>
    <row r="23283" spans="16:16">
      <c r="P23283" s="2498"/>
    </row>
    <row r="23284" spans="16:16">
      <c r="P23284" s="2498"/>
    </row>
    <row r="23285" spans="16:16">
      <c r="P23285" s="2498"/>
    </row>
    <row r="23286" spans="16:16">
      <c r="P23286" s="2498"/>
    </row>
    <row r="23287" spans="16:16">
      <c r="P23287" s="2498"/>
    </row>
    <row r="23288" spans="16:16">
      <c r="P23288" s="2498"/>
    </row>
    <row r="23289" spans="16:16">
      <c r="P23289" s="2498"/>
    </row>
    <row r="23290" spans="16:16">
      <c r="P23290" s="2498"/>
    </row>
    <row r="23291" spans="16:16">
      <c r="P23291" s="2498"/>
    </row>
    <row r="23292" spans="16:16">
      <c r="P23292" s="2498"/>
    </row>
    <row r="23293" spans="16:16">
      <c r="P23293" s="2498"/>
    </row>
    <row r="23294" spans="16:16">
      <c r="P23294" s="2498"/>
    </row>
    <row r="23295" spans="16:16">
      <c r="P23295" s="2498"/>
    </row>
    <row r="23296" spans="16:16">
      <c r="P23296" s="2498"/>
    </row>
    <row r="23297" spans="16:16">
      <c r="P23297" s="2498"/>
    </row>
    <row r="23298" spans="16:16">
      <c r="P23298" s="2498"/>
    </row>
    <row r="23299" spans="16:16">
      <c r="P23299" s="2498"/>
    </row>
    <row r="23300" spans="16:16">
      <c r="P23300" s="2498"/>
    </row>
    <row r="23301" spans="16:16">
      <c r="P23301" s="2498"/>
    </row>
    <row r="23302" spans="16:16">
      <c r="P23302" s="2498"/>
    </row>
    <row r="23303" spans="16:16">
      <c r="P23303" s="2498"/>
    </row>
    <row r="23304" spans="16:16">
      <c r="P23304" s="2498"/>
    </row>
    <row r="23305" spans="16:16">
      <c r="P23305" s="2498"/>
    </row>
    <row r="23306" spans="16:16">
      <c r="P23306" s="2498"/>
    </row>
    <row r="23307" spans="16:16">
      <c r="P23307" s="2498"/>
    </row>
    <row r="23308" spans="16:16">
      <c r="P23308" s="2498"/>
    </row>
    <row r="23309" spans="16:16">
      <c r="P23309" s="2498"/>
    </row>
    <row r="23310" spans="16:16">
      <c r="P23310" s="2498"/>
    </row>
    <row r="23311" spans="16:16">
      <c r="P23311" s="2498"/>
    </row>
    <row r="23312" spans="16:16">
      <c r="P23312" s="2498"/>
    </row>
    <row r="23313" spans="16:16">
      <c r="P23313" s="2498"/>
    </row>
    <row r="23314" spans="16:16">
      <c r="P23314" s="2498"/>
    </row>
    <row r="23315" spans="16:16">
      <c r="P23315" s="2498"/>
    </row>
    <row r="23316" spans="16:16">
      <c r="P23316" s="2498"/>
    </row>
    <row r="23317" spans="16:16">
      <c r="P23317" s="2498"/>
    </row>
    <row r="23318" spans="16:16">
      <c r="P23318" s="2498"/>
    </row>
    <row r="23319" spans="16:16">
      <c r="P23319" s="2498"/>
    </row>
    <row r="23320" spans="16:16">
      <c r="P23320" s="2498"/>
    </row>
    <row r="23321" spans="16:16">
      <c r="P23321" s="2498"/>
    </row>
    <row r="23322" spans="16:16">
      <c r="P23322" s="2498"/>
    </row>
    <row r="23323" spans="16:16">
      <c r="P23323" s="2498"/>
    </row>
    <row r="23324" spans="16:16">
      <c r="P23324" s="2498"/>
    </row>
    <row r="23325" spans="16:16">
      <c r="P23325" s="2498"/>
    </row>
    <row r="23326" spans="16:16">
      <c r="P23326" s="2498"/>
    </row>
    <row r="23327" spans="16:16">
      <c r="P23327" s="2498"/>
    </row>
    <row r="23328" spans="16:16">
      <c r="P23328" s="2498"/>
    </row>
    <row r="23329" spans="16:16">
      <c r="P23329" s="2498"/>
    </row>
    <row r="23330" spans="16:16">
      <c r="P23330" s="2498"/>
    </row>
    <row r="23331" spans="16:16">
      <c r="P23331" s="2498"/>
    </row>
    <row r="23332" spans="16:16">
      <c r="P23332" s="2498"/>
    </row>
    <row r="23333" spans="16:16">
      <c r="P23333" s="2498"/>
    </row>
    <row r="23334" spans="16:16">
      <c r="P23334" s="2498"/>
    </row>
    <row r="23335" spans="16:16">
      <c r="P23335" s="2498"/>
    </row>
    <row r="23336" spans="16:16">
      <c r="P23336" s="2498"/>
    </row>
    <row r="23337" spans="16:16">
      <c r="P23337" s="2498"/>
    </row>
    <row r="23338" spans="16:16">
      <c r="P23338" s="2498"/>
    </row>
    <row r="23339" spans="16:16">
      <c r="P23339" s="2498"/>
    </row>
    <row r="23340" spans="16:16">
      <c r="P23340" s="2498"/>
    </row>
    <row r="23341" spans="16:16">
      <c r="P23341" s="2498"/>
    </row>
    <row r="23342" spans="16:16">
      <c r="P23342" s="2498"/>
    </row>
    <row r="23343" spans="16:16">
      <c r="P23343" s="2498"/>
    </row>
    <row r="23344" spans="16:16">
      <c r="P23344" s="2498"/>
    </row>
    <row r="23345" spans="16:16">
      <c r="P23345" s="2498"/>
    </row>
    <row r="23346" spans="16:16">
      <c r="P23346" s="2498"/>
    </row>
    <row r="23347" spans="16:16">
      <c r="P23347" s="2498"/>
    </row>
    <row r="23348" spans="16:16">
      <c r="P23348" s="2498"/>
    </row>
    <row r="23349" spans="16:16">
      <c r="P23349" s="2498"/>
    </row>
    <row r="23350" spans="16:16">
      <c r="P23350" s="2498"/>
    </row>
    <row r="23351" spans="16:16">
      <c r="P23351" s="2498"/>
    </row>
    <row r="23352" spans="16:16">
      <c r="P23352" s="2498"/>
    </row>
    <row r="23353" spans="16:16">
      <c r="P23353" s="2498"/>
    </row>
    <row r="23354" spans="16:16">
      <c r="P23354" s="2498"/>
    </row>
    <row r="23355" spans="16:16">
      <c r="P23355" s="2498"/>
    </row>
    <row r="23356" spans="16:16">
      <c r="P23356" s="2498"/>
    </row>
    <row r="23357" spans="16:16">
      <c r="P23357" s="2498"/>
    </row>
    <row r="23358" spans="16:16">
      <c r="P23358" s="2498"/>
    </row>
    <row r="23359" spans="16:16">
      <c r="P23359" s="2498"/>
    </row>
    <row r="23360" spans="16:16">
      <c r="P23360" s="2498"/>
    </row>
    <row r="23361" spans="16:16">
      <c r="P23361" s="2498"/>
    </row>
    <row r="23362" spans="16:16">
      <c r="P23362" s="2498"/>
    </row>
    <row r="23363" spans="16:16">
      <c r="P23363" s="2498"/>
    </row>
    <row r="23364" spans="16:16">
      <c r="P23364" s="2498"/>
    </row>
    <row r="23365" spans="16:16">
      <c r="P23365" s="2498"/>
    </row>
    <row r="23366" spans="16:16">
      <c r="P23366" s="2498"/>
    </row>
    <row r="23367" spans="16:16">
      <c r="P23367" s="2498"/>
    </row>
    <row r="23368" spans="16:16">
      <c r="P23368" s="2498"/>
    </row>
    <row r="23369" spans="16:16">
      <c r="P23369" s="2498"/>
    </row>
    <row r="23370" spans="16:16">
      <c r="P23370" s="2498"/>
    </row>
    <row r="23371" spans="16:16">
      <c r="P23371" s="2498"/>
    </row>
    <row r="23372" spans="16:16">
      <c r="P23372" s="2498"/>
    </row>
    <row r="23373" spans="16:16">
      <c r="P23373" s="2498"/>
    </row>
    <row r="23374" spans="16:16">
      <c r="P23374" s="2498"/>
    </row>
    <row r="23375" spans="16:16">
      <c r="P23375" s="2498"/>
    </row>
    <row r="23376" spans="16:16">
      <c r="P23376" s="2498"/>
    </row>
    <row r="23377" spans="16:16">
      <c r="P23377" s="2498"/>
    </row>
    <row r="23378" spans="16:16">
      <c r="P23378" s="2498"/>
    </row>
    <row r="23379" spans="16:16">
      <c r="P23379" s="2498"/>
    </row>
    <row r="23380" spans="16:16">
      <c r="P23380" s="2498"/>
    </row>
    <row r="23381" spans="16:16">
      <c r="P23381" s="2498"/>
    </row>
    <row r="23382" spans="16:16">
      <c r="P23382" s="2498"/>
    </row>
    <row r="23383" spans="16:16">
      <c r="P23383" s="2498"/>
    </row>
    <row r="23384" spans="16:16">
      <c r="P23384" s="2498"/>
    </row>
    <row r="23385" spans="16:16">
      <c r="P23385" s="2498"/>
    </row>
    <row r="23386" spans="16:16">
      <c r="P23386" s="2498"/>
    </row>
    <row r="23387" spans="16:16">
      <c r="P23387" s="2498"/>
    </row>
    <row r="23388" spans="16:16">
      <c r="P23388" s="2498"/>
    </row>
    <row r="23389" spans="16:16">
      <c r="P23389" s="2498"/>
    </row>
    <row r="23390" spans="16:16">
      <c r="P23390" s="2498"/>
    </row>
    <row r="23391" spans="16:16">
      <c r="P23391" s="2498"/>
    </row>
    <row r="23392" spans="16:16">
      <c r="P23392" s="2498"/>
    </row>
    <row r="23393" spans="16:16">
      <c r="P23393" s="2498"/>
    </row>
    <row r="23394" spans="16:16">
      <c r="P23394" s="2498"/>
    </row>
    <row r="23395" spans="16:16">
      <c r="P23395" s="2498"/>
    </row>
    <row r="23396" spans="16:16">
      <c r="P23396" s="2498"/>
    </row>
    <row r="23397" spans="16:16">
      <c r="P23397" s="2498"/>
    </row>
    <row r="23398" spans="16:16">
      <c r="P23398" s="2498"/>
    </row>
    <row r="23399" spans="16:16">
      <c r="P23399" s="2498"/>
    </row>
    <row r="23400" spans="16:16">
      <c r="P23400" s="2498"/>
    </row>
    <row r="23401" spans="16:16">
      <c r="P23401" s="2498"/>
    </row>
    <row r="23402" spans="16:16">
      <c r="P23402" s="2498"/>
    </row>
    <row r="23403" spans="16:16">
      <c r="P23403" s="2498"/>
    </row>
    <row r="23404" spans="16:16">
      <c r="P23404" s="2498"/>
    </row>
    <row r="23405" spans="16:16">
      <c r="P23405" s="2498"/>
    </row>
    <row r="23406" spans="16:16">
      <c r="P23406" s="2498"/>
    </row>
    <row r="23407" spans="16:16">
      <c r="P23407" s="2498"/>
    </row>
    <row r="23408" spans="16:16">
      <c r="P23408" s="2498"/>
    </row>
    <row r="23409" spans="16:16">
      <c r="P23409" s="2498"/>
    </row>
    <row r="23410" spans="16:16">
      <c r="P23410" s="2498"/>
    </row>
    <row r="23411" spans="16:16">
      <c r="P23411" s="2498"/>
    </row>
    <row r="23412" spans="16:16">
      <c r="P23412" s="2498"/>
    </row>
    <row r="23413" spans="16:16">
      <c r="P23413" s="2498"/>
    </row>
    <row r="23414" spans="16:16">
      <c r="P23414" s="2498"/>
    </row>
    <row r="23415" spans="16:16">
      <c r="P23415" s="2498"/>
    </row>
    <row r="23416" spans="16:16">
      <c r="P23416" s="2498"/>
    </row>
    <row r="23417" spans="16:16">
      <c r="P23417" s="2498"/>
    </row>
    <row r="23418" spans="16:16">
      <c r="P23418" s="2498"/>
    </row>
    <row r="23419" spans="16:16">
      <c r="P23419" s="2498"/>
    </row>
    <row r="23420" spans="16:16">
      <c r="P23420" s="2498"/>
    </row>
    <row r="23421" spans="16:16">
      <c r="P23421" s="2498"/>
    </row>
    <row r="23422" spans="16:16">
      <c r="P23422" s="2498"/>
    </row>
    <row r="23423" spans="16:16">
      <c r="P23423" s="2498"/>
    </row>
    <row r="23424" spans="16:16">
      <c r="P23424" s="2498"/>
    </row>
    <row r="23425" spans="16:16">
      <c r="P23425" s="2498"/>
    </row>
    <row r="23426" spans="16:16">
      <c r="P23426" s="2498"/>
    </row>
    <row r="23427" spans="16:16">
      <c r="P23427" s="2498"/>
    </row>
    <row r="23428" spans="16:16">
      <c r="P23428" s="2498"/>
    </row>
    <row r="23429" spans="16:16">
      <c r="P23429" s="2498"/>
    </row>
    <row r="23430" spans="16:16">
      <c r="P23430" s="2498"/>
    </row>
    <row r="23431" spans="16:16">
      <c r="P23431" s="2498"/>
    </row>
    <row r="23432" spans="16:16">
      <c r="P23432" s="2498"/>
    </row>
    <row r="23433" spans="16:16">
      <c r="P23433" s="2498"/>
    </row>
    <row r="23434" spans="16:16">
      <c r="P23434" s="2498"/>
    </row>
    <row r="23435" spans="16:16">
      <c r="P23435" s="2498"/>
    </row>
    <row r="23436" spans="16:16">
      <c r="P23436" s="2498"/>
    </row>
    <row r="23437" spans="16:16">
      <c r="P23437" s="2498"/>
    </row>
    <row r="23438" spans="16:16">
      <c r="P23438" s="2498"/>
    </row>
    <row r="23439" spans="16:16">
      <c r="P23439" s="2498"/>
    </row>
    <row r="23440" spans="16:16">
      <c r="P23440" s="2498"/>
    </row>
    <row r="23441" spans="16:16">
      <c r="P23441" s="2498"/>
    </row>
    <row r="23442" spans="16:16">
      <c r="P23442" s="2498"/>
    </row>
    <row r="23443" spans="16:16">
      <c r="P23443" s="2498"/>
    </row>
    <row r="23444" spans="16:16">
      <c r="P23444" s="2498"/>
    </row>
    <row r="23445" spans="16:16">
      <c r="P23445" s="2498"/>
    </row>
    <row r="23446" spans="16:16">
      <c r="P23446" s="2498"/>
    </row>
    <row r="23447" spans="16:16">
      <c r="P23447" s="2498"/>
    </row>
    <row r="23448" spans="16:16">
      <c r="P23448" s="2498"/>
    </row>
    <row r="23449" spans="16:16">
      <c r="P23449" s="2498"/>
    </row>
    <row r="23450" spans="16:16">
      <c r="P23450" s="2498"/>
    </row>
    <row r="23451" spans="16:16">
      <c r="P23451" s="2498"/>
    </row>
    <row r="23452" spans="16:16">
      <c r="P23452" s="2498"/>
    </row>
    <row r="23453" spans="16:16">
      <c r="P23453" s="2498"/>
    </row>
    <row r="23454" spans="16:16">
      <c r="P23454" s="2498"/>
    </row>
    <row r="23455" spans="16:16">
      <c r="P23455" s="2498"/>
    </row>
    <row r="23456" spans="16:16">
      <c r="P23456" s="2498"/>
    </row>
    <row r="23457" spans="16:16">
      <c r="P23457" s="2498"/>
    </row>
    <row r="23458" spans="16:16">
      <c r="P23458" s="2498"/>
    </row>
    <row r="23459" spans="16:16">
      <c r="P23459" s="2498"/>
    </row>
    <row r="23460" spans="16:16">
      <c r="P23460" s="2498"/>
    </row>
    <row r="23461" spans="16:16">
      <c r="P23461" s="2498"/>
    </row>
    <row r="23462" spans="16:16">
      <c r="P23462" s="2498"/>
    </row>
    <row r="23463" spans="16:16">
      <c r="P23463" s="2498"/>
    </row>
    <row r="23464" spans="16:16">
      <c r="P23464" s="2498"/>
    </row>
    <row r="23465" spans="16:16">
      <c r="P23465" s="2498"/>
    </row>
    <row r="23466" spans="16:16">
      <c r="P23466" s="2498"/>
    </row>
    <row r="23467" spans="16:16">
      <c r="P23467" s="2498"/>
    </row>
    <row r="23468" spans="16:16">
      <c r="P23468" s="2498"/>
    </row>
    <row r="23469" spans="16:16">
      <c r="P23469" s="2498"/>
    </row>
    <row r="23470" spans="16:16">
      <c r="P23470" s="2498"/>
    </row>
    <row r="23471" spans="16:16">
      <c r="P23471" s="2498"/>
    </row>
    <row r="23472" spans="16:16">
      <c r="P23472" s="2498"/>
    </row>
    <row r="23473" spans="16:16">
      <c r="P23473" s="2498"/>
    </row>
    <row r="23474" spans="16:16">
      <c r="P23474" s="2498"/>
    </row>
    <row r="23475" spans="16:16">
      <c r="P23475" s="2498"/>
    </row>
    <row r="23476" spans="16:16">
      <c r="P23476" s="2498"/>
    </row>
    <row r="23477" spans="16:16">
      <c r="P23477" s="2498"/>
    </row>
    <row r="23478" spans="16:16">
      <c r="P23478" s="2498"/>
    </row>
    <row r="23479" spans="16:16">
      <c r="P23479" s="2498"/>
    </row>
    <row r="23480" spans="16:16">
      <c r="P23480" s="2498"/>
    </row>
    <row r="23481" spans="16:16">
      <c r="P23481" s="2498"/>
    </row>
    <row r="23482" spans="16:16">
      <c r="P23482" s="2498"/>
    </row>
    <row r="23483" spans="16:16">
      <c r="P23483" s="2498"/>
    </row>
    <row r="23484" spans="16:16">
      <c r="P23484" s="2498"/>
    </row>
    <row r="23485" spans="16:16">
      <c r="P23485" s="2498"/>
    </row>
    <row r="23486" spans="16:16">
      <c r="P23486" s="2498"/>
    </row>
    <row r="23487" spans="16:16">
      <c r="P23487" s="2498"/>
    </row>
    <row r="23488" spans="16:16">
      <c r="P23488" s="2498"/>
    </row>
    <row r="23489" spans="16:16">
      <c r="P23489" s="2498"/>
    </row>
    <row r="23490" spans="16:16">
      <c r="P23490" s="2498"/>
    </row>
    <row r="23491" spans="16:16">
      <c r="P23491" s="2498"/>
    </row>
    <row r="23492" spans="16:16">
      <c r="P23492" s="2498"/>
    </row>
    <row r="23493" spans="16:16">
      <c r="P23493" s="2498"/>
    </row>
    <row r="23494" spans="16:16">
      <c r="P23494" s="2498"/>
    </row>
    <row r="23495" spans="16:16">
      <c r="P23495" s="2498"/>
    </row>
    <row r="23496" spans="16:16">
      <c r="P23496" s="2498"/>
    </row>
    <row r="23497" spans="16:16">
      <c r="P23497" s="2498"/>
    </row>
    <row r="23498" spans="16:16">
      <c r="P23498" s="2498"/>
    </row>
    <row r="23499" spans="16:16">
      <c r="P23499" s="2498"/>
    </row>
    <row r="23500" spans="16:16">
      <c r="P23500" s="2498"/>
    </row>
    <row r="23501" spans="16:16">
      <c r="P23501" s="2498"/>
    </row>
    <row r="23502" spans="16:16">
      <c r="P23502" s="2498"/>
    </row>
    <row r="23503" spans="16:16">
      <c r="P23503" s="2498"/>
    </row>
    <row r="23504" spans="16:16">
      <c r="P23504" s="2498"/>
    </row>
    <row r="23505" spans="16:16">
      <c r="P23505" s="2498"/>
    </row>
    <row r="23506" spans="16:16">
      <c r="P23506" s="2498"/>
    </row>
    <row r="23507" spans="16:16">
      <c r="P23507" s="2498"/>
    </row>
    <row r="23508" spans="16:16">
      <c r="P23508" s="2498"/>
    </row>
    <row r="23509" spans="16:16">
      <c r="P23509" s="2498"/>
    </row>
    <row r="23510" spans="16:16">
      <c r="P23510" s="2498"/>
    </row>
    <row r="23511" spans="16:16">
      <c r="P23511" s="2498"/>
    </row>
    <row r="23512" spans="16:16">
      <c r="P23512" s="2498"/>
    </row>
    <row r="23513" spans="16:16">
      <c r="P23513" s="2498"/>
    </row>
    <row r="23514" spans="16:16">
      <c r="P23514" s="2498"/>
    </row>
    <row r="23515" spans="16:16">
      <c r="P23515" s="2498"/>
    </row>
    <row r="23516" spans="16:16">
      <c r="P23516" s="2498"/>
    </row>
    <row r="23517" spans="16:16">
      <c r="P23517" s="2498"/>
    </row>
    <row r="23518" spans="16:16">
      <c r="P23518" s="2498"/>
    </row>
    <row r="23519" spans="16:16">
      <c r="P23519" s="2498"/>
    </row>
    <row r="23520" spans="16:16">
      <c r="P23520" s="2498"/>
    </row>
    <row r="23521" spans="16:16">
      <c r="P23521" s="2498"/>
    </row>
    <row r="23522" spans="16:16">
      <c r="P23522" s="2498"/>
    </row>
    <row r="23523" spans="16:16">
      <c r="P23523" s="2498"/>
    </row>
    <row r="23524" spans="16:16">
      <c r="P23524" s="2498"/>
    </row>
    <row r="23525" spans="16:16">
      <c r="P23525" s="2498"/>
    </row>
    <row r="23526" spans="16:16">
      <c r="P23526" s="2498"/>
    </row>
    <row r="23527" spans="16:16">
      <c r="P23527" s="2498"/>
    </row>
    <row r="23528" spans="16:16">
      <c r="P23528" s="2498"/>
    </row>
    <row r="23529" spans="16:16">
      <c r="P23529" s="2498"/>
    </row>
    <row r="23530" spans="16:16">
      <c r="P23530" s="2498"/>
    </row>
    <row r="23531" spans="16:16">
      <c r="P23531" s="2498"/>
    </row>
    <row r="23532" spans="16:16">
      <c r="P23532" s="2498"/>
    </row>
    <row r="23533" spans="16:16">
      <c r="P23533" s="2498"/>
    </row>
    <row r="23534" spans="16:16">
      <c r="P23534" s="2498"/>
    </row>
    <row r="23535" spans="16:16">
      <c r="P23535" s="2498"/>
    </row>
    <row r="23536" spans="16:16">
      <c r="P23536" s="2498"/>
    </row>
    <row r="23537" spans="16:16">
      <c r="P23537" s="2498"/>
    </row>
    <row r="23538" spans="16:16">
      <c r="P23538" s="2498"/>
    </row>
    <row r="23539" spans="16:16">
      <c r="P23539" s="2498"/>
    </row>
    <row r="23540" spans="16:16">
      <c r="P23540" s="2498"/>
    </row>
    <row r="23541" spans="16:16">
      <c r="P23541" s="2498"/>
    </row>
    <row r="23542" spans="16:16">
      <c r="P23542" s="2498"/>
    </row>
    <row r="23543" spans="16:16">
      <c r="P23543" s="2498"/>
    </row>
    <row r="23544" spans="16:16">
      <c r="P23544" s="2498"/>
    </row>
    <row r="23545" spans="16:16">
      <c r="P23545" s="2498"/>
    </row>
    <row r="23546" spans="16:16">
      <c r="P23546" s="2498"/>
    </row>
    <row r="23547" spans="16:16">
      <c r="P23547" s="2498"/>
    </row>
    <row r="23548" spans="16:16">
      <c r="P23548" s="2498"/>
    </row>
    <row r="23549" spans="16:16">
      <c r="P23549" s="2498"/>
    </row>
    <row r="23550" spans="16:16">
      <c r="P23550" s="2498"/>
    </row>
    <row r="23551" spans="16:16">
      <c r="P23551" s="2498"/>
    </row>
    <row r="23552" spans="16:16">
      <c r="P23552" s="2498"/>
    </row>
    <row r="23553" spans="16:16">
      <c r="P23553" s="2498"/>
    </row>
    <row r="23554" spans="16:16">
      <c r="P23554" s="2498"/>
    </row>
    <row r="23555" spans="16:16">
      <c r="P23555" s="2498"/>
    </row>
    <row r="23556" spans="16:16">
      <c r="P23556" s="2498"/>
    </row>
    <row r="23557" spans="16:16">
      <c r="P23557" s="2498"/>
    </row>
    <row r="23558" spans="16:16">
      <c r="P23558" s="2498"/>
    </row>
    <row r="23559" spans="16:16">
      <c r="P23559" s="2498"/>
    </row>
    <row r="23560" spans="16:16">
      <c r="P23560" s="2498"/>
    </row>
    <row r="23561" spans="16:16">
      <c r="P23561" s="2498"/>
    </row>
    <row r="23562" spans="16:16">
      <c r="P23562" s="2498"/>
    </row>
    <row r="23563" spans="16:16">
      <c r="P23563" s="2498"/>
    </row>
    <row r="23564" spans="16:16">
      <c r="P23564" s="2498"/>
    </row>
    <row r="23565" spans="16:16">
      <c r="P23565" s="2498"/>
    </row>
    <row r="23566" spans="16:16">
      <c r="P23566" s="2498"/>
    </row>
    <row r="23567" spans="16:16">
      <c r="P23567" s="2498"/>
    </row>
    <row r="23568" spans="16:16">
      <c r="P23568" s="2498"/>
    </row>
    <row r="23569" spans="16:16">
      <c r="P23569" s="2498"/>
    </row>
    <row r="23570" spans="16:16">
      <c r="P23570" s="2498"/>
    </row>
    <row r="23571" spans="16:16">
      <c r="P23571" s="2498"/>
    </row>
    <row r="23572" spans="16:16">
      <c r="P23572" s="2498"/>
    </row>
    <row r="23573" spans="16:16">
      <c r="P23573" s="2498"/>
    </row>
    <row r="23574" spans="16:16">
      <c r="P23574" s="2498"/>
    </row>
    <row r="23575" spans="16:16">
      <c r="P23575" s="2498"/>
    </row>
    <row r="23576" spans="16:16">
      <c r="P23576" s="2498"/>
    </row>
    <row r="23577" spans="16:16">
      <c r="P23577" s="2498"/>
    </row>
    <row r="23578" spans="16:16">
      <c r="P23578" s="2498"/>
    </row>
    <row r="23579" spans="16:16">
      <c r="P23579" s="2498"/>
    </row>
    <row r="23580" spans="16:16">
      <c r="P23580" s="2498"/>
    </row>
    <row r="23581" spans="16:16">
      <c r="P23581" s="2498"/>
    </row>
    <row r="23582" spans="16:16">
      <c r="P23582" s="2498"/>
    </row>
    <row r="23583" spans="16:16">
      <c r="P23583" s="2498"/>
    </row>
    <row r="23584" spans="16:16">
      <c r="P23584" s="2498"/>
    </row>
    <row r="23585" spans="16:16">
      <c r="P23585" s="2498"/>
    </row>
    <row r="23586" spans="16:16">
      <c r="P23586" s="2498"/>
    </row>
    <row r="23587" spans="16:16">
      <c r="P23587" s="2498"/>
    </row>
    <row r="23588" spans="16:16">
      <c r="P23588" s="2498"/>
    </row>
    <row r="23589" spans="16:16">
      <c r="P23589" s="2498"/>
    </row>
    <row r="23590" spans="16:16">
      <c r="P23590" s="2498"/>
    </row>
    <row r="23591" spans="16:16">
      <c r="P23591" s="2498"/>
    </row>
    <row r="23592" spans="16:16">
      <c r="P23592" s="2498"/>
    </row>
    <row r="23593" spans="16:16">
      <c r="P23593" s="2498"/>
    </row>
    <row r="23594" spans="16:16">
      <c r="P23594" s="2498"/>
    </row>
    <row r="23595" spans="16:16">
      <c r="P23595" s="2498"/>
    </row>
    <row r="23596" spans="16:16">
      <c r="P23596" s="2498"/>
    </row>
    <row r="23597" spans="16:16">
      <c r="P23597" s="2498"/>
    </row>
    <row r="23598" spans="16:16">
      <c r="P23598" s="2498"/>
    </row>
    <row r="23599" spans="16:16">
      <c r="P23599" s="2498"/>
    </row>
    <row r="23600" spans="16:16">
      <c r="P23600" s="2498"/>
    </row>
    <row r="23601" spans="16:16">
      <c r="P23601" s="2498"/>
    </row>
    <row r="23602" spans="16:16">
      <c r="P23602" s="2498"/>
    </row>
    <row r="23603" spans="16:16">
      <c r="P23603" s="2498"/>
    </row>
    <row r="23604" spans="16:16">
      <c r="P23604" s="2498"/>
    </row>
    <row r="23605" spans="16:16">
      <c r="P23605" s="2498"/>
    </row>
    <row r="23606" spans="16:16">
      <c r="P23606" s="2498"/>
    </row>
    <row r="23607" spans="16:16">
      <c r="P23607" s="2498"/>
    </row>
    <row r="23608" spans="16:16">
      <c r="P23608" s="2498"/>
    </row>
    <row r="23609" spans="16:16">
      <c r="P23609" s="2498"/>
    </row>
    <row r="23610" spans="16:16">
      <c r="P23610" s="2498"/>
    </row>
    <row r="23611" spans="16:16">
      <c r="P23611" s="2498"/>
    </row>
    <row r="23612" spans="16:16">
      <c r="P23612" s="2498"/>
    </row>
    <row r="23613" spans="16:16">
      <c r="P23613" s="2498"/>
    </row>
    <row r="23614" spans="16:16">
      <c r="P23614" s="2498"/>
    </row>
    <row r="23615" spans="16:16">
      <c r="P23615" s="2498"/>
    </row>
    <row r="23616" spans="16:16">
      <c r="P23616" s="2498"/>
    </row>
    <row r="23617" spans="16:16">
      <c r="P23617" s="2498"/>
    </row>
    <row r="23618" spans="16:16">
      <c r="P23618" s="2498"/>
    </row>
    <row r="23619" spans="16:16">
      <c r="P23619" s="2498"/>
    </row>
    <row r="23620" spans="16:16">
      <c r="P23620" s="2498"/>
    </row>
    <row r="23621" spans="16:16">
      <c r="P23621" s="2498"/>
    </row>
    <row r="23622" spans="16:16">
      <c r="P23622" s="2498"/>
    </row>
    <row r="23623" spans="16:16">
      <c r="P23623" s="2498"/>
    </row>
    <row r="23624" spans="16:16">
      <c r="P23624" s="2498"/>
    </row>
    <row r="23625" spans="16:16">
      <c r="P23625" s="2498"/>
    </row>
    <row r="23626" spans="16:16">
      <c r="P23626" s="2498"/>
    </row>
    <row r="23627" spans="16:16">
      <c r="P23627" s="2498"/>
    </row>
    <row r="23628" spans="16:16">
      <c r="P23628" s="2498"/>
    </row>
    <row r="23629" spans="16:16">
      <c r="P23629" s="2498"/>
    </row>
    <row r="23630" spans="16:16">
      <c r="P23630" s="2498"/>
    </row>
    <row r="23631" spans="16:16">
      <c r="P23631" s="2498"/>
    </row>
    <row r="23632" spans="16:16">
      <c r="P23632" s="2498"/>
    </row>
    <row r="23633" spans="16:16">
      <c r="P23633" s="2498"/>
    </row>
    <row r="23634" spans="16:16">
      <c r="P23634" s="2498"/>
    </row>
    <row r="23635" spans="16:16">
      <c r="P23635" s="2498"/>
    </row>
    <row r="23636" spans="16:16">
      <c r="P23636" s="2498"/>
    </row>
    <row r="23637" spans="16:16">
      <c r="P23637" s="2498"/>
    </row>
    <row r="23638" spans="16:16">
      <c r="P23638" s="2498"/>
    </row>
    <row r="23639" spans="16:16">
      <c r="P23639" s="2498"/>
    </row>
    <row r="23640" spans="16:16">
      <c r="P23640" s="2498"/>
    </row>
    <row r="23641" spans="16:16">
      <c r="P23641" s="2498"/>
    </row>
    <row r="23642" spans="16:16">
      <c r="P23642" s="2498"/>
    </row>
    <row r="23643" spans="16:16">
      <c r="P23643" s="2498"/>
    </row>
    <row r="23644" spans="16:16">
      <c r="P23644" s="2498"/>
    </row>
    <row r="23645" spans="16:16">
      <c r="P23645" s="2498"/>
    </row>
    <row r="23646" spans="16:16">
      <c r="P23646" s="2498"/>
    </row>
    <row r="23647" spans="16:16">
      <c r="P23647" s="2498"/>
    </row>
    <row r="23648" spans="16:16">
      <c r="P23648" s="2498"/>
    </row>
    <row r="23649" spans="16:16">
      <c r="P23649" s="2498"/>
    </row>
    <row r="23650" spans="16:16">
      <c r="P23650" s="2498"/>
    </row>
    <row r="23651" spans="16:16">
      <c r="P23651" s="2498"/>
    </row>
    <row r="23652" spans="16:16">
      <c r="P23652" s="2498"/>
    </row>
    <row r="23653" spans="16:16">
      <c r="P23653" s="2498"/>
    </row>
    <row r="23654" spans="16:16">
      <c r="P23654" s="2498"/>
    </row>
    <row r="23655" spans="16:16">
      <c r="P23655" s="2498"/>
    </row>
    <row r="23656" spans="16:16">
      <c r="P23656" s="2498"/>
    </row>
    <row r="23657" spans="16:16">
      <c r="P23657" s="2498"/>
    </row>
    <row r="23658" spans="16:16">
      <c r="P23658" s="2498"/>
    </row>
    <row r="23659" spans="16:16">
      <c r="P23659" s="2498"/>
    </row>
    <row r="23660" spans="16:16">
      <c r="P23660" s="2498"/>
    </row>
    <row r="23661" spans="16:16">
      <c r="P23661" s="2498"/>
    </row>
    <row r="23662" spans="16:16">
      <c r="P23662" s="2498"/>
    </row>
    <row r="23663" spans="16:16">
      <c r="P23663" s="2498"/>
    </row>
    <row r="23664" spans="16:16">
      <c r="P23664" s="2498"/>
    </row>
    <row r="23665" spans="16:16">
      <c r="P23665" s="2498"/>
    </row>
    <row r="23666" spans="16:16">
      <c r="P23666" s="2498"/>
    </row>
    <row r="23667" spans="16:16">
      <c r="P23667" s="2498"/>
    </row>
    <row r="23668" spans="16:16">
      <c r="P23668" s="2498"/>
    </row>
    <row r="23669" spans="16:16">
      <c r="P23669" s="2498"/>
    </row>
    <row r="23670" spans="16:16">
      <c r="P23670" s="2498"/>
    </row>
    <row r="23671" spans="16:16">
      <c r="P23671" s="2498"/>
    </row>
    <row r="23672" spans="16:16">
      <c r="P23672" s="2498"/>
    </row>
    <row r="23673" spans="16:16">
      <c r="P23673" s="2498"/>
    </row>
    <row r="23674" spans="16:16">
      <c r="P23674" s="2498"/>
    </row>
    <row r="23675" spans="16:16">
      <c r="P23675" s="2498"/>
    </row>
    <row r="23676" spans="16:16">
      <c r="P23676" s="2498"/>
    </row>
    <row r="23677" spans="16:16">
      <c r="P23677" s="2498"/>
    </row>
    <row r="23678" spans="16:16">
      <c r="P23678" s="2498"/>
    </row>
    <row r="23679" spans="16:16">
      <c r="P23679" s="2498"/>
    </row>
    <row r="23680" spans="16:16">
      <c r="P23680" s="2498"/>
    </row>
    <row r="23681" spans="16:16">
      <c r="P23681" s="2498"/>
    </row>
    <row r="23682" spans="16:16">
      <c r="P23682" s="2498"/>
    </row>
    <row r="23683" spans="16:16">
      <c r="P23683" s="2498"/>
    </row>
    <row r="23684" spans="16:16">
      <c r="P23684" s="2498"/>
    </row>
    <row r="23685" spans="16:16">
      <c r="P23685" s="2498"/>
    </row>
    <row r="23686" spans="16:16">
      <c r="P23686" s="2498"/>
    </row>
    <row r="23687" spans="16:16">
      <c r="P23687" s="2498"/>
    </row>
    <row r="23688" spans="16:16">
      <c r="P23688" s="2498"/>
    </row>
    <row r="23689" spans="16:16">
      <c r="P23689" s="2498"/>
    </row>
    <row r="23690" spans="16:16">
      <c r="P23690" s="2498"/>
    </row>
    <row r="23691" spans="16:16">
      <c r="P23691" s="2498"/>
    </row>
    <row r="23692" spans="16:16">
      <c r="P23692" s="2498"/>
    </row>
    <row r="23693" spans="16:16">
      <c r="P23693" s="2498"/>
    </row>
    <row r="23694" spans="16:16">
      <c r="P23694" s="2498"/>
    </row>
    <row r="23695" spans="16:16">
      <c r="P23695" s="2498"/>
    </row>
    <row r="23696" spans="16:16">
      <c r="P23696" s="2498"/>
    </row>
    <row r="23697" spans="16:16">
      <c r="P23697" s="2498"/>
    </row>
    <row r="23698" spans="16:16">
      <c r="P23698" s="2498"/>
    </row>
    <row r="23699" spans="16:16">
      <c r="P23699" s="2498"/>
    </row>
    <row r="23700" spans="16:16">
      <c r="P23700" s="2498"/>
    </row>
    <row r="23701" spans="16:16">
      <c r="P23701" s="2498"/>
    </row>
    <row r="23702" spans="16:16">
      <c r="P23702" s="2498"/>
    </row>
    <row r="23703" spans="16:16">
      <c r="P23703" s="2498"/>
    </row>
    <row r="23704" spans="16:16">
      <c r="P23704" s="2498"/>
    </row>
    <row r="23705" spans="16:16">
      <c r="P23705" s="2498"/>
    </row>
    <row r="23706" spans="16:16">
      <c r="P23706" s="2498"/>
    </row>
    <row r="23707" spans="16:16">
      <c r="P23707" s="2498"/>
    </row>
    <row r="23708" spans="16:16">
      <c r="P23708" s="2498"/>
    </row>
    <row r="23709" spans="16:16">
      <c r="P23709" s="2498"/>
    </row>
    <row r="23710" spans="16:16">
      <c r="P23710" s="2498"/>
    </row>
    <row r="23711" spans="16:16">
      <c r="P23711" s="2498"/>
    </row>
    <row r="23712" spans="16:16">
      <c r="P23712" s="2498"/>
    </row>
    <row r="23713" spans="16:16">
      <c r="P23713" s="2498"/>
    </row>
    <row r="23714" spans="16:16">
      <c r="P23714" s="2498"/>
    </row>
    <row r="23715" spans="16:16">
      <c r="P23715" s="2498"/>
    </row>
    <row r="23716" spans="16:16">
      <c r="P23716" s="2498"/>
    </row>
    <row r="23717" spans="16:16">
      <c r="P23717" s="2498"/>
    </row>
    <row r="23718" spans="16:16">
      <c r="P23718" s="2498"/>
    </row>
    <row r="23719" spans="16:16">
      <c r="P23719" s="2498"/>
    </row>
    <row r="23720" spans="16:16">
      <c r="P23720" s="2498"/>
    </row>
    <row r="23721" spans="16:16">
      <c r="P23721" s="2498"/>
    </row>
    <row r="23722" spans="16:16">
      <c r="P23722" s="2498"/>
    </row>
    <row r="23723" spans="16:16">
      <c r="P23723" s="2498"/>
    </row>
    <row r="23724" spans="16:16">
      <c r="P23724" s="2498"/>
    </row>
    <row r="23725" spans="16:16">
      <c r="P23725" s="2498"/>
    </row>
    <row r="23726" spans="16:16">
      <c r="P23726" s="2498"/>
    </row>
    <row r="23727" spans="16:16">
      <c r="P23727" s="2498"/>
    </row>
    <row r="23728" spans="16:16">
      <c r="P23728" s="2498"/>
    </row>
    <row r="23729" spans="16:16">
      <c r="P23729" s="2498"/>
    </row>
    <row r="23730" spans="16:16">
      <c r="P23730" s="2498"/>
    </row>
    <row r="23731" spans="16:16">
      <c r="P23731" s="2498"/>
    </row>
    <row r="23732" spans="16:16">
      <c r="P23732" s="2498"/>
    </row>
    <row r="23733" spans="16:16">
      <c r="P23733" s="2498"/>
    </row>
    <row r="23734" spans="16:16">
      <c r="P23734" s="2498"/>
    </row>
    <row r="23735" spans="16:16">
      <c r="P23735" s="2498"/>
    </row>
    <row r="23736" spans="16:16">
      <c r="P23736" s="2498"/>
    </row>
    <row r="23737" spans="16:16">
      <c r="P23737" s="2498"/>
    </row>
    <row r="23738" spans="16:16">
      <c r="P23738" s="2498"/>
    </row>
    <row r="23739" spans="16:16">
      <c r="P23739" s="2498"/>
    </row>
    <row r="23740" spans="16:16">
      <c r="P23740" s="2498"/>
    </row>
    <row r="23741" spans="16:16">
      <c r="P23741" s="2498"/>
    </row>
    <row r="23742" spans="16:16">
      <c r="P23742" s="2498"/>
    </row>
    <row r="23743" spans="16:16">
      <c r="P23743" s="2498"/>
    </row>
    <row r="23744" spans="16:16">
      <c r="P23744" s="2498"/>
    </row>
    <row r="23745" spans="16:16">
      <c r="P23745" s="2498"/>
    </row>
    <row r="23746" spans="16:16">
      <c r="P23746" s="2498"/>
    </row>
    <row r="23747" spans="16:16">
      <c r="P23747" s="2498"/>
    </row>
    <row r="23748" spans="16:16">
      <c r="P23748" s="2498"/>
    </row>
    <row r="23749" spans="16:16">
      <c r="P23749" s="2498"/>
    </row>
    <row r="23750" spans="16:16">
      <c r="P23750" s="2498"/>
    </row>
    <row r="23751" spans="16:16">
      <c r="P23751" s="2498"/>
    </row>
    <row r="23752" spans="16:16">
      <c r="P23752" s="2498"/>
    </row>
    <row r="23753" spans="16:16">
      <c r="P23753" s="2498"/>
    </row>
    <row r="23754" spans="16:16">
      <c r="P23754" s="2498"/>
    </row>
    <row r="23755" spans="16:16">
      <c r="P23755" s="2498"/>
    </row>
    <row r="23756" spans="16:16">
      <c r="P23756" s="2498"/>
    </row>
    <row r="23757" spans="16:16">
      <c r="P23757" s="2498"/>
    </row>
    <row r="23758" spans="16:16">
      <c r="P23758" s="2498"/>
    </row>
    <row r="23759" spans="16:16">
      <c r="P23759" s="2498"/>
    </row>
    <row r="23760" spans="16:16">
      <c r="P23760" s="2498"/>
    </row>
    <row r="23761" spans="16:16">
      <c r="P23761" s="2498"/>
    </row>
    <row r="23762" spans="16:16">
      <c r="P23762" s="2498"/>
    </row>
    <row r="23763" spans="16:16">
      <c r="P23763" s="2498"/>
    </row>
    <row r="23764" spans="16:16">
      <c r="P23764" s="2498"/>
    </row>
    <row r="23765" spans="16:16">
      <c r="P23765" s="2498"/>
    </row>
    <row r="23766" spans="16:16">
      <c r="P23766" s="2498"/>
    </row>
    <row r="23767" spans="16:16">
      <c r="P23767" s="2498"/>
    </row>
    <row r="23768" spans="16:16">
      <c r="P23768" s="2498"/>
    </row>
    <row r="23769" spans="16:16">
      <c r="P23769" s="2498"/>
    </row>
    <row r="23770" spans="16:16">
      <c r="P23770" s="2498"/>
    </row>
    <row r="23771" spans="16:16">
      <c r="P23771" s="2498"/>
    </row>
    <row r="23772" spans="16:16">
      <c r="P23772" s="2498"/>
    </row>
    <row r="23773" spans="16:16">
      <c r="P23773" s="2498"/>
    </row>
    <row r="23774" spans="16:16">
      <c r="P23774" s="2498"/>
    </row>
    <row r="23775" spans="16:16">
      <c r="P23775" s="2498"/>
    </row>
    <row r="23776" spans="16:16">
      <c r="P23776" s="2498"/>
    </row>
    <row r="23777" spans="16:16">
      <c r="P23777" s="2498"/>
    </row>
    <row r="23778" spans="16:16">
      <c r="P23778" s="2498"/>
    </row>
    <row r="23779" spans="16:16">
      <c r="P23779" s="2498"/>
    </row>
    <row r="23780" spans="16:16">
      <c r="P23780" s="2498"/>
    </row>
    <row r="23781" spans="16:16">
      <c r="P23781" s="2498"/>
    </row>
    <row r="23782" spans="16:16">
      <c r="P23782" s="2498"/>
    </row>
    <row r="23783" spans="16:16">
      <c r="P23783" s="2498"/>
    </row>
    <row r="23784" spans="16:16">
      <c r="P23784" s="2498"/>
    </row>
    <row r="23785" spans="16:16">
      <c r="P23785" s="2498"/>
    </row>
    <row r="23786" spans="16:16">
      <c r="P23786" s="2498"/>
    </row>
    <row r="23787" spans="16:16">
      <c r="P23787" s="2498"/>
    </row>
    <row r="23788" spans="16:16">
      <c r="P23788" s="2498"/>
    </row>
    <row r="23789" spans="16:16">
      <c r="P23789" s="2498"/>
    </row>
    <row r="23790" spans="16:16">
      <c r="P23790" s="2498"/>
    </row>
    <row r="23791" spans="16:16">
      <c r="P23791" s="2498"/>
    </row>
    <row r="23792" spans="16:16">
      <c r="P23792" s="2498"/>
    </row>
    <row r="23793" spans="16:16">
      <c r="P23793" s="2498"/>
    </row>
    <row r="23794" spans="16:16">
      <c r="P23794" s="2498"/>
    </row>
    <row r="23795" spans="16:16">
      <c r="P23795" s="2498"/>
    </row>
    <row r="23796" spans="16:16">
      <c r="P23796" s="2498"/>
    </row>
    <row r="23797" spans="16:16">
      <c r="P23797" s="2498"/>
    </row>
    <row r="23798" spans="16:16">
      <c r="P23798" s="2498"/>
    </row>
    <row r="23799" spans="16:16">
      <c r="P23799" s="2498"/>
    </row>
    <row r="23800" spans="16:16">
      <c r="P23800" s="2498"/>
    </row>
    <row r="23801" spans="16:16">
      <c r="P23801" s="2498"/>
    </row>
    <row r="23802" spans="16:16">
      <c r="P23802" s="2498"/>
    </row>
    <row r="23803" spans="16:16">
      <c r="P23803" s="2498"/>
    </row>
    <row r="23804" spans="16:16">
      <c r="P23804" s="2498"/>
    </row>
    <row r="23805" spans="16:16">
      <c r="P23805" s="2498"/>
    </row>
    <row r="23806" spans="16:16">
      <c r="P23806" s="2498"/>
    </row>
    <row r="23807" spans="16:16">
      <c r="P23807" s="2498"/>
    </row>
    <row r="23808" spans="16:16">
      <c r="P23808" s="2498"/>
    </row>
    <row r="23809" spans="16:16">
      <c r="P23809" s="2498"/>
    </row>
    <row r="23810" spans="16:16">
      <c r="P23810" s="2498"/>
    </row>
    <row r="23811" spans="16:16">
      <c r="P23811" s="2498"/>
    </row>
    <row r="23812" spans="16:16">
      <c r="P23812" s="2498"/>
    </row>
    <row r="23813" spans="16:16">
      <c r="P23813" s="2498"/>
    </row>
    <row r="23814" spans="16:16">
      <c r="P23814" s="2498"/>
    </row>
    <row r="23815" spans="16:16">
      <c r="P23815" s="2498"/>
    </row>
    <row r="23816" spans="16:16">
      <c r="P23816" s="2498"/>
    </row>
    <row r="23817" spans="16:16">
      <c r="P23817" s="2498"/>
    </row>
    <row r="23818" spans="16:16">
      <c r="P23818" s="2498"/>
    </row>
    <row r="23819" spans="16:16">
      <c r="P23819" s="2498"/>
    </row>
    <row r="23820" spans="16:16">
      <c r="P23820" s="2498"/>
    </row>
    <row r="23821" spans="16:16">
      <c r="P23821" s="2498"/>
    </row>
    <row r="23822" spans="16:16">
      <c r="P23822" s="2498"/>
    </row>
    <row r="23823" spans="16:16">
      <c r="P23823" s="2498"/>
    </row>
    <row r="23824" spans="16:16">
      <c r="P23824" s="2498"/>
    </row>
    <row r="23825" spans="16:16">
      <c r="P23825" s="2498"/>
    </row>
    <row r="23826" spans="16:16">
      <c r="P23826" s="2498"/>
    </row>
    <row r="23827" spans="16:16">
      <c r="P23827" s="2498"/>
    </row>
    <row r="23828" spans="16:16">
      <c r="P23828" s="2498"/>
    </row>
    <row r="23829" spans="16:16">
      <c r="P23829" s="2498"/>
    </row>
    <row r="23830" spans="16:16">
      <c r="P23830" s="2498"/>
    </row>
    <row r="23831" spans="16:16">
      <c r="P23831" s="2498"/>
    </row>
    <row r="23832" spans="16:16">
      <c r="P23832" s="2498"/>
    </row>
    <row r="23833" spans="16:16">
      <c r="P23833" s="2498"/>
    </row>
    <row r="23834" spans="16:16">
      <c r="P23834" s="2498"/>
    </row>
    <row r="23835" spans="16:16">
      <c r="P23835" s="2498"/>
    </row>
    <row r="23836" spans="16:16">
      <c r="P23836" s="2498"/>
    </row>
    <row r="23837" spans="16:16">
      <c r="P23837" s="2498"/>
    </row>
    <row r="23838" spans="16:16">
      <c r="P23838" s="2498"/>
    </row>
    <row r="23839" spans="16:16">
      <c r="P23839" s="2498"/>
    </row>
    <row r="23840" spans="16:16">
      <c r="P23840" s="2498"/>
    </row>
    <row r="23841" spans="16:16">
      <c r="P23841" s="2498"/>
    </row>
    <row r="23842" spans="16:16">
      <c r="P23842" s="2498"/>
    </row>
    <row r="23843" spans="16:16">
      <c r="P23843" s="2498"/>
    </row>
    <row r="23844" spans="16:16">
      <c r="P23844" s="2498"/>
    </row>
    <row r="23845" spans="16:16">
      <c r="P23845" s="2498"/>
    </row>
    <row r="23846" spans="16:16">
      <c r="P23846" s="2498"/>
    </row>
    <row r="23847" spans="16:16">
      <c r="P23847" s="2498"/>
    </row>
    <row r="23848" spans="16:16">
      <c r="P23848" s="2498"/>
    </row>
    <row r="23849" spans="16:16">
      <c r="P23849" s="2498"/>
    </row>
    <row r="23850" spans="16:16">
      <c r="P23850" s="2498"/>
    </row>
    <row r="23851" spans="16:16">
      <c r="P23851" s="2498"/>
    </row>
    <row r="23852" spans="16:16">
      <c r="P23852" s="2498"/>
    </row>
    <row r="23853" spans="16:16">
      <c r="P23853" s="2498"/>
    </row>
    <row r="23854" spans="16:16">
      <c r="P23854" s="2498"/>
    </row>
    <row r="23855" spans="16:16">
      <c r="P23855" s="2498"/>
    </row>
    <row r="23856" spans="16:16">
      <c r="P23856" s="2498"/>
    </row>
    <row r="23857" spans="16:16">
      <c r="P23857" s="2498"/>
    </row>
    <row r="23858" spans="16:16">
      <c r="P23858" s="2498"/>
    </row>
    <row r="23859" spans="16:16">
      <c r="P23859" s="2498"/>
    </row>
    <row r="23860" spans="16:16">
      <c r="P23860" s="2498"/>
    </row>
    <row r="23861" spans="16:16">
      <c r="P23861" s="2498"/>
    </row>
    <row r="23862" spans="16:16">
      <c r="P23862" s="2498"/>
    </row>
    <row r="23863" spans="16:16">
      <c r="P23863" s="2498"/>
    </row>
    <row r="23864" spans="16:16">
      <c r="P23864" s="2498"/>
    </row>
    <row r="23865" spans="16:16">
      <c r="P23865" s="2498"/>
    </row>
    <row r="23866" spans="16:16">
      <c r="P23866" s="2498"/>
    </row>
    <row r="23867" spans="16:16">
      <c r="P23867" s="2498"/>
    </row>
    <row r="23868" spans="16:16">
      <c r="P23868" s="2498"/>
    </row>
    <row r="23869" spans="16:16">
      <c r="P23869" s="2498"/>
    </row>
    <row r="23870" spans="16:16">
      <c r="P23870" s="2498"/>
    </row>
    <row r="23871" spans="16:16">
      <c r="P23871" s="2498"/>
    </row>
    <row r="23872" spans="16:16">
      <c r="P23872" s="2498"/>
    </row>
    <row r="23873" spans="16:16">
      <c r="P23873" s="2498"/>
    </row>
    <row r="23874" spans="16:16">
      <c r="P23874" s="2498"/>
    </row>
    <row r="23875" spans="16:16">
      <c r="P23875" s="2498"/>
    </row>
    <row r="23876" spans="16:16">
      <c r="P23876" s="2498"/>
    </row>
    <row r="23877" spans="16:16">
      <c r="P23877" s="2498"/>
    </row>
    <row r="23878" spans="16:16">
      <c r="P23878" s="2498"/>
    </row>
    <row r="23879" spans="16:16">
      <c r="P23879" s="2498"/>
    </row>
    <row r="23880" spans="16:16">
      <c r="P23880" s="2498"/>
    </row>
    <row r="23881" spans="16:16">
      <c r="P23881" s="2498"/>
    </row>
    <row r="23882" spans="16:16">
      <c r="P23882" s="2498"/>
    </row>
    <row r="23883" spans="16:16">
      <c r="P23883" s="2498"/>
    </row>
    <row r="23884" spans="16:16">
      <c r="P23884" s="2498"/>
    </row>
    <row r="23885" spans="16:16">
      <c r="P23885" s="2498"/>
    </row>
    <row r="23886" spans="16:16">
      <c r="P23886" s="2498"/>
    </row>
    <row r="23887" spans="16:16">
      <c r="P23887" s="2498"/>
    </row>
    <row r="23888" spans="16:16">
      <c r="P23888" s="2498"/>
    </row>
    <row r="23889" spans="16:16">
      <c r="P23889" s="2498"/>
    </row>
    <row r="23890" spans="16:16">
      <c r="P23890" s="2498"/>
    </row>
    <row r="23891" spans="16:16">
      <c r="P23891" s="2498"/>
    </row>
    <row r="23892" spans="16:16">
      <c r="P23892" s="2498"/>
    </row>
    <row r="23893" spans="16:16">
      <c r="P23893" s="2498"/>
    </row>
    <row r="23894" spans="16:16">
      <c r="P23894" s="2498"/>
    </row>
    <row r="23895" spans="16:16">
      <c r="P23895" s="2498"/>
    </row>
    <row r="23896" spans="16:16">
      <c r="P23896" s="2498"/>
    </row>
    <row r="23897" spans="16:16">
      <c r="P23897" s="2498"/>
    </row>
    <row r="23898" spans="16:16">
      <c r="P23898" s="2498"/>
    </row>
    <row r="23899" spans="16:16">
      <c r="P23899" s="2498"/>
    </row>
    <row r="23900" spans="16:16">
      <c r="P23900" s="2498"/>
    </row>
    <row r="23901" spans="16:16">
      <c r="P23901" s="2498"/>
    </row>
    <row r="23902" spans="16:16">
      <c r="P23902" s="2498"/>
    </row>
    <row r="23903" spans="16:16">
      <c r="P23903" s="2498"/>
    </row>
    <row r="23904" spans="16:16">
      <c r="P23904" s="2498"/>
    </row>
    <row r="23905" spans="16:16">
      <c r="P23905" s="2498"/>
    </row>
    <row r="23906" spans="16:16">
      <c r="P23906" s="2498"/>
    </row>
    <row r="23907" spans="16:16">
      <c r="P23907" s="2498"/>
    </row>
    <row r="23908" spans="16:16">
      <c r="P23908" s="2498"/>
    </row>
    <row r="23909" spans="16:16">
      <c r="P23909" s="2498"/>
    </row>
    <row r="23910" spans="16:16">
      <c r="P23910" s="2498"/>
    </row>
    <row r="23911" spans="16:16">
      <c r="P23911" s="2498"/>
    </row>
    <row r="23912" spans="16:16">
      <c r="P23912" s="2498"/>
    </row>
    <row r="23913" spans="16:16">
      <c r="P23913" s="2498"/>
    </row>
    <row r="23914" spans="16:16">
      <c r="P23914" s="2498"/>
    </row>
    <row r="23915" spans="16:16">
      <c r="P23915" s="2498"/>
    </row>
    <row r="23916" spans="16:16">
      <c r="P23916" s="2498"/>
    </row>
    <row r="23917" spans="16:16">
      <c r="P23917" s="2498"/>
    </row>
    <row r="23918" spans="16:16">
      <c r="P23918" s="2498"/>
    </row>
    <row r="23919" spans="16:16">
      <c r="P23919" s="2498"/>
    </row>
    <row r="23920" spans="16:16">
      <c r="P23920" s="2498"/>
    </row>
    <row r="23921" spans="16:16">
      <c r="P23921" s="2498"/>
    </row>
    <row r="23922" spans="16:16">
      <c r="P23922" s="2498"/>
    </row>
    <row r="23923" spans="16:16">
      <c r="P23923" s="2498"/>
    </row>
    <row r="23924" spans="16:16">
      <c r="P23924" s="2498"/>
    </row>
    <row r="23925" spans="16:16">
      <c r="P23925" s="2498"/>
    </row>
    <row r="23926" spans="16:16">
      <c r="P23926" s="2498"/>
    </row>
    <row r="23927" spans="16:16">
      <c r="P23927" s="2498"/>
    </row>
    <row r="23928" spans="16:16">
      <c r="P23928" s="2498"/>
    </row>
    <row r="23929" spans="16:16">
      <c r="P23929" s="2498"/>
    </row>
    <row r="23930" spans="16:16">
      <c r="P23930" s="2498"/>
    </row>
    <row r="23931" spans="16:16">
      <c r="P23931" s="2498"/>
    </row>
    <row r="23932" spans="16:16">
      <c r="P23932" s="2498"/>
    </row>
    <row r="23933" spans="16:16">
      <c r="P23933" s="2498"/>
    </row>
    <row r="23934" spans="16:16">
      <c r="P23934" s="2498"/>
    </row>
    <row r="23935" spans="16:16">
      <c r="P23935" s="2498"/>
    </row>
    <row r="23936" spans="16:16">
      <c r="P23936" s="2498"/>
    </row>
    <row r="23937" spans="16:16">
      <c r="P23937" s="2498"/>
    </row>
    <row r="23938" spans="16:16">
      <c r="P23938" s="2498"/>
    </row>
    <row r="23939" spans="16:16">
      <c r="P23939" s="2498"/>
    </row>
    <row r="23940" spans="16:16">
      <c r="P23940" s="2498"/>
    </row>
    <row r="23941" spans="16:16">
      <c r="P23941" s="2498"/>
    </row>
    <row r="23942" spans="16:16">
      <c r="P23942" s="2498"/>
    </row>
    <row r="23943" spans="16:16">
      <c r="P23943" s="2498"/>
    </row>
    <row r="23944" spans="16:16">
      <c r="P23944" s="2498"/>
    </row>
    <row r="23945" spans="16:16">
      <c r="P23945" s="2498"/>
    </row>
    <row r="23946" spans="16:16">
      <c r="P23946" s="2498"/>
    </row>
    <row r="23947" spans="16:16">
      <c r="P23947" s="2498"/>
    </row>
    <row r="23948" spans="16:16">
      <c r="P23948" s="2498"/>
    </row>
    <row r="23949" spans="16:16">
      <c r="P23949" s="2498"/>
    </row>
    <row r="23950" spans="16:16">
      <c r="P23950" s="2498"/>
    </row>
    <row r="23951" spans="16:16">
      <c r="P23951" s="2498"/>
    </row>
    <row r="23952" spans="16:16">
      <c r="P23952" s="2498"/>
    </row>
    <row r="23953" spans="16:16">
      <c r="P23953" s="2498"/>
    </row>
    <row r="23954" spans="16:16">
      <c r="P23954" s="2498"/>
    </row>
    <row r="23955" spans="16:16">
      <c r="P23955" s="2498"/>
    </row>
    <row r="23956" spans="16:16">
      <c r="P23956" s="2498"/>
    </row>
    <row r="23957" spans="16:16">
      <c r="P23957" s="2498"/>
    </row>
    <row r="23958" spans="16:16">
      <c r="P23958" s="2498"/>
    </row>
    <row r="23959" spans="16:16">
      <c r="P23959" s="2498"/>
    </row>
    <row r="23960" spans="16:16">
      <c r="P23960" s="2498"/>
    </row>
    <row r="23961" spans="16:16">
      <c r="P23961" s="2498"/>
    </row>
    <row r="23962" spans="16:16">
      <c r="P23962" s="2498"/>
    </row>
    <row r="23963" spans="16:16">
      <c r="P23963" s="2498"/>
    </row>
    <row r="23964" spans="16:16">
      <c r="P23964" s="2498"/>
    </row>
    <row r="23965" spans="16:16">
      <c r="P23965" s="2498"/>
    </row>
    <row r="23966" spans="16:16">
      <c r="P23966" s="2498"/>
    </row>
    <row r="23967" spans="16:16">
      <c r="P23967" s="2498"/>
    </row>
    <row r="23968" spans="16:16">
      <c r="P23968" s="2498"/>
    </row>
    <row r="23969" spans="16:16">
      <c r="P23969" s="2498"/>
    </row>
    <row r="23970" spans="16:16">
      <c r="P23970" s="2498"/>
    </row>
    <row r="23971" spans="16:16">
      <c r="P23971" s="2498"/>
    </row>
    <row r="23972" spans="16:16">
      <c r="P23972" s="2498"/>
    </row>
    <row r="23973" spans="16:16">
      <c r="P23973" s="2498"/>
    </row>
    <row r="23974" spans="16:16">
      <c r="P23974" s="2498"/>
    </row>
    <row r="23975" spans="16:16">
      <c r="P23975" s="2498"/>
    </row>
    <row r="23976" spans="16:16">
      <c r="P23976" s="2498"/>
    </row>
    <row r="23977" spans="16:16">
      <c r="P23977" s="2498"/>
    </row>
    <row r="23978" spans="16:16">
      <c r="P23978" s="2498"/>
    </row>
    <row r="23979" spans="16:16">
      <c r="P23979" s="2498"/>
    </row>
    <row r="23980" spans="16:16">
      <c r="P23980" s="2498"/>
    </row>
    <row r="23981" spans="16:16">
      <c r="P23981" s="2498"/>
    </row>
    <row r="23982" spans="16:16">
      <c r="P23982" s="2498"/>
    </row>
    <row r="23983" spans="16:16">
      <c r="P23983" s="2498"/>
    </row>
    <row r="23984" spans="16:16">
      <c r="P23984" s="2498"/>
    </row>
    <row r="23985" spans="16:16">
      <c r="P23985" s="2498"/>
    </row>
    <row r="23986" spans="16:16">
      <c r="P23986" s="2498"/>
    </row>
    <row r="23987" spans="16:16">
      <c r="P23987" s="2498"/>
    </row>
    <row r="23988" spans="16:16">
      <c r="P23988" s="2498"/>
    </row>
    <row r="23989" spans="16:16">
      <c r="P23989" s="2498"/>
    </row>
    <row r="23990" spans="16:16">
      <c r="P23990" s="2498"/>
    </row>
    <row r="23991" spans="16:16">
      <c r="P23991" s="2498"/>
    </row>
    <row r="23992" spans="16:16">
      <c r="P23992" s="2498"/>
    </row>
    <row r="23993" spans="16:16">
      <c r="P23993" s="2498"/>
    </row>
    <row r="23994" spans="16:16">
      <c r="P23994" s="2498"/>
    </row>
    <row r="23995" spans="16:16">
      <c r="P23995" s="2498"/>
    </row>
    <row r="23996" spans="16:16">
      <c r="P23996" s="2498"/>
    </row>
    <row r="23997" spans="16:16">
      <c r="P23997" s="2498"/>
    </row>
    <row r="23998" spans="16:16">
      <c r="P23998" s="2498"/>
    </row>
    <row r="23999" spans="16:16">
      <c r="P23999" s="2498"/>
    </row>
    <row r="24000" spans="16:16">
      <c r="P24000" s="2498"/>
    </row>
    <row r="24001" spans="16:16">
      <c r="P24001" s="2498"/>
    </row>
    <row r="24002" spans="16:16">
      <c r="P24002" s="2498"/>
    </row>
    <row r="24003" spans="16:16">
      <c r="P24003" s="2498"/>
    </row>
    <row r="24004" spans="16:16">
      <c r="P24004" s="2498"/>
    </row>
    <row r="24005" spans="16:16">
      <c r="P24005" s="2498"/>
    </row>
    <row r="24006" spans="16:16">
      <c r="P24006" s="2498"/>
    </row>
    <row r="24007" spans="16:16">
      <c r="P24007" s="2498"/>
    </row>
    <row r="24008" spans="16:16">
      <c r="P24008" s="2498"/>
    </row>
    <row r="24009" spans="16:16">
      <c r="P24009" s="2498"/>
    </row>
    <row r="24010" spans="16:16">
      <c r="P24010" s="2498"/>
    </row>
    <row r="24011" spans="16:16">
      <c r="P24011" s="2498"/>
    </row>
    <row r="24012" spans="16:16">
      <c r="P24012" s="2498"/>
    </row>
    <row r="24013" spans="16:16">
      <c r="P24013" s="2498"/>
    </row>
    <row r="24014" spans="16:16">
      <c r="P24014" s="2498"/>
    </row>
    <row r="24015" spans="16:16">
      <c r="P24015" s="2498"/>
    </row>
    <row r="24016" spans="16:16">
      <c r="P24016" s="2498"/>
    </row>
    <row r="24017" spans="16:16">
      <c r="P24017" s="2498"/>
    </row>
    <row r="24018" spans="16:16">
      <c r="P24018" s="2498"/>
    </row>
    <row r="24019" spans="16:16">
      <c r="P24019" s="2498"/>
    </row>
    <row r="24020" spans="16:16">
      <c r="P24020" s="2498"/>
    </row>
    <row r="24021" spans="16:16">
      <c r="P24021" s="2498"/>
    </row>
    <row r="24022" spans="16:16">
      <c r="P24022" s="2498"/>
    </row>
    <row r="24023" spans="16:16">
      <c r="P24023" s="2498"/>
    </row>
    <row r="24024" spans="16:16">
      <c r="P24024" s="2498"/>
    </row>
    <row r="24025" spans="16:16">
      <c r="P24025" s="2498"/>
    </row>
    <row r="24026" spans="16:16">
      <c r="P24026" s="2498"/>
    </row>
    <row r="24027" spans="16:16">
      <c r="P24027" s="2498"/>
    </row>
    <row r="24028" spans="16:16">
      <c r="P24028" s="2498"/>
    </row>
    <row r="24029" spans="16:16">
      <c r="P24029" s="2498"/>
    </row>
    <row r="24030" spans="16:16">
      <c r="P24030" s="2498"/>
    </row>
    <row r="24031" spans="16:16">
      <c r="P24031" s="2498"/>
    </row>
    <row r="24032" spans="16:16">
      <c r="P24032" s="2498"/>
    </row>
    <row r="24033" spans="16:16">
      <c r="P24033" s="2498"/>
    </row>
    <row r="24034" spans="16:16">
      <c r="P24034" s="2498"/>
    </row>
    <row r="24035" spans="16:16">
      <c r="P24035" s="2498"/>
    </row>
    <row r="24036" spans="16:16">
      <c r="P24036" s="2498"/>
    </row>
    <row r="24037" spans="16:16">
      <c r="P24037" s="2498"/>
    </row>
    <row r="24038" spans="16:16">
      <c r="P24038" s="2498"/>
    </row>
    <row r="24039" spans="16:16">
      <c r="P24039" s="2498"/>
    </row>
    <row r="24040" spans="16:16">
      <c r="P24040" s="2498"/>
    </row>
    <row r="24041" spans="16:16">
      <c r="P24041" s="2498"/>
    </row>
    <row r="24042" spans="16:16">
      <c r="P24042" s="2498"/>
    </row>
    <row r="24043" spans="16:16">
      <c r="P24043" s="2498"/>
    </row>
    <row r="24044" spans="16:16">
      <c r="P24044" s="2498"/>
    </row>
    <row r="24045" spans="16:16">
      <c r="P24045" s="2498"/>
    </row>
    <row r="24046" spans="16:16">
      <c r="P24046" s="2498"/>
    </row>
    <row r="24047" spans="16:16">
      <c r="P24047" s="2498"/>
    </row>
    <row r="24048" spans="16:16">
      <c r="P24048" s="2498"/>
    </row>
    <row r="24049" spans="16:16">
      <c r="P24049" s="2498"/>
    </row>
    <row r="24050" spans="16:16">
      <c r="P24050" s="2498"/>
    </row>
    <row r="24051" spans="16:16">
      <c r="P24051" s="2498"/>
    </row>
    <row r="24052" spans="16:16">
      <c r="P24052" s="2498"/>
    </row>
    <row r="24053" spans="16:16">
      <c r="P24053" s="2498"/>
    </row>
    <row r="24054" spans="16:16">
      <c r="P24054" s="2498"/>
    </row>
    <row r="24055" spans="16:16">
      <c r="P24055" s="2498"/>
    </row>
    <row r="24056" spans="16:16">
      <c r="P24056" s="2498"/>
    </row>
    <row r="24057" spans="16:16">
      <c r="P24057" s="2498"/>
    </row>
    <row r="24058" spans="16:16">
      <c r="P24058" s="2498"/>
    </row>
    <row r="24059" spans="16:16">
      <c r="P24059" s="2498"/>
    </row>
    <row r="24060" spans="16:16">
      <c r="P24060" s="2498"/>
    </row>
    <row r="24061" spans="16:16">
      <c r="P24061" s="2498"/>
    </row>
    <row r="24062" spans="16:16">
      <c r="P24062" s="2498"/>
    </row>
    <row r="24063" spans="16:16">
      <c r="P24063" s="2498"/>
    </row>
    <row r="24064" spans="16:16">
      <c r="P24064" s="2498"/>
    </row>
    <row r="24065" spans="16:16">
      <c r="P24065" s="2498"/>
    </row>
    <row r="24066" spans="16:16">
      <c r="P24066" s="2498"/>
    </row>
    <row r="24067" spans="16:16">
      <c r="P24067" s="2498"/>
    </row>
    <row r="24068" spans="16:16">
      <c r="P24068" s="2498"/>
    </row>
    <row r="24069" spans="16:16">
      <c r="P24069" s="2498"/>
    </row>
    <row r="24070" spans="16:16">
      <c r="P24070" s="2498"/>
    </row>
    <row r="24071" spans="16:16">
      <c r="P24071" s="2498"/>
    </row>
    <row r="24072" spans="16:16">
      <c r="P24072" s="2498"/>
    </row>
    <row r="24073" spans="16:16">
      <c r="P24073" s="2498"/>
    </row>
    <row r="24074" spans="16:16">
      <c r="P24074" s="2498"/>
    </row>
    <row r="24075" spans="16:16">
      <c r="P24075" s="2498"/>
    </row>
    <row r="24076" spans="16:16">
      <c r="P24076" s="2498"/>
    </row>
    <row r="24077" spans="16:16">
      <c r="P24077" s="2498"/>
    </row>
    <row r="24078" spans="16:16">
      <c r="P24078" s="2498"/>
    </row>
    <row r="24079" spans="16:16">
      <c r="P24079" s="2498"/>
    </row>
    <row r="24080" spans="16:16">
      <c r="P24080" s="2498"/>
    </row>
    <row r="24081" spans="16:16">
      <c r="P24081" s="2498"/>
    </row>
    <row r="24082" spans="16:16">
      <c r="P24082" s="2498"/>
    </row>
    <row r="24083" spans="16:16">
      <c r="P24083" s="2498"/>
    </row>
    <row r="24084" spans="16:16">
      <c r="P24084" s="2498"/>
    </row>
    <row r="24085" spans="16:16">
      <c r="P24085" s="2498"/>
    </row>
    <row r="24086" spans="16:16">
      <c r="P24086" s="2498"/>
    </row>
    <row r="24087" spans="16:16">
      <c r="P24087" s="2498"/>
    </row>
    <row r="24088" spans="16:16">
      <c r="P24088" s="2498"/>
    </row>
    <row r="24089" spans="16:16">
      <c r="P24089" s="2498"/>
    </row>
    <row r="24090" spans="16:16">
      <c r="P24090" s="2498"/>
    </row>
    <row r="24091" spans="16:16">
      <c r="P24091" s="2498"/>
    </row>
    <row r="24092" spans="16:16">
      <c r="P24092" s="2498"/>
    </row>
    <row r="24093" spans="16:16">
      <c r="P24093" s="2498"/>
    </row>
    <row r="24094" spans="16:16">
      <c r="P24094" s="2498"/>
    </row>
    <row r="24095" spans="16:16">
      <c r="P24095" s="2498"/>
    </row>
    <row r="24096" spans="16:16">
      <c r="P24096" s="2498"/>
    </row>
    <row r="24097" spans="16:16">
      <c r="P24097" s="2498"/>
    </row>
    <row r="24098" spans="16:16">
      <c r="P24098" s="2498"/>
    </row>
    <row r="24099" spans="16:16">
      <c r="P24099" s="2498"/>
    </row>
    <row r="24100" spans="16:16">
      <c r="P24100" s="2498"/>
    </row>
    <row r="24101" spans="16:16">
      <c r="P24101" s="2498"/>
    </row>
    <row r="24102" spans="16:16">
      <c r="P24102" s="2498"/>
    </row>
    <row r="24103" spans="16:16">
      <c r="P24103" s="2498"/>
    </row>
    <row r="24104" spans="16:16">
      <c r="P24104" s="2498"/>
    </row>
    <row r="24105" spans="16:16">
      <c r="P24105" s="2498"/>
    </row>
    <row r="24106" spans="16:16">
      <c r="P24106" s="2498"/>
    </row>
    <row r="24107" spans="16:16">
      <c r="P24107" s="2498"/>
    </row>
    <row r="24108" spans="16:16">
      <c r="P24108" s="2498"/>
    </row>
    <row r="24109" spans="16:16">
      <c r="P24109" s="2498"/>
    </row>
    <row r="24110" spans="16:16">
      <c r="P24110" s="2498"/>
    </row>
    <row r="24111" spans="16:16">
      <c r="P24111" s="2498"/>
    </row>
    <row r="24112" spans="16:16">
      <c r="P24112" s="2498"/>
    </row>
    <row r="24113" spans="16:16">
      <c r="P24113" s="2498"/>
    </row>
    <row r="24114" spans="16:16">
      <c r="P24114" s="2498"/>
    </row>
    <row r="24115" spans="16:16">
      <c r="P24115" s="2498"/>
    </row>
    <row r="24116" spans="16:16">
      <c r="P24116" s="2498"/>
    </row>
    <row r="24117" spans="16:16">
      <c r="P24117" s="2498"/>
    </row>
    <row r="24118" spans="16:16">
      <c r="P24118" s="2498"/>
    </row>
    <row r="24119" spans="16:16">
      <c r="P24119" s="2498"/>
    </row>
    <row r="24120" spans="16:16">
      <c r="P24120" s="2498"/>
    </row>
    <row r="24121" spans="16:16">
      <c r="P24121" s="2498"/>
    </row>
    <row r="24122" spans="16:16">
      <c r="P24122" s="2498"/>
    </row>
    <row r="24123" spans="16:16">
      <c r="P24123" s="2498"/>
    </row>
    <row r="24124" spans="16:16">
      <c r="P24124" s="2498"/>
    </row>
    <row r="24125" spans="16:16">
      <c r="P24125" s="2498"/>
    </row>
    <row r="24126" spans="16:16">
      <c r="P24126" s="2498"/>
    </row>
    <row r="24127" spans="16:16">
      <c r="P24127" s="2498"/>
    </row>
    <row r="24128" spans="16:16">
      <c r="P24128" s="2498"/>
    </row>
    <row r="24129" spans="16:16">
      <c r="P24129" s="2498"/>
    </row>
    <row r="24130" spans="16:16">
      <c r="P24130" s="2498"/>
    </row>
    <row r="24131" spans="16:16">
      <c r="P24131" s="2498"/>
    </row>
    <row r="24132" spans="16:16">
      <c r="P24132" s="2498"/>
    </row>
    <row r="24133" spans="16:16">
      <c r="P24133" s="2498"/>
    </row>
    <row r="24134" spans="16:16">
      <c r="P24134" s="2498"/>
    </row>
    <row r="24135" spans="16:16">
      <c r="P24135" s="2498"/>
    </row>
    <row r="24136" spans="16:16">
      <c r="P24136" s="2498"/>
    </row>
    <row r="24137" spans="16:16">
      <c r="P24137" s="2498"/>
    </row>
    <row r="24138" spans="16:16">
      <c r="P24138" s="2498"/>
    </row>
    <row r="24139" spans="16:16">
      <c r="P24139" s="2498"/>
    </row>
    <row r="24140" spans="16:16">
      <c r="P24140" s="2498"/>
    </row>
    <row r="24141" spans="16:16">
      <c r="P24141" s="2498"/>
    </row>
    <row r="24142" spans="16:16">
      <c r="P24142" s="2498"/>
    </row>
    <row r="24143" spans="16:16">
      <c r="P24143" s="2498"/>
    </row>
    <row r="24144" spans="16:16">
      <c r="P24144" s="2498"/>
    </row>
    <row r="24145" spans="16:16">
      <c r="P24145" s="2498"/>
    </row>
    <row r="24146" spans="16:16">
      <c r="P24146" s="2498"/>
    </row>
    <row r="24147" spans="16:16">
      <c r="P24147" s="2498"/>
    </row>
    <row r="24148" spans="16:16">
      <c r="P24148" s="2498"/>
    </row>
    <row r="24149" spans="16:16">
      <c r="P24149" s="2498"/>
    </row>
    <row r="24150" spans="16:16">
      <c r="P24150" s="2498"/>
    </row>
    <row r="24151" spans="16:16">
      <c r="P24151" s="2498"/>
    </row>
    <row r="24152" spans="16:16">
      <c r="P24152" s="2498"/>
    </row>
    <row r="24153" spans="16:16">
      <c r="P24153" s="2498"/>
    </row>
    <row r="24154" spans="16:16">
      <c r="P24154" s="2498"/>
    </row>
    <row r="24155" spans="16:16">
      <c r="P24155" s="2498"/>
    </row>
    <row r="24156" spans="16:16">
      <c r="P24156" s="2498"/>
    </row>
    <row r="24157" spans="16:16">
      <c r="P24157" s="2498"/>
    </row>
    <row r="24158" spans="16:16">
      <c r="P24158" s="2498"/>
    </row>
    <row r="24159" spans="16:16">
      <c r="P24159" s="2498"/>
    </row>
    <row r="24160" spans="16:16">
      <c r="P24160" s="2498"/>
    </row>
    <row r="24161" spans="16:16">
      <c r="P24161" s="2498"/>
    </row>
    <row r="24162" spans="16:16">
      <c r="P24162" s="2498"/>
    </row>
    <row r="24163" spans="16:16">
      <c r="P24163" s="2498"/>
    </row>
    <row r="24164" spans="16:16">
      <c r="P24164" s="2498"/>
    </row>
    <row r="24165" spans="16:16">
      <c r="P24165" s="2498"/>
    </row>
    <row r="24166" spans="16:16">
      <c r="P24166" s="2498"/>
    </row>
    <row r="24167" spans="16:16">
      <c r="P24167" s="2498"/>
    </row>
    <row r="24168" spans="16:16">
      <c r="P24168" s="2498"/>
    </row>
    <row r="24169" spans="16:16">
      <c r="P24169" s="2498"/>
    </row>
    <row r="24170" spans="16:16">
      <c r="P24170" s="2498"/>
    </row>
    <row r="24171" spans="16:16">
      <c r="P24171" s="2498"/>
    </row>
    <row r="24172" spans="16:16">
      <c r="P24172" s="2498"/>
    </row>
    <row r="24173" spans="16:16">
      <c r="P24173" s="2498"/>
    </row>
    <row r="24174" spans="16:16">
      <c r="P24174" s="2498"/>
    </row>
    <row r="24175" spans="16:16">
      <c r="P24175" s="2498"/>
    </row>
    <row r="24176" spans="16:16">
      <c r="P24176" s="2498"/>
    </row>
    <row r="24177" spans="16:16">
      <c r="P24177" s="2498"/>
    </row>
    <row r="24178" spans="16:16">
      <c r="P24178" s="2498"/>
    </row>
    <row r="24179" spans="16:16">
      <c r="P24179" s="2498"/>
    </row>
    <row r="24180" spans="16:16">
      <c r="P24180" s="2498"/>
    </row>
    <row r="24181" spans="16:16">
      <c r="P24181" s="2498"/>
    </row>
    <row r="24182" spans="16:16">
      <c r="P24182" s="2498"/>
    </row>
    <row r="24183" spans="16:16">
      <c r="P24183" s="2498"/>
    </row>
    <row r="24184" spans="16:16">
      <c r="P24184" s="2498"/>
    </row>
    <row r="24185" spans="16:16">
      <c r="P24185" s="2498"/>
    </row>
    <row r="24186" spans="16:16">
      <c r="P24186" s="2498"/>
    </row>
    <row r="24187" spans="16:16">
      <c r="P24187" s="2498"/>
    </row>
    <row r="24188" spans="16:16">
      <c r="P24188" s="2498"/>
    </row>
    <row r="24189" spans="16:16">
      <c r="P24189" s="2498"/>
    </row>
    <row r="24190" spans="16:16">
      <c r="P24190" s="2498"/>
    </row>
    <row r="24191" spans="16:16">
      <c r="P24191" s="2498"/>
    </row>
    <row r="24192" spans="16:16">
      <c r="P24192" s="2498"/>
    </row>
    <row r="24193" spans="16:16">
      <c r="P24193" s="2498"/>
    </row>
    <row r="24194" spans="16:16">
      <c r="P24194" s="2498"/>
    </row>
    <row r="24195" spans="16:16">
      <c r="P24195" s="2498"/>
    </row>
    <row r="24196" spans="16:16">
      <c r="P24196" s="2498"/>
    </row>
    <row r="24197" spans="16:16">
      <c r="P24197" s="2498"/>
    </row>
    <row r="24198" spans="16:16">
      <c r="P24198" s="2498"/>
    </row>
    <row r="24199" spans="16:16">
      <c r="P24199" s="2498"/>
    </row>
    <row r="24200" spans="16:16">
      <c r="P24200" s="2498"/>
    </row>
    <row r="24201" spans="16:16">
      <c r="P24201" s="2498"/>
    </row>
    <row r="24202" spans="16:16">
      <c r="P24202" s="2498"/>
    </row>
    <row r="24203" spans="16:16">
      <c r="P24203" s="2498"/>
    </row>
    <row r="24204" spans="16:16">
      <c r="P24204" s="2498"/>
    </row>
    <row r="24205" spans="16:16">
      <c r="P24205" s="2498"/>
    </row>
    <row r="24206" spans="16:16">
      <c r="P24206" s="2498"/>
    </row>
    <row r="24207" spans="16:16">
      <c r="P24207" s="2498"/>
    </row>
    <row r="24208" spans="16:16">
      <c r="P24208" s="2498"/>
    </row>
    <row r="24209" spans="16:16">
      <c r="P24209" s="2498"/>
    </row>
    <row r="24210" spans="16:16">
      <c r="P24210" s="2498"/>
    </row>
    <row r="24211" spans="16:16">
      <c r="P24211" s="2498"/>
    </row>
    <row r="24212" spans="16:16">
      <c r="P24212" s="2498"/>
    </row>
    <row r="24213" spans="16:16">
      <c r="P24213" s="2498"/>
    </row>
    <row r="24214" spans="16:16">
      <c r="P24214" s="2498"/>
    </row>
    <row r="24215" spans="16:16">
      <c r="P24215" s="2498"/>
    </row>
    <row r="24216" spans="16:16">
      <c r="P24216" s="2498"/>
    </row>
    <row r="24217" spans="16:16">
      <c r="P24217" s="2498"/>
    </row>
    <row r="24218" spans="16:16">
      <c r="P24218" s="2498"/>
    </row>
    <row r="24219" spans="16:16">
      <c r="P24219" s="2498"/>
    </row>
    <row r="24220" spans="16:16">
      <c r="P24220" s="2498"/>
    </row>
    <row r="24221" spans="16:16">
      <c r="P24221" s="2498"/>
    </row>
    <row r="24222" spans="16:16">
      <c r="P24222" s="2498"/>
    </row>
    <row r="24223" spans="16:16">
      <c r="P24223" s="2498"/>
    </row>
    <row r="24224" spans="16:16">
      <c r="P24224" s="2498"/>
    </row>
    <row r="24225" spans="16:16">
      <c r="P24225" s="2498"/>
    </row>
    <row r="24226" spans="16:16">
      <c r="P24226" s="2498"/>
    </row>
    <row r="24227" spans="16:16">
      <c r="P24227" s="2498"/>
    </row>
    <row r="24228" spans="16:16">
      <c r="P24228" s="2498"/>
    </row>
    <row r="24229" spans="16:16">
      <c r="P24229" s="2498"/>
    </row>
    <row r="24230" spans="16:16">
      <c r="P24230" s="2498"/>
    </row>
    <row r="24231" spans="16:16">
      <c r="P24231" s="2498"/>
    </row>
    <row r="24232" spans="16:16">
      <c r="P24232" s="2498"/>
    </row>
    <row r="24233" spans="16:16">
      <c r="P24233" s="2498"/>
    </row>
    <row r="24234" spans="16:16">
      <c r="P24234" s="2498"/>
    </row>
    <row r="24235" spans="16:16">
      <c r="P24235" s="2498"/>
    </row>
    <row r="24236" spans="16:16">
      <c r="P24236" s="2498"/>
    </row>
    <row r="24237" spans="16:16">
      <c r="P24237" s="2498"/>
    </row>
    <row r="24238" spans="16:16">
      <c r="P24238" s="2498"/>
    </row>
    <row r="24239" spans="16:16">
      <c r="P24239" s="2498"/>
    </row>
    <row r="24240" spans="16:16">
      <c r="P24240" s="2498"/>
    </row>
    <row r="24241" spans="16:16">
      <c r="P24241" s="2498"/>
    </row>
    <row r="24242" spans="16:16">
      <c r="P24242" s="2498"/>
    </row>
    <row r="24243" spans="16:16">
      <c r="P24243" s="2498"/>
    </row>
    <row r="24244" spans="16:16">
      <c r="P24244" s="2498"/>
    </row>
    <row r="24245" spans="16:16">
      <c r="P24245" s="2498"/>
    </row>
    <row r="24246" spans="16:16">
      <c r="P24246" s="2498"/>
    </row>
    <row r="24247" spans="16:16">
      <c r="P24247" s="2498"/>
    </row>
    <row r="24248" spans="16:16">
      <c r="P24248" s="2498"/>
    </row>
    <row r="24249" spans="16:16">
      <c r="P24249" s="2498"/>
    </row>
    <row r="24250" spans="16:16">
      <c r="P24250" s="2498"/>
    </row>
    <row r="24251" spans="16:16">
      <c r="P24251" s="2498"/>
    </row>
    <row r="24252" spans="16:16">
      <c r="P24252" s="2498"/>
    </row>
    <row r="24253" spans="16:16">
      <c r="P24253" s="2498"/>
    </row>
    <row r="24254" spans="16:16">
      <c r="P24254" s="2498"/>
    </row>
    <row r="24255" spans="16:16">
      <c r="P24255" s="2498"/>
    </row>
    <row r="24256" spans="16:16">
      <c r="P24256" s="2498"/>
    </row>
    <row r="24257" spans="16:16">
      <c r="P24257" s="2498"/>
    </row>
    <row r="24258" spans="16:16">
      <c r="P24258" s="2498"/>
    </row>
    <row r="24259" spans="16:16">
      <c r="P24259" s="2498"/>
    </row>
    <row r="24260" spans="16:16">
      <c r="P24260" s="2498"/>
    </row>
    <row r="24261" spans="16:16">
      <c r="P24261" s="2498"/>
    </row>
    <row r="24262" spans="16:16">
      <c r="P24262" s="2498"/>
    </row>
    <row r="24263" spans="16:16">
      <c r="P24263" s="2498"/>
    </row>
    <row r="24264" spans="16:16">
      <c r="P24264" s="2498"/>
    </row>
    <row r="24265" spans="16:16">
      <c r="P24265" s="2498"/>
    </row>
    <row r="24266" spans="16:16">
      <c r="P24266" s="2498"/>
    </row>
    <row r="24267" spans="16:16">
      <c r="P24267" s="2498"/>
    </row>
    <row r="24268" spans="16:16">
      <c r="P24268" s="2498"/>
    </row>
    <row r="24269" spans="16:16">
      <c r="P24269" s="2498"/>
    </row>
    <row r="24270" spans="16:16">
      <c r="P24270" s="2498"/>
    </row>
    <row r="24271" spans="16:16">
      <c r="P24271" s="2498"/>
    </row>
    <row r="24272" spans="16:16">
      <c r="P24272" s="2498"/>
    </row>
    <row r="24273" spans="16:16">
      <c r="P24273" s="2498"/>
    </row>
    <row r="24274" spans="16:16">
      <c r="P24274" s="2498"/>
    </row>
    <row r="24275" spans="16:16">
      <c r="P24275" s="2498"/>
    </row>
    <row r="24276" spans="16:16">
      <c r="P24276" s="2498"/>
    </row>
    <row r="24277" spans="16:16">
      <c r="P24277" s="2498"/>
    </row>
    <row r="24278" spans="16:16">
      <c r="P24278" s="2498"/>
    </row>
    <row r="24279" spans="16:16">
      <c r="P24279" s="2498"/>
    </row>
    <row r="24280" spans="16:16">
      <c r="P24280" s="2498"/>
    </row>
    <row r="24281" spans="16:16">
      <c r="P24281" s="2498"/>
    </row>
    <row r="24282" spans="16:16">
      <c r="P24282" s="2498"/>
    </row>
    <row r="24283" spans="16:16">
      <c r="P24283" s="2498"/>
    </row>
    <row r="24284" spans="16:16">
      <c r="P24284" s="2498"/>
    </row>
    <row r="24285" spans="16:16">
      <c r="P24285" s="2498"/>
    </row>
    <row r="24286" spans="16:16">
      <c r="P24286" s="2498"/>
    </row>
    <row r="24287" spans="16:16">
      <c r="P24287" s="2498"/>
    </row>
    <row r="24288" spans="16:16">
      <c r="P24288" s="2498"/>
    </row>
    <row r="24289" spans="16:16">
      <c r="P24289" s="2498"/>
    </row>
    <row r="24290" spans="16:16">
      <c r="P24290" s="2498"/>
    </row>
    <row r="24291" spans="16:16">
      <c r="P24291" s="2498"/>
    </row>
    <row r="24292" spans="16:16">
      <c r="P24292" s="2498"/>
    </row>
    <row r="24293" spans="16:16">
      <c r="P24293" s="2498"/>
    </row>
    <row r="24294" spans="16:16">
      <c r="P24294" s="2498"/>
    </row>
    <row r="24295" spans="16:16">
      <c r="P24295" s="2498"/>
    </row>
    <row r="24296" spans="16:16">
      <c r="P24296" s="2498"/>
    </row>
    <row r="24297" spans="16:16">
      <c r="P24297" s="2498"/>
    </row>
    <row r="24298" spans="16:16">
      <c r="P24298" s="2498"/>
    </row>
    <row r="24299" spans="16:16">
      <c r="P24299" s="2498"/>
    </row>
    <row r="24300" spans="16:16">
      <c r="P24300" s="2498"/>
    </row>
    <row r="24301" spans="16:16">
      <c r="P24301" s="2498"/>
    </row>
    <row r="24302" spans="16:16">
      <c r="P24302" s="2498"/>
    </row>
    <row r="24303" spans="16:16">
      <c r="P24303" s="2498"/>
    </row>
    <row r="24304" spans="16:16">
      <c r="P24304" s="2498"/>
    </row>
    <row r="24305" spans="16:16">
      <c r="P24305" s="2498"/>
    </row>
    <row r="24306" spans="16:16">
      <c r="P24306" s="2498"/>
    </row>
    <row r="24307" spans="16:16">
      <c r="P24307" s="2498"/>
    </row>
    <row r="24308" spans="16:16">
      <c r="P24308" s="2498"/>
    </row>
    <row r="24309" spans="16:16">
      <c r="P24309" s="2498"/>
    </row>
    <row r="24310" spans="16:16">
      <c r="P24310" s="2498"/>
    </row>
    <row r="24311" spans="16:16">
      <c r="P24311" s="2498"/>
    </row>
    <row r="24312" spans="16:16">
      <c r="P24312" s="2498"/>
    </row>
    <row r="24313" spans="16:16">
      <c r="P24313" s="2498"/>
    </row>
    <row r="24314" spans="16:16">
      <c r="P24314" s="2498"/>
    </row>
    <row r="24315" spans="16:16">
      <c r="P24315" s="2498"/>
    </row>
    <row r="24316" spans="16:16">
      <c r="P24316" s="2498"/>
    </row>
    <row r="24317" spans="16:16">
      <c r="P24317" s="2498"/>
    </row>
    <row r="24318" spans="16:16">
      <c r="P24318" s="2498"/>
    </row>
    <row r="24319" spans="16:16">
      <c r="P24319" s="2498"/>
    </row>
    <row r="24320" spans="16:16">
      <c r="P24320" s="2498"/>
    </row>
    <row r="24321" spans="16:16">
      <c r="P24321" s="2498"/>
    </row>
    <row r="24322" spans="16:16">
      <c r="P24322" s="2498"/>
    </row>
    <row r="24323" spans="16:16">
      <c r="P24323" s="2498"/>
    </row>
    <row r="24324" spans="16:16">
      <c r="P24324" s="2498"/>
    </row>
    <row r="24325" spans="16:16">
      <c r="P24325" s="2498"/>
    </row>
    <row r="24326" spans="16:16">
      <c r="P24326" s="2498"/>
    </row>
    <row r="24327" spans="16:16">
      <c r="P24327" s="2498"/>
    </row>
    <row r="24328" spans="16:16">
      <c r="P24328" s="2498"/>
    </row>
    <row r="24329" spans="16:16">
      <c r="P24329" s="2498"/>
    </row>
    <row r="24330" spans="16:16">
      <c r="P24330" s="2498"/>
    </row>
    <row r="24331" spans="16:16">
      <c r="P24331" s="2498"/>
    </row>
    <row r="24332" spans="16:16">
      <c r="P24332" s="2498"/>
    </row>
    <row r="24333" spans="16:16">
      <c r="P24333" s="2498"/>
    </row>
    <row r="24334" spans="16:16">
      <c r="P24334" s="2498"/>
    </row>
    <row r="24335" spans="16:16">
      <c r="P24335" s="2498"/>
    </row>
    <row r="24336" spans="16:16">
      <c r="P24336" s="2498"/>
    </row>
    <row r="24337" spans="16:16">
      <c r="P24337" s="2498"/>
    </row>
    <row r="24338" spans="16:16">
      <c r="P24338" s="2498"/>
    </row>
    <row r="24339" spans="16:16">
      <c r="P24339" s="2498"/>
    </row>
    <row r="24340" spans="16:16">
      <c r="P24340" s="2498"/>
    </row>
    <row r="24341" spans="16:16">
      <c r="P24341" s="2498"/>
    </row>
    <row r="24342" spans="16:16">
      <c r="P24342" s="2498"/>
    </row>
    <row r="24343" spans="16:16">
      <c r="P24343" s="2498"/>
    </row>
    <row r="24344" spans="16:16">
      <c r="P24344" s="2498"/>
    </row>
    <row r="24345" spans="16:16">
      <c r="P24345" s="2498"/>
    </row>
    <row r="24346" spans="16:16">
      <c r="P24346" s="2498"/>
    </row>
    <row r="24347" spans="16:16">
      <c r="P24347" s="2498"/>
    </row>
    <row r="24348" spans="16:16">
      <c r="P24348" s="2498"/>
    </row>
    <row r="24349" spans="16:16">
      <c r="P24349" s="2498"/>
    </row>
    <row r="24350" spans="16:16">
      <c r="P24350" s="2498"/>
    </row>
    <row r="24351" spans="16:16">
      <c r="P24351" s="2498"/>
    </row>
    <row r="24352" spans="16:16">
      <c r="P24352" s="2498"/>
    </row>
    <row r="24353" spans="16:16">
      <c r="P24353" s="2498"/>
    </row>
    <row r="24354" spans="16:16">
      <c r="P24354" s="2498"/>
    </row>
    <row r="24355" spans="16:16">
      <c r="P24355" s="2498"/>
    </row>
    <row r="24356" spans="16:16">
      <c r="P24356" s="2498"/>
    </row>
    <row r="24357" spans="16:16">
      <c r="P24357" s="2498"/>
    </row>
    <row r="24358" spans="16:16">
      <c r="P24358" s="2498"/>
    </row>
    <row r="24359" spans="16:16">
      <c r="P24359" s="2498"/>
    </row>
    <row r="24360" spans="16:16">
      <c r="P24360" s="2498"/>
    </row>
    <row r="24361" spans="16:16">
      <c r="P24361" s="2498"/>
    </row>
    <row r="24362" spans="16:16">
      <c r="P24362" s="2498"/>
    </row>
    <row r="24363" spans="16:16">
      <c r="P24363" s="2498"/>
    </row>
    <row r="24364" spans="16:16">
      <c r="P24364" s="2498"/>
    </row>
    <row r="24365" spans="16:16">
      <c r="P24365" s="2498"/>
    </row>
    <row r="24366" spans="16:16">
      <c r="P24366" s="2498"/>
    </row>
    <row r="24367" spans="16:16">
      <c r="P24367" s="2498"/>
    </row>
    <row r="24368" spans="16:16">
      <c r="P24368" s="2498"/>
    </row>
    <row r="24369" spans="16:16">
      <c r="P24369" s="2498"/>
    </row>
    <row r="24370" spans="16:16">
      <c r="P24370" s="2498"/>
    </row>
    <row r="24371" spans="16:16">
      <c r="P24371" s="2498"/>
    </row>
    <row r="24372" spans="16:16">
      <c r="P24372" s="2498"/>
    </row>
    <row r="24373" spans="16:16">
      <c r="P24373" s="2498"/>
    </row>
    <row r="24374" spans="16:16">
      <c r="P24374" s="2498"/>
    </row>
    <row r="24375" spans="16:16">
      <c r="P24375" s="2498"/>
    </row>
    <row r="24376" spans="16:16">
      <c r="P24376" s="2498"/>
    </row>
    <row r="24377" spans="16:16">
      <c r="P24377" s="2498"/>
    </row>
    <row r="24378" spans="16:16">
      <c r="P24378" s="2498"/>
    </row>
    <row r="24379" spans="16:16">
      <c r="P24379" s="2498"/>
    </row>
    <row r="24380" spans="16:16">
      <c r="P24380" s="2498"/>
    </row>
    <row r="24381" spans="16:16">
      <c r="P24381" s="2498"/>
    </row>
    <row r="24382" spans="16:16">
      <c r="P24382" s="2498"/>
    </row>
    <row r="24383" spans="16:16">
      <c r="P24383" s="2498"/>
    </row>
    <row r="24384" spans="16:16">
      <c r="P24384" s="2498"/>
    </row>
    <row r="24385" spans="16:16">
      <c r="P24385" s="2498"/>
    </row>
    <row r="24386" spans="16:16">
      <c r="P24386" s="2498"/>
    </row>
    <row r="24387" spans="16:16">
      <c r="P24387" s="2498"/>
    </row>
    <row r="24388" spans="16:16">
      <c r="P24388" s="2498"/>
    </row>
    <row r="24389" spans="16:16">
      <c r="P24389" s="2498"/>
    </row>
    <row r="24390" spans="16:16">
      <c r="P24390" s="2498"/>
    </row>
    <row r="24391" spans="16:16">
      <c r="P24391" s="2498"/>
    </row>
    <row r="24392" spans="16:16">
      <c r="P24392" s="2498"/>
    </row>
    <row r="24393" spans="16:16">
      <c r="P24393" s="2498"/>
    </row>
    <row r="24394" spans="16:16">
      <c r="P24394" s="2498"/>
    </row>
    <row r="24395" spans="16:16">
      <c r="P24395" s="2498"/>
    </row>
    <row r="24396" spans="16:16">
      <c r="P24396" s="2498"/>
    </row>
    <row r="24397" spans="16:16">
      <c r="P24397" s="2498"/>
    </row>
    <row r="24398" spans="16:16">
      <c r="P24398" s="2498"/>
    </row>
    <row r="24399" spans="16:16">
      <c r="P24399" s="2498"/>
    </row>
    <row r="24400" spans="16:16">
      <c r="P24400" s="2498"/>
    </row>
    <row r="24401" spans="16:16">
      <c r="P24401" s="2498"/>
    </row>
    <row r="24402" spans="16:16">
      <c r="P24402" s="2498"/>
    </row>
    <row r="24403" spans="16:16">
      <c r="P24403" s="2498"/>
    </row>
    <row r="24404" spans="16:16">
      <c r="P24404" s="2498"/>
    </row>
    <row r="24405" spans="16:16">
      <c r="P24405" s="2498"/>
    </row>
    <row r="24406" spans="16:16">
      <c r="P24406" s="2498"/>
    </row>
    <row r="24407" spans="16:16">
      <c r="P24407" s="2498"/>
    </row>
    <row r="24408" spans="16:16">
      <c r="P24408" s="2498"/>
    </row>
    <row r="24409" spans="16:16">
      <c r="P24409" s="2498"/>
    </row>
    <row r="24410" spans="16:16">
      <c r="P24410" s="2498"/>
    </row>
    <row r="24411" spans="16:16">
      <c r="P24411" s="2498"/>
    </row>
    <row r="24412" spans="16:16">
      <c r="P24412" s="2498"/>
    </row>
    <row r="24413" spans="16:16">
      <c r="P24413" s="2498"/>
    </row>
    <row r="24414" spans="16:16">
      <c r="P24414" s="2498"/>
    </row>
    <row r="24415" spans="16:16">
      <c r="P24415" s="2498"/>
    </row>
    <row r="24416" spans="16:16">
      <c r="P24416" s="2498"/>
    </row>
    <row r="24417" spans="16:16">
      <c r="P24417" s="2498"/>
    </row>
    <row r="24418" spans="16:16">
      <c r="P24418" s="2498"/>
    </row>
    <row r="24419" spans="16:16">
      <c r="P24419" s="2498"/>
    </row>
    <row r="24420" spans="16:16">
      <c r="P24420" s="2498"/>
    </row>
    <row r="24421" spans="16:16">
      <c r="P24421" s="2498"/>
    </row>
    <row r="24422" spans="16:16">
      <c r="P24422" s="2498"/>
    </row>
    <row r="24423" spans="16:16">
      <c r="P24423" s="2498"/>
    </row>
    <row r="24424" spans="16:16">
      <c r="P24424" s="2498"/>
    </row>
    <row r="24425" spans="16:16">
      <c r="P24425" s="2498"/>
    </row>
    <row r="24426" spans="16:16">
      <c r="P24426" s="2498"/>
    </row>
    <row r="24427" spans="16:16">
      <c r="P24427" s="2498"/>
    </row>
    <row r="24428" spans="16:16">
      <c r="P24428" s="2498"/>
    </row>
    <row r="24429" spans="16:16">
      <c r="P24429" s="2498"/>
    </row>
    <row r="24430" spans="16:16">
      <c r="P24430" s="2498"/>
    </row>
    <row r="24431" spans="16:16">
      <c r="P24431" s="2498"/>
    </row>
    <row r="24432" spans="16:16">
      <c r="P24432" s="2498"/>
    </row>
    <row r="24433" spans="16:16">
      <c r="P24433" s="2498"/>
    </row>
    <row r="24434" spans="16:16">
      <c r="P24434" s="2498"/>
    </row>
    <row r="24435" spans="16:16">
      <c r="P24435" s="2498"/>
    </row>
    <row r="24436" spans="16:16">
      <c r="P24436" s="2498"/>
    </row>
    <row r="24437" spans="16:16">
      <c r="P24437" s="2498"/>
    </row>
    <row r="24438" spans="16:16">
      <c r="P24438" s="2498"/>
    </row>
    <row r="24439" spans="16:16">
      <c r="P24439" s="2498"/>
    </row>
    <row r="24440" spans="16:16">
      <c r="P24440" s="2498"/>
    </row>
    <row r="24441" spans="16:16">
      <c r="P24441" s="2498"/>
    </row>
    <row r="24442" spans="16:16">
      <c r="P24442" s="2498"/>
    </row>
    <row r="24443" spans="16:16">
      <c r="P24443" s="2498"/>
    </row>
    <row r="24444" spans="16:16">
      <c r="P24444" s="2498"/>
    </row>
    <row r="24445" spans="16:16">
      <c r="P24445" s="2498"/>
    </row>
    <row r="24446" spans="16:16">
      <c r="P24446" s="2498"/>
    </row>
    <row r="24447" spans="16:16">
      <c r="P24447" s="2498"/>
    </row>
    <row r="24448" spans="16:16">
      <c r="P24448" s="2498"/>
    </row>
    <row r="24449" spans="16:16">
      <c r="P24449" s="2498"/>
    </row>
    <row r="24450" spans="16:16">
      <c r="P24450" s="2498"/>
    </row>
    <row r="24451" spans="16:16">
      <c r="P24451" s="2498"/>
    </row>
    <row r="24452" spans="16:16">
      <c r="P24452" s="2498"/>
    </row>
    <row r="24453" spans="16:16">
      <c r="P24453" s="2498"/>
    </row>
    <row r="24454" spans="16:16">
      <c r="P24454" s="2498"/>
    </row>
    <row r="24455" spans="16:16">
      <c r="P24455" s="2498"/>
    </row>
    <row r="24456" spans="16:16">
      <c r="P24456" s="2498"/>
    </row>
    <row r="24457" spans="16:16">
      <c r="P24457" s="2498"/>
    </row>
    <row r="24458" spans="16:16">
      <c r="P24458" s="2498"/>
    </row>
    <row r="24459" spans="16:16">
      <c r="P24459" s="2498"/>
    </row>
    <row r="24460" spans="16:16">
      <c r="P24460" s="2498"/>
    </row>
    <row r="24461" spans="16:16">
      <c r="P24461" s="2498"/>
    </row>
    <row r="24462" spans="16:16">
      <c r="P24462" s="2498"/>
    </row>
    <row r="24463" spans="16:16">
      <c r="P24463" s="2498"/>
    </row>
    <row r="24464" spans="16:16">
      <c r="P24464" s="2498"/>
    </row>
    <row r="24465" spans="16:16">
      <c r="P24465" s="2498"/>
    </row>
    <row r="24466" spans="16:16">
      <c r="P24466" s="2498"/>
    </row>
    <row r="24467" spans="16:16">
      <c r="P24467" s="2498"/>
    </row>
    <row r="24468" spans="16:16">
      <c r="P24468" s="2498"/>
    </row>
    <row r="24469" spans="16:16">
      <c r="P24469" s="2498"/>
    </row>
    <row r="24470" spans="16:16">
      <c r="P24470" s="2498"/>
    </row>
    <row r="24471" spans="16:16">
      <c r="P24471" s="2498"/>
    </row>
    <row r="24472" spans="16:16">
      <c r="P24472" s="2498"/>
    </row>
    <row r="24473" spans="16:16">
      <c r="P24473" s="2498"/>
    </row>
    <row r="24474" spans="16:16">
      <c r="P24474" s="2498"/>
    </row>
    <row r="24475" spans="16:16">
      <c r="P24475" s="2498"/>
    </row>
    <row r="24476" spans="16:16">
      <c r="P24476" s="2498"/>
    </row>
    <row r="24477" spans="16:16">
      <c r="P24477" s="2498"/>
    </row>
    <row r="24478" spans="16:16">
      <c r="P24478" s="2498"/>
    </row>
    <row r="24479" spans="16:16">
      <c r="P24479" s="2498"/>
    </row>
    <row r="24480" spans="16:16">
      <c r="P24480" s="2498"/>
    </row>
    <row r="24481" spans="16:16">
      <c r="P24481" s="2498"/>
    </row>
    <row r="24482" spans="16:16">
      <c r="P24482" s="2498"/>
    </row>
    <row r="24483" spans="16:16">
      <c r="P24483" s="2498"/>
    </row>
    <row r="24484" spans="16:16">
      <c r="P24484" s="2498"/>
    </row>
    <row r="24485" spans="16:16">
      <c r="P24485" s="2498"/>
    </row>
    <row r="24486" spans="16:16">
      <c r="P24486" s="2498"/>
    </row>
    <row r="24487" spans="16:16">
      <c r="P24487" s="2498"/>
    </row>
    <row r="24488" spans="16:16">
      <c r="P24488" s="2498"/>
    </row>
    <row r="24489" spans="16:16">
      <c r="P24489" s="2498"/>
    </row>
    <row r="24490" spans="16:16">
      <c r="P24490" s="2498"/>
    </row>
    <row r="24491" spans="16:16">
      <c r="P24491" s="2498"/>
    </row>
    <row r="24492" spans="16:16">
      <c r="P24492" s="2498"/>
    </row>
    <row r="24493" spans="16:16">
      <c r="P24493" s="2498"/>
    </row>
    <row r="24494" spans="16:16">
      <c r="P24494" s="2498"/>
    </row>
    <row r="24495" spans="16:16">
      <c r="P24495" s="2498"/>
    </row>
    <row r="24496" spans="16:16">
      <c r="P24496" s="2498"/>
    </row>
    <row r="24497" spans="16:16">
      <c r="P24497" s="2498"/>
    </row>
    <row r="24498" spans="16:16">
      <c r="P24498" s="2498"/>
    </row>
    <row r="24499" spans="16:16">
      <c r="P24499" s="2498"/>
    </row>
    <row r="24500" spans="16:16">
      <c r="P24500" s="2498"/>
    </row>
    <row r="24501" spans="16:16">
      <c r="P24501" s="2498"/>
    </row>
    <row r="24502" spans="16:16">
      <c r="P24502" s="2498"/>
    </row>
    <row r="24503" spans="16:16">
      <c r="P24503" s="2498"/>
    </row>
    <row r="24504" spans="16:16">
      <c r="P24504" s="2498"/>
    </row>
    <row r="24505" spans="16:16">
      <c r="P24505" s="2498"/>
    </row>
    <row r="24506" spans="16:16">
      <c r="P24506" s="2498"/>
    </row>
    <row r="24507" spans="16:16">
      <c r="P24507" s="2498"/>
    </row>
    <row r="24508" spans="16:16">
      <c r="P24508" s="2498"/>
    </row>
    <row r="24509" spans="16:16">
      <c r="P24509" s="2498"/>
    </row>
    <row r="24510" spans="16:16">
      <c r="P24510" s="2498"/>
    </row>
    <row r="24511" spans="16:16">
      <c r="P24511" s="2498"/>
    </row>
    <row r="24512" spans="16:16">
      <c r="P24512" s="2498"/>
    </row>
    <row r="24513" spans="16:16">
      <c r="P24513" s="2498"/>
    </row>
    <row r="24514" spans="16:16">
      <c r="P24514" s="2498"/>
    </row>
    <row r="24515" spans="16:16">
      <c r="P24515" s="2498"/>
    </row>
    <row r="24516" spans="16:16">
      <c r="P24516" s="2498"/>
    </row>
    <row r="24517" spans="16:16">
      <c r="P24517" s="2498"/>
    </row>
    <row r="24518" spans="16:16">
      <c r="P24518" s="2498"/>
    </row>
    <row r="24519" spans="16:16">
      <c r="P24519" s="2498"/>
    </row>
    <row r="24520" spans="16:16">
      <c r="P24520" s="2498"/>
    </row>
    <row r="24521" spans="16:16">
      <c r="P24521" s="2498"/>
    </row>
    <row r="24522" spans="16:16">
      <c r="P24522" s="2498"/>
    </row>
    <row r="24523" spans="16:16">
      <c r="P24523" s="2498"/>
    </row>
    <row r="24524" spans="16:16">
      <c r="P24524" s="2498"/>
    </row>
    <row r="24525" spans="16:16">
      <c r="P24525" s="2498"/>
    </row>
    <row r="24526" spans="16:16">
      <c r="P24526" s="2498"/>
    </row>
    <row r="24527" spans="16:16">
      <c r="P24527" s="2498"/>
    </row>
    <row r="24528" spans="16:16">
      <c r="P24528" s="2498"/>
    </row>
    <row r="24529" spans="16:16">
      <c r="P24529" s="2498"/>
    </row>
    <row r="24530" spans="16:16">
      <c r="P24530" s="2498"/>
    </row>
    <row r="24531" spans="16:16">
      <c r="P24531" s="2498"/>
    </row>
    <row r="24532" spans="16:16">
      <c r="P24532" s="2498"/>
    </row>
    <row r="24533" spans="16:16">
      <c r="P24533" s="2498"/>
    </row>
    <row r="24534" spans="16:16">
      <c r="P24534" s="2498"/>
    </row>
    <row r="24535" spans="16:16">
      <c r="P24535" s="2498"/>
    </row>
    <row r="24536" spans="16:16">
      <c r="P24536" s="2498"/>
    </row>
    <row r="24537" spans="16:16">
      <c r="P24537" s="2498"/>
    </row>
    <row r="24538" spans="16:16">
      <c r="P24538" s="2498"/>
    </row>
    <row r="24539" spans="16:16">
      <c r="P24539" s="2498"/>
    </row>
    <row r="24540" spans="16:16">
      <c r="P24540" s="2498"/>
    </row>
    <row r="24541" spans="16:16">
      <c r="P24541" s="2498"/>
    </row>
    <row r="24542" spans="16:16">
      <c r="P24542" s="2498"/>
    </row>
    <row r="24543" spans="16:16">
      <c r="P24543" s="2498"/>
    </row>
    <row r="24544" spans="16:16">
      <c r="P24544" s="2498"/>
    </row>
    <row r="24545" spans="16:16">
      <c r="P24545" s="2498"/>
    </row>
    <row r="24546" spans="16:16">
      <c r="P24546" s="2498"/>
    </row>
    <row r="24547" spans="16:16">
      <c r="P24547" s="2498"/>
    </row>
    <row r="24548" spans="16:16">
      <c r="P24548" s="2498"/>
    </row>
    <row r="24549" spans="16:16">
      <c r="P24549" s="2498"/>
    </row>
    <row r="24550" spans="16:16">
      <c r="P24550" s="2498"/>
    </row>
    <row r="24551" spans="16:16">
      <c r="P24551" s="2498"/>
    </row>
    <row r="24552" spans="16:16">
      <c r="P24552" s="2498"/>
    </row>
    <row r="24553" spans="16:16">
      <c r="P24553" s="2498"/>
    </row>
    <row r="24554" spans="16:16">
      <c r="P24554" s="2498"/>
    </row>
    <row r="24555" spans="16:16">
      <c r="P24555" s="2498"/>
    </row>
    <row r="24556" spans="16:16">
      <c r="P24556" s="2498"/>
    </row>
    <row r="24557" spans="16:16">
      <c r="P24557" s="2498"/>
    </row>
    <row r="24558" spans="16:16">
      <c r="P24558" s="2498"/>
    </row>
    <row r="24559" spans="16:16">
      <c r="P24559" s="2498"/>
    </row>
    <row r="24560" spans="16:16">
      <c r="P24560" s="2498"/>
    </row>
    <row r="24561" spans="16:16">
      <c r="P24561" s="2498"/>
    </row>
    <row r="24562" spans="16:16">
      <c r="P24562" s="2498"/>
    </row>
    <row r="24563" spans="16:16">
      <c r="P24563" s="2498"/>
    </row>
    <row r="24564" spans="16:16">
      <c r="P24564" s="2498"/>
    </row>
    <row r="24565" spans="16:16">
      <c r="P24565" s="2498"/>
    </row>
    <row r="24566" spans="16:16">
      <c r="P24566" s="2498"/>
    </row>
    <row r="24567" spans="16:16">
      <c r="P24567" s="2498"/>
    </row>
    <row r="24568" spans="16:16">
      <c r="P24568" s="2498"/>
    </row>
    <row r="24569" spans="16:16">
      <c r="P24569" s="2498"/>
    </row>
    <row r="24570" spans="16:16">
      <c r="P24570" s="2498"/>
    </row>
    <row r="24571" spans="16:16">
      <c r="P24571" s="2498"/>
    </row>
    <row r="24572" spans="16:16">
      <c r="P24572" s="2498"/>
    </row>
    <row r="24573" spans="16:16">
      <c r="P24573" s="2498"/>
    </row>
    <row r="24574" spans="16:16">
      <c r="P24574" s="2498"/>
    </row>
    <row r="24575" spans="16:16">
      <c r="P24575" s="2498"/>
    </row>
    <row r="24576" spans="16:16">
      <c r="P24576" s="2498"/>
    </row>
    <row r="24577" spans="16:16">
      <c r="P24577" s="2498"/>
    </row>
    <row r="24578" spans="16:16">
      <c r="P24578" s="2498"/>
    </row>
    <row r="24579" spans="16:16">
      <c r="P24579" s="2498"/>
    </row>
    <row r="24580" spans="16:16">
      <c r="P24580" s="2498"/>
    </row>
    <row r="24581" spans="16:16">
      <c r="P24581" s="2498"/>
    </row>
    <row r="24582" spans="16:16">
      <c r="P24582" s="2498"/>
    </row>
    <row r="24583" spans="16:16">
      <c r="P24583" s="2498"/>
    </row>
    <row r="24584" spans="16:16">
      <c r="P24584" s="2498"/>
    </row>
    <row r="24585" spans="16:16">
      <c r="P24585" s="2498"/>
    </row>
    <row r="24586" spans="16:16">
      <c r="P24586" s="2498"/>
    </row>
    <row r="24587" spans="16:16">
      <c r="P24587" s="2498"/>
    </row>
    <row r="24588" spans="16:16">
      <c r="P24588" s="2498"/>
    </row>
    <row r="24589" spans="16:16">
      <c r="P24589" s="2498"/>
    </row>
    <row r="24590" spans="16:16">
      <c r="P24590" s="2498"/>
    </row>
    <row r="24591" spans="16:16">
      <c r="P24591" s="2498"/>
    </row>
    <row r="24592" spans="16:16">
      <c r="P24592" s="2498"/>
    </row>
    <row r="24593" spans="16:16">
      <c r="P24593" s="2498"/>
    </row>
    <row r="24594" spans="16:16">
      <c r="P24594" s="2498"/>
    </row>
    <row r="24595" spans="16:16">
      <c r="P24595" s="2498"/>
    </row>
    <row r="24596" spans="16:16">
      <c r="P24596" s="2498"/>
    </row>
    <row r="24597" spans="16:16">
      <c r="P24597" s="2498"/>
    </row>
    <row r="24598" spans="16:16">
      <c r="P24598" s="2498"/>
    </row>
    <row r="24599" spans="16:16">
      <c r="P24599" s="2498"/>
    </row>
    <row r="24600" spans="16:16">
      <c r="P24600" s="2498"/>
    </row>
    <row r="24601" spans="16:16">
      <c r="P24601" s="2498"/>
    </row>
    <row r="24602" spans="16:16">
      <c r="P24602" s="2498"/>
    </row>
    <row r="24603" spans="16:16">
      <c r="P24603" s="2498"/>
    </row>
    <row r="24604" spans="16:16">
      <c r="P24604" s="2498"/>
    </row>
    <row r="24605" spans="16:16">
      <c r="P24605" s="2498"/>
    </row>
    <row r="24606" spans="16:16">
      <c r="P24606" s="2498"/>
    </row>
    <row r="24607" spans="16:16">
      <c r="P24607" s="2498"/>
    </row>
    <row r="24608" spans="16:16">
      <c r="P24608" s="2498"/>
    </row>
    <row r="24609" spans="16:16">
      <c r="P24609" s="2498"/>
    </row>
    <row r="24610" spans="16:16">
      <c r="P24610" s="2498"/>
    </row>
    <row r="24611" spans="16:16">
      <c r="P24611" s="2498"/>
    </row>
    <row r="24612" spans="16:16">
      <c r="P24612" s="2498"/>
    </row>
    <row r="24613" spans="16:16">
      <c r="P24613" s="2498"/>
    </row>
    <row r="24614" spans="16:16">
      <c r="P24614" s="2498"/>
    </row>
    <row r="24615" spans="16:16">
      <c r="P24615" s="2498"/>
    </row>
    <row r="24616" spans="16:16">
      <c r="P24616" s="2498"/>
    </row>
    <row r="24617" spans="16:16">
      <c r="P24617" s="2498"/>
    </row>
    <row r="24618" spans="16:16">
      <c r="P24618" s="2498"/>
    </row>
    <row r="24619" spans="16:16">
      <c r="P24619" s="2498"/>
    </row>
    <row r="24620" spans="16:16">
      <c r="P24620" s="2498"/>
    </row>
    <row r="24621" spans="16:16">
      <c r="P24621" s="2498"/>
    </row>
    <row r="24622" spans="16:16">
      <c r="P24622" s="2498"/>
    </row>
    <row r="24623" spans="16:16">
      <c r="P24623" s="2498"/>
    </row>
    <row r="24624" spans="16:16">
      <c r="P24624" s="2498"/>
    </row>
    <row r="24625" spans="16:16">
      <c r="P24625" s="2498"/>
    </row>
    <row r="24626" spans="16:16">
      <c r="P24626" s="2498"/>
    </row>
    <row r="24627" spans="16:16">
      <c r="P24627" s="2498"/>
    </row>
    <row r="24628" spans="16:16">
      <c r="P24628" s="2498"/>
    </row>
    <row r="24629" spans="16:16">
      <c r="P24629" s="2498"/>
    </row>
    <row r="24630" spans="16:16">
      <c r="P24630" s="2498"/>
    </row>
    <row r="24631" spans="16:16">
      <c r="P24631" s="2498"/>
    </row>
    <row r="24632" spans="16:16">
      <c r="P24632" s="2498"/>
    </row>
    <row r="24633" spans="16:16">
      <c r="P24633" s="2498"/>
    </row>
    <row r="24634" spans="16:16">
      <c r="P24634" s="2498"/>
    </row>
    <row r="24635" spans="16:16">
      <c r="P24635" s="2498"/>
    </row>
    <row r="24636" spans="16:16">
      <c r="P24636" s="2498"/>
    </row>
    <row r="24637" spans="16:16">
      <c r="P24637" s="2498"/>
    </row>
    <row r="24638" spans="16:16">
      <c r="P24638" s="2498"/>
    </row>
    <row r="24639" spans="16:16">
      <c r="P24639" s="2498"/>
    </row>
    <row r="24640" spans="16:16">
      <c r="P24640" s="2498"/>
    </row>
    <row r="24641" spans="16:16">
      <c r="P24641" s="2498"/>
    </row>
    <row r="24642" spans="16:16">
      <c r="P24642" s="2498"/>
    </row>
    <row r="24643" spans="16:16">
      <c r="P24643" s="2498"/>
    </row>
    <row r="24644" spans="16:16">
      <c r="P24644" s="2498"/>
    </row>
    <row r="24645" spans="16:16">
      <c r="P24645" s="2498"/>
    </row>
    <row r="24646" spans="16:16">
      <c r="P24646" s="2498"/>
    </row>
    <row r="24647" spans="16:16">
      <c r="P24647" s="2498"/>
    </row>
    <row r="24648" spans="16:16">
      <c r="P24648" s="2498"/>
    </row>
    <row r="24649" spans="16:16">
      <c r="P24649" s="2498"/>
    </row>
    <row r="24650" spans="16:16">
      <c r="P24650" s="2498"/>
    </row>
    <row r="24651" spans="16:16">
      <c r="P24651" s="2498"/>
    </row>
    <row r="24652" spans="16:16">
      <c r="P24652" s="2498"/>
    </row>
    <row r="24653" spans="16:16">
      <c r="P24653" s="2498"/>
    </row>
    <row r="24654" spans="16:16">
      <c r="P24654" s="2498"/>
    </row>
    <row r="24655" spans="16:16">
      <c r="P24655" s="2498"/>
    </row>
    <row r="24656" spans="16:16">
      <c r="P24656" s="2498"/>
    </row>
    <row r="24657" spans="16:16">
      <c r="P24657" s="2498"/>
    </row>
    <row r="24658" spans="16:16">
      <c r="P24658" s="2498"/>
    </row>
    <row r="24659" spans="16:16">
      <c r="P24659" s="2498"/>
    </row>
    <row r="24660" spans="16:16">
      <c r="P24660" s="2498"/>
    </row>
    <row r="24661" spans="16:16">
      <c r="P24661" s="2498"/>
    </row>
    <row r="24662" spans="16:16">
      <c r="P24662" s="2498"/>
    </row>
    <row r="24663" spans="16:16">
      <c r="P24663" s="2498"/>
    </row>
    <row r="24664" spans="16:16">
      <c r="P24664" s="2498"/>
    </row>
    <row r="24665" spans="16:16">
      <c r="P24665" s="2498"/>
    </row>
    <row r="24666" spans="16:16">
      <c r="P24666" s="2498"/>
    </row>
    <row r="24667" spans="16:16">
      <c r="P24667" s="2498"/>
    </row>
    <row r="24668" spans="16:16">
      <c r="P24668" s="2498"/>
    </row>
    <row r="24669" spans="16:16">
      <c r="P24669" s="2498"/>
    </row>
    <row r="24670" spans="16:16">
      <c r="P24670" s="2498"/>
    </row>
    <row r="24671" spans="16:16">
      <c r="P24671" s="2498"/>
    </row>
    <row r="24672" spans="16:16">
      <c r="P24672" s="2498"/>
    </row>
    <row r="24673" spans="16:16">
      <c r="P24673" s="2498"/>
    </row>
    <row r="24674" spans="16:16">
      <c r="P24674" s="2498"/>
    </row>
    <row r="24675" spans="16:16">
      <c r="P24675" s="2498"/>
    </row>
    <row r="24676" spans="16:16">
      <c r="P24676" s="2498"/>
    </row>
    <row r="24677" spans="16:16">
      <c r="P24677" s="2498"/>
    </row>
    <row r="24678" spans="16:16">
      <c r="P24678" s="2498"/>
    </row>
    <row r="24679" spans="16:16">
      <c r="P24679" s="2498"/>
    </row>
    <row r="24680" spans="16:16">
      <c r="P24680" s="2498"/>
    </row>
    <row r="24681" spans="16:16">
      <c r="P24681" s="2498"/>
    </row>
    <row r="24682" spans="16:16">
      <c r="P24682" s="2498"/>
    </row>
    <row r="24683" spans="16:16">
      <c r="P24683" s="2498"/>
    </row>
    <row r="24684" spans="16:16">
      <c r="P24684" s="2498"/>
    </row>
    <row r="24685" spans="16:16">
      <c r="P24685" s="2498"/>
    </row>
    <row r="24686" spans="16:16">
      <c r="P24686" s="2498"/>
    </row>
    <row r="24687" spans="16:16">
      <c r="P24687" s="2498"/>
    </row>
    <row r="24688" spans="16:16">
      <c r="P24688" s="2498"/>
    </row>
    <row r="24689" spans="16:16">
      <c r="P24689" s="2498"/>
    </row>
    <row r="24690" spans="16:16">
      <c r="P24690" s="2498"/>
    </row>
    <row r="24691" spans="16:16">
      <c r="P24691" s="2498"/>
    </row>
    <row r="24692" spans="16:16">
      <c r="P24692" s="2498"/>
    </row>
    <row r="24693" spans="16:16">
      <c r="P24693" s="2498"/>
    </row>
    <row r="24694" spans="16:16">
      <c r="P24694" s="2498"/>
    </row>
    <row r="24695" spans="16:16">
      <c r="P24695" s="2498"/>
    </row>
    <row r="24696" spans="16:16">
      <c r="P24696" s="2498"/>
    </row>
    <row r="24697" spans="16:16">
      <c r="P24697" s="2498"/>
    </row>
    <row r="24698" spans="16:16">
      <c r="P24698" s="2498"/>
    </row>
    <row r="24699" spans="16:16">
      <c r="P24699" s="2498"/>
    </row>
    <row r="24700" spans="16:16">
      <c r="P24700" s="2498"/>
    </row>
    <row r="24701" spans="16:16">
      <c r="P24701" s="2498"/>
    </row>
    <row r="24702" spans="16:16">
      <c r="P24702" s="2498"/>
    </row>
    <row r="24703" spans="16:16">
      <c r="P24703" s="2498"/>
    </row>
    <row r="24704" spans="16:16">
      <c r="P24704" s="2498"/>
    </row>
    <row r="24705" spans="16:16">
      <c r="P24705" s="2498"/>
    </row>
    <row r="24706" spans="16:16">
      <c r="P24706" s="2498"/>
    </row>
    <row r="24707" spans="16:16">
      <c r="P24707" s="2498"/>
    </row>
    <row r="24708" spans="16:16">
      <c r="P24708" s="2498"/>
    </row>
    <row r="24709" spans="16:16">
      <c r="P24709" s="2498"/>
    </row>
    <row r="24710" spans="16:16">
      <c r="P24710" s="2498"/>
    </row>
    <row r="24711" spans="16:16">
      <c r="P24711" s="2498"/>
    </row>
    <row r="24712" spans="16:16">
      <c r="P24712" s="2498"/>
    </row>
    <row r="24713" spans="16:16">
      <c r="P24713" s="2498"/>
    </row>
    <row r="24714" spans="16:16">
      <c r="P24714" s="2498"/>
    </row>
    <row r="24715" spans="16:16">
      <c r="P24715" s="2498"/>
    </row>
    <row r="24716" spans="16:16">
      <c r="P24716" s="2498"/>
    </row>
    <row r="24717" spans="16:16">
      <c r="P24717" s="2498"/>
    </row>
    <row r="24718" spans="16:16">
      <c r="P24718" s="2498"/>
    </row>
    <row r="24719" spans="16:16">
      <c r="P24719" s="2498"/>
    </row>
    <row r="24720" spans="16:16">
      <c r="P24720" s="2498"/>
    </row>
    <row r="24721" spans="16:16">
      <c r="P24721" s="2498"/>
    </row>
    <row r="24722" spans="16:16">
      <c r="P24722" s="2498"/>
    </row>
    <row r="24723" spans="16:16">
      <c r="P24723" s="2498"/>
    </row>
    <row r="24724" spans="16:16">
      <c r="P24724" s="2498"/>
    </row>
    <row r="24725" spans="16:16">
      <c r="P24725" s="2498"/>
    </row>
    <row r="24726" spans="16:16">
      <c r="P24726" s="2498"/>
    </row>
    <row r="24727" spans="16:16">
      <c r="P24727" s="2498"/>
    </row>
    <row r="24728" spans="16:16">
      <c r="P24728" s="2498"/>
    </row>
    <row r="24729" spans="16:16">
      <c r="P24729" s="2498"/>
    </row>
    <row r="24730" spans="16:16">
      <c r="P24730" s="2498"/>
    </row>
    <row r="24731" spans="16:16">
      <c r="P24731" s="2498"/>
    </row>
    <row r="24732" spans="16:16">
      <c r="P24732" s="2498"/>
    </row>
    <row r="24733" spans="16:16">
      <c r="P24733" s="2498"/>
    </row>
    <row r="24734" spans="16:16">
      <c r="P24734" s="2498"/>
    </row>
    <row r="24735" spans="16:16">
      <c r="P24735" s="2498"/>
    </row>
    <row r="24736" spans="16:16">
      <c r="P24736" s="2498"/>
    </row>
    <row r="24737" spans="16:16">
      <c r="P24737" s="2498"/>
    </row>
    <row r="24738" spans="16:16">
      <c r="P24738" s="2498"/>
    </row>
    <row r="24739" spans="16:16">
      <c r="P24739" s="2498"/>
    </row>
    <row r="24740" spans="16:16">
      <c r="P24740" s="2498"/>
    </row>
    <row r="24741" spans="16:16">
      <c r="P24741" s="2498"/>
    </row>
    <row r="24742" spans="16:16">
      <c r="P24742" s="2498"/>
    </row>
    <row r="24743" spans="16:16">
      <c r="P24743" s="2498"/>
    </row>
    <row r="24744" spans="16:16">
      <c r="P24744" s="2498"/>
    </row>
    <row r="24745" spans="16:16">
      <c r="P24745" s="2498"/>
    </row>
    <row r="24746" spans="16:16">
      <c r="P24746" s="2498"/>
    </row>
    <row r="24747" spans="16:16">
      <c r="P24747" s="2498"/>
    </row>
    <row r="24748" spans="16:16">
      <c r="P24748" s="2498"/>
    </row>
    <row r="24749" spans="16:16">
      <c r="P24749" s="2498"/>
    </row>
    <row r="24750" spans="16:16">
      <c r="P24750" s="2498"/>
    </row>
    <row r="24751" spans="16:16">
      <c r="P24751" s="2498"/>
    </row>
    <row r="24752" spans="16:16">
      <c r="P24752" s="2498"/>
    </row>
    <row r="24753" spans="16:16">
      <c r="P24753" s="2498"/>
    </row>
    <row r="24754" spans="16:16">
      <c r="P24754" s="2498"/>
    </row>
    <row r="24755" spans="16:16">
      <c r="P24755" s="2498"/>
    </row>
    <row r="24756" spans="16:16">
      <c r="P24756" s="2498"/>
    </row>
    <row r="24757" spans="16:16">
      <c r="P24757" s="2498"/>
    </row>
    <row r="24758" spans="16:16">
      <c r="P24758" s="2498"/>
    </row>
    <row r="24759" spans="16:16">
      <c r="P24759" s="2498"/>
    </row>
    <row r="24760" spans="16:16">
      <c r="P24760" s="2498"/>
    </row>
    <row r="24761" spans="16:16">
      <c r="P24761" s="2498"/>
    </row>
    <row r="24762" spans="16:16">
      <c r="P24762" s="2498"/>
    </row>
    <row r="24763" spans="16:16">
      <c r="P24763" s="2498"/>
    </row>
    <row r="24764" spans="16:16">
      <c r="P24764" s="2498"/>
    </row>
    <row r="24765" spans="16:16">
      <c r="P24765" s="2498"/>
    </row>
    <row r="24766" spans="16:16">
      <c r="P24766" s="2498"/>
    </row>
    <row r="24767" spans="16:16">
      <c r="P24767" s="2498"/>
    </row>
    <row r="24768" spans="16:16">
      <c r="P24768" s="2498"/>
    </row>
    <row r="24769" spans="16:16">
      <c r="P24769" s="2498"/>
    </row>
    <row r="24770" spans="16:16">
      <c r="P24770" s="2498"/>
    </row>
    <row r="24771" spans="16:16">
      <c r="P24771" s="2498"/>
    </row>
    <row r="24772" spans="16:16">
      <c r="P24772" s="2498"/>
    </row>
    <row r="24773" spans="16:16">
      <c r="P24773" s="2498"/>
    </row>
    <row r="24774" spans="16:16">
      <c r="P24774" s="2498"/>
    </row>
    <row r="24775" spans="16:16">
      <c r="P24775" s="2498"/>
    </row>
    <row r="24776" spans="16:16">
      <c r="P24776" s="2498"/>
    </row>
    <row r="24777" spans="16:16">
      <c r="P24777" s="2498"/>
    </row>
    <row r="24778" spans="16:16">
      <c r="P24778" s="2498"/>
    </row>
    <row r="24779" spans="16:16">
      <c r="P24779" s="2498"/>
    </row>
    <row r="24780" spans="16:16">
      <c r="P24780" s="2498"/>
    </row>
    <row r="24781" spans="16:16">
      <c r="P24781" s="2498"/>
    </row>
    <row r="24782" spans="16:16">
      <c r="P24782" s="2498"/>
    </row>
    <row r="24783" spans="16:16">
      <c r="P24783" s="2498"/>
    </row>
    <row r="24784" spans="16:16">
      <c r="P24784" s="2498"/>
    </row>
    <row r="24785" spans="16:16">
      <c r="P24785" s="2498"/>
    </row>
    <row r="24786" spans="16:16">
      <c r="P24786" s="2498"/>
    </row>
    <row r="24787" spans="16:16">
      <c r="P24787" s="2498"/>
    </row>
    <row r="24788" spans="16:16">
      <c r="P24788" s="2498"/>
    </row>
    <row r="24789" spans="16:16">
      <c r="P24789" s="2498"/>
    </row>
    <row r="24790" spans="16:16">
      <c r="P24790" s="2498"/>
    </row>
    <row r="24791" spans="16:16">
      <c r="P24791" s="2498"/>
    </row>
    <row r="24792" spans="16:16">
      <c r="P24792" s="2498"/>
    </row>
    <row r="24793" spans="16:16">
      <c r="P24793" s="2498"/>
    </row>
    <row r="24794" spans="16:16">
      <c r="P24794" s="2498"/>
    </row>
    <row r="24795" spans="16:16">
      <c r="P24795" s="2498"/>
    </row>
    <row r="24796" spans="16:16">
      <c r="P24796" s="2498"/>
    </row>
    <row r="24797" spans="16:16">
      <c r="P24797" s="2498"/>
    </row>
    <row r="24798" spans="16:16">
      <c r="P24798" s="2498"/>
    </row>
    <row r="24799" spans="16:16">
      <c r="P24799" s="2498"/>
    </row>
    <row r="24800" spans="16:16">
      <c r="P24800" s="2498"/>
    </row>
    <row r="24801" spans="16:16">
      <c r="P24801" s="2498"/>
    </row>
    <row r="24802" spans="16:16">
      <c r="P24802" s="2498"/>
    </row>
    <row r="24803" spans="16:16">
      <c r="P24803" s="2498"/>
    </row>
    <row r="24804" spans="16:16">
      <c r="P24804" s="2498"/>
    </row>
    <row r="24805" spans="16:16">
      <c r="P24805" s="2498"/>
    </row>
    <row r="24806" spans="16:16">
      <c r="P24806" s="2498"/>
    </row>
    <row r="24807" spans="16:16">
      <c r="P24807" s="2498"/>
    </row>
    <row r="24808" spans="16:16">
      <c r="P24808" s="2498"/>
    </row>
    <row r="24809" spans="16:16">
      <c r="P24809" s="2498"/>
    </row>
    <row r="24810" spans="16:16">
      <c r="P24810" s="2498"/>
    </row>
    <row r="24811" spans="16:16">
      <c r="P24811" s="2498"/>
    </row>
    <row r="24812" spans="16:16">
      <c r="P24812" s="2498"/>
    </row>
    <row r="24813" spans="16:16">
      <c r="P24813" s="2498"/>
    </row>
    <row r="24814" spans="16:16">
      <c r="P24814" s="2498"/>
    </row>
    <row r="24815" spans="16:16">
      <c r="P24815" s="2498"/>
    </row>
    <row r="24816" spans="16:16">
      <c r="P24816" s="2498"/>
    </row>
    <row r="24817" spans="16:16">
      <c r="P24817" s="2498"/>
    </row>
    <row r="24818" spans="16:16">
      <c r="P24818" s="2498"/>
    </row>
    <row r="24819" spans="16:16">
      <c r="P24819" s="2498"/>
    </row>
    <row r="24820" spans="16:16">
      <c r="P24820" s="2498"/>
    </row>
    <row r="24821" spans="16:16">
      <c r="P24821" s="2498"/>
    </row>
    <row r="24822" spans="16:16">
      <c r="P24822" s="2498"/>
    </row>
    <row r="24823" spans="16:16">
      <c r="P24823" s="2498"/>
    </row>
    <row r="24824" spans="16:16">
      <c r="P24824" s="2498"/>
    </row>
    <row r="24825" spans="16:16">
      <c r="P24825" s="2498"/>
    </row>
    <row r="24826" spans="16:16">
      <c r="P24826" s="2498"/>
    </row>
    <row r="24827" spans="16:16">
      <c r="P24827" s="2498"/>
    </row>
    <row r="24828" spans="16:16">
      <c r="P24828" s="2498"/>
    </row>
    <row r="24829" spans="16:16">
      <c r="P24829" s="2498"/>
    </row>
    <row r="24830" spans="16:16">
      <c r="P24830" s="2498"/>
    </row>
    <row r="24831" spans="16:16">
      <c r="P24831" s="2498"/>
    </row>
    <row r="24832" spans="16:16">
      <c r="P24832" s="2498"/>
    </row>
    <row r="24833" spans="16:16">
      <c r="P24833" s="2498"/>
    </row>
    <row r="24834" spans="16:16">
      <c r="P24834" s="2498"/>
    </row>
    <row r="24835" spans="16:16">
      <c r="P24835" s="2498"/>
    </row>
    <row r="24836" spans="16:16">
      <c r="P24836" s="2498"/>
    </row>
    <row r="24837" spans="16:16">
      <c r="P24837" s="2498"/>
    </row>
    <row r="24838" spans="16:16">
      <c r="P24838" s="2498"/>
    </row>
    <row r="24839" spans="16:16">
      <c r="P24839" s="2498"/>
    </row>
    <row r="24840" spans="16:16">
      <c r="P24840" s="2498"/>
    </row>
    <row r="24841" spans="16:16">
      <c r="P24841" s="2498"/>
    </row>
    <row r="24842" spans="16:16">
      <c r="P24842" s="2498"/>
    </row>
    <row r="24843" spans="16:16">
      <c r="P24843" s="2498"/>
    </row>
    <row r="24844" spans="16:16">
      <c r="P24844" s="2498"/>
    </row>
    <row r="24845" spans="16:16">
      <c r="P24845" s="2498"/>
    </row>
    <row r="24846" spans="16:16">
      <c r="P24846" s="2498"/>
    </row>
    <row r="24847" spans="16:16">
      <c r="P24847" s="2498"/>
    </row>
    <row r="24848" spans="16:16">
      <c r="P24848" s="2498"/>
    </row>
    <row r="24849" spans="16:16">
      <c r="P24849" s="2498"/>
    </row>
    <row r="24850" spans="16:16">
      <c r="P24850" s="2498"/>
    </row>
    <row r="24851" spans="16:16">
      <c r="P24851" s="2498"/>
    </row>
    <row r="24852" spans="16:16">
      <c r="P24852" s="2498"/>
    </row>
    <row r="24853" spans="16:16">
      <c r="P24853" s="2498"/>
    </row>
    <row r="24854" spans="16:16">
      <c r="P24854" s="2498"/>
    </row>
    <row r="24855" spans="16:16">
      <c r="P24855" s="2498"/>
    </row>
    <row r="24856" spans="16:16">
      <c r="P24856" s="2498"/>
    </row>
    <row r="24857" spans="16:16">
      <c r="P24857" s="2498"/>
    </row>
    <row r="24858" spans="16:16">
      <c r="P24858" s="2498"/>
    </row>
    <row r="24859" spans="16:16">
      <c r="P24859" s="2498"/>
    </row>
    <row r="24860" spans="16:16">
      <c r="P24860" s="2498"/>
    </row>
    <row r="24861" spans="16:16">
      <c r="P24861" s="2498"/>
    </row>
    <row r="24862" spans="16:16">
      <c r="P24862" s="2498"/>
    </row>
    <row r="24863" spans="16:16">
      <c r="P24863" s="2498"/>
    </row>
    <row r="24864" spans="16:16">
      <c r="P24864" s="2498"/>
    </row>
    <row r="24865" spans="16:16">
      <c r="P24865" s="2498"/>
    </row>
    <row r="24866" spans="16:16">
      <c r="P24866" s="2498"/>
    </row>
    <row r="24867" spans="16:16">
      <c r="P24867" s="2498"/>
    </row>
    <row r="24868" spans="16:16">
      <c r="P24868" s="2498"/>
    </row>
    <row r="24869" spans="16:16">
      <c r="P24869" s="2498"/>
    </row>
    <row r="24870" spans="16:16">
      <c r="P24870" s="2498"/>
    </row>
    <row r="24871" spans="16:16">
      <c r="P24871" s="2498"/>
    </row>
    <row r="24872" spans="16:16">
      <c r="P24872" s="2498"/>
    </row>
    <row r="24873" spans="16:16">
      <c r="P24873" s="2498"/>
    </row>
    <row r="24874" spans="16:16">
      <c r="P24874" s="2498"/>
    </row>
    <row r="24875" spans="16:16">
      <c r="P24875" s="2498"/>
    </row>
    <row r="24876" spans="16:16">
      <c r="P24876" s="2498"/>
    </row>
    <row r="24877" spans="16:16">
      <c r="P24877" s="2498"/>
    </row>
    <row r="24878" spans="16:16">
      <c r="P24878" s="2498"/>
    </row>
    <row r="24879" spans="16:16">
      <c r="P24879" s="2498"/>
    </row>
    <row r="24880" spans="16:16">
      <c r="P24880" s="2498"/>
    </row>
    <row r="24881" spans="16:16">
      <c r="P24881" s="2498"/>
    </row>
    <row r="24882" spans="16:16">
      <c r="P24882" s="2498"/>
    </row>
    <row r="24883" spans="16:16">
      <c r="P24883" s="2498"/>
    </row>
    <row r="24884" spans="16:16">
      <c r="P24884" s="2498"/>
    </row>
    <row r="24885" spans="16:16">
      <c r="P24885" s="2498"/>
    </row>
    <row r="24886" spans="16:16">
      <c r="P24886" s="2498"/>
    </row>
    <row r="24887" spans="16:16">
      <c r="P24887" s="2498"/>
    </row>
    <row r="24888" spans="16:16">
      <c r="P24888" s="2498"/>
    </row>
    <row r="24889" spans="16:16">
      <c r="P24889" s="2498"/>
    </row>
    <row r="24890" spans="16:16">
      <c r="P24890" s="2498"/>
    </row>
    <row r="24891" spans="16:16">
      <c r="P24891" s="2498"/>
    </row>
    <row r="24892" spans="16:16">
      <c r="P24892" s="2498"/>
    </row>
    <row r="24893" spans="16:16">
      <c r="P24893" s="2498"/>
    </row>
    <row r="24894" spans="16:16">
      <c r="P24894" s="2498"/>
    </row>
    <row r="24895" spans="16:16">
      <c r="P24895" s="2498"/>
    </row>
    <row r="24896" spans="16:16">
      <c r="P24896" s="2498"/>
    </row>
    <row r="24897" spans="16:16">
      <c r="P24897" s="2498"/>
    </row>
    <row r="24898" spans="16:16">
      <c r="P24898" s="2498"/>
    </row>
    <row r="24899" spans="16:16">
      <c r="P24899" s="2498"/>
    </row>
    <row r="24900" spans="16:16">
      <c r="P24900" s="2498"/>
    </row>
    <row r="24901" spans="16:16">
      <c r="P24901" s="2498"/>
    </row>
    <row r="24902" spans="16:16">
      <c r="P24902" s="2498"/>
    </row>
    <row r="24903" spans="16:16">
      <c r="P24903" s="2498"/>
    </row>
    <row r="24904" spans="16:16">
      <c r="P24904" s="2498"/>
    </row>
    <row r="24905" spans="16:16">
      <c r="P24905" s="2498"/>
    </row>
    <row r="24906" spans="16:16">
      <c r="P24906" s="2498"/>
    </row>
    <row r="24907" spans="16:16">
      <c r="P24907" s="2498"/>
    </row>
    <row r="24908" spans="16:16">
      <c r="P24908" s="2498"/>
    </row>
    <row r="24909" spans="16:16">
      <c r="P24909" s="2498"/>
    </row>
    <row r="24910" spans="16:16">
      <c r="P24910" s="2498"/>
    </row>
    <row r="24911" spans="16:16">
      <c r="P24911" s="2498"/>
    </row>
    <row r="24912" spans="16:16">
      <c r="P24912" s="2498"/>
    </row>
    <row r="24913" spans="16:16">
      <c r="P24913" s="2498"/>
    </row>
    <row r="24914" spans="16:16">
      <c r="P24914" s="2498"/>
    </row>
    <row r="24915" spans="16:16">
      <c r="P24915" s="2498"/>
    </row>
    <row r="24916" spans="16:16">
      <c r="P24916" s="2498"/>
    </row>
    <row r="24917" spans="16:16">
      <c r="P24917" s="2498"/>
    </row>
    <row r="24918" spans="16:16">
      <c r="P24918" s="2498"/>
    </row>
    <row r="24919" spans="16:16">
      <c r="P24919" s="2498"/>
    </row>
    <row r="24920" spans="16:16">
      <c r="P24920" s="2498"/>
    </row>
    <row r="24921" spans="16:16">
      <c r="P24921" s="2498"/>
    </row>
    <row r="24922" spans="16:16">
      <c r="P24922" s="2498"/>
    </row>
    <row r="24923" spans="16:16">
      <c r="P24923" s="2498"/>
    </row>
    <row r="24924" spans="16:16">
      <c r="P24924" s="2498"/>
    </row>
    <row r="24925" spans="16:16">
      <c r="P24925" s="2498"/>
    </row>
    <row r="24926" spans="16:16">
      <c r="P24926" s="2498"/>
    </row>
    <row r="24927" spans="16:16">
      <c r="P24927" s="2498"/>
    </row>
    <row r="24928" spans="16:16">
      <c r="P24928" s="2498"/>
    </row>
    <row r="24929" spans="16:16">
      <c r="P24929" s="2498"/>
    </row>
    <row r="24930" spans="16:16">
      <c r="P24930" s="2498"/>
    </row>
    <row r="24931" spans="16:16">
      <c r="P24931" s="2498"/>
    </row>
    <row r="24932" spans="16:16">
      <c r="P24932" s="2498"/>
    </row>
    <row r="24933" spans="16:16">
      <c r="P24933" s="2498"/>
    </row>
    <row r="24934" spans="16:16">
      <c r="P24934" s="2498"/>
    </row>
    <row r="24935" spans="16:16">
      <c r="P24935" s="2498"/>
    </row>
    <row r="24936" spans="16:16">
      <c r="P24936" s="2498"/>
    </row>
    <row r="24937" spans="16:16">
      <c r="P24937" s="2498"/>
    </row>
    <row r="24938" spans="16:16">
      <c r="P24938" s="2498"/>
    </row>
    <row r="24939" spans="16:16">
      <c r="P24939" s="2498"/>
    </row>
    <row r="24940" spans="16:16">
      <c r="P24940" s="2498"/>
    </row>
    <row r="24941" spans="16:16">
      <c r="P24941" s="2498"/>
    </row>
    <row r="24942" spans="16:16">
      <c r="P24942" s="2498"/>
    </row>
    <row r="24943" spans="16:16">
      <c r="P24943" s="2498"/>
    </row>
    <row r="24944" spans="16:16">
      <c r="P24944" s="2498"/>
    </row>
    <row r="24945" spans="16:16">
      <c r="P24945" s="2498"/>
    </row>
    <row r="24946" spans="16:16">
      <c r="P24946" s="2498"/>
    </row>
    <row r="24947" spans="16:16">
      <c r="P24947" s="2498"/>
    </row>
    <row r="24948" spans="16:16">
      <c r="P24948" s="2498"/>
    </row>
    <row r="24949" spans="16:16">
      <c r="P24949" s="2498"/>
    </row>
    <row r="24950" spans="16:16">
      <c r="P24950" s="2498"/>
    </row>
    <row r="24951" spans="16:16">
      <c r="P24951" s="2498"/>
    </row>
    <row r="24952" spans="16:16">
      <c r="P24952" s="2498"/>
    </row>
    <row r="24953" spans="16:16">
      <c r="P24953" s="2498"/>
    </row>
    <row r="24954" spans="16:16">
      <c r="P24954" s="2498"/>
    </row>
    <row r="24955" spans="16:16">
      <c r="P24955" s="2498"/>
    </row>
    <row r="24956" spans="16:16">
      <c r="P24956" s="2498"/>
    </row>
    <row r="24957" spans="16:16">
      <c r="P24957" s="2498"/>
    </row>
    <row r="24958" spans="16:16">
      <c r="P24958" s="2498"/>
    </row>
    <row r="24959" spans="16:16">
      <c r="P24959" s="2498"/>
    </row>
    <row r="24960" spans="16:16">
      <c r="P24960" s="2498"/>
    </row>
    <row r="24961" spans="16:16">
      <c r="P24961" s="2498"/>
    </row>
    <row r="24962" spans="16:16">
      <c r="P24962" s="2498"/>
    </row>
    <row r="24963" spans="16:16">
      <c r="P24963" s="2498"/>
    </row>
    <row r="24964" spans="16:16">
      <c r="P24964" s="2498"/>
    </row>
    <row r="24965" spans="16:16">
      <c r="P24965" s="2498"/>
    </row>
    <row r="24966" spans="16:16">
      <c r="P24966" s="2498"/>
    </row>
    <row r="24967" spans="16:16">
      <c r="P24967" s="2498"/>
    </row>
    <row r="24968" spans="16:16">
      <c r="P24968" s="2498"/>
    </row>
    <row r="24969" spans="16:16">
      <c r="P24969" s="2498"/>
    </row>
    <row r="24970" spans="16:16">
      <c r="P24970" s="2498"/>
    </row>
    <row r="24971" spans="16:16">
      <c r="P24971" s="2498"/>
    </row>
    <row r="24972" spans="16:16">
      <c r="P24972" s="2498"/>
    </row>
    <row r="24973" spans="16:16">
      <c r="P24973" s="2498"/>
    </row>
    <row r="24974" spans="16:16">
      <c r="P24974" s="2498"/>
    </row>
    <row r="24975" spans="16:16">
      <c r="P24975" s="2498"/>
    </row>
    <row r="24976" spans="16:16">
      <c r="P24976" s="2498"/>
    </row>
    <row r="24977" spans="16:16">
      <c r="P24977" s="2498"/>
    </row>
    <row r="24978" spans="16:16">
      <c r="P24978" s="2498"/>
    </row>
    <row r="24979" spans="16:16">
      <c r="P24979" s="2498"/>
    </row>
    <row r="24980" spans="16:16">
      <c r="P24980" s="2498"/>
    </row>
    <row r="24981" spans="16:16">
      <c r="P24981" s="2498"/>
    </row>
    <row r="24982" spans="16:16">
      <c r="P24982" s="2498"/>
    </row>
    <row r="24983" spans="16:16">
      <c r="P24983" s="2498"/>
    </row>
    <row r="24984" spans="16:16">
      <c r="P24984" s="2498"/>
    </row>
    <row r="24985" spans="16:16">
      <c r="P24985" s="2498"/>
    </row>
    <row r="24986" spans="16:16">
      <c r="P24986" s="2498"/>
    </row>
    <row r="24987" spans="16:16">
      <c r="P24987" s="2498"/>
    </row>
    <row r="24988" spans="16:16">
      <c r="P24988" s="2498"/>
    </row>
    <row r="24989" spans="16:16">
      <c r="P24989" s="2498"/>
    </row>
    <row r="24990" spans="16:16">
      <c r="P24990" s="2498"/>
    </row>
    <row r="24991" spans="16:16">
      <c r="P24991" s="2498"/>
    </row>
    <row r="24992" spans="16:16">
      <c r="P24992" s="2498"/>
    </row>
    <row r="24993" spans="16:16">
      <c r="P24993" s="2498"/>
    </row>
    <row r="24994" spans="16:16">
      <c r="P24994" s="2498"/>
    </row>
    <row r="24995" spans="16:16">
      <c r="P24995" s="2498"/>
    </row>
    <row r="24996" spans="16:16">
      <c r="P24996" s="2498"/>
    </row>
    <row r="24997" spans="16:16">
      <c r="P24997" s="2498"/>
    </row>
    <row r="24998" spans="16:16">
      <c r="P24998" s="2498"/>
    </row>
    <row r="24999" spans="16:16">
      <c r="P24999" s="2498"/>
    </row>
    <row r="25000" spans="16:16">
      <c r="P25000" s="2498"/>
    </row>
    <row r="25001" spans="16:16">
      <c r="P25001" s="2498"/>
    </row>
    <row r="25002" spans="16:16">
      <c r="P25002" s="2498"/>
    </row>
    <row r="25003" spans="16:16">
      <c r="P25003" s="2498"/>
    </row>
    <row r="25004" spans="16:16">
      <c r="P25004" s="2498"/>
    </row>
    <row r="25005" spans="16:16">
      <c r="P25005" s="2498"/>
    </row>
    <row r="25006" spans="16:16">
      <c r="P25006" s="2498"/>
    </row>
    <row r="25007" spans="16:16">
      <c r="P25007" s="2498"/>
    </row>
    <row r="25008" spans="16:16">
      <c r="P25008" s="2498"/>
    </row>
    <row r="25009" spans="16:16">
      <c r="P25009" s="2498"/>
    </row>
    <row r="25010" spans="16:16">
      <c r="P25010" s="2498"/>
    </row>
    <row r="25011" spans="16:16">
      <c r="P25011" s="2498"/>
    </row>
    <row r="25012" spans="16:16">
      <c r="P25012" s="2498"/>
    </row>
    <row r="25013" spans="16:16">
      <c r="P25013" s="2498"/>
    </row>
    <row r="25014" spans="16:16">
      <c r="P25014" s="2498"/>
    </row>
    <row r="25015" spans="16:16">
      <c r="P25015" s="2498"/>
    </row>
    <row r="25016" spans="16:16">
      <c r="P25016" s="2498"/>
    </row>
    <row r="25017" spans="16:16">
      <c r="P25017" s="2498"/>
    </row>
    <row r="25018" spans="16:16">
      <c r="P25018" s="2498"/>
    </row>
    <row r="25019" spans="16:16">
      <c r="P25019" s="2498"/>
    </row>
    <row r="25020" spans="16:16">
      <c r="P25020" s="2498"/>
    </row>
    <row r="25021" spans="16:16">
      <c r="P25021" s="2498"/>
    </row>
    <row r="25022" spans="16:16">
      <c r="P25022" s="2498"/>
    </row>
    <row r="25023" spans="16:16">
      <c r="P25023" s="2498"/>
    </row>
    <row r="25024" spans="16:16">
      <c r="P25024" s="2498"/>
    </row>
    <row r="25025" spans="16:16">
      <c r="P25025" s="2498"/>
    </row>
    <row r="25026" spans="16:16">
      <c r="P25026" s="2498"/>
    </row>
    <row r="25027" spans="16:16">
      <c r="P25027" s="2498"/>
    </row>
    <row r="25028" spans="16:16">
      <c r="P25028" s="2498"/>
    </row>
    <row r="25029" spans="16:16">
      <c r="P25029" s="2498"/>
    </row>
    <row r="25030" spans="16:16">
      <c r="P25030" s="2498"/>
    </row>
    <row r="25031" spans="16:16">
      <c r="P25031" s="2498"/>
    </row>
    <row r="25032" spans="16:16">
      <c r="P25032" s="2498"/>
    </row>
    <row r="25033" spans="16:16">
      <c r="P25033" s="2498"/>
    </row>
    <row r="25034" spans="16:16">
      <c r="P25034" s="2498"/>
    </row>
    <row r="25035" spans="16:16">
      <c r="P25035" s="2498"/>
    </row>
    <row r="25036" spans="16:16">
      <c r="P25036" s="2498"/>
    </row>
    <row r="25037" spans="16:16">
      <c r="P25037" s="2498"/>
    </row>
    <row r="25038" spans="16:16">
      <c r="P25038" s="2498"/>
    </row>
    <row r="25039" spans="16:16">
      <c r="P25039" s="2498"/>
    </row>
    <row r="25040" spans="16:16">
      <c r="P25040" s="2498"/>
    </row>
    <row r="25041" spans="16:16">
      <c r="P25041" s="2498"/>
    </row>
    <row r="25042" spans="16:16">
      <c r="P25042" s="2498"/>
    </row>
    <row r="25043" spans="16:16">
      <c r="P25043" s="2498"/>
    </row>
    <row r="25044" spans="16:16">
      <c r="P25044" s="2498"/>
    </row>
    <row r="25045" spans="16:16">
      <c r="P25045" s="2498"/>
    </row>
    <row r="25046" spans="16:16">
      <c r="P25046" s="2498"/>
    </row>
    <row r="25047" spans="16:16">
      <c r="P25047" s="2498"/>
    </row>
    <row r="25048" spans="16:16">
      <c r="P25048" s="2498"/>
    </row>
    <row r="25049" spans="16:16">
      <c r="P25049" s="2498"/>
    </row>
    <row r="25050" spans="16:16">
      <c r="P25050" s="2498"/>
    </row>
    <row r="25051" spans="16:16">
      <c r="P25051" s="2498"/>
    </row>
    <row r="25052" spans="16:16">
      <c r="P25052" s="2498"/>
    </row>
    <row r="25053" spans="16:16">
      <c r="P25053" s="2498"/>
    </row>
    <row r="25054" spans="16:16">
      <c r="P25054" s="2498"/>
    </row>
    <row r="25055" spans="16:16">
      <c r="P25055" s="2498"/>
    </row>
    <row r="25056" spans="16:16">
      <c r="P25056" s="2498"/>
    </row>
    <row r="25057" spans="16:16">
      <c r="P25057" s="2498"/>
    </row>
    <row r="25058" spans="16:16">
      <c r="P25058" s="2498"/>
    </row>
    <row r="25059" spans="16:16">
      <c r="P25059" s="2498"/>
    </row>
    <row r="25060" spans="16:16">
      <c r="P25060" s="2498"/>
    </row>
    <row r="25061" spans="16:16">
      <c r="P25061" s="2498"/>
    </row>
    <row r="25062" spans="16:16">
      <c r="P25062" s="2498"/>
    </row>
    <row r="25063" spans="16:16">
      <c r="P25063" s="2498"/>
    </row>
    <row r="25064" spans="16:16">
      <c r="P25064" s="2498"/>
    </row>
    <row r="25065" spans="16:16">
      <c r="P25065" s="2498"/>
    </row>
    <row r="25066" spans="16:16">
      <c r="P25066" s="2498"/>
    </row>
    <row r="25067" spans="16:16">
      <c r="P25067" s="2498"/>
    </row>
    <row r="25068" spans="16:16">
      <c r="P25068" s="2498"/>
    </row>
    <row r="25069" spans="16:16">
      <c r="P25069" s="2498"/>
    </row>
    <row r="25070" spans="16:16">
      <c r="P25070" s="2498"/>
    </row>
    <row r="25071" spans="16:16">
      <c r="P25071" s="2498"/>
    </row>
    <row r="25072" spans="16:16">
      <c r="P25072" s="2498"/>
    </row>
    <row r="25073" spans="16:16">
      <c r="P25073" s="2498"/>
    </row>
    <row r="25074" spans="16:16">
      <c r="P25074" s="2498"/>
    </row>
    <row r="25075" spans="16:16">
      <c r="P25075" s="2498"/>
    </row>
    <row r="25076" spans="16:16">
      <c r="P25076" s="2498"/>
    </row>
    <row r="25077" spans="16:16">
      <c r="P25077" s="2498"/>
    </row>
    <row r="25078" spans="16:16">
      <c r="P25078" s="2498"/>
    </row>
    <row r="25079" spans="16:16">
      <c r="P25079" s="2498"/>
    </row>
    <row r="25080" spans="16:16">
      <c r="P25080" s="2498"/>
    </row>
    <row r="25081" spans="16:16">
      <c r="P25081" s="2498"/>
    </row>
    <row r="25082" spans="16:16">
      <c r="P25082" s="2498"/>
    </row>
    <row r="25083" spans="16:16">
      <c r="P25083" s="2498"/>
    </row>
    <row r="25084" spans="16:16">
      <c r="P25084" s="2498"/>
    </row>
    <row r="25085" spans="16:16">
      <c r="P25085" s="2498"/>
    </row>
    <row r="25086" spans="16:16">
      <c r="P25086" s="2498"/>
    </row>
    <row r="25087" spans="16:16">
      <c r="P25087" s="2498"/>
    </row>
    <row r="25088" spans="16:16">
      <c r="P25088" s="2498"/>
    </row>
    <row r="25089" spans="16:16">
      <c r="P25089" s="2498"/>
    </row>
    <row r="25090" spans="16:16">
      <c r="P25090" s="2498"/>
    </row>
    <row r="25091" spans="16:16">
      <c r="P25091" s="2498"/>
    </row>
    <row r="25092" spans="16:16">
      <c r="P25092" s="2498"/>
    </row>
    <row r="25093" spans="16:16">
      <c r="P25093" s="2498"/>
    </row>
    <row r="25094" spans="16:16">
      <c r="P25094" s="2498"/>
    </row>
    <row r="25095" spans="16:16">
      <c r="P25095" s="2498"/>
    </row>
    <row r="25096" spans="16:16">
      <c r="P25096" s="2498"/>
    </row>
    <row r="25097" spans="16:16">
      <c r="P25097" s="2498"/>
    </row>
    <row r="25098" spans="16:16">
      <c r="P25098" s="2498"/>
    </row>
    <row r="25099" spans="16:16">
      <c r="P25099" s="2498"/>
    </row>
    <row r="25100" spans="16:16">
      <c r="P25100" s="2498"/>
    </row>
    <row r="25101" spans="16:16">
      <c r="P25101" s="2498"/>
    </row>
    <row r="25102" spans="16:16">
      <c r="P25102" s="2498"/>
    </row>
    <row r="25103" spans="16:16">
      <c r="P25103" s="2498"/>
    </row>
    <row r="25104" spans="16:16">
      <c r="P25104" s="2498"/>
    </row>
    <row r="25105" spans="16:16">
      <c r="P25105" s="2498"/>
    </row>
    <row r="25106" spans="16:16">
      <c r="P25106" s="2498"/>
    </row>
    <row r="25107" spans="16:16">
      <c r="P25107" s="2498"/>
    </row>
    <row r="25108" spans="16:16">
      <c r="P25108" s="2498"/>
    </row>
    <row r="25109" spans="16:16">
      <c r="P25109" s="2498"/>
    </row>
    <row r="25110" spans="16:16">
      <c r="P25110" s="2498"/>
    </row>
    <row r="25111" spans="16:16">
      <c r="P25111" s="2498"/>
    </row>
    <row r="25112" spans="16:16">
      <c r="P25112" s="2498"/>
    </row>
    <row r="25113" spans="16:16">
      <c r="P25113" s="2498"/>
    </row>
    <row r="25114" spans="16:16">
      <c r="P25114" s="2498"/>
    </row>
    <row r="25115" spans="16:16">
      <c r="P25115" s="2498"/>
    </row>
    <row r="25116" spans="16:16">
      <c r="P25116" s="2498"/>
    </row>
    <row r="25117" spans="16:16">
      <c r="P25117" s="2498"/>
    </row>
    <row r="25118" spans="16:16">
      <c r="P25118" s="2498"/>
    </row>
    <row r="25119" spans="16:16">
      <c r="P25119" s="2498"/>
    </row>
    <row r="25120" spans="16:16">
      <c r="P25120" s="2498"/>
    </row>
    <row r="25121" spans="16:16">
      <c r="P25121" s="2498"/>
    </row>
    <row r="25122" spans="16:16">
      <c r="P25122" s="2498"/>
    </row>
    <row r="25123" spans="16:16">
      <c r="P25123" s="2498"/>
    </row>
    <row r="25124" spans="16:16">
      <c r="P25124" s="2498"/>
    </row>
    <row r="25125" spans="16:16">
      <c r="P25125" s="2498"/>
    </row>
    <row r="25126" spans="16:16">
      <c r="P25126" s="2498"/>
    </row>
    <row r="25127" spans="16:16">
      <c r="P25127" s="2498"/>
    </row>
    <row r="25128" spans="16:16">
      <c r="P25128" s="2498"/>
    </row>
    <row r="25129" spans="16:16">
      <c r="P25129" s="2498"/>
    </row>
    <row r="25130" spans="16:16">
      <c r="P25130" s="2498"/>
    </row>
    <row r="25131" spans="16:16">
      <c r="P25131" s="2498"/>
    </row>
    <row r="25132" spans="16:16">
      <c r="P25132" s="2498"/>
    </row>
    <row r="25133" spans="16:16">
      <c r="P25133" s="2498"/>
    </row>
    <row r="25134" spans="16:16">
      <c r="P25134" s="2498"/>
    </row>
    <row r="25135" spans="16:16">
      <c r="P25135" s="2498"/>
    </row>
    <row r="25136" spans="16:16">
      <c r="P25136" s="2498"/>
    </row>
    <row r="25137" spans="16:16">
      <c r="P25137" s="2498"/>
    </row>
    <row r="25138" spans="16:16">
      <c r="P25138" s="2498"/>
    </row>
    <row r="25139" spans="16:16">
      <c r="P25139" s="2498"/>
    </row>
    <row r="25140" spans="16:16">
      <c r="P25140" s="2498"/>
    </row>
    <row r="25141" spans="16:16">
      <c r="P25141" s="2498"/>
    </row>
    <row r="25142" spans="16:16">
      <c r="P25142" s="2498"/>
    </row>
    <row r="25143" spans="16:16">
      <c r="P25143" s="2498"/>
    </row>
    <row r="25144" spans="16:16">
      <c r="P25144" s="2498"/>
    </row>
    <row r="25145" spans="16:16">
      <c r="P25145" s="2498"/>
    </row>
    <row r="25146" spans="16:16">
      <c r="P25146" s="2498"/>
    </row>
    <row r="25147" spans="16:16">
      <c r="P25147" s="2498"/>
    </row>
    <row r="25148" spans="16:16">
      <c r="P25148" s="2498"/>
    </row>
    <row r="25149" spans="16:16">
      <c r="P25149" s="2498"/>
    </row>
    <row r="25150" spans="16:16">
      <c r="P25150" s="2498"/>
    </row>
    <row r="25151" spans="16:16">
      <c r="P25151" s="2498"/>
    </row>
    <row r="25152" spans="16:16">
      <c r="P25152" s="2498"/>
    </row>
    <row r="25153" spans="16:16">
      <c r="P25153" s="2498"/>
    </row>
    <row r="25154" spans="16:16">
      <c r="P25154" s="2498"/>
    </row>
    <row r="25155" spans="16:16">
      <c r="P25155" s="2498"/>
    </row>
    <row r="25156" spans="16:16">
      <c r="P25156" s="2498"/>
    </row>
    <row r="25157" spans="16:16">
      <c r="P25157" s="2498"/>
    </row>
    <row r="25158" spans="16:16">
      <c r="P25158" s="2498"/>
    </row>
    <row r="25159" spans="16:16">
      <c r="P25159" s="2498"/>
    </row>
    <row r="25160" spans="16:16">
      <c r="P25160" s="2498"/>
    </row>
    <row r="25161" spans="16:16">
      <c r="P25161" s="2498"/>
    </row>
    <row r="25162" spans="16:16">
      <c r="P25162" s="2498"/>
    </row>
    <row r="25163" spans="16:16">
      <c r="P25163" s="2498"/>
    </row>
    <row r="25164" spans="16:16">
      <c r="P25164" s="2498"/>
    </row>
    <row r="25165" spans="16:16">
      <c r="P25165" s="2498"/>
    </row>
    <row r="25166" spans="16:16">
      <c r="P25166" s="2498"/>
    </row>
    <row r="25167" spans="16:16">
      <c r="P25167" s="2498"/>
    </row>
    <row r="25168" spans="16:16">
      <c r="P25168" s="2498"/>
    </row>
    <row r="25169" spans="16:16">
      <c r="P25169" s="2498"/>
    </row>
    <row r="25170" spans="16:16">
      <c r="P25170" s="2498"/>
    </row>
    <row r="25171" spans="16:16">
      <c r="P25171" s="2498"/>
    </row>
    <row r="25172" spans="16:16">
      <c r="P25172" s="2498"/>
    </row>
    <row r="25173" spans="16:16">
      <c r="P25173" s="2498"/>
    </row>
    <row r="25174" spans="16:16">
      <c r="P25174" s="2498"/>
    </row>
    <row r="25175" spans="16:16">
      <c r="P25175" s="2498"/>
    </row>
    <row r="25176" spans="16:16">
      <c r="P25176" s="2498"/>
    </row>
    <row r="25177" spans="16:16">
      <c r="P25177" s="2498"/>
    </row>
    <row r="25178" spans="16:16">
      <c r="P25178" s="2498"/>
    </row>
    <row r="25179" spans="16:16">
      <c r="P25179" s="2498"/>
    </row>
    <row r="25180" spans="16:16">
      <c r="P25180" s="2498"/>
    </row>
    <row r="25181" spans="16:16">
      <c r="P25181" s="2498"/>
    </row>
    <row r="25182" spans="16:16">
      <c r="P25182" s="2498"/>
    </row>
    <row r="25183" spans="16:16">
      <c r="P25183" s="2498"/>
    </row>
    <row r="25184" spans="16:16">
      <c r="P25184" s="2498"/>
    </row>
    <row r="25185" spans="16:16">
      <c r="P25185" s="2498"/>
    </row>
    <row r="25186" spans="16:16">
      <c r="P25186" s="2498"/>
    </row>
    <row r="25187" spans="16:16">
      <c r="P25187" s="2498"/>
    </row>
    <row r="25188" spans="16:16">
      <c r="P25188" s="2498"/>
    </row>
    <row r="25189" spans="16:16">
      <c r="P25189" s="2498"/>
    </row>
    <row r="25190" spans="16:16">
      <c r="P25190" s="2498"/>
    </row>
    <row r="25191" spans="16:16">
      <c r="P25191" s="2498"/>
    </row>
    <row r="25192" spans="16:16">
      <c r="P25192" s="2498"/>
    </row>
    <row r="25193" spans="16:16">
      <c r="P25193" s="2498"/>
    </row>
    <row r="25194" spans="16:16">
      <c r="P25194" s="2498"/>
    </row>
    <row r="25195" spans="16:16">
      <c r="P25195" s="2498"/>
    </row>
    <row r="25196" spans="16:16">
      <c r="P25196" s="2498"/>
    </row>
    <row r="25197" spans="16:16">
      <c r="P25197" s="2498"/>
    </row>
    <row r="25198" spans="16:16">
      <c r="P25198" s="2498"/>
    </row>
    <row r="25199" spans="16:16">
      <c r="P25199" s="2498"/>
    </row>
    <row r="25200" spans="16:16">
      <c r="P25200" s="2498"/>
    </row>
    <row r="25201" spans="16:16">
      <c r="P25201" s="2498"/>
    </row>
    <row r="25202" spans="16:16">
      <c r="P25202" s="2498"/>
    </row>
    <row r="25203" spans="16:16">
      <c r="P25203" s="2498"/>
    </row>
    <row r="25204" spans="16:16">
      <c r="P25204" s="2498"/>
    </row>
    <row r="25205" spans="16:16">
      <c r="P25205" s="2498"/>
    </row>
    <row r="25206" spans="16:16">
      <c r="P25206" s="2498"/>
    </row>
    <row r="25207" spans="16:16">
      <c r="P25207" s="2498"/>
    </row>
    <row r="25208" spans="16:16">
      <c r="P25208" s="2498"/>
    </row>
    <row r="25209" spans="16:16">
      <c r="P25209" s="2498"/>
    </row>
    <row r="25210" spans="16:16">
      <c r="P25210" s="2498"/>
    </row>
    <row r="25211" spans="16:16">
      <c r="P25211" s="2498"/>
    </row>
    <row r="25212" spans="16:16">
      <c r="P25212" s="2498"/>
    </row>
    <row r="25213" spans="16:16">
      <c r="P25213" s="2498"/>
    </row>
    <row r="25214" spans="16:16">
      <c r="P25214" s="2498"/>
    </row>
    <row r="25215" spans="16:16">
      <c r="P25215" s="2498"/>
    </row>
    <row r="25216" spans="16:16">
      <c r="P25216" s="2498"/>
    </row>
    <row r="25217" spans="16:16">
      <c r="P25217" s="2498"/>
    </row>
    <row r="25218" spans="16:16">
      <c r="P25218" s="2498"/>
    </row>
    <row r="25219" spans="16:16">
      <c r="P25219" s="2498"/>
    </row>
    <row r="25220" spans="16:16">
      <c r="P25220" s="2498"/>
    </row>
    <row r="25221" spans="16:16">
      <c r="P25221" s="2498"/>
    </row>
    <row r="25222" spans="16:16">
      <c r="P25222" s="2498"/>
    </row>
    <row r="25223" spans="16:16">
      <c r="P25223" s="2498"/>
    </row>
    <row r="25224" spans="16:16">
      <c r="P25224" s="2498"/>
    </row>
    <row r="25225" spans="16:16">
      <c r="P25225" s="2498"/>
    </row>
    <row r="25226" spans="16:16">
      <c r="P25226" s="2498"/>
    </row>
    <row r="25227" spans="16:16">
      <c r="P25227" s="2498"/>
    </row>
    <row r="25228" spans="16:16">
      <c r="P25228" s="2498"/>
    </row>
    <row r="25229" spans="16:16">
      <c r="P25229" s="2498"/>
    </row>
    <row r="25230" spans="16:16">
      <c r="P25230" s="2498"/>
    </row>
    <row r="25231" spans="16:16">
      <c r="P25231" s="2498"/>
    </row>
    <row r="25232" spans="16:16">
      <c r="P25232" s="2498"/>
    </row>
    <row r="25233" spans="16:16">
      <c r="P25233" s="2498"/>
    </row>
    <row r="25234" spans="16:16">
      <c r="P25234" s="2498"/>
    </row>
    <row r="25235" spans="16:16">
      <c r="P25235" s="2498"/>
    </row>
    <row r="25236" spans="16:16">
      <c r="P25236" s="2498"/>
    </row>
    <row r="25237" spans="16:16">
      <c r="P25237" s="2498"/>
    </row>
    <row r="25238" spans="16:16">
      <c r="P25238" s="2498"/>
    </row>
    <row r="25239" spans="16:16">
      <c r="P25239" s="2498"/>
    </row>
    <row r="25240" spans="16:16">
      <c r="P25240" s="2498"/>
    </row>
    <row r="25241" spans="16:16">
      <c r="P25241" s="2498"/>
    </row>
    <row r="25242" spans="16:16">
      <c r="P25242" s="2498"/>
    </row>
    <row r="25243" spans="16:16">
      <c r="P25243" s="2498"/>
    </row>
    <row r="25244" spans="16:16">
      <c r="P25244" s="2498"/>
    </row>
    <row r="25245" spans="16:16">
      <c r="P25245" s="2498"/>
    </row>
    <row r="25246" spans="16:16">
      <c r="P25246" s="2498"/>
    </row>
    <row r="25247" spans="16:16">
      <c r="P25247" s="2498"/>
    </row>
    <row r="25248" spans="16:16">
      <c r="P25248" s="2498"/>
    </row>
    <row r="25249" spans="16:16">
      <c r="P25249" s="2498"/>
    </row>
    <row r="25250" spans="16:16">
      <c r="P25250" s="2498"/>
    </row>
    <row r="25251" spans="16:16">
      <c r="P25251" s="2498"/>
    </row>
    <row r="25252" spans="16:16">
      <c r="P25252" s="2498"/>
    </row>
    <row r="25253" spans="16:16">
      <c r="P25253" s="2498"/>
    </row>
    <row r="25254" spans="16:16">
      <c r="P25254" s="2498"/>
    </row>
    <row r="25255" spans="16:16">
      <c r="P25255" s="2498"/>
    </row>
    <row r="25256" spans="16:16">
      <c r="P25256" s="2498"/>
    </row>
    <row r="25257" spans="16:16">
      <c r="P25257" s="2498"/>
    </row>
    <row r="25258" spans="16:16">
      <c r="P25258" s="2498"/>
    </row>
    <row r="25259" spans="16:16">
      <c r="P25259" s="2498"/>
    </row>
    <row r="25260" spans="16:16">
      <c r="P25260" s="2498"/>
    </row>
    <row r="25261" spans="16:16">
      <c r="P25261" s="2498"/>
    </row>
    <row r="25262" spans="16:16">
      <c r="P25262" s="2498"/>
    </row>
    <row r="25263" spans="16:16">
      <c r="P25263" s="2498"/>
    </row>
    <row r="25264" spans="16:16">
      <c r="P25264" s="2498"/>
    </row>
    <row r="25265" spans="16:16">
      <c r="P25265" s="2498"/>
    </row>
    <row r="25266" spans="16:16">
      <c r="P25266" s="2498"/>
    </row>
    <row r="25267" spans="16:16">
      <c r="P25267" s="2498"/>
    </row>
    <row r="25268" spans="16:16">
      <c r="P25268" s="2498"/>
    </row>
    <row r="25269" spans="16:16">
      <c r="P25269" s="2498"/>
    </row>
    <row r="25270" spans="16:16">
      <c r="P25270" s="2498"/>
    </row>
    <row r="25271" spans="16:16">
      <c r="P25271" s="2498"/>
    </row>
    <row r="25272" spans="16:16">
      <c r="P25272" s="2498"/>
    </row>
    <row r="25273" spans="16:16">
      <c r="P25273" s="2498"/>
    </row>
    <row r="25274" spans="16:16">
      <c r="P25274" s="2498"/>
    </row>
    <row r="25275" spans="16:16">
      <c r="P25275" s="2498"/>
    </row>
    <row r="25276" spans="16:16">
      <c r="P25276" s="2498"/>
    </row>
    <row r="25277" spans="16:16">
      <c r="P25277" s="2498"/>
    </row>
    <row r="25278" spans="16:16">
      <c r="P25278" s="2498"/>
    </row>
    <row r="25279" spans="16:16">
      <c r="P25279" s="2498"/>
    </row>
    <row r="25280" spans="16:16">
      <c r="P25280" s="2498"/>
    </row>
    <row r="25281" spans="16:16">
      <c r="P25281" s="2498"/>
    </row>
    <row r="25282" spans="16:16">
      <c r="P25282" s="2498"/>
    </row>
    <row r="25283" spans="16:16">
      <c r="P25283" s="2498"/>
    </row>
    <row r="25284" spans="16:16">
      <c r="P25284" s="2498"/>
    </row>
    <row r="25285" spans="16:16">
      <c r="P25285" s="2498"/>
    </row>
    <row r="25286" spans="16:16">
      <c r="P25286" s="2498"/>
    </row>
    <row r="25287" spans="16:16">
      <c r="P25287" s="2498"/>
    </row>
    <row r="25288" spans="16:16">
      <c r="P25288" s="2498"/>
    </row>
    <row r="25289" spans="16:16">
      <c r="P25289" s="2498"/>
    </row>
    <row r="25290" spans="16:16">
      <c r="P25290" s="2498"/>
    </row>
    <row r="25291" spans="16:16">
      <c r="P25291" s="2498"/>
    </row>
    <row r="25292" spans="16:16">
      <c r="P25292" s="2498"/>
    </row>
    <row r="25293" spans="16:16">
      <c r="P25293" s="2498"/>
    </row>
    <row r="25294" spans="16:16">
      <c r="P25294" s="2498"/>
    </row>
    <row r="25295" spans="16:16">
      <c r="P25295" s="2498"/>
    </row>
    <row r="25296" spans="16:16">
      <c r="P25296" s="2498"/>
    </row>
    <row r="25297" spans="16:16">
      <c r="P25297" s="2498"/>
    </row>
    <row r="25298" spans="16:16">
      <c r="P25298" s="2498"/>
    </row>
    <row r="25299" spans="16:16">
      <c r="P25299" s="2498"/>
    </row>
    <row r="25300" spans="16:16">
      <c r="P25300" s="2498"/>
    </row>
    <row r="25301" spans="16:16">
      <c r="P25301" s="2498"/>
    </row>
    <row r="25302" spans="16:16">
      <c r="P25302" s="2498"/>
    </row>
    <row r="25303" spans="16:16">
      <c r="P25303" s="2498"/>
    </row>
    <row r="25304" spans="16:16">
      <c r="P25304" s="2498"/>
    </row>
    <row r="25305" spans="16:16">
      <c r="P25305" s="2498"/>
    </row>
    <row r="25306" spans="16:16">
      <c r="P25306" s="2498"/>
    </row>
    <row r="25307" spans="16:16">
      <c r="P25307" s="2498"/>
    </row>
    <row r="25308" spans="16:16">
      <c r="P25308" s="2498"/>
    </row>
    <row r="25309" spans="16:16">
      <c r="P25309" s="2498"/>
    </row>
    <row r="25310" spans="16:16">
      <c r="P25310" s="2498"/>
    </row>
    <row r="25311" spans="16:16">
      <c r="P25311" s="2498"/>
    </row>
    <row r="25312" spans="16:16">
      <c r="P25312" s="2498"/>
    </row>
    <row r="25313" spans="16:16">
      <c r="P25313" s="2498"/>
    </row>
    <row r="25314" spans="16:16">
      <c r="P25314" s="2498"/>
    </row>
    <row r="25315" spans="16:16">
      <c r="P25315" s="2498"/>
    </row>
    <row r="25316" spans="16:16">
      <c r="P25316" s="2498"/>
    </row>
    <row r="25317" spans="16:16">
      <c r="P25317" s="2498"/>
    </row>
    <row r="25318" spans="16:16">
      <c r="P25318" s="2498"/>
    </row>
    <row r="25319" spans="16:16">
      <c r="P25319" s="2498"/>
    </row>
    <row r="25320" spans="16:16">
      <c r="P25320" s="2498"/>
    </row>
    <row r="25321" spans="16:16">
      <c r="P25321" s="2498"/>
    </row>
    <row r="25322" spans="16:16">
      <c r="P25322" s="2498"/>
    </row>
    <row r="25323" spans="16:16">
      <c r="P25323" s="2498"/>
    </row>
    <row r="25324" spans="16:16">
      <c r="P25324" s="2498"/>
    </row>
    <row r="25325" spans="16:16">
      <c r="P25325" s="2498"/>
    </row>
    <row r="25326" spans="16:16">
      <c r="P25326" s="2498"/>
    </row>
    <row r="25327" spans="16:16">
      <c r="P25327" s="2498"/>
    </row>
    <row r="25328" spans="16:16">
      <c r="P25328" s="2498"/>
    </row>
    <row r="25329" spans="16:16">
      <c r="P25329" s="2498"/>
    </row>
    <row r="25330" spans="16:16">
      <c r="P25330" s="2498"/>
    </row>
    <row r="25331" spans="16:16">
      <c r="P25331" s="2498"/>
    </row>
    <row r="25332" spans="16:16">
      <c r="P25332" s="2498"/>
    </row>
    <row r="25333" spans="16:16">
      <c r="P25333" s="2498"/>
    </row>
    <row r="25334" spans="16:16">
      <c r="P25334" s="2498"/>
    </row>
    <row r="25335" spans="16:16">
      <c r="P25335" s="2498"/>
    </row>
    <row r="25336" spans="16:16">
      <c r="P25336" s="2498"/>
    </row>
    <row r="25337" spans="16:16">
      <c r="P25337" s="2498"/>
    </row>
    <row r="25338" spans="16:16">
      <c r="P25338" s="2498"/>
    </row>
    <row r="25339" spans="16:16">
      <c r="P25339" s="2498"/>
    </row>
    <row r="25340" spans="16:16">
      <c r="P25340" s="2498"/>
    </row>
    <row r="25341" spans="16:16">
      <c r="P25341" s="2498"/>
    </row>
    <row r="25342" spans="16:16">
      <c r="P25342" s="2498"/>
    </row>
    <row r="25343" spans="16:16">
      <c r="P25343" s="2498"/>
    </row>
    <row r="25344" spans="16:16">
      <c r="P25344" s="2498"/>
    </row>
    <row r="25345" spans="16:16">
      <c r="P25345" s="2498"/>
    </row>
    <row r="25346" spans="16:16">
      <c r="P25346" s="2498"/>
    </row>
    <row r="25347" spans="16:16">
      <c r="P25347" s="2498"/>
    </row>
    <row r="25348" spans="16:16">
      <c r="P25348" s="2498"/>
    </row>
    <row r="25349" spans="16:16">
      <c r="P25349" s="2498"/>
    </row>
    <row r="25350" spans="16:16">
      <c r="P25350" s="2498"/>
    </row>
    <row r="25351" spans="16:16">
      <c r="P25351" s="2498"/>
    </row>
    <row r="25352" spans="16:16">
      <c r="P25352" s="2498"/>
    </row>
    <row r="25353" spans="16:16">
      <c r="P25353" s="2498"/>
    </row>
    <row r="25354" spans="16:16">
      <c r="P25354" s="2498"/>
    </row>
    <row r="25355" spans="16:16">
      <c r="P25355" s="2498"/>
    </row>
    <row r="25356" spans="16:16">
      <c r="P25356" s="2498"/>
    </row>
    <row r="25357" spans="16:16">
      <c r="P25357" s="2498"/>
    </row>
    <row r="25358" spans="16:16">
      <c r="P25358" s="2498"/>
    </row>
    <row r="25359" spans="16:16">
      <c r="P25359" s="2498"/>
    </row>
    <row r="25360" spans="16:16">
      <c r="P25360" s="2498"/>
    </row>
    <row r="25361" spans="16:16">
      <c r="P25361" s="2498"/>
    </row>
    <row r="25362" spans="16:16">
      <c r="P25362" s="2498"/>
    </row>
    <row r="25363" spans="16:16">
      <c r="P25363" s="2498"/>
    </row>
    <row r="25364" spans="16:16">
      <c r="P25364" s="2498"/>
    </row>
    <row r="25365" spans="16:16">
      <c r="P25365" s="2498"/>
    </row>
    <row r="25366" spans="16:16">
      <c r="P25366" s="2498"/>
    </row>
    <row r="25367" spans="16:16">
      <c r="P25367" s="2498"/>
    </row>
    <row r="25368" spans="16:16">
      <c r="P25368" s="2498"/>
    </row>
    <row r="25369" spans="16:16">
      <c r="P25369" s="2498"/>
    </row>
    <row r="25370" spans="16:16">
      <c r="P25370" s="2498"/>
    </row>
    <row r="25371" spans="16:16">
      <c r="P25371" s="2498"/>
    </row>
    <row r="25372" spans="16:16">
      <c r="P25372" s="2498"/>
    </row>
    <row r="25373" spans="16:16">
      <c r="P25373" s="2498"/>
    </row>
    <row r="25374" spans="16:16">
      <c r="P25374" s="2498"/>
    </row>
    <row r="25375" spans="16:16">
      <c r="P25375" s="2498"/>
    </row>
    <row r="25376" spans="16:16">
      <c r="P25376" s="2498"/>
    </row>
    <row r="25377" spans="16:16">
      <c r="P25377" s="2498"/>
    </row>
    <row r="25378" spans="16:16">
      <c r="P25378" s="2498"/>
    </row>
    <row r="25379" spans="16:16">
      <c r="P25379" s="2498"/>
    </row>
    <row r="25380" spans="16:16">
      <c r="P25380" s="2498"/>
    </row>
    <row r="25381" spans="16:16">
      <c r="P25381" s="2498"/>
    </row>
    <row r="25382" spans="16:16">
      <c r="P25382" s="2498"/>
    </row>
    <row r="25383" spans="16:16">
      <c r="P25383" s="2498"/>
    </row>
    <row r="25384" spans="16:16">
      <c r="P25384" s="2498"/>
    </row>
    <row r="25385" spans="16:16">
      <c r="P25385" s="2498"/>
    </row>
    <row r="25386" spans="16:16">
      <c r="P25386" s="2498"/>
    </row>
    <row r="25387" spans="16:16">
      <c r="P25387" s="2498"/>
    </row>
    <row r="25388" spans="16:16">
      <c r="P25388" s="2498"/>
    </row>
    <row r="25389" spans="16:16">
      <c r="P25389" s="2498"/>
    </row>
    <row r="25390" spans="16:16">
      <c r="P25390" s="2498"/>
    </row>
    <row r="25391" spans="16:16">
      <c r="P25391" s="2498"/>
    </row>
    <row r="25392" spans="16:16">
      <c r="P25392" s="2498"/>
    </row>
    <row r="25393" spans="16:16">
      <c r="P25393" s="2498"/>
    </row>
    <row r="25394" spans="16:16">
      <c r="P25394" s="2498"/>
    </row>
    <row r="25395" spans="16:16">
      <c r="P25395" s="2498"/>
    </row>
    <row r="25396" spans="16:16">
      <c r="P25396" s="2498"/>
    </row>
    <row r="25397" spans="16:16">
      <c r="P25397" s="2498"/>
    </row>
    <row r="25398" spans="16:16">
      <c r="P25398" s="2498"/>
    </row>
    <row r="25399" spans="16:16">
      <c r="P25399" s="2498"/>
    </row>
    <row r="25400" spans="16:16">
      <c r="P25400" s="2498"/>
    </row>
    <row r="25401" spans="16:16">
      <c r="P25401" s="2498"/>
    </row>
    <row r="25402" spans="16:16">
      <c r="P25402" s="2498"/>
    </row>
    <row r="25403" spans="16:16">
      <c r="P25403" s="2498"/>
    </row>
    <row r="25404" spans="16:16">
      <c r="P25404" s="2498"/>
    </row>
    <row r="25405" spans="16:16">
      <c r="P25405" s="2498"/>
    </row>
    <row r="25406" spans="16:16">
      <c r="P25406" s="2498"/>
    </row>
    <row r="25407" spans="16:16">
      <c r="P25407" s="2498"/>
    </row>
    <row r="25408" spans="16:16">
      <c r="P25408" s="2498"/>
    </row>
    <row r="25409" spans="16:16">
      <c r="P25409" s="2498"/>
    </row>
    <row r="25410" spans="16:16">
      <c r="P25410" s="2498"/>
    </row>
    <row r="25411" spans="16:16">
      <c r="P25411" s="2498"/>
    </row>
    <row r="25412" spans="16:16">
      <c r="P25412" s="2498"/>
    </row>
    <row r="25413" spans="16:16">
      <c r="P25413" s="2498"/>
    </row>
    <row r="25414" spans="16:16">
      <c r="P25414" s="2498"/>
    </row>
    <row r="25415" spans="16:16">
      <c r="P25415" s="2498"/>
    </row>
    <row r="25416" spans="16:16">
      <c r="P25416" s="2498"/>
    </row>
    <row r="25417" spans="16:16">
      <c r="P25417" s="2498"/>
    </row>
    <row r="25418" spans="16:16">
      <c r="P25418" s="2498"/>
    </row>
    <row r="25419" spans="16:16">
      <c r="P25419" s="2498"/>
    </row>
    <row r="25420" spans="16:16">
      <c r="P25420" s="2498"/>
    </row>
    <row r="25421" spans="16:16">
      <c r="P25421" s="2498"/>
    </row>
    <row r="25422" spans="16:16">
      <c r="P25422" s="2498"/>
    </row>
    <row r="25423" spans="16:16">
      <c r="P25423" s="2498"/>
    </row>
    <row r="25424" spans="16:16">
      <c r="P25424" s="2498"/>
    </row>
    <row r="25425" spans="16:16">
      <c r="P25425" s="2498"/>
    </row>
    <row r="25426" spans="16:16">
      <c r="P25426" s="2498"/>
    </row>
    <row r="25427" spans="16:16">
      <c r="P25427" s="2498"/>
    </row>
    <row r="25428" spans="16:16">
      <c r="P25428" s="2498"/>
    </row>
    <row r="25429" spans="16:16">
      <c r="P25429" s="2498"/>
    </row>
    <row r="25430" spans="16:16">
      <c r="P25430" s="2498"/>
    </row>
    <row r="25431" spans="16:16">
      <c r="P25431" s="2498"/>
    </row>
    <row r="25432" spans="16:16">
      <c r="P25432" s="2498"/>
    </row>
    <row r="25433" spans="16:16">
      <c r="P25433" s="2498"/>
    </row>
    <row r="25434" spans="16:16">
      <c r="P25434" s="2498"/>
    </row>
    <row r="25435" spans="16:16">
      <c r="P25435" s="2498"/>
    </row>
    <row r="25436" spans="16:16">
      <c r="P25436" s="2498"/>
    </row>
    <row r="25437" spans="16:16">
      <c r="P25437" s="2498"/>
    </row>
    <row r="25438" spans="16:16">
      <c r="P25438" s="2498"/>
    </row>
    <row r="25439" spans="16:16">
      <c r="P25439" s="2498"/>
    </row>
    <row r="25440" spans="16:16">
      <c r="P25440" s="2498"/>
    </row>
    <row r="25441" spans="16:16">
      <c r="P25441" s="2498"/>
    </row>
    <row r="25442" spans="16:16">
      <c r="P25442" s="2498"/>
    </row>
    <row r="25443" spans="16:16">
      <c r="P25443" s="2498"/>
    </row>
    <row r="25444" spans="16:16">
      <c r="P25444" s="2498"/>
    </row>
    <row r="25445" spans="16:16">
      <c r="P25445" s="2498"/>
    </row>
    <row r="25446" spans="16:16">
      <c r="P25446" s="2498"/>
    </row>
    <row r="25447" spans="16:16">
      <c r="P25447" s="2498"/>
    </row>
    <row r="25448" spans="16:16">
      <c r="P25448" s="2498"/>
    </row>
    <row r="25449" spans="16:16">
      <c r="P25449" s="2498"/>
    </row>
    <row r="25450" spans="16:16">
      <c r="P25450" s="2498"/>
    </row>
    <row r="25451" spans="16:16">
      <c r="P25451" s="2498"/>
    </row>
    <row r="25452" spans="16:16">
      <c r="P25452" s="2498"/>
    </row>
    <row r="25453" spans="16:16">
      <c r="P25453" s="2498"/>
    </row>
    <row r="25454" spans="16:16">
      <c r="P25454" s="2498"/>
    </row>
    <row r="25455" spans="16:16">
      <c r="P25455" s="2498"/>
    </row>
    <row r="25456" spans="16:16">
      <c r="P25456" s="2498"/>
    </row>
    <row r="25457" spans="16:16">
      <c r="P25457" s="2498"/>
    </row>
    <row r="25458" spans="16:16">
      <c r="P25458" s="2498"/>
    </row>
    <row r="25459" spans="16:16">
      <c r="P25459" s="2498"/>
    </row>
    <row r="25460" spans="16:16">
      <c r="P25460" s="2498"/>
    </row>
    <row r="25461" spans="16:16">
      <c r="P25461" s="2498"/>
    </row>
    <row r="25462" spans="16:16">
      <c r="P25462" s="2498"/>
    </row>
    <row r="25463" spans="16:16">
      <c r="P25463" s="2498"/>
    </row>
    <row r="25464" spans="16:16">
      <c r="P25464" s="2498"/>
    </row>
    <row r="25465" spans="16:16">
      <c r="P25465" s="2498"/>
    </row>
    <row r="25466" spans="16:16">
      <c r="P25466" s="2498"/>
    </row>
    <row r="25467" spans="16:16">
      <c r="P25467" s="2498"/>
    </row>
    <row r="25468" spans="16:16">
      <c r="P25468" s="2498"/>
    </row>
    <row r="25469" spans="16:16">
      <c r="P25469" s="2498"/>
    </row>
    <row r="25470" spans="16:16">
      <c r="P25470" s="2498"/>
    </row>
    <row r="25471" spans="16:16">
      <c r="P25471" s="2498"/>
    </row>
    <row r="25472" spans="16:16">
      <c r="P25472" s="2498"/>
    </row>
    <row r="25473" spans="16:16">
      <c r="P25473" s="2498"/>
    </row>
    <row r="25474" spans="16:16">
      <c r="P25474" s="2498"/>
    </row>
    <row r="25475" spans="16:16">
      <c r="P25475" s="2498"/>
    </row>
    <row r="25476" spans="16:16">
      <c r="P25476" s="2498"/>
    </row>
    <row r="25477" spans="16:16">
      <c r="P25477" s="2498"/>
    </row>
    <row r="25478" spans="16:16">
      <c r="P25478" s="2498"/>
    </row>
    <row r="25479" spans="16:16">
      <c r="P25479" s="2498"/>
    </row>
    <row r="25480" spans="16:16">
      <c r="P25480" s="2498"/>
    </row>
    <row r="25481" spans="16:16">
      <c r="P25481" s="2498"/>
    </row>
    <row r="25482" spans="16:16">
      <c r="P25482" s="2498"/>
    </row>
    <row r="25483" spans="16:16">
      <c r="P25483" s="2498"/>
    </row>
    <row r="25484" spans="16:16">
      <c r="P25484" s="2498"/>
    </row>
    <row r="25485" spans="16:16">
      <c r="P25485" s="2498"/>
    </row>
    <row r="25486" spans="16:16">
      <c r="P25486" s="2498"/>
    </row>
    <row r="25487" spans="16:16">
      <c r="P25487" s="2498"/>
    </row>
    <row r="25488" spans="16:16">
      <c r="P25488" s="2498"/>
    </row>
    <row r="25489" spans="16:16">
      <c r="P25489" s="2498"/>
    </row>
    <row r="25490" spans="16:16">
      <c r="P25490" s="2498"/>
    </row>
    <row r="25491" spans="16:16">
      <c r="P25491" s="2498"/>
    </row>
    <row r="25492" spans="16:16">
      <c r="P25492" s="2498"/>
    </row>
    <row r="25493" spans="16:16">
      <c r="P25493" s="2498"/>
    </row>
    <row r="25494" spans="16:16">
      <c r="P25494" s="2498"/>
    </row>
    <row r="25495" spans="16:16">
      <c r="P25495" s="2498"/>
    </row>
    <row r="25496" spans="16:16">
      <c r="P25496" s="2498"/>
    </row>
    <row r="25497" spans="16:16">
      <c r="P25497" s="2498"/>
    </row>
    <row r="25498" spans="16:16">
      <c r="P25498" s="2498"/>
    </row>
    <row r="25499" spans="16:16">
      <c r="P25499" s="2498"/>
    </row>
    <row r="25500" spans="16:16">
      <c r="P25500" s="2498"/>
    </row>
    <row r="25501" spans="16:16">
      <c r="P25501" s="2498"/>
    </row>
    <row r="25502" spans="16:16">
      <c r="P25502" s="2498"/>
    </row>
    <row r="25503" spans="16:16">
      <c r="P25503" s="2498"/>
    </row>
    <row r="25504" spans="16:16">
      <c r="P25504" s="2498"/>
    </row>
    <row r="25505" spans="16:16">
      <c r="P25505" s="2498"/>
    </row>
    <row r="25506" spans="16:16">
      <c r="P25506" s="2498"/>
    </row>
    <row r="25507" spans="16:16">
      <c r="P25507" s="2498"/>
    </row>
    <row r="25508" spans="16:16">
      <c r="P25508" s="2498"/>
    </row>
    <row r="25509" spans="16:16">
      <c r="P25509" s="2498"/>
    </row>
    <row r="25510" spans="16:16">
      <c r="P25510" s="2498"/>
    </row>
    <row r="25511" spans="16:16">
      <c r="P25511" s="2498"/>
    </row>
    <row r="25512" spans="16:16">
      <c r="P25512" s="2498"/>
    </row>
    <row r="25513" spans="16:16">
      <c r="P25513" s="2498"/>
    </row>
    <row r="25514" spans="16:16">
      <c r="P25514" s="2498"/>
    </row>
    <row r="25515" spans="16:16">
      <c r="P25515" s="2498"/>
    </row>
    <row r="25516" spans="16:16">
      <c r="P25516" s="2498"/>
    </row>
    <row r="25517" spans="16:16">
      <c r="P25517" s="2498"/>
    </row>
    <row r="25518" spans="16:16">
      <c r="P25518" s="2498"/>
    </row>
    <row r="25519" spans="16:16">
      <c r="P25519" s="2498"/>
    </row>
    <row r="25520" spans="16:16">
      <c r="P25520" s="2498"/>
    </row>
    <row r="25521" spans="16:16">
      <c r="P25521" s="2498"/>
    </row>
    <row r="25522" spans="16:16">
      <c r="P25522" s="2498"/>
    </row>
    <row r="25523" spans="16:16">
      <c r="P25523" s="2498"/>
    </row>
    <row r="25524" spans="16:16">
      <c r="P25524" s="2498"/>
    </row>
    <row r="25525" spans="16:16">
      <c r="P25525" s="2498"/>
    </row>
    <row r="25526" spans="16:16">
      <c r="P25526" s="2498"/>
    </row>
    <row r="25527" spans="16:16">
      <c r="P25527" s="2498"/>
    </row>
    <row r="25528" spans="16:16">
      <c r="P25528" s="2498"/>
    </row>
    <row r="25529" spans="16:16">
      <c r="P25529" s="2498"/>
    </row>
    <row r="25530" spans="16:16">
      <c r="P25530" s="2498"/>
    </row>
    <row r="25531" spans="16:16">
      <c r="P25531" s="2498"/>
    </row>
    <row r="25532" spans="16:16">
      <c r="P25532" s="2498"/>
    </row>
    <row r="25533" spans="16:16">
      <c r="P25533" s="2498"/>
    </row>
    <row r="25534" spans="16:16">
      <c r="P25534" s="2498"/>
    </row>
    <row r="25535" spans="16:16">
      <c r="P25535" s="2498"/>
    </row>
    <row r="25536" spans="16:16">
      <c r="P25536" s="2498"/>
    </row>
    <row r="25537" spans="16:16">
      <c r="P25537" s="2498"/>
    </row>
    <row r="25538" spans="16:16">
      <c r="P25538" s="2498"/>
    </row>
    <row r="25539" spans="16:16">
      <c r="P25539" s="2498"/>
    </row>
    <row r="25540" spans="16:16">
      <c r="P25540" s="2498"/>
    </row>
    <row r="25541" spans="16:16">
      <c r="P25541" s="2498"/>
    </row>
    <row r="25542" spans="16:16">
      <c r="P25542" s="2498"/>
    </row>
    <row r="25543" spans="16:16">
      <c r="P25543" s="2498"/>
    </row>
    <row r="25544" spans="16:16">
      <c r="P25544" s="2498"/>
    </row>
    <row r="25545" spans="16:16">
      <c r="P25545" s="2498"/>
    </row>
    <row r="25546" spans="16:16">
      <c r="P25546" s="2498"/>
    </row>
    <row r="25547" spans="16:16">
      <c r="P25547" s="2498"/>
    </row>
    <row r="25548" spans="16:16">
      <c r="P25548" s="2498"/>
    </row>
    <row r="25549" spans="16:16">
      <c r="P25549" s="2498"/>
    </row>
    <row r="25550" spans="16:16">
      <c r="P25550" s="2498"/>
    </row>
    <row r="25551" spans="16:16">
      <c r="P25551" s="2498"/>
    </row>
    <row r="25552" spans="16:16">
      <c r="P25552" s="2498"/>
    </row>
    <row r="25553" spans="16:16">
      <c r="P25553" s="2498"/>
    </row>
    <row r="25554" spans="16:16">
      <c r="P25554" s="2498"/>
    </row>
    <row r="25555" spans="16:16">
      <c r="P25555" s="2498"/>
    </row>
    <row r="25556" spans="16:16">
      <c r="P25556" s="2498"/>
    </row>
    <row r="25557" spans="16:16">
      <c r="P25557" s="2498"/>
    </row>
    <row r="25558" spans="16:16">
      <c r="P25558" s="2498"/>
    </row>
    <row r="25559" spans="16:16">
      <c r="P25559" s="2498"/>
    </row>
    <row r="25560" spans="16:16">
      <c r="P25560" s="2498"/>
    </row>
    <row r="25561" spans="16:16">
      <c r="P25561" s="2498"/>
    </row>
    <row r="25562" spans="16:16">
      <c r="P25562" s="2498"/>
    </row>
    <row r="25563" spans="16:16">
      <c r="P25563" s="2498"/>
    </row>
    <row r="25564" spans="16:16">
      <c r="P25564" s="2498"/>
    </row>
    <row r="25565" spans="16:16">
      <c r="P25565" s="2498"/>
    </row>
    <row r="25566" spans="16:16">
      <c r="P25566" s="2498"/>
    </row>
    <row r="25567" spans="16:16">
      <c r="P25567" s="2498"/>
    </row>
    <row r="25568" spans="16:16">
      <c r="P25568" s="2498"/>
    </row>
    <row r="25569" spans="16:16">
      <c r="P25569" s="2498"/>
    </row>
    <row r="25570" spans="16:16">
      <c r="P25570" s="2498"/>
    </row>
    <row r="25571" spans="16:16">
      <c r="P25571" s="2498"/>
    </row>
    <row r="25572" spans="16:16">
      <c r="P25572" s="2498"/>
    </row>
    <row r="25573" spans="16:16">
      <c r="P25573" s="2498"/>
    </row>
    <row r="25574" spans="16:16">
      <c r="P25574" s="2498"/>
    </row>
    <row r="25575" spans="16:16">
      <c r="P25575" s="2498"/>
    </row>
    <row r="25576" spans="16:16">
      <c r="P25576" s="2498"/>
    </row>
    <row r="25577" spans="16:16">
      <c r="P25577" s="2498"/>
    </row>
    <row r="25578" spans="16:16">
      <c r="P25578" s="2498"/>
    </row>
    <row r="25579" spans="16:16">
      <c r="P25579" s="2498"/>
    </row>
    <row r="25580" spans="16:16">
      <c r="P25580" s="2498"/>
    </row>
    <row r="25581" spans="16:16">
      <c r="P25581" s="2498"/>
    </row>
    <row r="25582" spans="16:16">
      <c r="P25582" s="2498"/>
    </row>
    <row r="25583" spans="16:16">
      <c r="P25583" s="2498"/>
    </row>
    <row r="25584" spans="16:16">
      <c r="P25584" s="2498"/>
    </row>
    <row r="25585" spans="16:16">
      <c r="P25585" s="2498"/>
    </row>
    <row r="25586" spans="16:16">
      <c r="P25586" s="2498"/>
    </row>
    <row r="25587" spans="16:16">
      <c r="P25587" s="2498"/>
    </row>
    <row r="25588" spans="16:16">
      <c r="P25588" s="2498"/>
    </row>
    <row r="25589" spans="16:16">
      <c r="P25589" s="2498"/>
    </row>
    <row r="25590" spans="16:16">
      <c r="P25590" s="2498"/>
    </row>
    <row r="25591" spans="16:16">
      <c r="P25591" s="2498"/>
    </row>
    <row r="25592" spans="16:16">
      <c r="P25592" s="2498"/>
    </row>
    <row r="25593" spans="16:16">
      <c r="P25593" s="2498"/>
    </row>
    <row r="25594" spans="16:16">
      <c r="P25594" s="2498"/>
    </row>
    <row r="25595" spans="16:16">
      <c r="P25595" s="2498"/>
    </row>
    <row r="25596" spans="16:16">
      <c r="P25596" s="2498"/>
    </row>
    <row r="25597" spans="16:16">
      <c r="P25597" s="2498"/>
    </row>
    <row r="25598" spans="16:16">
      <c r="P25598" s="2498"/>
    </row>
    <row r="25599" spans="16:16">
      <c r="P25599" s="2498"/>
    </row>
    <row r="25600" spans="16:16">
      <c r="P25600" s="2498"/>
    </row>
    <row r="25601" spans="16:16">
      <c r="P25601" s="2498"/>
    </row>
    <row r="25602" spans="16:16">
      <c r="P25602" s="2498"/>
    </row>
    <row r="25603" spans="16:16">
      <c r="P25603" s="2498"/>
    </row>
    <row r="25604" spans="16:16">
      <c r="P25604" s="2498"/>
    </row>
    <row r="25605" spans="16:16">
      <c r="P25605" s="2498"/>
    </row>
    <row r="25606" spans="16:16">
      <c r="P25606" s="2498"/>
    </row>
    <row r="25607" spans="16:16">
      <c r="P25607" s="2498"/>
    </row>
    <row r="25608" spans="16:16">
      <c r="P25608" s="2498"/>
    </row>
    <row r="25609" spans="16:16">
      <c r="P25609" s="2498"/>
    </row>
    <row r="25610" spans="16:16">
      <c r="P25610" s="2498"/>
    </row>
    <row r="25611" spans="16:16">
      <c r="P25611" s="2498"/>
    </row>
    <row r="25612" spans="16:16">
      <c r="P25612" s="2498"/>
    </row>
    <row r="25613" spans="16:16">
      <c r="P25613" s="2498"/>
    </row>
    <row r="25614" spans="16:16">
      <c r="P25614" s="2498"/>
    </row>
    <row r="25615" spans="16:16">
      <c r="P25615" s="2498"/>
    </row>
    <row r="25616" spans="16:16">
      <c r="P25616" s="2498"/>
    </row>
    <row r="25617" spans="16:16">
      <c r="P25617" s="2498"/>
    </row>
    <row r="25618" spans="16:16">
      <c r="P25618" s="2498"/>
    </row>
    <row r="25619" spans="16:16">
      <c r="P25619" s="2498"/>
    </row>
    <row r="25620" spans="16:16">
      <c r="P25620" s="2498"/>
    </row>
    <row r="25621" spans="16:16">
      <c r="P25621" s="2498"/>
    </row>
    <row r="25622" spans="16:16">
      <c r="P25622" s="2498"/>
    </row>
    <row r="25623" spans="16:16">
      <c r="P25623" s="2498"/>
    </row>
    <row r="25624" spans="16:16">
      <c r="P25624" s="2498"/>
    </row>
    <row r="25625" spans="16:16">
      <c r="P25625" s="2498"/>
    </row>
    <row r="25626" spans="16:16">
      <c r="P25626" s="2498"/>
    </row>
    <row r="25627" spans="16:16">
      <c r="P25627" s="2498"/>
    </row>
    <row r="25628" spans="16:16">
      <c r="P25628" s="2498"/>
    </row>
    <row r="25629" spans="16:16">
      <c r="P25629" s="2498"/>
    </row>
    <row r="25630" spans="16:16">
      <c r="P25630" s="2498"/>
    </row>
    <row r="25631" spans="16:16">
      <c r="P25631" s="2498"/>
    </row>
    <row r="25632" spans="16:16">
      <c r="P25632" s="2498"/>
    </row>
    <row r="25633" spans="16:16">
      <c r="P25633" s="2498"/>
    </row>
    <row r="25634" spans="16:16">
      <c r="P25634" s="2498"/>
    </row>
    <row r="25635" spans="16:16">
      <c r="P25635" s="2498"/>
    </row>
    <row r="25636" spans="16:16">
      <c r="P25636" s="2498"/>
    </row>
    <row r="25637" spans="16:16">
      <c r="P25637" s="2498"/>
    </row>
    <row r="25638" spans="16:16">
      <c r="P25638" s="2498"/>
    </row>
    <row r="25639" spans="16:16">
      <c r="P25639" s="2498"/>
    </row>
    <row r="25640" spans="16:16">
      <c r="P25640" s="2498"/>
    </row>
    <row r="25641" spans="16:16">
      <c r="P25641" s="2498"/>
    </row>
    <row r="25642" spans="16:16">
      <c r="P25642" s="2498"/>
    </row>
    <row r="25643" spans="16:16">
      <c r="P25643" s="2498"/>
    </row>
    <row r="25644" spans="16:16">
      <c r="P25644" s="2498"/>
    </row>
    <row r="25645" spans="16:16">
      <c r="P25645" s="2498"/>
    </row>
    <row r="25646" spans="16:16">
      <c r="P25646" s="2498"/>
    </row>
    <row r="25647" spans="16:16">
      <c r="P25647" s="2498"/>
    </row>
    <row r="25648" spans="16:16">
      <c r="P25648" s="2498"/>
    </row>
    <row r="25649" spans="16:16">
      <c r="P25649" s="2498"/>
    </row>
    <row r="25650" spans="16:16">
      <c r="P25650" s="2498"/>
    </row>
    <row r="25651" spans="16:16">
      <c r="P25651" s="2498"/>
    </row>
    <row r="25652" spans="16:16">
      <c r="P25652" s="2498"/>
    </row>
    <row r="25653" spans="16:16">
      <c r="P25653" s="2498"/>
    </row>
    <row r="25654" spans="16:16">
      <c r="P25654" s="2498"/>
    </row>
    <row r="25655" spans="16:16">
      <c r="P25655" s="2498"/>
    </row>
    <row r="25656" spans="16:16">
      <c r="P25656" s="2498"/>
    </row>
    <row r="25657" spans="16:16">
      <c r="P25657" s="2498"/>
    </row>
    <row r="25658" spans="16:16">
      <c r="P25658" s="2498"/>
    </row>
    <row r="25659" spans="16:16">
      <c r="P25659" s="2498"/>
    </row>
    <row r="25660" spans="16:16">
      <c r="P25660" s="2498"/>
    </row>
    <row r="25661" spans="16:16">
      <c r="P25661" s="2498"/>
    </row>
    <row r="25662" spans="16:16">
      <c r="P25662" s="2498"/>
    </row>
    <row r="25663" spans="16:16">
      <c r="P25663" s="2498"/>
    </row>
    <row r="25664" spans="16:16">
      <c r="P25664" s="2498"/>
    </row>
    <row r="25665" spans="16:16">
      <c r="P25665" s="2498"/>
    </row>
    <row r="25666" spans="16:16">
      <c r="P25666" s="2498"/>
    </row>
    <row r="25667" spans="16:16">
      <c r="P25667" s="2498"/>
    </row>
    <row r="25668" spans="16:16">
      <c r="P25668" s="2498"/>
    </row>
    <row r="25669" spans="16:16">
      <c r="P25669" s="2498"/>
    </row>
    <row r="25670" spans="16:16">
      <c r="P25670" s="2498"/>
    </row>
    <row r="25671" spans="16:16">
      <c r="P25671" s="2498"/>
    </row>
    <row r="25672" spans="16:16">
      <c r="P25672" s="2498"/>
    </row>
    <row r="25673" spans="16:16">
      <c r="P25673" s="2498"/>
    </row>
    <row r="25674" spans="16:16">
      <c r="P25674" s="2498"/>
    </row>
    <row r="25675" spans="16:16">
      <c r="P25675" s="2498"/>
    </row>
    <row r="25676" spans="16:16">
      <c r="P25676" s="2498"/>
    </row>
    <row r="25677" spans="16:16">
      <c r="P25677" s="2498"/>
    </row>
    <row r="25678" spans="16:16">
      <c r="P25678" s="2498"/>
    </row>
    <row r="25679" spans="16:16">
      <c r="P25679" s="2498"/>
    </row>
    <row r="25680" spans="16:16">
      <c r="P25680" s="2498"/>
    </row>
    <row r="25681" spans="16:16">
      <c r="P25681" s="2498"/>
    </row>
    <row r="25682" spans="16:16">
      <c r="P25682" s="2498"/>
    </row>
    <row r="25683" spans="16:16">
      <c r="P25683" s="2498"/>
    </row>
    <row r="25684" spans="16:16">
      <c r="P25684" s="2498"/>
    </row>
    <row r="25685" spans="16:16">
      <c r="P25685" s="2498"/>
    </row>
    <row r="25686" spans="16:16">
      <c r="P25686" s="2498"/>
    </row>
    <row r="25687" spans="16:16">
      <c r="P25687" s="2498"/>
    </row>
    <row r="25688" spans="16:16">
      <c r="P25688" s="2498"/>
    </row>
    <row r="25689" spans="16:16">
      <c r="P25689" s="2498"/>
    </row>
    <row r="25690" spans="16:16">
      <c r="P25690" s="2498"/>
    </row>
    <row r="25691" spans="16:16">
      <c r="P25691" s="2498"/>
    </row>
    <row r="25692" spans="16:16">
      <c r="P25692" s="2498"/>
    </row>
    <row r="25693" spans="16:16">
      <c r="P25693" s="2498"/>
    </row>
    <row r="25694" spans="16:16">
      <c r="P25694" s="2498"/>
    </row>
    <row r="25695" spans="16:16">
      <c r="P25695" s="2498"/>
    </row>
    <row r="25696" spans="16:16">
      <c r="P25696" s="2498"/>
    </row>
    <row r="25697" spans="16:16">
      <c r="P25697" s="2498"/>
    </row>
    <row r="25698" spans="16:16">
      <c r="P25698" s="2498"/>
    </row>
    <row r="25699" spans="16:16">
      <c r="P25699" s="2498"/>
    </row>
    <row r="25700" spans="16:16">
      <c r="P25700" s="2498"/>
    </row>
    <row r="25701" spans="16:16">
      <c r="P25701" s="2498"/>
    </row>
    <row r="25702" spans="16:16">
      <c r="P25702" s="2498"/>
    </row>
    <row r="25703" spans="16:16">
      <c r="P25703" s="2498"/>
    </row>
    <row r="25704" spans="16:16">
      <c r="P25704" s="2498"/>
    </row>
    <row r="25705" spans="16:16">
      <c r="P25705" s="2498"/>
    </row>
    <row r="25706" spans="16:16">
      <c r="P25706" s="2498"/>
    </row>
    <row r="25707" spans="16:16">
      <c r="P25707" s="2498"/>
    </row>
    <row r="25708" spans="16:16">
      <c r="P25708" s="2498"/>
    </row>
    <row r="25709" spans="16:16">
      <c r="P25709" s="2498"/>
    </row>
    <row r="25710" spans="16:16">
      <c r="P25710" s="2498"/>
    </row>
    <row r="25711" spans="16:16">
      <c r="P25711" s="2498"/>
    </row>
    <row r="25712" spans="16:16">
      <c r="P25712" s="2498"/>
    </row>
    <row r="25713" spans="16:16">
      <c r="P25713" s="2498"/>
    </row>
    <row r="25714" spans="16:16">
      <c r="P25714" s="2498"/>
    </row>
    <row r="25715" spans="16:16">
      <c r="P25715" s="2498"/>
    </row>
    <row r="25716" spans="16:16">
      <c r="P25716" s="2498"/>
    </row>
    <row r="25717" spans="16:16">
      <c r="P25717" s="2498"/>
    </row>
    <row r="25718" spans="16:16">
      <c r="P25718" s="2498"/>
    </row>
    <row r="25719" spans="16:16">
      <c r="P25719" s="2498"/>
    </row>
    <row r="25720" spans="16:16">
      <c r="P25720" s="2498"/>
    </row>
    <row r="25721" spans="16:16">
      <c r="P25721" s="2498"/>
    </row>
    <row r="25722" spans="16:16">
      <c r="P25722" s="2498"/>
    </row>
    <row r="25723" spans="16:16">
      <c r="P25723" s="2498"/>
    </row>
    <row r="25724" spans="16:16">
      <c r="P25724" s="2498"/>
    </row>
    <row r="25725" spans="16:16">
      <c r="P25725" s="2498"/>
    </row>
    <row r="25726" spans="16:16">
      <c r="P25726" s="2498"/>
    </row>
    <row r="25727" spans="16:16">
      <c r="P25727" s="2498"/>
    </row>
    <row r="25728" spans="16:16">
      <c r="P25728" s="2498"/>
    </row>
    <row r="25729" spans="16:16">
      <c r="P25729" s="2498"/>
    </row>
    <row r="25730" spans="16:16">
      <c r="P25730" s="2498"/>
    </row>
    <row r="25731" spans="16:16">
      <c r="P25731" s="2498"/>
    </row>
    <row r="25732" spans="16:16">
      <c r="P25732" s="2498"/>
    </row>
    <row r="25733" spans="16:16">
      <c r="P25733" s="2498"/>
    </row>
    <row r="25734" spans="16:16">
      <c r="P25734" s="2498"/>
    </row>
    <row r="25735" spans="16:16">
      <c r="P25735" s="2498"/>
    </row>
    <row r="25736" spans="16:16">
      <c r="P25736" s="2498"/>
    </row>
    <row r="25737" spans="16:16">
      <c r="P25737" s="2498"/>
    </row>
    <row r="25738" spans="16:16">
      <c r="P25738" s="2498"/>
    </row>
    <row r="25739" spans="16:16">
      <c r="P25739" s="2498"/>
    </row>
    <row r="25740" spans="16:16">
      <c r="P25740" s="2498"/>
    </row>
    <row r="25741" spans="16:16">
      <c r="P25741" s="2498"/>
    </row>
    <row r="25742" spans="16:16">
      <c r="P25742" s="2498"/>
    </row>
    <row r="25743" spans="16:16">
      <c r="P25743" s="2498"/>
    </row>
    <row r="25744" spans="16:16">
      <c r="P25744" s="2498"/>
    </row>
    <row r="25745" spans="16:16">
      <c r="P25745" s="2498"/>
    </row>
    <row r="25746" spans="16:16">
      <c r="P25746" s="2498"/>
    </row>
    <row r="25747" spans="16:16">
      <c r="P25747" s="2498"/>
    </row>
    <row r="25748" spans="16:16">
      <c r="P25748" s="2498"/>
    </row>
    <row r="25749" spans="16:16">
      <c r="P25749" s="2498"/>
    </row>
    <row r="25750" spans="16:16">
      <c r="P25750" s="2498"/>
    </row>
    <row r="25751" spans="16:16">
      <c r="P25751" s="2498"/>
    </row>
    <row r="25752" spans="16:16">
      <c r="P25752" s="2498"/>
    </row>
    <row r="25753" spans="16:16">
      <c r="P25753" s="2498"/>
    </row>
    <row r="25754" spans="16:16">
      <c r="P25754" s="2498"/>
    </row>
    <row r="25755" spans="16:16">
      <c r="P25755" s="2498"/>
    </row>
    <row r="25756" spans="16:16">
      <c r="P25756" s="2498"/>
    </row>
    <row r="25757" spans="16:16">
      <c r="P25757" s="2498"/>
    </row>
    <row r="25758" spans="16:16">
      <c r="P25758" s="2498"/>
    </row>
    <row r="25759" spans="16:16">
      <c r="P25759" s="2498"/>
    </row>
    <row r="25760" spans="16:16">
      <c r="P25760" s="2498"/>
    </row>
    <row r="25761" spans="16:16">
      <c r="P25761" s="2498"/>
    </row>
    <row r="25762" spans="16:16">
      <c r="P25762" s="2498"/>
    </row>
    <row r="25763" spans="16:16">
      <c r="P25763" s="2498"/>
    </row>
    <row r="25764" spans="16:16">
      <c r="P25764" s="2498"/>
    </row>
    <row r="25765" spans="16:16">
      <c r="P25765" s="2498"/>
    </row>
    <row r="25766" spans="16:16">
      <c r="P25766" s="2498"/>
    </row>
    <row r="25767" spans="16:16">
      <c r="P25767" s="2498"/>
    </row>
    <row r="25768" spans="16:16">
      <c r="P25768" s="2498"/>
    </row>
    <row r="25769" spans="16:16">
      <c r="P25769" s="2498"/>
    </row>
    <row r="25770" spans="16:16">
      <c r="P25770" s="2498"/>
    </row>
    <row r="25771" spans="16:16">
      <c r="P25771" s="2498"/>
    </row>
    <row r="25772" spans="16:16">
      <c r="P25772" s="2498"/>
    </row>
    <row r="25773" spans="16:16">
      <c r="P25773" s="2498"/>
    </row>
    <row r="25774" spans="16:16">
      <c r="P25774" s="2498"/>
    </row>
    <row r="25775" spans="16:16">
      <c r="P25775" s="2498"/>
    </row>
    <row r="25776" spans="16:16">
      <c r="P25776" s="2498"/>
    </row>
    <row r="25777" spans="16:16">
      <c r="P25777" s="2498"/>
    </row>
    <row r="25778" spans="16:16">
      <c r="P25778" s="2498"/>
    </row>
    <row r="25779" spans="16:16">
      <c r="P25779" s="2498"/>
    </row>
    <row r="25780" spans="16:16">
      <c r="P25780" s="2498"/>
    </row>
    <row r="25781" spans="16:16">
      <c r="P25781" s="2498"/>
    </row>
    <row r="25782" spans="16:16">
      <c r="P25782" s="2498"/>
    </row>
    <row r="25783" spans="16:16">
      <c r="P25783" s="2498"/>
    </row>
    <row r="25784" spans="16:16">
      <c r="P25784" s="2498"/>
    </row>
    <row r="25785" spans="16:16">
      <c r="P25785" s="2498"/>
    </row>
    <row r="25786" spans="16:16">
      <c r="P25786" s="2498"/>
    </row>
    <row r="25787" spans="16:16">
      <c r="P25787" s="2498"/>
    </row>
    <row r="25788" spans="16:16">
      <c r="P25788" s="2498"/>
    </row>
    <row r="25789" spans="16:16">
      <c r="P25789" s="2498"/>
    </row>
    <row r="25790" spans="16:16">
      <c r="P25790" s="2498"/>
    </row>
    <row r="25791" spans="16:16">
      <c r="P25791" s="2498"/>
    </row>
    <row r="25792" spans="16:16">
      <c r="P25792" s="2498"/>
    </row>
    <row r="25793" spans="16:16">
      <c r="P25793" s="2498"/>
    </row>
    <row r="25794" spans="16:16">
      <c r="P25794" s="2498"/>
    </row>
    <row r="25795" spans="16:16">
      <c r="P25795" s="2498"/>
    </row>
    <row r="25796" spans="16:16">
      <c r="P25796" s="2498"/>
    </row>
    <row r="25797" spans="16:16">
      <c r="P25797" s="2498"/>
    </row>
    <row r="25798" spans="16:16">
      <c r="P25798" s="2498"/>
    </row>
    <row r="25799" spans="16:16">
      <c r="P25799" s="2498"/>
    </row>
    <row r="25800" spans="16:16">
      <c r="P25800" s="2498"/>
    </row>
    <row r="25801" spans="16:16">
      <c r="P25801" s="2498"/>
    </row>
    <row r="25802" spans="16:16">
      <c r="P25802" s="2498"/>
    </row>
    <row r="25803" spans="16:16">
      <c r="P25803" s="2498"/>
    </row>
    <row r="25804" spans="16:16">
      <c r="P25804" s="2498"/>
    </row>
    <row r="25805" spans="16:16">
      <c r="P25805" s="2498"/>
    </row>
    <row r="25806" spans="16:16">
      <c r="P25806" s="2498"/>
    </row>
    <row r="25807" spans="16:16">
      <c r="P25807" s="2498"/>
    </row>
    <row r="25808" spans="16:16">
      <c r="P25808" s="2498"/>
    </row>
    <row r="25809" spans="16:16">
      <c r="P25809" s="2498"/>
    </row>
    <row r="25810" spans="16:16">
      <c r="P25810" s="2498"/>
    </row>
    <row r="25811" spans="16:16">
      <c r="P25811" s="2498"/>
    </row>
    <row r="25812" spans="16:16">
      <c r="P25812" s="2498"/>
    </row>
    <row r="25813" spans="16:16">
      <c r="P25813" s="2498"/>
    </row>
    <row r="25814" spans="16:16">
      <c r="P25814" s="2498"/>
    </row>
    <row r="25815" spans="16:16">
      <c r="P25815" s="2498"/>
    </row>
    <row r="25816" spans="16:16">
      <c r="P25816" s="2498"/>
    </row>
    <row r="25817" spans="16:16">
      <c r="P25817" s="2498"/>
    </row>
    <row r="25818" spans="16:16">
      <c r="P25818" s="2498"/>
    </row>
    <row r="25819" spans="16:16">
      <c r="P25819" s="2498"/>
    </row>
    <row r="25820" spans="16:16">
      <c r="P25820" s="2498"/>
    </row>
    <row r="25821" spans="16:16">
      <c r="P25821" s="2498"/>
    </row>
    <row r="25822" spans="16:16">
      <c r="P25822" s="2498"/>
    </row>
    <row r="25823" spans="16:16">
      <c r="P25823" s="2498"/>
    </row>
    <row r="25824" spans="16:16">
      <c r="P25824" s="2498"/>
    </row>
    <row r="25825" spans="16:16">
      <c r="P25825" s="2498"/>
    </row>
    <row r="25826" spans="16:16">
      <c r="P25826" s="2498"/>
    </row>
    <row r="25827" spans="16:16">
      <c r="P25827" s="2498"/>
    </row>
    <row r="25828" spans="16:16">
      <c r="P25828" s="2498"/>
    </row>
    <row r="25829" spans="16:16">
      <c r="P25829" s="2498"/>
    </row>
    <row r="25830" spans="16:16">
      <c r="P25830" s="2498"/>
    </row>
    <row r="25831" spans="16:16">
      <c r="P25831" s="2498"/>
    </row>
    <row r="25832" spans="16:16">
      <c r="P25832" s="2498"/>
    </row>
    <row r="25833" spans="16:16">
      <c r="P25833" s="2498"/>
    </row>
    <row r="25834" spans="16:16">
      <c r="P25834" s="2498"/>
    </row>
    <row r="25835" spans="16:16">
      <c r="P25835" s="2498"/>
    </row>
    <row r="25836" spans="16:16">
      <c r="P25836" s="2498"/>
    </row>
    <row r="25837" spans="16:16">
      <c r="P25837" s="2498"/>
    </row>
    <row r="25838" spans="16:16">
      <c r="P25838" s="2498"/>
    </row>
    <row r="25839" spans="16:16">
      <c r="P25839" s="2498"/>
    </row>
    <row r="25840" spans="16:16">
      <c r="P25840" s="2498"/>
    </row>
    <row r="25841" spans="16:16">
      <c r="P25841" s="2498"/>
    </row>
    <row r="25842" spans="16:16">
      <c r="P25842" s="2498"/>
    </row>
    <row r="25843" spans="16:16">
      <c r="P25843" s="2498"/>
    </row>
    <row r="25844" spans="16:16">
      <c r="P25844" s="2498"/>
    </row>
    <row r="25845" spans="16:16">
      <c r="P25845" s="2498"/>
    </row>
    <row r="25846" spans="16:16">
      <c r="P25846" s="2498"/>
    </row>
    <row r="25847" spans="16:16">
      <c r="P25847" s="2498"/>
    </row>
    <row r="25848" spans="16:16">
      <c r="P25848" s="2498"/>
    </row>
    <row r="25849" spans="16:16">
      <c r="P25849" s="2498"/>
    </row>
    <row r="25850" spans="16:16">
      <c r="P25850" s="2498"/>
    </row>
    <row r="25851" spans="16:16">
      <c r="P25851" s="2498"/>
    </row>
    <row r="25852" spans="16:16">
      <c r="P25852" s="2498"/>
    </row>
    <row r="25853" spans="16:16">
      <c r="P25853" s="2498"/>
    </row>
    <row r="25854" spans="16:16">
      <c r="P25854" s="2498"/>
    </row>
    <row r="25855" spans="16:16">
      <c r="P25855" s="2498"/>
    </row>
    <row r="25856" spans="16:16">
      <c r="P25856" s="2498"/>
    </row>
    <row r="25857" spans="16:16">
      <c r="P25857" s="2498"/>
    </row>
    <row r="25858" spans="16:16">
      <c r="P25858" s="2498"/>
    </row>
    <row r="25859" spans="16:16">
      <c r="P25859" s="2498"/>
    </row>
    <row r="25860" spans="16:16">
      <c r="P25860" s="2498"/>
    </row>
    <row r="25861" spans="16:16">
      <c r="P25861" s="2498"/>
    </row>
    <row r="25862" spans="16:16">
      <c r="P25862" s="2498"/>
    </row>
    <row r="25863" spans="16:16">
      <c r="P25863" s="2498"/>
    </row>
    <row r="25864" spans="16:16">
      <c r="P25864" s="2498"/>
    </row>
    <row r="25865" spans="16:16">
      <c r="P25865" s="2498"/>
    </row>
    <row r="25866" spans="16:16">
      <c r="P25866" s="2498"/>
    </row>
    <row r="25867" spans="16:16">
      <c r="P25867" s="2498"/>
    </row>
    <row r="25868" spans="16:16">
      <c r="P25868" s="2498"/>
    </row>
    <row r="25869" spans="16:16">
      <c r="P25869" s="2498"/>
    </row>
    <row r="25870" spans="16:16">
      <c r="P25870" s="2498"/>
    </row>
    <row r="25871" spans="16:16">
      <c r="P25871" s="2498"/>
    </row>
    <row r="25872" spans="16:16">
      <c r="P25872" s="2498"/>
    </row>
    <row r="25873" spans="16:16">
      <c r="P25873" s="2498"/>
    </row>
    <row r="25874" spans="16:16">
      <c r="P25874" s="2498"/>
    </row>
    <row r="25875" spans="16:16">
      <c r="P25875" s="2498"/>
    </row>
    <row r="25876" spans="16:16">
      <c r="P25876" s="2498"/>
    </row>
    <row r="25877" spans="16:16">
      <c r="P25877" s="2498"/>
    </row>
    <row r="25878" spans="16:16">
      <c r="P25878" s="2498"/>
    </row>
    <row r="25879" spans="16:16">
      <c r="P25879" s="2498"/>
    </row>
    <row r="25880" spans="16:16">
      <c r="P25880" s="2498"/>
    </row>
    <row r="25881" spans="16:16">
      <c r="P25881" s="2498"/>
    </row>
    <row r="25882" spans="16:16">
      <c r="P25882" s="2498"/>
    </row>
    <row r="25883" spans="16:16">
      <c r="P25883" s="2498"/>
    </row>
    <row r="25884" spans="16:16">
      <c r="P25884" s="2498"/>
    </row>
    <row r="25885" spans="16:16">
      <c r="P25885" s="2498"/>
    </row>
    <row r="25886" spans="16:16">
      <c r="P25886" s="2498"/>
    </row>
    <row r="25887" spans="16:16">
      <c r="P25887" s="2498"/>
    </row>
    <row r="25888" spans="16:16">
      <c r="P25888" s="2498"/>
    </row>
    <row r="25889" spans="16:16">
      <c r="P25889" s="2498"/>
    </row>
    <row r="25890" spans="16:16">
      <c r="P25890" s="2498"/>
    </row>
    <row r="25891" spans="16:16">
      <c r="P25891" s="2498"/>
    </row>
    <row r="25892" spans="16:16">
      <c r="P25892" s="2498"/>
    </row>
    <row r="25893" spans="16:16">
      <c r="P25893" s="2498"/>
    </row>
    <row r="25894" spans="16:16">
      <c r="P25894" s="2498"/>
    </row>
    <row r="25895" spans="16:16">
      <c r="P25895" s="2498"/>
    </row>
    <row r="25896" spans="16:16">
      <c r="P25896" s="2498"/>
    </row>
    <row r="25897" spans="16:16">
      <c r="P25897" s="2498"/>
    </row>
    <row r="25898" spans="16:16">
      <c r="P25898" s="2498"/>
    </row>
    <row r="25899" spans="16:16">
      <c r="P25899" s="2498"/>
    </row>
    <row r="25900" spans="16:16">
      <c r="P25900" s="2498"/>
    </row>
    <row r="25901" spans="16:16">
      <c r="P25901" s="2498"/>
    </row>
    <row r="25902" spans="16:16">
      <c r="P25902" s="2498"/>
    </row>
    <row r="25903" spans="16:16">
      <c r="P25903" s="2498"/>
    </row>
    <row r="25904" spans="16:16">
      <c r="P25904" s="2498"/>
    </row>
    <row r="25905" spans="16:16">
      <c r="P25905" s="2498"/>
    </row>
    <row r="25906" spans="16:16">
      <c r="P25906" s="2498"/>
    </row>
    <row r="25907" spans="16:16">
      <c r="P25907" s="2498"/>
    </row>
    <row r="25908" spans="16:16">
      <c r="P25908" s="2498"/>
    </row>
    <row r="25909" spans="16:16">
      <c r="P25909" s="2498"/>
    </row>
    <row r="25910" spans="16:16">
      <c r="P25910" s="2498"/>
    </row>
    <row r="25911" spans="16:16">
      <c r="P25911" s="2498"/>
    </row>
    <row r="25912" spans="16:16">
      <c r="P25912" s="2498"/>
    </row>
    <row r="25913" spans="16:16">
      <c r="P25913" s="2498"/>
    </row>
    <row r="25914" spans="16:16">
      <c r="P25914" s="2498"/>
    </row>
    <row r="25915" spans="16:16">
      <c r="P25915" s="2498"/>
    </row>
    <row r="25916" spans="16:16">
      <c r="P25916" s="2498"/>
    </row>
    <row r="25917" spans="16:16">
      <c r="P25917" s="2498"/>
    </row>
    <row r="25918" spans="16:16">
      <c r="P25918" s="2498"/>
    </row>
    <row r="25919" spans="16:16">
      <c r="P25919" s="2498"/>
    </row>
    <row r="25920" spans="16:16">
      <c r="P25920" s="2498"/>
    </row>
    <row r="25921" spans="16:16">
      <c r="P25921" s="2498"/>
    </row>
    <row r="25922" spans="16:16">
      <c r="P25922" s="2498"/>
    </row>
    <row r="25923" spans="16:16">
      <c r="P25923" s="2498"/>
    </row>
    <row r="25924" spans="16:16">
      <c r="P25924" s="2498"/>
    </row>
    <row r="25925" spans="16:16">
      <c r="P25925" s="2498"/>
    </row>
    <row r="25926" spans="16:16">
      <c r="P25926" s="2498"/>
    </row>
    <row r="25927" spans="16:16">
      <c r="P25927" s="2498"/>
    </row>
    <row r="25928" spans="16:16">
      <c r="P25928" s="2498"/>
    </row>
    <row r="25929" spans="16:16">
      <c r="P25929" s="2498"/>
    </row>
    <row r="25930" spans="16:16">
      <c r="P25930" s="2498"/>
    </row>
    <row r="25931" spans="16:16">
      <c r="P25931" s="2498"/>
    </row>
    <row r="25932" spans="16:16">
      <c r="P25932" s="2498"/>
    </row>
    <row r="25933" spans="16:16">
      <c r="P25933" s="2498"/>
    </row>
    <row r="25934" spans="16:16">
      <c r="P25934" s="2498"/>
    </row>
    <row r="25935" spans="16:16">
      <c r="P25935" s="2498"/>
    </row>
    <row r="25936" spans="16:16">
      <c r="P25936" s="2498"/>
    </row>
    <row r="25937" spans="16:16">
      <c r="P25937" s="2498"/>
    </row>
    <row r="25938" spans="16:16">
      <c r="P25938" s="2498"/>
    </row>
    <row r="25939" spans="16:16">
      <c r="P25939" s="2498"/>
    </row>
    <row r="25940" spans="16:16">
      <c r="P25940" s="2498"/>
    </row>
    <row r="25941" spans="16:16">
      <c r="P25941" s="2498"/>
    </row>
    <row r="25942" spans="16:16">
      <c r="P25942" s="2498"/>
    </row>
    <row r="25943" spans="16:16">
      <c r="P25943" s="2498"/>
    </row>
    <row r="25944" spans="16:16">
      <c r="P25944" s="2498"/>
    </row>
    <row r="25945" spans="16:16">
      <c r="P25945" s="2498"/>
    </row>
    <row r="25946" spans="16:16">
      <c r="P25946" s="2498"/>
    </row>
    <row r="25947" spans="16:16">
      <c r="P25947" s="2498"/>
    </row>
    <row r="25948" spans="16:16">
      <c r="P25948" s="2498"/>
    </row>
    <row r="25949" spans="16:16">
      <c r="P25949" s="2498"/>
    </row>
    <row r="25950" spans="16:16">
      <c r="P25950" s="2498"/>
    </row>
    <row r="25951" spans="16:16">
      <c r="P25951" s="2498"/>
    </row>
    <row r="25952" spans="16:16">
      <c r="P25952" s="2498"/>
    </row>
    <row r="25953" spans="16:16">
      <c r="P25953" s="2498"/>
    </row>
    <row r="25954" spans="16:16">
      <c r="P25954" s="2498"/>
    </row>
    <row r="25955" spans="16:16">
      <c r="P25955" s="2498"/>
    </row>
    <row r="25956" spans="16:16">
      <c r="P25956" s="2498"/>
    </row>
    <row r="25957" spans="16:16">
      <c r="P25957" s="2498"/>
    </row>
    <row r="25958" spans="16:16">
      <c r="P25958" s="2498"/>
    </row>
    <row r="25959" spans="16:16">
      <c r="P25959" s="2498"/>
    </row>
    <row r="25960" spans="16:16">
      <c r="P25960" s="2498"/>
    </row>
    <row r="25961" spans="16:16">
      <c r="P25961" s="2498"/>
    </row>
    <row r="25962" spans="16:16">
      <c r="P25962" s="2498"/>
    </row>
    <row r="25963" spans="16:16">
      <c r="P25963" s="2498"/>
    </row>
    <row r="25964" spans="16:16">
      <c r="P25964" s="2498"/>
    </row>
    <row r="25965" spans="16:16">
      <c r="P25965" s="2498"/>
    </row>
    <row r="25966" spans="16:16">
      <c r="P25966" s="2498"/>
    </row>
    <row r="25967" spans="16:16">
      <c r="P25967" s="2498"/>
    </row>
    <row r="25968" spans="16:16">
      <c r="P25968" s="2498"/>
    </row>
    <row r="25969" spans="16:16">
      <c r="P25969" s="2498"/>
    </row>
    <row r="25970" spans="16:16">
      <c r="P25970" s="2498"/>
    </row>
    <row r="25971" spans="16:16">
      <c r="P25971" s="2498"/>
    </row>
    <row r="25972" spans="16:16">
      <c r="P25972" s="2498"/>
    </row>
    <row r="25973" spans="16:16">
      <c r="P25973" s="2498"/>
    </row>
    <row r="25974" spans="16:16">
      <c r="P25974" s="2498"/>
    </row>
    <row r="25975" spans="16:16">
      <c r="P25975" s="2498"/>
    </row>
    <row r="25976" spans="16:16">
      <c r="P25976" s="2498"/>
    </row>
    <row r="25977" spans="16:16">
      <c r="P25977" s="2498"/>
    </row>
    <row r="25978" spans="16:16">
      <c r="P25978" s="2498"/>
    </row>
    <row r="25979" spans="16:16">
      <c r="P25979" s="2498"/>
    </row>
    <row r="25980" spans="16:16">
      <c r="P25980" s="2498"/>
    </row>
    <row r="25981" spans="16:16">
      <c r="P25981" s="2498"/>
    </row>
    <row r="25982" spans="16:16">
      <c r="P25982" s="2498"/>
    </row>
    <row r="25983" spans="16:16">
      <c r="P25983" s="2498"/>
    </row>
    <row r="25984" spans="16:16">
      <c r="P25984" s="2498"/>
    </row>
    <row r="25985" spans="16:16">
      <c r="P25985" s="2498"/>
    </row>
    <row r="25986" spans="16:16">
      <c r="P25986" s="2498"/>
    </row>
    <row r="25987" spans="16:16">
      <c r="P25987" s="2498"/>
    </row>
    <row r="25988" spans="16:16">
      <c r="P25988" s="2498"/>
    </row>
    <row r="25989" spans="16:16">
      <c r="P25989" s="2498"/>
    </row>
    <row r="25990" spans="16:16">
      <c r="P25990" s="2498"/>
    </row>
    <row r="25991" spans="16:16">
      <c r="P25991" s="2498"/>
    </row>
    <row r="25992" spans="16:16">
      <c r="P25992" s="2498"/>
    </row>
    <row r="25993" spans="16:16">
      <c r="P25993" s="2498"/>
    </row>
    <row r="25994" spans="16:16">
      <c r="P25994" s="2498"/>
    </row>
    <row r="25995" spans="16:16">
      <c r="P25995" s="2498"/>
    </row>
    <row r="25996" spans="16:16">
      <c r="P25996" s="2498"/>
    </row>
    <row r="25997" spans="16:16">
      <c r="P25997" s="2498"/>
    </row>
    <row r="25998" spans="16:16">
      <c r="P25998" s="2498"/>
    </row>
    <row r="25999" spans="16:16">
      <c r="P25999" s="2498"/>
    </row>
    <row r="26000" spans="16:16">
      <c r="P26000" s="2498"/>
    </row>
    <row r="26001" spans="16:16">
      <c r="P26001" s="2498"/>
    </row>
    <row r="26002" spans="16:16">
      <c r="P26002" s="2498"/>
    </row>
    <row r="26003" spans="16:16">
      <c r="P26003" s="2498"/>
    </row>
    <row r="26004" spans="16:16">
      <c r="P26004" s="2498"/>
    </row>
    <row r="26005" spans="16:16">
      <c r="P26005" s="2498"/>
    </row>
    <row r="26006" spans="16:16">
      <c r="P26006" s="2498"/>
    </row>
    <row r="26007" spans="16:16">
      <c r="P26007" s="2498"/>
    </row>
    <row r="26008" spans="16:16">
      <c r="P26008" s="2498"/>
    </row>
    <row r="26009" spans="16:16">
      <c r="P26009" s="2498"/>
    </row>
    <row r="26010" spans="16:16">
      <c r="P26010" s="2498"/>
    </row>
    <row r="26011" spans="16:16">
      <c r="P26011" s="2498"/>
    </row>
    <row r="26012" spans="16:16">
      <c r="P26012" s="2498"/>
    </row>
    <row r="26013" spans="16:16">
      <c r="P26013" s="2498"/>
    </row>
    <row r="26014" spans="16:16">
      <c r="P26014" s="2498"/>
    </row>
    <row r="26015" spans="16:16">
      <c r="P26015" s="2498"/>
    </row>
    <row r="26016" spans="16:16">
      <c r="P26016" s="2498"/>
    </row>
    <row r="26017" spans="16:16">
      <c r="P26017" s="2498"/>
    </row>
    <row r="26018" spans="16:16">
      <c r="P26018" s="2498"/>
    </row>
    <row r="26019" spans="16:16">
      <c r="P26019" s="2498"/>
    </row>
    <row r="26020" spans="16:16">
      <c r="P26020" s="2498"/>
    </row>
    <row r="26021" spans="16:16">
      <c r="P26021" s="2498"/>
    </row>
    <row r="26022" spans="16:16">
      <c r="P26022" s="2498"/>
    </row>
    <row r="26023" spans="16:16">
      <c r="P26023" s="2498"/>
    </row>
    <row r="26024" spans="16:16">
      <c r="P26024" s="2498"/>
    </row>
    <row r="26025" spans="16:16">
      <c r="P26025" s="2498"/>
    </row>
    <row r="26026" spans="16:16">
      <c r="P26026" s="2498"/>
    </row>
    <row r="26027" spans="16:16">
      <c r="P26027" s="2498"/>
    </row>
    <row r="26028" spans="16:16">
      <c r="P26028" s="2498"/>
    </row>
    <row r="26029" spans="16:16">
      <c r="P26029" s="2498"/>
    </row>
    <row r="26030" spans="16:16">
      <c r="P26030" s="2498"/>
    </row>
    <row r="26031" spans="16:16">
      <c r="P26031" s="2498"/>
    </row>
    <row r="26032" spans="16:16">
      <c r="P26032" s="2498"/>
    </row>
    <row r="26033" spans="16:16">
      <c r="P26033" s="2498"/>
    </row>
    <row r="26034" spans="16:16">
      <c r="P26034" s="2498"/>
    </row>
    <row r="26035" spans="16:16">
      <c r="P26035" s="2498"/>
    </row>
    <row r="26036" spans="16:16">
      <c r="P26036" s="2498"/>
    </row>
    <row r="26037" spans="16:16">
      <c r="P26037" s="2498"/>
    </row>
    <row r="26038" spans="16:16">
      <c r="P26038" s="2498"/>
    </row>
    <row r="26039" spans="16:16">
      <c r="P26039" s="2498"/>
    </row>
    <row r="26040" spans="16:16">
      <c r="P26040" s="2498"/>
    </row>
    <row r="26041" spans="16:16">
      <c r="P26041" s="2498"/>
    </row>
    <row r="26042" spans="16:16">
      <c r="P26042" s="2498"/>
    </row>
    <row r="26043" spans="16:16">
      <c r="P26043" s="2498"/>
    </row>
    <row r="26044" spans="16:16">
      <c r="P26044" s="2498"/>
    </row>
    <row r="26045" spans="16:16">
      <c r="P26045" s="2498"/>
    </row>
    <row r="26046" spans="16:16">
      <c r="P26046" s="2498"/>
    </row>
    <row r="26047" spans="16:16">
      <c r="P26047" s="2498"/>
    </row>
    <row r="26048" spans="16:16">
      <c r="P26048" s="2498"/>
    </row>
    <row r="26049" spans="16:16">
      <c r="P26049" s="2498"/>
    </row>
    <row r="26050" spans="16:16">
      <c r="P26050" s="2498"/>
    </row>
    <row r="26051" spans="16:16">
      <c r="P26051" s="2498"/>
    </row>
    <row r="26052" spans="16:16">
      <c r="P26052" s="2498"/>
    </row>
    <row r="26053" spans="16:16">
      <c r="P26053" s="2498"/>
    </row>
    <row r="26054" spans="16:16">
      <c r="P26054" s="2498"/>
    </row>
    <row r="26055" spans="16:16">
      <c r="P26055" s="2498"/>
    </row>
    <row r="26056" spans="16:16">
      <c r="P26056" s="2498"/>
    </row>
    <row r="26057" spans="16:16">
      <c r="P26057" s="2498"/>
    </row>
    <row r="26058" spans="16:16">
      <c r="P26058" s="2498"/>
    </row>
    <row r="26059" spans="16:16">
      <c r="P26059" s="2498"/>
    </row>
    <row r="26060" spans="16:16">
      <c r="P26060" s="2498"/>
    </row>
    <row r="26061" spans="16:16">
      <c r="P26061" s="2498"/>
    </row>
    <row r="26062" spans="16:16">
      <c r="P26062" s="2498"/>
    </row>
    <row r="26063" spans="16:16">
      <c r="P26063" s="2498"/>
    </row>
    <row r="26064" spans="16:16">
      <c r="P26064" s="2498"/>
    </row>
    <row r="26065" spans="16:16">
      <c r="P26065" s="2498"/>
    </row>
    <row r="26066" spans="16:16">
      <c r="P26066" s="2498"/>
    </row>
    <row r="26067" spans="16:16">
      <c r="P26067" s="2498"/>
    </row>
    <row r="26068" spans="16:16">
      <c r="P26068" s="2498"/>
    </row>
    <row r="26069" spans="16:16">
      <c r="P26069" s="2498"/>
    </row>
    <row r="26070" spans="16:16">
      <c r="P26070" s="2498"/>
    </row>
    <row r="26071" spans="16:16">
      <c r="P26071" s="2498"/>
    </row>
    <row r="26072" spans="16:16">
      <c r="P26072" s="2498"/>
    </row>
    <row r="26073" spans="16:16">
      <c r="P26073" s="2498"/>
    </row>
    <row r="26074" spans="16:16">
      <c r="P26074" s="2498"/>
    </row>
    <row r="26075" spans="16:16">
      <c r="P26075" s="2498"/>
    </row>
    <row r="26076" spans="16:16">
      <c r="P26076" s="2498"/>
    </row>
    <row r="26077" spans="16:16">
      <c r="P26077" s="2498"/>
    </row>
    <row r="26078" spans="16:16">
      <c r="P26078" s="2498"/>
    </row>
    <row r="26079" spans="16:16">
      <c r="P26079" s="2498"/>
    </row>
    <row r="26080" spans="16:16">
      <c r="P26080" s="2498"/>
    </row>
    <row r="26081" spans="16:16">
      <c r="P26081" s="2498"/>
    </row>
    <row r="26082" spans="16:16">
      <c r="P26082" s="2498"/>
    </row>
    <row r="26083" spans="16:16">
      <c r="P26083" s="2498"/>
    </row>
    <row r="26084" spans="16:16">
      <c r="P26084" s="2498"/>
    </row>
    <row r="26085" spans="16:16">
      <c r="P26085" s="2498"/>
    </row>
    <row r="26086" spans="16:16">
      <c r="P26086" s="2498"/>
    </row>
    <row r="26087" spans="16:16">
      <c r="P26087" s="2498"/>
    </row>
    <row r="26088" spans="16:16">
      <c r="P26088" s="2498"/>
    </row>
    <row r="26089" spans="16:16">
      <c r="P26089" s="2498"/>
    </row>
    <row r="26090" spans="16:16">
      <c r="P26090" s="2498"/>
    </row>
    <row r="26091" spans="16:16">
      <c r="P26091" s="2498"/>
    </row>
    <row r="26092" spans="16:16">
      <c r="P26092" s="2498"/>
    </row>
    <row r="26093" spans="16:16">
      <c r="P26093" s="2498"/>
    </row>
    <row r="26094" spans="16:16">
      <c r="P26094" s="2498"/>
    </row>
    <row r="26095" spans="16:16">
      <c r="P26095" s="2498"/>
    </row>
    <row r="26096" spans="16:16">
      <c r="P26096" s="2498"/>
    </row>
    <row r="26097" spans="16:16">
      <c r="P26097" s="2498"/>
    </row>
    <row r="26098" spans="16:16">
      <c r="P26098" s="2498"/>
    </row>
    <row r="26099" spans="16:16">
      <c r="P26099" s="2498"/>
    </row>
    <row r="26100" spans="16:16">
      <c r="P26100" s="2498"/>
    </row>
    <row r="26101" spans="16:16">
      <c r="P26101" s="2498"/>
    </row>
    <row r="26102" spans="16:16">
      <c r="P26102" s="2498"/>
    </row>
    <row r="26103" spans="16:16">
      <c r="P26103" s="2498"/>
    </row>
    <row r="26104" spans="16:16">
      <c r="P26104" s="2498"/>
    </row>
    <row r="26105" spans="16:16">
      <c r="P26105" s="2498"/>
    </row>
    <row r="26106" spans="16:16">
      <c r="P26106" s="2498"/>
    </row>
    <row r="26107" spans="16:16">
      <c r="P26107" s="2498"/>
    </row>
    <row r="26108" spans="16:16">
      <c r="P26108" s="2498"/>
    </row>
    <row r="26109" spans="16:16">
      <c r="P26109" s="2498"/>
    </row>
    <row r="26110" spans="16:16">
      <c r="P26110" s="2498"/>
    </row>
    <row r="26111" spans="16:16">
      <c r="P26111" s="2498"/>
    </row>
    <row r="26112" spans="16:16">
      <c r="P26112" s="2498"/>
    </row>
    <row r="26113" spans="16:16">
      <c r="P26113" s="2498"/>
    </row>
    <row r="26114" spans="16:16">
      <c r="P26114" s="2498"/>
    </row>
    <row r="26115" spans="16:16">
      <c r="P26115" s="2498"/>
    </row>
    <row r="26116" spans="16:16">
      <c r="P26116" s="2498"/>
    </row>
    <row r="26117" spans="16:16">
      <c r="P26117" s="2498"/>
    </row>
    <row r="26118" spans="16:16">
      <c r="P26118" s="2498"/>
    </row>
    <row r="26119" spans="16:16">
      <c r="P26119" s="2498"/>
    </row>
    <row r="26120" spans="16:16">
      <c r="P26120" s="2498"/>
    </row>
    <row r="26121" spans="16:16">
      <c r="P26121" s="2498"/>
    </row>
    <row r="26122" spans="16:16">
      <c r="P26122" s="2498"/>
    </row>
    <row r="26123" spans="16:16">
      <c r="P26123" s="2498"/>
    </row>
    <row r="26124" spans="16:16">
      <c r="P26124" s="2498"/>
    </row>
    <row r="26125" spans="16:16">
      <c r="P26125" s="2498"/>
    </row>
    <row r="26126" spans="16:16">
      <c r="P26126" s="2498"/>
    </row>
    <row r="26127" spans="16:16">
      <c r="P26127" s="2498"/>
    </row>
    <row r="26128" spans="16:16">
      <c r="P26128" s="2498"/>
    </row>
    <row r="26129" spans="16:16">
      <c r="P26129" s="2498"/>
    </row>
    <row r="26130" spans="16:16">
      <c r="P26130" s="2498"/>
    </row>
    <row r="26131" spans="16:16">
      <c r="P26131" s="2498"/>
    </row>
    <row r="26132" spans="16:16">
      <c r="P26132" s="2498"/>
    </row>
    <row r="26133" spans="16:16">
      <c r="P26133" s="2498"/>
    </row>
    <row r="26134" spans="16:16">
      <c r="P26134" s="2498"/>
    </row>
    <row r="26135" spans="16:16">
      <c r="P26135" s="2498"/>
    </row>
    <row r="26136" spans="16:16">
      <c r="P26136" s="2498"/>
    </row>
    <row r="26137" spans="16:16">
      <c r="P26137" s="2498"/>
    </row>
    <row r="26138" spans="16:16">
      <c r="P26138" s="2498"/>
    </row>
    <row r="26139" spans="16:16">
      <c r="P26139" s="2498"/>
    </row>
    <row r="26140" spans="16:16">
      <c r="P26140" s="2498"/>
    </row>
    <row r="26141" spans="16:16">
      <c r="P26141" s="2498"/>
    </row>
    <row r="26142" spans="16:16">
      <c r="P26142" s="2498"/>
    </row>
    <row r="26143" spans="16:16">
      <c r="P26143" s="2498"/>
    </row>
    <row r="26144" spans="16:16">
      <c r="P26144" s="2498"/>
    </row>
    <row r="26145" spans="16:16">
      <c r="P26145" s="2498"/>
    </row>
    <row r="26146" spans="16:16">
      <c r="P26146" s="2498"/>
    </row>
    <row r="26147" spans="16:16">
      <c r="P26147" s="2498"/>
    </row>
    <row r="26148" spans="16:16">
      <c r="P26148" s="2498"/>
    </row>
    <row r="26149" spans="16:16">
      <c r="P26149" s="2498"/>
    </row>
    <row r="26150" spans="16:16">
      <c r="P26150" s="2498"/>
    </row>
    <row r="26151" spans="16:16">
      <c r="P26151" s="2498"/>
    </row>
    <row r="26152" spans="16:16">
      <c r="P26152" s="2498"/>
    </row>
    <row r="26153" spans="16:16">
      <c r="P26153" s="2498"/>
    </row>
    <row r="26154" spans="16:16">
      <c r="P26154" s="2498"/>
    </row>
    <row r="26155" spans="16:16">
      <c r="P26155" s="2498"/>
    </row>
    <row r="26156" spans="16:16">
      <c r="P26156" s="2498"/>
    </row>
    <row r="26157" spans="16:16">
      <c r="P26157" s="2498"/>
    </row>
    <row r="26158" spans="16:16">
      <c r="P26158" s="2498"/>
    </row>
    <row r="26159" spans="16:16">
      <c r="P26159" s="2498"/>
    </row>
    <row r="26160" spans="16:16">
      <c r="P26160" s="2498"/>
    </row>
    <row r="26161" spans="16:16">
      <c r="P26161" s="2498"/>
    </row>
    <row r="26162" spans="16:16">
      <c r="P26162" s="2498"/>
    </row>
    <row r="26163" spans="16:16">
      <c r="P26163" s="2498"/>
    </row>
    <row r="26164" spans="16:16">
      <c r="P26164" s="2498"/>
    </row>
    <row r="26165" spans="16:16">
      <c r="P26165" s="2498"/>
    </row>
    <row r="26166" spans="16:16">
      <c r="P26166" s="2498"/>
    </row>
    <row r="26167" spans="16:16">
      <c r="P26167" s="2498"/>
    </row>
    <row r="26168" spans="16:16">
      <c r="P26168" s="2498"/>
    </row>
    <row r="26169" spans="16:16">
      <c r="P26169" s="2498"/>
    </row>
    <row r="26170" spans="16:16">
      <c r="P26170" s="2498"/>
    </row>
    <row r="26171" spans="16:16">
      <c r="P26171" s="2498"/>
    </row>
    <row r="26172" spans="16:16">
      <c r="P26172" s="2498"/>
    </row>
    <row r="26173" spans="16:16">
      <c r="P26173" s="2498"/>
    </row>
    <row r="26174" spans="16:16">
      <c r="P26174" s="2498"/>
    </row>
    <row r="26175" spans="16:16">
      <c r="P26175" s="2498"/>
    </row>
    <row r="26176" spans="16:16">
      <c r="P26176" s="2498"/>
    </row>
    <row r="26177" spans="16:16">
      <c r="P26177" s="2498"/>
    </row>
    <row r="26178" spans="16:16">
      <c r="P26178" s="2498"/>
    </row>
    <row r="26179" spans="16:16">
      <c r="P26179" s="2498"/>
    </row>
    <row r="26180" spans="16:16">
      <c r="P26180" s="2498"/>
    </row>
    <row r="26181" spans="16:16">
      <c r="P26181" s="2498"/>
    </row>
    <row r="26182" spans="16:16">
      <c r="P26182" s="2498"/>
    </row>
    <row r="26183" spans="16:16">
      <c r="P26183" s="2498"/>
    </row>
    <row r="26184" spans="16:16">
      <c r="P26184" s="2498"/>
    </row>
    <row r="26185" spans="16:16">
      <c r="P26185" s="2498"/>
    </row>
    <row r="26186" spans="16:16">
      <c r="P26186" s="2498"/>
    </row>
    <row r="26187" spans="16:16">
      <c r="P26187" s="2498"/>
    </row>
    <row r="26188" spans="16:16">
      <c r="P26188" s="2498"/>
    </row>
    <row r="26189" spans="16:16">
      <c r="P26189" s="2498"/>
    </row>
    <row r="26190" spans="16:16">
      <c r="P26190" s="2498"/>
    </row>
    <row r="26191" spans="16:16">
      <c r="P26191" s="2498"/>
    </row>
    <row r="26192" spans="16:16">
      <c r="P26192" s="2498"/>
    </row>
    <row r="26193" spans="16:16">
      <c r="P26193" s="2498"/>
    </row>
    <row r="26194" spans="16:16">
      <c r="P26194" s="2498"/>
    </row>
    <row r="26195" spans="16:16">
      <c r="P26195" s="2498"/>
    </row>
    <row r="26196" spans="16:16">
      <c r="P26196" s="2498"/>
    </row>
    <row r="26197" spans="16:16">
      <c r="P26197" s="2498"/>
    </row>
    <row r="26198" spans="16:16">
      <c r="P26198" s="2498"/>
    </row>
    <row r="26199" spans="16:16">
      <c r="P26199" s="2498"/>
    </row>
    <row r="26200" spans="16:16">
      <c r="P26200" s="2498"/>
    </row>
    <row r="26201" spans="16:16">
      <c r="P26201" s="2498"/>
    </row>
    <row r="26202" spans="16:16">
      <c r="P26202" s="2498"/>
    </row>
    <row r="26203" spans="16:16">
      <c r="P26203" s="2498"/>
    </row>
    <row r="26204" spans="16:16">
      <c r="P26204" s="2498"/>
    </row>
    <row r="26205" spans="16:16">
      <c r="P26205" s="2498"/>
    </row>
    <row r="26206" spans="16:16">
      <c r="P26206" s="2498"/>
    </row>
    <row r="26207" spans="16:16">
      <c r="P26207" s="2498"/>
    </row>
    <row r="26208" spans="16:16">
      <c r="P26208" s="2498"/>
    </row>
    <row r="26209" spans="16:16">
      <c r="P26209" s="2498"/>
    </row>
    <row r="26210" spans="16:16">
      <c r="P26210" s="2498"/>
    </row>
    <row r="26211" spans="16:16">
      <c r="P26211" s="2498"/>
    </row>
    <row r="26212" spans="16:16">
      <c r="P26212" s="2498"/>
    </row>
    <row r="26213" spans="16:16">
      <c r="P26213" s="2498"/>
    </row>
    <row r="26214" spans="16:16">
      <c r="P26214" s="2498"/>
    </row>
    <row r="26215" spans="16:16">
      <c r="P26215" s="2498"/>
    </row>
    <row r="26216" spans="16:16">
      <c r="P26216" s="2498"/>
    </row>
    <row r="26217" spans="16:16">
      <c r="P26217" s="2498"/>
    </row>
    <row r="26218" spans="16:16">
      <c r="P26218" s="2498"/>
    </row>
    <row r="26219" spans="16:16">
      <c r="P26219" s="2498"/>
    </row>
    <row r="26220" spans="16:16">
      <c r="P26220" s="2498"/>
    </row>
    <row r="26221" spans="16:16">
      <c r="P26221" s="2498"/>
    </row>
    <row r="26222" spans="16:16">
      <c r="P26222" s="2498"/>
    </row>
    <row r="26223" spans="16:16">
      <c r="P26223" s="2498"/>
    </row>
    <row r="26224" spans="16:16">
      <c r="P26224" s="2498"/>
    </row>
    <row r="26225" spans="16:16">
      <c r="P26225" s="2498"/>
    </row>
    <row r="26226" spans="16:16">
      <c r="P26226" s="2498"/>
    </row>
    <row r="26227" spans="16:16">
      <c r="P26227" s="2498"/>
    </row>
    <row r="26228" spans="16:16">
      <c r="P26228" s="2498"/>
    </row>
    <row r="26229" spans="16:16">
      <c r="P26229" s="2498"/>
    </row>
    <row r="26230" spans="16:16">
      <c r="P26230" s="2498"/>
    </row>
    <row r="26231" spans="16:16">
      <c r="P26231" s="2498"/>
    </row>
    <row r="26232" spans="16:16">
      <c r="P26232" s="2498"/>
    </row>
    <row r="26233" spans="16:16">
      <c r="P26233" s="2498"/>
    </row>
    <row r="26234" spans="16:16">
      <c r="P26234" s="2498"/>
    </row>
    <row r="26235" spans="16:16">
      <c r="P26235" s="2498"/>
    </row>
    <row r="26236" spans="16:16">
      <c r="P26236" s="2498"/>
    </row>
    <row r="26237" spans="16:16">
      <c r="P26237" s="2498"/>
    </row>
    <row r="26238" spans="16:16">
      <c r="P26238" s="2498"/>
    </row>
    <row r="26239" spans="16:16">
      <c r="P26239" s="2498"/>
    </row>
    <row r="26240" spans="16:16">
      <c r="P26240" s="2498"/>
    </row>
    <row r="26241" spans="16:16">
      <c r="P26241" s="2498"/>
    </row>
    <row r="26242" spans="16:16">
      <c r="P26242" s="2498"/>
    </row>
    <row r="26243" spans="16:16">
      <c r="P26243" s="2498"/>
    </row>
    <row r="26244" spans="16:16">
      <c r="P26244" s="2498"/>
    </row>
    <row r="26245" spans="16:16">
      <c r="P26245" s="2498"/>
    </row>
    <row r="26246" spans="16:16">
      <c r="P26246" s="2498"/>
    </row>
    <row r="26247" spans="16:16">
      <c r="P26247" s="2498"/>
    </row>
    <row r="26248" spans="16:16">
      <c r="P26248" s="2498"/>
    </row>
    <row r="26249" spans="16:16">
      <c r="P26249" s="2498"/>
    </row>
    <row r="26250" spans="16:16">
      <c r="P26250" s="2498"/>
    </row>
    <row r="26251" spans="16:16">
      <c r="P26251" s="2498"/>
    </row>
    <row r="26252" spans="16:16">
      <c r="P26252" s="2498"/>
    </row>
    <row r="26253" spans="16:16">
      <c r="P26253" s="2498"/>
    </row>
    <row r="26254" spans="16:16">
      <c r="P26254" s="2498"/>
    </row>
    <row r="26255" spans="16:16">
      <c r="P26255" s="2498"/>
    </row>
    <row r="26256" spans="16:16">
      <c r="P26256" s="2498"/>
    </row>
    <row r="26257" spans="16:16">
      <c r="P26257" s="2498"/>
    </row>
    <row r="26258" spans="16:16">
      <c r="P26258" s="2498"/>
    </row>
    <row r="26259" spans="16:16">
      <c r="P26259" s="2498"/>
    </row>
    <row r="26260" spans="16:16">
      <c r="P26260" s="2498"/>
    </row>
    <row r="26261" spans="16:16">
      <c r="P26261" s="2498"/>
    </row>
    <row r="26262" spans="16:16">
      <c r="P26262" s="2498"/>
    </row>
    <row r="26263" spans="16:16">
      <c r="P26263" s="2498"/>
    </row>
    <row r="26264" spans="16:16">
      <c r="P26264" s="2498"/>
    </row>
    <row r="26265" spans="16:16">
      <c r="P26265" s="2498"/>
    </row>
    <row r="26266" spans="16:16">
      <c r="P26266" s="2498"/>
    </row>
    <row r="26267" spans="16:16">
      <c r="P26267" s="2498"/>
    </row>
    <row r="26268" spans="16:16">
      <c r="P26268" s="2498"/>
    </row>
    <row r="26269" spans="16:16">
      <c r="P26269" s="2498"/>
    </row>
    <row r="26270" spans="16:16">
      <c r="P26270" s="2498"/>
    </row>
    <row r="26271" spans="16:16">
      <c r="P26271" s="2498"/>
    </row>
    <row r="26272" spans="16:16">
      <c r="P26272" s="2498"/>
    </row>
    <row r="26273" spans="16:16">
      <c r="P26273" s="2498"/>
    </row>
    <row r="26274" spans="16:16">
      <c r="P26274" s="2498"/>
    </row>
    <row r="26275" spans="16:16">
      <c r="P26275" s="2498"/>
    </row>
    <row r="26276" spans="16:16">
      <c r="P26276" s="2498"/>
    </row>
    <row r="26277" spans="16:16">
      <c r="P26277" s="2498"/>
    </row>
    <row r="26278" spans="16:16">
      <c r="P26278" s="2498"/>
    </row>
    <row r="26279" spans="16:16">
      <c r="P26279" s="2498"/>
    </row>
    <row r="26280" spans="16:16">
      <c r="P26280" s="2498"/>
    </row>
    <row r="26281" spans="16:16">
      <c r="P26281" s="2498"/>
    </row>
    <row r="26282" spans="16:16">
      <c r="P26282" s="2498"/>
    </row>
    <row r="26283" spans="16:16">
      <c r="P26283" s="2498"/>
    </row>
    <row r="26284" spans="16:16">
      <c r="P26284" s="2498"/>
    </row>
    <row r="26285" spans="16:16">
      <c r="P26285" s="2498"/>
    </row>
    <row r="26286" spans="16:16">
      <c r="P26286" s="2498"/>
    </row>
    <row r="26287" spans="16:16">
      <c r="P26287" s="2498"/>
    </row>
    <row r="26288" spans="16:16">
      <c r="P26288" s="2498"/>
    </row>
    <row r="26289" spans="16:16">
      <c r="P26289" s="2498"/>
    </row>
    <row r="26290" spans="16:16">
      <c r="P26290" s="2498"/>
    </row>
    <row r="26291" spans="16:16">
      <c r="P26291" s="2498"/>
    </row>
    <row r="26292" spans="16:16">
      <c r="P26292" s="2498"/>
    </row>
    <row r="26293" spans="16:16">
      <c r="P26293" s="2498"/>
    </row>
    <row r="26294" spans="16:16">
      <c r="P26294" s="2498"/>
    </row>
    <row r="26295" spans="16:16">
      <c r="P26295" s="2498"/>
    </row>
    <row r="26296" spans="16:16">
      <c r="P26296" s="2498"/>
    </row>
    <row r="26297" spans="16:16">
      <c r="P26297" s="2498"/>
    </row>
    <row r="26298" spans="16:16">
      <c r="P26298" s="2498"/>
    </row>
    <row r="26299" spans="16:16">
      <c r="P26299" s="2498"/>
    </row>
    <row r="26300" spans="16:16">
      <c r="P26300" s="2498"/>
    </row>
    <row r="26301" spans="16:16">
      <c r="P26301" s="2498"/>
    </row>
    <row r="26302" spans="16:16">
      <c r="P26302" s="2498"/>
    </row>
    <row r="26303" spans="16:16">
      <c r="P26303" s="2498"/>
    </row>
    <row r="26304" spans="16:16">
      <c r="P26304" s="2498"/>
    </row>
    <row r="26305" spans="16:16">
      <c r="P26305" s="2498"/>
    </row>
    <row r="26306" spans="16:16">
      <c r="P26306" s="2498"/>
    </row>
    <row r="26307" spans="16:16">
      <c r="P26307" s="2498"/>
    </row>
    <row r="26308" spans="16:16">
      <c r="P26308" s="2498"/>
    </row>
    <row r="26309" spans="16:16">
      <c r="P26309" s="2498"/>
    </row>
    <row r="26310" spans="16:16">
      <c r="P26310" s="2498"/>
    </row>
    <row r="26311" spans="16:16">
      <c r="P26311" s="2498"/>
    </row>
    <row r="26312" spans="16:16">
      <c r="P26312" s="2498"/>
    </row>
    <row r="26313" spans="16:16">
      <c r="P26313" s="2498"/>
    </row>
    <row r="26314" spans="16:16">
      <c r="P26314" s="2498"/>
    </row>
    <row r="26315" spans="16:16">
      <c r="P26315" s="2498"/>
    </row>
    <row r="26316" spans="16:16">
      <c r="P26316" s="2498"/>
    </row>
    <row r="26317" spans="16:16">
      <c r="P26317" s="2498"/>
    </row>
    <row r="26318" spans="16:16">
      <c r="P26318" s="2498"/>
    </row>
    <row r="26319" spans="16:16">
      <c r="P26319" s="2498"/>
    </row>
    <row r="26320" spans="16:16">
      <c r="P26320" s="2498"/>
    </row>
    <row r="26321" spans="16:16">
      <c r="P26321" s="2498"/>
    </row>
    <row r="26322" spans="16:16">
      <c r="P26322" s="2498"/>
    </row>
    <row r="26323" spans="16:16">
      <c r="P26323" s="2498"/>
    </row>
    <row r="26324" spans="16:16">
      <c r="P26324" s="2498"/>
    </row>
    <row r="26325" spans="16:16">
      <c r="P26325" s="2498"/>
    </row>
    <row r="26326" spans="16:16">
      <c r="P26326" s="2498"/>
    </row>
    <row r="26327" spans="16:16">
      <c r="P26327" s="2498"/>
    </row>
    <row r="26328" spans="16:16">
      <c r="P26328" s="2498"/>
    </row>
    <row r="26329" spans="16:16">
      <c r="P26329" s="2498"/>
    </row>
    <row r="26330" spans="16:16">
      <c r="P26330" s="2498"/>
    </row>
    <row r="26331" spans="16:16">
      <c r="P26331" s="2498"/>
    </row>
    <row r="26332" spans="16:16">
      <c r="P26332" s="2498"/>
    </row>
    <row r="26333" spans="16:16">
      <c r="P26333" s="2498"/>
    </row>
    <row r="26334" spans="16:16">
      <c r="P26334" s="2498"/>
    </row>
    <row r="26335" spans="16:16">
      <c r="P26335" s="2498"/>
    </row>
    <row r="26336" spans="16:16">
      <c r="P26336" s="2498"/>
    </row>
    <row r="26337" spans="16:16">
      <c r="P26337" s="2498"/>
    </row>
    <row r="26338" spans="16:16">
      <c r="P26338" s="2498"/>
    </row>
    <row r="26339" spans="16:16">
      <c r="P26339" s="2498"/>
    </row>
    <row r="26340" spans="16:16">
      <c r="P26340" s="2498"/>
    </row>
    <row r="26341" spans="16:16">
      <c r="P26341" s="2498"/>
    </row>
    <row r="26342" spans="16:16">
      <c r="P26342" s="2498"/>
    </row>
    <row r="26343" spans="16:16">
      <c r="P26343" s="2498"/>
    </row>
    <row r="26344" spans="16:16">
      <c r="P26344" s="2498"/>
    </row>
    <row r="26345" spans="16:16">
      <c r="P26345" s="2498"/>
    </row>
    <row r="26346" spans="16:16">
      <c r="P26346" s="2498"/>
    </row>
    <row r="26347" spans="16:16">
      <c r="P26347" s="2498"/>
    </row>
    <row r="26348" spans="16:16">
      <c r="P26348" s="2498"/>
    </row>
    <row r="26349" spans="16:16">
      <c r="P26349" s="2498"/>
    </row>
    <row r="26350" spans="16:16">
      <c r="P26350" s="2498"/>
    </row>
    <row r="26351" spans="16:16">
      <c r="P26351" s="2498"/>
    </row>
    <row r="26352" spans="16:16">
      <c r="P26352" s="2498"/>
    </row>
    <row r="26353" spans="16:16">
      <c r="P26353" s="2498"/>
    </row>
    <row r="26354" spans="16:16">
      <c r="P26354" s="2498"/>
    </row>
    <row r="26355" spans="16:16">
      <c r="P26355" s="2498"/>
    </row>
    <row r="26356" spans="16:16">
      <c r="P26356" s="2498"/>
    </row>
    <row r="26357" spans="16:16">
      <c r="P26357" s="2498"/>
    </row>
    <row r="26358" spans="16:16">
      <c r="P26358" s="2498"/>
    </row>
    <row r="26359" spans="16:16">
      <c r="P26359" s="2498"/>
    </row>
    <row r="26360" spans="16:16">
      <c r="P26360" s="2498"/>
    </row>
    <row r="26361" spans="16:16">
      <c r="P26361" s="2498"/>
    </row>
    <row r="26362" spans="16:16">
      <c r="P26362" s="2498"/>
    </row>
    <row r="26363" spans="16:16">
      <c r="P26363" s="2498"/>
    </row>
    <row r="26364" spans="16:16">
      <c r="P26364" s="2498"/>
    </row>
    <row r="26365" spans="16:16">
      <c r="P26365" s="2498"/>
    </row>
    <row r="26366" spans="16:16">
      <c r="P26366" s="2498"/>
    </row>
    <row r="26367" spans="16:16">
      <c r="P26367" s="2498"/>
    </row>
    <row r="26368" spans="16:16">
      <c r="P26368" s="2498"/>
    </row>
    <row r="26369" spans="16:16">
      <c r="P26369" s="2498"/>
    </row>
    <row r="26370" spans="16:16">
      <c r="P26370" s="2498"/>
    </row>
    <row r="26371" spans="16:16">
      <c r="P26371" s="2498"/>
    </row>
    <row r="26372" spans="16:16">
      <c r="P26372" s="2498"/>
    </row>
    <row r="26373" spans="16:16">
      <c r="P26373" s="2498"/>
    </row>
    <row r="26374" spans="16:16">
      <c r="P26374" s="2498"/>
    </row>
    <row r="26375" spans="16:16">
      <c r="P26375" s="2498"/>
    </row>
    <row r="26376" spans="16:16">
      <c r="P26376" s="2498"/>
    </row>
    <row r="26377" spans="16:16">
      <c r="P26377" s="2498"/>
    </row>
    <row r="26378" spans="16:16">
      <c r="P26378" s="2498"/>
    </row>
    <row r="26379" spans="16:16">
      <c r="P26379" s="2498"/>
    </row>
    <row r="26380" spans="16:16">
      <c r="P26380" s="2498"/>
    </row>
    <row r="26381" spans="16:16">
      <c r="P26381" s="2498"/>
    </row>
    <row r="26382" spans="16:16">
      <c r="P26382" s="2498"/>
    </row>
    <row r="26383" spans="16:16">
      <c r="P26383" s="2498"/>
    </row>
    <row r="26384" spans="16:16">
      <c r="P26384" s="2498"/>
    </row>
    <row r="26385" spans="16:16">
      <c r="P26385" s="2498"/>
    </row>
    <row r="26386" spans="16:16">
      <c r="P26386" s="2498"/>
    </row>
    <row r="26387" spans="16:16">
      <c r="P26387" s="2498"/>
    </row>
    <row r="26388" spans="16:16">
      <c r="P26388" s="2498"/>
    </row>
    <row r="26389" spans="16:16">
      <c r="P26389" s="2498"/>
    </row>
    <row r="26390" spans="16:16">
      <c r="P26390" s="2498"/>
    </row>
    <row r="26391" spans="16:16">
      <c r="P26391" s="2498"/>
    </row>
    <row r="26392" spans="16:16">
      <c r="P26392" s="2498"/>
    </row>
    <row r="26393" spans="16:16">
      <c r="P26393" s="2498"/>
    </row>
    <row r="26394" spans="16:16">
      <c r="P26394" s="2498"/>
    </row>
    <row r="26395" spans="16:16">
      <c r="P26395" s="2498"/>
    </row>
    <row r="26396" spans="16:16">
      <c r="P26396" s="2498"/>
    </row>
    <row r="26397" spans="16:16">
      <c r="P26397" s="2498"/>
    </row>
    <row r="26398" spans="16:16">
      <c r="P26398" s="2498"/>
    </row>
    <row r="26399" spans="16:16">
      <c r="P26399" s="2498"/>
    </row>
    <row r="26400" spans="16:16">
      <c r="P26400" s="2498"/>
    </row>
    <row r="26401" spans="16:16">
      <c r="P26401" s="2498"/>
    </row>
    <row r="26402" spans="16:16">
      <c r="P26402" s="2498"/>
    </row>
    <row r="26403" spans="16:16">
      <c r="P26403" s="2498"/>
    </row>
    <row r="26404" spans="16:16">
      <c r="P26404" s="2498"/>
    </row>
    <row r="26405" spans="16:16">
      <c r="P26405" s="2498"/>
    </row>
    <row r="26406" spans="16:16">
      <c r="P26406" s="2498"/>
    </row>
    <row r="26407" spans="16:16">
      <c r="P26407" s="2498"/>
    </row>
    <row r="26408" spans="16:16">
      <c r="P26408" s="2498"/>
    </row>
    <row r="26409" spans="16:16">
      <c r="P26409" s="2498"/>
    </row>
    <row r="26410" spans="16:16">
      <c r="P26410" s="2498"/>
    </row>
    <row r="26411" spans="16:16">
      <c r="P26411" s="2498"/>
    </row>
    <row r="26412" spans="16:16">
      <c r="P26412" s="2498"/>
    </row>
    <row r="26413" spans="16:16">
      <c r="P26413" s="2498"/>
    </row>
    <row r="26414" spans="16:16">
      <c r="P26414" s="2498"/>
    </row>
    <row r="26415" spans="16:16">
      <c r="P26415" s="2498"/>
    </row>
    <row r="26416" spans="16:16">
      <c r="P26416" s="2498"/>
    </row>
    <row r="26417" spans="16:16">
      <c r="P26417" s="2498"/>
    </row>
    <row r="26418" spans="16:16">
      <c r="P26418" s="2498"/>
    </row>
    <row r="26419" spans="16:16">
      <c r="P26419" s="2498"/>
    </row>
    <row r="26420" spans="16:16">
      <c r="P26420" s="2498"/>
    </row>
    <row r="26421" spans="16:16">
      <c r="P26421" s="2498"/>
    </row>
    <row r="26422" spans="16:16">
      <c r="P26422" s="2498"/>
    </row>
    <row r="26423" spans="16:16">
      <c r="P26423" s="2498"/>
    </row>
    <row r="26424" spans="16:16">
      <c r="P26424" s="2498"/>
    </row>
    <row r="26425" spans="16:16">
      <c r="P26425" s="2498"/>
    </row>
    <row r="26426" spans="16:16">
      <c r="P26426" s="2498"/>
    </row>
    <row r="26427" spans="16:16">
      <c r="P26427" s="2498"/>
    </row>
    <row r="26428" spans="16:16">
      <c r="P26428" s="2498"/>
    </row>
    <row r="26429" spans="16:16">
      <c r="P26429" s="2498"/>
    </row>
    <row r="26430" spans="16:16">
      <c r="P26430" s="2498"/>
    </row>
    <row r="26431" spans="16:16">
      <c r="P26431" s="2498"/>
    </row>
    <row r="26432" spans="16:16">
      <c r="P26432" s="2498"/>
    </row>
    <row r="26433" spans="16:16">
      <c r="P26433" s="2498"/>
    </row>
    <row r="26434" spans="16:16">
      <c r="P26434" s="2498"/>
    </row>
    <row r="26435" spans="16:16">
      <c r="P26435" s="2498"/>
    </row>
    <row r="26436" spans="16:16">
      <c r="P26436" s="2498"/>
    </row>
    <row r="26437" spans="16:16">
      <c r="P26437" s="2498"/>
    </row>
    <row r="26438" spans="16:16">
      <c r="P26438" s="2498"/>
    </row>
    <row r="26439" spans="16:16">
      <c r="P26439" s="2498"/>
    </row>
    <row r="26440" spans="16:16">
      <c r="P26440" s="2498"/>
    </row>
    <row r="26441" spans="16:16">
      <c r="P26441" s="2498"/>
    </row>
    <row r="26442" spans="16:16">
      <c r="P26442" s="2498"/>
    </row>
    <row r="26443" spans="16:16">
      <c r="P26443" s="2498"/>
    </row>
    <row r="26444" spans="16:16">
      <c r="P26444" s="2498"/>
    </row>
    <row r="26445" spans="16:16">
      <c r="P26445" s="2498"/>
    </row>
    <row r="26446" spans="16:16">
      <c r="P26446" s="2498"/>
    </row>
    <row r="26447" spans="16:16">
      <c r="P26447" s="2498"/>
    </row>
    <row r="26448" spans="16:16">
      <c r="P26448" s="2498"/>
    </row>
    <row r="26449" spans="16:16">
      <c r="P26449" s="2498"/>
    </row>
    <row r="26450" spans="16:16">
      <c r="P26450" s="2498"/>
    </row>
    <row r="26451" spans="16:16">
      <c r="P26451" s="2498"/>
    </row>
    <row r="26452" spans="16:16">
      <c r="P26452" s="2498"/>
    </row>
    <row r="26453" spans="16:16">
      <c r="P26453" s="2498"/>
    </row>
    <row r="26454" spans="16:16">
      <c r="P26454" s="2498"/>
    </row>
    <row r="26455" spans="16:16">
      <c r="P26455" s="2498"/>
    </row>
    <row r="26456" spans="16:16">
      <c r="P26456" s="2498"/>
    </row>
    <row r="26457" spans="16:16">
      <c r="P26457" s="2498"/>
    </row>
    <row r="26458" spans="16:16">
      <c r="P26458" s="2498"/>
    </row>
    <row r="26459" spans="16:16">
      <c r="P26459" s="2498"/>
    </row>
    <row r="26460" spans="16:16">
      <c r="P26460" s="2498"/>
    </row>
    <row r="26461" spans="16:16">
      <c r="P26461" s="2498"/>
    </row>
    <row r="26462" spans="16:16">
      <c r="P26462" s="2498"/>
    </row>
    <row r="26463" spans="16:16">
      <c r="P26463" s="2498"/>
    </row>
    <row r="26464" spans="16:16">
      <c r="P26464" s="2498"/>
    </row>
    <row r="26465" spans="16:16">
      <c r="P26465" s="2498"/>
    </row>
    <row r="26466" spans="16:16">
      <c r="P26466" s="2498"/>
    </row>
    <row r="26467" spans="16:16">
      <c r="P26467" s="2498"/>
    </row>
    <row r="26468" spans="16:16">
      <c r="P26468" s="2498"/>
    </row>
    <row r="26469" spans="16:16">
      <c r="P26469" s="2498"/>
    </row>
    <row r="26470" spans="16:16">
      <c r="P26470" s="2498"/>
    </row>
    <row r="26471" spans="16:16">
      <c r="P26471" s="2498"/>
    </row>
    <row r="26472" spans="16:16">
      <c r="P26472" s="2498"/>
    </row>
    <row r="26473" spans="16:16">
      <c r="P26473" s="2498"/>
    </row>
    <row r="26474" spans="16:16">
      <c r="P26474" s="2498"/>
    </row>
    <row r="26475" spans="16:16">
      <c r="P26475" s="2498"/>
    </row>
    <row r="26476" spans="16:16">
      <c r="P26476" s="2498"/>
    </row>
    <row r="26477" spans="16:16">
      <c r="P26477" s="2498"/>
    </row>
    <row r="26478" spans="16:16">
      <c r="P26478" s="2498"/>
    </row>
    <row r="26479" spans="16:16">
      <c r="P26479" s="2498"/>
    </row>
    <row r="26480" spans="16:16">
      <c r="P26480" s="2498"/>
    </row>
    <row r="26481" spans="16:16">
      <c r="P26481" s="2498"/>
    </row>
    <row r="26482" spans="16:16">
      <c r="P26482" s="2498"/>
    </row>
    <row r="26483" spans="16:16">
      <c r="P26483" s="2498"/>
    </row>
    <row r="26484" spans="16:16">
      <c r="P26484" s="2498"/>
    </row>
    <row r="26485" spans="16:16">
      <c r="P26485" s="2498"/>
    </row>
    <row r="26486" spans="16:16">
      <c r="P26486" s="2498"/>
    </row>
    <row r="26487" spans="16:16">
      <c r="P26487" s="2498"/>
    </row>
    <row r="26488" spans="16:16">
      <c r="P26488" s="2498"/>
    </row>
    <row r="26489" spans="16:16">
      <c r="P26489" s="2498"/>
    </row>
    <row r="26490" spans="16:16">
      <c r="P26490" s="2498"/>
    </row>
    <row r="26491" spans="16:16">
      <c r="P26491" s="2498"/>
    </row>
    <row r="26492" spans="16:16">
      <c r="P26492" s="2498"/>
    </row>
    <row r="26493" spans="16:16">
      <c r="P26493" s="2498"/>
    </row>
    <row r="26494" spans="16:16">
      <c r="P26494" s="2498"/>
    </row>
    <row r="26495" spans="16:16">
      <c r="P26495" s="2498"/>
    </row>
    <row r="26496" spans="16:16">
      <c r="P26496" s="2498"/>
    </row>
    <row r="26497" spans="16:16">
      <c r="P26497" s="2498"/>
    </row>
    <row r="26498" spans="16:16">
      <c r="P26498" s="2498"/>
    </row>
    <row r="26499" spans="16:16">
      <c r="P26499" s="2498"/>
    </row>
    <row r="26500" spans="16:16">
      <c r="P26500" s="2498"/>
    </row>
    <row r="26501" spans="16:16">
      <c r="P26501" s="2498"/>
    </row>
    <row r="26502" spans="16:16">
      <c r="P26502" s="2498"/>
    </row>
    <row r="26503" spans="16:16">
      <c r="P26503" s="2498"/>
    </row>
    <row r="26504" spans="16:16">
      <c r="P26504" s="2498"/>
    </row>
    <row r="26505" spans="16:16">
      <c r="P26505" s="2498"/>
    </row>
    <row r="26506" spans="16:16">
      <c r="P26506" s="2498"/>
    </row>
    <row r="26507" spans="16:16">
      <c r="P26507" s="2498"/>
    </row>
    <row r="26508" spans="16:16">
      <c r="P26508" s="2498"/>
    </row>
    <row r="26509" spans="16:16">
      <c r="P26509" s="2498"/>
    </row>
    <row r="26510" spans="16:16">
      <c r="P26510" s="2498"/>
    </row>
    <row r="26511" spans="16:16">
      <c r="P26511" s="2498"/>
    </row>
    <row r="26512" spans="16:16">
      <c r="P26512" s="2498"/>
    </row>
    <row r="26513" spans="16:16">
      <c r="P26513" s="2498"/>
    </row>
    <row r="26514" spans="16:16">
      <c r="P26514" s="2498"/>
    </row>
    <row r="26515" spans="16:16">
      <c r="P26515" s="2498"/>
    </row>
    <row r="26516" spans="16:16">
      <c r="P26516" s="2498"/>
    </row>
    <row r="26517" spans="16:16">
      <c r="P26517" s="2498"/>
    </row>
    <row r="26518" spans="16:16">
      <c r="P26518" s="2498"/>
    </row>
    <row r="26519" spans="16:16">
      <c r="P26519" s="2498"/>
    </row>
    <row r="26520" spans="16:16">
      <c r="P26520" s="2498"/>
    </row>
    <row r="26521" spans="16:16">
      <c r="P26521" s="2498"/>
    </row>
    <row r="26522" spans="16:16">
      <c r="P26522" s="2498"/>
    </row>
    <row r="26523" spans="16:16">
      <c r="P26523" s="2498"/>
    </row>
    <row r="26524" spans="16:16">
      <c r="P26524" s="2498"/>
    </row>
    <row r="26525" spans="16:16">
      <c r="P26525" s="2498"/>
    </row>
    <row r="26526" spans="16:16">
      <c r="P26526" s="2498"/>
    </row>
    <row r="26527" spans="16:16">
      <c r="P26527" s="2498"/>
    </row>
    <row r="26528" spans="16:16">
      <c r="P26528" s="2498"/>
    </row>
    <row r="26529" spans="16:16">
      <c r="P26529" s="2498"/>
    </row>
    <row r="26530" spans="16:16">
      <c r="P26530" s="2498"/>
    </row>
    <row r="26531" spans="16:16">
      <c r="P26531" s="2498"/>
    </row>
    <row r="26532" spans="16:16">
      <c r="P26532" s="2498"/>
    </row>
    <row r="26533" spans="16:16">
      <c r="P26533" s="2498"/>
    </row>
    <row r="26534" spans="16:16">
      <c r="P26534" s="2498"/>
    </row>
    <row r="26535" spans="16:16">
      <c r="P26535" s="2498"/>
    </row>
    <row r="26536" spans="16:16">
      <c r="P26536" s="2498"/>
    </row>
    <row r="26537" spans="16:16">
      <c r="P26537" s="2498"/>
    </row>
    <row r="26538" spans="16:16">
      <c r="P26538" s="2498"/>
    </row>
    <row r="26539" spans="16:16">
      <c r="P26539" s="2498"/>
    </row>
    <row r="26540" spans="16:16">
      <c r="P26540" s="2498"/>
    </row>
    <row r="26541" spans="16:16">
      <c r="P26541" s="2498"/>
    </row>
    <row r="26542" spans="16:16">
      <c r="P26542" s="2498"/>
    </row>
    <row r="26543" spans="16:16">
      <c r="P26543" s="2498"/>
    </row>
    <row r="26544" spans="16:16">
      <c r="P26544" s="2498"/>
    </row>
    <row r="26545" spans="16:16">
      <c r="P26545" s="2498"/>
    </row>
    <row r="26546" spans="16:16">
      <c r="P26546" s="2498"/>
    </row>
    <row r="26547" spans="16:16">
      <c r="P26547" s="2498"/>
    </row>
    <row r="26548" spans="16:16">
      <c r="P26548" s="2498"/>
    </row>
    <row r="26549" spans="16:16">
      <c r="P26549" s="2498"/>
    </row>
    <row r="26550" spans="16:16">
      <c r="P26550" s="2498"/>
    </row>
    <row r="26551" spans="16:16">
      <c r="P26551" s="2498"/>
    </row>
    <row r="26552" spans="16:16">
      <c r="P26552" s="2498"/>
    </row>
    <row r="26553" spans="16:16">
      <c r="P26553" s="2498"/>
    </row>
    <row r="26554" spans="16:16">
      <c r="P26554" s="2498"/>
    </row>
    <row r="26555" spans="16:16">
      <c r="P26555" s="2498"/>
    </row>
    <row r="26556" spans="16:16">
      <c r="P26556" s="2498"/>
    </row>
    <row r="26557" spans="16:16">
      <c r="P26557" s="2498"/>
    </row>
    <row r="26558" spans="16:16">
      <c r="P26558" s="2498"/>
    </row>
    <row r="26559" spans="16:16">
      <c r="P26559" s="2498"/>
    </row>
    <row r="26560" spans="16:16">
      <c r="P26560" s="2498"/>
    </row>
    <row r="26561" spans="16:16">
      <c r="P26561" s="2498"/>
    </row>
    <row r="26562" spans="16:16">
      <c r="P26562" s="2498"/>
    </row>
    <row r="26563" spans="16:16">
      <c r="P26563" s="2498"/>
    </row>
    <row r="26564" spans="16:16">
      <c r="P26564" s="2498"/>
    </row>
    <row r="26565" spans="16:16">
      <c r="P26565" s="2498"/>
    </row>
    <row r="26566" spans="16:16">
      <c r="P26566" s="2498"/>
    </row>
    <row r="26567" spans="16:16">
      <c r="P26567" s="2498"/>
    </row>
    <row r="26568" spans="16:16">
      <c r="P26568" s="2498"/>
    </row>
    <row r="26569" spans="16:16">
      <c r="P26569" s="2498"/>
    </row>
    <row r="26570" spans="16:16">
      <c r="P26570" s="2498"/>
    </row>
    <row r="26571" spans="16:16">
      <c r="P26571" s="2498"/>
    </row>
    <row r="26572" spans="16:16">
      <c r="P26572" s="2498"/>
    </row>
    <row r="26573" spans="16:16">
      <c r="P26573" s="2498"/>
    </row>
    <row r="26574" spans="16:16">
      <c r="P26574" s="2498"/>
    </row>
    <row r="26575" spans="16:16">
      <c r="P26575" s="2498"/>
    </row>
    <row r="26576" spans="16:16">
      <c r="P26576" s="2498"/>
    </row>
    <row r="26577" spans="16:16">
      <c r="P26577" s="2498"/>
    </row>
    <row r="26578" spans="16:16">
      <c r="P26578" s="2498"/>
    </row>
    <row r="26579" spans="16:16">
      <c r="P26579" s="2498"/>
    </row>
    <row r="26580" spans="16:16">
      <c r="P26580" s="2498"/>
    </row>
    <row r="26581" spans="16:16">
      <c r="P26581" s="2498"/>
    </row>
    <row r="26582" spans="16:16">
      <c r="P26582" s="2498"/>
    </row>
    <row r="26583" spans="16:16">
      <c r="P26583" s="2498"/>
    </row>
    <row r="26584" spans="16:16">
      <c r="P26584" s="2498"/>
    </row>
    <row r="26585" spans="16:16">
      <c r="P26585" s="2498"/>
    </row>
    <row r="26586" spans="16:16">
      <c r="P26586" s="2498"/>
    </row>
    <row r="26587" spans="16:16">
      <c r="P26587" s="2498"/>
    </row>
    <row r="26588" spans="16:16">
      <c r="P26588" s="2498"/>
    </row>
    <row r="26589" spans="16:16">
      <c r="P26589" s="2498"/>
    </row>
    <row r="26590" spans="16:16">
      <c r="P26590" s="2498"/>
    </row>
    <row r="26591" spans="16:16">
      <c r="P26591" s="2498"/>
    </row>
    <row r="26592" spans="16:16">
      <c r="P26592" s="2498"/>
    </row>
    <row r="26593" spans="16:16">
      <c r="P26593" s="2498"/>
    </row>
    <row r="26594" spans="16:16">
      <c r="P26594" s="2498"/>
    </row>
    <row r="26595" spans="16:16">
      <c r="P26595" s="2498"/>
    </row>
    <row r="26596" spans="16:16">
      <c r="P26596" s="2498"/>
    </row>
    <row r="26597" spans="16:16">
      <c r="P26597" s="2498"/>
    </row>
    <row r="26598" spans="16:16">
      <c r="P26598" s="2498"/>
    </row>
    <row r="26599" spans="16:16">
      <c r="P26599" s="2498"/>
    </row>
    <row r="26600" spans="16:16">
      <c r="P26600" s="2498"/>
    </row>
    <row r="26601" spans="16:16">
      <c r="P26601" s="2498"/>
    </row>
    <row r="26602" spans="16:16">
      <c r="P26602" s="2498"/>
    </row>
    <row r="26603" spans="16:16">
      <c r="P26603" s="2498"/>
    </row>
    <row r="26604" spans="16:16">
      <c r="P26604" s="2498"/>
    </row>
    <row r="26605" spans="16:16">
      <c r="P26605" s="2498"/>
    </row>
    <row r="26606" spans="16:16">
      <c r="P26606" s="2498"/>
    </row>
    <row r="26607" spans="16:16">
      <c r="P26607" s="2498"/>
    </row>
    <row r="26608" spans="16:16">
      <c r="P26608" s="2498"/>
    </row>
    <row r="26609" spans="16:16">
      <c r="P26609" s="2498"/>
    </row>
    <row r="26610" spans="16:16">
      <c r="P26610" s="2498"/>
    </row>
    <row r="26611" spans="16:16">
      <c r="P26611" s="2498"/>
    </row>
    <row r="26612" spans="16:16">
      <c r="P26612" s="2498"/>
    </row>
    <row r="26613" spans="16:16">
      <c r="P26613" s="2498"/>
    </row>
    <row r="26614" spans="16:16">
      <c r="P26614" s="2498"/>
    </row>
    <row r="26615" spans="16:16">
      <c r="P26615" s="2498"/>
    </row>
    <row r="26616" spans="16:16">
      <c r="P26616" s="2498"/>
    </row>
    <row r="26617" spans="16:16">
      <c r="P26617" s="2498"/>
    </row>
    <row r="26618" spans="16:16">
      <c r="P26618" s="2498"/>
    </row>
    <row r="26619" spans="16:16">
      <c r="P26619" s="2498"/>
    </row>
    <row r="26620" spans="16:16">
      <c r="P26620" s="2498"/>
    </row>
    <row r="26621" spans="16:16">
      <c r="P26621" s="2498"/>
    </row>
    <row r="26622" spans="16:16">
      <c r="P26622" s="2498"/>
    </row>
    <row r="26623" spans="16:16">
      <c r="P26623" s="2498"/>
    </row>
    <row r="26624" spans="16:16">
      <c r="P26624" s="2498"/>
    </row>
    <row r="26625" spans="16:16">
      <c r="P26625" s="2498"/>
    </row>
    <row r="26626" spans="16:16">
      <c r="P26626" s="2498"/>
    </row>
    <row r="26627" spans="16:16">
      <c r="P26627" s="2498"/>
    </row>
    <row r="26628" spans="16:16">
      <c r="P26628" s="2498"/>
    </row>
    <row r="26629" spans="16:16">
      <c r="P26629" s="2498"/>
    </row>
    <row r="26630" spans="16:16">
      <c r="P26630" s="2498"/>
    </row>
    <row r="26631" spans="16:16">
      <c r="P26631" s="2498"/>
    </row>
    <row r="26632" spans="16:16">
      <c r="P26632" s="2498"/>
    </row>
    <row r="26633" spans="16:16">
      <c r="P26633" s="2498"/>
    </row>
    <row r="26634" spans="16:16">
      <c r="P26634" s="2498"/>
    </row>
    <row r="26635" spans="16:16">
      <c r="P26635" s="2498"/>
    </row>
    <row r="26636" spans="16:16">
      <c r="P26636" s="2498"/>
    </row>
    <row r="26637" spans="16:16">
      <c r="P26637" s="2498"/>
    </row>
    <row r="26638" spans="16:16">
      <c r="P26638" s="2498"/>
    </row>
    <row r="26639" spans="16:16">
      <c r="P26639" s="2498"/>
    </row>
    <row r="26640" spans="16:16">
      <c r="P26640" s="2498"/>
    </row>
    <row r="26641" spans="16:16">
      <c r="P26641" s="2498"/>
    </row>
    <row r="26642" spans="16:16">
      <c r="P26642" s="2498"/>
    </row>
    <row r="26643" spans="16:16">
      <c r="P26643" s="2498"/>
    </row>
    <row r="26644" spans="16:16">
      <c r="P26644" s="2498"/>
    </row>
    <row r="26645" spans="16:16">
      <c r="P26645" s="2498"/>
    </row>
    <row r="26646" spans="16:16">
      <c r="P26646" s="2498"/>
    </row>
    <row r="26647" spans="16:16">
      <c r="P26647" s="2498"/>
    </row>
    <row r="26648" spans="16:16">
      <c r="P26648" s="2498"/>
    </row>
    <row r="26649" spans="16:16">
      <c r="P26649" s="2498"/>
    </row>
    <row r="26650" spans="16:16">
      <c r="P26650" s="2498"/>
    </row>
    <row r="26651" spans="16:16">
      <c r="P26651" s="2498"/>
    </row>
    <row r="26652" spans="16:16">
      <c r="P26652" s="2498"/>
    </row>
    <row r="26653" spans="16:16">
      <c r="P26653" s="2498"/>
    </row>
    <row r="26654" spans="16:16">
      <c r="P26654" s="2498"/>
    </row>
    <row r="26655" spans="16:16">
      <c r="P26655" s="2498"/>
    </row>
    <row r="26656" spans="16:16">
      <c r="P26656" s="2498"/>
    </row>
    <row r="26657" spans="16:16">
      <c r="P26657" s="2498"/>
    </row>
    <row r="26658" spans="16:16">
      <c r="P26658" s="2498"/>
    </row>
    <row r="26659" spans="16:16">
      <c r="P26659" s="2498"/>
    </row>
    <row r="26660" spans="16:16">
      <c r="P26660" s="2498"/>
    </row>
    <row r="26661" spans="16:16">
      <c r="P26661" s="2498"/>
    </row>
    <row r="26662" spans="16:16">
      <c r="P26662" s="2498"/>
    </row>
    <row r="26663" spans="16:16">
      <c r="P26663" s="2498"/>
    </row>
    <row r="26664" spans="16:16">
      <c r="P26664" s="2498"/>
    </row>
    <row r="26665" spans="16:16">
      <c r="P26665" s="2498"/>
    </row>
    <row r="26666" spans="16:16">
      <c r="P26666" s="2498"/>
    </row>
    <row r="26667" spans="16:16">
      <c r="P26667" s="2498"/>
    </row>
    <row r="26668" spans="16:16">
      <c r="P26668" s="2498"/>
    </row>
    <row r="26669" spans="16:16">
      <c r="P26669" s="2498"/>
    </row>
    <row r="26670" spans="16:16">
      <c r="P26670" s="2498"/>
    </row>
    <row r="26671" spans="16:16">
      <c r="P26671" s="2498"/>
    </row>
    <row r="26672" spans="16:16">
      <c r="P26672" s="2498"/>
    </row>
    <row r="26673" spans="16:16">
      <c r="P26673" s="2498"/>
    </row>
    <row r="26674" spans="16:16">
      <c r="P26674" s="2498"/>
    </row>
    <row r="26675" spans="16:16">
      <c r="P26675" s="2498"/>
    </row>
    <row r="26676" spans="16:16">
      <c r="P26676" s="2498"/>
    </row>
    <row r="26677" spans="16:16">
      <c r="P26677" s="2498"/>
    </row>
    <row r="26678" spans="16:16">
      <c r="P26678" s="2498"/>
    </row>
    <row r="26679" spans="16:16">
      <c r="P26679" s="2498"/>
    </row>
    <row r="26680" spans="16:16">
      <c r="P26680" s="2498"/>
    </row>
    <row r="26681" spans="16:16">
      <c r="P26681" s="2498"/>
    </row>
    <row r="26682" spans="16:16">
      <c r="P26682" s="2498"/>
    </row>
    <row r="26683" spans="16:16">
      <c r="P26683" s="2498"/>
    </row>
    <row r="26684" spans="16:16">
      <c r="P26684" s="2498"/>
    </row>
    <row r="26685" spans="16:16">
      <c r="P26685" s="2498"/>
    </row>
    <row r="26686" spans="16:16">
      <c r="P26686" s="2498"/>
    </row>
    <row r="26687" spans="16:16">
      <c r="P26687" s="2498"/>
    </row>
    <row r="26688" spans="16:16">
      <c r="P26688" s="2498"/>
    </row>
    <row r="26689" spans="16:16">
      <c r="P26689" s="2498"/>
    </row>
    <row r="26690" spans="16:16">
      <c r="P26690" s="2498"/>
    </row>
    <row r="26691" spans="16:16">
      <c r="P26691" s="2498"/>
    </row>
    <row r="26692" spans="16:16">
      <c r="P26692" s="2498"/>
    </row>
    <row r="26693" spans="16:16">
      <c r="P26693" s="2498"/>
    </row>
    <row r="26694" spans="16:16">
      <c r="P26694" s="2498"/>
    </row>
    <row r="26695" spans="16:16">
      <c r="P26695" s="2498"/>
    </row>
    <row r="26696" spans="16:16">
      <c r="P26696" s="2498"/>
    </row>
    <row r="26697" spans="16:16">
      <c r="P26697" s="2498"/>
    </row>
    <row r="26698" spans="16:16">
      <c r="P26698" s="2498"/>
    </row>
    <row r="26699" spans="16:16">
      <c r="P26699" s="2498"/>
    </row>
    <row r="26700" spans="16:16">
      <c r="P26700" s="2498"/>
    </row>
    <row r="26701" spans="16:16">
      <c r="P26701" s="2498"/>
    </row>
    <row r="26702" spans="16:16">
      <c r="P26702" s="2498"/>
    </row>
    <row r="26703" spans="16:16">
      <c r="P26703" s="2498"/>
    </row>
    <row r="26704" spans="16:16">
      <c r="P26704" s="2498"/>
    </row>
    <row r="26705" spans="16:16">
      <c r="P26705" s="2498"/>
    </row>
    <row r="26706" spans="16:16">
      <c r="P26706" s="2498"/>
    </row>
    <row r="26707" spans="16:16">
      <c r="P26707" s="2498"/>
    </row>
    <row r="26708" spans="16:16">
      <c r="P26708" s="2498"/>
    </row>
    <row r="26709" spans="16:16">
      <c r="P26709" s="2498"/>
    </row>
    <row r="26710" spans="16:16">
      <c r="P26710" s="2498"/>
    </row>
    <row r="26711" spans="16:16">
      <c r="P26711" s="2498"/>
    </row>
    <row r="26712" spans="16:16">
      <c r="P26712" s="2498"/>
    </row>
    <row r="26713" spans="16:16">
      <c r="P26713" s="2498"/>
    </row>
    <row r="26714" spans="16:16">
      <c r="P26714" s="2498"/>
    </row>
    <row r="26715" spans="16:16">
      <c r="P26715" s="2498"/>
    </row>
    <row r="26716" spans="16:16">
      <c r="P26716" s="2498"/>
    </row>
    <row r="26717" spans="16:16">
      <c r="P26717" s="2498"/>
    </row>
    <row r="26718" spans="16:16">
      <c r="P26718" s="2498"/>
    </row>
    <row r="26719" spans="16:16">
      <c r="P26719" s="2498"/>
    </row>
    <row r="26720" spans="16:16">
      <c r="P26720" s="2498"/>
    </row>
    <row r="26721" spans="16:16">
      <c r="P26721" s="2498"/>
    </row>
    <row r="26722" spans="16:16">
      <c r="P26722" s="2498"/>
    </row>
    <row r="26723" spans="16:16">
      <c r="P26723" s="2498"/>
    </row>
    <row r="26724" spans="16:16">
      <c r="P26724" s="2498"/>
    </row>
    <row r="26725" spans="16:16">
      <c r="P26725" s="2498"/>
    </row>
    <row r="26726" spans="16:16">
      <c r="P26726" s="2498"/>
    </row>
    <row r="26727" spans="16:16">
      <c r="P26727" s="2498"/>
    </row>
    <row r="26728" spans="16:16">
      <c r="P26728" s="2498"/>
    </row>
    <row r="26729" spans="16:16">
      <c r="P26729" s="2498"/>
    </row>
    <row r="26730" spans="16:16">
      <c r="P26730" s="2498"/>
    </row>
    <row r="26731" spans="16:16">
      <c r="P26731" s="2498"/>
    </row>
    <row r="26732" spans="16:16">
      <c r="P26732" s="2498"/>
    </row>
    <row r="26733" spans="16:16">
      <c r="P26733" s="2498"/>
    </row>
    <row r="26734" spans="16:16">
      <c r="P26734" s="2498"/>
    </row>
    <row r="26735" spans="16:16">
      <c r="P26735" s="2498"/>
    </row>
    <row r="26736" spans="16:16">
      <c r="P26736" s="2498"/>
    </row>
    <row r="26737" spans="16:16">
      <c r="P26737" s="2498"/>
    </row>
    <row r="26738" spans="16:16">
      <c r="P26738" s="2498"/>
    </row>
    <row r="26739" spans="16:16">
      <c r="P26739" s="2498"/>
    </row>
    <row r="26740" spans="16:16">
      <c r="P26740" s="2498"/>
    </row>
    <row r="26741" spans="16:16">
      <c r="P26741" s="2498"/>
    </row>
    <row r="26742" spans="16:16">
      <c r="P26742" s="2498"/>
    </row>
    <row r="26743" spans="16:16">
      <c r="P26743" s="2498"/>
    </row>
    <row r="26744" spans="16:16">
      <c r="P26744" s="2498"/>
    </row>
    <row r="26745" spans="16:16">
      <c r="P26745" s="2498"/>
    </row>
    <row r="26746" spans="16:16">
      <c r="P26746" s="2498"/>
    </row>
    <row r="26747" spans="16:16">
      <c r="P26747" s="2498"/>
    </row>
    <row r="26748" spans="16:16">
      <c r="P26748" s="2498"/>
    </row>
    <row r="26749" spans="16:16">
      <c r="P26749" s="2498"/>
    </row>
    <row r="26750" spans="16:16">
      <c r="P26750" s="2498"/>
    </row>
    <row r="26751" spans="16:16">
      <c r="P26751" s="2498"/>
    </row>
    <row r="26752" spans="16:16">
      <c r="P26752" s="2498"/>
    </row>
    <row r="26753" spans="16:16">
      <c r="P26753" s="2498"/>
    </row>
    <row r="26754" spans="16:16">
      <c r="P26754" s="2498"/>
    </row>
    <row r="26755" spans="16:16">
      <c r="P26755" s="2498"/>
    </row>
    <row r="26756" spans="16:16">
      <c r="P26756" s="2498"/>
    </row>
    <row r="26757" spans="16:16">
      <c r="P26757" s="2498"/>
    </row>
    <row r="26758" spans="16:16">
      <c r="P26758" s="2498"/>
    </row>
    <row r="26759" spans="16:16">
      <c r="P26759" s="2498"/>
    </row>
    <row r="26760" spans="16:16">
      <c r="P26760" s="2498"/>
    </row>
    <row r="26761" spans="16:16">
      <c r="P26761" s="2498"/>
    </row>
    <row r="26762" spans="16:16">
      <c r="P26762" s="2498"/>
    </row>
    <row r="26763" spans="16:16">
      <c r="P26763" s="2498"/>
    </row>
    <row r="26764" spans="16:16">
      <c r="P26764" s="2498"/>
    </row>
    <row r="26765" spans="16:16">
      <c r="P26765" s="2498"/>
    </row>
    <row r="26766" spans="16:16">
      <c r="P26766" s="2498"/>
    </row>
    <row r="26767" spans="16:16">
      <c r="P26767" s="2498"/>
    </row>
    <row r="26768" spans="16:16">
      <c r="P26768" s="2498"/>
    </row>
    <row r="26769" spans="16:16">
      <c r="P26769" s="2498"/>
    </row>
    <row r="26770" spans="16:16">
      <c r="P26770" s="2498"/>
    </row>
    <row r="26771" spans="16:16">
      <c r="P26771" s="2498"/>
    </row>
    <row r="26772" spans="16:16">
      <c r="P26772" s="2498"/>
    </row>
    <row r="26773" spans="16:16">
      <c r="P26773" s="2498"/>
    </row>
    <row r="26774" spans="16:16">
      <c r="P26774" s="2498"/>
    </row>
    <row r="26775" spans="16:16">
      <c r="P26775" s="2498"/>
    </row>
    <row r="26776" spans="16:16">
      <c r="P26776" s="2498"/>
    </row>
    <row r="26777" spans="16:16">
      <c r="P26777" s="2498"/>
    </row>
    <row r="26778" spans="16:16">
      <c r="P26778" s="2498"/>
    </row>
    <row r="26779" spans="16:16">
      <c r="P26779" s="2498"/>
    </row>
    <row r="26780" spans="16:16">
      <c r="P26780" s="2498"/>
    </row>
    <row r="26781" spans="16:16">
      <c r="P26781" s="2498"/>
    </row>
    <row r="26782" spans="16:16">
      <c r="P26782" s="2498"/>
    </row>
    <row r="26783" spans="16:16">
      <c r="P26783" s="2498"/>
    </row>
    <row r="26784" spans="16:16">
      <c r="P26784" s="2498"/>
    </row>
    <row r="26785" spans="16:16">
      <c r="P26785" s="2498"/>
    </row>
    <row r="26786" spans="16:16">
      <c r="P26786" s="2498"/>
    </row>
    <row r="26787" spans="16:16">
      <c r="P26787" s="2498"/>
    </row>
    <row r="26788" spans="16:16">
      <c r="P26788" s="2498"/>
    </row>
    <row r="26789" spans="16:16">
      <c r="P26789" s="2498"/>
    </row>
    <row r="26790" spans="16:16">
      <c r="P26790" s="2498"/>
    </row>
    <row r="26791" spans="16:16">
      <c r="P26791" s="2498"/>
    </row>
    <row r="26792" spans="16:16">
      <c r="P26792" s="2498"/>
    </row>
    <row r="26793" spans="16:16">
      <c r="P26793" s="2498"/>
    </row>
    <row r="26794" spans="16:16">
      <c r="P26794" s="2498"/>
    </row>
    <row r="26795" spans="16:16">
      <c r="P26795" s="2498"/>
    </row>
    <row r="26796" spans="16:16">
      <c r="P26796" s="2498"/>
    </row>
    <row r="26797" spans="16:16">
      <c r="P26797" s="2498"/>
    </row>
    <row r="26798" spans="16:16">
      <c r="P26798" s="2498"/>
    </row>
    <row r="26799" spans="16:16">
      <c r="P26799" s="2498"/>
    </row>
    <row r="26800" spans="16:16">
      <c r="P26800" s="2498"/>
    </row>
    <row r="26801" spans="16:16">
      <c r="P26801" s="2498"/>
    </row>
    <row r="26802" spans="16:16">
      <c r="P26802" s="2498"/>
    </row>
    <row r="26803" spans="16:16">
      <c r="P26803" s="2498"/>
    </row>
    <row r="26804" spans="16:16">
      <c r="P26804" s="2498"/>
    </row>
    <row r="26805" spans="16:16">
      <c r="P26805" s="2498"/>
    </row>
    <row r="26806" spans="16:16">
      <c r="P26806" s="2498"/>
    </row>
    <row r="26807" spans="16:16">
      <c r="P26807" s="2498"/>
    </row>
    <row r="26808" spans="16:16">
      <c r="P26808" s="2498"/>
    </row>
    <row r="26809" spans="16:16">
      <c r="P26809" s="2498"/>
    </row>
    <row r="26810" spans="16:16">
      <c r="P26810" s="2498"/>
    </row>
    <row r="26811" spans="16:16">
      <c r="P26811" s="2498"/>
    </row>
    <row r="26812" spans="16:16">
      <c r="P26812" s="2498"/>
    </row>
    <row r="26813" spans="16:16">
      <c r="P26813" s="2498"/>
    </row>
    <row r="26814" spans="16:16">
      <c r="P26814" s="2498"/>
    </row>
    <row r="26815" spans="16:16">
      <c r="P26815" s="2498"/>
    </row>
    <row r="26816" spans="16:16">
      <c r="P26816" s="2498"/>
    </row>
    <row r="26817" spans="16:16">
      <c r="P26817" s="2498"/>
    </row>
    <row r="26818" spans="16:16">
      <c r="P26818" s="2498"/>
    </row>
    <row r="26819" spans="16:16">
      <c r="P26819" s="2498"/>
    </row>
    <row r="26820" spans="16:16">
      <c r="P26820" s="2498"/>
    </row>
    <row r="26821" spans="16:16">
      <c r="P26821" s="2498"/>
    </row>
    <row r="26822" spans="16:16">
      <c r="P26822" s="2498"/>
    </row>
    <row r="26823" spans="16:16">
      <c r="P26823" s="2498"/>
    </row>
    <row r="26824" spans="16:16">
      <c r="P26824" s="2498"/>
    </row>
    <row r="26825" spans="16:16">
      <c r="P26825" s="2498"/>
    </row>
    <row r="26826" spans="16:16">
      <c r="P26826" s="2498"/>
    </row>
    <row r="26827" spans="16:16">
      <c r="P26827" s="2498"/>
    </row>
    <row r="26828" spans="16:16">
      <c r="P26828" s="2498"/>
    </row>
    <row r="26829" spans="16:16">
      <c r="P26829" s="2498"/>
    </row>
    <row r="26830" spans="16:16">
      <c r="P26830" s="2498"/>
    </row>
    <row r="26831" spans="16:16">
      <c r="P26831" s="2498"/>
    </row>
    <row r="26832" spans="16:16">
      <c r="P26832" s="2498"/>
    </row>
    <row r="26833" spans="16:16">
      <c r="P26833" s="2498"/>
    </row>
    <row r="26834" spans="16:16">
      <c r="P26834" s="2498"/>
    </row>
    <row r="26835" spans="16:16">
      <c r="P26835" s="2498"/>
    </row>
    <row r="26836" spans="16:16">
      <c r="P26836" s="2498"/>
    </row>
    <row r="26837" spans="16:16">
      <c r="P26837" s="2498"/>
    </row>
    <row r="26838" spans="16:16">
      <c r="P26838" s="2498"/>
    </row>
    <row r="26839" spans="16:16">
      <c r="P26839" s="2498"/>
    </row>
    <row r="26840" spans="16:16">
      <c r="P26840" s="2498"/>
    </row>
    <row r="26841" spans="16:16">
      <c r="P26841" s="2498"/>
    </row>
    <row r="26842" spans="16:16">
      <c r="P26842" s="2498"/>
    </row>
    <row r="26843" spans="16:16">
      <c r="P26843" s="2498"/>
    </row>
    <row r="26844" spans="16:16">
      <c r="P26844" s="2498"/>
    </row>
    <row r="26845" spans="16:16">
      <c r="P26845" s="2498"/>
    </row>
    <row r="26846" spans="16:16">
      <c r="P26846" s="2498"/>
    </row>
    <row r="26847" spans="16:16">
      <c r="P26847" s="2498"/>
    </row>
    <row r="26848" spans="16:16">
      <c r="P26848" s="2498"/>
    </row>
    <row r="26849" spans="16:16">
      <c r="P26849" s="2498"/>
    </row>
    <row r="26850" spans="16:16">
      <c r="P26850" s="2498"/>
    </row>
    <row r="26851" spans="16:16">
      <c r="P26851" s="2498"/>
    </row>
    <row r="26852" spans="16:16">
      <c r="P26852" s="2498"/>
    </row>
    <row r="26853" spans="16:16">
      <c r="P26853" s="2498"/>
    </row>
    <row r="26854" spans="16:16">
      <c r="P26854" s="2498"/>
    </row>
    <row r="26855" spans="16:16">
      <c r="P26855" s="2498"/>
    </row>
    <row r="26856" spans="16:16">
      <c r="P26856" s="2498"/>
    </row>
    <row r="26857" spans="16:16">
      <c r="P26857" s="2498"/>
    </row>
    <row r="26858" spans="16:16">
      <c r="P26858" s="2498"/>
    </row>
    <row r="26859" spans="16:16">
      <c r="P26859" s="2498"/>
    </row>
    <row r="26860" spans="16:16">
      <c r="P26860" s="2498"/>
    </row>
    <row r="26861" spans="16:16">
      <c r="P26861" s="2498"/>
    </row>
    <row r="26862" spans="16:16">
      <c r="P26862" s="2498"/>
    </row>
    <row r="26863" spans="16:16">
      <c r="P26863" s="2498"/>
    </row>
    <row r="26864" spans="16:16">
      <c r="P26864" s="2498"/>
    </row>
    <row r="26865" spans="16:16">
      <c r="P26865" s="2498"/>
    </row>
    <row r="26866" spans="16:16">
      <c r="P26866" s="2498"/>
    </row>
    <row r="26867" spans="16:16">
      <c r="P26867" s="2498"/>
    </row>
    <row r="26868" spans="16:16">
      <c r="P26868" s="2498"/>
    </row>
    <row r="26869" spans="16:16">
      <c r="P26869" s="2498"/>
    </row>
    <row r="26870" spans="16:16">
      <c r="P26870" s="2498"/>
    </row>
    <row r="26871" spans="16:16">
      <c r="P26871" s="2498"/>
    </row>
    <row r="26872" spans="16:16">
      <c r="P26872" s="2498"/>
    </row>
    <row r="26873" spans="16:16">
      <c r="P26873" s="2498"/>
    </row>
    <row r="26874" spans="16:16">
      <c r="P26874" s="2498"/>
    </row>
    <row r="26875" spans="16:16">
      <c r="P26875" s="2498"/>
    </row>
    <row r="26876" spans="16:16">
      <c r="P26876" s="2498"/>
    </row>
    <row r="26877" spans="16:16">
      <c r="P26877" s="2498"/>
    </row>
    <row r="26878" spans="16:16">
      <c r="P26878" s="2498"/>
    </row>
    <row r="26879" spans="16:16">
      <c r="P26879" s="2498"/>
    </row>
    <row r="26880" spans="16:16">
      <c r="P26880" s="2498"/>
    </row>
    <row r="26881" spans="16:16">
      <c r="P26881" s="2498"/>
    </row>
    <row r="26882" spans="16:16">
      <c r="P26882" s="2498"/>
    </row>
    <row r="26883" spans="16:16">
      <c r="P26883" s="2498"/>
    </row>
    <row r="26884" spans="16:16">
      <c r="P26884" s="2498"/>
    </row>
    <row r="26885" spans="16:16">
      <c r="P26885" s="2498"/>
    </row>
    <row r="26886" spans="16:16">
      <c r="P26886" s="2498"/>
    </row>
    <row r="26887" spans="16:16">
      <c r="P26887" s="2498"/>
    </row>
    <row r="26888" spans="16:16">
      <c r="P26888" s="2498"/>
    </row>
    <row r="26889" spans="16:16">
      <c r="P26889" s="2498"/>
    </row>
    <row r="26890" spans="16:16">
      <c r="P26890" s="2498"/>
    </row>
    <row r="26891" spans="16:16">
      <c r="P26891" s="2498"/>
    </row>
    <row r="26892" spans="16:16">
      <c r="P26892" s="2498"/>
    </row>
    <row r="26893" spans="16:16">
      <c r="P26893" s="2498"/>
    </row>
    <row r="26894" spans="16:16">
      <c r="P26894" s="2498"/>
    </row>
    <row r="26895" spans="16:16">
      <c r="P26895" s="2498"/>
    </row>
    <row r="26896" spans="16:16">
      <c r="P26896" s="2498"/>
    </row>
    <row r="26897" spans="16:16">
      <c r="P26897" s="2498"/>
    </row>
    <row r="26898" spans="16:16">
      <c r="P26898" s="2498"/>
    </row>
    <row r="26899" spans="16:16">
      <c r="P26899" s="2498"/>
    </row>
    <row r="26900" spans="16:16">
      <c r="P26900" s="2498"/>
    </row>
    <row r="26901" spans="16:16">
      <c r="P26901" s="2498"/>
    </row>
    <row r="26902" spans="16:16">
      <c r="P26902" s="2498"/>
    </row>
    <row r="26903" spans="16:16">
      <c r="P26903" s="2498"/>
    </row>
    <row r="26904" spans="16:16">
      <c r="P26904" s="2498"/>
    </row>
    <row r="26905" spans="16:16">
      <c r="P26905" s="2498"/>
    </row>
    <row r="26906" spans="16:16">
      <c r="P26906" s="2498"/>
    </row>
    <row r="26907" spans="16:16">
      <c r="P26907" s="2498"/>
    </row>
    <row r="26908" spans="16:16">
      <c r="P26908" s="2498"/>
    </row>
    <row r="26909" spans="16:16">
      <c r="P26909" s="2498"/>
    </row>
    <row r="26910" spans="16:16">
      <c r="P26910" s="2498"/>
    </row>
    <row r="26911" spans="16:16">
      <c r="P26911" s="2498"/>
    </row>
    <row r="26912" spans="16:16">
      <c r="P26912" s="2498"/>
    </row>
    <row r="26913" spans="16:16">
      <c r="P26913" s="2498"/>
    </row>
    <row r="26914" spans="16:16">
      <c r="P26914" s="2498"/>
    </row>
    <row r="26915" spans="16:16">
      <c r="P26915" s="2498"/>
    </row>
    <row r="26916" spans="16:16">
      <c r="P26916" s="2498"/>
    </row>
    <row r="26917" spans="16:16">
      <c r="P26917" s="2498"/>
    </row>
    <row r="26918" spans="16:16">
      <c r="P26918" s="2498"/>
    </row>
    <row r="26919" spans="16:16">
      <c r="P26919" s="2498"/>
    </row>
    <row r="26920" spans="16:16">
      <c r="P26920" s="2498"/>
    </row>
    <row r="26921" spans="16:16">
      <c r="P26921" s="2498"/>
    </row>
    <row r="26922" spans="16:16">
      <c r="P26922" s="2498"/>
    </row>
    <row r="26923" spans="16:16">
      <c r="P26923" s="2498"/>
    </row>
    <row r="26924" spans="16:16">
      <c r="P26924" s="2498"/>
    </row>
    <row r="26925" spans="16:16">
      <c r="P26925" s="2498"/>
    </row>
    <row r="26926" spans="16:16">
      <c r="P26926" s="2498"/>
    </row>
    <row r="26927" spans="16:16">
      <c r="P26927" s="2498"/>
    </row>
    <row r="26928" spans="16:16">
      <c r="P26928" s="2498"/>
    </row>
    <row r="26929" spans="16:16">
      <c r="P26929" s="2498"/>
    </row>
    <row r="26930" spans="16:16">
      <c r="P26930" s="2498"/>
    </row>
    <row r="26931" spans="16:16">
      <c r="P26931" s="2498"/>
    </row>
    <row r="26932" spans="16:16">
      <c r="P26932" s="2498"/>
    </row>
    <row r="26933" spans="16:16">
      <c r="P26933" s="2498"/>
    </row>
    <row r="26934" spans="16:16">
      <c r="P26934" s="2498"/>
    </row>
    <row r="26935" spans="16:16">
      <c r="P26935" s="2498"/>
    </row>
    <row r="26936" spans="16:16">
      <c r="P26936" s="2498"/>
    </row>
    <row r="26937" spans="16:16">
      <c r="P26937" s="2498"/>
    </row>
    <row r="26938" spans="16:16">
      <c r="P26938" s="2498"/>
    </row>
    <row r="26939" spans="16:16">
      <c r="P26939" s="2498"/>
    </row>
    <row r="26940" spans="16:16">
      <c r="P26940" s="2498"/>
    </row>
    <row r="26941" spans="16:16">
      <c r="P26941" s="2498"/>
    </row>
    <row r="26942" spans="16:16">
      <c r="P26942" s="2498"/>
    </row>
    <row r="26943" spans="16:16">
      <c r="P26943" s="2498"/>
    </row>
    <row r="26944" spans="16:16">
      <c r="P26944" s="2498"/>
    </row>
    <row r="26945" spans="16:16">
      <c r="P26945" s="2498"/>
    </row>
    <row r="26946" spans="16:16">
      <c r="P26946" s="2498"/>
    </row>
    <row r="26947" spans="16:16">
      <c r="P26947" s="2498"/>
    </row>
    <row r="26948" spans="16:16">
      <c r="P26948" s="2498"/>
    </row>
    <row r="26949" spans="16:16">
      <c r="P26949" s="2498"/>
    </row>
    <row r="26950" spans="16:16">
      <c r="P26950" s="2498"/>
    </row>
    <row r="26951" spans="16:16">
      <c r="P26951" s="2498"/>
    </row>
    <row r="26952" spans="16:16">
      <c r="P26952" s="2498"/>
    </row>
    <row r="26953" spans="16:16">
      <c r="P26953" s="2498"/>
    </row>
    <row r="26954" spans="16:16">
      <c r="P26954" s="2498"/>
    </row>
    <row r="26955" spans="16:16">
      <c r="P26955" s="2498"/>
    </row>
    <row r="26956" spans="16:16">
      <c r="P26956" s="2498"/>
    </row>
    <row r="26957" spans="16:16">
      <c r="P26957" s="2498"/>
    </row>
    <row r="26958" spans="16:16">
      <c r="P26958" s="2498"/>
    </row>
    <row r="26959" spans="16:16">
      <c r="P26959" s="2498"/>
    </row>
    <row r="26960" spans="16:16">
      <c r="P26960" s="2498"/>
    </row>
    <row r="26961" spans="16:16">
      <c r="P26961" s="2498"/>
    </row>
    <row r="26962" spans="16:16">
      <c r="P26962" s="2498"/>
    </row>
    <row r="26963" spans="16:16">
      <c r="P26963" s="2498"/>
    </row>
    <row r="26964" spans="16:16">
      <c r="P26964" s="2498"/>
    </row>
    <row r="26965" spans="16:16">
      <c r="P26965" s="2498"/>
    </row>
    <row r="26966" spans="16:16">
      <c r="P26966" s="2498"/>
    </row>
    <row r="26967" spans="16:16">
      <c r="P26967" s="2498"/>
    </row>
    <row r="26968" spans="16:16">
      <c r="P26968" s="2498"/>
    </row>
    <row r="26969" spans="16:16">
      <c r="P26969" s="2498"/>
    </row>
    <row r="26970" spans="16:16">
      <c r="P26970" s="2498"/>
    </row>
    <row r="26971" spans="16:16">
      <c r="P26971" s="2498"/>
    </row>
    <row r="26972" spans="16:16">
      <c r="P26972" s="2498"/>
    </row>
    <row r="26973" spans="16:16">
      <c r="P26973" s="2498"/>
    </row>
    <row r="26974" spans="16:16">
      <c r="P26974" s="2498"/>
    </row>
    <row r="26975" spans="16:16">
      <c r="P26975" s="2498"/>
    </row>
    <row r="26976" spans="16:16">
      <c r="P26976" s="2498"/>
    </row>
    <row r="26977" spans="16:16">
      <c r="P26977" s="2498"/>
    </row>
    <row r="26978" spans="16:16">
      <c r="P26978" s="2498"/>
    </row>
    <row r="26979" spans="16:16">
      <c r="P26979" s="2498"/>
    </row>
    <row r="26980" spans="16:16">
      <c r="P26980" s="2498"/>
    </row>
    <row r="26981" spans="16:16">
      <c r="P26981" s="2498"/>
    </row>
    <row r="26982" spans="16:16">
      <c r="P26982" s="2498"/>
    </row>
    <row r="26983" spans="16:16">
      <c r="P26983" s="2498"/>
    </row>
    <row r="26984" spans="16:16">
      <c r="P26984" s="2498"/>
    </row>
    <row r="26985" spans="16:16">
      <c r="P26985" s="2498"/>
    </row>
    <row r="26986" spans="16:16">
      <c r="P26986" s="2498"/>
    </row>
    <row r="26987" spans="16:16">
      <c r="P26987" s="2498"/>
    </row>
    <row r="26988" spans="16:16">
      <c r="P26988" s="2498"/>
    </row>
    <row r="26989" spans="16:16">
      <c r="P26989" s="2498"/>
    </row>
    <row r="26990" spans="16:16">
      <c r="P26990" s="2498"/>
    </row>
    <row r="26991" spans="16:16">
      <c r="P26991" s="2498"/>
    </row>
    <row r="26992" spans="16:16">
      <c r="P26992" s="2498"/>
    </row>
    <row r="26993" spans="16:16">
      <c r="P26993" s="2498"/>
    </row>
    <row r="26994" spans="16:16">
      <c r="P26994" s="2498"/>
    </row>
    <row r="26995" spans="16:16">
      <c r="P26995" s="2498"/>
    </row>
    <row r="26996" spans="16:16">
      <c r="P26996" s="2498"/>
    </row>
    <row r="26997" spans="16:16">
      <c r="P26997" s="2498"/>
    </row>
    <row r="26998" spans="16:16">
      <c r="P26998" s="2498"/>
    </row>
    <row r="26999" spans="16:16">
      <c r="P26999" s="2498"/>
    </row>
    <row r="27000" spans="16:16">
      <c r="P27000" s="2498"/>
    </row>
    <row r="27001" spans="16:16">
      <c r="P27001" s="2498"/>
    </row>
    <row r="27002" spans="16:16">
      <c r="P27002" s="2498"/>
    </row>
    <row r="27003" spans="16:16">
      <c r="P27003" s="2498"/>
    </row>
    <row r="27004" spans="16:16">
      <c r="P27004" s="2498"/>
    </row>
    <row r="27005" spans="16:16">
      <c r="P27005" s="2498"/>
    </row>
    <row r="27006" spans="16:16">
      <c r="P27006" s="2498"/>
    </row>
    <row r="27007" spans="16:16">
      <c r="P27007" s="2498"/>
    </row>
    <row r="27008" spans="16:16">
      <c r="P27008" s="2498"/>
    </row>
    <row r="27009" spans="16:16">
      <c r="P27009" s="2498"/>
    </row>
    <row r="27010" spans="16:16">
      <c r="P27010" s="2498"/>
    </row>
    <row r="27011" spans="16:16">
      <c r="P27011" s="2498"/>
    </row>
    <row r="27012" spans="16:16">
      <c r="P27012" s="2498"/>
    </row>
    <row r="27013" spans="16:16">
      <c r="P27013" s="2498"/>
    </row>
    <row r="27014" spans="16:16">
      <c r="P27014" s="2498"/>
    </row>
    <row r="27015" spans="16:16">
      <c r="P27015" s="2498"/>
    </row>
    <row r="27016" spans="16:16">
      <c r="P27016" s="2498"/>
    </row>
    <row r="27017" spans="16:16">
      <c r="P27017" s="2498"/>
    </row>
    <row r="27018" spans="16:16">
      <c r="P27018" s="2498"/>
    </row>
    <row r="27019" spans="16:16">
      <c r="P27019" s="2498"/>
    </row>
    <row r="27020" spans="16:16">
      <c r="P27020" s="2498"/>
    </row>
    <row r="27021" spans="16:16">
      <c r="P27021" s="2498"/>
    </row>
    <row r="27022" spans="16:16">
      <c r="P27022" s="2498"/>
    </row>
    <row r="27023" spans="16:16">
      <c r="P27023" s="2498"/>
    </row>
    <row r="27024" spans="16:16">
      <c r="P27024" s="2498"/>
    </row>
    <row r="27025" spans="16:16">
      <c r="P27025" s="2498"/>
    </row>
    <row r="27026" spans="16:16">
      <c r="P27026" s="2498"/>
    </row>
    <row r="27027" spans="16:16">
      <c r="P27027" s="2498"/>
    </row>
    <row r="27028" spans="16:16">
      <c r="P27028" s="2498"/>
    </row>
    <row r="27029" spans="16:16">
      <c r="P27029" s="2498"/>
    </row>
    <row r="27030" spans="16:16">
      <c r="P27030" s="2498"/>
    </row>
    <row r="27031" spans="16:16">
      <c r="P27031" s="2498"/>
    </row>
    <row r="27032" spans="16:16">
      <c r="P27032" s="2498"/>
    </row>
    <row r="27033" spans="16:16">
      <c r="P27033" s="2498"/>
    </row>
    <row r="27034" spans="16:16">
      <c r="P27034" s="2498"/>
    </row>
    <row r="27035" spans="16:16">
      <c r="P27035" s="2498"/>
    </row>
    <row r="27036" spans="16:16">
      <c r="P27036" s="2498"/>
    </row>
    <row r="27037" spans="16:16">
      <c r="P27037" s="2498"/>
    </row>
    <row r="27038" spans="16:16">
      <c r="P27038" s="2498"/>
    </row>
    <row r="27039" spans="16:16">
      <c r="P27039" s="2498"/>
    </row>
    <row r="27040" spans="16:16">
      <c r="P27040" s="2498"/>
    </row>
    <row r="27041" spans="16:16">
      <c r="P27041" s="2498"/>
    </row>
    <row r="27042" spans="16:16">
      <c r="P27042" s="2498"/>
    </row>
    <row r="27043" spans="16:16">
      <c r="P27043" s="2498"/>
    </row>
    <row r="27044" spans="16:16">
      <c r="P27044" s="2498"/>
    </row>
    <row r="27045" spans="16:16">
      <c r="P27045" s="2498"/>
    </row>
    <row r="27046" spans="16:16">
      <c r="P27046" s="2498"/>
    </row>
    <row r="27047" spans="16:16">
      <c r="P27047" s="2498"/>
    </row>
    <row r="27048" spans="16:16">
      <c r="P27048" s="2498"/>
    </row>
    <row r="27049" spans="16:16">
      <c r="P27049" s="2498"/>
    </row>
    <row r="27050" spans="16:16">
      <c r="P27050" s="2498"/>
    </row>
    <row r="27051" spans="16:16">
      <c r="P27051" s="2498"/>
    </row>
    <row r="27052" spans="16:16">
      <c r="P27052" s="2498"/>
    </row>
    <row r="27053" spans="16:16">
      <c r="P27053" s="2498"/>
    </row>
    <row r="27054" spans="16:16">
      <c r="P27054" s="2498"/>
    </row>
    <row r="27055" spans="16:16">
      <c r="P27055" s="2498"/>
    </row>
    <row r="27056" spans="16:16">
      <c r="P27056" s="2498"/>
    </row>
    <row r="27057" spans="16:16">
      <c r="P27057" s="2498"/>
    </row>
    <row r="27058" spans="16:16">
      <c r="P27058" s="2498"/>
    </row>
    <row r="27059" spans="16:16">
      <c r="P27059" s="2498"/>
    </row>
    <row r="27060" spans="16:16">
      <c r="P27060" s="2498"/>
    </row>
    <row r="27061" spans="16:16">
      <c r="P27061" s="2498"/>
    </row>
    <row r="27062" spans="16:16">
      <c r="P27062" s="2498"/>
    </row>
    <row r="27063" spans="16:16">
      <c r="P27063" s="2498"/>
    </row>
    <row r="27064" spans="16:16">
      <c r="P27064" s="2498"/>
    </row>
    <row r="27065" spans="16:16">
      <c r="P27065" s="2498"/>
    </row>
    <row r="27066" spans="16:16">
      <c r="P27066" s="2498"/>
    </row>
    <row r="27067" spans="16:16">
      <c r="P27067" s="2498"/>
    </row>
    <row r="27068" spans="16:16">
      <c r="P27068" s="2498"/>
    </row>
    <row r="27069" spans="16:16">
      <c r="P27069" s="2498"/>
    </row>
    <row r="27070" spans="16:16">
      <c r="P27070" s="2498"/>
    </row>
    <row r="27071" spans="16:16">
      <c r="P27071" s="2498"/>
    </row>
    <row r="27072" spans="16:16">
      <c r="P27072" s="2498"/>
    </row>
    <row r="27073" spans="16:16">
      <c r="P27073" s="2498"/>
    </row>
    <row r="27074" spans="16:16">
      <c r="P27074" s="2498"/>
    </row>
    <row r="27075" spans="16:16">
      <c r="P27075" s="2498"/>
    </row>
    <row r="27076" spans="16:16">
      <c r="P27076" s="2498"/>
    </row>
    <row r="27077" spans="16:16">
      <c r="P27077" s="2498"/>
    </row>
    <row r="27078" spans="16:16">
      <c r="P27078" s="2498"/>
    </row>
    <row r="27079" spans="16:16">
      <c r="P27079" s="2498"/>
    </row>
    <row r="27080" spans="16:16">
      <c r="P27080" s="2498"/>
    </row>
    <row r="27081" spans="16:16">
      <c r="P27081" s="2498"/>
    </row>
    <row r="27082" spans="16:16">
      <c r="P27082" s="2498"/>
    </row>
    <row r="27083" spans="16:16">
      <c r="P27083" s="2498"/>
    </row>
    <row r="27084" spans="16:16">
      <c r="P27084" s="2498"/>
    </row>
    <row r="27085" spans="16:16">
      <c r="P27085" s="2498"/>
    </row>
    <row r="27086" spans="16:16">
      <c r="P27086" s="2498"/>
    </row>
    <row r="27087" spans="16:16">
      <c r="P27087" s="2498"/>
    </row>
    <row r="27088" spans="16:16">
      <c r="P27088" s="2498"/>
    </row>
    <row r="27089" spans="16:16">
      <c r="P27089" s="2498"/>
    </row>
    <row r="27090" spans="16:16">
      <c r="P27090" s="2498"/>
    </row>
    <row r="27091" spans="16:16">
      <c r="P27091" s="2498"/>
    </row>
    <row r="27092" spans="16:16">
      <c r="P27092" s="2498"/>
    </row>
    <row r="27093" spans="16:16">
      <c r="P27093" s="2498"/>
    </row>
    <row r="27094" spans="16:16">
      <c r="P27094" s="2498"/>
    </row>
    <row r="27095" spans="16:16">
      <c r="P27095" s="2498"/>
    </row>
    <row r="27096" spans="16:16">
      <c r="P27096" s="2498"/>
    </row>
    <row r="27097" spans="16:16">
      <c r="P27097" s="2498"/>
    </row>
    <row r="27098" spans="16:16">
      <c r="P27098" s="2498"/>
    </row>
    <row r="27099" spans="16:16">
      <c r="P27099" s="2498"/>
    </row>
    <row r="27100" spans="16:16">
      <c r="P27100" s="2498"/>
    </row>
    <row r="27101" spans="16:16">
      <c r="P27101" s="2498"/>
    </row>
    <row r="27102" spans="16:16">
      <c r="P27102" s="2498"/>
    </row>
    <row r="27103" spans="16:16">
      <c r="P27103" s="2498"/>
    </row>
    <row r="27104" spans="16:16">
      <c r="P27104" s="2498"/>
    </row>
    <row r="27105" spans="16:16">
      <c r="P27105" s="2498"/>
    </row>
    <row r="27106" spans="16:16">
      <c r="P27106" s="2498"/>
    </row>
    <row r="27107" spans="16:16">
      <c r="P27107" s="2498"/>
    </row>
    <row r="27108" spans="16:16">
      <c r="P27108" s="2498"/>
    </row>
    <row r="27109" spans="16:16">
      <c r="P27109" s="2498"/>
    </row>
    <row r="27110" spans="16:16">
      <c r="P27110" s="2498"/>
    </row>
    <row r="27111" spans="16:16">
      <c r="P27111" s="2498"/>
    </row>
    <row r="27112" spans="16:16">
      <c r="P27112" s="2498"/>
    </row>
    <row r="27113" spans="16:16">
      <c r="P27113" s="2498"/>
    </row>
    <row r="27114" spans="16:16">
      <c r="P27114" s="2498"/>
    </row>
    <row r="27115" spans="16:16">
      <c r="P27115" s="2498"/>
    </row>
    <row r="27116" spans="16:16">
      <c r="P27116" s="2498"/>
    </row>
    <row r="27117" spans="16:16">
      <c r="P27117" s="2498"/>
    </row>
    <row r="27118" spans="16:16">
      <c r="P27118" s="2498"/>
    </row>
    <row r="27119" spans="16:16">
      <c r="P27119" s="2498"/>
    </row>
    <row r="27120" spans="16:16">
      <c r="P27120" s="2498"/>
    </row>
    <row r="27121" spans="16:16">
      <c r="P27121" s="2498"/>
    </row>
    <row r="27122" spans="16:16">
      <c r="P27122" s="2498"/>
    </row>
    <row r="27123" spans="16:16">
      <c r="P27123" s="2498"/>
    </row>
    <row r="27124" spans="16:16">
      <c r="P27124" s="2498"/>
    </row>
    <row r="27125" spans="16:16">
      <c r="P27125" s="2498"/>
    </row>
    <row r="27126" spans="16:16">
      <c r="P27126" s="2498"/>
    </row>
    <row r="27127" spans="16:16">
      <c r="P27127" s="2498"/>
    </row>
    <row r="27128" spans="16:16">
      <c r="P27128" s="2498"/>
    </row>
    <row r="27129" spans="16:16">
      <c r="P27129" s="2498"/>
    </row>
    <row r="27130" spans="16:16">
      <c r="P27130" s="2498"/>
    </row>
    <row r="27131" spans="16:16">
      <c r="P27131" s="2498"/>
    </row>
    <row r="27132" spans="16:16">
      <c r="P27132" s="2498"/>
    </row>
    <row r="27133" spans="16:16">
      <c r="P27133" s="2498"/>
    </row>
    <row r="27134" spans="16:16">
      <c r="P27134" s="2498"/>
    </row>
    <row r="27135" spans="16:16">
      <c r="P27135" s="2498"/>
    </row>
    <row r="27136" spans="16:16">
      <c r="P27136" s="2498"/>
    </row>
    <row r="27137" spans="16:16">
      <c r="P27137" s="2498"/>
    </row>
    <row r="27138" spans="16:16">
      <c r="P27138" s="2498"/>
    </row>
    <row r="27139" spans="16:16">
      <c r="P27139" s="2498"/>
    </row>
    <row r="27140" spans="16:16">
      <c r="P27140" s="2498"/>
    </row>
    <row r="27141" spans="16:16">
      <c r="P27141" s="2498"/>
    </row>
    <row r="27142" spans="16:16">
      <c r="P27142" s="2498"/>
    </row>
    <row r="27143" spans="16:16">
      <c r="P27143" s="2498"/>
    </row>
    <row r="27144" spans="16:16">
      <c r="P27144" s="2498"/>
    </row>
    <row r="27145" spans="16:16">
      <c r="P27145" s="2498"/>
    </row>
    <row r="27146" spans="16:16">
      <c r="P27146" s="2498"/>
    </row>
    <row r="27147" spans="16:16">
      <c r="P27147" s="2498"/>
    </row>
    <row r="27148" spans="16:16">
      <c r="P27148" s="2498"/>
    </row>
    <row r="27149" spans="16:16">
      <c r="P27149" s="2498"/>
    </row>
    <row r="27150" spans="16:16">
      <c r="P27150" s="2498"/>
    </row>
    <row r="27151" spans="16:16">
      <c r="P27151" s="2498"/>
    </row>
    <row r="27152" spans="16:16">
      <c r="P27152" s="2498"/>
    </row>
    <row r="27153" spans="16:16">
      <c r="P27153" s="2498"/>
    </row>
    <row r="27154" spans="16:16">
      <c r="P27154" s="2498"/>
    </row>
    <row r="27155" spans="16:16">
      <c r="P27155" s="2498"/>
    </row>
    <row r="27156" spans="16:16">
      <c r="P27156" s="2498"/>
    </row>
    <row r="27157" spans="16:16">
      <c r="P27157" s="2498"/>
    </row>
    <row r="27158" spans="16:16">
      <c r="P27158" s="2498"/>
    </row>
    <row r="27159" spans="16:16">
      <c r="P27159" s="2498"/>
    </row>
    <row r="27160" spans="16:16">
      <c r="P27160" s="2498"/>
    </row>
    <row r="27161" spans="16:16">
      <c r="P27161" s="2498"/>
    </row>
    <row r="27162" spans="16:16">
      <c r="P27162" s="2498"/>
    </row>
    <row r="27163" spans="16:16">
      <c r="P27163" s="2498"/>
    </row>
    <row r="27164" spans="16:16">
      <c r="P27164" s="2498"/>
    </row>
    <row r="27165" spans="16:16">
      <c r="P27165" s="2498"/>
    </row>
    <row r="27166" spans="16:16">
      <c r="P27166" s="2498"/>
    </row>
    <row r="27167" spans="16:16">
      <c r="P27167" s="2498"/>
    </row>
    <row r="27168" spans="16:16">
      <c r="P27168" s="2498"/>
    </row>
    <row r="27169" spans="16:16">
      <c r="P27169" s="2498"/>
    </row>
    <row r="27170" spans="16:16">
      <c r="P27170" s="2498"/>
    </row>
    <row r="27171" spans="16:16">
      <c r="P27171" s="2498"/>
    </row>
    <row r="27172" spans="16:16">
      <c r="P27172" s="2498"/>
    </row>
    <row r="27173" spans="16:16">
      <c r="P27173" s="2498"/>
    </row>
    <row r="27174" spans="16:16">
      <c r="P27174" s="2498"/>
    </row>
    <row r="27175" spans="16:16">
      <c r="P27175" s="2498"/>
    </row>
    <row r="27176" spans="16:16">
      <c r="P27176" s="2498"/>
    </row>
    <row r="27177" spans="16:16">
      <c r="P27177" s="2498"/>
    </row>
    <row r="27178" spans="16:16">
      <c r="P27178" s="2498"/>
    </row>
    <row r="27179" spans="16:16">
      <c r="P27179" s="2498"/>
    </row>
    <row r="27180" spans="16:16">
      <c r="P27180" s="2498"/>
    </row>
    <row r="27181" spans="16:16">
      <c r="P27181" s="2498"/>
    </row>
    <row r="27182" spans="16:16">
      <c r="P27182" s="2498"/>
    </row>
    <row r="27183" spans="16:16">
      <c r="P27183" s="2498"/>
    </row>
    <row r="27184" spans="16:16">
      <c r="P27184" s="2498"/>
    </row>
    <row r="27185" spans="16:16">
      <c r="P27185" s="2498"/>
    </row>
    <row r="27186" spans="16:16">
      <c r="P27186" s="2498"/>
    </row>
    <row r="27187" spans="16:16">
      <c r="P27187" s="2498"/>
    </row>
    <row r="27188" spans="16:16">
      <c r="P27188" s="2498"/>
    </row>
    <row r="27189" spans="16:16">
      <c r="P27189" s="2498"/>
    </row>
    <row r="27190" spans="16:16">
      <c r="P27190" s="2498"/>
    </row>
    <row r="27191" spans="16:16">
      <c r="P27191" s="2498"/>
    </row>
    <row r="27192" spans="16:16">
      <c r="P27192" s="2498"/>
    </row>
    <row r="27193" spans="16:16">
      <c r="P27193" s="2498"/>
    </row>
    <row r="27194" spans="16:16">
      <c r="P27194" s="2498"/>
    </row>
    <row r="27195" spans="16:16">
      <c r="P27195" s="2498"/>
    </row>
    <row r="27196" spans="16:16">
      <c r="P27196" s="2498"/>
    </row>
    <row r="27197" spans="16:16">
      <c r="P27197" s="2498"/>
    </row>
    <row r="27198" spans="16:16">
      <c r="P27198" s="2498"/>
    </row>
    <row r="27199" spans="16:16">
      <c r="P27199" s="2498"/>
    </row>
    <row r="27200" spans="16:16">
      <c r="P27200" s="2498"/>
    </row>
    <row r="27201" spans="16:16">
      <c r="P27201" s="2498"/>
    </row>
    <row r="27202" spans="16:16">
      <c r="P27202" s="2498"/>
    </row>
    <row r="27203" spans="16:16">
      <c r="P27203" s="2498"/>
    </row>
    <row r="27204" spans="16:16">
      <c r="P27204" s="2498"/>
    </row>
    <row r="27205" spans="16:16">
      <c r="P27205" s="2498"/>
    </row>
    <row r="27206" spans="16:16">
      <c r="P27206" s="2498"/>
    </row>
    <row r="27207" spans="16:16">
      <c r="P27207" s="2498"/>
    </row>
    <row r="27208" spans="16:16">
      <c r="P27208" s="2498"/>
    </row>
    <row r="27209" spans="16:16">
      <c r="P27209" s="2498"/>
    </row>
    <row r="27210" spans="16:16">
      <c r="P27210" s="2498"/>
    </row>
    <row r="27211" spans="16:16">
      <c r="P27211" s="2498"/>
    </row>
    <row r="27212" spans="16:16">
      <c r="P27212" s="2498"/>
    </row>
    <row r="27213" spans="16:16">
      <c r="P27213" s="2498"/>
    </row>
    <row r="27214" spans="16:16">
      <c r="P27214" s="2498"/>
    </row>
    <row r="27215" spans="16:16">
      <c r="P27215" s="2498"/>
    </row>
    <row r="27216" spans="16:16">
      <c r="P27216" s="2498"/>
    </row>
    <row r="27217" spans="16:16">
      <c r="P27217" s="2498"/>
    </row>
    <row r="27218" spans="16:16">
      <c r="P27218" s="2498"/>
    </row>
    <row r="27219" spans="16:16">
      <c r="P27219" s="2498"/>
    </row>
    <row r="27220" spans="16:16">
      <c r="P27220" s="2498"/>
    </row>
    <row r="27221" spans="16:16">
      <c r="P27221" s="2498"/>
    </row>
    <row r="27222" spans="16:16">
      <c r="P27222" s="2498"/>
    </row>
    <row r="27223" spans="16:16">
      <c r="P27223" s="2498"/>
    </row>
    <row r="27224" spans="16:16">
      <c r="P27224" s="2498"/>
    </row>
    <row r="27225" spans="16:16">
      <c r="P27225" s="2498"/>
    </row>
    <row r="27226" spans="16:16">
      <c r="P27226" s="2498"/>
    </row>
    <row r="27227" spans="16:16">
      <c r="P27227" s="2498"/>
    </row>
    <row r="27228" spans="16:16">
      <c r="P27228" s="2498"/>
    </row>
    <row r="27229" spans="16:16">
      <c r="P27229" s="2498"/>
    </row>
    <row r="27230" spans="16:16">
      <c r="P27230" s="2498"/>
    </row>
    <row r="27231" spans="16:16">
      <c r="P27231" s="2498"/>
    </row>
    <row r="27232" spans="16:16">
      <c r="P27232" s="2498"/>
    </row>
    <row r="27233" spans="16:16">
      <c r="P27233" s="2498"/>
    </row>
    <row r="27234" spans="16:16">
      <c r="P27234" s="2498"/>
    </row>
    <row r="27235" spans="16:16">
      <c r="P27235" s="2498"/>
    </row>
    <row r="27236" spans="16:16">
      <c r="P27236" s="2498"/>
    </row>
    <row r="27237" spans="16:16">
      <c r="P27237" s="2498"/>
    </row>
    <row r="27238" spans="16:16">
      <c r="P27238" s="2498"/>
    </row>
    <row r="27239" spans="16:16">
      <c r="P27239" s="2498"/>
    </row>
    <row r="27240" spans="16:16">
      <c r="P27240" s="2498"/>
    </row>
    <row r="27241" spans="16:16">
      <c r="P27241" s="2498"/>
    </row>
    <row r="27242" spans="16:16">
      <c r="P27242" s="2498"/>
    </row>
    <row r="27243" spans="16:16">
      <c r="P27243" s="2498"/>
    </row>
    <row r="27244" spans="16:16">
      <c r="P27244" s="2498"/>
    </row>
    <row r="27245" spans="16:16">
      <c r="P27245" s="2498"/>
    </row>
    <row r="27246" spans="16:16">
      <c r="P27246" s="2498"/>
    </row>
    <row r="27247" spans="16:16">
      <c r="P27247" s="2498"/>
    </row>
    <row r="27248" spans="16:16">
      <c r="P27248" s="2498"/>
    </row>
    <row r="27249" spans="16:16">
      <c r="P27249" s="2498"/>
    </row>
    <row r="27250" spans="16:16">
      <c r="P27250" s="2498"/>
    </row>
    <row r="27251" spans="16:16">
      <c r="P27251" s="2498"/>
    </row>
    <row r="27252" spans="16:16">
      <c r="P27252" s="2498"/>
    </row>
    <row r="27253" spans="16:16">
      <c r="P27253" s="2498"/>
    </row>
    <row r="27254" spans="16:16">
      <c r="P27254" s="2498"/>
    </row>
    <row r="27255" spans="16:16">
      <c r="P27255" s="2498"/>
    </row>
    <row r="27256" spans="16:16">
      <c r="P27256" s="2498"/>
    </row>
    <row r="27257" spans="16:16">
      <c r="P27257" s="2498"/>
    </row>
    <row r="27258" spans="16:16">
      <c r="P27258" s="2498"/>
    </row>
    <row r="27259" spans="16:16">
      <c r="P27259" s="2498"/>
    </row>
    <row r="27260" spans="16:16">
      <c r="P27260" s="2498"/>
    </row>
    <row r="27261" spans="16:16">
      <c r="P27261" s="2498"/>
    </row>
    <row r="27262" spans="16:16">
      <c r="P27262" s="2498"/>
    </row>
    <row r="27263" spans="16:16">
      <c r="P27263" s="2498"/>
    </row>
    <row r="27264" spans="16:16">
      <c r="P27264" s="2498"/>
    </row>
    <row r="27265" spans="16:16">
      <c r="P27265" s="2498"/>
    </row>
    <row r="27266" spans="16:16">
      <c r="P27266" s="2498"/>
    </row>
    <row r="27267" spans="16:16">
      <c r="P27267" s="2498"/>
    </row>
    <row r="27268" spans="16:16">
      <c r="P27268" s="2498"/>
    </row>
    <row r="27269" spans="16:16">
      <c r="P27269" s="2498"/>
    </row>
    <row r="27270" spans="16:16">
      <c r="P27270" s="2498"/>
    </row>
    <row r="27271" spans="16:16">
      <c r="P27271" s="2498"/>
    </row>
    <row r="27272" spans="16:16">
      <c r="P27272" s="2498"/>
    </row>
    <row r="27273" spans="16:16">
      <c r="P27273" s="2498"/>
    </row>
    <row r="27274" spans="16:16">
      <c r="P27274" s="2498"/>
    </row>
    <row r="27275" spans="16:16">
      <c r="P27275" s="2498"/>
    </row>
    <row r="27276" spans="16:16">
      <c r="P27276" s="2498"/>
    </row>
    <row r="27277" spans="16:16">
      <c r="P27277" s="2498"/>
    </row>
    <row r="27278" spans="16:16">
      <c r="P27278" s="2498"/>
    </row>
    <row r="27279" spans="16:16">
      <c r="P27279" s="2498"/>
    </row>
    <row r="27280" spans="16:16">
      <c r="P27280" s="2498"/>
    </row>
    <row r="27281" spans="16:16">
      <c r="P27281" s="2498"/>
    </row>
    <row r="27282" spans="16:16">
      <c r="P27282" s="2498"/>
    </row>
    <row r="27283" spans="16:16">
      <c r="P27283" s="2498"/>
    </row>
    <row r="27284" spans="16:16">
      <c r="P27284" s="2498"/>
    </row>
    <row r="27285" spans="16:16">
      <c r="P27285" s="2498"/>
    </row>
    <row r="27286" spans="16:16">
      <c r="P27286" s="2498"/>
    </row>
    <row r="27287" spans="16:16">
      <c r="P27287" s="2498"/>
    </row>
    <row r="27288" spans="16:16">
      <c r="P27288" s="2498"/>
    </row>
    <row r="27289" spans="16:16">
      <c r="P27289" s="2498"/>
    </row>
    <row r="27290" spans="16:16">
      <c r="P27290" s="2498"/>
    </row>
    <row r="27291" spans="16:16">
      <c r="P27291" s="2498"/>
    </row>
    <row r="27292" spans="16:16">
      <c r="P27292" s="2498"/>
    </row>
    <row r="27293" spans="16:16">
      <c r="P27293" s="2498"/>
    </row>
    <row r="27294" spans="16:16">
      <c r="P27294" s="2498"/>
    </row>
    <row r="27295" spans="16:16">
      <c r="P27295" s="2498"/>
    </row>
    <row r="27296" spans="16:16">
      <c r="P27296" s="2498"/>
    </row>
    <row r="27297" spans="16:16">
      <c r="P27297" s="2498"/>
    </row>
    <row r="27298" spans="16:16">
      <c r="P27298" s="2498"/>
    </row>
    <row r="27299" spans="16:16">
      <c r="P27299" s="2498"/>
    </row>
    <row r="27300" spans="16:16">
      <c r="P27300" s="2498"/>
    </row>
    <row r="27301" spans="16:16">
      <c r="P27301" s="2498"/>
    </row>
    <row r="27302" spans="16:16">
      <c r="P27302" s="2498"/>
    </row>
    <row r="27303" spans="16:16">
      <c r="P27303" s="2498"/>
    </row>
    <row r="27304" spans="16:16">
      <c r="P27304" s="2498"/>
    </row>
    <row r="27305" spans="16:16">
      <c r="P27305" s="2498"/>
    </row>
    <row r="27306" spans="16:16">
      <c r="P27306" s="2498"/>
    </row>
    <row r="27307" spans="16:16">
      <c r="P27307" s="2498"/>
    </row>
    <row r="27308" spans="16:16">
      <c r="P27308" s="2498"/>
    </row>
    <row r="27309" spans="16:16">
      <c r="P27309" s="2498"/>
    </row>
    <row r="27310" spans="16:16">
      <c r="P27310" s="2498"/>
    </row>
    <row r="27311" spans="16:16">
      <c r="P27311" s="2498"/>
    </row>
    <row r="27312" spans="16:16">
      <c r="P27312" s="2498"/>
    </row>
    <row r="27313" spans="16:16">
      <c r="P27313" s="2498"/>
    </row>
    <row r="27314" spans="16:16">
      <c r="P27314" s="2498"/>
    </row>
    <row r="27315" spans="16:16">
      <c r="P27315" s="2498"/>
    </row>
    <row r="27316" spans="16:16">
      <c r="P27316" s="2498"/>
    </row>
    <row r="27317" spans="16:16">
      <c r="P27317" s="2498"/>
    </row>
    <row r="27318" spans="16:16">
      <c r="P27318" s="2498"/>
    </row>
    <row r="27319" spans="16:16">
      <c r="P27319" s="2498"/>
    </row>
    <row r="27320" spans="16:16">
      <c r="P27320" s="2498"/>
    </row>
    <row r="27321" spans="16:16">
      <c r="P27321" s="2498"/>
    </row>
    <row r="27322" spans="16:16">
      <c r="P27322" s="2498"/>
    </row>
    <row r="27323" spans="16:16">
      <c r="P27323" s="2498"/>
    </row>
    <row r="27324" spans="16:16">
      <c r="P27324" s="2498"/>
    </row>
    <row r="27325" spans="16:16">
      <c r="P27325" s="2498"/>
    </row>
    <row r="27326" spans="16:16">
      <c r="P27326" s="2498"/>
    </row>
    <row r="27327" spans="16:16">
      <c r="P27327" s="2498"/>
    </row>
    <row r="27328" spans="16:16">
      <c r="P27328" s="2498"/>
    </row>
    <row r="27329" spans="16:16">
      <c r="P27329" s="2498"/>
    </row>
    <row r="27330" spans="16:16">
      <c r="P27330" s="2498"/>
    </row>
    <row r="27331" spans="16:16">
      <c r="P27331" s="2498"/>
    </row>
    <row r="27332" spans="16:16">
      <c r="P27332" s="2498"/>
    </row>
    <row r="27333" spans="16:16">
      <c r="P27333" s="2498"/>
    </row>
    <row r="27334" spans="16:16">
      <c r="P27334" s="2498"/>
    </row>
    <row r="27335" spans="16:16">
      <c r="P27335" s="2498"/>
    </row>
    <row r="27336" spans="16:16">
      <c r="P27336" s="2498"/>
    </row>
    <row r="27337" spans="16:16">
      <c r="P27337" s="2498"/>
    </row>
    <row r="27338" spans="16:16">
      <c r="P27338" s="2498"/>
    </row>
    <row r="27339" spans="16:16">
      <c r="P27339" s="2498"/>
    </row>
    <row r="27340" spans="16:16">
      <c r="P27340" s="2498"/>
    </row>
    <row r="27341" spans="16:16">
      <c r="P27341" s="2498"/>
    </row>
    <row r="27342" spans="16:16">
      <c r="P27342" s="2498"/>
    </row>
    <row r="27343" spans="16:16">
      <c r="P27343" s="2498"/>
    </row>
    <row r="27344" spans="16:16">
      <c r="P27344" s="2498"/>
    </row>
    <row r="27345" spans="16:16">
      <c r="P27345" s="2498"/>
    </row>
    <row r="27346" spans="16:16">
      <c r="P27346" s="2498"/>
    </row>
    <row r="27347" spans="16:16">
      <c r="P27347" s="2498"/>
    </row>
    <row r="27348" spans="16:16">
      <c r="P27348" s="2498"/>
    </row>
    <row r="27349" spans="16:16">
      <c r="P27349" s="2498"/>
    </row>
    <row r="27350" spans="16:16">
      <c r="P27350" s="2498"/>
    </row>
    <row r="27351" spans="16:16">
      <c r="P27351" s="2498"/>
    </row>
    <row r="27352" spans="16:16">
      <c r="P27352" s="2498"/>
    </row>
    <row r="27353" spans="16:16">
      <c r="P27353" s="2498"/>
    </row>
    <row r="27354" spans="16:16">
      <c r="P27354" s="2498"/>
    </row>
    <row r="27355" spans="16:16">
      <c r="P27355" s="2498"/>
    </row>
    <row r="27356" spans="16:16">
      <c r="P27356" s="2498"/>
    </row>
    <row r="27357" spans="16:16">
      <c r="P27357" s="2498"/>
    </row>
    <row r="27358" spans="16:16">
      <c r="P27358" s="2498"/>
    </row>
    <row r="27359" spans="16:16">
      <c r="P27359" s="2498"/>
    </row>
    <row r="27360" spans="16:16">
      <c r="P27360" s="2498"/>
    </row>
    <row r="27361" spans="16:16">
      <c r="P27361" s="2498"/>
    </row>
    <row r="27362" spans="16:16">
      <c r="P27362" s="2498"/>
    </row>
    <row r="27363" spans="16:16">
      <c r="P27363" s="2498"/>
    </row>
    <row r="27364" spans="16:16">
      <c r="P27364" s="2498"/>
    </row>
    <row r="27365" spans="16:16">
      <c r="P27365" s="2498"/>
    </row>
    <row r="27366" spans="16:16">
      <c r="P27366" s="2498"/>
    </row>
    <row r="27367" spans="16:16">
      <c r="P27367" s="2498"/>
    </row>
    <row r="27368" spans="16:16">
      <c r="P27368" s="2498"/>
    </row>
    <row r="27369" spans="16:16">
      <c r="P27369" s="2498"/>
    </row>
    <row r="27370" spans="16:16">
      <c r="P27370" s="2498"/>
    </row>
    <row r="27371" spans="16:16">
      <c r="P27371" s="2498"/>
    </row>
    <row r="27372" spans="16:16">
      <c r="P27372" s="2498"/>
    </row>
    <row r="27373" spans="16:16">
      <c r="P27373" s="2498"/>
    </row>
    <row r="27374" spans="16:16">
      <c r="P27374" s="2498"/>
    </row>
    <row r="27375" spans="16:16">
      <c r="P27375" s="2498"/>
    </row>
    <row r="27376" spans="16:16">
      <c r="P27376" s="2498"/>
    </row>
    <row r="27377" spans="16:16">
      <c r="P27377" s="2498"/>
    </row>
    <row r="27378" spans="16:16">
      <c r="P27378" s="2498"/>
    </row>
    <row r="27379" spans="16:16">
      <c r="P27379" s="2498"/>
    </row>
    <row r="27380" spans="16:16">
      <c r="P27380" s="2498"/>
    </row>
    <row r="27381" spans="16:16">
      <c r="P27381" s="2498"/>
    </row>
    <row r="27382" spans="16:16">
      <c r="P27382" s="2498"/>
    </row>
    <row r="27383" spans="16:16">
      <c r="P27383" s="2498"/>
    </row>
    <row r="27384" spans="16:16">
      <c r="P27384" s="2498"/>
    </row>
    <row r="27385" spans="16:16">
      <c r="P27385" s="2498"/>
    </row>
    <row r="27386" spans="16:16">
      <c r="P27386" s="2498"/>
    </row>
    <row r="27387" spans="16:16">
      <c r="P27387" s="2498"/>
    </row>
    <row r="27388" spans="16:16">
      <c r="P27388" s="2498"/>
    </row>
    <row r="27389" spans="16:16">
      <c r="P27389" s="2498"/>
    </row>
    <row r="27390" spans="16:16">
      <c r="P27390" s="2498"/>
    </row>
    <row r="27391" spans="16:16">
      <c r="P27391" s="2498"/>
    </row>
    <row r="27392" spans="16:16">
      <c r="P27392" s="2498"/>
    </row>
    <row r="27393" spans="16:16">
      <c r="P27393" s="2498"/>
    </row>
    <row r="27394" spans="16:16">
      <c r="P27394" s="2498"/>
    </row>
    <row r="27395" spans="16:16">
      <c r="P27395" s="2498"/>
    </row>
    <row r="27396" spans="16:16">
      <c r="P27396" s="2498"/>
    </row>
    <row r="27397" spans="16:16">
      <c r="P27397" s="2498"/>
    </row>
    <row r="27398" spans="16:16">
      <c r="P27398" s="2498"/>
    </row>
    <row r="27399" spans="16:16">
      <c r="P27399" s="2498"/>
    </row>
    <row r="27400" spans="16:16">
      <c r="P27400" s="2498"/>
    </row>
    <row r="27401" spans="16:16">
      <c r="P27401" s="2498"/>
    </row>
    <row r="27402" spans="16:16">
      <c r="P27402" s="2498"/>
    </row>
    <row r="27403" spans="16:16">
      <c r="P27403" s="2498"/>
    </row>
    <row r="27404" spans="16:16">
      <c r="P27404" s="2498"/>
    </row>
    <row r="27405" spans="16:16">
      <c r="P27405" s="2498"/>
    </row>
    <row r="27406" spans="16:16">
      <c r="P27406" s="2498"/>
    </row>
    <row r="27407" spans="16:16">
      <c r="P27407" s="2498"/>
    </row>
    <row r="27408" spans="16:16">
      <c r="P27408" s="2498"/>
    </row>
    <row r="27409" spans="16:16">
      <c r="P27409" s="2498"/>
    </row>
    <row r="27410" spans="16:16">
      <c r="P27410" s="2498"/>
    </row>
    <row r="27411" spans="16:16">
      <c r="P27411" s="2498"/>
    </row>
    <row r="27412" spans="16:16">
      <c r="P27412" s="2498"/>
    </row>
    <row r="27413" spans="16:16">
      <c r="P27413" s="2498"/>
    </row>
    <row r="27414" spans="16:16">
      <c r="P27414" s="2498"/>
    </row>
    <row r="27415" spans="16:16">
      <c r="P27415" s="2498"/>
    </row>
    <row r="27416" spans="16:16">
      <c r="P27416" s="2498"/>
    </row>
    <row r="27417" spans="16:16">
      <c r="P27417" s="2498"/>
    </row>
    <row r="27418" spans="16:16">
      <c r="P27418" s="2498"/>
    </row>
    <row r="27419" spans="16:16">
      <c r="P27419" s="2498"/>
    </row>
    <row r="27420" spans="16:16">
      <c r="P27420" s="2498"/>
    </row>
    <row r="27421" spans="16:16">
      <c r="P27421" s="2498"/>
    </row>
    <row r="27422" spans="16:16">
      <c r="P27422" s="2498"/>
    </row>
    <row r="27423" spans="16:16">
      <c r="P27423" s="2498"/>
    </row>
    <row r="27424" spans="16:16">
      <c r="P27424" s="2498"/>
    </row>
    <row r="27425" spans="16:16">
      <c r="P27425" s="2498"/>
    </row>
    <row r="27426" spans="16:16">
      <c r="P27426" s="2498"/>
    </row>
    <row r="27427" spans="16:16">
      <c r="P27427" s="2498"/>
    </row>
    <row r="27428" spans="16:16">
      <c r="P27428" s="2498"/>
    </row>
    <row r="27429" spans="16:16">
      <c r="P27429" s="2498"/>
    </row>
    <row r="27430" spans="16:16">
      <c r="P27430" s="2498"/>
    </row>
    <row r="27431" spans="16:16">
      <c r="P27431" s="2498"/>
    </row>
    <row r="27432" spans="16:16">
      <c r="P27432" s="2498"/>
    </row>
    <row r="27433" spans="16:16">
      <c r="P27433" s="2498"/>
    </row>
    <row r="27434" spans="16:16">
      <c r="P27434" s="2498"/>
    </row>
    <row r="27435" spans="16:16">
      <c r="P27435" s="2498"/>
    </row>
    <row r="27436" spans="16:16">
      <c r="P27436" s="2498"/>
    </row>
    <row r="27437" spans="16:16">
      <c r="P27437" s="2498"/>
    </row>
    <row r="27438" spans="16:16">
      <c r="P27438" s="2498"/>
    </row>
    <row r="27439" spans="16:16">
      <c r="P27439" s="2498"/>
    </row>
    <row r="27440" spans="16:16">
      <c r="P27440" s="2498"/>
    </row>
    <row r="27441" spans="16:16">
      <c r="P27441" s="2498"/>
    </row>
    <row r="27442" spans="16:16">
      <c r="P27442" s="2498"/>
    </row>
    <row r="27443" spans="16:16">
      <c r="P27443" s="2498"/>
    </row>
    <row r="27444" spans="16:16">
      <c r="P27444" s="2498"/>
    </row>
    <row r="27445" spans="16:16">
      <c r="P27445" s="2498"/>
    </row>
    <row r="27446" spans="16:16">
      <c r="P27446" s="2498"/>
    </row>
    <row r="27447" spans="16:16">
      <c r="P27447" s="2498"/>
    </row>
    <row r="27448" spans="16:16">
      <c r="P27448" s="2498"/>
    </row>
    <row r="27449" spans="16:16">
      <c r="P27449" s="2498"/>
    </row>
    <row r="27450" spans="16:16">
      <c r="P27450" s="2498"/>
    </row>
    <row r="27451" spans="16:16">
      <c r="P27451" s="2498"/>
    </row>
    <row r="27452" spans="16:16">
      <c r="P27452" s="2498"/>
    </row>
    <row r="27453" spans="16:16">
      <c r="P27453" s="2498"/>
    </row>
    <row r="27454" spans="16:16">
      <c r="P27454" s="2498"/>
    </row>
    <row r="27455" spans="16:16">
      <c r="P27455" s="2498"/>
    </row>
    <row r="27456" spans="16:16">
      <c r="P27456" s="2498"/>
    </row>
    <row r="27457" spans="16:16">
      <c r="P27457" s="2498"/>
    </row>
    <row r="27458" spans="16:16">
      <c r="P27458" s="2498"/>
    </row>
    <row r="27459" spans="16:16">
      <c r="P27459" s="2498"/>
    </row>
    <row r="27460" spans="16:16">
      <c r="P27460" s="2498"/>
    </row>
    <row r="27461" spans="16:16">
      <c r="P27461" s="2498"/>
    </row>
    <row r="27462" spans="16:16">
      <c r="P27462" s="2498"/>
    </row>
    <row r="27463" spans="16:16">
      <c r="P27463" s="2498"/>
    </row>
    <row r="27464" spans="16:16">
      <c r="P27464" s="2498"/>
    </row>
    <row r="27465" spans="16:16">
      <c r="P27465" s="2498"/>
    </row>
    <row r="27466" spans="16:16">
      <c r="P27466" s="2498"/>
    </row>
    <row r="27467" spans="16:16">
      <c r="P27467" s="2498"/>
    </row>
    <row r="27468" spans="16:16">
      <c r="P27468" s="2498"/>
    </row>
    <row r="27469" spans="16:16">
      <c r="P27469" s="2498"/>
    </row>
    <row r="27470" spans="16:16">
      <c r="P27470" s="2498"/>
    </row>
    <row r="27471" spans="16:16">
      <c r="P27471" s="2498"/>
    </row>
    <row r="27472" spans="16:16">
      <c r="P27472" s="2498"/>
    </row>
    <row r="27473" spans="16:16">
      <c r="P27473" s="2498"/>
    </row>
    <row r="27474" spans="16:16">
      <c r="P27474" s="2498"/>
    </row>
    <row r="27475" spans="16:16">
      <c r="P27475" s="2498"/>
    </row>
    <row r="27476" spans="16:16">
      <c r="P27476" s="2498"/>
    </row>
    <row r="27477" spans="16:16">
      <c r="P27477" s="2498"/>
    </row>
    <row r="27478" spans="16:16">
      <c r="P27478" s="2498"/>
    </row>
    <row r="27479" spans="16:16">
      <c r="P27479" s="2498"/>
    </row>
    <row r="27480" spans="16:16">
      <c r="P27480" s="2498"/>
    </row>
    <row r="27481" spans="16:16">
      <c r="P27481" s="2498"/>
    </row>
    <row r="27482" spans="16:16">
      <c r="P27482" s="2498"/>
    </row>
    <row r="27483" spans="16:16">
      <c r="P27483" s="2498"/>
    </row>
    <row r="27484" spans="16:16">
      <c r="P27484" s="2498"/>
    </row>
    <row r="27485" spans="16:16">
      <c r="P27485" s="2498"/>
    </row>
    <row r="27486" spans="16:16">
      <c r="P27486" s="2498"/>
    </row>
    <row r="27487" spans="16:16">
      <c r="P27487" s="2498"/>
    </row>
    <row r="27488" spans="16:16">
      <c r="P27488" s="2498"/>
    </row>
    <row r="27489" spans="16:16">
      <c r="P27489" s="2498"/>
    </row>
    <row r="27490" spans="16:16">
      <c r="P27490" s="2498"/>
    </row>
    <row r="27491" spans="16:16">
      <c r="P27491" s="2498"/>
    </row>
    <row r="27492" spans="16:16">
      <c r="P27492" s="2498"/>
    </row>
    <row r="27493" spans="16:16">
      <c r="P27493" s="2498"/>
    </row>
    <row r="27494" spans="16:16">
      <c r="P27494" s="2498"/>
    </row>
    <row r="27495" spans="16:16">
      <c r="P27495" s="2498"/>
    </row>
    <row r="27496" spans="16:16">
      <c r="P27496" s="2498"/>
    </row>
    <row r="27497" spans="16:16">
      <c r="P27497" s="2498"/>
    </row>
    <row r="27498" spans="16:16">
      <c r="P27498" s="2498"/>
    </row>
    <row r="27499" spans="16:16">
      <c r="P27499" s="2498"/>
    </row>
    <row r="27500" spans="16:16">
      <c r="P27500" s="2498"/>
    </row>
    <row r="27501" spans="16:16">
      <c r="P27501" s="2498"/>
    </row>
    <row r="27502" spans="16:16">
      <c r="P27502" s="2498"/>
    </row>
    <row r="27503" spans="16:16">
      <c r="P27503" s="2498"/>
    </row>
    <row r="27504" spans="16:16">
      <c r="P27504" s="2498"/>
    </row>
    <row r="27505" spans="16:16">
      <c r="P27505" s="2498"/>
    </row>
    <row r="27506" spans="16:16">
      <c r="P27506" s="2498"/>
    </row>
    <row r="27507" spans="16:16">
      <c r="P27507" s="2498"/>
    </row>
    <row r="27508" spans="16:16">
      <c r="P27508" s="2498"/>
    </row>
    <row r="27509" spans="16:16">
      <c r="P27509" s="2498"/>
    </row>
    <row r="27510" spans="16:16">
      <c r="P27510" s="2498"/>
    </row>
    <row r="27511" spans="16:16">
      <c r="P27511" s="2498"/>
    </row>
    <row r="27512" spans="16:16">
      <c r="P27512" s="2498"/>
    </row>
    <row r="27513" spans="16:16">
      <c r="P27513" s="2498"/>
    </row>
    <row r="27514" spans="16:16">
      <c r="P27514" s="2498"/>
    </row>
    <row r="27515" spans="16:16">
      <c r="P27515" s="2498"/>
    </row>
    <row r="27516" spans="16:16">
      <c r="P27516" s="2498"/>
    </row>
    <row r="27517" spans="16:16">
      <c r="P27517" s="2498"/>
    </row>
    <row r="27518" spans="16:16">
      <c r="P27518" s="2498"/>
    </row>
    <row r="27519" spans="16:16">
      <c r="P27519" s="2498"/>
    </row>
    <row r="27520" spans="16:16">
      <c r="P27520" s="2498"/>
    </row>
    <row r="27521" spans="16:16">
      <c r="P27521" s="2498"/>
    </row>
    <row r="27522" spans="16:16">
      <c r="P27522" s="2498"/>
    </row>
    <row r="27523" spans="16:16">
      <c r="P27523" s="2498"/>
    </row>
    <row r="27524" spans="16:16">
      <c r="P27524" s="2498"/>
    </row>
    <row r="27525" spans="16:16">
      <c r="P27525" s="2498"/>
    </row>
    <row r="27526" spans="16:16">
      <c r="P27526" s="2498"/>
    </row>
    <row r="27527" spans="16:16">
      <c r="P27527" s="2498"/>
    </row>
    <row r="27528" spans="16:16">
      <c r="P27528" s="2498"/>
    </row>
    <row r="27529" spans="16:16">
      <c r="P27529" s="2498"/>
    </row>
    <row r="27530" spans="16:16">
      <c r="P27530" s="2498"/>
    </row>
    <row r="27531" spans="16:16">
      <c r="P27531" s="2498"/>
    </row>
    <row r="27532" spans="16:16">
      <c r="P27532" s="2498"/>
    </row>
    <row r="27533" spans="16:16">
      <c r="P27533" s="2498"/>
    </row>
    <row r="27534" spans="16:16">
      <c r="P27534" s="2498"/>
    </row>
    <row r="27535" spans="16:16">
      <c r="P27535" s="2498"/>
    </row>
    <row r="27536" spans="16:16">
      <c r="P27536" s="2498"/>
    </row>
    <row r="27537" spans="16:16">
      <c r="P27537" s="2498"/>
    </row>
    <row r="27538" spans="16:16">
      <c r="P27538" s="2498"/>
    </row>
    <row r="27539" spans="16:16">
      <c r="P27539" s="2498"/>
    </row>
    <row r="27540" spans="16:16">
      <c r="P27540" s="2498"/>
    </row>
    <row r="27541" spans="16:16">
      <c r="P27541" s="2498"/>
    </row>
    <row r="27542" spans="16:16">
      <c r="P27542" s="2498"/>
    </row>
    <row r="27543" spans="16:16">
      <c r="P27543" s="2498"/>
    </row>
    <row r="27544" spans="16:16">
      <c r="P27544" s="2498"/>
    </row>
    <row r="27545" spans="16:16">
      <c r="P27545" s="2498"/>
    </row>
    <row r="27546" spans="16:16">
      <c r="P27546" s="2498"/>
    </row>
    <row r="27547" spans="16:16">
      <c r="P27547" s="2498"/>
    </row>
    <row r="27548" spans="16:16">
      <c r="P27548" s="2498"/>
    </row>
    <row r="27549" spans="16:16">
      <c r="P27549" s="2498"/>
    </row>
    <row r="27550" spans="16:16">
      <c r="P27550" s="2498"/>
    </row>
    <row r="27551" spans="16:16">
      <c r="P27551" s="2498"/>
    </row>
    <row r="27552" spans="16:16">
      <c r="P27552" s="2498"/>
    </row>
    <row r="27553" spans="16:16">
      <c r="P27553" s="2498"/>
    </row>
    <row r="27554" spans="16:16">
      <c r="P27554" s="2498"/>
    </row>
    <row r="27555" spans="16:16">
      <c r="P27555" s="2498"/>
    </row>
    <row r="27556" spans="16:16">
      <c r="P27556" s="2498"/>
    </row>
    <row r="27557" spans="16:16">
      <c r="P27557" s="2498"/>
    </row>
    <row r="27558" spans="16:16">
      <c r="P27558" s="2498"/>
    </row>
    <row r="27559" spans="16:16">
      <c r="P27559" s="2498"/>
    </row>
    <row r="27560" spans="16:16">
      <c r="P27560" s="2498"/>
    </row>
    <row r="27561" spans="16:16">
      <c r="P27561" s="2498"/>
    </row>
    <row r="27562" spans="16:16">
      <c r="P27562" s="2498"/>
    </row>
    <row r="27563" spans="16:16">
      <c r="P27563" s="2498"/>
    </row>
    <row r="27564" spans="16:16">
      <c r="P27564" s="2498"/>
    </row>
    <row r="27565" spans="16:16">
      <c r="P27565" s="2498"/>
    </row>
    <row r="27566" spans="16:16">
      <c r="P27566" s="2498"/>
    </row>
    <row r="27567" spans="16:16">
      <c r="P27567" s="2498"/>
    </row>
    <row r="27568" spans="16:16">
      <c r="P27568" s="2498"/>
    </row>
    <row r="27569" spans="16:16">
      <c r="P27569" s="2498"/>
    </row>
    <row r="27570" spans="16:16">
      <c r="P27570" s="2498"/>
    </row>
    <row r="27571" spans="16:16">
      <c r="P27571" s="2498"/>
    </row>
    <row r="27572" spans="16:16">
      <c r="P27572" s="2498"/>
    </row>
    <row r="27573" spans="16:16">
      <c r="P27573" s="2498"/>
    </row>
    <row r="27574" spans="16:16">
      <c r="P27574" s="2498"/>
    </row>
    <row r="27575" spans="16:16">
      <c r="P27575" s="2498"/>
    </row>
    <row r="27576" spans="16:16">
      <c r="P27576" s="2498"/>
    </row>
    <row r="27577" spans="16:16">
      <c r="P27577" s="2498"/>
    </row>
    <row r="27578" spans="16:16">
      <c r="P27578" s="2498"/>
    </row>
    <row r="27579" spans="16:16">
      <c r="P27579" s="2498"/>
    </row>
    <row r="27580" spans="16:16">
      <c r="P27580" s="2498"/>
    </row>
    <row r="27581" spans="16:16">
      <c r="P27581" s="2498"/>
    </row>
    <row r="27582" spans="16:16">
      <c r="P27582" s="2498"/>
    </row>
    <row r="27583" spans="16:16">
      <c r="P27583" s="2498"/>
    </row>
    <row r="27584" spans="16:16">
      <c r="P27584" s="2498"/>
    </row>
    <row r="27585" spans="16:16">
      <c r="P27585" s="2498"/>
    </row>
    <row r="27586" spans="16:16">
      <c r="P27586" s="2498"/>
    </row>
    <row r="27587" spans="16:16">
      <c r="P27587" s="2498"/>
    </row>
    <row r="27588" spans="16:16">
      <c r="P27588" s="2498"/>
    </row>
    <row r="27589" spans="16:16">
      <c r="P27589" s="2498"/>
    </row>
    <row r="27590" spans="16:16">
      <c r="P27590" s="2498"/>
    </row>
    <row r="27591" spans="16:16">
      <c r="P27591" s="2498"/>
    </row>
    <row r="27592" spans="16:16">
      <c r="P27592" s="2498"/>
    </row>
    <row r="27593" spans="16:16">
      <c r="P27593" s="2498"/>
    </row>
    <row r="27594" spans="16:16">
      <c r="P27594" s="2498"/>
    </row>
    <row r="27595" spans="16:16">
      <c r="P27595" s="2498"/>
    </row>
    <row r="27596" spans="16:16">
      <c r="P27596" s="2498"/>
    </row>
    <row r="27597" spans="16:16">
      <c r="P27597" s="2498"/>
    </row>
    <row r="27598" spans="16:16">
      <c r="P27598" s="2498"/>
    </row>
    <row r="27599" spans="16:16">
      <c r="P27599" s="2498"/>
    </row>
    <row r="27600" spans="16:16">
      <c r="P27600" s="2498"/>
    </row>
    <row r="27601" spans="16:16">
      <c r="P27601" s="2498"/>
    </row>
    <row r="27602" spans="16:16">
      <c r="P27602" s="2498"/>
    </row>
    <row r="27603" spans="16:16">
      <c r="P27603" s="2498"/>
    </row>
    <row r="27604" spans="16:16">
      <c r="P27604" s="2498"/>
    </row>
    <row r="27605" spans="16:16">
      <c r="P27605" s="2498"/>
    </row>
    <row r="27606" spans="16:16">
      <c r="P27606" s="2498"/>
    </row>
    <row r="27607" spans="16:16">
      <c r="P27607" s="2498"/>
    </row>
    <row r="27608" spans="16:16">
      <c r="P27608" s="2498"/>
    </row>
    <row r="27609" spans="16:16">
      <c r="P27609" s="2498"/>
    </row>
    <row r="27610" spans="16:16">
      <c r="P27610" s="2498"/>
    </row>
    <row r="27611" spans="16:16">
      <c r="P27611" s="2498"/>
    </row>
    <row r="27612" spans="16:16">
      <c r="P27612" s="2498"/>
    </row>
    <row r="27613" spans="16:16">
      <c r="P27613" s="2498"/>
    </row>
    <row r="27614" spans="16:16">
      <c r="P27614" s="2498"/>
    </row>
    <row r="27615" spans="16:16">
      <c r="P27615" s="2498"/>
    </row>
    <row r="27616" spans="16:16">
      <c r="P27616" s="2498"/>
    </row>
    <row r="27617" spans="16:16">
      <c r="P27617" s="2498"/>
    </row>
    <row r="27618" spans="16:16">
      <c r="P27618" s="2498"/>
    </row>
    <row r="27619" spans="16:16">
      <c r="P27619" s="2498"/>
    </row>
    <row r="27620" spans="16:16">
      <c r="P27620" s="2498"/>
    </row>
    <row r="27621" spans="16:16">
      <c r="P27621" s="2498"/>
    </row>
    <row r="27622" spans="16:16">
      <c r="P27622" s="2498"/>
    </row>
    <row r="27623" spans="16:16">
      <c r="P27623" s="2498"/>
    </row>
    <row r="27624" spans="16:16">
      <c r="P27624" s="2498"/>
    </row>
    <row r="27625" spans="16:16">
      <c r="P27625" s="2498"/>
    </row>
    <row r="27626" spans="16:16">
      <c r="P27626" s="2498"/>
    </row>
    <row r="27627" spans="16:16">
      <c r="P27627" s="2498"/>
    </row>
    <row r="27628" spans="16:16">
      <c r="P27628" s="2498"/>
    </row>
    <row r="27629" spans="16:16">
      <c r="P27629" s="2498"/>
    </row>
    <row r="27630" spans="16:16">
      <c r="P27630" s="2498"/>
    </row>
    <row r="27631" spans="16:16">
      <c r="P27631" s="2498"/>
    </row>
    <row r="27632" spans="16:16">
      <c r="P27632" s="2498"/>
    </row>
    <row r="27633" spans="16:16">
      <c r="P27633" s="2498"/>
    </row>
    <row r="27634" spans="16:16">
      <c r="P27634" s="2498"/>
    </row>
    <row r="27635" spans="16:16">
      <c r="P27635" s="2498"/>
    </row>
    <row r="27636" spans="16:16">
      <c r="P27636" s="2498"/>
    </row>
    <row r="27637" spans="16:16">
      <c r="P27637" s="2498"/>
    </row>
    <row r="27638" spans="16:16">
      <c r="P27638" s="2498"/>
    </row>
    <row r="27639" spans="16:16">
      <c r="P27639" s="2498"/>
    </row>
    <row r="27640" spans="16:16">
      <c r="P27640" s="2498"/>
    </row>
    <row r="27641" spans="16:16">
      <c r="P27641" s="2498"/>
    </row>
    <row r="27642" spans="16:16">
      <c r="P27642" s="2498"/>
    </row>
    <row r="27643" spans="16:16">
      <c r="P27643" s="2498"/>
    </row>
    <row r="27644" spans="16:16">
      <c r="P27644" s="2498"/>
    </row>
    <row r="27645" spans="16:16">
      <c r="P27645" s="2498"/>
    </row>
    <row r="27646" spans="16:16">
      <c r="P27646" s="2498"/>
    </row>
    <row r="27647" spans="16:16">
      <c r="P27647" s="2498"/>
    </row>
    <row r="27648" spans="16:16">
      <c r="P27648" s="2498"/>
    </row>
    <row r="27649" spans="16:16">
      <c r="P27649" s="2498"/>
    </row>
    <row r="27650" spans="16:16">
      <c r="P27650" s="2498"/>
    </row>
    <row r="27651" spans="16:16">
      <c r="P27651" s="2498"/>
    </row>
    <row r="27652" spans="16:16">
      <c r="P27652" s="2498"/>
    </row>
    <row r="27653" spans="16:16">
      <c r="P27653" s="2498"/>
    </row>
    <row r="27654" spans="16:16">
      <c r="P27654" s="2498"/>
    </row>
    <row r="27655" spans="16:16">
      <c r="P27655" s="2498"/>
    </row>
    <row r="27656" spans="16:16">
      <c r="P27656" s="2498"/>
    </row>
    <row r="27657" spans="16:16">
      <c r="P27657" s="2498"/>
    </row>
    <row r="27658" spans="16:16">
      <c r="P27658" s="2498"/>
    </row>
    <row r="27659" spans="16:16">
      <c r="P27659" s="2498"/>
    </row>
    <row r="27660" spans="16:16">
      <c r="P27660" s="2498"/>
    </row>
    <row r="27661" spans="16:16">
      <c r="P27661" s="2498"/>
    </row>
    <row r="27662" spans="16:16">
      <c r="P27662" s="2498"/>
    </row>
    <row r="27663" spans="16:16">
      <c r="P27663" s="2498"/>
    </row>
    <row r="27664" spans="16:16">
      <c r="P27664" s="2498"/>
    </row>
    <row r="27665" spans="16:16">
      <c r="P27665" s="2498"/>
    </row>
    <row r="27666" spans="16:16">
      <c r="P27666" s="2498"/>
    </row>
    <row r="27667" spans="16:16">
      <c r="P27667" s="2498"/>
    </row>
    <row r="27668" spans="16:16">
      <c r="P27668" s="2498"/>
    </row>
    <row r="27669" spans="16:16">
      <c r="P27669" s="2498"/>
    </row>
    <row r="27670" spans="16:16">
      <c r="P27670" s="2498"/>
    </row>
    <row r="27671" spans="16:16">
      <c r="P27671" s="2498"/>
    </row>
    <row r="27672" spans="16:16">
      <c r="P27672" s="2498"/>
    </row>
    <row r="27673" spans="16:16">
      <c r="P27673" s="2498"/>
    </row>
    <row r="27674" spans="16:16">
      <c r="P27674" s="2498"/>
    </row>
    <row r="27675" spans="16:16">
      <c r="P27675" s="2498"/>
    </row>
    <row r="27676" spans="16:16">
      <c r="P27676" s="2498"/>
    </row>
    <row r="27677" spans="16:16">
      <c r="P27677" s="2498"/>
    </row>
    <row r="27678" spans="16:16">
      <c r="P27678" s="2498"/>
    </row>
    <row r="27679" spans="16:16">
      <c r="P27679" s="2498"/>
    </row>
    <row r="27680" spans="16:16">
      <c r="P27680" s="2498"/>
    </row>
    <row r="27681" spans="16:16">
      <c r="P27681" s="2498"/>
    </row>
    <row r="27682" spans="16:16">
      <c r="P27682" s="2498"/>
    </row>
    <row r="27683" spans="16:16">
      <c r="P27683" s="2498"/>
    </row>
    <row r="27684" spans="16:16">
      <c r="P27684" s="2498"/>
    </row>
    <row r="27685" spans="16:16">
      <c r="P27685" s="2498"/>
    </row>
    <row r="27686" spans="16:16">
      <c r="P27686" s="2498"/>
    </row>
    <row r="27687" spans="16:16">
      <c r="P27687" s="2498"/>
    </row>
    <row r="27688" spans="16:16">
      <c r="P27688" s="2498"/>
    </row>
    <row r="27689" spans="16:16">
      <c r="P27689" s="2498"/>
    </row>
    <row r="27690" spans="16:16">
      <c r="P27690" s="2498"/>
    </row>
    <row r="27691" spans="16:16">
      <c r="P27691" s="2498"/>
    </row>
    <row r="27692" spans="16:16">
      <c r="P27692" s="2498"/>
    </row>
    <row r="27693" spans="16:16">
      <c r="P27693" s="2498"/>
    </row>
    <row r="27694" spans="16:16">
      <c r="P27694" s="2498"/>
    </row>
    <row r="27695" spans="16:16">
      <c r="P27695" s="2498"/>
    </row>
    <row r="27696" spans="16:16">
      <c r="P27696" s="2498"/>
    </row>
    <row r="27697" spans="16:16">
      <c r="P27697" s="2498"/>
    </row>
    <row r="27698" spans="16:16">
      <c r="P27698" s="2498"/>
    </row>
    <row r="27699" spans="16:16">
      <c r="P27699" s="2498"/>
    </row>
    <row r="27700" spans="16:16">
      <c r="P27700" s="2498"/>
    </row>
    <row r="27701" spans="16:16">
      <c r="P27701" s="2498"/>
    </row>
    <row r="27702" spans="16:16">
      <c r="P27702" s="2498"/>
    </row>
    <row r="27703" spans="16:16">
      <c r="P27703" s="2498"/>
    </row>
    <row r="27704" spans="16:16">
      <c r="P27704" s="2498"/>
    </row>
    <row r="27705" spans="16:16">
      <c r="P27705" s="2498"/>
    </row>
    <row r="27706" spans="16:16">
      <c r="P27706" s="2498"/>
    </row>
    <row r="27707" spans="16:16">
      <c r="P27707" s="2498"/>
    </row>
    <row r="27708" spans="16:16">
      <c r="P27708" s="2498"/>
    </row>
    <row r="27709" spans="16:16">
      <c r="P27709" s="2498"/>
    </row>
    <row r="27710" spans="16:16">
      <c r="P27710" s="2498"/>
    </row>
    <row r="27711" spans="16:16">
      <c r="P27711" s="2498"/>
    </row>
    <row r="27712" spans="16:16">
      <c r="P27712" s="2498"/>
    </row>
    <row r="27713" spans="16:16">
      <c r="P27713" s="2498"/>
    </row>
    <row r="27714" spans="16:16">
      <c r="P27714" s="2498"/>
    </row>
    <row r="27715" spans="16:16">
      <c r="P27715" s="2498"/>
    </row>
    <row r="27716" spans="16:16">
      <c r="P27716" s="2498"/>
    </row>
    <row r="27717" spans="16:16">
      <c r="P27717" s="2498"/>
    </row>
    <row r="27718" spans="16:16">
      <c r="P27718" s="2498"/>
    </row>
    <row r="27719" spans="16:16">
      <c r="P27719" s="2498"/>
    </row>
    <row r="27720" spans="16:16">
      <c r="P27720" s="2498"/>
    </row>
    <row r="27721" spans="16:16">
      <c r="P27721" s="2498"/>
    </row>
    <row r="27722" spans="16:16">
      <c r="P27722" s="2498"/>
    </row>
    <row r="27723" spans="16:16">
      <c r="P27723" s="2498"/>
    </row>
    <row r="27724" spans="16:16">
      <c r="P27724" s="2498"/>
    </row>
    <row r="27725" spans="16:16">
      <c r="P27725" s="2498"/>
    </row>
    <row r="27726" spans="16:16">
      <c r="P27726" s="2498"/>
    </row>
    <row r="27727" spans="16:16">
      <c r="P27727" s="2498"/>
    </row>
    <row r="27728" spans="16:16">
      <c r="P27728" s="2498"/>
    </row>
    <row r="27729" spans="16:16">
      <c r="P27729" s="2498"/>
    </row>
    <row r="27730" spans="16:16">
      <c r="P27730" s="2498"/>
    </row>
    <row r="27731" spans="16:16">
      <c r="P27731" s="2498"/>
    </row>
    <row r="27732" spans="16:16">
      <c r="P27732" s="2498"/>
    </row>
    <row r="27733" spans="16:16">
      <c r="P27733" s="2498"/>
    </row>
    <row r="27734" spans="16:16">
      <c r="P27734" s="2498"/>
    </row>
    <row r="27735" spans="16:16">
      <c r="P27735" s="2498"/>
    </row>
    <row r="27736" spans="16:16">
      <c r="P27736" s="2498"/>
    </row>
    <row r="27737" spans="16:16">
      <c r="P27737" s="2498"/>
    </row>
    <row r="27738" spans="16:16">
      <c r="P27738" s="2498"/>
    </row>
    <row r="27739" spans="16:16">
      <c r="P27739" s="2498"/>
    </row>
    <row r="27740" spans="16:16">
      <c r="P27740" s="2498"/>
    </row>
    <row r="27741" spans="16:16">
      <c r="P27741" s="2498"/>
    </row>
    <row r="27742" spans="16:16">
      <c r="P27742" s="2498"/>
    </row>
    <row r="27743" spans="16:16">
      <c r="P27743" s="2498"/>
    </row>
    <row r="27744" spans="16:16">
      <c r="P27744" s="2498"/>
    </row>
    <row r="27745" spans="16:16">
      <c r="P27745" s="2498"/>
    </row>
    <row r="27746" spans="16:16">
      <c r="P27746" s="2498"/>
    </row>
    <row r="27747" spans="16:16">
      <c r="P27747" s="2498"/>
    </row>
    <row r="27748" spans="16:16">
      <c r="P27748" s="2498"/>
    </row>
    <row r="27749" spans="16:16">
      <c r="P27749" s="2498"/>
    </row>
    <row r="27750" spans="16:16">
      <c r="P27750" s="2498"/>
    </row>
    <row r="27751" spans="16:16">
      <c r="P27751" s="2498"/>
    </row>
    <row r="27752" spans="16:16">
      <c r="P27752" s="2498"/>
    </row>
    <row r="27753" spans="16:16">
      <c r="P27753" s="2498"/>
    </row>
    <row r="27754" spans="16:16">
      <c r="P27754" s="2498"/>
    </row>
    <row r="27755" spans="16:16">
      <c r="P27755" s="2498"/>
    </row>
    <row r="27756" spans="16:16">
      <c r="P27756" s="2498"/>
    </row>
    <row r="27757" spans="16:16">
      <c r="P27757" s="2498"/>
    </row>
    <row r="27758" spans="16:16">
      <c r="P27758" s="2498"/>
    </row>
    <row r="27759" spans="16:16">
      <c r="P27759" s="2498"/>
    </row>
    <row r="27760" spans="16:16">
      <c r="P27760" s="2498"/>
    </row>
    <row r="27761" spans="16:16">
      <c r="P27761" s="2498"/>
    </row>
    <row r="27762" spans="16:16">
      <c r="P27762" s="2498"/>
    </row>
    <row r="27763" spans="16:16">
      <c r="P27763" s="2498"/>
    </row>
    <row r="27764" spans="16:16">
      <c r="P27764" s="2498"/>
    </row>
    <row r="27765" spans="16:16">
      <c r="P27765" s="2498"/>
    </row>
    <row r="27766" spans="16:16">
      <c r="P27766" s="2498"/>
    </row>
    <row r="27767" spans="16:16">
      <c r="P27767" s="2498"/>
    </row>
    <row r="27768" spans="16:16">
      <c r="P27768" s="2498"/>
    </row>
    <row r="27769" spans="16:16">
      <c r="P27769" s="2498"/>
    </row>
    <row r="27770" spans="16:16">
      <c r="P27770" s="2498"/>
    </row>
    <row r="27771" spans="16:16">
      <c r="P27771" s="2498"/>
    </row>
    <row r="27772" spans="16:16">
      <c r="P27772" s="2498"/>
    </row>
    <row r="27773" spans="16:16">
      <c r="P27773" s="2498"/>
    </row>
    <row r="27774" spans="16:16">
      <c r="P27774" s="2498"/>
    </row>
    <row r="27775" spans="16:16">
      <c r="P27775" s="2498"/>
    </row>
    <row r="27776" spans="16:16">
      <c r="P27776" s="2498"/>
    </row>
    <row r="27777" spans="16:16">
      <c r="P27777" s="2498"/>
    </row>
    <row r="27778" spans="16:16">
      <c r="P27778" s="2498"/>
    </row>
    <row r="27779" spans="16:16">
      <c r="P27779" s="2498"/>
    </row>
    <row r="27780" spans="16:16">
      <c r="P27780" s="2498"/>
    </row>
    <row r="27781" spans="16:16">
      <c r="P27781" s="2498"/>
    </row>
    <row r="27782" spans="16:16">
      <c r="P27782" s="2498"/>
    </row>
    <row r="27783" spans="16:16">
      <c r="P27783" s="2498"/>
    </row>
    <row r="27784" spans="16:16">
      <c r="P27784" s="2498"/>
    </row>
    <row r="27785" spans="16:16">
      <c r="P27785" s="2498"/>
    </row>
    <row r="27786" spans="16:16">
      <c r="P27786" s="2498"/>
    </row>
    <row r="27787" spans="16:16">
      <c r="P27787" s="2498"/>
    </row>
    <row r="27788" spans="16:16">
      <c r="P27788" s="2498"/>
    </row>
    <row r="27789" spans="16:16">
      <c r="P27789" s="2498"/>
    </row>
    <row r="27790" spans="16:16">
      <c r="P27790" s="2498"/>
    </row>
    <row r="27791" spans="16:16">
      <c r="P27791" s="2498"/>
    </row>
    <row r="27792" spans="16:16">
      <c r="P27792" s="2498"/>
    </row>
    <row r="27793" spans="16:16">
      <c r="P27793" s="2498"/>
    </row>
    <row r="27794" spans="16:16">
      <c r="P27794" s="2498"/>
    </row>
    <row r="27795" spans="16:16">
      <c r="P27795" s="2498"/>
    </row>
    <row r="27796" spans="16:16">
      <c r="P27796" s="2498"/>
    </row>
    <row r="27797" spans="16:16">
      <c r="P27797" s="2498"/>
    </row>
    <row r="27798" spans="16:16">
      <c r="P27798" s="2498"/>
    </row>
    <row r="27799" spans="16:16">
      <c r="P27799" s="2498"/>
    </row>
    <row r="27800" spans="16:16">
      <c r="P27800" s="2498"/>
    </row>
    <row r="27801" spans="16:16">
      <c r="P27801" s="2498"/>
    </row>
    <row r="27802" spans="16:16">
      <c r="P27802" s="2498"/>
    </row>
    <row r="27803" spans="16:16">
      <c r="P27803" s="2498"/>
    </row>
    <row r="27804" spans="16:16">
      <c r="P27804" s="2498"/>
    </row>
    <row r="27805" spans="16:16">
      <c r="P27805" s="2498"/>
    </row>
    <row r="27806" spans="16:16">
      <c r="P27806" s="2498"/>
    </row>
    <row r="27807" spans="16:16">
      <c r="P27807" s="2498"/>
    </row>
    <row r="27808" spans="16:16">
      <c r="P27808" s="2498"/>
    </row>
    <row r="27809" spans="16:16">
      <c r="P27809" s="2498"/>
    </row>
    <row r="27810" spans="16:16">
      <c r="P27810" s="2498"/>
    </row>
    <row r="27811" spans="16:16">
      <c r="P27811" s="2498"/>
    </row>
    <row r="27812" spans="16:16">
      <c r="P27812" s="2498"/>
    </row>
    <row r="27813" spans="16:16">
      <c r="P27813" s="2498"/>
    </row>
    <row r="27814" spans="16:16">
      <c r="P27814" s="2498"/>
    </row>
    <row r="27815" spans="16:16">
      <c r="P27815" s="2498"/>
    </row>
    <row r="27816" spans="16:16">
      <c r="P27816" s="2498"/>
    </row>
    <row r="27817" spans="16:16">
      <c r="P27817" s="2498"/>
    </row>
    <row r="27818" spans="16:16">
      <c r="P27818" s="2498"/>
    </row>
    <row r="27819" spans="16:16">
      <c r="P27819" s="2498"/>
    </row>
    <row r="27820" spans="16:16">
      <c r="P27820" s="2498"/>
    </row>
    <row r="27821" spans="16:16">
      <c r="P27821" s="2498"/>
    </row>
    <row r="27822" spans="16:16">
      <c r="P27822" s="2498"/>
    </row>
    <row r="27823" spans="16:16">
      <c r="P27823" s="2498"/>
    </row>
    <row r="27824" spans="16:16">
      <c r="P27824" s="2498"/>
    </row>
    <row r="27825" spans="16:16">
      <c r="P27825" s="2498"/>
    </row>
    <row r="27826" spans="16:16">
      <c r="P27826" s="2498"/>
    </row>
    <row r="27827" spans="16:16">
      <c r="P27827" s="2498"/>
    </row>
    <row r="27828" spans="16:16">
      <c r="P27828" s="2498"/>
    </row>
    <row r="27829" spans="16:16">
      <c r="P27829" s="2498"/>
    </row>
    <row r="27830" spans="16:16">
      <c r="P27830" s="2498"/>
    </row>
    <row r="27831" spans="16:16">
      <c r="P27831" s="2498"/>
    </row>
    <row r="27832" spans="16:16">
      <c r="P27832" s="2498"/>
    </row>
    <row r="27833" spans="16:16">
      <c r="P27833" s="2498"/>
    </row>
    <row r="27834" spans="16:16">
      <c r="P27834" s="2498"/>
    </row>
    <row r="27835" spans="16:16">
      <c r="P27835" s="2498"/>
    </row>
    <row r="27836" spans="16:16">
      <c r="P27836" s="2498"/>
    </row>
    <row r="27837" spans="16:16">
      <c r="P27837" s="2498"/>
    </row>
    <row r="27838" spans="16:16">
      <c r="P27838" s="2498"/>
    </row>
    <row r="27839" spans="16:16">
      <c r="P27839" s="2498"/>
    </row>
    <row r="27840" spans="16:16">
      <c r="P27840" s="2498"/>
    </row>
    <row r="27841" spans="16:16">
      <c r="P27841" s="2498"/>
    </row>
    <row r="27842" spans="16:16">
      <c r="P27842" s="2498"/>
    </row>
    <row r="27843" spans="16:16">
      <c r="P27843" s="2498"/>
    </row>
    <row r="27844" spans="16:16">
      <c r="P27844" s="2498"/>
    </row>
    <row r="27845" spans="16:16">
      <c r="P27845" s="2498"/>
    </row>
    <row r="27846" spans="16:16">
      <c r="P27846" s="2498"/>
    </row>
    <row r="27847" spans="16:16">
      <c r="P27847" s="2498"/>
    </row>
    <row r="27848" spans="16:16">
      <c r="P27848" s="2498"/>
    </row>
    <row r="27849" spans="16:16">
      <c r="P27849" s="2498"/>
    </row>
    <row r="27850" spans="16:16">
      <c r="P27850" s="2498"/>
    </row>
    <row r="27851" spans="16:16">
      <c r="P27851" s="2498"/>
    </row>
    <row r="27852" spans="16:16">
      <c r="P27852" s="2498"/>
    </row>
    <row r="27853" spans="16:16">
      <c r="P27853" s="2498"/>
    </row>
    <row r="27854" spans="16:16">
      <c r="P27854" s="2498"/>
    </row>
    <row r="27855" spans="16:16">
      <c r="P27855" s="2498"/>
    </row>
    <row r="27856" spans="16:16">
      <c r="P27856" s="2498"/>
    </row>
    <row r="27857" spans="16:16">
      <c r="P27857" s="2498"/>
    </row>
    <row r="27858" spans="16:16">
      <c r="P27858" s="2498"/>
    </row>
    <row r="27859" spans="16:16">
      <c r="P27859" s="2498"/>
    </row>
    <row r="27860" spans="16:16">
      <c r="P27860" s="2498"/>
    </row>
    <row r="27861" spans="16:16">
      <c r="P27861" s="2498"/>
    </row>
    <row r="27862" spans="16:16">
      <c r="P27862" s="2498"/>
    </row>
    <row r="27863" spans="16:16">
      <c r="P27863" s="2498"/>
    </row>
    <row r="27864" spans="16:16">
      <c r="P27864" s="2498"/>
    </row>
    <row r="27865" spans="16:16">
      <c r="P27865" s="2498"/>
    </row>
    <row r="27866" spans="16:16">
      <c r="P27866" s="2498"/>
    </row>
    <row r="27867" spans="16:16">
      <c r="P27867" s="2498"/>
    </row>
    <row r="27868" spans="16:16">
      <c r="P27868" s="2498"/>
    </row>
    <row r="27869" spans="16:16">
      <c r="P27869" s="2498"/>
    </row>
    <row r="27870" spans="16:16">
      <c r="P27870" s="2498"/>
    </row>
    <row r="27871" spans="16:16">
      <c r="P27871" s="2498"/>
    </row>
    <row r="27872" spans="16:16">
      <c r="P27872" s="2498"/>
    </row>
    <row r="27873" spans="16:16">
      <c r="P27873" s="2498"/>
    </row>
    <row r="27874" spans="16:16">
      <c r="P27874" s="2498"/>
    </row>
    <row r="27875" spans="16:16">
      <c r="P27875" s="2498"/>
    </row>
    <row r="27876" spans="16:16">
      <c r="P27876" s="2498"/>
    </row>
    <row r="27877" spans="16:16">
      <c r="P27877" s="2498"/>
    </row>
    <row r="27878" spans="16:16">
      <c r="P27878" s="2498"/>
    </row>
    <row r="27879" spans="16:16">
      <c r="P27879" s="2498"/>
    </row>
    <row r="27880" spans="16:16">
      <c r="P27880" s="2498"/>
    </row>
    <row r="27881" spans="16:16">
      <c r="P27881" s="2498"/>
    </row>
    <row r="27882" spans="16:16">
      <c r="P27882" s="2498"/>
    </row>
    <row r="27883" spans="16:16">
      <c r="P27883" s="2498"/>
    </row>
    <row r="27884" spans="16:16">
      <c r="P27884" s="2498"/>
    </row>
    <row r="27885" spans="16:16">
      <c r="P27885" s="2498"/>
    </row>
    <row r="27886" spans="16:16">
      <c r="P27886" s="2498"/>
    </row>
    <row r="27887" spans="16:16">
      <c r="P27887" s="2498"/>
    </row>
    <row r="27888" spans="16:16">
      <c r="P27888" s="2498"/>
    </row>
    <row r="27889" spans="16:16">
      <c r="P27889" s="2498"/>
    </row>
    <row r="27890" spans="16:16">
      <c r="P27890" s="2498"/>
    </row>
    <row r="27891" spans="16:16">
      <c r="P27891" s="2498"/>
    </row>
    <row r="27892" spans="16:16">
      <c r="P27892" s="2498"/>
    </row>
    <row r="27893" spans="16:16">
      <c r="P27893" s="2498"/>
    </row>
    <row r="27894" spans="16:16">
      <c r="P27894" s="2498"/>
    </row>
    <row r="27895" spans="16:16">
      <c r="P27895" s="2498"/>
    </row>
    <row r="27896" spans="16:16">
      <c r="P27896" s="2498"/>
    </row>
    <row r="27897" spans="16:16">
      <c r="P27897" s="2498"/>
    </row>
    <row r="27898" spans="16:16">
      <c r="P27898" s="2498"/>
    </row>
    <row r="27899" spans="16:16">
      <c r="P27899" s="2498"/>
    </row>
    <row r="27900" spans="16:16">
      <c r="P27900" s="2498"/>
    </row>
    <row r="27901" spans="16:16">
      <c r="P27901" s="2498"/>
    </row>
    <row r="27902" spans="16:16">
      <c r="P27902" s="2498"/>
    </row>
    <row r="27903" spans="16:16">
      <c r="P27903" s="2498"/>
    </row>
    <row r="27904" spans="16:16">
      <c r="P27904" s="2498"/>
    </row>
    <row r="27905" spans="16:16">
      <c r="P27905" s="2498"/>
    </row>
    <row r="27906" spans="16:16">
      <c r="P27906" s="2498"/>
    </row>
    <row r="27907" spans="16:16">
      <c r="P27907" s="2498"/>
    </row>
    <row r="27908" spans="16:16">
      <c r="P27908" s="2498"/>
    </row>
    <row r="27909" spans="16:16">
      <c r="P27909" s="2498"/>
    </row>
    <row r="27910" spans="16:16">
      <c r="P27910" s="2498"/>
    </row>
    <row r="27911" spans="16:16">
      <c r="P27911" s="2498"/>
    </row>
    <row r="27912" spans="16:16">
      <c r="P27912" s="2498"/>
    </row>
    <row r="27913" spans="16:16">
      <c r="P27913" s="2498"/>
    </row>
    <row r="27914" spans="16:16">
      <c r="P27914" s="2498"/>
    </row>
    <row r="27915" spans="16:16">
      <c r="P27915" s="2498"/>
    </row>
    <row r="27916" spans="16:16">
      <c r="P27916" s="2498"/>
    </row>
    <row r="27917" spans="16:16">
      <c r="P27917" s="2498"/>
    </row>
    <row r="27918" spans="16:16">
      <c r="P27918" s="2498"/>
    </row>
    <row r="27919" spans="16:16">
      <c r="P27919" s="2498"/>
    </row>
    <row r="27920" spans="16:16">
      <c r="P27920" s="2498"/>
    </row>
    <row r="27921" spans="16:16">
      <c r="P27921" s="2498"/>
    </row>
    <row r="27922" spans="16:16">
      <c r="P27922" s="2498"/>
    </row>
    <row r="27923" spans="16:16">
      <c r="P27923" s="2498"/>
    </row>
    <row r="27924" spans="16:16">
      <c r="P27924" s="2498"/>
    </row>
    <row r="27925" spans="16:16">
      <c r="P27925" s="2498"/>
    </row>
    <row r="27926" spans="16:16">
      <c r="P27926" s="2498"/>
    </row>
    <row r="27927" spans="16:16">
      <c r="P27927" s="2498"/>
    </row>
    <row r="27928" spans="16:16">
      <c r="P27928" s="2498"/>
    </row>
    <row r="27929" spans="16:16">
      <c r="P27929" s="2498"/>
    </row>
    <row r="27930" spans="16:16">
      <c r="P27930" s="2498"/>
    </row>
    <row r="27931" spans="16:16">
      <c r="P27931" s="2498"/>
    </row>
    <row r="27932" spans="16:16">
      <c r="P27932" s="2498"/>
    </row>
    <row r="27933" spans="16:16">
      <c r="P27933" s="2498"/>
    </row>
    <row r="27934" spans="16:16">
      <c r="P27934" s="2498"/>
    </row>
    <row r="27935" spans="16:16">
      <c r="P27935" s="2498"/>
    </row>
    <row r="27936" spans="16:16">
      <c r="P27936" s="2498"/>
    </row>
    <row r="27937" spans="16:16">
      <c r="P27937" s="2498"/>
    </row>
    <row r="27938" spans="16:16">
      <c r="P27938" s="2498"/>
    </row>
    <row r="27939" spans="16:16">
      <c r="P27939" s="2498"/>
    </row>
    <row r="27940" spans="16:16">
      <c r="P27940" s="2498"/>
    </row>
    <row r="27941" spans="16:16">
      <c r="P27941" s="2498"/>
    </row>
    <row r="27942" spans="16:16">
      <c r="P27942" s="2498"/>
    </row>
    <row r="27943" spans="16:16">
      <c r="P27943" s="2498"/>
    </row>
    <row r="27944" spans="16:16">
      <c r="P27944" s="2498"/>
    </row>
    <row r="27945" spans="16:16">
      <c r="P27945" s="2498"/>
    </row>
    <row r="27946" spans="16:16">
      <c r="P27946" s="2498"/>
    </row>
    <row r="27947" spans="16:16">
      <c r="P27947" s="2498"/>
    </row>
    <row r="27948" spans="16:16">
      <c r="P27948" s="2498"/>
    </row>
    <row r="27949" spans="16:16">
      <c r="P27949" s="2498"/>
    </row>
    <row r="27950" spans="16:16">
      <c r="P27950" s="2498"/>
    </row>
    <row r="27951" spans="16:16">
      <c r="P27951" s="2498"/>
    </row>
    <row r="27952" spans="16:16">
      <c r="P27952" s="2498"/>
    </row>
    <row r="27953" spans="16:16">
      <c r="P27953" s="2498"/>
    </row>
    <row r="27954" spans="16:16">
      <c r="P27954" s="2498"/>
    </row>
    <row r="27955" spans="16:16">
      <c r="P27955" s="2498"/>
    </row>
    <row r="27956" spans="16:16">
      <c r="P27956" s="2498"/>
    </row>
    <row r="27957" spans="16:16">
      <c r="P27957" s="2498"/>
    </row>
    <row r="27958" spans="16:16">
      <c r="P27958" s="2498"/>
    </row>
    <row r="27959" spans="16:16">
      <c r="P27959" s="2498"/>
    </row>
    <row r="27960" spans="16:16">
      <c r="P27960" s="2498"/>
    </row>
    <row r="27961" spans="16:16">
      <c r="P27961" s="2498"/>
    </row>
    <row r="27962" spans="16:16">
      <c r="P27962" s="2498"/>
    </row>
    <row r="27963" spans="16:16">
      <c r="P27963" s="2498"/>
    </row>
    <row r="27964" spans="16:16">
      <c r="P27964" s="2498"/>
    </row>
    <row r="27965" spans="16:16">
      <c r="P27965" s="2498"/>
    </row>
    <row r="27966" spans="16:16">
      <c r="P27966" s="2498"/>
    </row>
    <row r="27967" spans="16:16">
      <c r="P27967" s="2498"/>
    </row>
    <row r="27968" spans="16:16">
      <c r="P27968" s="2498"/>
    </row>
    <row r="27969" spans="16:16">
      <c r="P27969" s="2498"/>
    </row>
    <row r="27970" spans="16:16">
      <c r="P27970" s="2498"/>
    </row>
    <row r="27971" spans="16:16">
      <c r="P27971" s="2498"/>
    </row>
    <row r="27972" spans="16:16">
      <c r="P27972" s="2498"/>
    </row>
    <row r="27973" spans="16:16">
      <c r="P27973" s="2498"/>
    </row>
    <row r="27974" spans="16:16">
      <c r="P27974" s="2498"/>
    </row>
    <row r="27975" spans="16:16">
      <c r="P27975" s="2498"/>
    </row>
    <row r="27976" spans="16:16">
      <c r="P27976" s="2498"/>
    </row>
    <row r="27977" spans="16:16">
      <c r="P27977" s="2498"/>
    </row>
    <row r="27978" spans="16:16">
      <c r="P27978" s="2498"/>
    </row>
    <row r="27979" spans="16:16">
      <c r="P27979" s="2498"/>
    </row>
    <row r="27980" spans="16:16">
      <c r="P27980" s="2498"/>
    </row>
    <row r="27981" spans="16:16">
      <c r="P27981" s="2498"/>
    </row>
    <row r="27982" spans="16:16">
      <c r="P27982" s="2498"/>
    </row>
    <row r="27983" spans="16:16">
      <c r="P27983" s="2498"/>
    </row>
    <row r="27984" spans="16:16">
      <c r="P27984" s="2498"/>
    </row>
    <row r="27985" spans="16:16">
      <c r="P27985" s="2498"/>
    </row>
    <row r="27986" spans="16:16">
      <c r="P27986" s="2498"/>
    </row>
    <row r="27987" spans="16:16">
      <c r="P27987" s="2498"/>
    </row>
    <row r="27988" spans="16:16">
      <c r="P27988" s="2498"/>
    </row>
    <row r="27989" spans="16:16">
      <c r="P27989" s="2498"/>
    </row>
    <row r="27990" spans="16:16">
      <c r="P27990" s="2498"/>
    </row>
    <row r="27991" spans="16:16">
      <c r="P27991" s="2498"/>
    </row>
    <row r="27992" spans="16:16">
      <c r="P27992" s="2498"/>
    </row>
    <row r="27993" spans="16:16">
      <c r="P27993" s="2498"/>
    </row>
    <row r="27994" spans="16:16">
      <c r="P27994" s="2498"/>
    </row>
    <row r="27995" spans="16:16">
      <c r="P27995" s="2498"/>
    </row>
    <row r="27996" spans="16:16">
      <c r="P27996" s="2498"/>
    </row>
    <row r="27997" spans="16:16">
      <c r="P27997" s="2498"/>
    </row>
    <row r="27998" spans="16:16">
      <c r="P27998" s="2498"/>
    </row>
    <row r="27999" spans="16:16">
      <c r="P27999" s="2498"/>
    </row>
    <row r="28000" spans="16:16">
      <c r="P28000" s="2498"/>
    </row>
    <row r="28001" spans="16:16">
      <c r="P28001" s="2498"/>
    </row>
    <row r="28002" spans="16:16">
      <c r="P28002" s="2498"/>
    </row>
    <row r="28003" spans="16:16">
      <c r="P28003" s="2498"/>
    </row>
    <row r="28004" spans="16:16">
      <c r="P28004" s="2498"/>
    </row>
    <row r="28005" spans="16:16">
      <c r="P28005" s="2498"/>
    </row>
    <row r="28006" spans="16:16">
      <c r="P28006" s="2498"/>
    </row>
    <row r="28007" spans="16:16">
      <c r="P28007" s="2498"/>
    </row>
    <row r="28008" spans="16:16">
      <c r="P28008" s="2498"/>
    </row>
    <row r="28009" spans="16:16">
      <c r="P28009" s="2498"/>
    </row>
    <row r="28010" spans="16:16">
      <c r="P28010" s="2498"/>
    </row>
    <row r="28011" spans="16:16">
      <c r="P28011" s="2498"/>
    </row>
    <row r="28012" spans="16:16">
      <c r="P28012" s="2498"/>
    </row>
    <row r="28013" spans="16:16">
      <c r="P28013" s="2498"/>
    </row>
    <row r="28014" spans="16:16">
      <c r="P28014" s="2498"/>
    </row>
    <row r="28015" spans="16:16">
      <c r="P28015" s="2498"/>
    </row>
    <row r="28016" spans="16:16">
      <c r="P28016" s="2498"/>
    </row>
    <row r="28017" spans="16:16">
      <c r="P28017" s="2498"/>
    </row>
    <row r="28018" spans="16:16">
      <c r="P28018" s="2498"/>
    </row>
    <row r="28019" spans="16:16">
      <c r="P28019" s="2498"/>
    </row>
    <row r="28020" spans="16:16">
      <c r="P28020" s="2498"/>
    </row>
    <row r="28021" spans="16:16">
      <c r="P28021" s="2498"/>
    </row>
    <row r="28022" spans="16:16">
      <c r="P28022" s="2498"/>
    </row>
    <row r="28023" spans="16:16">
      <c r="P28023" s="2498"/>
    </row>
    <row r="28024" spans="16:16">
      <c r="P28024" s="2498"/>
    </row>
    <row r="28025" spans="16:16">
      <c r="P28025" s="2498"/>
    </row>
    <row r="28026" spans="16:16">
      <c r="P28026" s="2498"/>
    </row>
    <row r="28027" spans="16:16">
      <c r="P28027" s="2498"/>
    </row>
    <row r="28028" spans="16:16">
      <c r="P28028" s="2498"/>
    </row>
    <row r="28029" spans="16:16">
      <c r="P28029" s="2498"/>
    </row>
    <row r="28030" spans="16:16">
      <c r="P28030" s="2498"/>
    </row>
    <row r="28031" spans="16:16">
      <c r="P28031" s="2498"/>
    </row>
    <row r="28032" spans="16:16">
      <c r="P28032" s="2498"/>
    </row>
    <row r="28033" spans="16:16">
      <c r="P28033" s="2498"/>
    </row>
    <row r="28034" spans="16:16">
      <c r="P28034" s="2498"/>
    </row>
    <row r="28035" spans="16:16">
      <c r="P28035" s="2498"/>
    </row>
    <row r="28036" spans="16:16">
      <c r="P28036" s="2498"/>
    </row>
    <row r="28037" spans="16:16">
      <c r="P28037" s="2498"/>
    </row>
    <row r="28038" spans="16:16">
      <c r="P28038" s="2498"/>
    </row>
    <row r="28039" spans="16:16">
      <c r="P28039" s="2498"/>
    </row>
    <row r="28040" spans="16:16">
      <c r="P28040" s="2498"/>
    </row>
    <row r="28041" spans="16:16">
      <c r="P28041" s="2498"/>
    </row>
    <row r="28042" spans="16:16">
      <c r="P28042" s="2498"/>
    </row>
    <row r="28043" spans="16:16">
      <c r="P28043" s="2498"/>
    </row>
    <row r="28044" spans="16:16">
      <c r="P28044" s="2498"/>
    </row>
    <row r="28045" spans="16:16">
      <c r="P28045" s="2498"/>
    </row>
    <row r="28046" spans="16:16">
      <c r="P28046" s="2498"/>
    </row>
    <row r="28047" spans="16:16">
      <c r="P28047" s="2498"/>
    </row>
    <row r="28048" spans="16:16">
      <c r="P28048" s="2498"/>
    </row>
    <row r="28049" spans="16:16">
      <c r="P28049" s="2498"/>
    </row>
    <row r="28050" spans="16:16">
      <c r="P28050" s="2498"/>
    </row>
    <row r="28051" spans="16:16">
      <c r="P28051" s="2498"/>
    </row>
    <row r="28052" spans="16:16">
      <c r="P28052" s="2498"/>
    </row>
    <row r="28053" spans="16:16">
      <c r="P28053" s="2498"/>
    </row>
    <row r="28054" spans="16:16">
      <c r="P28054" s="2498"/>
    </row>
    <row r="28055" spans="16:16">
      <c r="P28055" s="2498"/>
    </row>
    <row r="28056" spans="16:16">
      <c r="P28056" s="2498"/>
    </row>
    <row r="28057" spans="16:16">
      <c r="P28057" s="2498"/>
    </row>
    <row r="28058" spans="16:16">
      <c r="P28058" s="2498"/>
    </row>
    <row r="28059" spans="16:16">
      <c r="P28059" s="2498"/>
    </row>
    <row r="28060" spans="16:16">
      <c r="P28060" s="2498"/>
    </row>
    <row r="28061" spans="16:16">
      <c r="P28061" s="2498"/>
    </row>
    <row r="28062" spans="16:16">
      <c r="P28062" s="2498"/>
    </row>
    <row r="28063" spans="16:16">
      <c r="P28063" s="2498"/>
    </row>
    <row r="28064" spans="16:16">
      <c r="P28064" s="2498"/>
    </row>
    <row r="28065" spans="16:16">
      <c r="P28065" s="2498"/>
    </row>
    <row r="28066" spans="16:16">
      <c r="P28066" s="2498"/>
    </row>
    <row r="28067" spans="16:16">
      <c r="P28067" s="2498"/>
    </row>
    <row r="28068" spans="16:16">
      <c r="P28068" s="2498"/>
    </row>
    <row r="28069" spans="16:16">
      <c r="P28069" s="2498"/>
    </row>
    <row r="28070" spans="16:16">
      <c r="P28070" s="2498"/>
    </row>
    <row r="28071" spans="16:16">
      <c r="P28071" s="2498"/>
    </row>
    <row r="28072" spans="16:16">
      <c r="P28072" s="2498"/>
    </row>
    <row r="28073" spans="16:16">
      <c r="P28073" s="2498"/>
    </row>
    <row r="28074" spans="16:16">
      <c r="P28074" s="2498"/>
    </row>
    <row r="28075" spans="16:16">
      <c r="P28075" s="2498"/>
    </row>
    <row r="28076" spans="16:16">
      <c r="P28076" s="2498"/>
    </row>
    <row r="28077" spans="16:16">
      <c r="P28077" s="2498"/>
    </row>
    <row r="28078" spans="16:16">
      <c r="P28078" s="2498"/>
    </row>
    <row r="28079" spans="16:16">
      <c r="P28079" s="2498"/>
    </row>
    <row r="28080" spans="16:16">
      <c r="P28080" s="2498"/>
    </row>
    <row r="28081" spans="16:16">
      <c r="P28081" s="2498"/>
    </row>
    <row r="28082" spans="16:16">
      <c r="P28082" s="2498"/>
    </row>
    <row r="28083" spans="16:16">
      <c r="P28083" s="2498"/>
    </row>
    <row r="28084" spans="16:16">
      <c r="P28084" s="2498"/>
    </row>
    <row r="28085" spans="16:16">
      <c r="P28085" s="2498"/>
    </row>
    <row r="28086" spans="16:16">
      <c r="P28086" s="2498"/>
    </row>
    <row r="28087" spans="16:16">
      <c r="P28087" s="2498"/>
    </row>
    <row r="28088" spans="16:16">
      <c r="P28088" s="2498"/>
    </row>
    <row r="28089" spans="16:16">
      <c r="P28089" s="2498"/>
    </row>
    <row r="28090" spans="16:16">
      <c r="P28090" s="2498"/>
    </row>
    <row r="28091" spans="16:16">
      <c r="P28091" s="2498"/>
    </row>
    <row r="28092" spans="16:16">
      <c r="P28092" s="2498"/>
    </row>
    <row r="28093" spans="16:16">
      <c r="P28093" s="2498"/>
    </row>
    <row r="28094" spans="16:16">
      <c r="P28094" s="2498"/>
    </row>
    <row r="28095" spans="16:16">
      <c r="P28095" s="2498"/>
    </row>
    <row r="28096" spans="16:16">
      <c r="P28096" s="2498"/>
    </row>
    <row r="28097" spans="16:16">
      <c r="P28097" s="2498"/>
    </row>
    <row r="28098" spans="16:16">
      <c r="P28098" s="2498"/>
    </row>
    <row r="28099" spans="16:16">
      <c r="P28099" s="2498"/>
    </row>
    <row r="28100" spans="16:16">
      <c r="P28100" s="2498"/>
    </row>
    <row r="28101" spans="16:16">
      <c r="P28101" s="2498"/>
    </row>
    <row r="28102" spans="16:16">
      <c r="P28102" s="2498"/>
    </row>
    <row r="28103" spans="16:16">
      <c r="P28103" s="2498"/>
    </row>
    <row r="28104" spans="16:16">
      <c r="P28104" s="2498"/>
    </row>
    <row r="28105" spans="16:16">
      <c r="P28105" s="2498"/>
    </row>
    <row r="28106" spans="16:16">
      <c r="P28106" s="2498"/>
    </row>
    <row r="28107" spans="16:16">
      <c r="P28107" s="2498"/>
    </row>
    <row r="28108" spans="16:16">
      <c r="P28108" s="2498"/>
    </row>
    <row r="28109" spans="16:16">
      <c r="P28109" s="2498"/>
    </row>
    <row r="28110" spans="16:16">
      <c r="P28110" s="2498"/>
    </row>
    <row r="28111" spans="16:16">
      <c r="P28111" s="2498"/>
    </row>
    <row r="28112" spans="16:16">
      <c r="P28112" s="2498"/>
    </row>
    <row r="28113" spans="16:16">
      <c r="P28113" s="2498"/>
    </row>
    <row r="28114" spans="16:16">
      <c r="P28114" s="2498"/>
    </row>
    <row r="28115" spans="16:16">
      <c r="P28115" s="2498"/>
    </row>
    <row r="28116" spans="16:16">
      <c r="P28116" s="2498"/>
    </row>
    <row r="28117" spans="16:16">
      <c r="P28117" s="2498"/>
    </row>
    <row r="28118" spans="16:16">
      <c r="P28118" s="2498"/>
    </row>
    <row r="28119" spans="16:16">
      <c r="P28119" s="2498"/>
    </row>
    <row r="28120" spans="16:16">
      <c r="P28120" s="2498"/>
    </row>
    <row r="28121" spans="16:16">
      <c r="P28121" s="2498"/>
    </row>
    <row r="28122" spans="16:16">
      <c r="P28122" s="2498"/>
    </row>
    <row r="28123" spans="16:16">
      <c r="P28123" s="2498"/>
    </row>
    <row r="28124" spans="16:16">
      <c r="P28124" s="2498"/>
    </row>
    <row r="28125" spans="16:16">
      <c r="P28125" s="2498"/>
    </row>
    <row r="28126" spans="16:16">
      <c r="P28126" s="2498"/>
    </row>
    <row r="28127" spans="16:16">
      <c r="P28127" s="2498"/>
    </row>
    <row r="28128" spans="16:16">
      <c r="P28128" s="2498"/>
    </row>
    <row r="28129" spans="16:16">
      <c r="P28129" s="2498"/>
    </row>
    <row r="28130" spans="16:16">
      <c r="P28130" s="2498"/>
    </row>
    <row r="28131" spans="16:16">
      <c r="P28131" s="2498"/>
    </row>
    <row r="28132" spans="16:16">
      <c r="P28132" s="2498"/>
    </row>
    <row r="28133" spans="16:16">
      <c r="P28133" s="2498"/>
    </row>
    <row r="28134" spans="16:16">
      <c r="P28134" s="2498"/>
    </row>
    <row r="28135" spans="16:16">
      <c r="P28135" s="2498"/>
    </row>
    <row r="28136" spans="16:16">
      <c r="P28136" s="2498"/>
    </row>
    <row r="28137" spans="16:16">
      <c r="P28137" s="2498"/>
    </row>
    <row r="28138" spans="16:16">
      <c r="P28138" s="2498"/>
    </row>
    <row r="28139" spans="16:16">
      <c r="P28139" s="2498"/>
    </row>
    <row r="28140" spans="16:16">
      <c r="P28140" s="2498"/>
    </row>
    <row r="28141" spans="16:16">
      <c r="P28141" s="2498"/>
    </row>
    <row r="28142" spans="16:16">
      <c r="P28142" s="2498"/>
    </row>
    <row r="28143" spans="16:16">
      <c r="P28143" s="2498"/>
    </row>
    <row r="28144" spans="16:16">
      <c r="P28144" s="2498"/>
    </row>
    <row r="28145" spans="16:16">
      <c r="P28145" s="2498"/>
    </row>
    <row r="28146" spans="16:16">
      <c r="P28146" s="2498"/>
    </row>
    <row r="28147" spans="16:16">
      <c r="P28147" s="2498"/>
    </row>
    <row r="28148" spans="16:16">
      <c r="P28148" s="2498"/>
    </row>
    <row r="28149" spans="16:16">
      <c r="P28149" s="2498"/>
    </row>
    <row r="28150" spans="16:16">
      <c r="P28150" s="2498"/>
    </row>
    <row r="28151" spans="16:16">
      <c r="P28151" s="2498"/>
    </row>
    <row r="28152" spans="16:16">
      <c r="P28152" s="2498"/>
    </row>
    <row r="28153" spans="16:16">
      <c r="P28153" s="2498"/>
    </row>
    <row r="28154" spans="16:16">
      <c r="P28154" s="2498"/>
    </row>
    <row r="28155" spans="16:16">
      <c r="P28155" s="2498"/>
    </row>
    <row r="28156" spans="16:16">
      <c r="P28156" s="2498"/>
    </row>
    <row r="28157" spans="16:16">
      <c r="P28157" s="2498"/>
    </row>
    <row r="28158" spans="16:16">
      <c r="P28158" s="2498"/>
    </row>
    <row r="28159" spans="16:16">
      <c r="P28159" s="2498"/>
    </row>
    <row r="28160" spans="16:16">
      <c r="P28160" s="2498"/>
    </row>
    <row r="28161" spans="16:16">
      <c r="P28161" s="2498"/>
    </row>
    <row r="28162" spans="16:16">
      <c r="P28162" s="2498"/>
    </row>
    <row r="28163" spans="16:16">
      <c r="P28163" s="2498"/>
    </row>
    <row r="28164" spans="16:16">
      <c r="P28164" s="2498"/>
    </row>
    <row r="28165" spans="16:16">
      <c r="P28165" s="2498"/>
    </row>
    <row r="28166" spans="16:16">
      <c r="P28166" s="2498"/>
    </row>
    <row r="28167" spans="16:16">
      <c r="P28167" s="2498"/>
    </row>
    <row r="28168" spans="16:16">
      <c r="P28168" s="2498"/>
    </row>
    <row r="28169" spans="16:16">
      <c r="P28169" s="2498"/>
    </row>
    <row r="28170" spans="16:16">
      <c r="P28170" s="2498"/>
    </row>
    <row r="28171" spans="16:16">
      <c r="P28171" s="2498"/>
    </row>
    <row r="28172" spans="16:16">
      <c r="P28172" s="2498"/>
    </row>
    <row r="28173" spans="16:16">
      <c r="P28173" s="2498"/>
    </row>
    <row r="28174" spans="16:16">
      <c r="P28174" s="2498"/>
    </row>
    <row r="28175" spans="16:16">
      <c r="P28175" s="2498"/>
    </row>
    <row r="28176" spans="16:16">
      <c r="P28176" s="2498"/>
    </row>
    <row r="28177" spans="16:16">
      <c r="P28177" s="2498"/>
    </row>
    <row r="28178" spans="16:16">
      <c r="P28178" s="2498"/>
    </row>
    <row r="28179" spans="16:16">
      <c r="P28179" s="2498"/>
    </row>
    <row r="28180" spans="16:16">
      <c r="P28180" s="2498"/>
    </row>
    <row r="28181" spans="16:16">
      <c r="P28181" s="2498"/>
    </row>
    <row r="28182" spans="16:16">
      <c r="P28182" s="2498"/>
    </row>
    <row r="28183" spans="16:16">
      <c r="P28183" s="2498"/>
    </row>
    <row r="28184" spans="16:16">
      <c r="P28184" s="2498"/>
    </row>
    <row r="28185" spans="16:16">
      <c r="P28185" s="2498"/>
    </row>
    <row r="28186" spans="16:16">
      <c r="P28186" s="2498"/>
    </row>
    <row r="28187" spans="16:16">
      <c r="P28187" s="2498"/>
    </row>
    <row r="28188" spans="16:16">
      <c r="P28188" s="2498"/>
    </row>
    <row r="28189" spans="16:16">
      <c r="P28189" s="2498"/>
    </row>
    <row r="28190" spans="16:16">
      <c r="P28190" s="2498"/>
    </row>
    <row r="28191" spans="16:16">
      <c r="P28191" s="2498"/>
    </row>
    <row r="28192" spans="16:16">
      <c r="P28192" s="2498"/>
    </row>
    <row r="28193" spans="16:16">
      <c r="P28193" s="2498"/>
    </row>
    <row r="28194" spans="16:16">
      <c r="P28194" s="2498"/>
    </row>
    <row r="28195" spans="16:16">
      <c r="P28195" s="2498"/>
    </row>
    <row r="28196" spans="16:16">
      <c r="P28196" s="2498"/>
    </row>
    <row r="28197" spans="16:16">
      <c r="P28197" s="2498"/>
    </row>
    <row r="28198" spans="16:16">
      <c r="P28198" s="2498"/>
    </row>
    <row r="28199" spans="16:16">
      <c r="P28199" s="2498"/>
    </row>
    <row r="28200" spans="16:16">
      <c r="P28200" s="2498"/>
    </row>
    <row r="28201" spans="16:16">
      <c r="P28201" s="2498"/>
    </row>
    <row r="28202" spans="16:16">
      <c r="P28202" s="2498"/>
    </row>
    <row r="28203" spans="16:16">
      <c r="P28203" s="2498"/>
    </row>
    <row r="28204" spans="16:16">
      <c r="P28204" s="2498"/>
    </row>
    <row r="28205" spans="16:16">
      <c r="P28205" s="2498"/>
    </row>
    <row r="28206" spans="16:16">
      <c r="P28206" s="2498"/>
    </row>
    <row r="28207" spans="16:16">
      <c r="P28207" s="2498"/>
    </row>
    <row r="28208" spans="16:16">
      <c r="P28208" s="2498"/>
    </row>
    <row r="28209" spans="16:16">
      <c r="P28209" s="2498"/>
    </row>
    <row r="28210" spans="16:16">
      <c r="P28210" s="2498"/>
    </row>
    <row r="28211" spans="16:16">
      <c r="P28211" s="2498"/>
    </row>
    <row r="28212" spans="16:16">
      <c r="P28212" s="2498"/>
    </row>
    <row r="28213" spans="16:16">
      <c r="P28213" s="2498"/>
    </row>
    <row r="28214" spans="16:16">
      <c r="P28214" s="2498"/>
    </row>
    <row r="28215" spans="16:16">
      <c r="P28215" s="2498"/>
    </row>
    <row r="28216" spans="16:16">
      <c r="P28216" s="2498"/>
    </row>
    <row r="28217" spans="16:16">
      <c r="P28217" s="2498"/>
    </row>
    <row r="28218" spans="16:16">
      <c r="P28218" s="2498"/>
    </row>
    <row r="28219" spans="16:16">
      <c r="P28219" s="2498"/>
    </row>
    <row r="28220" spans="16:16">
      <c r="P28220" s="2498"/>
    </row>
    <row r="28221" spans="16:16">
      <c r="P28221" s="2498"/>
    </row>
    <row r="28222" spans="16:16">
      <c r="P28222" s="2498"/>
    </row>
    <row r="28223" spans="16:16">
      <c r="P28223" s="2498"/>
    </row>
    <row r="28224" spans="16:16">
      <c r="P28224" s="2498"/>
    </row>
    <row r="28225" spans="16:16">
      <c r="P28225" s="2498"/>
    </row>
    <row r="28226" spans="16:16">
      <c r="P28226" s="2498"/>
    </row>
    <row r="28227" spans="16:16">
      <c r="P28227" s="2498"/>
    </row>
    <row r="28228" spans="16:16">
      <c r="P28228" s="2498"/>
    </row>
    <row r="28229" spans="16:16">
      <c r="P28229" s="2498"/>
    </row>
    <row r="28230" spans="16:16">
      <c r="P28230" s="2498"/>
    </row>
    <row r="28231" spans="16:16">
      <c r="P28231" s="2498"/>
    </row>
    <row r="28232" spans="16:16">
      <c r="P28232" s="2498"/>
    </row>
    <row r="28233" spans="16:16">
      <c r="P28233" s="2498"/>
    </row>
    <row r="28234" spans="16:16">
      <c r="P28234" s="2498"/>
    </row>
    <row r="28235" spans="16:16">
      <c r="P28235" s="2498"/>
    </row>
    <row r="28236" spans="16:16">
      <c r="P28236" s="2498"/>
    </row>
    <row r="28237" spans="16:16">
      <c r="P28237" s="2498"/>
    </row>
    <row r="28238" spans="16:16">
      <c r="P28238" s="2498"/>
    </row>
    <row r="28239" spans="16:16">
      <c r="P28239" s="2498"/>
    </row>
    <row r="28240" spans="16:16">
      <c r="P28240" s="2498"/>
    </row>
    <row r="28241" spans="16:16">
      <c r="P28241" s="2498"/>
    </row>
    <row r="28242" spans="16:16">
      <c r="P28242" s="2498"/>
    </row>
    <row r="28243" spans="16:16">
      <c r="P28243" s="2498"/>
    </row>
    <row r="28244" spans="16:16">
      <c r="P28244" s="2498"/>
    </row>
    <row r="28245" spans="16:16">
      <c r="P28245" s="2498"/>
    </row>
    <row r="28246" spans="16:16">
      <c r="P28246" s="2498"/>
    </row>
    <row r="28247" spans="16:16">
      <c r="P28247" s="2498"/>
    </row>
    <row r="28248" spans="16:16">
      <c r="P28248" s="2498"/>
    </row>
    <row r="28249" spans="16:16">
      <c r="P28249" s="2498"/>
    </row>
    <row r="28250" spans="16:16">
      <c r="P28250" s="2498"/>
    </row>
    <row r="28251" spans="16:16">
      <c r="P28251" s="2498"/>
    </row>
    <row r="28252" spans="16:16">
      <c r="P28252" s="2498"/>
    </row>
    <row r="28253" spans="16:16">
      <c r="P28253" s="2498"/>
    </row>
    <row r="28254" spans="16:16">
      <c r="P28254" s="2498"/>
    </row>
    <row r="28255" spans="16:16">
      <c r="P28255" s="2498"/>
    </row>
    <row r="28256" spans="16:16">
      <c r="P28256" s="2498"/>
    </row>
    <row r="28257" spans="16:16">
      <c r="P28257" s="2498"/>
    </row>
    <row r="28258" spans="16:16">
      <c r="P28258" s="2498"/>
    </row>
    <row r="28259" spans="16:16">
      <c r="P28259" s="2498"/>
    </row>
    <row r="28260" spans="16:16">
      <c r="P28260" s="2498"/>
    </row>
    <row r="28261" spans="16:16">
      <c r="P28261" s="2498"/>
    </row>
    <row r="28262" spans="16:16">
      <c r="P28262" s="2498"/>
    </row>
    <row r="28263" spans="16:16">
      <c r="P28263" s="2498"/>
    </row>
    <row r="28264" spans="16:16">
      <c r="P28264" s="2498"/>
    </row>
    <row r="28265" spans="16:16">
      <c r="P28265" s="2498"/>
    </row>
    <row r="28266" spans="16:16">
      <c r="P28266" s="2498"/>
    </row>
    <row r="28267" spans="16:16">
      <c r="P28267" s="2498"/>
    </row>
    <row r="28268" spans="16:16">
      <c r="P28268" s="2498"/>
    </row>
    <row r="28269" spans="16:16">
      <c r="P28269" s="2498"/>
    </row>
    <row r="28270" spans="16:16">
      <c r="P28270" s="2498"/>
    </row>
    <row r="28271" spans="16:16">
      <c r="P28271" s="2498"/>
    </row>
    <row r="28272" spans="16:16">
      <c r="P28272" s="2498"/>
    </row>
    <row r="28273" spans="16:16">
      <c r="P28273" s="2498"/>
    </row>
    <row r="28274" spans="16:16">
      <c r="P28274" s="2498"/>
    </row>
    <row r="28275" spans="16:16">
      <c r="P28275" s="2498"/>
    </row>
    <row r="28276" spans="16:16">
      <c r="P28276" s="2498"/>
    </row>
    <row r="28277" spans="16:16">
      <c r="P28277" s="2498"/>
    </row>
    <row r="28278" spans="16:16">
      <c r="P28278" s="2498"/>
    </row>
    <row r="28279" spans="16:16">
      <c r="P28279" s="2498"/>
    </row>
    <row r="28280" spans="16:16">
      <c r="P28280" s="2498"/>
    </row>
    <row r="28281" spans="16:16">
      <c r="P28281" s="2498"/>
    </row>
    <row r="28282" spans="16:16">
      <c r="P28282" s="2498"/>
    </row>
    <row r="28283" spans="16:16">
      <c r="P28283" s="2498"/>
    </row>
    <row r="28284" spans="16:16">
      <c r="P28284" s="2498"/>
    </row>
    <row r="28285" spans="16:16">
      <c r="P28285" s="2498"/>
    </row>
    <row r="28286" spans="16:16">
      <c r="P28286" s="2498"/>
    </row>
    <row r="28287" spans="16:16">
      <c r="P28287" s="2498"/>
    </row>
    <row r="28288" spans="16:16">
      <c r="P28288" s="2498"/>
    </row>
    <row r="28289" spans="16:16">
      <c r="P28289" s="2498"/>
    </row>
    <row r="28290" spans="16:16">
      <c r="P28290" s="2498"/>
    </row>
    <row r="28291" spans="16:16">
      <c r="P28291" s="2498"/>
    </row>
    <row r="28292" spans="16:16">
      <c r="P28292" s="2498"/>
    </row>
    <row r="28293" spans="16:16">
      <c r="P28293" s="2498"/>
    </row>
    <row r="28294" spans="16:16">
      <c r="P28294" s="2498"/>
    </row>
    <row r="28295" spans="16:16">
      <c r="P28295" s="2498"/>
    </row>
    <row r="28296" spans="16:16">
      <c r="P28296" s="2498"/>
    </row>
    <row r="28297" spans="16:16">
      <c r="P28297" s="2498"/>
    </row>
    <row r="28298" spans="16:16">
      <c r="P28298" s="2498"/>
    </row>
    <row r="28299" spans="16:16">
      <c r="P28299" s="2498"/>
    </row>
    <row r="28300" spans="16:16">
      <c r="P28300" s="2498"/>
    </row>
    <row r="28301" spans="16:16">
      <c r="P28301" s="2498"/>
    </row>
    <row r="28302" spans="16:16">
      <c r="P28302" s="2498"/>
    </row>
    <row r="28303" spans="16:16">
      <c r="P28303" s="2498"/>
    </row>
    <row r="28304" spans="16:16">
      <c r="P28304" s="2498"/>
    </row>
    <row r="28305" spans="16:16">
      <c r="P28305" s="2498"/>
    </row>
    <row r="28306" spans="16:16">
      <c r="P28306" s="2498"/>
    </row>
    <row r="28307" spans="16:16">
      <c r="P28307" s="2498"/>
    </row>
    <row r="28308" spans="16:16">
      <c r="P28308" s="2498"/>
    </row>
    <row r="28309" spans="16:16">
      <c r="P28309" s="2498"/>
    </row>
    <row r="28310" spans="16:16">
      <c r="P28310" s="2498"/>
    </row>
    <row r="28311" spans="16:16">
      <c r="P28311" s="2498"/>
    </row>
    <row r="28312" spans="16:16">
      <c r="P28312" s="2498"/>
    </row>
    <row r="28313" spans="16:16">
      <c r="P28313" s="2498"/>
    </row>
    <row r="28314" spans="16:16">
      <c r="P28314" s="2498"/>
    </row>
    <row r="28315" spans="16:16">
      <c r="P28315" s="2498"/>
    </row>
    <row r="28316" spans="16:16">
      <c r="P28316" s="2498"/>
    </row>
    <row r="28317" spans="16:16">
      <c r="P28317" s="2498"/>
    </row>
    <row r="28318" spans="16:16">
      <c r="P28318" s="2498"/>
    </row>
    <row r="28319" spans="16:16">
      <c r="P28319" s="2498"/>
    </row>
    <row r="28320" spans="16:16">
      <c r="P28320" s="2498"/>
    </row>
    <row r="28321" spans="16:16">
      <c r="P28321" s="2498"/>
    </row>
    <row r="28322" spans="16:16">
      <c r="P28322" s="2498"/>
    </row>
    <row r="28323" spans="16:16">
      <c r="P28323" s="2498"/>
    </row>
    <row r="28324" spans="16:16">
      <c r="P28324" s="2498"/>
    </row>
    <row r="28325" spans="16:16">
      <c r="P28325" s="2498"/>
    </row>
    <row r="28326" spans="16:16">
      <c r="P28326" s="2498"/>
    </row>
    <row r="28327" spans="16:16">
      <c r="P28327" s="2498"/>
    </row>
    <row r="28328" spans="16:16">
      <c r="P28328" s="2498"/>
    </row>
    <row r="28329" spans="16:16">
      <c r="P28329" s="2498"/>
    </row>
    <row r="28330" spans="16:16">
      <c r="P28330" s="2498"/>
    </row>
    <row r="28331" spans="16:16">
      <c r="P28331" s="2498"/>
    </row>
    <row r="28332" spans="16:16">
      <c r="P28332" s="2498"/>
    </row>
    <row r="28333" spans="16:16">
      <c r="P28333" s="2498"/>
    </row>
    <row r="28334" spans="16:16">
      <c r="P28334" s="2498"/>
    </row>
    <row r="28335" spans="16:16">
      <c r="P28335" s="2498"/>
    </row>
    <row r="28336" spans="16:16">
      <c r="P28336" s="2498"/>
    </row>
    <row r="28337" spans="16:16">
      <c r="P28337" s="2498"/>
    </row>
    <row r="28338" spans="16:16">
      <c r="P28338" s="2498"/>
    </row>
    <row r="28339" spans="16:16">
      <c r="P28339" s="2498"/>
    </row>
    <row r="28340" spans="16:16">
      <c r="P28340" s="2498"/>
    </row>
    <row r="28341" spans="16:16">
      <c r="P28341" s="2498"/>
    </row>
    <row r="28342" spans="16:16">
      <c r="P28342" s="2498"/>
    </row>
    <row r="28343" spans="16:16">
      <c r="P28343" s="2498"/>
    </row>
    <row r="28344" spans="16:16">
      <c r="P28344" s="2498"/>
    </row>
    <row r="28345" spans="16:16">
      <c r="P28345" s="2498"/>
    </row>
    <row r="28346" spans="16:16">
      <c r="P28346" s="2498"/>
    </row>
    <row r="28347" spans="16:16">
      <c r="P28347" s="2498"/>
    </row>
    <row r="28348" spans="16:16">
      <c r="P28348" s="2498"/>
    </row>
    <row r="28349" spans="16:16">
      <c r="P28349" s="2498"/>
    </row>
    <row r="28350" spans="16:16">
      <c r="P28350" s="2498"/>
    </row>
    <row r="28351" spans="16:16">
      <c r="P28351" s="2498"/>
    </row>
    <row r="28352" spans="16:16">
      <c r="P28352" s="2498"/>
    </row>
    <row r="28353" spans="16:16">
      <c r="P28353" s="2498"/>
    </row>
    <row r="28354" spans="16:16">
      <c r="P28354" s="2498"/>
    </row>
    <row r="28355" spans="16:16">
      <c r="P28355" s="2498"/>
    </row>
    <row r="28356" spans="16:16">
      <c r="P28356" s="2498"/>
    </row>
    <row r="28357" spans="16:16">
      <c r="P28357" s="2498"/>
    </row>
    <row r="28358" spans="16:16">
      <c r="P28358" s="2498"/>
    </row>
    <row r="28359" spans="16:16">
      <c r="P28359" s="2498"/>
    </row>
    <row r="28360" spans="16:16">
      <c r="P28360" s="2498"/>
    </row>
    <row r="28361" spans="16:16">
      <c r="P28361" s="2498"/>
    </row>
    <row r="28362" spans="16:16">
      <c r="P28362" s="2498"/>
    </row>
    <row r="28363" spans="16:16">
      <c r="P28363" s="2498"/>
    </row>
    <row r="28364" spans="16:16">
      <c r="P28364" s="2498"/>
    </row>
    <row r="28365" spans="16:16">
      <c r="P28365" s="2498"/>
    </row>
    <row r="28366" spans="16:16">
      <c r="P28366" s="2498"/>
    </row>
    <row r="28367" spans="16:16">
      <c r="P28367" s="2498"/>
    </row>
    <row r="28368" spans="16:16">
      <c r="P28368" s="2498"/>
    </row>
    <row r="28369" spans="16:16">
      <c r="P28369" s="2498"/>
    </row>
    <row r="28370" spans="16:16">
      <c r="P28370" s="2498"/>
    </row>
    <row r="28371" spans="16:16">
      <c r="P28371" s="2498"/>
    </row>
    <row r="28372" spans="16:16">
      <c r="P28372" s="2498"/>
    </row>
    <row r="28373" spans="16:16">
      <c r="P28373" s="2498"/>
    </row>
    <row r="28374" spans="16:16">
      <c r="P28374" s="2498"/>
    </row>
    <row r="28375" spans="16:16">
      <c r="P28375" s="2498"/>
    </row>
    <row r="28376" spans="16:16">
      <c r="P28376" s="2498"/>
    </row>
    <row r="28377" spans="16:16">
      <c r="P28377" s="2498"/>
    </row>
    <row r="28378" spans="16:16">
      <c r="P28378" s="2498"/>
    </row>
    <row r="28379" spans="16:16">
      <c r="P28379" s="2498"/>
    </row>
    <row r="28380" spans="16:16">
      <c r="P28380" s="2498"/>
    </row>
    <row r="28381" spans="16:16">
      <c r="P28381" s="2498"/>
    </row>
    <row r="28382" spans="16:16">
      <c r="P28382" s="2498"/>
    </row>
    <row r="28383" spans="16:16">
      <c r="P28383" s="2498"/>
    </row>
    <row r="28384" spans="16:16">
      <c r="P28384" s="2498"/>
    </row>
    <row r="28385" spans="16:16">
      <c r="P28385" s="2498"/>
    </row>
    <row r="28386" spans="16:16">
      <c r="P28386" s="2498"/>
    </row>
    <row r="28387" spans="16:16">
      <c r="P28387" s="2498"/>
    </row>
    <row r="28388" spans="16:16">
      <c r="P28388" s="2498"/>
    </row>
    <row r="28389" spans="16:16">
      <c r="P28389" s="2498"/>
    </row>
    <row r="28390" spans="16:16">
      <c r="P28390" s="2498"/>
    </row>
    <row r="28391" spans="16:16">
      <c r="P28391" s="2498"/>
    </row>
    <row r="28392" spans="16:16">
      <c r="P28392" s="2498"/>
    </row>
    <row r="28393" spans="16:16">
      <c r="P28393" s="2498"/>
    </row>
    <row r="28394" spans="16:16">
      <c r="P28394" s="2498"/>
    </row>
    <row r="28395" spans="16:16">
      <c r="P28395" s="2498"/>
    </row>
    <row r="28396" spans="16:16">
      <c r="P28396" s="2498"/>
    </row>
    <row r="28397" spans="16:16">
      <c r="P28397" s="2498"/>
    </row>
    <row r="28398" spans="16:16">
      <c r="P28398" s="2498"/>
    </row>
    <row r="28399" spans="16:16">
      <c r="P28399" s="2498"/>
    </row>
    <row r="28400" spans="16:16">
      <c r="P28400" s="2498"/>
    </row>
    <row r="28401" spans="16:16">
      <c r="P28401" s="2498"/>
    </row>
    <row r="28402" spans="16:16">
      <c r="P28402" s="2498"/>
    </row>
    <row r="28403" spans="16:16">
      <c r="P28403" s="2498"/>
    </row>
    <row r="28404" spans="16:16">
      <c r="P28404" s="2498"/>
    </row>
    <row r="28405" spans="16:16">
      <c r="P28405" s="2498"/>
    </row>
    <row r="28406" spans="16:16">
      <c r="P28406" s="2498"/>
    </row>
    <row r="28407" spans="16:16">
      <c r="P28407" s="2498"/>
    </row>
    <row r="28408" spans="16:16">
      <c r="P28408" s="2498"/>
    </row>
    <row r="28409" spans="16:16">
      <c r="P28409" s="2498"/>
    </row>
    <row r="28410" spans="16:16">
      <c r="P28410" s="2498"/>
    </row>
    <row r="28411" spans="16:16">
      <c r="P28411" s="2498"/>
    </row>
    <row r="28412" spans="16:16">
      <c r="P28412" s="2498"/>
    </row>
    <row r="28413" spans="16:16">
      <c r="P28413" s="2498"/>
    </row>
    <row r="28414" spans="16:16">
      <c r="P28414" s="2498"/>
    </row>
    <row r="28415" spans="16:16">
      <c r="P28415" s="2498"/>
    </row>
    <row r="28416" spans="16:16">
      <c r="P28416" s="2498"/>
    </row>
    <row r="28417" spans="16:16">
      <c r="P28417" s="2498"/>
    </row>
    <row r="28418" spans="16:16">
      <c r="P28418" s="2498"/>
    </row>
    <row r="28419" spans="16:16">
      <c r="P28419" s="2498"/>
    </row>
    <row r="28420" spans="16:16">
      <c r="P28420" s="2498"/>
    </row>
    <row r="28421" spans="16:16">
      <c r="P28421" s="2498"/>
    </row>
    <row r="28422" spans="16:16">
      <c r="P28422" s="2498"/>
    </row>
    <row r="28423" spans="16:16">
      <c r="P28423" s="2498"/>
    </row>
    <row r="28424" spans="16:16">
      <c r="P28424" s="2498"/>
    </row>
    <row r="28425" spans="16:16">
      <c r="P28425" s="2498"/>
    </row>
    <row r="28426" spans="16:16">
      <c r="P28426" s="2498"/>
    </row>
    <row r="28427" spans="16:16">
      <c r="P28427" s="2498"/>
    </row>
    <row r="28428" spans="16:16">
      <c r="P28428" s="2498"/>
    </row>
    <row r="28429" spans="16:16">
      <c r="P28429" s="2498"/>
    </row>
    <row r="28430" spans="16:16">
      <c r="P28430" s="2498"/>
    </row>
    <row r="28431" spans="16:16">
      <c r="P28431" s="2498"/>
    </row>
    <row r="28432" spans="16:16">
      <c r="P28432" s="2498"/>
    </row>
    <row r="28433" spans="16:16">
      <c r="P28433" s="2498"/>
    </row>
    <row r="28434" spans="16:16">
      <c r="P28434" s="2498"/>
    </row>
    <row r="28435" spans="16:16">
      <c r="P28435" s="2498"/>
    </row>
    <row r="28436" spans="16:16">
      <c r="P28436" s="2498"/>
    </row>
    <row r="28437" spans="16:16">
      <c r="P28437" s="2498"/>
    </row>
    <row r="28438" spans="16:16">
      <c r="P28438" s="2498"/>
    </row>
    <row r="28439" spans="16:16">
      <c r="P28439" s="2498"/>
    </row>
    <row r="28440" spans="16:16">
      <c r="P28440" s="2498"/>
    </row>
    <row r="28441" spans="16:16">
      <c r="P28441" s="2498"/>
    </row>
    <row r="28442" spans="16:16">
      <c r="P28442" s="2498"/>
    </row>
    <row r="28443" spans="16:16">
      <c r="P28443" s="2498"/>
    </row>
    <row r="28444" spans="16:16">
      <c r="P28444" s="2498"/>
    </row>
    <row r="28445" spans="16:16">
      <c r="P28445" s="2498"/>
    </row>
    <row r="28446" spans="16:16">
      <c r="P28446" s="2498"/>
    </row>
    <row r="28447" spans="16:16">
      <c r="P28447" s="2498"/>
    </row>
    <row r="28448" spans="16:16">
      <c r="P28448" s="2498"/>
    </row>
    <row r="28449" spans="16:16">
      <c r="P28449" s="2498"/>
    </row>
    <row r="28450" spans="16:16">
      <c r="P28450" s="2498"/>
    </row>
    <row r="28451" spans="16:16">
      <c r="P28451" s="2498"/>
    </row>
    <row r="28452" spans="16:16">
      <c r="P28452" s="2498"/>
    </row>
    <row r="28453" spans="16:16">
      <c r="P28453" s="2498"/>
    </row>
    <row r="28454" spans="16:16">
      <c r="P28454" s="2498"/>
    </row>
    <row r="28455" spans="16:16">
      <c r="P28455" s="2498"/>
    </row>
    <row r="28456" spans="16:16">
      <c r="P28456" s="2498"/>
    </row>
    <row r="28457" spans="16:16">
      <c r="P28457" s="2498"/>
    </row>
    <row r="28458" spans="16:16">
      <c r="P28458" s="2498"/>
    </row>
    <row r="28459" spans="16:16">
      <c r="P28459" s="2498"/>
    </row>
    <row r="28460" spans="16:16">
      <c r="P28460" s="2498"/>
    </row>
    <row r="28461" spans="16:16">
      <c r="P28461" s="2498"/>
    </row>
    <row r="28462" spans="16:16">
      <c r="P28462" s="2498"/>
    </row>
    <row r="28463" spans="16:16">
      <c r="P28463" s="2498"/>
    </row>
    <row r="28464" spans="16:16">
      <c r="P28464" s="2498"/>
    </row>
    <row r="28465" spans="16:16">
      <c r="P28465" s="2498"/>
    </row>
    <row r="28466" spans="16:16">
      <c r="P28466" s="2498"/>
    </row>
    <row r="28467" spans="16:16">
      <c r="P28467" s="2498"/>
    </row>
    <row r="28468" spans="16:16">
      <c r="P28468" s="2498"/>
    </row>
    <row r="28469" spans="16:16">
      <c r="P28469" s="2498"/>
    </row>
    <row r="28470" spans="16:16">
      <c r="P28470" s="2498"/>
    </row>
    <row r="28471" spans="16:16">
      <c r="P28471" s="2498"/>
    </row>
    <row r="28472" spans="16:16">
      <c r="P28472" s="2498"/>
    </row>
    <row r="28473" spans="16:16">
      <c r="P28473" s="2498"/>
    </row>
    <row r="28474" spans="16:16">
      <c r="P28474" s="2498"/>
    </row>
    <row r="28475" spans="16:16">
      <c r="P28475" s="2498"/>
    </row>
    <row r="28476" spans="16:16">
      <c r="P28476" s="2498"/>
    </row>
    <row r="28477" spans="16:16">
      <c r="P28477" s="2498"/>
    </row>
    <row r="28478" spans="16:16">
      <c r="P28478" s="2498"/>
    </row>
    <row r="28479" spans="16:16">
      <c r="P28479" s="2498"/>
    </row>
    <row r="28480" spans="16:16">
      <c r="P28480" s="2498"/>
    </row>
    <row r="28481" spans="16:16">
      <c r="P28481" s="2498"/>
    </row>
    <row r="28482" spans="16:16">
      <c r="P28482" s="2498"/>
    </row>
    <row r="28483" spans="16:16">
      <c r="P28483" s="2498"/>
    </row>
    <row r="28484" spans="16:16">
      <c r="P28484" s="2498"/>
    </row>
    <row r="28485" spans="16:16">
      <c r="P28485" s="2498"/>
    </row>
    <row r="28486" spans="16:16">
      <c r="P28486" s="2498"/>
    </row>
    <row r="28487" spans="16:16">
      <c r="P28487" s="2498"/>
    </row>
    <row r="28488" spans="16:16">
      <c r="P28488" s="2498"/>
    </row>
    <row r="28489" spans="16:16">
      <c r="P28489" s="2498"/>
    </row>
    <row r="28490" spans="16:16">
      <c r="P28490" s="2498"/>
    </row>
    <row r="28491" spans="16:16">
      <c r="P28491" s="2498"/>
    </row>
    <row r="28492" spans="16:16">
      <c r="P28492" s="2498"/>
    </row>
    <row r="28493" spans="16:16">
      <c r="P28493" s="2498"/>
    </row>
    <row r="28494" spans="16:16">
      <c r="P28494" s="2498"/>
    </row>
    <row r="28495" spans="16:16">
      <c r="P28495" s="2498"/>
    </row>
    <row r="28496" spans="16:16">
      <c r="P28496" s="2498"/>
    </row>
    <row r="28497" spans="16:16">
      <c r="P28497" s="2498"/>
    </row>
    <row r="28498" spans="16:16">
      <c r="P28498" s="2498"/>
    </row>
    <row r="28499" spans="16:16">
      <c r="P28499" s="2498"/>
    </row>
    <row r="28500" spans="16:16">
      <c r="P28500" s="2498"/>
    </row>
    <row r="28501" spans="16:16">
      <c r="P28501" s="2498"/>
    </row>
    <row r="28502" spans="16:16">
      <c r="P28502" s="2498"/>
    </row>
    <row r="28503" spans="16:16">
      <c r="P28503" s="2498"/>
    </row>
    <row r="28504" spans="16:16">
      <c r="P28504" s="2498"/>
    </row>
    <row r="28505" spans="16:16">
      <c r="P28505" s="2498"/>
    </row>
    <row r="28506" spans="16:16">
      <c r="P28506" s="2498"/>
    </row>
    <row r="28507" spans="16:16">
      <c r="P28507" s="2498"/>
    </row>
    <row r="28508" spans="16:16">
      <c r="P28508" s="2498"/>
    </row>
    <row r="28509" spans="16:16">
      <c r="P28509" s="2498"/>
    </row>
    <row r="28510" spans="16:16">
      <c r="P28510" s="2498"/>
    </row>
    <row r="28511" spans="16:16">
      <c r="P28511" s="2498"/>
    </row>
    <row r="28512" spans="16:16">
      <c r="P28512" s="2498"/>
    </row>
    <row r="28513" spans="16:16">
      <c r="P28513" s="2498"/>
    </row>
    <row r="28514" spans="16:16">
      <c r="P28514" s="2498"/>
    </row>
    <row r="28515" spans="16:16">
      <c r="P28515" s="2498"/>
    </row>
    <row r="28516" spans="16:16">
      <c r="P28516" s="2498"/>
    </row>
    <row r="28517" spans="16:16">
      <c r="P28517" s="2498"/>
    </row>
    <row r="28518" spans="16:16">
      <c r="P28518" s="2498"/>
    </row>
    <row r="28519" spans="16:16">
      <c r="P28519" s="2498"/>
    </row>
    <row r="28520" spans="16:16">
      <c r="P28520" s="2498"/>
    </row>
    <row r="28521" spans="16:16">
      <c r="P28521" s="2498"/>
    </row>
    <row r="28522" spans="16:16">
      <c r="P28522" s="2498"/>
    </row>
    <row r="28523" spans="16:16">
      <c r="P28523" s="2498"/>
    </row>
    <row r="28524" spans="16:16">
      <c r="P28524" s="2498"/>
    </row>
    <row r="28525" spans="16:16">
      <c r="P28525" s="2498"/>
    </row>
    <row r="28526" spans="16:16">
      <c r="P28526" s="2498"/>
    </row>
    <row r="28527" spans="16:16">
      <c r="P28527" s="2498"/>
    </row>
    <row r="28528" spans="16:16">
      <c r="P28528" s="2498"/>
    </row>
    <row r="28529" spans="16:16">
      <c r="P28529" s="2498"/>
    </row>
    <row r="28530" spans="16:16">
      <c r="P28530" s="2498"/>
    </row>
    <row r="28531" spans="16:16">
      <c r="P28531" s="2498"/>
    </row>
    <row r="28532" spans="16:16">
      <c r="P28532" s="2498"/>
    </row>
    <row r="28533" spans="16:16">
      <c r="P28533" s="2498"/>
    </row>
    <row r="28534" spans="16:16">
      <c r="P28534" s="2498"/>
    </row>
    <row r="28535" spans="16:16">
      <c r="P28535" s="2498"/>
    </row>
    <row r="28536" spans="16:16">
      <c r="P28536" s="2498"/>
    </row>
    <row r="28537" spans="16:16">
      <c r="P28537" s="2498"/>
    </row>
    <row r="28538" spans="16:16">
      <c r="P28538" s="2498"/>
    </row>
    <row r="28539" spans="16:16">
      <c r="P28539" s="2498"/>
    </row>
    <row r="28540" spans="16:16">
      <c r="P28540" s="2498"/>
    </row>
    <row r="28541" spans="16:16">
      <c r="P28541" s="2498"/>
    </row>
    <row r="28542" spans="16:16">
      <c r="P28542" s="2498"/>
    </row>
    <row r="28543" spans="16:16">
      <c r="P28543" s="2498"/>
    </row>
    <row r="28544" spans="16:16">
      <c r="P28544" s="2498"/>
    </row>
    <row r="28545" spans="16:16">
      <c r="P28545" s="2498"/>
    </row>
    <row r="28546" spans="16:16">
      <c r="P28546" s="2498"/>
    </row>
    <row r="28547" spans="16:16">
      <c r="P28547" s="2498"/>
    </row>
    <row r="28548" spans="16:16">
      <c r="P28548" s="2498"/>
    </row>
    <row r="28549" spans="16:16">
      <c r="P28549" s="2498"/>
    </row>
    <row r="28550" spans="16:16">
      <c r="P28550" s="2498"/>
    </row>
    <row r="28551" spans="16:16">
      <c r="P28551" s="2498"/>
    </row>
    <row r="28552" spans="16:16">
      <c r="P28552" s="2498"/>
    </row>
    <row r="28553" spans="16:16">
      <c r="P28553" s="2498"/>
    </row>
    <row r="28554" spans="16:16">
      <c r="P28554" s="2498"/>
    </row>
    <row r="28555" spans="16:16">
      <c r="P28555" s="2498"/>
    </row>
    <row r="28556" spans="16:16">
      <c r="P28556" s="2498"/>
    </row>
    <row r="28557" spans="16:16">
      <c r="P28557" s="2498"/>
    </row>
    <row r="28558" spans="16:16">
      <c r="P28558" s="2498"/>
    </row>
    <row r="28559" spans="16:16">
      <c r="P28559" s="2498"/>
    </row>
    <row r="28560" spans="16:16">
      <c r="P28560" s="2498"/>
    </row>
    <row r="28561" spans="16:16">
      <c r="P28561" s="2498"/>
    </row>
    <row r="28562" spans="16:16">
      <c r="P28562" s="2498"/>
    </row>
    <row r="28563" spans="16:16">
      <c r="P28563" s="2498"/>
    </row>
    <row r="28564" spans="16:16">
      <c r="P28564" s="2498"/>
    </row>
    <row r="28565" spans="16:16">
      <c r="P28565" s="2498"/>
    </row>
    <row r="28566" spans="16:16">
      <c r="P28566" s="2498"/>
    </row>
    <row r="28567" spans="16:16">
      <c r="P28567" s="2498"/>
    </row>
    <row r="28568" spans="16:16">
      <c r="P28568" s="2498"/>
    </row>
    <row r="28569" spans="16:16">
      <c r="P28569" s="2498"/>
    </row>
    <row r="28570" spans="16:16">
      <c r="P28570" s="2498"/>
    </row>
    <row r="28571" spans="16:16">
      <c r="P28571" s="2498"/>
    </row>
    <row r="28572" spans="16:16">
      <c r="P28572" s="2498"/>
    </row>
    <row r="28573" spans="16:16">
      <c r="P28573" s="2498"/>
    </row>
    <row r="28574" spans="16:16">
      <c r="P28574" s="2498"/>
    </row>
    <row r="28575" spans="16:16">
      <c r="P28575" s="2498"/>
    </row>
    <row r="28576" spans="16:16">
      <c r="P28576" s="2498"/>
    </row>
    <row r="28577" spans="16:16">
      <c r="P28577" s="2498"/>
    </row>
    <row r="28578" spans="16:16">
      <c r="P28578" s="2498"/>
    </row>
    <row r="28579" spans="16:16">
      <c r="P28579" s="2498"/>
    </row>
    <row r="28580" spans="16:16">
      <c r="P28580" s="2498"/>
    </row>
    <row r="28581" spans="16:16">
      <c r="P28581" s="2498"/>
    </row>
    <row r="28582" spans="16:16">
      <c r="P28582" s="2498"/>
    </row>
    <row r="28583" spans="16:16">
      <c r="P28583" s="2498"/>
    </row>
    <row r="28584" spans="16:16">
      <c r="P28584" s="2498"/>
    </row>
    <row r="28585" spans="16:16">
      <c r="P28585" s="2498"/>
    </row>
    <row r="28586" spans="16:16">
      <c r="P28586" s="2498"/>
    </row>
    <row r="28587" spans="16:16">
      <c r="P28587" s="2498"/>
    </row>
    <row r="28588" spans="16:16">
      <c r="P28588" s="2498"/>
    </row>
    <row r="28589" spans="16:16">
      <c r="P28589" s="2498"/>
    </row>
    <row r="28590" spans="16:16">
      <c r="P28590" s="2498"/>
    </row>
    <row r="28591" spans="16:16">
      <c r="P28591" s="2498"/>
    </row>
    <row r="28592" spans="16:16">
      <c r="P28592" s="2498"/>
    </row>
    <row r="28593" spans="16:16">
      <c r="P28593" s="2498"/>
    </row>
    <row r="28594" spans="16:16">
      <c r="P28594" s="2498"/>
    </row>
    <row r="28595" spans="16:16">
      <c r="P28595" s="2498"/>
    </row>
    <row r="28596" spans="16:16">
      <c r="P28596" s="2498"/>
    </row>
    <row r="28597" spans="16:16">
      <c r="P28597" s="2498"/>
    </row>
    <row r="28598" spans="16:16">
      <c r="P28598" s="2498"/>
    </row>
    <row r="28599" spans="16:16">
      <c r="P28599" s="2498"/>
    </row>
    <row r="28600" spans="16:16">
      <c r="P28600" s="2498"/>
    </row>
    <row r="28601" spans="16:16">
      <c r="P28601" s="2498"/>
    </row>
    <row r="28602" spans="16:16">
      <c r="P28602" s="2498"/>
    </row>
    <row r="28603" spans="16:16">
      <c r="P28603" s="2498"/>
    </row>
    <row r="28604" spans="16:16">
      <c r="P28604" s="2498"/>
    </row>
    <row r="28605" spans="16:16">
      <c r="P28605" s="2498"/>
    </row>
    <row r="28606" spans="16:16">
      <c r="P28606" s="2498"/>
    </row>
    <row r="28607" spans="16:16">
      <c r="P28607" s="2498"/>
    </row>
    <row r="28608" spans="16:16">
      <c r="P28608" s="2498"/>
    </row>
    <row r="28609" spans="16:16">
      <c r="P28609" s="2498"/>
    </row>
    <row r="28610" spans="16:16">
      <c r="P28610" s="2498"/>
    </row>
    <row r="28611" spans="16:16">
      <c r="P28611" s="2498"/>
    </row>
    <row r="28612" spans="16:16">
      <c r="P28612" s="2498"/>
    </row>
    <row r="28613" spans="16:16">
      <c r="P28613" s="2498"/>
    </row>
    <row r="28614" spans="16:16">
      <c r="P28614" s="2498"/>
    </row>
    <row r="28615" spans="16:16">
      <c r="P28615" s="2498"/>
    </row>
    <row r="28616" spans="16:16">
      <c r="P28616" s="2498"/>
    </row>
    <row r="28617" spans="16:16">
      <c r="P28617" s="2498"/>
    </row>
    <row r="28618" spans="16:16">
      <c r="P28618" s="2498"/>
    </row>
    <row r="28619" spans="16:16">
      <c r="P28619" s="2498"/>
    </row>
    <row r="28620" spans="16:16">
      <c r="P28620" s="2498"/>
    </row>
    <row r="28621" spans="16:16">
      <c r="P28621" s="2498"/>
    </row>
    <row r="28622" spans="16:16">
      <c r="P28622" s="2498"/>
    </row>
    <row r="28623" spans="16:16">
      <c r="P28623" s="2498"/>
    </row>
    <row r="28624" spans="16:16">
      <c r="P28624" s="2498"/>
    </row>
    <row r="28625" spans="16:16">
      <c r="P28625" s="2498"/>
    </row>
    <row r="28626" spans="16:16">
      <c r="P28626" s="2498"/>
    </row>
    <row r="28627" spans="16:16">
      <c r="P28627" s="2498"/>
    </row>
    <row r="28628" spans="16:16">
      <c r="P28628" s="2498"/>
    </row>
    <row r="28629" spans="16:16">
      <c r="P28629" s="2498"/>
    </row>
    <row r="28630" spans="16:16">
      <c r="P28630" s="2498"/>
    </row>
    <row r="28631" spans="16:16">
      <c r="P28631" s="2498"/>
    </row>
    <row r="28632" spans="16:16">
      <c r="P28632" s="2498"/>
    </row>
    <row r="28633" spans="16:16">
      <c r="P28633" s="2498"/>
    </row>
    <row r="28634" spans="16:16">
      <c r="P28634" s="2498"/>
    </row>
    <row r="28635" spans="16:16">
      <c r="P28635" s="2498"/>
    </row>
    <row r="28636" spans="16:16">
      <c r="P28636" s="2498"/>
    </row>
    <row r="28637" spans="16:16">
      <c r="P28637" s="2498"/>
    </row>
    <row r="28638" spans="16:16">
      <c r="P28638" s="2498"/>
    </row>
    <row r="28639" spans="16:16">
      <c r="P28639" s="2498"/>
    </row>
    <row r="28640" spans="16:16">
      <c r="P28640" s="2498"/>
    </row>
    <row r="28641" spans="16:16">
      <c r="P28641" s="2498"/>
    </row>
    <row r="28642" spans="16:16">
      <c r="P28642" s="2498"/>
    </row>
    <row r="28643" spans="16:16">
      <c r="P28643" s="2498"/>
    </row>
    <row r="28644" spans="16:16">
      <c r="P28644" s="2498"/>
    </row>
    <row r="28645" spans="16:16">
      <c r="P28645" s="2498"/>
    </row>
    <row r="28646" spans="16:16">
      <c r="P28646" s="2498"/>
    </row>
    <row r="28647" spans="16:16">
      <c r="P28647" s="2498"/>
    </row>
    <row r="28648" spans="16:16">
      <c r="P28648" s="2498"/>
    </row>
    <row r="28649" spans="16:16">
      <c r="P28649" s="2498"/>
    </row>
    <row r="28650" spans="16:16">
      <c r="P28650" s="2498"/>
    </row>
    <row r="28651" spans="16:16">
      <c r="P28651" s="2498"/>
    </row>
    <row r="28652" spans="16:16">
      <c r="P28652" s="2498"/>
    </row>
    <row r="28653" spans="16:16">
      <c r="P28653" s="2498"/>
    </row>
    <row r="28654" spans="16:16">
      <c r="P28654" s="2498"/>
    </row>
    <row r="28655" spans="16:16">
      <c r="P28655" s="2498"/>
    </row>
    <row r="28656" spans="16:16">
      <c r="P28656" s="2498"/>
    </row>
    <row r="28657" spans="16:16">
      <c r="P28657" s="2498"/>
    </row>
    <row r="28658" spans="16:16">
      <c r="P28658" s="2498"/>
    </row>
    <row r="28659" spans="16:16">
      <c r="P28659" s="2498"/>
    </row>
    <row r="28660" spans="16:16">
      <c r="P28660" s="2498"/>
    </row>
    <row r="28661" spans="16:16">
      <c r="P28661" s="2498"/>
    </row>
    <row r="28662" spans="16:16">
      <c r="P28662" s="2498"/>
    </row>
    <row r="28663" spans="16:16">
      <c r="P28663" s="2498"/>
    </row>
    <row r="28664" spans="16:16">
      <c r="P28664" s="2498"/>
    </row>
    <row r="28665" spans="16:16">
      <c r="P28665" s="2498"/>
    </row>
    <row r="28666" spans="16:16">
      <c r="P28666" s="2498"/>
    </row>
    <row r="28667" spans="16:16">
      <c r="P28667" s="2498"/>
    </row>
    <row r="28668" spans="16:16">
      <c r="P28668" s="2498"/>
    </row>
    <row r="28669" spans="16:16">
      <c r="P28669" s="2498"/>
    </row>
    <row r="28670" spans="16:16">
      <c r="P28670" s="2498"/>
    </row>
    <row r="28671" spans="16:16">
      <c r="P28671" s="2498"/>
    </row>
    <row r="28672" spans="16:16">
      <c r="P28672" s="2498"/>
    </row>
    <row r="28673" spans="16:16">
      <c r="P28673" s="2498"/>
    </row>
    <row r="28674" spans="16:16">
      <c r="P28674" s="2498"/>
    </row>
    <row r="28675" spans="16:16">
      <c r="P28675" s="2498"/>
    </row>
    <row r="28676" spans="16:16">
      <c r="P28676" s="2498"/>
    </row>
    <row r="28677" spans="16:16">
      <c r="P28677" s="2498"/>
    </row>
    <row r="28678" spans="16:16">
      <c r="P28678" s="2498"/>
    </row>
    <row r="28679" spans="16:16">
      <c r="P28679" s="2498"/>
    </row>
    <row r="28680" spans="16:16">
      <c r="P28680" s="2498"/>
    </row>
    <row r="28681" spans="16:16">
      <c r="P28681" s="2498"/>
    </row>
    <row r="28682" spans="16:16">
      <c r="P28682" s="2498"/>
    </row>
    <row r="28683" spans="16:16">
      <c r="P28683" s="2498"/>
    </row>
    <row r="28684" spans="16:16">
      <c r="P28684" s="2498"/>
    </row>
    <row r="28685" spans="16:16">
      <c r="P28685" s="2498"/>
    </row>
    <row r="28686" spans="16:16">
      <c r="P28686" s="2498"/>
    </row>
    <row r="28687" spans="16:16">
      <c r="P28687" s="2498"/>
    </row>
    <row r="28688" spans="16:16">
      <c r="P28688" s="2498"/>
    </row>
    <row r="28689" spans="16:16">
      <c r="P28689" s="2498"/>
    </row>
    <row r="28690" spans="16:16">
      <c r="P28690" s="2498"/>
    </row>
    <row r="28691" spans="16:16">
      <c r="P28691" s="2498"/>
    </row>
    <row r="28692" spans="16:16">
      <c r="P28692" s="2498"/>
    </row>
    <row r="28693" spans="16:16">
      <c r="P28693" s="2498"/>
    </row>
    <row r="28694" spans="16:16">
      <c r="P28694" s="2498"/>
    </row>
    <row r="28695" spans="16:16">
      <c r="P28695" s="2498"/>
    </row>
    <row r="28696" spans="16:16">
      <c r="P28696" s="2498"/>
    </row>
    <row r="28697" spans="16:16">
      <c r="P28697" s="2498"/>
    </row>
    <row r="28698" spans="16:16">
      <c r="P28698" s="2498"/>
    </row>
    <row r="28699" spans="16:16">
      <c r="P28699" s="2498"/>
    </row>
    <row r="28700" spans="16:16">
      <c r="P28700" s="2498"/>
    </row>
    <row r="28701" spans="16:16">
      <c r="P28701" s="2498"/>
    </row>
    <row r="28702" spans="16:16">
      <c r="P28702" s="2498"/>
    </row>
    <row r="28703" spans="16:16">
      <c r="P28703" s="2498"/>
    </row>
    <row r="28704" spans="16:16">
      <c r="P28704" s="2498"/>
    </row>
    <row r="28705" spans="16:16">
      <c r="P28705" s="2498"/>
    </row>
    <row r="28706" spans="16:16">
      <c r="P28706" s="2498"/>
    </row>
    <row r="28707" spans="16:16">
      <c r="P28707" s="2498"/>
    </row>
    <row r="28708" spans="16:16">
      <c r="P28708" s="2498"/>
    </row>
    <row r="28709" spans="16:16">
      <c r="P28709" s="2498"/>
    </row>
    <row r="28710" spans="16:16">
      <c r="P28710" s="2498"/>
    </row>
    <row r="28711" spans="16:16">
      <c r="P28711" s="2498"/>
    </row>
    <row r="28712" spans="16:16">
      <c r="P28712" s="2498"/>
    </row>
    <row r="28713" spans="16:16">
      <c r="P28713" s="2498"/>
    </row>
    <row r="28714" spans="16:16">
      <c r="P28714" s="2498"/>
    </row>
    <row r="28715" spans="16:16">
      <c r="P28715" s="2498"/>
    </row>
    <row r="28716" spans="16:16">
      <c r="P28716" s="2498"/>
    </row>
    <row r="28717" spans="16:16">
      <c r="P28717" s="2498"/>
    </row>
    <row r="28718" spans="16:16">
      <c r="P28718" s="2498"/>
    </row>
    <row r="28719" spans="16:16">
      <c r="P28719" s="2498"/>
    </row>
    <row r="28720" spans="16:16">
      <c r="P28720" s="2498"/>
    </row>
    <row r="28721" spans="16:16">
      <c r="P28721" s="2498"/>
    </row>
    <row r="28722" spans="16:16">
      <c r="P28722" s="2498"/>
    </row>
    <row r="28723" spans="16:16">
      <c r="P28723" s="2498"/>
    </row>
    <row r="28724" spans="16:16">
      <c r="P28724" s="2498"/>
    </row>
    <row r="28725" spans="16:16">
      <c r="P28725" s="2498"/>
    </row>
    <row r="28726" spans="16:16">
      <c r="P28726" s="2498"/>
    </row>
    <row r="28727" spans="16:16">
      <c r="P28727" s="2498"/>
    </row>
    <row r="28728" spans="16:16">
      <c r="P28728" s="2498"/>
    </row>
    <row r="28729" spans="16:16">
      <c r="P28729" s="2498"/>
    </row>
    <row r="28730" spans="16:16">
      <c r="P28730" s="2498"/>
    </row>
    <row r="28731" spans="16:16">
      <c r="P28731" s="2498"/>
    </row>
    <row r="28732" spans="16:16">
      <c r="P28732" s="2498"/>
    </row>
    <row r="28733" spans="16:16">
      <c r="P28733" s="2498"/>
    </row>
    <row r="28734" spans="16:16">
      <c r="P28734" s="2498"/>
    </row>
    <row r="28735" spans="16:16">
      <c r="P28735" s="2498"/>
    </row>
    <row r="28736" spans="16:16">
      <c r="P28736" s="2498"/>
    </row>
    <row r="28737" spans="16:16">
      <c r="P28737" s="2498"/>
    </row>
    <row r="28738" spans="16:16">
      <c r="P28738" s="2498"/>
    </row>
    <row r="28739" spans="16:16">
      <c r="P28739" s="2498"/>
    </row>
    <row r="28740" spans="16:16">
      <c r="P28740" s="2498"/>
    </row>
    <row r="28741" spans="16:16">
      <c r="P28741" s="2498"/>
    </row>
    <row r="28742" spans="16:16">
      <c r="P28742" s="2498"/>
    </row>
    <row r="28743" spans="16:16">
      <c r="P28743" s="2498"/>
    </row>
    <row r="28744" spans="16:16">
      <c r="P28744" s="2498"/>
    </row>
    <row r="28745" spans="16:16">
      <c r="P28745" s="2498"/>
    </row>
    <row r="28746" spans="16:16">
      <c r="P28746" s="2498"/>
    </row>
    <row r="28747" spans="16:16">
      <c r="P28747" s="2498"/>
    </row>
    <row r="28748" spans="16:16">
      <c r="P28748" s="2498"/>
    </row>
    <row r="28749" spans="16:16">
      <c r="P28749" s="2498"/>
    </row>
    <row r="28750" spans="16:16">
      <c r="P28750" s="2498"/>
    </row>
    <row r="28751" spans="16:16">
      <c r="P28751" s="2498"/>
    </row>
    <row r="28752" spans="16:16">
      <c r="P28752" s="2498"/>
    </row>
    <row r="28753" spans="16:16">
      <c r="P28753" s="2498"/>
    </row>
    <row r="28754" spans="16:16">
      <c r="P28754" s="2498"/>
    </row>
    <row r="28755" spans="16:16">
      <c r="P28755" s="2498"/>
    </row>
    <row r="28756" spans="16:16">
      <c r="P28756" s="2498"/>
    </row>
    <row r="28757" spans="16:16">
      <c r="P28757" s="2498"/>
    </row>
    <row r="28758" spans="16:16">
      <c r="P28758" s="2498"/>
    </row>
    <row r="28759" spans="16:16">
      <c r="P28759" s="2498"/>
    </row>
    <row r="28760" spans="16:16">
      <c r="P28760" s="2498"/>
    </row>
    <row r="28761" spans="16:16">
      <c r="P28761" s="2498"/>
    </row>
    <row r="28762" spans="16:16">
      <c r="P28762" s="2498"/>
    </row>
    <row r="28763" spans="16:16">
      <c r="P28763" s="2498"/>
    </row>
    <row r="28764" spans="16:16">
      <c r="P28764" s="2498"/>
    </row>
    <row r="28765" spans="16:16">
      <c r="P28765" s="2498"/>
    </row>
    <row r="28766" spans="16:16">
      <c r="P28766" s="2498"/>
    </row>
    <row r="28767" spans="16:16">
      <c r="P28767" s="2498"/>
    </row>
    <row r="28768" spans="16:16">
      <c r="P28768" s="2498"/>
    </row>
    <row r="28769" spans="16:16">
      <c r="P28769" s="2498"/>
    </row>
    <row r="28770" spans="16:16">
      <c r="P28770" s="2498"/>
    </row>
    <row r="28771" spans="16:16">
      <c r="P28771" s="2498"/>
    </row>
    <row r="28772" spans="16:16">
      <c r="P28772" s="2498"/>
    </row>
    <row r="28773" spans="16:16">
      <c r="P28773" s="2498"/>
    </row>
    <row r="28774" spans="16:16">
      <c r="P28774" s="2498"/>
    </row>
    <row r="28775" spans="16:16">
      <c r="P28775" s="2498"/>
    </row>
    <row r="28776" spans="16:16">
      <c r="P28776" s="2498"/>
    </row>
    <row r="28777" spans="16:16">
      <c r="P28777" s="2498"/>
    </row>
    <row r="28778" spans="16:16">
      <c r="P28778" s="2498"/>
    </row>
    <row r="28779" spans="16:16">
      <c r="P28779" s="2498"/>
    </row>
    <row r="28780" spans="16:16">
      <c r="P28780" s="2498"/>
    </row>
    <row r="28781" spans="16:16">
      <c r="P28781" s="2498"/>
    </row>
    <row r="28782" spans="16:16">
      <c r="P28782" s="2498"/>
    </row>
    <row r="28783" spans="16:16">
      <c r="P28783" s="2498"/>
    </row>
    <row r="28784" spans="16:16">
      <c r="P28784" s="2498"/>
    </row>
    <row r="28785" spans="16:16">
      <c r="P28785" s="2498"/>
    </row>
    <row r="28786" spans="16:16">
      <c r="P28786" s="2498"/>
    </row>
    <row r="28787" spans="16:16">
      <c r="P28787" s="2498"/>
    </row>
    <row r="28788" spans="16:16">
      <c r="P28788" s="2498"/>
    </row>
    <row r="28789" spans="16:16">
      <c r="P28789" s="2498"/>
    </row>
    <row r="28790" spans="16:16">
      <c r="P28790" s="2498"/>
    </row>
    <row r="28791" spans="16:16">
      <c r="P28791" s="2498"/>
    </row>
    <row r="28792" spans="16:16">
      <c r="P28792" s="2498"/>
    </row>
    <row r="28793" spans="16:16">
      <c r="P28793" s="2498"/>
    </row>
    <row r="28794" spans="16:16">
      <c r="P28794" s="2498"/>
    </row>
    <row r="28795" spans="16:16">
      <c r="P28795" s="2498"/>
    </row>
    <row r="28796" spans="16:16">
      <c r="P28796" s="2498"/>
    </row>
    <row r="28797" spans="16:16">
      <c r="P28797" s="2498"/>
    </row>
    <row r="28798" spans="16:16">
      <c r="P28798" s="2498"/>
    </row>
    <row r="28799" spans="16:16">
      <c r="P28799" s="2498"/>
    </row>
    <row r="28800" spans="16:16">
      <c r="P28800" s="2498"/>
    </row>
    <row r="28801" spans="16:16">
      <c r="P28801" s="2498"/>
    </row>
    <row r="28802" spans="16:16">
      <c r="P28802" s="2498"/>
    </row>
    <row r="28803" spans="16:16">
      <c r="P28803" s="2498"/>
    </row>
    <row r="28804" spans="16:16">
      <c r="P28804" s="2498"/>
    </row>
    <row r="28805" spans="16:16">
      <c r="P28805" s="2498"/>
    </row>
    <row r="28806" spans="16:16">
      <c r="P28806" s="2498"/>
    </row>
    <row r="28807" spans="16:16">
      <c r="P28807" s="2498"/>
    </row>
    <row r="28808" spans="16:16">
      <c r="P28808" s="2498"/>
    </row>
    <row r="28809" spans="16:16">
      <c r="P28809" s="2498"/>
    </row>
    <row r="28810" spans="16:16">
      <c r="P28810" s="2498"/>
    </row>
    <row r="28811" spans="16:16">
      <c r="P28811" s="2498"/>
    </row>
    <row r="28812" spans="16:16">
      <c r="P28812" s="2498"/>
    </row>
    <row r="28813" spans="16:16">
      <c r="P28813" s="2498"/>
    </row>
    <row r="28814" spans="16:16">
      <c r="P28814" s="2498"/>
    </row>
    <row r="28815" spans="16:16">
      <c r="P28815" s="2498"/>
    </row>
    <row r="28816" spans="16:16">
      <c r="P28816" s="2498"/>
    </row>
    <row r="28817" spans="16:16">
      <c r="P28817" s="2498"/>
    </row>
    <row r="28818" spans="16:16">
      <c r="P28818" s="2498"/>
    </row>
    <row r="28819" spans="16:16">
      <c r="P28819" s="2498"/>
    </row>
    <row r="28820" spans="16:16">
      <c r="P28820" s="2498"/>
    </row>
    <row r="28821" spans="16:16">
      <c r="P28821" s="2498"/>
    </row>
    <row r="28822" spans="16:16">
      <c r="P28822" s="2498"/>
    </row>
    <row r="28823" spans="16:16">
      <c r="P28823" s="2498"/>
    </row>
    <row r="28824" spans="16:16">
      <c r="P28824" s="2498"/>
    </row>
    <row r="28825" spans="16:16">
      <c r="P28825" s="2498"/>
    </row>
    <row r="28826" spans="16:16">
      <c r="P28826" s="2498"/>
    </row>
    <row r="28827" spans="16:16">
      <c r="P28827" s="2498"/>
    </row>
    <row r="28828" spans="16:16">
      <c r="P28828" s="2498"/>
    </row>
    <row r="28829" spans="16:16">
      <c r="P28829" s="2498"/>
    </row>
    <row r="28830" spans="16:16">
      <c r="P28830" s="2498"/>
    </row>
    <row r="28831" spans="16:16">
      <c r="P28831" s="2498"/>
    </row>
    <row r="28832" spans="16:16">
      <c r="P28832" s="2498"/>
    </row>
    <row r="28833" spans="16:16">
      <c r="P28833" s="2498"/>
    </row>
    <row r="28834" spans="16:16">
      <c r="P28834" s="2498"/>
    </row>
    <row r="28835" spans="16:16">
      <c r="P28835" s="2498"/>
    </row>
    <row r="28836" spans="16:16">
      <c r="P28836" s="2498"/>
    </row>
    <row r="28837" spans="16:16">
      <c r="P28837" s="2498"/>
    </row>
    <row r="28838" spans="16:16">
      <c r="P28838" s="2498"/>
    </row>
    <row r="28839" spans="16:16">
      <c r="P28839" s="2498"/>
    </row>
    <row r="28840" spans="16:16">
      <c r="P28840" s="2498"/>
    </row>
    <row r="28841" spans="16:16">
      <c r="P28841" s="2498"/>
    </row>
    <row r="28842" spans="16:16">
      <c r="P28842" s="2498"/>
    </row>
    <row r="28843" spans="16:16">
      <c r="P28843" s="2498"/>
    </row>
    <row r="28844" spans="16:16">
      <c r="P28844" s="2498"/>
    </row>
    <row r="28845" spans="16:16">
      <c r="P28845" s="2498"/>
    </row>
    <row r="28846" spans="16:16">
      <c r="P28846" s="2498"/>
    </row>
    <row r="28847" spans="16:16">
      <c r="P28847" s="2498"/>
    </row>
    <row r="28848" spans="16:16">
      <c r="P28848" s="2498"/>
    </row>
    <row r="28849" spans="16:16">
      <c r="P28849" s="2498"/>
    </row>
    <row r="28850" spans="16:16">
      <c r="P28850" s="2498"/>
    </row>
    <row r="28851" spans="16:16">
      <c r="P28851" s="2498"/>
    </row>
    <row r="28852" spans="16:16">
      <c r="P28852" s="2498"/>
    </row>
    <row r="28853" spans="16:16">
      <c r="P28853" s="2498"/>
    </row>
    <row r="28854" spans="16:16">
      <c r="P28854" s="2498"/>
    </row>
    <row r="28855" spans="16:16">
      <c r="P28855" s="2498"/>
    </row>
    <row r="28856" spans="16:16">
      <c r="P28856" s="2498"/>
    </row>
    <row r="28857" spans="16:16">
      <c r="P28857" s="2498"/>
    </row>
    <row r="28858" spans="16:16">
      <c r="P28858" s="2498"/>
    </row>
    <row r="28859" spans="16:16">
      <c r="P28859" s="2498"/>
    </row>
    <row r="28860" spans="16:16">
      <c r="P28860" s="2498"/>
    </row>
    <row r="28861" spans="16:16">
      <c r="P28861" s="2498"/>
    </row>
    <row r="28862" spans="16:16">
      <c r="P28862" s="2498"/>
    </row>
    <row r="28863" spans="16:16">
      <c r="P28863" s="2498"/>
    </row>
    <row r="28864" spans="16:16">
      <c r="P28864" s="2498"/>
    </row>
    <row r="28865" spans="16:16">
      <c r="P28865" s="2498"/>
    </row>
    <row r="28866" spans="16:16">
      <c r="P28866" s="2498"/>
    </row>
    <row r="28867" spans="16:16">
      <c r="P28867" s="2498"/>
    </row>
    <row r="28868" spans="16:16">
      <c r="P28868" s="2498"/>
    </row>
    <row r="28869" spans="16:16">
      <c r="P28869" s="2498"/>
    </row>
    <row r="28870" spans="16:16">
      <c r="P28870" s="2498"/>
    </row>
    <row r="28871" spans="16:16">
      <c r="P28871" s="2498"/>
    </row>
    <row r="28872" spans="16:16">
      <c r="P28872" s="2498"/>
    </row>
    <row r="28873" spans="16:16">
      <c r="P28873" s="2498"/>
    </row>
    <row r="28874" spans="16:16">
      <c r="P28874" s="2498"/>
    </row>
    <row r="28875" spans="16:16">
      <c r="P28875" s="2498"/>
    </row>
    <row r="28876" spans="16:16">
      <c r="P28876" s="2498"/>
    </row>
    <row r="28877" spans="16:16">
      <c r="P28877" s="2498"/>
    </row>
    <row r="28878" spans="16:16">
      <c r="P28878" s="2498"/>
    </row>
    <row r="28879" spans="16:16">
      <c r="P28879" s="2498"/>
    </row>
    <row r="28880" spans="16:16">
      <c r="P28880" s="2498"/>
    </row>
    <row r="28881" spans="16:16">
      <c r="P28881" s="2498"/>
    </row>
    <row r="28882" spans="16:16">
      <c r="P28882" s="2498"/>
    </row>
    <row r="28883" spans="16:16">
      <c r="P28883" s="2498"/>
    </row>
    <row r="28884" spans="16:16">
      <c r="P28884" s="2498"/>
    </row>
    <row r="28885" spans="16:16">
      <c r="P28885" s="2498"/>
    </row>
    <row r="28886" spans="16:16">
      <c r="P28886" s="2498"/>
    </row>
    <row r="28887" spans="16:16">
      <c r="P28887" s="2498"/>
    </row>
    <row r="28888" spans="16:16">
      <c r="P28888" s="2498"/>
    </row>
    <row r="28889" spans="16:16">
      <c r="P28889" s="2498"/>
    </row>
    <row r="28890" spans="16:16">
      <c r="P28890" s="2498"/>
    </row>
    <row r="28891" spans="16:16">
      <c r="P28891" s="2498"/>
    </row>
    <row r="28892" spans="16:16">
      <c r="P28892" s="2498"/>
    </row>
    <row r="28893" spans="16:16">
      <c r="P28893" s="2498"/>
    </row>
    <row r="28894" spans="16:16">
      <c r="P28894" s="2498"/>
    </row>
    <row r="28895" spans="16:16">
      <c r="P28895" s="2498"/>
    </row>
    <row r="28896" spans="16:16">
      <c r="P28896" s="2498"/>
    </row>
    <row r="28897" spans="16:16">
      <c r="P28897" s="2498"/>
    </row>
    <row r="28898" spans="16:16">
      <c r="P28898" s="2498"/>
    </row>
    <row r="28899" spans="16:16">
      <c r="P28899" s="2498"/>
    </row>
    <row r="28900" spans="16:16">
      <c r="P28900" s="2498"/>
    </row>
    <row r="28901" spans="16:16">
      <c r="P28901" s="2498"/>
    </row>
    <row r="28902" spans="16:16">
      <c r="P28902" s="2498"/>
    </row>
    <row r="28903" spans="16:16">
      <c r="P28903" s="2498"/>
    </row>
    <row r="28904" spans="16:16">
      <c r="P28904" s="2498"/>
    </row>
    <row r="28905" spans="16:16">
      <c r="P28905" s="2498"/>
    </row>
    <row r="28906" spans="16:16">
      <c r="P28906" s="2498"/>
    </row>
    <row r="28907" spans="16:16">
      <c r="P28907" s="2498"/>
    </row>
    <row r="28908" spans="16:16">
      <c r="P28908" s="2498"/>
    </row>
    <row r="28909" spans="16:16">
      <c r="P28909" s="2498"/>
    </row>
    <row r="28910" spans="16:16">
      <c r="P28910" s="2498"/>
    </row>
    <row r="28911" spans="16:16">
      <c r="P28911" s="2498"/>
    </row>
    <row r="28912" spans="16:16">
      <c r="P28912" s="2498"/>
    </row>
    <row r="28913" spans="16:16">
      <c r="P28913" s="2498"/>
    </row>
    <row r="28914" spans="16:16">
      <c r="P28914" s="2498"/>
    </row>
    <row r="28915" spans="16:16">
      <c r="P28915" s="2498"/>
    </row>
    <row r="28916" spans="16:16">
      <c r="P28916" s="2498"/>
    </row>
    <row r="28917" spans="16:16">
      <c r="P28917" s="2498"/>
    </row>
    <row r="28918" spans="16:16">
      <c r="P28918" s="2498"/>
    </row>
    <row r="28919" spans="16:16">
      <c r="P28919" s="2498"/>
    </row>
    <row r="28920" spans="16:16">
      <c r="P28920" s="2498"/>
    </row>
    <row r="28921" spans="16:16">
      <c r="P28921" s="2498"/>
    </row>
    <row r="28922" spans="16:16">
      <c r="P28922" s="2498"/>
    </row>
    <row r="28923" spans="16:16">
      <c r="P28923" s="2498"/>
    </row>
    <row r="28924" spans="16:16">
      <c r="P28924" s="2498"/>
    </row>
    <row r="28925" spans="16:16">
      <c r="P28925" s="2498"/>
    </row>
    <row r="28926" spans="16:16">
      <c r="P28926" s="2498"/>
    </row>
    <row r="28927" spans="16:16">
      <c r="P28927" s="2498"/>
    </row>
    <row r="28928" spans="16:16">
      <c r="P28928" s="2498"/>
    </row>
    <row r="28929" spans="16:16">
      <c r="P28929" s="2498"/>
    </row>
    <row r="28930" spans="16:16">
      <c r="P28930" s="2498"/>
    </row>
    <row r="28931" spans="16:16">
      <c r="P28931" s="2498"/>
    </row>
    <row r="28932" spans="16:16">
      <c r="P28932" s="2498"/>
    </row>
    <row r="28933" spans="16:16">
      <c r="P28933" s="2498"/>
    </row>
    <row r="28934" spans="16:16">
      <c r="P28934" s="2498"/>
    </row>
    <row r="28935" spans="16:16">
      <c r="P28935" s="2498"/>
    </row>
    <row r="28936" spans="16:16">
      <c r="P28936" s="2498"/>
    </row>
    <row r="28937" spans="16:16">
      <c r="P28937" s="2498"/>
    </row>
    <row r="28938" spans="16:16">
      <c r="P28938" s="2498"/>
    </row>
    <row r="28939" spans="16:16">
      <c r="P28939" s="2498"/>
    </row>
    <row r="28940" spans="16:16">
      <c r="P28940" s="2498"/>
    </row>
    <row r="28941" spans="16:16">
      <c r="P28941" s="2498"/>
    </row>
    <row r="28942" spans="16:16">
      <c r="P28942" s="2498"/>
    </row>
    <row r="28943" spans="16:16">
      <c r="P28943" s="2498"/>
    </row>
    <row r="28944" spans="16:16">
      <c r="P28944" s="2498"/>
    </row>
    <row r="28945" spans="16:16">
      <c r="P28945" s="2498"/>
    </row>
    <row r="28946" spans="16:16">
      <c r="P28946" s="2498"/>
    </row>
    <row r="28947" spans="16:16">
      <c r="P28947" s="2498"/>
    </row>
    <row r="28948" spans="16:16">
      <c r="P28948" s="2498"/>
    </row>
    <row r="28949" spans="16:16">
      <c r="P28949" s="2498"/>
    </row>
    <row r="28950" spans="16:16">
      <c r="P28950" s="2498"/>
    </row>
    <row r="28951" spans="16:16">
      <c r="P28951" s="2498"/>
    </row>
    <row r="28952" spans="16:16">
      <c r="P28952" s="2498"/>
    </row>
    <row r="28953" spans="16:16">
      <c r="P28953" s="2498"/>
    </row>
    <row r="28954" spans="16:16">
      <c r="P28954" s="2498"/>
    </row>
    <row r="28955" spans="16:16">
      <c r="P28955" s="2498"/>
    </row>
    <row r="28956" spans="16:16">
      <c r="P28956" s="2498"/>
    </row>
    <row r="28957" spans="16:16">
      <c r="P28957" s="2498"/>
    </row>
    <row r="28958" spans="16:16">
      <c r="P28958" s="2498"/>
    </row>
    <row r="28959" spans="16:16">
      <c r="P28959" s="2498"/>
    </row>
    <row r="28960" spans="16:16">
      <c r="P28960" s="2498"/>
    </row>
    <row r="28961" spans="16:16">
      <c r="P28961" s="2498"/>
    </row>
    <row r="28962" spans="16:16">
      <c r="P28962" s="2498"/>
    </row>
    <row r="28963" spans="16:16">
      <c r="P28963" s="2498"/>
    </row>
    <row r="28964" spans="16:16">
      <c r="P28964" s="2498"/>
    </row>
    <row r="28965" spans="16:16">
      <c r="P28965" s="2498"/>
    </row>
    <row r="28966" spans="16:16">
      <c r="P28966" s="2498"/>
    </row>
    <row r="28967" spans="16:16">
      <c r="P28967" s="2498"/>
    </row>
    <row r="28968" spans="16:16">
      <c r="P28968" s="2498"/>
    </row>
    <row r="28969" spans="16:16">
      <c r="P28969" s="2498"/>
    </row>
    <row r="28970" spans="16:16">
      <c r="P28970" s="2498"/>
    </row>
    <row r="28971" spans="16:16">
      <c r="P28971" s="2498"/>
    </row>
    <row r="28972" spans="16:16">
      <c r="P28972" s="2498"/>
    </row>
    <row r="28973" spans="16:16">
      <c r="P28973" s="2498"/>
    </row>
    <row r="28974" spans="16:16">
      <c r="P28974" s="2498"/>
    </row>
    <row r="28975" spans="16:16">
      <c r="P28975" s="2498"/>
    </row>
    <row r="28976" spans="16:16">
      <c r="P28976" s="2498"/>
    </row>
    <row r="28977" spans="16:16">
      <c r="P28977" s="2498"/>
    </row>
    <row r="28978" spans="16:16">
      <c r="P28978" s="2498"/>
    </row>
    <row r="28979" spans="16:16">
      <c r="P28979" s="2498"/>
    </row>
    <row r="28980" spans="16:16">
      <c r="P28980" s="2498"/>
    </row>
    <row r="28981" spans="16:16">
      <c r="P28981" s="2498"/>
    </row>
    <row r="28982" spans="16:16">
      <c r="P28982" s="2498"/>
    </row>
    <row r="28983" spans="16:16">
      <c r="P28983" s="2498"/>
    </row>
    <row r="28984" spans="16:16">
      <c r="P28984" s="2498"/>
    </row>
    <row r="28985" spans="16:16">
      <c r="P28985" s="2498"/>
    </row>
    <row r="28986" spans="16:16">
      <c r="P28986" s="2498"/>
    </row>
    <row r="28987" spans="16:16">
      <c r="P28987" s="2498"/>
    </row>
    <row r="28988" spans="16:16">
      <c r="P28988" s="2498"/>
    </row>
    <row r="28989" spans="16:16">
      <c r="P28989" s="2498"/>
    </row>
    <row r="28990" spans="16:16">
      <c r="P28990" s="2498"/>
    </row>
    <row r="28991" spans="16:16">
      <c r="P28991" s="2498"/>
    </row>
    <row r="28992" spans="16:16">
      <c r="P28992" s="2498"/>
    </row>
    <row r="28993" spans="16:16">
      <c r="P28993" s="2498"/>
    </row>
    <row r="28994" spans="16:16">
      <c r="P28994" s="2498"/>
    </row>
    <row r="28995" spans="16:16">
      <c r="P28995" s="2498"/>
    </row>
    <row r="28996" spans="16:16">
      <c r="P28996" s="2498"/>
    </row>
    <row r="28997" spans="16:16">
      <c r="P28997" s="2498"/>
    </row>
    <row r="28998" spans="16:16">
      <c r="P28998" s="2498"/>
    </row>
    <row r="28999" spans="16:16">
      <c r="P28999" s="2498"/>
    </row>
    <row r="29000" spans="16:16">
      <c r="P29000" s="2498"/>
    </row>
    <row r="29001" spans="16:16">
      <c r="P29001" s="2498"/>
    </row>
    <row r="29002" spans="16:16">
      <c r="P29002" s="2498"/>
    </row>
    <row r="29003" spans="16:16">
      <c r="P29003" s="2498"/>
    </row>
    <row r="29004" spans="16:16">
      <c r="P29004" s="2498"/>
    </row>
    <row r="29005" spans="16:16">
      <c r="P29005" s="2498"/>
    </row>
    <row r="29006" spans="16:16">
      <c r="P29006" s="2498"/>
    </row>
    <row r="29007" spans="16:16">
      <c r="P29007" s="2498"/>
    </row>
    <row r="29008" spans="16:16">
      <c r="P29008" s="2498"/>
    </row>
    <row r="29009" spans="16:16">
      <c r="P29009" s="2498"/>
    </row>
    <row r="29010" spans="16:16">
      <c r="P29010" s="2498"/>
    </row>
    <row r="29011" spans="16:16">
      <c r="P29011" s="2498"/>
    </row>
    <row r="29012" spans="16:16">
      <c r="P29012" s="2498"/>
    </row>
    <row r="29013" spans="16:16">
      <c r="P29013" s="2498"/>
    </row>
    <row r="29014" spans="16:16">
      <c r="P29014" s="2498"/>
    </row>
    <row r="29015" spans="16:16">
      <c r="P29015" s="2498"/>
    </row>
    <row r="29016" spans="16:16">
      <c r="P29016" s="2498"/>
    </row>
    <row r="29017" spans="16:16">
      <c r="P29017" s="2498"/>
    </row>
    <row r="29018" spans="16:16">
      <c r="P29018" s="2498"/>
    </row>
    <row r="29019" spans="16:16">
      <c r="P29019" s="2498"/>
    </row>
    <row r="29020" spans="16:16">
      <c r="P29020" s="2498"/>
    </row>
    <row r="29021" spans="16:16">
      <c r="P29021" s="2498"/>
    </row>
    <row r="29022" spans="16:16">
      <c r="P29022" s="2498"/>
    </row>
    <row r="29023" spans="16:16">
      <c r="P29023" s="2498"/>
    </row>
    <row r="29024" spans="16:16">
      <c r="P29024" s="2498"/>
    </row>
    <row r="29025" spans="16:16">
      <c r="P29025" s="2498"/>
    </row>
    <row r="29026" spans="16:16">
      <c r="P29026" s="2498"/>
    </row>
    <row r="29027" spans="16:16">
      <c r="P29027" s="2498"/>
    </row>
    <row r="29028" spans="16:16">
      <c r="P29028" s="2498"/>
    </row>
    <row r="29029" spans="16:16">
      <c r="P29029" s="2498"/>
    </row>
    <row r="29030" spans="16:16">
      <c r="P29030" s="2498"/>
    </row>
    <row r="29031" spans="16:16">
      <c r="P29031" s="2498"/>
    </row>
    <row r="29032" spans="16:16">
      <c r="P29032" s="2498"/>
    </row>
    <row r="29033" spans="16:16">
      <c r="P29033" s="2498"/>
    </row>
    <row r="29034" spans="16:16">
      <c r="P29034" s="2498"/>
    </row>
    <row r="29035" spans="16:16">
      <c r="P29035" s="2498"/>
    </row>
    <row r="29036" spans="16:16">
      <c r="P29036" s="2498"/>
    </row>
    <row r="29037" spans="16:16">
      <c r="P29037" s="2498"/>
    </row>
    <row r="29038" spans="16:16">
      <c r="P29038" s="2498"/>
    </row>
    <row r="29039" spans="16:16">
      <c r="P29039" s="2498"/>
    </row>
    <row r="29040" spans="16:16">
      <c r="P29040" s="2498"/>
    </row>
    <row r="29041" spans="16:16">
      <c r="P29041" s="2498"/>
    </row>
    <row r="29042" spans="16:16">
      <c r="P29042" s="2498"/>
    </row>
    <row r="29043" spans="16:16">
      <c r="P29043" s="2498"/>
    </row>
    <row r="29044" spans="16:16">
      <c r="P29044" s="2498"/>
    </row>
    <row r="29045" spans="16:16">
      <c r="P29045" s="2498"/>
    </row>
    <row r="29046" spans="16:16">
      <c r="P29046" s="2498"/>
    </row>
    <row r="29047" spans="16:16">
      <c r="P29047" s="2498"/>
    </row>
    <row r="29048" spans="16:16">
      <c r="P29048" s="2498"/>
    </row>
    <row r="29049" spans="16:16">
      <c r="P29049" s="2498"/>
    </row>
    <row r="29050" spans="16:16">
      <c r="P29050" s="2498"/>
    </row>
    <row r="29051" spans="16:16">
      <c r="P29051" s="2498"/>
    </row>
    <row r="29052" spans="16:16">
      <c r="P29052" s="2498"/>
    </row>
    <row r="29053" spans="16:16">
      <c r="P29053" s="2498"/>
    </row>
    <row r="29054" spans="16:16">
      <c r="P29054" s="2498"/>
    </row>
    <row r="29055" spans="16:16">
      <c r="P29055" s="2498"/>
    </row>
    <row r="29056" spans="16:16">
      <c r="P29056" s="2498"/>
    </row>
    <row r="29057" spans="16:16">
      <c r="P29057" s="2498"/>
    </row>
    <row r="29058" spans="16:16">
      <c r="P29058" s="2498"/>
    </row>
    <row r="29059" spans="16:16">
      <c r="P29059" s="2498"/>
    </row>
    <row r="29060" spans="16:16">
      <c r="P29060" s="2498"/>
    </row>
    <row r="29061" spans="16:16">
      <c r="P29061" s="2498"/>
    </row>
    <row r="29062" spans="16:16">
      <c r="P29062" s="2498"/>
    </row>
    <row r="29063" spans="16:16">
      <c r="P29063" s="2498"/>
    </row>
    <row r="29064" spans="16:16">
      <c r="P29064" s="2498"/>
    </row>
    <row r="29065" spans="16:16">
      <c r="P29065" s="2498"/>
    </row>
    <row r="29066" spans="16:16">
      <c r="P29066" s="2498"/>
    </row>
    <row r="29067" spans="16:16">
      <c r="P29067" s="2498"/>
    </row>
    <row r="29068" spans="16:16">
      <c r="P29068" s="2498"/>
    </row>
    <row r="29069" spans="16:16">
      <c r="P29069" s="2498"/>
    </row>
    <row r="29070" spans="16:16">
      <c r="P29070" s="2498"/>
    </row>
    <row r="29071" spans="16:16">
      <c r="P29071" s="2498"/>
    </row>
    <row r="29072" spans="16:16">
      <c r="P29072" s="2498"/>
    </row>
    <row r="29073" spans="16:16">
      <c r="P29073" s="2498"/>
    </row>
    <row r="29074" spans="16:16">
      <c r="P29074" s="2498"/>
    </row>
    <row r="29075" spans="16:16">
      <c r="P29075" s="2498"/>
    </row>
    <row r="29076" spans="16:16">
      <c r="P29076" s="2498"/>
    </row>
    <row r="29077" spans="16:16">
      <c r="P29077" s="2498"/>
    </row>
    <row r="29078" spans="16:16">
      <c r="P29078" s="2498"/>
    </row>
    <row r="29079" spans="16:16">
      <c r="P29079" s="2498"/>
    </row>
    <row r="29080" spans="16:16">
      <c r="P29080" s="2498"/>
    </row>
    <row r="29081" spans="16:16">
      <c r="P29081" s="2498"/>
    </row>
    <row r="29082" spans="16:16">
      <c r="P29082" s="2498"/>
    </row>
    <row r="29083" spans="16:16">
      <c r="P29083" s="2498"/>
    </row>
    <row r="29084" spans="16:16">
      <c r="P29084" s="2498"/>
    </row>
    <row r="29085" spans="16:16">
      <c r="P29085" s="2498"/>
    </row>
    <row r="29086" spans="16:16">
      <c r="P29086" s="2498"/>
    </row>
    <row r="29087" spans="16:16">
      <c r="P29087" s="2498"/>
    </row>
    <row r="29088" spans="16:16">
      <c r="P29088" s="2498"/>
    </row>
    <row r="29089" spans="16:16">
      <c r="P29089" s="2498"/>
    </row>
    <row r="29090" spans="16:16">
      <c r="P29090" s="2498"/>
    </row>
    <row r="29091" spans="16:16">
      <c r="P29091" s="2498"/>
    </row>
    <row r="29092" spans="16:16">
      <c r="P29092" s="2498"/>
    </row>
    <row r="29093" spans="16:16">
      <c r="P29093" s="2498"/>
    </row>
    <row r="29094" spans="16:16">
      <c r="P29094" s="2498"/>
    </row>
    <row r="29095" spans="16:16">
      <c r="P29095" s="2498"/>
    </row>
    <row r="29096" spans="16:16">
      <c r="P29096" s="2498"/>
    </row>
    <row r="29097" spans="16:16">
      <c r="P29097" s="2498"/>
    </row>
    <row r="29098" spans="16:16">
      <c r="P29098" s="2498"/>
    </row>
    <row r="29099" spans="16:16">
      <c r="P29099" s="2498"/>
    </row>
    <row r="29100" spans="16:16">
      <c r="P29100" s="2498"/>
    </row>
    <row r="29101" spans="16:16">
      <c r="P29101" s="2498"/>
    </row>
    <row r="29102" spans="16:16">
      <c r="P29102" s="2498"/>
    </row>
    <row r="29103" spans="16:16">
      <c r="P29103" s="2498"/>
    </row>
    <row r="29104" spans="16:16">
      <c r="P29104" s="2498"/>
    </row>
    <row r="29105" spans="16:16">
      <c r="P29105" s="2498"/>
    </row>
    <row r="29106" spans="16:16">
      <c r="P29106" s="2498"/>
    </row>
    <row r="29107" spans="16:16">
      <c r="P29107" s="2498"/>
    </row>
    <row r="29108" spans="16:16">
      <c r="P29108" s="2498"/>
    </row>
    <row r="29109" spans="16:16">
      <c r="P29109" s="2498"/>
    </row>
    <row r="29110" spans="16:16">
      <c r="P29110" s="2498"/>
    </row>
    <row r="29111" spans="16:16">
      <c r="P29111" s="2498"/>
    </row>
    <row r="29112" spans="16:16">
      <c r="P29112" s="2498"/>
    </row>
    <row r="29113" spans="16:16">
      <c r="P29113" s="2498"/>
    </row>
    <row r="29114" spans="16:16">
      <c r="P29114" s="2498"/>
    </row>
    <row r="29115" spans="16:16">
      <c r="P29115" s="2498"/>
    </row>
    <row r="29116" spans="16:16">
      <c r="P29116" s="2498"/>
    </row>
    <row r="29117" spans="16:16">
      <c r="P29117" s="2498"/>
    </row>
    <row r="29118" spans="16:16">
      <c r="P29118" s="2498"/>
    </row>
    <row r="29119" spans="16:16">
      <c r="P29119" s="2498"/>
    </row>
    <row r="29120" spans="16:16">
      <c r="P29120" s="2498"/>
    </row>
    <row r="29121" spans="16:16">
      <c r="P29121" s="2498"/>
    </row>
    <row r="29122" spans="16:16">
      <c r="P29122" s="2498"/>
    </row>
    <row r="29123" spans="16:16">
      <c r="P29123" s="2498"/>
    </row>
    <row r="29124" spans="16:16">
      <c r="P29124" s="2498"/>
    </row>
    <row r="29125" spans="16:16">
      <c r="P29125" s="2498"/>
    </row>
    <row r="29126" spans="16:16">
      <c r="P29126" s="2498"/>
    </row>
    <row r="29127" spans="16:16">
      <c r="P29127" s="2498"/>
    </row>
    <row r="29128" spans="16:16">
      <c r="P29128" s="2498"/>
    </row>
    <row r="29129" spans="16:16">
      <c r="P29129" s="2498"/>
    </row>
    <row r="29130" spans="16:16">
      <c r="P29130" s="2498"/>
    </row>
    <row r="29131" spans="16:16">
      <c r="P29131" s="2498"/>
    </row>
    <row r="29132" spans="16:16">
      <c r="P29132" s="2498"/>
    </row>
    <row r="29133" spans="16:16">
      <c r="P29133" s="2498"/>
    </row>
    <row r="29134" spans="16:16">
      <c r="P29134" s="2498"/>
    </row>
    <row r="29135" spans="16:16">
      <c r="P29135" s="2498"/>
    </row>
    <row r="29136" spans="16:16">
      <c r="P29136" s="2498"/>
    </row>
    <row r="29137" spans="16:16">
      <c r="P29137" s="2498"/>
    </row>
    <row r="29138" spans="16:16">
      <c r="P29138" s="2498"/>
    </row>
    <row r="29139" spans="16:16">
      <c r="P29139" s="2498"/>
    </row>
    <row r="29140" spans="16:16">
      <c r="P29140" s="2498"/>
    </row>
    <row r="29141" spans="16:16">
      <c r="P29141" s="2498"/>
    </row>
    <row r="29142" spans="16:16">
      <c r="P29142" s="2498"/>
    </row>
    <row r="29143" spans="16:16">
      <c r="P29143" s="2498"/>
    </row>
    <row r="29144" spans="16:16">
      <c r="P29144" s="2498"/>
    </row>
    <row r="29145" spans="16:16">
      <c r="P29145" s="2498"/>
    </row>
    <row r="29146" spans="16:16">
      <c r="P29146" s="2498"/>
    </row>
    <row r="29147" spans="16:16">
      <c r="P29147" s="2498"/>
    </row>
    <row r="29148" spans="16:16">
      <c r="P29148" s="2498"/>
    </row>
    <row r="29149" spans="16:16">
      <c r="P29149" s="2498"/>
    </row>
    <row r="29150" spans="16:16">
      <c r="P29150" s="2498"/>
    </row>
    <row r="29151" spans="16:16">
      <c r="P29151" s="2498"/>
    </row>
    <row r="29152" spans="16:16">
      <c r="P29152" s="2498"/>
    </row>
    <row r="29153" spans="16:16">
      <c r="P29153" s="2498"/>
    </row>
    <row r="29154" spans="16:16">
      <c r="P29154" s="2498"/>
    </row>
    <row r="29155" spans="16:16">
      <c r="P29155" s="2498"/>
    </row>
    <row r="29156" spans="16:16">
      <c r="P29156" s="2498"/>
    </row>
    <row r="29157" spans="16:16">
      <c r="P29157" s="2498"/>
    </row>
    <row r="29158" spans="16:16">
      <c r="P29158" s="2498"/>
    </row>
    <row r="29159" spans="16:16">
      <c r="P29159" s="2498"/>
    </row>
    <row r="29160" spans="16:16">
      <c r="P29160" s="2498"/>
    </row>
    <row r="29161" spans="16:16">
      <c r="P29161" s="2498"/>
    </row>
    <row r="29162" spans="16:16">
      <c r="P29162" s="2498"/>
    </row>
    <row r="29163" spans="16:16">
      <c r="P29163" s="2498"/>
    </row>
    <row r="29164" spans="16:16">
      <c r="P29164" s="2498"/>
    </row>
    <row r="29165" spans="16:16">
      <c r="P29165" s="2498"/>
    </row>
    <row r="29166" spans="16:16">
      <c r="P29166" s="2498"/>
    </row>
    <row r="29167" spans="16:16">
      <c r="P29167" s="2498"/>
    </row>
    <row r="29168" spans="16:16">
      <c r="P29168" s="2498"/>
    </row>
    <row r="29169" spans="16:16">
      <c r="P29169" s="2498"/>
    </row>
    <row r="29170" spans="16:16">
      <c r="P29170" s="2498"/>
    </row>
    <row r="29171" spans="16:16">
      <c r="P29171" s="2498"/>
    </row>
    <row r="29172" spans="16:16">
      <c r="P29172" s="2498"/>
    </row>
    <row r="29173" spans="16:16">
      <c r="P29173" s="2498"/>
    </row>
    <row r="29174" spans="16:16">
      <c r="P29174" s="2498"/>
    </row>
    <row r="29175" spans="16:16">
      <c r="P29175" s="2498"/>
    </row>
    <row r="29176" spans="16:16">
      <c r="P29176" s="2498"/>
    </row>
    <row r="29177" spans="16:16">
      <c r="P29177" s="2498"/>
    </row>
    <row r="29178" spans="16:16">
      <c r="P29178" s="2498"/>
    </row>
    <row r="29179" spans="16:16">
      <c r="P29179" s="2498"/>
    </row>
    <row r="29180" spans="16:16">
      <c r="P29180" s="2498"/>
    </row>
    <row r="29181" spans="16:16">
      <c r="P29181" s="2498"/>
    </row>
    <row r="29182" spans="16:16">
      <c r="P29182" s="2498"/>
    </row>
    <row r="29183" spans="16:16">
      <c r="P29183" s="2498"/>
    </row>
    <row r="29184" spans="16:16">
      <c r="P29184" s="2498"/>
    </row>
    <row r="29185" spans="16:16">
      <c r="P29185" s="2498"/>
    </row>
    <row r="29186" spans="16:16">
      <c r="P29186" s="2498"/>
    </row>
    <row r="29187" spans="16:16">
      <c r="P29187" s="2498"/>
    </row>
    <row r="29188" spans="16:16">
      <c r="P29188" s="2498"/>
    </row>
    <row r="29189" spans="16:16">
      <c r="P29189" s="2498"/>
    </row>
    <row r="29190" spans="16:16">
      <c r="P29190" s="2498"/>
    </row>
    <row r="29191" spans="16:16">
      <c r="P29191" s="2498"/>
    </row>
    <row r="29192" spans="16:16">
      <c r="P29192" s="2498"/>
    </row>
    <row r="29193" spans="16:16">
      <c r="P29193" s="2498"/>
    </row>
    <row r="29194" spans="16:16">
      <c r="P29194" s="2498"/>
    </row>
    <row r="29195" spans="16:16">
      <c r="P29195" s="2498"/>
    </row>
    <row r="29196" spans="16:16">
      <c r="P29196" s="2498"/>
    </row>
    <row r="29197" spans="16:16">
      <c r="P29197" s="2498"/>
    </row>
    <row r="29198" spans="16:16">
      <c r="P29198" s="2498"/>
    </row>
    <row r="29199" spans="16:16">
      <c r="P29199" s="2498"/>
    </row>
    <row r="29200" spans="16:16">
      <c r="P29200" s="2498"/>
    </row>
    <row r="29201" spans="16:16">
      <c r="P29201" s="2498"/>
    </row>
    <row r="29202" spans="16:16">
      <c r="P29202" s="2498"/>
    </row>
    <row r="29203" spans="16:16">
      <c r="P29203" s="2498"/>
    </row>
    <row r="29204" spans="16:16">
      <c r="P29204" s="2498"/>
    </row>
    <row r="29205" spans="16:16">
      <c r="P29205" s="2498"/>
    </row>
    <row r="29206" spans="16:16">
      <c r="P29206" s="2498"/>
    </row>
    <row r="29207" spans="16:16">
      <c r="P29207" s="2498"/>
    </row>
    <row r="29208" spans="16:16">
      <c r="P29208" s="2498"/>
    </row>
    <row r="29209" spans="16:16">
      <c r="P29209" s="2498"/>
    </row>
    <row r="29210" spans="16:16">
      <c r="P29210" s="2498"/>
    </row>
    <row r="29211" spans="16:16">
      <c r="P29211" s="2498"/>
    </row>
    <row r="29212" spans="16:16">
      <c r="P29212" s="2498"/>
    </row>
    <row r="29213" spans="16:16">
      <c r="P29213" s="2498"/>
    </row>
    <row r="29214" spans="16:16">
      <c r="P29214" s="2498"/>
    </row>
    <row r="29215" spans="16:16">
      <c r="P29215" s="2498"/>
    </row>
    <row r="29216" spans="16:16">
      <c r="P29216" s="2498"/>
    </row>
    <row r="29217" spans="16:16">
      <c r="P29217" s="2498"/>
    </row>
    <row r="29218" spans="16:16">
      <c r="P29218" s="2498"/>
    </row>
    <row r="29219" spans="16:16">
      <c r="P29219" s="2498"/>
    </row>
    <row r="29220" spans="16:16">
      <c r="P29220" s="2498"/>
    </row>
    <row r="29221" spans="16:16">
      <c r="P29221" s="2498"/>
    </row>
    <row r="29222" spans="16:16">
      <c r="P29222" s="2498"/>
    </row>
    <row r="29223" spans="16:16">
      <c r="P29223" s="2498"/>
    </row>
    <row r="29224" spans="16:16">
      <c r="P29224" s="2498"/>
    </row>
    <row r="29225" spans="16:16">
      <c r="P29225" s="2498"/>
    </row>
    <row r="29226" spans="16:16">
      <c r="P29226" s="2498"/>
    </row>
    <row r="29227" spans="16:16">
      <c r="P29227" s="2498"/>
    </row>
    <row r="29228" spans="16:16">
      <c r="P29228" s="2498"/>
    </row>
    <row r="29229" spans="16:16">
      <c r="P29229" s="2498"/>
    </row>
    <row r="29230" spans="16:16">
      <c r="P29230" s="2498"/>
    </row>
    <row r="29231" spans="16:16">
      <c r="P29231" s="2498"/>
    </row>
    <row r="29232" spans="16:16">
      <c r="P29232" s="2498"/>
    </row>
    <row r="29233" spans="16:16">
      <c r="P29233" s="2498"/>
    </row>
    <row r="29234" spans="16:16">
      <c r="P29234" s="2498"/>
    </row>
    <row r="29235" spans="16:16">
      <c r="P29235" s="2498"/>
    </row>
    <row r="29236" spans="16:16">
      <c r="P29236" s="2498"/>
    </row>
    <row r="29237" spans="16:16">
      <c r="P29237" s="2498"/>
    </row>
    <row r="29238" spans="16:16">
      <c r="P29238" s="2498"/>
    </row>
    <row r="29239" spans="16:16">
      <c r="P29239" s="2498"/>
    </row>
    <row r="29240" spans="16:16">
      <c r="P29240" s="2498"/>
    </row>
    <row r="29241" spans="16:16">
      <c r="P29241" s="2498"/>
    </row>
    <row r="29242" spans="16:16">
      <c r="P29242" s="2498"/>
    </row>
    <row r="29243" spans="16:16">
      <c r="P29243" s="2498"/>
    </row>
    <row r="29244" spans="16:16">
      <c r="P29244" s="2498"/>
    </row>
    <row r="29245" spans="16:16">
      <c r="P29245" s="2498"/>
    </row>
    <row r="29246" spans="16:16">
      <c r="P29246" s="2498"/>
    </row>
    <row r="29247" spans="16:16">
      <c r="P29247" s="2498"/>
    </row>
    <row r="29248" spans="16:16">
      <c r="P29248" s="2498"/>
    </row>
    <row r="29249" spans="16:16">
      <c r="P29249" s="2498"/>
    </row>
    <row r="29250" spans="16:16">
      <c r="P29250" s="2498"/>
    </row>
    <row r="29251" spans="16:16">
      <c r="P29251" s="2498"/>
    </row>
    <row r="29252" spans="16:16">
      <c r="P29252" s="2498"/>
    </row>
    <row r="29253" spans="16:16">
      <c r="P29253" s="2498"/>
    </row>
    <row r="29254" spans="16:16">
      <c r="P29254" s="2498"/>
    </row>
    <row r="29255" spans="16:16">
      <c r="P29255" s="2498"/>
    </row>
    <row r="29256" spans="16:16">
      <c r="P29256" s="2498"/>
    </row>
    <row r="29257" spans="16:16">
      <c r="P29257" s="2498"/>
    </row>
    <row r="29258" spans="16:16">
      <c r="P29258" s="2498"/>
    </row>
    <row r="29259" spans="16:16">
      <c r="P29259" s="2498"/>
    </row>
    <row r="29260" spans="16:16">
      <c r="P29260" s="2498"/>
    </row>
    <row r="29261" spans="16:16">
      <c r="P29261" s="2498"/>
    </row>
    <row r="29262" spans="16:16">
      <c r="P29262" s="2498"/>
    </row>
    <row r="29263" spans="16:16">
      <c r="P29263" s="2498"/>
    </row>
    <row r="29264" spans="16:16">
      <c r="P29264" s="2498"/>
    </row>
    <row r="29265" spans="16:16">
      <c r="P29265" s="2498"/>
    </row>
    <row r="29266" spans="16:16">
      <c r="P29266" s="2498"/>
    </row>
    <row r="29267" spans="16:16">
      <c r="P29267" s="2498"/>
    </row>
    <row r="29268" spans="16:16">
      <c r="P29268" s="2498"/>
    </row>
    <row r="29269" spans="16:16">
      <c r="P29269" s="2498"/>
    </row>
    <row r="29270" spans="16:16">
      <c r="P29270" s="2498"/>
    </row>
    <row r="29271" spans="16:16">
      <c r="P29271" s="2498"/>
    </row>
    <row r="29272" spans="16:16">
      <c r="P29272" s="2498"/>
    </row>
    <row r="29273" spans="16:16">
      <c r="P29273" s="2498"/>
    </row>
    <row r="29274" spans="16:16">
      <c r="P29274" s="2498"/>
    </row>
    <row r="29275" spans="16:16">
      <c r="P29275" s="2498"/>
    </row>
    <row r="29276" spans="16:16">
      <c r="P29276" s="2498"/>
    </row>
    <row r="29277" spans="16:16">
      <c r="P29277" s="2498"/>
    </row>
    <row r="29278" spans="16:16">
      <c r="P29278" s="2498"/>
    </row>
    <row r="29279" spans="16:16">
      <c r="P29279" s="2498"/>
    </row>
    <row r="29280" spans="16:16">
      <c r="P29280" s="2498"/>
    </row>
    <row r="29281" spans="16:16">
      <c r="P29281" s="2498"/>
    </row>
    <row r="29282" spans="16:16">
      <c r="P29282" s="2498"/>
    </row>
    <row r="29283" spans="16:16">
      <c r="P29283" s="2498"/>
    </row>
    <row r="29284" spans="16:16">
      <c r="P29284" s="2498"/>
    </row>
    <row r="29285" spans="16:16">
      <c r="P29285" s="2498"/>
    </row>
    <row r="29286" spans="16:16">
      <c r="P29286" s="2498"/>
    </row>
    <row r="29287" spans="16:16">
      <c r="P29287" s="2498"/>
    </row>
    <row r="29288" spans="16:16">
      <c r="P29288" s="2498"/>
    </row>
    <row r="29289" spans="16:16">
      <c r="P29289" s="2498"/>
    </row>
    <row r="29290" spans="16:16">
      <c r="P29290" s="2498"/>
    </row>
    <row r="29291" spans="16:16">
      <c r="P29291" s="2498"/>
    </row>
    <row r="29292" spans="16:16">
      <c r="P29292" s="2498"/>
    </row>
    <row r="29293" spans="16:16">
      <c r="P29293" s="2498"/>
    </row>
    <row r="29294" spans="16:16">
      <c r="P29294" s="2498"/>
    </row>
    <row r="29295" spans="16:16">
      <c r="P29295" s="2498"/>
    </row>
    <row r="29296" spans="16:16">
      <c r="P29296" s="2498"/>
    </row>
    <row r="29297" spans="16:16">
      <c r="P29297" s="2498"/>
    </row>
    <row r="29298" spans="16:16">
      <c r="P29298" s="2498"/>
    </row>
    <row r="29299" spans="16:16">
      <c r="P29299" s="2498"/>
    </row>
    <row r="29300" spans="16:16">
      <c r="P29300" s="2498"/>
    </row>
    <row r="29301" spans="16:16">
      <c r="P29301" s="2498"/>
    </row>
    <row r="29302" spans="16:16">
      <c r="P29302" s="2498"/>
    </row>
    <row r="29303" spans="16:16">
      <c r="P29303" s="2498"/>
    </row>
    <row r="29304" spans="16:16">
      <c r="P29304" s="2498"/>
    </row>
    <row r="29305" spans="16:16">
      <c r="P29305" s="2498"/>
    </row>
    <row r="29306" spans="16:16">
      <c r="P29306" s="2498"/>
    </row>
    <row r="29307" spans="16:16">
      <c r="P29307" s="2498"/>
    </row>
    <row r="29308" spans="16:16">
      <c r="P29308" s="2498"/>
    </row>
    <row r="29309" spans="16:16">
      <c r="P29309" s="2498"/>
    </row>
    <row r="29310" spans="16:16">
      <c r="P29310" s="2498"/>
    </row>
    <row r="29311" spans="16:16">
      <c r="P29311" s="2498"/>
    </row>
    <row r="29312" spans="16:16">
      <c r="P29312" s="2498"/>
    </row>
    <row r="29313" spans="16:16">
      <c r="P29313" s="2498"/>
    </row>
    <row r="29314" spans="16:16">
      <c r="P29314" s="2498"/>
    </row>
    <row r="29315" spans="16:16">
      <c r="P29315" s="2498"/>
    </row>
    <row r="29316" spans="16:16">
      <c r="P29316" s="2498"/>
    </row>
    <row r="29317" spans="16:16">
      <c r="P29317" s="2498"/>
    </row>
    <row r="29318" spans="16:16">
      <c r="P29318" s="2498"/>
    </row>
    <row r="29319" spans="16:16">
      <c r="P29319" s="2498"/>
    </row>
    <row r="29320" spans="16:16">
      <c r="P29320" s="2498"/>
    </row>
    <row r="29321" spans="16:16">
      <c r="P29321" s="2498"/>
    </row>
    <row r="29322" spans="16:16">
      <c r="P29322" s="2498"/>
    </row>
    <row r="29323" spans="16:16">
      <c r="P29323" s="2498"/>
    </row>
    <row r="29324" spans="16:16">
      <c r="P29324" s="2498"/>
    </row>
    <row r="29325" spans="16:16">
      <c r="P29325" s="2498"/>
    </row>
    <row r="29326" spans="16:16">
      <c r="P29326" s="2498"/>
    </row>
    <row r="29327" spans="16:16">
      <c r="P29327" s="2498"/>
    </row>
    <row r="29328" spans="16:16">
      <c r="P29328" s="2498"/>
    </row>
    <row r="29329" spans="16:16">
      <c r="P29329" s="2498"/>
    </row>
    <row r="29330" spans="16:16">
      <c r="P29330" s="2498"/>
    </row>
    <row r="29331" spans="16:16">
      <c r="P29331" s="2498"/>
    </row>
    <row r="29332" spans="16:16">
      <c r="P29332" s="2498"/>
    </row>
    <row r="29333" spans="16:16">
      <c r="P29333" s="2498"/>
    </row>
    <row r="29334" spans="16:16">
      <c r="P29334" s="2498"/>
    </row>
    <row r="29335" spans="16:16">
      <c r="P29335" s="2498"/>
    </row>
    <row r="29336" spans="16:16">
      <c r="P29336" s="2498"/>
    </row>
    <row r="29337" spans="16:16">
      <c r="P29337" s="2498"/>
    </row>
    <row r="29338" spans="16:16">
      <c r="P29338" s="2498"/>
    </row>
    <row r="29339" spans="16:16">
      <c r="P29339" s="2498"/>
    </row>
    <row r="29340" spans="16:16">
      <c r="P29340" s="2498"/>
    </row>
    <row r="29341" spans="16:16">
      <c r="P29341" s="2498"/>
    </row>
    <row r="29342" spans="16:16">
      <c r="P29342" s="2498"/>
    </row>
    <row r="29343" spans="16:16">
      <c r="P29343" s="2498"/>
    </row>
    <row r="29344" spans="16:16">
      <c r="P29344" s="2498"/>
    </row>
    <row r="29345" spans="16:16">
      <c r="P29345" s="2498"/>
    </row>
    <row r="29346" spans="16:16">
      <c r="P29346" s="2498"/>
    </row>
    <row r="29347" spans="16:16">
      <c r="P29347" s="2498"/>
    </row>
    <row r="29348" spans="16:16">
      <c r="P29348" s="2498"/>
    </row>
    <row r="29349" spans="16:16">
      <c r="P29349" s="2498"/>
    </row>
    <row r="29350" spans="16:16">
      <c r="P29350" s="2498"/>
    </row>
    <row r="29351" spans="16:16">
      <c r="P29351" s="2498"/>
    </row>
    <row r="29352" spans="16:16">
      <c r="P29352" s="2498"/>
    </row>
    <row r="29353" spans="16:16">
      <c r="P29353" s="2498"/>
    </row>
    <row r="29354" spans="16:16">
      <c r="P29354" s="2498"/>
    </row>
    <row r="29355" spans="16:16">
      <c r="P29355" s="2498"/>
    </row>
    <row r="29356" spans="16:16">
      <c r="P29356" s="2498"/>
    </row>
    <row r="29357" spans="16:16">
      <c r="P29357" s="2498"/>
    </row>
    <row r="29358" spans="16:16">
      <c r="P29358" s="2498"/>
    </row>
    <row r="29359" spans="16:16">
      <c r="P29359" s="2498"/>
    </row>
    <row r="29360" spans="16:16">
      <c r="P29360" s="2498"/>
    </row>
    <row r="29361" spans="16:16">
      <c r="P29361" s="2498"/>
    </row>
    <row r="29362" spans="16:16">
      <c r="P29362" s="2498"/>
    </row>
    <row r="29363" spans="16:16">
      <c r="P29363" s="2498"/>
    </row>
    <row r="29364" spans="16:16">
      <c r="P29364" s="2498"/>
    </row>
    <row r="29365" spans="16:16">
      <c r="P29365" s="2498"/>
    </row>
    <row r="29366" spans="16:16">
      <c r="P29366" s="2498"/>
    </row>
    <row r="29367" spans="16:16">
      <c r="P29367" s="2498"/>
    </row>
    <row r="29368" spans="16:16">
      <c r="P29368" s="2498"/>
    </row>
    <row r="29369" spans="16:16">
      <c r="P29369" s="2498"/>
    </row>
    <row r="29370" spans="16:16">
      <c r="P29370" s="2498"/>
    </row>
    <row r="29371" spans="16:16">
      <c r="P29371" s="2498"/>
    </row>
    <row r="29372" spans="16:16">
      <c r="P29372" s="2498"/>
    </row>
    <row r="29373" spans="16:16">
      <c r="P29373" s="2498"/>
    </row>
    <row r="29374" spans="16:16">
      <c r="P29374" s="2498"/>
    </row>
    <row r="29375" spans="16:16">
      <c r="P29375" s="2498"/>
    </row>
    <row r="29376" spans="16:16">
      <c r="P29376" s="2498"/>
    </row>
    <row r="29377" spans="16:16">
      <c r="P29377" s="2498"/>
    </row>
    <row r="29378" spans="16:16">
      <c r="P29378" s="2498"/>
    </row>
    <row r="29379" spans="16:16">
      <c r="P29379" s="2498"/>
    </row>
    <row r="29380" spans="16:16">
      <c r="P29380" s="2498"/>
    </row>
    <row r="29381" spans="16:16">
      <c r="P29381" s="2498"/>
    </row>
    <row r="29382" spans="16:16">
      <c r="P29382" s="2498"/>
    </row>
    <row r="29383" spans="16:16">
      <c r="P29383" s="2498"/>
    </row>
    <row r="29384" spans="16:16">
      <c r="P29384" s="2498"/>
    </row>
    <row r="29385" spans="16:16">
      <c r="P29385" s="2498"/>
    </row>
    <row r="29386" spans="16:16">
      <c r="P29386" s="2498"/>
    </row>
    <row r="29387" spans="16:16">
      <c r="P29387" s="2498"/>
    </row>
    <row r="29388" spans="16:16">
      <c r="P29388" s="2498"/>
    </row>
    <row r="29389" spans="16:16">
      <c r="P29389" s="2498"/>
    </row>
    <row r="29390" spans="16:16">
      <c r="P29390" s="2498"/>
    </row>
    <row r="29391" spans="16:16">
      <c r="P29391" s="2498"/>
    </row>
    <row r="29392" spans="16:16">
      <c r="P29392" s="2498"/>
    </row>
    <row r="29393" spans="16:16">
      <c r="P29393" s="2498"/>
    </row>
    <row r="29394" spans="16:16">
      <c r="P29394" s="2498"/>
    </row>
    <row r="29395" spans="16:16">
      <c r="P29395" s="2498"/>
    </row>
    <row r="29396" spans="16:16">
      <c r="P29396" s="2498"/>
    </row>
    <row r="29397" spans="16:16">
      <c r="P29397" s="2498"/>
    </row>
    <row r="29398" spans="16:16">
      <c r="P29398" s="2498"/>
    </row>
    <row r="29399" spans="16:16">
      <c r="P29399" s="2498"/>
    </row>
    <row r="29400" spans="16:16">
      <c r="P29400" s="2498"/>
    </row>
    <row r="29401" spans="16:16">
      <c r="P29401" s="2498"/>
    </row>
    <row r="29402" spans="16:16">
      <c r="P29402" s="2498"/>
    </row>
    <row r="29403" spans="16:16">
      <c r="P29403" s="2498"/>
    </row>
    <row r="29404" spans="16:16">
      <c r="P29404" s="2498"/>
    </row>
    <row r="29405" spans="16:16">
      <c r="P29405" s="2498"/>
    </row>
    <row r="29406" spans="16:16">
      <c r="P29406" s="2498"/>
    </row>
    <row r="29407" spans="16:16">
      <c r="P29407" s="2498"/>
    </row>
    <row r="29408" spans="16:16">
      <c r="P29408" s="2498"/>
    </row>
    <row r="29409" spans="16:16">
      <c r="P29409" s="2498"/>
    </row>
    <row r="29410" spans="16:16">
      <c r="P29410" s="2498"/>
    </row>
    <row r="29411" spans="16:16">
      <c r="P29411" s="2498"/>
    </row>
    <row r="29412" spans="16:16">
      <c r="P29412" s="2498"/>
    </row>
    <row r="29413" spans="16:16">
      <c r="P29413" s="2498"/>
    </row>
    <row r="29414" spans="16:16">
      <c r="P29414" s="2498"/>
    </row>
    <row r="29415" spans="16:16">
      <c r="P29415" s="2498"/>
    </row>
    <row r="29416" spans="16:16">
      <c r="P29416" s="2498"/>
    </row>
    <row r="29417" spans="16:16">
      <c r="P29417" s="2498"/>
    </row>
    <row r="29418" spans="16:16">
      <c r="P29418" s="2498"/>
    </row>
    <row r="29419" spans="16:16">
      <c r="P29419" s="2498"/>
    </row>
    <row r="29420" spans="16:16">
      <c r="P29420" s="2498"/>
    </row>
    <row r="29421" spans="16:16">
      <c r="P29421" s="2498"/>
    </row>
    <row r="29422" spans="16:16">
      <c r="P29422" s="2498"/>
    </row>
    <row r="29423" spans="16:16">
      <c r="P29423" s="2498"/>
    </row>
    <row r="29424" spans="16:16">
      <c r="P29424" s="2498"/>
    </row>
    <row r="29425" spans="16:16">
      <c r="P29425" s="2498"/>
    </row>
    <row r="29426" spans="16:16">
      <c r="P29426" s="2498"/>
    </row>
    <row r="29427" spans="16:16">
      <c r="P29427" s="2498"/>
    </row>
    <row r="29428" spans="16:16">
      <c r="P29428" s="2498"/>
    </row>
    <row r="29429" spans="16:16">
      <c r="P29429" s="2498"/>
    </row>
    <row r="29430" spans="16:16">
      <c r="P29430" s="2498"/>
    </row>
    <row r="29431" spans="16:16">
      <c r="P29431" s="2498"/>
    </row>
    <row r="29432" spans="16:16">
      <c r="P29432" s="2498"/>
    </row>
    <row r="29433" spans="16:16">
      <c r="P29433" s="2498"/>
    </row>
    <row r="29434" spans="16:16">
      <c r="P29434" s="2498"/>
    </row>
    <row r="29435" spans="16:16">
      <c r="P29435" s="2498"/>
    </row>
    <row r="29436" spans="16:16">
      <c r="P29436" s="2498"/>
    </row>
    <row r="29437" spans="16:16">
      <c r="P29437" s="2498"/>
    </row>
    <row r="29438" spans="16:16">
      <c r="P29438" s="2498"/>
    </row>
    <row r="29439" spans="16:16">
      <c r="P29439" s="2498"/>
    </row>
    <row r="29440" spans="16:16">
      <c r="P29440" s="2498"/>
    </row>
    <row r="29441" spans="16:16">
      <c r="P29441" s="2498"/>
    </row>
    <row r="29442" spans="16:16">
      <c r="P29442" s="2498"/>
    </row>
    <row r="29443" spans="16:16">
      <c r="P29443" s="2498"/>
    </row>
    <row r="29444" spans="16:16">
      <c r="P29444" s="2498"/>
    </row>
    <row r="29445" spans="16:16">
      <c r="P29445" s="2498"/>
    </row>
    <row r="29446" spans="16:16">
      <c r="P29446" s="2498"/>
    </row>
    <row r="29447" spans="16:16">
      <c r="P29447" s="2498"/>
    </row>
    <row r="29448" spans="16:16">
      <c r="P29448" s="2498"/>
    </row>
    <row r="29449" spans="16:16">
      <c r="P29449" s="2498"/>
    </row>
    <row r="29450" spans="16:16">
      <c r="P29450" s="2498"/>
    </row>
    <row r="29451" spans="16:16">
      <c r="P29451" s="2498"/>
    </row>
    <row r="29452" spans="16:16">
      <c r="P29452" s="2498"/>
    </row>
    <row r="29453" spans="16:16">
      <c r="P29453" s="2498"/>
    </row>
    <row r="29454" spans="16:16">
      <c r="P29454" s="2498"/>
    </row>
    <row r="29455" spans="16:16">
      <c r="P29455" s="2498"/>
    </row>
    <row r="29456" spans="16:16">
      <c r="P29456" s="2498"/>
    </row>
    <row r="29457" spans="16:16">
      <c r="P29457" s="2498"/>
    </row>
    <row r="29458" spans="16:16">
      <c r="P29458" s="2498"/>
    </row>
    <row r="29459" spans="16:16">
      <c r="P29459" s="2498"/>
    </row>
    <row r="29460" spans="16:16">
      <c r="P29460" s="2498"/>
    </row>
    <row r="29461" spans="16:16">
      <c r="P29461" s="2498"/>
    </row>
    <row r="29462" spans="16:16">
      <c r="P29462" s="2498"/>
    </row>
    <row r="29463" spans="16:16">
      <c r="P29463" s="2498"/>
    </row>
    <row r="29464" spans="16:16">
      <c r="P29464" s="2498"/>
    </row>
    <row r="29465" spans="16:16">
      <c r="P29465" s="2498"/>
    </row>
    <row r="29466" spans="16:16">
      <c r="P29466" s="2498"/>
    </row>
    <row r="29467" spans="16:16">
      <c r="P29467" s="2498"/>
    </row>
    <row r="29468" spans="16:16">
      <c r="P29468" s="2498"/>
    </row>
    <row r="29469" spans="16:16">
      <c r="P29469" s="2498"/>
    </row>
    <row r="29470" spans="16:16">
      <c r="P29470" s="2498"/>
    </row>
    <row r="29471" spans="16:16">
      <c r="P29471" s="2498"/>
    </row>
    <row r="29472" spans="16:16">
      <c r="P29472" s="2498"/>
    </row>
    <row r="29473" spans="16:16">
      <c r="P29473" s="2498"/>
    </row>
    <row r="29474" spans="16:16">
      <c r="P29474" s="2498"/>
    </row>
    <row r="29475" spans="16:16">
      <c r="P29475" s="2498"/>
    </row>
    <row r="29476" spans="16:16">
      <c r="P29476" s="2498"/>
    </row>
    <row r="29477" spans="16:16">
      <c r="P29477" s="2498"/>
    </row>
    <row r="29478" spans="16:16">
      <c r="P29478" s="2498"/>
    </row>
    <row r="29479" spans="16:16">
      <c r="P29479" s="2498"/>
    </row>
    <row r="29480" spans="16:16">
      <c r="P29480" s="2498"/>
    </row>
    <row r="29481" spans="16:16">
      <c r="P29481" s="2498"/>
    </row>
    <row r="29482" spans="16:16">
      <c r="P29482" s="2498"/>
    </row>
    <row r="29483" spans="16:16">
      <c r="P29483" s="2498"/>
    </row>
    <row r="29484" spans="16:16">
      <c r="P29484" s="2498"/>
    </row>
    <row r="29485" spans="16:16">
      <c r="P29485" s="2498"/>
    </row>
    <row r="29486" spans="16:16">
      <c r="P29486" s="2498"/>
    </row>
    <row r="29487" spans="16:16">
      <c r="P29487" s="2498"/>
    </row>
    <row r="29488" spans="16:16">
      <c r="P29488" s="2498"/>
    </row>
    <row r="29489" spans="16:16">
      <c r="P29489" s="2498"/>
    </row>
    <row r="29490" spans="16:16">
      <c r="P29490" s="2498"/>
    </row>
    <row r="29491" spans="16:16">
      <c r="P29491" s="2498"/>
    </row>
    <row r="29492" spans="16:16">
      <c r="P29492" s="2498"/>
    </row>
    <row r="29493" spans="16:16">
      <c r="P29493" s="2498"/>
    </row>
    <row r="29494" spans="16:16">
      <c r="P29494" s="2498"/>
    </row>
    <row r="29495" spans="16:16">
      <c r="P29495" s="2498"/>
    </row>
    <row r="29496" spans="16:16">
      <c r="P29496" s="2498"/>
    </row>
    <row r="29497" spans="16:16">
      <c r="P29497" s="2498"/>
    </row>
    <row r="29498" spans="16:16">
      <c r="P29498" s="2498"/>
    </row>
    <row r="29499" spans="16:16">
      <c r="P29499" s="2498"/>
    </row>
    <row r="29500" spans="16:16">
      <c r="P29500" s="2498"/>
    </row>
    <row r="29501" spans="16:16">
      <c r="P29501" s="2498"/>
    </row>
    <row r="29502" spans="16:16">
      <c r="P29502" s="2498"/>
    </row>
    <row r="29503" spans="16:16">
      <c r="P29503" s="2498"/>
    </row>
    <row r="29504" spans="16:16">
      <c r="P29504" s="2498"/>
    </row>
    <row r="29505" spans="16:16">
      <c r="P29505" s="2498"/>
    </row>
    <row r="29506" spans="16:16">
      <c r="P29506" s="2498"/>
    </row>
    <row r="29507" spans="16:16">
      <c r="P29507" s="2498"/>
    </row>
    <row r="29508" spans="16:16">
      <c r="P29508" s="2498"/>
    </row>
    <row r="29509" spans="16:16">
      <c r="P29509" s="2498"/>
    </row>
    <row r="29510" spans="16:16">
      <c r="P29510" s="2498"/>
    </row>
    <row r="29511" spans="16:16">
      <c r="P29511" s="2498"/>
    </row>
    <row r="29512" spans="16:16">
      <c r="P29512" s="2498"/>
    </row>
    <row r="29513" spans="16:16">
      <c r="P29513" s="2498"/>
    </row>
    <row r="29514" spans="16:16">
      <c r="P29514" s="2498"/>
    </row>
    <row r="29515" spans="16:16">
      <c r="P29515" s="2498"/>
    </row>
    <row r="29516" spans="16:16">
      <c r="P29516" s="2498"/>
    </row>
    <row r="29517" spans="16:16">
      <c r="P29517" s="2498"/>
    </row>
    <row r="29518" spans="16:16">
      <c r="P29518" s="2498"/>
    </row>
    <row r="29519" spans="16:16">
      <c r="P29519" s="2498"/>
    </row>
    <row r="29520" spans="16:16">
      <c r="P29520" s="2498"/>
    </row>
    <row r="29521" spans="16:16">
      <c r="P29521" s="2498"/>
    </row>
    <row r="29522" spans="16:16">
      <c r="P29522" s="2498"/>
    </row>
    <row r="29523" spans="16:16">
      <c r="P29523" s="2498"/>
    </row>
    <row r="29524" spans="16:16">
      <c r="P29524" s="2498"/>
    </row>
    <row r="29525" spans="16:16">
      <c r="P29525" s="2498"/>
    </row>
    <row r="29526" spans="16:16">
      <c r="P29526" s="2498"/>
    </row>
    <row r="29527" spans="16:16">
      <c r="P29527" s="2498"/>
    </row>
    <row r="29528" spans="16:16">
      <c r="P29528" s="2498"/>
    </row>
    <row r="29529" spans="16:16">
      <c r="P29529" s="2498"/>
    </row>
    <row r="29530" spans="16:16">
      <c r="P29530" s="2498"/>
    </row>
    <row r="29531" spans="16:16">
      <c r="P29531" s="2498"/>
    </row>
    <row r="29532" spans="16:16">
      <c r="P29532" s="2498"/>
    </row>
    <row r="29533" spans="16:16">
      <c r="P29533" s="2498"/>
    </row>
    <row r="29534" spans="16:16">
      <c r="P29534" s="2498"/>
    </row>
    <row r="29535" spans="16:16">
      <c r="P29535" s="2498"/>
    </row>
    <row r="29536" spans="16:16">
      <c r="P29536" s="2498"/>
    </row>
    <row r="29537" spans="16:16">
      <c r="P29537" s="2498"/>
    </row>
    <row r="29538" spans="16:16">
      <c r="P29538" s="2498"/>
    </row>
    <row r="29539" spans="16:16">
      <c r="P29539" s="2498"/>
    </row>
    <row r="29540" spans="16:16">
      <c r="P29540" s="2498"/>
    </row>
    <row r="29541" spans="16:16">
      <c r="P29541" s="2498"/>
    </row>
    <row r="29542" spans="16:16">
      <c r="P29542" s="2498"/>
    </row>
    <row r="29543" spans="16:16">
      <c r="P29543" s="2498"/>
    </row>
    <row r="29544" spans="16:16">
      <c r="P29544" s="2498"/>
    </row>
    <row r="29545" spans="16:16">
      <c r="P29545" s="2498"/>
    </row>
    <row r="29546" spans="16:16">
      <c r="P29546" s="2498"/>
    </row>
    <row r="29547" spans="16:16">
      <c r="P29547" s="2498"/>
    </row>
    <row r="29548" spans="16:16">
      <c r="P29548" s="2498"/>
    </row>
    <row r="29549" spans="16:16">
      <c r="P29549" s="2498"/>
    </row>
    <row r="29550" spans="16:16">
      <c r="P29550" s="2498"/>
    </row>
    <row r="29551" spans="16:16">
      <c r="P29551" s="2498"/>
    </row>
    <row r="29552" spans="16:16">
      <c r="P29552" s="2498"/>
    </row>
    <row r="29553" spans="16:16">
      <c r="P29553" s="2498"/>
    </row>
    <row r="29554" spans="16:16">
      <c r="P29554" s="2498"/>
    </row>
    <row r="29555" spans="16:16">
      <c r="P29555" s="2498"/>
    </row>
    <row r="29556" spans="16:16">
      <c r="P29556" s="2498"/>
    </row>
    <row r="29557" spans="16:16">
      <c r="P29557" s="2498"/>
    </row>
    <row r="29558" spans="16:16">
      <c r="P29558" s="2498"/>
    </row>
    <row r="29559" spans="16:16">
      <c r="P29559" s="2498"/>
    </row>
    <row r="29560" spans="16:16">
      <c r="P29560" s="2498"/>
    </row>
    <row r="29561" spans="16:16">
      <c r="P29561" s="2498"/>
    </row>
    <row r="29562" spans="16:16">
      <c r="P29562" s="2498"/>
    </row>
    <row r="29563" spans="16:16">
      <c r="P29563" s="2498"/>
    </row>
    <row r="29564" spans="16:16">
      <c r="P29564" s="2498"/>
    </row>
    <row r="29565" spans="16:16">
      <c r="P29565" s="2498"/>
    </row>
    <row r="29566" spans="16:16">
      <c r="P29566" s="2498"/>
    </row>
    <row r="29567" spans="16:16">
      <c r="P29567" s="2498"/>
    </row>
    <row r="29568" spans="16:16">
      <c r="P29568" s="2498"/>
    </row>
    <row r="29569" spans="16:16">
      <c r="P29569" s="2498"/>
    </row>
    <row r="29570" spans="16:16">
      <c r="P29570" s="2498"/>
    </row>
    <row r="29571" spans="16:16">
      <c r="P29571" s="2498"/>
    </row>
    <row r="29572" spans="16:16">
      <c r="P29572" s="2498"/>
    </row>
    <row r="29573" spans="16:16">
      <c r="P29573" s="2498"/>
    </row>
    <row r="29574" spans="16:16">
      <c r="P29574" s="2498"/>
    </row>
    <row r="29575" spans="16:16">
      <c r="P29575" s="2498"/>
    </row>
    <row r="29576" spans="16:16">
      <c r="P29576" s="2498"/>
    </row>
    <row r="29577" spans="16:16">
      <c r="P29577" s="2498"/>
    </row>
    <row r="29578" spans="16:16">
      <c r="P29578" s="2498"/>
    </row>
    <row r="29579" spans="16:16">
      <c r="P29579" s="2498"/>
    </row>
    <row r="29580" spans="16:16">
      <c r="P29580" s="2498"/>
    </row>
    <row r="29581" spans="16:16">
      <c r="P29581" s="2498"/>
    </row>
    <row r="29582" spans="16:16">
      <c r="P29582" s="2498"/>
    </row>
    <row r="29583" spans="16:16">
      <c r="P29583" s="2498"/>
    </row>
    <row r="29584" spans="16:16">
      <c r="P29584" s="2498"/>
    </row>
    <row r="29585" spans="16:16">
      <c r="P29585" s="2498"/>
    </row>
    <row r="29586" spans="16:16">
      <c r="P29586" s="2498"/>
    </row>
    <row r="29587" spans="16:16">
      <c r="P29587" s="2498"/>
    </row>
    <row r="29588" spans="16:16">
      <c r="P29588" s="2498"/>
    </row>
    <row r="29589" spans="16:16">
      <c r="P29589" s="2498"/>
    </row>
    <row r="29590" spans="16:16">
      <c r="P29590" s="2498"/>
    </row>
    <row r="29591" spans="16:16">
      <c r="P29591" s="2498"/>
    </row>
    <row r="29592" spans="16:16">
      <c r="P29592" s="2498"/>
    </row>
    <row r="29593" spans="16:16">
      <c r="P29593" s="2498"/>
    </row>
    <row r="29594" spans="16:16">
      <c r="P29594" s="2498"/>
    </row>
    <row r="29595" spans="16:16">
      <c r="P29595" s="2498"/>
    </row>
    <row r="29596" spans="16:16">
      <c r="P29596" s="2498"/>
    </row>
    <row r="29597" spans="16:16">
      <c r="P29597" s="2498"/>
    </row>
    <row r="29598" spans="16:16">
      <c r="P29598" s="2498"/>
    </row>
    <row r="29599" spans="16:16">
      <c r="P29599" s="2498"/>
    </row>
    <row r="29600" spans="16:16">
      <c r="P29600" s="2498"/>
    </row>
    <row r="29601" spans="16:16">
      <c r="P29601" s="2498"/>
    </row>
    <row r="29602" spans="16:16">
      <c r="P29602" s="2498"/>
    </row>
    <row r="29603" spans="16:16">
      <c r="P29603" s="2498"/>
    </row>
    <row r="29604" spans="16:16">
      <c r="P29604" s="2498"/>
    </row>
    <row r="29605" spans="16:16">
      <c r="P29605" s="2498"/>
    </row>
    <row r="29606" spans="16:16">
      <c r="P29606" s="2498"/>
    </row>
    <row r="29607" spans="16:16">
      <c r="P29607" s="2498"/>
    </row>
    <row r="29608" spans="16:16">
      <c r="P29608" s="2498"/>
    </row>
    <row r="29609" spans="16:16">
      <c r="P29609" s="2498"/>
    </row>
    <row r="29610" spans="16:16">
      <c r="P29610" s="2498"/>
    </row>
    <row r="29611" spans="16:16">
      <c r="P29611" s="2498"/>
    </row>
    <row r="29612" spans="16:16">
      <c r="P29612" s="2498"/>
    </row>
    <row r="29613" spans="16:16">
      <c r="P29613" s="2498"/>
    </row>
    <row r="29614" spans="16:16">
      <c r="P29614" s="2498"/>
    </row>
    <row r="29615" spans="16:16">
      <c r="P29615" s="2498"/>
    </row>
    <row r="29616" spans="16:16">
      <c r="P29616" s="2498"/>
    </row>
    <row r="29617" spans="16:16">
      <c r="P29617" s="2498"/>
    </row>
    <row r="29618" spans="16:16">
      <c r="P29618" s="2498"/>
    </row>
    <row r="29619" spans="16:16">
      <c r="P29619" s="2498"/>
    </row>
    <row r="29620" spans="16:16">
      <c r="P29620" s="2498"/>
    </row>
    <row r="29621" spans="16:16">
      <c r="P29621" s="2498"/>
    </row>
    <row r="29622" spans="16:16">
      <c r="P29622" s="2498"/>
    </row>
    <row r="29623" spans="16:16">
      <c r="P29623" s="2498"/>
    </row>
    <row r="29624" spans="16:16">
      <c r="P29624" s="2498"/>
    </row>
    <row r="29625" spans="16:16">
      <c r="P29625" s="2498"/>
    </row>
    <row r="29626" spans="16:16">
      <c r="P29626" s="2498"/>
    </row>
    <row r="29627" spans="16:16">
      <c r="P29627" s="2498"/>
    </row>
    <row r="29628" spans="16:16">
      <c r="P29628" s="2498"/>
    </row>
    <row r="29629" spans="16:16">
      <c r="P29629" s="2498"/>
    </row>
    <row r="29630" spans="16:16">
      <c r="P29630" s="2498"/>
    </row>
    <row r="29631" spans="16:16">
      <c r="P29631" s="2498"/>
    </row>
    <row r="29632" spans="16:16">
      <c r="P29632" s="2498"/>
    </row>
    <row r="29633" spans="16:16">
      <c r="P29633" s="2498"/>
    </row>
    <row r="29634" spans="16:16">
      <c r="P29634" s="2498"/>
    </row>
    <row r="29635" spans="16:16">
      <c r="P29635" s="2498"/>
    </row>
    <row r="29636" spans="16:16">
      <c r="P29636" s="2498"/>
    </row>
    <row r="29637" spans="16:16">
      <c r="P29637" s="2498"/>
    </row>
    <row r="29638" spans="16:16">
      <c r="P29638" s="2498"/>
    </row>
    <row r="29639" spans="16:16">
      <c r="P29639" s="2498"/>
    </row>
    <row r="29640" spans="16:16">
      <c r="P29640" s="2498"/>
    </row>
    <row r="29641" spans="16:16">
      <c r="P29641" s="2498"/>
    </row>
    <row r="29642" spans="16:16">
      <c r="P29642" s="2498"/>
    </row>
    <row r="29643" spans="16:16">
      <c r="P29643" s="2498"/>
    </row>
    <row r="29644" spans="16:16">
      <c r="P29644" s="2498"/>
    </row>
    <row r="29645" spans="16:16">
      <c r="P29645" s="2498"/>
    </row>
    <row r="29646" spans="16:16">
      <c r="P29646" s="2498"/>
    </row>
    <row r="29647" spans="16:16">
      <c r="P29647" s="2498"/>
    </row>
    <row r="29648" spans="16:16">
      <c r="P29648" s="2498"/>
    </row>
    <row r="29649" spans="16:16">
      <c r="P29649" s="2498"/>
    </row>
    <row r="29650" spans="16:16">
      <c r="P29650" s="2498"/>
    </row>
    <row r="29651" spans="16:16">
      <c r="P29651" s="2498"/>
    </row>
    <row r="29652" spans="16:16">
      <c r="P29652" s="2498"/>
    </row>
    <row r="29653" spans="16:16">
      <c r="P29653" s="2498"/>
    </row>
    <row r="29654" spans="16:16">
      <c r="P29654" s="2498"/>
    </row>
    <row r="29655" spans="16:16">
      <c r="P29655" s="2498"/>
    </row>
    <row r="29656" spans="16:16">
      <c r="P29656" s="2498"/>
    </row>
    <row r="29657" spans="16:16">
      <c r="P29657" s="2498"/>
    </row>
    <row r="29658" spans="16:16">
      <c r="P29658" s="2498"/>
    </row>
    <row r="29659" spans="16:16">
      <c r="P29659" s="2498"/>
    </row>
    <row r="29660" spans="16:16">
      <c r="P29660" s="2498"/>
    </row>
    <row r="29661" spans="16:16">
      <c r="P29661" s="2498"/>
    </row>
    <row r="29662" spans="16:16">
      <c r="P29662" s="2498"/>
    </row>
    <row r="29663" spans="16:16">
      <c r="P29663" s="2498"/>
    </row>
    <row r="29664" spans="16:16">
      <c r="P29664" s="2498"/>
    </row>
    <row r="29665" spans="16:16">
      <c r="P29665" s="2498"/>
    </row>
    <row r="29666" spans="16:16">
      <c r="P29666" s="2498"/>
    </row>
    <row r="29667" spans="16:16">
      <c r="P29667" s="2498"/>
    </row>
    <row r="29668" spans="16:16">
      <c r="P29668" s="2498"/>
    </row>
    <row r="29669" spans="16:16">
      <c r="P29669" s="2498"/>
    </row>
    <row r="29670" spans="16:16">
      <c r="P29670" s="2498"/>
    </row>
    <row r="29671" spans="16:16">
      <c r="P29671" s="2498"/>
    </row>
    <row r="29672" spans="16:16">
      <c r="P29672" s="2498"/>
    </row>
    <row r="29673" spans="16:16">
      <c r="P29673" s="2498"/>
    </row>
    <row r="29674" spans="16:16">
      <c r="P29674" s="2498"/>
    </row>
    <row r="29675" spans="16:16">
      <c r="P29675" s="2498"/>
    </row>
    <row r="29676" spans="16:16">
      <c r="P29676" s="2498"/>
    </row>
    <row r="29677" spans="16:16">
      <c r="P29677" s="2498"/>
    </row>
    <row r="29678" spans="16:16">
      <c r="P29678" s="2498"/>
    </row>
    <row r="29679" spans="16:16">
      <c r="P29679" s="2498"/>
    </row>
    <row r="29680" spans="16:16">
      <c r="P29680" s="2498"/>
    </row>
    <row r="29681" spans="16:16">
      <c r="P29681" s="2498"/>
    </row>
    <row r="29682" spans="16:16">
      <c r="P29682" s="2498"/>
    </row>
    <row r="29683" spans="16:16">
      <c r="P29683" s="2498"/>
    </row>
    <row r="29684" spans="16:16">
      <c r="P29684" s="2498"/>
    </row>
    <row r="29685" spans="16:16">
      <c r="P29685" s="2498"/>
    </row>
    <row r="29686" spans="16:16">
      <c r="P29686" s="2498"/>
    </row>
    <row r="29687" spans="16:16">
      <c r="P29687" s="2498"/>
    </row>
    <row r="29688" spans="16:16">
      <c r="P29688" s="2498"/>
    </row>
    <row r="29689" spans="16:16">
      <c r="P29689" s="2498"/>
    </row>
    <row r="29690" spans="16:16">
      <c r="P29690" s="2498"/>
    </row>
    <row r="29691" spans="16:16">
      <c r="P29691" s="2498"/>
    </row>
    <row r="29692" spans="16:16">
      <c r="P29692" s="2498"/>
    </row>
    <row r="29693" spans="16:16">
      <c r="P29693" s="2498"/>
    </row>
    <row r="29694" spans="16:16">
      <c r="P29694" s="2498"/>
    </row>
    <row r="29695" spans="16:16">
      <c r="P29695" s="2498"/>
    </row>
    <row r="29696" spans="16:16">
      <c r="P29696" s="2498"/>
    </row>
    <row r="29697" spans="16:16">
      <c r="P29697" s="2498"/>
    </row>
    <row r="29698" spans="16:16">
      <c r="P29698" s="2498"/>
    </row>
    <row r="29699" spans="16:16">
      <c r="P29699" s="2498"/>
    </row>
    <row r="29700" spans="16:16">
      <c r="P29700" s="2498"/>
    </row>
    <row r="29701" spans="16:16">
      <c r="P29701" s="2498"/>
    </row>
    <row r="29702" spans="16:16">
      <c r="P29702" s="2498"/>
    </row>
    <row r="29703" spans="16:16">
      <c r="P29703" s="2498"/>
    </row>
    <row r="29704" spans="16:16">
      <c r="P29704" s="2498"/>
    </row>
    <row r="29705" spans="16:16">
      <c r="P29705" s="2498"/>
    </row>
    <row r="29706" spans="16:16">
      <c r="P29706" s="2498"/>
    </row>
    <row r="29707" spans="16:16">
      <c r="P29707" s="2498"/>
    </row>
    <row r="29708" spans="16:16">
      <c r="P29708" s="2498"/>
    </row>
    <row r="29709" spans="16:16">
      <c r="P29709" s="2498"/>
    </row>
    <row r="29710" spans="16:16">
      <c r="P29710" s="2498"/>
    </row>
    <row r="29711" spans="16:16">
      <c r="P29711" s="2498"/>
    </row>
    <row r="29712" spans="16:16">
      <c r="P29712" s="2498"/>
    </row>
    <row r="29713" spans="16:16">
      <c r="P29713" s="2498"/>
    </row>
    <row r="29714" spans="16:16">
      <c r="P29714" s="2498"/>
    </row>
    <row r="29715" spans="16:16">
      <c r="P29715" s="2498"/>
    </row>
    <row r="29716" spans="16:16">
      <c r="P29716" s="2498"/>
    </row>
    <row r="29717" spans="16:16">
      <c r="P29717" s="2498"/>
    </row>
    <row r="29718" spans="16:16">
      <c r="P29718" s="2498"/>
    </row>
    <row r="29719" spans="16:16">
      <c r="P29719" s="2498"/>
    </row>
    <row r="29720" spans="16:16">
      <c r="P29720" s="2498"/>
    </row>
    <row r="29721" spans="16:16">
      <c r="P29721" s="2498"/>
    </row>
    <row r="29722" spans="16:16">
      <c r="P29722" s="2498"/>
    </row>
    <row r="29723" spans="16:16">
      <c r="P29723" s="2498"/>
    </row>
    <row r="29724" spans="16:16">
      <c r="P29724" s="2498"/>
    </row>
    <row r="29725" spans="16:16">
      <c r="P29725" s="2498"/>
    </row>
    <row r="29726" spans="16:16">
      <c r="P29726" s="2498"/>
    </row>
    <row r="29727" spans="16:16">
      <c r="P29727" s="2498"/>
    </row>
    <row r="29728" spans="16:16">
      <c r="P29728" s="2498"/>
    </row>
    <row r="29729" spans="16:16">
      <c r="P29729" s="2498"/>
    </row>
    <row r="29730" spans="16:16">
      <c r="P29730" s="2498"/>
    </row>
    <row r="29731" spans="16:16">
      <c r="P29731" s="2498"/>
    </row>
    <row r="29732" spans="16:16">
      <c r="P29732" s="2498"/>
    </row>
    <row r="29733" spans="16:16">
      <c r="P29733" s="2498"/>
    </row>
    <row r="29734" spans="16:16">
      <c r="P29734" s="2498"/>
    </row>
    <row r="29735" spans="16:16">
      <c r="P29735" s="2498"/>
    </row>
    <row r="29736" spans="16:16">
      <c r="P29736" s="2498"/>
    </row>
    <row r="29737" spans="16:16">
      <c r="P29737" s="2498"/>
    </row>
    <row r="29738" spans="16:16">
      <c r="P29738" s="2498"/>
    </row>
    <row r="29739" spans="16:16">
      <c r="P29739" s="2498"/>
    </row>
    <row r="29740" spans="16:16">
      <c r="P29740" s="2498"/>
    </row>
    <row r="29741" spans="16:16">
      <c r="P29741" s="2498"/>
    </row>
    <row r="29742" spans="16:16">
      <c r="P29742" s="2498"/>
    </row>
    <row r="29743" spans="16:16">
      <c r="P29743" s="2498"/>
    </row>
    <row r="29744" spans="16:16">
      <c r="P29744" s="2498"/>
    </row>
    <row r="29745" spans="16:16">
      <c r="P29745" s="2498"/>
    </row>
    <row r="29746" spans="16:16">
      <c r="P29746" s="2498"/>
    </row>
    <row r="29747" spans="16:16">
      <c r="P29747" s="2498"/>
    </row>
    <row r="29748" spans="16:16">
      <c r="P29748" s="2498"/>
    </row>
    <row r="29749" spans="16:16">
      <c r="P29749" s="2498"/>
    </row>
    <row r="29750" spans="16:16">
      <c r="P29750" s="2498"/>
    </row>
    <row r="29751" spans="16:16">
      <c r="P29751" s="2498"/>
    </row>
    <row r="29752" spans="16:16">
      <c r="P29752" s="2498"/>
    </row>
    <row r="29753" spans="16:16">
      <c r="P29753" s="2498"/>
    </row>
    <row r="29754" spans="16:16">
      <c r="P29754" s="2498"/>
    </row>
    <row r="29755" spans="16:16">
      <c r="P29755" s="2498"/>
    </row>
    <row r="29756" spans="16:16">
      <c r="P29756" s="2498"/>
    </row>
    <row r="29757" spans="16:16">
      <c r="P29757" s="2498"/>
    </row>
    <row r="29758" spans="16:16">
      <c r="P29758" s="2498"/>
    </row>
    <row r="29759" spans="16:16">
      <c r="P29759" s="2498"/>
    </row>
    <row r="29760" spans="16:16">
      <c r="P29760" s="2498"/>
    </row>
    <row r="29761" spans="16:16">
      <c r="P29761" s="2498"/>
    </row>
    <row r="29762" spans="16:16">
      <c r="P29762" s="2498"/>
    </row>
    <row r="29763" spans="16:16">
      <c r="P29763" s="2498"/>
    </row>
    <row r="29764" spans="16:16">
      <c r="P29764" s="2498"/>
    </row>
    <row r="29765" spans="16:16">
      <c r="P29765" s="2498"/>
    </row>
    <row r="29766" spans="16:16">
      <c r="P29766" s="2498"/>
    </row>
    <row r="29767" spans="16:16">
      <c r="P29767" s="2498"/>
    </row>
    <row r="29768" spans="16:16">
      <c r="P29768" s="2498"/>
    </row>
    <row r="29769" spans="16:16">
      <c r="P29769" s="2498"/>
    </row>
    <row r="29770" spans="16:16">
      <c r="P29770" s="2498"/>
    </row>
    <row r="29771" spans="16:16">
      <c r="P29771" s="2498"/>
    </row>
    <row r="29772" spans="16:16">
      <c r="P29772" s="2498"/>
    </row>
    <row r="29773" spans="16:16">
      <c r="P29773" s="2498"/>
    </row>
    <row r="29774" spans="16:16">
      <c r="P29774" s="2498"/>
    </row>
    <row r="29775" spans="16:16">
      <c r="P29775" s="2498"/>
    </row>
    <row r="29776" spans="16:16">
      <c r="P29776" s="2498"/>
    </row>
    <row r="29777" spans="16:16">
      <c r="P29777" s="2498"/>
    </row>
    <row r="29778" spans="16:16">
      <c r="P29778" s="2498"/>
    </row>
    <row r="29779" spans="16:16">
      <c r="P29779" s="2498"/>
    </row>
    <row r="29780" spans="16:16">
      <c r="P29780" s="2498"/>
    </row>
    <row r="29781" spans="16:16">
      <c r="P29781" s="2498"/>
    </row>
    <row r="29782" spans="16:16">
      <c r="P29782" s="2498"/>
    </row>
    <row r="29783" spans="16:16">
      <c r="P29783" s="2498"/>
    </row>
    <row r="29784" spans="16:16">
      <c r="P29784" s="2498"/>
    </row>
    <row r="29785" spans="16:16">
      <c r="P29785" s="2498"/>
    </row>
    <row r="29786" spans="16:16">
      <c r="P29786" s="2498"/>
    </row>
    <row r="29787" spans="16:16">
      <c r="P29787" s="2498"/>
    </row>
    <row r="29788" spans="16:16">
      <c r="P29788" s="2498"/>
    </row>
    <row r="29789" spans="16:16">
      <c r="P29789" s="2498"/>
    </row>
    <row r="29790" spans="16:16">
      <c r="P29790" s="2498"/>
    </row>
    <row r="29791" spans="16:16">
      <c r="P29791" s="2498"/>
    </row>
    <row r="29792" spans="16:16">
      <c r="P29792" s="2498"/>
    </row>
    <row r="29793" spans="16:16">
      <c r="P29793" s="2498"/>
    </row>
    <row r="29794" spans="16:16">
      <c r="P29794" s="2498"/>
    </row>
    <row r="29795" spans="16:16">
      <c r="P29795" s="2498"/>
    </row>
    <row r="29796" spans="16:16">
      <c r="P29796" s="2498"/>
    </row>
    <row r="29797" spans="16:16">
      <c r="P29797" s="2498"/>
    </row>
    <row r="29798" spans="16:16">
      <c r="P29798" s="2498"/>
    </row>
    <row r="29799" spans="16:16">
      <c r="P29799" s="2498"/>
    </row>
    <row r="29800" spans="16:16">
      <c r="P29800" s="2498"/>
    </row>
    <row r="29801" spans="16:16">
      <c r="P29801" s="2498"/>
    </row>
    <row r="29802" spans="16:16">
      <c r="P29802" s="2498"/>
    </row>
    <row r="29803" spans="16:16">
      <c r="P29803" s="2498"/>
    </row>
    <row r="29804" spans="16:16">
      <c r="P29804" s="2498"/>
    </row>
    <row r="29805" spans="16:16">
      <c r="P29805" s="2498"/>
    </row>
    <row r="29806" spans="16:16">
      <c r="P29806" s="2498"/>
    </row>
    <row r="29807" spans="16:16">
      <c r="P29807" s="2498"/>
    </row>
    <row r="29808" spans="16:16">
      <c r="P29808" s="2498"/>
    </row>
    <row r="29809" spans="16:16">
      <c r="P29809" s="2498"/>
    </row>
    <row r="29810" spans="16:16">
      <c r="P29810" s="2498"/>
    </row>
    <row r="29811" spans="16:16">
      <c r="P29811" s="2498"/>
    </row>
    <row r="29812" spans="16:16">
      <c r="P29812" s="2498"/>
    </row>
    <row r="29813" spans="16:16">
      <c r="P29813" s="2498"/>
    </row>
    <row r="29814" spans="16:16">
      <c r="P29814" s="2498"/>
    </row>
    <row r="29815" spans="16:16">
      <c r="P29815" s="2498"/>
    </row>
    <row r="29816" spans="16:16">
      <c r="P29816" s="2498"/>
    </row>
    <row r="29817" spans="16:16">
      <c r="P29817" s="2498"/>
    </row>
    <row r="29818" spans="16:16">
      <c r="P29818" s="2498"/>
    </row>
    <row r="29819" spans="16:16">
      <c r="P29819" s="2498"/>
    </row>
    <row r="29820" spans="16:16">
      <c r="P29820" s="2498"/>
    </row>
    <row r="29821" spans="16:16">
      <c r="P29821" s="2498"/>
    </row>
    <row r="29822" spans="16:16">
      <c r="P29822" s="2498"/>
    </row>
    <row r="29823" spans="16:16">
      <c r="P29823" s="2498"/>
    </row>
    <row r="29824" spans="16:16">
      <c r="P29824" s="2498"/>
    </row>
    <row r="29825" spans="16:16">
      <c r="P29825" s="2498"/>
    </row>
    <row r="29826" spans="16:16">
      <c r="P29826" s="2498"/>
    </row>
    <row r="29827" spans="16:16">
      <c r="P29827" s="2498"/>
    </row>
    <row r="29828" spans="16:16">
      <c r="P29828" s="2498"/>
    </row>
    <row r="29829" spans="16:16">
      <c r="P29829" s="2498"/>
    </row>
    <row r="29830" spans="16:16">
      <c r="P29830" s="2498"/>
    </row>
    <row r="29831" spans="16:16">
      <c r="P29831" s="2498"/>
    </row>
    <row r="29832" spans="16:16">
      <c r="P29832" s="2498"/>
    </row>
    <row r="29833" spans="16:16">
      <c r="P29833" s="2498"/>
    </row>
    <row r="29834" spans="16:16">
      <c r="P29834" s="2498"/>
    </row>
    <row r="29835" spans="16:16">
      <c r="P29835" s="2498"/>
    </row>
    <row r="29836" spans="16:16">
      <c r="P29836" s="2498"/>
    </row>
    <row r="29837" spans="16:16">
      <c r="P29837" s="2498"/>
    </row>
    <row r="29838" spans="16:16">
      <c r="P29838" s="2498"/>
    </row>
    <row r="29839" spans="16:16">
      <c r="P29839" s="2498"/>
    </row>
    <row r="29840" spans="16:16">
      <c r="P29840" s="2498"/>
    </row>
    <row r="29841" spans="16:16">
      <c r="P29841" s="2498"/>
    </row>
    <row r="29842" spans="16:16">
      <c r="P29842" s="2498"/>
    </row>
    <row r="29843" spans="16:16">
      <c r="P29843" s="2498"/>
    </row>
    <row r="29844" spans="16:16">
      <c r="P29844" s="2498"/>
    </row>
    <row r="29845" spans="16:16">
      <c r="P29845" s="2498"/>
    </row>
    <row r="29846" spans="16:16">
      <c r="P29846" s="2498"/>
    </row>
    <row r="29847" spans="16:16">
      <c r="P29847" s="2498"/>
    </row>
    <row r="29848" spans="16:16">
      <c r="P29848" s="2498"/>
    </row>
    <row r="29849" spans="16:16">
      <c r="P29849" s="2498"/>
    </row>
    <row r="29850" spans="16:16">
      <c r="P29850" s="2498"/>
    </row>
    <row r="29851" spans="16:16">
      <c r="P29851" s="2498"/>
    </row>
    <row r="29852" spans="16:16">
      <c r="P29852" s="2498"/>
    </row>
    <row r="29853" spans="16:16">
      <c r="P29853" s="2498"/>
    </row>
    <row r="29854" spans="16:16">
      <c r="P29854" s="2498"/>
    </row>
    <row r="29855" spans="16:16">
      <c r="P29855" s="2498"/>
    </row>
    <row r="29856" spans="16:16">
      <c r="P29856" s="2498"/>
    </row>
    <row r="29857" spans="16:16">
      <c r="P29857" s="2498"/>
    </row>
    <row r="29858" spans="16:16">
      <c r="P29858" s="2498"/>
    </row>
    <row r="29859" spans="16:16">
      <c r="P29859" s="2498"/>
    </row>
    <row r="29860" spans="16:16">
      <c r="P29860" s="2498"/>
    </row>
    <row r="29861" spans="16:16">
      <c r="P29861" s="2498"/>
    </row>
    <row r="29862" spans="16:16">
      <c r="P29862" s="2498"/>
    </row>
    <row r="29863" spans="16:16">
      <c r="P29863" s="2498"/>
    </row>
    <row r="29864" spans="16:16">
      <c r="P29864" s="2498"/>
    </row>
    <row r="29865" spans="16:16">
      <c r="P29865" s="2498"/>
    </row>
    <row r="29866" spans="16:16">
      <c r="P29866" s="2498"/>
    </row>
    <row r="29867" spans="16:16">
      <c r="P29867" s="2498"/>
    </row>
    <row r="29868" spans="16:16">
      <c r="P29868" s="2498"/>
    </row>
    <row r="29869" spans="16:16">
      <c r="P29869" s="2498"/>
    </row>
    <row r="29870" spans="16:16">
      <c r="P29870" s="2498"/>
    </row>
    <row r="29871" spans="16:16">
      <c r="P29871" s="2498"/>
    </row>
    <row r="29872" spans="16:16">
      <c r="P29872" s="2498"/>
    </row>
    <row r="29873" spans="16:16">
      <c r="P29873" s="2498"/>
    </row>
    <row r="29874" spans="16:16">
      <c r="P29874" s="2498"/>
    </row>
    <row r="29875" spans="16:16">
      <c r="P29875" s="2498"/>
    </row>
    <row r="29876" spans="16:16">
      <c r="P29876" s="2498"/>
    </row>
    <row r="29877" spans="16:16">
      <c r="P29877" s="2498"/>
    </row>
    <row r="29878" spans="16:16">
      <c r="P29878" s="2498"/>
    </row>
    <row r="29879" spans="16:16">
      <c r="P29879" s="2498"/>
    </row>
    <row r="29880" spans="16:16">
      <c r="P29880" s="2498"/>
    </row>
    <row r="29881" spans="16:16">
      <c r="P29881" s="2498"/>
    </row>
    <row r="29882" spans="16:16">
      <c r="P29882" s="2498"/>
    </row>
    <row r="29883" spans="16:16">
      <c r="P29883" s="2498"/>
    </row>
    <row r="29884" spans="16:16">
      <c r="P29884" s="2498"/>
    </row>
    <row r="29885" spans="16:16">
      <c r="P29885" s="2498"/>
    </row>
    <row r="29886" spans="16:16">
      <c r="P29886" s="2498"/>
    </row>
    <row r="29887" spans="16:16">
      <c r="P29887" s="2498"/>
    </row>
    <row r="29888" spans="16:16">
      <c r="P29888" s="2498"/>
    </row>
    <row r="29889" spans="16:16">
      <c r="P29889" s="2498"/>
    </row>
    <row r="29890" spans="16:16">
      <c r="P29890" s="2498"/>
    </row>
    <row r="29891" spans="16:16">
      <c r="P29891" s="2498"/>
    </row>
    <row r="29892" spans="16:16">
      <c r="P29892" s="2498"/>
    </row>
    <row r="29893" spans="16:16">
      <c r="P29893" s="2498"/>
    </row>
    <row r="29894" spans="16:16">
      <c r="P29894" s="2498"/>
    </row>
    <row r="29895" spans="16:16">
      <c r="P29895" s="2498"/>
    </row>
    <row r="29896" spans="16:16">
      <c r="P29896" s="2498"/>
    </row>
    <row r="29897" spans="16:16">
      <c r="P29897" s="2498"/>
    </row>
    <row r="29898" spans="16:16">
      <c r="P29898" s="2498"/>
    </row>
    <row r="29899" spans="16:16">
      <c r="P29899" s="2498"/>
    </row>
    <row r="29900" spans="16:16">
      <c r="P29900" s="2498"/>
    </row>
    <row r="29901" spans="16:16">
      <c r="P29901" s="2498"/>
    </row>
    <row r="29902" spans="16:16">
      <c r="P29902" s="2498"/>
    </row>
    <row r="29903" spans="16:16">
      <c r="P29903" s="2498"/>
    </row>
    <row r="29904" spans="16:16">
      <c r="P29904" s="2498"/>
    </row>
    <row r="29905" spans="16:16">
      <c r="P29905" s="2498"/>
    </row>
    <row r="29906" spans="16:16">
      <c r="P29906" s="2498"/>
    </row>
    <row r="29907" spans="16:16">
      <c r="P29907" s="2498"/>
    </row>
    <row r="29908" spans="16:16">
      <c r="P29908" s="2498"/>
    </row>
    <row r="29909" spans="16:16">
      <c r="P29909" s="2498"/>
    </row>
    <row r="29910" spans="16:16">
      <c r="P29910" s="2498"/>
    </row>
    <row r="29911" spans="16:16">
      <c r="P29911" s="2498"/>
    </row>
    <row r="29912" spans="16:16">
      <c r="P29912" s="2498"/>
    </row>
    <row r="29913" spans="16:16">
      <c r="P29913" s="2498"/>
    </row>
    <row r="29914" spans="16:16">
      <c r="P29914" s="2498"/>
    </row>
    <row r="29915" spans="16:16">
      <c r="P29915" s="2498"/>
    </row>
    <row r="29916" spans="16:16">
      <c r="P29916" s="2498"/>
    </row>
    <row r="29917" spans="16:16">
      <c r="P29917" s="2498"/>
    </row>
    <row r="29918" spans="16:16">
      <c r="P29918" s="2498"/>
    </row>
    <row r="29919" spans="16:16">
      <c r="P29919" s="2498"/>
    </row>
    <row r="29920" spans="16:16">
      <c r="P29920" s="2498"/>
    </row>
    <row r="29921" spans="16:16">
      <c r="P29921" s="2498"/>
    </row>
    <row r="29922" spans="16:16">
      <c r="P29922" s="2498"/>
    </row>
    <row r="29923" spans="16:16">
      <c r="P29923" s="2498"/>
    </row>
    <row r="29924" spans="16:16">
      <c r="P29924" s="2498"/>
    </row>
    <row r="29925" spans="16:16">
      <c r="P29925" s="2498"/>
    </row>
    <row r="29926" spans="16:16">
      <c r="P29926" s="2498"/>
    </row>
    <row r="29927" spans="16:16">
      <c r="P29927" s="2498"/>
    </row>
    <row r="29928" spans="16:16">
      <c r="P29928" s="2498"/>
    </row>
    <row r="29929" spans="16:16">
      <c r="P29929" s="2498"/>
    </row>
    <row r="29930" spans="16:16">
      <c r="P29930" s="2498"/>
    </row>
    <row r="29931" spans="16:16">
      <c r="P29931" s="2498"/>
    </row>
    <row r="29932" spans="16:16">
      <c r="P29932" s="2498"/>
    </row>
    <row r="29933" spans="16:16">
      <c r="P29933" s="2498"/>
    </row>
    <row r="29934" spans="16:16">
      <c r="P29934" s="2498"/>
    </row>
    <row r="29935" spans="16:16">
      <c r="P29935" s="2498"/>
    </row>
    <row r="29936" spans="16:16">
      <c r="P29936" s="2498"/>
    </row>
    <row r="29937" spans="16:16">
      <c r="P29937" s="2498"/>
    </row>
    <row r="29938" spans="16:16">
      <c r="P29938" s="2498"/>
    </row>
    <row r="29939" spans="16:16">
      <c r="P29939" s="2498"/>
    </row>
    <row r="29940" spans="16:16">
      <c r="P29940" s="2498"/>
    </row>
    <row r="29941" spans="16:16">
      <c r="P29941" s="2498"/>
    </row>
    <row r="29942" spans="16:16">
      <c r="P29942" s="2498"/>
    </row>
    <row r="29943" spans="16:16">
      <c r="P29943" s="2498"/>
    </row>
    <row r="29944" spans="16:16">
      <c r="P29944" s="2498"/>
    </row>
    <row r="29945" spans="16:16">
      <c r="P29945" s="2498"/>
    </row>
    <row r="29946" spans="16:16">
      <c r="P29946" s="2498"/>
    </row>
    <row r="29947" spans="16:16">
      <c r="P29947" s="2498"/>
    </row>
    <row r="29948" spans="16:16">
      <c r="P29948" s="2498"/>
    </row>
    <row r="29949" spans="16:16">
      <c r="P29949" s="2498"/>
    </row>
    <row r="29950" spans="16:16">
      <c r="P29950" s="2498"/>
    </row>
    <row r="29951" spans="16:16">
      <c r="P29951" s="2498"/>
    </row>
    <row r="29952" spans="16:16">
      <c r="P29952" s="2498"/>
    </row>
    <row r="29953" spans="16:16">
      <c r="P29953" s="2498"/>
    </row>
    <row r="29954" spans="16:16">
      <c r="P29954" s="2498"/>
    </row>
    <row r="29955" spans="16:16">
      <c r="P29955" s="2498"/>
    </row>
    <row r="29956" spans="16:16">
      <c r="P29956" s="2498"/>
    </row>
    <row r="29957" spans="16:16">
      <c r="P29957" s="2498"/>
    </row>
    <row r="29958" spans="16:16">
      <c r="P29958" s="2498"/>
    </row>
    <row r="29959" spans="16:16">
      <c r="P29959" s="2498"/>
    </row>
    <row r="29960" spans="16:16">
      <c r="P29960" s="2498"/>
    </row>
    <row r="29961" spans="16:16">
      <c r="P29961" s="2498"/>
    </row>
    <row r="29962" spans="16:16">
      <c r="P29962" s="2498"/>
    </row>
    <row r="29963" spans="16:16">
      <c r="P29963" s="2498"/>
    </row>
    <row r="29964" spans="16:16">
      <c r="P29964" s="2498"/>
    </row>
    <row r="29965" spans="16:16">
      <c r="P29965" s="2498"/>
    </row>
    <row r="29966" spans="16:16">
      <c r="P29966" s="2498"/>
    </row>
    <row r="29967" spans="16:16">
      <c r="P29967" s="2498"/>
    </row>
    <row r="29968" spans="16:16">
      <c r="P29968" s="2498"/>
    </row>
    <row r="29969" spans="16:16">
      <c r="P29969" s="2498"/>
    </row>
    <row r="29970" spans="16:16">
      <c r="P29970" s="2498"/>
    </row>
    <row r="29971" spans="16:16">
      <c r="P29971" s="2498"/>
    </row>
    <row r="29972" spans="16:16">
      <c r="P29972" s="2498"/>
    </row>
    <row r="29973" spans="16:16">
      <c r="P29973" s="2498"/>
    </row>
    <row r="29974" spans="16:16">
      <c r="P29974" s="2498"/>
    </row>
    <row r="29975" spans="16:16">
      <c r="P29975" s="2498"/>
    </row>
    <row r="29976" spans="16:16">
      <c r="P29976" s="2498"/>
    </row>
    <row r="29977" spans="16:16">
      <c r="P29977" s="2498"/>
    </row>
    <row r="29978" spans="16:16">
      <c r="P29978" s="2498"/>
    </row>
    <row r="29979" spans="16:16">
      <c r="P29979" s="2498"/>
    </row>
    <row r="29980" spans="16:16">
      <c r="P29980" s="2498"/>
    </row>
    <row r="29981" spans="16:16">
      <c r="P29981" s="2498"/>
    </row>
    <row r="29982" spans="16:16">
      <c r="P29982" s="2498"/>
    </row>
    <row r="29983" spans="16:16">
      <c r="P29983" s="2498"/>
    </row>
    <row r="29984" spans="16:16">
      <c r="P29984" s="2498"/>
    </row>
    <row r="29985" spans="16:16">
      <c r="P29985" s="2498"/>
    </row>
    <row r="29986" spans="16:16">
      <c r="P29986" s="2498"/>
    </row>
    <row r="29987" spans="16:16">
      <c r="P29987" s="2498"/>
    </row>
    <row r="29988" spans="16:16">
      <c r="P29988" s="2498"/>
    </row>
    <row r="29989" spans="16:16">
      <c r="P29989" s="2498"/>
    </row>
    <row r="29990" spans="16:16">
      <c r="P29990" s="2498"/>
    </row>
    <row r="29991" spans="16:16">
      <c r="P29991" s="2498"/>
    </row>
    <row r="29992" spans="16:16">
      <c r="P29992" s="2498"/>
    </row>
    <row r="29993" spans="16:16">
      <c r="P29993" s="2498"/>
    </row>
    <row r="29994" spans="16:16">
      <c r="P29994" s="2498"/>
    </row>
    <row r="29995" spans="16:16">
      <c r="P29995" s="2498"/>
    </row>
    <row r="29996" spans="16:16">
      <c r="P29996" s="2498"/>
    </row>
    <row r="29997" spans="16:16">
      <c r="P29997" s="2498"/>
    </row>
    <row r="29998" spans="16:16">
      <c r="P29998" s="2498"/>
    </row>
    <row r="29999" spans="16:16">
      <c r="P29999" s="2498"/>
    </row>
    <row r="30000" spans="16:16">
      <c r="P30000" s="2498"/>
    </row>
    <row r="30001" spans="16:16">
      <c r="P30001" s="2498"/>
    </row>
    <row r="30002" spans="16:16">
      <c r="P30002" s="2498"/>
    </row>
    <row r="30003" spans="16:16">
      <c r="P30003" s="2498"/>
    </row>
    <row r="30004" spans="16:16">
      <c r="P30004" s="2498"/>
    </row>
    <row r="30005" spans="16:16">
      <c r="P30005" s="2498"/>
    </row>
    <row r="30006" spans="16:16">
      <c r="P30006" s="2498"/>
    </row>
    <row r="30007" spans="16:16">
      <c r="P30007" s="2498"/>
    </row>
    <row r="30008" spans="16:16">
      <c r="P30008" s="2498"/>
    </row>
    <row r="30009" spans="16:16">
      <c r="P30009" s="2498"/>
    </row>
    <row r="30010" spans="16:16">
      <c r="P30010" s="2498"/>
    </row>
    <row r="30011" spans="16:16">
      <c r="P30011" s="2498"/>
    </row>
    <row r="30012" spans="16:16">
      <c r="P30012" s="2498"/>
    </row>
    <row r="30013" spans="16:16">
      <c r="P30013" s="2498"/>
    </row>
    <row r="30014" spans="16:16">
      <c r="P30014" s="2498"/>
    </row>
    <row r="30015" spans="16:16">
      <c r="P30015" s="2498"/>
    </row>
    <row r="30016" spans="16:16">
      <c r="P30016" s="2498"/>
    </row>
    <row r="30017" spans="16:16">
      <c r="P30017" s="2498"/>
    </row>
    <row r="30018" spans="16:16">
      <c r="P30018" s="2498"/>
    </row>
    <row r="30019" spans="16:16">
      <c r="P30019" s="2498"/>
    </row>
    <row r="30020" spans="16:16">
      <c r="P30020" s="2498"/>
    </row>
    <row r="30021" spans="16:16">
      <c r="P30021" s="2498"/>
    </row>
    <row r="30022" spans="16:16">
      <c r="P30022" s="2498"/>
    </row>
    <row r="30023" spans="16:16">
      <c r="P30023" s="2498"/>
    </row>
    <row r="30024" spans="16:16">
      <c r="P30024" s="2498"/>
    </row>
    <row r="30025" spans="16:16">
      <c r="P30025" s="2498"/>
    </row>
    <row r="30026" spans="16:16">
      <c r="P30026" s="2498"/>
    </row>
    <row r="30027" spans="16:16">
      <c r="P30027" s="2498"/>
    </row>
    <row r="30028" spans="16:16">
      <c r="P30028" s="2498"/>
    </row>
    <row r="30029" spans="16:16">
      <c r="P30029" s="2498"/>
    </row>
    <row r="30030" spans="16:16">
      <c r="P30030" s="2498"/>
    </row>
    <row r="30031" spans="16:16">
      <c r="P30031" s="2498"/>
    </row>
    <row r="30032" spans="16:16">
      <c r="P30032" s="2498"/>
    </row>
    <row r="30033" spans="16:16">
      <c r="P30033" s="2498"/>
    </row>
    <row r="30034" spans="16:16">
      <c r="P30034" s="2498"/>
    </row>
    <row r="30035" spans="16:16">
      <c r="P30035" s="2498"/>
    </row>
    <row r="30036" spans="16:16">
      <c r="P30036" s="2498"/>
    </row>
    <row r="30037" spans="16:16">
      <c r="P30037" s="2498"/>
    </row>
    <row r="30038" spans="16:16">
      <c r="P30038" s="2498"/>
    </row>
    <row r="30039" spans="16:16">
      <c r="P30039" s="2498"/>
    </row>
    <row r="30040" spans="16:16">
      <c r="P30040" s="2498"/>
    </row>
    <row r="30041" spans="16:16">
      <c r="P30041" s="2498"/>
    </row>
    <row r="30042" spans="16:16">
      <c r="P30042" s="2498"/>
    </row>
    <row r="30043" spans="16:16">
      <c r="P30043" s="2498"/>
    </row>
    <row r="30044" spans="16:16">
      <c r="P30044" s="2498"/>
    </row>
    <row r="30045" spans="16:16">
      <c r="P30045" s="2498"/>
    </row>
    <row r="30046" spans="16:16">
      <c r="P30046" s="2498"/>
    </row>
    <row r="30047" spans="16:16">
      <c r="P30047" s="2498"/>
    </row>
    <row r="30048" spans="16:16">
      <c r="P30048" s="2498"/>
    </row>
    <row r="30049" spans="16:16">
      <c r="P30049" s="2498"/>
    </row>
    <row r="30050" spans="16:16">
      <c r="P30050" s="2498"/>
    </row>
    <row r="30051" spans="16:16">
      <c r="P30051" s="2498"/>
    </row>
    <row r="30052" spans="16:16">
      <c r="P30052" s="2498"/>
    </row>
    <row r="30053" spans="16:16">
      <c r="P30053" s="2498"/>
    </row>
    <row r="30054" spans="16:16">
      <c r="P30054" s="2498"/>
    </row>
    <row r="30055" spans="16:16">
      <c r="P30055" s="2498"/>
    </row>
    <row r="30056" spans="16:16">
      <c r="P30056" s="2498"/>
    </row>
    <row r="30057" spans="16:16">
      <c r="P30057" s="2498"/>
    </row>
    <row r="30058" spans="16:16">
      <c r="P30058" s="2498"/>
    </row>
    <row r="30059" spans="16:16">
      <c r="P30059" s="2498"/>
    </row>
    <row r="30060" spans="16:16">
      <c r="P30060" s="2498"/>
    </row>
    <row r="30061" spans="16:16">
      <c r="P30061" s="2498"/>
    </row>
    <row r="30062" spans="16:16">
      <c r="P30062" s="2498"/>
    </row>
    <row r="30063" spans="16:16">
      <c r="P30063" s="2498"/>
    </row>
    <row r="30064" spans="16:16">
      <c r="P30064" s="2498"/>
    </row>
    <row r="30065" spans="16:16">
      <c r="P30065" s="2498"/>
    </row>
    <row r="30066" spans="16:16">
      <c r="P30066" s="2498"/>
    </row>
    <row r="30067" spans="16:16">
      <c r="P30067" s="2498"/>
    </row>
    <row r="30068" spans="16:16">
      <c r="P30068" s="2498"/>
    </row>
    <row r="30069" spans="16:16">
      <c r="P30069" s="2498"/>
    </row>
    <row r="30070" spans="16:16">
      <c r="P30070" s="2498"/>
    </row>
    <row r="30071" spans="16:16">
      <c r="P30071" s="2498"/>
    </row>
    <row r="30072" spans="16:16">
      <c r="P30072" s="2498"/>
    </row>
    <row r="30073" spans="16:16">
      <c r="P30073" s="2498"/>
    </row>
    <row r="30074" spans="16:16">
      <c r="P30074" s="2498"/>
    </row>
    <row r="30075" spans="16:16">
      <c r="P30075" s="2498"/>
    </row>
    <row r="30076" spans="16:16">
      <c r="P30076" s="2498"/>
    </row>
    <row r="30077" spans="16:16">
      <c r="P30077" s="2498"/>
    </row>
    <row r="30078" spans="16:16">
      <c r="P30078" s="2498"/>
    </row>
    <row r="30079" spans="16:16">
      <c r="P30079" s="2498"/>
    </row>
    <row r="30080" spans="16:16">
      <c r="P30080" s="2498"/>
    </row>
    <row r="30081" spans="16:16">
      <c r="P30081" s="2498"/>
    </row>
    <row r="30082" spans="16:16">
      <c r="P30082" s="2498"/>
    </row>
    <row r="30083" spans="16:16">
      <c r="P30083" s="2498"/>
    </row>
    <row r="30084" spans="16:16">
      <c r="P30084" s="2498"/>
    </row>
    <row r="30085" spans="16:16">
      <c r="P30085" s="2498"/>
    </row>
    <row r="30086" spans="16:16">
      <c r="P30086" s="2498"/>
    </row>
    <row r="30087" spans="16:16">
      <c r="P30087" s="2498"/>
    </row>
    <row r="30088" spans="16:16">
      <c r="P30088" s="2498"/>
    </row>
    <row r="30089" spans="16:16">
      <c r="P30089" s="2498"/>
    </row>
    <row r="30090" spans="16:16">
      <c r="P30090" s="2498"/>
    </row>
    <row r="30091" spans="16:16">
      <c r="P30091" s="2498"/>
    </row>
    <row r="30092" spans="16:16">
      <c r="P30092" s="2498"/>
    </row>
    <row r="30093" spans="16:16">
      <c r="P30093" s="2498"/>
    </row>
    <row r="30094" spans="16:16">
      <c r="P30094" s="2498"/>
    </row>
    <row r="30095" spans="16:16">
      <c r="P30095" s="2498"/>
    </row>
    <row r="30096" spans="16:16">
      <c r="P30096" s="2498"/>
    </row>
    <row r="30097" spans="16:16">
      <c r="P30097" s="2498"/>
    </row>
    <row r="30098" spans="16:16">
      <c r="P30098" s="2498"/>
    </row>
    <row r="30099" spans="16:16">
      <c r="P30099" s="2498"/>
    </row>
    <row r="30100" spans="16:16">
      <c r="P30100" s="2498"/>
    </row>
    <row r="30101" spans="16:16">
      <c r="P30101" s="2498"/>
    </row>
    <row r="30102" spans="16:16">
      <c r="P30102" s="2498"/>
    </row>
    <row r="30103" spans="16:16">
      <c r="P30103" s="2498"/>
    </row>
    <row r="30104" spans="16:16">
      <c r="P30104" s="2498"/>
    </row>
    <row r="30105" spans="16:16">
      <c r="P30105" s="2498"/>
    </row>
    <row r="30106" spans="16:16">
      <c r="P30106" s="2498"/>
    </row>
    <row r="30107" spans="16:16">
      <c r="P30107" s="2498"/>
    </row>
    <row r="30108" spans="16:16">
      <c r="P30108" s="2498"/>
    </row>
    <row r="30109" spans="16:16">
      <c r="P30109" s="2498"/>
    </row>
    <row r="30110" spans="16:16">
      <c r="P30110" s="2498"/>
    </row>
    <row r="30111" spans="16:16">
      <c r="P30111" s="2498"/>
    </row>
    <row r="30112" spans="16:16">
      <c r="P30112" s="2498"/>
    </row>
    <row r="30113" spans="16:16">
      <c r="P30113" s="2498"/>
    </row>
    <row r="30114" spans="16:16">
      <c r="P30114" s="2498"/>
    </row>
    <row r="30115" spans="16:16">
      <c r="P30115" s="2498"/>
    </row>
    <row r="30116" spans="16:16">
      <c r="P30116" s="2498"/>
    </row>
    <row r="30117" spans="16:16">
      <c r="P30117" s="2498"/>
    </row>
    <row r="30118" spans="16:16">
      <c r="P30118" s="2498"/>
    </row>
    <row r="30119" spans="16:16">
      <c r="P30119" s="2498"/>
    </row>
    <row r="30120" spans="16:16">
      <c r="P30120" s="2498"/>
    </row>
    <row r="30121" spans="16:16">
      <c r="P30121" s="2498"/>
    </row>
    <row r="30122" spans="16:16">
      <c r="P30122" s="2498"/>
    </row>
    <row r="30123" spans="16:16">
      <c r="P30123" s="2498"/>
    </row>
    <row r="30124" spans="16:16">
      <c r="P30124" s="2498"/>
    </row>
    <row r="30125" spans="16:16">
      <c r="P30125" s="2498"/>
    </row>
    <row r="30126" spans="16:16">
      <c r="P30126" s="2498"/>
    </row>
    <row r="30127" spans="16:16">
      <c r="P30127" s="2498"/>
    </row>
    <row r="30128" spans="16:16">
      <c r="P30128" s="2498"/>
    </row>
    <row r="30129" spans="16:16">
      <c r="P30129" s="2498"/>
    </row>
    <row r="30130" spans="16:16">
      <c r="P30130" s="2498"/>
    </row>
    <row r="30131" spans="16:16">
      <c r="P30131" s="2498"/>
    </row>
    <row r="30132" spans="16:16">
      <c r="P30132" s="2498"/>
    </row>
    <row r="30133" spans="16:16">
      <c r="P30133" s="2498"/>
    </row>
    <row r="30134" spans="16:16">
      <c r="P30134" s="2498"/>
    </row>
    <row r="30135" spans="16:16">
      <c r="P30135" s="2498"/>
    </row>
    <row r="30136" spans="16:16">
      <c r="P30136" s="2498"/>
    </row>
    <row r="30137" spans="16:16">
      <c r="P30137" s="2498"/>
    </row>
    <row r="30138" spans="16:16">
      <c r="P30138" s="2498"/>
    </row>
    <row r="30139" spans="16:16">
      <c r="P30139" s="2498"/>
    </row>
    <row r="30140" spans="16:16">
      <c r="P30140" s="2498"/>
    </row>
    <row r="30141" spans="16:16">
      <c r="P30141" s="2498"/>
    </row>
    <row r="30142" spans="16:16">
      <c r="P30142" s="2498"/>
    </row>
    <row r="30143" spans="16:16">
      <c r="P30143" s="2498"/>
    </row>
    <row r="30144" spans="16:16">
      <c r="P30144" s="2498"/>
    </row>
    <row r="30145" spans="16:16">
      <c r="P30145" s="2498"/>
    </row>
    <row r="30146" spans="16:16">
      <c r="P30146" s="2498"/>
    </row>
    <row r="30147" spans="16:16">
      <c r="P30147" s="2498"/>
    </row>
    <row r="30148" spans="16:16">
      <c r="P30148" s="2498"/>
    </row>
    <row r="30149" spans="16:16">
      <c r="P30149" s="2498"/>
    </row>
    <row r="30150" spans="16:16">
      <c r="P30150" s="2498"/>
    </row>
    <row r="30151" spans="16:16">
      <c r="P30151" s="2498"/>
    </row>
    <row r="30152" spans="16:16">
      <c r="P30152" s="2498"/>
    </row>
    <row r="30153" spans="16:16">
      <c r="P30153" s="2498"/>
    </row>
    <row r="30154" spans="16:16">
      <c r="P30154" s="2498"/>
    </row>
    <row r="30155" spans="16:16">
      <c r="P30155" s="2498"/>
    </row>
    <row r="30156" spans="16:16">
      <c r="P30156" s="2498"/>
    </row>
    <row r="30157" spans="16:16">
      <c r="P30157" s="2498"/>
    </row>
    <row r="30158" spans="16:16">
      <c r="P30158" s="2498"/>
    </row>
    <row r="30159" spans="16:16">
      <c r="P30159" s="2498"/>
    </row>
    <row r="30160" spans="16:16">
      <c r="P30160" s="2498"/>
    </row>
    <row r="30161" spans="16:16">
      <c r="P30161" s="2498"/>
    </row>
    <row r="30162" spans="16:16">
      <c r="P30162" s="2498"/>
    </row>
    <row r="30163" spans="16:16">
      <c r="P30163" s="2498"/>
    </row>
    <row r="30164" spans="16:16">
      <c r="P30164" s="2498"/>
    </row>
    <row r="30165" spans="16:16">
      <c r="P30165" s="2498"/>
    </row>
    <row r="30166" spans="16:16">
      <c r="P30166" s="2498"/>
    </row>
    <row r="30167" spans="16:16">
      <c r="P30167" s="2498"/>
    </row>
    <row r="30168" spans="16:16">
      <c r="P30168" s="2498"/>
    </row>
    <row r="30169" spans="16:16">
      <c r="P30169" s="2498"/>
    </row>
    <row r="30170" spans="16:16">
      <c r="P30170" s="2498"/>
    </row>
    <row r="30171" spans="16:16">
      <c r="P30171" s="2498"/>
    </row>
    <row r="30172" spans="16:16">
      <c r="P30172" s="2498"/>
    </row>
    <row r="30173" spans="16:16">
      <c r="P30173" s="2498"/>
    </row>
    <row r="30174" spans="16:16">
      <c r="P30174" s="2498"/>
    </row>
    <row r="30175" spans="16:16">
      <c r="P30175" s="2498"/>
    </row>
    <row r="30176" spans="16:16">
      <c r="P30176" s="2498"/>
    </row>
    <row r="30177" spans="16:16">
      <c r="P30177" s="2498"/>
    </row>
    <row r="30178" spans="16:16">
      <c r="P30178" s="2498"/>
    </row>
    <row r="30179" spans="16:16">
      <c r="P30179" s="2498"/>
    </row>
    <row r="30180" spans="16:16">
      <c r="P30180" s="2498"/>
    </row>
    <row r="30181" spans="16:16">
      <c r="P30181" s="2498"/>
    </row>
    <row r="30182" spans="16:16">
      <c r="P30182" s="2498"/>
    </row>
    <row r="30183" spans="16:16">
      <c r="P30183" s="2498"/>
    </row>
    <row r="30184" spans="16:16">
      <c r="P30184" s="2498"/>
    </row>
    <row r="30185" spans="16:16">
      <c r="P30185" s="2498"/>
    </row>
    <row r="30186" spans="16:16">
      <c r="P30186" s="2498"/>
    </row>
    <row r="30187" spans="16:16">
      <c r="P30187" s="2498"/>
    </row>
    <row r="30188" spans="16:16">
      <c r="P30188" s="2498"/>
    </row>
    <row r="30189" spans="16:16">
      <c r="P30189" s="2498"/>
    </row>
    <row r="30190" spans="16:16">
      <c r="P30190" s="2498"/>
    </row>
    <row r="30191" spans="16:16">
      <c r="P30191" s="2498"/>
    </row>
    <row r="30192" spans="16:16">
      <c r="P30192" s="2498"/>
    </row>
    <row r="30193" spans="16:16">
      <c r="P30193" s="2498"/>
    </row>
    <row r="30194" spans="16:16">
      <c r="P30194" s="2498"/>
    </row>
    <row r="30195" spans="16:16">
      <c r="P30195" s="2498"/>
    </row>
    <row r="30196" spans="16:16">
      <c r="P30196" s="2498"/>
    </row>
    <row r="30197" spans="16:16">
      <c r="P30197" s="2498"/>
    </row>
    <row r="30198" spans="16:16">
      <c r="P30198" s="2498"/>
    </row>
    <row r="30199" spans="16:16">
      <c r="P30199" s="2498"/>
    </row>
    <row r="30200" spans="16:16">
      <c r="P30200" s="2498"/>
    </row>
    <row r="30201" spans="16:16">
      <c r="P30201" s="2498"/>
    </row>
    <row r="30202" spans="16:16">
      <c r="P30202" s="2498"/>
    </row>
    <row r="30203" spans="16:16">
      <c r="P30203" s="2498"/>
    </row>
    <row r="30204" spans="16:16">
      <c r="P30204" s="2498"/>
    </row>
    <row r="30205" spans="16:16">
      <c r="P30205" s="2498"/>
    </row>
    <row r="30206" spans="16:16">
      <c r="P30206" s="2498"/>
    </row>
    <row r="30207" spans="16:16">
      <c r="P30207" s="2498"/>
    </row>
    <row r="30208" spans="16:16">
      <c r="P30208" s="2498"/>
    </row>
    <row r="30209" spans="16:16">
      <c r="P30209" s="2498"/>
    </row>
    <row r="30210" spans="16:16">
      <c r="P30210" s="2498"/>
    </row>
    <row r="30211" spans="16:16">
      <c r="P30211" s="2498"/>
    </row>
    <row r="30212" spans="16:16">
      <c r="P30212" s="2498"/>
    </row>
    <row r="30213" spans="16:16">
      <c r="P30213" s="2498"/>
    </row>
    <row r="30214" spans="16:16">
      <c r="P30214" s="2498"/>
    </row>
    <row r="30215" spans="16:16">
      <c r="P30215" s="2498"/>
    </row>
    <row r="30216" spans="16:16">
      <c r="P30216" s="2498"/>
    </row>
    <row r="30217" spans="16:16">
      <c r="P30217" s="2498"/>
    </row>
    <row r="30218" spans="16:16">
      <c r="P30218" s="2498"/>
    </row>
    <row r="30219" spans="16:16">
      <c r="P30219" s="2498"/>
    </row>
    <row r="30220" spans="16:16">
      <c r="P30220" s="2498"/>
    </row>
    <row r="30221" spans="16:16">
      <c r="P30221" s="2498"/>
    </row>
    <row r="30222" spans="16:16">
      <c r="P30222" s="2498"/>
    </row>
    <row r="30223" spans="16:16">
      <c r="P30223" s="2498"/>
    </row>
    <row r="30224" spans="16:16">
      <c r="P30224" s="2498"/>
    </row>
    <row r="30225" spans="16:16">
      <c r="P30225" s="2498"/>
    </row>
    <row r="30226" spans="16:16">
      <c r="P30226" s="2498"/>
    </row>
    <row r="30227" spans="16:16">
      <c r="P30227" s="2498"/>
    </row>
    <row r="30228" spans="16:16">
      <c r="P30228" s="2498"/>
    </row>
    <row r="30229" spans="16:16">
      <c r="P30229" s="2498"/>
    </row>
    <row r="30230" spans="16:16">
      <c r="P30230" s="2498"/>
    </row>
    <row r="30231" spans="16:16">
      <c r="P30231" s="2498"/>
    </row>
    <row r="30232" spans="16:16">
      <c r="P30232" s="2498"/>
    </row>
    <row r="30233" spans="16:16">
      <c r="P30233" s="2498"/>
    </row>
    <row r="30234" spans="16:16">
      <c r="P30234" s="2498"/>
    </row>
    <row r="30235" spans="16:16">
      <c r="P30235" s="2498"/>
    </row>
    <row r="30236" spans="16:16">
      <c r="P30236" s="2498"/>
    </row>
    <row r="30237" spans="16:16">
      <c r="P30237" s="2498"/>
    </row>
    <row r="30238" spans="16:16">
      <c r="P30238" s="2498"/>
    </row>
    <row r="30239" spans="16:16">
      <c r="P30239" s="2498"/>
    </row>
    <row r="30240" spans="16:16">
      <c r="P30240" s="2498"/>
    </row>
    <row r="30241" spans="16:16">
      <c r="P30241" s="2498"/>
    </row>
    <row r="30242" spans="16:16">
      <c r="P30242" s="2498"/>
    </row>
    <row r="30243" spans="16:16">
      <c r="P30243" s="2498"/>
    </row>
    <row r="30244" spans="16:16">
      <c r="P30244" s="2498"/>
    </row>
    <row r="30245" spans="16:16">
      <c r="P30245" s="2498"/>
    </row>
    <row r="30246" spans="16:16">
      <c r="P30246" s="2498"/>
    </row>
    <row r="30247" spans="16:16">
      <c r="P30247" s="2498"/>
    </row>
    <row r="30248" spans="16:16">
      <c r="P30248" s="2498"/>
    </row>
    <row r="30249" spans="16:16">
      <c r="P30249" s="2498"/>
    </row>
    <row r="30250" spans="16:16">
      <c r="P30250" s="2498"/>
    </row>
    <row r="30251" spans="16:16">
      <c r="P30251" s="2498"/>
    </row>
    <row r="30252" spans="16:16">
      <c r="P30252" s="2498"/>
    </row>
    <row r="30253" spans="16:16">
      <c r="P30253" s="2498"/>
    </row>
    <row r="30254" spans="16:16">
      <c r="P30254" s="2498"/>
    </row>
    <row r="30255" spans="16:16">
      <c r="P30255" s="2498"/>
    </row>
    <row r="30256" spans="16:16">
      <c r="P30256" s="2498"/>
    </row>
    <row r="30257" spans="16:16">
      <c r="P30257" s="2498"/>
    </row>
    <row r="30258" spans="16:16">
      <c r="P30258" s="2498"/>
    </row>
    <row r="30259" spans="16:16">
      <c r="P30259" s="2498"/>
    </row>
    <row r="30260" spans="16:16">
      <c r="P30260" s="2498"/>
    </row>
    <row r="30261" spans="16:16">
      <c r="P30261" s="2498"/>
    </row>
    <row r="30262" spans="16:16">
      <c r="P30262" s="2498"/>
    </row>
    <row r="30263" spans="16:16">
      <c r="P30263" s="2498"/>
    </row>
    <row r="30264" spans="16:16">
      <c r="P30264" s="2498"/>
    </row>
    <row r="30265" spans="16:16">
      <c r="P30265" s="2498"/>
    </row>
    <row r="30266" spans="16:16">
      <c r="P30266" s="2498"/>
    </row>
    <row r="30267" spans="16:16">
      <c r="P30267" s="2498"/>
    </row>
    <row r="30268" spans="16:16">
      <c r="P30268" s="2498"/>
    </row>
    <row r="30269" spans="16:16">
      <c r="P30269" s="2498"/>
    </row>
    <row r="30270" spans="16:16">
      <c r="P30270" s="2498"/>
    </row>
    <row r="30271" spans="16:16">
      <c r="P30271" s="2498"/>
    </row>
    <row r="30272" spans="16:16">
      <c r="P30272" s="2498"/>
    </row>
    <row r="30273" spans="16:16">
      <c r="P30273" s="2498"/>
    </row>
    <row r="30274" spans="16:16">
      <c r="P30274" s="2498"/>
    </row>
    <row r="30275" spans="16:16">
      <c r="P30275" s="2498"/>
    </row>
    <row r="30276" spans="16:16">
      <c r="P30276" s="2498"/>
    </row>
    <row r="30277" spans="16:16">
      <c r="P30277" s="2498"/>
    </row>
    <row r="30278" spans="16:16">
      <c r="P30278" s="2498"/>
    </row>
    <row r="30279" spans="16:16">
      <c r="P30279" s="2498"/>
    </row>
    <row r="30280" spans="16:16">
      <c r="P30280" s="2498"/>
    </row>
    <row r="30281" spans="16:16">
      <c r="P30281" s="2498"/>
    </row>
    <row r="30282" spans="16:16">
      <c r="P30282" s="2498"/>
    </row>
    <row r="30283" spans="16:16">
      <c r="P30283" s="2498"/>
    </row>
    <row r="30284" spans="16:16">
      <c r="P30284" s="2498"/>
    </row>
    <row r="30285" spans="16:16">
      <c r="P30285" s="2498"/>
    </row>
    <row r="30286" spans="16:16">
      <c r="P30286" s="2498"/>
    </row>
    <row r="30287" spans="16:16">
      <c r="P30287" s="2498"/>
    </row>
    <row r="30288" spans="16:16">
      <c r="P30288" s="2498"/>
    </row>
    <row r="30289" spans="16:16">
      <c r="P30289" s="2498"/>
    </row>
    <row r="30290" spans="16:16">
      <c r="P30290" s="2498"/>
    </row>
    <row r="30291" spans="16:16">
      <c r="P30291" s="2498"/>
    </row>
    <row r="30292" spans="16:16">
      <c r="P30292" s="2498"/>
    </row>
    <row r="30293" spans="16:16">
      <c r="P30293" s="2498"/>
    </row>
    <row r="30294" spans="16:16">
      <c r="P30294" s="2498"/>
    </row>
    <row r="30295" spans="16:16">
      <c r="P30295" s="2498"/>
    </row>
    <row r="30296" spans="16:16">
      <c r="P30296" s="2498"/>
    </row>
    <row r="30297" spans="16:16">
      <c r="P30297" s="2498"/>
    </row>
    <row r="30298" spans="16:16">
      <c r="P30298" s="2498"/>
    </row>
    <row r="30299" spans="16:16">
      <c r="P30299" s="2498"/>
    </row>
    <row r="30300" spans="16:16">
      <c r="P30300" s="2498"/>
    </row>
    <row r="30301" spans="16:16">
      <c r="P30301" s="2498"/>
    </row>
    <row r="30302" spans="16:16">
      <c r="P30302" s="2498"/>
    </row>
    <row r="30303" spans="16:16">
      <c r="P30303" s="2498"/>
    </row>
    <row r="30304" spans="16:16">
      <c r="P30304" s="2498"/>
    </row>
    <row r="30305" spans="16:16">
      <c r="P30305" s="2498"/>
    </row>
    <row r="30306" spans="16:16">
      <c r="P30306" s="2498"/>
    </row>
    <row r="30307" spans="16:16">
      <c r="P30307" s="2498"/>
    </row>
    <row r="30308" spans="16:16">
      <c r="P30308" s="2498"/>
    </row>
    <row r="30309" spans="16:16">
      <c r="P30309" s="2498"/>
    </row>
    <row r="30310" spans="16:16">
      <c r="P30310" s="2498"/>
    </row>
    <row r="30311" spans="16:16">
      <c r="P30311" s="2498"/>
    </row>
    <row r="30312" spans="16:16">
      <c r="P30312" s="2498"/>
    </row>
    <row r="30313" spans="16:16">
      <c r="P30313" s="2498"/>
    </row>
    <row r="30314" spans="16:16">
      <c r="P30314" s="2498"/>
    </row>
    <row r="30315" spans="16:16">
      <c r="P30315" s="2498"/>
    </row>
    <row r="30316" spans="16:16">
      <c r="P30316" s="2498"/>
    </row>
    <row r="30317" spans="16:16">
      <c r="P30317" s="2498"/>
    </row>
    <row r="30318" spans="16:16">
      <c r="P30318" s="2498"/>
    </row>
    <row r="30319" spans="16:16">
      <c r="P30319" s="2498"/>
    </row>
    <row r="30320" spans="16:16">
      <c r="P30320" s="2498"/>
    </row>
    <row r="30321" spans="16:16">
      <c r="P30321" s="2498"/>
    </row>
    <row r="30322" spans="16:16">
      <c r="P30322" s="2498"/>
    </row>
    <row r="30323" spans="16:16">
      <c r="P30323" s="2498"/>
    </row>
    <row r="30324" spans="16:16">
      <c r="P30324" s="2498"/>
    </row>
    <row r="30325" spans="16:16">
      <c r="P30325" s="2498"/>
    </row>
    <row r="30326" spans="16:16">
      <c r="P30326" s="2498"/>
    </row>
    <row r="30327" spans="16:16">
      <c r="P30327" s="2498"/>
    </row>
    <row r="30328" spans="16:16">
      <c r="P30328" s="2498"/>
    </row>
    <row r="30329" spans="16:16">
      <c r="P30329" s="2498"/>
    </row>
    <row r="30330" spans="16:16">
      <c r="P30330" s="2498"/>
    </row>
    <row r="30331" spans="16:16">
      <c r="P30331" s="2498"/>
    </row>
    <row r="30332" spans="16:16">
      <c r="P30332" s="2498"/>
    </row>
    <row r="30333" spans="16:16">
      <c r="P30333" s="2498"/>
    </row>
    <row r="30334" spans="16:16">
      <c r="P30334" s="2498"/>
    </row>
    <row r="30335" spans="16:16">
      <c r="P30335" s="2498"/>
    </row>
    <row r="30336" spans="16:16">
      <c r="P30336" s="2498"/>
    </row>
    <row r="30337" spans="16:16">
      <c r="P30337" s="2498"/>
    </row>
    <row r="30338" spans="16:16">
      <c r="P30338" s="2498"/>
    </row>
    <row r="30339" spans="16:16">
      <c r="P30339" s="2498"/>
    </row>
    <row r="30340" spans="16:16">
      <c r="P30340" s="2498"/>
    </row>
    <row r="30341" spans="16:16">
      <c r="P30341" s="2498"/>
    </row>
    <row r="30342" spans="16:16">
      <c r="P30342" s="2498"/>
    </row>
    <row r="30343" spans="16:16">
      <c r="P30343" s="2498"/>
    </row>
    <row r="30344" spans="16:16">
      <c r="P30344" s="2498"/>
    </row>
    <row r="30345" spans="16:16">
      <c r="P30345" s="2498"/>
    </row>
    <row r="30346" spans="16:16">
      <c r="P30346" s="2498"/>
    </row>
    <row r="30347" spans="16:16">
      <c r="P30347" s="2498"/>
    </row>
    <row r="30348" spans="16:16">
      <c r="P30348" s="2498"/>
    </row>
    <row r="30349" spans="16:16">
      <c r="P30349" s="2498"/>
    </row>
    <row r="30350" spans="16:16">
      <c r="P30350" s="2498"/>
    </row>
    <row r="30351" spans="16:16">
      <c r="P30351" s="2498"/>
    </row>
    <row r="30352" spans="16:16">
      <c r="P30352" s="2498"/>
    </row>
    <row r="30353" spans="16:16">
      <c r="P30353" s="2498"/>
    </row>
    <row r="30354" spans="16:16">
      <c r="P30354" s="2498"/>
    </row>
    <row r="30355" spans="16:16">
      <c r="P30355" s="2498"/>
    </row>
    <row r="30356" spans="16:16">
      <c r="P30356" s="2498"/>
    </row>
    <row r="30357" spans="16:16">
      <c r="P30357" s="2498"/>
    </row>
    <row r="30358" spans="16:16">
      <c r="P30358" s="2498"/>
    </row>
    <row r="30359" spans="16:16">
      <c r="P30359" s="2498"/>
    </row>
    <row r="30360" spans="16:16">
      <c r="P30360" s="2498"/>
    </row>
    <row r="30361" spans="16:16">
      <c r="P30361" s="2498"/>
    </row>
    <row r="30362" spans="16:16">
      <c r="P30362" s="2498"/>
    </row>
    <row r="30363" spans="16:16">
      <c r="P30363" s="2498"/>
    </row>
    <row r="30364" spans="16:16">
      <c r="P30364" s="2498"/>
    </row>
    <row r="30365" spans="16:16">
      <c r="P30365" s="2498"/>
    </row>
    <row r="30366" spans="16:16">
      <c r="P30366" s="2498"/>
    </row>
    <row r="30367" spans="16:16">
      <c r="P30367" s="2498"/>
    </row>
    <row r="30368" spans="16:16">
      <c r="P30368" s="2498"/>
    </row>
    <row r="30369" spans="16:16">
      <c r="P30369" s="2498"/>
    </row>
    <row r="30370" spans="16:16">
      <c r="P30370" s="2498"/>
    </row>
    <row r="30371" spans="16:16">
      <c r="P30371" s="2498"/>
    </row>
    <row r="30372" spans="16:16">
      <c r="P30372" s="2498"/>
    </row>
    <row r="30373" spans="16:16">
      <c r="P30373" s="2498"/>
    </row>
    <row r="30374" spans="16:16">
      <c r="P30374" s="2498"/>
    </row>
    <row r="30375" spans="16:16">
      <c r="P30375" s="2498"/>
    </row>
    <row r="30376" spans="16:16">
      <c r="P30376" s="2498"/>
    </row>
    <row r="30377" spans="16:16">
      <c r="P30377" s="2498"/>
    </row>
    <row r="30378" spans="16:16">
      <c r="P30378" s="2498"/>
    </row>
    <row r="30379" spans="16:16">
      <c r="P30379" s="2498"/>
    </row>
    <row r="30380" spans="16:16">
      <c r="P30380" s="2498"/>
    </row>
    <row r="30381" spans="16:16">
      <c r="P30381" s="2498"/>
    </row>
    <row r="30382" spans="16:16">
      <c r="P30382" s="2498"/>
    </row>
    <row r="30383" spans="16:16">
      <c r="P30383" s="2498"/>
    </row>
    <row r="30384" spans="16:16">
      <c r="P30384" s="2498"/>
    </row>
    <row r="30385" spans="16:16">
      <c r="P30385" s="2498"/>
    </row>
    <row r="30386" spans="16:16">
      <c r="P30386" s="2498"/>
    </row>
    <row r="30387" spans="16:16">
      <c r="P30387" s="2498"/>
    </row>
    <row r="30388" spans="16:16">
      <c r="P30388" s="2498"/>
    </row>
    <row r="30389" spans="16:16">
      <c r="P30389" s="2498"/>
    </row>
    <row r="30390" spans="16:16">
      <c r="P30390" s="2498"/>
    </row>
    <row r="30391" spans="16:16">
      <c r="P30391" s="2498"/>
    </row>
    <row r="30392" spans="16:16">
      <c r="P30392" s="2498"/>
    </row>
    <row r="30393" spans="16:16">
      <c r="P30393" s="2498"/>
    </row>
    <row r="30394" spans="16:16">
      <c r="P30394" s="2498"/>
    </row>
    <row r="30395" spans="16:16">
      <c r="P30395" s="2498"/>
    </row>
    <row r="30396" spans="16:16">
      <c r="P30396" s="2498"/>
    </row>
    <row r="30397" spans="16:16">
      <c r="P30397" s="2498"/>
    </row>
    <row r="30398" spans="16:16">
      <c r="P30398" s="2498"/>
    </row>
    <row r="30399" spans="16:16">
      <c r="P30399" s="2498"/>
    </row>
    <row r="30400" spans="16:16">
      <c r="P30400" s="2498"/>
    </row>
    <row r="30401" spans="16:16">
      <c r="P30401" s="2498"/>
    </row>
    <row r="30402" spans="16:16">
      <c r="P30402" s="2498"/>
    </row>
    <row r="30403" spans="16:16">
      <c r="P30403" s="2498"/>
    </row>
    <row r="30404" spans="16:16">
      <c r="P30404" s="2498"/>
    </row>
    <row r="30405" spans="16:16">
      <c r="P30405" s="2498"/>
    </row>
    <row r="30406" spans="16:16">
      <c r="P30406" s="2498"/>
    </row>
    <row r="30407" spans="16:16">
      <c r="P30407" s="2498"/>
    </row>
    <row r="30408" spans="16:16">
      <c r="P30408" s="2498"/>
    </row>
    <row r="30409" spans="16:16">
      <c r="P30409" s="2498"/>
    </row>
    <row r="30410" spans="16:16">
      <c r="P30410" s="2498"/>
    </row>
    <row r="30411" spans="16:16">
      <c r="P30411" s="2498"/>
    </row>
    <row r="30412" spans="16:16">
      <c r="P30412" s="2498"/>
    </row>
    <row r="30413" spans="16:16">
      <c r="P30413" s="2498"/>
    </row>
    <row r="30414" spans="16:16">
      <c r="P30414" s="2498"/>
    </row>
    <row r="30415" spans="16:16">
      <c r="P30415" s="2498"/>
    </row>
    <row r="30416" spans="16:16">
      <c r="P30416" s="2498"/>
    </row>
    <row r="30417" spans="16:16">
      <c r="P30417" s="2498"/>
    </row>
    <row r="30418" spans="16:16">
      <c r="P30418" s="2498"/>
    </row>
    <row r="30419" spans="16:16">
      <c r="P30419" s="2498"/>
    </row>
    <row r="30420" spans="16:16">
      <c r="P30420" s="2498"/>
    </row>
    <row r="30421" spans="16:16">
      <c r="P30421" s="2498"/>
    </row>
    <row r="30422" spans="16:16">
      <c r="P30422" s="2498"/>
    </row>
    <row r="30423" spans="16:16">
      <c r="P30423" s="2498"/>
    </row>
    <row r="30424" spans="16:16">
      <c r="P30424" s="2498"/>
    </row>
    <row r="30425" spans="16:16">
      <c r="P30425" s="2498"/>
    </row>
    <row r="30426" spans="16:16">
      <c r="P30426" s="2498"/>
    </row>
    <row r="30427" spans="16:16">
      <c r="P30427" s="2498"/>
    </row>
    <row r="30428" spans="16:16">
      <c r="P30428" s="2498"/>
    </row>
    <row r="30429" spans="16:16">
      <c r="P30429" s="2498"/>
    </row>
    <row r="30430" spans="16:16">
      <c r="P30430" s="2498"/>
    </row>
    <row r="30431" spans="16:16">
      <c r="P30431" s="2498"/>
    </row>
    <row r="30432" spans="16:16">
      <c r="P30432" s="2498"/>
    </row>
    <row r="30433" spans="16:16">
      <c r="P30433" s="2498"/>
    </row>
    <row r="30434" spans="16:16">
      <c r="P30434" s="2498"/>
    </row>
    <row r="30435" spans="16:16">
      <c r="P30435" s="2498"/>
    </row>
    <row r="30436" spans="16:16">
      <c r="P30436" s="2498"/>
    </row>
    <row r="30437" spans="16:16">
      <c r="P30437" s="2498"/>
    </row>
    <row r="30438" spans="16:16">
      <c r="P30438" s="2498"/>
    </row>
    <row r="30439" spans="16:16">
      <c r="P30439" s="2498"/>
    </row>
    <row r="30440" spans="16:16">
      <c r="P30440" s="2498"/>
    </row>
    <row r="30441" spans="16:16">
      <c r="P30441" s="2498"/>
    </row>
    <row r="30442" spans="16:16">
      <c r="P30442" s="2498"/>
    </row>
    <row r="30443" spans="16:16">
      <c r="P30443" s="2498"/>
    </row>
    <row r="30444" spans="16:16">
      <c r="P30444" s="2498"/>
    </row>
    <row r="30445" spans="16:16">
      <c r="P30445" s="2498"/>
    </row>
    <row r="30446" spans="16:16">
      <c r="P30446" s="2498"/>
    </row>
    <row r="30447" spans="16:16">
      <c r="P30447" s="2498"/>
    </row>
    <row r="30448" spans="16:16">
      <c r="P30448" s="2498"/>
    </row>
    <row r="30449" spans="16:16">
      <c r="P30449" s="2498"/>
    </row>
    <row r="30450" spans="16:16">
      <c r="P30450" s="2498"/>
    </row>
    <row r="30451" spans="16:16">
      <c r="P30451" s="2498"/>
    </row>
    <row r="30452" spans="16:16">
      <c r="P30452" s="2498"/>
    </row>
    <row r="30453" spans="16:16">
      <c r="P30453" s="2498"/>
    </row>
    <row r="30454" spans="16:16">
      <c r="P30454" s="2498"/>
    </row>
    <row r="30455" spans="16:16">
      <c r="P30455" s="2498"/>
    </row>
    <row r="30456" spans="16:16">
      <c r="P30456" s="2498"/>
    </row>
    <row r="30457" spans="16:16">
      <c r="P30457" s="2498"/>
    </row>
    <row r="30458" spans="16:16">
      <c r="P30458" s="2498"/>
    </row>
    <row r="30459" spans="16:16">
      <c r="P30459" s="2498"/>
    </row>
    <row r="30460" spans="16:16">
      <c r="P30460" s="2498"/>
    </row>
    <row r="30461" spans="16:16">
      <c r="P30461" s="2498"/>
    </row>
    <row r="30462" spans="16:16">
      <c r="P30462" s="2498"/>
    </row>
    <row r="30463" spans="16:16">
      <c r="P30463" s="2498"/>
    </row>
    <row r="30464" spans="16:16">
      <c r="P30464" s="2498"/>
    </row>
    <row r="30465" spans="16:16">
      <c r="P30465" s="2498"/>
    </row>
    <row r="30466" spans="16:16">
      <c r="P30466" s="2498"/>
    </row>
    <row r="30467" spans="16:16">
      <c r="P30467" s="2498"/>
    </row>
    <row r="30468" spans="16:16">
      <c r="P30468" s="2498"/>
    </row>
    <row r="30469" spans="16:16">
      <c r="P30469" s="2498"/>
    </row>
    <row r="30470" spans="16:16">
      <c r="P30470" s="2498"/>
    </row>
    <row r="30471" spans="16:16">
      <c r="P30471" s="2498"/>
    </row>
    <row r="30472" spans="16:16">
      <c r="P30472" s="2498"/>
    </row>
    <row r="30473" spans="16:16">
      <c r="P30473" s="2498"/>
    </row>
    <row r="30474" spans="16:16">
      <c r="P30474" s="2498"/>
    </row>
    <row r="30475" spans="16:16">
      <c r="P30475" s="2498"/>
    </row>
    <row r="30476" spans="16:16">
      <c r="P30476" s="2498"/>
    </row>
    <row r="30477" spans="16:16">
      <c r="P30477" s="2498"/>
    </row>
    <row r="30478" spans="16:16">
      <c r="P30478" s="2498"/>
    </row>
    <row r="30479" spans="16:16">
      <c r="P30479" s="2498"/>
    </row>
    <row r="30480" spans="16:16">
      <c r="P30480" s="2498"/>
    </row>
    <row r="30481" spans="16:16">
      <c r="P30481" s="2498"/>
    </row>
    <row r="30482" spans="16:16">
      <c r="P30482" s="2498"/>
    </row>
    <row r="30483" spans="16:16">
      <c r="P30483" s="2498"/>
    </row>
    <row r="30484" spans="16:16">
      <c r="P30484" s="2498"/>
    </row>
    <row r="30485" spans="16:16">
      <c r="P30485" s="2498"/>
    </row>
    <row r="30486" spans="16:16">
      <c r="P30486" s="2498"/>
    </row>
    <row r="30487" spans="16:16">
      <c r="P30487" s="2498"/>
    </row>
    <row r="30488" spans="16:16">
      <c r="P30488" s="2498"/>
    </row>
    <row r="30489" spans="16:16">
      <c r="P30489" s="2498"/>
    </row>
    <row r="30490" spans="16:16">
      <c r="P30490" s="2498"/>
    </row>
    <row r="30491" spans="16:16">
      <c r="P30491" s="2498"/>
    </row>
    <row r="30492" spans="16:16">
      <c r="P30492" s="2498"/>
    </row>
    <row r="30493" spans="16:16">
      <c r="P30493" s="2498"/>
    </row>
    <row r="30494" spans="16:16">
      <c r="P30494" s="2498"/>
    </row>
    <row r="30495" spans="16:16">
      <c r="P30495" s="2498"/>
    </row>
    <row r="30496" spans="16:16">
      <c r="P30496" s="2498"/>
    </row>
    <row r="30497" spans="16:16">
      <c r="P30497" s="2498"/>
    </row>
    <row r="30498" spans="16:16">
      <c r="P30498" s="2498"/>
    </row>
    <row r="30499" spans="16:16">
      <c r="P30499" s="2498"/>
    </row>
    <row r="30500" spans="16:16">
      <c r="P30500" s="2498"/>
    </row>
    <row r="30501" spans="16:16">
      <c r="P30501" s="2498"/>
    </row>
    <row r="30502" spans="16:16">
      <c r="P30502" s="2498"/>
    </row>
    <row r="30503" spans="16:16">
      <c r="P30503" s="2498"/>
    </row>
    <row r="30504" spans="16:16">
      <c r="P30504" s="2498"/>
    </row>
    <row r="30505" spans="16:16">
      <c r="P30505" s="2498"/>
    </row>
    <row r="30506" spans="16:16">
      <c r="P30506" s="2498"/>
    </row>
    <row r="30507" spans="16:16">
      <c r="P30507" s="2498"/>
    </row>
    <row r="30508" spans="16:16">
      <c r="P30508" s="2498"/>
    </row>
    <row r="30509" spans="16:16">
      <c r="P30509" s="2498"/>
    </row>
    <row r="30510" spans="16:16">
      <c r="P30510" s="2498"/>
    </row>
    <row r="30511" spans="16:16">
      <c r="P30511" s="2498"/>
    </row>
    <row r="30512" spans="16:16">
      <c r="P30512" s="2498"/>
    </row>
    <row r="30513" spans="16:16">
      <c r="P30513" s="2498"/>
    </row>
    <row r="30514" spans="16:16">
      <c r="P30514" s="2498"/>
    </row>
    <row r="30515" spans="16:16">
      <c r="P30515" s="2498"/>
    </row>
    <row r="30516" spans="16:16">
      <c r="P30516" s="2498"/>
    </row>
    <row r="30517" spans="16:16">
      <c r="P30517" s="2498"/>
    </row>
    <row r="30518" spans="16:16">
      <c r="P30518" s="2498"/>
    </row>
    <row r="30519" spans="16:16">
      <c r="P30519" s="2498"/>
    </row>
    <row r="30520" spans="16:16">
      <c r="P30520" s="2498"/>
    </row>
    <row r="30521" spans="16:16">
      <c r="P30521" s="2498"/>
    </row>
    <row r="30522" spans="16:16">
      <c r="P30522" s="2498"/>
    </row>
    <row r="30523" spans="16:16">
      <c r="P30523" s="2498"/>
    </row>
    <row r="30524" spans="16:16">
      <c r="P30524" s="2498"/>
    </row>
    <row r="30525" spans="16:16">
      <c r="P30525" s="2498"/>
    </row>
    <row r="30526" spans="16:16">
      <c r="P30526" s="2498"/>
    </row>
    <row r="30527" spans="16:16">
      <c r="P30527" s="2498"/>
    </row>
    <row r="30528" spans="16:16">
      <c r="P30528" s="2498"/>
    </row>
    <row r="30529" spans="16:16">
      <c r="P30529" s="2498"/>
    </row>
    <row r="30530" spans="16:16">
      <c r="P30530" s="2498"/>
    </row>
    <row r="30531" spans="16:16">
      <c r="P30531" s="2498"/>
    </row>
    <row r="30532" spans="16:16">
      <c r="P30532" s="2498"/>
    </row>
    <row r="30533" spans="16:16">
      <c r="P30533" s="2498"/>
    </row>
    <row r="30534" spans="16:16">
      <c r="P30534" s="2498"/>
    </row>
    <row r="30535" spans="16:16">
      <c r="P30535" s="2498"/>
    </row>
    <row r="30536" spans="16:16">
      <c r="P30536" s="2498"/>
    </row>
    <row r="30537" spans="16:16">
      <c r="P30537" s="2498"/>
    </row>
    <row r="30538" spans="16:16">
      <c r="P30538" s="2498"/>
    </row>
    <row r="30539" spans="16:16">
      <c r="P30539" s="2498"/>
    </row>
    <row r="30540" spans="16:16">
      <c r="P30540" s="2498"/>
    </row>
    <row r="30541" spans="16:16">
      <c r="P30541" s="2498"/>
    </row>
    <row r="30542" spans="16:16">
      <c r="P30542" s="2498"/>
    </row>
    <row r="30543" spans="16:16">
      <c r="P30543" s="2498"/>
    </row>
    <row r="30544" spans="16:16">
      <c r="P30544" s="2498"/>
    </row>
    <row r="30545" spans="16:16">
      <c r="P30545" s="2498"/>
    </row>
    <row r="30546" spans="16:16">
      <c r="P30546" s="2498"/>
    </row>
    <row r="30547" spans="16:16">
      <c r="P30547" s="2498"/>
    </row>
    <row r="30548" spans="16:16">
      <c r="P30548" s="2498"/>
    </row>
    <row r="30549" spans="16:16">
      <c r="P30549" s="2498"/>
    </row>
    <row r="30550" spans="16:16">
      <c r="P30550" s="2498"/>
    </row>
    <row r="30551" spans="16:16">
      <c r="P30551" s="2498"/>
    </row>
    <row r="30552" spans="16:16">
      <c r="P30552" s="2498"/>
    </row>
    <row r="30553" spans="16:16">
      <c r="P30553" s="2498"/>
    </row>
    <row r="30554" spans="16:16">
      <c r="P30554" s="2498"/>
    </row>
    <row r="30555" spans="16:16">
      <c r="P30555" s="2498"/>
    </row>
    <row r="30556" spans="16:16">
      <c r="P30556" s="2498"/>
    </row>
    <row r="30557" spans="16:16">
      <c r="P30557" s="2498"/>
    </row>
    <row r="30558" spans="16:16">
      <c r="P30558" s="2498"/>
    </row>
    <row r="30559" spans="16:16">
      <c r="P30559" s="2498"/>
    </row>
    <row r="30560" spans="16:16">
      <c r="P30560" s="2498"/>
    </row>
    <row r="30561" spans="16:16">
      <c r="P30561" s="2498"/>
    </row>
    <row r="30562" spans="16:16">
      <c r="P30562" s="2498"/>
    </row>
    <row r="30563" spans="16:16">
      <c r="P30563" s="2498"/>
    </row>
    <row r="30564" spans="16:16">
      <c r="P30564" s="2498"/>
    </row>
    <row r="30565" spans="16:16">
      <c r="P30565" s="2498"/>
    </row>
    <row r="30566" spans="16:16">
      <c r="P30566" s="2498"/>
    </row>
    <row r="30567" spans="16:16">
      <c r="P30567" s="2498"/>
    </row>
    <row r="30568" spans="16:16">
      <c r="P30568" s="2498"/>
    </row>
    <row r="30569" spans="16:16">
      <c r="P30569" s="2498"/>
    </row>
    <row r="30570" spans="16:16">
      <c r="P30570" s="2498"/>
    </row>
    <row r="30571" spans="16:16">
      <c r="P30571" s="2498"/>
    </row>
    <row r="30572" spans="16:16">
      <c r="P30572" s="2498"/>
    </row>
    <row r="30573" spans="16:16">
      <c r="P30573" s="2498"/>
    </row>
    <row r="30574" spans="16:16">
      <c r="P30574" s="2498"/>
    </row>
    <row r="30575" spans="16:16">
      <c r="P30575" s="2498"/>
    </row>
    <row r="30576" spans="16:16">
      <c r="P30576" s="2498"/>
    </row>
    <row r="30577" spans="16:16">
      <c r="P30577" s="2498"/>
    </row>
    <row r="30578" spans="16:16">
      <c r="P30578" s="2498"/>
    </row>
    <row r="30579" spans="16:16">
      <c r="P30579" s="2498"/>
    </row>
    <row r="30580" spans="16:16">
      <c r="P30580" s="2498"/>
    </row>
    <row r="30581" spans="16:16">
      <c r="P30581" s="2498"/>
    </row>
    <row r="30582" spans="16:16">
      <c r="P30582" s="2498"/>
    </row>
    <row r="30583" spans="16:16">
      <c r="P30583" s="2498"/>
    </row>
    <row r="30584" spans="16:16">
      <c r="P30584" s="2498"/>
    </row>
    <row r="30585" spans="16:16">
      <c r="P30585" s="2498"/>
    </row>
    <row r="30586" spans="16:16">
      <c r="P30586" s="2498"/>
    </row>
    <row r="30587" spans="16:16">
      <c r="P30587" s="2498"/>
    </row>
    <row r="30588" spans="16:16">
      <c r="P30588" s="2498"/>
    </row>
    <row r="30589" spans="16:16">
      <c r="P30589" s="2498"/>
    </row>
    <row r="30590" spans="16:16">
      <c r="P30590" s="2498"/>
    </row>
    <row r="30591" spans="16:16">
      <c r="P30591" s="2498"/>
    </row>
    <row r="30592" spans="16:16">
      <c r="P30592" s="2498"/>
    </row>
    <row r="30593" spans="16:16">
      <c r="P30593" s="2498"/>
    </row>
    <row r="30594" spans="16:16">
      <c r="P30594" s="2498"/>
    </row>
    <row r="30595" spans="16:16">
      <c r="P30595" s="2498"/>
    </row>
    <row r="30596" spans="16:16">
      <c r="P30596" s="2498"/>
    </row>
    <row r="30597" spans="16:16">
      <c r="P30597" s="2498"/>
    </row>
    <row r="30598" spans="16:16">
      <c r="P30598" s="2498"/>
    </row>
    <row r="30599" spans="16:16">
      <c r="P30599" s="2498"/>
    </row>
    <row r="30600" spans="16:16">
      <c r="P30600" s="2498"/>
    </row>
    <row r="30601" spans="16:16">
      <c r="P30601" s="2498"/>
    </row>
    <row r="30602" spans="16:16">
      <c r="P30602" s="2498"/>
    </row>
    <row r="30603" spans="16:16">
      <c r="P30603" s="2498"/>
    </row>
    <row r="30604" spans="16:16">
      <c r="P30604" s="2498"/>
    </row>
    <row r="30605" spans="16:16">
      <c r="P30605" s="2498"/>
    </row>
    <row r="30606" spans="16:16">
      <c r="P30606" s="2498"/>
    </row>
    <row r="30607" spans="16:16">
      <c r="P30607" s="2498"/>
    </row>
    <row r="30608" spans="16:16">
      <c r="P30608" s="2498"/>
    </row>
    <row r="30609" spans="16:16">
      <c r="P30609" s="2498"/>
    </row>
    <row r="30610" spans="16:16">
      <c r="P30610" s="2498"/>
    </row>
    <row r="30611" spans="16:16">
      <c r="P30611" s="2498"/>
    </row>
    <row r="30612" spans="16:16">
      <c r="P30612" s="2498"/>
    </row>
    <row r="30613" spans="16:16">
      <c r="P30613" s="2498"/>
    </row>
    <row r="30614" spans="16:16">
      <c r="P30614" s="2498"/>
    </row>
    <row r="30615" spans="16:16">
      <c r="P30615" s="2498"/>
    </row>
    <row r="30616" spans="16:16">
      <c r="P30616" s="2498"/>
    </row>
    <row r="30617" spans="16:16">
      <c r="P30617" s="2498"/>
    </row>
    <row r="30618" spans="16:16">
      <c r="P30618" s="2498"/>
    </row>
    <row r="30619" spans="16:16">
      <c r="P30619" s="2498"/>
    </row>
    <row r="30620" spans="16:16">
      <c r="P30620" s="2498"/>
    </row>
    <row r="30621" spans="16:16">
      <c r="P30621" s="2498"/>
    </row>
    <row r="30622" spans="16:16">
      <c r="P30622" s="2498"/>
    </row>
    <row r="30623" spans="16:16">
      <c r="P30623" s="2498"/>
    </row>
    <row r="30624" spans="16:16">
      <c r="P30624" s="2498"/>
    </row>
    <row r="30625" spans="16:16">
      <c r="P30625" s="2498"/>
    </row>
    <row r="30626" spans="16:16">
      <c r="P30626" s="2498"/>
    </row>
    <row r="30627" spans="16:16">
      <c r="P30627" s="2498"/>
    </row>
    <row r="30628" spans="16:16">
      <c r="P30628" s="2498"/>
    </row>
    <row r="30629" spans="16:16">
      <c r="P30629" s="2498"/>
    </row>
    <row r="30630" spans="16:16">
      <c r="P30630" s="2498"/>
    </row>
    <row r="30631" spans="16:16">
      <c r="P30631" s="2498"/>
    </row>
    <row r="30632" spans="16:16">
      <c r="P30632" s="2498"/>
    </row>
    <row r="30633" spans="16:16">
      <c r="P30633" s="2498"/>
    </row>
    <row r="30634" spans="16:16">
      <c r="P30634" s="2498"/>
    </row>
    <row r="30635" spans="16:16">
      <c r="P30635" s="2498"/>
    </row>
    <row r="30636" spans="16:16">
      <c r="P30636" s="2498"/>
    </row>
    <row r="30637" spans="16:16">
      <c r="P30637" s="2498"/>
    </row>
    <row r="30638" spans="16:16">
      <c r="P30638" s="2498"/>
    </row>
    <row r="30639" spans="16:16">
      <c r="P30639" s="2498"/>
    </row>
    <row r="30640" spans="16:16">
      <c r="P30640" s="2498"/>
    </row>
    <row r="30641" spans="16:16">
      <c r="P30641" s="2498"/>
    </row>
    <row r="30642" spans="16:16">
      <c r="P30642" s="2498"/>
    </row>
    <row r="30643" spans="16:16">
      <c r="P30643" s="2498"/>
    </row>
    <row r="30644" spans="16:16">
      <c r="P30644" s="2498"/>
    </row>
    <row r="30645" spans="16:16">
      <c r="P30645" s="2498"/>
    </row>
    <row r="30646" spans="16:16">
      <c r="P30646" s="2498"/>
    </row>
    <row r="30647" spans="16:16">
      <c r="P30647" s="2498"/>
    </row>
    <row r="30648" spans="16:16">
      <c r="P30648" s="2498"/>
    </row>
    <row r="30649" spans="16:16">
      <c r="P30649" s="2498"/>
    </row>
    <row r="30650" spans="16:16">
      <c r="P30650" s="2498"/>
    </row>
    <row r="30651" spans="16:16">
      <c r="P30651" s="2498"/>
    </row>
    <row r="30652" spans="16:16">
      <c r="P30652" s="2498"/>
    </row>
    <row r="30653" spans="16:16">
      <c r="P30653" s="2498"/>
    </row>
    <row r="30654" spans="16:16">
      <c r="P30654" s="2498"/>
    </row>
    <row r="30655" spans="16:16">
      <c r="P30655" s="2498"/>
    </row>
    <row r="30656" spans="16:16">
      <c r="P30656" s="2498"/>
    </row>
    <row r="30657" spans="16:16">
      <c r="P30657" s="2498"/>
    </row>
    <row r="30658" spans="16:16">
      <c r="P30658" s="2498"/>
    </row>
    <row r="30659" spans="16:16">
      <c r="P30659" s="2498"/>
    </row>
    <row r="30660" spans="16:16">
      <c r="P30660" s="2498"/>
    </row>
    <row r="30661" spans="16:16">
      <c r="P30661" s="2498"/>
    </row>
    <row r="30662" spans="16:16">
      <c r="P30662" s="2498"/>
    </row>
    <row r="30663" spans="16:16">
      <c r="P30663" s="2498"/>
    </row>
    <row r="30664" spans="16:16">
      <c r="P30664" s="2498"/>
    </row>
    <row r="30665" spans="16:16">
      <c r="P30665" s="2498"/>
    </row>
    <row r="30666" spans="16:16">
      <c r="P30666" s="2498"/>
    </row>
    <row r="30667" spans="16:16">
      <c r="P30667" s="2498"/>
    </row>
    <row r="30668" spans="16:16">
      <c r="P30668" s="2498"/>
    </row>
    <row r="30669" spans="16:16">
      <c r="P30669" s="2498"/>
    </row>
    <row r="30670" spans="16:16">
      <c r="P30670" s="2498"/>
    </row>
    <row r="30671" spans="16:16">
      <c r="P30671" s="2498"/>
    </row>
    <row r="30672" spans="16:16">
      <c r="P30672" s="2498"/>
    </row>
    <row r="30673" spans="16:16">
      <c r="P30673" s="2498"/>
    </row>
    <row r="30674" spans="16:16">
      <c r="P30674" s="2498"/>
    </row>
    <row r="30675" spans="16:16">
      <c r="P30675" s="2498"/>
    </row>
    <row r="30676" spans="16:16">
      <c r="P30676" s="2498"/>
    </row>
    <row r="30677" spans="16:16">
      <c r="P30677" s="2498"/>
    </row>
    <row r="30678" spans="16:16">
      <c r="P30678" s="2498"/>
    </row>
    <row r="30679" spans="16:16">
      <c r="P30679" s="2498"/>
    </row>
    <row r="30680" spans="16:16">
      <c r="P30680" s="2498"/>
    </row>
    <row r="30681" spans="16:16">
      <c r="P30681" s="2498"/>
    </row>
    <row r="30682" spans="16:16">
      <c r="P30682" s="2498"/>
    </row>
    <row r="30683" spans="16:16">
      <c r="P30683" s="2498"/>
    </row>
    <row r="30684" spans="16:16">
      <c r="P30684" s="2498"/>
    </row>
    <row r="30685" spans="16:16">
      <c r="P30685" s="2498"/>
    </row>
    <row r="30686" spans="16:16">
      <c r="P30686" s="2498"/>
    </row>
    <row r="30687" spans="16:16">
      <c r="P30687" s="2498"/>
    </row>
    <row r="30688" spans="16:16">
      <c r="P30688" s="2498"/>
    </row>
    <row r="30689" spans="16:16">
      <c r="P30689" s="2498"/>
    </row>
    <row r="30690" spans="16:16">
      <c r="P30690" s="2498"/>
    </row>
    <row r="30691" spans="16:16">
      <c r="P30691" s="2498"/>
    </row>
    <row r="30692" spans="16:16">
      <c r="P30692" s="2498"/>
    </row>
    <row r="30693" spans="16:16">
      <c r="P30693" s="2498"/>
    </row>
    <row r="30694" spans="16:16">
      <c r="P30694" s="2498"/>
    </row>
    <row r="30695" spans="16:16">
      <c r="P30695" s="2498"/>
    </row>
    <row r="30696" spans="16:16">
      <c r="P30696" s="2498"/>
    </row>
    <row r="30697" spans="16:16">
      <c r="P30697" s="2498"/>
    </row>
    <row r="30698" spans="16:16">
      <c r="P30698" s="2498"/>
    </row>
    <row r="30699" spans="16:16">
      <c r="P30699" s="2498"/>
    </row>
    <row r="30700" spans="16:16">
      <c r="P30700" s="2498"/>
    </row>
    <row r="30701" spans="16:16">
      <c r="P30701" s="2498"/>
    </row>
    <row r="30702" spans="16:16">
      <c r="P30702" s="2498"/>
    </row>
    <row r="30703" spans="16:16">
      <c r="P30703" s="2498"/>
    </row>
    <row r="30704" spans="16:16">
      <c r="P30704" s="2498"/>
    </row>
    <row r="30705" spans="16:16">
      <c r="P30705" s="2498"/>
    </row>
    <row r="30706" spans="16:16">
      <c r="P30706" s="2498"/>
    </row>
    <row r="30707" spans="16:16">
      <c r="P30707" s="2498"/>
    </row>
    <row r="30708" spans="16:16">
      <c r="P30708" s="2498"/>
    </row>
    <row r="30709" spans="16:16">
      <c r="P30709" s="2498"/>
    </row>
    <row r="30710" spans="16:16">
      <c r="P30710" s="2498"/>
    </row>
    <row r="30711" spans="16:16">
      <c r="P30711" s="2498"/>
    </row>
    <row r="30712" spans="16:16">
      <c r="P30712" s="2498"/>
    </row>
    <row r="30713" spans="16:16">
      <c r="P30713" s="2498"/>
    </row>
    <row r="30714" spans="16:16">
      <c r="P30714" s="2498"/>
    </row>
    <row r="30715" spans="16:16">
      <c r="P30715" s="2498"/>
    </row>
    <row r="30716" spans="16:16">
      <c r="P30716" s="2498"/>
    </row>
    <row r="30717" spans="16:16">
      <c r="P30717" s="2498"/>
    </row>
    <row r="30718" spans="16:16">
      <c r="P30718" s="2498"/>
    </row>
    <row r="30719" spans="16:16">
      <c r="P30719" s="2498"/>
    </row>
    <row r="30720" spans="16:16">
      <c r="P30720" s="2498"/>
    </row>
    <row r="30721" spans="16:16">
      <c r="P30721" s="2498"/>
    </row>
    <row r="30722" spans="16:16">
      <c r="P30722" s="2498"/>
    </row>
    <row r="30723" spans="16:16">
      <c r="P30723" s="2498"/>
    </row>
    <row r="30724" spans="16:16">
      <c r="P30724" s="2498"/>
    </row>
    <row r="30725" spans="16:16">
      <c r="P30725" s="2498"/>
    </row>
    <row r="30726" spans="16:16">
      <c r="P30726" s="2498"/>
    </row>
    <row r="30727" spans="16:16">
      <c r="P30727" s="2498"/>
    </row>
    <row r="30728" spans="16:16">
      <c r="P30728" s="2498"/>
    </row>
    <row r="30729" spans="16:16">
      <c r="P30729" s="2498"/>
    </row>
    <row r="30730" spans="16:16">
      <c r="P30730" s="2498"/>
    </row>
    <row r="30731" spans="16:16">
      <c r="P30731" s="2498"/>
    </row>
    <row r="30732" spans="16:16">
      <c r="P30732" s="2498"/>
    </row>
    <row r="30733" spans="16:16">
      <c r="P30733" s="2498"/>
    </row>
    <row r="30734" spans="16:16">
      <c r="P30734" s="2498"/>
    </row>
    <row r="30735" spans="16:16">
      <c r="P30735" s="2498"/>
    </row>
    <row r="30736" spans="16:16">
      <c r="P30736" s="2498"/>
    </row>
    <row r="30737" spans="16:16">
      <c r="P30737" s="2498"/>
    </row>
    <row r="30738" spans="16:16">
      <c r="P30738" s="2498"/>
    </row>
    <row r="30739" spans="16:16">
      <c r="P30739" s="2498"/>
    </row>
    <row r="30740" spans="16:16">
      <c r="P30740" s="2498"/>
    </row>
    <row r="30741" spans="16:16">
      <c r="P30741" s="2498"/>
    </row>
    <row r="30742" spans="16:16">
      <c r="P30742" s="2498"/>
    </row>
    <row r="30743" spans="16:16">
      <c r="P30743" s="2498"/>
    </row>
    <row r="30744" spans="16:16">
      <c r="P30744" s="2498"/>
    </row>
    <row r="30745" spans="16:16">
      <c r="P30745" s="2498"/>
    </row>
    <row r="30746" spans="16:16">
      <c r="P30746" s="2498"/>
    </row>
    <row r="30747" spans="16:16">
      <c r="P30747" s="2498"/>
    </row>
    <row r="30748" spans="16:16">
      <c r="P30748" s="2498"/>
    </row>
    <row r="30749" spans="16:16">
      <c r="P30749" s="2498"/>
    </row>
    <row r="30750" spans="16:16">
      <c r="P30750" s="2498"/>
    </row>
    <row r="30751" spans="16:16">
      <c r="P30751" s="2498"/>
    </row>
    <row r="30752" spans="16:16">
      <c r="P30752" s="2498"/>
    </row>
    <row r="30753" spans="16:16">
      <c r="P30753" s="2498"/>
    </row>
    <row r="30754" spans="16:16">
      <c r="P30754" s="2498"/>
    </row>
    <row r="30755" spans="16:16">
      <c r="P30755" s="2498"/>
    </row>
    <row r="30756" spans="16:16">
      <c r="P30756" s="2498"/>
    </row>
    <row r="30757" spans="16:16">
      <c r="P30757" s="2498"/>
    </row>
    <row r="30758" spans="16:16">
      <c r="P30758" s="2498"/>
    </row>
    <row r="30759" spans="16:16">
      <c r="P30759" s="2498"/>
    </row>
    <row r="30760" spans="16:16">
      <c r="P30760" s="2498"/>
    </row>
    <row r="30761" spans="16:16">
      <c r="P30761" s="2498"/>
    </row>
    <row r="30762" spans="16:16">
      <c r="P30762" s="2498"/>
    </row>
    <row r="30763" spans="16:16">
      <c r="P30763" s="2498"/>
    </row>
    <row r="30764" spans="16:16">
      <c r="P30764" s="2498"/>
    </row>
    <row r="30765" spans="16:16">
      <c r="P30765" s="2498"/>
    </row>
    <row r="30766" spans="16:16">
      <c r="P30766" s="2498"/>
    </row>
    <row r="30767" spans="16:16">
      <c r="P30767" s="2498"/>
    </row>
    <row r="30768" spans="16:16">
      <c r="P30768" s="2498"/>
    </row>
    <row r="30769" spans="16:16">
      <c r="P30769" s="2498"/>
    </row>
    <row r="30770" spans="16:16">
      <c r="P30770" s="2498"/>
    </row>
    <row r="30771" spans="16:16">
      <c r="P30771" s="2498"/>
    </row>
    <row r="30772" spans="16:16">
      <c r="P30772" s="2498"/>
    </row>
    <row r="30773" spans="16:16">
      <c r="P30773" s="2498"/>
    </row>
    <row r="30774" spans="16:16">
      <c r="P30774" s="2498"/>
    </row>
    <row r="30775" spans="16:16">
      <c r="P30775" s="2498"/>
    </row>
    <row r="30776" spans="16:16">
      <c r="P30776" s="2498"/>
    </row>
    <row r="30777" spans="16:16">
      <c r="P30777" s="2498"/>
    </row>
    <row r="30778" spans="16:16">
      <c r="P30778" s="2498"/>
    </row>
    <row r="30779" spans="16:16">
      <c r="P30779" s="2498"/>
    </row>
    <row r="30780" spans="16:16">
      <c r="P30780" s="2498"/>
    </row>
    <row r="30781" spans="16:16">
      <c r="P30781" s="2498"/>
    </row>
    <row r="30782" spans="16:16">
      <c r="P30782" s="2498"/>
    </row>
    <row r="30783" spans="16:16">
      <c r="P30783" s="2498"/>
    </row>
    <row r="30784" spans="16:16">
      <c r="P30784" s="2498"/>
    </row>
    <row r="30785" spans="16:16">
      <c r="P30785" s="2498"/>
    </row>
    <row r="30786" spans="16:16">
      <c r="P30786" s="2498"/>
    </row>
    <row r="30787" spans="16:16">
      <c r="P30787" s="2498"/>
    </row>
    <row r="30788" spans="16:16">
      <c r="P30788" s="2498"/>
    </row>
    <row r="30789" spans="16:16">
      <c r="P30789" s="2498"/>
    </row>
    <row r="30790" spans="16:16">
      <c r="P30790" s="2498"/>
    </row>
    <row r="30791" spans="16:16">
      <c r="P30791" s="2498"/>
    </row>
    <row r="30792" spans="16:16">
      <c r="P30792" s="2498"/>
    </row>
    <row r="30793" spans="16:16">
      <c r="P30793" s="2498"/>
    </row>
    <row r="30794" spans="16:16">
      <c r="P30794" s="2498"/>
    </row>
    <row r="30795" spans="16:16">
      <c r="P30795" s="2498"/>
    </row>
    <row r="30796" spans="16:16">
      <c r="P30796" s="2498"/>
    </row>
    <row r="30797" spans="16:16">
      <c r="P30797" s="2498"/>
    </row>
    <row r="30798" spans="16:16">
      <c r="P30798" s="2498"/>
    </row>
    <row r="30799" spans="16:16">
      <c r="P30799" s="2498"/>
    </row>
    <row r="30800" spans="16:16">
      <c r="P30800" s="2498"/>
    </row>
    <row r="30801" spans="16:16">
      <c r="P30801" s="2498"/>
    </row>
    <row r="30802" spans="16:16">
      <c r="P30802" s="2498"/>
    </row>
    <row r="30803" spans="16:16">
      <c r="P30803" s="2498"/>
    </row>
    <row r="30804" spans="16:16">
      <c r="P30804" s="2498"/>
    </row>
    <row r="30805" spans="16:16">
      <c r="P30805" s="2498"/>
    </row>
    <row r="30806" spans="16:16">
      <c r="P30806" s="2498"/>
    </row>
    <row r="30807" spans="16:16">
      <c r="P30807" s="2498"/>
    </row>
    <row r="30808" spans="16:16">
      <c r="P30808" s="2498"/>
    </row>
    <row r="30809" spans="16:16">
      <c r="P30809" s="2498"/>
    </row>
    <row r="30810" spans="16:16">
      <c r="P30810" s="2498"/>
    </row>
    <row r="30811" spans="16:16">
      <c r="P30811" s="2498"/>
    </row>
    <row r="30812" spans="16:16">
      <c r="P30812" s="2498"/>
    </row>
    <row r="30813" spans="16:16">
      <c r="P30813" s="2498"/>
    </row>
    <row r="30814" spans="16:16">
      <c r="P30814" s="2498"/>
    </row>
    <row r="30815" spans="16:16">
      <c r="P30815" s="2498"/>
    </row>
    <row r="30816" spans="16:16">
      <c r="P30816" s="2498"/>
    </row>
    <row r="30817" spans="16:16">
      <c r="P30817" s="2498"/>
    </row>
    <row r="30818" spans="16:16">
      <c r="P30818" s="2498"/>
    </row>
    <row r="30819" spans="16:16">
      <c r="P30819" s="2498"/>
    </row>
    <row r="30820" spans="16:16">
      <c r="P30820" s="2498"/>
    </row>
    <row r="30821" spans="16:16">
      <c r="P30821" s="2498"/>
    </row>
    <row r="30822" spans="16:16">
      <c r="P30822" s="2498"/>
    </row>
    <row r="30823" spans="16:16">
      <c r="P30823" s="2498"/>
    </row>
    <row r="30824" spans="16:16">
      <c r="P30824" s="2498"/>
    </row>
    <row r="30825" spans="16:16">
      <c r="P30825" s="2498"/>
    </row>
    <row r="30826" spans="16:16">
      <c r="P30826" s="2498"/>
    </row>
    <row r="30827" spans="16:16">
      <c r="P30827" s="2498"/>
    </row>
    <row r="30828" spans="16:16">
      <c r="P30828" s="2498"/>
    </row>
    <row r="30829" spans="16:16">
      <c r="P30829" s="2498"/>
    </row>
    <row r="30830" spans="16:16">
      <c r="P30830" s="2498"/>
    </row>
    <row r="30831" spans="16:16">
      <c r="P30831" s="2498"/>
    </row>
    <row r="30832" spans="16:16">
      <c r="P30832" s="2498"/>
    </row>
    <row r="30833" spans="16:16">
      <c r="P30833" s="2498"/>
    </row>
    <row r="30834" spans="16:16">
      <c r="P30834" s="2498"/>
    </row>
    <row r="30835" spans="16:16">
      <c r="P30835" s="2498"/>
    </row>
    <row r="30836" spans="16:16">
      <c r="P30836" s="2498"/>
    </row>
    <row r="30837" spans="16:16">
      <c r="P30837" s="2498"/>
    </row>
    <row r="30838" spans="16:16">
      <c r="P30838" s="2498"/>
    </row>
    <row r="30839" spans="16:16">
      <c r="P30839" s="2498"/>
    </row>
    <row r="30840" spans="16:16">
      <c r="P30840" s="2498"/>
    </row>
    <row r="30841" spans="16:16">
      <c r="P30841" s="2498"/>
    </row>
    <row r="30842" spans="16:16">
      <c r="P30842" s="2498"/>
    </row>
    <row r="30843" spans="16:16">
      <c r="P30843" s="2498"/>
    </row>
    <row r="30844" spans="16:16">
      <c r="P30844" s="2498"/>
    </row>
    <row r="30845" spans="16:16">
      <c r="P30845" s="2498"/>
    </row>
    <row r="30846" spans="16:16">
      <c r="P30846" s="2498"/>
    </row>
    <row r="30847" spans="16:16">
      <c r="P30847" s="2498"/>
    </row>
    <row r="30848" spans="16:16">
      <c r="P30848" s="2498"/>
    </row>
    <row r="30849" spans="16:16">
      <c r="P30849" s="2498"/>
    </row>
    <row r="30850" spans="16:16">
      <c r="P30850" s="2498"/>
    </row>
    <row r="30851" spans="16:16">
      <c r="P30851" s="2498"/>
    </row>
    <row r="30852" spans="16:16">
      <c r="P30852" s="2498"/>
    </row>
    <row r="30853" spans="16:16">
      <c r="P30853" s="2498"/>
    </row>
    <row r="30854" spans="16:16">
      <c r="P30854" s="2498"/>
    </row>
    <row r="30855" spans="16:16">
      <c r="P30855" s="2498"/>
    </row>
    <row r="30856" spans="16:16">
      <c r="P30856" s="2498"/>
    </row>
    <row r="30857" spans="16:16">
      <c r="P30857" s="2498"/>
    </row>
    <row r="30858" spans="16:16">
      <c r="P30858" s="2498"/>
    </row>
    <row r="30859" spans="16:16">
      <c r="P30859" s="2498"/>
    </row>
    <row r="30860" spans="16:16">
      <c r="P30860" s="2498"/>
    </row>
    <row r="30861" spans="16:16">
      <c r="P30861" s="2498"/>
    </row>
    <row r="30862" spans="16:16">
      <c r="P30862" s="2498"/>
    </row>
    <row r="30863" spans="16:16">
      <c r="P30863" s="2498"/>
    </row>
    <row r="30864" spans="16:16">
      <c r="P30864" s="2498"/>
    </row>
    <row r="30865" spans="16:16">
      <c r="P30865" s="2498"/>
    </row>
    <row r="30866" spans="16:16">
      <c r="P30866" s="2498"/>
    </row>
    <row r="30867" spans="16:16">
      <c r="P30867" s="2498"/>
    </row>
    <row r="30868" spans="16:16">
      <c r="P30868" s="2498"/>
    </row>
    <row r="30869" spans="16:16">
      <c r="P30869" s="2498"/>
    </row>
    <row r="30870" spans="16:16">
      <c r="P30870" s="2498"/>
    </row>
    <row r="30871" spans="16:16">
      <c r="P30871" s="2498"/>
    </row>
    <row r="30872" spans="16:16">
      <c r="P30872" s="2498"/>
    </row>
    <row r="30873" spans="16:16">
      <c r="P30873" s="2498"/>
    </row>
    <row r="30874" spans="16:16">
      <c r="P30874" s="2498"/>
    </row>
    <row r="30875" spans="16:16">
      <c r="P30875" s="2498"/>
    </row>
    <row r="30876" spans="16:16">
      <c r="P30876" s="2498"/>
    </row>
    <row r="30877" spans="16:16">
      <c r="P30877" s="2498"/>
    </row>
    <row r="30878" spans="16:16">
      <c r="P30878" s="2498"/>
    </row>
    <row r="30879" spans="16:16">
      <c r="P30879" s="2498"/>
    </row>
    <row r="30880" spans="16:16">
      <c r="P30880" s="2498"/>
    </row>
    <row r="30881" spans="16:16">
      <c r="P30881" s="2498"/>
    </row>
    <row r="30882" spans="16:16">
      <c r="P30882" s="2498"/>
    </row>
    <row r="30883" spans="16:16">
      <c r="P30883" s="2498"/>
    </row>
    <row r="30884" spans="16:16">
      <c r="P30884" s="2498"/>
    </row>
    <row r="30885" spans="16:16">
      <c r="P30885" s="2498"/>
    </row>
    <row r="30886" spans="16:16">
      <c r="P30886" s="2498"/>
    </row>
    <row r="30887" spans="16:16">
      <c r="P30887" s="2498"/>
    </row>
    <row r="30888" spans="16:16">
      <c r="P30888" s="2498"/>
    </row>
    <row r="30889" spans="16:16">
      <c r="P30889" s="2498"/>
    </row>
    <row r="30890" spans="16:16">
      <c r="P30890" s="2498"/>
    </row>
    <row r="30891" spans="16:16">
      <c r="P30891" s="2498"/>
    </row>
    <row r="30892" spans="16:16">
      <c r="P30892" s="2498"/>
    </row>
    <row r="30893" spans="16:16">
      <c r="P30893" s="2498"/>
    </row>
    <row r="30894" spans="16:16">
      <c r="P30894" s="2498"/>
    </row>
    <row r="30895" spans="16:16">
      <c r="P30895" s="2498"/>
    </row>
    <row r="30896" spans="16:16">
      <c r="P30896" s="2498"/>
    </row>
    <row r="30897" spans="16:16">
      <c r="P30897" s="2498"/>
    </row>
    <row r="30898" spans="16:16">
      <c r="P30898" s="2498"/>
    </row>
    <row r="30899" spans="16:16">
      <c r="P30899" s="2498"/>
    </row>
    <row r="30900" spans="16:16">
      <c r="P30900" s="2498"/>
    </row>
    <row r="30901" spans="16:16">
      <c r="P30901" s="2498"/>
    </row>
    <row r="30902" spans="16:16">
      <c r="P30902" s="2498"/>
    </row>
    <row r="30903" spans="16:16">
      <c r="P30903" s="2498"/>
    </row>
    <row r="30904" spans="16:16">
      <c r="P30904" s="2498"/>
    </row>
    <row r="30905" spans="16:16">
      <c r="P30905" s="2498"/>
    </row>
    <row r="30906" spans="16:16">
      <c r="P30906" s="2498"/>
    </row>
    <row r="30907" spans="16:16">
      <c r="P30907" s="2498"/>
    </row>
    <row r="30908" spans="16:16">
      <c r="P30908" s="2498"/>
    </row>
    <row r="30909" spans="16:16">
      <c r="P30909" s="2498"/>
    </row>
    <row r="30910" spans="16:16">
      <c r="P30910" s="2498"/>
    </row>
    <row r="30911" spans="16:16">
      <c r="P30911" s="2498"/>
    </row>
    <row r="30912" spans="16:16">
      <c r="P30912" s="2498"/>
    </row>
    <row r="30913" spans="16:16">
      <c r="P30913" s="2498"/>
    </row>
    <row r="30914" spans="16:16">
      <c r="P30914" s="2498"/>
    </row>
    <row r="30915" spans="16:16">
      <c r="P30915" s="2498"/>
    </row>
    <row r="30916" spans="16:16">
      <c r="P30916" s="2498"/>
    </row>
    <row r="30917" spans="16:16">
      <c r="P30917" s="2498"/>
    </row>
    <row r="30918" spans="16:16">
      <c r="P30918" s="2498"/>
    </row>
    <row r="30919" spans="16:16">
      <c r="P30919" s="2498"/>
    </row>
    <row r="30920" spans="16:16">
      <c r="P30920" s="2498"/>
    </row>
    <row r="30921" spans="16:16">
      <c r="P30921" s="2498"/>
    </row>
    <row r="30922" spans="16:16">
      <c r="P30922" s="2498"/>
    </row>
    <row r="30923" spans="16:16">
      <c r="P30923" s="2498"/>
    </row>
    <row r="30924" spans="16:16">
      <c r="P30924" s="2498"/>
    </row>
    <row r="30925" spans="16:16">
      <c r="P30925" s="2498"/>
    </row>
    <row r="30926" spans="16:16">
      <c r="P30926" s="2498"/>
    </row>
    <row r="30927" spans="16:16">
      <c r="P30927" s="2498"/>
    </row>
    <row r="30928" spans="16:16">
      <c r="P30928" s="2498"/>
    </row>
    <row r="30929" spans="16:16">
      <c r="P30929" s="2498"/>
    </row>
    <row r="30930" spans="16:16">
      <c r="P30930" s="2498"/>
    </row>
    <row r="30931" spans="16:16">
      <c r="P30931" s="2498"/>
    </row>
    <row r="30932" spans="16:16">
      <c r="P30932" s="2498"/>
    </row>
    <row r="30933" spans="16:16">
      <c r="P30933" s="2498"/>
    </row>
    <row r="30934" spans="16:16">
      <c r="P30934" s="2498"/>
    </row>
    <row r="30935" spans="16:16">
      <c r="P30935" s="2498"/>
    </row>
    <row r="30936" spans="16:16">
      <c r="P30936" s="2498"/>
    </row>
    <row r="30937" spans="16:16">
      <c r="P30937" s="2498"/>
    </row>
    <row r="30938" spans="16:16">
      <c r="P30938" s="2498"/>
    </row>
    <row r="30939" spans="16:16">
      <c r="P30939" s="2498"/>
    </row>
    <row r="30940" spans="16:16">
      <c r="P30940" s="2498"/>
    </row>
    <row r="30941" spans="16:16">
      <c r="P30941" s="2498"/>
    </row>
    <row r="30942" spans="16:16">
      <c r="P30942" s="2498"/>
    </row>
    <row r="30943" spans="16:16">
      <c r="P30943" s="2498"/>
    </row>
    <row r="30944" spans="16:16">
      <c r="P30944" s="2498"/>
    </row>
    <row r="30945" spans="16:16">
      <c r="P30945" s="2498"/>
    </row>
    <row r="30946" spans="16:16">
      <c r="P30946" s="2498"/>
    </row>
    <row r="30947" spans="16:16">
      <c r="P30947" s="2498"/>
    </row>
    <row r="30948" spans="16:16">
      <c r="P30948" s="2498"/>
    </row>
    <row r="30949" spans="16:16">
      <c r="P30949" s="2498"/>
    </row>
    <row r="30950" spans="16:16">
      <c r="P30950" s="2498"/>
    </row>
    <row r="30951" spans="16:16">
      <c r="P30951" s="2498"/>
    </row>
    <row r="30952" spans="16:16">
      <c r="P30952" s="2498"/>
    </row>
    <row r="30953" spans="16:16">
      <c r="P30953" s="2498"/>
    </row>
    <row r="30954" spans="16:16">
      <c r="P30954" s="2498"/>
    </row>
    <row r="30955" spans="16:16">
      <c r="P30955" s="2498"/>
    </row>
    <row r="30956" spans="16:16">
      <c r="P30956" s="2498"/>
    </row>
    <row r="30957" spans="16:16">
      <c r="P30957" s="2498"/>
    </row>
    <row r="30958" spans="16:16">
      <c r="P30958" s="2498"/>
    </row>
    <row r="30959" spans="16:16">
      <c r="P30959" s="2498"/>
    </row>
    <row r="30960" spans="16:16">
      <c r="P30960" s="2498"/>
    </row>
    <row r="30961" spans="16:16">
      <c r="P30961" s="2498"/>
    </row>
    <row r="30962" spans="16:16">
      <c r="P30962" s="2498"/>
    </row>
    <row r="30963" spans="16:16">
      <c r="P30963" s="2498"/>
    </row>
    <row r="30964" spans="16:16">
      <c r="P30964" s="2498"/>
    </row>
    <row r="30965" spans="16:16">
      <c r="P30965" s="2498"/>
    </row>
    <row r="30966" spans="16:16">
      <c r="P30966" s="2498"/>
    </row>
    <row r="30967" spans="16:16">
      <c r="P30967" s="2498"/>
    </row>
    <row r="30968" spans="16:16">
      <c r="P30968" s="2498"/>
    </row>
    <row r="30969" spans="16:16">
      <c r="P30969" s="2498"/>
    </row>
    <row r="30970" spans="16:16">
      <c r="P30970" s="2498"/>
    </row>
    <row r="30971" spans="16:16">
      <c r="P30971" s="2498"/>
    </row>
    <row r="30972" spans="16:16">
      <c r="P30972" s="2498"/>
    </row>
    <row r="30973" spans="16:16">
      <c r="P30973" s="2498"/>
    </row>
    <row r="30974" spans="16:16">
      <c r="P30974" s="2498"/>
    </row>
    <row r="30975" spans="16:16">
      <c r="P30975" s="2498"/>
    </row>
    <row r="30976" spans="16:16">
      <c r="P30976" s="2498"/>
    </row>
    <row r="30977" spans="16:16">
      <c r="P30977" s="2498"/>
    </row>
    <row r="30978" spans="16:16">
      <c r="P30978" s="2498"/>
    </row>
    <row r="30979" spans="16:16">
      <c r="P30979" s="2498"/>
    </row>
    <row r="30980" spans="16:16">
      <c r="P30980" s="2498"/>
    </row>
    <row r="30981" spans="16:16">
      <c r="P30981" s="2498"/>
    </row>
    <row r="30982" spans="16:16">
      <c r="P30982" s="2498"/>
    </row>
    <row r="30983" spans="16:16">
      <c r="P30983" s="2498"/>
    </row>
    <row r="30984" spans="16:16">
      <c r="P30984" s="2498"/>
    </row>
    <row r="30985" spans="16:16">
      <c r="P30985" s="2498"/>
    </row>
    <row r="30986" spans="16:16">
      <c r="P30986" s="2498"/>
    </row>
    <row r="30987" spans="16:16">
      <c r="P30987" s="2498"/>
    </row>
    <row r="30988" spans="16:16">
      <c r="P30988" s="2498"/>
    </row>
    <row r="30989" spans="16:16">
      <c r="P30989" s="2498"/>
    </row>
    <row r="30990" spans="16:16">
      <c r="P30990" s="2498"/>
    </row>
    <row r="30991" spans="16:16">
      <c r="P30991" s="2498"/>
    </row>
    <row r="30992" spans="16:16">
      <c r="P30992" s="2498"/>
    </row>
    <row r="30993" spans="16:16">
      <c r="P30993" s="2498"/>
    </row>
    <row r="30994" spans="16:16">
      <c r="P30994" s="2498"/>
    </row>
    <row r="30995" spans="16:16">
      <c r="P30995" s="2498"/>
    </row>
    <row r="30996" spans="16:16">
      <c r="P30996" s="2498"/>
    </row>
    <row r="30997" spans="16:16">
      <c r="P30997" s="2498"/>
    </row>
    <row r="30998" spans="16:16">
      <c r="P30998" s="2498"/>
    </row>
    <row r="30999" spans="16:16">
      <c r="P30999" s="2498"/>
    </row>
    <row r="31000" spans="16:16">
      <c r="P31000" s="2498"/>
    </row>
    <row r="31001" spans="16:16">
      <c r="P31001" s="2498"/>
    </row>
    <row r="31002" spans="16:16">
      <c r="P31002" s="2498"/>
    </row>
    <row r="31003" spans="16:16">
      <c r="P31003" s="2498"/>
    </row>
    <row r="31004" spans="16:16">
      <c r="P31004" s="2498"/>
    </row>
    <row r="31005" spans="16:16">
      <c r="P31005" s="2498"/>
    </row>
    <row r="31006" spans="16:16">
      <c r="P31006" s="2498"/>
    </row>
    <row r="31007" spans="16:16">
      <c r="P31007" s="2498"/>
    </row>
    <row r="31008" spans="16:16">
      <c r="P31008" s="2498"/>
    </row>
    <row r="31009" spans="16:16">
      <c r="P31009" s="2498"/>
    </row>
    <row r="31010" spans="16:16">
      <c r="P31010" s="2498"/>
    </row>
    <row r="31011" spans="16:16">
      <c r="P31011" s="2498"/>
    </row>
    <row r="31012" spans="16:16">
      <c r="P31012" s="2498"/>
    </row>
    <row r="31013" spans="16:16">
      <c r="P31013" s="2498"/>
    </row>
    <row r="31014" spans="16:16">
      <c r="P31014" s="2498"/>
    </row>
    <row r="31015" spans="16:16">
      <c r="P31015" s="2498"/>
    </row>
    <row r="31016" spans="16:16">
      <c r="P31016" s="2498"/>
    </row>
    <row r="31017" spans="16:16">
      <c r="P31017" s="2498"/>
    </row>
    <row r="31018" spans="16:16">
      <c r="P31018" s="2498"/>
    </row>
    <row r="31019" spans="16:16">
      <c r="P31019" s="2498"/>
    </row>
    <row r="31020" spans="16:16">
      <c r="P31020" s="2498"/>
    </row>
    <row r="31021" spans="16:16">
      <c r="P31021" s="2498"/>
    </row>
    <row r="31022" spans="16:16">
      <c r="P31022" s="2498"/>
    </row>
    <row r="31023" spans="16:16">
      <c r="P31023" s="2498"/>
    </row>
    <row r="31024" spans="16:16">
      <c r="P31024" s="2498"/>
    </row>
    <row r="31025" spans="16:16">
      <c r="P31025" s="2498"/>
    </row>
    <row r="31026" spans="16:16">
      <c r="P31026" s="2498"/>
    </row>
    <row r="31027" spans="16:16">
      <c r="P31027" s="2498"/>
    </row>
    <row r="31028" spans="16:16">
      <c r="P31028" s="2498"/>
    </row>
    <row r="31029" spans="16:16">
      <c r="P31029" s="2498"/>
    </row>
    <row r="31030" spans="16:16">
      <c r="P31030" s="2498"/>
    </row>
    <row r="31031" spans="16:16">
      <c r="P31031" s="2498"/>
    </row>
    <row r="31032" spans="16:16">
      <c r="P31032" s="2498"/>
    </row>
    <row r="31033" spans="16:16">
      <c r="P31033" s="2498"/>
    </row>
    <row r="31034" spans="16:16">
      <c r="P31034" s="2498"/>
    </row>
    <row r="31035" spans="16:16">
      <c r="P31035" s="2498"/>
    </row>
    <row r="31036" spans="16:16">
      <c r="P31036" s="2498"/>
    </row>
    <row r="31037" spans="16:16">
      <c r="P31037" s="2498"/>
    </row>
    <row r="31038" spans="16:16">
      <c r="P31038" s="2498"/>
    </row>
    <row r="31039" spans="16:16">
      <c r="P31039" s="2498"/>
    </row>
    <row r="31040" spans="16:16">
      <c r="P31040" s="2498"/>
    </row>
    <row r="31041" spans="16:16">
      <c r="P31041" s="2498"/>
    </row>
    <row r="31042" spans="16:16">
      <c r="P31042" s="2498"/>
    </row>
    <row r="31043" spans="16:16">
      <c r="P31043" s="2498"/>
    </row>
    <row r="31044" spans="16:16">
      <c r="P31044" s="2498"/>
    </row>
    <row r="31045" spans="16:16">
      <c r="P31045" s="2498"/>
    </row>
    <row r="31046" spans="16:16">
      <c r="P31046" s="2498"/>
    </row>
    <row r="31047" spans="16:16">
      <c r="P31047" s="2498"/>
    </row>
    <row r="31048" spans="16:16">
      <c r="P31048" s="2498"/>
    </row>
    <row r="31049" spans="16:16">
      <c r="P31049" s="2498"/>
    </row>
    <row r="31050" spans="16:16">
      <c r="P31050" s="2498"/>
    </row>
    <row r="31051" spans="16:16">
      <c r="P31051" s="2498"/>
    </row>
    <row r="31052" spans="16:16">
      <c r="P31052" s="2498"/>
    </row>
    <row r="31053" spans="16:16">
      <c r="P31053" s="2498"/>
    </row>
    <row r="31054" spans="16:16">
      <c r="P31054" s="2498"/>
    </row>
    <row r="31055" spans="16:16">
      <c r="P31055" s="2498"/>
    </row>
    <row r="31056" spans="16:16">
      <c r="P31056" s="2498"/>
    </row>
    <row r="31057" spans="16:16">
      <c r="P31057" s="2498"/>
    </row>
    <row r="31058" spans="16:16">
      <c r="P31058" s="2498"/>
    </row>
    <row r="31059" spans="16:16">
      <c r="P31059" s="2498"/>
    </row>
    <row r="31060" spans="16:16">
      <c r="P31060" s="2498"/>
    </row>
    <row r="31061" spans="16:16">
      <c r="P31061" s="2498"/>
    </row>
    <row r="31062" spans="16:16">
      <c r="P31062" s="2498"/>
    </row>
    <row r="31063" spans="16:16">
      <c r="P31063" s="2498"/>
    </row>
    <row r="31064" spans="16:16">
      <c r="P31064" s="2498"/>
    </row>
    <row r="31065" spans="16:16">
      <c r="P31065" s="2498"/>
    </row>
    <row r="31066" spans="16:16">
      <c r="P31066" s="2498"/>
    </row>
    <row r="31067" spans="16:16">
      <c r="P31067" s="2498"/>
    </row>
    <row r="31068" spans="16:16">
      <c r="P31068" s="2498"/>
    </row>
    <row r="31069" spans="16:16">
      <c r="P31069" s="2498"/>
    </row>
    <row r="31070" spans="16:16">
      <c r="P31070" s="2498"/>
    </row>
    <row r="31071" spans="16:16">
      <c r="P31071" s="2498"/>
    </row>
    <row r="31072" spans="16:16">
      <c r="P31072" s="2498"/>
    </row>
    <row r="31073" spans="16:16">
      <c r="P31073" s="2498"/>
    </row>
    <row r="31074" spans="16:16">
      <c r="P31074" s="2498"/>
    </row>
    <row r="31075" spans="16:16">
      <c r="P31075" s="2498"/>
    </row>
    <row r="31076" spans="16:16">
      <c r="P31076" s="2498"/>
    </row>
    <row r="31077" spans="16:16">
      <c r="P31077" s="2498"/>
    </row>
    <row r="31078" spans="16:16">
      <c r="P31078" s="2498"/>
    </row>
    <row r="31079" spans="16:16">
      <c r="P31079" s="2498"/>
    </row>
    <row r="31080" spans="16:16">
      <c r="P31080" s="2498"/>
    </row>
    <row r="31081" spans="16:16">
      <c r="P31081" s="2498"/>
    </row>
    <row r="31082" spans="16:16">
      <c r="P31082" s="2498"/>
    </row>
    <row r="31083" spans="16:16">
      <c r="P31083" s="2498"/>
    </row>
    <row r="31084" spans="16:16">
      <c r="P31084" s="2498"/>
    </row>
    <row r="31085" spans="16:16">
      <c r="P31085" s="2498"/>
    </row>
    <row r="31086" spans="16:16">
      <c r="P31086" s="2498"/>
    </row>
    <row r="31087" spans="16:16">
      <c r="P31087" s="2498"/>
    </row>
    <row r="31088" spans="16:16">
      <c r="P31088" s="2498"/>
    </row>
    <row r="31089" spans="16:16">
      <c r="P31089" s="2498"/>
    </row>
    <row r="31090" spans="16:16">
      <c r="P31090" s="2498"/>
    </row>
    <row r="31091" spans="16:16">
      <c r="P31091" s="2498"/>
    </row>
    <row r="31092" spans="16:16">
      <c r="P31092" s="2498"/>
    </row>
    <row r="31093" spans="16:16">
      <c r="P31093" s="2498"/>
    </row>
    <row r="31094" spans="16:16">
      <c r="P31094" s="2498"/>
    </row>
    <row r="31095" spans="16:16">
      <c r="P31095" s="2498"/>
    </row>
    <row r="31096" spans="16:16">
      <c r="P31096" s="2498"/>
    </row>
    <row r="31097" spans="16:16">
      <c r="P31097" s="2498"/>
    </row>
    <row r="31098" spans="16:16">
      <c r="P31098" s="2498"/>
    </row>
    <row r="31099" spans="16:16">
      <c r="P31099" s="2498"/>
    </row>
    <row r="31100" spans="16:16">
      <c r="P31100" s="2498"/>
    </row>
    <row r="31101" spans="16:16">
      <c r="P31101" s="2498"/>
    </row>
    <row r="31102" spans="16:16">
      <c r="P31102" s="2498"/>
    </row>
    <row r="31103" spans="16:16">
      <c r="P31103" s="2498"/>
    </row>
    <row r="31104" spans="16:16">
      <c r="P31104" s="2498"/>
    </row>
    <row r="31105" spans="16:16">
      <c r="P31105" s="2498"/>
    </row>
    <row r="31106" spans="16:16">
      <c r="P31106" s="2498"/>
    </row>
    <row r="31107" spans="16:16">
      <c r="P31107" s="2498"/>
    </row>
    <row r="31108" spans="16:16">
      <c r="P31108" s="2498"/>
    </row>
    <row r="31109" spans="16:16">
      <c r="P31109" s="2498"/>
    </row>
    <row r="31110" spans="16:16">
      <c r="P31110" s="2498"/>
    </row>
    <row r="31111" spans="16:16">
      <c r="P31111" s="2498"/>
    </row>
    <row r="31112" spans="16:16">
      <c r="P31112" s="2498"/>
    </row>
    <row r="31113" spans="16:16">
      <c r="P31113" s="2498"/>
    </row>
    <row r="31114" spans="16:16">
      <c r="P31114" s="2498"/>
    </row>
    <row r="31115" spans="16:16">
      <c r="P31115" s="2498"/>
    </row>
    <row r="31116" spans="16:16">
      <c r="P31116" s="2498"/>
    </row>
    <row r="31117" spans="16:16">
      <c r="P31117" s="2498"/>
    </row>
    <row r="31118" spans="16:16">
      <c r="P31118" s="2498"/>
    </row>
    <row r="31119" spans="16:16">
      <c r="P31119" s="2498"/>
    </row>
    <row r="31120" spans="16:16">
      <c r="P31120" s="2498"/>
    </row>
    <row r="31121" spans="16:16">
      <c r="P31121" s="2498"/>
    </row>
    <row r="31122" spans="16:16">
      <c r="P31122" s="2498"/>
    </row>
    <row r="31123" spans="16:16">
      <c r="P31123" s="2498"/>
    </row>
    <row r="31124" spans="16:16">
      <c r="P31124" s="2498"/>
    </row>
    <row r="31125" spans="16:16">
      <c r="P31125" s="2498"/>
    </row>
    <row r="31126" spans="16:16">
      <c r="P31126" s="2498"/>
    </row>
    <row r="31127" spans="16:16">
      <c r="P31127" s="2498"/>
    </row>
    <row r="31128" spans="16:16">
      <c r="P31128" s="2498"/>
    </row>
    <row r="31129" spans="16:16">
      <c r="P31129" s="2498"/>
    </row>
    <row r="31130" spans="16:16">
      <c r="P31130" s="2498"/>
    </row>
    <row r="31131" spans="16:16">
      <c r="P31131" s="2498"/>
    </row>
    <row r="31132" spans="16:16">
      <c r="P31132" s="2498"/>
    </row>
    <row r="31133" spans="16:16">
      <c r="P31133" s="2498"/>
    </row>
    <row r="31134" spans="16:16">
      <c r="P31134" s="2498"/>
    </row>
    <row r="31135" spans="16:16">
      <c r="P31135" s="2498"/>
    </row>
    <row r="31136" spans="16:16">
      <c r="P31136" s="2498"/>
    </row>
    <row r="31137" spans="16:16">
      <c r="P31137" s="2498"/>
    </row>
    <row r="31138" spans="16:16">
      <c r="P31138" s="2498"/>
    </row>
    <row r="31139" spans="16:16">
      <c r="P31139" s="2498"/>
    </row>
    <row r="31140" spans="16:16">
      <c r="P31140" s="2498"/>
    </row>
    <row r="31141" spans="16:16">
      <c r="P31141" s="2498"/>
    </row>
    <row r="31142" spans="16:16">
      <c r="P31142" s="2498"/>
    </row>
    <row r="31143" spans="16:16">
      <c r="P31143" s="2498"/>
    </row>
    <row r="31144" spans="16:16">
      <c r="P31144" s="2498"/>
    </row>
    <row r="31145" spans="16:16">
      <c r="P31145" s="2498"/>
    </row>
    <row r="31146" spans="16:16">
      <c r="P31146" s="2498"/>
    </row>
    <row r="31147" spans="16:16">
      <c r="P31147" s="2498"/>
    </row>
    <row r="31148" spans="16:16">
      <c r="P31148" s="2498"/>
    </row>
    <row r="31149" spans="16:16">
      <c r="P31149" s="2498"/>
    </row>
    <row r="31150" spans="16:16">
      <c r="P31150" s="2498"/>
    </row>
    <row r="31151" spans="16:16">
      <c r="P31151" s="2498"/>
    </row>
    <row r="31152" spans="16:16">
      <c r="P31152" s="2498"/>
    </row>
    <row r="31153" spans="16:16">
      <c r="P31153" s="2498"/>
    </row>
    <row r="31154" spans="16:16">
      <c r="P31154" s="2498"/>
    </row>
    <row r="31155" spans="16:16">
      <c r="P31155" s="2498"/>
    </row>
    <row r="31156" spans="16:16">
      <c r="P31156" s="2498"/>
    </row>
    <row r="31157" spans="16:16">
      <c r="P31157" s="2498"/>
    </row>
    <row r="31158" spans="16:16">
      <c r="P31158" s="2498"/>
    </row>
    <row r="31159" spans="16:16">
      <c r="P31159" s="2498"/>
    </row>
    <row r="31160" spans="16:16">
      <c r="P31160" s="2498"/>
    </row>
    <row r="31161" spans="16:16">
      <c r="P31161" s="2498"/>
    </row>
    <row r="31162" spans="16:16">
      <c r="P31162" s="2498"/>
    </row>
    <row r="31163" spans="16:16">
      <c r="P31163" s="2498"/>
    </row>
    <row r="31164" spans="16:16">
      <c r="P31164" s="2498"/>
    </row>
    <row r="31165" spans="16:16">
      <c r="P31165" s="2498"/>
    </row>
    <row r="31166" spans="16:16">
      <c r="P31166" s="2498"/>
    </row>
    <row r="31167" spans="16:16">
      <c r="P31167" s="2498"/>
    </row>
    <row r="31168" spans="16:16">
      <c r="P31168" s="2498"/>
    </row>
    <row r="31169" spans="16:16">
      <c r="P31169" s="2498"/>
    </row>
    <row r="31170" spans="16:16">
      <c r="P31170" s="2498"/>
    </row>
    <row r="31171" spans="16:16">
      <c r="P31171" s="2498"/>
    </row>
    <row r="31172" spans="16:16">
      <c r="P31172" s="2498"/>
    </row>
    <row r="31173" spans="16:16">
      <c r="P31173" s="2498"/>
    </row>
    <row r="31174" spans="16:16">
      <c r="P31174" s="2498"/>
    </row>
    <row r="31175" spans="16:16">
      <c r="P31175" s="2498"/>
    </row>
    <row r="31176" spans="16:16">
      <c r="P31176" s="2498"/>
    </row>
    <row r="31177" spans="16:16">
      <c r="P31177" s="2498"/>
    </row>
    <row r="31178" spans="16:16">
      <c r="P31178" s="2498"/>
    </row>
    <row r="31179" spans="16:16">
      <c r="P31179" s="2498"/>
    </row>
    <row r="31180" spans="16:16">
      <c r="P31180" s="2498"/>
    </row>
    <row r="31181" spans="16:16">
      <c r="P31181" s="2498"/>
    </row>
    <row r="31182" spans="16:16">
      <c r="P31182" s="2498"/>
    </row>
    <row r="31183" spans="16:16">
      <c r="P31183" s="2498"/>
    </row>
    <row r="31184" spans="16:16">
      <c r="P31184" s="2498"/>
    </row>
    <row r="31185" spans="16:16">
      <c r="P31185" s="2498"/>
    </row>
    <row r="31186" spans="16:16">
      <c r="P31186" s="2498"/>
    </row>
    <row r="31187" spans="16:16">
      <c r="P31187" s="2498"/>
    </row>
    <row r="31188" spans="16:16">
      <c r="P31188" s="2498"/>
    </row>
    <row r="31189" spans="16:16">
      <c r="P31189" s="2498"/>
    </row>
    <row r="31190" spans="16:16">
      <c r="P31190" s="2498"/>
    </row>
    <row r="31191" spans="16:16">
      <c r="P31191" s="2498"/>
    </row>
    <row r="31192" spans="16:16">
      <c r="P31192" s="2498"/>
    </row>
    <row r="31193" spans="16:16">
      <c r="P31193" s="2498"/>
    </row>
    <row r="31194" spans="16:16">
      <c r="P31194" s="2498"/>
    </row>
    <row r="31195" spans="16:16">
      <c r="P31195" s="2498"/>
    </row>
    <row r="31196" spans="16:16">
      <c r="P31196" s="2498"/>
    </row>
    <row r="31197" spans="16:16">
      <c r="P31197" s="2498"/>
    </row>
    <row r="31198" spans="16:16">
      <c r="P31198" s="2498"/>
    </row>
    <row r="31199" spans="16:16">
      <c r="P31199" s="2498"/>
    </row>
    <row r="31200" spans="16:16">
      <c r="P31200" s="2498"/>
    </row>
    <row r="31201" spans="16:16">
      <c r="P31201" s="2498"/>
    </row>
    <row r="31202" spans="16:16">
      <c r="P31202" s="2498"/>
    </row>
    <row r="31203" spans="16:16">
      <c r="P31203" s="2498"/>
    </row>
    <row r="31204" spans="16:16">
      <c r="P31204" s="2498"/>
    </row>
    <row r="31205" spans="16:16">
      <c r="P31205" s="2498"/>
    </row>
    <row r="31206" spans="16:16">
      <c r="P31206" s="2498"/>
    </row>
    <row r="31207" spans="16:16">
      <c r="P31207" s="2498"/>
    </row>
    <row r="31208" spans="16:16">
      <c r="P31208" s="2498"/>
    </row>
    <row r="31209" spans="16:16">
      <c r="P31209" s="2498"/>
    </row>
    <row r="31210" spans="16:16">
      <c r="P31210" s="2498"/>
    </row>
    <row r="31211" spans="16:16">
      <c r="P31211" s="2498"/>
    </row>
    <row r="31212" spans="16:16">
      <c r="P31212" s="2498"/>
    </row>
    <row r="31213" spans="16:16">
      <c r="P31213" s="2498"/>
    </row>
    <row r="31214" spans="16:16">
      <c r="P31214" s="2498"/>
    </row>
    <row r="31215" spans="16:16">
      <c r="P31215" s="2498"/>
    </row>
    <row r="31216" spans="16:16">
      <c r="P31216" s="2498"/>
    </row>
    <row r="31217" spans="16:16">
      <c r="P31217" s="2498"/>
    </row>
    <row r="31218" spans="16:16">
      <c r="P31218" s="2498"/>
    </row>
    <row r="31219" spans="16:16">
      <c r="P31219" s="2498"/>
    </row>
    <row r="31220" spans="16:16">
      <c r="P31220" s="2498"/>
    </row>
    <row r="31221" spans="16:16">
      <c r="P31221" s="2498"/>
    </row>
    <row r="31222" spans="16:16">
      <c r="P31222" s="2498"/>
    </row>
    <row r="31223" spans="16:16">
      <c r="P31223" s="2498"/>
    </row>
    <row r="31224" spans="16:16">
      <c r="P31224" s="2498"/>
    </row>
    <row r="31225" spans="16:16">
      <c r="P31225" s="2498"/>
    </row>
    <row r="31226" spans="16:16">
      <c r="P31226" s="2498"/>
    </row>
    <row r="31227" spans="16:16">
      <c r="P31227" s="2498"/>
    </row>
    <row r="31228" spans="16:16">
      <c r="P31228" s="2498"/>
    </row>
    <row r="31229" spans="16:16">
      <c r="P31229" s="2498"/>
    </row>
    <row r="31230" spans="16:16">
      <c r="P31230" s="2498"/>
    </row>
    <row r="31231" spans="16:16">
      <c r="P31231" s="2498"/>
    </row>
    <row r="31232" spans="16:16">
      <c r="P31232" s="2498"/>
    </row>
    <row r="31233" spans="16:16">
      <c r="P31233" s="2498"/>
    </row>
    <row r="31234" spans="16:16">
      <c r="P31234" s="2498"/>
    </row>
    <row r="31235" spans="16:16">
      <c r="P31235" s="2498"/>
    </row>
    <row r="31236" spans="16:16">
      <c r="P31236" s="2498"/>
    </row>
    <row r="31237" spans="16:16">
      <c r="P31237" s="2498"/>
    </row>
    <row r="31238" spans="16:16">
      <c r="P31238" s="2498"/>
    </row>
    <row r="31239" spans="16:16">
      <c r="P31239" s="2498"/>
    </row>
    <row r="31240" spans="16:16">
      <c r="P31240" s="2498"/>
    </row>
    <row r="31241" spans="16:16">
      <c r="P31241" s="2498"/>
    </row>
    <row r="31242" spans="16:16">
      <c r="P31242" s="2498"/>
    </row>
    <row r="31243" spans="16:16">
      <c r="P31243" s="2498"/>
    </row>
    <row r="31244" spans="16:16">
      <c r="P31244" s="2498"/>
    </row>
    <row r="31245" spans="16:16">
      <c r="P31245" s="2498"/>
    </row>
    <row r="31246" spans="16:16">
      <c r="P31246" s="2498"/>
    </row>
    <row r="31247" spans="16:16">
      <c r="P31247" s="2498"/>
    </row>
    <row r="31248" spans="16:16">
      <c r="P31248" s="2498"/>
    </row>
    <row r="31249" spans="16:16">
      <c r="P31249" s="2498"/>
    </row>
    <row r="31250" spans="16:16">
      <c r="P31250" s="2498"/>
    </row>
    <row r="31251" spans="16:16">
      <c r="P31251" s="2498"/>
    </row>
    <row r="31252" spans="16:16">
      <c r="P31252" s="2498"/>
    </row>
    <row r="31253" spans="16:16">
      <c r="P31253" s="2498"/>
    </row>
    <row r="31254" spans="16:16">
      <c r="P31254" s="2498"/>
    </row>
    <row r="31255" spans="16:16">
      <c r="P31255" s="2498"/>
    </row>
    <row r="31256" spans="16:16">
      <c r="P31256" s="2498"/>
    </row>
    <row r="31257" spans="16:16">
      <c r="P31257" s="2498"/>
    </row>
    <row r="31258" spans="16:16">
      <c r="P31258" s="2498"/>
    </row>
    <row r="31259" spans="16:16">
      <c r="P31259" s="2498"/>
    </row>
    <row r="31260" spans="16:16">
      <c r="P31260" s="2498"/>
    </row>
    <row r="31261" spans="16:16">
      <c r="P31261" s="2498"/>
    </row>
    <row r="31262" spans="16:16">
      <c r="P31262" s="2498"/>
    </row>
    <row r="31263" spans="16:16">
      <c r="P31263" s="2498"/>
    </row>
    <row r="31264" spans="16:16">
      <c r="P31264" s="2498"/>
    </row>
    <row r="31265" spans="16:16">
      <c r="P31265" s="2498"/>
    </row>
    <row r="31266" spans="16:16">
      <c r="P31266" s="2498"/>
    </row>
    <row r="31267" spans="16:16">
      <c r="P31267" s="2498"/>
    </row>
    <row r="31268" spans="16:16">
      <c r="P31268" s="2498"/>
    </row>
    <row r="31269" spans="16:16">
      <c r="P31269" s="2498"/>
    </row>
    <row r="31270" spans="16:16">
      <c r="P31270" s="2498"/>
    </row>
    <row r="31271" spans="16:16">
      <c r="P31271" s="2498"/>
    </row>
    <row r="31272" spans="16:16">
      <c r="P31272" s="2498"/>
    </row>
    <row r="31273" spans="16:16">
      <c r="P31273" s="2498"/>
    </row>
    <row r="31274" spans="16:16">
      <c r="P31274" s="2498"/>
    </row>
    <row r="31275" spans="16:16">
      <c r="P31275" s="2498"/>
    </row>
    <row r="31276" spans="16:16">
      <c r="P31276" s="2498"/>
    </row>
    <row r="31277" spans="16:16">
      <c r="P31277" s="2498"/>
    </row>
    <row r="31278" spans="16:16">
      <c r="P31278" s="2498"/>
    </row>
    <row r="31279" spans="16:16">
      <c r="P31279" s="2498"/>
    </row>
    <row r="31280" spans="16:16">
      <c r="P31280" s="2498"/>
    </row>
    <row r="31281" spans="16:16">
      <c r="P31281" s="2498"/>
    </row>
    <row r="31282" spans="16:16">
      <c r="P31282" s="2498"/>
    </row>
    <row r="31283" spans="16:16">
      <c r="P31283" s="2498"/>
    </row>
    <row r="31284" spans="16:16">
      <c r="P31284" s="2498"/>
    </row>
    <row r="31285" spans="16:16">
      <c r="P31285" s="2498"/>
    </row>
    <row r="31286" spans="16:16">
      <c r="P31286" s="2498"/>
    </row>
    <row r="31287" spans="16:16">
      <c r="P31287" s="2498"/>
    </row>
    <row r="31288" spans="16:16">
      <c r="P31288" s="2498"/>
    </row>
    <row r="31289" spans="16:16">
      <c r="P31289" s="2498"/>
    </row>
    <row r="31290" spans="16:16">
      <c r="P31290" s="2498"/>
    </row>
    <row r="31291" spans="16:16">
      <c r="P31291" s="2498"/>
    </row>
    <row r="31292" spans="16:16">
      <c r="P31292" s="2498"/>
    </row>
    <row r="31293" spans="16:16">
      <c r="P31293" s="2498"/>
    </row>
    <row r="31294" spans="16:16">
      <c r="P31294" s="2498"/>
    </row>
    <row r="31295" spans="16:16">
      <c r="P31295" s="2498"/>
    </row>
    <row r="31296" spans="16:16">
      <c r="P31296" s="2498"/>
    </row>
    <row r="31297" spans="16:16">
      <c r="P31297" s="2498"/>
    </row>
    <row r="31298" spans="16:16">
      <c r="P31298" s="2498"/>
    </row>
    <row r="31299" spans="16:16">
      <c r="P31299" s="2498"/>
    </row>
    <row r="31300" spans="16:16">
      <c r="P31300" s="2498"/>
    </row>
    <row r="31301" spans="16:16">
      <c r="P31301" s="2498"/>
    </row>
    <row r="31302" spans="16:16">
      <c r="P31302" s="2498"/>
    </row>
    <row r="31303" spans="16:16">
      <c r="P31303" s="2498"/>
    </row>
    <row r="31304" spans="16:16">
      <c r="P31304" s="2498"/>
    </row>
    <row r="31305" spans="16:16">
      <c r="P31305" s="2498"/>
    </row>
    <row r="31306" spans="16:16">
      <c r="P31306" s="2498"/>
    </row>
    <row r="31307" spans="16:16">
      <c r="P31307" s="2498"/>
    </row>
    <row r="31308" spans="16:16">
      <c r="P31308" s="2498"/>
    </row>
    <row r="31309" spans="16:16">
      <c r="P31309" s="2498"/>
    </row>
    <row r="31310" spans="16:16">
      <c r="P31310" s="2498"/>
    </row>
    <row r="31311" spans="16:16">
      <c r="P31311" s="2498"/>
    </row>
    <row r="31312" spans="16:16">
      <c r="P31312" s="2498"/>
    </row>
    <row r="31313" spans="16:16">
      <c r="P31313" s="2498"/>
    </row>
    <row r="31314" spans="16:16">
      <c r="P31314" s="2498"/>
    </row>
    <row r="31315" spans="16:16">
      <c r="P31315" s="2498"/>
    </row>
    <row r="31316" spans="16:16">
      <c r="P31316" s="2498"/>
    </row>
    <row r="31317" spans="16:16">
      <c r="P31317" s="2498"/>
    </row>
    <row r="31318" spans="16:16">
      <c r="P31318" s="2498"/>
    </row>
    <row r="31319" spans="16:16">
      <c r="P31319" s="2498"/>
    </row>
    <row r="31320" spans="16:16">
      <c r="P31320" s="2498"/>
    </row>
    <row r="31321" spans="16:16">
      <c r="P31321" s="2498"/>
    </row>
    <row r="31322" spans="16:16">
      <c r="P31322" s="2498"/>
    </row>
    <row r="31323" spans="16:16">
      <c r="P31323" s="2498"/>
    </row>
    <row r="31324" spans="16:16">
      <c r="P31324" s="2498"/>
    </row>
    <row r="31325" spans="16:16">
      <c r="P31325" s="2498"/>
    </row>
    <row r="31326" spans="16:16">
      <c r="P31326" s="2498"/>
    </row>
    <row r="31327" spans="16:16">
      <c r="P31327" s="2498"/>
    </row>
    <row r="31328" spans="16:16">
      <c r="P31328" s="2498"/>
    </row>
    <row r="31329" spans="16:16">
      <c r="P31329" s="2498"/>
    </row>
    <row r="31330" spans="16:16">
      <c r="P31330" s="2498"/>
    </row>
    <row r="31331" spans="16:16">
      <c r="P31331" s="2498"/>
    </row>
    <row r="31332" spans="16:16">
      <c r="P31332" s="2498"/>
    </row>
    <row r="31333" spans="16:16">
      <c r="P31333" s="2498"/>
    </row>
    <row r="31334" spans="16:16">
      <c r="P31334" s="2498"/>
    </row>
    <row r="31335" spans="16:16">
      <c r="P31335" s="2498"/>
    </row>
    <row r="31336" spans="16:16">
      <c r="P31336" s="2498"/>
    </row>
    <row r="31337" spans="16:16">
      <c r="P31337" s="2498"/>
    </row>
    <row r="31338" spans="16:16">
      <c r="P31338" s="2498"/>
    </row>
    <row r="31339" spans="16:16">
      <c r="P31339" s="2498"/>
    </row>
    <row r="31340" spans="16:16">
      <c r="P31340" s="2498"/>
    </row>
    <row r="31341" spans="16:16">
      <c r="P31341" s="2498"/>
    </row>
    <row r="31342" spans="16:16">
      <c r="P31342" s="2498"/>
    </row>
    <row r="31343" spans="16:16">
      <c r="P31343" s="2498"/>
    </row>
    <row r="31344" spans="16:16">
      <c r="P31344" s="2498"/>
    </row>
    <row r="31345" spans="16:16">
      <c r="P31345" s="2498"/>
    </row>
    <row r="31346" spans="16:16">
      <c r="P31346" s="2498"/>
    </row>
    <row r="31347" spans="16:16">
      <c r="P31347" s="2498"/>
    </row>
    <row r="31348" spans="16:16">
      <c r="P31348" s="2498"/>
    </row>
    <row r="31349" spans="16:16">
      <c r="P31349" s="2498"/>
    </row>
    <row r="31350" spans="16:16">
      <c r="P31350" s="2498"/>
    </row>
    <row r="31351" spans="16:16">
      <c r="P31351" s="2498"/>
    </row>
    <row r="31352" spans="16:16">
      <c r="P31352" s="2498"/>
    </row>
    <row r="31353" spans="16:16">
      <c r="P31353" s="2498"/>
    </row>
    <row r="31354" spans="16:16">
      <c r="P31354" s="2498"/>
    </row>
    <row r="31355" spans="16:16">
      <c r="P31355" s="2498"/>
    </row>
    <row r="31356" spans="16:16">
      <c r="P31356" s="2498"/>
    </row>
    <row r="31357" spans="16:16">
      <c r="P31357" s="2498"/>
    </row>
    <row r="31358" spans="16:16">
      <c r="P31358" s="2498"/>
    </row>
    <row r="31359" spans="16:16">
      <c r="P31359" s="2498"/>
    </row>
    <row r="31360" spans="16:16">
      <c r="P31360" s="2498"/>
    </row>
    <row r="31361" spans="16:16">
      <c r="P31361" s="2498"/>
    </row>
    <row r="31362" spans="16:16">
      <c r="P31362" s="2498"/>
    </row>
    <row r="31363" spans="16:16">
      <c r="P31363" s="2498"/>
    </row>
    <row r="31364" spans="16:16">
      <c r="P31364" s="2498"/>
    </row>
    <row r="31365" spans="16:16">
      <c r="P31365" s="2498"/>
    </row>
    <row r="31366" spans="16:16">
      <c r="P31366" s="2498"/>
    </row>
    <row r="31367" spans="16:16">
      <c r="P31367" s="2498"/>
    </row>
    <row r="31368" spans="16:16">
      <c r="P31368" s="2498"/>
    </row>
    <row r="31369" spans="16:16">
      <c r="P31369" s="2498"/>
    </row>
    <row r="31370" spans="16:16">
      <c r="P31370" s="2498"/>
    </row>
    <row r="31371" spans="16:16">
      <c r="P31371" s="2498"/>
    </row>
    <row r="31372" spans="16:16">
      <c r="P31372" s="2498"/>
    </row>
    <row r="31373" spans="16:16">
      <c r="P31373" s="2498"/>
    </row>
    <row r="31374" spans="16:16">
      <c r="P31374" s="2498"/>
    </row>
    <row r="31375" spans="16:16">
      <c r="P31375" s="2498"/>
    </row>
    <row r="31376" spans="16:16">
      <c r="P31376" s="2498"/>
    </row>
    <row r="31377" spans="16:16">
      <c r="P31377" s="2498"/>
    </row>
    <row r="31378" spans="16:16">
      <c r="P31378" s="2498"/>
    </row>
    <row r="31379" spans="16:16">
      <c r="P31379" s="2498"/>
    </row>
    <row r="31380" spans="16:16">
      <c r="P31380" s="2498"/>
    </row>
    <row r="31381" spans="16:16">
      <c r="P31381" s="2498"/>
    </row>
    <row r="31382" spans="16:16">
      <c r="P31382" s="2498"/>
    </row>
    <row r="31383" spans="16:16">
      <c r="P31383" s="2498"/>
    </row>
    <row r="31384" spans="16:16">
      <c r="P31384" s="2498"/>
    </row>
    <row r="31385" spans="16:16">
      <c r="P31385" s="2498"/>
    </row>
    <row r="31386" spans="16:16">
      <c r="P31386" s="2498"/>
    </row>
    <row r="31387" spans="16:16">
      <c r="P31387" s="2498"/>
    </row>
    <row r="31388" spans="16:16">
      <c r="P31388" s="2498"/>
    </row>
    <row r="31389" spans="16:16">
      <c r="P31389" s="2498"/>
    </row>
    <row r="31390" spans="16:16">
      <c r="P31390" s="2498"/>
    </row>
    <row r="31391" spans="16:16">
      <c r="P31391" s="2498"/>
    </row>
    <row r="31392" spans="16:16">
      <c r="P31392" s="2498"/>
    </row>
    <row r="31393" spans="16:16">
      <c r="P31393" s="2498"/>
    </row>
    <row r="31394" spans="16:16">
      <c r="P31394" s="2498"/>
    </row>
    <row r="31395" spans="16:16">
      <c r="P31395" s="2498"/>
    </row>
    <row r="31396" spans="16:16">
      <c r="P31396" s="2498"/>
    </row>
    <row r="31397" spans="16:16">
      <c r="P31397" s="2498"/>
    </row>
    <row r="31398" spans="16:16">
      <c r="P31398" s="2498"/>
    </row>
    <row r="31399" spans="16:16">
      <c r="P31399" s="2498"/>
    </row>
    <row r="31400" spans="16:16">
      <c r="P31400" s="2498"/>
    </row>
    <row r="31401" spans="16:16">
      <c r="P31401" s="2498"/>
    </row>
    <row r="31402" spans="16:16">
      <c r="P31402" s="2498"/>
    </row>
    <row r="31403" spans="16:16">
      <c r="P31403" s="2498"/>
    </row>
    <row r="31404" spans="16:16">
      <c r="P31404" s="2498"/>
    </row>
    <row r="31405" spans="16:16">
      <c r="P31405" s="2498"/>
    </row>
    <row r="31406" spans="16:16">
      <c r="P31406" s="2498"/>
    </row>
    <row r="31407" spans="16:16">
      <c r="P31407" s="2498"/>
    </row>
    <row r="31408" spans="16:16">
      <c r="P31408" s="2498"/>
    </row>
    <row r="31409" spans="16:16">
      <c r="P31409" s="2498"/>
    </row>
    <row r="31410" spans="16:16">
      <c r="P31410" s="2498"/>
    </row>
    <row r="31411" spans="16:16">
      <c r="P31411" s="2498"/>
    </row>
    <row r="31412" spans="16:16">
      <c r="P31412" s="2498"/>
    </row>
    <row r="31413" spans="16:16">
      <c r="P31413" s="2498"/>
    </row>
    <row r="31414" spans="16:16">
      <c r="P31414" s="2498"/>
    </row>
    <row r="31415" spans="16:16">
      <c r="P31415" s="2498"/>
    </row>
    <row r="31416" spans="16:16">
      <c r="P31416" s="2498"/>
    </row>
    <row r="31417" spans="16:16">
      <c r="P31417" s="2498"/>
    </row>
    <row r="31418" spans="16:16">
      <c r="P31418" s="2498"/>
    </row>
    <row r="31419" spans="16:16">
      <c r="P31419" s="2498"/>
    </row>
    <row r="31420" spans="16:16">
      <c r="P31420" s="2498"/>
    </row>
    <row r="31421" spans="16:16">
      <c r="P31421" s="2498"/>
    </row>
    <row r="31422" spans="16:16">
      <c r="P31422" s="2498"/>
    </row>
    <row r="31423" spans="16:16">
      <c r="P31423" s="2498"/>
    </row>
    <row r="31424" spans="16:16">
      <c r="P31424" s="2498"/>
    </row>
    <row r="31425" spans="16:16">
      <c r="P31425" s="2498"/>
    </row>
    <row r="31426" spans="16:16">
      <c r="P31426" s="2498"/>
    </row>
    <row r="31427" spans="16:16">
      <c r="P31427" s="2498"/>
    </row>
    <row r="31428" spans="16:16">
      <c r="P31428" s="2498"/>
    </row>
    <row r="31429" spans="16:16">
      <c r="P31429" s="2498"/>
    </row>
    <row r="31430" spans="16:16">
      <c r="P31430" s="2498"/>
    </row>
    <row r="31431" spans="16:16">
      <c r="P31431" s="2498"/>
    </row>
    <row r="31432" spans="16:16">
      <c r="P31432" s="2498"/>
    </row>
    <row r="31433" spans="16:16">
      <c r="P31433" s="2498"/>
    </row>
    <row r="31434" spans="16:16">
      <c r="P31434" s="2498"/>
    </row>
    <row r="31435" spans="16:16">
      <c r="P31435" s="2498"/>
    </row>
    <row r="31436" spans="16:16">
      <c r="P31436" s="2498"/>
    </row>
    <row r="31437" spans="16:16">
      <c r="P31437" s="2498"/>
    </row>
    <row r="31438" spans="16:16">
      <c r="P31438" s="2498"/>
    </row>
    <row r="31439" spans="16:16">
      <c r="P31439" s="2498"/>
    </row>
    <row r="31440" spans="16:16">
      <c r="P31440" s="2498"/>
    </row>
    <row r="31441" spans="16:16">
      <c r="P31441" s="2498"/>
    </row>
    <row r="31442" spans="16:16">
      <c r="P31442" s="2498"/>
    </row>
    <row r="31443" spans="16:16">
      <c r="P31443" s="2498"/>
    </row>
    <row r="31444" spans="16:16">
      <c r="P31444" s="2498"/>
    </row>
    <row r="31445" spans="16:16">
      <c r="P31445" s="2498"/>
    </row>
    <row r="31446" spans="16:16">
      <c r="P31446" s="2498"/>
    </row>
    <row r="31447" spans="16:16">
      <c r="P31447" s="2498"/>
    </row>
    <row r="31448" spans="16:16">
      <c r="P31448" s="2498"/>
    </row>
    <row r="31449" spans="16:16">
      <c r="P31449" s="2498"/>
    </row>
    <row r="31450" spans="16:16">
      <c r="P31450" s="2498"/>
    </row>
    <row r="31451" spans="16:16">
      <c r="P31451" s="2498"/>
    </row>
    <row r="31452" spans="16:16">
      <c r="P31452" s="2498"/>
    </row>
    <row r="31453" spans="16:16">
      <c r="P31453" s="2498"/>
    </row>
    <row r="31454" spans="16:16">
      <c r="P31454" s="2498"/>
    </row>
    <row r="31455" spans="16:16">
      <c r="P31455" s="2498"/>
    </row>
    <row r="31456" spans="16:16">
      <c r="P31456" s="2498"/>
    </row>
    <row r="31457" spans="16:16">
      <c r="P31457" s="2498"/>
    </row>
    <row r="31458" spans="16:16">
      <c r="P31458" s="2498"/>
    </row>
    <row r="31459" spans="16:16">
      <c r="P31459" s="2498"/>
    </row>
    <row r="31460" spans="16:16">
      <c r="P31460" s="2498"/>
    </row>
    <row r="31461" spans="16:16">
      <c r="P31461" s="2498"/>
    </row>
    <row r="31462" spans="16:16">
      <c r="P31462" s="2498"/>
    </row>
    <row r="31463" spans="16:16">
      <c r="P31463" s="2498"/>
    </row>
    <row r="31464" spans="16:16">
      <c r="P31464" s="2498"/>
    </row>
    <row r="31465" spans="16:16">
      <c r="P31465" s="2498"/>
    </row>
    <row r="31466" spans="16:16">
      <c r="P31466" s="2498"/>
    </row>
    <row r="31467" spans="16:16">
      <c r="P31467" s="2498"/>
    </row>
    <row r="31468" spans="16:16">
      <c r="P31468" s="2498"/>
    </row>
    <row r="31469" spans="16:16">
      <c r="P31469" s="2498"/>
    </row>
    <row r="31470" spans="16:16">
      <c r="P31470" s="2498"/>
    </row>
    <row r="31471" spans="16:16">
      <c r="P31471" s="2498"/>
    </row>
    <row r="31472" spans="16:16">
      <c r="P31472" s="2498"/>
    </row>
    <row r="31473" spans="16:16">
      <c r="P31473" s="2498"/>
    </row>
    <row r="31474" spans="16:16">
      <c r="P31474" s="2498"/>
    </row>
    <row r="31475" spans="16:16">
      <c r="P31475" s="2498"/>
    </row>
    <row r="31476" spans="16:16">
      <c r="P31476" s="2498"/>
    </row>
    <row r="31477" spans="16:16">
      <c r="P31477" s="2498"/>
    </row>
    <row r="31478" spans="16:16">
      <c r="P31478" s="2498"/>
    </row>
    <row r="31479" spans="16:16">
      <c r="P31479" s="2498"/>
    </row>
    <row r="31480" spans="16:16">
      <c r="P31480" s="2498"/>
    </row>
    <row r="31481" spans="16:16">
      <c r="P31481" s="2498"/>
    </row>
    <row r="31482" spans="16:16">
      <c r="P31482" s="2498"/>
    </row>
    <row r="31483" spans="16:16">
      <c r="P31483" s="2498"/>
    </row>
    <row r="31484" spans="16:16">
      <c r="P31484" s="2498"/>
    </row>
    <row r="31485" spans="16:16">
      <c r="P31485" s="2498"/>
    </row>
    <row r="31486" spans="16:16">
      <c r="P31486" s="2498"/>
    </row>
    <row r="31487" spans="16:16">
      <c r="P31487" s="2498"/>
    </row>
    <row r="31488" spans="16:16">
      <c r="P31488" s="2498"/>
    </row>
    <row r="31489" spans="16:16">
      <c r="P31489" s="2498"/>
    </row>
    <row r="31490" spans="16:16">
      <c r="P31490" s="2498"/>
    </row>
    <row r="31491" spans="16:16">
      <c r="P31491" s="2498"/>
    </row>
    <row r="31492" spans="16:16">
      <c r="P31492" s="2498"/>
    </row>
    <row r="31493" spans="16:16">
      <c r="P31493" s="2498"/>
    </row>
    <row r="31494" spans="16:16">
      <c r="P31494" s="2498"/>
    </row>
    <row r="31495" spans="16:16">
      <c r="P31495" s="2498"/>
    </row>
    <row r="31496" spans="16:16">
      <c r="P31496" s="2498"/>
    </row>
    <row r="31497" spans="16:16">
      <c r="P31497" s="2498"/>
    </row>
    <row r="31498" spans="16:16">
      <c r="P31498" s="2498"/>
    </row>
    <row r="31499" spans="16:16">
      <c r="P31499" s="2498"/>
    </row>
    <row r="31500" spans="16:16">
      <c r="P31500" s="2498"/>
    </row>
    <row r="31501" spans="16:16">
      <c r="P31501" s="2498"/>
    </row>
    <row r="31502" spans="16:16">
      <c r="P31502" s="2498"/>
    </row>
    <row r="31503" spans="16:16">
      <c r="P31503" s="2498"/>
    </row>
    <row r="31504" spans="16:16">
      <c r="P31504" s="2498"/>
    </row>
    <row r="31505" spans="16:16">
      <c r="P31505" s="2498"/>
    </row>
    <row r="31506" spans="16:16">
      <c r="P31506" s="2498"/>
    </row>
    <row r="31507" spans="16:16">
      <c r="P31507" s="2498"/>
    </row>
    <row r="31508" spans="16:16">
      <c r="P31508" s="2498"/>
    </row>
    <row r="31509" spans="16:16">
      <c r="P31509" s="2498"/>
    </row>
    <row r="31510" spans="16:16">
      <c r="P31510" s="2498"/>
    </row>
    <row r="31511" spans="16:16">
      <c r="P31511" s="2498"/>
    </row>
    <row r="31512" spans="16:16">
      <c r="P31512" s="2498"/>
    </row>
    <row r="31513" spans="16:16">
      <c r="P31513" s="2498"/>
    </row>
    <row r="31514" spans="16:16">
      <c r="P31514" s="2498"/>
    </row>
    <row r="31515" spans="16:16">
      <c r="P31515" s="2498"/>
    </row>
    <row r="31516" spans="16:16">
      <c r="P31516" s="2498"/>
    </row>
    <row r="31517" spans="16:16">
      <c r="P31517" s="2498"/>
    </row>
    <row r="31518" spans="16:16">
      <c r="P31518" s="2498"/>
    </row>
    <row r="31519" spans="16:16">
      <c r="P31519" s="2498"/>
    </row>
    <row r="31520" spans="16:16">
      <c r="P31520" s="2498"/>
    </row>
    <row r="31521" spans="16:16">
      <c r="P31521" s="2498"/>
    </row>
    <row r="31522" spans="16:16">
      <c r="P31522" s="2498"/>
    </row>
    <row r="31523" spans="16:16">
      <c r="P31523" s="2498"/>
    </row>
    <row r="31524" spans="16:16">
      <c r="P31524" s="2498"/>
    </row>
    <row r="31525" spans="16:16">
      <c r="P31525" s="2498"/>
    </row>
    <row r="31526" spans="16:16">
      <c r="P31526" s="2498"/>
    </row>
    <row r="31527" spans="16:16">
      <c r="P31527" s="2498"/>
    </row>
    <row r="31528" spans="16:16">
      <c r="P31528" s="2498"/>
    </row>
    <row r="31529" spans="16:16">
      <c r="P31529" s="2498"/>
    </row>
    <row r="31530" spans="16:16">
      <c r="P31530" s="2498"/>
    </row>
    <row r="31531" spans="16:16">
      <c r="P31531" s="2498"/>
    </row>
    <row r="31532" spans="16:16">
      <c r="P31532" s="2498"/>
    </row>
    <row r="31533" spans="16:16">
      <c r="P31533" s="2498"/>
    </row>
    <row r="31534" spans="16:16">
      <c r="P31534" s="2498"/>
    </row>
    <row r="31535" spans="16:16">
      <c r="P31535" s="2498"/>
    </row>
    <row r="31536" spans="16:16">
      <c r="P31536" s="2498"/>
    </row>
    <row r="31537" spans="16:16">
      <c r="P31537" s="2498"/>
    </row>
    <row r="31538" spans="16:16">
      <c r="P31538" s="2498"/>
    </row>
    <row r="31539" spans="16:16">
      <c r="P31539" s="2498"/>
    </row>
    <row r="31540" spans="16:16">
      <c r="P31540" s="2498"/>
    </row>
    <row r="31541" spans="16:16">
      <c r="P31541" s="2498"/>
    </row>
    <row r="31542" spans="16:16">
      <c r="P31542" s="2498"/>
    </row>
    <row r="31543" spans="16:16">
      <c r="P31543" s="2498"/>
    </row>
    <row r="31544" spans="16:16">
      <c r="P31544" s="2498"/>
    </row>
    <row r="31545" spans="16:16">
      <c r="P31545" s="2498"/>
    </row>
    <row r="31546" spans="16:16">
      <c r="P31546" s="2498"/>
    </row>
    <row r="31547" spans="16:16">
      <c r="P31547" s="2498"/>
    </row>
    <row r="31548" spans="16:16">
      <c r="P31548" s="2498"/>
    </row>
    <row r="31549" spans="16:16">
      <c r="P31549" s="2498"/>
    </row>
    <row r="31550" spans="16:16">
      <c r="P31550" s="2498"/>
    </row>
    <row r="31551" spans="16:16">
      <c r="P31551" s="2498"/>
    </row>
    <row r="31552" spans="16:16">
      <c r="P31552" s="2498"/>
    </row>
    <row r="31553" spans="16:16">
      <c r="P31553" s="2498"/>
    </row>
    <row r="31554" spans="16:16">
      <c r="P31554" s="2498"/>
    </row>
    <row r="31555" spans="16:16">
      <c r="P31555" s="2498"/>
    </row>
    <row r="31556" spans="16:16">
      <c r="P31556" s="2498"/>
    </row>
    <row r="31557" spans="16:16">
      <c r="P31557" s="2498"/>
    </row>
    <row r="31558" spans="16:16">
      <c r="P31558" s="2498"/>
    </row>
    <row r="31559" spans="16:16">
      <c r="P31559" s="2498"/>
    </row>
    <row r="31560" spans="16:16">
      <c r="P31560" s="2498"/>
    </row>
    <row r="31561" spans="16:16">
      <c r="P31561" s="2498"/>
    </row>
    <row r="31562" spans="16:16">
      <c r="P31562" s="2498"/>
    </row>
    <row r="31563" spans="16:16">
      <c r="P31563" s="2498"/>
    </row>
    <row r="31564" spans="16:16">
      <c r="P31564" s="2498"/>
    </row>
    <row r="31565" spans="16:16">
      <c r="P31565" s="2498"/>
    </row>
    <row r="31566" spans="16:16">
      <c r="P31566" s="2498"/>
    </row>
    <row r="31567" spans="16:16">
      <c r="P31567" s="2498"/>
    </row>
    <row r="31568" spans="16:16">
      <c r="P31568" s="2498"/>
    </row>
    <row r="31569" spans="16:16">
      <c r="P31569" s="2498"/>
    </row>
    <row r="31570" spans="16:16">
      <c r="P31570" s="2498"/>
    </row>
    <row r="31571" spans="16:16">
      <c r="P31571" s="2498"/>
    </row>
    <row r="31572" spans="16:16">
      <c r="P31572" s="2498"/>
    </row>
    <row r="31573" spans="16:16">
      <c r="P31573" s="2498"/>
    </row>
    <row r="31574" spans="16:16">
      <c r="P31574" s="2498"/>
    </row>
    <row r="31575" spans="16:16">
      <c r="P31575" s="2498"/>
    </row>
    <row r="31576" spans="16:16">
      <c r="P31576" s="2498"/>
    </row>
    <row r="31577" spans="16:16">
      <c r="P31577" s="2498"/>
    </row>
    <row r="31578" spans="16:16">
      <c r="P31578" s="2498"/>
    </row>
    <row r="31579" spans="16:16">
      <c r="P31579" s="2498"/>
    </row>
    <row r="31580" spans="16:16">
      <c r="P31580" s="2498"/>
    </row>
    <row r="31581" spans="16:16">
      <c r="P31581" s="2498"/>
    </row>
    <row r="31582" spans="16:16">
      <c r="P31582" s="2498"/>
    </row>
    <row r="31583" spans="16:16">
      <c r="P31583" s="2498"/>
    </row>
    <row r="31584" spans="16:16">
      <c r="P31584" s="2498"/>
    </row>
    <row r="31585" spans="16:16">
      <c r="P31585" s="2498"/>
    </row>
    <row r="31586" spans="16:16">
      <c r="P31586" s="2498"/>
    </row>
    <row r="31587" spans="16:16">
      <c r="P31587" s="2498"/>
    </row>
    <row r="31588" spans="16:16">
      <c r="P31588" s="2498"/>
    </row>
    <row r="31589" spans="16:16">
      <c r="P31589" s="2498"/>
    </row>
    <row r="31590" spans="16:16">
      <c r="P31590" s="2498"/>
    </row>
    <row r="31591" spans="16:16">
      <c r="P31591" s="2498"/>
    </row>
    <row r="31592" spans="16:16">
      <c r="P31592" s="2498"/>
    </row>
    <row r="31593" spans="16:16">
      <c r="P31593" s="2498"/>
    </row>
    <row r="31594" spans="16:16">
      <c r="P31594" s="2498"/>
    </row>
    <row r="31595" spans="16:16">
      <c r="P31595" s="2498"/>
    </row>
    <row r="31596" spans="16:16">
      <c r="P31596" s="2498"/>
    </row>
    <row r="31597" spans="16:16">
      <c r="P31597" s="2498"/>
    </row>
    <row r="31598" spans="16:16">
      <c r="P31598" s="2498"/>
    </row>
    <row r="31599" spans="16:16">
      <c r="P31599" s="2498"/>
    </row>
    <row r="31600" spans="16:16">
      <c r="P31600" s="2498"/>
    </row>
    <row r="31601" spans="16:16">
      <c r="P31601" s="2498"/>
    </row>
    <row r="31602" spans="16:16">
      <c r="P31602" s="2498"/>
    </row>
    <row r="31603" spans="16:16">
      <c r="P31603" s="2498"/>
    </row>
    <row r="31604" spans="16:16">
      <c r="P31604" s="2498"/>
    </row>
    <row r="31605" spans="16:16">
      <c r="P31605" s="2498"/>
    </row>
    <row r="31606" spans="16:16">
      <c r="P31606" s="2498"/>
    </row>
    <row r="31607" spans="16:16">
      <c r="P31607" s="2498"/>
    </row>
    <row r="31608" spans="16:16">
      <c r="P31608" s="2498"/>
    </row>
    <row r="31609" spans="16:16">
      <c r="P31609" s="2498"/>
    </row>
    <row r="31610" spans="16:16">
      <c r="P31610" s="2498"/>
    </row>
    <row r="31611" spans="16:16">
      <c r="P31611" s="2498"/>
    </row>
    <row r="31612" spans="16:16">
      <c r="P31612" s="2498"/>
    </row>
    <row r="31613" spans="16:16">
      <c r="P31613" s="2498"/>
    </row>
    <row r="31614" spans="16:16">
      <c r="P31614" s="2498"/>
    </row>
    <row r="31615" spans="16:16">
      <c r="P31615" s="2498"/>
    </row>
    <row r="31616" spans="16:16">
      <c r="P31616" s="2498"/>
    </row>
    <row r="31617" spans="16:16">
      <c r="P31617" s="2498"/>
    </row>
    <row r="31618" spans="16:16">
      <c r="P31618" s="2498"/>
    </row>
    <row r="31619" spans="16:16">
      <c r="P31619" s="2498"/>
    </row>
    <row r="31620" spans="16:16">
      <c r="P31620" s="2498"/>
    </row>
    <row r="31621" spans="16:16">
      <c r="P31621" s="2498"/>
    </row>
    <row r="31622" spans="16:16">
      <c r="P31622" s="2498"/>
    </row>
    <row r="31623" spans="16:16">
      <c r="P31623" s="2498"/>
    </row>
    <row r="31624" spans="16:16">
      <c r="P31624" s="2498"/>
    </row>
    <row r="31625" spans="16:16">
      <c r="P31625" s="2498"/>
    </row>
    <row r="31626" spans="16:16">
      <c r="P31626" s="2498"/>
    </row>
    <row r="31627" spans="16:16">
      <c r="P31627" s="2498"/>
    </row>
    <row r="31628" spans="16:16">
      <c r="P31628" s="2498"/>
    </row>
    <row r="31629" spans="16:16">
      <c r="P31629" s="2498"/>
    </row>
    <row r="31630" spans="16:16">
      <c r="P31630" s="2498"/>
    </row>
    <row r="31631" spans="16:16">
      <c r="P31631" s="2498"/>
    </row>
    <row r="31632" spans="16:16">
      <c r="P31632" s="2498"/>
    </row>
    <row r="31633" spans="16:16">
      <c r="P31633" s="2498"/>
    </row>
    <row r="31634" spans="16:16">
      <c r="P31634" s="2498"/>
    </row>
    <row r="31635" spans="16:16">
      <c r="P31635" s="2498"/>
    </row>
    <row r="31636" spans="16:16">
      <c r="P31636" s="2498"/>
    </row>
    <row r="31637" spans="16:16">
      <c r="P31637" s="2498"/>
    </row>
    <row r="31638" spans="16:16">
      <c r="P31638" s="2498"/>
    </row>
    <row r="31639" spans="16:16">
      <c r="P31639" s="2498"/>
    </row>
    <row r="31640" spans="16:16">
      <c r="P31640" s="2498"/>
    </row>
    <row r="31641" spans="16:16">
      <c r="P31641" s="2498"/>
    </row>
    <row r="31642" spans="16:16">
      <c r="P31642" s="2498"/>
    </row>
    <row r="31643" spans="16:16">
      <c r="P31643" s="2498"/>
    </row>
    <row r="31644" spans="16:16">
      <c r="P31644" s="2498"/>
    </row>
    <row r="31645" spans="16:16">
      <c r="P31645" s="2498"/>
    </row>
    <row r="31646" spans="16:16">
      <c r="P31646" s="2498"/>
    </row>
    <row r="31647" spans="16:16">
      <c r="P31647" s="2498"/>
    </row>
    <row r="31648" spans="16:16">
      <c r="P31648" s="2498"/>
    </row>
    <row r="31649" spans="16:16">
      <c r="P31649" s="2498"/>
    </row>
    <row r="31650" spans="16:16">
      <c r="P31650" s="2498"/>
    </row>
    <row r="31651" spans="16:16">
      <c r="P31651" s="2498"/>
    </row>
    <row r="31652" spans="16:16">
      <c r="P31652" s="2498"/>
    </row>
    <row r="31653" spans="16:16">
      <c r="P31653" s="2498"/>
    </row>
    <row r="31654" spans="16:16">
      <c r="P31654" s="2498"/>
    </row>
    <row r="31655" spans="16:16">
      <c r="P31655" s="2498"/>
    </row>
    <row r="31656" spans="16:16">
      <c r="P31656" s="2498"/>
    </row>
    <row r="31657" spans="16:16">
      <c r="P31657" s="2498"/>
    </row>
    <row r="31658" spans="16:16">
      <c r="P31658" s="2498"/>
    </row>
    <row r="31659" spans="16:16">
      <c r="P31659" s="2498"/>
    </row>
    <row r="31660" spans="16:16">
      <c r="P31660" s="2498"/>
    </row>
    <row r="31661" spans="16:16">
      <c r="P31661" s="2498"/>
    </row>
    <row r="31662" spans="16:16">
      <c r="P31662" s="2498"/>
    </row>
    <row r="31663" spans="16:16">
      <c r="P31663" s="2498"/>
    </row>
    <row r="31664" spans="16:16">
      <c r="P31664" s="2498"/>
    </row>
    <row r="31665" spans="16:16">
      <c r="P31665" s="2498"/>
    </row>
    <row r="31666" spans="16:16">
      <c r="P31666" s="2498"/>
    </row>
    <row r="31667" spans="16:16">
      <c r="P31667" s="2498"/>
    </row>
    <row r="31668" spans="16:16">
      <c r="P31668" s="2498"/>
    </row>
    <row r="31669" spans="16:16">
      <c r="P31669" s="2498"/>
    </row>
    <row r="31670" spans="16:16">
      <c r="P31670" s="2498"/>
    </row>
    <row r="31671" spans="16:16">
      <c r="P31671" s="2498"/>
    </row>
    <row r="31672" spans="16:16">
      <c r="P31672" s="2498"/>
    </row>
    <row r="31673" spans="16:16">
      <c r="P31673" s="2498"/>
    </row>
    <row r="31674" spans="16:16">
      <c r="P31674" s="2498"/>
    </row>
    <row r="31675" spans="16:16">
      <c r="P31675" s="2498"/>
    </row>
    <row r="31676" spans="16:16">
      <c r="P31676" s="2498"/>
    </row>
    <row r="31677" spans="16:16">
      <c r="P31677" s="2498"/>
    </row>
    <row r="31678" spans="16:16">
      <c r="P31678" s="2498"/>
    </row>
    <row r="31679" spans="16:16">
      <c r="P31679" s="2498"/>
    </row>
    <row r="31680" spans="16:16">
      <c r="P31680" s="2498"/>
    </row>
    <row r="31681" spans="16:16">
      <c r="P31681" s="2498"/>
    </row>
    <row r="31682" spans="16:16">
      <c r="P31682" s="2498"/>
    </row>
    <row r="31683" spans="16:16">
      <c r="P31683" s="2498"/>
    </row>
    <row r="31684" spans="16:16">
      <c r="P31684" s="2498"/>
    </row>
    <row r="31685" spans="16:16">
      <c r="P31685" s="2498"/>
    </row>
    <row r="31686" spans="16:16">
      <c r="P31686" s="2498"/>
    </row>
    <row r="31687" spans="16:16">
      <c r="P31687" s="2498"/>
    </row>
    <row r="31688" spans="16:16">
      <c r="P31688" s="2498"/>
    </row>
    <row r="31689" spans="16:16">
      <c r="P31689" s="2498"/>
    </row>
    <row r="31690" spans="16:16">
      <c r="P31690" s="2498"/>
    </row>
    <row r="31691" spans="16:16">
      <c r="P31691" s="2498"/>
    </row>
    <row r="31692" spans="16:16">
      <c r="P31692" s="2498"/>
    </row>
    <row r="31693" spans="16:16">
      <c r="P31693" s="2498"/>
    </row>
    <row r="31694" spans="16:16">
      <c r="P31694" s="2498"/>
    </row>
    <row r="31695" spans="16:16">
      <c r="P31695" s="2498"/>
    </row>
    <row r="31696" spans="16:16">
      <c r="P31696" s="2498"/>
    </row>
    <row r="31697" spans="16:16">
      <c r="P31697" s="2498"/>
    </row>
    <row r="31698" spans="16:16">
      <c r="P31698" s="2498"/>
    </row>
    <row r="31699" spans="16:16">
      <c r="P31699" s="2498"/>
    </row>
    <row r="31700" spans="16:16">
      <c r="P31700" s="2498"/>
    </row>
    <row r="31701" spans="16:16">
      <c r="P31701" s="2498"/>
    </row>
    <row r="31702" spans="16:16">
      <c r="P31702" s="2498"/>
    </row>
    <row r="31703" spans="16:16">
      <c r="P31703" s="2498"/>
    </row>
    <row r="31704" spans="16:16">
      <c r="P31704" s="2498"/>
    </row>
    <row r="31705" spans="16:16">
      <c r="P31705" s="2498"/>
    </row>
    <row r="31706" spans="16:16">
      <c r="P31706" s="2498"/>
    </row>
    <row r="31707" spans="16:16">
      <c r="P31707" s="2498"/>
    </row>
    <row r="31708" spans="16:16">
      <c r="P31708" s="2498"/>
    </row>
    <row r="31709" spans="16:16">
      <c r="P31709" s="2498"/>
    </row>
    <row r="31710" spans="16:16">
      <c r="P31710" s="2498"/>
    </row>
    <row r="31711" spans="16:16">
      <c r="P31711" s="2498"/>
    </row>
    <row r="31712" spans="16:16">
      <c r="P31712" s="2498"/>
    </row>
    <row r="31713" spans="16:16">
      <c r="P31713" s="2498"/>
    </row>
    <row r="31714" spans="16:16">
      <c r="P31714" s="2498"/>
    </row>
    <row r="31715" spans="16:16">
      <c r="P31715" s="2498"/>
    </row>
    <row r="31716" spans="16:16">
      <c r="P31716" s="2498"/>
    </row>
    <row r="31717" spans="16:16">
      <c r="P31717" s="2498"/>
    </row>
    <row r="31718" spans="16:16">
      <c r="P31718" s="2498"/>
    </row>
    <row r="31719" spans="16:16">
      <c r="P31719" s="2498"/>
    </row>
    <row r="31720" spans="16:16">
      <c r="P31720" s="2498"/>
    </row>
    <row r="31721" spans="16:16">
      <c r="P31721" s="2498"/>
    </row>
    <row r="31722" spans="16:16">
      <c r="P31722" s="2498"/>
    </row>
    <row r="31723" spans="16:16">
      <c r="P31723" s="2498"/>
    </row>
    <row r="31724" spans="16:16">
      <c r="P31724" s="2498"/>
    </row>
    <row r="31725" spans="16:16">
      <c r="P31725" s="2498"/>
    </row>
    <row r="31726" spans="16:16">
      <c r="P31726" s="2498"/>
    </row>
    <row r="31727" spans="16:16">
      <c r="P31727" s="2498"/>
    </row>
    <row r="31728" spans="16:16">
      <c r="P31728" s="2498"/>
    </row>
    <row r="31729" spans="16:16">
      <c r="P31729" s="2498"/>
    </row>
    <row r="31730" spans="16:16">
      <c r="P31730" s="2498"/>
    </row>
    <row r="31731" spans="16:16">
      <c r="P31731" s="2498"/>
    </row>
    <row r="31732" spans="16:16">
      <c r="P31732" s="2498"/>
    </row>
    <row r="31733" spans="16:16">
      <c r="P31733" s="2498"/>
    </row>
    <row r="31734" spans="16:16">
      <c r="P31734" s="2498"/>
    </row>
    <row r="31735" spans="16:16">
      <c r="P31735" s="2498"/>
    </row>
    <row r="31736" spans="16:16">
      <c r="P31736" s="2498"/>
    </row>
    <row r="31737" spans="16:16">
      <c r="P31737" s="2498"/>
    </row>
    <row r="31738" spans="16:16">
      <c r="P31738" s="2498"/>
    </row>
    <row r="31739" spans="16:16">
      <c r="P31739" s="2498"/>
    </row>
    <row r="31740" spans="16:16">
      <c r="P31740" s="2498"/>
    </row>
    <row r="31741" spans="16:16">
      <c r="P31741" s="2498"/>
    </row>
    <row r="31742" spans="16:16">
      <c r="P31742" s="2498"/>
    </row>
    <row r="31743" spans="16:16">
      <c r="P31743" s="2498"/>
    </row>
    <row r="31744" spans="16:16">
      <c r="P31744" s="2498"/>
    </row>
    <row r="31745" spans="16:16">
      <c r="P31745" s="2498"/>
    </row>
    <row r="31746" spans="16:16">
      <c r="P31746" s="2498"/>
    </row>
    <row r="31747" spans="16:16">
      <c r="P31747" s="2498"/>
    </row>
    <row r="31748" spans="16:16">
      <c r="P31748" s="2498"/>
    </row>
    <row r="31749" spans="16:16">
      <c r="P31749" s="2498"/>
    </row>
    <row r="31750" spans="16:16">
      <c r="P31750" s="2498"/>
    </row>
    <row r="31751" spans="16:16">
      <c r="P31751" s="2498"/>
    </row>
    <row r="31752" spans="16:16">
      <c r="P31752" s="2498"/>
    </row>
    <row r="31753" spans="16:16">
      <c r="P31753" s="2498"/>
    </row>
    <row r="31754" spans="16:16">
      <c r="P31754" s="2498"/>
    </row>
    <row r="31755" spans="16:16">
      <c r="P31755" s="2498"/>
    </row>
    <row r="31756" spans="16:16">
      <c r="P31756" s="2498"/>
    </row>
    <row r="31757" spans="16:16">
      <c r="P31757" s="2498"/>
    </row>
    <row r="31758" spans="16:16">
      <c r="P31758" s="2498"/>
    </row>
    <row r="31759" spans="16:16">
      <c r="P31759" s="2498"/>
    </row>
    <row r="31760" spans="16:16">
      <c r="P31760" s="2498"/>
    </row>
    <row r="31761" spans="16:16">
      <c r="P31761" s="2498"/>
    </row>
    <row r="31762" spans="16:16">
      <c r="P31762" s="2498"/>
    </row>
    <row r="31763" spans="16:16">
      <c r="P31763" s="2498"/>
    </row>
    <row r="31764" spans="16:16">
      <c r="P31764" s="2498"/>
    </row>
    <row r="31765" spans="16:16">
      <c r="P31765" s="2498"/>
    </row>
    <row r="31766" spans="16:16">
      <c r="P31766" s="2498"/>
    </row>
    <row r="31767" spans="16:16">
      <c r="P31767" s="2498"/>
    </row>
    <row r="31768" spans="16:16">
      <c r="P31768" s="2498"/>
    </row>
    <row r="31769" spans="16:16">
      <c r="P31769" s="2498"/>
    </row>
    <row r="31770" spans="16:16">
      <c r="P31770" s="2498"/>
    </row>
    <row r="31771" spans="16:16">
      <c r="P31771" s="2498"/>
    </row>
    <row r="31772" spans="16:16">
      <c r="P31772" s="2498"/>
    </row>
    <row r="31773" spans="16:16">
      <c r="P31773" s="2498"/>
    </row>
    <row r="31774" spans="16:16">
      <c r="P31774" s="2498"/>
    </row>
    <row r="31775" spans="16:16">
      <c r="P31775" s="2498"/>
    </row>
    <row r="31776" spans="16:16">
      <c r="P31776" s="2498"/>
    </row>
    <row r="31777" spans="16:16">
      <c r="P31777" s="2498"/>
    </row>
    <row r="31778" spans="16:16">
      <c r="P31778" s="2498"/>
    </row>
    <row r="31779" spans="16:16">
      <c r="P31779" s="2498"/>
    </row>
    <row r="31780" spans="16:16">
      <c r="P31780" s="2498"/>
    </row>
    <row r="31781" spans="16:16">
      <c r="P31781" s="2498"/>
    </row>
    <row r="31782" spans="16:16">
      <c r="P31782" s="2498"/>
    </row>
    <row r="31783" spans="16:16">
      <c r="P31783" s="2498"/>
    </row>
    <row r="31784" spans="16:16">
      <c r="P31784" s="2498"/>
    </row>
    <row r="31785" spans="16:16">
      <c r="P31785" s="2498"/>
    </row>
    <row r="31786" spans="16:16">
      <c r="P31786" s="2498"/>
    </row>
    <row r="31787" spans="16:16">
      <c r="P31787" s="2498"/>
    </row>
    <row r="31788" spans="16:16">
      <c r="P31788" s="2498"/>
    </row>
    <row r="31789" spans="16:16">
      <c r="P31789" s="2498"/>
    </row>
    <row r="31790" spans="16:16">
      <c r="P31790" s="2498"/>
    </row>
    <row r="31791" spans="16:16">
      <c r="P31791" s="2498"/>
    </row>
    <row r="31792" spans="16:16">
      <c r="P31792" s="2498"/>
    </row>
    <row r="31793" spans="16:16">
      <c r="P31793" s="2498"/>
    </row>
    <row r="31794" spans="16:16">
      <c r="P31794" s="2498"/>
    </row>
    <row r="31795" spans="16:16">
      <c r="P31795" s="2498"/>
    </row>
    <row r="31796" spans="16:16">
      <c r="P31796" s="2498"/>
    </row>
    <row r="31797" spans="16:16">
      <c r="P31797" s="2498"/>
    </row>
    <row r="31798" spans="16:16">
      <c r="P31798" s="2498"/>
    </row>
    <row r="31799" spans="16:16">
      <c r="P31799" s="2498"/>
    </row>
    <row r="31800" spans="16:16">
      <c r="P31800" s="2498"/>
    </row>
    <row r="31801" spans="16:16">
      <c r="P31801" s="2498"/>
    </row>
    <row r="31802" spans="16:16">
      <c r="P31802" s="2498"/>
    </row>
    <row r="31803" spans="16:16">
      <c r="P31803" s="2498"/>
    </row>
    <row r="31804" spans="16:16">
      <c r="P31804" s="2498"/>
    </row>
    <row r="31805" spans="16:16">
      <c r="P31805" s="2498"/>
    </row>
    <row r="31806" spans="16:16">
      <c r="P31806" s="2498"/>
    </row>
    <row r="31807" spans="16:16">
      <c r="P31807" s="2498"/>
    </row>
    <row r="31808" spans="16:16">
      <c r="P31808" s="2498"/>
    </row>
    <row r="31809" spans="16:16">
      <c r="P31809" s="2498"/>
    </row>
    <row r="31810" spans="16:16">
      <c r="P31810" s="2498"/>
    </row>
    <row r="31811" spans="16:16">
      <c r="P31811" s="2498"/>
    </row>
    <row r="31812" spans="16:16">
      <c r="P31812" s="2498"/>
    </row>
    <row r="31813" spans="16:16">
      <c r="P31813" s="2498"/>
    </row>
    <row r="31814" spans="16:16">
      <c r="P31814" s="2498"/>
    </row>
    <row r="31815" spans="16:16">
      <c r="P31815" s="2498"/>
    </row>
    <row r="31816" spans="16:16">
      <c r="P31816" s="2498"/>
    </row>
    <row r="31817" spans="16:16">
      <c r="P31817" s="2498"/>
    </row>
    <row r="31818" spans="16:16">
      <c r="P31818" s="2498"/>
    </row>
    <row r="31819" spans="16:16">
      <c r="P31819" s="2498"/>
    </row>
    <row r="31820" spans="16:16">
      <c r="P31820" s="2498"/>
    </row>
    <row r="31821" spans="16:16">
      <c r="P31821" s="2498"/>
    </row>
    <row r="31822" spans="16:16">
      <c r="P31822" s="2498"/>
    </row>
    <row r="31823" spans="16:16">
      <c r="P31823" s="2498"/>
    </row>
    <row r="31824" spans="16:16">
      <c r="P31824" s="2498"/>
    </row>
    <row r="31825" spans="16:16">
      <c r="P31825" s="2498"/>
    </row>
    <row r="31826" spans="16:16">
      <c r="P31826" s="2498"/>
    </row>
    <row r="31827" spans="16:16">
      <c r="P31827" s="2498"/>
    </row>
    <row r="31828" spans="16:16">
      <c r="P31828" s="2498"/>
    </row>
    <row r="31829" spans="16:16">
      <c r="P31829" s="2498"/>
    </row>
    <row r="31830" spans="16:16">
      <c r="P31830" s="2498"/>
    </row>
    <row r="31831" spans="16:16">
      <c r="P31831" s="2498"/>
    </row>
    <row r="31832" spans="16:16">
      <c r="P31832" s="2498"/>
    </row>
    <row r="31833" spans="16:16">
      <c r="P31833" s="2498"/>
    </row>
    <row r="31834" spans="16:16">
      <c r="P31834" s="2498"/>
    </row>
    <row r="31835" spans="16:16">
      <c r="P31835" s="2498"/>
    </row>
    <row r="31836" spans="16:16">
      <c r="P31836" s="2498"/>
    </row>
    <row r="31837" spans="16:16">
      <c r="P31837" s="2498"/>
    </row>
    <row r="31838" spans="16:16">
      <c r="P31838" s="2498"/>
    </row>
    <row r="31839" spans="16:16">
      <c r="P31839" s="2498"/>
    </row>
    <row r="31840" spans="16:16">
      <c r="P31840" s="2498"/>
    </row>
    <row r="31841" spans="16:16">
      <c r="P31841" s="2498"/>
    </row>
    <row r="31842" spans="16:16">
      <c r="P31842" s="2498"/>
    </row>
    <row r="31843" spans="16:16">
      <c r="P31843" s="2498"/>
    </row>
    <row r="31844" spans="16:16">
      <c r="P31844" s="2498"/>
    </row>
    <row r="31845" spans="16:16">
      <c r="P31845" s="2498"/>
    </row>
    <row r="31846" spans="16:16">
      <c r="P31846" s="2498"/>
    </row>
    <row r="31847" spans="16:16">
      <c r="P31847" s="2498"/>
    </row>
    <row r="31848" spans="16:16">
      <c r="P31848" s="2498"/>
    </row>
    <row r="31849" spans="16:16">
      <c r="P31849" s="2498"/>
    </row>
    <row r="31850" spans="16:16">
      <c r="P31850" s="2498"/>
    </row>
    <row r="31851" spans="16:16">
      <c r="P31851" s="2498"/>
    </row>
    <row r="31852" spans="16:16">
      <c r="P31852" s="2498"/>
    </row>
    <row r="31853" spans="16:16">
      <c r="P31853" s="2498"/>
    </row>
    <row r="31854" spans="16:16">
      <c r="P31854" s="2498"/>
    </row>
    <row r="31855" spans="16:16">
      <c r="P31855" s="2498"/>
    </row>
    <row r="31856" spans="16:16">
      <c r="P31856" s="2498"/>
    </row>
    <row r="31857" spans="16:16">
      <c r="P31857" s="2498"/>
    </row>
    <row r="31858" spans="16:16">
      <c r="P31858" s="2498"/>
    </row>
    <row r="31859" spans="16:16">
      <c r="P31859" s="2498"/>
    </row>
    <row r="31860" spans="16:16">
      <c r="P31860" s="2498"/>
    </row>
    <row r="31861" spans="16:16">
      <c r="P31861" s="2498"/>
    </row>
    <row r="31862" spans="16:16">
      <c r="P31862" s="2498"/>
    </row>
    <row r="31863" spans="16:16">
      <c r="P31863" s="2498"/>
    </row>
    <row r="31864" spans="16:16">
      <c r="P31864" s="2498"/>
    </row>
    <row r="31865" spans="16:16">
      <c r="P31865" s="2498"/>
    </row>
    <row r="31866" spans="16:16">
      <c r="P31866" s="2498"/>
    </row>
    <row r="31867" spans="16:16">
      <c r="P31867" s="2498"/>
    </row>
    <row r="31868" spans="16:16">
      <c r="P31868" s="2498"/>
    </row>
    <row r="31869" spans="16:16">
      <c r="P31869" s="2498"/>
    </row>
    <row r="31870" spans="16:16">
      <c r="P31870" s="2498"/>
    </row>
    <row r="31871" spans="16:16">
      <c r="P31871" s="2498"/>
    </row>
    <row r="31872" spans="16:16">
      <c r="P31872" s="2498"/>
    </row>
    <row r="31873" spans="16:16">
      <c r="P31873" s="2498"/>
    </row>
    <row r="31874" spans="16:16">
      <c r="P31874" s="2498"/>
    </row>
    <row r="31875" spans="16:16">
      <c r="P31875" s="2498"/>
    </row>
    <row r="31876" spans="16:16">
      <c r="P31876" s="2498"/>
    </row>
    <row r="31877" spans="16:16">
      <c r="P31877" s="2498"/>
    </row>
    <row r="31878" spans="16:16">
      <c r="P31878" s="2498"/>
    </row>
    <row r="31879" spans="16:16">
      <c r="P31879" s="2498"/>
    </row>
    <row r="31880" spans="16:16">
      <c r="P31880" s="2498"/>
    </row>
    <row r="31881" spans="16:16">
      <c r="P31881" s="2498"/>
    </row>
    <row r="31882" spans="16:16">
      <c r="P31882" s="2498"/>
    </row>
    <row r="31883" spans="16:16">
      <c r="P31883" s="2498"/>
    </row>
    <row r="31884" spans="16:16">
      <c r="P31884" s="2498"/>
    </row>
    <row r="31885" spans="16:16">
      <c r="P31885" s="2498"/>
    </row>
    <row r="31886" spans="16:16">
      <c r="P31886" s="2498"/>
    </row>
    <row r="31887" spans="16:16">
      <c r="P31887" s="2498"/>
    </row>
    <row r="31888" spans="16:16">
      <c r="P31888" s="2498"/>
    </row>
    <row r="31889" spans="16:16">
      <c r="P31889" s="2498"/>
    </row>
    <row r="31890" spans="16:16">
      <c r="P31890" s="2498"/>
    </row>
    <row r="31891" spans="16:16">
      <c r="P31891" s="2498"/>
    </row>
    <row r="31892" spans="16:16">
      <c r="P31892" s="2498"/>
    </row>
    <row r="31893" spans="16:16">
      <c r="P31893" s="2498"/>
    </row>
    <row r="31894" spans="16:16">
      <c r="P31894" s="2498"/>
    </row>
    <row r="31895" spans="16:16">
      <c r="P31895" s="2498"/>
    </row>
    <row r="31896" spans="16:16">
      <c r="P31896" s="2498"/>
    </row>
    <row r="31897" spans="16:16">
      <c r="P31897" s="2498"/>
    </row>
    <row r="31898" spans="16:16">
      <c r="P31898" s="2498"/>
    </row>
    <row r="31899" spans="16:16">
      <c r="P31899" s="2498"/>
    </row>
    <row r="31900" spans="16:16">
      <c r="P31900" s="2498"/>
    </row>
    <row r="31901" spans="16:16">
      <c r="P31901" s="2498"/>
    </row>
    <row r="31902" spans="16:16">
      <c r="P31902" s="2498"/>
    </row>
    <row r="31903" spans="16:16">
      <c r="P31903" s="2498"/>
    </row>
    <row r="31904" spans="16:16">
      <c r="P31904" s="2498"/>
    </row>
    <row r="31905" spans="16:16">
      <c r="P31905" s="2498"/>
    </row>
    <row r="31906" spans="16:16">
      <c r="P31906" s="2498"/>
    </row>
    <row r="31907" spans="16:16">
      <c r="P31907" s="2498"/>
    </row>
    <row r="31908" spans="16:16">
      <c r="P31908" s="2498"/>
    </row>
    <row r="31909" spans="16:16">
      <c r="P31909" s="2498"/>
    </row>
    <row r="31910" spans="16:16">
      <c r="P31910" s="2498"/>
    </row>
    <row r="31911" spans="16:16">
      <c r="P31911" s="2498"/>
    </row>
    <row r="31912" spans="16:16">
      <c r="P31912" s="2498"/>
    </row>
    <row r="31913" spans="16:16">
      <c r="P31913" s="2498"/>
    </row>
    <row r="31914" spans="16:16">
      <c r="P31914" s="2498"/>
    </row>
    <row r="31915" spans="16:16">
      <c r="P31915" s="2498"/>
    </row>
    <row r="31916" spans="16:16">
      <c r="P31916" s="2498"/>
    </row>
    <row r="31917" spans="16:16">
      <c r="P31917" s="2498"/>
    </row>
    <row r="31918" spans="16:16">
      <c r="P31918" s="2498"/>
    </row>
    <row r="31919" spans="16:16">
      <c r="P31919" s="2498"/>
    </row>
    <row r="31920" spans="16:16">
      <c r="P31920" s="2498"/>
    </row>
    <row r="31921" spans="16:16">
      <c r="P31921" s="2498"/>
    </row>
    <row r="31922" spans="16:16">
      <c r="P31922" s="2498"/>
    </row>
    <row r="31923" spans="16:16">
      <c r="P31923" s="2498"/>
    </row>
    <row r="31924" spans="16:16">
      <c r="P31924" s="2498"/>
    </row>
    <row r="31925" spans="16:16">
      <c r="P31925" s="2498"/>
    </row>
    <row r="31926" spans="16:16">
      <c r="P31926" s="2498"/>
    </row>
    <row r="31927" spans="16:16">
      <c r="P31927" s="2498"/>
    </row>
    <row r="31928" spans="16:16">
      <c r="P31928" s="2498"/>
    </row>
    <row r="31929" spans="16:16">
      <c r="P31929" s="2498"/>
    </row>
    <row r="31930" spans="16:16">
      <c r="P31930" s="2498"/>
    </row>
    <row r="31931" spans="16:16">
      <c r="P31931" s="2498"/>
    </row>
    <row r="31932" spans="16:16">
      <c r="P31932" s="2498"/>
    </row>
    <row r="31933" spans="16:16">
      <c r="P31933" s="2498"/>
    </row>
    <row r="31934" spans="16:16">
      <c r="P31934" s="2498"/>
    </row>
    <row r="31935" spans="16:16">
      <c r="P31935" s="2498"/>
    </row>
    <row r="31936" spans="16:16">
      <c r="P31936" s="2498"/>
    </row>
    <row r="31937" spans="16:16">
      <c r="P31937" s="2498"/>
    </row>
    <row r="31938" spans="16:16">
      <c r="P31938" s="2498"/>
    </row>
    <row r="31939" spans="16:16">
      <c r="P31939" s="2498"/>
    </row>
    <row r="31940" spans="16:16">
      <c r="P31940" s="2498"/>
    </row>
    <row r="31941" spans="16:16">
      <c r="P31941" s="2498"/>
    </row>
    <row r="31942" spans="16:16">
      <c r="P31942" s="2498"/>
    </row>
    <row r="31943" spans="16:16">
      <c r="P31943" s="2498"/>
    </row>
    <row r="31944" spans="16:16">
      <c r="P31944" s="2498"/>
    </row>
    <row r="31945" spans="16:16">
      <c r="P31945" s="2498"/>
    </row>
    <row r="31946" spans="16:16">
      <c r="P31946" s="2498"/>
    </row>
    <row r="31947" spans="16:16">
      <c r="P31947" s="2498"/>
    </row>
    <row r="31948" spans="16:16">
      <c r="P31948" s="2498"/>
    </row>
    <row r="31949" spans="16:16">
      <c r="P31949" s="2498"/>
    </row>
    <row r="31950" spans="16:16">
      <c r="P31950" s="2498"/>
    </row>
    <row r="31951" spans="16:16">
      <c r="P31951" s="2498"/>
    </row>
    <row r="31952" spans="16:16">
      <c r="P31952" s="2498"/>
    </row>
    <row r="31953" spans="16:16">
      <c r="P31953" s="2498"/>
    </row>
    <row r="31954" spans="16:16">
      <c r="P31954" s="2498"/>
    </row>
    <row r="31955" spans="16:16">
      <c r="P31955" s="2498"/>
    </row>
    <row r="31956" spans="16:16">
      <c r="P31956" s="2498"/>
    </row>
    <row r="31957" spans="16:16">
      <c r="P31957" s="2498"/>
    </row>
    <row r="31958" spans="16:16">
      <c r="P31958" s="2498"/>
    </row>
    <row r="31959" spans="16:16">
      <c r="P31959" s="2498"/>
    </row>
    <row r="31960" spans="16:16">
      <c r="P31960" s="2498"/>
    </row>
    <row r="31961" spans="16:16">
      <c r="P31961" s="2498"/>
    </row>
    <row r="31962" spans="16:16">
      <c r="P31962" s="2498"/>
    </row>
    <row r="31963" spans="16:16">
      <c r="P31963" s="2498"/>
    </row>
    <row r="31964" spans="16:16">
      <c r="P31964" s="2498"/>
    </row>
    <row r="31965" spans="16:16">
      <c r="P31965" s="2498"/>
    </row>
    <row r="31966" spans="16:16">
      <c r="P31966" s="2498"/>
    </row>
    <row r="31967" spans="16:16">
      <c r="P31967" s="2498"/>
    </row>
    <row r="31968" spans="16:16">
      <c r="P31968" s="2498"/>
    </row>
    <row r="31969" spans="16:16">
      <c r="P31969" s="2498"/>
    </row>
    <row r="31970" spans="16:16">
      <c r="P31970" s="2498"/>
    </row>
    <row r="31971" spans="16:16">
      <c r="P31971" s="2498"/>
    </row>
    <row r="31972" spans="16:16">
      <c r="P31972" s="2498"/>
    </row>
    <row r="31973" spans="16:16">
      <c r="P31973" s="2498"/>
    </row>
    <row r="31974" spans="16:16">
      <c r="P31974" s="2498"/>
    </row>
    <row r="31975" spans="16:16">
      <c r="P31975" s="2498"/>
    </row>
    <row r="31976" spans="16:16">
      <c r="P31976" s="2498"/>
    </row>
    <row r="31977" spans="16:16">
      <c r="P31977" s="2498"/>
    </row>
    <row r="31978" spans="16:16">
      <c r="P31978" s="2498"/>
    </row>
    <row r="31979" spans="16:16">
      <c r="P31979" s="2498"/>
    </row>
    <row r="31980" spans="16:16">
      <c r="P31980" s="2498"/>
    </row>
    <row r="31981" spans="16:16">
      <c r="P31981" s="2498"/>
    </row>
    <row r="31982" spans="16:16">
      <c r="P31982" s="2498"/>
    </row>
    <row r="31983" spans="16:16">
      <c r="P31983" s="2498"/>
    </row>
    <row r="31984" spans="16:16">
      <c r="P31984" s="2498"/>
    </row>
    <row r="31985" spans="16:16">
      <c r="P31985" s="2498"/>
    </row>
    <row r="31986" spans="16:16">
      <c r="P31986" s="2498"/>
    </row>
    <row r="31987" spans="16:16">
      <c r="P31987" s="2498"/>
    </row>
    <row r="31988" spans="16:16">
      <c r="P31988" s="2498"/>
    </row>
    <row r="31989" spans="16:16">
      <c r="P31989" s="2498"/>
    </row>
    <row r="31990" spans="16:16">
      <c r="P31990" s="2498"/>
    </row>
    <row r="31991" spans="16:16">
      <c r="P31991" s="2498"/>
    </row>
    <row r="31992" spans="16:16">
      <c r="P31992" s="2498"/>
    </row>
    <row r="31993" spans="16:16">
      <c r="P31993" s="2498"/>
    </row>
    <row r="31994" spans="16:16">
      <c r="P31994" s="2498"/>
    </row>
    <row r="31995" spans="16:16">
      <c r="P31995" s="2498"/>
    </row>
    <row r="31996" spans="16:16">
      <c r="P31996" s="2498"/>
    </row>
    <row r="31997" spans="16:16">
      <c r="P31997" s="2498"/>
    </row>
    <row r="31998" spans="16:16">
      <c r="P31998" s="2498"/>
    </row>
    <row r="31999" spans="16:16">
      <c r="P31999" s="2498"/>
    </row>
    <row r="32000" spans="16:16">
      <c r="P32000" s="2498"/>
    </row>
    <row r="32001" spans="16:16">
      <c r="P32001" s="2498"/>
    </row>
    <row r="32002" spans="16:16">
      <c r="P32002" s="2498"/>
    </row>
    <row r="32003" spans="16:16">
      <c r="P32003" s="2498"/>
    </row>
    <row r="32004" spans="16:16">
      <c r="P32004" s="2498"/>
    </row>
    <row r="32005" spans="16:16">
      <c r="P32005" s="2498"/>
    </row>
    <row r="32006" spans="16:16">
      <c r="P32006" s="2498"/>
    </row>
    <row r="32007" spans="16:16">
      <c r="P32007" s="2498"/>
    </row>
    <row r="32008" spans="16:16">
      <c r="P32008" s="2498"/>
    </row>
    <row r="32009" spans="16:16">
      <c r="P32009" s="2498"/>
    </row>
    <row r="32010" spans="16:16">
      <c r="P32010" s="2498"/>
    </row>
    <row r="32011" spans="16:16">
      <c r="P32011" s="2498"/>
    </row>
    <row r="32012" spans="16:16">
      <c r="P32012" s="2498"/>
    </row>
    <row r="32013" spans="16:16">
      <c r="P32013" s="2498"/>
    </row>
    <row r="32014" spans="16:16">
      <c r="P32014" s="2498"/>
    </row>
    <row r="32015" spans="16:16">
      <c r="P32015" s="2498"/>
    </row>
    <row r="32016" spans="16:16">
      <c r="P32016" s="2498"/>
    </row>
    <row r="32017" spans="16:16">
      <c r="P32017" s="2498"/>
    </row>
    <row r="32018" spans="16:16">
      <c r="P32018" s="2498"/>
    </row>
    <row r="32019" spans="16:16">
      <c r="P32019" s="2498"/>
    </row>
    <row r="32020" spans="16:16">
      <c r="P32020" s="2498"/>
    </row>
    <row r="32021" spans="16:16">
      <c r="P32021" s="2498"/>
    </row>
    <row r="32022" spans="16:16">
      <c r="P32022" s="2498"/>
    </row>
    <row r="32023" spans="16:16">
      <c r="P32023" s="2498"/>
    </row>
    <row r="32024" spans="16:16">
      <c r="P32024" s="2498"/>
    </row>
    <row r="32025" spans="16:16">
      <c r="P32025" s="2498"/>
    </row>
    <row r="32026" spans="16:16">
      <c r="P32026" s="2498"/>
    </row>
    <row r="32027" spans="16:16">
      <c r="P32027" s="2498"/>
    </row>
    <row r="32028" spans="16:16">
      <c r="P32028" s="2498"/>
    </row>
    <row r="32029" spans="16:16">
      <c r="P32029" s="2498"/>
    </row>
    <row r="32030" spans="16:16">
      <c r="P32030" s="2498"/>
    </row>
    <row r="32031" spans="16:16">
      <c r="P32031" s="2498"/>
    </row>
    <row r="32032" spans="16:16">
      <c r="P32032" s="2498"/>
    </row>
    <row r="32033" spans="16:16">
      <c r="P32033" s="2498"/>
    </row>
    <row r="32034" spans="16:16">
      <c r="P32034" s="2498"/>
    </row>
    <row r="32035" spans="16:16">
      <c r="P32035" s="2498"/>
    </row>
    <row r="32036" spans="16:16">
      <c r="P32036" s="2498"/>
    </row>
    <row r="32037" spans="16:16">
      <c r="P32037" s="2498"/>
    </row>
    <row r="32038" spans="16:16">
      <c r="P32038" s="2498"/>
    </row>
    <row r="32039" spans="16:16">
      <c r="P32039" s="2498"/>
    </row>
    <row r="32040" spans="16:16">
      <c r="P32040" s="2498"/>
    </row>
    <row r="32041" spans="16:16">
      <c r="P32041" s="2498"/>
    </row>
    <row r="32042" spans="16:16">
      <c r="P32042" s="2498"/>
    </row>
    <row r="32043" spans="16:16">
      <c r="P32043" s="2498"/>
    </row>
    <row r="32044" spans="16:16">
      <c r="P32044" s="2498"/>
    </row>
    <row r="32045" spans="16:16">
      <c r="P32045" s="2498"/>
    </row>
    <row r="32046" spans="16:16">
      <c r="P32046" s="2498"/>
    </row>
    <row r="32047" spans="16:16">
      <c r="P32047" s="2498"/>
    </row>
    <row r="32048" spans="16:16">
      <c r="P32048" s="2498"/>
    </row>
    <row r="32049" spans="16:16">
      <c r="P32049" s="2498"/>
    </row>
    <row r="32050" spans="16:16">
      <c r="P32050" s="2498"/>
    </row>
    <row r="32051" spans="16:16">
      <c r="P32051" s="2498"/>
    </row>
    <row r="32052" spans="16:16">
      <c r="P32052" s="2498"/>
    </row>
    <row r="32053" spans="16:16">
      <c r="P32053" s="2498"/>
    </row>
    <row r="32054" spans="16:16">
      <c r="P32054" s="2498"/>
    </row>
    <row r="32055" spans="16:16">
      <c r="P32055" s="2498"/>
    </row>
    <row r="32056" spans="16:16">
      <c r="P32056" s="2498"/>
    </row>
    <row r="32057" spans="16:16">
      <c r="P32057" s="2498"/>
    </row>
    <row r="32058" spans="16:16">
      <c r="P32058" s="2498"/>
    </row>
    <row r="32059" spans="16:16">
      <c r="P32059" s="2498"/>
    </row>
    <row r="32060" spans="16:16">
      <c r="P32060" s="2498"/>
    </row>
    <row r="32061" spans="16:16">
      <c r="P32061" s="2498"/>
    </row>
    <row r="32062" spans="16:16">
      <c r="P32062" s="2498"/>
    </row>
    <row r="32063" spans="16:16">
      <c r="P32063" s="2498"/>
    </row>
    <row r="32064" spans="16:16">
      <c r="P32064" s="2498"/>
    </row>
    <row r="32065" spans="16:16">
      <c r="P32065" s="2498"/>
    </row>
    <row r="32066" spans="16:16">
      <c r="P32066" s="2498"/>
    </row>
    <row r="32067" spans="16:16">
      <c r="P32067" s="2498"/>
    </row>
    <row r="32068" spans="16:16">
      <c r="P32068" s="2498"/>
    </row>
    <row r="32069" spans="16:16">
      <c r="P32069" s="2498"/>
    </row>
    <row r="32070" spans="16:16">
      <c r="P32070" s="2498"/>
    </row>
    <row r="32071" spans="16:16">
      <c r="P32071" s="2498"/>
    </row>
    <row r="32072" spans="16:16">
      <c r="P32072" s="2498"/>
    </row>
    <row r="32073" spans="16:16">
      <c r="P32073" s="2498"/>
    </row>
    <row r="32074" spans="16:16">
      <c r="P32074" s="2498"/>
    </row>
    <row r="32075" spans="16:16">
      <c r="P32075" s="2498"/>
    </row>
    <row r="32076" spans="16:16">
      <c r="P32076" s="2498"/>
    </row>
    <row r="32077" spans="16:16">
      <c r="P32077" s="2498"/>
    </row>
    <row r="32078" spans="16:16">
      <c r="P32078" s="2498"/>
    </row>
    <row r="32079" spans="16:16">
      <c r="P32079" s="2498"/>
    </row>
    <row r="32080" spans="16:16">
      <c r="P32080" s="2498"/>
    </row>
    <row r="32081" spans="16:16">
      <c r="P32081" s="2498"/>
    </row>
    <row r="32082" spans="16:16">
      <c r="P32082" s="2498"/>
    </row>
    <row r="32083" spans="16:16">
      <c r="P32083" s="2498"/>
    </row>
    <row r="32084" spans="16:16">
      <c r="P32084" s="2498"/>
    </row>
    <row r="32085" spans="16:16">
      <c r="P32085" s="2498"/>
    </row>
    <row r="32086" spans="16:16">
      <c r="P32086" s="2498"/>
    </row>
    <row r="32087" spans="16:16">
      <c r="P32087" s="2498"/>
    </row>
    <row r="32088" spans="16:16">
      <c r="P32088" s="2498"/>
    </row>
    <row r="32089" spans="16:16">
      <c r="P32089" s="2498"/>
    </row>
    <row r="32090" spans="16:16">
      <c r="P32090" s="2498"/>
    </row>
    <row r="32091" spans="16:16">
      <c r="P32091" s="2498"/>
    </row>
    <row r="32092" spans="16:16">
      <c r="P32092" s="2498"/>
    </row>
    <row r="32093" spans="16:16">
      <c r="P32093" s="2498"/>
    </row>
    <row r="32094" spans="16:16">
      <c r="P32094" s="2498"/>
    </row>
    <row r="32095" spans="16:16">
      <c r="P32095" s="2498"/>
    </row>
    <row r="32096" spans="16:16">
      <c r="P32096" s="2498"/>
    </row>
    <row r="32097" spans="16:16">
      <c r="P32097" s="2498"/>
    </row>
    <row r="32098" spans="16:16">
      <c r="P32098" s="2498"/>
    </row>
    <row r="32099" spans="16:16">
      <c r="P32099" s="2498"/>
    </row>
    <row r="32100" spans="16:16">
      <c r="P32100" s="2498"/>
    </row>
    <row r="32101" spans="16:16">
      <c r="P32101" s="2498"/>
    </row>
    <row r="32102" spans="16:16">
      <c r="P32102" s="2498"/>
    </row>
    <row r="32103" spans="16:16">
      <c r="P32103" s="2498"/>
    </row>
    <row r="32104" spans="16:16">
      <c r="P32104" s="2498"/>
    </row>
    <row r="32105" spans="16:16">
      <c r="P32105" s="2498"/>
    </row>
    <row r="32106" spans="16:16">
      <c r="P32106" s="2498"/>
    </row>
    <row r="32107" spans="16:16">
      <c r="P32107" s="2498"/>
    </row>
    <row r="32108" spans="16:16">
      <c r="P32108" s="2498"/>
    </row>
    <row r="32109" spans="16:16">
      <c r="P32109" s="2498"/>
    </row>
    <row r="32110" spans="16:16">
      <c r="P32110" s="2498"/>
    </row>
    <row r="32111" spans="16:16">
      <c r="P32111" s="2498"/>
    </row>
    <row r="32112" spans="16:16">
      <c r="P32112" s="2498"/>
    </row>
    <row r="32113" spans="16:16">
      <c r="P32113" s="2498"/>
    </row>
    <row r="32114" spans="16:16">
      <c r="P32114" s="2498"/>
    </row>
    <row r="32115" spans="16:16">
      <c r="P32115" s="2498"/>
    </row>
    <row r="32116" spans="16:16">
      <c r="P32116" s="2498"/>
    </row>
    <row r="32117" spans="16:16">
      <c r="P32117" s="2498"/>
    </row>
    <row r="32118" spans="16:16">
      <c r="P32118" s="2498"/>
    </row>
    <row r="32119" spans="16:16">
      <c r="P32119" s="2498"/>
    </row>
    <row r="32120" spans="16:16">
      <c r="P32120" s="2498"/>
    </row>
    <row r="32121" spans="16:16">
      <c r="P32121" s="2498"/>
    </row>
    <row r="32122" spans="16:16">
      <c r="P32122" s="2498"/>
    </row>
    <row r="32123" spans="16:16">
      <c r="P32123" s="2498"/>
    </row>
    <row r="32124" spans="16:16">
      <c r="P32124" s="2498"/>
    </row>
    <row r="32125" spans="16:16">
      <c r="P32125" s="2498"/>
    </row>
    <row r="32126" spans="16:16">
      <c r="P32126" s="2498"/>
    </row>
    <row r="32127" spans="16:16">
      <c r="P32127" s="2498"/>
    </row>
    <row r="32128" spans="16:16">
      <c r="P32128" s="2498"/>
    </row>
    <row r="32129" spans="16:16">
      <c r="P32129" s="2498"/>
    </row>
    <row r="32130" spans="16:16">
      <c r="P32130" s="2498"/>
    </row>
    <row r="32131" spans="16:16">
      <c r="P32131" s="2498"/>
    </row>
    <row r="32132" spans="16:16">
      <c r="P32132" s="2498"/>
    </row>
    <row r="32133" spans="16:16">
      <c r="P32133" s="2498"/>
    </row>
    <row r="32134" spans="16:16">
      <c r="P32134" s="2498"/>
    </row>
    <row r="32135" spans="16:16">
      <c r="P32135" s="2498"/>
    </row>
    <row r="32136" spans="16:16">
      <c r="P32136" s="2498"/>
    </row>
    <row r="32137" spans="16:16">
      <c r="P32137" s="2498"/>
    </row>
    <row r="32138" spans="16:16">
      <c r="P32138" s="2498"/>
    </row>
    <row r="32139" spans="16:16">
      <c r="P32139" s="2498"/>
    </row>
    <row r="32140" spans="16:16">
      <c r="P32140" s="2498"/>
    </row>
    <row r="32141" spans="16:16">
      <c r="P32141" s="2498"/>
    </row>
    <row r="32142" spans="16:16">
      <c r="P32142" s="2498"/>
    </row>
    <row r="32143" spans="16:16">
      <c r="P32143" s="2498"/>
    </row>
    <row r="32144" spans="16:16">
      <c r="P32144" s="2498"/>
    </row>
    <row r="32145" spans="16:16">
      <c r="P32145" s="2498"/>
    </row>
    <row r="32146" spans="16:16">
      <c r="P32146" s="2498"/>
    </row>
    <row r="32147" spans="16:16">
      <c r="P32147" s="2498"/>
    </row>
    <row r="32148" spans="16:16">
      <c r="P32148" s="2498"/>
    </row>
    <row r="32149" spans="16:16">
      <c r="P32149" s="2498"/>
    </row>
    <row r="32150" spans="16:16">
      <c r="P32150" s="2498"/>
    </row>
    <row r="32151" spans="16:16">
      <c r="P32151" s="2498"/>
    </row>
    <row r="32152" spans="16:16">
      <c r="P32152" s="2498"/>
    </row>
    <row r="32153" spans="16:16">
      <c r="P32153" s="2498"/>
    </row>
    <row r="32154" spans="16:16">
      <c r="P32154" s="2498"/>
    </row>
    <row r="32155" spans="16:16">
      <c r="P32155" s="2498"/>
    </row>
    <row r="32156" spans="16:16">
      <c r="P32156" s="2498"/>
    </row>
    <row r="32157" spans="16:16">
      <c r="P32157" s="2498"/>
    </row>
    <row r="32158" spans="16:16">
      <c r="P32158" s="2498"/>
    </row>
    <row r="32159" spans="16:16">
      <c r="P32159" s="2498"/>
    </row>
    <row r="32160" spans="16:16">
      <c r="P32160" s="2498"/>
    </row>
    <row r="32161" spans="16:16">
      <c r="P32161" s="2498"/>
    </row>
    <row r="32162" spans="16:16">
      <c r="P32162" s="2498"/>
    </row>
    <row r="32163" spans="16:16">
      <c r="P32163" s="2498"/>
    </row>
    <row r="32164" spans="16:16">
      <c r="P32164" s="2498"/>
    </row>
    <row r="32165" spans="16:16">
      <c r="P32165" s="2498"/>
    </row>
    <row r="32166" spans="16:16">
      <c r="P32166" s="2498"/>
    </row>
    <row r="32167" spans="16:16">
      <c r="P32167" s="2498"/>
    </row>
    <row r="32168" spans="16:16">
      <c r="P32168" s="2498"/>
    </row>
    <row r="32169" spans="16:16">
      <c r="P32169" s="2498"/>
    </row>
    <row r="32170" spans="16:16">
      <c r="P32170" s="2498"/>
    </row>
    <row r="32171" spans="16:16">
      <c r="P32171" s="2498"/>
    </row>
    <row r="32172" spans="16:16">
      <c r="P32172" s="2498"/>
    </row>
    <row r="32173" spans="16:16">
      <c r="P32173" s="2498"/>
    </row>
    <row r="32174" spans="16:16">
      <c r="P32174" s="2498"/>
    </row>
    <row r="32175" spans="16:16">
      <c r="P32175" s="2498"/>
    </row>
    <row r="32176" spans="16:16">
      <c r="P32176" s="2498"/>
    </row>
    <row r="32177" spans="16:16">
      <c r="P32177" s="2498"/>
    </row>
    <row r="32178" spans="16:16">
      <c r="P32178" s="2498"/>
    </row>
    <row r="32179" spans="16:16">
      <c r="P32179" s="2498"/>
    </row>
    <row r="32180" spans="16:16">
      <c r="P32180" s="2498"/>
    </row>
    <row r="32181" spans="16:16">
      <c r="P32181" s="2498"/>
    </row>
    <row r="32182" spans="16:16">
      <c r="P32182" s="2498"/>
    </row>
    <row r="32183" spans="16:16">
      <c r="P32183" s="2498"/>
    </row>
    <row r="32184" spans="16:16">
      <c r="P32184" s="2498"/>
    </row>
    <row r="32185" spans="16:16">
      <c r="P32185" s="2498"/>
    </row>
    <row r="32186" spans="16:16">
      <c r="P32186" s="2498"/>
    </row>
    <row r="32187" spans="16:16">
      <c r="P32187" s="2498"/>
    </row>
    <row r="32188" spans="16:16">
      <c r="P32188" s="2498"/>
    </row>
    <row r="32189" spans="16:16">
      <c r="P32189" s="2498"/>
    </row>
    <row r="32190" spans="16:16">
      <c r="P32190" s="2498"/>
    </row>
    <row r="32191" spans="16:16">
      <c r="P32191" s="2498"/>
    </row>
    <row r="32192" spans="16:16">
      <c r="P32192" s="2498"/>
    </row>
    <row r="32193" spans="16:16">
      <c r="P32193" s="2498"/>
    </row>
    <row r="32194" spans="16:16">
      <c r="P32194" s="2498"/>
    </row>
    <row r="32195" spans="16:16">
      <c r="P32195" s="2498"/>
    </row>
    <row r="32196" spans="16:16">
      <c r="P32196" s="2498"/>
    </row>
    <row r="32197" spans="16:16">
      <c r="P32197" s="2498"/>
    </row>
    <row r="32198" spans="16:16">
      <c r="P32198" s="2498"/>
    </row>
    <row r="32199" spans="16:16">
      <c r="P32199" s="2498"/>
    </row>
    <row r="32200" spans="16:16">
      <c r="P32200" s="2498"/>
    </row>
    <row r="32201" spans="16:16">
      <c r="P32201" s="2498"/>
    </row>
    <row r="32202" spans="16:16">
      <c r="P32202" s="2498"/>
    </row>
    <row r="32203" spans="16:16">
      <c r="P32203" s="2498"/>
    </row>
    <row r="32204" spans="16:16">
      <c r="P32204" s="2498"/>
    </row>
    <row r="32205" spans="16:16">
      <c r="P32205" s="2498"/>
    </row>
    <row r="32206" spans="16:16">
      <c r="P32206" s="2498"/>
    </row>
    <row r="32207" spans="16:16">
      <c r="P32207" s="2498"/>
    </row>
    <row r="32208" spans="16:16">
      <c r="P32208" s="2498"/>
    </row>
    <row r="32209" spans="16:16">
      <c r="P32209" s="2498"/>
    </row>
    <row r="32210" spans="16:16">
      <c r="P32210" s="2498"/>
    </row>
    <row r="32211" spans="16:16">
      <c r="P32211" s="2498"/>
    </row>
    <row r="32212" spans="16:16">
      <c r="P32212" s="2498"/>
    </row>
    <row r="32213" spans="16:16">
      <c r="P32213" s="2498"/>
    </row>
    <row r="32214" spans="16:16">
      <c r="P32214" s="2498"/>
    </row>
    <row r="32215" spans="16:16">
      <c r="P32215" s="2498"/>
    </row>
    <row r="32216" spans="16:16">
      <c r="P32216" s="2498"/>
    </row>
    <row r="32217" spans="16:16">
      <c r="P32217" s="2498"/>
    </row>
    <row r="32218" spans="16:16">
      <c r="P32218" s="2498"/>
    </row>
    <row r="32219" spans="16:16">
      <c r="P32219" s="2498"/>
    </row>
    <row r="32220" spans="16:16">
      <c r="P32220" s="2498"/>
    </row>
    <row r="32221" spans="16:16">
      <c r="P32221" s="2498"/>
    </row>
    <row r="32222" spans="16:16">
      <c r="P32222" s="2498"/>
    </row>
    <row r="32223" spans="16:16">
      <c r="P32223" s="2498"/>
    </row>
    <row r="32224" spans="16:16">
      <c r="P32224" s="2498"/>
    </row>
    <row r="32225" spans="16:16">
      <c r="P32225" s="2498"/>
    </row>
    <row r="32226" spans="16:16">
      <c r="P32226" s="2498"/>
    </row>
    <row r="32227" spans="16:16">
      <c r="P32227" s="2498"/>
    </row>
    <row r="32228" spans="16:16">
      <c r="P32228" s="2498"/>
    </row>
    <row r="32229" spans="16:16">
      <c r="P32229" s="2498"/>
    </row>
    <row r="32230" spans="16:16">
      <c r="P32230" s="2498"/>
    </row>
    <row r="32231" spans="16:16">
      <c r="P32231" s="2498"/>
    </row>
    <row r="32232" spans="16:16">
      <c r="P32232" s="2498"/>
    </row>
    <row r="32233" spans="16:16">
      <c r="P32233" s="2498"/>
    </row>
    <row r="32234" spans="16:16">
      <c r="P32234" s="2498"/>
    </row>
    <row r="32235" spans="16:16">
      <c r="P32235" s="2498"/>
    </row>
    <row r="32236" spans="16:16">
      <c r="P32236" s="2498"/>
    </row>
    <row r="32237" spans="16:16">
      <c r="P32237" s="2498"/>
    </row>
    <row r="32238" spans="16:16">
      <c r="P32238" s="2498"/>
    </row>
    <row r="32239" spans="16:16">
      <c r="P32239" s="2498"/>
    </row>
    <row r="32240" spans="16:16">
      <c r="P32240" s="2498"/>
    </row>
    <row r="32241" spans="16:16">
      <c r="P32241" s="2498"/>
    </row>
    <row r="32242" spans="16:16">
      <c r="P32242" s="2498"/>
    </row>
    <row r="32243" spans="16:16">
      <c r="P32243" s="2498"/>
    </row>
    <row r="32244" spans="16:16">
      <c r="P32244" s="2498"/>
    </row>
    <row r="32245" spans="16:16">
      <c r="P32245" s="2498"/>
    </row>
    <row r="32246" spans="16:16">
      <c r="P32246" s="2498"/>
    </row>
    <row r="32247" spans="16:16">
      <c r="P32247" s="2498"/>
    </row>
    <row r="32248" spans="16:16">
      <c r="P32248" s="2498"/>
    </row>
    <row r="32249" spans="16:16">
      <c r="P32249" s="2498"/>
    </row>
    <row r="32250" spans="16:16">
      <c r="P32250" s="2498"/>
    </row>
    <row r="32251" spans="16:16">
      <c r="P32251" s="2498"/>
    </row>
    <row r="32252" spans="16:16">
      <c r="P32252" s="2498"/>
    </row>
    <row r="32253" spans="16:16">
      <c r="P32253" s="2498"/>
    </row>
    <row r="32254" spans="16:16">
      <c r="P32254" s="2498"/>
    </row>
    <row r="32255" spans="16:16">
      <c r="P32255" s="2498"/>
    </row>
    <row r="32256" spans="16:16">
      <c r="P32256" s="2498"/>
    </row>
    <row r="32257" spans="16:16">
      <c r="P32257" s="2498"/>
    </row>
    <row r="32258" spans="16:16">
      <c r="P32258" s="2498"/>
    </row>
    <row r="32259" spans="16:16">
      <c r="P32259" s="2498"/>
    </row>
    <row r="32260" spans="16:16">
      <c r="P32260" s="2498"/>
    </row>
    <row r="32261" spans="16:16">
      <c r="P32261" s="2498"/>
    </row>
    <row r="32262" spans="16:16">
      <c r="P32262" s="2498"/>
    </row>
    <row r="32263" spans="16:16">
      <c r="P32263" s="2498"/>
    </row>
    <row r="32264" spans="16:16">
      <c r="P32264" s="2498"/>
    </row>
    <row r="32265" spans="16:16">
      <c r="P32265" s="2498"/>
    </row>
    <row r="32266" spans="16:16">
      <c r="P32266" s="2498"/>
    </row>
    <row r="32267" spans="16:16">
      <c r="P32267" s="2498"/>
    </row>
    <row r="32268" spans="16:16">
      <c r="P32268" s="2498"/>
    </row>
    <row r="32269" spans="16:16">
      <c r="P32269" s="2498"/>
    </row>
    <row r="32270" spans="16:16">
      <c r="P32270" s="2498"/>
    </row>
    <row r="32271" spans="16:16">
      <c r="P32271" s="2498"/>
    </row>
    <row r="32272" spans="16:16">
      <c r="P32272" s="2498"/>
    </row>
    <row r="32273" spans="16:16">
      <c r="P32273" s="2498"/>
    </row>
    <row r="32274" spans="16:16">
      <c r="P32274" s="2498"/>
    </row>
    <row r="32275" spans="16:16">
      <c r="P32275" s="2498"/>
    </row>
    <row r="32276" spans="16:16">
      <c r="P32276" s="2498"/>
    </row>
    <row r="32277" spans="16:16">
      <c r="P32277" s="2498"/>
    </row>
    <row r="32278" spans="16:16">
      <c r="P32278" s="2498"/>
    </row>
    <row r="32279" spans="16:16">
      <c r="P32279" s="2498"/>
    </row>
    <row r="32280" spans="16:16">
      <c r="P32280" s="2498"/>
    </row>
    <row r="32281" spans="16:16">
      <c r="P32281" s="2498"/>
    </row>
    <row r="32282" spans="16:16">
      <c r="P32282" s="2498"/>
    </row>
    <row r="32283" spans="16:16">
      <c r="P32283" s="2498"/>
    </row>
    <row r="32284" spans="16:16">
      <c r="P32284" s="2498"/>
    </row>
    <row r="32285" spans="16:16">
      <c r="P32285" s="2498"/>
    </row>
    <row r="32286" spans="16:16">
      <c r="P32286" s="2498"/>
    </row>
    <row r="32287" spans="16:16">
      <c r="P32287" s="2498"/>
    </row>
    <row r="32288" spans="16:16">
      <c r="P32288" s="2498"/>
    </row>
    <row r="32289" spans="16:16">
      <c r="P32289" s="2498"/>
    </row>
    <row r="32290" spans="16:16">
      <c r="P32290" s="2498"/>
    </row>
    <row r="32291" spans="16:16">
      <c r="P32291" s="2498"/>
    </row>
    <row r="32292" spans="16:16">
      <c r="P32292" s="2498"/>
    </row>
    <row r="32293" spans="16:16">
      <c r="P32293" s="2498"/>
    </row>
    <row r="32294" spans="16:16">
      <c r="P32294" s="2498"/>
    </row>
    <row r="32295" spans="16:16">
      <c r="P32295" s="2498"/>
    </row>
    <row r="32296" spans="16:16">
      <c r="P32296" s="2498"/>
    </row>
    <row r="32297" spans="16:16">
      <c r="P32297" s="2498"/>
    </row>
    <row r="32298" spans="16:16">
      <c r="P32298" s="2498"/>
    </row>
    <row r="32299" spans="16:16">
      <c r="P32299" s="2498"/>
    </row>
    <row r="32300" spans="16:16">
      <c r="P32300" s="2498"/>
    </row>
    <row r="32301" spans="16:16">
      <c r="P32301" s="2498"/>
    </row>
    <row r="32302" spans="16:16">
      <c r="P32302" s="2498"/>
    </row>
    <row r="32303" spans="16:16">
      <c r="P32303" s="2498"/>
    </row>
    <row r="32304" spans="16:16">
      <c r="P32304" s="2498"/>
    </row>
    <row r="32305" spans="16:16">
      <c r="P32305" s="2498"/>
    </row>
    <row r="32306" spans="16:16">
      <c r="P32306" s="2498"/>
    </row>
    <row r="32307" spans="16:16">
      <c r="P32307" s="2498"/>
    </row>
    <row r="32308" spans="16:16">
      <c r="P32308" s="2498"/>
    </row>
    <row r="32309" spans="16:16">
      <c r="P32309" s="2498"/>
    </row>
    <row r="32310" spans="16:16">
      <c r="P32310" s="2498"/>
    </row>
    <row r="32311" spans="16:16">
      <c r="P32311" s="2498"/>
    </row>
    <row r="32312" spans="16:16">
      <c r="P32312" s="2498"/>
    </row>
    <row r="32313" spans="16:16">
      <c r="P32313" s="2498"/>
    </row>
    <row r="32314" spans="16:16">
      <c r="P32314" s="2498"/>
    </row>
    <row r="32315" spans="16:16">
      <c r="P32315" s="2498"/>
    </row>
    <row r="32316" spans="16:16">
      <c r="P32316" s="2498"/>
    </row>
    <row r="32317" spans="16:16">
      <c r="P32317" s="2498"/>
    </row>
    <row r="32318" spans="16:16">
      <c r="P32318" s="2498"/>
    </row>
    <row r="32319" spans="16:16">
      <c r="P32319" s="2498"/>
    </row>
    <row r="32320" spans="16:16">
      <c r="P32320" s="2498"/>
    </row>
    <row r="32321" spans="16:16">
      <c r="P32321" s="2498"/>
    </row>
    <row r="32322" spans="16:16">
      <c r="P32322" s="2498"/>
    </row>
    <row r="32323" spans="16:16">
      <c r="P32323" s="2498"/>
    </row>
    <row r="32324" spans="16:16">
      <c r="P32324" s="2498"/>
    </row>
    <row r="32325" spans="16:16">
      <c r="P32325" s="2498"/>
    </row>
    <row r="32326" spans="16:16">
      <c r="P32326" s="2498"/>
    </row>
    <row r="32327" spans="16:16">
      <c r="P32327" s="2498"/>
    </row>
    <row r="32328" spans="16:16">
      <c r="P32328" s="2498"/>
    </row>
    <row r="32329" spans="16:16">
      <c r="P32329" s="2498"/>
    </row>
    <row r="32330" spans="16:16">
      <c r="P32330" s="2498"/>
    </row>
    <row r="32331" spans="16:16">
      <c r="P32331" s="2498"/>
    </row>
    <row r="32332" spans="16:16">
      <c r="P32332" s="2498"/>
    </row>
    <row r="32333" spans="16:16">
      <c r="P32333" s="2498"/>
    </row>
    <row r="32334" spans="16:16">
      <c r="P32334" s="2498"/>
    </row>
    <row r="32335" spans="16:16">
      <c r="P32335" s="2498"/>
    </row>
    <row r="32336" spans="16:16">
      <c r="P32336" s="2498"/>
    </row>
    <row r="32337" spans="16:16">
      <c r="P32337" s="2498"/>
    </row>
    <row r="32338" spans="16:16">
      <c r="P32338" s="2498"/>
    </row>
    <row r="32339" spans="16:16">
      <c r="P32339" s="2498"/>
    </row>
    <row r="32340" spans="16:16">
      <c r="P32340" s="2498"/>
    </row>
    <row r="32341" spans="16:16">
      <c r="P32341" s="2498"/>
    </row>
    <row r="32342" spans="16:16">
      <c r="P32342" s="2498"/>
    </row>
    <row r="32343" spans="16:16">
      <c r="P32343" s="2498"/>
    </row>
    <row r="32344" spans="16:16">
      <c r="P32344" s="2498"/>
    </row>
    <row r="32345" spans="16:16">
      <c r="P32345" s="2498"/>
    </row>
    <row r="32346" spans="16:16">
      <c r="P32346" s="2498"/>
    </row>
    <row r="32347" spans="16:16">
      <c r="P32347" s="2498"/>
    </row>
    <row r="32348" spans="16:16">
      <c r="P32348" s="2498"/>
    </row>
    <row r="32349" spans="16:16">
      <c r="P32349" s="2498"/>
    </row>
    <row r="32350" spans="16:16">
      <c r="P32350" s="2498"/>
    </row>
    <row r="32351" spans="16:16">
      <c r="P32351" s="2498"/>
    </row>
    <row r="32352" spans="16:16">
      <c r="P32352" s="2498"/>
    </row>
    <row r="32353" spans="16:16">
      <c r="P32353" s="2498"/>
    </row>
    <row r="32354" spans="16:16">
      <c r="P32354" s="2498"/>
    </row>
    <row r="32355" spans="16:16">
      <c r="P32355" s="2498"/>
    </row>
    <row r="32356" spans="16:16">
      <c r="P32356" s="2498"/>
    </row>
    <row r="32357" spans="16:16">
      <c r="P32357" s="2498"/>
    </row>
    <row r="32358" spans="16:16">
      <c r="P32358" s="2498"/>
    </row>
    <row r="32359" spans="16:16">
      <c r="P32359" s="2498"/>
    </row>
    <row r="32360" spans="16:16">
      <c r="P32360" s="2498"/>
    </row>
    <row r="32361" spans="16:16">
      <c r="P32361" s="2498"/>
    </row>
    <row r="32362" spans="16:16">
      <c r="P32362" s="2498"/>
    </row>
    <row r="32363" spans="16:16">
      <c r="P32363" s="2498"/>
    </row>
    <row r="32364" spans="16:16">
      <c r="P32364" s="2498"/>
    </row>
    <row r="32365" spans="16:16">
      <c r="P32365" s="2498"/>
    </row>
    <row r="32366" spans="16:16">
      <c r="P32366" s="2498"/>
    </row>
    <row r="32367" spans="16:16">
      <c r="P32367" s="2498"/>
    </row>
    <row r="32368" spans="16:16">
      <c r="P32368" s="2498"/>
    </row>
    <row r="32369" spans="16:16">
      <c r="P32369" s="2498"/>
    </row>
    <row r="32370" spans="16:16">
      <c r="P32370" s="2498"/>
    </row>
    <row r="32371" spans="16:16">
      <c r="P32371" s="2498"/>
    </row>
    <row r="32372" spans="16:16">
      <c r="P32372" s="2498"/>
    </row>
    <row r="32373" spans="16:16">
      <c r="P32373" s="2498"/>
    </row>
    <row r="32374" spans="16:16">
      <c r="P32374" s="2498"/>
    </row>
    <row r="32375" spans="16:16">
      <c r="P32375" s="2498"/>
    </row>
    <row r="32376" spans="16:16">
      <c r="P32376" s="2498"/>
    </row>
    <row r="32377" spans="16:16">
      <c r="P32377" s="2498"/>
    </row>
    <row r="32378" spans="16:16">
      <c r="P32378" s="2498"/>
    </row>
    <row r="32379" spans="16:16">
      <c r="P32379" s="2498"/>
    </row>
    <row r="32380" spans="16:16">
      <c r="P32380" s="2498"/>
    </row>
    <row r="32381" spans="16:16">
      <c r="P32381" s="2498"/>
    </row>
    <row r="32382" spans="16:16">
      <c r="P32382" s="2498"/>
    </row>
    <row r="32383" spans="16:16">
      <c r="P32383" s="2498"/>
    </row>
    <row r="32384" spans="16:16">
      <c r="P32384" s="2498"/>
    </row>
    <row r="32385" spans="16:16">
      <c r="P32385" s="2498"/>
    </row>
    <row r="32386" spans="16:16">
      <c r="P32386" s="2498"/>
    </row>
    <row r="32387" spans="16:16">
      <c r="P32387" s="2498"/>
    </row>
    <row r="32388" spans="16:16">
      <c r="P32388" s="2498"/>
    </row>
    <row r="32389" spans="16:16">
      <c r="P32389" s="2498"/>
    </row>
    <row r="32390" spans="16:16">
      <c r="P32390" s="2498"/>
    </row>
    <row r="32391" spans="16:16">
      <c r="P32391" s="2498"/>
    </row>
    <row r="32392" spans="16:16">
      <c r="P32392" s="2498"/>
    </row>
    <row r="32393" spans="16:16">
      <c r="P32393" s="2498"/>
    </row>
    <row r="32394" spans="16:16">
      <c r="P32394" s="2498"/>
    </row>
    <row r="32395" spans="16:16">
      <c r="P32395" s="2498"/>
    </row>
    <row r="32396" spans="16:16">
      <c r="P32396" s="2498"/>
    </row>
    <row r="32397" spans="16:16">
      <c r="P32397" s="2498"/>
    </row>
    <row r="32398" spans="16:16">
      <c r="P32398" s="2498"/>
    </row>
    <row r="32399" spans="16:16">
      <c r="P32399" s="2498"/>
    </row>
    <row r="32400" spans="16:16">
      <c r="P32400" s="2498"/>
    </row>
    <row r="32401" spans="16:16">
      <c r="P32401" s="2498"/>
    </row>
    <row r="32402" spans="16:16">
      <c r="P32402" s="2498"/>
    </row>
    <row r="32403" spans="16:16">
      <c r="P32403" s="2498"/>
    </row>
    <row r="32404" spans="16:16">
      <c r="P32404" s="2498"/>
    </row>
    <row r="32405" spans="16:16">
      <c r="P32405" s="2498"/>
    </row>
    <row r="32406" spans="16:16">
      <c r="P32406" s="2498"/>
    </row>
    <row r="32407" spans="16:16">
      <c r="P32407" s="2498"/>
    </row>
    <row r="32408" spans="16:16">
      <c r="P32408" s="2498"/>
    </row>
    <row r="32409" spans="16:16">
      <c r="P32409" s="2498"/>
    </row>
    <row r="32410" spans="16:16">
      <c r="P32410" s="2498"/>
    </row>
    <row r="32411" spans="16:16">
      <c r="P32411" s="2498"/>
    </row>
    <row r="32412" spans="16:16">
      <c r="P32412" s="2498"/>
    </row>
    <row r="32413" spans="16:16">
      <c r="P32413" s="2498"/>
    </row>
    <row r="32414" spans="16:16">
      <c r="P32414" s="2498"/>
    </row>
    <row r="32415" spans="16:16">
      <c r="P32415" s="2498"/>
    </row>
    <row r="32416" spans="16:16">
      <c r="P32416" s="2498"/>
    </row>
    <row r="32417" spans="16:16">
      <c r="P32417" s="2498"/>
    </row>
    <row r="32418" spans="16:16">
      <c r="P32418" s="2498"/>
    </row>
    <row r="32419" spans="16:16">
      <c r="P32419" s="2498"/>
    </row>
    <row r="32420" spans="16:16">
      <c r="P32420" s="2498"/>
    </row>
    <row r="32421" spans="16:16">
      <c r="P32421" s="2498"/>
    </row>
    <row r="32422" spans="16:16">
      <c r="P32422" s="2498"/>
    </row>
    <row r="32423" spans="16:16">
      <c r="P32423" s="2498"/>
    </row>
    <row r="32424" spans="16:16">
      <c r="P32424" s="2498"/>
    </row>
    <row r="32425" spans="16:16">
      <c r="P32425" s="2498"/>
    </row>
    <row r="32426" spans="16:16">
      <c r="P32426" s="2498"/>
    </row>
    <row r="32427" spans="16:16">
      <c r="P32427" s="2498"/>
    </row>
    <row r="32428" spans="16:16">
      <c r="P32428" s="2498"/>
    </row>
    <row r="32429" spans="16:16">
      <c r="P32429" s="2498"/>
    </row>
    <row r="32430" spans="16:16">
      <c r="P32430" s="2498"/>
    </row>
    <row r="32431" spans="16:16">
      <c r="P32431" s="2498"/>
    </row>
    <row r="32432" spans="16:16">
      <c r="P32432" s="2498"/>
    </row>
    <row r="32433" spans="16:16">
      <c r="P32433" s="2498"/>
    </row>
    <row r="32434" spans="16:16">
      <c r="P32434" s="2498"/>
    </row>
    <row r="32435" spans="16:16">
      <c r="P32435" s="2498"/>
    </row>
    <row r="32436" spans="16:16">
      <c r="P32436" s="2498"/>
    </row>
    <row r="32437" spans="16:16">
      <c r="P32437" s="2498"/>
    </row>
    <row r="32438" spans="16:16">
      <c r="P32438" s="2498"/>
    </row>
    <row r="32439" spans="16:16">
      <c r="P32439" s="2498"/>
    </row>
    <row r="32440" spans="16:16">
      <c r="P32440" s="2498"/>
    </row>
    <row r="32441" spans="16:16">
      <c r="P32441" s="2498"/>
    </row>
    <row r="32442" spans="16:16">
      <c r="P32442" s="2498"/>
    </row>
    <row r="32443" spans="16:16">
      <c r="P32443" s="2498"/>
    </row>
    <row r="32444" spans="16:16">
      <c r="P32444" s="2498"/>
    </row>
    <row r="32445" spans="16:16">
      <c r="P32445" s="2498"/>
    </row>
    <row r="32446" spans="16:16">
      <c r="P32446" s="2498"/>
    </row>
    <row r="32447" spans="16:16">
      <c r="P32447" s="2498"/>
    </row>
    <row r="32448" spans="16:16">
      <c r="P32448" s="2498"/>
    </row>
    <row r="32449" spans="16:16">
      <c r="P32449" s="2498"/>
    </row>
    <row r="32450" spans="16:16">
      <c r="P32450" s="2498"/>
    </row>
    <row r="32451" spans="16:16">
      <c r="P32451" s="2498"/>
    </row>
    <row r="32452" spans="16:16">
      <c r="P32452" s="2498"/>
    </row>
    <row r="32453" spans="16:16">
      <c r="P32453" s="2498"/>
    </row>
    <row r="32454" spans="16:16">
      <c r="P32454" s="2498"/>
    </row>
    <row r="32455" spans="16:16">
      <c r="P32455" s="2498"/>
    </row>
    <row r="32456" spans="16:16">
      <c r="P32456" s="2498"/>
    </row>
    <row r="32457" spans="16:16">
      <c r="P32457" s="2498"/>
    </row>
    <row r="32458" spans="16:16">
      <c r="P32458" s="2498"/>
    </row>
    <row r="32459" spans="16:16">
      <c r="P32459" s="2498"/>
    </row>
    <row r="32460" spans="16:16">
      <c r="P32460" s="2498"/>
    </row>
    <row r="32461" spans="16:16">
      <c r="P32461" s="2498"/>
    </row>
    <row r="32462" spans="16:16">
      <c r="P32462" s="2498"/>
    </row>
    <row r="32463" spans="16:16">
      <c r="P32463" s="2498"/>
    </row>
    <row r="32464" spans="16:16">
      <c r="P32464" s="2498"/>
    </row>
    <row r="32465" spans="16:16">
      <c r="P32465" s="2498"/>
    </row>
    <row r="32466" spans="16:16">
      <c r="P32466" s="2498"/>
    </row>
    <row r="32467" spans="16:16">
      <c r="P32467" s="2498"/>
    </row>
    <row r="32468" spans="16:16">
      <c r="P32468" s="2498"/>
    </row>
    <row r="32469" spans="16:16">
      <c r="P32469" s="2498"/>
    </row>
    <row r="32470" spans="16:16">
      <c r="P32470" s="2498"/>
    </row>
    <row r="32471" spans="16:16">
      <c r="P32471" s="2498"/>
    </row>
    <row r="32472" spans="16:16">
      <c r="P32472" s="2498"/>
    </row>
    <row r="32473" spans="16:16">
      <c r="P32473" s="2498"/>
    </row>
    <row r="32474" spans="16:16">
      <c r="P32474" s="2498"/>
    </row>
    <row r="32475" spans="16:16">
      <c r="P32475" s="2498"/>
    </row>
    <row r="32476" spans="16:16">
      <c r="P32476" s="2498"/>
    </row>
    <row r="32477" spans="16:16">
      <c r="P32477" s="2498"/>
    </row>
    <row r="32478" spans="16:16">
      <c r="P32478" s="2498"/>
    </row>
    <row r="32479" spans="16:16">
      <c r="P32479" s="2498"/>
    </row>
    <row r="32480" spans="16:16">
      <c r="P32480" s="2498"/>
    </row>
    <row r="32481" spans="16:16">
      <c r="P32481" s="2498"/>
    </row>
    <row r="32482" spans="16:16">
      <c r="P32482" s="2498"/>
    </row>
    <row r="32483" spans="16:16">
      <c r="P32483" s="2498"/>
    </row>
    <row r="32484" spans="16:16">
      <c r="P32484" s="2498"/>
    </row>
    <row r="32485" spans="16:16">
      <c r="P32485" s="2498"/>
    </row>
    <row r="32486" spans="16:16">
      <c r="P32486" s="2498"/>
    </row>
    <row r="32487" spans="16:16">
      <c r="P32487" s="2498"/>
    </row>
    <row r="32488" spans="16:16">
      <c r="P32488" s="2498"/>
    </row>
    <row r="32489" spans="16:16">
      <c r="P32489" s="2498"/>
    </row>
    <row r="32490" spans="16:16">
      <c r="P32490" s="2498"/>
    </row>
    <row r="32491" spans="16:16">
      <c r="P32491" s="2498"/>
    </row>
    <row r="32492" spans="16:16">
      <c r="P32492" s="2498"/>
    </row>
    <row r="32493" spans="16:16">
      <c r="P32493" s="2498"/>
    </row>
    <row r="32494" spans="16:16">
      <c r="P32494" s="2498"/>
    </row>
    <row r="32495" spans="16:16">
      <c r="P32495" s="2498"/>
    </row>
    <row r="32496" spans="16:16">
      <c r="P32496" s="2498"/>
    </row>
    <row r="32497" spans="16:16">
      <c r="P32497" s="2498"/>
    </row>
    <row r="32498" spans="16:16">
      <c r="P32498" s="2498"/>
    </row>
    <row r="32499" spans="16:16">
      <c r="P32499" s="2498"/>
    </row>
    <row r="32500" spans="16:16">
      <c r="P32500" s="2498"/>
    </row>
    <row r="32501" spans="16:16">
      <c r="P32501" s="2498"/>
    </row>
    <row r="32502" spans="16:16">
      <c r="P32502" s="2498"/>
    </row>
    <row r="32503" spans="16:16">
      <c r="P32503" s="2498"/>
    </row>
    <row r="32504" spans="16:16">
      <c r="P32504" s="2498"/>
    </row>
    <row r="32505" spans="16:16">
      <c r="P32505" s="2498"/>
    </row>
    <row r="32506" spans="16:16">
      <c r="P32506" s="2498"/>
    </row>
    <row r="32507" spans="16:16">
      <c r="P32507" s="2498"/>
    </row>
    <row r="32508" spans="16:16">
      <c r="P32508" s="2498"/>
    </row>
    <row r="32509" spans="16:16">
      <c r="P32509" s="2498"/>
    </row>
    <row r="32510" spans="16:16">
      <c r="P32510" s="2498"/>
    </row>
    <row r="32511" spans="16:16">
      <c r="P32511" s="2498"/>
    </row>
    <row r="32512" spans="16:16">
      <c r="P32512" s="2498"/>
    </row>
    <row r="32513" spans="16:16">
      <c r="P32513" s="2498"/>
    </row>
    <row r="32514" spans="16:16">
      <c r="P32514" s="2498"/>
    </row>
    <row r="32515" spans="16:16">
      <c r="P32515" s="2498"/>
    </row>
    <row r="32516" spans="16:16">
      <c r="P32516" s="2498"/>
    </row>
    <row r="32517" spans="16:16">
      <c r="P32517" s="2498"/>
    </row>
    <row r="32518" spans="16:16">
      <c r="P32518" s="2498"/>
    </row>
    <row r="32519" spans="16:16">
      <c r="P32519" s="2498"/>
    </row>
    <row r="32520" spans="16:16">
      <c r="P32520" s="2498"/>
    </row>
    <row r="32521" spans="16:16">
      <c r="P32521" s="2498"/>
    </row>
    <row r="32522" spans="16:16">
      <c r="P32522" s="2498"/>
    </row>
    <row r="32523" spans="16:16">
      <c r="P32523" s="2498"/>
    </row>
    <row r="32524" spans="16:16">
      <c r="P32524" s="2498"/>
    </row>
    <row r="32525" spans="16:16">
      <c r="P32525" s="2498"/>
    </row>
    <row r="32526" spans="16:16">
      <c r="P32526" s="2498"/>
    </row>
    <row r="32527" spans="16:16">
      <c r="P32527" s="2498"/>
    </row>
    <row r="32528" spans="16:16">
      <c r="P32528" s="2498"/>
    </row>
    <row r="32529" spans="16:16">
      <c r="P32529" s="2498"/>
    </row>
    <row r="32530" spans="16:16">
      <c r="P32530" s="2498"/>
    </row>
    <row r="32531" spans="16:16">
      <c r="P32531" s="2498"/>
    </row>
    <row r="32532" spans="16:16">
      <c r="P32532" s="2498"/>
    </row>
    <row r="32533" spans="16:16">
      <c r="P32533" s="2498"/>
    </row>
    <row r="32534" spans="16:16">
      <c r="P32534" s="2498"/>
    </row>
    <row r="32535" spans="16:16">
      <c r="P32535" s="2498"/>
    </row>
    <row r="32536" spans="16:16">
      <c r="P32536" s="2498"/>
    </row>
    <row r="32537" spans="16:16">
      <c r="P32537" s="2498"/>
    </row>
    <row r="32538" spans="16:16">
      <c r="P32538" s="2498"/>
    </row>
    <row r="32539" spans="16:16">
      <c r="P32539" s="2498"/>
    </row>
    <row r="32540" spans="16:16">
      <c r="P32540" s="2498"/>
    </row>
    <row r="32541" spans="16:16">
      <c r="P32541" s="2498"/>
    </row>
    <row r="32542" spans="16:16">
      <c r="P32542" s="2498"/>
    </row>
    <row r="32543" spans="16:16">
      <c r="P32543" s="2498"/>
    </row>
    <row r="32544" spans="16:16">
      <c r="P32544" s="2498"/>
    </row>
    <row r="32545" spans="16:16">
      <c r="P32545" s="2498"/>
    </row>
    <row r="32546" spans="16:16">
      <c r="P32546" s="2498"/>
    </row>
    <row r="32547" spans="16:16">
      <c r="P32547" s="2498"/>
    </row>
    <row r="32548" spans="16:16">
      <c r="P32548" s="2498"/>
    </row>
    <row r="32549" spans="16:16">
      <c r="P32549" s="2498"/>
    </row>
    <row r="32550" spans="16:16">
      <c r="P32550" s="2498"/>
    </row>
    <row r="32551" spans="16:16">
      <c r="P32551" s="2498"/>
    </row>
    <row r="32552" spans="16:16">
      <c r="P32552" s="2498"/>
    </row>
    <row r="32553" spans="16:16">
      <c r="P32553" s="2498"/>
    </row>
    <row r="32554" spans="16:16">
      <c r="P32554" s="2498"/>
    </row>
    <row r="32555" spans="16:16">
      <c r="P32555" s="2498"/>
    </row>
    <row r="32556" spans="16:16">
      <c r="P32556" s="2498"/>
    </row>
    <row r="32557" spans="16:16">
      <c r="P32557" s="2498"/>
    </row>
    <row r="32558" spans="16:16">
      <c r="P32558" s="2498"/>
    </row>
    <row r="32559" spans="16:16">
      <c r="P32559" s="2498"/>
    </row>
    <row r="32560" spans="16:16">
      <c r="P32560" s="2498"/>
    </row>
    <row r="32561" spans="16:16">
      <c r="P32561" s="2498"/>
    </row>
    <row r="32562" spans="16:16">
      <c r="P32562" s="2498"/>
    </row>
    <row r="32563" spans="16:16">
      <c r="P32563" s="2498"/>
    </row>
    <row r="32564" spans="16:16">
      <c r="P32564" s="2498"/>
    </row>
    <row r="32565" spans="16:16">
      <c r="P32565" s="2498"/>
    </row>
    <row r="32566" spans="16:16">
      <c r="P32566" s="2498"/>
    </row>
    <row r="32567" spans="16:16">
      <c r="P32567" s="2498"/>
    </row>
    <row r="32568" spans="16:16">
      <c r="P32568" s="2498"/>
    </row>
    <row r="32569" spans="16:16">
      <c r="P32569" s="2498"/>
    </row>
    <row r="32570" spans="16:16">
      <c r="P32570" s="2498"/>
    </row>
    <row r="32571" spans="16:16">
      <c r="P32571" s="2498"/>
    </row>
    <row r="32572" spans="16:16">
      <c r="P32572" s="2498"/>
    </row>
    <row r="32573" spans="16:16">
      <c r="P32573" s="2498"/>
    </row>
    <row r="32574" spans="16:16">
      <c r="P32574" s="2498"/>
    </row>
    <row r="32575" spans="16:16">
      <c r="P32575" s="2498"/>
    </row>
    <row r="32576" spans="16:16">
      <c r="P32576" s="2498"/>
    </row>
    <row r="32577" spans="16:16">
      <c r="P32577" s="2498"/>
    </row>
    <row r="32578" spans="16:16">
      <c r="P32578" s="2498"/>
    </row>
    <row r="32579" spans="16:16">
      <c r="P32579" s="2498"/>
    </row>
    <row r="32580" spans="16:16">
      <c r="P32580" s="2498"/>
    </row>
    <row r="32581" spans="16:16">
      <c r="P32581" s="2498"/>
    </row>
    <row r="32582" spans="16:16">
      <c r="P32582" s="2498"/>
    </row>
    <row r="32583" spans="16:16">
      <c r="P32583" s="2498"/>
    </row>
    <row r="32584" spans="16:16">
      <c r="P32584" s="2498"/>
    </row>
    <row r="32585" spans="16:16">
      <c r="P32585" s="2498"/>
    </row>
    <row r="32586" spans="16:16">
      <c r="P32586" s="2498"/>
    </row>
    <row r="32587" spans="16:16">
      <c r="P32587" s="2498"/>
    </row>
    <row r="32588" spans="16:16">
      <c r="P32588" s="2498"/>
    </row>
    <row r="32589" spans="16:16">
      <c r="P32589" s="2498"/>
    </row>
    <row r="32590" spans="16:16">
      <c r="P32590" s="2498"/>
    </row>
    <row r="32591" spans="16:16">
      <c r="P32591" s="2498"/>
    </row>
    <row r="32592" spans="16:16">
      <c r="P32592" s="2498"/>
    </row>
    <row r="32593" spans="16:16">
      <c r="P32593" s="2498"/>
    </row>
    <row r="32594" spans="16:16">
      <c r="P32594" s="2498"/>
    </row>
    <row r="32595" spans="16:16">
      <c r="P32595" s="2498"/>
    </row>
    <row r="32596" spans="16:16">
      <c r="P32596" s="2498"/>
    </row>
    <row r="32597" spans="16:16">
      <c r="P32597" s="2498"/>
    </row>
    <row r="32598" spans="16:16">
      <c r="P32598" s="2498"/>
    </row>
    <row r="32599" spans="16:16">
      <c r="P32599" s="2498"/>
    </row>
    <row r="32600" spans="16:16">
      <c r="P32600" s="2498"/>
    </row>
    <row r="32601" spans="16:16">
      <c r="P32601" s="2498"/>
    </row>
    <row r="32602" spans="16:16">
      <c r="P32602" s="2498"/>
    </row>
    <row r="32603" spans="16:16">
      <c r="P32603" s="2498"/>
    </row>
    <row r="32604" spans="16:16">
      <c r="P32604" s="2498"/>
    </row>
    <row r="32605" spans="16:16">
      <c r="P32605" s="2498"/>
    </row>
    <row r="32606" spans="16:16">
      <c r="P32606" s="2498"/>
    </row>
    <row r="32607" spans="16:16">
      <c r="P32607" s="2498"/>
    </row>
    <row r="32608" spans="16:16">
      <c r="P32608" s="2498"/>
    </row>
    <row r="32609" spans="16:16">
      <c r="P32609" s="2498"/>
    </row>
    <row r="32610" spans="16:16">
      <c r="P32610" s="2498"/>
    </row>
    <row r="32611" spans="16:16">
      <c r="P32611" s="2498"/>
    </row>
    <row r="32612" spans="16:16">
      <c r="P32612" s="2498"/>
    </row>
    <row r="32613" spans="16:16">
      <c r="P32613" s="2498"/>
    </row>
    <row r="32614" spans="16:16">
      <c r="P32614" s="2498"/>
    </row>
    <row r="32615" spans="16:16">
      <c r="P32615" s="2498"/>
    </row>
    <row r="32616" spans="16:16">
      <c r="P32616" s="2498"/>
    </row>
    <row r="32617" spans="16:16">
      <c r="P32617" s="2498"/>
    </row>
    <row r="32618" spans="16:16">
      <c r="P32618" s="2498"/>
    </row>
    <row r="32619" spans="16:16">
      <c r="P32619" s="2498"/>
    </row>
    <row r="32620" spans="16:16">
      <c r="P32620" s="2498"/>
    </row>
    <row r="32621" spans="16:16">
      <c r="P32621" s="2498"/>
    </row>
    <row r="32622" spans="16:16">
      <c r="P32622" s="2498"/>
    </row>
    <row r="32623" spans="16:16">
      <c r="P32623" s="2498"/>
    </row>
    <row r="32624" spans="16:16">
      <c r="P32624" s="2498"/>
    </row>
    <row r="32625" spans="16:16">
      <c r="P32625" s="2498"/>
    </row>
    <row r="32626" spans="16:16">
      <c r="P32626" s="2498"/>
    </row>
    <row r="32627" spans="16:16">
      <c r="P32627" s="2498"/>
    </row>
    <row r="32628" spans="16:16">
      <c r="P32628" s="2498"/>
    </row>
    <row r="32629" spans="16:16">
      <c r="P32629" s="2498"/>
    </row>
    <row r="32630" spans="16:16">
      <c r="P32630" s="2498"/>
    </row>
    <row r="32631" spans="16:16">
      <c r="P32631" s="2498"/>
    </row>
    <row r="32632" spans="16:16">
      <c r="P32632" s="2498"/>
    </row>
    <row r="32633" spans="16:16">
      <c r="P32633" s="2498"/>
    </row>
    <row r="32634" spans="16:16">
      <c r="P32634" s="2498"/>
    </row>
    <row r="32635" spans="16:16">
      <c r="P32635" s="2498"/>
    </row>
    <row r="32636" spans="16:16">
      <c r="P32636" s="2498"/>
    </row>
    <row r="32637" spans="16:16">
      <c r="P32637" s="2498"/>
    </row>
    <row r="32638" spans="16:16">
      <c r="P32638" s="2498"/>
    </row>
    <row r="32639" spans="16:16">
      <c r="P32639" s="2498"/>
    </row>
    <row r="32640" spans="16:16">
      <c r="P32640" s="2498"/>
    </row>
    <row r="32641" spans="16:16">
      <c r="P32641" s="2498"/>
    </row>
    <row r="32642" spans="16:16">
      <c r="P32642" s="2498"/>
    </row>
    <row r="32643" spans="16:16">
      <c r="P32643" s="2498"/>
    </row>
    <row r="32644" spans="16:16">
      <c r="P32644" s="2498"/>
    </row>
    <row r="32645" spans="16:16">
      <c r="P32645" s="2498"/>
    </row>
    <row r="32646" spans="16:16">
      <c r="P32646" s="2498"/>
    </row>
    <row r="32647" spans="16:16">
      <c r="P32647" s="2498"/>
    </row>
    <row r="32648" spans="16:16">
      <c r="P32648" s="2498"/>
    </row>
    <row r="32649" spans="16:16">
      <c r="P32649" s="2498"/>
    </row>
    <row r="32650" spans="16:16">
      <c r="P32650" s="2498"/>
    </row>
    <row r="32651" spans="16:16">
      <c r="P32651" s="2498"/>
    </row>
    <row r="32652" spans="16:16">
      <c r="P32652" s="2498"/>
    </row>
    <row r="32653" spans="16:16">
      <c r="P32653" s="2498"/>
    </row>
    <row r="32654" spans="16:16">
      <c r="P32654" s="2498"/>
    </row>
    <row r="32655" spans="16:16">
      <c r="P32655" s="2498"/>
    </row>
    <row r="32656" spans="16:16">
      <c r="P32656" s="2498"/>
    </row>
    <row r="32657" spans="16:16">
      <c r="P32657" s="2498"/>
    </row>
    <row r="32658" spans="16:16">
      <c r="P32658" s="2498"/>
    </row>
    <row r="32659" spans="16:16">
      <c r="P32659" s="2498"/>
    </row>
    <row r="32660" spans="16:16">
      <c r="P32660" s="2498"/>
    </row>
    <row r="32661" spans="16:16">
      <c r="P32661" s="2498"/>
    </row>
    <row r="32662" spans="16:16">
      <c r="P32662" s="2498"/>
    </row>
    <row r="32663" spans="16:16">
      <c r="P32663" s="2498"/>
    </row>
    <row r="32664" spans="16:16">
      <c r="P32664" s="2498"/>
    </row>
    <row r="32665" spans="16:16">
      <c r="P32665" s="2498"/>
    </row>
    <row r="32666" spans="16:16">
      <c r="P32666" s="2498"/>
    </row>
    <row r="32667" spans="16:16">
      <c r="P32667" s="2498"/>
    </row>
    <row r="32668" spans="16:16">
      <c r="P32668" s="2498"/>
    </row>
    <row r="32669" spans="16:16">
      <c r="P32669" s="2498"/>
    </row>
    <row r="32670" spans="16:16">
      <c r="P32670" s="2498"/>
    </row>
    <row r="32671" spans="16:16">
      <c r="P32671" s="2498"/>
    </row>
    <row r="32672" spans="16:16">
      <c r="P32672" s="2498"/>
    </row>
    <row r="32673" spans="16:16">
      <c r="P32673" s="2498"/>
    </row>
    <row r="32674" spans="16:16">
      <c r="P32674" s="2498"/>
    </row>
    <row r="32675" spans="16:16">
      <c r="P32675" s="2498"/>
    </row>
    <row r="32676" spans="16:16">
      <c r="P32676" s="2498"/>
    </row>
    <row r="32677" spans="16:16">
      <c r="P32677" s="2498"/>
    </row>
    <row r="32678" spans="16:16">
      <c r="P32678" s="2498"/>
    </row>
    <row r="32679" spans="16:16">
      <c r="P32679" s="2498"/>
    </row>
    <row r="32680" spans="16:16">
      <c r="P32680" s="2498"/>
    </row>
    <row r="32681" spans="16:16">
      <c r="P32681" s="2498"/>
    </row>
    <row r="32682" spans="16:16">
      <c r="P32682" s="2498"/>
    </row>
    <row r="32683" spans="16:16">
      <c r="P32683" s="2498"/>
    </row>
    <row r="32684" spans="16:16">
      <c r="P32684" s="2498"/>
    </row>
    <row r="32685" spans="16:16">
      <c r="P32685" s="2498"/>
    </row>
    <row r="32686" spans="16:16">
      <c r="P32686" s="2498"/>
    </row>
    <row r="32687" spans="16:16">
      <c r="P32687" s="2498"/>
    </row>
    <row r="32688" spans="16:16">
      <c r="P32688" s="2498"/>
    </row>
    <row r="32689" spans="16:16">
      <c r="P32689" s="2498"/>
    </row>
    <row r="32690" spans="16:16">
      <c r="P32690" s="2498"/>
    </row>
    <row r="32691" spans="16:16">
      <c r="P32691" s="2498"/>
    </row>
    <row r="32692" spans="16:16">
      <c r="P32692" s="2498"/>
    </row>
    <row r="32693" spans="16:16">
      <c r="P32693" s="2498"/>
    </row>
    <row r="32694" spans="16:16">
      <c r="P32694" s="2498"/>
    </row>
    <row r="32695" spans="16:16">
      <c r="P32695" s="2498"/>
    </row>
    <row r="32696" spans="16:16">
      <c r="P32696" s="2498"/>
    </row>
    <row r="32697" spans="16:16">
      <c r="P32697" s="2498"/>
    </row>
    <row r="32698" spans="16:16">
      <c r="P32698" s="2498"/>
    </row>
    <row r="32699" spans="16:16">
      <c r="P32699" s="2498"/>
    </row>
    <row r="32700" spans="16:16">
      <c r="P32700" s="2498"/>
    </row>
    <row r="32701" spans="16:16">
      <c r="P32701" s="2498"/>
    </row>
    <row r="32702" spans="16:16">
      <c r="P32702" s="2498"/>
    </row>
    <row r="32703" spans="16:16">
      <c r="P32703" s="2498"/>
    </row>
    <row r="32704" spans="16:16">
      <c r="P32704" s="2498"/>
    </row>
    <row r="32705" spans="16:16">
      <c r="P32705" s="2498"/>
    </row>
    <row r="32706" spans="16:16">
      <c r="P32706" s="2498"/>
    </row>
    <row r="32707" spans="16:16">
      <c r="P32707" s="2498"/>
    </row>
    <row r="32708" spans="16:16">
      <c r="P32708" s="2498"/>
    </row>
    <row r="32709" spans="16:16">
      <c r="P32709" s="2498"/>
    </row>
    <row r="32710" spans="16:16">
      <c r="P32710" s="2498"/>
    </row>
    <row r="32711" spans="16:16">
      <c r="P32711" s="2498"/>
    </row>
    <row r="32712" spans="16:16">
      <c r="P32712" s="2498"/>
    </row>
    <row r="32713" spans="16:16">
      <c r="P32713" s="2498"/>
    </row>
    <row r="32714" spans="16:16">
      <c r="P32714" s="2498"/>
    </row>
    <row r="32715" spans="16:16">
      <c r="P32715" s="2498"/>
    </row>
    <row r="32716" spans="16:16">
      <c r="P32716" s="2498"/>
    </row>
    <row r="32717" spans="16:16">
      <c r="P32717" s="2498"/>
    </row>
    <row r="32718" spans="16:16">
      <c r="P32718" s="2498"/>
    </row>
    <row r="32719" spans="16:16">
      <c r="P32719" s="2498"/>
    </row>
    <row r="32720" spans="16:16">
      <c r="P32720" s="2498"/>
    </row>
    <row r="32721" spans="16:16">
      <c r="P32721" s="2498"/>
    </row>
    <row r="32722" spans="16:16">
      <c r="P32722" s="2498"/>
    </row>
    <row r="32723" spans="16:16">
      <c r="P32723" s="2498"/>
    </row>
    <row r="32724" spans="16:16">
      <c r="P32724" s="2498"/>
    </row>
    <row r="32725" spans="16:16">
      <c r="P32725" s="2498"/>
    </row>
    <row r="32726" spans="16:16">
      <c r="P32726" s="2498"/>
    </row>
    <row r="32727" spans="16:16">
      <c r="P32727" s="2498"/>
    </row>
    <row r="32728" spans="16:16">
      <c r="P32728" s="2498"/>
    </row>
    <row r="32729" spans="16:16">
      <c r="P32729" s="2498"/>
    </row>
    <row r="32730" spans="16:16">
      <c r="P32730" s="2498"/>
    </row>
    <row r="32731" spans="16:16">
      <c r="P32731" s="2498"/>
    </row>
    <row r="32732" spans="16:16">
      <c r="P32732" s="2498"/>
    </row>
    <row r="32733" spans="16:16">
      <c r="P32733" s="2498"/>
    </row>
    <row r="32734" spans="16:16">
      <c r="P32734" s="2498"/>
    </row>
    <row r="32735" spans="16:16">
      <c r="P32735" s="2498"/>
    </row>
    <row r="32736" spans="16:16">
      <c r="P32736" s="2498"/>
    </row>
    <row r="32737" spans="16:16">
      <c r="P32737" s="2498"/>
    </row>
    <row r="32738" spans="16:16">
      <c r="P32738" s="2498"/>
    </row>
    <row r="32739" spans="16:16">
      <c r="P32739" s="2498"/>
    </row>
    <row r="32740" spans="16:16">
      <c r="P32740" s="2498"/>
    </row>
    <row r="32741" spans="16:16">
      <c r="P32741" s="2498"/>
    </row>
    <row r="32742" spans="16:16">
      <c r="P32742" s="2498"/>
    </row>
    <row r="32743" spans="16:16">
      <c r="P32743" s="2498"/>
    </row>
    <row r="32744" spans="16:16">
      <c r="P32744" s="2498"/>
    </row>
    <row r="32745" spans="16:16">
      <c r="P32745" s="2498"/>
    </row>
    <row r="32746" spans="16:16">
      <c r="P32746" s="2498"/>
    </row>
    <row r="32747" spans="16:16">
      <c r="P32747" s="2498"/>
    </row>
    <row r="32748" spans="16:16">
      <c r="P32748" s="2498"/>
    </row>
    <row r="32749" spans="16:16">
      <c r="P32749" s="2498"/>
    </row>
    <row r="32750" spans="16:16">
      <c r="P32750" s="2498"/>
    </row>
    <row r="32751" spans="16:16">
      <c r="P32751" s="2498"/>
    </row>
    <row r="32752" spans="16:16">
      <c r="P32752" s="2498"/>
    </row>
    <row r="32753" spans="16:16">
      <c r="P32753" s="2498"/>
    </row>
    <row r="32754" spans="16:16">
      <c r="P32754" s="2498"/>
    </row>
    <row r="32755" spans="16:16">
      <c r="P32755" s="2498"/>
    </row>
    <row r="32756" spans="16:16">
      <c r="P32756" s="2498"/>
    </row>
    <row r="32757" spans="16:16">
      <c r="P32757" s="2498"/>
    </row>
    <row r="32758" spans="16:16">
      <c r="P32758" s="2498"/>
    </row>
    <row r="32759" spans="16:16">
      <c r="P32759" s="2498"/>
    </row>
    <row r="32760" spans="16:16">
      <c r="P32760" s="2498"/>
    </row>
    <row r="32761" spans="16:16">
      <c r="P32761" s="2498"/>
    </row>
    <row r="32762" spans="16:16">
      <c r="P32762" s="2498"/>
    </row>
    <row r="32763" spans="16:16">
      <c r="P32763" s="2498"/>
    </row>
    <row r="32764" spans="16:16">
      <c r="P32764" s="2498"/>
    </row>
    <row r="32765" spans="16:16">
      <c r="P32765" s="2498"/>
    </row>
    <row r="32766" spans="16:16">
      <c r="P32766" s="2498"/>
    </row>
    <row r="32767" spans="16:16">
      <c r="P32767" s="2498"/>
    </row>
    <row r="32768" spans="16:16">
      <c r="P32768" s="2498"/>
    </row>
    <row r="32769" spans="16:16">
      <c r="P32769" s="2498"/>
    </row>
    <row r="32770" spans="16:16">
      <c r="P32770" s="2498"/>
    </row>
    <row r="32771" spans="16:16">
      <c r="P32771" s="2498"/>
    </row>
    <row r="32772" spans="16:16">
      <c r="P32772" s="2498"/>
    </row>
    <row r="32773" spans="16:16">
      <c r="P32773" s="2498"/>
    </row>
    <row r="32774" spans="16:16">
      <c r="P32774" s="2498"/>
    </row>
    <row r="32775" spans="16:16">
      <c r="P32775" s="2498"/>
    </row>
    <row r="32776" spans="16:16">
      <c r="P32776" s="2498"/>
    </row>
    <row r="32777" spans="16:16">
      <c r="P32777" s="2498"/>
    </row>
    <row r="32778" spans="16:16">
      <c r="P32778" s="2498"/>
    </row>
    <row r="32779" spans="16:16">
      <c r="P32779" s="2498"/>
    </row>
    <row r="32780" spans="16:16">
      <c r="P32780" s="2498"/>
    </row>
    <row r="32781" spans="16:16">
      <c r="P32781" s="2498"/>
    </row>
    <row r="32782" spans="16:16">
      <c r="P32782" s="2498"/>
    </row>
    <row r="32783" spans="16:16">
      <c r="P32783" s="2498"/>
    </row>
    <row r="32784" spans="16:16">
      <c r="P32784" s="2498"/>
    </row>
    <row r="32785" spans="16:16">
      <c r="P32785" s="2498"/>
    </row>
    <row r="32786" spans="16:16">
      <c r="P32786" s="2498"/>
    </row>
    <row r="32787" spans="16:16">
      <c r="P32787" s="2498"/>
    </row>
    <row r="32788" spans="16:16">
      <c r="P32788" s="2498"/>
    </row>
    <row r="32789" spans="16:16">
      <c r="P32789" s="2498"/>
    </row>
    <row r="32790" spans="16:16">
      <c r="P32790" s="2498"/>
    </row>
    <row r="32791" spans="16:16">
      <c r="P32791" s="2498"/>
    </row>
    <row r="32792" spans="16:16">
      <c r="P32792" s="2498"/>
    </row>
    <row r="32793" spans="16:16">
      <c r="P32793" s="2498"/>
    </row>
    <row r="32794" spans="16:16">
      <c r="P32794" s="2498"/>
    </row>
    <row r="32795" spans="16:16">
      <c r="P32795" s="2498"/>
    </row>
    <row r="32796" spans="16:16">
      <c r="P32796" s="2498"/>
    </row>
    <row r="32797" spans="16:16">
      <c r="P32797" s="2498"/>
    </row>
    <row r="32798" spans="16:16">
      <c r="P32798" s="2498"/>
    </row>
    <row r="32799" spans="16:16">
      <c r="P32799" s="2498"/>
    </row>
    <row r="32800" spans="16:16">
      <c r="P32800" s="2498"/>
    </row>
    <row r="32801" spans="16:16">
      <c r="P32801" s="2498"/>
    </row>
    <row r="32802" spans="16:16">
      <c r="P32802" s="2498"/>
    </row>
    <row r="32803" spans="16:16">
      <c r="P32803" s="2498"/>
    </row>
    <row r="32804" spans="16:16">
      <c r="P32804" s="2498"/>
    </row>
    <row r="32805" spans="16:16">
      <c r="P32805" s="2498"/>
    </row>
    <row r="32806" spans="16:16">
      <c r="P32806" s="2498"/>
    </row>
    <row r="32807" spans="16:16">
      <c r="P32807" s="2498"/>
    </row>
    <row r="32808" spans="16:16">
      <c r="P32808" s="2498"/>
    </row>
    <row r="32809" spans="16:16">
      <c r="P32809" s="2498"/>
    </row>
    <row r="32810" spans="16:16">
      <c r="P32810" s="2498"/>
    </row>
    <row r="32811" spans="16:16">
      <c r="P32811" s="2498"/>
    </row>
    <row r="32812" spans="16:16">
      <c r="P32812" s="2498"/>
    </row>
    <row r="32813" spans="16:16">
      <c r="P32813" s="2498"/>
    </row>
    <row r="32814" spans="16:16">
      <c r="P32814" s="2498"/>
    </row>
    <row r="32815" spans="16:16">
      <c r="P32815" s="2498"/>
    </row>
    <row r="32816" spans="16:16">
      <c r="P32816" s="2498"/>
    </row>
    <row r="32817" spans="16:16">
      <c r="P32817" s="2498"/>
    </row>
    <row r="32818" spans="16:16">
      <c r="P32818" s="2498"/>
    </row>
    <row r="32819" spans="16:16">
      <c r="P32819" s="2498"/>
    </row>
    <row r="32820" spans="16:16">
      <c r="P32820" s="2498"/>
    </row>
    <row r="32821" spans="16:16">
      <c r="P32821" s="2498"/>
    </row>
    <row r="32822" spans="16:16">
      <c r="P32822" s="2498"/>
    </row>
    <row r="32823" spans="16:16">
      <c r="P32823" s="2498"/>
    </row>
    <row r="32824" spans="16:16">
      <c r="P32824" s="2498"/>
    </row>
    <row r="32825" spans="16:16">
      <c r="P32825" s="2498"/>
    </row>
    <row r="32826" spans="16:16">
      <c r="P32826" s="2498"/>
    </row>
    <row r="32827" spans="16:16">
      <c r="P32827" s="2498"/>
    </row>
    <row r="32828" spans="16:16">
      <c r="P32828" s="2498"/>
    </row>
    <row r="32829" spans="16:16">
      <c r="P32829" s="2498"/>
    </row>
    <row r="32830" spans="16:16">
      <c r="P32830" s="2498"/>
    </row>
    <row r="32831" spans="16:16">
      <c r="P32831" s="2498"/>
    </row>
    <row r="32832" spans="16:16">
      <c r="P32832" s="2498"/>
    </row>
    <row r="32833" spans="16:16">
      <c r="P32833" s="2498"/>
    </row>
    <row r="32834" spans="16:16">
      <c r="P32834" s="2498"/>
    </row>
    <row r="32835" spans="16:16">
      <c r="P32835" s="2498"/>
    </row>
    <row r="32836" spans="16:16">
      <c r="P32836" s="2498"/>
    </row>
    <row r="32837" spans="16:16">
      <c r="P32837" s="2498"/>
    </row>
    <row r="32838" spans="16:16">
      <c r="P32838" s="2498"/>
    </row>
    <row r="32839" spans="16:16">
      <c r="P32839" s="2498"/>
    </row>
    <row r="32840" spans="16:16">
      <c r="P32840" s="2498"/>
    </row>
    <row r="32841" spans="16:16">
      <c r="P32841" s="2498"/>
    </row>
    <row r="32842" spans="16:16">
      <c r="P32842" s="2498"/>
    </row>
    <row r="32843" spans="16:16">
      <c r="P32843" s="2498"/>
    </row>
    <row r="32844" spans="16:16">
      <c r="P32844" s="2498"/>
    </row>
    <row r="32845" spans="16:16">
      <c r="P32845" s="2498"/>
    </row>
    <row r="32846" spans="16:16">
      <c r="P32846" s="2498"/>
    </row>
    <row r="32847" spans="16:16">
      <c r="P32847" s="2498"/>
    </row>
    <row r="32848" spans="16:16">
      <c r="P32848" s="2498"/>
    </row>
    <row r="32849" spans="16:16">
      <c r="P32849" s="2498"/>
    </row>
    <row r="32850" spans="16:16">
      <c r="P32850" s="2498"/>
    </row>
    <row r="32851" spans="16:16">
      <c r="P32851" s="2498"/>
    </row>
    <row r="32852" spans="16:16">
      <c r="P32852" s="2498"/>
    </row>
    <row r="32853" spans="16:16">
      <c r="P32853" s="2498"/>
    </row>
    <row r="32854" spans="16:16">
      <c r="P32854" s="2498"/>
    </row>
    <row r="32855" spans="16:16">
      <c r="P32855" s="2498"/>
    </row>
    <row r="32856" spans="16:16">
      <c r="P32856" s="2498"/>
    </row>
    <row r="32857" spans="16:16">
      <c r="P32857" s="2498"/>
    </row>
    <row r="32858" spans="16:16">
      <c r="P32858" s="2498"/>
    </row>
    <row r="32859" spans="16:16">
      <c r="P32859" s="2498"/>
    </row>
    <row r="32860" spans="16:16">
      <c r="P32860" s="2498"/>
    </row>
    <row r="32861" spans="16:16">
      <c r="P32861" s="2498"/>
    </row>
    <row r="32862" spans="16:16">
      <c r="P32862" s="2498"/>
    </row>
    <row r="32863" spans="16:16">
      <c r="P32863" s="2498"/>
    </row>
    <row r="32864" spans="16:16">
      <c r="P32864" s="2498"/>
    </row>
    <row r="32865" spans="16:16">
      <c r="P32865" s="2498"/>
    </row>
    <row r="32866" spans="16:16">
      <c r="P32866" s="2498"/>
    </row>
    <row r="32867" spans="16:16">
      <c r="P32867" s="2498"/>
    </row>
    <row r="32868" spans="16:16">
      <c r="P32868" s="2498"/>
    </row>
    <row r="32869" spans="16:16">
      <c r="P32869" s="2498"/>
    </row>
    <row r="32870" spans="16:16">
      <c r="P32870" s="2498"/>
    </row>
    <row r="32871" spans="16:16">
      <c r="P32871" s="2498"/>
    </row>
    <row r="32872" spans="16:16">
      <c r="P32872" s="2498"/>
    </row>
    <row r="32873" spans="16:16">
      <c r="P32873" s="2498"/>
    </row>
    <row r="32874" spans="16:16">
      <c r="P32874" s="2498"/>
    </row>
    <row r="32875" spans="16:16">
      <c r="P32875" s="2498"/>
    </row>
    <row r="32876" spans="16:16">
      <c r="P32876" s="2498"/>
    </row>
    <row r="32877" spans="16:16">
      <c r="P32877" s="2498"/>
    </row>
    <row r="32878" spans="16:16">
      <c r="P32878" s="2498"/>
    </row>
    <row r="32879" spans="16:16">
      <c r="P32879" s="2498"/>
    </row>
    <row r="32880" spans="16:16">
      <c r="P32880" s="2498"/>
    </row>
    <row r="32881" spans="16:16">
      <c r="P32881" s="2498"/>
    </row>
    <row r="32882" spans="16:16">
      <c r="P32882" s="2498"/>
    </row>
    <row r="32883" spans="16:16">
      <c r="P32883" s="2498"/>
    </row>
    <row r="32884" spans="16:16">
      <c r="P32884" s="2498"/>
    </row>
    <row r="32885" spans="16:16">
      <c r="P32885" s="2498"/>
    </row>
    <row r="32886" spans="16:16">
      <c r="P32886" s="2498"/>
    </row>
    <row r="32887" spans="16:16">
      <c r="P32887" s="2498"/>
    </row>
    <row r="32888" spans="16:16">
      <c r="P32888" s="2498"/>
    </row>
    <row r="32889" spans="16:16">
      <c r="P32889" s="2498"/>
    </row>
    <row r="32890" spans="16:16">
      <c r="P32890" s="2498"/>
    </row>
    <row r="32891" spans="16:16">
      <c r="P32891" s="2498"/>
    </row>
    <row r="32892" spans="16:16">
      <c r="P32892" s="2498"/>
    </row>
    <row r="32893" spans="16:16">
      <c r="P32893" s="2498"/>
    </row>
    <row r="32894" spans="16:16">
      <c r="P32894" s="2498"/>
    </row>
    <row r="32895" spans="16:16">
      <c r="P32895" s="2498"/>
    </row>
    <row r="32896" spans="16:16">
      <c r="P32896" s="2498"/>
    </row>
    <row r="32897" spans="16:16">
      <c r="P32897" s="2498"/>
    </row>
    <row r="32898" spans="16:16">
      <c r="P32898" s="2498"/>
    </row>
    <row r="32899" spans="16:16">
      <c r="P32899" s="2498"/>
    </row>
    <row r="32900" spans="16:16">
      <c r="P32900" s="2498"/>
    </row>
    <row r="32901" spans="16:16">
      <c r="P32901" s="2498"/>
    </row>
    <row r="32902" spans="16:16">
      <c r="P32902" s="2498"/>
    </row>
    <row r="32903" spans="16:16">
      <c r="P32903" s="2498"/>
    </row>
    <row r="32904" spans="16:16">
      <c r="P32904" s="2498"/>
    </row>
    <row r="32905" spans="16:16">
      <c r="P32905" s="2498"/>
    </row>
    <row r="32906" spans="16:16">
      <c r="P32906" s="2498"/>
    </row>
    <row r="32907" spans="16:16">
      <c r="P32907" s="2498"/>
    </row>
    <row r="32908" spans="16:16">
      <c r="P32908" s="2498"/>
    </row>
    <row r="32909" spans="16:16">
      <c r="P32909" s="2498"/>
    </row>
    <row r="32910" spans="16:16">
      <c r="P32910" s="2498"/>
    </row>
    <row r="32911" spans="16:16">
      <c r="P32911" s="2498"/>
    </row>
    <row r="32912" spans="16:16">
      <c r="P32912" s="2498"/>
    </row>
    <row r="32913" spans="16:16">
      <c r="P32913" s="2498"/>
    </row>
    <row r="32914" spans="16:16">
      <c r="P32914" s="2498"/>
    </row>
    <row r="32915" spans="16:16">
      <c r="P32915" s="2498"/>
    </row>
    <row r="32916" spans="16:16">
      <c r="P32916" s="2498"/>
    </row>
    <row r="32917" spans="16:16">
      <c r="P32917" s="2498"/>
    </row>
    <row r="32918" spans="16:16">
      <c r="P32918" s="2498"/>
    </row>
    <row r="32919" spans="16:16">
      <c r="P32919" s="2498"/>
    </row>
    <row r="32920" spans="16:16">
      <c r="P32920" s="2498"/>
    </row>
    <row r="32921" spans="16:16">
      <c r="P32921" s="2498"/>
    </row>
    <row r="32922" spans="16:16">
      <c r="P32922" s="2498"/>
    </row>
    <row r="32923" spans="16:16">
      <c r="P32923" s="2498"/>
    </row>
    <row r="32924" spans="16:16">
      <c r="P32924" s="2498"/>
    </row>
    <row r="32925" spans="16:16">
      <c r="P32925" s="2498"/>
    </row>
    <row r="32926" spans="16:16">
      <c r="P32926" s="2498"/>
    </row>
    <row r="32927" spans="16:16">
      <c r="P32927" s="2498"/>
    </row>
    <row r="32928" spans="16:16">
      <c r="P32928" s="2498"/>
    </row>
    <row r="32929" spans="16:16">
      <c r="P32929" s="2498"/>
    </row>
    <row r="32930" spans="16:16">
      <c r="P32930" s="2498"/>
    </row>
    <row r="32931" spans="16:16">
      <c r="P32931" s="2498"/>
    </row>
    <row r="32932" spans="16:16">
      <c r="P32932" s="2498"/>
    </row>
    <row r="32933" spans="16:16">
      <c r="P32933" s="2498"/>
    </row>
    <row r="32934" spans="16:16">
      <c r="P32934" s="2498"/>
    </row>
    <row r="32935" spans="16:16">
      <c r="P32935" s="2498"/>
    </row>
    <row r="32936" spans="16:16">
      <c r="P32936" s="2498"/>
    </row>
    <row r="32937" spans="16:16">
      <c r="P32937" s="2498"/>
    </row>
    <row r="32938" spans="16:16">
      <c r="P32938" s="2498"/>
    </row>
    <row r="32939" spans="16:16">
      <c r="P32939" s="2498"/>
    </row>
    <row r="32940" spans="16:16">
      <c r="P32940" s="2498"/>
    </row>
    <row r="32941" spans="16:16">
      <c r="P32941" s="2498"/>
    </row>
    <row r="32942" spans="16:16">
      <c r="P32942" s="2498"/>
    </row>
    <row r="32943" spans="16:16">
      <c r="P32943" s="2498"/>
    </row>
    <row r="32944" spans="16:16">
      <c r="P32944" s="2498"/>
    </row>
    <row r="32945" spans="16:16">
      <c r="P32945" s="2498"/>
    </row>
    <row r="32946" spans="16:16">
      <c r="P32946" s="2498"/>
    </row>
    <row r="32947" spans="16:16">
      <c r="P32947" s="2498"/>
    </row>
    <row r="32948" spans="16:16">
      <c r="P32948" s="2498"/>
    </row>
    <row r="32949" spans="16:16">
      <c r="P32949" s="2498"/>
    </row>
    <row r="32950" spans="16:16">
      <c r="P32950" s="2498"/>
    </row>
    <row r="32951" spans="16:16">
      <c r="P32951" s="2498"/>
    </row>
    <row r="32952" spans="16:16">
      <c r="P32952" s="2498"/>
    </row>
    <row r="32953" spans="16:16">
      <c r="P32953" s="2498"/>
    </row>
    <row r="32954" spans="16:16">
      <c r="P32954" s="2498"/>
    </row>
    <row r="32955" spans="16:16">
      <c r="P32955" s="2498"/>
    </row>
    <row r="32956" spans="16:16">
      <c r="P32956" s="2498"/>
    </row>
    <row r="32957" spans="16:16">
      <c r="P32957" s="2498"/>
    </row>
    <row r="32958" spans="16:16">
      <c r="P32958" s="2498"/>
    </row>
    <row r="32959" spans="16:16">
      <c r="P32959" s="2498"/>
    </row>
    <row r="32960" spans="16:16">
      <c r="P32960" s="2498"/>
    </row>
    <row r="32961" spans="16:16">
      <c r="P32961" s="2498"/>
    </row>
    <row r="32962" spans="16:16">
      <c r="P32962" s="2498"/>
    </row>
    <row r="32963" spans="16:16">
      <c r="P32963" s="2498"/>
    </row>
    <row r="32964" spans="16:16">
      <c r="P32964" s="2498"/>
    </row>
    <row r="32965" spans="16:16">
      <c r="P32965" s="2498"/>
    </row>
    <row r="32966" spans="16:16">
      <c r="P32966" s="2498"/>
    </row>
    <row r="32967" spans="16:16">
      <c r="P32967" s="2498"/>
    </row>
    <row r="32968" spans="16:16">
      <c r="P32968" s="2498"/>
    </row>
    <row r="32969" spans="16:16">
      <c r="P32969" s="2498"/>
    </row>
    <row r="32970" spans="16:16">
      <c r="P32970" s="2498"/>
    </row>
    <row r="32971" spans="16:16">
      <c r="P32971" s="2498"/>
    </row>
    <row r="32972" spans="16:16">
      <c r="P32972" s="2498"/>
    </row>
    <row r="32973" spans="16:16">
      <c r="P32973" s="2498"/>
    </row>
    <row r="32974" spans="16:16">
      <c r="P32974" s="2498"/>
    </row>
    <row r="32975" spans="16:16">
      <c r="P32975" s="2498"/>
    </row>
    <row r="32976" spans="16:16">
      <c r="P32976" s="2498"/>
    </row>
    <row r="32977" spans="16:16">
      <c r="P32977" s="2498"/>
    </row>
    <row r="32978" spans="16:16">
      <c r="P32978" s="2498"/>
    </row>
    <row r="32979" spans="16:16">
      <c r="P32979" s="2498"/>
    </row>
    <row r="32980" spans="16:16">
      <c r="P32980" s="2498"/>
    </row>
    <row r="32981" spans="16:16">
      <c r="P32981" s="2498"/>
    </row>
    <row r="32982" spans="16:16">
      <c r="P32982" s="2498"/>
    </row>
    <row r="32983" spans="16:16">
      <c r="P32983" s="2498"/>
    </row>
    <row r="32984" spans="16:16">
      <c r="P32984" s="2498"/>
    </row>
    <row r="32985" spans="16:16">
      <c r="P32985" s="2498"/>
    </row>
    <row r="32986" spans="16:16">
      <c r="P32986" s="2498"/>
    </row>
    <row r="32987" spans="16:16">
      <c r="P32987" s="2498"/>
    </row>
    <row r="32988" spans="16:16">
      <c r="P32988" s="2498"/>
    </row>
    <row r="32989" spans="16:16">
      <c r="P32989" s="2498"/>
    </row>
    <row r="32990" spans="16:16">
      <c r="P32990" s="2498"/>
    </row>
    <row r="32991" spans="16:16">
      <c r="P32991" s="2498"/>
    </row>
    <row r="32992" spans="16:16">
      <c r="P32992" s="2498"/>
    </row>
    <row r="32993" spans="16:16">
      <c r="P32993" s="2498"/>
    </row>
    <row r="32994" spans="16:16">
      <c r="P32994" s="2498"/>
    </row>
    <row r="32995" spans="16:16">
      <c r="P32995" s="2498"/>
    </row>
    <row r="32996" spans="16:16">
      <c r="P32996" s="2498"/>
    </row>
    <row r="32997" spans="16:16">
      <c r="P32997" s="2498"/>
    </row>
    <row r="32998" spans="16:16">
      <c r="P32998" s="2498"/>
    </row>
    <row r="32999" spans="16:16">
      <c r="P32999" s="2498"/>
    </row>
    <row r="33000" spans="16:16">
      <c r="P33000" s="2498"/>
    </row>
    <row r="33001" spans="16:16">
      <c r="P33001" s="2498"/>
    </row>
    <row r="33002" spans="16:16">
      <c r="P33002" s="2498"/>
    </row>
    <row r="33003" spans="16:16">
      <c r="P33003" s="2498"/>
    </row>
    <row r="33004" spans="16:16">
      <c r="P33004" s="2498"/>
    </row>
    <row r="33005" spans="16:16">
      <c r="P33005" s="2498"/>
    </row>
    <row r="33006" spans="16:16">
      <c r="P33006" s="2498"/>
    </row>
    <row r="33007" spans="16:16">
      <c r="P33007" s="2498"/>
    </row>
    <row r="33008" spans="16:16">
      <c r="P33008" s="2498"/>
    </row>
    <row r="33009" spans="16:16">
      <c r="P33009" s="2498"/>
    </row>
    <row r="33010" spans="16:16">
      <c r="P33010" s="2498"/>
    </row>
    <row r="33011" spans="16:16">
      <c r="P33011" s="2498"/>
    </row>
    <row r="33012" spans="16:16">
      <c r="P33012" s="2498"/>
    </row>
    <row r="33013" spans="16:16">
      <c r="P33013" s="2498"/>
    </row>
    <row r="33014" spans="16:16">
      <c r="P33014" s="2498"/>
    </row>
    <row r="33015" spans="16:16">
      <c r="P33015" s="2498"/>
    </row>
    <row r="33016" spans="16:16">
      <c r="P33016" s="2498"/>
    </row>
    <row r="33017" spans="16:16">
      <c r="P33017" s="2498"/>
    </row>
    <row r="33018" spans="16:16">
      <c r="P33018" s="2498"/>
    </row>
    <row r="33019" spans="16:16">
      <c r="P33019" s="2498"/>
    </row>
    <row r="33020" spans="16:16">
      <c r="P33020" s="2498"/>
    </row>
    <row r="33021" spans="16:16">
      <c r="P33021" s="2498"/>
    </row>
    <row r="33022" spans="16:16">
      <c r="P33022" s="2498"/>
    </row>
    <row r="33023" spans="16:16">
      <c r="P33023" s="2498"/>
    </row>
    <row r="33024" spans="16:16">
      <c r="P33024" s="2498"/>
    </row>
    <row r="33025" spans="16:16">
      <c r="P33025" s="2498"/>
    </row>
    <row r="33026" spans="16:16">
      <c r="P33026" s="2498"/>
    </row>
    <row r="33027" spans="16:16">
      <c r="P33027" s="2498"/>
    </row>
    <row r="33028" spans="16:16">
      <c r="P33028" s="2498"/>
    </row>
    <row r="33029" spans="16:16">
      <c r="P33029" s="2498"/>
    </row>
    <row r="33030" spans="16:16">
      <c r="P33030" s="2498"/>
    </row>
    <row r="33031" spans="16:16">
      <c r="P33031" s="2498"/>
    </row>
    <row r="33032" spans="16:16">
      <c r="P33032" s="2498"/>
    </row>
    <row r="33033" spans="16:16">
      <c r="P33033" s="2498"/>
    </row>
    <row r="33034" spans="16:16">
      <c r="P33034" s="2498"/>
    </row>
    <row r="33035" spans="16:16">
      <c r="P33035" s="2498"/>
    </row>
    <row r="33036" spans="16:16">
      <c r="P33036" s="2498"/>
    </row>
    <row r="33037" spans="16:16">
      <c r="P33037" s="2498"/>
    </row>
    <row r="33038" spans="16:16">
      <c r="P33038" s="2498"/>
    </row>
    <row r="33039" spans="16:16">
      <c r="P33039" s="2498"/>
    </row>
    <row r="33040" spans="16:16">
      <c r="P33040" s="2498"/>
    </row>
    <row r="33041" spans="16:16">
      <c r="P33041" s="2498"/>
    </row>
    <row r="33042" spans="16:16">
      <c r="P33042" s="2498"/>
    </row>
    <row r="33043" spans="16:16">
      <c r="P33043" s="2498"/>
    </row>
    <row r="33044" spans="16:16">
      <c r="P33044" s="2498"/>
    </row>
    <row r="33045" spans="16:16">
      <c r="P33045" s="2498"/>
    </row>
    <row r="33046" spans="16:16">
      <c r="P33046" s="2498"/>
    </row>
    <row r="33047" spans="16:16">
      <c r="P33047" s="2498"/>
    </row>
    <row r="33048" spans="16:16">
      <c r="P33048" s="2498"/>
    </row>
    <row r="33049" spans="16:16">
      <c r="P33049" s="2498"/>
    </row>
    <row r="33050" spans="16:16">
      <c r="P33050" s="2498"/>
    </row>
    <row r="33051" spans="16:16">
      <c r="P33051" s="2498"/>
    </row>
    <row r="33052" spans="16:16">
      <c r="P33052" s="2498"/>
    </row>
    <row r="33053" spans="16:16">
      <c r="P33053" s="2498"/>
    </row>
    <row r="33054" spans="16:16">
      <c r="P33054" s="2498"/>
    </row>
    <row r="33055" spans="16:16">
      <c r="P33055" s="2498"/>
    </row>
    <row r="33056" spans="16:16">
      <c r="P33056" s="2498"/>
    </row>
    <row r="33057" spans="16:16">
      <c r="P33057" s="2498"/>
    </row>
    <row r="33058" spans="16:16">
      <c r="P33058" s="2498"/>
    </row>
    <row r="33059" spans="16:16">
      <c r="P33059" s="2498"/>
    </row>
    <row r="33060" spans="16:16">
      <c r="P33060" s="2498"/>
    </row>
    <row r="33061" spans="16:16">
      <c r="P33061" s="2498"/>
    </row>
    <row r="33062" spans="16:16">
      <c r="P33062" s="2498"/>
    </row>
    <row r="33063" spans="16:16">
      <c r="P33063" s="2498"/>
    </row>
    <row r="33064" spans="16:16">
      <c r="P33064" s="2498"/>
    </row>
    <row r="33065" spans="16:16">
      <c r="P33065" s="2498"/>
    </row>
    <row r="33066" spans="16:16">
      <c r="P33066" s="2498"/>
    </row>
    <row r="33067" spans="16:16">
      <c r="P33067" s="2498"/>
    </row>
    <row r="33068" spans="16:16">
      <c r="P33068" s="2498"/>
    </row>
    <row r="33069" spans="16:16">
      <c r="P33069" s="2498"/>
    </row>
    <row r="33070" spans="16:16">
      <c r="P33070" s="2498"/>
    </row>
    <row r="33071" spans="16:16">
      <c r="P33071" s="2498"/>
    </row>
    <row r="33072" spans="16:16">
      <c r="P33072" s="2498"/>
    </row>
    <row r="33073" spans="16:16">
      <c r="P33073" s="2498"/>
    </row>
    <row r="33074" spans="16:16">
      <c r="P33074" s="2498"/>
    </row>
    <row r="33075" spans="16:16">
      <c r="P33075" s="2498"/>
    </row>
    <row r="33076" spans="16:16">
      <c r="P33076" s="2498"/>
    </row>
    <row r="33077" spans="16:16">
      <c r="P33077" s="2498"/>
    </row>
    <row r="33078" spans="16:16">
      <c r="P33078" s="2498"/>
    </row>
    <row r="33079" spans="16:16">
      <c r="P33079" s="2498"/>
    </row>
    <row r="33080" spans="16:16">
      <c r="P33080" s="2498"/>
    </row>
    <row r="33081" spans="16:16">
      <c r="P33081" s="2498"/>
    </row>
    <row r="33082" spans="16:16">
      <c r="P33082" s="2498"/>
    </row>
    <row r="33083" spans="16:16">
      <c r="P33083" s="2498"/>
    </row>
    <row r="33084" spans="16:16">
      <c r="P33084" s="2498"/>
    </row>
    <row r="33085" spans="16:16">
      <c r="P33085" s="2498"/>
    </row>
    <row r="33086" spans="16:16">
      <c r="P33086" s="2498"/>
    </row>
    <row r="33087" spans="16:16">
      <c r="P33087" s="2498"/>
    </row>
    <row r="33088" spans="16:16">
      <c r="P33088" s="2498"/>
    </row>
    <row r="33089" spans="16:16">
      <c r="P33089" s="2498"/>
    </row>
    <row r="33090" spans="16:16">
      <c r="P33090" s="2498"/>
    </row>
    <row r="33091" spans="16:16">
      <c r="P33091" s="2498"/>
    </row>
    <row r="33092" spans="16:16">
      <c r="P33092" s="2498"/>
    </row>
    <row r="33093" spans="16:16">
      <c r="P33093" s="2498"/>
    </row>
    <row r="33094" spans="16:16">
      <c r="P33094" s="2498"/>
    </row>
    <row r="33095" spans="16:16">
      <c r="P33095" s="2498"/>
    </row>
    <row r="33096" spans="16:16">
      <c r="P33096" s="2498"/>
    </row>
    <row r="33097" spans="16:16">
      <c r="P33097" s="2498"/>
    </row>
    <row r="33098" spans="16:16">
      <c r="P33098" s="2498"/>
    </row>
    <row r="33099" spans="16:16">
      <c r="P33099" s="2498"/>
    </row>
    <row r="33100" spans="16:16">
      <c r="P33100" s="2498"/>
    </row>
    <row r="33101" spans="16:16">
      <c r="P33101" s="2498"/>
    </row>
    <row r="33102" spans="16:16">
      <c r="P33102" s="2498"/>
    </row>
    <row r="33103" spans="16:16">
      <c r="P33103" s="2498"/>
    </row>
    <row r="33104" spans="16:16">
      <c r="P33104" s="2498"/>
    </row>
    <row r="33105" spans="16:16">
      <c r="P33105" s="2498"/>
    </row>
    <row r="33106" spans="16:16">
      <c r="P33106" s="2498"/>
    </row>
    <row r="33107" spans="16:16">
      <c r="P33107" s="2498"/>
    </row>
    <row r="33108" spans="16:16">
      <c r="P33108" s="2498"/>
    </row>
    <row r="33109" spans="16:16">
      <c r="P33109" s="2498"/>
    </row>
    <row r="33110" spans="16:16">
      <c r="P33110" s="2498"/>
    </row>
    <row r="33111" spans="16:16">
      <c r="P33111" s="2498"/>
    </row>
    <row r="33112" spans="16:16">
      <c r="P33112" s="2498"/>
    </row>
    <row r="33113" spans="16:16">
      <c r="P33113" s="2498"/>
    </row>
    <row r="33114" spans="16:16">
      <c r="P33114" s="2498"/>
    </row>
    <row r="33115" spans="16:16">
      <c r="P33115" s="2498"/>
    </row>
    <row r="33116" spans="16:16">
      <c r="P33116" s="2498"/>
    </row>
    <row r="33117" spans="16:16">
      <c r="P33117" s="2498"/>
    </row>
    <row r="33118" spans="16:16">
      <c r="P33118" s="2498"/>
    </row>
    <row r="33119" spans="16:16">
      <c r="P33119" s="2498"/>
    </row>
    <row r="33120" spans="16:16">
      <c r="P33120" s="2498"/>
    </row>
    <row r="33121" spans="16:16">
      <c r="P33121" s="2498"/>
    </row>
    <row r="33122" spans="16:16">
      <c r="P33122" s="2498"/>
    </row>
    <row r="33123" spans="16:16">
      <c r="P33123" s="2498"/>
    </row>
    <row r="33124" spans="16:16">
      <c r="P33124" s="2498"/>
    </row>
    <row r="33125" spans="16:16">
      <c r="P33125" s="2498"/>
    </row>
    <row r="33126" spans="16:16">
      <c r="P33126" s="2498"/>
    </row>
    <row r="33127" spans="16:16">
      <c r="P33127" s="2498"/>
    </row>
    <row r="33128" spans="16:16">
      <c r="P33128" s="2498"/>
    </row>
    <row r="33129" spans="16:16">
      <c r="P33129" s="2498"/>
    </row>
    <row r="33130" spans="16:16">
      <c r="P33130" s="2498"/>
    </row>
    <row r="33131" spans="16:16">
      <c r="P33131" s="2498"/>
    </row>
    <row r="33132" spans="16:16">
      <c r="P33132" s="2498"/>
    </row>
    <row r="33133" spans="16:16">
      <c r="P33133" s="2498"/>
    </row>
    <row r="33134" spans="16:16">
      <c r="P33134" s="2498"/>
    </row>
    <row r="33135" spans="16:16">
      <c r="P33135" s="2498"/>
    </row>
    <row r="33136" spans="16:16">
      <c r="P33136" s="2498"/>
    </row>
    <row r="33137" spans="16:16">
      <c r="P33137" s="2498"/>
    </row>
    <row r="33138" spans="16:16">
      <c r="P33138" s="2498"/>
    </row>
    <row r="33139" spans="16:16">
      <c r="P33139" s="2498"/>
    </row>
    <row r="33140" spans="16:16">
      <c r="P33140" s="2498"/>
    </row>
    <row r="33141" spans="16:16">
      <c r="P33141" s="2498"/>
    </row>
    <row r="33142" spans="16:16">
      <c r="P33142" s="2498"/>
    </row>
    <row r="33143" spans="16:16">
      <c r="P33143" s="2498"/>
    </row>
    <row r="33144" spans="16:16">
      <c r="P33144" s="2498"/>
    </row>
    <row r="33145" spans="16:16">
      <c r="P33145" s="2498"/>
    </row>
    <row r="33146" spans="16:16">
      <c r="P33146" s="2498"/>
    </row>
    <row r="33147" spans="16:16">
      <c r="P33147" s="2498"/>
    </row>
    <row r="33148" spans="16:16">
      <c r="P33148" s="2498"/>
    </row>
    <row r="33149" spans="16:16">
      <c r="P33149" s="2498"/>
    </row>
    <row r="33150" spans="16:16">
      <c r="P33150" s="2498"/>
    </row>
    <row r="33151" spans="16:16">
      <c r="P33151" s="2498"/>
    </row>
    <row r="33152" spans="16:16">
      <c r="P33152" s="2498"/>
    </row>
    <row r="33153" spans="16:16">
      <c r="P33153" s="2498"/>
    </row>
    <row r="33154" spans="16:16">
      <c r="P33154" s="2498"/>
    </row>
    <row r="33155" spans="16:16">
      <c r="P33155" s="2498"/>
    </row>
    <row r="33156" spans="16:16">
      <c r="P33156" s="2498"/>
    </row>
    <row r="33157" spans="16:16">
      <c r="P33157" s="2498"/>
    </row>
    <row r="33158" spans="16:16">
      <c r="P33158" s="2498"/>
    </row>
    <row r="33159" spans="16:16">
      <c r="P33159" s="2498"/>
    </row>
    <row r="33160" spans="16:16">
      <c r="P33160" s="2498"/>
    </row>
    <row r="33161" spans="16:16">
      <c r="P33161" s="2498"/>
    </row>
    <row r="33162" spans="16:16">
      <c r="P33162" s="2498"/>
    </row>
    <row r="33163" spans="16:16">
      <c r="P33163" s="2498"/>
    </row>
    <row r="33164" spans="16:16">
      <c r="P33164" s="2498"/>
    </row>
    <row r="33165" spans="16:16">
      <c r="P33165" s="2498"/>
    </row>
    <row r="33166" spans="16:16">
      <c r="P33166" s="2498"/>
    </row>
    <row r="33167" spans="16:16">
      <c r="P33167" s="2498"/>
    </row>
    <row r="33168" spans="16:16">
      <c r="P33168" s="2498"/>
    </row>
    <row r="33169" spans="16:16">
      <c r="P33169" s="2498"/>
    </row>
    <row r="33170" spans="16:16">
      <c r="P33170" s="2498"/>
    </row>
    <row r="33171" spans="16:16">
      <c r="P33171" s="2498"/>
    </row>
    <row r="33172" spans="16:16">
      <c r="P33172" s="2498"/>
    </row>
    <row r="33173" spans="16:16">
      <c r="P33173" s="2498"/>
    </row>
    <row r="33174" spans="16:16">
      <c r="P33174" s="2498"/>
    </row>
    <row r="33175" spans="16:16">
      <c r="P33175" s="2498"/>
    </row>
    <row r="33176" spans="16:16">
      <c r="P33176" s="2498"/>
    </row>
    <row r="33177" spans="16:16">
      <c r="P33177" s="2498"/>
    </row>
    <row r="33178" spans="16:16">
      <c r="P33178" s="2498"/>
    </row>
    <row r="33179" spans="16:16">
      <c r="P33179" s="2498"/>
    </row>
    <row r="33180" spans="16:16">
      <c r="P33180" s="2498"/>
    </row>
    <row r="33181" spans="16:16">
      <c r="P33181" s="2498"/>
    </row>
    <row r="33182" spans="16:16">
      <c r="P33182" s="2498"/>
    </row>
    <row r="33183" spans="16:16">
      <c r="P33183" s="2498"/>
    </row>
    <row r="33184" spans="16:16">
      <c r="P33184" s="2498"/>
    </row>
    <row r="33185" spans="16:16">
      <c r="P33185" s="2498"/>
    </row>
    <row r="33186" spans="16:16">
      <c r="P33186" s="2498"/>
    </row>
    <row r="33187" spans="16:16">
      <c r="P33187" s="2498"/>
    </row>
    <row r="33188" spans="16:16">
      <c r="P33188" s="2498"/>
    </row>
    <row r="33189" spans="16:16">
      <c r="P33189" s="2498"/>
    </row>
    <row r="33190" spans="16:16">
      <c r="P33190" s="2498"/>
    </row>
    <row r="33191" spans="16:16">
      <c r="P33191" s="2498"/>
    </row>
    <row r="33192" spans="16:16">
      <c r="P33192" s="2498"/>
    </row>
    <row r="33193" spans="16:16">
      <c r="P33193" s="2498"/>
    </row>
    <row r="33194" spans="16:16">
      <c r="P33194" s="2498"/>
    </row>
    <row r="33195" spans="16:16">
      <c r="P33195" s="2498"/>
    </row>
    <row r="33196" spans="16:16">
      <c r="P33196" s="2498"/>
    </row>
    <row r="33197" spans="16:16">
      <c r="P33197" s="2498"/>
    </row>
    <row r="33198" spans="16:16">
      <c r="P33198" s="2498"/>
    </row>
    <row r="33199" spans="16:16">
      <c r="P33199" s="2498"/>
    </row>
    <row r="33200" spans="16:16">
      <c r="P33200" s="2498"/>
    </row>
    <row r="33201" spans="16:16">
      <c r="P33201" s="2498"/>
    </row>
    <row r="33202" spans="16:16">
      <c r="P33202" s="2498"/>
    </row>
    <row r="33203" spans="16:16">
      <c r="P33203" s="2498"/>
    </row>
    <row r="33204" spans="16:16">
      <c r="P33204" s="2498"/>
    </row>
    <row r="33205" spans="16:16">
      <c r="P33205" s="2498"/>
    </row>
    <row r="33206" spans="16:16">
      <c r="P33206" s="2498"/>
    </row>
    <row r="33207" spans="16:16">
      <c r="P33207" s="2498"/>
    </row>
    <row r="33208" spans="16:16">
      <c r="P33208" s="2498"/>
    </row>
    <row r="33209" spans="16:16">
      <c r="P33209" s="2498"/>
    </row>
    <row r="33210" spans="16:16">
      <c r="P33210" s="2498"/>
    </row>
    <row r="33211" spans="16:16">
      <c r="P33211" s="2498"/>
    </row>
    <row r="33212" spans="16:16">
      <c r="P33212" s="2498"/>
    </row>
    <row r="33213" spans="16:16">
      <c r="P33213" s="2498"/>
    </row>
    <row r="33214" spans="16:16">
      <c r="P33214" s="2498"/>
    </row>
    <row r="33215" spans="16:16">
      <c r="P33215" s="2498"/>
    </row>
    <row r="33216" spans="16:16">
      <c r="P33216" s="2498"/>
    </row>
    <row r="33217" spans="16:16">
      <c r="P33217" s="2498"/>
    </row>
    <row r="33218" spans="16:16">
      <c r="P33218" s="2498"/>
    </row>
    <row r="33219" spans="16:16">
      <c r="P33219" s="2498"/>
    </row>
    <row r="33220" spans="16:16">
      <c r="P33220" s="2498"/>
    </row>
    <row r="33221" spans="16:16">
      <c r="P33221" s="2498"/>
    </row>
    <row r="33222" spans="16:16">
      <c r="P33222" s="2498"/>
    </row>
    <row r="33223" spans="16:16">
      <c r="P33223" s="2498"/>
    </row>
    <row r="33224" spans="16:16">
      <c r="P33224" s="2498"/>
    </row>
    <row r="33225" spans="16:16">
      <c r="P33225" s="2498"/>
    </row>
    <row r="33226" spans="16:16">
      <c r="P33226" s="2498"/>
    </row>
    <row r="33227" spans="16:16">
      <c r="P33227" s="2498"/>
    </row>
    <row r="33228" spans="16:16">
      <c r="P33228" s="2498"/>
    </row>
    <row r="33229" spans="16:16">
      <c r="P33229" s="2498"/>
    </row>
    <row r="33230" spans="16:16">
      <c r="P33230" s="2498"/>
    </row>
    <row r="33231" spans="16:16">
      <c r="P33231" s="2498"/>
    </row>
    <row r="33232" spans="16:16">
      <c r="P33232" s="2498"/>
    </row>
    <row r="33233" spans="16:16">
      <c r="P33233" s="2498"/>
    </row>
    <row r="33234" spans="16:16">
      <c r="P33234" s="2498"/>
    </row>
    <row r="33235" spans="16:16">
      <c r="P33235" s="2498"/>
    </row>
    <row r="33236" spans="16:16">
      <c r="P33236" s="2498"/>
    </row>
    <row r="33237" spans="16:16">
      <c r="P33237" s="2498"/>
    </row>
    <row r="33238" spans="16:16">
      <c r="P33238" s="2498"/>
    </row>
    <row r="33239" spans="16:16">
      <c r="P33239" s="2498"/>
    </row>
    <row r="33240" spans="16:16">
      <c r="P33240" s="2498"/>
    </row>
    <row r="33241" spans="16:16">
      <c r="P33241" s="2498"/>
    </row>
    <row r="33242" spans="16:16">
      <c r="P33242" s="2498"/>
    </row>
    <row r="33243" spans="16:16">
      <c r="P33243" s="2498"/>
    </row>
    <row r="33244" spans="16:16">
      <c r="P33244" s="2498"/>
    </row>
    <row r="33245" spans="16:16">
      <c r="P33245" s="2498"/>
    </row>
    <row r="33246" spans="16:16">
      <c r="P33246" s="2498"/>
    </row>
    <row r="33247" spans="16:16">
      <c r="P33247" s="2498"/>
    </row>
    <row r="33248" spans="16:16">
      <c r="P33248" s="2498"/>
    </row>
    <row r="33249" spans="16:16">
      <c r="P33249" s="2498"/>
    </row>
    <row r="33250" spans="16:16">
      <c r="P33250" s="2498"/>
    </row>
    <row r="33251" spans="16:16">
      <c r="P33251" s="2498"/>
    </row>
    <row r="33252" spans="16:16">
      <c r="P33252" s="2498"/>
    </row>
    <row r="33253" spans="16:16">
      <c r="P33253" s="2498"/>
    </row>
    <row r="33254" spans="16:16">
      <c r="P33254" s="2498"/>
    </row>
    <row r="33255" spans="16:16">
      <c r="P33255" s="2498"/>
    </row>
    <row r="33256" spans="16:16">
      <c r="P33256" s="2498"/>
    </row>
    <row r="33257" spans="16:16">
      <c r="P33257" s="2498"/>
    </row>
    <row r="33258" spans="16:16">
      <c r="P33258" s="2498"/>
    </row>
    <row r="33259" spans="16:16">
      <c r="P33259" s="2498"/>
    </row>
    <row r="33260" spans="16:16">
      <c r="P33260" s="2498"/>
    </row>
    <row r="33261" spans="16:16">
      <c r="P33261" s="2498"/>
    </row>
    <row r="33262" spans="16:16">
      <c r="P33262" s="2498"/>
    </row>
    <row r="33263" spans="16:16">
      <c r="P33263" s="2498"/>
    </row>
    <row r="33264" spans="16:16">
      <c r="P33264" s="2498"/>
    </row>
    <row r="33265" spans="16:16">
      <c r="P33265" s="2498"/>
    </row>
    <row r="33266" spans="16:16">
      <c r="P33266" s="2498"/>
    </row>
    <row r="33267" spans="16:16">
      <c r="P33267" s="2498"/>
    </row>
    <row r="33268" spans="16:16">
      <c r="P33268" s="2498"/>
    </row>
    <row r="33269" spans="16:16">
      <c r="P33269" s="2498"/>
    </row>
    <row r="33270" spans="16:16">
      <c r="P33270" s="2498"/>
    </row>
    <row r="33271" spans="16:16">
      <c r="P33271" s="2498"/>
    </row>
    <row r="33272" spans="16:16">
      <c r="P33272" s="2498"/>
    </row>
    <row r="33273" spans="16:16">
      <c r="P33273" s="2498"/>
    </row>
    <row r="33274" spans="16:16">
      <c r="P33274" s="2498"/>
    </row>
    <row r="33275" spans="16:16">
      <c r="P33275" s="2498"/>
    </row>
    <row r="33276" spans="16:16">
      <c r="P33276" s="2498"/>
    </row>
    <row r="33277" spans="16:16">
      <c r="P33277" s="2498"/>
    </row>
    <row r="33278" spans="16:16">
      <c r="P33278" s="2498"/>
    </row>
    <row r="33279" spans="16:16">
      <c r="P33279" s="2498"/>
    </row>
    <row r="33280" spans="16:16">
      <c r="P33280" s="2498"/>
    </row>
    <row r="33281" spans="16:16">
      <c r="P33281" s="2498"/>
    </row>
    <row r="33282" spans="16:16">
      <c r="P33282" s="2498"/>
    </row>
    <row r="33283" spans="16:16">
      <c r="P33283" s="2498"/>
    </row>
    <row r="33284" spans="16:16">
      <c r="P33284" s="2498"/>
    </row>
    <row r="33285" spans="16:16">
      <c r="P33285" s="2498"/>
    </row>
    <row r="33286" spans="16:16">
      <c r="P33286" s="2498"/>
    </row>
    <row r="33287" spans="16:16">
      <c r="P33287" s="2498"/>
    </row>
    <row r="33288" spans="16:16">
      <c r="P33288" s="2498"/>
    </row>
    <row r="33289" spans="16:16">
      <c r="P33289" s="2498"/>
    </row>
    <row r="33290" spans="16:16">
      <c r="P33290" s="2498"/>
    </row>
    <row r="33291" spans="16:16">
      <c r="P33291" s="2498"/>
    </row>
    <row r="33292" spans="16:16">
      <c r="P33292" s="2498"/>
    </row>
    <row r="33293" spans="16:16">
      <c r="P33293" s="2498"/>
    </row>
    <row r="33294" spans="16:16">
      <c r="P33294" s="2498"/>
    </row>
    <row r="33295" spans="16:16">
      <c r="P33295" s="2498"/>
    </row>
    <row r="33296" spans="16:16">
      <c r="P33296" s="2498"/>
    </row>
    <row r="33297" spans="16:16">
      <c r="P33297" s="2498"/>
    </row>
    <row r="33298" spans="16:16">
      <c r="P33298" s="2498"/>
    </row>
    <row r="33299" spans="16:16">
      <c r="P33299" s="2498"/>
    </row>
    <row r="33300" spans="16:16">
      <c r="P33300" s="2498"/>
    </row>
    <row r="33301" spans="16:16">
      <c r="P33301" s="2498"/>
    </row>
    <row r="33302" spans="16:16">
      <c r="P33302" s="2498"/>
    </row>
    <row r="33303" spans="16:16">
      <c r="P33303" s="2498"/>
    </row>
    <row r="33304" spans="16:16">
      <c r="P33304" s="2498"/>
    </row>
    <row r="33305" spans="16:16">
      <c r="P33305" s="2498"/>
    </row>
    <row r="33306" spans="16:16">
      <c r="P33306" s="2498"/>
    </row>
    <row r="33307" spans="16:16">
      <c r="P33307" s="2498"/>
    </row>
    <row r="33308" spans="16:16">
      <c r="P33308" s="2498"/>
    </row>
    <row r="33309" spans="16:16">
      <c r="P33309" s="2498"/>
    </row>
    <row r="33310" spans="16:16">
      <c r="P33310" s="2498"/>
    </row>
    <row r="33311" spans="16:16">
      <c r="P33311" s="2498"/>
    </row>
    <row r="33312" spans="16:16">
      <c r="P33312" s="2498"/>
    </row>
    <row r="33313" spans="16:16">
      <c r="P33313" s="2498"/>
    </row>
    <row r="33314" spans="16:16">
      <c r="P33314" s="2498"/>
    </row>
    <row r="33315" spans="16:16">
      <c r="P33315" s="2498"/>
    </row>
    <row r="33316" spans="16:16">
      <c r="P33316" s="2498"/>
    </row>
    <row r="33317" spans="16:16">
      <c r="P33317" s="2498"/>
    </row>
    <row r="33318" spans="16:16">
      <c r="P33318" s="2498"/>
    </row>
    <row r="33319" spans="16:16">
      <c r="P33319" s="2498"/>
    </row>
    <row r="33320" spans="16:16">
      <c r="P33320" s="2498"/>
    </row>
    <row r="33321" spans="16:16">
      <c r="P33321" s="2498"/>
    </row>
    <row r="33322" spans="16:16">
      <c r="P33322" s="2498"/>
    </row>
    <row r="33323" spans="16:16">
      <c r="P33323" s="2498"/>
    </row>
    <row r="33324" spans="16:16">
      <c r="P33324" s="2498"/>
    </row>
    <row r="33325" spans="16:16">
      <c r="P33325" s="2498"/>
    </row>
    <row r="33326" spans="16:16">
      <c r="P33326" s="2498"/>
    </row>
    <row r="33327" spans="16:16">
      <c r="P33327" s="2498"/>
    </row>
    <row r="33328" spans="16:16">
      <c r="P33328" s="2498"/>
    </row>
    <row r="33329" spans="16:16">
      <c r="P33329" s="2498"/>
    </row>
    <row r="33330" spans="16:16">
      <c r="P33330" s="2498"/>
    </row>
    <row r="33331" spans="16:16">
      <c r="P33331" s="2498"/>
    </row>
    <row r="33332" spans="16:16">
      <c r="P33332" s="2498"/>
    </row>
    <row r="33333" spans="16:16">
      <c r="P33333" s="2498"/>
    </row>
    <row r="33334" spans="16:16">
      <c r="P33334" s="2498"/>
    </row>
    <row r="33335" spans="16:16">
      <c r="P33335" s="2498"/>
    </row>
    <row r="33336" spans="16:16">
      <c r="P33336" s="2498"/>
    </row>
    <row r="33337" spans="16:16">
      <c r="P33337" s="2498"/>
    </row>
    <row r="33338" spans="16:16">
      <c r="P33338" s="2498"/>
    </row>
    <row r="33339" spans="16:16">
      <c r="P33339" s="2498"/>
    </row>
    <row r="33340" spans="16:16">
      <c r="P33340" s="2498"/>
    </row>
    <row r="33341" spans="16:16">
      <c r="P33341" s="2498"/>
    </row>
    <row r="33342" spans="16:16">
      <c r="P33342" s="2498"/>
    </row>
    <row r="33343" spans="16:16">
      <c r="P33343" s="2498"/>
    </row>
    <row r="33344" spans="16:16">
      <c r="P33344" s="2498"/>
    </row>
    <row r="33345" spans="16:16">
      <c r="P33345" s="2498"/>
    </row>
    <row r="33346" spans="16:16">
      <c r="P33346" s="2498"/>
    </row>
    <row r="33347" spans="16:16">
      <c r="P33347" s="2498"/>
    </row>
    <row r="33348" spans="16:16">
      <c r="P33348" s="2498"/>
    </row>
    <row r="33349" spans="16:16">
      <c r="P33349" s="2498"/>
    </row>
    <row r="33350" spans="16:16">
      <c r="P33350" s="2498"/>
    </row>
    <row r="33351" spans="16:16">
      <c r="P33351" s="2498"/>
    </row>
    <row r="33352" spans="16:16">
      <c r="P33352" s="2498"/>
    </row>
    <row r="33353" spans="16:16">
      <c r="P33353" s="2498"/>
    </row>
    <row r="33354" spans="16:16">
      <c r="P33354" s="2498"/>
    </row>
    <row r="33355" spans="16:16">
      <c r="P33355" s="2498"/>
    </row>
    <row r="33356" spans="16:16">
      <c r="P33356" s="2498"/>
    </row>
    <row r="33357" spans="16:16">
      <c r="P33357" s="2498"/>
    </row>
    <row r="33358" spans="16:16">
      <c r="P33358" s="2498"/>
    </row>
    <row r="33359" spans="16:16">
      <c r="P33359" s="2498"/>
    </row>
    <row r="33360" spans="16:16">
      <c r="P33360" s="2498"/>
    </row>
    <row r="33361" spans="16:16">
      <c r="P33361" s="2498"/>
    </row>
    <row r="33362" spans="16:16">
      <c r="P33362" s="2498"/>
    </row>
    <row r="33363" spans="16:16">
      <c r="P33363" s="2498"/>
    </row>
    <row r="33364" spans="16:16">
      <c r="P33364" s="2498"/>
    </row>
    <row r="33365" spans="16:16">
      <c r="P33365" s="2498"/>
    </row>
    <row r="33366" spans="16:16">
      <c r="P33366" s="2498"/>
    </row>
    <row r="33367" spans="16:16">
      <c r="P33367" s="2498"/>
    </row>
    <row r="33368" spans="16:16">
      <c r="P33368" s="2498"/>
    </row>
    <row r="33369" spans="16:16">
      <c r="P33369" s="2498"/>
    </row>
    <row r="33370" spans="16:16">
      <c r="P33370" s="2498"/>
    </row>
    <row r="33371" spans="16:16">
      <c r="P33371" s="2498"/>
    </row>
    <row r="33372" spans="16:16">
      <c r="P33372" s="2498"/>
    </row>
    <row r="33373" spans="16:16">
      <c r="P33373" s="2498"/>
    </row>
    <row r="33374" spans="16:16">
      <c r="P33374" s="2498"/>
    </row>
    <row r="33375" spans="16:16">
      <c r="P33375" s="2498"/>
    </row>
    <row r="33376" spans="16:16">
      <c r="P33376" s="2498"/>
    </row>
    <row r="33377" spans="16:16">
      <c r="P33377" s="2498"/>
    </row>
    <row r="33378" spans="16:16">
      <c r="P33378" s="2498"/>
    </row>
    <row r="33379" spans="16:16">
      <c r="P33379" s="2498"/>
    </row>
    <row r="33380" spans="16:16">
      <c r="P33380" s="2498"/>
    </row>
    <row r="33381" spans="16:16">
      <c r="P33381" s="2498"/>
    </row>
    <row r="33382" spans="16:16">
      <c r="P33382" s="2498"/>
    </row>
    <row r="33383" spans="16:16">
      <c r="P33383" s="2498"/>
    </row>
    <row r="33384" spans="16:16">
      <c r="P33384" s="2498"/>
    </row>
    <row r="33385" spans="16:16">
      <c r="P33385" s="2498"/>
    </row>
    <row r="33386" spans="16:16">
      <c r="P33386" s="2498"/>
    </row>
    <row r="33387" spans="16:16">
      <c r="P33387" s="2498"/>
    </row>
    <row r="33388" spans="16:16">
      <c r="P33388" s="2498"/>
    </row>
    <row r="33389" spans="16:16">
      <c r="P33389" s="2498"/>
    </row>
    <row r="33390" spans="16:16">
      <c r="P33390" s="2498"/>
    </row>
    <row r="33391" spans="16:16">
      <c r="P33391" s="2498"/>
    </row>
    <row r="33392" spans="16:16">
      <c r="P33392" s="2498"/>
    </row>
    <row r="33393" spans="16:16">
      <c r="P33393" s="2498"/>
    </row>
    <row r="33394" spans="16:16">
      <c r="P33394" s="2498"/>
    </row>
    <row r="33395" spans="16:16">
      <c r="P33395" s="2498"/>
    </row>
    <row r="33396" spans="16:16">
      <c r="P33396" s="2498"/>
    </row>
    <row r="33397" spans="16:16">
      <c r="P33397" s="2498"/>
    </row>
    <row r="33398" spans="16:16">
      <c r="P33398" s="2498"/>
    </row>
    <row r="33399" spans="16:16">
      <c r="P33399" s="2498"/>
    </row>
    <row r="33400" spans="16:16">
      <c r="P33400" s="2498"/>
    </row>
    <row r="33401" spans="16:16">
      <c r="P33401" s="2498"/>
    </row>
    <row r="33402" spans="16:16">
      <c r="P33402" s="2498"/>
    </row>
    <row r="33403" spans="16:16">
      <c r="P33403" s="2498"/>
    </row>
    <row r="33404" spans="16:16">
      <c r="P33404" s="2498"/>
    </row>
    <row r="33405" spans="16:16">
      <c r="P33405" s="2498"/>
    </row>
    <row r="33406" spans="16:16">
      <c r="P33406" s="2498"/>
    </row>
    <row r="33407" spans="16:16">
      <c r="P33407" s="2498"/>
    </row>
    <row r="33408" spans="16:16">
      <c r="P33408" s="2498"/>
    </row>
    <row r="33409" spans="16:16">
      <c r="P33409" s="2498"/>
    </row>
    <row r="33410" spans="16:16">
      <c r="P33410" s="2498"/>
    </row>
    <row r="33411" spans="16:16">
      <c r="P33411" s="2498"/>
    </row>
    <row r="33412" spans="16:16">
      <c r="P33412" s="2498"/>
    </row>
    <row r="33413" spans="16:16">
      <c r="P33413" s="2498"/>
    </row>
    <row r="33414" spans="16:16">
      <c r="P33414" s="2498"/>
    </row>
    <row r="33415" spans="16:16">
      <c r="P33415" s="2498"/>
    </row>
    <row r="33416" spans="16:16">
      <c r="P33416" s="2498"/>
    </row>
    <row r="33417" spans="16:16">
      <c r="P33417" s="2498"/>
    </row>
    <row r="33418" spans="16:16">
      <c r="P33418" s="2498"/>
    </row>
    <row r="33419" spans="16:16">
      <c r="P33419" s="2498"/>
    </row>
    <row r="33420" spans="16:16">
      <c r="P33420" s="2498"/>
    </row>
    <row r="33421" spans="16:16">
      <c r="P33421" s="2498"/>
    </row>
    <row r="33422" spans="16:16">
      <c r="P33422" s="2498"/>
    </row>
    <row r="33423" spans="16:16">
      <c r="P33423" s="2498"/>
    </row>
    <row r="33424" spans="16:16">
      <c r="P33424" s="2498"/>
    </row>
    <row r="33425" spans="16:16">
      <c r="P33425" s="2498"/>
    </row>
    <row r="33426" spans="16:16">
      <c r="P33426" s="2498"/>
    </row>
    <row r="33427" spans="16:16">
      <c r="P33427" s="2498"/>
    </row>
    <row r="33428" spans="16:16">
      <c r="P33428" s="2498"/>
    </row>
    <row r="33429" spans="16:16">
      <c r="P33429" s="2498"/>
    </row>
    <row r="33430" spans="16:16">
      <c r="P33430" s="2498"/>
    </row>
    <row r="33431" spans="16:16">
      <c r="P33431" s="2498"/>
    </row>
    <row r="33432" spans="16:16">
      <c r="P33432" s="2498"/>
    </row>
    <row r="33433" spans="16:16">
      <c r="P33433" s="2498"/>
    </row>
    <row r="33434" spans="16:16">
      <c r="P33434" s="2498"/>
    </row>
    <row r="33435" spans="16:16">
      <c r="P33435" s="2498"/>
    </row>
    <row r="33436" spans="16:16">
      <c r="P33436" s="2498"/>
    </row>
    <row r="33437" spans="16:16">
      <c r="P33437" s="2498"/>
    </row>
    <row r="33438" spans="16:16">
      <c r="P33438" s="2498"/>
    </row>
    <row r="33439" spans="16:16">
      <c r="P33439" s="2498"/>
    </row>
    <row r="33440" spans="16:16">
      <c r="P33440" s="2498"/>
    </row>
    <row r="33441" spans="16:16">
      <c r="P33441" s="2498"/>
    </row>
    <row r="33442" spans="16:16">
      <c r="P33442" s="2498"/>
    </row>
    <row r="33443" spans="16:16">
      <c r="P33443" s="2498"/>
    </row>
    <row r="33444" spans="16:16">
      <c r="P33444" s="2498"/>
    </row>
    <row r="33445" spans="16:16">
      <c r="P33445" s="2498"/>
    </row>
    <row r="33446" spans="16:16">
      <c r="P33446" s="2498"/>
    </row>
    <row r="33447" spans="16:16">
      <c r="P33447" s="2498"/>
    </row>
    <row r="33448" spans="16:16">
      <c r="P33448" s="2498"/>
    </row>
    <row r="33449" spans="16:16">
      <c r="P33449" s="2498"/>
    </row>
    <row r="33450" spans="16:16">
      <c r="P33450" s="2498"/>
    </row>
    <row r="33451" spans="16:16">
      <c r="P33451" s="2498"/>
    </row>
    <row r="33452" spans="16:16">
      <c r="P33452" s="2498"/>
    </row>
    <row r="33453" spans="16:16">
      <c r="P33453" s="2498"/>
    </row>
    <row r="33454" spans="16:16">
      <c r="P33454" s="2498"/>
    </row>
    <row r="33455" spans="16:16">
      <c r="P33455" s="2498"/>
    </row>
    <row r="33456" spans="16:16">
      <c r="P33456" s="2498"/>
    </row>
    <row r="33457" spans="16:16">
      <c r="P33457" s="2498"/>
    </row>
    <row r="33458" spans="16:16">
      <c r="P33458" s="2498"/>
    </row>
    <row r="33459" spans="16:16">
      <c r="P33459" s="2498"/>
    </row>
    <row r="33460" spans="16:16">
      <c r="P33460" s="2498"/>
    </row>
    <row r="33461" spans="16:16">
      <c r="P33461" s="2498"/>
    </row>
    <row r="33462" spans="16:16">
      <c r="P33462" s="2498"/>
    </row>
    <row r="33463" spans="16:16">
      <c r="P33463" s="2498"/>
    </row>
    <row r="33464" spans="16:16">
      <c r="P33464" s="2498"/>
    </row>
    <row r="33465" spans="16:16">
      <c r="P33465" s="2498"/>
    </row>
    <row r="33466" spans="16:16">
      <c r="P33466" s="2498"/>
    </row>
    <row r="33467" spans="16:16">
      <c r="P33467" s="2498"/>
    </row>
    <row r="33468" spans="16:16">
      <c r="P33468" s="2498"/>
    </row>
    <row r="33469" spans="16:16">
      <c r="P33469" s="2498"/>
    </row>
    <row r="33470" spans="16:16">
      <c r="P33470" s="2498"/>
    </row>
    <row r="33471" spans="16:16">
      <c r="P33471" s="2498"/>
    </row>
    <row r="33472" spans="16:16">
      <c r="P33472" s="2498"/>
    </row>
    <row r="33473" spans="16:16">
      <c r="P33473" s="2498"/>
    </row>
    <row r="33474" spans="16:16">
      <c r="P33474" s="2498"/>
    </row>
    <row r="33475" spans="16:16">
      <c r="P33475" s="2498"/>
    </row>
    <row r="33476" spans="16:16">
      <c r="P33476" s="2498"/>
    </row>
    <row r="33477" spans="16:16">
      <c r="P33477" s="2498"/>
    </row>
    <row r="33478" spans="16:16">
      <c r="P33478" s="2498"/>
    </row>
    <row r="33479" spans="16:16">
      <c r="P33479" s="2498"/>
    </row>
    <row r="33480" spans="16:16">
      <c r="P33480" s="2498"/>
    </row>
    <row r="33481" spans="16:16">
      <c r="P33481" s="2498"/>
    </row>
    <row r="33482" spans="16:16">
      <c r="P33482" s="2498"/>
    </row>
    <row r="33483" spans="16:16">
      <c r="P33483" s="2498"/>
    </row>
    <row r="33484" spans="16:16">
      <c r="P33484" s="2498"/>
    </row>
    <row r="33485" spans="16:16">
      <c r="P33485" s="2498"/>
    </row>
    <row r="33486" spans="16:16">
      <c r="P33486" s="2498"/>
    </row>
    <row r="33487" spans="16:16">
      <c r="P33487" s="2498"/>
    </row>
    <row r="33488" spans="16:16">
      <c r="P33488" s="2498"/>
    </row>
    <row r="33489" spans="16:16">
      <c r="P33489" s="2498"/>
    </row>
    <row r="33490" spans="16:16">
      <c r="P33490" s="2498"/>
    </row>
    <row r="33491" spans="16:16">
      <c r="P33491" s="2498"/>
    </row>
    <row r="33492" spans="16:16">
      <c r="P33492" s="2498"/>
    </row>
    <row r="33493" spans="16:16">
      <c r="P33493" s="2498"/>
    </row>
    <row r="33494" spans="16:16">
      <c r="P33494" s="2498"/>
    </row>
    <row r="33495" spans="16:16">
      <c r="P33495" s="2498"/>
    </row>
    <row r="33496" spans="16:16">
      <c r="P33496" s="2498"/>
    </row>
    <row r="33497" spans="16:16">
      <c r="P33497" s="2498"/>
    </row>
    <row r="33498" spans="16:16">
      <c r="P33498" s="2498"/>
    </row>
    <row r="33499" spans="16:16">
      <c r="P33499" s="2498"/>
    </row>
    <row r="33500" spans="16:16">
      <c r="P33500" s="2498"/>
    </row>
    <row r="33501" spans="16:16">
      <c r="P33501" s="2498"/>
    </row>
    <row r="33502" spans="16:16">
      <c r="P33502" s="2498"/>
    </row>
    <row r="33503" spans="16:16">
      <c r="P33503" s="2498"/>
    </row>
    <row r="33504" spans="16:16">
      <c r="P33504" s="2498"/>
    </row>
    <row r="33505" spans="16:16">
      <c r="P33505" s="2498"/>
    </row>
    <row r="33506" spans="16:16">
      <c r="P33506" s="2498"/>
    </row>
    <row r="33507" spans="16:16">
      <c r="P33507" s="2498"/>
    </row>
    <row r="33508" spans="16:16">
      <c r="P33508" s="2498"/>
    </row>
    <row r="33509" spans="16:16">
      <c r="P33509" s="2498"/>
    </row>
    <row r="33510" spans="16:16">
      <c r="P33510" s="2498"/>
    </row>
    <row r="33511" spans="16:16">
      <c r="P33511" s="2498"/>
    </row>
    <row r="33512" spans="16:16">
      <c r="P33512" s="2498"/>
    </row>
    <row r="33513" spans="16:16">
      <c r="P33513" s="2498"/>
    </row>
    <row r="33514" spans="16:16">
      <c r="P33514" s="2498"/>
    </row>
    <row r="33515" spans="16:16">
      <c r="P33515" s="2498"/>
    </row>
    <row r="33516" spans="16:16">
      <c r="P33516" s="2498"/>
    </row>
    <row r="33517" spans="16:16">
      <c r="P33517" s="2498"/>
    </row>
    <row r="33518" spans="16:16">
      <c r="P33518" s="2498"/>
    </row>
    <row r="33519" spans="16:16">
      <c r="P33519" s="2498"/>
    </row>
    <row r="33520" spans="16:16">
      <c r="P33520" s="2498"/>
    </row>
    <row r="33521" spans="16:16">
      <c r="P33521" s="2498"/>
    </row>
    <row r="33522" spans="16:16">
      <c r="P33522" s="2498"/>
    </row>
    <row r="33523" spans="16:16">
      <c r="P33523" s="2498"/>
    </row>
    <row r="33524" spans="16:16">
      <c r="P33524" s="2498"/>
    </row>
    <row r="33525" spans="16:16">
      <c r="P33525" s="2498"/>
    </row>
    <row r="33526" spans="16:16">
      <c r="P33526" s="2498"/>
    </row>
    <row r="33527" spans="16:16">
      <c r="P33527" s="2498"/>
    </row>
    <row r="33528" spans="16:16">
      <c r="P33528" s="2498"/>
    </row>
    <row r="33529" spans="16:16">
      <c r="P33529" s="2498"/>
    </row>
    <row r="33530" spans="16:16">
      <c r="P33530" s="2498"/>
    </row>
    <row r="33531" spans="16:16">
      <c r="P33531" s="2498"/>
    </row>
    <row r="33532" spans="16:16">
      <c r="P33532" s="2498"/>
    </row>
    <row r="33533" spans="16:16">
      <c r="P33533" s="2498"/>
    </row>
    <row r="33534" spans="16:16">
      <c r="P33534" s="2498"/>
    </row>
    <row r="33535" spans="16:16">
      <c r="P33535" s="2498"/>
    </row>
    <row r="33536" spans="16:16">
      <c r="P33536" s="2498"/>
    </row>
    <row r="33537" spans="16:16">
      <c r="P33537" s="2498"/>
    </row>
    <row r="33538" spans="16:16">
      <c r="P33538" s="2498"/>
    </row>
    <row r="33539" spans="16:16">
      <c r="P33539" s="2498"/>
    </row>
    <row r="33540" spans="16:16">
      <c r="P33540" s="2498"/>
    </row>
    <row r="33541" spans="16:16">
      <c r="P33541" s="2498"/>
    </row>
    <row r="33542" spans="16:16">
      <c r="P33542" s="2498"/>
    </row>
    <row r="33543" spans="16:16">
      <c r="P33543" s="2498"/>
    </row>
    <row r="33544" spans="16:16">
      <c r="P33544" s="2498"/>
    </row>
    <row r="33545" spans="16:16">
      <c r="P33545" s="2498"/>
    </row>
    <row r="33546" spans="16:16">
      <c r="P33546" s="2498"/>
    </row>
    <row r="33547" spans="16:16">
      <c r="P33547" s="2498"/>
    </row>
    <row r="33548" spans="16:16">
      <c r="P33548" s="2498"/>
    </row>
    <row r="33549" spans="16:16">
      <c r="P33549" s="2498"/>
    </row>
    <row r="33550" spans="16:16">
      <c r="P33550" s="2498"/>
    </row>
    <row r="33551" spans="16:16">
      <c r="P33551" s="2498"/>
    </row>
    <row r="33552" spans="16:16">
      <c r="P33552" s="2498"/>
    </row>
    <row r="33553" spans="16:16">
      <c r="P33553" s="2498"/>
    </row>
    <row r="33554" spans="16:16">
      <c r="P33554" s="2498"/>
    </row>
    <row r="33555" spans="16:16">
      <c r="P33555" s="2498"/>
    </row>
    <row r="33556" spans="16:16">
      <c r="P33556" s="2498"/>
    </row>
    <row r="33557" spans="16:16">
      <c r="P33557" s="2498"/>
    </row>
    <row r="33558" spans="16:16">
      <c r="P33558" s="2498"/>
    </row>
    <row r="33559" spans="16:16">
      <c r="P33559" s="2498"/>
    </row>
    <row r="33560" spans="16:16">
      <c r="P33560" s="2498"/>
    </row>
    <row r="33561" spans="16:16">
      <c r="P33561" s="2498"/>
    </row>
    <row r="33562" spans="16:16">
      <c r="P33562" s="2498"/>
    </row>
    <row r="33563" spans="16:16">
      <c r="P33563" s="2498"/>
    </row>
    <row r="33564" spans="16:16">
      <c r="P33564" s="2498"/>
    </row>
    <row r="33565" spans="16:16">
      <c r="P33565" s="2498"/>
    </row>
    <row r="33566" spans="16:16">
      <c r="P33566" s="2498"/>
    </row>
    <row r="33567" spans="16:16">
      <c r="P33567" s="2498"/>
    </row>
    <row r="33568" spans="16:16">
      <c r="P33568" s="2498"/>
    </row>
    <row r="33569" spans="16:16">
      <c r="P33569" s="2498"/>
    </row>
    <row r="33570" spans="16:16">
      <c r="P33570" s="2498"/>
    </row>
    <row r="33571" spans="16:16">
      <c r="P33571" s="2498"/>
    </row>
    <row r="33572" spans="16:16">
      <c r="P33572" s="2498"/>
    </row>
    <row r="33573" spans="16:16">
      <c r="P33573" s="2498"/>
    </row>
    <row r="33574" spans="16:16">
      <c r="P33574" s="2498"/>
    </row>
    <row r="33575" spans="16:16">
      <c r="P33575" s="2498"/>
    </row>
    <row r="33576" spans="16:16">
      <c r="P33576" s="2498"/>
    </row>
    <row r="33577" spans="16:16">
      <c r="P33577" s="2498"/>
    </row>
    <row r="33578" spans="16:16">
      <c r="P33578" s="2498"/>
    </row>
    <row r="33579" spans="16:16">
      <c r="P33579" s="2498"/>
    </row>
    <row r="33580" spans="16:16">
      <c r="P33580" s="2498"/>
    </row>
    <row r="33581" spans="16:16">
      <c r="P33581" s="2498"/>
    </row>
    <row r="33582" spans="16:16">
      <c r="P33582" s="2498"/>
    </row>
    <row r="33583" spans="16:16">
      <c r="P33583" s="2498"/>
    </row>
    <row r="33584" spans="16:16">
      <c r="P33584" s="2498"/>
    </row>
    <row r="33585" spans="16:16">
      <c r="P33585" s="2498"/>
    </row>
    <row r="33586" spans="16:16">
      <c r="P33586" s="2498"/>
    </row>
    <row r="33587" spans="16:16">
      <c r="P33587" s="2498"/>
    </row>
    <row r="33588" spans="16:16">
      <c r="P33588" s="2498"/>
    </row>
    <row r="33589" spans="16:16">
      <c r="P33589" s="2498"/>
    </row>
    <row r="33590" spans="16:16">
      <c r="P33590" s="2498"/>
    </row>
    <row r="33591" spans="16:16">
      <c r="P33591" s="2498"/>
    </row>
    <row r="33592" spans="16:16">
      <c r="P33592" s="2498"/>
    </row>
    <row r="33593" spans="16:16">
      <c r="P33593" s="2498"/>
    </row>
    <row r="33594" spans="16:16">
      <c r="P33594" s="2498"/>
    </row>
    <row r="33595" spans="16:16">
      <c r="P33595" s="2498"/>
    </row>
    <row r="33596" spans="16:16">
      <c r="P33596" s="2498"/>
    </row>
    <row r="33597" spans="16:16">
      <c r="P33597" s="2498"/>
    </row>
    <row r="33598" spans="16:16">
      <c r="P33598" s="2498"/>
    </row>
    <row r="33599" spans="16:16">
      <c r="P33599" s="2498"/>
    </row>
    <row r="33600" spans="16:16">
      <c r="P33600" s="2498"/>
    </row>
    <row r="33601" spans="16:16">
      <c r="P33601" s="2498"/>
    </row>
    <row r="33602" spans="16:16">
      <c r="P33602" s="2498"/>
    </row>
    <row r="33603" spans="16:16">
      <c r="P33603" s="2498"/>
    </row>
    <row r="33604" spans="16:16">
      <c r="P33604" s="2498"/>
    </row>
    <row r="33605" spans="16:16">
      <c r="P33605" s="2498"/>
    </row>
    <row r="33606" spans="16:16">
      <c r="P33606" s="2498"/>
    </row>
    <row r="33607" spans="16:16">
      <c r="P33607" s="2498"/>
    </row>
    <row r="33608" spans="16:16">
      <c r="P33608" s="2498"/>
    </row>
    <row r="33609" spans="16:16">
      <c r="P33609" s="2498"/>
    </row>
    <row r="33610" spans="16:16">
      <c r="P33610" s="2498"/>
    </row>
    <row r="33611" spans="16:16">
      <c r="P33611" s="2498"/>
    </row>
    <row r="33612" spans="16:16">
      <c r="P33612" s="2498"/>
    </row>
    <row r="33613" spans="16:16">
      <c r="P33613" s="2498"/>
    </row>
    <row r="33614" spans="16:16">
      <c r="P33614" s="2498"/>
    </row>
    <row r="33615" spans="16:16">
      <c r="P33615" s="2498"/>
    </row>
    <row r="33616" spans="16:16">
      <c r="P33616" s="2498"/>
    </row>
    <row r="33617" spans="16:16">
      <c r="P33617" s="2498"/>
    </row>
    <row r="33618" spans="16:16">
      <c r="P33618" s="2498"/>
    </row>
    <row r="33619" spans="16:16">
      <c r="P33619" s="2498"/>
    </row>
    <row r="33620" spans="16:16">
      <c r="P33620" s="2498"/>
    </row>
    <row r="33621" spans="16:16">
      <c r="P33621" s="2498"/>
    </row>
    <row r="33622" spans="16:16">
      <c r="P33622" s="2498"/>
    </row>
    <row r="33623" spans="16:16">
      <c r="P33623" s="2498"/>
    </row>
    <row r="33624" spans="16:16">
      <c r="P33624" s="2498"/>
    </row>
    <row r="33625" spans="16:16">
      <c r="P33625" s="2498"/>
    </row>
    <row r="33626" spans="16:16">
      <c r="P33626" s="2498"/>
    </row>
    <row r="33627" spans="16:16">
      <c r="P33627" s="2498"/>
    </row>
    <row r="33628" spans="16:16">
      <c r="P33628" s="2498"/>
    </row>
    <row r="33629" spans="16:16">
      <c r="P33629" s="2498"/>
    </row>
    <row r="33630" spans="16:16">
      <c r="P33630" s="2498"/>
    </row>
    <row r="33631" spans="16:16">
      <c r="P33631" s="2498"/>
    </row>
    <row r="33632" spans="16:16">
      <c r="P33632" s="2498"/>
    </row>
    <row r="33633" spans="16:16">
      <c r="P33633" s="2498"/>
    </row>
    <row r="33634" spans="16:16">
      <c r="P33634" s="2498"/>
    </row>
    <row r="33635" spans="16:16">
      <c r="P33635" s="2498"/>
    </row>
    <row r="33636" spans="16:16">
      <c r="P33636" s="2498"/>
    </row>
    <row r="33637" spans="16:16">
      <c r="P33637" s="2498"/>
    </row>
    <row r="33638" spans="16:16">
      <c r="P33638" s="2498"/>
    </row>
    <row r="33639" spans="16:16">
      <c r="P33639" s="2498"/>
    </row>
    <row r="33640" spans="16:16">
      <c r="P33640" s="2498"/>
    </row>
    <row r="33641" spans="16:16">
      <c r="P33641" s="2498"/>
    </row>
    <row r="33642" spans="16:16">
      <c r="P33642" s="2498"/>
    </row>
    <row r="33643" spans="16:16">
      <c r="P33643" s="2498"/>
    </row>
    <row r="33644" spans="16:16">
      <c r="P33644" s="2498"/>
    </row>
    <row r="33645" spans="16:16">
      <c r="P33645" s="2498"/>
    </row>
    <row r="33646" spans="16:16">
      <c r="P33646" s="2498"/>
    </row>
    <row r="33647" spans="16:16">
      <c r="P33647" s="2498"/>
    </row>
    <row r="33648" spans="16:16">
      <c r="P33648" s="2498"/>
    </row>
    <row r="33649" spans="16:16">
      <c r="P33649" s="2498"/>
    </row>
    <row r="33650" spans="16:16">
      <c r="P33650" s="2498"/>
    </row>
    <row r="33651" spans="16:16">
      <c r="P33651" s="2498"/>
    </row>
    <row r="33652" spans="16:16">
      <c r="P33652" s="2498"/>
    </row>
    <row r="33653" spans="16:16">
      <c r="P33653" s="2498"/>
    </row>
    <row r="33654" spans="16:16">
      <c r="P33654" s="2498"/>
    </row>
    <row r="33655" spans="16:16">
      <c r="P33655" s="2498"/>
    </row>
    <row r="33656" spans="16:16">
      <c r="P33656" s="2498"/>
    </row>
    <row r="33657" spans="16:16">
      <c r="P33657" s="2498"/>
    </row>
    <row r="33658" spans="16:16">
      <c r="P33658" s="2498"/>
    </row>
    <row r="33659" spans="16:16">
      <c r="P33659" s="2498"/>
    </row>
    <row r="33660" spans="16:16">
      <c r="P33660" s="2498"/>
    </row>
    <row r="33661" spans="16:16">
      <c r="P33661" s="2498"/>
    </row>
    <row r="33662" spans="16:16">
      <c r="P33662" s="2498"/>
    </row>
    <row r="33663" spans="16:16">
      <c r="P33663" s="2498"/>
    </row>
    <row r="33664" spans="16:16">
      <c r="P33664" s="2498"/>
    </row>
    <row r="33665" spans="16:16">
      <c r="P33665" s="2498"/>
    </row>
    <row r="33666" spans="16:16">
      <c r="P33666" s="2498"/>
    </row>
    <row r="33667" spans="16:16">
      <c r="P33667" s="2498"/>
    </row>
    <row r="33668" spans="16:16">
      <c r="P33668" s="2498"/>
    </row>
    <row r="33669" spans="16:16">
      <c r="P33669" s="2498"/>
    </row>
    <row r="33670" spans="16:16">
      <c r="P33670" s="2498"/>
    </row>
    <row r="33671" spans="16:16">
      <c r="P33671" s="2498"/>
    </row>
    <row r="33672" spans="16:16">
      <c r="P33672" s="2498"/>
    </row>
    <row r="33673" spans="16:16">
      <c r="P33673" s="2498"/>
    </row>
    <row r="33674" spans="16:16">
      <c r="P33674" s="2498"/>
    </row>
    <row r="33675" spans="16:16">
      <c r="P33675" s="2498"/>
    </row>
    <row r="33676" spans="16:16">
      <c r="P33676" s="2498"/>
    </row>
    <row r="33677" spans="16:16">
      <c r="P33677" s="2498"/>
    </row>
    <row r="33678" spans="16:16">
      <c r="P33678" s="2498"/>
    </row>
    <row r="33679" spans="16:16">
      <c r="P33679" s="2498"/>
    </row>
    <row r="33680" spans="16:16">
      <c r="P33680" s="2498"/>
    </row>
    <row r="33681" spans="16:16">
      <c r="P33681" s="2498"/>
    </row>
    <row r="33682" spans="16:16">
      <c r="P33682" s="2498"/>
    </row>
    <row r="33683" spans="16:16">
      <c r="P33683" s="2498"/>
    </row>
    <row r="33684" spans="16:16">
      <c r="P33684" s="2498"/>
    </row>
    <row r="33685" spans="16:16">
      <c r="P33685" s="2498"/>
    </row>
    <row r="33686" spans="16:16">
      <c r="P33686" s="2498"/>
    </row>
    <row r="33687" spans="16:16">
      <c r="P33687" s="2498"/>
    </row>
    <row r="33688" spans="16:16">
      <c r="P33688" s="2498"/>
    </row>
    <row r="33689" spans="16:16">
      <c r="P33689" s="2498"/>
    </row>
    <row r="33690" spans="16:16">
      <c r="P33690" s="2498"/>
    </row>
    <row r="33691" spans="16:16">
      <c r="P33691" s="2498"/>
    </row>
    <row r="33692" spans="16:16">
      <c r="P33692" s="2498"/>
    </row>
    <row r="33693" spans="16:16">
      <c r="P33693" s="2498"/>
    </row>
    <row r="33694" spans="16:16">
      <c r="P33694" s="2498"/>
    </row>
    <row r="33695" spans="16:16">
      <c r="P33695" s="2498"/>
    </row>
    <row r="33696" spans="16:16">
      <c r="P33696" s="2498"/>
    </row>
    <row r="33697" spans="16:16">
      <c r="P33697" s="2498"/>
    </row>
    <row r="33698" spans="16:16">
      <c r="P33698" s="2498"/>
    </row>
    <row r="33699" spans="16:16">
      <c r="P33699" s="2498"/>
    </row>
    <row r="33700" spans="16:16">
      <c r="P33700" s="2498"/>
    </row>
    <row r="33701" spans="16:16">
      <c r="P33701" s="2498"/>
    </row>
    <row r="33702" spans="16:16">
      <c r="P33702" s="2498"/>
    </row>
    <row r="33703" spans="16:16">
      <c r="P33703" s="2498"/>
    </row>
    <row r="33704" spans="16:16">
      <c r="P33704" s="2498"/>
    </row>
    <row r="33705" spans="16:16">
      <c r="P33705" s="2498"/>
    </row>
    <row r="33706" spans="16:16">
      <c r="P33706" s="2498"/>
    </row>
    <row r="33707" spans="16:16">
      <c r="P33707" s="2498"/>
    </row>
    <row r="33708" spans="16:16">
      <c r="P33708" s="2498"/>
    </row>
    <row r="33709" spans="16:16">
      <c r="P33709" s="2498"/>
    </row>
    <row r="33710" spans="16:16">
      <c r="P33710" s="2498"/>
    </row>
    <row r="33711" spans="16:16">
      <c r="P33711" s="2498"/>
    </row>
    <row r="33712" spans="16:16">
      <c r="P33712" s="2498"/>
    </row>
    <row r="33713" spans="16:16">
      <c r="P33713" s="2498"/>
    </row>
    <row r="33714" spans="16:16">
      <c r="P33714" s="2498"/>
    </row>
    <row r="33715" spans="16:16">
      <c r="P33715" s="2498"/>
    </row>
    <row r="33716" spans="16:16">
      <c r="P33716" s="2498"/>
    </row>
    <row r="33717" spans="16:16">
      <c r="P33717" s="2498"/>
    </row>
    <row r="33718" spans="16:16">
      <c r="P33718" s="2498"/>
    </row>
    <row r="33719" spans="16:16">
      <c r="P33719" s="2498"/>
    </row>
    <row r="33720" spans="16:16">
      <c r="P33720" s="2498"/>
    </row>
    <row r="33721" spans="16:16">
      <c r="P33721" s="2498"/>
    </row>
    <row r="33722" spans="16:16">
      <c r="P33722" s="2498"/>
    </row>
    <row r="33723" spans="16:16">
      <c r="P33723" s="2498"/>
    </row>
    <row r="33724" spans="16:16">
      <c r="P33724" s="2498"/>
    </row>
    <row r="33725" spans="16:16">
      <c r="P33725" s="2498"/>
    </row>
    <row r="33726" spans="16:16">
      <c r="P33726" s="2498"/>
    </row>
    <row r="33727" spans="16:16">
      <c r="P33727" s="2498"/>
    </row>
    <row r="33728" spans="16:16">
      <c r="P33728" s="2498"/>
    </row>
    <row r="33729" spans="16:16">
      <c r="P33729" s="2498"/>
    </row>
    <row r="33730" spans="16:16">
      <c r="P33730" s="2498"/>
    </row>
    <row r="33731" spans="16:16">
      <c r="P33731" s="2498"/>
    </row>
    <row r="33732" spans="16:16">
      <c r="P33732" s="2498"/>
    </row>
    <row r="33733" spans="16:16">
      <c r="P33733" s="2498"/>
    </row>
    <row r="33734" spans="16:16">
      <c r="P33734" s="2498"/>
    </row>
    <row r="33735" spans="16:16">
      <c r="P33735" s="2498"/>
    </row>
    <row r="33736" spans="16:16">
      <c r="P33736" s="2498"/>
    </row>
    <row r="33737" spans="16:16">
      <c r="P33737" s="2498"/>
    </row>
    <row r="33738" spans="16:16">
      <c r="P33738" s="2498"/>
    </row>
    <row r="33739" spans="16:16">
      <c r="P33739" s="2498"/>
    </row>
    <row r="33740" spans="16:16">
      <c r="P33740" s="2498"/>
    </row>
    <row r="33741" spans="16:16">
      <c r="P33741" s="2498"/>
    </row>
    <row r="33742" spans="16:16">
      <c r="P33742" s="2498"/>
    </row>
    <row r="33743" spans="16:16">
      <c r="P33743" s="2498"/>
    </row>
    <row r="33744" spans="16:16">
      <c r="P33744" s="2498"/>
    </row>
    <row r="33745" spans="16:16">
      <c r="P33745" s="2498"/>
    </row>
    <row r="33746" spans="16:16">
      <c r="P33746" s="2498"/>
    </row>
    <row r="33747" spans="16:16">
      <c r="P33747" s="2498"/>
    </row>
    <row r="33748" spans="16:16">
      <c r="P33748" s="2498"/>
    </row>
    <row r="33749" spans="16:16">
      <c r="P33749" s="2498"/>
    </row>
    <row r="33750" spans="16:16">
      <c r="P33750" s="2498"/>
    </row>
    <row r="33751" spans="16:16">
      <c r="P33751" s="2498"/>
    </row>
    <row r="33752" spans="16:16">
      <c r="P33752" s="2498"/>
    </row>
    <row r="33753" spans="16:16">
      <c r="P33753" s="2498"/>
    </row>
    <row r="33754" spans="16:16">
      <c r="P33754" s="2498"/>
    </row>
    <row r="33755" spans="16:16">
      <c r="P33755" s="2498"/>
    </row>
    <row r="33756" spans="16:16">
      <c r="P33756" s="2498"/>
    </row>
    <row r="33757" spans="16:16">
      <c r="P33757" s="2498"/>
    </row>
    <row r="33758" spans="16:16">
      <c r="P33758" s="2498"/>
    </row>
    <row r="33759" spans="16:16">
      <c r="P33759" s="2498"/>
    </row>
    <row r="33760" spans="16:16">
      <c r="P33760" s="2498"/>
    </row>
    <row r="33761" spans="16:16">
      <c r="P33761" s="2498"/>
    </row>
    <row r="33762" spans="16:16">
      <c r="P33762" s="2498"/>
    </row>
    <row r="33763" spans="16:16">
      <c r="P33763" s="2498"/>
    </row>
    <row r="33764" spans="16:16">
      <c r="P33764" s="2498"/>
    </row>
    <row r="33765" spans="16:16">
      <c r="P33765" s="2498"/>
    </row>
    <row r="33766" spans="16:16">
      <c r="P33766" s="2498"/>
    </row>
    <row r="33767" spans="16:16">
      <c r="P33767" s="2498"/>
    </row>
    <row r="33768" spans="16:16">
      <c r="P33768" s="2498"/>
    </row>
    <row r="33769" spans="16:16">
      <c r="P33769" s="2498"/>
    </row>
    <row r="33770" spans="16:16">
      <c r="P33770" s="2498"/>
    </row>
    <row r="33771" spans="16:16">
      <c r="P33771" s="2498"/>
    </row>
    <row r="33772" spans="16:16">
      <c r="P33772" s="2498"/>
    </row>
    <row r="33773" spans="16:16">
      <c r="P33773" s="2498"/>
    </row>
    <row r="33774" spans="16:16">
      <c r="P33774" s="2498"/>
    </row>
    <row r="33775" spans="16:16">
      <c r="P33775" s="2498"/>
    </row>
    <row r="33776" spans="16:16">
      <c r="P33776" s="2498"/>
    </row>
    <row r="33777" spans="16:16">
      <c r="P33777" s="2498"/>
    </row>
    <row r="33778" spans="16:16">
      <c r="P33778" s="2498"/>
    </row>
    <row r="33779" spans="16:16">
      <c r="P33779" s="2498"/>
    </row>
    <row r="33780" spans="16:16">
      <c r="P33780" s="2498"/>
    </row>
    <row r="33781" spans="16:16">
      <c r="P33781" s="2498"/>
    </row>
    <row r="33782" spans="16:16">
      <c r="P33782" s="2498"/>
    </row>
    <row r="33783" spans="16:16">
      <c r="P33783" s="2498"/>
    </row>
    <row r="33784" spans="16:16">
      <c r="P33784" s="2498"/>
    </row>
    <row r="33785" spans="16:16">
      <c r="P33785" s="2498"/>
    </row>
    <row r="33786" spans="16:16">
      <c r="P33786" s="2498"/>
    </row>
    <row r="33787" spans="16:16">
      <c r="P33787" s="2498"/>
    </row>
    <row r="33788" spans="16:16">
      <c r="P33788" s="2498"/>
    </row>
    <row r="33789" spans="16:16">
      <c r="P33789" s="2498"/>
    </row>
    <row r="33790" spans="16:16">
      <c r="P33790" s="2498"/>
    </row>
    <row r="33791" spans="16:16">
      <c r="P33791" s="2498"/>
    </row>
    <row r="33792" spans="16:16">
      <c r="P33792" s="2498"/>
    </row>
    <row r="33793" spans="16:16">
      <c r="P33793" s="2498"/>
    </row>
    <row r="33794" spans="16:16">
      <c r="P33794" s="2498"/>
    </row>
    <row r="33795" spans="16:16">
      <c r="P33795" s="2498"/>
    </row>
    <row r="33796" spans="16:16">
      <c r="P33796" s="2498"/>
    </row>
    <row r="33797" spans="16:16">
      <c r="P33797" s="2498"/>
    </row>
    <row r="33798" spans="16:16">
      <c r="P33798" s="2498"/>
    </row>
    <row r="33799" spans="16:16">
      <c r="P33799" s="2498"/>
    </row>
    <row r="33800" spans="16:16">
      <c r="P33800" s="2498"/>
    </row>
    <row r="33801" spans="16:16">
      <c r="P33801" s="2498"/>
    </row>
    <row r="33802" spans="16:16">
      <c r="P33802" s="2498"/>
    </row>
    <row r="33803" spans="16:16">
      <c r="P33803" s="2498"/>
    </row>
    <row r="33804" spans="16:16">
      <c r="P33804" s="2498"/>
    </row>
    <row r="33805" spans="16:16">
      <c r="P33805" s="2498"/>
    </row>
    <row r="33806" spans="16:16">
      <c r="P33806" s="2498"/>
    </row>
    <row r="33807" spans="16:16">
      <c r="P33807" s="2498"/>
    </row>
    <row r="33808" spans="16:16">
      <c r="P33808" s="2498"/>
    </row>
    <row r="33809" spans="16:16">
      <c r="P33809" s="2498"/>
    </row>
    <row r="33810" spans="16:16">
      <c r="P33810" s="2498"/>
    </row>
    <row r="33811" spans="16:16">
      <c r="P33811" s="2498"/>
    </row>
    <row r="33812" spans="16:16">
      <c r="P33812" s="2498"/>
    </row>
    <row r="33813" spans="16:16">
      <c r="P33813" s="2498"/>
    </row>
    <row r="33814" spans="16:16">
      <c r="P33814" s="2498"/>
    </row>
    <row r="33815" spans="16:16">
      <c r="P33815" s="2498"/>
    </row>
    <row r="33816" spans="16:16">
      <c r="P33816" s="2498"/>
    </row>
    <row r="33817" spans="16:16">
      <c r="P33817" s="2498"/>
    </row>
    <row r="33818" spans="16:16">
      <c r="P33818" s="2498"/>
    </row>
    <row r="33819" spans="16:16">
      <c r="P33819" s="2498"/>
    </row>
    <row r="33820" spans="16:16">
      <c r="P33820" s="2498"/>
    </row>
    <row r="33821" spans="16:16">
      <c r="P33821" s="2498"/>
    </row>
    <row r="33822" spans="16:16">
      <c r="P33822" s="2498"/>
    </row>
    <row r="33823" spans="16:16">
      <c r="P33823" s="2498"/>
    </row>
    <row r="33824" spans="16:16">
      <c r="P33824" s="2498"/>
    </row>
    <row r="33825" spans="16:16">
      <c r="P33825" s="2498"/>
    </row>
    <row r="33826" spans="16:16">
      <c r="P33826" s="2498"/>
    </row>
    <row r="33827" spans="16:16">
      <c r="P33827" s="2498"/>
    </row>
    <row r="33828" spans="16:16">
      <c r="P33828" s="2498"/>
    </row>
    <row r="33829" spans="16:16">
      <c r="P33829" s="2498"/>
    </row>
    <row r="33830" spans="16:16">
      <c r="P33830" s="2498"/>
    </row>
    <row r="33831" spans="16:16">
      <c r="P33831" s="2498"/>
    </row>
    <row r="33832" spans="16:16">
      <c r="P33832" s="2498"/>
    </row>
    <row r="33833" spans="16:16">
      <c r="P33833" s="2498"/>
    </row>
    <row r="33834" spans="16:16">
      <c r="P33834" s="2498"/>
    </row>
    <row r="33835" spans="16:16">
      <c r="P33835" s="2498"/>
    </row>
    <row r="33836" spans="16:16">
      <c r="P33836" s="2498"/>
    </row>
    <row r="33837" spans="16:16">
      <c r="P33837" s="2498"/>
    </row>
    <row r="33838" spans="16:16">
      <c r="P33838" s="2498"/>
    </row>
    <row r="33839" spans="16:16">
      <c r="P33839" s="2498"/>
    </row>
    <row r="33840" spans="16:16">
      <c r="P33840" s="2498"/>
    </row>
    <row r="33841" spans="16:16">
      <c r="P33841" s="2498"/>
    </row>
    <row r="33842" spans="16:16">
      <c r="P33842" s="2498"/>
    </row>
    <row r="33843" spans="16:16">
      <c r="P33843" s="2498"/>
    </row>
    <row r="33844" spans="16:16">
      <c r="P33844" s="2498"/>
    </row>
    <row r="33845" spans="16:16">
      <c r="P33845" s="2498"/>
    </row>
    <row r="33846" spans="16:16">
      <c r="P33846" s="2498"/>
    </row>
    <row r="33847" spans="16:16">
      <c r="P33847" s="2498"/>
    </row>
    <row r="33848" spans="16:16">
      <c r="P33848" s="2498"/>
    </row>
    <row r="33849" spans="16:16">
      <c r="P33849" s="2498"/>
    </row>
    <row r="33850" spans="16:16">
      <c r="P33850" s="2498"/>
    </row>
    <row r="33851" spans="16:16">
      <c r="P33851" s="2498"/>
    </row>
    <row r="33852" spans="16:16">
      <c r="P33852" s="2498"/>
    </row>
    <row r="33853" spans="16:16">
      <c r="P33853" s="2498"/>
    </row>
    <row r="33854" spans="16:16">
      <c r="P33854" s="2498"/>
    </row>
    <row r="33855" spans="16:16">
      <c r="P33855" s="2498"/>
    </row>
    <row r="33856" spans="16:16">
      <c r="P33856" s="2498"/>
    </row>
    <row r="33857" spans="16:16">
      <c r="P33857" s="2498"/>
    </row>
    <row r="33858" spans="16:16">
      <c r="P33858" s="2498"/>
    </row>
    <row r="33859" spans="16:16">
      <c r="P33859" s="2498"/>
    </row>
    <row r="33860" spans="16:16">
      <c r="P33860" s="2498"/>
    </row>
    <row r="33861" spans="16:16">
      <c r="P33861" s="2498"/>
    </row>
    <row r="33862" spans="16:16">
      <c r="P33862" s="2498"/>
    </row>
    <row r="33863" spans="16:16">
      <c r="P33863" s="2498"/>
    </row>
    <row r="33864" spans="16:16">
      <c r="P33864" s="2498"/>
    </row>
    <row r="33865" spans="16:16">
      <c r="P33865" s="2498"/>
    </row>
    <row r="33866" spans="16:16">
      <c r="P33866" s="2498"/>
    </row>
    <row r="33867" spans="16:16">
      <c r="P33867" s="2498"/>
    </row>
    <row r="33868" spans="16:16">
      <c r="P33868" s="2498"/>
    </row>
    <row r="33869" spans="16:16">
      <c r="P33869" s="2498"/>
    </row>
    <row r="33870" spans="16:16">
      <c r="P33870" s="2498"/>
    </row>
    <row r="33871" spans="16:16">
      <c r="P33871" s="2498"/>
    </row>
    <row r="33872" spans="16:16">
      <c r="P33872" s="2498"/>
    </row>
    <row r="33873" spans="16:16">
      <c r="P33873" s="2498"/>
    </row>
    <row r="33874" spans="16:16">
      <c r="P33874" s="2498"/>
    </row>
    <row r="33875" spans="16:16">
      <c r="P33875" s="2498"/>
    </row>
    <row r="33876" spans="16:16">
      <c r="P33876" s="2498"/>
    </row>
    <row r="33877" spans="16:16">
      <c r="P33877" s="2498"/>
    </row>
    <row r="33878" spans="16:16">
      <c r="P33878" s="2498"/>
    </row>
    <row r="33879" spans="16:16">
      <c r="P33879" s="2498"/>
    </row>
    <row r="33880" spans="16:16">
      <c r="P33880" s="2498"/>
    </row>
    <row r="33881" spans="16:16">
      <c r="P33881" s="2498"/>
    </row>
    <row r="33882" spans="16:16">
      <c r="P33882" s="2498"/>
    </row>
    <row r="33883" spans="16:16">
      <c r="P33883" s="2498"/>
    </row>
    <row r="33884" spans="16:16">
      <c r="P33884" s="2498"/>
    </row>
    <row r="33885" spans="16:16">
      <c r="P33885" s="2498"/>
    </row>
    <row r="33886" spans="16:16">
      <c r="P33886" s="2498"/>
    </row>
    <row r="33887" spans="16:16">
      <c r="P33887" s="2498"/>
    </row>
    <row r="33888" spans="16:16">
      <c r="P33888" s="2498"/>
    </row>
    <row r="33889" spans="16:16">
      <c r="P33889" s="2498"/>
    </row>
    <row r="33890" spans="16:16">
      <c r="P33890" s="2498"/>
    </row>
    <row r="33891" spans="16:16">
      <c r="P33891" s="2498"/>
    </row>
    <row r="33892" spans="16:16">
      <c r="P33892" s="2498"/>
    </row>
    <row r="33893" spans="16:16">
      <c r="P33893" s="2498"/>
    </row>
    <row r="33894" spans="16:16">
      <c r="P33894" s="2498"/>
    </row>
    <row r="33895" spans="16:16">
      <c r="P33895" s="2498"/>
    </row>
    <row r="33896" spans="16:16">
      <c r="P33896" s="2498"/>
    </row>
    <row r="33897" spans="16:16">
      <c r="P33897" s="2498"/>
    </row>
    <row r="33898" spans="16:16">
      <c r="P33898" s="2498"/>
    </row>
    <row r="33899" spans="16:16">
      <c r="P33899" s="2498"/>
    </row>
    <row r="33900" spans="16:16">
      <c r="P33900" s="2498"/>
    </row>
    <row r="33901" spans="16:16">
      <c r="P33901" s="2498"/>
    </row>
    <row r="33902" spans="16:16">
      <c r="P33902" s="2498"/>
    </row>
    <row r="33903" spans="16:16">
      <c r="P33903" s="2498"/>
    </row>
    <row r="33904" spans="16:16">
      <c r="P33904" s="2498"/>
    </row>
    <row r="33905" spans="16:16">
      <c r="P33905" s="2498"/>
    </row>
    <row r="33906" spans="16:16">
      <c r="P33906" s="2498"/>
    </row>
    <row r="33907" spans="16:16">
      <c r="P33907" s="2498"/>
    </row>
    <row r="33908" spans="16:16">
      <c r="P33908" s="2498"/>
    </row>
    <row r="33909" spans="16:16">
      <c r="P33909" s="2498"/>
    </row>
    <row r="33910" spans="16:16">
      <c r="P33910" s="2498"/>
    </row>
    <row r="33911" spans="16:16">
      <c r="P33911" s="2498"/>
    </row>
    <row r="33912" spans="16:16">
      <c r="P33912" s="2498"/>
    </row>
    <row r="33913" spans="16:16">
      <c r="P33913" s="2498"/>
    </row>
    <row r="33914" spans="16:16">
      <c r="P33914" s="2498"/>
    </row>
    <row r="33915" spans="16:16">
      <c r="P33915" s="2498"/>
    </row>
    <row r="33916" spans="16:16">
      <c r="P33916" s="2498"/>
    </row>
    <row r="33917" spans="16:16">
      <c r="P33917" s="2498"/>
    </row>
    <row r="33918" spans="16:16">
      <c r="P33918" s="2498"/>
    </row>
    <row r="33919" spans="16:16">
      <c r="P33919" s="2498"/>
    </row>
    <row r="33920" spans="16:16">
      <c r="P33920" s="2498"/>
    </row>
    <row r="33921" spans="16:16">
      <c r="P33921" s="2498"/>
    </row>
    <row r="33922" spans="16:16">
      <c r="P33922" s="2498"/>
    </row>
    <row r="33923" spans="16:16">
      <c r="P33923" s="2498"/>
    </row>
    <row r="33924" spans="16:16">
      <c r="P33924" s="2498"/>
    </row>
    <row r="33925" spans="16:16">
      <c r="P33925" s="2498"/>
    </row>
    <row r="33926" spans="16:16">
      <c r="P33926" s="2498"/>
    </row>
    <row r="33927" spans="16:16">
      <c r="P33927" s="2498"/>
    </row>
    <row r="33928" spans="16:16">
      <c r="P33928" s="2498"/>
    </row>
    <row r="33929" spans="16:16">
      <c r="P33929" s="2498"/>
    </row>
    <row r="33930" spans="16:16">
      <c r="P33930" s="2498"/>
    </row>
    <row r="33931" spans="16:16">
      <c r="P33931" s="2498"/>
    </row>
    <row r="33932" spans="16:16">
      <c r="P33932" s="2498"/>
    </row>
    <row r="33933" spans="16:16">
      <c r="P33933" s="2498"/>
    </row>
    <row r="33934" spans="16:16">
      <c r="P33934" s="2498"/>
    </row>
    <row r="33935" spans="16:16">
      <c r="P33935" s="2498"/>
    </row>
    <row r="33936" spans="16:16">
      <c r="P33936" s="2498"/>
    </row>
    <row r="33937" spans="16:16">
      <c r="P33937" s="2498"/>
    </row>
    <row r="33938" spans="16:16">
      <c r="P33938" s="2498"/>
    </row>
    <row r="33939" spans="16:16">
      <c r="P33939" s="2498"/>
    </row>
    <row r="33940" spans="16:16">
      <c r="P33940" s="2498"/>
    </row>
    <row r="33941" spans="16:16">
      <c r="P33941" s="2498"/>
    </row>
    <row r="33942" spans="16:16">
      <c r="P33942" s="2498"/>
    </row>
    <row r="33943" spans="16:16">
      <c r="P33943" s="2498"/>
    </row>
    <row r="33944" spans="16:16">
      <c r="P33944" s="2498"/>
    </row>
    <row r="33945" spans="16:16">
      <c r="P33945" s="2498"/>
    </row>
    <row r="33946" spans="16:16">
      <c r="P33946" s="2498"/>
    </row>
    <row r="33947" spans="16:16">
      <c r="P33947" s="2498"/>
    </row>
    <row r="33948" spans="16:16">
      <c r="P33948" s="2498"/>
    </row>
    <row r="33949" spans="16:16">
      <c r="P33949" s="2498"/>
    </row>
    <row r="33950" spans="16:16">
      <c r="P33950" s="2498"/>
    </row>
    <row r="33951" spans="16:16">
      <c r="P33951" s="2498"/>
    </row>
    <row r="33952" spans="16:16">
      <c r="P33952" s="2498"/>
    </row>
    <row r="33953" spans="16:16">
      <c r="P33953" s="2498"/>
    </row>
    <row r="33954" spans="16:16">
      <c r="P33954" s="2498"/>
    </row>
    <row r="33955" spans="16:16">
      <c r="P33955" s="2498"/>
    </row>
    <row r="33956" spans="16:16">
      <c r="P33956" s="2498"/>
    </row>
    <row r="33957" spans="16:16">
      <c r="P33957" s="2498"/>
    </row>
    <row r="33958" spans="16:16">
      <c r="P33958" s="2498"/>
    </row>
    <row r="33959" spans="16:16">
      <c r="P33959" s="2498"/>
    </row>
    <row r="33960" spans="16:16">
      <c r="P33960" s="2498"/>
    </row>
    <row r="33961" spans="16:16">
      <c r="P33961" s="2498"/>
    </row>
    <row r="33962" spans="16:16">
      <c r="P33962" s="2498"/>
    </row>
    <row r="33963" spans="16:16">
      <c r="P33963" s="2498"/>
    </row>
    <row r="33964" spans="16:16">
      <c r="P33964" s="2498"/>
    </row>
    <row r="33965" spans="16:16">
      <c r="P33965" s="2498"/>
    </row>
    <row r="33966" spans="16:16">
      <c r="P33966" s="2498"/>
    </row>
    <row r="33967" spans="16:16">
      <c r="P33967" s="2498"/>
    </row>
    <row r="33968" spans="16:16">
      <c r="P33968" s="2498"/>
    </row>
    <row r="33969" spans="16:16">
      <c r="P33969" s="2498"/>
    </row>
    <row r="33970" spans="16:16">
      <c r="P33970" s="2498"/>
    </row>
    <row r="33971" spans="16:16">
      <c r="P33971" s="2498"/>
    </row>
    <row r="33972" spans="16:16">
      <c r="P33972" s="2498"/>
    </row>
    <row r="33973" spans="16:16">
      <c r="P33973" s="2498"/>
    </row>
    <row r="33974" spans="16:16">
      <c r="P33974" s="2498"/>
    </row>
    <row r="33975" spans="16:16">
      <c r="P33975" s="2498"/>
    </row>
    <row r="33976" spans="16:16">
      <c r="P33976" s="2498"/>
    </row>
    <row r="33977" spans="16:16">
      <c r="P33977" s="2498"/>
    </row>
    <row r="33978" spans="16:16">
      <c r="P33978" s="2498"/>
    </row>
    <row r="33979" spans="16:16">
      <c r="P33979" s="2498"/>
    </row>
    <row r="33980" spans="16:16">
      <c r="P33980" s="2498"/>
    </row>
    <row r="33981" spans="16:16">
      <c r="P33981" s="2498"/>
    </row>
    <row r="33982" spans="16:16">
      <c r="P33982" s="2498"/>
    </row>
    <row r="33983" spans="16:16">
      <c r="P33983" s="2498"/>
    </row>
    <row r="33984" spans="16:16">
      <c r="P33984" s="2498"/>
    </row>
    <row r="33985" spans="16:16">
      <c r="P33985" s="2498"/>
    </row>
    <row r="33986" spans="16:16">
      <c r="P33986" s="2498"/>
    </row>
    <row r="33987" spans="16:16">
      <c r="P33987" s="2498"/>
    </row>
    <row r="33988" spans="16:16">
      <c r="P33988" s="2498"/>
    </row>
    <row r="33989" spans="16:16">
      <c r="P33989" s="2498"/>
    </row>
    <row r="33990" spans="16:16">
      <c r="P33990" s="2498"/>
    </row>
    <row r="33991" spans="16:16">
      <c r="P33991" s="2498"/>
    </row>
    <row r="33992" spans="16:16">
      <c r="P33992" s="2498"/>
    </row>
    <row r="33993" spans="16:16">
      <c r="P33993" s="2498"/>
    </row>
    <row r="33994" spans="16:16">
      <c r="P33994" s="2498"/>
    </row>
    <row r="33995" spans="16:16">
      <c r="P33995" s="2498"/>
    </row>
    <row r="33996" spans="16:16">
      <c r="P33996" s="2498"/>
    </row>
    <row r="33997" spans="16:16">
      <c r="P33997" s="2498"/>
    </row>
    <row r="33998" spans="16:16">
      <c r="P33998" s="2498"/>
    </row>
    <row r="33999" spans="16:16">
      <c r="P33999" s="2498"/>
    </row>
    <row r="34000" spans="16:16">
      <c r="P34000" s="2498"/>
    </row>
    <row r="34001" spans="16:16">
      <c r="P34001" s="2498"/>
    </row>
    <row r="34002" spans="16:16">
      <c r="P34002" s="2498"/>
    </row>
    <row r="34003" spans="16:16">
      <c r="P34003" s="2498"/>
    </row>
    <row r="34004" spans="16:16">
      <c r="P34004" s="2498"/>
    </row>
    <row r="34005" spans="16:16">
      <c r="P34005" s="2498"/>
    </row>
    <row r="34006" spans="16:16">
      <c r="P34006" s="2498"/>
    </row>
    <row r="34007" spans="16:16">
      <c r="P34007" s="2498"/>
    </row>
    <row r="34008" spans="16:16">
      <c r="P34008" s="2498"/>
    </row>
    <row r="34009" spans="16:16">
      <c r="P34009" s="2498"/>
    </row>
    <row r="34010" spans="16:16">
      <c r="P34010" s="2498"/>
    </row>
    <row r="34011" spans="16:16">
      <c r="P34011" s="2498"/>
    </row>
    <row r="34012" spans="16:16">
      <c r="P34012" s="2498"/>
    </row>
    <row r="34013" spans="16:16">
      <c r="P34013" s="2498"/>
    </row>
    <row r="34014" spans="16:16">
      <c r="P34014" s="2498"/>
    </row>
    <row r="34015" spans="16:16">
      <c r="P34015" s="2498"/>
    </row>
    <row r="34016" spans="16:16">
      <c r="P34016" s="2498"/>
    </row>
    <row r="34017" spans="16:16">
      <c r="P34017" s="2498"/>
    </row>
    <row r="34018" spans="16:16">
      <c r="P34018" s="2498"/>
    </row>
    <row r="34019" spans="16:16">
      <c r="P34019" s="2498"/>
    </row>
    <row r="34020" spans="16:16">
      <c r="P34020" s="2498"/>
    </row>
    <row r="34021" spans="16:16">
      <c r="P34021" s="2498"/>
    </row>
    <row r="34022" spans="16:16">
      <c r="P34022" s="2498"/>
    </row>
    <row r="34023" spans="16:16">
      <c r="P34023" s="2498"/>
    </row>
    <row r="34024" spans="16:16">
      <c r="P34024" s="2498"/>
    </row>
    <row r="34025" spans="16:16">
      <c r="P34025" s="2498"/>
    </row>
    <row r="34026" spans="16:16">
      <c r="P34026" s="2498"/>
    </row>
    <row r="34027" spans="16:16">
      <c r="P34027" s="2498"/>
    </row>
    <row r="34028" spans="16:16">
      <c r="P34028" s="2498"/>
    </row>
    <row r="34029" spans="16:16">
      <c r="P34029" s="2498"/>
    </row>
    <row r="34030" spans="16:16">
      <c r="P34030" s="2498"/>
    </row>
    <row r="34031" spans="16:16">
      <c r="P34031" s="2498"/>
    </row>
    <row r="34032" spans="16:16">
      <c r="P34032" s="2498"/>
    </row>
    <row r="34033" spans="16:16">
      <c r="P34033" s="2498"/>
    </row>
    <row r="34034" spans="16:16">
      <c r="P34034" s="2498"/>
    </row>
    <row r="34035" spans="16:16">
      <c r="P34035" s="2498"/>
    </row>
    <row r="34036" spans="16:16">
      <c r="P34036" s="2498"/>
    </row>
    <row r="34037" spans="16:16">
      <c r="P34037" s="2498"/>
    </row>
    <row r="34038" spans="16:16">
      <c r="P34038" s="2498"/>
    </row>
    <row r="34039" spans="16:16">
      <c r="P34039" s="2498"/>
    </row>
    <row r="34040" spans="16:16">
      <c r="P34040" s="2498"/>
    </row>
    <row r="34041" spans="16:16">
      <c r="P34041" s="2498"/>
    </row>
    <row r="34042" spans="16:16">
      <c r="P34042" s="2498"/>
    </row>
    <row r="34043" spans="16:16">
      <c r="P34043" s="2498"/>
    </row>
    <row r="34044" spans="16:16">
      <c r="P34044" s="2498"/>
    </row>
    <row r="34045" spans="16:16">
      <c r="P34045" s="2498"/>
    </row>
    <row r="34046" spans="16:16">
      <c r="P34046" s="2498"/>
    </row>
    <row r="34047" spans="16:16">
      <c r="P34047" s="2498"/>
    </row>
    <row r="34048" spans="16:16">
      <c r="P34048" s="2498"/>
    </row>
    <row r="34049" spans="16:16">
      <c r="P34049" s="2498"/>
    </row>
    <row r="34050" spans="16:16">
      <c r="P34050" s="2498"/>
    </row>
    <row r="34051" spans="16:16">
      <c r="P34051" s="2498"/>
    </row>
    <row r="34052" spans="16:16">
      <c r="P34052" s="2498"/>
    </row>
    <row r="34053" spans="16:16">
      <c r="P34053" s="2498"/>
    </row>
    <row r="34054" spans="16:16">
      <c r="P34054" s="2498"/>
    </row>
    <row r="34055" spans="16:16">
      <c r="P34055" s="2498"/>
    </row>
    <row r="34056" spans="16:16">
      <c r="P34056" s="2498"/>
    </row>
    <row r="34057" spans="16:16">
      <c r="P34057" s="2498"/>
    </row>
    <row r="34058" spans="16:16">
      <c r="P34058" s="2498"/>
    </row>
    <row r="34059" spans="16:16">
      <c r="P34059" s="2498"/>
    </row>
    <row r="34060" spans="16:16">
      <c r="P34060" s="2498"/>
    </row>
    <row r="34061" spans="16:16">
      <c r="P34061" s="2498"/>
    </row>
    <row r="34062" spans="16:16">
      <c r="P34062" s="2498"/>
    </row>
    <row r="34063" spans="16:16">
      <c r="P34063" s="2498"/>
    </row>
    <row r="34064" spans="16:16">
      <c r="P34064" s="2498"/>
    </row>
    <row r="34065" spans="16:16">
      <c r="P34065" s="2498"/>
    </row>
    <row r="34066" spans="16:16">
      <c r="P34066" s="2498"/>
    </row>
    <row r="34067" spans="16:16">
      <c r="P34067" s="2498"/>
    </row>
    <row r="34068" spans="16:16">
      <c r="P34068" s="2498"/>
    </row>
    <row r="34069" spans="16:16">
      <c r="P34069" s="2498"/>
    </row>
    <row r="34070" spans="16:16">
      <c r="P34070" s="2498"/>
    </row>
    <row r="34071" spans="16:16">
      <c r="P34071" s="2498"/>
    </row>
    <row r="34072" spans="16:16">
      <c r="P34072" s="2498"/>
    </row>
    <row r="34073" spans="16:16">
      <c r="P34073" s="2498"/>
    </row>
    <row r="34074" spans="16:16">
      <c r="P34074" s="2498"/>
    </row>
    <row r="34075" spans="16:16">
      <c r="P34075" s="2498"/>
    </row>
    <row r="34076" spans="16:16">
      <c r="P34076" s="2498"/>
    </row>
    <row r="34077" spans="16:16">
      <c r="P34077" s="2498"/>
    </row>
    <row r="34078" spans="16:16">
      <c r="P34078" s="2498"/>
    </row>
    <row r="34079" spans="16:16">
      <c r="P34079" s="2498"/>
    </row>
    <row r="34080" spans="16:16">
      <c r="P34080" s="2498"/>
    </row>
    <row r="34081" spans="16:16">
      <c r="P34081" s="2498"/>
    </row>
    <row r="34082" spans="16:16">
      <c r="P34082" s="2498"/>
    </row>
    <row r="34083" spans="16:16">
      <c r="P34083" s="2498"/>
    </row>
    <row r="34084" spans="16:16">
      <c r="P34084" s="2498"/>
    </row>
    <row r="34085" spans="16:16">
      <c r="P34085" s="2498"/>
    </row>
    <row r="34086" spans="16:16">
      <c r="P34086" s="2498"/>
    </row>
    <row r="34087" spans="16:16">
      <c r="P34087" s="2498"/>
    </row>
    <row r="34088" spans="16:16">
      <c r="P34088" s="2498"/>
    </row>
    <row r="34089" spans="16:16">
      <c r="P34089" s="2498"/>
    </row>
    <row r="34090" spans="16:16">
      <c r="P34090" s="2498"/>
    </row>
    <row r="34091" spans="16:16">
      <c r="P34091" s="2498"/>
    </row>
    <row r="34092" spans="16:16">
      <c r="P34092" s="2498"/>
    </row>
    <row r="34093" spans="16:16">
      <c r="P34093" s="2498"/>
    </row>
    <row r="34094" spans="16:16">
      <c r="P34094" s="2498"/>
    </row>
    <row r="34095" spans="16:16">
      <c r="P34095" s="2498"/>
    </row>
    <row r="34096" spans="16:16">
      <c r="P34096" s="2498"/>
    </row>
    <row r="34097" spans="16:16">
      <c r="P34097" s="2498"/>
    </row>
    <row r="34098" spans="16:16">
      <c r="P34098" s="2498"/>
    </row>
    <row r="34099" spans="16:16">
      <c r="P34099" s="2498"/>
    </row>
    <row r="34100" spans="16:16">
      <c r="P34100" s="2498"/>
    </row>
    <row r="34101" spans="16:16">
      <c r="P34101" s="2498"/>
    </row>
    <row r="34102" spans="16:16">
      <c r="P34102" s="2498"/>
    </row>
    <row r="34103" spans="16:16">
      <c r="P34103" s="2498"/>
    </row>
    <row r="34104" spans="16:16">
      <c r="P34104" s="2498"/>
    </row>
    <row r="34105" spans="16:16">
      <c r="P34105" s="2498"/>
    </row>
    <row r="34106" spans="16:16">
      <c r="P34106" s="2498"/>
    </row>
    <row r="34107" spans="16:16">
      <c r="P34107" s="2498"/>
    </row>
    <row r="34108" spans="16:16">
      <c r="P34108" s="2498"/>
    </row>
    <row r="34109" spans="16:16">
      <c r="P34109" s="2498"/>
    </row>
    <row r="34110" spans="16:16">
      <c r="P34110" s="2498"/>
    </row>
    <row r="34111" spans="16:16">
      <c r="P34111" s="2498"/>
    </row>
    <row r="34112" spans="16:16">
      <c r="P34112" s="2498"/>
    </row>
    <row r="34113" spans="16:16">
      <c r="P34113" s="2498"/>
    </row>
    <row r="34114" spans="16:16">
      <c r="P34114" s="2498"/>
    </row>
    <row r="34115" spans="16:16">
      <c r="P34115" s="2498"/>
    </row>
    <row r="34116" spans="16:16">
      <c r="P34116" s="2498"/>
    </row>
    <row r="34117" spans="16:16">
      <c r="P34117" s="2498"/>
    </row>
    <row r="34118" spans="16:16">
      <c r="P34118" s="2498"/>
    </row>
    <row r="34119" spans="16:16">
      <c r="P34119" s="2498"/>
    </row>
    <row r="34120" spans="16:16">
      <c r="P34120" s="2498"/>
    </row>
    <row r="34121" spans="16:16">
      <c r="P34121" s="2498"/>
    </row>
    <row r="34122" spans="16:16">
      <c r="P34122" s="2498"/>
    </row>
    <row r="34123" spans="16:16">
      <c r="P34123" s="2498"/>
    </row>
    <row r="34124" spans="16:16">
      <c r="P34124" s="2498"/>
    </row>
    <row r="34125" spans="16:16">
      <c r="P34125" s="2498"/>
    </row>
    <row r="34126" spans="16:16">
      <c r="P34126" s="2498"/>
    </row>
    <row r="34127" spans="16:16">
      <c r="P34127" s="2498"/>
    </row>
    <row r="34128" spans="16:16">
      <c r="P34128" s="2498"/>
    </row>
    <row r="34129" spans="16:16">
      <c r="P34129" s="2498"/>
    </row>
    <row r="34130" spans="16:16">
      <c r="P34130" s="2498"/>
    </row>
    <row r="34131" spans="16:16">
      <c r="P34131" s="2498"/>
    </row>
    <row r="34132" spans="16:16">
      <c r="P34132" s="2498"/>
    </row>
    <row r="34133" spans="16:16">
      <c r="P34133" s="2498"/>
    </row>
    <row r="34134" spans="16:16">
      <c r="P34134" s="2498"/>
    </row>
    <row r="34135" spans="16:16">
      <c r="P34135" s="2498"/>
    </row>
    <row r="34136" spans="16:16">
      <c r="P34136" s="2498"/>
    </row>
    <row r="34137" spans="16:16">
      <c r="P34137" s="2498"/>
    </row>
    <row r="34138" spans="16:16">
      <c r="P34138" s="2498"/>
    </row>
    <row r="34139" spans="16:16">
      <c r="P34139" s="2498"/>
    </row>
    <row r="34140" spans="16:16">
      <c r="P34140" s="2498"/>
    </row>
    <row r="34141" spans="16:16">
      <c r="P34141" s="2498"/>
    </row>
    <row r="34142" spans="16:16">
      <c r="P34142" s="2498"/>
    </row>
    <row r="34143" spans="16:16">
      <c r="P34143" s="2498"/>
    </row>
    <row r="34144" spans="16:16">
      <c r="P34144" s="2498"/>
    </row>
    <row r="34145" spans="16:16">
      <c r="P34145" s="2498"/>
    </row>
    <row r="34146" spans="16:16">
      <c r="P34146" s="2498"/>
    </row>
    <row r="34147" spans="16:16">
      <c r="P34147" s="2498"/>
    </row>
    <row r="34148" spans="16:16">
      <c r="P34148" s="2498"/>
    </row>
    <row r="34149" spans="16:16">
      <c r="P34149" s="2498"/>
    </row>
    <row r="34150" spans="16:16">
      <c r="P34150" s="2498"/>
    </row>
    <row r="34151" spans="16:16">
      <c r="P34151" s="2498"/>
    </row>
    <row r="34152" spans="16:16">
      <c r="P34152" s="2498"/>
    </row>
    <row r="34153" spans="16:16">
      <c r="P34153" s="2498"/>
    </row>
    <row r="34154" spans="16:16">
      <c r="P34154" s="2498"/>
    </row>
    <row r="34155" spans="16:16">
      <c r="P34155" s="2498"/>
    </row>
    <row r="34156" spans="16:16">
      <c r="P34156" s="2498"/>
    </row>
    <row r="34157" spans="16:16">
      <c r="P34157" s="2498"/>
    </row>
    <row r="34158" spans="16:16">
      <c r="P34158" s="2498"/>
    </row>
    <row r="34159" spans="16:16">
      <c r="P34159" s="2498"/>
    </row>
    <row r="34160" spans="16:16">
      <c r="P34160" s="2498"/>
    </row>
    <row r="34161" spans="16:16">
      <c r="P34161" s="2498"/>
    </row>
    <row r="34162" spans="16:16">
      <c r="P34162" s="2498"/>
    </row>
    <row r="34163" spans="16:16">
      <c r="P34163" s="2498"/>
    </row>
    <row r="34164" spans="16:16">
      <c r="P34164" s="2498"/>
    </row>
    <row r="34165" spans="16:16">
      <c r="P34165" s="2498"/>
    </row>
    <row r="34166" spans="16:16">
      <c r="P34166" s="2498"/>
    </row>
    <row r="34167" spans="16:16">
      <c r="P34167" s="2498"/>
    </row>
    <row r="34168" spans="16:16">
      <c r="P34168" s="2498"/>
    </row>
    <row r="34169" spans="16:16">
      <c r="P34169" s="2498"/>
    </row>
    <row r="34170" spans="16:16">
      <c r="P34170" s="2498"/>
    </row>
    <row r="34171" spans="16:16">
      <c r="P34171" s="2498"/>
    </row>
    <row r="34172" spans="16:16">
      <c r="P34172" s="2498"/>
    </row>
    <row r="34173" spans="16:16">
      <c r="P34173" s="2498"/>
    </row>
    <row r="34174" spans="16:16">
      <c r="P34174" s="2498"/>
    </row>
    <row r="34175" spans="16:16">
      <c r="P34175" s="2498"/>
    </row>
    <row r="34176" spans="16:16">
      <c r="P34176" s="2498"/>
    </row>
    <row r="34177" spans="16:16">
      <c r="P34177" s="2498"/>
    </row>
    <row r="34178" spans="16:16">
      <c r="P34178" s="2498"/>
    </row>
    <row r="34179" spans="16:16">
      <c r="P34179" s="2498"/>
    </row>
    <row r="34180" spans="16:16">
      <c r="P34180" s="2498"/>
    </row>
    <row r="34181" spans="16:16">
      <c r="P34181" s="2498"/>
    </row>
    <row r="34182" spans="16:16">
      <c r="P34182" s="2498"/>
    </row>
    <row r="34183" spans="16:16">
      <c r="P34183" s="2498"/>
    </row>
    <row r="34184" spans="16:16">
      <c r="P34184" s="2498"/>
    </row>
    <row r="34185" spans="16:16">
      <c r="P34185" s="2498"/>
    </row>
    <row r="34186" spans="16:16">
      <c r="P34186" s="2498"/>
    </row>
    <row r="34187" spans="16:16">
      <c r="P34187" s="2498"/>
    </row>
    <row r="34188" spans="16:16">
      <c r="P34188" s="2498"/>
    </row>
    <row r="34189" spans="16:16">
      <c r="P34189" s="2498"/>
    </row>
    <row r="34190" spans="16:16">
      <c r="P34190" s="2498"/>
    </row>
    <row r="34191" spans="16:16">
      <c r="P34191" s="2498"/>
    </row>
    <row r="34192" spans="16:16">
      <c r="P34192" s="2498"/>
    </row>
    <row r="34193" spans="16:16">
      <c r="P34193" s="2498"/>
    </row>
    <row r="34194" spans="16:16">
      <c r="P34194" s="2498"/>
    </row>
    <row r="34195" spans="16:16">
      <c r="P34195" s="2498"/>
    </row>
    <row r="34196" spans="16:16">
      <c r="P34196" s="2498"/>
    </row>
    <row r="34197" spans="16:16">
      <c r="P34197" s="2498"/>
    </row>
    <row r="34198" spans="16:16">
      <c r="P34198" s="2498"/>
    </row>
    <row r="34199" spans="16:16">
      <c r="P34199" s="2498"/>
    </row>
    <row r="34200" spans="16:16">
      <c r="P34200" s="2498"/>
    </row>
    <row r="34201" spans="16:16">
      <c r="P34201" s="2498"/>
    </row>
    <row r="34202" spans="16:16">
      <c r="P34202" s="2498"/>
    </row>
    <row r="34203" spans="16:16">
      <c r="P34203" s="2498"/>
    </row>
    <row r="34204" spans="16:16">
      <c r="P34204" s="2498"/>
    </row>
    <row r="34205" spans="16:16">
      <c r="P34205" s="2498"/>
    </row>
    <row r="34206" spans="16:16">
      <c r="P34206" s="2498"/>
    </row>
    <row r="34207" spans="16:16">
      <c r="P34207" s="2498"/>
    </row>
    <row r="34208" spans="16:16">
      <c r="P34208" s="2498"/>
    </row>
    <row r="34209" spans="16:16">
      <c r="P34209" s="2498"/>
    </row>
    <row r="34210" spans="16:16">
      <c r="P34210" s="2498"/>
    </row>
    <row r="34211" spans="16:16">
      <c r="P34211" s="2498"/>
    </row>
    <row r="34212" spans="16:16">
      <c r="P34212" s="2498"/>
    </row>
    <row r="34213" spans="16:16">
      <c r="P34213" s="2498"/>
    </row>
    <row r="34214" spans="16:16">
      <c r="P34214" s="2498"/>
    </row>
    <row r="34215" spans="16:16">
      <c r="P34215" s="2498"/>
    </row>
    <row r="34216" spans="16:16">
      <c r="P34216" s="2498"/>
    </row>
    <row r="34217" spans="16:16">
      <c r="P34217" s="2498"/>
    </row>
    <row r="34218" spans="16:16">
      <c r="P34218" s="2498"/>
    </row>
    <row r="34219" spans="16:16">
      <c r="P34219" s="2498"/>
    </row>
    <row r="34220" spans="16:16">
      <c r="P34220" s="2498"/>
    </row>
    <row r="34221" spans="16:16">
      <c r="P34221" s="2498"/>
    </row>
    <row r="34222" spans="16:16">
      <c r="P34222" s="2498"/>
    </row>
    <row r="34223" spans="16:16">
      <c r="P34223" s="2498"/>
    </row>
    <row r="34224" spans="16:16">
      <c r="P34224" s="2498"/>
    </row>
    <row r="34225" spans="16:16">
      <c r="P34225" s="2498"/>
    </row>
    <row r="34226" spans="16:16">
      <c r="P34226" s="2498"/>
    </row>
    <row r="34227" spans="16:16">
      <c r="P34227" s="2498"/>
    </row>
    <row r="34228" spans="16:16">
      <c r="P34228" s="2498"/>
    </row>
    <row r="34229" spans="16:16">
      <c r="P34229" s="2498"/>
    </row>
    <row r="34230" spans="16:16">
      <c r="P34230" s="2498"/>
    </row>
    <row r="34231" spans="16:16">
      <c r="P34231" s="2498"/>
    </row>
    <row r="34232" spans="16:16">
      <c r="P34232" s="2498"/>
    </row>
    <row r="34233" spans="16:16">
      <c r="P34233" s="2498"/>
    </row>
    <row r="34234" spans="16:16">
      <c r="P34234" s="2498"/>
    </row>
    <row r="34235" spans="16:16">
      <c r="P34235" s="2498"/>
    </row>
    <row r="34236" spans="16:16">
      <c r="P34236" s="2498"/>
    </row>
    <row r="34237" spans="16:16">
      <c r="P34237" s="2498"/>
    </row>
    <row r="34238" spans="16:16">
      <c r="P34238" s="2498"/>
    </row>
    <row r="34239" spans="16:16">
      <c r="P34239" s="2498"/>
    </row>
    <row r="34240" spans="16:16">
      <c r="P34240" s="2498"/>
    </row>
    <row r="34241" spans="16:16">
      <c r="P34241" s="2498"/>
    </row>
    <row r="34242" spans="16:16">
      <c r="P34242" s="2498"/>
    </row>
    <row r="34243" spans="16:16">
      <c r="P34243" s="2498"/>
    </row>
    <row r="34244" spans="16:16">
      <c r="P34244" s="2498"/>
    </row>
    <row r="34245" spans="16:16">
      <c r="P34245" s="2498"/>
    </row>
    <row r="34246" spans="16:16">
      <c r="P34246" s="2498"/>
    </row>
    <row r="34247" spans="16:16">
      <c r="P34247" s="2498"/>
    </row>
    <row r="34248" spans="16:16">
      <c r="P34248" s="2498"/>
    </row>
    <row r="34249" spans="16:16">
      <c r="P34249" s="2498"/>
    </row>
    <row r="34250" spans="16:16">
      <c r="P34250" s="2498"/>
    </row>
    <row r="34251" spans="16:16">
      <c r="P34251" s="2498"/>
    </row>
    <row r="34252" spans="16:16">
      <c r="P34252" s="2498"/>
    </row>
    <row r="34253" spans="16:16">
      <c r="P34253" s="2498"/>
    </row>
    <row r="34254" spans="16:16">
      <c r="P34254" s="2498"/>
    </row>
    <row r="34255" spans="16:16">
      <c r="P34255" s="2498"/>
    </row>
    <row r="34256" spans="16:16">
      <c r="P34256" s="2498"/>
    </row>
    <row r="34257" spans="16:16">
      <c r="P34257" s="2498"/>
    </row>
    <row r="34258" spans="16:16">
      <c r="P34258" s="2498"/>
    </row>
    <row r="34259" spans="16:16">
      <c r="P34259" s="2498"/>
    </row>
    <row r="34260" spans="16:16">
      <c r="P34260" s="2498"/>
    </row>
    <row r="34261" spans="16:16">
      <c r="P34261" s="2498"/>
    </row>
    <row r="34262" spans="16:16">
      <c r="P34262" s="2498"/>
    </row>
    <row r="34263" spans="16:16">
      <c r="P34263" s="2498"/>
    </row>
    <row r="34264" spans="16:16">
      <c r="P34264" s="2498"/>
    </row>
    <row r="34265" spans="16:16">
      <c r="P34265" s="2498"/>
    </row>
    <row r="34266" spans="16:16">
      <c r="P34266" s="2498"/>
    </row>
    <row r="34267" spans="16:16">
      <c r="P34267" s="2498"/>
    </row>
    <row r="34268" spans="16:16">
      <c r="P34268" s="2498"/>
    </row>
    <row r="34269" spans="16:16">
      <c r="P34269" s="2498"/>
    </row>
    <row r="34270" spans="16:16">
      <c r="P34270" s="2498"/>
    </row>
    <row r="34271" spans="16:16">
      <c r="P34271" s="2498"/>
    </row>
    <row r="34272" spans="16:16">
      <c r="P34272" s="2498"/>
    </row>
    <row r="34273" spans="16:16">
      <c r="P34273" s="2498"/>
    </row>
    <row r="34274" spans="16:16">
      <c r="P34274" s="2498"/>
    </row>
    <row r="34275" spans="16:16">
      <c r="P34275" s="2498"/>
    </row>
    <row r="34276" spans="16:16">
      <c r="P34276" s="2498"/>
    </row>
    <row r="34277" spans="16:16">
      <c r="P34277" s="2498"/>
    </row>
    <row r="34278" spans="16:16">
      <c r="P34278" s="2498"/>
    </row>
    <row r="34279" spans="16:16">
      <c r="P34279" s="2498"/>
    </row>
    <row r="34280" spans="16:16">
      <c r="P34280" s="2498"/>
    </row>
    <row r="34281" spans="16:16">
      <c r="P34281" s="2498"/>
    </row>
    <row r="34282" spans="16:16">
      <c r="P34282" s="2498"/>
    </row>
    <row r="34283" spans="16:16">
      <c r="P34283" s="2498"/>
    </row>
    <row r="34284" spans="16:16">
      <c r="P34284" s="2498"/>
    </row>
    <row r="34285" spans="16:16">
      <c r="P34285" s="2498"/>
    </row>
    <row r="34286" spans="16:16">
      <c r="P34286" s="2498"/>
    </row>
    <row r="34287" spans="16:16">
      <c r="P34287" s="2498"/>
    </row>
    <row r="34288" spans="16:16">
      <c r="P34288" s="2498"/>
    </row>
    <row r="34289" spans="16:16">
      <c r="P34289" s="2498"/>
    </row>
    <row r="34290" spans="16:16">
      <c r="P34290" s="2498"/>
    </row>
    <row r="34291" spans="16:16">
      <c r="P34291" s="2498"/>
    </row>
    <row r="34292" spans="16:16">
      <c r="P34292" s="2498"/>
    </row>
    <row r="34293" spans="16:16">
      <c r="P34293" s="2498"/>
    </row>
    <row r="34294" spans="16:16">
      <c r="P34294" s="2498"/>
    </row>
    <row r="34295" spans="16:16">
      <c r="P34295" s="2498"/>
    </row>
    <row r="34296" spans="16:16">
      <c r="P34296" s="2498"/>
    </row>
    <row r="34297" spans="16:16">
      <c r="P34297" s="2498"/>
    </row>
    <row r="34298" spans="16:16">
      <c r="P34298" s="2498"/>
    </row>
    <row r="34299" spans="16:16">
      <c r="P34299" s="2498"/>
    </row>
    <row r="34300" spans="16:16">
      <c r="P34300" s="2498"/>
    </row>
    <row r="34301" spans="16:16">
      <c r="P34301" s="2498"/>
    </row>
    <row r="34302" spans="16:16">
      <c r="P34302" s="2498"/>
    </row>
    <row r="34303" spans="16:16">
      <c r="P34303" s="2498"/>
    </row>
    <row r="34304" spans="16:16">
      <c r="P34304" s="2498"/>
    </row>
    <row r="34305" spans="16:16">
      <c r="P34305" s="2498"/>
    </row>
    <row r="34306" spans="16:16">
      <c r="P34306" s="2498"/>
    </row>
    <row r="34307" spans="16:16">
      <c r="P34307" s="2498"/>
    </row>
    <row r="34308" spans="16:16">
      <c r="P34308" s="2498"/>
    </row>
    <row r="34309" spans="16:16">
      <c r="P34309" s="2498"/>
    </row>
    <row r="34310" spans="16:16">
      <c r="P34310" s="2498"/>
    </row>
    <row r="34311" spans="16:16">
      <c r="P34311" s="2498"/>
    </row>
    <row r="34312" spans="16:16">
      <c r="P34312" s="2498"/>
    </row>
    <row r="34313" spans="16:16">
      <c r="P34313" s="2498"/>
    </row>
    <row r="34314" spans="16:16">
      <c r="P34314" s="2498"/>
    </row>
    <row r="34315" spans="16:16">
      <c r="P34315" s="2498"/>
    </row>
    <row r="34316" spans="16:16">
      <c r="P34316" s="2498"/>
    </row>
    <row r="34317" spans="16:16">
      <c r="P34317" s="2498"/>
    </row>
    <row r="34318" spans="16:16">
      <c r="P34318" s="2498"/>
    </row>
    <row r="34319" spans="16:16">
      <c r="P34319" s="2498"/>
    </row>
    <row r="34320" spans="16:16">
      <c r="P34320" s="2498"/>
    </row>
    <row r="34321" spans="16:16">
      <c r="P34321" s="2498"/>
    </row>
    <row r="34322" spans="16:16">
      <c r="P34322" s="2498"/>
    </row>
    <row r="34323" spans="16:16">
      <c r="P34323" s="2498"/>
    </row>
    <row r="34324" spans="16:16">
      <c r="P34324" s="2498"/>
    </row>
    <row r="34325" spans="16:16">
      <c r="P34325" s="2498"/>
    </row>
    <row r="34326" spans="16:16">
      <c r="P34326" s="2498"/>
    </row>
    <row r="34327" spans="16:16">
      <c r="P34327" s="2498"/>
    </row>
    <row r="34328" spans="16:16">
      <c r="P34328" s="2498"/>
    </row>
    <row r="34329" spans="16:16">
      <c r="P34329" s="2498"/>
    </row>
    <row r="34330" spans="16:16">
      <c r="P34330" s="2498"/>
    </row>
    <row r="34331" spans="16:16">
      <c r="P34331" s="2498"/>
    </row>
    <row r="34332" spans="16:16">
      <c r="P34332" s="2498"/>
    </row>
    <row r="34333" spans="16:16">
      <c r="P34333" s="2498"/>
    </row>
    <row r="34334" spans="16:16">
      <c r="P34334" s="2498"/>
    </row>
    <row r="34335" spans="16:16">
      <c r="P34335" s="2498"/>
    </row>
    <row r="34336" spans="16:16">
      <c r="P34336" s="2498"/>
    </row>
    <row r="34337" spans="16:16">
      <c r="P34337" s="2498"/>
    </row>
    <row r="34338" spans="16:16">
      <c r="P34338" s="2498"/>
    </row>
    <row r="34339" spans="16:16">
      <c r="P34339" s="2498"/>
    </row>
    <row r="34340" spans="16:16">
      <c r="P34340" s="2498"/>
    </row>
    <row r="34341" spans="16:16">
      <c r="P34341" s="2498"/>
    </row>
    <row r="34342" spans="16:16">
      <c r="P34342" s="2498"/>
    </row>
    <row r="34343" spans="16:16">
      <c r="P34343" s="2498"/>
    </row>
    <row r="34344" spans="16:16">
      <c r="P34344" s="2498"/>
    </row>
    <row r="34345" spans="16:16">
      <c r="P34345" s="2498"/>
    </row>
    <row r="34346" spans="16:16">
      <c r="P34346" s="2498"/>
    </row>
    <row r="34347" spans="16:16">
      <c r="P34347" s="2498"/>
    </row>
    <row r="34348" spans="16:16">
      <c r="P34348" s="2498"/>
    </row>
    <row r="34349" spans="16:16">
      <c r="P34349" s="2498"/>
    </row>
    <row r="34350" spans="16:16">
      <c r="P34350" s="2498"/>
    </row>
    <row r="34351" spans="16:16">
      <c r="P34351" s="2498"/>
    </row>
    <row r="34352" spans="16:16">
      <c r="P34352" s="2498"/>
    </row>
    <row r="34353" spans="16:16">
      <c r="P34353" s="2498"/>
    </row>
    <row r="34354" spans="16:16">
      <c r="P34354" s="2498"/>
    </row>
    <row r="34355" spans="16:16">
      <c r="P34355" s="2498"/>
    </row>
    <row r="34356" spans="16:16">
      <c r="P34356" s="2498"/>
    </row>
    <row r="34357" spans="16:16">
      <c r="P34357" s="2498"/>
    </row>
    <row r="34358" spans="16:16">
      <c r="P34358" s="2498"/>
    </row>
    <row r="34359" spans="16:16">
      <c r="P34359" s="2498"/>
    </row>
    <row r="34360" spans="16:16">
      <c r="P34360" s="2498"/>
    </row>
    <row r="34361" spans="16:16">
      <c r="P34361" s="2498"/>
    </row>
    <row r="34362" spans="16:16">
      <c r="P34362" s="2498"/>
    </row>
    <row r="34363" spans="16:16">
      <c r="P34363" s="2498"/>
    </row>
    <row r="34364" spans="16:16">
      <c r="P34364" s="2498"/>
    </row>
    <row r="34365" spans="16:16">
      <c r="P34365" s="2498"/>
    </row>
    <row r="34366" spans="16:16">
      <c r="P34366" s="2498"/>
    </row>
    <row r="34367" spans="16:16">
      <c r="P34367" s="2498"/>
    </row>
    <row r="34368" spans="16:16">
      <c r="P34368" s="2498"/>
    </row>
    <row r="34369" spans="16:16">
      <c r="P34369" s="2498"/>
    </row>
    <row r="34370" spans="16:16">
      <c r="P34370" s="2498"/>
    </row>
    <row r="34371" spans="16:16">
      <c r="P34371" s="2498"/>
    </row>
    <row r="34372" spans="16:16">
      <c r="P34372" s="2498"/>
    </row>
    <row r="34373" spans="16:16">
      <c r="P34373" s="2498"/>
    </row>
    <row r="34374" spans="16:16">
      <c r="P34374" s="2498"/>
    </row>
    <row r="34375" spans="16:16">
      <c r="P34375" s="2498"/>
    </row>
    <row r="34376" spans="16:16">
      <c r="P34376" s="2498"/>
    </row>
    <row r="34377" spans="16:16">
      <c r="P34377" s="2498"/>
    </row>
    <row r="34378" spans="16:16">
      <c r="P34378" s="2498"/>
    </row>
    <row r="34379" spans="16:16">
      <c r="P34379" s="2498"/>
    </row>
    <row r="34380" spans="16:16">
      <c r="P34380" s="2498"/>
    </row>
    <row r="34381" spans="16:16">
      <c r="P34381" s="2498"/>
    </row>
    <row r="34382" spans="16:16">
      <c r="P34382" s="2498"/>
    </row>
    <row r="34383" spans="16:16">
      <c r="P34383" s="2498"/>
    </row>
    <row r="34384" spans="16:16">
      <c r="P34384" s="2498"/>
    </row>
    <row r="34385" spans="16:16">
      <c r="P34385" s="2498"/>
    </row>
    <row r="34386" spans="16:16">
      <c r="P34386" s="2498"/>
    </row>
    <row r="34387" spans="16:16">
      <c r="P34387" s="2498"/>
    </row>
    <row r="34388" spans="16:16">
      <c r="P34388" s="2498"/>
    </row>
    <row r="34389" spans="16:16">
      <c r="P34389" s="2498"/>
    </row>
    <row r="34390" spans="16:16">
      <c r="P34390" s="2498"/>
    </row>
    <row r="34391" spans="16:16">
      <c r="P34391" s="2498"/>
    </row>
    <row r="34392" spans="16:16">
      <c r="P34392" s="2498"/>
    </row>
    <row r="34393" spans="16:16">
      <c r="P34393" s="2498"/>
    </row>
    <row r="34394" spans="16:16">
      <c r="P34394" s="2498"/>
    </row>
    <row r="34395" spans="16:16">
      <c r="P34395" s="2498"/>
    </row>
    <row r="34396" spans="16:16">
      <c r="P34396" s="2498"/>
    </row>
    <row r="34397" spans="16:16">
      <c r="P34397" s="2498"/>
    </row>
    <row r="34398" spans="16:16">
      <c r="P34398" s="2498"/>
    </row>
    <row r="34399" spans="16:16">
      <c r="P34399" s="2498"/>
    </row>
    <row r="34400" spans="16:16">
      <c r="P34400" s="2498"/>
    </row>
    <row r="34401" spans="16:16">
      <c r="P34401" s="2498"/>
    </row>
    <row r="34402" spans="16:16">
      <c r="P34402" s="2498"/>
    </row>
    <row r="34403" spans="16:16">
      <c r="P34403" s="2498"/>
    </row>
    <row r="34404" spans="16:16">
      <c r="P34404" s="2498"/>
    </row>
    <row r="34405" spans="16:16">
      <c r="P34405" s="2498"/>
    </row>
    <row r="34406" spans="16:16">
      <c r="P34406" s="2498"/>
    </row>
    <row r="34407" spans="16:16">
      <c r="P34407" s="2498"/>
    </row>
    <row r="34408" spans="16:16">
      <c r="P34408" s="2498"/>
    </row>
    <row r="34409" spans="16:16">
      <c r="P34409" s="2498"/>
    </row>
    <row r="34410" spans="16:16">
      <c r="P34410" s="2498"/>
    </row>
    <row r="34411" spans="16:16">
      <c r="P34411" s="2498"/>
    </row>
    <row r="34412" spans="16:16">
      <c r="P34412" s="2498"/>
    </row>
    <row r="34413" spans="16:16">
      <c r="P34413" s="2498"/>
    </row>
    <row r="34414" spans="16:16">
      <c r="P34414" s="2498"/>
    </row>
    <row r="34415" spans="16:16">
      <c r="P34415" s="2498"/>
    </row>
    <row r="34416" spans="16:16">
      <c r="P34416" s="2498"/>
    </row>
    <row r="34417" spans="16:16">
      <c r="P34417" s="2498"/>
    </row>
    <row r="34418" spans="16:16">
      <c r="P34418" s="2498"/>
    </row>
    <row r="34419" spans="16:16">
      <c r="P34419" s="2498"/>
    </row>
    <row r="34420" spans="16:16">
      <c r="P34420" s="2498"/>
    </row>
    <row r="34421" spans="16:16">
      <c r="P34421" s="2498"/>
    </row>
    <row r="34422" spans="16:16">
      <c r="P34422" s="2498"/>
    </row>
    <row r="34423" spans="16:16">
      <c r="P34423" s="2498"/>
    </row>
    <row r="34424" spans="16:16">
      <c r="P34424" s="2498"/>
    </row>
    <row r="34425" spans="16:16">
      <c r="P34425" s="2498"/>
    </row>
    <row r="34426" spans="16:16">
      <c r="P34426" s="2498"/>
    </row>
    <row r="34427" spans="16:16">
      <c r="P34427" s="2498"/>
    </row>
    <row r="34428" spans="16:16">
      <c r="P34428" s="2498"/>
    </row>
    <row r="34429" spans="16:16">
      <c r="P34429" s="2498"/>
    </row>
    <row r="34430" spans="16:16">
      <c r="P34430" s="2498"/>
    </row>
    <row r="34431" spans="16:16">
      <c r="P34431" s="2498"/>
    </row>
    <row r="34432" spans="16:16">
      <c r="P34432" s="2498"/>
    </row>
    <row r="34433" spans="16:16">
      <c r="P34433" s="2498"/>
    </row>
    <row r="34434" spans="16:16">
      <c r="P34434" s="2498"/>
    </row>
    <row r="34435" spans="16:16">
      <c r="P34435" s="2498"/>
    </row>
    <row r="34436" spans="16:16">
      <c r="P34436" s="2498"/>
    </row>
    <row r="34437" spans="16:16">
      <c r="P34437" s="2498"/>
    </row>
    <row r="34438" spans="16:16">
      <c r="P34438" s="2498"/>
    </row>
    <row r="34439" spans="16:16">
      <c r="P34439" s="2498"/>
    </row>
    <row r="34440" spans="16:16">
      <c r="P34440" s="2498"/>
    </row>
    <row r="34441" spans="16:16">
      <c r="P34441" s="2498"/>
    </row>
    <row r="34442" spans="16:16">
      <c r="P34442" s="2498"/>
    </row>
    <row r="34443" spans="16:16">
      <c r="P34443" s="2498"/>
    </row>
    <row r="34444" spans="16:16">
      <c r="P34444" s="2498"/>
    </row>
    <row r="34445" spans="16:16">
      <c r="P34445" s="2498"/>
    </row>
    <row r="34446" spans="16:16">
      <c r="P34446" s="2498"/>
    </row>
    <row r="34447" spans="16:16">
      <c r="P34447" s="2498"/>
    </row>
    <row r="34448" spans="16:16">
      <c r="P34448" s="2498"/>
    </row>
    <row r="34449" spans="16:16">
      <c r="P34449" s="2498"/>
    </row>
    <row r="34450" spans="16:16">
      <c r="P34450" s="2498"/>
    </row>
    <row r="34451" spans="16:16">
      <c r="P34451" s="2498"/>
    </row>
    <row r="34452" spans="16:16">
      <c r="P34452" s="2498"/>
    </row>
    <row r="34453" spans="16:16">
      <c r="P34453" s="2498"/>
    </row>
    <row r="34454" spans="16:16">
      <c r="P34454" s="2498"/>
    </row>
    <row r="34455" spans="16:16">
      <c r="P34455" s="2498"/>
    </row>
    <row r="34456" spans="16:16">
      <c r="P34456" s="2498"/>
    </row>
    <row r="34457" spans="16:16">
      <c r="P34457" s="2498"/>
    </row>
    <row r="34458" spans="16:16">
      <c r="P34458" s="2498"/>
    </row>
    <row r="34459" spans="16:16">
      <c r="P34459" s="2498"/>
    </row>
    <row r="34460" spans="16:16">
      <c r="P34460" s="2498"/>
    </row>
    <row r="34461" spans="16:16">
      <c r="P34461" s="2498"/>
    </row>
    <row r="34462" spans="16:16">
      <c r="P34462" s="2498"/>
    </row>
    <row r="34463" spans="16:16">
      <c r="P34463" s="2498"/>
    </row>
    <row r="34464" spans="16:16">
      <c r="P34464" s="2498"/>
    </row>
    <row r="34465" spans="16:16">
      <c r="P34465" s="2498"/>
    </row>
    <row r="34466" spans="16:16">
      <c r="P34466" s="2498"/>
    </row>
    <row r="34467" spans="16:16">
      <c r="P34467" s="2498"/>
    </row>
    <row r="34468" spans="16:16">
      <c r="P34468" s="2498"/>
    </row>
    <row r="34469" spans="16:16">
      <c r="P34469" s="2498"/>
    </row>
    <row r="34470" spans="16:16">
      <c r="P34470" s="2498"/>
    </row>
    <row r="34471" spans="16:16">
      <c r="P34471" s="2498"/>
    </row>
    <row r="34472" spans="16:16">
      <c r="P34472" s="2498"/>
    </row>
    <row r="34473" spans="16:16">
      <c r="P34473" s="2498"/>
    </row>
    <row r="34474" spans="16:16">
      <c r="P34474" s="2498"/>
    </row>
    <row r="34475" spans="16:16">
      <c r="P34475" s="2498"/>
    </row>
    <row r="34476" spans="16:16">
      <c r="P34476" s="2498"/>
    </row>
    <row r="34477" spans="16:16">
      <c r="P34477" s="2498"/>
    </row>
    <row r="34478" spans="16:16">
      <c r="P34478" s="2498"/>
    </row>
    <row r="34479" spans="16:16">
      <c r="P34479" s="2498"/>
    </row>
    <row r="34480" spans="16:16">
      <c r="P34480" s="2498"/>
    </row>
    <row r="34481" spans="16:16">
      <c r="P34481" s="2498"/>
    </row>
    <row r="34482" spans="16:16">
      <c r="P34482" s="2498"/>
    </row>
    <row r="34483" spans="16:16">
      <c r="P34483" s="2498"/>
    </row>
    <row r="34484" spans="16:16">
      <c r="P34484" s="2498"/>
    </row>
    <row r="34485" spans="16:16">
      <c r="P34485" s="2498"/>
    </row>
    <row r="34486" spans="16:16">
      <c r="P34486" s="2498"/>
    </row>
    <row r="34487" spans="16:16">
      <c r="P34487" s="2498"/>
    </row>
    <row r="34488" spans="16:16">
      <c r="P34488" s="2498"/>
    </row>
    <row r="34489" spans="16:16">
      <c r="P34489" s="2498"/>
    </row>
    <row r="34490" spans="16:16">
      <c r="P34490" s="2498"/>
    </row>
    <row r="34491" spans="16:16">
      <c r="P34491" s="2498"/>
    </row>
    <row r="34492" spans="16:16">
      <c r="P34492" s="2498"/>
    </row>
    <row r="34493" spans="16:16">
      <c r="P34493" s="2498"/>
    </row>
    <row r="34494" spans="16:16">
      <c r="P34494" s="2498"/>
    </row>
    <row r="34495" spans="16:16">
      <c r="P34495" s="2498"/>
    </row>
    <row r="34496" spans="16:16">
      <c r="P34496" s="2498"/>
    </row>
    <row r="34497" spans="16:16">
      <c r="P34497" s="2498"/>
    </row>
    <row r="34498" spans="16:16">
      <c r="P34498" s="2498"/>
    </row>
    <row r="34499" spans="16:16">
      <c r="P34499" s="2498"/>
    </row>
    <row r="34500" spans="16:16">
      <c r="P34500" s="2498"/>
    </row>
    <row r="34501" spans="16:16">
      <c r="P34501" s="2498"/>
    </row>
    <row r="34502" spans="16:16">
      <c r="P34502" s="2498"/>
    </row>
    <row r="34503" spans="16:16">
      <c r="P34503" s="2498"/>
    </row>
    <row r="34504" spans="16:16">
      <c r="P34504" s="2498"/>
    </row>
    <row r="34505" spans="16:16">
      <c r="P34505" s="2498"/>
    </row>
    <row r="34506" spans="16:16">
      <c r="P34506" s="2498"/>
    </row>
    <row r="34507" spans="16:16">
      <c r="P34507" s="2498"/>
    </row>
    <row r="34508" spans="16:16">
      <c r="P34508" s="2498"/>
    </row>
    <row r="34509" spans="16:16">
      <c r="P34509" s="2498"/>
    </row>
    <row r="34510" spans="16:16">
      <c r="P34510" s="2498"/>
    </row>
    <row r="34511" spans="16:16">
      <c r="P34511" s="2498"/>
    </row>
    <row r="34512" spans="16:16">
      <c r="P34512" s="2498"/>
    </row>
    <row r="34513" spans="16:16">
      <c r="P34513" s="2498"/>
    </row>
    <row r="34514" spans="16:16">
      <c r="P34514" s="2498"/>
    </row>
    <row r="34515" spans="16:16">
      <c r="P34515" s="2498"/>
    </row>
    <row r="34516" spans="16:16">
      <c r="P34516" s="2498"/>
    </row>
    <row r="34517" spans="16:16">
      <c r="P34517" s="2498"/>
    </row>
    <row r="34518" spans="16:16">
      <c r="P34518" s="2498"/>
    </row>
    <row r="34519" spans="16:16">
      <c r="P34519" s="2498"/>
    </row>
    <row r="34520" spans="16:16">
      <c r="P34520" s="2498"/>
    </row>
    <row r="34521" spans="16:16">
      <c r="P34521" s="2498"/>
    </row>
    <row r="34522" spans="16:16">
      <c r="P34522" s="2498"/>
    </row>
    <row r="34523" spans="16:16">
      <c r="P34523" s="2498"/>
    </row>
    <row r="34524" spans="16:16">
      <c r="P34524" s="2498"/>
    </row>
    <row r="34525" spans="16:16">
      <c r="P34525" s="2498"/>
    </row>
    <row r="34526" spans="16:16">
      <c r="P34526" s="2498"/>
    </row>
    <row r="34527" spans="16:16">
      <c r="P34527" s="2498"/>
    </row>
    <row r="34528" spans="16:16">
      <c r="P34528" s="2498"/>
    </row>
    <row r="34529" spans="16:16">
      <c r="P34529" s="2498"/>
    </row>
    <row r="34530" spans="16:16">
      <c r="P34530" s="2498"/>
    </row>
    <row r="34531" spans="16:16">
      <c r="P34531" s="2498"/>
    </row>
    <row r="34532" spans="16:16">
      <c r="P34532" s="2498"/>
    </row>
    <row r="34533" spans="16:16">
      <c r="P34533" s="2498"/>
    </row>
    <row r="34534" spans="16:16">
      <c r="P34534" s="2498"/>
    </row>
    <row r="34535" spans="16:16">
      <c r="P34535" s="2498"/>
    </row>
    <row r="34536" spans="16:16">
      <c r="P34536" s="2498"/>
    </row>
    <row r="34537" spans="16:16">
      <c r="P34537" s="2498"/>
    </row>
    <row r="34538" spans="16:16">
      <c r="P34538" s="2498"/>
    </row>
    <row r="34539" spans="16:16">
      <c r="P34539" s="2498"/>
    </row>
    <row r="34540" spans="16:16">
      <c r="P34540" s="2498"/>
    </row>
    <row r="34541" spans="16:16">
      <c r="P34541" s="2498"/>
    </row>
    <row r="34542" spans="16:16">
      <c r="P34542" s="2498"/>
    </row>
    <row r="34543" spans="16:16">
      <c r="P34543" s="2498"/>
    </row>
    <row r="34544" spans="16:16">
      <c r="P34544" s="2498"/>
    </row>
    <row r="34545" spans="16:16">
      <c r="P34545" s="2498"/>
    </row>
    <row r="34546" spans="16:16">
      <c r="P34546" s="2498"/>
    </row>
    <row r="34547" spans="16:16">
      <c r="P34547" s="2498"/>
    </row>
    <row r="34548" spans="16:16">
      <c r="P34548" s="2498"/>
    </row>
    <row r="34549" spans="16:16">
      <c r="P34549" s="2498"/>
    </row>
    <row r="34550" spans="16:16">
      <c r="P34550" s="2498"/>
    </row>
    <row r="34551" spans="16:16">
      <c r="P34551" s="2498"/>
    </row>
    <row r="34552" spans="16:16">
      <c r="P34552" s="2498"/>
    </row>
    <row r="34553" spans="16:16">
      <c r="P34553" s="2498"/>
    </row>
    <row r="34554" spans="16:16">
      <c r="P34554" s="2498"/>
    </row>
    <row r="34555" spans="16:16">
      <c r="P34555" s="2498"/>
    </row>
    <row r="34556" spans="16:16">
      <c r="P34556" s="2498"/>
    </row>
    <row r="34557" spans="16:16">
      <c r="P34557" s="2498"/>
    </row>
    <row r="34558" spans="16:16">
      <c r="P34558" s="2498"/>
    </row>
    <row r="34559" spans="16:16">
      <c r="P34559" s="2498"/>
    </row>
    <row r="34560" spans="16:16">
      <c r="P34560" s="2498"/>
    </row>
    <row r="34561" spans="16:16">
      <c r="P34561" s="2498"/>
    </row>
    <row r="34562" spans="16:16">
      <c r="P34562" s="2498"/>
    </row>
    <row r="34563" spans="16:16">
      <c r="P34563" s="2498"/>
    </row>
    <row r="34564" spans="16:16">
      <c r="P34564" s="2498"/>
    </row>
    <row r="34565" spans="16:16">
      <c r="P34565" s="2498"/>
    </row>
    <row r="34566" spans="16:16">
      <c r="P34566" s="2498"/>
    </row>
    <row r="34567" spans="16:16">
      <c r="P34567" s="2498"/>
    </row>
    <row r="34568" spans="16:16">
      <c r="P34568" s="2498"/>
    </row>
    <row r="34569" spans="16:16">
      <c r="P34569" s="2498"/>
    </row>
    <row r="34570" spans="16:16">
      <c r="P34570" s="2498"/>
    </row>
    <row r="34571" spans="16:16">
      <c r="P34571" s="2498"/>
    </row>
    <row r="34572" spans="16:16">
      <c r="P34572" s="2498"/>
    </row>
    <row r="34573" spans="16:16">
      <c r="P34573" s="2498"/>
    </row>
    <row r="34574" spans="16:16">
      <c r="P34574" s="2498"/>
    </row>
    <row r="34575" spans="16:16">
      <c r="P34575" s="2498"/>
    </row>
    <row r="34576" spans="16:16">
      <c r="P34576" s="2498"/>
    </row>
    <row r="34577" spans="16:16">
      <c r="P34577" s="2498"/>
    </row>
    <row r="34578" spans="16:16">
      <c r="P34578" s="2498"/>
    </row>
    <row r="34579" spans="16:16">
      <c r="P34579" s="2498"/>
    </row>
    <row r="34580" spans="16:16">
      <c r="P34580" s="2498"/>
    </row>
    <row r="34581" spans="16:16">
      <c r="P34581" s="2498"/>
    </row>
    <row r="34582" spans="16:16">
      <c r="P34582" s="2498"/>
    </row>
    <row r="34583" spans="16:16">
      <c r="P34583" s="2498"/>
    </row>
    <row r="34584" spans="16:16">
      <c r="P34584" s="2498"/>
    </row>
    <row r="34585" spans="16:16">
      <c r="P34585" s="2498"/>
    </row>
    <row r="34586" spans="16:16">
      <c r="P34586" s="2498"/>
    </row>
    <row r="34587" spans="16:16">
      <c r="P34587" s="2498"/>
    </row>
    <row r="34588" spans="16:16">
      <c r="P34588" s="2498"/>
    </row>
    <row r="34589" spans="16:16">
      <c r="P34589" s="2498"/>
    </row>
    <row r="34590" spans="16:16">
      <c r="P34590" s="2498"/>
    </row>
    <row r="34591" spans="16:16">
      <c r="P34591" s="2498"/>
    </row>
    <row r="34592" spans="16:16">
      <c r="P34592" s="2498"/>
    </row>
    <row r="34593" spans="16:16">
      <c r="P34593" s="2498"/>
    </row>
    <row r="34594" spans="16:16">
      <c r="P34594" s="2498"/>
    </row>
    <row r="34595" spans="16:16">
      <c r="P34595" s="2498"/>
    </row>
    <row r="34596" spans="16:16">
      <c r="P34596" s="2498"/>
    </row>
    <row r="34597" spans="16:16">
      <c r="P34597" s="2498"/>
    </row>
    <row r="34598" spans="16:16">
      <c r="P34598" s="2498"/>
    </row>
    <row r="34599" spans="16:16">
      <c r="P34599" s="2498"/>
    </row>
    <row r="34600" spans="16:16">
      <c r="P34600" s="2498"/>
    </row>
    <row r="34601" spans="16:16">
      <c r="P34601" s="2498"/>
    </row>
    <row r="34602" spans="16:16">
      <c r="P34602" s="2498"/>
    </row>
    <row r="34603" spans="16:16">
      <c r="P34603" s="2498"/>
    </row>
    <row r="34604" spans="16:16">
      <c r="P34604" s="2498"/>
    </row>
    <row r="34605" spans="16:16">
      <c r="P34605" s="2498"/>
    </row>
    <row r="34606" spans="16:16">
      <c r="P34606" s="2498"/>
    </row>
    <row r="34607" spans="16:16">
      <c r="P34607" s="2498"/>
    </row>
    <row r="34608" spans="16:16">
      <c r="P34608" s="2498"/>
    </row>
    <row r="34609" spans="16:16">
      <c r="P34609" s="2498"/>
    </row>
    <row r="34610" spans="16:16">
      <c r="P34610" s="2498"/>
    </row>
    <row r="34611" spans="16:16">
      <c r="P34611" s="2498"/>
    </row>
    <row r="34612" spans="16:16">
      <c r="P34612" s="2498"/>
    </row>
    <row r="34613" spans="16:16">
      <c r="P34613" s="2498"/>
    </row>
    <row r="34614" spans="16:16">
      <c r="P34614" s="2498"/>
    </row>
    <row r="34615" spans="16:16">
      <c r="P34615" s="2498"/>
    </row>
    <row r="34616" spans="16:16">
      <c r="P34616" s="2498"/>
    </row>
    <row r="34617" spans="16:16">
      <c r="P34617" s="2498"/>
    </row>
    <row r="34618" spans="16:16">
      <c r="P34618" s="2498"/>
    </row>
    <row r="34619" spans="16:16">
      <c r="P34619" s="2498"/>
    </row>
    <row r="34620" spans="16:16">
      <c r="P34620" s="2498"/>
    </row>
    <row r="34621" spans="16:16">
      <c r="P34621" s="2498"/>
    </row>
    <row r="34622" spans="16:16">
      <c r="P34622" s="2498"/>
    </row>
    <row r="34623" spans="16:16">
      <c r="P34623" s="2498"/>
    </row>
    <row r="34624" spans="16:16">
      <c r="P34624" s="2498"/>
    </row>
    <row r="34625" spans="16:16">
      <c r="P34625" s="2498"/>
    </row>
    <row r="34626" spans="16:16">
      <c r="P34626" s="2498"/>
    </row>
    <row r="34627" spans="16:16">
      <c r="P34627" s="2498"/>
    </row>
    <row r="34628" spans="16:16">
      <c r="P34628" s="2498"/>
    </row>
    <row r="34629" spans="16:16">
      <c r="P34629" s="2498"/>
    </row>
    <row r="34630" spans="16:16">
      <c r="P34630" s="2498"/>
    </row>
    <row r="34631" spans="16:16">
      <c r="P34631" s="2498"/>
    </row>
    <row r="34632" spans="16:16">
      <c r="P34632" s="2498"/>
    </row>
    <row r="34633" spans="16:16">
      <c r="P34633" s="2498"/>
    </row>
    <row r="34634" spans="16:16">
      <c r="P34634" s="2498"/>
    </row>
    <row r="34635" spans="16:16">
      <c r="P34635" s="2498"/>
    </row>
    <row r="34636" spans="16:16">
      <c r="P34636" s="2498"/>
    </row>
    <row r="34637" spans="16:16">
      <c r="P34637" s="2498"/>
    </row>
    <row r="34638" spans="16:16">
      <c r="P34638" s="2498"/>
    </row>
    <row r="34639" spans="16:16">
      <c r="P34639" s="2498"/>
    </row>
    <row r="34640" spans="16:16">
      <c r="P34640" s="2498"/>
    </row>
    <row r="34641" spans="16:16">
      <c r="P34641" s="2498"/>
    </row>
    <row r="34642" spans="16:16">
      <c r="P34642" s="2498"/>
    </row>
    <row r="34643" spans="16:16">
      <c r="P34643" s="2498"/>
    </row>
    <row r="34644" spans="16:16">
      <c r="P34644" s="2498"/>
    </row>
    <row r="34645" spans="16:16">
      <c r="P34645" s="2498"/>
    </row>
    <row r="34646" spans="16:16">
      <c r="P34646" s="2498"/>
    </row>
    <row r="34647" spans="16:16">
      <c r="P34647" s="2498"/>
    </row>
    <row r="34648" spans="16:16">
      <c r="P34648" s="2498"/>
    </row>
    <row r="34649" spans="16:16">
      <c r="P34649" s="2498"/>
    </row>
    <row r="34650" spans="16:16">
      <c r="P34650" s="2498"/>
    </row>
    <row r="34651" spans="16:16">
      <c r="P34651" s="2498"/>
    </row>
    <row r="34652" spans="16:16">
      <c r="P34652" s="2498"/>
    </row>
    <row r="34653" spans="16:16">
      <c r="P34653" s="2498"/>
    </row>
    <row r="34654" spans="16:16">
      <c r="P34654" s="2498"/>
    </row>
    <row r="34655" spans="16:16">
      <c r="P34655" s="2498"/>
    </row>
    <row r="34656" spans="16:16">
      <c r="P34656" s="2498"/>
    </row>
    <row r="34657" spans="16:16">
      <c r="P34657" s="2498"/>
    </row>
    <row r="34658" spans="16:16">
      <c r="P34658" s="2498"/>
    </row>
    <row r="34659" spans="16:16">
      <c r="P34659" s="2498"/>
    </row>
    <row r="34660" spans="16:16">
      <c r="P34660" s="2498"/>
    </row>
    <row r="34661" spans="16:16">
      <c r="P34661" s="2498"/>
    </row>
    <row r="34662" spans="16:16">
      <c r="P34662" s="2498"/>
    </row>
    <row r="34663" spans="16:16">
      <c r="P34663" s="2498"/>
    </row>
    <row r="34664" spans="16:16">
      <c r="P34664" s="2498"/>
    </row>
    <row r="34665" spans="16:16">
      <c r="P34665" s="2498"/>
    </row>
    <row r="34666" spans="16:16">
      <c r="P34666" s="2498"/>
    </row>
    <row r="34667" spans="16:16">
      <c r="P34667" s="2498"/>
    </row>
    <row r="34668" spans="16:16">
      <c r="P34668" s="2498"/>
    </row>
    <row r="34669" spans="16:16">
      <c r="P34669" s="2498"/>
    </row>
    <row r="34670" spans="16:16">
      <c r="P34670" s="2498"/>
    </row>
    <row r="34671" spans="16:16">
      <c r="P34671" s="2498"/>
    </row>
    <row r="34672" spans="16:16">
      <c r="P34672" s="2498"/>
    </row>
    <row r="34673" spans="16:16">
      <c r="P34673" s="2498"/>
    </row>
    <row r="34674" spans="16:16">
      <c r="P34674" s="2498"/>
    </row>
    <row r="34675" spans="16:16">
      <c r="P34675" s="2498"/>
    </row>
    <row r="34676" spans="16:16">
      <c r="P34676" s="2498"/>
    </row>
    <row r="34677" spans="16:16">
      <c r="P34677" s="2498"/>
    </row>
    <row r="34678" spans="16:16">
      <c r="P34678" s="2498"/>
    </row>
    <row r="34679" spans="16:16">
      <c r="P34679" s="2498"/>
    </row>
    <row r="34680" spans="16:16">
      <c r="P34680" s="2498"/>
    </row>
    <row r="34681" spans="16:16">
      <c r="P34681" s="2498"/>
    </row>
    <row r="34682" spans="16:16">
      <c r="P34682" s="2498"/>
    </row>
    <row r="34683" spans="16:16">
      <c r="P34683" s="2498"/>
    </row>
    <row r="34684" spans="16:16">
      <c r="P34684" s="2498"/>
    </row>
    <row r="34685" spans="16:16">
      <c r="P34685" s="2498"/>
    </row>
    <row r="34686" spans="16:16">
      <c r="P34686" s="2498"/>
    </row>
    <row r="34687" spans="16:16">
      <c r="P34687" s="2498"/>
    </row>
    <row r="34688" spans="16:16">
      <c r="P34688" s="2498"/>
    </row>
    <row r="34689" spans="16:16">
      <c r="P34689" s="2498"/>
    </row>
    <row r="34690" spans="16:16">
      <c r="P34690" s="2498"/>
    </row>
    <row r="34691" spans="16:16">
      <c r="P34691" s="2498"/>
    </row>
    <row r="34692" spans="16:16">
      <c r="P34692" s="2498"/>
    </row>
    <row r="34693" spans="16:16">
      <c r="P34693" s="2498"/>
    </row>
    <row r="34694" spans="16:16">
      <c r="P34694" s="2498"/>
    </row>
    <row r="34695" spans="16:16">
      <c r="P34695" s="2498"/>
    </row>
    <row r="34696" spans="16:16">
      <c r="P34696" s="2498"/>
    </row>
    <row r="34697" spans="16:16">
      <c r="P34697" s="2498"/>
    </row>
    <row r="34698" spans="16:16">
      <c r="P34698" s="2498"/>
    </row>
    <row r="34699" spans="16:16">
      <c r="P34699" s="2498"/>
    </row>
    <row r="34700" spans="16:16">
      <c r="P34700" s="2498"/>
    </row>
    <row r="34701" spans="16:16">
      <c r="P34701" s="2498"/>
    </row>
    <row r="34702" spans="16:16">
      <c r="P34702" s="2498"/>
    </row>
    <row r="34703" spans="16:16">
      <c r="P34703" s="2498"/>
    </row>
    <row r="34704" spans="16:16">
      <c r="P34704" s="2498"/>
    </row>
    <row r="34705" spans="16:16">
      <c r="P34705" s="2498"/>
    </row>
    <row r="34706" spans="16:16">
      <c r="P34706" s="2498"/>
    </row>
    <row r="34707" spans="16:16">
      <c r="P34707" s="2498"/>
    </row>
    <row r="34708" spans="16:16">
      <c r="P34708" s="2498"/>
    </row>
    <row r="34709" spans="16:16">
      <c r="P34709" s="2498"/>
    </row>
    <row r="34710" spans="16:16">
      <c r="P34710" s="2498"/>
    </row>
    <row r="34711" spans="16:16">
      <c r="P34711" s="2498"/>
    </row>
    <row r="34712" spans="16:16">
      <c r="P34712" s="2498"/>
    </row>
    <row r="34713" spans="16:16">
      <c r="P34713" s="2498"/>
    </row>
    <row r="34714" spans="16:16">
      <c r="P34714" s="2498"/>
    </row>
    <row r="34715" spans="16:16">
      <c r="P34715" s="2498"/>
    </row>
    <row r="34716" spans="16:16">
      <c r="P34716" s="2498"/>
    </row>
    <row r="34717" spans="16:16">
      <c r="P34717" s="2498"/>
    </row>
    <row r="34718" spans="16:16">
      <c r="P34718" s="2498"/>
    </row>
    <row r="34719" spans="16:16">
      <c r="P34719" s="2498"/>
    </row>
    <row r="34720" spans="16:16">
      <c r="P34720" s="2498"/>
    </row>
    <row r="34721" spans="16:16">
      <c r="P34721" s="2498"/>
    </row>
    <row r="34722" spans="16:16">
      <c r="P34722" s="2498"/>
    </row>
    <row r="34723" spans="16:16">
      <c r="P34723" s="2498"/>
    </row>
    <row r="34724" spans="16:16">
      <c r="P34724" s="2498"/>
    </row>
    <row r="34725" spans="16:16">
      <c r="P34725" s="2498"/>
    </row>
    <row r="34726" spans="16:16">
      <c r="P34726" s="2498"/>
    </row>
    <row r="34727" spans="16:16">
      <c r="P34727" s="2498"/>
    </row>
    <row r="34728" spans="16:16">
      <c r="P34728" s="2498"/>
    </row>
    <row r="34729" spans="16:16">
      <c r="P34729" s="2498"/>
    </row>
    <row r="34730" spans="16:16">
      <c r="P34730" s="2498"/>
    </row>
    <row r="34731" spans="16:16">
      <c r="P34731" s="2498"/>
    </row>
    <row r="34732" spans="16:16">
      <c r="P34732" s="2498"/>
    </row>
    <row r="34733" spans="16:16">
      <c r="P34733" s="2498"/>
    </row>
    <row r="34734" spans="16:16">
      <c r="P34734" s="2498"/>
    </row>
    <row r="34735" spans="16:16">
      <c r="P34735" s="2498"/>
    </row>
    <row r="34736" spans="16:16">
      <c r="P34736" s="2498"/>
    </row>
    <row r="34737" spans="16:16">
      <c r="P34737" s="2498"/>
    </row>
    <row r="34738" spans="16:16">
      <c r="P34738" s="2498"/>
    </row>
    <row r="34739" spans="16:16">
      <c r="P34739" s="2498"/>
    </row>
    <row r="34740" spans="16:16">
      <c r="P34740" s="2498"/>
    </row>
    <row r="34741" spans="16:16">
      <c r="P34741" s="2498"/>
    </row>
    <row r="34742" spans="16:16">
      <c r="P34742" s="2498"/>
    </row>
    <row r="34743" spans="16:16">
      <c r="P34743" s="2498"/>
    </row>
    <row r="34744" spans="16:16">
      <c r="P34744" s="2498"/>
    </row>
    <row r="34745" spans="16:16">
      <c r="P34745" s="2498"/>
    </row>
    <row r="34746" spans="16:16">
      <c r="P34746" s="2498"/>
    </row>
    <row r="34747" spans="16:16">
      <c r="P34747" s="2498"/>
    </row>
    <row r="34748" spans="16:16">
      <c r="P34748" s="2498"/>
    </row>
    <row r="34749" spans="16:16">
      <c r="P34749" s="2498"/>
    </row>
    <row r="34750" spans="16:16">
      <c r="P34750" s="2498"/>
    </row>
    <row r="34751" spans="16:16">
      <c r="P34751" s="2498"/>
    </row>
    <row r="34752" spans="16:16">
      <c r="P34752" s="2498"/>
    </row>
    <row r="34753" spans="16:16">
      <c r="P34753" s="2498"/>
    </row>
    <row r="34754" spans="16:16">
      <c r="P34754" s="2498"/>
    </row>
    <row r="34755" spans="16:16">
      <c r="P34755" s="2498"/>
    </row>
    <row r="34756" spans="16:16">
      <c r="P34756" s="2498"/>
    </row>
    <row r="34757" spans="16:16">
      <c r="P34757" s="2498"/>
    </row>
    <row r="34758" spans="16:16">
      <c r="P34758" s="2498"/>
    </row>
    <row r="34759" spans="16:16">
      <c r="P34759" s="2498"/>
    </row>
    <row r="34760" spans="16:16">
      <c r="P34760" s="2498"/>
    </row>
    <row r="34761" spans="16:16">
      <c r="P34761" s="2498"/>
    </row>
    <row r="34762" spans="16:16">
      <c r="P34762" s="2498"/>
    </row>
    <row r="34763" spans="16:16">
      <c r="P34763" s="2498"/>
    </row>
    <row r="34764" spans="16:16">
      <c r="P34764" s="2498"/>
    </row>
    <row r="34765" spans="16:16">
      <c r="P34765" s="2498"/>
    </row>
    <row r="34766" spans="16:16">
      <c r="P34766" s="2498"/>
    </row>
    <row r="34767" spans="16:16">
      <c r="P34767" s="2498"/>
    </row>
    <row r="34768" spans="16:16">
      <c r="P34768" s="2498"/>
    </row>
    <row r="34769" spans="16:16">
      <c r="P34769" s="2498"/>
    </row>
    <row r="34770" spans="16:16">
      <c r="P34770" s="2498"/>
    </row>
    <row r="34771" spans="16:16">
      <c r="P34771" s="2498"/>
    </row>
    <row r="34772" spans="16:16">
      <c r="P34772" s="2498"/>
    </row>
    <row r="34773" spans="16:16">
      <c r="P34773" s="2498"/>
    </row>
    <row r="34774" spans="16:16">
      <c r="P34774" s="2498"/>
    </row>
    <row r="34775" spans="16:16">
      <c r="P34775" s="2498"/>
    </row>
    <row r="34776" spans="16:16">
      <c r="P34776" s="2498"/>
    </row>
    <row r="34777" spans="16:16">
      <c r="P34777" s="2498"/>
    </row>
    <row r="34778" spans="16:16">
      <c r="P34778" s="2498"/>
    </row>
    <row r="34779" spans="16:16">
      <c r="P34779" s="2498"/>
    </row>
    <row r="34780" spans="16:16">
      <c r="P34780" s="2498"/>
    </row>
    <row r="34781" spans="16:16">
      <c r="P34781" s="2498"/>
    </row>
    <row r="34782" spans="16:16">
      <c r="P34782" s="2498"/>
    </row>
    <row r="34783" spans="16:16">
      <c r="P34783" s="2498"/>
    </row>
    <row r="34784" spans="16:16">
      <c r="P34784" s="2498"/>
    </row>
    <row r="34785" spans="16:16">
      <c r="P34785" s="2498"/>
    </row>
    <row r="34786" spans="16:16">
      <c r="P34786" s="2498"/>
    </row>
    <row r="34787" spans="16:16">
      <c r="P34787" s="2498"/>
    </row>
    <row r="34788" spans="16:16">
      <c r="P34788" s="2498"/>
    </row>
    <row r="34789" spans="16:16">
      <c r="P34789" s="2498"/>
    </row>
    <row r="34790" spans="16:16">
      <c r="P34790" s="2498"/>
    </row>
    <row r="34791" spans="16:16">
      <c r="P34791" s="2498"/>
    </row>
    <row r="34792" spans="16:16">
      <c r="P34792" s="2498"/>
    </row>
    <row r="34793" spans="16:16">
      <c r="P34793" s="2498"/>
    </row>
    <row r="34794" spans="16:16">
      <c r="P34794" s="2498"/>
    </row>
    <row r="34795" spans="16:16">
      <c r="P34795" s="2498"/>
    </row>
    <row r="34796" spans="16:16">
      <c r="P34796" s="2498"/>
    </row>
    <row r="34797" spans="16:16">
      <c r="P34797" s="2498"/>
    </row>
    <row r="34798" spans="16:16">
      <c r="P34798" s="2498"/>
    </row>
    <row r="34799" spans="16:16">
      <c r="P34799" s="2498"/>
    </row>
    <row r="34800" spans="16:16">
      <c r="P34800" s="2498"/>
    </row>
    <row r="34801" spans="16:16">
      <c r="P34801" s="2498"/>
    </row>
    <row r="34802" spans="16:16">
      <c r="P34802" s="2498"/>
    </row>
    <row r="34803" spans="16:16">
      <c r="P34803" s="2498"/>
    </row>
    <row r="34804" spans="16:16">
      <c r="P34804" s="2498"/>
    </row>
    <row r="34805" spans="16:16">
      <c r="P34805" s="2498"/>
    </row>
    <row r="34806" spans="16:16">
      <c r="P34806" s="2498"/>
    </row>
    <row r="34807" spans="16:16">
      <c r="P34807" s="2498"/>
    </row>
    <row r="34808" spans="16:16">
      <c r="P34808" s="2498"/>
    </row>
    <row r="34809" spans="16:16">
      <c r="P34809" s="2498"/>
    </row>
    <row r="34810" spans="16:16">
      <c r="P34810" s="2498"/>
    </row>
    <row r="34811" spans="16:16">
      <c r="P34811" s="2498"/>
    </row>
    <row r="34812" spans="16:16">
      <c r="P34812" s="2498"/>
    </row>
    <row r="34813" spans="16:16">
      <c r="P34813" s="2498"/>
    </row>
    <row r="34814" spans="16:16">
      <c r="P34814" s="2498"/>
    </row>
    <row r="34815" spans="16:16">
      <c r="P34815" s="2498"/>
    </row>
    <row r="34816" spans="16:16">
      <c r="P34816" s="2498"/>
    </row>
    <row r="34817" spans="16:16">
      <c r="P34817" s="2498"/>
    </row>
    <row r="34818" spans="16:16">
      <c r="P34818" s="2498"/>
    </row>
    <row r="34819" spans="16:16">
      <c r="P34819" s="2498"/>
    </row>
    <row r="34820" spans="16:16">
      <c r="P34820" s="2498"/>
    </row>
    <row r="34821" spans="16:16">
      <c r="P34821" s="2498"/>
    </row>
    <row r="34822" spans="16:16">
      <c r="P34822" s="2498"/>
    </row>
    <row r="34823" spans="16:16">
      <c r="P34823" s="2498"/>
    </row>
    <row r="34824" spans="16:16">
      <c r="P34824" s="2498"/>
    </row>
    <row r="34825" spans="16:16">
      <c r="P34825" s="2498"/>
    </row>
    <row r="34826" spans="16:16">
      <c r="P34826" s="2498"/>
    </row>
    <row r="34827" spans="16:16">
      <c r="P34827" s="2498"/>
    </row>
    <row r="34828" spans="16:16">
      <c r="P34828" s="2498"/>
    </row>
    <row r="34829" spans="16:16">
      <c r="P34829" s="2498"/>
    </row>
    <row r="34830" spans="16:16">
      <c r="P34830" s="2498"/>
    </row>
    <row r="34831" spans="16:16">
      <c r="P34831" s="2498"/>
    </row>
    <row r="34832" spans="16:16">
      <c r="P34832" s="2498"/>
    </row>
    <row r="34833" spans="16:16">
      <c r="P34833" s="2498"/>
    </row>
    <row r="34834" spans="16:16">
      <c r="P34834" s="2498"/>
    </row>
    <row r="34835" spans="16:16">
      <c r="P34835" s="2498"/>
    </row>
    <row r="34836" spans="16:16">
      <c r="P34836" s="2498"/>
    </row>
    <row r="34837" spans="16:16">
      <c r="P34837" s="2498"/>
    </row>
    <row r="34838" spans="16:16">
      <c r="P34838" s="2498"/>
    </row>
    <row r="34839" spans="16:16">
      <c r="P34839" s="2498"/>
    </row>
    <row r="34840" spans="16:16">
      <c r="P34840" s="2498"/>
    </row>
    <row r="34841" spans="16:16">
      <c r="P34841" s="2498"/>
    </row>
    <row r="34842" spans="16:16">
      <c r="P34842" s="2498"/>
    </row>
    <row r="34843" spans="16:16">
      <c r="P34843" s="2498"/>
    </row>
    <row r="34844" spans="16:16">
      <c r="P34844" s="2498"/>
    </row>
    <row r="34845" spans="16:16">
      <c r="P34845" s="2498"/>
    </row>
    <row r="34846" spans="16:16">
      <c r="P34846" s="2498"/>
    </row>
    <row r="34847" spans="16:16">
      <c r="P34847" s="2498"/>
    </row>
    <row r="34848" spans="16:16">
      <c r="P34848" s="2498"/>
    </row>
    <row r="34849" spans="16:16">
      <c r="P34849" s="2498"/>
    </row>
    <row r="34850" spans="16:16">
      <c r="P34850" s="2498"/>
    </row>
    <row r="34851" spans="16:16">
      <c r="P34851" s="2498"/>
    </row>
    <row r="34852" spans="16:16">
      <c r="P34852" s="2498"/>
    </row>
    <row r="34853" spans="16:16">
      <c r="P34853" s="2498"/>
    </row>
    <row r="34854" spans="16:16">
      <c r="P34854" s="2498"/>
    </row>
    <row r="34855" spans="16:16">
      <c r="P34855" s="2498"/>
    </row>
    <row r="34856" spans="16:16">
      <c r="P34856" s="2498"/>
    </row>
    <row r="34857" spans="16:16">
      <c r="P34857" s="2498"/>
    </row>
    <row r="34858" spans="16:16">
      <c r="P34858" s="2498"/>
    </row>
    <row r="34859" spans="16:16">
      <c r="P34859" s="2498"/>
    </row>
    <row r="34860" spans="16:16">
      <c r="P34860" s="2498"/>
    </row>
    <row r="34861" spans="16:16">
      <c r="P34861" s="2498"/>
    </row>
    <row r="34862" spans="16:16">
      <c r="P34862" s="2498"/>
    </row>
    <row r="34863" spans="16:16">
      <c r="P34863" s="2498"/>
    </row>
    <row r="34864" spans="16:16">
      <c r="P34864" s="2498"/>
    </row>
    <row r="34865" spans="16:16">
      <c r="P34865" s="2498"/>
    </row>
    <row r="34866" spans="16:16">
      <c r="P34866" s="2498"/>
    </row>
    <row r="34867" spans="16:16">
      <c r="P34867" s="2498"/>
    </row>
    <row r="34868" spans="16:16">
      <c r="P34868" s="2498"/>
    </row>
    <row r="34869" spans="16:16">
      <c r="P34869" s="2498"/>
    </row>
    <row r="34870" spans="16:16">
      <c r="P34870" s="2498"/>
    </row>
    <row r="34871" spans="16:16">
      <c r="P34871" s="2498"/>
    </row>
    <row r="34872" spans="16:16">
      <c r="P34872" s="2498"/>
    </row>
    <row r="34873" spans="16:16">
      <c r="P34873" s="2498"/>
    </row>
    <row r="34874" spans="16:16">
      <c r="P34874" s="2498"/>
    </row>
    <row r="34875" spans="16:16">
      <c r="P34875" s="2498"/>
    </row>
    <row r="34876" spans="16:16">
      <c r="P34876" s="2498"/>
    </row>
    <row r="34877" spans="16:16">
      <c r="P34877" s="2498"/>
    </row>
    <row r="34878" spans="16:16">
      <c r="P34878" s="2498"/>
    </row>
    <row r="34879" spans="16:16">
      <c r="P34879" s="2498"/>
    </row>
    <row r="34880" spans="16:16">
      <c r="P34880" s="2498"/>
    </row>
    <row r="34881" spans="16:16">
      <c r="P34881" s="2498"/>
    </row>
    <row r="34882" spans="16:16">
      <c r="P34882" s="2498"/>
    </row>
    <row r="34883" spans="16:16">
      <c r="P34883" s="2498"/>
    </row>
    <row r="34884" spans="16:16">
      <c r="P34884" s="2498"/>
    </row>
    <row r="34885" spans="16:16">
      <c r="P34885" s="2498"/>
    </row>
    <row r="34886" spans="16:16">
      <c r="P34886" s="2498"/>
    </row>
    <row r="34887" spans="16:16">
      <c r="P34887" s="2498"/>
    </row>
    <row r="34888" spans="16:16">
      <c r="P34888" s="2498"/>
    </row>
    <row r="34889" spans="16:16">
      <c r="P34889" s="2498"/>
    </row>
    <row r="34890" spans="16:16">
      <c r="P34890" s="2498"/>
    </row>
    <row r="34891" spans="16:16">
      <c r="P34891" s="2498"/>
    </row>
    <row r="34892" spans="16:16">
      <c r="P34892" s="2498"/>
    </row>
    <row r="34893" spans="16:16">
      <c r="P34893" s="2498"/>
    </row>
    <row r="34894" spans="16:16">
      <c r="P34894" s="2498"/>
    </row>
    <row r="34895" spans="16:16">
      <c r="P34895" s="2498"/>
    </row>
    <row r="34896" spans="16:16">
      <c r="P34896" s="2498"/>
    </row>
    <row r="34897" spans="16:16">
      <c r="P34897" s="2498"/>
    </row>
    <row r="34898" spans="16:16">
      <c r="P34898" s="2498"/>
    </row>
    <row r="34899" spans="16:16">
      <c r="P34899" s="2498"/>
    </row>
    <row r="34900" spans="16:16">
      <c r="P34900" s="2498"/>
    </row>
    <row r="34901" spans="16:16">
      <c r="P34901" s="2498"/>
    </row>
    <row r="34902" spans="16:16">
      <c r="P34902" s="2498"/>
    </row>
    <row r="34903" spans="16:16">
      <c r="P34903" s="2498"/>
    </row>
    <row r="34904" spans="16:16">
      <c r="P34904" s="2498"/>
    </row>
    <row r="34905" spans="16:16">
      <c r="P34905" s="2498"/>
    </row>
    <row r="34906" spans="16:16">
      <c r="P34906" s="2498"/>
    </row>
    <row r="34907" spans="16:16">
      <c r="P34907" s="2498"/>
    </row>
    <row r="34908" spans="16:16">
      <c r="P34908" s="2498"/>
    </row>
    <row r="34909" spans="16:16">
      <c r="P34909" s="2498"/>
    </row>
    <row r="34910" spans="16:16">
      <c r="P34910" s="2498"/>
    </row>
    <row r="34911" spans="16:16">
      <c r="P34911" s="2498"/>
    </row>
    <row r="34912" spans="16:16">
      <c r="P34912" s="2498"/>
    </row>
    <row r="34913" spans="16:16">
      <c r="P34913" s="2498"/>
    </row>
    <row r="34914" spans="16:16">
      <c r="P34914" s="2498"/>
    </row>
    <row r="34915" spans="16:16">
      <c r="P34915" s="2498"/>
    </row>
    <row r="34916" spans="16:16">
      <c r="P34916" s="2498"/>
    </row>
    <row r="34917" spans="16:16">
      <c r="P34917" s="2498"/>
    </row>
    <row r="34918" spans="16:16">
      <c r="P34918" s="2498"/>
    </row>
    <row r="34919" spans="16:16">
      <c r="P34919" s="2498"/>
    </row>
    <row r="34920" spans="16:16">
      <c r="P34920" s="2498"/>
    </row>
    <row r="34921" spans="16:16">
      <c r="P34921" s="2498"/>
    </row>
    <row r="34922" spans="16:16">
      <c r="P34922" s="2498"/>
    </row>
    <row r="34923" spans="16:16">
      <c r="P34923" s="2498"/>
    </row>
    <row r="34924" spans="16:16">
      <c r="P34924" s="2498"/>
    </row>
    <row r="34925" spans="16:16">
      <c r="P34925" s="2498"/>
    </row>
    <row r="34926" spans="16:16">
      <c r="P34926" s="2498"/>
    </row>
    <row r="34927" spans="16:16">
      <c r="P34927" s="2498"/>
    </row>
    <row r="34928" spans="16:16">
      <c r="P34928" s="2498"/>
    </row>
    <row r="34929" spans="16:16">
      <c r="P34929" s="2498"/>
    </row>
    <row r="34930" spans="16:16">
      <c r="P34930" s="2498"/>
    </row>
    <row r="34931" spans="16:16">
      <c r="P34931" s="2498"/>
    </row>
    <row r="34932" spans="16:16">
      <c r="P34932" s="2498"/>
    </row>
    <row r="34933" spans="16:16">
      <c r="P34933" s="2498"/>
    </row>
    <row r="34934" spans="16:16">
      <c r="P34934" s="2498"/>
    </row>
    <row r="34935" spans="16:16">
      <c r="P34935" s="2498"/>
    </row>
    <row r="34936" spans="16:16">
      <c r="P34936" s="2498"/>
    </row>
    <row r="34937" spans="16:16">
      <c r="P34937" s="2498"/>
    </row>
    <row r="34938" spans="16:16">
      <c r="P34938" s="2498"/>
    </row>
    <row r="34939" spans="16:16">
      <c r="P34939" s="2498"/>
    </row>
    <row r="34940" spans="16:16">
      <c r="P34940" s="2498"/>
    </row>
    <row r="34941" spans="16:16">
      <c r="P34941" s="2498"/>
    </row>
    <row r="34942" spans="16:16">
      <c r="P34942" s="2498"/>
    </row>
    <row r="34943" spans="16:16">
      <c r="P34943" s="2498"/>
    </row>
    <row r="34944" spans="16:16">
      <c r="P34944" s="2498"/>
    </row>
    <row r="34945" spans="16:16">
      <c r="P34945" s="2498"/>
    </row>
    <row r="34946" spans="16:16">
      <c r="P34946" s="2498"/>
    </row>
    <row r="34947" spans="16:16">
      <c r="P34947" s="2498"/>
    </row>
    <row r="34948" spans="16:16">
      <c r="P34948" s="2498"/>
    </row>
    <row r="34949" spans="16:16">
      <c r="P34949" s="2498"/>
    </row>
    <row r="34950" spans="16:16">
      <c r="P34950" s="2498"/>
    </row>
    <row r="34951" spans="16:16">
      <c r="P34951" s="2498"/>
    </row>
    <row r="34952" spans="16:16">
      <c r="P34952" s="2498"/>
    </row>
    <row r="34953" spans="16:16">
      <c r="P34953" s="2498"/>
    </row>
    <row r="34954" spans="16:16">
      <c r="P34954" s="2498"/>
    </row>
    <row r="34955" spans="16:16">
      <c r="P34955" s="2498"/>
    </row>
    <row r="34956" spans="16:16">
      <c r="P34956" s="2498"/>
    </row>
    <row r="34957" spans="16:16">
      <c r="P34957" s="2498"/>
    </row>
    <row r="34958" spans="16:16">
      <c r="P34958" s="2498"/>
    </row>
    <row r="34959" spans="16:16">
      <c r="P34959" s="2498"/>
    </row>
    <row r="34960" spans="16:16">
      <c r="P34960" s="2498"/>
    </row>
    <row r="34961" spans="16:16">
      <c r="P34961" s="2498"/>
    </row>
    <row r="34962" spans="16:16">
      <c r="P34962" s="2498"/>
    </row>
    <row r="34963" spans="16:16">
      <c r="P34963" s="2498"/>
    </row>
    <row r="34964" spans="16:16">
      <c r="P34964" s="2498"/>
    </row>
    <row r="34965" spans="16:16">
      <c r="P34965" s="2498"/>
    </row>
    <row r="34966" spans="16:16">
      <c r="P34966" s="2498"/>
    </row>
    <row r="34967" spans="16:16">
      <c r="P34967" s="2498"/>
    </row>
    <row r="34968" spans="16:16">
      <c r="P34968" s="2498"/>
    </row>
    <row r="34969" spans="16:16">
      <c r="P34969" s="2498"/>
    </row>
    <row r="34970" spans="16:16">
      <c r="P34970" s="2498"/>
    </row>
    <row r="34971" spans="16:16">
      <c r="P34971" s="2498"/>
    </row>
    <row r="34972" spans="16:16">
      <c r="P34972" s="2498"/>
    </row>
    <row r="34973" spans="16:16">
      <c r="P34973" s="2498"/>
    </row>
    <row r="34974" spans="16:16">
      <c r="P34974" s="2498"/>
    </row>
    <row r="34975" spans="16:16">
      <c r="P34975" s="2498"/>
    </row>
    <row r="34976" spans="16:16">
      <c r="P34976" s="2498"/>
    </row>
    <row r="34977" spans="16:16">
      <c r="P34977" s="2498"/>
    </row>
    <row r="34978" spans="16:16">
      <c r="P34978" s="2498"/>
    </row>
    <row r="34979" spans="16:16">
      <c r="P34979" s="2498"/>
    </row>
    <row r="34980" spans="16:16">
      <c r="P34980" s="2498"/>
    </row>
    <row r="34981" spans="16:16">
      <c r="P34981" s="2498"/>
    </row>
    <row r="34982" spans="16:16">
      <c r="P34982" s="2498"/>
    </row>
    <row r="34983" spans="16:16">
      <c r="P34983" s="2498"/>
    </row>
    <row r="34984" spans="16:16">
      <c r="P34984" s="2498"/>
    </row>
    <row r="34985" spans="16:16">
      <c r="P34985" s="2498"/>
    </row>
    <row r="34986" spans="16:16">
      <c r="P34986" s="2498"/>
    </row>
    <row r="34987" spans="16:16">
      <c r="P34987" s="2498"/>
    </row>
    <row r="34988" spans="16:16">
      <c r="P34988" s="2498"/>
    </row>
    <row r="34989" spans="16:16">
      <c r="P34989" s="2498"/>
    </row>
    <row r="34990" spans="16:16">
      <c r="P34990" s="2498"/>
    </row>
    <row r="34991" spans="16:16">
      <c r="P34991" s="2498"/>
    </row>
    <row r="34992" spans="16:16">
      <c r="P34992" s="2498"/>
    </row>
    <row r="34993" spans="16:16">
      <c r="P34993" s="2498"/>
    </row>
    <row r="34994" spans="16:16">
      <c r="P34994" s="2498"/>
    </row>
    <row r="34995" spans="16:16">
      <c r="P34995" s="2498"/>
    </row>
    <row r="34996" spans="16:16">
      <c r="P34996" s="2498"/>
    </row>
    <row r="34997" spans="16:16">
      <c r="P34997" s="2498"/>
    </row>
    <row r="34998" spans="16:16">
      <c r="P34998" s="2498"/>
    </row>
    <row r="34999" spans="16:16">
      <c r="P34999" s="2498"/>
    </row>
    <row r="35000" spans="16:16">
      <c r="P35000" s="2498"/>
    </row>
    <row r="35001" spans="16:16">
      <c r="P35001" s="2498"/>
    </row>
    <row r="35002" spans="16:16">
      <c r="P35002" s="2498"/>
    </row>
    <row r="35003" spans="16:16">
      <c r="P35003" s="2498"/>
    </row>
    <row r="35004" spans="16:16">
      <c r="P35004" s="2498"/>
    </row>
    <row r="35005" spans="16:16">
      <c r="P35005" s="2498"/>
    </row>
    <row r="35006" spans="16:16">
      <c r="P35006" s="2498"/>
    </row>
    <row r="35007" spans="16:16">
      <c r="P35007" s="2498"/>
    </row>
    <row r="35008" spans="16:16">
      <c r="P35008" s="2498"/>
    </row>
    <row r="35009" spans="16:16">
      <c r="P35009" s="2498"/>
    </row>
    <row r="35010" spans="16:16">
      <c r="P35010" s="2498"/>
    </row>
    <row r="35011" spans="16:16">
      <c r="P35011" s="2498"/>
    </row>
    <row r="35012" spans="16:16">
      <c r="P35012" s="2498"/>
    </row>
    <row r="35013" spans="16:16">
      <c r="P35013" s="2498"/>
    </row>
    <row r="35014" spans="16:16">
      <c r="P35014" s="2498"/>
    </row>
    <row r="35015" spans="16:16">
      <c r="P35015" s="2498"/>
    </row>
    <row r="35016" spans="16:16">
      <c r="P35016" s="2498"/>
    </row>
    <row r="35017" spans="16:16">
      <c r="P35017" s="2498"/>
    </row>
    <row r="35018" spans="16:16">
      <c r="P35018" s="2498"/>
    </row>
    <row r="35019" spans="16:16">
      <c r="P35019" s="2498"/>
    </row>
    <row r="35020" spans="16:16">
      <c r="P35020" s="2498"/>
    </row>
    <row r="35021" spans="16:16">
      <c r="P35021" s="2498"/>
    </row>
    <row r="35022" spans="16:16">
      <c r="P35022" s="2498"/>
    </row>
    <row r="35023" spans="16:16">
      <c r="P35023" s="2498"/>
    </row>
    <row r="35024" spans="16:16">
      <c r="P35024" s="2498"/>
    </row>
    <row r="35025" spans="16:16">
      <c r="P35025" s="2498"/>
    </row>
    <row r="35026" spans="16:16">
      <c r="P35026" s="2498"/>
    </row>
    <row r="35027" spans="16:16">
      <c r="P35027" s="2498"/>
    </row>
    <row r="35028" spans="16:16">
      <c r="P35028" s="2498"/>
    </row>
    <row r="35029" spans="16:16">
      <c r="P35029" s="2498"/>
    </row>
    <row r="35030" spans="16:16">
      <c r="P35030" s="2498"/>
    </row>
    <row r="35031" spans="16:16">
      <c r="P35031" s="2498"/>
    </row>
    <row r="35032" spans="16:16">
      <c r="P35032" s="2498"/>
    </row>
    <row r="35033" spans="16:16">
      <c r="P35033" s="2498"/>
    </row>
    <row r="35034" spans="16:16">
      <c r="P35034" s="2498"/>
    </row>
    <row r="35035" spans="16:16">
      <c r="P35035" s="2498"/>
    </row>
    <row r="35036" spans="16:16">
      <c r="P35036" s="2498"/>
    </row>
    <row r="35037" spans="16:16">
      <c r="P35037" s="2498"/>
    </row>
    <row r="35038" spans="16:16">
      <c r="P35038" s="2498"/>
    </row>
    <row r="35039" spans="16:16">
      <c r="P35039" s="2498"/>
    </row>
    <row r="35040" spans="16:16">
      <c r="P35040" s="2498"/>
    </row>
    <row r="35041" spans="16:16">
      <c r="P35041" s="2498"/>
    </row>
    <row r="35042" spans="16:16">
      <c r="P35042" s="2498"/>
    </row>
    <row r="35043" spans="16:16">
      <c r="P35043" s="2498"/>
    </row>
    <row r="35044" spans="16:16">
      <c r="P35044" s="2498"/>
    </row>
    <row r="35045" spans="16:16">
      <c r="P35045" s="2498"/>
    </row>
    <row r="35046" spans="16:16">
      <c r="P35046" s="2498"/>
    </row>
    <row r="35047" spans="16:16">
      <c r="P35047" s="2498"/>
    </row>
    <row r="35048" spans="16:16">
      <c r="P35048" s="2498"/>
    </row>
    <row r="35049" spans="16:16">
      <c r="P35049" s="2498"/>
    </row>
    <row r="35050" spans="16:16">
      <c r="P35050" s="2498"/>
    </row>
    <row r="35051" spans="16:16">
      <c r="P35051" s="2498"/>
    </row>
    <row r="35052" spans="16:16">
      <c r="P35052" s="2498"/>
    </row>
    <row r="35053" spans="16:16">
      <c r="P35053" s="2498"/>
    </row>
    <row r="35054" spans="16:16">
      <c r="P35054" s="2498"/>
    </row>
    <row r="35055" spans="16:16">
      <c r="P35055" s="2498"/>
    </row>
    <row r="35056" spans="16:16">
      <c r="P35056" s="2498"/>
    </row>
    <row r="35057" spans="16:16">
      <c r="P35057" s="2498"/>
    </row>
    <row r="35058" spans="16:16">
      <c r="P35058" s="2498"/>
    </row>
    <row r="35059" spans="16:16">
      <c r="P35059" s="2498"/>
    </row>
    <row r="35060" spans="16:16">
      <c r="P35060" s="2498"/>
    </row>
    <row r="35061" spans="16:16">
      <c r="P35061" s="2498"/>
    </row>
    <row r="35062" spans="16:16">
      <c r="P35062" s="2498"/>
    </row>
    <row r="35063" spans="16:16">
      <c r="P35063" s="2498"/>
    </row>
    <row r="35064" spans="16:16">
      <c r="P35064" s="2498"/>
    </row>
    <row r="35065" spans="16:16">
      <c r="P35065" s="2498"/>
    </row>
    <row r="35066" spans="16:16">
      <c r="P35066" s="2498"/>
    </row>
    <row r="35067" spans="16:16">
      <c r="P35067" s="2498"/>
    </row>
    <row r="35068" spans="16:16">
      <c r="P35068" s="2498"/>
    </row>
    <row r="35069" spans="16:16">
      <c r="P35069" s="2498"/>
    </row>
    <row r="35070" spans="16:16">
      <c r="P35070" s="2498"/>
    </row>
    <row r="35071" spans="16:16">
      <c r="P35071" s="2498"/>
    </row>
    <row r="35072" spans="16:16">
      <c r="P35072" s="2498"/>
    </row>
    <row r="35073" spans="16:16">
      <c r="P35073" s="2498"/>
    </row>
    <row r="35074" spans="16:16">
      <c r="P35074" s="2498"/>
    </row>
    <row r="35075" spans="16:16">
      <c r="P35075" s="2498"/>
    </row>
    <row r="35076" spans="16:16">
      <c r="P35076" s="2498"/>
    </row>
    <row r="35077" spans="16:16">
      <c r="P35077" s="2498"/>
    </row>
    <row r="35078" spans="16:16">
      <c r="P35078" s="2498"/>
    </row>
    <row r="35079" spans="16:16">
      <c r="P35079" s="2498"/>
    </row>
    <row r="35080" spans="16:16">
      <c r="P35080" s="2498"/>
    </row>
    <row r="35081" spans="16:16">
      <c r="P35081" s="2498"/>
    </row>
    <row r="35082" spans="16:16">
      <c r="P35082" s="2498"/>
    </row>
    <row r="35083" spans="16:16">
      <c r="P35083" s="2498"/>
    </row>
    <row r="35084" spans="16:16">
      <c r="P35084" s="2498"/>
    </row>
    <row r="35085" spans="16:16">
      <c r="P35085" s="2498"/>
    </row>
    <row r="35086" spans="16:16">
      <c r="P35086" s="2498"/>
    </row>
    <row r="35087" spans="16:16">
      <c r="P35087" s="2498"/>
    </row>
    <row r="35088" spans="16:16">
      <c r="P35088" s="2498"/>
    </row>
    <row r="35089" spans="16:16">
      <c r="P35089" s="2498"/>
    </row>
    <row r="35090" spans="16:16">
      <c r="P35090" s="2498"/>
    </row>
    <row r="35091" spans="16:16">
      <c r="P35091" s="2498"/>
    </row>
    <row r="35092" spans="16:16">
      <c r="P35092" s="2498"/>
    </row>
    <row r="35093" spans="16:16">
      <c r="P35093" s="2498"/>
    </row>
    <row r="35094" spans="16:16">
      <c r="P35094" s="2498"/>
    </row>
    <row r="35095" spans="16:16">
      <c r="P35095" s="2498"/>
    </row>
    <row r="35096" spans="16:16">
      <c r="P35096" s="2498"/>
    </row>
    <row r="35097" spans="16:16">
      <c r="P35097" s="2498"/>
    </row>
    <row r="35098" spans="16:16">
      <c r="P35098" s="2498"/>
    </row>
    <row r="35099" spans="16:16">
      <c r="P35099" s="2498"/>
    </row>
    <row r="35100" spans="16:16">
      <c r="P35100" s="2498"/>
    </row>
    <row r="35101" spans="16:16">
      <c r="P35101" s="2498"/>
    </row>
    <row r="35102" spans="16:16">
      <c r="P35102" s="2498"/>
    </row>
    <row r="35103" spans="16:16">
      <c r="P35103" s="2498"/>
    </row>
    <row r="35104" spans="16:16">
      <c r="P35104" s="2498"/>
    </row>
    <row r="35105" spans="16:16">
      <c r="P35105" s="2498"/>
    </row>
    <row r="35106" spans="16:16">
      <c r="P35106" s="2498"/>
    </row>
    <row r="35107" spans="16:16">
      <c r="P35107" s="2498"/>
    </row>
    <row r="35108" spans="16:16">
      <c r="P35108" s="2498"/>
    </row>
    <row r="35109" spans="16:16">
      <c r="P35109" s="2498"/>
    </row>
    <row r="35110" spans="16:16">
      <c r="P35110" s="2498"/>
    </row>
    <row r="35111" spans="16:16">
      <c r="P35111" s="2498"/>
    </row>
    <row r="35112" spans="16:16">
      <c r="P35112" s="2498"/>
    </row>
    <row r="35113" spans="16:16">
      <c r="P35113" s="2498"/>
    </row>
    <row r="35114" spans="16:16">
      <c r="P35114" s="2498"/>
    </row>
    <row r="35115" spans="16:16">
      <c r="P35115" s="2498"/>
    </row>
    <row r="35116" spans="16:16">
      <c r="P35116" s="2498"/>
    </row>
    <row r="35117" spans="16:16">
      <c r="P35117" s="2498"/>
    </row>
    <row r="35118" spans="16:16">
      <c r="P35118" s="2498"/>
    </row>
    <row r="35119" spans="16:16">
      <c r="P35119" s="2498"/>
    </row>
    <row r="35120" spans="16:16">
      <c r="P35120" s="2498"/>
    </row>
    <row r="35121" spans="16:16">
      <c r="P35121" s="2498"/>
    </row>
    <row r="35122" spans="16:16">
      <c r="P35122" s="2498"/>
    </row>
    <row r="35123" spans="16:16">
      <c r="P35123" s="2498"/>
    </row>
    <row r="35124" spans="16:16">
      <c r="P35124" s="2498"/>
    </row>
    <row r="35125" spans="16:16">
      <c r="P35125" s="2498"/>
    </row>
    <row r="35126" spans="16:16">
      <c r="P35126" s="2498"/>
    </row>
    <row r="35127" spans="16:16">
      <c r="P35127" s="2498"/>
    </row>
    <row r="35128" spans="16:16">
      <c r="P35128" s="2498"/>
    </row>
    <row r="35129" spans="16:16">
      <c r="P35129" s="2498"/>
    </row>
    <row r="35130" spans="16:16">
      <c r="P35130" s="2498"/>
    </row>
    <row r="35131" spans="16:16">
      <c r="P35131" s="2498"/>
    </row>
    <row r="35132" spans="16:16">
      <c r="P35132" s="2498"/>
    </row>
    <row r="35133" spans="16:16">
      <c r="P35133" s="2498"/>
    </row>
    <row r="35134" spans="16:16">
      <c r="P35134" s="2498"/>
    </row>
    <row r="35135" spans="16:16">
      <c r="P35135" s="2498"/>
    </row>
    <row r="35136" spans="16:16">
      <c r="P35136" s="2498"/>
    </row>
    <row r="35137" spans="16:16">
      <c r="P35137" s="2498"/>
    </row>
    <row r="35138" spans="16:16">
      <c r="P35138" s="2498"/>
    </row>
    <row r="35139" spans="16:16">
      <c r="P35139" s="2498"/>
    </row>
    <row r="35140" spans="16:16">
      <c r="P35140" s="2498"/>
    </row>
    <row r="35141" spans="16:16">
      <c r="P35141" s="2498"/>
    </row>
    <row r="35142" spans="16:16">
      <c r="P35142" s="2498"/>
    </row>
    <row r="35143" spans="16:16">
      <c r="P35143" s="2498"/>
    </row>
    <row r="35144" spans="16:16">
      <c r="P35144" s="2498"/>
    </row>
    <row r="35145" spans="16:16">
      <c r="P35145" s="2498"/>
    </row>
    <row r="35146" spans="16:16">
      <c r="P35146" s="2498"/>
    </row>
    <row r="35147" spans="16:16">
      <c r="P35147" s="2498"/>
    </row>
    <row r="35148" spans="16:16">
      <c r="P35148" s="2498"/>
    </row>
    <row r="35149" spans="16:16">
      <c r="P35149" s="2498"/>
    </row>
    <row r="35150" spans="16:16">
      <c r="P35150" s="2498"/>
    </row>
    <row r="35151" spans="16:16">
      <c r="P35151" s="2498"/>
    </row>
    <row r="35152" spans="16:16">
      <c r="P35152" s="2498"/>
    </row>
    <row r="35153" spans="16:16">
      <c r="P35153" s="2498"/>
    </row>
    <row r="35154" spans="16:16">
      <c r="P35154" s="2498"/>
    </row>
    <row r="35155" spans="16:16">
      <c r="P35155" s="2498"/>
    </row>
    <row r="35156" spans="16:16">
      <c r="P35156" s="2498"/>
    </row>
    <row r="35157" spans="16:16">
      <c r="P35157" s="2498"/>
    </row>
    <row r="35158" spans="16:16">
      <c r="P35158" s="2498"/>
    </row>
    <row r="35159" spans="16:16">
      <c r="P35159" s="2498"/>
    </row>
    <row r="35160" spans="16:16">
      <c r="P35160" s="2498"/>
    </row>
    <row r="35161" spans="16:16">
      <c r="P35161" s="2498"/>
    </row>
    <row r="35162" spans="16:16">
      <c r="P35162" s="2498"/>
    </row>
    <row r="35163" spans="16:16">
      <c r="P35163" s="2498"/>
    </row>
    <row r="35164" spans="16:16">
      <c r="P35164" s="2498"/>
    </row>
    <row r="35165" spans="16:16">
      <c r="P35165" s="2498"/>
    </row>
    <row r="35166" spans="16:16">
      <c r="P35166" s="2498"/>
    </row>
    <row r="35167" spans="16:16">
      <c r="P35167" s="2498"/>
    </row>
    <row r="35168" spans="16:16">
      <c r="P35168" s="2498"/>
    </row>
    <row r="35169" spans="16:16">
      <c r="P35169" s="2498"/>
    </row>
    <row r="35170" spans="16:16">
      <c r="P35170" s="2498"/>
    </row>
    <row r="35171" spans="16:16">
      <c r="P35171" s="2498"/>
    </row>
    <row r="35172" spans="16:16">
      <c r="P35172" s="2498"/>
    </row>
    <row r="35173" spans="16:16">
      <c r="P35173" s="2498"/>
    </row>
    <row r="35174" spans="16:16">
      <c r="P35174" s="2498"/>
    </row>
    <row r="35175" spans="16:16">
      <c r="P35175" s="2498"/>
    </row>
    <row r="35176" spans="16:16">
      <c r="P35176" s="2498"/>
    </row>
    <row r="35177" spans="16:16">
      <c r="P35177" s="2498"/>
    </row>
    <row r="35178" spans="16:16">
      <c r="P35178" s="2498"/>
    </row>
    <row r="35179" spans="16:16">
      <c r="P35179" s="2498"/>
    </row>
    <row r="35180" spans="16:16">
      <c r="P35180" s="2498"/>
    </row>
    <row r="35181" spans="16:16">
      <c r="P35181" s="2498"/>
    </row>
    <row r="35182" spans="16:16">
      <c r="P35182" s="2498"/>
    </row>
    <row r="35183" spans="16:16">
      <c r="P35183" s="2498"/>
    </row>
    <row r="35184" spans="16:16">
      <c r="P35184" s="2498"/>
    </row>
    <row r="35185" spans="16:16">
      <c r="P35185" s="2498"/>
    </row>
    <row r="35186" spans="16:16">
      <c r="P35186" s="2498"/>
    </row>
    <row r="35187" spans="16:16">
      <c r="P35187" s="2498"/>
    </row>
    <row r="35188" spans="16:16">
      <c r="P35188" s="2498"/>
    </row>
    <row r="35189" spans="16:16">
      <c r="P35189" s="2498"/>
    </row>
    <row r="35190" spans="16:16">
      <c r="P35190" s="2498"/>
    </row>
    <row r="35191" spans="16:16">
      <c r="P35191" s="2498"/>
    </row>
    <row r="35192" spans="16:16">
      <c r="P35192" s="2498"/>
    </row>
    <row r="35193" spans="16:16">
      <c r="P35193" s="2498"/>
    </row>
    <row r="35194" spans="16:16">
      <c r="P35194" s="2498"/>
    </row>
    <row r="35195" spans="16:16">
      <c r="P35195" s="2498"/>
    </row>
    <row r="35196" spans="16:16">
      <c r="P35196" s="2498"/>
    </row>
    <row r="35197" spans="16:16">
      <c r="P35197" s="2498"/>
    </row>
    <row r="35198" spans="16:16">
      <c r="P35198" s="2498"/>
    </row>
    <row r="35199" spans="16:16">
      <c r="P35199" s="2498"/>
    </row>
    <row r="35200" spans="16:16">
      <c r="P35200" s="2498"/>
    </row>
    <row r="35201" spans="16:16">
      <c r="P35201" s="2498"/>
    </row>
    <row r="35202" spans="16:16">
      <c r="P35202" s="2498"/>
    </row>
    <row r="35203" spans="16:16">
      <c r="P35203" s="2498"/>
    </row>
    <row r="35204" spans="16:16">
      <c r="P35204" s="2498"/>
    </row>
    <row r="35205" spans="16:16">
      <c r="P35205" s="2498"/>
    </row>
    <row r="35206" spans="16:16">
      <c r="P35206" s="2498"/>
    </row>
    <row r="35207" spans="16:16">
      <c r="P35207" s="2498"/>
    </row>
    <row r="35208" spans="16:16">
      <c r="P35208" s="2498"/>
    </row>
    <row r="35209" spans="16:16">
      <c r="P35209" s="2498"/>
    </row>
    <row r="35210" spans="16:16">
      <c r="P35210" s="2498"/>
    </row>
    <row r="35211" spans="16:16">
      <c r="P35211" s="2498"/>
    </row>
    <row r="35212" spans="16:16">
      <c r="P35212" s="2498"/>
    </row>
    <row r="35213" spans="16:16">
      <c r="P35213" s="2498"/>
    </row>
    <row r="35214" spans="16:16">
      <c r="P35214" s="2498"/>
    </row>
    <row r="35215" spans="16:16">
      <c r="P35215" s="2498"/>
    </row>
    <row r="35216" spans="16:16">
      <c r="P35216" s="2498"/>
    </row>
    <row r="35217" spans="16:16">
      <c r="P35217" s="2498"/>
    </row>
    <row r="35218" spans="16:16">
      <c r="P35218" s="2498"/>
    </row>
    <row r="35219" spans="16:16">
      <c r="P35219" s="2498"/>
    </row>
    <row r="35220" spans="16:16">
      <c r="P35220" s="2498"/>
    </row>
    <row r="35221" spans="16:16">
      <c r="P35221" s="2498"/>
    </row>
    <row r="35222" spans="16:16">
      <c r="P35222" s="2498"/>
    </row>
    <row r="35223" spans="16:16">
      <c r="P35223" s="2498"/>
    </row>
    <row r="35224" spans="16:16">
      <c r="P35224" s="2498"/>
    </row>
    <row r="35225" spans="16:16">
      <c r="P35225" s="2498"/>
    </row>
    <row r="35226" spans="16:16">
      <c r="P35226" s="2498"/>
    </row>
    <row r="35227" spans="16:16">
      <c r="P35227" s="2498"/>
    </row>
    <row r="35228" spans="16:16">
      <c r="P35228" s="2498"/>
    </row>
    <row r="35229" spans="16:16">
      <c r="P35229" s="2498"/>
    </row>
    <row r="35230" spans="16:16">
      <c r="P35230" s="2498"/>
    </row>
    <row r="35231" spans="16:16">
      <c r="P35231" s="2498"/>
    </row>
    <row r="35232" spans="16:16">
      <c r="P35232" s="2498"/>
    </row>
    <row r="35233" spans="16:16">
      <c r="P35233" s="2498"/>
    </row>
    <row r="35234" spans="16:16">
      <c r="P35234" s="2498"/>
    </row>
    <row r="35235" spans="16:16">
      <c r="P35235" s="2498"/>
    </row>
    <row r="35236" spans="16:16">
      <c r="P35236" s="2498"/>
    </row>
    <row r="35237" spans="16:16">
      <c r="P35237" s="2498"/>
    </row>
    <row r="35238" spans="16:16">
      <c r="P35238" s="2498"/>
    </row>
    <row r="35239" spans="16:16">
      <c r="P35239" s="2498"/>
    </row>
    <row r="35240" spans="16:16">
      <c r="P35240" s="2498"/>
    </row>
    <row r="35241" spans="16:16">
      <c r="P35241" s="2498"/>
    </row>
    <row r="35242" spans="16:16">
      <c r="P35242" s="2498"/>
    </row>
    <row r="35243" spans="16:16">
      <c r="P35243" s="2498"/>
    </row>
    <row r="35244" spans="16:16">
      <c r="P35244" s="2498"/>
    </row>
    <row r="35245" spans="16:16">
      <c r="P35245" s="2498"/>
    </row>
    <row r="35246" spans="16:16">
      <c r="P35246" s="2498"/>
    </row>
    <row r="35247" spans="16:16">
      <c r="P35247" s="2498"/>
    </row>
    <row r="35248" spans="16:16">
      <c r="P35248" s="2498"/>
    </row>
    <row r="35249" spans="16:16">
      <c r="P35249" s="2498"/>
    </row>
    <row r="35250" spans="16:16">
      <c r="P35250" s="2498"/>
    </row>
    <row r="35251" spans="16:16">
      <c r="P35251" s="2498"/>
    </row>
    <row r="35252" spans="16:16">
      <c r="P35252" s="2498"/>
    </row>
    <row r="35253" spans="16:16">
      <c r="P35253" s="2498"/>
    </row>
    <row r="35254" spans="16:16">
      <c r="P35254" s="2498"/>
    </row>
    <row r="35255" spans="16:16">
      <c r="P35255" s="2498"/>
    </row>
    <row r="35256" spans="16:16">
      <c r="P35256" s="2498"/>
    </row>
    <row r="35257" spans="16:16">
      <c r="P35257" s="2498"/>
    </row>
    <row r="35258" spans="16:16">
      <c r="P35258" s="2498"/>
    </row>
    <row r="35259" spans="16:16">
      <c r="P35259" s="2498"/>
    </row>
    <row r="35260" spans="16:16">
      <c r="P35260" s="2498"/>
    </row>
    <row r="35261" spans="16:16">
      <c r="P35261" s="2498"/>
    </row>
    <row r="35262" spans="16:16">
      <c r="P35262" s="2498"/>
    </row>
    <row r="35263" spans="16:16">
      <c r="P35263" s="2498"/>
    </row>
    <row r="35264" spans="16:16">
      <c r="P35264" s="2498"/>
    </row>
    <row r="35265" spans="16:16">
      <c r="P35265" s="2498"/>
    </row>
    <row r="35266" spans="16:16">
      <c r="P35266" s="2498"/>
    </row>
    <row r="35267" spans="16:16">
      <c r="P35267" s="2498"/>
    </row>
    <row r="35268" spans="16:16">
      <c r="P35268" s="2498"/>
    </row>
    <row r="35269" spans="16:16">
      <c r="P35269" s="2498"/>
    </row>
    <row r="35270" spans="16:16">
      <c r="P35270" s="2498"/>
    </row>
    <row r="35271" spans="16:16">
      <c r="P35271" s="2498"/>
    </row>
    <row r="35272" spans="16:16">
      <c r="P35272" s="2498"/>
    </row>
    <row r="35273" spans="16:16">
      <c r="P35273" s="2498"/>
    </row>
    <row r="35274" spans="16:16">
      <c r="P35274" s="2498"/>
    </row>
    <row r="35275" spans="16:16">
      <c r="P35275" s="2498"/>
    </row>
    <row r="35276" spans="16:16">
      <c r="P35276" s="2498"/>
    </row>
    <row r="35277" spans="16:16">
      <c r="P35277" s="2498"/>
    </row>
    <row r="35278" spans="16:16">
      <c r="P35278" s="2498"/>
    </row>
    <row r="35279" spans="16:16">
      <c r="P35279" s="2498"/>
    </row>
    <row r="35280" spans="16:16">
      <c r="P35280" s="2498"/>
    </row>
    <row r="35281" spans="16:16">
      <c r="P35281" s="2498"/>
    </row>
    <row r="35282" spans="16:16">
      <c r="P35282" s="2498"/>
    </row>
    <row r="35283" spans="16:16">
      <c r="P35283" s="2498"/>
    </row>
    <row r="35284" spans="16:16">
      <c r="P35284" s="2498"/>
    </row>
    <row r="35285" spans="16:16">
      <c r="P35285" s="2498"/>
    </row>
    <row r="35286" spans="16:16">
      <c r="P35286" s="2498"/>
    </row>
    <row r="35287" spans="16:16">
      <c r="P35287" s="2498"/>
    </row>
    <row r="35288" spans="16:16">
      <c r="P35288" s="2498"/>
    </row>
    <row r="35289" spans="16:16">
      <c r="P35289" s="2498"/>
    </row>
    <row r="35290" spans="16:16">
      <c r="P35290" s="2498"/>
    </row>
    <row r="35291" spans="16:16">
      <c r="P35291" s="2498"/>
    </row>
    <row r="35292" spans="16:16">
      <c r="P35292" s="2498"/>
    </row>
    <row r="35293" spans="16:16">
      <c r="P35293" s="2498"/>
    </row>
    <row r="35294" spans="16:16">
      <c r="P35294" s="2498"/>
    </row>
    <row r="35295" spans="16:16">
      <c r="P35295" s="2498"/>
    </row>
    <row r="35296" spans="16:16">
      <c r="P35296" s="2498"/>
    </row>
    <row r="35297" spans="16:16">
      <c r="P35297" s="2498"/>
    </row>
    <row r="35298" spans="16:16">
      <c r="P35298" s="2498"/>
    </row>
    <row r="35299" spans="16:16">
      <c r="P35299" s="2498"/>
    </row>
    <row r="35300" spans="16:16">
      <c r="P35300" s="2498"/>
    </row>
    <row r="35301" spans="16:16">
      <c r="P35301" s="2498"/>
    </row>
    <row r="35302" spans="16:16">
      <c r="P35302" s="2498"/>
    </row>
    <row r="35303" spans="16:16">
      <c r="P35303" s="2498"/>
    </row>
    <row r="35304" spans="16:16">
      <c r="P35304" s="2498"/>
    </row>
    <row r="35305" spans="16:16">
      <c r="P35305" s="2498"/>
    </row>
    <row r="35306" spans="16:16">
      <c r="P35306" s="2498"/>
    </row>
    <row r="35307" spans="16:16">
      <c r="P35307" s="2498"/>
    </row>
    <row r="35308" spans="16:16">
      <c r="P35308" s="2498"/>
    </row>
    <row r="35309" spans="16:16">
      <c r="P35309" s="2498"/>
    </row>
    <row r="35310" spans="16:16">
      <c r="P35310" s="2498"/>
    </row>
    <row r="35311" spans="16:16">
      <c r="P35311" s="2498"/>
    </row>
    <row r="35312" spans="16:16">
      <c r="P35312" s="2498"/>
    </row>
    <row r="35313" spans="16:16">
      <c r="P35313" s="2498"/>
    </row>
    <row r="35314" spans="16:16">
      <c r="P35314" s="2498"/>
    </row>
    <row r="35315" spans="16:16">
      <c r="P35315" s="2498"/>
    </row>
    <row r="35316" spans="16:16">
      <c r="P35316" s="2498"/>
    </row>
    <row r="35317" spans="16:16">
      <c r="P35317" s="2498"/>
    </row>
    <row r="35318" spans="16:16">
      <c r="P35318" s="2498"/>
    </row>
    <row r="35319" spans="16:16">
      <c r="P35319" s="2498"/>
    </row>
    <row r="35320" spans="16:16">
      <c r="P35320" s="2498"/>
    </row>
    <row r="35321" spans="16:16">
      <c r="P35321" s="2498"/>
    </row>
    <row r="35322" spans="16:16">
      <c r="P35322" s="2498"/>
    </row>
    <row r="35323" spans="16:16">
      <c r="P35323" s="2498"/>
    </row>
    <row r="35324" spans="16:16">
      <c r="P35324" s="2498"/>
    </row>
    <row r="35325" spans="16:16">
      <c r="P35325" s="2498"/>
    </row>
    <row r="35326" spans="16:16">
      <c r="P35326" s="2498"/>
    </row>
    <row r="35327" spans="16:16">
      <c r="P35327" s="2498"/>
    </row>
    <row r="35328" spans="16:16">
      <c r="P35328" s="2498"/>
    </row>
    <row r="35329" spans="16:16">
      <c r="P35329" s="2498"/>
    </row>
    <row r="35330" spans="16:16">
      <c r="P35330" s="2498"/>
    </row>
    <row r="35331" spans="16:16">
      <c r="P35331" s="2498"/>
    </row>
    <row r="35332" spans="16:16">
      <c r="P35332" s="2498"/>
    </row>
    <row r="35333" spans="16:16">
      <c r="P35333" s="2498"/>
    </row>
    <row r="35334" spans="16:16">
      <c r="P35334" s="2498"/>
    </row>
    <row r="35335" spans="16:16">
      <c r="P35335" s="2498"/>
    </row>
    <row r="35336" spans="16:16">
      <c r="P35336" s="2498"/>
    </row>
    <row r="35337" spans="16:16">
      <c r="P35337" s="2498"/>
    </row>
    <row r="35338" spans="16:16">
      <c r="P35338" s="2498"/>
    </row>
    <row r="35339" spans="16:16">
      <c r="P35339" s="2498"/>
    </row>
    <row r="35340" spans="16:16">
      <c r="P35340" s="2498"/>
    </row>
    <row r="35341" spans="16:16">
      <c r="P35341" s="2498"/>
    </row>
    <row r="35342" spans="16:16">
      <c r="P35342" s="2498"/>
    </row>
    <row r="35343" spans="16:16">
      <c r="P35343" s="2498"/>
    </row>
    <row r="35344" spans="16:16">
      <c r="P35344" s="2498"/>
    </row>
    <row r="35345" spans="16:16">
      <c r="P35345" s="2498"/>
    </row>
    <row r="35346" spans="16:16">
      <c r="P35346" s="2498"/>
    </row>
    <row r="35347" spans="16:16">
      <c r="P35347" s="2498"/>
    </row>
    <row r="35348" spans="16:16">
      <c r="P35348" s="2498"/>
    </row>
    <row r="35349" spans="16:16">
      <c r="P35349" s="2498"/>
    </row>
    <row r="35350" spans="16:16">
      <c r="P35350" s="2498"/>
    </row>
    <row r="35351" spans="16:16">
      <c r="P35351" s="2498"/>
    </row>
    <row r="35352" spans="16:16">
      <c r="P35352" s="2498"/>
    </row>
    <row r="35353" spans="16:16">
      <c r="P35353" s="2498"/>
    </row>
    <row r="35354" spans="16:16">
      <c r="P35354" s="2498"/>
    </row>
    <row r="35355" spans="16:16">
      <c r="P35355" s="2498"/>
    </row>
    <row r="35356" spans="16:16">
      <c r="P35356" s="2498"/>
    </row>
    <row r="35357" spans="16:16">
      <c r="P35357" s="2498"/>
    </row>
    <row r="35358" spans="16:16">
      <c r="P35358" s="2498"/>
    </row>
    <row r="35359" spans="16:16">
      <c r="P35359" s="2498"/>
    </row>
    <row r="35360" spans="16:16">
      <c r="P35360" s="2498"/>
    </row>
    <row r="35361" spans="16:16">
      <c r="P35361" s="2498"/>
    </row>
    <row r="35362" spans="16:16">
      <c r="P35362" s="2498"/>
    </row>
    <row r="35363" spans="16:16">
      <c r="P35363" s="2498"/>
    </row>
    <row r="35364" spans="16:16">
      <c r="P35364" s="2498"/>
    </row>
    <row r="35365" spans="16:16">
      <c r="P35365" s="2498"/>
    </row>
    <row r="35366" spans="16:16">
      <c r="P35366" s="2498"/>
    </row>
    <row r="35367" spans="16:16">
      <c r="P35367" s="2498"/>
    </row>
    <row r="35368" spans="16:16">
      <c r="P35368" s="2498"/>
    </row>
    <row r="35369" spans="16:16">
      <c r="P35369" s="2498"/>
    </row>
    <row r="35370" spans="16:16">
      <c r="P35370" s="2498"/>
    </row>
    <row r="35371" spans="16:16">
      <c r="P35371" s="2498"/>
    </row>
    <row r="35372" spans="16:16">
      <c r="P35372" s="2498"/>
    </row>
    <row r="35373" spans="16:16">
      <c r="P35373" s="2498"/>
    </row>
    <row r="35374" spans="16:16">
      <c r="P35374" s="2498"/>
    </row>
    <row r="35375" spans="16:16">
      <c r="P35375" s="2498"/>
    </row>
    <row r="35376" spans="16:16">
      <c r="P35376" s="2498"/>
    </row>
    <row r="35377" spans="16:16">
      <c r="P35377" s="2498"/>
    </row>
    <row r="35378" spans="16:16">
      <c r="P35378" s="2498"/>
    </row>
    <row r="35379" spans="16:16">
      <c r="P35379" s="2498"/>
    </row>
    <row r="35380" spans="16:16">
      <c r="P35380" s="2498"/>
    </row>
    <row r="35381" spans="16:16">
      <c r="P35381" s="2498"/>
    </row>
    <row r="35382" spans="16:16">
      <c r="P35382" s="2498"/>
    </row>
    <row r="35383" spans="16:16">
      <c r="P35383" s="2498"/>
    </row>
    <row r="35384" spans="16:16">
      <c r="P35384" s="2498"/>
    </row>
    <row r="35385" spans="16:16">
      <c r="P35385" s="2498"/>
    </row>
    <row r="35386" spans="16:16">
      <c r="P35386" s="2498"/>
    </row>
    <row r="35387" spans="16:16">
      <c r="P35387" s="2498"/>
    </row>
    <row r="35388" spans="16:16">
      <c r="P35388" s="2498"/>
    </row>
    <row r="35389" spans="16:16">
      <c r="P35389" s="2498"/>
    </row>
    <row r="35390" spans="16:16">
      <c r="P35390" s="2498"/>
    </row>
    <row r="35391" spans="16:16">
      <c r="P35391" s="2498"/>
    </row>
    <row r="35392" spans="16:16">
      <c r="P35392" s="2498"/>
    </row>
    <row r="35393" spans="16:16">
      <c r="P35393" s="2498"/>
    </row>
    <row r="35394" spans="16:16">
      <c r="P35394" s="2498"/>
    </row>
    <row r="35395" spans="16:16">
      <c r="P35395" s="2498"/>
    </row>
    <row r="35396" spans="16:16">
      <c r="P35396" s="2498"/>
    </row>
    <row r="35397" spans="16:16">
      <c r="P35397" s="2498"/>
    </row>
    <row r="35398" spans="16:16">
      <c r="P35398" s="2498"/>
    </row>
    <row r="35399" spans="16:16">
      <c r="P35399" s="2498"/>
    </row>
    <row r="35400" spans="16:16">
      <c r="P35400" s="2498"/>
    </row>
    <row r="35401" spans="16:16">
      <c r="P35401" s="2498"/>
    </row>
    <row r="35402" spans="16:16">
      <c r="P35402" s="2498"/>
    </row>
    <row r="35403" spans="16:16">
      <c r="P35403" s="2498"/>
    </row>
    <row r="35404" spans="16:16">
      <c r="P35404" s="2498"/>
    </row>
    <row r="35405" spans="16:16">
      <c r="P35405" s="2498"/>
    </row>
    <row r="35406" spans="16:16">
      <c r="P35406" s="2498"/>
    </row>
    <row r="35407" spans="16:16">
      <c r="P35407" s="2498"/>
    </row>
    <row r="35408" spans="16:16">
      <c r="P35408" s="2498"/>
    </row>
    <row r="35409" spans="16:16">
      <c r="P35409" s="2498"/>
    </row>
    <row r="35410" spans="16:16">
      <c r="P35410" s="2498"/>
    </row>
    <row r="35411" spans="16:16">
      <c r="P35411" s="2498"/>
    </row>
    <row r="35412" spans="16:16">
      <c r="P35412" s="2498"/>
    </row>
    <row r="35413" spans="16:16">
      <c r="P35413" s="2498"/>
    </row>
    <row r="35414" spans="16:16">
      <c r="P35414" s="2498"/>
    </row>
    <row r="35415" spans="16:16">
      <c r="P35415" s="2498"/>
    </row>
    <row r="35416" spans="16:16">
      <c r="P35416" s="2498"/>
    </row>
    <row r="35417" spans="16:16">
      <c r="P35417" s="2498"/>
    </row>
    <row r="35418" spans="16:16">
      <c r="P35418" s="2498"/>
    </row>
    <row r="35419" spans="16:16">
      <c r="P35419" s="2498"/>
    </row>
    <row r="35420" spans="16:16">
      <c r="P35420" s="2498"/>
    </row>
    <row r="35421" spans="16:16">
      <c r="P35421" s="2498"/>
    </row>
    <row r="35422" spans="16:16">
      <c r="P35422" s="2498"/>
    </row>
    <row r="35423" spans="16:16">
      <c r="P35423" s="2498"/>
    </row>
    <row r="35424" spans="16:16">
      <c r="P35424" s="2498"/>
    </row>
    <row r="35425" spans="16:16">
      <c r="P35425" s="2498"/>
    </row>
    <row r="35426" spans="16:16">
      <c r="P35426" s="2498"/>
    </row>
    <row r="35427" spans="16:16">
      <c r="P35427" s="2498"/>
    </row>
    <row r="35428" spans="16:16">
      <c r="P35428" s="2498"/>
    </row>
    <row r="35429" spans="16:16">
      <c r="P35429" s="2498"/>
    </row>
    <row r="35430" spans="16:16">
      <c r="P35430" s="2498"/>
    </row>
    <row r="35431" spans="16:16">
      <c r="P35431" s="2498"/>
    </row>
    <row r="35432" spans="16:16">
      <c r="P35432" s="2498"/>
    </row>
    <row r="35433" spans="16:16">
      <c r="P35433" s="2498"/>
    </row>
    <row r="35434" spans="16:16">
      <c r="P35434" s="2498"/>
    </row>
    <row r="35435" spans="16:16">
      <c r="P35435" s="2498"/>
    </row>
    <row r="35436" spans="16:16">
      <c r="P35436" s="2498"/>
    </row>
    <row r="35437" spans="16:16">
      <c r="P35437" s="2498"/>
    </row>
    <row r="35438" spans="16:16">
      <c r="P35438" s="2498"/>
    </row>
    <row r="35439" spans="16:16">
      <c r="P35439" s="2498"/>
    </row>
    <row r="35440" spans="16:16">
      <c r="P35440" s="2498"/>
    </row>
    <row r="35441" spans="16:16">
      <c r="P35441" s="2498"/>
    </row>
    <row r="35442" spans="16:16">
      <c r="P35442" s="2498"/>
    </row>
    <row r="35443" spans="16:16">
      <c r="P35443" s="2498"/>
    </row>
    <row r="35444" spans="16:16">
      <c r="P35444" s="2498"/>
    </row>
    <row r="35445" spans="16:16">
      <c r="P35445" s="2498"/>
    </row>
    <row r="35446" spans="16:16">
      <c r="P35446" s="2498"/>
    </row>
    <row r="35447" spans="16:16">
      <c r="P35447" s="2498"/>
    </row>
    <row r="35448" spans="16:16">
      <c r="P35448" s="2498"/>
    </row>
    <row r="35449" spans="16:16">
      <c r="P35449" s="2498"/>
    </row>
    <row r="35450" spans="16:16">
      <c r="P35450" s="2498"/>
    </row>
    <row r="35451" spans="16:16">
      <c r="P35451" s="2498"/>
    </row>
    <row r="35452" spans="16:16">
      <c r="P35452" s="2498"/>
    </row>
    <row r="35453" spans="16:16">
      <c r="P35453" s="2498"/>
    </row>
    <row r="35454" spans="16:16">
      <c r="P35454" s="2498"/>
    </row>
    <row r="35455" spans="16:16">
      <c r="P35455" s="2498"/>
    </row>
    <row r="35456" spans="16:16">
      <c r="P35456" s="2498"/>
    </row>
    <row r="35457" spans="16:16">
      <c r="P35457" s="2498"/>
    </row>
    <row r="35458" spans="16:16">
      <c r="P35458" s="2498"/>
    </row>
    <row r="35459" spans="16:16">
      <c r="P35459" s="2498"/>
    </row>
    <row r="35460" spans="16:16">
      <c r="P35460" s="2498"/>
    </row>
    <row r="35461" spans="16:16">
      <c r="P35461" s="2498"/>
    </row>
    <row r="35462" spans="16:16">
      <c r="P35462" s="2498"/>
    </row>
    <row r="35463" spans="16:16">
      <c r="P35463" s="2498"/>
    </row>
    <row r="35464" spans="16:16">
      <c r="P35464" s="2498"/>
    </row>
    <row r="35465" spans="16:16">
      <c r="P35465" s="2498"/>
    </row>
    <row r="35466" spans="16:16">
      <c r="P35466" s="2498"/>
    </row>
    <row r="35467" spans="16:16">
      <c r="P35467" s="2498"/>
    </row>
    <row r="35468" spans="16:16">
      <c r="P35468" s="2498"/>
    </row>
    <row r="35469" spans="16:16">
      <c r="P35469" s="2498"/>
    </row>
    <row r="35470" spans="16:16">
      <c r="P35470" s="2498"/>
    </row>
    <row r="35471" spans="16:16">
      <c r="P35471" s="2498"/>
    </row>
    <row r="35472" spans="16:16">
      <c r="P35472" s="2498"/>
    </row>
    <row r="35473" spans="16:16">
      <c r="P35473" s="2498"/>
    </row>
    <row r="35474" spans="16:16">
      <c r="P35474" s="2498"/>
    </row>
    <row r="35475" spans="16:16">
      <c r="P35475" s="2498"/>
    </row>
    <row r="35476" spans="16:16">
      <c r="P35476" s="2498"/>
    </row>
    <row r="35477" spans="16:16">
      <c r="P35477" s="2498"/>
    </row>
    <row r="35478" spans="16:16">
      <c r="P35478" s="2498"/>
    </row>
    <row r="35479" spans="16:16">
      <c r="P35479" s="2498"/>
    </row>
    <row r="35480" spans="16:16">
      <c r="P35480" s="2498"/>
    </row>
    <row r="35481" spans="16:16">
      <c r="P35481" s="2498"/>
    </row>
    <row r="35482" spans="16:16">
      <c r="P35482" s="2498"/>
    </row>
    <row r="35483" spans="16:16">
      <c r="P35483" s="2498"/>
    </row>
    <row r="35484" spans="16:16">
      <c r="P35484" s="2498"/>
    </row>
    <row r="35485" spans="16:16">
      <c r="P35485" s="2498"/>
    </row>
    <row r="35486" spans="16:16">
      <c r="P35486" s="2498"/>
    </row>
    <row r="35487" spans="16:16">
      <c r="P35487" s="2498"/>
    </row>
    <row r="35488" spans="16:16">
      <c r="P35488" s="2498"/>
    </row>
    <row r="35489" spans="16:16">
      <c r="P35489" s="2498"/>
    </row>
    <row r="35490" spans="16:16">
      <c r="P35490" s="2498"/>
    </row>
    <row r="35491" spans="16:16">
      <c r="P35491" s="2498"/>
    </row>
    <row r="35492" spans="16:16">
      <c r="P35492" s="2498"/>
    </row>
    <row r="35493" spans="16:16">
      <c r="P35493" s="2498"/>
    </row>
    <row r="35494" spans="16:16">
      <c r="P35494" s="2498"/>
    </row>
    <row r="35495" spans="16:16">
      <c r="P35495" s="2498"/>
    </row>
    <row r="35496" spans="16:16">
      <c r="P35496" s="2498"/>
    </row>
    <row r="35497" spans="16:16">
      <c r="P35497" s="2498"/>
    </row>
    <row r="35498" spans="16:16">
      <c r="P35498" s="2498"/>
    </row>
    <row r="35499" spans="16:16">
      <c r="P35499" s="2498"/>
    </row>
    <row r="35500" spans="16:16">
      <c r="P35500" s="2498"/>
    </row>
    <row r="35501" spans="16:16">
      <c r="P35501" s="2498"/>
    </row>
    <row r="35502" spans="16:16">
      <c r="P35502" s="2498"/>
    </row>
    <row r="35503" spans="16:16">
      <c r="P35503" s="2498"/>
    </row>
    <row r="35504" spans="16:16">
      <c r="P35504" s="2498"/>
    </row>
    <row r="35505" spans="16:16">
      <c r="P35505" s="2498"/>
    </row>
    <row r="35506" spans="16:16">
      <c r="P35506" s="2498"/>
    </row>
    <row r="35507" spans="16:16">
      <c r="P35507" s="2498"/>
    </row>
    <row r="35508" spans="16:16">
      <c r="P35508" s="2498"/>
    </row>
    <row r="35509" spans="16:16">
      <c r="P35509" s="2498"/>
    </row>
    <row r="35510" spans="16:16">
      <c r="P35510" s="2498"/>
    </row>
    <row r="35511" spans="16:16">
      <c r="P35511" s="2498"/>
    </row>
    <row r="35512" spans="16:16">
      <c r="P35512" s="2498"/>
    </row>
    <row r="35513" spans="16:16">
      <c r="P35513" s="2498"/>
    </row>
    <row r="35514" spans="16:16">
      <c r="P35514" s="2498"/>
    </row>
    <row r="35515" spans="16:16">
      <c r="P35515" s="2498"/>
    </row>
    <row r="35516" spans="16:16">
      <c r="P35516" s="2498"/>
    </row>
    <row r="35517" spans="16:16">
      <c r="P35517" s="2498"/>
    </row>
    <row r="35518" spans="16:16">
      <c r="P35518" s="2498"/>
    </row>
    <row r="35519" spans="16:16">
      <c r="P35519" s="2498"/>
    </row>
    <row r="35520" spans="16:16">
      <c r="P35520" s="2498"/>
    </row>
    <row r="35521" spans="16:16">
      <c r="P35521" s="2498"/>
    </row>
    <row r="35522" spans="16:16">
      <c r="P35522" s="2498"/>
    </row>
    <row r="35523" spans="16:16">
      <c r="P35523" s="2498"/>
    </row>
    <row r="35524" spans="16:16">
      <c r="P35524" s="2498"/>
    </row>
    <row r="35525" spans="16:16">
      <c r="P35525" s="2498"/>
    </row>
    <row r="35526" spans="16:16">
      <c r="P35526" s="2498"/>
    </row>
    <row r="35527" spans="16:16">
      <c r="P35527" s="2498"/>
    </row>
    <row r="35528" spans="16:16">
      <c r="P35528" s="2498"/>
    </row>
    <row r="35529" spans="16:16">
      <c r="P35529" s="2498"/>
    </row>
    <row r="35530" spans="16:16">
      <c r="P35530" s="2498"/>
    </row>
    <row r="35531" spans="16:16">
      <c r="P35531" s="2498"/>
    </row>
    <row r="35532" spans="16:16">
      <c r="P35532" s="2498"/>
    </row>
    <row r="35533" spans="16:16">
      <c r="P35533" s="2498"/>
    </row>
    <row r="35534" spans="16:16">
      <c r="P35534" s="2498"/>
    </row>
    <row r="35535" spans="16:16">
      <c r="P35535" s="2498"/>
    </row>
    <row r="35536" spans="16:16">
      <c r="P35536" s="2498"/>
    </row>
    <row r="35537" spans="16:16">
      <c r="P35537" s="2498"/>
    </row>
    <row r="35538" spans="16:16">
      <c r="P35538" s="2498"/>
    </row>
    <row r="35539" spans="16:16">
      <c r="P35539" s="2498"/>
    </row>
    <row r="35540" spans="16:16">
      <c r="P35540" s="2498"/>
    </row>
    <row r="35541" spans="16:16">
      <c r="P35541" s="2498"/>
    </row>
    <row r="35542" spans="16:16">
      <c r="P35542" s="2498"/>
    </row>
    <row r="35543" spans="16:16">
      <c r="P35543" s="2498"/>
    </row>
    <row r="35544" spans="16:16">
      <c r="P35544" s="2498"/>
    </row>
    <row r="35545" spans="16:16">
      <c r="P35545" s="2498"/>
    </row>
    <row r="35546" spans="16:16">
      <c r="P35546" s="2498"/>
    </row>
    <row r="35547" spans="16:16">
      <c r="P35547" s="2498"/>
    </row>
    <row r="35548" spans="16:16">
      <c r="P35548" s="2498"/>
    </row>
    <row r="35549" spans="16:16">
      <c r="P35549" s="2498"/>
    </row>
    <row r="35550" spans="16:16">
      <c r="P35550" s="2498"/>
    </row>
    <row r="35551" spans="16:16">
      <c r="P35551" s="2498"/>
    </row>
    <row r="35552" spans="16:16">
      <c r="P35552" s="2498"/>
    </row>
    <row r="35553" spans="16:16">
      <c r="P35553" s="2498"/>
    </row>
    <row r="35554" spans="16:16">
      <c r="P35554" s="2498"/>
    </row>
    <row r="35555" spans="16:16">
      <c r="P35555" s="2498"/>
    </row>
    <row r="35556" spans="16:16">
      <c r="P35556" s="2498"/>
    </row>
    <row r="35557" spans="16:16">
      <c r="P35557" s="2498"/>
    </row>
    <row r="35558" spans="16:16">
      <c r="P35558" s="2498"/>
    </row>
    <row r="35559" spans="16:16">
      <c r="P35559" s="2498"/>
    </row>
    <row r="35560" spans="16:16">
      <c r="P35560" s="2498"/>
    </row>
    <row r="35561" spans="16:16">
      <c r="P35561" s="2498"/>
    </row>
    <row r="35562" spans="16:16">
      <c r="P35562" s="2498"/>
    </row>
    <row r="35563" spans="16:16">
      <c r="P35563" s="2498"/>
    </row>
    <row r="35564" spans="16:16">
      <c r="P35564" s="2498"/>
    </row>
    <row r="35565" spans="16:16">
      <c r="P35565" s="2498"/>
    </row>
    <row r="35566" spans="16:16">
      <c r="P35566" s="2498"/>
    </row>
    <row r="35567" spans="16:16">
      <c r="P35567" s="2498"/>
    </row>
    <row r="35568" spans="16:16">
      <c r="P35568" s="2498"/>
    </row>
    <row r="35569" spans="16:16">
      <c r="P35569" s="2498"/>
    </row>
    <row r="35570" spans="16:16">
      <c r="P35570" s="2498"/>
    </row>
    <row r="35571" spans="16:16">
      <c r="P35571" s="2498"/>
    </row>
    <row r="35572" spans="16:16">
      <c r="P35572" s="2498"/>
    </row>
    <row r="35573" spans="16:16">
      <c r="P35573" s="2498"/>
    </row>
    <row r="35574" spans="16:16">
      <c r="P35574" s="2498"/>
    </row>
    <row r="35575" spans="16:16">
      <c r="P35575" s="2498"/>
    </row>
    <row r="35576" spans="16:16">
      <c r="P35576" s="2498"/>
    </row>
    <row r="35577" spans="16:16">
      <c r="P35577" s="2498"/>
    </row>
    <row r="35578" spans="16:16">
      <c r="P35578" s="2498"/>
    </row>
    <row r="35579" spans="16:16">
      <c r="P35579" s="2498"/>
    </row>
    <row r="35580" spans="16:16">
      <c r="P35580" s="2498"/>
    </row>
    <row r="35581" spans="16:16">
      <c r="P35581" s="2498"/>
    </row>
    <row r="35582" spans="16:16">
      <c r="P35582" s="2498"/>
    </row>
    <row r="35583" spans="16:16">
      <c r="P35583" s="2498"/>
    </row>
    <row r="35584" spans="16:16">
      <c r="P35584" s="2498"/>
    </row>
    <row r="35585" spans="16:16">
      <c r="P35585" s="2498"/>
    </row>
    <row r="35586" spans="16:16">
      <c r="P35586" s="2498"/>
    </row>
    <row r="35587" spans="16:16">
      <c r="P35587" s="2498"/>
    </row>
    <row r="35588" spans="16:16">
      <c r="P35588" s="2498"/>
    </row>
    <row r="35589" spans="16:16">
      <c r="P35589" s="2498"/>
    </row>
    <row r="35590" spans="16:16">
      <c r="P35590" s="2498"/>
    </row>
    <row r="35591" spans="16:16">
      <c r="P35591" s="2498"/>
    </row>
    <row r="35592" spans="16:16">
      <c r="P35592" s="2498"/>
    </row>
    <row r="35593" spans="16:16">
      <c r="P35593" s="2498"/>
    </row>
    <row r="35594" spans="16:16">
      <c r="P35594" s="2498"/>
    </row>
    <row r="35595" spans="16:16">
      <c r="P35595" s="2498"/>
    </row>
    <row r="35596" spans="16:16">
      <c r="P35596" s="2498"/>
    </row>
    <row r="35597" spans="16:16">
      <c r="P35597" s="2498"/>
    </row>
    <row r="35598" spans="16:16">
      <c r="P35598" s="2498"/>
    </row>
    <row r="35599" spans="16:16">
      <c r="P35599" s="2498"/>
    </row>
    <row r="35600" spans="16:16">
      <c r="P35600" s="2498"/>
    </row>
    <row r="35601" spans="16:16">
      <c r="P35601" s="2498"/>
    </row>
    <row r="35602" spans="16:16">
      <c r="P35602" s="2498"/>
    </row>
    <row r="35603" spans="16:16">
      <c r="P35603" s="2498"/>
    </row>
    <row r="35604" spans="16:16">
      <c r="P35604" s="2498"/>
    </row>
    <row r="35605" spans="16:16">
      <c r="P35605" s="2498"/>
    </row>
    <row r="35606" spans="16:16">
      <c r="P35606" s="2498"/>
    </row>
    <row r="35607" spans="16:16">
      <c r="P35607" s="2498"/>
    </row>
    <row r="35608" spans="16:16">
      <c r="P35608" s="2498"/>
    </row>
    <row r="35609" spans="16:16">
      <c r="P35609" s="2498"/>
    </row>
    <row r="35610" spans="16:16">
      <c r="P35610" s="2498"/>
    </row>
    <row r="35611" spans="16:16">
      <c r="P35611" s="2498"/>
    </row>
    <row r="35612" spans="16:16">
      <c r="P35612" s="2498"/>
    </row>
    <row r="35613" spans="16:16">
      <c r="P35613" s="2498"/>
    </row>
    <row r="35614" spans="16:16">
      <c r="P35614" s="2498"/>
    </row>
    <row r="35615" spans="16:16">
      <c r="P35615" s="2498"/>
    </row>
    <row r="35616" spans="16:16">
      <c r="P35616" s="2498"/>
    </row>
    <row r="35617" spans="16:16">
      <c r="P35617" s="2498"/>
    </row>
    <row r="35618" spans="16:16">
      <c r="P35618" s="2498"/>
    </row>
    <row r="35619" spans="16:16">
      <c r="P35619" s="2498"/>
    </row>
    <row r="35620" spans="16:16">
      <c r="P35620" s="2498"/>
    </row>
    <row r="35621" spans="16:16">
      <c r="P35621" s="2498"/>
    </row>
    <row r="35622" spans="16:16">
      <c r="P35622" s="2498"/>
    </row>
    <row r="35623" spans="16:16">
      <c r="P35623" s="2498"/>
    </row>
    <row r="35624" spans="16:16">
      <c r="P35624" s="2498"/>
    </row>
    <row r="35625" spans="16:16">
      <c r="P35625" s="2498"/>
    </row>
    <row r="35626" spans="16:16">
      <c r="P35626" s="2498"/>
    </row>
    <row r="35627" spans="16:16">
      <c r="P35627" s="2498"/>
    </row>
    <row r="35628" spans="16:16">
      <c r="P35628" s="2498"/>
    </row>
    <row r="35629" spans="16:16">
      <c r="P35629" s="2498"/>
    </row>
    <row r="35630" spans="16:16">
      <c r="P35630" s="2498"/>
    </row>
    <row r="35631" spans="16:16">
      <c r="P35631" s="2498"/>
    </row>
    <row r="35632" spans="16:16">
      <c r="P35632" s="2498"/>
    </row>
    <row r="35633" spans="16:16">
      <c r="P35633" s="2498"/>
    </row>
    <row r="35634" spans="16:16">
      <c r="P35634" s="2498"/>
    </row>
    <row r="35635" spans="16:16">
      <c r="P35635" s="2498"/>
    </row>
    <row r="35636" spans="16:16">
      <c r="P35636" s="2498"/>
    </row>
    <row r="35637" spans="16:16">
      <c r="P35637" s="2498"/>
    </row>
    <row r="35638" spans="16:16">
      <c r="P35638" s="2498"/>
    </row>
    <row r="35639" spans="16:16">
      <c r="P35639" s="2498"/>
    </row>
    <row r="35640" spans="16:16">
      <c r="P35640" s="2498"/>
    </row>
    <row r="35641" spans="16:16">
      <c r="P35641" s="2498"/>
    </row>
    <row r="35642" spans="16:16">
      <c r="P35642" s="2498"/>
    </row>
    <row r="35643" spans="16:16">
      <c r="P35643" s="2498"/>
    </row>
    <row r="35644" spans="16:16">
      <c r="P35644" s="2498"/>
    </row>
    <row r="35645" spans="16:16">
      <c r="P35645" s="2498"/>
    </row>
    <row r="35646" spans="16:16">
      <c r="P35646" s="2498"/>
    </row>
    <row r="35647" spans="16:16">
      <c r="P35647" s="2498"/>
    </row>
    <row r="35648" spans="16:16">
      <c r="P35648" s="2498"/>
    </row>
    <row r="35649" spans="16:16">
      <c r="P35649" s="2498"/>
    </row>
    <row r="35650" spans="16:16">
      <c r="P35650" s="2498"/>
    </row>
    <row r="35651" spans="16:16">
      <c r="P35651" s="2498"/>
    </row>
    <row r="35652" spans="16:16">
      <c r="P35652" s="2498"/>
    </row>
    <row r="35653" spans="16:16">
      <c r="P35653" s="2498"/>
    </row>
    <row r="35654" spans="16:16">
      <c r="P35654" s="2498"/>
    </row>
    <row r="35655" spans="16:16">
      <c r="P35655" s="2498"/>
    </row>
    <row r="35656" spans="16:16">
      <c r="P35656" s="2498"/>
    </row>
    <row r="35657" spans="16:16">
      <c r="P35657" s="2498"/>
    </row>
    <row r="35658" spans="16:16">
      <c r="P35658" s="2498"/>
    </row>
    <row r="35659" spans="16:16">
      <c r="P35659" s="2498"/>
    </row>
    <row r="35660" spans="16:16">
      <c r="P35660" s="2498"/>
    </row>
    <row r="35661" spans="16:16">
      <c r="P35661" s="2498"/>
    </row>
    <row r="35662" spans="16:16">
      <c r="P35662" s="2498"/>
    </row>
    <row r="35663" spans="16:16">
      <c r="P35663" s="2498"/>
    </row>
    <row r="35664" spans="16:16">
      <c r="P35664" s="2498"/>
    </row>
    <row r="35665" spans="16:16">
      <c r="P35665" s="2498"/>
    </row>
    <row r="35666" spans="16:16">
      <c r="P35666" s="2498"/>
    </row>
    <row r="35667" spans="16:16">
      <c r="P35667" s="2498"/>
    </row>
    <row r="35668" spans="16:16">
      <c r="P35668" s="2498"/>
    </row>
    <row r="35669" spans="16:16">
      <c r="P35669" s="2498"/>
    </row>
    <row r="35670" spans="16:16">
      <c r="P35670" s="2498"/>
    </row>
    <row r="35671" spans="16:16">
      <c r="P35671" s="2498"/>
    </row>
    <row r="35672" spans="16:16">
      <c r="P35672" s="2498"/>
    </row>
    <row r="35673" spans="16:16">
      <c r="P35673" s="2498"/>
    </row>
    <row r="35674" spans="16:16">
      <c r="P35674" s="2498"/>
    </row>
    <row r="35675" spans="16:16">
      <c r="P35675" s="2498"/>
    </row>
    <row r="35676" spans="16:16">
      <c r="P35676" s="2498"/>
    </row>
    <row r="35677" spans="16:16">
      <c r="P35677" s="2498"/>
    </row>
    <row r="35678" spans="16:16">
      <c r="P35678" s="2498"/>
    </row>
    <row r="35679" spans="16:16">
      <c r="P35679" s="2498"/>
    </row>
    <row r="35680" spans="16:16">
      <c r="P35680" s="2498"/>
    </row>
    <row r="35681" spans="16:16">
      <c r="P35681" s="2498"/>
    </row>
    <row r="35682" spans="16:16">
      <c r="P35682" s="2498"/>
    </row>
    <row r="35683" spans="16:16">
      <c r="P35683" s="2498"/>
    </row>
    <row r="35684" spans="16:16">
      <c r="P35684" s="2498"/>
    </row>
    <row r="35685" spans="16:16">
      <c r="P35685" s="2498"/>
    </row>
    <row r="35686" spans="16:16">
      <c r="P35686" s="2498"/>
    </row>
    <row r="35687" spans="16:16">
      <c r="P35687" s="2498"/>
    </row>
    <row r="35688" spans="16:16">
      <c r="P35688" s="2498"/>
    </row>
    <row r="35689" spans="16:16">
      <c r="P35689" s="2498"/>
    </row>
    <row r="35690" spans="16:16">
      <c r="P35690" s="2498"/>
    </row>
    <row r="35691" spans="16:16">
      <c r="P35691" s="2498"/>
    </row>
    <row r="35692" spans="16:16">
      <c r="P35692" s="2498"/>
    </row>
    <row r="35693" spans="16:16">
      <c r="P35693" s="2498"/>
    </row>
    <row r="35694" spans="16:16">
      <c r="P35694" s="2498"/>
    </row>
    <row r="35695" spans="16:16">
      <c r="P35695" s="2498"/>
    </row>
    <row r="35696" spans="16:16">
      <c r="P35696" s="2498"/>
    </row>
    <row r="35697" spans="16:16">
      <c r="P35697" s="2498"/>
    </row>
    <row r="35698" spans="16:16">
      <c r="P35698" s="2498"/>
    </row>
    <row r="35699" spans="16:16">
      <c r="P35699" s="2498"/>
    </row>
    <row r="35700" spans="16:16">
      <c r="P35700" s="2498"/>
    </row>
    <row r="35701" spans="16:16">
      <c r="P35701" s="2498"/>
    </row>
    <row r="35702" spans="16:16">
      <c r="P35702" s="2498"/>
    </row>
    <row r="35703" spans="16:16">
      <c r="P35703" s="2498"/>
    </row>
    <row r="35704" spans="16:16">
      <c r="P35704" s="2498"/>
    </row>
    <row r="35705" spans="16:16">
      <c r="P35705" s="2498"/>
    </row>
    <row r="35706" spans="16:16">
      <c r="P35706" s="2498"/>
    </row>
    <row r="35707" spans="16:16">
      <c r="P35707" s="2498"/>
    </row>
    <row r="35708" spans="16:16">
      <c r="P35708" s="2498"/>
    </row>
    <row r="35709" spans="16:16">
      <c r="P35709" s="2498"/>
    </row>
    <row r="35710" spans="16:16">
      <c r="P35710" s="2498"/>
    </row>
    <row r="35711" spans="16:16">
      <c r="P35711" s="2498"/>
    </row>
    <row r="35712" spans="16:16">
      <c r="P35712" s="2498"/>
    </row>
    <row r="35713" spans="16:16">
      <c r="P35713" s="2498"/>
    </row>
    <row r="35714" spans="16:16">
      <c r="P35714" s="2498"/>
    </row>
    <row r="35715" spans="16:16">
      <c r="P35715" s="2498"/>
    </row>
    <row r="35716" spans="16:16">
      <c r="P35716" s="2498"/>
    </row>
    <row r="35717" spans="16:16">
      <c r="P35717" s="2498"/>
    </row>
    <row r="35718" spans="16:16">
      <c r="P35718" s="2498"/>
    </row>
    <row r="35719" spans="16:16">
      <c r="P35719" s="2498"/>
    </row>
    <row r="35720" spans="16:16">
      <c r="P35720" s="2498"/>
    </row>
    <row r="35721" spans="16:16">
      <c r="P35721" s="2498"/>
    </row>
    <row r="35722" spans="16:16">
      <c r="P35722" s="2498"/>
    </row>
    <row r="35723" spans="16:16">
      <c r="P35723" s="2498"/>
    </row>
    <row r="35724" spans="16:16">
      <c r="P35724" s="2498"/>
    </row>
    <row r="35725" spans="16:16">
      <c r="P35725" s="2498"/>
    </row>
    <row r="35726" spans="16:16">
      <c r="P35726" s="2498"/>
    </row>
    <row r="35727" spans="16:16">
      <c r="P35727" s="2498"/>
    </row>
    <row r="35728" spans="16:16">
      <c r="P35728" s="2498"/>
    </row>
    <row r="35729" spans="16:16">
      <c r="P35729" s="2498"/>
    </row>
    <row r="35730" spans="16:16">
      <c r="P35730" s="2498"/>
    </row>
    <row r="35731" spans="16:16">
      <c r="P35731" s="2498"/>
    </row>
    <row r="35732" spans="16:16">
      <c r="P35732" s="2498"/>
    </row>
    <row r="35733" spans="16:16">
      <c r="P35733" s="2498"/>
    </row>
    <row r="35734" spans="16:16">
      <c r="P35734" s="2498"/>
    </row>
    <row r="35735" spans="16:16">
      <c r="P35735" s="2498"/>
    </row>
    <row r="35736" spans="16:16">
      <c r="P35736" s="2498"/>
    </row>
    <row r="35737" spans="16:16">
      <c r="P35737" s="2498"/>
    </row>
    <row r="35738" spans="16:16">
      <c r="P35738" s="2498"/>
    </row>
    <row r="35739" spans="16:16">
      <c r="P35739" s="2498"/>
    </row>
    <row r="35740" spans="16:16">
      <c r="P35740" s="2498"/>
    </row>
    <row r="35741" spans="16:16">
      <c r="P35741" s="2498"/>
    </row>
    <row r="35742" spans="16:16">
      <c r="P35742" s="2498"/>
    </row>
    <row r="35743" spans="16:16">
      <c r="P35743" s="2498"/>
    </row>
    <row r="35744" spans="16:16">
      <c r="P35744" s="2498"/>
    </row>
    <row r="35745" spans="16:16">
      <c r="P35745" s="2498"/>
    </row>
    <row r="35746" spans="16:16">
      <c r="P35746" s="2498"/>
    </row>
    <row r="35747" spans="16:16">
      <c r="P35747" s="2498"/>
    </row>
    <row r="35748" spans="16:16">
      <c r="P35748" s="2498"/>
    </row>
    <row r="35749" spans="16:16">
      <c r="P35749" s="2498"/>
    </row>
    <row r="35750" spans="16:16">
      <c r="P35750" s="2498"/>
    </row>
    <row r="35751" spans="16:16">
      <c r="P35751" s="2498"/>
    </row>
    <row r="35752" spans="16:16">
      <c r="P35752" s="2498"/>
    </row>
    <row r="35753" spans="16:16">
      <c r="P35753" s="2498"/>
    </row>
    <row r="35754" spans="16:16">
      <c r="P35754" s="2498"/>
    </row>
    <row r="35755" spans="16:16">
      <c r="P35755" s="2498"/>
    </row>
    <row r="35756" spans="16:16">
      <c r="P35756" s="2498"/>
    </row>
    <row r="35757" spans="16:16">
      <c r="P35757" s="2498"/>
    </row>
    <row r="35758" spans="16:16">
      <c r="P35758" s="2498"/>
    </row>
    <row r="35759" spans="16:16">
      <c r="P35759" s="2498"/>
    </row>
    <row r="35760" spans="16:16">
      <c r="P35760" s="2498"/>
    </row>
    <row r="35761" spans="16:16">
      <c r="P35761" s="2498"/>
    </row>
    <row r="35762" spans="16:16">
      <c r="P35762" s="2498"/>
    </row>
    <row r="35763" spans="16:16">
      <c r="P35763" s="2498"/>
    </row>
    <row r="35764" spans="16:16">
      <c r="P35764" s="2498"/>
    </row>
    <row r="35765" spans="16:16">
      <c r="P35765" s="2498"/>
    </row>
    <row r="35766" spans="16:16">
      <c r="P35766" s="2498"/>
    </row>
    <row r="35767" spans="16:16">
      <c r="P35767" s="2498"/>
    </row>
    <row r="35768" spans="16:16">
      <c r="P35768" s="2498"/>
    </row>
    <row r="35769" spans="16:16">
      <c r="P35769" s="2498"/>
    </row>
    <row r="35770" spans="16:16">
      <c r="P35770" s="2498"/>
    </row>
    <row r="35771" spans="16:16">
      <c r="P35771" s="2498"/>
    </row>
    <row r="35772" spans="16:16">
      <c r="P35772" s="2498"/>
    </row>
    <row r="35773" spans="16:16">
      <c r="P35773" s="2498"/>
    </row>
    <row r="35774" spans="16:16">
      <c r="P35774" s="2498"/>
    </row>
    <row r="35775" spans="16:16">
      <c r="P35775" s="2498"/>
    </row>
    <row r="35776" spans="16:16">
      <c r="P35776" s="2498"/>
    </row>
    <row r="35777" spans="16:16">
      <c r="P35777" s="2498"/>
    </row>
    <row r="35778" spans="16:16">
      <c r="P35778" s="2498"/>
    </row>
    <row r="35779" spans="16:16">
      <c r="P35779" s="2498"/>
    </row>
    <row r="35780" spans="16:16">
      <c r="P35780" s="2498"/>
    </row>
    <row r="35781" spans="16:16">
      <c r="P35781" s="2498"/>
    </row>
    <row r="35782" spans="16:16">
      <c r="P35782" s="2498"/>
    </row>
    <row r="35783" spans="16:16">
      <c r="P35783" s="2498"/>
    </row>
    <row r="35784" spans="16:16">
      <c r="P35784" s="2498"/>
    </row>
    <row r="35785" spans="16:16">
      <c r="P35785" s="2498"/>
    </row>
    <row r="35786" spans="16:16">
      <c r="P35786" s="2498"/>
    </row>
    <row r="35787" spans="16:16">
      <c r="P35787" s="2498"/>
    </row>
    <row r="35788" spans="16:16">
      <c r="P35788" s="2498"/>
    </row>
    <row r="35789" spans="16:16">
      <c r="P35789" s="2498"/>
    </row>
    <row r="35790" spans="16:16">
      <c r="P35790" s="2498"/>
    </row>
    <row r="35791" spans="16:16">
      <c r="P35791" s="2498"/>
    </row>
    <row r="35792" spans="16:16">
      <c r="P35792" s="2498"/>
    </row>
    <row r="35793" spans="16:16">
      <c r="P35793" s="2498"/>
    </row>
    <row r="35794" spans="16:16">
      <c r="P35794" s="2498"/>
    </row>
    <row r="35795" spans="16:16">
      <c r="P35795" s="2498"/>
    </row>
    <row r="35796" spans="16:16">
      <c r="P35796" s="2498"/>
    </row>
    <row r="35797" spans="16:16">
      <c r="P35797" s="2498"/>
    </row>
    <row r="35798" spans="16:16">
      <c r="P35798" s="2498"/>
    </row>
    <row r="35799" spans="16:16">
      <c r="P35799" s="2498"/>
    </row>
    <row r="35800" spans="16:16">
      <c r="P35800" s="2498"/>
    </row>
    <row r="35801" spans="16:16">
      <c r="P35801" s="2498"/>
    </row>
    <row r="35802" spans="16:16">
      <c r="P35802" s="2498"/>
    </row>
    <row r="35803" spans="16:16">
      <c r="P35803" s="2498"/>
    </row>
    <row r="35804" spans="16:16">
      <c r="P35804" s="2498"/>
    </row>
    <row r="35805" spans="16:16">
      <c r="P35805" s="2498"/>
    </row>
    <row r="35806" spans="16:16">
      <c r="P35806" s="2498"/>
    </row>
    <row r="35807" spans="16:16">
      <c r="P35807" s="2498"/>
    </row>
    <row r="35808" spans="16:16">
      <c r="P35808" s="2498"/>
    </row>
    <row r="35809" spans="16:16">
      <c r="P35809" s="2498"/>
    </row>
    <row r="35810" spans="16:16">
      <c r="P35810" s="2498"/>
    </row>
    <row r="35811" spans="16:16">
      <c r="P35811" s="2498"/>
    </row>
    <row r="35812" spans="16:16">
      <c r="P35812" s="2498"/>
    </row>
    <row r="35813" spans="16:16">
      <c r="P35813" s="2498"/>
    </row>
    <row r="35814" spans="16:16">
      <c r="P35814" s="2498"/>
    </row>
    <row r="35815" spans="16:16">
      <c r="P35815" s="2498"/>
    </row>
    <row r="35816" spans="16:16">
      <c r="P35816" s="2498"/>
    </row>
    <row r="35817" spans="16:16">
      <c r="P35817" s="2498"/>
    </row>
    <row r="35818" spans="16:16">
      <c r="P35818" s="2498"/>
    </row>
    <row r="35819" spans="16:16">
      <c r="P35819" s="2498"/>
    </row>
    <row r="35820" spans="16:16">
      <c r="P35820" s="2498"/>
    </row>
    <row r="35821" spans="16:16">
      <c r="P35821" s="2498"/>
    </row>
    <row r="35822" spans="16:16">
      <c r="P35822" s="2498"/>
    </row>
    <row r="35823" spans="16:16">
      <c r="P35823" s="2498"/>
    </row>
    <row r="35824" spans="16:16">
      <c r="P35824" s="2498"/>
    </row>
    <row r="35825" spans="16:16">
      <c r="P35825" s="2498"/>
    </row>
    <row r="35826" spans="16:16">
      <c r="P35826" s="2498"/>
    </row>
    <row r="35827" spans="16:16">
      <c r="P35827" s="2498"/>
    </row>
    <row r="35828" spans="16:16">
      <c r="P35828" s="2498"/>
    </row>
    <row r="35829" spans="16:16">
      <c r="P35829" s="2498"/>
    </row>
    <row r="35830" spans="16:16">
      <c r="P35830" s="2498"/>
    </row>
    <row r="35831" spans="16:16">
      <c r="P35831" s="2498"/>
    </row>
    <row r="35832" spans="16:16">
      <c r="P35832" s="2498"/>
    </row>
    <row r="35833" spans="16:16">
      <c r="P35833" s="2498"/>
    </row>
    <row r="35834" spans="16:16">
      <c r="P35834" s="2498"/>
    </row>
    <row r="35835" spans="16:16">
      <c r="P35835" s="2498"/>
    </row>
    <row r="35836" spans="16:16">
      <c r="P35836" s="2498"/>
    </row>
    <row r="35837" spans="16:16">
      <c r="P35837" s="2498"/>
    </row>
    <row r="35838" spans="16:16">
      <c r="P35838" s="2498"/>
    </row>
    <row r="35839" spans="16:16">
      <c r="P35839" s="2498"/>
    </row>
    <row r="35840" spans="16:16">
      <c r="P35840" s="2498"/>
    </row>
    <row r="35841" spans="16:16">
      <c r="P35841" s="2498"/>
    </row>
    <row r="35842" spans="16:16">
      <c r="P35842" s="2498"/>
    </row>
    <row r="35843" spans="16:16">
      <c r="P35843" s="2498"/>
    </row>
    <row r="35844" spans="16:16">
      <c r="P35844" s="2498"/>
    </row>
    <row r="35845" spans="16:16">
      <c r="P35845" s="2498"/>
    </row>
    <row r="35846" spans="16:16">
      <c r="P35846" s="2498"/>
    </row>
    <row r="35847" spans="16:16">
      <c r="P35847" s="2498"/>
    </row>
    <row r="35848" spans="16:16">
      <c r="P35848" s="2498"/>
    </row>
    <row r="35849" spans="16:16">
      <c r="P35849" s="2498"/>
    </row>
    <row r="35850" spans="16:16">
      <c r="P35850" s="2498"/>
    </row>
    <row r="35851" spans="16:16">
      <c r="P35851" s="2498"/>
    </row>
    <row r="35852" spans="16:16">
      <c r="P35852" s="2498"/>
    </row>
    <row r="35853" spans="16:16">
      <c r="P35853" s="2498"/>
    </row>
    <row r="35854" spans="16:16">
      <c r="P35854" s="2498"/>
    </row>
    <row r="35855" spans="16:16">
      <c r="P35855" s="2498"/>
    </row>
    <row r="35856" spans="16:16">
      <c r="P35856" s="2498"/>
    </row>
    <row r="35857" spans="16:16">
      <c r="P35857" s="2498"/>
    </row>
    <row r="35858" spans="16:16">
      <c r="P35858" s="2498"/>
    </row>
    <row r="35859" spans="16:16">
      <c r="P35859" s="2498"/>
    </row>
    <row r="35860" spans="16:16">
      <c r="P35860" s="2498"/>
    </row>
    <row r="35861" spans="16:16">
      <c r="P35861" s="2498"/>
    </row>
    <row r="35862" spans="16:16">
      <c r="P35862" s="2498"/>
    </row>
    <row r="35863" spans="16:16">
      <c r="P35863" s="2498"/>
    </row>
    <row r="35864" spans="16:16">
      <c r="P35864" s="2498"/>
    </row>
    <row r="35865" spans="16:16">
      <c r="P35865" s="2498"/>
    </row>
    <row r="35866" spans="16:16">
      <c r="P35866" s="2498"/>
    </row>
    <row r="35867" spans="16:16">
      <c r="P35867" s="2498"/>
    </row>
    <row r="35868" spans="16:16">
      <c r="P35868" s="2498"/>
    </row>
    <row r="35869" spans="16:16">
      <c r="P35869" s="2498"/>
    </row>
    <row r="35870" spans="16:16">
      <c r="P35870" s="2498"/>
    </row>
    <row r="35871" spans="16:16">
      <c r="P35871" s="2498"/>
    </row>
    <row r="35872" spans="16:16">
      <c r="P35872" s="2498"/>
    </row>
    <row r="35873" spans="16:16">
      <c r="P35873" s="2498"/>
    </row>
    <row r="35874" spans="16:16">
      <c r="P35874" s="2498"/>
    </row>
    <row r="35875" spans="16:16">
      <c r="P35875" s="2498"/>
    </row>
    <row r="35876" spans="16:16">
      <c r="P35876" s="2498"/>
    </row>
    <row r="35877" spans="16:16">
      <c r="P35877" s="2498"/>
    </row>
    <row r="35878" spans="16:16">
      <c r="P35878" s="2498"/>
    </row>
    <row r="35879" spans="16:16">
      <c r="P35879" s="2498"/>
    </row>
    <row r="35880" spans="16:16">
      <c r="P35880" s="2498"/>
    </row>
    <row r="35881" spans="16:16">
      <c r="P35881" s="2498"/>
    </row>
    <row r="35882" spans="16:16">
      <c r="P35882" s="2498"/>
    </row>
    <row r="35883" spans="16:16">
      <c r="P35883" s="2498"/>
    </row>
    <row r="35884" spans="16:16">
      <c r="P35884" s="2498"/>
    </row>
    <row r="35885" spans="16:16">
      <c r="P35885" s="2498"/>
    </row>
    <row r="35886" spans="16:16">
      <c r="P35886" s="2498"/>
    </row>
    <row r="35887" spans="16:16">
      <c r="P35887" s="2498"/>
    </row>
    <row r="35888" spans="16:16">
      <c r="P35888" s="2498"/>
    </row>
    <row r="35889" spans="16:16">
      <c r="P35889" s="2498"/>
    </row>
    <row r="35890" spans="16:16">
      <c r="P35890" s="2498"/>
    </row>
    <row r="35891" spans="16:16">
      <c r="P35891" s="2498"/>
    </row>
    <row r="35892" spans="16:16">
      <c r="P35892" s="2498"/>
    </row>
    <row r="35893" spans="16:16">
      <c r="P35893" s="2498"/>
    </row>
    <row r="35894" spans="16:16">
      <c r="P35894" s="2498"/>
    </row>
    <row r="35895" spans="16:16">
      <c r="P35895" s="2498"/>
    </row>
    <row r="35896" spans="16:16">
      <c r="P35896" s="2498"/>
    </row>
    <row r="35897" spans="16:16">
      <c r="P35897" s="2498"/>
    </row>
    <row r="35898" spans="16:16">
      <c r="P35898" s="2498"/>
    </row>
    <row r="35899" spans="16:16">
      <c r="P35899" s="2498"/>
    </row>
    <row r="35900" spans="16:16">
      <c r="P35900" s="2498"/>
    </row>
    <row r="35901" spans="16:16">
      <c r="P35901" s="2498"/>
    </row>
    <row r="35902" spans="16:16">
      <c r="P35902" s="2498"/>
    </row>
    <row r="35903" spans="16:16">
      <c r="P35903" s="2498"/>
    </row>
    <row r="35904" spans="16:16">
      <c r="P35904" s="2498"/>
    </row>
    <row r="35905" spans="16:16">
      <c r="P35905" s="2498"/>
    </row>
    <row r="35906" spans="16:16">
      <c r="P35906" s="2498"/>
    </row>
    <row r="35907" spans="16:16">
      <c r="P35907" s="2498"/>
    </row>
    <row r="35908" spans="16:16">
      <c r="P35908" s="2498"/>
    </row>
    <row r="35909" spans="16:16">
      <c r="P35909" s="2498"/>
    </row>
    <row r="35910" spans="16:16">
      <c r="P35910" s="2498"/>
    </row>
    <row r="35911" spans="16:16">
      <c r="P35911" s="2498"/>
    </row>
    <row r="35912" spans="16:16">
      <c r="P35912" s="2498"/>
    </row>
    <row r="35913" spans="16:16">
      <c r="P35913" s="2498"/>
    </row>
    <row r="35914" spans="16:16">
      <c r="P35914" s="2498"/>
    </row>
    <row r="35915" spans="16:16">
      <c r="P35915" s="2498"/>
    </row>
    <row r="35916" spans="16:16">
      <c r="P35916" s="2498"/>
    </row>
    <row r="35917" spans="16:16">
      <c r="P35917" s="2498"/>
    </row>
    <row r="35918" spans="16:16">
      <c r="P35918" s="2498"/>
    </row>
    <row r="35919" spans="16:16">
      <c r="P35919" s="2498"/>
    </row>
    <row r="35920" spans="16:16">
      <c r="P35920" s="2498"/>
    </row>
    <row r="35921" spans="16:16">
      <c r="P35921" s="2498"/>
    </row>
    <row r="35922" spans="16:16">
      <c r="P35922" s="2498"/>
    </row>
    <row r="35923" spans="16:16">
      <c r="P35923" s="2498"/>
    </row>
    <row r="35924" spans="16:16">
      <c r="P35924" s="2498"/>
    </row>
    <row r="35925" spans="16:16">
      <c r="P35925" s="2498"/>
    </row>
    <row r="35926" spans="16:16">
      <c r="P35926" s="2498"/>
    </row>
    <row r="35927" spans="16:16">
      <c r="P35927" s="2498"/>
    </row>
    <row r="35928" spans="16:16">
      <c r="P35928" s="2498"/>
    </row>
    <row r="35929" spans="16:16">
      <c r="P35929" s="2498"/>
    </row>
    <row r="35930" spans="16:16">
      <c r="P35930" s="2498"/>
    </row>
    <row r="35931" spans="16:16">
      <c r="P35931" s="2498"/>
    </row>
    <row r="35932" spans="16:16">
      <c r="P35932" s="2498"/>
    </row>
    <row r="35933" spans="16:16">
      <c r="P35933" s="2498"/>
    </row>
    <row r="35934" spans="16:16">
      <c r="P35934" s="2498"/>
    </row>
    <row r="35935" spans="16:16">
      <c r="P35935" s="2498"/>
    </row>
    <row r="35936" spans="16:16">
      <c r="P35936" s="2498"/>
    </row>
    <row r="35937" spans="16:16">
      <c r="P35937" s="2498"/>
    </row>
    <row r="35938" spans="16:16">
      <c r="P35938" s="2498"/>
    </row>
    <row r="35939" spans="16:16">
      <c r="P35939" s="2498"/>
    </row>
    <row r="35940" spans="16:16">
      <c r="P35940" s="2498"/>
    </row>
    <row r="35941" spans="16:16">
      <c r="P35941" s="2498"/>
    </row>
    <row r="35942" spans="16:16">
      <c r="P35942" s="2498"/>
    </row>
    <row r="35943" spans="16:16">
      <c r="P35943" s="2498"/>
    </row>
    <row r="35944" spans="16:16">
      <c r="P35944" s="2498"/>
    </row>
    <row r="35945" spans="16:16">
      <c r="P35945" s="2498"/>
    </row>
    <row r="35946" spans="16:16">
      <c r="P35946" s="2498"/>
    </row>
    <row r="35947" spans="16:16">
      <c r="P35947" s="2498"/>
    </row>
    <row r="35948" spans="16:16">
      <c r="P35948" s="2498"/>
    </row>
    <row r="35949" spans="16:16">
      <c r="P35949" s="2498"/>
    </row>
    <row r="35950" spans="16:16">
      <c r="P35950" s="2498"/>
    </row>
    <row r="35951" spans="16:16">
      <c r="P35951" s="2498"/>
    </row>
    <row r="35952" spans="16:16">
      <c r="P35952" s="2498"/>
    </row>
    <row r="35953" spans="16:16">
      <c r="P35953" s="2498"/>
    </row>
    <row r="35954" spans="16:16">
      <c r="P35954" s="2498"/>
    </row>
    <row r="35955" spans="16:16">
      <c r="P35955" s="2498"/>
    </row>
    <row r="35956" spans="16:16">
      <c r="P35956" s="2498"/>
    </row>
    <row r="35957" spans="16:16">
      <c r="P35957" s="2498"/>
    </row>
    <row r="35958" spans="16:16">
      <c r="P35958" s="2498"/>
    </row>
    <row r="35959" spans="16:16">
      <c r="P35959" s="2498"/>
    </row>
    <row r="35960" spans="16:16">
      <c r="P35960" s="2498"/>
    </row>
    <row r="35961" spans="16:16">
      <c r="P35961" s="2498"/>
    </row>
    <row r="35962" spans="16:16">
      <c r="P35962" s="2498"/>
    </row>
    <row r="35963" spans="16:16">
      <c r="P35963" s="2498"/>
    </row>
    <row r="35964" spans="16:16">
      <c r="P35964" s="2498"/>
    </row>
    <row r="35965" spans="16:16">
      <c r="P35965" s="2498"/>
    </row>
    <row r="35966" spans="16:16">
      <c r="P35966" s="2498"/>
    </row>
    <row r="35967" spans="16:16">
      <c r="P35967" s="2498"/>
    </row>
    <row r="35968" spans="16:16">
      <c r="P35968" s="2498"/>
    </row>
    <row r="35969" spans="16:16">
      <c r="P35969" s="2498"/>
    </row>
    <row r="35970" spans="16:16">
      <c r="P35970" s="2498"/>
    </row>
    <row r="35971" spans="16:16">
      <c r="P35971" s="2498"/>
    </row>
    <row r="35972" spans="16:16">
      <c r="P35972" s="2498"/>
    </row>
    <row r="35973" spans="16:16">
      <c r="P35973" s="2498"/>
    </row>
    <row r="35974" spans="16:16">
      <c r="P35974" s="2498"/>
    </row>
    <row r="35975" spans="16:16">
      <c r="P35975" s="2498"/>
    </row>
    <row r="35976" spans="16:16">
      <c r="P35976" s="2498"/>
    </row>
    <row r="35977" spans="16:16">
      <c r="P35977" s="2498"/>
    </row>
    <row r="35978" spans="16:16">
      <c r="P35978" s="2498"/>
    </row>
    <row r="35979" spans="16:16">
      <c r="P35979" s="2498"/>
    </row>
    <row r="35980" spans="16:16">
      <c r="P35980" s="2498"/>
    </row>
    <row r="35981" spans="16:16">
      <c r="P35981" s="2498"/>
    </row>
    <row r="35982" spans="16:16">
      <c r="P35982" s="2498"/>
    </row>
    <row r="35983" spans="16:16">
      <c r="P35983" s="2498"/>
    </row>
    <row r="35984" spans="16:16">
      <c r="P35984" s="2498"/>
    </row>
    <row r="35985" spans="16:16">
      <c r="P35985" s="2498"/>
    </row>
    <row r="35986" spans="16:16">
      <c r="P35986" s="2498"/>
    </row>
    <row r="35987" spans="16:16">
      <c r="P35987" s="2498"/>
    </row>
    <row r="35988" spans="16:16">
      <c r="P35988" s="2498"/>
    </row>
    <row r="35989" spans="16:16">
      <c r="P35989" s="2498"/>
    </row>
    <row r="35990" spans="16:16">
      <c r="P35990" s="2498"/>
    </row>
    <row r="35991" spans="16:16">
      <c r="P35991" s="2498"/>
    </row>
    <row r="35992" spans="16:16">
      <c r="P35992" s="2498"/>
    </row>
    <row r="35993" spans="16:16">
      <c r="P35993" s="2498"/>
    </row>
    <row r="35994" spans="16:16">
      <c r="P35994" s="2498"/>
    </row>
    <row r="35995" spans="16:16">
      <c r="P35995" s="2498"/>
    </row>
    <row r="35996" spans="16:16">
      <c r="P35996" s="2498"/>
    </row>
    <row r="35997" spans="16:16">
      <c r="P35997" s="2498"/>
    </row>
    <row r="35998" spans="16:16">
      <c r="P35998" s="2498"/>
    </row>
    <row r="35999" spans="16:16">
      <c r="P35999" s="2498"/>
    </row>
    <row r="36000" spans="16:16">
      <c r="P36000" s="2498"/>
    </row>
    <row r="36001" spans="16:16">
      <c r="P36001" s="2498"/>
    </row>
    <row r="36002" spans="16:16">
      <c r="P36002" s="2498"/>
    </row>
    <row r="36003" spans="16:16">
      <c r="P36003" s="2498"/>
    </row>
    <row r="36004" spans="16:16">
      <c r="P36004" s="2498"/>
    </row>
    <row r="36005" spans="16:16">
      <c r="P36005" s="2498"/>
    </row>
    <row r="36006" spans="16:16">
      <c r="P36006" s="2498"/>
    </row>
    <row r="36007" spans="16:16">
      <c r="P36007" s="2498"/>
    </row>
    <row r="36008" spans="16:16">
      <c r="P36008" s="2498"/>
    </row>
    <row r="36009" spans="16:16">
      <c r="P36009" s="2498"/>
    </row>
    <row r="36010" spans="16:16">
      <c r="P36010" s="2498"/>
    </row>
    <row r="36011" spans="16:16">
      <c r="P36011" s="2498"/>
    </row>
    <row r="36012" spans="16:16">
      <c r="P36012" s="2498"/>
    </row>
    <row r="36013" spans="16:16">
      <c r="P36013" s="2498"/>
    </row>
    <row r="36014" spans="16:16">
      <c r="P36014" s="2498"/>
    </row>
    <row r="36015" spans="16:16">
      <c r="P36015" s="2498"/>
    </row>
    <row r="36016" spans="16:16">
      <c r="P36016" s="2498"/>
    </row>
    <row r="36017" spans="16:16">
      <c r="P36017" s="2498"/>
    </row>
    <row r="36018" spans="16:16">
      <c r="P36018" s="2498"/>
    </row>
    <row r="36019" spans="16:16">
      <c r="P36019" s="2498"/>
    </row>
    <row r="36020" spans="16:16">
      <c r="P36020" s="2498"/>
    </row>
    <row r="36021" spans="16:16">
      <c r="P36021" s="2498"/>
    </row>
    <row r="36022" spans="16:16">
      <c r="P36022" s="2498"/>
    </row>
    <row r="36023" spans="16:16">
      <c r="P36023" s="2498"/>
    </row>
    <row r="36024" spans="16:16">
      <c r="P36024" s="2498"/>
    </row>
    <row r="36025" spans="16:16">
      <c r="P36025" s="2498"/>
    </row>
    <row r="36026" spans="16:16">
      <c r="P36026" s="2498"/>
    </row>
    <row r="36027" spans="16:16">
      <c r="P36027" s="2498"/>
    </row>
    <row r="36028" spans="16:16">
      <c r="P36028" s="2498"/>
    </row>
    <row r="36029" spans="16:16">
      <c r="P36029" s="2498"/>
    </row>
    <row r="36030" spans="16:16">
      <c r="P36030" s="2498"/>
    </row>
    <row r="36031" spans="16:16">
      <c r="P36031" s="2498"/>
    </row>
    <row r="36032" spans="16:16">
      <c r="P36032" s="2498"/>
    </row>
    <row r="36033" spans="16:16">
      <c r="P36033" s="2498"/>
    </row>
    <row r="36034" spans="16:16">
      <c r="P36034" s="2498"/>
    </row>
    <row r="36035" spans="16:16">
      <c r="P36035" s="2498"/>
    </row>
    <row r="36036" spans="16:16">
      <c r="P36036" s="2498"/>
    </row>
    <row r="36037" spans="16:16">
      <c r="P36037" s="2498"/>
    </row>
    <row r="36038" spans="16:16">
      <c r="P36038" s="2498"/>
    </row>
    <row r="36039" spans="16:16">
      <c r="P36039" s="2498"/>
    </row>
    <row r="36040" spans="16:16">
      <c r="P36040" s="2498"/>
    </row>
    <row r="36041" spans="16:16">
      <c r="P36041" s="2498"/>
    </row>
    <row r="36042" spans="16:16">
      <c r="P36042" s="2498"/>
    </row>
    <row r="36043" spans="16:16">
      <c r="P36043" s="2498"/>
    </row>
    <row r="36044" spans="16:16">
      <c r="P36044" s="2498"/>
    </row>
    <row r="36045" spans="16:16">
      <c r="P36045" s="2498"/>
    </row>
    <row r="36046" spans="16:16">
      <c r="P36046" s="2498"/>
    </row>
    <row r="36047" spans="16:16">
      <c r="P36047" s="2498"/>
    </row>
    <row r="36048" spans="16:16">
      <c r="P36048" s="2498"/>
    </row>
    <row r="36049" spans="16:16">
      <c r="P36049" s="2498"/>
    </row>
    <row r="36050" spans="16:16">
      <c r="P36050" s="2498"/>
    </row>
    <row r="36051" spans="16:16">
      <c r="P36051" s="2498"/>
    </row>
    <row r="36052" spans="16:16">
      <c r="P36052" s="2498"/>
    </row>
    <row r="36053" spans="16:16">
      <c r="P36053" s="2498"/>
    </row>
    <row r="36054" spans="16:16">
      <c r="P36054" s="2498"/>
    </row>
    <row r="36055" spans="16:16">
      <c r="P36055" s="2498"/>
    </row>
    <row r="36056" spans="16:16">
      <c r="P36056" s="2498"/>
    </row>
    <row r="36057" spans="16:16">
      <c r="P36057" s="2498"/>
    </row>
    <row r="36058" spans="16:16">
      <c r="P36058" s="2498"/>
    </row>
    <row r="36059" spans="16:16">
      <c r="P36059" s="2498"/>
    </row>
    <row r="36060" spans="16:16">
      <c r="P36060" s="2498"/>
    </row>
    <row r="36061" spans="16:16">
      <c r="P36061" s="2498"/>
    </row>
    <row r="36062" spans="16:16">
      <c r="P36062" s="2498"/>
    </row>
    <row r="36063" spans="16:16">
      <c r="P36063" s="2498"/>
    </row>
    <row r="36064" spans="16:16">
      <c r="P36064" s="2498"/>
    </row>
    <row r="36065" spans="16:16">
      <c r="P36065" s="2498"/>
    </row>
    <row r="36066" spans="16:16">
      <c r="P36066" s="2498"/>
    </row>
    <row r="36067" spans="16:16">
      <c r="P36067" s="2498"/>
    </row>
    <row r="36068" spans="16:16">
      <c r="P36068" s="2498"/>
    </row>
    <row r="36069" spans="16:16">
      <c r="P36069" s="2498"/>
    </row>
    <row r="36070" spans="16:16">
      <c r="P36070" s="2498"/>
    </row>
    <row r="36071" spans="16:16">
      <c r="P36071" s="2498"/>
    </row>
    <row r="36072" spans="16:16">
      <c r="P36072" s="2498"/>
    </row>
    <row r="36073" spans="16:16">
      <c r="P36073" s="2498"/>
    </row>
    <row r="36074" spans="16:16">
      <c r="P36074" s="2498"/>
    </row>
    <row r="36075" spans="16:16">
      <c r="P36075" s="2498"/>
    </row>
    <row r="36076" spans="16:16">
      <c r="P36076" s="2498"/>
    </row>
    <row r="36077" spans="16:16">
      <c r="P36077" s="2498"/>
    </row>
    <row r="36078" spans="16:16">
      <c r="P36078" s="2498"/>
    </row>
    <row r="36079" spans="16:16">
      <c r="P36079" s="2498"/>
    </row>
    <row r="36080" spans="16:16">
      <c r="P36080" s="2498"/>
    </row>
    <row r="36081" spans="16:16">
      <c r="P36081" s="2498"/>
    </row>
    <row r="36082" spans="16:16">
      <c r="P36082" s="2498"/>
    </row>
    <row r="36083" spans="16:16">
      <c r="P36083" s="2498"/>
    </row>
    <row r="36084" spans="16:16">
      <c r="P36084" s="2498"/>
    </row>
    <row r="36085" spans="16:16">
      <c r="P36085" s="2498"/>
    </row>
    <row r="36086" spans="16:16">
      <c r="P36086" s="2498"/>
    </row>
    <row r="36087" spans="16:16">
      <c r="P36087" s="2498"/>
    </row>
    <row r="36088" spans="16:16">
      <c r="P36088" s="2498"/>
    </row>
    <row r="36089" spans="16:16">
      <c r="P36089" s="2498"/>
    </row>
    <row r="36090" spans="16:16">
      <c r="P36090" s="2498"/>
    </row>
    <row r="36091" spans="16:16">
      <c r="P36091" s="2498"/>
    </row>
    <row r="36092" spans="16:16">
      <c r="P36092" s="2498"/>
    </row>
    <row r="36093" spans="16:16">
      <c r="P36093" s="2498"/>
    </row>
    <row r="36094" spans="16:16">
      <c r="P36094" s="2498"/>
    </row>
    <row r="36095" spans="16:16">
      <c r="P36095" s="2498"/>
    </row>
    <row r="36096" spans="16:16">
      <c r="P36096" s="2498"/>
    </row>
    <row r="36097" spans="16:16">
      <c r="P36097" s="2498"/>
    </row>
    <row r="36098" spans="16:16">
      <c r="P36098" s="2498"/>
    </row>
    <row r="36099" spans="16:16">
      <c r="P36099" s="2498"/>
    </row>
    <row r="36100" spans="16:16">
      <c r="P36100" s="2498"/>
    </row>
    <row r="36101" spans="16:16">
      <c r="P36101" s="2498"/>
    </row>
    <row r="36102" spans="16:16">
      <c r="P36102" s="2498"/>
    </row>
    <row r="36103" spans="16:16">
      <c r="P36103" s="2498"/>
    </row>
    <row r="36104" spans="16:16">
      <c r="P36104" s="2498"/>
    </row>
    <row r="36105" spans="16:16">
      <c r="P36105" s="2498"/>
    </row>
    <row r="36106" spans="16:16">
      <c r="P36106" s="2498"/>
    </row>
    <row r="36107" spans="16:16">
      <c r="P36107" s="2498"/>
    </row>
    <row r="36108" spans="16:16">
      <c r="P36108" s="2498"/>
    </row>
    <row r="36109" spans="16:16">
      <c r="P36109" s="2498"/>
    </row>
    <row r="36110" spans="16:16">
      <c r="P36110" s="2498"/>
    </row>
    <row r="36111" spans="16:16">
      <c r="P36111" s="2498"/>
    </row>
    <row r="36112" spans="16:16">
      <c r="P36112" s="2498"/>
    </row>
    <row r="36113" spans="16:16">
      <c r="P36113" s="2498"/>
    </row>
    <row r="36114" spans="16:16">
      <c r="P36114" s="2498"/>
    </row>
    <row r="36115" spans="16:16">
      <c r="P36115" s="2498"/>
    </row>
    <row r="36116" spans="16:16">
      <c r="P36116" s="2498"/>
    </row>
    <row r="36117" spans="16:16">
      <c r="P36117" s="2498"/>
    </row>
    <row r="36118" spans="16:16">
      <c r="P36118" s="2498"/>
    </row>
    <row r="36119" spans="16:16">
      <c r="P36119" s="2498"/>
    </row>
    <row r="36120" spans="16:16">
      <c r="P36120" s="2498"/>
    </row>
    <row r="36121" spans="16:16">
      <c r="P36121" s="2498"/>
    </row>
    <row r="36122" spans="16:16">
      <c r="P36122" s="2498"/>
    </row>
    <row r="36123" spans="16:16">
      <c r="P36123" s="2498"/>
    </row>
    <row r="36124" spans="16:16">
      <c r="P36124" s="2498"/>
    </row>
    <row r="36125" spans="16:16">
      <c r="P36125" s="2498"/>
    </row>
    <row r="36126" spans="16:16">
      <c r="P36126" s="2498"/>
    </row>
    <row r="36127" spans="16:16">
      <c r="P36127" s="2498"/>
    </row>
    <row r="36128" spans="16:16">
      <c r="P36128" s="2498"/>
    </row>
    <row r="36129" spans="16:16">
      <c r="P36129" s="2498"/>
    </row>
    <row r="36130" spans="16:16">
      <c r="P36130" s="2498"/>
    </row>
    <row r="36131" spans="16:16">
      <c r="P36131" s="2498"/>
    </row>
    <row r="36132" spans="16:16">
      <c r="P36132" s="2498"/>
    </row>
    <row r="36133" spans="16:16">
      <c r="P36133" s="2498"/>
    </row>
    <row r="36134" spans="16:16">
      <c r="P36134" s="2498"/>
    </row>
    <row r="36135" spans="16:16">
      <c r="P36135" s="2498"/>
    </row>
    <row r="36136" spans="16:16">
      <c r="P36136" s="2498"/>
    </row>
    <row r="36137" spans="16:16">
      <c r="P36137" s="2498"/>
    </row>
    <row r="36138" spans="16:16">
      <c r="P36138" s="2498"/>
    </row>
    <row r="36139" spans="16:16">
      <c r="P36139" s="2498"/>
    </row>
    <row r="36140" spans="16:16">
      <c r="P36140" s="2498"/>
    </row>
    <row r="36141" spans="16:16">
      <c r="P36141" s="2498"/>
    </row>
    <row r="36142" spans="16:16">
      <c r="P36142" s="2498"/>
    </row>
    <row r="36143" spans="16:16">
      <c r="P36143" s="2498"/>
    </row>
    <row r="36144" spans="16:16">
      <c r="P36144" s="2498"/>
    </row>
    <row r="36145" spans="16:16">
      <c r="P36145" s="2498"/>
    </row>
    <row r="36146" spans="16:16">
      <c r="P36146" s="2498"/>
    </row>
    <row r="36147" spans="16:16">
      <c r="P36147" s="2498"/>
    </row>
    <row r="36148" spans="16:16">
      <c r="P36148" s="2498"/>
    </row>
    <row r="36149" spans="16:16">
      <c r="P36149" s="2498"/>
    </row>
    <row r="36150" spans="16:16">
      <c r="P36150" s="2498"/>
    </row>
    <row r="36151" spans="16:16">
      <c r="P36151" s="2498"/>
    </row>
    <row r="36152" spans="16:16">
      <c r="P36152" s="2498"/>
    </row>
    <row r="36153" spans="16:16">
      <c r="P36153" s="2498"/>
    </row>
    <row r="36154" spans="16:16">
      <c r="P36154" s="2498"/>
    </row>
    <row r="36155" spans="16:16">
      <c r="P36155" s="2498"/>
    </row>
    <row r="36156" spans="16:16">
      <c r="P36156" s="2498"/>
    </row>
    <row r="36157" spans="16:16">
      <c r="P36157" s="2498"/>
    </row>
    <row r="36158" spans="16:16">
      <c r="P36158" s="2498"/>
    </row>
    <row r="36159" spans="16:16">
      <c r="P36159" s="2498"/>
    </row>
    <row r="36160" spans="16:16">
      <c r="P36160" s="2498"/>
    </row>
    <row r="36161" spans="16:16">
      <c r="P36161" s="2498"/>
    </row>
    <row r="36162" spans="16:16">
      <c r="P36162" s="2498"/>
    </row>
    <row r="36163" spans="16:16">
      <c r="P36163" s="2498"/>
    </row>
    <row r="36164" spans="16:16">
      <c r="P36164" s="2498"/>
    </row>
    <row r="36165" spans="16:16">
      <c r="P36165" s="2498"/>
    </row>
    <row r="36166" spans="16:16">
      <c r="P36166" s="2498"/>
    </row>
    <row r="36167" spans="16:16">
      <c r="P36167" s="2498"/>
    </row>
    <row r="36168" spans="16:16">
      <c r="P36168" s="2498"/>
    </row>
    <row r="36169" spans="16:16">
      <c r="P36169" s="2498"/>
    </row>
    <row r="36170" spans="16:16">
      <c r="P36170" s="2498"/>
    </row>
    <row r="36171" spans="16:16">
      <c r="P36171" s="2498"/>
    </row>
    <row r="36172" spans="16:16">
      <c r="P36172" s="2498"/>
    </row>
    <row r="36173" spans="16:16">
      <c r="P36173" s="2498"/>
    </row>
    <row r="36174" spans="16:16">
      <c r="P36174" s="2498"/>
    </row>
    <row r="36175" spans="16:16">
      <c r="P36175" s="2498"/>
    </row>
    <row r="36176" spans="16:16">
      <c r="P36176" s="2498"/>
    </row>
    <row r="36177" spans="16:16">
      <c r="P36177" s="2498"/>
    </row>
    <row r="36178" spans="16:16">
      <c r="P36178" s="2498"/>
    </row>
    <row r="36179" spans="16:16">
      <c r="P36179" s="2498"/>
    </row>
    <row r="36180" spans="16:16">
      <c r="P36180" s="2498"/>
    </row>
    <row r="36181" spans="16:16">
      <c r="P36181" s="2498"/>
    </row>
    <row r="36182" spans="16:16">
      <c r="P36182" s="2498"/>
    </row>
    <row r="36183" spans="16:16">
      <c r="P36183" s="2498"/>
    </row>
    <row r="36184" spans="16:16">
      <c r="P36184" s="2498"/>
    </row>
    <row r="36185" spans="16:16">
      <c r="P36185" s="2498"/>
    </row>
    <row r="36186" spans="16:16">
      <c r="P36186" s="2498"/>
    </row>
    <row r="36187" spans="16:16">
      <c r="P36187" s="2498"/>
    </row>
    <row r="36188" spans="16:16">
      <c r="P36188" s="2498"/>
    </row>
    <row r="36189" spans="16:16">
      <c r="P36189" s="2498"/>
    </row>
    <row r="36190" spans="16:16">
      <c r="P36190" s="2498"/>
    </row>
    <row r="36191" spans="16:16">
      <c r="P36191" s="2498"/>
    </row>
    <row r="36192" spans="16:16">
      <c r="P36192" s="2498"/>
    </row>
    <row r="36193" spans="16:16">
      <c r="P36193" s="2498"/>
    </row>
    <row r="36194" spans="16:16">
      <c r="P36194" s="2498"/>
    </row>
    <row r="36195" spans="16:16">
      <c r="P36195" s="2498"/>
    </row>
    <row r="36196" spans="16:16">
      <c r="P36196" s="2498"/>
    </row>
    <row r="36197" spans="16:16">
      <c r="P36197" s="2498"/>
    </row>
    <row r="36198" spans="16:16">
      <c r="P36198" s="2498"/>
    </row>
    <row r="36199" spans="16:16">
      <c r="P36199" s="2498"/>
    </row>
    <row r="36200" spans="16:16">
      <c r="P36200" s="2498"/>
    </row>
    <row r="36201" spans="16:16">
      <c r="P36201" s="2498"/>
    </row>
    <row r="36202" spans="16:16">
      <c r="P36202" s="2498"/>
    </row>
    <row r="36203" spans="16:16">
      <c r="P36203" s="2498"/>
    </row>
    <row r="36204" spans="16:16">
      <c r="P36204" s="2498"/>
    </row>
    <row r="36205" spans="16:16">
      <c r="P36205" s="2498"/>
    </row>
    <row r="36206" spans="16:16">
      <c r="P36206" s="2498"/>
    </row>
    <row r="36207" spans="16:16">
      <c r="P36207" s="2498"/>
    </row>
    <row r="36208" spans="16:16">
      <c r="P36208" s="2498"/>
    </row>
    <row r="36209" spans="16:16">
      <c r="P36209" s="2498"/>
    </row>
    <row r="36210" spans="16:16">
      <c r="P36210" s="2498"/>
    </row>
    <row r="36211" spans="16:16">
      <c r="P36211" s="2498"/>
    </row>
    <row r="36212" spans="16:16">
      <c r="P36212" s="2498"/>
    </row>
    <row r="36213" spans="16:16">
      <c r="P36213" s="2498"/>
    </row>
    <row r="36214" spans="16:16">
      <c r="P36214" s="2498"/>
    </row>
    <row r="36215" spans="16:16">
      <c r="P36215" s="2498"/>
    </row>
    <row r="36216" spans="16:16">
      <c r="P36216" s="2498"/>
    </row>
    <row r="36217" spans="16:16">
      <c r="P36217" s="2498"/>
    </row>
    <row r="36218" spans="16:16">
      <c r="P36218" s="2498"/>
    </row>
    <row r="36219" spans="16:16">
      <c r="P36219" s="2498"/>
    </row>
    <row r="36220" spans="16:16">
      <c r="P36220" s="2498"/>
    </row>
    <row r="36221" spans="16:16">
      <c r="P36221" s="2498"/>
    </row>
    <row r="36222" spans="16:16">
      <c r="P36222" s="2498"/>
    </row>
    <row r="36223" spans="16:16">
      <c r="P36223" s="2498"/>
    </row>
    <row r="36224" spans="16:16">
      <c r="P36224" s="2498"/>
    </row>
    <row r="36225" spans="16:16">
      <c r="P36225" s="2498"/>
    </row>
    <row r="36226" spans="16:16">
      <c r="P36226" s="2498"/>
    </row>
    <row r="36227" spans="16:16">
      <c r="P36227" s="2498"/>
    </row>
    <row r="36228" spans="16:16">
      <c r="P36228" s="2498"/>
    </row>
    <row r="36229" spans="16:16">
      <c r="P36229" s="2498"/>
    </row>
    <row r="36230" spans="16:16">
      <c r="P36230" s="2498"/>
    </row>
    <row r="36231" spans="16:16">
      <c r="P36231" s="2498"/>
    </row>
    <row r="36232" spans="16:16">
      <c r="P36232" s="2498"/>
    </row>
    <row r="36233" spans="16:16">
      <c r="P36233" s="2498"/>
    </row>
    <row r="36234" spans="16:16">
      <c r="P36234" s="2498"/>
    </row>
    <row r="36235" spans="16:16">
      <c r="P36235" s="2498"/>
    </row>
    <row r="36236" spans="16:16">
      <c r="P36236" s="2498"/>
    </row>
    <row r="36237" spans="16:16">
      <c r="P36237" s="2498"/>
    </row>
    <row r="36238" spans="16:16">
      <c r="P36238" s="2498"/>
    </row>
    <row r="36239" spans="16:16">
      <c r="P36239" s="2498"/>
    </row>
    <row r="36240" spans="16:16">
      <c r="P36240" s="2498"/>
    </row>
    <row r="36241" spans="16:16">
      <c r="P36241" s="2498"/>
    </row>
    <row r="36242" spans="16:16">
      <c r="P36242" s="2498"/>
    </row>
    <row r="36243" spans="16:16">
      <c r="P36243" s="2498"/>
    </row>
    <row r="36244" spans="16:16">
      <c r="P36244" s="2498"/>
    </row>
    <row r="36245" spans="16:16">
      <c r="P36245" s="2498"/>
    </row>
    <row r="36246" spans="16:16">
      <c r="P36246" s="2498"/>
    </row>
    <row r="36247" spans="16:16">
      <c r="P36247" s="2498"/>
    </row>
    <row r="36248" spans="16:16">
      <c r="P36248" s="2498"/>
    </row>
    <row r="36249" spans="16:16">
      <c r="P36249" s="2498"/>
    </row>
    <row r="36250" spans="16:16">
      <c r="P36250" s="2498"/>
    </row>
    <row r="36251" spans="16:16">
      <c r="P36251" s="2498"/>
    </row>
    <row r="36252" spans="16:16">
      <c r="P36252" s="2498"/>
    </row>
    <row r="36253" spans="16:16">
      <c r="P36253" s="2498"/>
    </row>
    <row r="36254" spans="16:16">
      <c r="P36254" s="2498"/>
    </row>
    <row r="36255" spans="16:16">
      <c r="P36255" s="2498"/>
    </row>
    <row r="36256" spans="16:16">
      <c r="P36256" s="2498"/>
    </row>
    <row r="36257" spans="16:16">
      <c r="P36257" s="2498"/>
    </row>
    <row r="36258" spans="16:16">
      <c r="P36258" s="2498"/>
    </row>
    <row r="36259" spans="16:16">
      <c r="P36259" s="2498"/>
    </row>
    <row r="36260" spans="16:16">
      <c r="P36260" s="2498"/>
    </row>
    <row r="36261" spans="16:16">
      <c r="P36261" s="2498"/>
    </row>
    <row r="36262" spans="16:16">
      <c r="P36262" s="2498"/>
    </row>
    <row r="36263" spans="16:16">
      <c r="P36263" s="2498"/>
    </row>
    <row r="36264" spans="16:16">
      <c r="P36264" s="2498"/>
    </row>
    <row r="36265" spans="16:16">
      <c r="P36265" s="2498"/>
    </row>
    <row r="36266" spans="16:16">
      <c r="P36266" s="2498"/>
    </row>
    <row r="36267" spans="16:16">
      <c r="P36267" s="2498"/>
    </row>
    <row r="36268" spans="16:16">
      <c r="P36268" s="2498"/>
    </row>
    <row r="36269" spans="16:16">
      <c r="P36269" s="2498"/>
    </row>
    <row r="36270" spans="16:16">
      <c r="P36270" s="2498"/>
    </row>
    <row r="36271" spans="16:16">
      <c r="P36271" s="2498"/>
    </row>
    <row r="36272" spans="16:16">
      <c r="P36272" s="2498"/>
    </row>
    <row r="36273" spans="16:16">
      <c r="P36273" s="2498"/>
    </row>
    <row r="36274" spans="16:16">
      <c r="P36274" s="2498"/>
    </row>
    <row r="36275" spans="16:16">
      <c r="P36275" s="2498"/>
    </row>
    <row r="36276" spans="16:16">
      <c r="P36276" s="2498"/>
    </row>
    <row r="36277" spans="16:16">
      <c r="P36277" s="2498"/>
    </row>
    <row r="36278" spans="16:16">
      <c r="P36278" s="2498"/>
    </row>
    <row r="36279" spans="16:16">
      <c r="P36279" s="2498"/>
    </row>
    <row r="36280" spans="16:16">
      <c r="P36280" s="2498"/>
    </row>
    <row r="36281" spans="16:16">
      <c r="P36281" s="2498"/>
    </row>
    <row r="36282" spans="16:16">
      <c r="P36282" s="2498"/>
    </row>
    <row r="36283" spans="16:16">
      <c r="P36283" s="2498"/>
    </row>
    <row r="36284" spans="16:16">
      <c r="P36284" s="2498"/>
    </row>
    <row r="36285" spans="16:16">
      <c r="P36285" s="2498"/>
    </row>
    <row r="36286" spans="16:16">
      <c r="P36286" s="2498"/>
    </row>
    <row r="36287" spans="16:16">
      <c r="P36287" s="2498"/>
    </row>
    <row r="36288" spans="16:16">
      <c r="P36288" s="2498"/>
    </row>
    <row r="36289" spans="16:16">
      <c r="P36289" s="2498"/>
    </row>
    <row r="36290" spans="16:16">
      <c r="P36290" s="2498"/>
    </row>
    <row r="36291" spans="16:16">
      <c r="P36291" s="2498"/>
    </row>
    <row r="36292" spans="16:16">
      <c r="P36292" s="2498"/>
    </row>
    <row r="36293" spans="16:16">
      <c r="P36293" s="2498"/>
    </row>
    <row r="36294" spans="16:16">
      <c r="P36294" s="2498"/>
    </row>
    <row r="36295" spans="16:16">
      <c r="P36295" s="2498"/>
    </row>
    <row r="36296" spans="16:16">
      <c r="P36296" s="2498"/>
    </row>
    <row r="36297" spans="16:16">
      <c r="P36297" s="2498"/>
    </row>
    <row r="36298" spans="16:16">
      <c r="P36298" s="2498"/>
    </row>
    <row r="36299" spans="16:16">
      <c r="P36299" s="2498"/>
    </row>
    <row r="36300" spans="16:16">
      <c r="P36300" s="2498"/>
    </row>
    <row r="36301" spans="16:16">
      <c r="P36301" s="2498"/>
    </row>
    <row r="36302" spans="16:16">
      <c r="P36302" s="2498"/>
    </row>
    <row r="36303" spans="16:16">
      <c r="P36303" s="2498"/>
    </row>
    <row r="36304" spans="16:16">
      <c r="P36304" s="2498"/>
    </row>
    <row r="36305" spans="16:16">
      <c r="P36305" s="2498"/>
    </row>
    <row r="36306" spans="16:16">
      <c r="P36306" s="2498"/>
    </row>
    <row r="36307" spans="16:16">
      <c r="P36307" s="2498"/>
    </row>
    <row r="36308" spans="16:16">
      <c r="P36308" s="2498"/>
    </row>
    <row r="36309" spans="16:16">
      <c r="P36309" s="2498"/>
    </row>
    <row r="36310" spans="16:16">
      <c r="P36310" s="2498"/>
    </row>
    <row r="36311" spans="16:16">
      <c r="P36311" s="2498"/>
    </row>
    <row r="36312" spans="16:16">
      <c r="P36312" s="2498"/>
    </row>
    <row r="36313" spans="16:16">
      <c r="P36313" s="2498"/>
    </row>
    <row r="36314" spans="16:16">
      <c r="P36314" s="2498"/>
    </row>
    <row r="36315" spans="16:16">
      <c r="P36315" s="2498"/>
    </row>
    <row r="36316" spans="16:16">
      <c r="P36316" s="2498"/>
    </row>
    <row r="36317" spans="16:16">
      <c r="P36317" s="2498"/>
    </row>
    <row r="36318" spans="16:16">
      <c r="P36318" s="2498"/>
    </row>
    <row r="36319" spans="16:16">
      <c r="P36319" s="2498"/>
    </row>
    <row r="36320" spans="16:16">
      <c r="P36320" s="2498"/>
    </row>
    <row r="36321" spans="16:16">
      <c r="P36321" s="2498"/>
    </row>
    <row r="36322" spans="16:16">
      <c r="P36322" s="2498"/>
    </row>
    <row r="36323" spans="16:16">
      <c r="P36323" s="2498"/>
    </row>
    <row r="36324" spans="16:16">
      <c r="P36324" s="2498"/>
    </row>
    <row r="36325" spans="16:16">
      <c r="P36325" s="2498"/>
    </row>
    <row r="36326" spans="16:16">
      <c r="P36326" s="2498"/>
    </row>
    <row r="36327" spans="16:16">
      <c r="P36327" s="2498"/>
    </row>
    <row r="36328" spans="16:16">
      <c r="P36328" s="2498"/>
    </row>
    <row r="36329" spans="16:16">
      <c r="P36329" s="2498"/>
    </row>
    <row r="36330" spans="16:16">
      <c r="P36330" s="2498"/>
    </row>
    <row r="36331" spans="16:16">
      <c r="P36331" s="2498"/>
    </row>
    <row r="36332" spans="16:16">
      <c r="P36332" s="2498"/>
    </row>
    <row r="36333" spans="16:16">
      <c r="P36333" s="2498"/>
    </row>
    <row r="36334" spans="16:16">
      <c r="P36334" s="2498"/>
    </row>
    <row r="36335" spans="16:16">
      <c r="P36335" s="2498"/>
    </row>
    <row r="36336" spans="16:16">
      <c r="P36336" s="2498"/>
    </row>
    <row r="36337" spans="16:16">
      <c r="P36337" s="2498"/>
    </row>
    <row r="36338" spans="16:16">
      <c r="P36338" s="2498"/>
    </row>
    <row r="36339" spans="16:16">
      <c r="P36339" s="2498"/>
    </row>
    <row r="36340" spans="16:16">
      <c r="P36340" s="2498"/>
    </row>
    <row r="36341" spans="16:16">
      <c r="P36341" s="2498"/>
    </row>
    <row r="36342" spans="16:16">
      <c r="P36342" s="2498"/>
    </row>
    <row r="36343" spans="16:16">
      <c r="P36343" s="2498"/>
    </row>
    <row r="36344" spans="16:16">
      <c r="P36344" s="2498"/>
    </row>
    <row r="36345" spans="16:16">
      <c r="P36345" s="2498"/>
    </row>
    <row r="36346" spans="16:16">
      <c r="P36346" s="2498"/>
    </row>
    <row r="36347" spans="16:16">
      <c r="P36347" s="2498"/>
    </row>
    <row r="36348" spans="16:16">
      <c r="P36348" s="2498"/>
    </row>
    <row r="36349" spans="16:16">
      <c r="P36349" s="2498"/>
    </row>
    <row r="36350" spans="16:16">
      <c r="P36350" s="2498"/>
    </row>
    <row r="36351" spans="16:16">
      <c r="P36351" s="2498"/>
    </row>
    <row r="36352" spans="16:16">
      <c r="P36352" s="2498"/>
    </row>
    <row r="36353" spans="16:16">
      <c r="P36353" s="2498"/>
    </row>
    <row r="36354" spans="16:16">
      <c r="P36354" s="2498"/>
    </row>
    <row r="36355" spans="16:16">
      <c r="P36355" s="2498"/>
    </row>
    <row r="36356" spans="16:16">
      <c r="P36356" s="2498"/>
    </row>
    <row r="36357" spans="16:16">
      <c r="P36357" s="2498"/>
    </row>
    <row r="36358" spans="16:16">
      <c r="P36358" s="2498"/>
    </row>
    <row r="36359" spans="16:16">
      <c r="P36359" s="2498"/>
    </row>
    <row r="36360" spans="16:16">
      <c r="P36360" s="2498"/>
    </row>
    <row r="36361" spans="16:16">
      <c r="P36361" s="2498"/>
    </row>
    <row r="36362" spans="16:16">
      <c r="P36362" s="2498"/>
    </row>
    <row r="36363" spans="16:16">
      <c r="P36363" s="2498"/>
    </row>
    <row r="36364" spans="16:16">
      <c r="P36364" s="2498"/>
    </row>
    <row r="36365" spans="16:16">
      <c r="P36365" s="2498"/>
    </row>
    <row r="36366" spans="16:16">
      <c r="P36366" s="2498"/>
    </row>
    <row r="36367" spans="16:16">
      <c r="P36367" s="2498"/>
    </row>
    <row r="36368" spans="16:16">
      <c r="P36368" s="2498"/>
    </row>
    <row r="36369" spans="16:16">
      <c r="P36369" s="2498"/>
    </row>
    <row r="36370" spans="16:16">
      <c r="P36370" s="2498"/>
    </row>
    <row r="36371" spans="16:16">
      <c r="P36371" s="2498"/>
    </row>
    <row r="36372" spans="16:16">
      <c r="P36372" s="2498"/>
    </row>
    <row r="36373" spans="16:16">
      <c r="P36373" s="2498"/>
    </row>
    <row r="36374" spans="16:16">
      <c r="P36374" s="2498"/>
    </row>
    <row r="36375" spans="16:16">
      <c r="P36375" s="2498"/>
    </row>
    <row r="36376" spans="16:16">
      <c r="P36376" s="2498"/>
    </row>
    <row r="36377" spans="16:16">
      <c r="P36377" s="2498"/>
    </row>
    <row r="36378" spans="16:16">
      <c r="P36378" s="2498"/>
    </row>
    <row r="36379" spans="16:16">
      <c r="P36379" s="2498"/>
    </row>
    <row r="36380" spans="16:16">
      <c r="P36380" s="2498"/>
    </row>
    <row r="36381" spans="16:16">
      <c r="P36381" s="2498"/>
    </row>
    <row r="36382" spans="16:16">
      <c r="P36382" s="2498"/>
    </row>
    <row r="36383" spans="16:16">
      <c r="P36383" s="2498"/>
    </row>
    <row r="36384" spans="16:16">
      <c r="P36384" s="2498"/>
    </row>
    <row r="36385" spans="16:16">
      <c r="P36385" s="2498"/>
    </row>
    <row r="36386" spans="16:16">
      <c r="P36386" s="2498"/>
    </row>
    <row r="36387" spans="16:16">
      <c r="P36387" s="2498"/>
    </row>
    <row r="36388" spans="16:16">
      <c r="P36388" s="2498"/>
    </row>
    <row r="36389" spans="16:16">
      <c r="P36389" s="2498"/>
    </row>
    <row r="36390" spans="16:16">
      <c r="P36390" s="2498"/>
    </row>
    <row r="36391" spans="16:16">
      <c r="P36391" s="2498"/>
    </row>
    <row r="36392" spans="16:16">
      <c r="P36392" s="2498"/>
    </row>
    <row r="36393" spans="16:16">
      <c r="P36393" s="2498"/>
    </row>
    <row r="36394" spans="16:16">
      <c r="P36394" s="2498"/>
    </row>
    <row r="36395" spans="16:16">
      <c r="P36395" s="2498"/>
    </row>
    <row r="36396" spans="16:16">
      <c r="P36396" s="2498"/>
    </row>
    <row r="36397" spans="16:16">
      <c r="P36397" s="2498"/>
    </row>
    <row r="36398" spans="16:16">
      <c r="P36398" s="2498"/>
    </row>
    <row r="36399" spans="16:16">
      <c r="P36399" s="2498"/>
    </row>
    <row r="36400" spans="16:16">
      <c r="P36400" s="2498"/>
    </row>
    <row r="36401" spans="16:16">
      <c r="P36401" s="2498"/>
    </row>
    <row r="36402" spans="16:16">
      <c r="P36402" s="2498"/>
    </row>
    <row r="36403" spans="16:16">
      <c r="P36403" s="2498"/>
    </row>
    <row r="36404" spans="16:16">
      <c r="P36404" s="2498"/>
    </row>
    <row r="36405" spans="16:16">
      <c r="P36405" s="2498"/>
    </row>
    <row r="36406" spans="16:16">
      <c r="P36406" s="2498"/>
    </row>
    <row r="36407" spans="16:16">
      <c r="P36407" s="2498"/>
    </row>
    <row r="36408" spans="16:16">
      <c r="P36408" s="2498"/>
    </row>
    <row r="36409" spans="16:16">
      <c r="P36409" s="2498"/>
    </row>
    <row r="36410" spans="16:16">
      <c r="P36410" s="2498"/>
    </row>
    <row r="36411" spans="16:16">
      <c r="P36411" s="2498"/>
    </row>
    <row r="36412" spans="16:16">
      <c r="P36412" s="2498"/>
    </row>
    <row r="36413" spans="16:16">
      <c r="P36413" s="2498"/>
    </row>
    <row r="36414" spans="16:16">
      <c r="P36414" s="2498"/>
    </row>
    <row r="36415" spans="16:16">
      <c r="P36415" s="2498"/>
    </row>
    <row r="36416" spans="16:16">
      <c r="P36416" s="2498"/>
    </row>
    <row r="36417" spans="16:16">
      <c r="P36417" s="2498"/>
    </row>
    <row r="36418" spans="16:16">
      <c r="P36418" s="2498"/>
    </row>
    <row r="36419" spans="16:16">
      <c r="P36419" s="2498"/>
    </row>
    <row r="36420" spans="16:16">
      <c r="P36420" s="2498"/>
    </row>
    <row r="36421" spans="16:16">
      <c r="P36421" s="2498"/>
    </row>
    <row r="36422" spans="16:16">
      <c r="P36422" s="2498"/>
    </row>
    <row r="36423" spans="16:16">
      <c r="P36423" s="2498"/>
    </row>
    <row r="36424" spans="16:16">
      <c r="P36424" s="2498"/>
    </row>
    <row r="36425" spans="16:16">
      <c r="P36425" s="2498"/>
    </row>
    <row r="36426" spans="16:16">
      <c r="P36426" s="2498"/>
    </row>
    <row r="36427" spans="16:16">
      <c r="P36427" s="2498"/>
    </row>
    <row r="36428" spans="16:16">
      <c r="P36428" s="2498"/>
    </row>
    <row r="36429" spans="16:16">
      <c r="P36429" s="2498"/>
    </row>
    <row r="36430" spans="16:16">
      <c r="P36430" s="2498"/>
    </row>
    <row r="36431" spans="16:16">
      <c r="P36431" s="2498"/>
    </row>
    <row r="36432" spans="16:16">
      <c r="P36432" s="2498"/>
    </row>
    <row r="36433" spans="16:16">
      <c r="P36433" s="2498"/>
    </row>
    <row r="36434" spans="16:16">
      <c r="P36434" s="2498"/>
    </row>
    <row r="36435" spans="16:16">
      <c r="P36435" s="2498"/>
    </row>
    <row r="36436" spans="16:16">
      <c r="P36436" s="2498"/>
    </row>
    <row r="36437" spans="16:16">
      <c r="P36437" s="2498"/>
    </row>
    <row r="36438" spans="16:16">
      <c r="P36438" s="2498"/>
    </row>
    <row r="36439" spans="16:16">
      <c r="P36439" s="2498"/>
    </row>
    <row r="36440" spans="16:16">
      <c r="P36440" s="2498"/>
    </row>
    <row r="36441" spans="16:16">
      <c r="P36441" s="2498"/>
    </row>
    <row r="36442" spans="16:16">
      <c r="P36442" s="2498"/>
    </row>
    <row r="36443" spans="16:16">
      <c r="P36443" s="2498"/>
    </row>
    <row r="36444" spans="16:16">
      <c r="P36444" s="2498"/>
    </row>
    <row r="36445" spans="16:16">
      <c r="P36445" s="2498"/>
    </row>
    <row r="36446" spans="16:16">
      <c r="P36446" s="2498"/>
    </row>
    <row r="36447" spans="16:16">
      <c r="P36447" s="2498"/>
    </row>
    <row r="36448" spans="16:16">
      <c r="P36448" s="2498"/>
    </row>
    <row r="36449" spans="16:16">
      <c r="P36449" s="2498"/>
    </row>
    <row r="36450" spans="16:16">
      <c r="P36450" s="2498"/>
    </row>
    <row r="36451" spans="16:16">
      <c r="P36451" s="2498"/>
    </row>
    <row r="36452" spans="16:16">
      <c r="P36452" s="2498"/>
    </row>
    <row r="36453" spans="16:16">
      <c r="P36453" s="2498"/>
    </row>
    <row r="36454" spans="16:16">
      <c r="P36454" s="2498"/>
    </row>
    <row r="36455" spans="16:16">
      <c r="P36455" s="2498"/>
    </row>
    <row r="36456" spans="16:16">
      <c r="P36456" s="2498"/>
    </row>
    <row r="36457" spans="16:16">
      <c r="P36457" s="2498"/>
    </row>
    <row r="36458" spans="16:16">
      <c r="P36458" s="2498"/>
    </row>
    <row r="36459" spans="16:16">
      <c r="P36459" s="2498"/>
    </row>
    <row r="36460" spans="16:16">
      <c r="P36460" s="2498"/>
    </row>
    <row r="36461" spans="16:16">
      <c r="P36461" s="2498"/>
    </row>
    <row r="36462" spans="16:16">
      <c r="P36462" s="2498"/>
    </row>
    <row r="36463" spans="16:16">
      <c r="P36463" s="2498"/>
    </row>
    <row r="36464" spans="16:16">
      <c r="P36464" s="2498"/>
    </row>
    <row r="36465" spans="16:16">
      <c r="P36465" s="2498"/>
    </row>
    <row r="36466" spans="16:16">
      <c r="P36466" s="2498"/>
    </row>
    <row r="36467" spans="16:16">
      <c r="P36467" s="2498"/>
    </row>
    <row r="36468" spans="16:16">
      <c r="P36468" s="2498"/>
    </row>
    <row r="36469" spans="16:16">
      <c r="P36469" s="2498"/>
    </row>
    <row r="36470" spans="16:16">
      <c r="P36470" s="2498"/>
    </row>
    <row r="36471" spans="16:16">
      <c r="P36471" s="2498"/>
    </row>
    <row r="36472" spans="16:16">
      <c r="P36472" s="2498"/>
    </row>
    <row r="36473" spans="16:16">
      <c r="P36473" s="2498"/>
    </row>
    <row r="36474" spans="16:16">
      <c r="P36474" s="2498"/>
    </row>
    <row r="36475" spans="16:16">
      <c r="P36475" s="2498"/>
    </row>
    <row r="36476" spans="16:16">
      <c r="P36476" s="2498"/>
    </row>
    <row r="36477" spans="16:16">
      <c r="P36477" s="2498"/>
    </row>
    <row r="36478" spans="16:16">
      <c r="P36478" s="2498"/>
    </row>
    <row r="36479" spans="16:16">
      <c r="P36479" s="2498"/>
    </row>
    <row r="36480" spans="16:16">
      <c r="P36480" s="2498"/>
    </row>
    <row r="36481" spans="16:16">
      <c r="P36481" s="2498"/>
    </row>
    <row r="36482" spans="16:16">
      <c r="P36482" s="2498"/>
    </row>
    <row r="36483" spans="16:16">
      <c r="P36483" s="2498"/>
    </row>
    <row r="36484" spans="16:16">
      <c r="P36484" s="2498"/>
    </row>
    <row r="36485" spans="16:16">
      <c r="P36485" s="2498"/>
    </row>
    <row r="36486" spans="16:16">
      <c r="P36486" s="2498"/>
    </row>
    <row r="36487" spans="16:16">
      <c r="P36487" s="2498"/>
    </row>
    <row r="36488" spans="16:16">
      <c r="P36488" s="2498"/>
    </row>
    <row r="36489" spans="16:16">
      <c r="P36489" s="2498"/>
    </row>
    <row r="36490" spans="16:16">
      <c r="P36490" s="2498"/>
    </row>
    <row r="36491" spans="16:16">
      <c r="P36491" s="2498"/>
    </row>
    <row r="36492" spans="16:16">
      <c r="P36492" s="2498"/>
    </row>
    <row r="36493" spans="16:16">
      <c r="P36493" s="2498"/>
    </row>
    <row r="36494" spans="16:16">
      <c r="P36494" s="2498"/>
    </row>
    <row r="36495" spans="16:16">
      <c r="P36495" s="2498"/>
    </row>
    <row r="36496" spans="16:16">
      <c r="P36496" s="2498"/>
    </row>
    <row r="36497" spans="16:16">
      <c r="P36497" s="2498"/>
    </row>
    <row r="36498" spans="16:16">
      <c r="P36498" s="2498"/>
    </row>
    <row r="36499" spans="16:16">
      <c r="P36499" s="2498"/>
    </row>
    <row r="36500" spans="16:16">
      <c r="P36500" s="2498"/>
    </row>
    <row r="36501" spans="16:16">
      <c r="P36501" s="2498"/>
    </row>
    <row r="36502" spans="16:16">
      <c r="P36502" s="2498"/>
    </row>
    <row r="36503" spans="16:16">
      <c r="P36503" s="2498"/>
    </row>
    <row r="36504" spans="16:16">
      <c r="P36504" s="2498"/>
    </row>
    <row r="36505" spans="16:16">
      <c r="P36505" s="2498"/>
    </row>
    <row r="36506" spans="16:16">
      <c r="P36506" s="2498"/>
    </row>
    <row r="36507" spans="16:16">
      <c r="P36507" s="2498"/>
    </row>
    <row r="36508" spans="16:16">
      <c r="P36508" s="2498"/>
    </row>
    <row r="36509" spans="16:16">
      <c r="P36509" s="2498"/>
    </row>
    <row r="36510" spans="16:16">
      <c r="P36510" s="2498"/>
    </row>
    <row r="36511" spans="16:16">
      <c r="P36511" s="2498"/>
    </row>
    <row r="36512" spans="16:16">
      <c r="P36512" s="2498"/>
    </row>
    <row r="36513" spans="16:16">
      <c r="P36513" s="2498"/>
    </row>
    <row r="36514" spans="16:16">
      <c r="P36514" s="2498"/>
    </row>
    <row r="36515" spans="16:16">
      <c r="P36515" s="2498"/>
    </row>
    <row r="36516" spans="16:16">
      <c r="P36516" s="2498"/>
    </row>
    <row r="36517" spans="16:16">
      <c r="P36517" s="2498"/>
    </row>
    <row r="36518" spans="16:16">
      <c r="P36518" s="2498"/>
    </row>
    <row r="36519" spans="16:16">
      <c r="P36519" s="2498"/>
    </row>
    <row r="36520" spans="16:16">
      <c r="P36520" s="2498"/>
    </row>
    <row r="36521" spans="16:16">
      <c r="P36521" s="2498"/>
    </row>
    <row r="36522" spans="16:16">
      <c r="P36522" s="2498"/>
    </row>
    <row r="36523" spans="16:16">
      <c r="P36523" s="2498"/>
    </row>
    <row r="36524" spans="16:16">
      <c r="P36524" s="2498"/>
    </row>
    <row r="36525" spans="16:16">
      <c r="P36525" s="2498"/>
    </row>
    <row r="36526" spans="16:16">
      <c r="P36526" s="2498"/>
    </row>
    <row r="36527" spans="16:16">
      <c r="P36527" s="2498"/>
    </row>
    <row r="36528" spans="16:16">
      <c r="P36528" s="2498"/>
    </row>
    <row r="36529" spans="16:16">
      <c r="P36529" s="2498"/>
    </row>
    <row r="36530" spans="16:16">
      <c r="P36530" s="2498"/>
    </row>
    <row r="36531" spans="16:16">
      <c r="P36531" s="2498"/>
    </row>
    <row r="36532" spans="16:16">
      <c r="P36532" s="2498"/>
    </row>
    <row r="36533" spans="16:16">
      <c r="P36533" s="2498"/>
    </row>
    <row r="36534" spans="16:16">
      <c r="P36534" s="2498"/>
    </row>
    <row r="36535" spans="16:16">
      <c r="P36535" s="2498"/>
    </row>
    <row r="36536" spans="16:16">
      <c r="P36536" s="2498"/>
    </row>
    <row r="36537" spans="16:16">
      <c r="P36537" s="2498"/>
    </row>
    <row r="36538" spans="16:16">
      <c r="P36538" s="2498"/>
    </row>
    <row r="36539" spans="16:16">
      <c r="P36539" s="2498"/>
    </row>
    <row r="36540" spans="16:16">
      <c r="P36540" s="2498"/>
    </row>
    <row r="36541" spans="16:16">
      <c r="P36541" s="2498"/>
    </row>
    <row r="36542" spans="16:16">
      <c r="P36542" s="2498"/>
    </row>
    <row r="36543" spans="16:16">
      <c r="P36543" s="2498"/>
    </row>
    <row r="36544" spans="16:16">
      <c r="P36544" s="2498"/>
    </row>
    <row r="36545" spans="16:16">
      <c r="P36545" s="2498"/>
    </row>
    <row r="36546" spans="16:16">
      <c r="P36546" s="2498"/>
    </row>
    <row r="36547" spans="16:16">
      <c r="P36547" s="2498"/>
    </row>
    <row r="36548" spans="16:16">
      <c r="P36548" s="2498"/>
    </row>
    <row r="36549" spans="16:16">
      <c r="P36549" s="2498"/>
    </row>
    <row r="36550" spans="16:16">
      <c r="P36550" s="2498"/>
    </row>
    <row r="36551" spans="16:16">
      <c r="P36551" s="2498"/>
    </row>
    <row r="36552" spans="16:16">
      <c r="P36552" s="2498"/>
    </row>
    <row r="36553" spans="16:16">
      <c r="P36553" s="2498"/>
    </row>
    <row r="36554" spans="16:16">
      <c r="P36554" s="2498"/>
    </row>
    <row r="36555" spans="16:16">
      <c r="P36555" s="2498"/>
    </row>
    <row r="36556" spans="16:16">
      <c r="P36556" s="2498"/>
    </row>
    <row r="36557" spans="16:16">
      <c r="P36557" s="2498"/>
    </row>
    <row r="36558" spans="16:16">
      <c r="P36558" s="2498"/>
    </row>
    <row r="36559" spans="16:16">
      <c r="P36559" s="2498"/>
    </row>
    <row r="36560" spans="16:16">
      <c r="P36560" s="2498"/>
    </row>
    <row r="36561" spans="16:16">
      <c r="P36561" s="2498"/>
    </row>
    <row r="36562" spans="16:16">
      <c r="P36562" s="2498"/>
    </row>
    <row r="36563" spans="16:16">
      <c r="P36563" s="2498"/>
    </row>
    <row r="36564" spans="16:16">
      <c r="P36564" s="2498"/>
    </row>
    <row r="36565" spans="16:16">
      <c r="P36565" s="2498"/>
    </row>
    <row r="36566" spans="16:16">
      <c r="P36566" s="2498"/>
    </row>
    <row r="36567" spans="16:16">
      <c r="P36567" s="2498"/>
    </row>
    <row r="36568" spans="16:16">
      <c r="P36568" s="2498"/>
    </row>
    <row r="36569" spans="16:16">
      <c r="P36569" s="2498"/>
    </row>
    <row r="36570" spans="16:16">
      <c r="P36570" s="2498"/>
    </row>
    <row r="36571" spans="16:16">
      <c r="P36571" s="2498"/>
    </row>
    <row r="36572" spans="16:16">
      <c r="P36572" s="2498"/>
    </row>
    <row r="36573" spans="16:16">
      <c r="P36573" s="2498"/>
    </row>
    <row r="36574" spans="16:16">
      <c r="P36574" s="2498"/>
    </row>
    <row r="36575" spans="16:16">
      <c r="P36575" s="2498"/>
    </row>
    <row r="36576" spans="16:16">
      <c r="P36576" s="2498"/>
    </row>
    <row r="36577" spans="16:16">
      <c r="P36577" s="2498"/>
    </row>
    <row r="36578" spans="16:16">
      <c r="P36578" s="2498"/>
    </row>
    <row r="36579" spans="16:16">
      <c r="P36579" s="2498"/>
    </row>
    <row r="36580" spans="16:16">
      <c r="P36580" s="2498"/>
    </row>
    <row r="36581" spans="16:16">
      <c r="P36581" s="2498"/>
    </row>
    <row r="36582" spans="16:16">
      <c r="P36582" s="2498"/>
    </row>
    <row r="36583" spans="16:16">
      <c r="P36583" s="2498"/>
    </row>
    <row r="36584" spans="16:16">
      <c r="P36584" s="2498"/>
    </row>
    <row r="36585" spans="16:16">
      <c r="P36585" s="2498"/>
    </row>
    <row r="36586" spans="16:16">
      <c r="P36586" s="2498"/>
    </row>
    <row r="36587" spans="16:16">
      <c r="P36587" s="2498"/>
    </row>
    <row r="36588" spans="16:16">
      <c r="P36588" s="2498"/>
    </row>
    <row r="36589" spans="16:16">
      <c r="P36589" s="2498"/>
    </row>
    <row r="36590" spans="16:16">
      <c r="P36590" s="2498"/>
    </row>
    <row r="36591" spans="16:16">
      <c r="P36591" s="2498"/>
    </row>
    <row r="36592" spans="16:16">
      <c r="P36592" s="2498"/>
    </row>
    <row r="36593" spans="16:16">
      <c r="P36593" s="2498"/>
    </row>
    <row r="36594" spans="16:16">
      <c r="P36594" s="2498"/>
    </row>
    <row r="36595" spans="16:16">
      <c r="P36595" s="2498"/>
    </row>
    <row r="36596" spans="16:16">
      <c r="P36596" s="2498"/>
    </row>
    <row r="36597" spans="16:16">
      <c r="P36597" s="2498"/>
    </row>
    <row r="36598" spans="16:16">
      <c r="P36598" s="2498"/>
    </row>
    <row r="36599" spans="16:16">
      <c r="P36599" s="2498"/>
    </row>
    <row r="36600" spans="16:16">
      <c r="P36600" s="2498"/>
    </row>
    <row r="36601" spans="16:16">
      <c r="P36601" s="2498"/>
    </row>
    <row r="36602" spans="16:16">
      <c r="P36602" s="2498"/>
    </row>
    <row r="36603" spans="16:16">
      <c r="P36603" s="2498"/>
    </row>
    <row r="36604" spans="16:16">
      <c r="P36604" s="2498"/>
    </row>
    <row r="36605" spans="16:16">
      <c r="P36605" s="2498"/>
    </row>
    <row r="36606" spans="16:16">
      <c r="P36606" s="2498"/>
    </row>
    <row r="36607" spans="16:16">
      <c r="P36607" s="2498"/>
    </row>
    <row r="36608" spans="16:16">
      <c r="P36608" s="2498"/>
    </row>
    <row r="36609" spans="16:16">
      <c r="P36609" s="2498"/>
    </row>
    <row r="36610" spans="16:16">
      <c r="P36610" s="2498"/>
    </row>
    <row r="36611" spans="16:16">
      <c r="P36611" s="2498"/>
    </row>
    <row r="36612" spans="16:16">
      <c r="P36612" s="2498"/>
    </row>
    <row r="36613" spans="16:16">
      <c r="P36613" s="2498"/>
    </row>
    <row r="36614" spans="16:16">
      <c r="P36614" s="2498"/>
    </row>
    <row r="36615" spans="16:16">
      <c r="P36615" s="2498"/>
    </row>
    <row r="36616" spans="16:16">
      <c r="P36616" s="2498"/>
    </row>
    <row r="36617" spans="16:16">
      <c r="P36617" s="2498"/>
    </row>
    <row r="36618" spans="16:16">
      <c r="P36618" s="2498"/>
    </row>
    <row r="36619" spans="16:16">
      <c r="P36619" s="2498"/>
    </row>
    <row r="36620" spans="16:16">
      <c r="P36620" s="2498"/>
    </row>
    <row r="36621" spans="16:16">
      <c r="P36621" s="2498"/>
    </row>
    <row r="36622" spans="16:16">
      <c r="P36622" s="2498"/>
    </row>
    <row r="36623" spans="16:16">
      <c r="P36623" s="2498"/>
    </row>
    <row r="36624" spans="16:16">
      <c r="P36624" s="2498"/>
    </row>
    <row r="36625" spans="16:16">
      <c r="P36625" s="2498"/>
    </row>
    <row r="36626" spans="16:16">
      <c r="P36626" s="2498"/>
    </row>
    <row r="36627" spans="16:16">
      <c r="P36627" s="2498"/>
    </row>
    <row r="36628" spans="16:16">
      <c r="P36628" s="2498"/>
    </row>
    <row r="36629" spans="16:16">
      <c r="P36629" s="2498"/>
    </row>
    <row r="36630" spans="16:16">
      <c r="P36630" s="2498"/>
    </row>
    <row r="36631" spans="16:16">
      <c r="P36631" s="2498"/>
    </row>
    <row r="36632" spans="16:16">
      <c r="P36632" s="2498"/>
    </row>
    <row r="36633" spans="16:16">
      <c r="P36633" s="2498"/>
    </row>
    <row r="36634" spans="16:16">
      <c r="P36634" s="2498"/>
    </row>
    <row r="36635" spans="16:16">
      <c r="P36635" s="2498"/>
    </row>
    <row r="36636" spans="16:16">
      <c r="P36636" s="2498"/>
    </row>
    <row r="36637" spans="16:16">
      <c r="P36637" s="2498"/>
    </row>
    <row r="36638" spans="16:16">
      <c r="P36638" s="2498"/>
    </row>
    <row r="36639" spans="16:16">
      <c r="P36639" s="2498"/>
    </row>
    <row r="36640" spans="16:16">
      <c r="P36640" s="2498"/>
    </row>
    <row r="36641" spans="16:16">
      <c r="P36641" s="2498"/>
    </row>
    <row r="36642" spans="16:16">
      <c r="P36642" s="2498"/>
    </row>
    <row r="36643" spans="16:16">
      <c r="P36643" s="2498"/>
    </row>
    <row r="36644" spans="16:16">
      <c r="P36644" s="2498"/>
    </row>
    <row r="36645" spans="16:16">
      <c r="P36645" s="2498"/>
    </row>
    <row r="36646" spans="16:16">
      <c r="P36646" s="2498"/>
    </row>
    <row r="36647" spans="16:16">
      <c r="P36647" s="2498"/>
    </row>
    <row r="36648" spans="16:16">
      <c r="P36648" s="2498"/>
    </row>
    <row r="36649" spans="16:16">
      <c r="P36649" s="2498"/>
    </row>
    <row r="36650" spans="16:16">
      <c r="P36650" s="2498"/>
    </row>
    <row r="36651" spans="16:16">
      <c r="P36651" s="2498"/>
    </row>
    <row r="36652" spans="16:16">
      <c r="P36652" s="2498"/>
    </row>
    <row r="36653" spans="16:16">
      <c r="P36653" s="2498"/>
    </row>
    <row r="36654" spans="16:16">
      <c r="P36654" s="2498"/>
    </row>
    <row r="36655" spans="16:16">
      <c r="P36655" s="2498"/>
    </row>
    <row r="36656" spans="16:16">
      <c r="P36656" s="2498"/>
    </row>
    <row r="36657" spans="16:16">
      <c r="P36657" s="2498"/>
    </row>
    <row r="36658" spans="16:16">
      <c r="P36658" s="2498"/>
    </row>
    <row r="36659" spans="16:16">
      <c r="P36659" s="2498"/>
    </row>
    <row r="36660" spans="16:16">
      <c r="P36660" s="2498"/>
    </row>
    <row r="36661" spans="16:16">
      <c r="P36661" s="2498"/>
    </row>
    <row r="36662" spans="16:16">
      <c r="P36662" s="2498"/>
    </row>
    <row r="36663" spans="16:16">
      <c r="P36663" s="2498"/>
    </row>
    <row r="36664" spans="16:16">
      <c r="P36664" s="2498"/>
    </row>
    <row r="36665" spans="16:16">
      <c r="P36665" s="2498"/>
    </row>
    <row r="36666" spans="16:16">
      <c r="P36666" s="2498"/>
    </row>
    <row r="36667" spans="16:16">
      <c r="P36667" s="2498"/>
    </row>
    <row r="36668" spans="16:16">
      <c r="P36668" s="2498"/>
    </row>
    <row r="36669" spans="16:16">
      <c r="P36669" s="2498"/>
    </row>
    <row r="36670" spans="16:16">
      <c r="P36670" s="2498"/>
    </row>
    <row r="36671" spans="16:16">
      <c r="P36671" s="2498"/>
    </row>
    <row r="36672" spans="16:16">
      <c r="P36672" s="2498"/>
    </row>
    <row r="36673" spans="16:16">
      <c r="P36673" s="2498"/>
    </row>
    <row r="36674" spans="16:16">
      <c r="P36674" s="2498"/>
    </row>
    <row r="36675" spans="16:16">
      <c r="P36675" s="2498"/>
    </row>
    <row r="36676" spans="16:16">
      <c r="P36676" s="2498"/>
    </row>
    <row r="36677" spans="16:16">
      <c r="P36677" s="2498"/>
    </row>
    <row r="36678" spans="16:16">
      <c r="P36678" s="2498"/>
    </row>
    <row r="36679" spans="16:16">
      <c r="P36679" s="2498"/>
    </row>
    <row r="36680" spans="16:16">
      <c r="P36680" s="2498"/>
    </row>
    <row r="36681" spans="16:16">
      <c r="P36681" s="2498"/>
    </row>
    <row r="36682" spans="16:16">
      <c r="P36682" s="2498"/>
    </row>
    <row r="36683" spans="16:16">
      <c r="P36683" s="2498"/>
    </row>
    <row r="36684" spans="16:16">
      <c r="P36684" s="2498"/>
    </row>
    <row r="36685" spans="16:16">
      <c r="P36685" s="2498"/>
    </row>
    <row r="36686" spans="16:16">
      <c r="P36686" s="2498"/>
    </row>
    <row r="36687" spans="16:16">
      <c r="P36687" s="2498"/>
    </row>
    <row r="36688" spans="16:16">
      <c r="P36688" s="2498"/>
    </row>
    <row r="36689" spans="16:16">
      <c r="P36689" s="2498"/>
    </row>
    <row r="36690" spans="16:16">
      <c r="P36690" s="2498"/>
    </row>
    <row r="36691" spans="16:16">
      <c r="P36691" s="2498"/>
    </row>
    <row r="36692" spans="16:16">
      <c r="P36692" s="2498"/>
    </row>
    <row r="36693" spans="16:16">
      <c r="P36693" s="2498"/>
    </row>
    <row r="36694" spans="16:16">
      <c r="P36694" s="2498"/>
    </row>
    <row r="36695" spans="16:16">
      <c r="P36695" s="2498"/>
    </row>
    <row r="36696" spans="16:16">
      <c r="P36696" s="2498"/>
    </row>
    <row r="36697" spans="16:16">
      <c r="P36697" s="2498"/>
    </row>
    <row r="36698" spans="16:16">
      <c r="P36698" s="2498"/>
    </row>
    <row r="36699" spans="16:16">
      <c r="P36699" s="2498"/>
    </row>
    <row r="36700" spans="16:16">
      <c r="P36700" s="2498"/>
    </row>
    <row r="36701" spans="16:16">
      <c r="P36701" s="2498"/>
    </row>
    <row r="36702" spans="16:16">
      <c r="P36702" s="2498"/>
    </row>
    <row r="36703" spans="16:16">
      <c r="P36703" s="2498"/>
    </row>
    <row r="36704" spans="16:16">
      <c r="P36704" s="2498"/>
    </row>
    <row r="36705" spans="16:16">
      <c r="P36705" s="2498"/>
    </row>
    <row r="36706" spans="16:16">
      <c r="P36706" s="2498"/>
    </row>
    <row r="36707" spans="16:16">
      <c r="P36707" s="2498"/>
    </row>
    <row r="36708" spans="16:16">
      <c r="P36708" s="2498"/>
    </row>
    <row r="36709" spans="16:16">
      <c r="P36709" s="2498"/>
    </row>
    <row r="36710" spans="16:16">
      <c r="P36710" s="2498"/>
    </row>
    <row r="36711" spans="16:16">
      <c r="P36711" s="2498"/>
    </row>
    <row r="36712" spans="16:16">
      <c r="P36712" s="2498"/>
    </row>
    <row r="36713" spans="16:16">
      <c r="P36713" s="2498"/>
    </row>
    <row r="36714" spans="16:16">
      <c r="P36714" s="2498"/>
    </row>
    <row r="36715" spans="16:16">
      <c r="P36715" s="2498"/>
    </row>
    <row r="36716" spans="16:16">
      <c r="P36716" s="2498"/>
    </row>
    <row r="36717" spans="16:16">
      <c r="P36717" s="2498"/>
    </row>
    <row r="36718" spans="16:16">
      <c r="P36718" s="2498"/>
    </row>
    <row r="36719" spans="16:16">
      <c r="P36719" s="2498"/>
    </row>
    <row r="36720" spans="16:16">
      <c r="P36720" s="2498"/>
    </row>
    <row r="36721" spans="16:16">
      <c r="P36721" s="2498"/>
    </row>
    <row r="36722" spans="16:16">
      <c r="P36722" s="2498"/>
    </row>
    <row r="36723" spans="16:16">
      <c r="P36723" s="2498"/>
    </row>
    <row r="36724" spans="16:16">
      <c r="P36724" s="2498"/>
    </row>
    <row r="36725" spans="16:16">
      <c r="P36725" s="2498"/>
    </row>
    <row r="36726" spans="16:16">
      <c r="P36726" s="2498"/>
    </row>
    <row r="36727" spans="16:16">
      <c r="P36727" s="2498"/>
    </row>
    <row r="36728" spans="16:16">
      <c r="P36728" s="2498"/>
    </row>
    <row r="36729" spans="16:16">
      <c r="P36729" s="2498"/>
    </row>
    <row r="36730" spans="16:16">
      <c r="P36730" s="2498"/>
    </row>
    <row r="36731" spans="16:16">
      <c r="P36731" s="2498"/>
    </row>
    <row r="36732" spans="16:16">
      <c r="P36732" s="2498"/>
    </row>
    <row r="36733" spans="16:16">
      <c r="P36733" s="2498"/>
    </row>
    <row r="36734" spans="16:16">
      <c r="P36734" s="2498"/>
    </row>
    <row r="36735" spans="16:16">
      <c r="P36735" s="2498"/>
    </row>
    <row r="36736" spans="16:16">
      <c r="P36736" s="2498"/>
    </row>
    <row r="36737" spans="16:16">
      <c r="P36737" s="2498"/>
    </row>
    <row r="36738" spans="16:16">
      <c r="P36738" s="2498"/>
    </row>
    <row r="36739" spans="16:16">
      <c r="P36739" s="2498"/>
    </row>
    <row r="36740" spans="16:16">
      <c r="P36740" s="2498"/>
    </row>
    <row r="36741" spans="16:16">
      <c r="P36741" s="2498"/>
    </row>
    <row r="36742" spans="16:16">
      <c r="P36742" s="2498"/>
    </row>
    <row r="36743" spans="16:16">
      <c r="P36743" s="2498"/>
    </row>
    <row r="36744" spans="16:16">
      <c r="P36744" s="2498"/>
    </row>
    <row r="36745" spans="16:16">
      <c r="P36745" s="2498"/>
    </row>
    <row r="36746" spans="16:16">
      <c r="P36746" s="2498"/>
    </row>
    <row r="36747" spans="16:16">
      <c r="P36747" s="2498"/>
    </row>
    <row r="36748" spans="16:16">
      <c r="P36748" s="2498"/>
    </row>
    <row r="36749" spans="16:16">
      <c r="P36749" s="2498"/>
    </row>
    <row r="36750" spans="16:16">
      <c r="P36750" s="2498"/>
    </row>
    <row r="36751" spans="16:16">
      <c r="P36751" s="2498"/>
    </row>
    <row r="36752" spans="16:16">
      <c r="P36752" s="2498"/>
    </row>
    <row r="36753" spans="16:16">
      <c r="P36753" s="2498"/>
    </row>
    <row r="36754" spans="16:16">
      <c r="P36754" s="2498"/>
    </row>
    <row r="36755" spans="16:16">
      <c r="P36755" s="2498"/>
    </row>
    <row r="36756" spans="16:16">
      <c r="P36756" s="2498"/>
    </row>
    <row r="36757" spans="16:16">
      <c r="P36757" s="2498"/>
    </row>
    <row r="36758" spans="16:16">
      <c r="P36758" s="2498"/>
    </row>
    <row r="36759" spans="16:16">
      <c r="P36759" s="2498"/>
    </row>
    <row r="36760" spans="16:16">
      <c r="P36760" s="2498"/>
    </row>
    <row r="36761" spans="16:16">
      <c r="P36761" s="2498"/>
    </row>
    <row r="36762" spans="16:16">
      <c r="P36762" s="2498"/>
    </row>
    <row r="36763" spans="16:16">
      <c r="P36763" s="2498"/>
    </row>
    <row r="36764" spans="16:16">
      <c r="P36764" s="2498"/>
    </row>
    <row r="36765" spans="16:16">
      <c r="P36765" s="2498"/>
    </row>
    <row r="36766" spans="16:16">
      <c r="P36766" s="2498"/>
    </row>
    <row r="36767" spans="16:16">
      <c r="P36767" s="2498"/>
    </row>
    <row r="36768" spans="16:16">
      <c r="P36768" s="2498"/>
    </row>
    <row r="36769" spans="16:16">
      <c r="P36769" s="2498"/>
    </row>
    <row r="36770" spans="16:16">
      <c r="P36770" s="2498"/>
    </row>
    <row r="36771" spans="16:16">
      <c r="P36771" s="2498"/>
    </row>
    <row r="36772" spans="16:16">
      <c r="P36772" s="2498"/>
    </row>
    <row r="36773" spans="16:16">
      <c r="P36773" s="2498"/>
    </row>
    <row r="36774" spans="16:16">
      <c r="P36774" s="2498"/>
    </row>
    <row r="36775" spans="16:16">
      <c r="P36775" s="2498"/>
    </row>
    <row r="36776" spans="16:16">
      <c r="P36776" s="2498"/>
    </row>
    <row r="36777" spans="16:16">
      <c r="P36777" s="2498"/>
    </row>
    <row r="36778" spans="16:16">
      <c r="P36778" s="2498"/>
    </row>
    <row r="36779" spans="16:16">
      <c r="P36779" s="2498"/>
    </row>
    <row r="36780" spans="16:16">
      <c r="P36780" s="2498"/>
    </row>
    <row r="36781" spans="16:16">
      <c r="P36781" s="2498"/>
    </row>
    <row r="36782" spans="16:16">
      <c r="P36782" s="2498"/>
    </row>
    <row r="36783" spans="16:16">
      <c r="P36783" s="2498"/>
    </row>
    <row r="36784" spans="16:16">
      <c r="P36784" s="2498"/>
    </row>
    <row r="36785" spans="16:16">
      <c r="P36785" s="2498"/>
    </row>
    <row r="36786" spans="16:16">
      <c r="P36786" s="2498"/>
    </row>
    <row r="36787" spans="16:16">
      <c r="P36787" s="2498"/>
    </row>
    <row r="36788" spans="16:16">
      <c r="P36788" s="2498"/>
    </row>
    <row r="36789" spans="16:16">
      <c r="P36789" s="2498"/>
    </row>
    <row r="36790" spans="16:16">
      <c r="P36790" s="2498"/>
    </row>
    <row r="36791" spans="16:16">
      <c r="P36791" s="2498"/>
    </row>
    <row r="36792" spans="16:16">
      <c r="P36792" s="2498"/>
    </row>
    <row r="36793" spans="16:16">
      <c r="P36793" s="2498"/>
    </row>
    <row r="36794" spans="16:16">
      <c r="P36794" s="2498"/>
    </row>
    <row r="36795" spans="16:16">
      <c r="P36795" s="2498"/>
    </row>
    <row r="36796" spans="16:16">
      <c r="P36796" s="2498"/>
    </row>
    <row r="36797" spans="16:16">
      <c r="P36797" s="2498"/>
    </row>
    <row r="36798" spans="16:16">
      <c r="P36798" s="2498"/>
    </row>
    <row r="36799" spans="16:16">
      <c r="P36799" s="2498"/>
    </row>
    <row r="36800" spans="16:16">
      <c r="P36800" s="2498"/>
    </row>
    <row r="36801" spans="16:16">
      <c r="P36801" s="2498"/>
    </row>
    <row r="36802" spans="16:16">
      <c r="P36802" s="2498"/>
    </row>
    <row r="36803" spans="16:16">
      <c r="P36803" s="2498"/>
    </row>
    <row r="36804" spans="16:16">
      <c r="P36804" s="2498"/>
    </row>
    <row r="36805" spans="16:16">
      <c r="P36805" s="2498"/>
    </row>
    <row r="36806" spans="16:16">
      <c r="P36806" s="2498"/>
    </row>
    <row r="36807" spans="16:16">
      <c r="P36807" s="2498"/>
    </row>
    <row r="36808" spans="16:16">
      <c r="P36808" s="2498"/>
    </row>
    <row r="36809" spans="16:16">
      <c r="P36809" s="2498"/>
    </row>
    <row r="36810" spans="16:16">
      <c r="P36810" s="2498"/>
    </row>
    <row r="36811" spans="16:16">
      <c r="P36811" s="2498"/>
    </row>
    <row r="36812" spans="16:16">
      <c r="P36812" s="2498"/>
    </row>
    <row r="36813" spans="16:16">
      <c r="P36813" s="2498"/>
    </row>
    <row r="36814" spans="16:16">
      <c r="P36814" s="2498"/>
    </row>
    <row r="36815" spans="16:16">
      <c r="P36815" s="2498"/>
    </row>
    <row r="36816" spans="16:16">
      <c r="P36816" s="2498"/>
    </row>
    <row r="36817" spans="16:16">
      <c r="P36817" s="2498"/>
    </row>
    <row r="36818" spans="16:16">
      <c r="P36818" s="2498"/>
    </row>
    <row r="36819" spans="16:16">
      <c r="P36819" s="2498"/>
    </row>
    <row r="36820" spans="16:16">
      <c r="P36820" s="2498"/>
    </row>
    <row r="36821" spans="16:16">
      <c r="P36821" s="2498"/>
    </row>
    <row r="36822" spans="16:16">
      <c r="P36822" s="2498"/>
    </row>
    <row r="36823" spans="16:16">
      <c r="P36823" s="2498"/>
    </row>
    <row r="36824" spans="16:16">
      <c r="P36824" s="2498"/>
    </row>
    <row r="36825" spans="16:16">
      <c r="P36825" s="2498"/>
    </row>
    <row r="36826" spans="16:16">
      <c r="P36826" s="2498"/>
    </row>
    <row r="36827" spans="16:16">
      <c r="P36827" s="2498"/>
    </row>
    <row r="36828" spans="16:16">
      <c r="P36828" s="2498"/>
    </row>
    <row r="36829" spans="16:16">
      <c r="P36829" s="2498"/>
    </row>
    <row r="36830" spans="16:16">
      <c r="P36830" s="2498"/>
    </row>
    <row r="36831" spans="16:16">
      <c r="P36831" s="2498"/>
    </row>
    <row r="36832" spans="16:16">
      <c r="P36832" s="2498"/>
    </row>
    <row r="36833" spans="16:16">
      <c r="P36833" s="2498"/>
    </row>
    <row r="36834" spans="16:16">
      <c r="P36834" s="2498"/>
    </row>
    <row r="36835" spans="16:16">
      <c r="P36835" s="2498"/>
    </row>
    <row r="36836" spans="16:16">
      <c r="P36836" s="2498"/>
    </row>
    <row r="36837" spans="16:16">
      <c r="P36837" s="2498"/>
    </row>
    <row r="36838" spans="16:16">
      <c r="P36838" s="2498"/>
    </row>
    <row r="36839" spans="16:16">
      <c r="P36839" s="2498"/>
    </row>
    <row r="36840" spans="16:16">
      <c r="P36840" s="2498"/>
    </row>
    <row r="36841" spans="16:16">
      <c r="P36841" s="2498"/>
    </row>
    <row r="36842" spans="16:16">
      <c r="P36842" s="2498"/>
    </row>
    <row r="36843" spans="16:16">
      <c r="P36843" s="2498"/>
    </row>
    <row r="36844" spans="16:16">
      <c r="P36844" s="2498"/>
    </row>
    <row r="36845" spans="16:16">
      <c r="P36845" s="2498"/>
    </row>
    <row r="36846" spans="16:16">
      <c r="P36846" s="2498"/>
    </row>
    <row r="36847" spans="16:16">
      <c r="P36847" s="2498"/>
    </row>
    <row r="36848" spans="16:16">
      <c r="P36848" s="2498"/>
    </row>
    <row r="36849" spans="16:16">
      <c r="P36849" s="2498"/>
    </row>
    <row r="36850" spans="16:16">
      <c r="P36850" s="2498"/>
    </row>
    <row r="36851" spans="16:16">
      <c r="P36851" s="2498"/>
    </row>
    <row r="36852" spans="16:16">
      <c r="P36852" s="2498"/>
    </row>
    <row r="36853" spans="16:16">
      <c r="P36853" s="2498"/>
    </row>
    <row r="36854" spans="16:16">
      <c r="P36854" s="2498"/>
    </row>
    <row r="36855" spans="16:16">
      <c r="P36855" s="2498"/>
    </row>
    <row r="36856" spans="16:16">
      <c r="P36856" s="2498"/>
    </row>
    <row r="36857" spans="16:16">
      <c r="P36857" s="2498"/>
    </row>
    <row r="36858" spans="16:16">
      <c r="P36858" s="2498"/>
    </row>
    <row r="36859" spans="16:16">
      <c r="P36859" s="2498"/>
    </row>
    <row r="36860" spans="16:16">
      <c r="P36860" s="2498"/>
    </row>
    <row r="36861" spans="16:16">
      <c r="P36861" s="2498"/>
    </row>
    <row r="36862" spans="16:16">
      <c r="P36862" s="2498"/>
    </row>
    <row r="36863" spans="16:16">
      <c r="P36863" s="2498"/>
    </row>
    <row r="36864" spans="16:16">
      <c r="P36864" s="2498"/>
    </row>
    <row r="36865" spans="16:16">
      <c r="P36865" s="2498"/>
    </row>
    <row r="36866" spans="16:16">
      <c r="P36866" s="2498"/>
    </row>
    <row r="36867" spans="16:16">
      <c r="P36867" s="2498"/>
    </row>
    <row r="36868" spans="16:16">
      <c r="P36868" s="2498"/>
    </row>
    <row r="36869" spans="16:16">
      <c r="P36869" s="2498"/>
    </row>
    <row r="36870" spans="16:16">
      <c r="P36870" s="2498"/>
    </row>
    <row r="36871" spans="16:16">
      <c r="P36871" s="2498"/>
    </row>
    <row r="36872" spans="16:16">
      <c r="P36872" s="2498"/>
    </row>
    <row r="36873" spans="16:16">
      <c r="P36873" s="2498"/>
    </row>
    <row r="36874" spans="16:16">
      <c r="P36874" s="2498"/>
    </row>
    <row r="36875" spans="16:16">
      <c r="P36875" s="2498"/>
    </row>
    <row r="36876" spans="16:16">
      <c r="P36876" s="2498"/>
    </row>
    <row r="36877" spans="16:16">
      <c r="P36877" s="2498"/>
    </row>
    <row r="36878" spans="16:16">
      <c r="P36878" s="2498"/>
    </row>
    <row r="36879" spans="16:16">
      <c r="P36879" s="2498"/>
    </row>
    <row r="36880" spans="16:16">
      <c r="P36880" s="2498"/>
    </row>
    <row r="36881" spans="16:16">
      <c r="P36881" s="2498"/>
    </row>
    <row r="36882" spans="16:16">
      <c r="P36882" s="2498"/>
    </row>
    <row r="36883" spans="16:16">
      <c r="P36883" s="2498"/>
    </row>
    <row r="36884" spans="16:16">
      <c r="P36884" s="2498"/>
    </row>
    <row r="36885" spans="16:16">
      <c r="P36885" s="2498"/>
    </row>
    <row r="36886" spans="16:16">
      <c r="P36886" s="2498"/>
    </row>
    <row r="36887" spans="16:16">
      <c r="P36887" s="2498"/>
    </row>
    <row r="36888" spans="16:16">
      <c r="P36888" s="2498"/>
    </row>
    <row r="36889" spans="16:16">
      <c r="P36889" s="2498"/>
    </row>
    <row r="36890" spans="16:16">
      <c r="P36890" s="2498"/>
    </row>
    <row r="36891" spans="16:16">
      <c r="P36891" s="2498"/>
    </row>
    <row r="36892" spans="16:16">
      <c r="P36892" s="2498"/>
    </row>
    <row r="36893" spans="16:16">
      <c r="P36893" s="2498"/>
    </row>
    <row r="36894" spans="16:16">
      <c r="P36894" s="2498"/>
    </row>
    <row r="36895" spans="16:16">
      <c r="P36895" s="2498"/>
    </row>
    <row r="36896" spans="16:16">
      <c r="P36896" s="2498"/>
    </row>
    <row r="36897" spans="16:16">
      <c r="P36897" s="2498"/>
    </row>
    <row r="36898" spans="16:16">
      <c r="P36898" s="2498"/>
    </row>
    <row r="36899" spans="16:16">
      <c r="P36899" s="2498"/>
    </row>
    <row r="36900" spans="16:16">
      <c r="P36900" s="2498"/>
    </row>
    <row r="36901" spans="16:16">
      <c r="P36901" s="2498"/>
    </row>
    <row r="36902" spans="16:16">
      <c r="P36902" s="2498"/>
    </row>
    <row r="36903" spans="16:16">
      <c r="P36903" s="2498"/>
    </row>
    <row r="36904" spans="16:16">
      <c r="P36904" s="2498"/>
    </row>
    <row r="36905" spans="16:16">
      <c r="P36905" s="2498"/>
    </row>
    <row r="36906" spans="16:16">
      <c r="P36906" s="2498"/>
    </row>
    <row r="36907" spans="16:16">
      <c r="P36907" s="2498"/>
    </row>
    <row r="36908" spans="16:16">
      <c r="P36908" s="2498"/>
    </row>
    <row r="36909" spans="16:16">
      <c r="P36909" s="2498"/>
    </row>
    <row r="36910" spans="16:16">
      <c r="P36910" s="2498"/>
    </row>
    <row r="36911" spans="16:16">
      <c r="P36911" s="2498"/>
    </row>
    <row r="36912" spans="16:16">
      <c r="P36912" s="2498"/>
    </row>
    <row r="36913" spans="16:16">
      <c r="P36913" s="2498"/>
    </row>
    <row r="36914" spans="16:16">
      <c r="P36914" s="2498"/>
    </row>
    <row r="36915" spans="16:16">
      <c r="P36915" s="2498"/>
    </row>
    <row r="36916" spans="16:16">
      <c r="P36916" s="2498"/>
    </row>
    <row r="36917" spans="16:16">
      <c r="P36917" s="2498"/>
    </row>
    <row r="36918" spans="16:16">
      <c r="P36918" s="2498"/>
    </row>
    <row r="36919" spans="16:16">
      <c r="P36919" s="2498"/>
    </row>
    <row r="36920" spans="16:16">
      <c r="P36920" s="2498"/>
    </row>
    <row r="36921" spans="16:16">
      <c r="P36921" s="2498"/>
    </row>
    <row r="36922" spans="16:16">
      <c r="P36922" s="2498"/>
    </row>
    <row r="36923" spans="16:16">
      <c r="P36923" s="2498"/>
    </row>
    <row r="36924" spans="16:16">
      <c r="P36924" s="2498"/>
    </row>
    <row r="36925" spans="16:16">
      <c r="P36925" s="2498"/>
    </row>
    <row r="36926" spans="16:16">
      <c r="P36926" s="2498"/>
    </row>
    <row r="36927" spans="16:16">
      <c r="P36927" s="2498"/>
    </row>
    <row r="36928" spans="16:16">
      <c r="P36928" s="2498"/>
    </row>
    <row r="36929" spans="16:16">
      <c r="P36929" s="2498"/>
    </row>
    <row r="36930" spans="16:16">
      <c r="P36930" s="2498"/>
    </row>
    <row r="36931" spans="16:16">
      <c r="P36931" s="2498"/>
    </row>
    <row r="36932" spans="16:16">
      <c r="P36932" s="2498"/>
    </row>
    <row r="36933" spans="16:16">
      <c r="P36933" s="2498"/>
    </row>
    <row r="36934" spans="16:16">
      <c r="P36934" s="2498"/>
    </row>
    <row r="36935" spans="16:16">
      <c r="P36935" s="2498"/>
    </row>
    <row r="36936" spans="16:16">
      <c r="P36936" s="2498"/>
    </row>
    <row r="36937" spans="16:16">
      <c r="P36937" s="2498"/>
    </row>
    <row r="36938" spans="16:16">
      <c r="P36938" s="2498"/>
    </row>
    <row r="36939" spans="16:16">
      <c r="P36939" s="2498"/>
    </row>
    <row r="36940" spans="16:16">
      <c r="P36940" s="2498"/>
    </row>
    <row r="36941" spans="16:16">
      <c r="P36941" s="2498"/>
    </row>
    <row r="36942" spans="16:16">
      <c r="P36942" s="2498"/>
    </row>
    <row r="36943" spans="16:16">
      <c r="P36943" s="2498"/>
    </row>
    <row r="36944" spans="16:16">
      <c r="P36944" s="2498"/>
    </row>
    <row r="36945" spans="16:16">
      <c r="P36945" s="2498"/>
    </row>
    <row r="36946" spans="16:16">
      <c r="P36946" s="2498"/>
    </row>
    <row r="36947" spans="16:16">
      <c r="P36947" s="2498"/>
    </row>
    <row r="36948" spans="16:16">
      <c r="P36948" s="2498"/>
    </row>
    <row r="36949" spans="16:16">
      <c r="P36949" s="2498"/>
    </row>
    <row r="36950" spans="16:16">
      <c r="P36950" s="2498"/>
    </row>
    <row r="36951" spans="16:16">
      <c r="P36951" s="2498"/>
    </row>
    <row r="36952" spans="16:16">
      <c r="P36952" s="2498"/>
    </row>
    <row r="36953" spans="16:16">
      <c r="P36953" s="2498"/>
    </row>
    <row r="36954" spans="16:16">
      <c r="P36954" s="2498"/>
    </row>
    <row r="36955" spans="16:16">
      <c r="P36955" s="2498"/>
    </row>
    <row r="36956" spans="16:16">
      <c r="P36956" s="2498"/>
    </row>
    <row r="36957" spans="16:16">
      <c r="P36957" s="2498"/>
    </row>
    <row r="36958" spans="16:16">
      <c r="P36958" s="2498"/>
    </row>
    <row r="36959" spans="16:16">
      <c r="P36959" s="2498"/>
    </row>
    <row r="36960" spans="16:16">
      <c r="P36960" s="2498"/>
    </row>
    <row r="36961" spans="16:16">
      <c r="P36961" s="2498"/>
    </row>
    <row r="36962" spans="16:16">
      <c r="P36962" s="2498"/>
    </row>
    <row r="36963" spans="16:16">
      <c r="P36963" s="2498"/>
    </row>
    <row r="36964" spans="16:16">
      <c r="P36964" s="2498"/>
    </row>
    <row r="36965" spans="16:16">
      <c r="P36965" s="2498"/>
    </row>
    <row r="36966" spans="16:16">
      <c r="P36966" s="2498"/>
    </row>
    <row r="36967" spans="16:16">
      <c r="P36967" s="2498"/>
    </row>
    <row r="36968" spans="16:16">
      <c r="P36968" s="2498"/>
    </row>
    <row r="36969" spans="16:16">
      <c r="P36969" s="2498"/>
    </row>
    <row r="36970" spans="16:16">
      <c r="P36970" s="2498"/>
    </row>
    <row r="36971" spans="16:16">
      <c r="P36971" s="2498"/>
    </row>
    <row r="36972" spans="16:16">
      <c r="P36972" s="2498"/>
    </row>
    <row r="36973" spans="16:16">
      <c r="P36973" s="2498"/>
    </row>
    <row r="36974" spans="16:16">
      <c r="P36974" s="2498"/>
    </row>
    <row r="36975" spans="16:16">
      <c r="P36975" s="2498"/>
    </row>
    <row r="36976" spans="16:16">
      <c r="P36976" s="2498"/>
    </row>
    <row r="36977" spans="16:16">
      <c r="P36977" s="2498"/>
    </row>
    <row r="36978" spans="16:16">
      <c r="P36978" s="2498"/>
    </row>
    <row r="36979" spans="16:16">
      <c r="P36979" s="2498"/>
    </row>
    <row r="36980" spans="16:16">
      <c r="P36980" s="2498"/>
    </row>
    <row r="36981" spans="16:16">
      <c r="P36981" s="2498"/>
    </row>
    <row r="36982" spans="16:16">
      <c r="P36982" s="2498"/>
    </row>
    <row r="36983" spans="16:16">
      <c r="P36983" s="2498"/>
    </row>
    <row r="36984" spans="16:16">
      <c r="P36984" s="2498"/>
    </row>
    <row r="36985" spans="16:16">
      <c r="P36985" s="2498"/>
    </row>
    <row r="36986" spans="16:16">
      <c r="P36986" s="2498"/>
    </row>
    <row r="36987" spans="16:16">
      <c r="P36987" s="2498"/>
    </row>
    <row r="36988" spans="16:16">
      <c r="P36988" s="2498"/>
    </row>
    <row r="36989" spans="16:16">
      <c r="P36989" s="2498"/>
    </row>
    <row r="36990" spans="16:16">
      <c r="P36990" s="2498"/>
    </row>
    <row r="36991" spans="16:16">
      <c r="P36991" s="2498"/>
    </row>
    <row r="36992" spans="16:16">
      <c r="P36992" s="2498"/>
    </row>
    <row r="36993" spans="16:16">
      <c r="P36993" s="2498"/>
    </row>
    <row r="36994" spans="16:16">
      <c r="P36994" s="2498"/>
    </row>
    <row r="36995" spans="16:16">
      <c r="P36995" s="2498"/>
    </row>
    <row r="36996" spans="16:16">
      <c r="P36996" s="2498"/>
    </row>
    <row r="36997" spans="16:16">
      <c r="P36997" s="2498"/>
    </row>
    <row r="36998" spans="16:16">
      <c r="P36998" s="2498"/>
    </row>
    <row r="36999" spans="16:16">
      <c r="P36999" s="2498"/>
    </row>
    <row r="37000" spans="16:16">
      <c r="P37000" s="2498"/>
    </row>
    <row r="37001" spans="16:16">
      <c r="P37001" s="2498"/>
    </row>
    <row r="37002" spans="16:16">
      <c r="P37002" s="2498"/>
    </row>
    <row r="37003" spans="16:16">
      <c r="P37003" s="2498"/>
    </row>
    <row r="37004" spans="16:16">
      <c r="P37004" s="2498"/>
    </row>
    <row r="37005" spans="16:16">
      <c r="P37005" s="2498"/>
    </row>
    <row r="37006" spans="16:16">
      <c r="P37006" s="2498"/>
    </row>
    <row r="37007" spans="16:16">
      <c r="P37007" s="2498"/>
    </row>
    <row r="37008" spans="16:16">
      <c r="P37008" s="2498"/>
    </row>
    <row r="37009" spans="16:16">
      <c r="P37009" s="2498"/>
    </row>
    <row r="37010" spans="16:16">
      <c r="P37010" s="2498"/>
    </row>
    <row r="37011" spans="16:16">
      <c r="P37011" s="2498"/>
    </row>
    <row r="37012" spans="16:16">
      <c r="P37012" s="2498"/>
    </row>
    <row r="37013" spans="16:16">
      <c r="P37013" s="2498"/>
    </row>
    <row r="37014" spans="16:16">
      <c r="P37014" s="2498"/>
    </row>
    <row r="37015" spans="16:16">
      <c r="P37015" s="2498"/>
    </row>
    <row r="37016" spans="16:16">
      <c r="P37016" s="2498"/>
    </row>
    <row r="37017" spans="16:16">
      <c r="P37017" s="2498"/>
    </row>
    <row r="37018" spans="16:16">
      <c r="P37018" s="2498"/>
    </row>
    <row r="37019" spans="16:16">
      <c r="P37019" s="2498"/>
    </row>
    <row r="37020" spans="16:16">
      <c r="P37020" s="2498"/>
    </row>
    <row r="37021" spans="16:16">
      <c r="P37021" s="2498"/>
    </row>
    <row r="37022" spans="16:16">
      <c r="P37022" s="2498"/>
    </row>
    <row r="37023" spans="16:16">
      <c r="P37023" s="2498"/>
    </row>
    <row r="37024" spans="16:16">
      <c r="P37024" s="2498"/>
    </row>
    <row r="37025" spans="16:16">
      <c r="P37025" s="2498"/>
    </row>
    <row r="37026" spans="16:16">
      <c r="P37026" s="2498"/>
    </row>
    <row r="37027" spans="16:16">
      <c r="P37027" s="2498"/>
    </row>
    <row r="37028" spans="16:16">
      <c r="P37028" s="2498"/>
    </row>
    <row r="37029" spans="16:16">
      <c r="P37029" s="2498"/>
    </row>
    <row r="37030" spans="16:16">
      <c r="P37030" s="2498"/>
    </row>
    <row r="37031" spans="16:16">
      <c r="P37031" s="2498"/>
    </row>
    <row r="37032" spans="16:16">
      <c r="P37032" s="2498"/>
    </row>
    <row r="37033" spans="16:16">
      <c r="P37033" s="2498"/>
    </row>
    <row r="37034" spans="16:16">
      <c r="P37034" s="2498"/>
    </row>
    <row r="37035" spans="16:16">
      <c r="P37035" s="2498"/>
    </row>
    <row r="37036" spans="16:16">
      <c r="P37036" s="2498"/>
    </row>
    <row r="37037" spans="16:16">
      <c r="P37037" s="2498"/>
    </row>
    <row r="37038" spans="16:16">
      <c r="P37038" s="2498"/>
    </row>
    <row r="37039" spans="16:16">
      <c r="P37039" s="2498"/>
    </row>
    <row r="37040" spans="16:16">
      <c r="P37040" s="2498"/>
    </row>
    <row r="37041" spans="16:16">
      <c r="P37041" s="2498"/>
    </row>
    <row r="37042" spans="16:16">
      <c r="P37042" s="2498"/>
    </row>
    <row r="37043" spans="16:16">
      <c r="P37043" s="2498"/>
    </row>
    <row r="37044" spans="16:16">
      <c r="P37044" s="2498"/>
    </row>
    <row r="37045" spans="16:16">
      <c r="P37045" s="2498"/>
    </row>
    <row r="37046" spans="16:16">
      <c r="P37046" s="2498"/>
    </row>
    <row r="37047" spans="16:16">
      <c r="P37047" s="2498"/>
    </row>
    <row r="37048" spans="16:16">
      <c r="P37048" s="2498"/>
    </row>
    <row r="37049" spans="16:16">
      <c r="P37049" s="2498"/>
    </row>
    <row r="37050" spans="16:16">
      <c r="P37050" s="2498"/>
    </row>
    <row r="37051" spans="16:16">
      <c r="P37051" s="2498"/>
    </row>
    <row r="37052" spans="16:16">
      <c r="P37052" s="2498"/>
    </row>
    <row r="37053" spans="16:16">
      <c r="P37053" s="2498"/>
    </row>
    <row r="37054" spans="16:16">
      <c r="P37054" s="2498"/>
    </row>
    <row r="37055" spans="16:16">
      <c r="P37055" s="2498"/>
    </row>
    <row r="37056" spans="16:16">
      <c r="P37056" s="2498"/>
    </row>
    <row r="37057" spans="16:16">
      <c r="P37057" s="2498"/>
    </row>
    <row r="37058" spans="16:16">
      <c r="P37058" s="2498"/>
    </row>
    <row r="37059" spans="16:16">
      <c r="P37059" s="2498"/>
    </row>
    <row r="37060" spans="16:16">
      <c r="P37060" s="2498"/>
    </row>
    <row r="37061" spans="16:16">
      <c r="P37061" s="2498"/>
    </row>
    <row r="37062" spans="16:16">
      <c r="P37062" s="2498"/>
    </row>
    <row r="37063" spans="16:16">
      <c r="P37063" s="2498"/>
    </row>
    <row r="37064" spans="16:16">
      <c r="P37064" s="2498"/>
    </row>
    <row r="37065" spans="16:16">
      <c r="P37065" s="2498"/>
    </row>
    <row r="37066" spans="16:16">
      <c r="P37066" s="2498"/>
    </row>
    <row r="37067" spans="16:16">
      <c r="P37067" s="2498"/>
    </row>
    <row r="37068" spans="16:16">
      <c r="P37068" s="2498"/>
    </row>
    <row r="37069" spans="16:16">
      <c r="P37069" s="2498"/>
    </row>
    <row r="37070" spans="16:16">
      <c r="P37070" s="2498"/>
    </row>
    <row r="37071" spans="16:16">
      <c r="P37071" s="2498"/>
    </row>
    <row r="37072" spans="16:16">
      <c r="P37072" s="2498"/>
    </row>
    <row r="37073" spans="16:16">
      <c r="P37073" s="2498"/>
    </row>
    <row r="37074" spans="16:16">
      <c r="P37074" s="2498"/>
    </row>
    <row r="37075" spans="16:16">
      <c r="P37075" s="2498"/>
    </row>
    <row r="37076" spans="16:16">
      <c r="P37076" s="2498"/>
    </row>
    <row r="37077" spans="16:16">
      <c r="P37077" s="2498"/>
    </row>
    <row r="37078" spans="16:16">
      <c r="P37078" s="2498"/>
    </row>
    <row r="37079" spans="16:16">
      <c r="P37079" s="2498"/>
    </row>
    <row r="37080" spans="16:16">
      <c r="P37080" s="2498"/>
    </row>
    <row r="37081" spans="16:16">
      <c r="P37081" s="2498"/>
    </row>
    <row r="37082" spans="16:16">
      <c r="P37082" s="2498"/>
    </row>
    <row r="37083" spans="16:16">
      <c r="P37083" s="2498"/>
    </row>
    <row r="37084" spans="16:16">
      <c r="P37084" s="2498"/>
    </row>
    <row r="37085" spans="16:16">
      <c r="P37085" s="2498"/>
    </row>
    <row r="37086" spans="16:16">
      <c r="P37086" s="2498"/>
    </row>
    <row r="37087" spans="16:16">
      <c r="P37087" s="2498"/>
    </row>
    <row r="37088" spans="16:16">
      <c r="P37088" s="2498"/>
    </row>
    <row r="37089" spans="16:16">
      <c r="P37089" s="2498"/>
    </row>
    <row r="37090" spans="16:16">
      <c r="P37090" s="2498"/>
    </row>
    <row r="37091" spans="16:16">
      <c r="P37091" s="2498"/>
    </row>
    <row r="37092" spans="16:16">
      <c r="P37092" s="2498"/>
    </row>
    <row r="37093" spans="16:16">
      <c r="P37093" s="2498"/>
    </row>
    <row r="37094" spans="16:16">
      <c r="P37094" s="2498"/>
    </row>
    <row r="37095" spans="16:16">
      <c r="P37095" s="2498"/>
    </row>
    <row r="37096" spans="16:16">
      <c r="P37096" s="2498"/>
    </row>
    <row r="37097" spans="16:16">
      <c r="P37097" s="2498"/>
    </row>
    <row r="37098" spans="16:16">
      <c r="P37098" s="2498"/>
    </row>
    <row r="37099" spans="16:16">
      <c r="P37099" s="2498"/>
    </row>
    <row r="37100" spans="16:16">
      <c r="P37100" s="2498"/>
    </row>
    <row r="37101" spans="16:16">
      <c r="P37101" s="2498"/>
    </row>
    <row r="37102" spans="16:16">
      <c r="P37102" s="2498"/>
    </row>
    <row r="37103" spans="16:16">
      <c r="P37103" s="2498"/>
    </row>
    <row r="37104" spans="16:16">
      <c r="P37104" s="2498"/>
    </row>
    <row r="37105" spans="16:16">
      <c r="P37105" s="2498"/>
    </row>
    <row r="37106" spans="16:16">
      <c r="P37106" s="2498"/>
    </row>
    <row r="37107" spans="16:16">
      <c r="P37107" s="2498"/>
    </row>
    <row r="37108" spans="16:16">
      <c r="P37108" s="2498"/>
    </row>
    <row r="37109" spans="16:16">
      <c r="P37109" s="2498"/>
    </row>
    <row r="37110" spans="16:16">
      <c r="P37110" s="2498"/>
    </row>
    <row r="37111" spans="16:16">
      <c r="P37111" s="2498"/>
    </row>
    <row r="37112" spans="16:16">
      <c r="P37112" s="2498"/>
    </row>
    <row r="37113" spans="16:16">
      <c r="P37113" s="2498"/>
    </row>
    <row r="37114" spans="16:16">
      <c r="P37114" s="2498"/>
    </row>
    <row r="37115" spans="16:16">
      <c r="P37115" s="2498"/>
    </row>
    <row r="37116" spans="16:16">
      <c r="P37116" s="2498"/>
    </row>
    <row r="37117" spans="16:16">
      <c r="P37117" s="2498"/>
    </row>
    <row r="37118" spans="16:16">
      <c r="P37118" s="2498"/>
    </row>
    <row r="37119" spans="16:16">
      <c r="P37119" s="2498"/>
    </row>
    <row r="37120" spans="16:16">
      <c r="P37120" s="2498"/>
    </row>
    <row r="37121" spans="16:16">
      <c r="P37121" s="2498"/>
    </row>
    <row r="37122" spans="16:16">
      <c r="P37122" s="2498"/>
    </row>
    <row r="37123" spans="16:16">
      <c r="P37123" s="2498"/>
    </row>
    <row r="37124" spans="16:16">
      <c r="P37124" s="2498"/>
    </row>
    <row r="37125" spans="16:16">
      <c r="P37125" s="2498"/>
    </row>
    <row r="37126" spans="16:16">
      <c r="P37126" s="2498"/>
    </row>
    <row r="37127" spans="16:16">
      <c r="P37127" s="2498"/>
    </row>
    <row r="37128" spans="16:16">
      <c r="P37128" s="2498"/>
    </row>
    <row r="37129" spans="16:16">
      <c r="P37129" s="2498"/>
    </row>
    <row r="37130" spans="16:16">
      <c r="P37130" s="2498"/>
    </row>
    <row r="37131" spans="16:16">
      <c r="P37131" s="2498"/>
    </row>
    <row r="37132" spans="16:16">
      <c r="P37132" s="2498"/>
    </row>
    <row r="37133" spans="16:16">
      <c r="P37133" s="2498"/>
    </row>
    <row r="37134" spans="16:16">
      <c r="P37134" s="2498"/>
    </row>
    <row r="37135" spans="16:16">
      <c r="P37135" s="2498"/>
    </row>
    <row r="37136" spans="16:16">
      <c r="P37136" s="2498"/>
    </row>
    <row r="37137" spans="16:16">
      <c r="P37137" s="2498"/>
    </row>
    <row r="37138" spans="16:16">
      <c r="P37138" s="2498"/>
    </row>
    <row r="37139" spans="16:16">
      <c r="P37139" s="2498"/>
    </row>
    <row r="37140" spans="16:16">
      <c r="P37140" s="2498"/>
    </row>
    <row r="37141" spans="16:16">
      <c r="P37141" s="2498"/>
    </row>
    <row r="37142" spans="16:16">
      <c r="P37142" s="2498"/>
    </row>
    <row r="37143" spans="16:16">
      <c r="P37143" s="2498"/>
    </row>
    <row r="37144" spans="16:16">
      <c r="P37144" s="2498"/>
    </row>
    <row r="37145" spans="16:16">
      <c r="P37145" s="2498"/>
    </row>
    <row r="37146" spans="16:16">
      <c r="P37146" s="2498"/>
    </row>
    <row r="37147" spans="16:16">
      <c r="P37147" s="2498"/>
    </row>
    <row r="37148" spans="16:16">
      <c r="P37148" s="2498"/>
    </row>
    <row r="37149" spans="16:16">
      <c r="P37149" s="2498"/>
    </row>
    <row r="37150" spans="16:16">
      <c r="P37150" s="2498"/>
    </row>
    <row r="37151" spans="16:16">
      <c r="P37151" s="2498"/>
    </row>
    <row r="37152" spans="16:16">
      <c r="P37152" s="2498"/>
    </row>
    <row r="37153" spans="16:16">
      <c r="P37153" s="2498"/>
    </row>
    <row r="37154" spans="16:16">
      <c r="P37154" s="2498"/>
    </row>
    <row r="37155" spans="16:16">
      <c r="P37155" s="2498"/>
    </row>
    <row r="37156" spans="16:16">
      <c r="P37156" s="2498"/>
    </row>
    <row r="37157" spans="16:16">
      <c r="P37157" s="2498"/>
    </row>
    <row r="37158" spans="16:16">
      <c r="P37158" s="2498"/>
    </row>
    <row r="37159" spans="16:16">
      <c r="P37159" s="2498"/>
    </row>
    <row r="37160" spans="16:16">
      <c r="P37160" s="2498"/>
    </row>
    <row r="37161" spans="16:16">
      <c r="P37161" s="2498"/>
    </row>
    <row r="37162" spans="16:16">
      <c r="P37162" s="2498"/>
    </row>
    <row r="37163" spans="16:16">
      <c r="P37163" s="2498"/>
    </row>
    <row r="37164" spans="16:16">
      <c r="P37164" s="2498"/>
    </row>
    <row r="37165" spans="16:16">
      <c r="P37165" s="2498"/>
    </row>
    <row r="37166" spans="16:16">
      <c r="P37166" s="2498"/>
    </row>
    <row r="37167" spans="16:16">
      <c r="P37167" s="2498"/>
    </row>
    <row r="37168" spans="16:16">
      <c r="P37168" s="2498"/>
    </row>
    <row r="37169" spans="16:16">
      <c r="P37169" s="2498"/>
    </row>
    <row r="37170" spans="16:16">
      <c r="P37170" s="2498"/>
    </row>
    <row r="37171" spans="16:16">
      <c r="P37171" s="2498"/>
    </row>
    <row r="37172" spans="16:16">
      <c r="P37172" s="2498"/>
    </row>
    <row r="37173" spans="16:16">
      <c r="P37173" s="2498"/>
    </row>
    <row r="37174" spans="16:16">
      <c r="P37174" s="2498"/>
    </row>
    <row r="37175" spans="16:16">
      <c r="P37175" s="2498"/>
    </row>
    <row r="37176" spans="16:16">
      <c r="P37176" s="2498"/>
    </row>
    <row r="37177" spans="16:16">
      <c r="P37177" s="2498"/>
    </row>
    <row r="37178" spans="16:16">
      <c r="P37178" s="2498"/>
    </row>
    <row r="37179" spans="16:16">
      <c r="P37179" s="2498"/>
    </row>
    <row r="37180" spans="16:16">
      <c r="P37180" s="2498"/>
    </row>
    <row r="37181" spans="16:16">
      <c r="P37181" s="2498"/>
    </row>
    <row r="37182" spans="16:16">
      <c r="P37182" s="2498"/>
    </row>
    <row r="37183" spans="16:16">
      <c r="P37183" s="2498"/>
    </row>
    <row r="37184" spans="16:16">
      <c r="P37184" s="2498"/>
    </row>
    <row r="37185" spans="16:16">
      <c r="P37185" s="2498"/>
    </row>
    <row r="37186" spans="16:16">
      <c r="P37186" s="2498"/>
    </row>
    <row r="37187" spans="16:16">
      <c r="P37187" s="2498"/>
    </row>
    <row r="37188" spans="16:16">
      <c r="P37188" s="2498"/>
    </row>
    <row r="37189" spans="16:16">
      <c r="P37189" s="2498"/>
    </row>
    <row r="37190" spans="16:16">
      <c r="P37190" s="2498"/>
    </row>
    <row r="37191" spans="16:16">
      <c r="P37191" s="2498"/>
    </row>
    <row r="37192" spans="16:16">
      <c r="P37192" s="2498"/>
    </row>
    <row r="37193" spans="16:16">
      <c r="P37193" s="2498"/>
    </row>
    <row r="37194" spans="16:16">
      <c r="P37194" s="2498"/>
    </row>
    <row r="37195" spans="16:16">
      <c r="P37195" s="2498"/>
    </row>
    <row r="37196" spans="16:16">
      <c r="P37196" s="2498"/>
    </row>
    <row r="37197" spans="16:16">
      <c r="P37197" s="2498"/>
    </row>
    <row r="37198" spans="16:16">
      <c r="P37198" s="2498"/>
    </row>
    <row r="37199" spans="16:16">
      <c r="P37199" s="2498"/>
    </row>
    <row r="37200" spans="16:16">
      <c r="P37200" s="2498"/>
    </row>
    <row r="37201" spans="16:16">
      <c r="P37201" s="2498"/>
    </row>
    <row r="37202" spans="16:16">
      <c r="P37202" s="2498"/>
    </row>
    <row r="37203" spans="16:16">
      <c r="P37203" s="2498"/>
    </row>
    <row r="37204" spans="16:16">
      <c r="P37204" s="2498"/>
    </row>
    <row r="37205" spans="16:16">
      <c r="P37205" s="2498"/>
    </row>
    <row r="37206" spans="16:16">
      <c r="P37206" s="2498"/>
    </row>
    <row r="37207" spans="16:16">
      <c r="P37207" s="2498"/>
    </row>
    <row r="37208" spans="16:16">
      <c r="P37208" s="2498"/>
    </row>
    <row r="37209" spans="16:16">
      <c r="P37209" s="2498"/>
    </row>
    <row r="37210" spans="16:16">
      <c r="P37210" s="2498"/>
    </row>
    <row r="37211" spans="16:16">
      <c r="P37211" s="2498"/>
    </row>
    <row r="37212" spans="16:16">
      <c r="P37212" s="2498"/>
    </row>
    <row r="37213" spans="16:16">
      <c r="P37213" s="2498"/>
    </row>
    <row r="37214" spans="16:16">
      <c r="P37214" s="2498"/>
    </row>
    <row r="37215" spans="16:16">
      <c r="P37215" s="2498"/>
    </row>
    <row r="37216" spans="16:16">
      <c r="P37216" s="2498"/>
    </row>
    <row r="37217" spans="16:16">
      <c r="P37217" s="2498"/>
    </row>
    <row r="37218" spans="16:16">
      <c r="P37218" s="2498"/>
    </row>
    <row r="37219" spans="16:16">
      <c r="P37219" s="2498"/>
    </row>
    <row r="37220" spans="16:16">
      <c r="P37220" s="2498"/>
    </row>
    <row r="37221" spans="16:16">
      <c r="P37221" s="2498"/>
    </row>
    <row r="37222" spans="16:16">
      <c r="P37222" s="2498"/>
    </row>
    <row r="37223" spans="16:16">
      <c r="P37223" s="2498"/>
    </row>
    <row r="37224" spans="16:16">
      <c r="P37224" s="2498"/>
    </row>
    <row r="37225" spans="16:16">
      <c r="P37225" s="2498"/>
    </row>
    <row r="37226" spans="16:16">
      <c r="P37226" s="2498"/>
    </row>
    <row r="37227" spans="16:16">
      <c r="P37227" s="2498"/>
    </row>
    <row r="37228" spans="16:16">
      <c r="P37228" s="2498"/>
    </row>
    <row r="37229" spans="16:16">
      <c r="P37229" s="2498"/>
    </row>
    <row r="37230" spans="16:16">
      <c r="P37230" s="2498"/>
    </row>
    <row r="37231" spans="16:16">
      <c r="P37231" s="2498"/>
    </row>
    <row r="37232" spans="16:16">
      <c r="P37232" s="2498"/>
    </row>
    <row r="37233" spans="16:16">
      <c r="P37233" s="2498"/>
    </row>
    <row r="37234" spans="16:16">
      <c r="P37234" s="2498"/>
    </row>
    <row r="37235" spans="16:16">
      <c r="P37235" s="2498"/>
    </row>
    <row r="37236" spans="16:16">
      <c r="P37236" s="2498"/>
    </row>
    <row r="37237" spans="16:16">
      <c r="P37237" s="2498"/>
    </row>
    <row r="37238" spans="16:16">
      <c r="P37238" s="2498"/>
    </row>
    <row r="37239" spans="16:16">
      <c r="P37239" s="2498"/>
    </row>
    <row r="37240" spans="16:16">
      <c r="P37240" s="2498"/>
    </row>
    <row r="37241" spans="16:16">
      <c r="P37241" s="2498"/>
    </row>
    <row r="37242" spans="16:16">
      <c r="P37242" s="2498"/>
    </row>
    <row r="37243" spans="16:16">
      <c r="P37243" s="2498"/>
    </row>
    <row r="37244" spans="16:16">
      <c r="P37244" s="2498"/>
    </row>
    <row r="37245" spans="16:16">
      <c r="P37245" s="2498"/>
    </row>
    <row r="37246" spans="16:16">
      <c r="P37246" s="2498"/>
    </row>
    <row r="37247" spans="16:16">
      <c r="P37247" s="2498"/>
    </row>
    <row r="37248" spans="16:16">
      <c r="P37248" s="2498"/>
    </row>
    <row r="37249" spans="16:16">
      <c r="P37249" s="2498"/>
    </row>
    <row r="37250" spans="16:16">
      <c r="P37250" s="2498"/>
    </row>
    <row r="37251" spans="16:16">
      <c r="P37251" s="2498"/>
    </row>
    <row r="37252" spans="16:16">
      <c r="P37252" s="2498"/>
    </row>
    <row r="37253" spans="16:16">
      <c r="P37253" s="2498"/>
    </row>
    <row r="37254" spans="16:16">
      <c r="P37254" s="2498"/>
    </row>
    <row r="37255" spans="16:16">
      <c r="P37255" s="2498"/>
    </row>
    <row r="37256" spans="16:16">
      <c r="P37256" s="2498"/>
    </row>
    <row r="37257" spans="16:16">
      <c r="P37257" s="2498"/>
    </row>
    <row r="37258" spans="16:16">
      <c r="P37258" s="2498"/>
    </row>
    <row r="37259" spans="16:16">
      <c r="P37259" s="2498"/>
    </row>
    <row r="37260" spans="16:16">
      <c r="P37260" s="2498"/>
    </row>
    <row r="37261" spans="16:16">
      <c r="P37261" s="2498"/>
    </row>
    <row r="37262" spans="16:16">
      <c r="P37262" s="2498"/>
    </row>
    <row r="37263" spans="16:16">
      <c r="P37263" s="2498"/>
    </row>
    <row r="37264" spans="16:16">
      <c r="P37264" s="2498"/>
    </row>
    <row r="37265" spans="16:16">
      <c r="P37265" s="2498"/>
    </row>
    <row r="37266" spans="16:16">
      <c r="P37266" s="2498"/>
    </row>
    <row r="37267" spans="16:16">
      <c r="P37267" s="2498"/>
    </row>
    <row r="37268" spans="16:16">
      <c r="P37268" s="2498"/>
    </row>
    <row r="37269" spans="16:16">
      <c r="P37269" s="2498"/>
    </row>
    <row r="37270" spans="16:16">
      <c r="P37270" s="2498"/>
    </row>
    <row r="37271" spans="16:16">
      <c r="P37271" s="2498"/>
    </row>
    <row r="37272" spans="16:16">
      <c r="P37272" s="2498"/>
    </row>
    <row r="37273" spans="16:16">
      <c r="P37273" s="2498"/>
    </row>
    <row r="37274" spans="16:16">
      <c r="P37274" s="2498"/>
    </row>
    <row r="37275" spans="16:16">
      <c r="P37275" s="2498"/>
    </row>
    <row r="37276" spans="16:16">
      <c r="P37276" s="2498"/>
    </row>
    <row r="37277" spans="16:16">
      <c r="P37277" s="2498"/>
    </row>
    <row r="37278" spans="16:16">
      <c r="P37278" s="2498"/>
    </row>
    <row r="37279" spans="16:16">
      <c r="P37279" s="2498"/>
    </row>
    <row r="37280" spans="16:16">
      <c r="P37280" s="2498"/>
    </row>
    <row r="37281" spans="16:16">
      <c r="P37281" s="2498"/>
    </row>
    <row r="37282" spans="16:16">
      <c r="P37282" s="2498"/>
    </row>
    <row r="37283" spans="16:16">
      <c r="P37283" s="2498"/>
    </row>
    <row r="37284" spans="16:16">
      <c r="P37284" s="2498"/>
    </row>
    <row r="37285" spans="16:16">
      <c r="P37285" s="2498"/>
    </row>
    <row r="37286" spans="16:16">
      <c r="P37286" s="2498"/>
    </row>
    <row r="37287" spans="16:16">
      <c r="P37287" s="2498"/>
    </row>
    <row r="37288" spans="16:16">
      <c r="P37288" s="2498"/>
    </row>
    <row r="37289" spans="16:16">
      <c r="P37289" s="2498"/>
    </row>
    <row r="37290" spans="16:16">
      <c r="P37290" s="2498"/>
    </row>
    <row r="37291" spans="16:16">
      <c r="P37291" s="2498"/>
    </row>
    <row r="37292" spans="16:16">
      <c r="P37292" s="2498"/>
    </row>
    <row r="37293" spans="16:16">
      <c r="P37293" s="2498"/>
    </row>
    <row r="37294" spans="16:16">
      <c r="P37294" s="2498"/>
    </row>
    <row r="37295" spans="16:16">
      <c r="P37295" s="2498"/>
    </row>
    <row r="37296" spans="16:16">
      <c r="P37296" s="2498"/>
    </row>
    <row r="37297" spans="16:16">
      <c r="P37297" s="2498"/>
    </row>
    <row r="37298" spans="16:16">
      <c r="P37298" s="2498"/>
    </row>
    <row r="37299" spans="16:16">
      <c r="P37299" s="2498"/>
    </row>
    <row r="37300" spans="16:16">
      <c r="P37300" s="2498"/>
    </row>
    <row r="37301" spans="16:16">
      <c r="P37301" s="2498"/>
    </row>
    <row r="37302" spans="16:16">
      <c r="P37302" s="2498"/>
    </row>
    <row r="37303" spans="16:16">
      <c r="P37303" s="2498"/>
    </row>
    <row r="37304" spans="16:16">
      <c r="P37304" s="2498"/>
    </row>
    <row r="37305" spans="16:16">
      <c r="P37305" s="2498"/>
    </row>
    <row r="37306" spans="16:16">
      <c r="P37306" s="2498"/>
    </row>
    <row r="37307" spans="16:16">
      <c r="P37307" s="2498"/>
    </row>
    <row r="37308" spans="16:16">
      <c r="P37308" s="2498"/>
    </row>
    <row r="37309" spans="16:16">
      <c r="P37309" s="2498"/>
    </row>
    <row r="37310" spans="16:16">
      <c r="P37310" s="2498"/>
    </row>
    <row r="37311" spans="16:16">
      <c r="P37311" s="2498"/>
    </row>
    <row r="37312" spans="16:16">
      <c r="P37312" s="2498"/>
    </row>
    <row r="37313" spans="16:16">
      <c r="P37313" s="2498"/>
    </row>
    <row r="37314" spans="16:16">
      <c r="P37314" s="2498"/>
    </row>
    <row r="37315" spans="16:16">
      <c r="P37315" s="2498"/>
    </row>
    <row r="37316" spans="16:16">
      <c r="P37316" s="2498"/>
    </row>
    <row r="37317" spans="16:16">
      <c r="P37317" s="2498"/>
    </row>
    <row r="37318" spans="16:16">
      <c r="P37318" s="2498"/>
    </row>
    <row r="37319" spans="16:16">
      <c r="P37319" s="2498"/>
    </row>
    <row r="37320" spans="16:16">
      <c r="P37320" s="2498"/>
    </row>
    <row r="37321" spans="16:16">
      <c r="P37321" s="2498"/>
    </row>
    <row r="37322" spans="16:16">
      <c r="P37322" s="2498"/>
    </row>
    <row r="37323" spans="16:16">
      <c r="P37323" s="2498"/>
    </row>
    <row r="37324" spans="16:16">
      <c r="P37324" s="2498"/>
    </row>
    <row r="37325" spans="16:16">
      <c r="P37325" s="2498"/>
    </row>
    <row r="37326" spans="16:16">
      <c r="P37326" s="2498"/>
    </row>
    <row r="37327" spans="16:16">
      <c r="P37327" s="2498"/>
    </row>
    <row r="37328" spans="16:16">
      <c r="P37328" s="2498"/>
    </row>
    <row r="37329" spans="16:16">
      <c r="P37329" s="2498"/>
    </row>
    <row r="37330" spans="16:16">
      <c r="P37330" s="2498"/>
    </row>
    <row r="37331" spans="16:16">
      <c r="P37331" s="2498"/>
    </row>
    <row r="37332" spans="16:16">
      <c r="P37332" s="2498"/>
    </row>
    <row r="37333" spans="16:16">
      <c r="P37333" s="2498"/>
    </row>
    <row r="37334" spans="16:16">
      <c r="P37334" s="2498"/>
    </row>
    <row r="37335" spans="16:16">
      <c r="P37335" s="2498"/>
    </row>
    <row r="37336" spans="16:16">
      <c r="P37336" s="2498"/>
    </row>
    <row r="37337" spans="16:16">
      <c r="P37337" s="2498"/>
    </row>
    <row r="37338" spans="16:16">
      <c r="P37338" s="2498"/>
    </row>
    <row r="37339" spans="16:16">
      <c r="P37339" s="2498"/>
    </row>
    <row r="37340" spans="16:16">
      <c r="P37340" s="2498"/>
    </row>
    <row r="37341" spans="16:16">
      <c r="P37341" s="2498"/>
    </row>
    <row r="37342" spans="16:16">
      <c r="P37342" s="2498"/>
    </row>
    <row r="37343" spans="16:16">
      <c r="P37343" s="2498"/>
    </row>
    <row r="37344" spans="16:16">
      <c r="P37344" s="2498"/>
    </row>
    <row r="37345" spans="16:16">
      <c r="P37345" s="2498"/>
    </row>
    <row r="37346" spans="16:16">
      <c r="P37346" s="2498"/>
    </row>
    <row r="37347" spans="16:16">
      <c r="P37347" s="2498"/>
    </row>
    <row r="37348" spans="16:16">
      <c r="P37348" s="2498"/>
    </row>
    <row r="37349" spans="16:16">
      <c r="P37349" s="2498"/>
    </row>
    <row r="37350" spans="16:16">
      <c r="P37350" s="2498"/>
    </row>
    <row r="37351" spans="16:16">
      <c r="P37351" s="2498"/>
    </row>
    <row r="37352" spans="16:16">
      <c r="P37352" s="2498"/>
    </row>
    <row r="37353" spans="16:16">
      <c r="P37353" s="2498"/>
    </row>
    <row r="37354" spans="16:16">
      <c r="P37354" s="2498"/>
    </row>
    <row r="37355" spans="16:16">
      <c r="P37355" s="2498"/>
    </row>
    <row r="37356" spans="16:16">
      <c r="P37356" s="2498"/>
    </row>
    <row r="37357" spans="16:16">
      <c r="P37357" s="2498"/>
    </row>
    <row r="37358" spans="16:16">
      <c r="P37358" s="2498"/>
    </row>
    <row r="37359" spans="16:16">
      <c r="P37359" s="2498"/>
    </row>
    <row r="37360" spans="16:16">
      <c r="P37360" s="2498"/>
    </row>
    <row r="37361" spans="16:16">
      <c r="P37361" s="2498"/>
    </row>
    <row r="37362" spans="16:16">
      <c r="P37362" s="2498"/>
    </row>
    <row r="37363" spans="16:16">
      <c r="P37363" s="2498"/>
    </row>
    <row r="37364" spans="16:16">
      <c r="P37364" s="2498"/>
    </row>
    <row r="37365" spans="16:16">
      <c r="P37365" s="2498"/>
    </row>
    <row r="37366" spans="16:16">
      <c r="P37366" s="2498"/>
    </row>
    <row r="37367" spans="16:16">
      <c r="P37367" s="2498"/>
    </row>
    <row r="37368" spans="16:16">
      <c r="P37368" s="2498"/>
    </row>
    <row r="37369" spans="16:16">
      <c r="P37369" s="2498"/>
    </row>
    <row r="37370" spans="16:16">
      <c r="P37370" s="2498"/>
    </row>
    <row r="37371" spans="16:16">
      <c r="P37371" s="2498"/>
    </row>
    <row r="37372" spans="16:16">
      <c r="P37372" s="2498"/>
    </row>
    <row r="37373" spans="16:16">
      <c r="P37373" s="2498"/>
    </row>
    <row r="37374" spans="16:16">
      <c r="P37374" s="2498"/>
    </row>
    <row r="37375" spans="16:16">
      <c r="P37375" s="2498"/>
    </row>
    <row r="37376" spans="16:16">
      <c r="P37376" s="2498"/>
    </row>
    <row r="37377" spans="16:16">
      <c r="P37377" s="2498"/>
    </row>
    <row r="37378" spans="16:16">
      <c r="P37378" s="2498"/>
    </row>
    <row r="37379" spans="16:16">
      <c r="P37379" s="2498"/>
    </row>
    <row r="37380" spans="16:16">
      <c r="P37380" s="2498"/>
    </row>
    <row r="37381" spans="16:16">
      <c r="P37381" s="2498"/>
    </row>
    <row r="37382" spans="16:16">
      <c r="P37382" s="2498"/>
    </row>
    <row r="37383" spans="16:16">
      <c r="P37383" s="2498"/>
    </row>
    <row r="37384" spans="16:16">
      <c r="P37384" s="2498"/>
    </row>
    <row r="37385" spans="16:16">
      <c r="P37385" s="2498"/>
    </row>
    <row r="37386" spans="16:16">
      <c r="P37386" s="2498"/>
    </row>
    <row r="37387" spans="16:16">
      <c r="P37387" s="2498"/>
    </row>
    <row r="37388" spans="16:16">
      <c r="P37388" s="2498"/>
    </row>
    <row r="37389" spans="16:16">
      <c r="P37389" s="2498"/>
    </row>
    <row r="37390" spans="16:16">
      <c r="P37390" s="2498"/>
    </row>
    <row r="37391" spans="16:16">
      <c r="P37391" s="2498"/>
    </row>
    <row r="37392" spans="16:16">
      <c r="P37392" s="2498"/>
    </row>
    <row r="37393" spans="16:16">
      <c r="P37393" s="2498"/>
    </row>
    <row r="37394" spans="16:16">
      <c r="P37394" s="2498"/>
    </row>
    <row r="37395" spans="16:16">
      <c r="P37395" s="2498"/>
    </row>
    <row r="37396" spans="16:16">
      <c r="P37396" s="2498"/>
    </row>
    <row r="37397" spans="16:16">
      <c r="P37397" s="2498"/>
    </row>
    <row r="37398" spans="16:16">
      <c r="P37398" s="2498"/>
    </row>
    <row r="37399" spans="16:16">
      <c r="P37399" s="2498"/>
    </row>
    <row r="37400" spans="16:16">
      <c r="P37400" s="2498"/>
    </row>
    <row r="37401" spans="16:16">
      <c r="P37401" s="2498"/>
    </row>
    <row r="37402" spans="16:16">
      <c r="P37402" s="2498"/>
    </row>
    <row r="37403" spans="16:16">
      <c r="P37403" s="2498"/>
    </row>
    <row r="37404" spans="16:16">
      <c r="P37404" s="2498"/>
    </row>
    <row r="37405" spans="16:16">
      <c r="P37405" s="2498"/>
    </row>
    <row r="37406" spans="16:16">
      <c r="P37406" s="2498"/>
    </row>
    <row r="37407" spans="16:16">
      <c r="P37407" s="2498"/>
    </row>
    <row r="37408" spans="16:16">
      <c r="P37408" s="2498"/>
    </row>
    <row r="37409" spans="16:16">
      <c r="P37409" s="2498"/>
    </row>
    <row r="37410" spans="16:16">
      <c r="P37410" s="2498"/>
    </row>
    <row r="37411" spans="16:16">
      <c r="P37411" s="2498"/>
    </row>
    <row r="37412" spans="16:16">
      <c r="P37412" s="2498"/>
    </row>
    <row r="37413" spans="16:16">
      <c r="P37413" s="2498"/>
    </row>
    <row r="37414" spans="16:16">
      <c r="P37414" s="2498"/>
    </row>
    <row r="37415" spans="16:16">
      <c r="P37415" s="2498"/>
    </row>
    <row r="37416" spans="16:16">
      <c r="P37416" s="2498"/>
    </row>
    <row r="37417" spans="16:16">
      <c r="P37417" s="2498"/>
    </row>
    <row r="37418" spans="16:16">
      <c r="P37418" s="2498"/>
    </row>
    <row r="37419" spans="16:16">
      <c r="P37419" s="2498"/>
    </row>
    <row r="37420" spans="16:16">
      <c r="P37420" s="2498"/>
    </row>
    <row r="37421" spans="16:16">
      <c r="P37421" s="2498"/>
    </row>
    <row r="37422" spans="16:16">
      <c r="P37422" s="2498"/>
    </row>
    <row r="37423" spans="16:16">
      <c r="P37423" s="2498"/>
    </row>
    <row r="37424" spans="16:16">
      <c r="P37424" s="2498"/>
    </row>
    <row r="37425" spans="16:16">
      <c r="P37425" s="2498"/>
    </row>
    <row r="37426" spans="16:16">
      <c r="P37426" s="2498"/>
    </row>
    <row r="37427" spans="16:16">
      <c r="P37427" s="2498"/>
    </row>
    <row r="37428" spans="16:16">
      <c r="P37428" s="2498"/>
    </row>
    <row r="37429" spans="16:16">
      <c r="P37429" s="2498"/>
    </row>
    <row r="37430" spans="16:16">
      <c r="P37430" s="2498"/>
    </row>
    <row r="37431" spans="16:16">
      <c r="P37431" s="2498"/>
    </row>
    <row r="37432" spans="16:16">
      <c r="P37432" s="2498"/>
    </row>
    <row r="37433" spans="16:16">
      <c r="P37433" s="2498"/>
    </row>
    <row r="37434" spans="16:16">
      <c r="P37434" s="2498"/>
    </row>
    <row r="37435" spans="16:16">
      <c r="P37435" s="2498"/>
    </row>
    <row r="37436" spans="16:16">
      <c r="P37436" s="2498"/>
    </row>
    <row r="37437" spans="16:16">
      <c r="P37437" s="2498"/>
    </row>
    <row r="37438" spans="16:16">
      <c r="P37438" s="2498"/>
    </row>
    <row r="37439" spans="16:16">
      <c r="P37439" s="2498"/>
    </row>
    <row r="37440" spans="16:16">
      <c r="P37440" s="2498"/>
    </row>
    <row r="37441" spans="16:16">
      <c r="P37441" s="2498"/>
    </row>
    <row r="37442" spans="16:16">
      <c r="P37442" s="2498"/>
    </row>
    <row r="37443" spans="16:16">
      <c r="P37443" s="2498"/>
    </row>
    <row r="37444" spans="16:16">
      <c r="P37444" s="2498"/>
    </row>
    <row r="37445" spans="16:16">
      <c r="P37445" s="2498"/>
    </row>
    <row r="37446" spans="16:16">
      <c r="P37446" s="2498"/>
    </row>
    <row r="37447" spans="16:16">
      <c r="P37447" s="2498"/>
    </row>
    <row r="37448" spans="16:16">
      <c r="P37448" s="2498"/>
    </row>
    <row r="37449" spans="16:16">
      <c r="P37449" s="2498"/>
    </row>
    <row r="37450" spans="16:16">
      <c r="P37450" s="2498"/>
    </row>
    <row r="37451" spans="16:16">
      <c r="P37451" s="2498"/>
    </row>
    <row r="37452" spans="16:16">
      <c r="P37452" s="2498"/>
    </row>
    <row r="37453" spans="16:16">
      <c r="P37453" s="2498"/>
    </row>
    <row r="37454" spans="16:16">
      <c r="P37454" s="2498"/>
    </row>
    <row r="37455" spans="16:16">
      <c r="P37455" s="2498"/>
    </row>
    <row r="37456" spans="16:16">
      <c r="P37456" s="2498"/>
    </row>
    <row r="37457" spans="16:16">
      <c r="P37457" s="2498"/>
    </row>
    <row r="37458" spans="16:16">
      <c r="P37458" s="2498"/>
    </row>
    <row r="37459" spans="16:16">
      <c r="P37459" s="2498"/>
    </row>
    <row r="37460" spans="16:16">
      <c r="P37460" s="2498"/>
    </row>
    <row r="37461" spans="16:16">
      <c r="P37461" s="2498"/>
    </row>
    <row r="37462" spans="16:16">
      <c r="P37462" s="2498"/>
    </row>
    <row r="37463" spans="16:16">
      <c r="P37463" s="2498"/>
    </row>
    <row r="37464" spans="16:16">
      <c r="P37464" s="2498"/>
    </row>
    <row r="37465" spans="16:16">
      <c r="P37465" s="2498"/>
    </row>
    <row r="37466" spans="16:16">
      <c r="P37466" s="2498"/>
    </row>
    <row r="37467" spans="16:16">
      <c r="P37467" s="2498"/>
    </row>
    <row r="37468" spans="16:16">
      <c r="P37468" s="2498"/>
    </row>
    <row r="37469" spans="16:16">
      <c r="P37469" s="2498"/>
    </row>
    <row r="37470" spans="16:16">
      <c r="P37470" s="2498"/>
    </row>
    <row r="37471" spans="16:16">
      <c r="P37471" s="2498"/>
    </row>
    <row r="37472" spans="16:16">
      <c r="P37472" s="2498"/>
    </row>
    <row r="37473" spans="16:16">
      <c r="P37473" s="2498"/>
    </row>
    <row r="37474" spans="16:16">
      <c r="P37474" s="2498"/>
    </row>
    <row r="37475" spans="16:16">
      <c r="P37475" s="2498"/>
    </row>
    <row r="37476" spans="16:16">
      <c r="P37476" s="2498"/>
    </row>
    <row r="37477" spans="16:16">
      <c r="P37477" s="2498"/>
    </row>
    <row r="37478" spans="16:16">
      <c r="P37478" s="2498"/>
    </row>
    <row r="37479" spans="16:16">
      <c r="P37479" s="2498"/>
    </row>
    <row r="37480" spans="16:16">
      <c r="P37480" s="2498"/>
    </row>
    <row r="37481" spans="16:16">
      <c r="P37481" s="2498"/>
    </row>
    <row r="37482" spans="16:16">
      <c r="P37482" s="2498"/>
    </row>
    <row r="37483" spans="16:16">
      <c r="P37483" s="2498"/>
    </row>
    <row r="37484" spans="16:16">
      <c r="P37484" s="2498"/>
    </row>
    <row r="37485" spans="16:16">
      <c r="P37485" s="2498"/>
    </row>
    <row r="37486" spans="16:16">
      <c r="P37486" s="2498"/>
    </row>
    <row r="37487" spans="16:16">
      <c r="P37487" s="2498"/>
    </row>
    <row r="37488" spans="16:16">
      <c r="P37488" s="2498"/>
    </row>
    <row r="37489" spans="16:16">
      <c r="P37489" s="2498"/>
    </row>
    <row r="37490" spans="16:16">
      <c r="P37490" s="2498"/>
    </row>
    <row r="37491" spans="16:16">
      <c r="P37491" s="2498"/>
    </row>
    <row r="37492" spans="16:16">
      <c r="P37492" s="2498"/>
    </row>
    <row r="37493" spans="16:16">
      <c r="P37493" s="2498"/>
    </row>
    <row r="37494" spans="16:16">
      <c r="P37494" s="2498"/>
    </row>
    <row r="37495" spans="16:16">
      <c r="P37495" s="2498"/>
    </row>
    <row r="37496" spans="16:16">
      <c r="P37496" s="2498"/>
    </row>
    <row r="37497" spans="16:16">
      <c r="P37497" s="2498"/>
    </row>
    <row r="37498" spans="16:16">
      <c r="P37498" s="2498"/>
    </row>
    <row r="37499" spans="16:16">
      <c r="P37499" s="2498"/>
    </row>
    <row r="37500" spans="16:16">
      <c r="P37500" s="2498"/>
    </row>
    <row r="37501" spans="16:16">
      <c r="P37501" s="2498"/>
    </row>
    <row r="37502" spans="16:16">
      <c r="P37502" s="2498"/>
    </row>
    <row r="37503" spans="16:16">
      <c r="P37503" s="2498"/>
    </row>
    <row r="37504" spans="16:16">
      <c r="P37504" s="2498"/>
    </row>
    <row r="37505" spans="16:16">
      <c r="P37505" s="2498"/>
    </row>
    <row r="37506" spans="16:16">
      <c r="P37506" s="2498"/>
    </row>
    <row r="37507" spans="16:16">
      <c r="P37507" s="2498"/>
    </row>
    <row r="37508" spans="16:16">
      <c r="P37508" s="2498"/>
    </row>
    <row r="37509" spans="16:16">
      <c r="P37509" s="2498"/>
    </row>
    <row r="37510" spans="16:16">
      <c r="P37510" s="2498"/>
    </row>
    <row r="37511" spans="16:16">
      <c r="P37511" s="2498"/>
    </row>
    <row r="37512" spans="16:16">
      <c r="P37512" s="2498"/>
    </row>
    <row r="37513" spans="16:16">
      <c r="P37513" s="2498"/>
    </row>
    <row r="37514" spans="16:16">
      <c r="P37514" s="2498"/>
    </row>
    <row r="37515" spans="16:16">
      <c r="P37515" s="2498"/>
    </row>
    <row r="37516" spans="16:16">
      <c r="P37516" s="2498"/>
    </row>
    <row r="37517" spans="16:16">
      <c r="P37517" s="2498"/>
    </row>
    <row r="37518" spans="16:16">
      <c r="P37518" s="2498"/>
    </row>
    <row r="37519" spans="16:16">
      <c r="P37519" s="2498"/>
    </row>
    <row r="37520" spans="16:16">
      <c r="P37520" s="2498"/>
    </row>
    <row r="37521" spans="16:16">
      <c r="P37521" s="2498"/>
    </row>
    <row r="37522" spans="16:16">
      <c r="P37522" s="2498"/>
    </row>
    <row r="37523" spans="16:16">
      <c r="P37523" s="2498"/>
    </row>
    <row r="37524" spans="16:16">
      <c r="P37524" s="2498"/>
    </row>
    <row r="37525" spans="16:16">
      <c r="P37525" s="2498"/>
    </row>
    <row r="37526" spans="16:16">
      <c r="P37526" s="2498"/>
    </row>
    <row r="37527" spans="16:16">
      <c r="P37527" s="2498"/>
    </row>
    <row r="37528" spans="16:16">
      <c r="P37528" s="2498"/>
    </row>
    <row r="37529" spans="16:16">
      <c r="P37529" s="2498"/>
    </row>
    <row r="37530" spans="16:16">
      <c r="P37530" s="2498"/>
    </row>
    <row r="37531" spans="16:16">
      <c r="P37531" s="2498"/>
    </row>
    <row r="37532" spans="16:16">
      <c r="P37532" s="2498"/>
    </row>
    <row r="37533" spans="16:16">
      <c r="P37533" s="2498"/>
    </row>
    <row r="37534" spans="16:16">
      <c r="P37534" s="2498"/>
    </row>
    <row r="37535" spans="16:16">
      <c r="P37535" s="2498"/>
    </row>
    <row r="37536" spans="16:16">
      <c r="P37536" s="2498"/>
    </row>
    <row r="37537" spans="16:16">
      <c r="P37537" s="2498"/>
    </row>
    <row r="37538" spans="16:16">
      <c r="P37538" s="2498"/>
    </row>
    <row r="37539" spans="16:16">
      <c r="P37539" s="2498"/>
    </row>
    <row r="37540" spans="16:16">
      <c r="P37540" s="2498"/>
    </row>
    <row r="37541" spans="16:16">
      <c r="P37541" s="2498"/>
    </row>
    <row r="37542" spans="16:16">
      <c r="P37542" s="2498"/>
    </row>
    <row r="37543" spans="16:16">
      <c r="P37543" s="2498"/>
    </row>
    <row r="37544" spans="16:16">
      <c r="P37544" s="2498"/>
    </row>
    <row r="37545" spans="16:16">
      <c r="P37545" s="2498"/>
    </row>
    <row r="37546" spans="16:16">
      <c r="P37546" s="2498"/>
    </row>
    <row r="37547" spans="16:16">
      <c r="P37547" s="2498"/>
    </row>
    <row r="37548" spans="16:16">
      <c r="P37548" s="2498"/>
    </row>
    <row r="37549" spans="16:16">
      <c r="P37549" s="2498"/>
    </row>
    <row r="37550" spans="16:16">
      <c r="P37550" s="2498"/>
    </row>
    <row r="37551" spans="16:16">
      <c r="P37551" s="2498"/>
    </row>
    <row r="37552" spans="16:16">
      <c r="P37552" s="2498"/>
    </row>
    <row r="37553" spans="16:16">
      <c r="P37553" s="2498"/>
    </row>
    <row r="37554" spans="16:16">
      <c r="P37554" s="2498"/>
    </row>
    <row r="37555" spans="16:16">
      <c r="P37555" s="2498"/>
    </row>
    <row r="37556" spans="16:16">
      <c r="P37556" s="2498"/>
    </row>
    <row r="37557" spans="16:16">
      <c r="P37557" s="2498"/>
    </row>
    <row r="37558" spans="16:16">
      <c r="P37558" s="2498"/>
    </row>
    <row r="37559" spans="16:16">
      <c r="P37559" s="2498"/>
    </row>
    <row r="37560" spans="16:16">
      <c r="P37560" s="2498"/>
    </row>
    <row r="37561" spans="16:16">
      <c r="P37561" s="2498"/>
    </row>
    <row r="37562" spans="16:16">
      <c r="P37562" s="2498"/>
    </row>
    <row r="37563" spans="16:16">
      <c r="P37563" s="2498"/>
    </row>
    <row r="37564" spans="16:16">
      <c r="P37564" s="2498"/>
    </row>
    <row r="37565" spans="16:16">
      <c r="P37565" s="2498"/>
    </row>
    <row r="37566" spans="16:16">
      <c r="P37566" s="2498"/>
    </row>
    <row r="37567" spans="16:16">
      <c r="P37567" s="2498"/>
    </row>
    <row r="37568" spans="16:16">
      <c r="P37568" s="2498"/>
    </row>
    <row r="37569" spans="16:16">
      <c r="P37569" s="2498"/>
    </row>
    <row r="37570" spans="16:16">
      <c r="P37570" s="2498"/>
    </row>
    <row r="37571" spans="16:16">
      <c r="P37571" s="2498"/>
    </row>
    <row r="37572" spans="16:16">
      <c r="P37572" s="2498"/>
    </row>
    <row r="37573" spans="16:16">
      <c r="P37573" s="2498"/>
    </row>
    <row r="37574" spans="16:16">
      <c r="P37574" s="2498"/>
    </row>
    <row r="37575" spans="16:16">
      <c r="P37575" s="2498"/>
    </row>
    <row r="37576" spans="16:16">
      <c r="P37576" s="2498"/>
    </row>
    <row r="37577" spans="16:16">
      <c r="P37577" s="2498"/>
    </row>
    <row r="37578" spans="16:16">
      <c r="P37578" s="2498"/>
    </row>
    <row r="37579" spans="16:16">
      <c r="P37579" s="2498"/>
    </row>
    <row r="37580" spans="16:16">
      <c r="P37580" s="2498"/>
    </row>
    <row r="37581" spans="16:16">
      <c r="P37581" s="2498"/>
    </row>
    <row r="37582" spans="16:16">
      <c r="P37582" s="2498"/>
    </row>
    <row r="37583" spans="16:16">
      <c r="P37583" s="2498"/>
    </row>
    <row r="37584" spans="16:16">
      <c r="P37584" s="2498"/>
    </row>
    <row r="37585" spans="16:16">
      <c r="P37585" s="2498"/>
    </row>
    <row r="37586" spans="16:16">
      <c r="P37586" s="2498"/>
    </row>
    <row r="37587" spans="16:16">
      <c r="P37587" s="2498"/>
    </row>
    <row r="37588" spans="16:16">
      <c r="P37588" s="2498"/>
    </row>
    <row r="37589" spans="16:16">
      <c r="P37589" s="2498"/>
    </row>
    <row r="37590" spans="16:16">
      <c r="P37590" s="2498"/>
    </row>
    <row r="37591" spans="16:16">
      <c r="P37591" s="2498"/>
    </row>
    <row r="37592" spans="16:16">
      <c r="P37592" s="2498"/>
    </row>
    <row r="37593" spans="16:16">
      <c r="P37593" s="2498"/>
    </row>
    <row r="37594" spans="16:16">
      <c r="P37594" s="2498"/>
    </row>
    <row r="37595" spans="16:16">
      <c r="P37595" s="2498"/>
    </row>
    <row r="37596" spans="16:16">
      <c r="P37596" s="2498"/>
    </row>
    <row r="37597" spans="16:16">
      <c r="P37597" s="2498"/>
    </row>
    <row r="37598" spans="16:16">
      <c r="P37598" s="2498"/>
    </row>
    <row r="37599" spans="16:16">
      <c r="P37599" s="2498"/>
    </row>
    <row r="37600" spans="16:16">
      <c r="P37600" s="2498"/>
    </row>
    <row r="37601" spans="16:16">
      <c r="P37601" s="2498"/>
    </row>
    <row r="37602" spans="16:16">
      <c r="P37602" s="2498"/>
    </row>
    <row r="37603" spans="16:16">
      <c r="P37603" s="2498"/>
    </row>
    <row r="37604" spans="16:16">
      <c r="P37604" s="2498"/>
    </row>
    <row r="37605" spans="16:16">
      <c r="P37605" s="2498"/>
    </row>
    <row r="37606" spans="16:16">
      <c r="P37606" s="2498"/>
    </row>
    <row r="37607" spans="16:16">
      <c r="P37607" s="2498"/>
    </row>
    <row r="37608" spans="16:16">
      <c r="P37608" s="2498"/>
    </row>
    <row r="37609" spans="16:16">
      <c r="P37609" s="2498"/>
    </row>
    <row r="37610" spans="16:16">
      <c r="P37610" s="2498"/>
    </row>
    <row r="37611" spans="16:16">
      <c r="P37611" s="2498"/>
    </row>
    <row r="37612" spans="16:16">
      <c r="P37612" s="2498"/>
    </row>
    <row r="37613" spans="16:16">
      <c r="P37613" s="2498"/>
    </row>
    <row r="37614" spans="16:16">
      <c r="P37614" s="2498"/>
    </row>
    <row r="37615" spans="16:16">
      <c r="P37615" s="2498"/>
    </row>
    <row r="37616" spans="16:16">
      <c r="P37616" s="2498"/>
    </row>
    <row r="37617" spans="16:16">
      <c r="P37617" s="2498"/>
    </row>
    <row r="37618" spans="16:16">
      <c r="P37618" s="2498"/>
    </row>
    <row r="37619" spans="16:16">
      <c r="P37619" s="2498"/>
    </row>
    <row r="37620" spans="16:16">
      <c r="P37620" s="2498"/>
    </row>
    <row r="37621" spans="16:16">
      <c r="P37621" s="2498"/>
    </row>
    <row r="37622" spans="16:16">
      <c r="P37622" s="2498"/>
    </row>
    <row r="37623" spans="16:16">
      <c r="P37623" s="2498"/>
    </row>
    <row r="37624" spans="16:16">
      <c r="P37624" s="2498"/>
    </row>
    <row r="37625" spans="16:16">
      <c r="P37625" s="2498"/>
    </row>
    <row r="37626" spans="16:16">
      <c r="P37626" s="2498"/>
    </row>
    <row r="37627" spans="16:16">
      <c r="P37627" s="2498"/>
    </row>
    <row r="37628" spans="16:16">
      <c r="P37628" s="2498"/>
    </row>
    <row r="37629" spans="16:16">
      <c r="P37629" s="2498"/>
    </row>
    <row r="37630" spans="16:16">
      <c r="P37630" s="2498"/>
    </row>
    <row r="37631" spans="16:16">
      <c r="P37631" s="2498"/>
    </row>
    <row r="37632" spans="16:16">
      <c r="P37632" s="2498"/>
    </row>
    <row r="37633" spans="16:16">
      <c r="P37633" s="2498"/>
    </row>
    <row r="37634" spans="16:16">
      <c r="P37634" s="2498"/>
    </row>
    <row r="37635" spans="16:16">
      <c r="P37635" s="2498"/>
    </row>
    <row r="37636" spans="16:16">
      <c r="P37636" s="2498"/>
    </row>
    <row r="37637" spans="16:16">
      <c r="P37637" s="2498"/>
    </row>
    <row r="37638" spans="16:16">
      <c r="P37638" s="2498"/>
    </row>
    <row r="37639" spans="16:16">
      <c r="P37639" s="2498"/>
    </row>
    <row r="37640" spans="16:16">
      <c r="P37640" s="2498"/>
    </row>
    <row r="37641" spans="16:16">
      <c r="P37641" s="2498"/>
    </row>
    <row r="37642" spans="16:16">
      <c r="P37642" s="2498"/>
    </row>
    <row r="37643" spans="16:16">
      <c r="P37643" s="2498"/>
    </row>
    <row r="37644" spans="16:16">
      <c r="P37644" s="2498"/>
    </row>
    <row r="37645" spans="16:16">
      <c r="P37645" s="2498"/>
    </row>
    <row r="37646" spans="16:16">
      <c r="P37646" s="2498"/>
    </row>
    <row r="37647" spans="16:16">
      <c r="P37647" s="2498"/>
    </row>
    <row r="37648" spans="16:16">
      <c r="P37648" s="2498"/>
    </row>
    <row r="37649" spans="16:16">
      <c r="P37649" s="2498"/>
    </row>
    <row r="37650" spans="16:16">
      <c r="P37650" s="2498"/>
    </row>
    <row r="37651" spans="16:16">
      <c r="P37651" s="2498"/>
    </row>
    <row r="37652" spans="16:16">
      <c r="P37652" s="2498"/>
    </row>
    <row r="37653" spans="16:16">
      <c r="P37653" s="2498"/>
    </row>
    <row r="37654" spans="16:16">
      <c r="P37654" s="2498"/>
    </row>
    <row r="37655" spans="16:16">
      <c r="P37655" s="2498"/>
    </row>
    <row r="37656" spans="16:16">
      <c r="P37656" s="2498"/>
    </row>
    <row r="37657" spans="16:16">
      <c r="P37657" s="2498"/>
    </row>
    <row r="37658" spans="16:16">
      <c r="P37658" s="2498"/>
    </row>
    <row r="37659" spans="16:16">
      <c r="P37659" s="2498"/>
    </row>
    <row r="37660" spans="16:16">
      <c r="P37660" s="2498"/>
    </row>
    <row r="37661" spans="16:16">
      <c r="P37661" s="2498"/>
    </row>
    <row r="37662" spans="16:16">
      <c r="P37662" s="2498"/>
    </row>
    <row r="37663" spans="16:16">
      <c r="P37663" s="2498"/>
    </row>
    <row r="37664" spans="16:16">
      <c r="P37664" s="2498"/>
    </row>
    <row r="37665" spans="16:16">
      <c r="P37665" s="2498"/>
    </row>
    <row r="37666" spans="16:16">
      <c r="P37666" s="2498"/>
    </row>
    <row r="37667" spans="16:16">
      <c r="P37667" s="2498"/>
    </row>
    <row r="37668" spans="16:16">
      <c r="P37668" s="2498"/>
    </row>
    <row r="37669" spans="16:16">
      <c r="P37669" s="2498"/>
    </row>
    <row r="37670" spans="16:16">
      <c r="P37670" s="2498"/>
    </row>
    <row r="37671" spans="16:16">
      <c r="P37671" s="2498"/>
    </row>
    <row r="37672" spans="16:16">
      <c r="P37672" s="2498"/>
    </row>
    <row r="37673" spans="16:16">
      <c r="P37673" s="2498"/>
    </row>
    <row r="37674" spans="16:16">
      <c r="P37674" s="2498"/>
    </row>
    <row r="37675" spans="16:16">
      <c r="P37675" s="2498"/>
    </row>
    <row r="37676" spans="16:16">
      <c r="P37676" s="2498"/>
    </row>
    <row r="37677" spans="16:16">
      <c r="P37677" s="2498"/>
    </row>
    <row r="37678" spans="16:16">
      <c r="P37678" s="2498"/>
    </row>
    <row r="37679" spans="16:16">
      <c r="P37679" s="2498"/>
    </row>
    <row r="37680" spans="16:16">
      <c r="P37680" s="2498"/>
    </row>
    <row r="37681" spans="16:16">
      <c r="P37681" s="2498"/>
    </row>
    <row r="37682" spans="16:16">
      <c r="P37682" s="2498"/>
    </row>
    <row r="37683" spans="16:16">
      <c r="P37683" s="2498"/>
    </row>
    <row r="37684" spans="16:16">
      <c r="P37684" s="2498"/>
    </row>
    <row r="37685" spans="16:16">
      <c r="P37685" s="2498"/>
    </row>
    <row r="37686" spans="16:16">
      <c r="P37686" s="2498"/>
    </row>
    <row r="37687" spans="16:16">
      <c r="P37687" s="2498"/>
    </row>
    <row r="37688" spans="16:16">
      <c r="P37688" s="2498"/>
    </row>
    <row r="37689" spans="16:16">
      <c r="P37689" s="2498"/>
    </row>
    <row r="37690" spans="16:16">
      <c r="P37690" s="2498"/>
    </row>
    <row r="37691" spans="16:16">
      <c r="P37691" s="2498"/>
    </row>
    <row r="37692" spans="16:16">
      <c r="P37692" s="2498"/>
    </row>
    <row r="37693" spans="16:16">
      <c r="P37693" s="2498"/>
    </row>
    <row r="37694" spans="16:16">
      <c r="P37694" s="2498"/>
    </row>
    <row r="37695" spans="16:16">
      <c r="P37695" s="2498"/>
    </row>
    <row r="37696" spans="16:16">
      <c r="P37696" s="2498"/>
    </row>
    <row r="37697" spans="16:16">
      <c r="P37697" s="2498"/>
    </row>
    <row r="37698" spans="16:16">
      <c r="P37698" s="2498"/>
    </row>
    <row r="37699" spans="16:16">
      <c r="P37699" s="2498"/>
    </row>
    <row r="37700" spans="16:16">
      <c r="P37700" s="2498"/>
    </row>
    <row r="37701" spans="16:16">
      <c r="P37701" s="2498"/>
    </row>
    <row r="37702" spans="16:16">
      <c r="P37702" s="2498"/>
    </row>
    <row r="37703" spans="16:16">
      <c r="P37703" s="2498"/>
    </row>
    <row r="37704" spans="16:16">
      <c r="P37704" s="2498"/>
    </row>
    <row r="37705" spans="16:16">
      <c r="P37705" s="2498"/>
    </row>
    <row r="37706" spans="16:16">
      <c r="P37706" s="2498"/>
    </row>
    <row r="37707" spans="16:16">
      <c r="P37707" s="2498"/>
    </row>
    <row r="37708" spans="16:16">
      <c r="P37708" s="2498"/>
    </row>
    <row r="37709" spans="16:16">
      <c r="P37709" s="2498"/>
    </row>
    <row r="37710" spans="16:16">
      <c r="P37710" s="2498"/>
    </row>
    <row r="37711" spans="16:16">
      <c r="P37711" s="2498"/>
    </row>
    <row r="37712" spans="16:16">
      <c r="P37712" s="2498"/>
    </row>
    <row r="37713" spans="16:16">
      <c r="P37713" s="2498"/>
    </row>
    <row r="37714" spans="16:16">
      <c r="P37714" s="2498"/>
    </row>
    <row r="37715" spans="16:16">
      <c r="P37715" s="2498"/>
    </row>
    <row r="37716" spans="16:16">
      <c r="P37716" s="2498"/>
    </row>
    <row r="37717" spans="16:16">
      <c r="P37717" s="2498"/>
    </row>
    <row r="37718" spans="16:16">
      <c r="P37718" s="2498"/>
    </row>
    <row r="37719" spans="16:16">
      <c r="P37719" s="2498"/>
    </row>
    <row r="37720" spans="16:16">
      <c r="P37720" s="2498"/>
    </row>
    <row r="37721" spans="16:16">
      <c r="P37721" s="2498"/>
    </row>
    <row r="37722" spans="16:16">
      <c r="P37722" s="2498"/>
    </row>
    <row r="37723" spans="16:16">
      <c r="P37723" s="2498"/>
    </row>
    <row r="37724" spans="16:16">
      <c r="P37724" s="2498"/>
    </row>
    <row r="37725" spans="16:16">
      <c r="P37725" s="2498"/>
    </row>
    <row r="37726" spans="16:16">
      <c r="P37726" s="2498"/>
    </row>
    <row r="37727" spans="16:16">
      <c r="P37727" s="2498"/>
    </row>
    <row r="37728" spans="16:16">
      <c r="P37728" s="2498"/>
    </row>
    <row r="37729" spans="16:16">
      <c r="P37729" s="2498"/>
    </row>
    <row r="37730" spans="16:16">
      <c r="P37730" s="2498"/>
    </row>
    <row r="37731" spans="16:16">
      <c r="P37731" s="2498"/>
    </row>
    <row r="37732" spans="16:16">
      <c r="P37732" s="2498"/>
    </row>
    <row r="37733" spans="16:16">
      <c r="P37733" s="2498"/>
    </row>
    <row r="37734" spans="16:16">
      <c r="P37734" s="2498"/>
    </row>
    <row r="37735" spans="16:16">
      <c r="P37735" s="2498"/>
    </row>
    <row r="37736" spans="16:16">
      <c r="P37736" s="2498"/>
    </row>
    <row r="37737" spans="16:16">
      <c r="P37737" s="2498"/>
    </row>
    <row r="37738" spans="16:16">
      <c r="P37738" s="2498"/>
    </row>
    <row r="37739" spans="16:16">
      <c r="P37739" s="2498"/>
    </row>
    <row r="37740" spans="16:16">
      <c r="P37740" s="2498"/>
    </row>
    <row r="37741" spans="16:16">
      <c r="P37741" s="2498"/>
    </row>
    <row r="37742" spans="16:16">
      <c r="P37742" s="2498"/>
    </row>
    <row r="37743" spans="16:16">
      <c r="P37743" s="2498"/>
    </row>
    <row r="37744" spans="16:16">
      <c r="P37744" s="2498"/>
    </row>
    <row r="37745" spans="16:16">
      <c r="P37745" s="2498"/>
    </row>
    <row r="37746" spans="16:16">
      <c r="P37746" s="2498"/>
    </row>
    <row r="37747" spans="16:16">
      <c r="P37747" s="2498"/>
    </row>
    <row r="37748" spans="16:16">
      <c r="P37748" s="2498"/>
    </row>
    <row r="37749" spans="16:16">
      <c r="P37749" s="2498"/>
    </row>
    <row r="37750" spans="16:16">
      <c r="P37750" s="2498"/>
    </row>
    <row r="37751" spans="16:16">
      <c r="P37751" s="2498"/>
    </row>
    <row r="37752" spans="16:16">
      <c r="P37752" s="2498"/>
    </row>
    <row r="37753" spans="16:16">
      <c r="P37753" s="2498"/>
    </row>
    <row r="37754" spans="16:16">
      <c r="P37754" s="2498"/>
    </row>
    <row r="37755" spans="16:16">
      <c r="P37755" s="2498"/>
    </row>
    <row r="37756" spans="16:16">
      <c r="P37756" s="2498"/>
    </row>
    <row r="37757" spans="16:16">
      <c r="P37757" s="2498"/>
    </row>
    <row r="37758" spans="16:16">
      <c r="P37758" s="2498"/>
    </row>
    <row r="37759" spans="16:16">
      <c r="P37759" s="2498"/>
    </row>
    <row r="37760" spans="16:16">
      <c r="P37760" s="2498"/>
    </row>
    <row r="37761" spans="16:16">
      <c r="P37761" s="2498"/>
    </row>
    <row r="37762" spans="16:16">
      <c r="P37762" s="2498"/>
    </row>
    <row r="37763" spans="16:16">
      <c r="P37763" s="2498"/>
    </row>
    <row r="37764" spans="16:16">
      <c r="P37764" s="2498"/>
    </row>
    <row r="37765" spans="16:16">
      <c r="P37765" s="2498"/>
    </row>
    <row r="37766" spans="16:16">
      <c r="P37766" s="2498"/>
    </row>
    <row r="37767" spans="16:16">
      <c r="P37767" s="2498"/>
    </row>
    <row r="37768" spans="16:16">
      <c r="P37768" s="2498"/>
    </row>
    <row r="37769" spans="16:16">
      <c r="P37769" s="2498"/>
    </row>
    <row r="37770" spans="16:16">
      <c r="P37770" s="2498"/>
    </row>
    <row r="37771" spans="16:16">
      <c r="P37771" s="2498"/>
    </row>
    <row r="37772" spans="16:16">
      <c r="P37772" s="2498"/>
    </row>
    <row r="37773" spans="16:16">
      <c r="P37773" s="2498"/>
    </row>
    <row r="37774" spans="16:16">
      <c r="P37774" s="2498"/>
    </row>
    <row r="37775" spans="16:16">
      <c r="P37775" s="2498"/>
    </row>
    <row r="37776" spans="16:16">
      <c r="P37776" s="2498"/>
    </row>
    <row r="37777" spans="16:16">
      <c r="P37777" s="2498"/>
    </row>
    <row r="37778" spans="16:16">
      <c r="P37778" s="2498"/>
    </row>
    <row r="37779" spans="16:16">
      <c r="P37779" s="2498"/>
    </row>
    <row r="37780" spans="16:16">
      <c r="P37780" s="2498"/>
    </row>
    <row r="37781" spans="16:16">
      <c r="P37781" s="2498"/>
    </row>
    <row r="37782" spans="16:16">
      <c r="P37782" s="2498"/>
    </row>
    <row r="37783" spans="16:16">
      <c r="P37783" s="2498"/>
    </row>
    <row r="37784" spans="16:16">
      <c r="P37784" s="2498"/>
    </row>
    <row r="37785" spans="16:16">
      <c r="P37785" s="2498"/>
    </row>
    <row r="37786" spans="16:16">
      <c r="P37786" s="2498"/>
    </row>
    <row r="37787" spans="16:16">
      <c r="P37787" s="2498"/>
    </row>
    <row r="37788" spans="16:16">
      <c r="P37788" s="2498"/>
    </row>
    <row r="37789" spans="16:16">
      <c r="P37789" s="2498"/>
    </row>
    <row r="37790" spans="16:16">
      <c r="P37790" s="2498"/>
    </row>
    <row r="37791" spans="16:16">
      <c r="P37791" s="2498"/>
    </row>
    <row r="37792" spans="16:16">
      <c r="P37792" s="2498"/>
    </row>
    <row r="37793" spans="16:16">
      <c r="P37793" s="2498"/>
    </row>
    <row r="37794" spans="16:16">
      <c r="P37794" s="2498"/>
    </row>
    <row r="37795" spans="16:16">
      <c r="P37795" s="2498"/>
    </row>
    <row r="37796" spans="16:16">
      <c r="P37796" s="2498"/>
    </row>
    <row r="37797" spans="16:16">
      <c r="P37797" s="2498"/>
    </row>
    <row r="37798" spans="16:16">
      <c r="P37798" s="2498"/>
    </row>
    <row r="37799" spans="16:16">
      <c r="P37799" s="2498"/>
    </row>
    <row r="37800" spans="16:16">
      <c r="P37800" s="2498"/>
    </row>
    <row r="37801" spans="16:16">
      <c r="P37801" s="2498"/>
    </row>
    <row r="37802" spans="16:16">
      <c r="P37802" s="2498"/>
    </row>
    <row r="37803" spans="16:16">
      <c r="P37803" s="2498"/>
    </row>
    <row r="37804" spans="16:16">
      <c r="P37804" s="2498"/>
    </row>
    <row r="37805" spans="16:16">
      <c r="P37805" s="2498"/>
    </row>
    <row r="37806" spans="16:16">
      <c r="P37806" s="2498"/>
    </row>
    <row r="37807" spans="16:16">
      <c r="P37807" s="2498"/>
    </row>
    <row r="37808" spans="16:16">
      <c r="P37808" s="2498"/>
    </row>
    <row r="37809" spans="16:16">
      <c r="P37809" s="2498"/>
    </row>
    <row r="37810" spans="16:16">
      <c r="P37810" s="2498"/>
    </row>
    <row r="37811" spans="16:16">
      <c r="P37811" s="2498"/>
    </row>
    <row r="37812" spans="16:16">
      <c r="P37812" s="2498"/>
    </row>
    <row r="37813" spans="16:16">
      <c r="P37813" s="2498"/>
    </row>
    <row r="37814" spans="16:16">
      <c r="P37814" s="2498"/>
    </row>
    <row r="37815" spans="16:16">
      <c r="P37815" s="2498"/>
    </row>
    <row r="37816" spans="16:16">
      <c r="P37816" s="2498"/>
    </row>
    <row r="37817" spans="16:16">
      <c r="P37817" s="2498"/>
    </row>
    <row r="37818" spans="16:16">
      <c r="P37818" s="2498"/>
    </row>
    <row r="37819" spans="16:16">
      <c r="P37819" s="2498"/>
    </row>
    <row r="37820" spans="16:16">
      <c r="P37820" s="2498"/>
    </row>
    <row r="37821" spans="16:16">
      <c r="P37821" s="2498"/>
    </row>
    <row r="37822" spans="16:16">
      <c r="P37822" s="2498"/>
    </row>
    <row r="37823" spans="16:16">
      <c r="P37823" s="2498"/>
    </row>
    <row r="37824" spans="16:16">
      <c r="P37824" s="2498"/>
    </row>
    <row r="37825" spans="16:16">
      <c r="P37825" s="2498"/>
    </row>
    <row r="37826" spans="16:16">
      <c r="P37826" s="2498"/>
    </row>
    <row r="37827" spans="16:16">
      <c r="P37827" s="2498"/>
    </row>
    <row r="37828" spans="16:16">
      <c r="P37828" s="2498"/>
    </row>
    <row r="37829" spans="16:16">
      <c r="P37829" s="2498"/>
    </row>
    <row r="37830" spans="16:16">
      <c r="P37830" s="2498"/>
    </row>
    <row r="37831" spans="16:16">
      <c r="P37831" s="2498"/>
    </row>
    <row r="37832" spans="16:16">
      <c r="P37832" s="2498"/>
    </row>
    <row r="37833" spans="16:16">
      <c r="P37833" s="2498"/>
    </row>
    <row r="37834" spans="16:16">
      <c r="P37834" s="2498"/>
    </row>
    <row r="37835" spans="16:16">
      <c r="P37835" s="2498"/>
    </row>
    <row r="37836" spans="16:16">
      <c r="P37836" s="2498"/>
    </row>
    <row r="37837" spans="16:16">
      <c r="P37837" s="2498"/>
    </row>
    <row r="37838" spans="16:16">
      <c r="P37838" s="2498"/>
    </row>
    <row r="37839" spans="16:16">
      <c r="P37839" s="2498"/>
    </row>
    <row r="37840" spans="16:16">
      <c r="P37840" s="2498"/>
    </row>
    <row r="37841" spans="16:16">
      <c r="P37841" s="2498"/>
    </row>
    <row r="37842" spans="16:16">
      <c r="P37842" s="2498"/>
    </row>
    <row r="37843" spans="16:16">
      <c r="P37843" s="2498"/>
    </row>
    <row r="37844" spans="16:16">
      <c r="P37844" s="2498"/>
    </row>
    <row r="37845" spans="16:16">
      <c r="P37845" s="2498"/>
    </row>
    <row r="37846" spans="16:16">
      <c r="P37846" s="2498"/>
    </row>
    <row r="37847" spans="16:16">
      <c r="P37847" s="2498"/>
    </row>
    <row r="37848" spans="16:16">
      <c r="P37848" s="2498"/>
    </row>
    <row r="37849" spans="16:16">
      <c r="P37849" s="2498"/>
    </row>
    <row r="37850" spans="16:16">
      <c r="P37850" s="2498"/>
    </row>
    <row r="37851" spans="16:16">
      <c r="P37851" s="2498"/>
    </row>
    <row r="37852" spans="16:16">
      <c r="P37852" s="2498"/>
    </row>
    <row r="37853" spans="16:16">
      <c r="P37853" s="2498"/>
    </row>
    <row r="37854" spans="16:16">
      <c r="P37854" s="2498"/>
    </row>
    <row r="37855" spans="16:16">
      <c r="P37855" s="2498"/>
    </row>
    <row r="37856" spans="16:16">
      <c r="P37856" s="2498"/>
    </row>
    <row r="37857" spans="16:16">
      <c r="P37857" s="2498"/>
    </row>
    <row r="37858" spans="16:16">
      <c r="P37858" s="2498"/>
    </row>
    <row r="37859" spans="16:16">
      <c r="P37859" s="2498"/>
    </row>
    <row r="37860" spans="16:16">
      <c r="P37860" s="2498"/>
    </row>
    <row r="37861" spans="16:16">
      <c r="P37861" s="2498"/>
    </row>
    <row r="37862" spans="16:16">
      <c r="P37862" s="2498"/>
    </row>
    <row r="37863" spans="16:16">
      <c r="P37863" s="2498"/>
    </row>
    <row r="37864" spans="16:16">
      <c r="P37864" s="2498"/>
    </row>
    <row r="37865" spans="16:16">
      <c r="P37865" s="2498"/>
    </row>
    <row r="37866" spans="16:16">
      <c r="P37866" s="2498"/>
    </row>
    <row r="37867" spans="16:16">
      <c r="P37867" s="2498"/>
    </row>
    <row r="37868" spans="16:16">
      <c r="P37868" s="2498"/>
    </row>
    <row r="37869" spans="16:16">
      <c r="P37869" s="2498"/>
    </row>
    <row r="37870" spans="16:16">
      <c r="P37870" s="2498"/>
    </row>
    <row r="37871" spans="16:16">
      <c r="P37871" s="2498"/>
    </row>
    <row r="37872" spans="16:16">
      <c r="P37872" s="2498"/>
    </row>
    <row r="37873" spans="16:16">
      <c r="P37873" s="2498"/>
    </row>
    <row r="37874" spans="16:16">
      <c r="P37874" s="2498"/>
    </row>
    <row r="37875" spans="16:16">
      <c r="P37875" s="2498"/>
    </row>
    <row r="37876" spans="16:16">
      <c r="P37876" s="2498"/>
    </row>
    <row r="37877" spans="16:16">
      <c r="P37877" s="2498"/>
    </row>
    <row r="37878" spans="16:16">
      <c r="P37878" s="2498"/>
    </row>
    <row r="37879" spans="16:16">
      <c r="P37879" s="2498"/>
    </row>
    <row r="37880" spans="16:16">
      <c r="P37880" s="2498"/>
    </row>
    <row r="37881" spans="16:16">
      <c r="P37881" s="2498"/>
    </row>
    <row r="37882" spans="16:16">
      <c r="P37882" s="2498"/>
    </row>
    <row r="37883" spans="16:16">
      <c r="P37883" s="2498"/>
    </row>
    <row r="37884" spans="16:16">
      <c r="P37884" s="2498"/>
    </row>
    <row r="37885" spans="16:16">
      <c r="P37885" s="2498"/>
    </row>
    <row r="37886" spans="16:16">
      <c r="P37886" s="2498"/>
    </row>
    <row r="37887" spans="16:16">
      <c r="P37887" s="2498"/>
    </row>
    <row r="37888" spans="16:16">
      <c r="P37888" s="2498"/>
    </row>
    <row r="37889" spans="16:16">
      <c r="P37889" s="2498"/>
    </row>
    <row r="37890" spans="16:16">
      <c r="P37890" s="2498"/>
    </row>
    <row r="37891" spans="16:16">
      <c r="P37891" s="2498"/>
    </row>
    <row r="37892" spans="16:16">
      <c r="P37892" s="2498"/>
    </row>
    <row r="37893" spans="16:16">
      <c r="P37893" s="2498"/>
    </row>
    <row r="37894" spans="16:16">
      <c r="P37894" s="2498"/>
    </row>
    <row r="37895" spans="16:16">
      <c r="P37895" s="2498"/>
    </row>
    <row r="37896" spans="16:16">
      <c r="P37896" s="2498"/>
    </row>
    <row r="37897" spans="16:16">
      <c r="P37897" s="2498"/>
    </row>
    <row r="37898" spans="16:16">
      <c r="P37898" s="2498"/>
    </row>
    <row r="37899" spans="16:16">
      <c r="P37899" s="2498"/>
    </row>
    <row r="37900" spans="16:16">
      <c r="P37900" s="2498"/>
    </row>
    <row r="37901" spans="16:16">
      <c r="P37901" s="2498"/>
    </row>
    <row r="37902" spans="16:16">
      <c r="P37902" s="2498"/>
    </row>
    <row r="37903" spans="16:16">
      <c r="P37903" s="2498"/>
    </row>
    <row r="37904" spans="16:16">
      <c r="P37904" s="2498"/>
    </row>
    <row r="37905" spans="16:16">
      <c r="P37905" s="2498"/>
    </row>
    <row r="37906" spans="16:16">
      <c r="P37906" s="2498"/>
    </row>
    <row r="37907" spans="16:16">
      <c r="P37907" s="2498"/>
    </row>
    <row r="37908" spans="16:16">
      <c r="P37908" s="2498"/>
    </row>
    <row r="37909" spans="16:16">
      <c r="P37909" s="2498"/>
    </row>
    <row r="37910" spans="16:16">
      <c r="P37910" s="2498"/>
    </row>
    <row r="37911" spans="16:16">
      <c r="P37911" s="2498"/>
    </row>
    <row r="37912" spans="16:16">
      <c r="P37912" s="2498"/>
    </row>
    <row r="37913" spans="16:16">
      <c r="P37913" s="2498"/>
    </row>
    <row r="37914" spans="16:16">
      <c r="P37914" s="2498"/>
    </row>
    <row r="37915" spans="16:16">
      <c r="P37915" s="2498"/>
    </row>
    <row r="37916" spans="16:16">
      <c r="P37916" s="2498"/>
    </row>
    <row r="37917" spans="16:16">
      <c r="P37917" s="2498"/>
    </row>
    <row r="37918" spans="16:16">
      <c r="P37918" s="2498"/>
    </row>
    <row r="37919" spans="16:16">
      <c r="P37919" s="2498"/>
    </row>
    <row r="37920" spans="16:16">
      <c r="P37920" s="2498"/>
    </row>
    <row r="37921" spans="16:16">
      <c r="P37921" s="2498"/>
    </row>
    <row r="37922" spans="16:16">
      <c r="P37922" s="2498"/>
    </row>
    <row r="37923" spans="16:16">
      <c r="P37923" s="2498"/>
    </row>
    <row r="37924" spans="16:16">
      <c r="P37924" s="2498"/>
    </row>
    <row r="37925" spans="16:16">
      <c r="P37925" s="2498"/>
    </row>
    <row r="37926" spans="16:16">
      <c r="P37926" s="2498"/>
    </row>
    <row r="37927" spans="16:16">
      <c r="P37927" s="2498"/>
    </row>
    <row r="37928" spans="16:16">
      <c r="P37928" s="2498"/>
    </row>
    <row r="37929" spans="16:16">
      <c r="P37929" s="2498"/>
    </row>
    <row r="37930" spans="16:16">
      <c r="P37930" s="2498"/>
    </row>
    <row r="37931" spans="16:16">
      <c r="P37931" s="2498"/>
    </row>
    <row r="37932" spans="16:16">
      <c r="P37932" s="2498"/>
    </row>
    <row r="37933" spans="16:16">
      <c r="P37933" s="2498"/>
    </row>
    <row r="37934" spans="16:16">
      <c r="P37934" s="2498"/>
    </row>
    <row r="37935" spans="16:16">
      <c r="P37935" s="2498"/>
    </row>
    <row r="37936" spans="16:16">
      <c r="P37936" s="2498"/>
    </row>
    <row r="37937" spans="16:16">
      <c r="P37937" s="2498"/>
    </row>
    <row r="37938" spans="16:16">
      <c r="P37938" s="2498"/>
    </row>
    <row r="37939" spans="16:16">
      <c r="P37939" s="2498"/>
    </row>
    <row r="37940" spans="16:16">
      <c r="P37940" s="2498"/>
    </row>
    <row r="37941" spans="16:16">
      <c r="P37941" s="2498"/>
    </row>
    <row r="37942" spans="16:16">
      <c r="P37942" s="2498"/>
    </row>
    <row r="37943" spans="16:16">
      <c r="P37943" s="2498"/>
    </row>
    <row r="37944" spans="16:16">
      <c r="P37944" s="2498"/>
    </row>
    <row r="37945" spans="16:16">
      <c r="P37945" s="2498"/>
    </row>
    <row r="37946" spans="16:16">
      <c r="P37946" s="2498"/>
    </row>
    <row r="37947" spans="16:16">
      <c r="P37947" s="2498"/>
    </row>
    <row r="37948" spans="16:16">
      <c r="P37948" s="2498"/>
    </row>
    <row r="37949" spans="16:16">
      <c r="P37949" s="2498"/>
    </row>
    <row r="37950" spans="16:16">
      <c r="P37950" s="2498"/>
    </row>
    <row r="37951" spans="16:16">
      <c r="P37951" s="2498"/>
    </row>
    <row r="37952" spans="16:16">
      <c r="P37952" s="2498"/>
    </row>
    <row r="37953" spans="16:16">
      <c r="P37953" s="2498"/>
    </row>
    <row r="37954" spans="16:16">
      <c r="P37954" s="2498"/>
    </row>
    <row r="37955" spans="16:16">
      <c r="P37955" s="2498"/>
    </row>
    <row r="37956" spans="16:16">
      <c r="P37956" s="2498"/>
    </row>
    <row r="37957" spans="16:16">
      <c r="P37957" s="2498"/>
    </row>
    <row r="37958" spans="16:16">
      <c r="P37958" s="2498"/>
    </row>
    <row r="37959" spans="16:16">
      <c r="P37959" s="2498"/>
    </row>
    <row r="37960" spans="16:16">
      <c r="P37960" s="2498"/>
    </row>
    <row r="37961" spans="16:16">
      <c r="P37961" s="2498"/>
    </row>
    <row r="37962" spans="16:16">
      <c r="P37962" s="2498"/>
    </row>
    <row r="37963" spans="16:16">
      <c r="P37963" s="2498"/>
    </row>
    <row r="37964" spans="16:16">
      <c r="P37964" s="2498"/>
    </row>
    <row r="37965" spans="16:16">
      <c r="P37965" s="2498"/>
    </row>
    <row r="37966" spans="16:16">
      <c r="P37966" s="2498"/>
    </row>
    <row r="37967" spans="16:16">
      <c r="P37967" s="2498"/>
    </row>
    <row r="37968" spans="16:16">
      <c r="P37968" s="2498"/>
    </row>
    <row r="37969" spans="16:16">
      <c r="P37969" s="2498"/>
    </row>
    <row r="37970" spans="16:16">
      <c r="P37970" s="2498"/>
    </row>
    <row r="37971" spans="16:16">
      <c r="P37971" s="2498"/>
    </row>
    <row r="37972" spans="16:16">
      <c r="P37972" s="2498"/>
    </row>
    <row r="37973" spans="16:16">
      <c r="P37973" s="2498"/>
    </row>
    <row r="37974" spans="16:16">
      <c r="P37974" s="2498"/>
    </row>
    <row r="37975" spans="16:16">
      <c r="P37975" s="2498"/>
    </row>
    <row r="37976" spans="16:16">
      <c r="P37976" s="2498"/>
    </row>
    <row r="37977" spans="16:16">
      <c r="P37977" s="2498"/>
    </row>
    <row r="37978" spans="16:16">
      <c r="P37978" s="2498"/>
    </row>
    <row r="37979" spans="16:16">
      <c r="P37979" s="2498"/>
    </row>
    <row r="37980" spans="16:16">
      <c r="P37980" s="2498"/>
    </row>
    <row r="37981" spans="16:16">
      <c r="P37981" s="2498"/>
    </row>
    <row r="37982" spans="16:16">
      <c r="P37982" s="2498"/>
    </row>
    <row r="37983" spans="16:16">
      <c r="P37983" s="2498"/>
    </row>
    <row r="37984" spans="16:16">
      <c r="P37984" s="2498"/>
    </row>
    <row r="37985" spans="16:16">
      <c r="P37985" s="2498"/>
    </row>
    <row r="37986" spans="16:16">
      <c r="P37986" s="2498"/>
    </row>
    <row r="37987" spans="16:16">
      <c r="P37987" s="2498"/>
    </row>
    <row r="37988" spans="16:16">
      <c r="P37988" s="2498"/>
    </row>
    <row r="37989" spans="16:16">
      <c r="P37989" s="2498"/>
    </row>
    <row r="37990" spans="16:16">
      <c r="P37990" s="2498"/>
    </row>
    <row r="37991" spans="16:16">
      <c r="P37991" s="2498"/>
    </row>
    <row r="37992" spans="16:16">
      <c r="P37992" s="2498"/>
    </row>
    <row r="37993" spans="16:16">
      <c r="P37993" s="2498"/>
    </row>
    <row r="37994" spans="16:16">
      <c r="P37994" s="2498"/>
    </row>
    <row r="37995" spans="16:16">
      <c r="P37995" s="2498"/>
    </row>
    <row r="37996" spans="16:16">
      <c r="P37996" s="2498"/>
    </row>
    <row r="37997" spans="16:16">
      <c r="P37997" s="2498"/>
    </row>
    <row r="37998" spans="16:16">
      <c r="P37998" s="2498"/>
    </row>
    <row r="37999" spans="16:16">
      <c r="P37999" s="2498"/>
    </row>
    <row r="38000" spans="16:16">
      <c r="P38000" s="2498"/>
    </row>
    <row r="38001" spans="16:16">
      <c r="P38001" s="2498"/>
    </row>
    <row r="38002" spans="16:16">
      <c r="P38002" s="2498"/>
    </row>
    <row r="38003" spans="16:16">
      <c r="P38003" s="2498"/>
    </row>
    <row r="38004" spans="16:16">
      <c r="P38004" s="2498"/>
    </row>
    <row r="38005" spans="16:16">
      <c r="P38005" s="2498"/>
    </row>
    <row r="38006" spans="16:16">
      <c r="P38006" s="2498"/>
    </row>
    <row r="38007" spans="16:16">
      <c r="P38007" s="2498"/>
    </row>
    <row r="38008" spans="16:16">
      <c r="P38008" s="2498"/>
    </row>
    <row r="38009" spans="16:16">
      <c r="P38009" s="2498"/>
    </row>
    <row r="38010" spans="16:16">
      <c r="P38010" s="2498"/>
    </row>
    <row r="38011" spans="16:16">
      <c r="P38011" s="2498"/>
    </row>
    <row r="38012" spans="16:16">
      <c r="P38012" s="2498"/>
    </row>
    <row r="38013" spans="16:16">
      <c r="P38013" s="2498"/>
    </row>
    <row r="38014" spans="16:16">
      <c r="P38014" s="2498"/>
    </row>
    <row r="38015" spans="16:16">
      <c r="P38015" s="2498"/>
    </row>
    <row r="38016" spans="16:16">
      <c r="P38016" s="2498"/>
    </row>
    <row r="38017" spans="16:16">
      <c r="P38017" s="2498"/>
    </row>
    <row r="38018" spans="16:16">
      <c r="P38018" s="2498"/>
    </row>
    <row r="38019" spans="16:16">
      <c r="P38019" s="2498"/>
    </row>
    <row r="38020" spans="16:16">
      <c r="P38020" s="2498"/>
    </row>
    <row r="38021" spans="16:16">
      <c r="P38021" s="2498"/>
    </row>
    <row r="38022" spans="16:16">
      <c r="P38022" s="2498"/>
    </row>
    <row r="38023" spans="16:16">
      <c r="P38023" s="2498"/>
    </row>
    <row r="38024" spans="16:16">
      <c r="P38024" s="2498"/>
    </row>
    <row r="38025" spans="16:16">
      <c r="P38025" s="2498"/>
    </row>
    <row r="38026" spans="16:16">
      <c r="P38026" s="2498"/>
    </row>
    <row r="38027" spans="16:16">
      <c r="P38027" s="2498"/>
    </row>
    <row r="38028" spans="16:16">
      <c r="P38028" s="2498"/>
    </row>
    <row r="38029" spans="16:16">
      <c r="P38029" s="2498"/>
    </row>
    <row r="38030" spans="16:16">
      <c r="P38030" s="2498"/>
    </row>
    <row r="38031" spans="16:16">
      <c r="P38031" s="2498"/>
    </row>
    <row r="38032" spans="16:16">
      <c r="P38032" s="2498"/>
    </row>
    <row r="38033" spans="16:16">
      <c r="P38033" s="2498"/>
    </row>
    <row r="38034" spans="16:16">
      <c r="P38034" s="2498"/>
    </row>
    <row r="38035" spans="16:16">
      <c r="P38035" s="2498"/>
    </row>
    <row r="38036" spans="16:16">
      <c r="P38036" s="2498"/>
    </row>
    <row r="38037" spans="16:16">
      <c r="P38037" s="2498"/>
    </row>
    <row r="38038" spans="16:16">
      <c r="P38038" s="2498"/>
    </row>
    <row r="38039" spans="16:16">
      <c r="P38039" s="2498"/>
    </row>
    <row r="38040" spans="16:16">
      <c r="P38040" s="2498"/>
    </row>
    <row r="38041" spans="16:16">
      <c r="P38041" s="2498"/>
    </row>
    <row r="38042" spans="16:16">
      <c r="P38042" s="2498"/>
    </row>
    <row r="38043" spans="16:16">
      <c r="P38043" s="2498"/>
    </row>
    <row r="38044" spans="16:16">
      <c r="P38044" s="2498"/>
    </row>
    <row r="38045" spans="16:16">
      <c r="P38045" s="2498"/>
    </row>
    <row r="38046" spans="16:16">
      <c r="P38046" s="2498"/>
    </row>
    <row r="38047" spans="16:16">
      <c r="P38047" s="2498"/>
    </row>
    <row r="38048" spans="16:16">
      <c r="P38048" s="2498"/>
    </row>
    <row r="38049" spans="16:16">
      <c r="P38049" s="2498"/>
    </row>
    <row r="38050" spans="16:16">
      <c r="P38050" s="2498"/>
    </row>
    <row r="38051" spans="16:16">
      <c r="P38051" s="2498"/>
    </row>
    <row r="38052" spans="16:16">
      <c r="P38052" s="2498"/>
    </row>
    <row r="38053" spans="16:16">
      <c r="P38053" s="2498"/>
    </row>
    <row r="38054" spans="16:16">
      <c r="P38054" s="2498"/>
    </row>
    <row r="38055" spans="16:16">
      <c r="P38055" s="2498"/>
    </row>
    <row r="38056" spans="16:16">
      <c r="P38056" s="2498"/>
    </row>
    <row r="38057" spans="16:16">
      <c r="P38057" s="2498"/>
    </row>
    <row r="38058" spans="16:16">
      <c r="P38058" s="2498"/>
    </row>
    <row r="38059" spans="16:16">
      <c r="P38059" s="2498"/>
    </row>
    <row r="38060" spans="16:16">
      <c r="P38060" s="2498"/>
    </row>
    <row r="38061" spans="16:16">
      <c r="P38061" s="2498"/>
    </row>
    <row r="38062" spans="16:16">
      <c r="P38062" s="2498"/>
    </row>
    <row r="38063" spans="16:16">
      <c r="P38063" s="2498"/>
    </row>
    <row r="38064" spans="16:16">
      <c r="P38064" s="2498"/>
    </row>
    <row r="38065" spans="16:16">
      <c r="P38065" s="2498"/>
    </row>
    <row r="38066" spans="16:16">
      <c r="P38066" s="2498"/>
    </row>
    <row r="38067" spans="16:16">
      <c r="P38067" s="2498"/>
    </row>
    <row r="38068" spans="16:16">
      <c r="P38068" s="2498"/>
    </row>
    <row r="38069" spans="16:16">
      <c r="P38069" s="2498"/>
    </row>
    <row r="38070" spans="16:16">
      <c r="P38070" s="2498"/>
    </row>
    <row r="38071" spans="16:16">
      <c r="P38071" s="2498"/>
    </row>
    <row r="38072" spans="16:16">
      <c r="P38072" s="2498"/>
    </row>
    <row r="38073" spans="16:16">
      <c r="P38073" s="2498"/>
    </row>
    <row r="38074" spans="16:16">
      <c r="P38074" s="2498"/>
    </row>
    <row r="38075" spans="16:16">
      <c r="P38075" s="2498"/>
    </row>
    <row r="38076" spans="16:16">
      <c r="P38076" s="2498"/>
    </row>
    <row r="38077" spans="16:16">
      <c r="P38077" s="2498"/>
    </row>
    <row r="38078" spans="16:16">
      <c r="P38078" s="2498"/>
    </row>
    <row r="38079" spans="16:16">
      <c r="P38079" s="2498"/>
    </row>
    <row r="38080" spans="16:16">
      <c r="P38080" s="2498"/>
    </row>
    <row r="38081" spans="16:16">
      <c r="P38081" s="2498"/>
    </row>
    <row r="38082" spans="16:16">
      <c r="P38082" s="2498"/>
    </row>
    <row r="38083" spans="16:16">
      <c r="P38083" s="2498"/>
    </row>
    <row r="38084" spans="16:16">
      <c r="P38084" s="2498"/>
    </row>
    <row r="38085" spans="16:16">
      <c r="P38085" s="2498"/>
    </row>
    <row r="38086" spans="16:16">
      <c r="P38086" s="2498"/>
    </row>
    <row r="38087" spans="16:16">
      <c r="P38087" s="2498"/>
    </row>
    <row r="38088" spans="16:16">
      <c r="P38088" s="2498"/>
    </row>
    <row r="38089" spans="16:16">
      <c r="P38089" s="2498"/>
    </row>
    <row r="38090" spans="16:16">
      <c r="P38090" s="2498"/>
    </row>
    <row r="38091" spans="16:16">
      <c r="P38091" s="2498"/>
    </row>
    <row r="38092" spans="16:16">
      <c r="P38092" s="2498"/>
    </row>
    <row r="38093" spans="16:16">
      <c r="P38093" s="2498"/>
    </row>
    <row r="38094" spans="16:16">
      <c r="P38094" s="2498"/>
    </row>
    <row r="38095" spans="16:16">
      <c r="P38095" s="2498"/>
    </row>
    <row r="38096" spans="16:16">
      <c r="P38096" s="2498"/>
    </row>
    <row r="38097" spans="16:16">
      <c r="P38097" s="2498"/>
    </row>
    <row r="38098" spans="16:16">
      <c r="P38098" s="2498"/>
    </row>
    <row r="38099" spans="16:16">
      <c r="P38099" s="2498"/>
    </row>
    <row r="38100" spans="16:16">
      <c r="P38100" s="2498"/>
    </row>
    <row r="38101" spans="16:16">
      <c r="P38101" s="2498"/>
    </row>
    <row r="38102" spans="16:16">
      <c r="P38102" s="2498"/>
    </row>
    <row r="38103" spans="16:16">
      <c r="P38103" s="2498"/>
    </row>
    <row r="38104" spans="16:16">
      <c r="P38104" s="2498"/>
    </row>
    <row r="38105" spans="16:16">
      <c r="P38105" s="2498"/>
    </row>
    <row r="38106" spans="16:16">
      <c r="P38106" s="2498"/>
    </row>
    <row r="38107" spans="16:16">
      <c r="P38107" s="2498"/>
    </row>
    <row r="38108" spans="16:16">
      <c r="P38108" s="2498"/>
    </row>
    <row r="38109" spans="16:16">
      <c r="P38109" s="2498"/>
    </row>
    <row r="38110" spans="16:16">
      <c r="P38110" s="2498"/>
    </row>
    <row r="38111" spans="16:16">
      <c r="P38111" s="2498"/>
    </row>
    <row r="38112" spans="16:16">
      <c r="P38112" s="2498"/>
    </row>
    <row r="38113" spans="16:16">
      <c r="P38113" s="2498"/>
    </row>
    <row r="38114" spans="16:16">
      <c r="P38114" s="2498"/>
    </row>
    <row r="38115" spans="16:16">
      <c r="P38115" s="2498"/>
    </row>
    <row r="38116" spans="16:16">
      <c r="P38116" s="2498"/>
    </row>
    <row r="38117" spans="16:16">
      <c r="P38117" s="2498"/>
    </row>
    <row r="38118" spans="16:16">
      <c r="P38118" s="2498"/>
    </row>
    <row r="38119" spans="16:16">
      <c r="P38119" s="2498"/>
    </row>
    <row r="38120" spans="16:16">
      <c r="P38120" s="2498"/>
    </row>
    <row r="38121" spans="16:16">
      <c r="P38121" s="2498"/>
    </row>
    <row r="38122" spans="16:16">
      <c r="P38122" s="2498"/>
    </row>
    <row r="38123" spans="16:16">
      <c r="P38123" s="2498"/>
    </row>
    <row r="38124" spans="16:16">
      <c r="P38124" s="2498"/>
    </row>
    <row r="38125" spans="16:16">
      <c r="P38125" s="2498"/>
    </row>
    <row r="38126" spans="16:16">
      <c r="P38126" s="2498"/>
    </row>
    <row r="38127" spans="16:16">
      <c r="P38127" s="2498"/>
    </row>
    <row r="38128" spans="16:16">
      <c r="P38128" s="2498"/>
    </row>
    <row r="38129" spans="16:16">
      <c r="P38129" s="2498"/>
    </row>
    <row r="38130" spans="16:16">
      <c r="P38130" s="2498"/>
    </row>
    <row r="38131" spans="16:16">
      <c r="P38131" s="2498"/>
    </row>
    <row r="38132" spans="16:16">
      <c r="P38132" s="2498"/>
    </row>
    <row r="38133" spans="16:16">
      <c r="P38133" s="2498"/>
    </row>
    <row r="38134" spans="16:16">
      <c r="P38134" s="2498"/>
    </row>
    <row r="38135" spans="16:16">
      <c r="P38135" s="2498"/>
    </row>
    <row r="38136" spans="16:16">
      <c r="P38136" s="2498"/>
    </row>
    <row r="38137" spans="16:16">
      <c r="P38137" s="2498"/>
    </row>
    <row r="38138" spans="16:16">
      <c r="P38138" s="2498"/>
    </row>
    <row r="38139" spans="16:16">
      <c r="P38139" s="2498"/>
    </row>
    <row r="38140" spans="16:16">
      <c r="P38140" s="2498"/>
    </row>
    <row r="38141" spans="16:16">
      <c r="P38141" s="2498"/>
    </row>
    <row r="38142" spans="16:16">
      <c r="P38142" s="2498"/>
    </row>
    <row r="38143" spans="16:16">
      <c r="P38143" s="2498"/>
    </row>
    <row r="38144" spans="16:16">
      <c r="P38144" s="2498"/>
    </row>
    <row r="38145" spans="16:16">
      <c r="P38145" s="2498"/>
    </row>
    <row r="38146" spans="16:16">
      <c r="P38146" s="2498"/>
    </row>
    <row r="38147" spans="16:16">
      <c r="P38147" s="2498"/>
    </row>
    <row r="38148" spans="16:16">
      <c r="P38148" s="2498"/>
    </row>
    <row r="38149" spans="16:16">
      <c r="P38149" s="2498"/>
    </row>
    <row r="38150" spans="16:16">
      <c r="P38150" s="2498"/>
    </row>
    <row r="38151" spans="16:16">
      <c r="P38151" s="2498"/>
    </row>
    <row r="38152" spans="16:16">
      <c r="P38152" s="2498"/>
    </row>
    <row r="38153" spans="16:16">
      <c r="P38153" s="2498"/>
    </row>
    <row r="38154" spans="16:16">
      <c r="P38154" s="2498"/>
    </row>
    <row r="38155" spans="16:16">
      <c r="P38155" s="2498"/>
    </row>
    <row r="38156" spans="16:16">
      <c r="P38156" s="2498"/>
    </row>
    <row r="38157" spans="16:16">
      <c r="P38157" s="2498"/>
    </row>
    <row r="38158" spans="16:16">
      <c r="P38158" s="2498"/>
    </row>
    <row r="38159" spans="16:16">
      <c r="P38159" s="2498"/>
    </row>
    <row r="38160" spans="16:16">
      <c r="P38160" s="2498"/>
    </row>
    <row r="38161" spans="16:16">
      <c r="P38161" s="2498"/>
    </row>
    <row r="38162" spans="16:16">
      <c r="P38162" s="2498"/>
    </row>
    <row r="38163" spans="16:16">
      <c r="P38163" s="2498"/>
    </row>
    <row r="38164" spans="16:16">
      <c r="P38164" s="2498"/>
    </row>
    <row r="38165" spans="16:16">
      <c r="P38165" s="2498"/>
    </row>
    <row r="38166" spans="16:16">
      <c r="P38166" s="2498"/>
    </row>
    <row r="38167" spans="16:16">
      <c r="P38167" s="2498"/>
    </row>
    <row r="38168" spans="16:16">
      <c r="P38168" s="2498"/>
    </row>
    <row r="38169" spans="16:16">
      <c r="P38169" s="2498"/>
    </row>
    <row r="38170" spans="16:16">
      <c r="P38170" s="2498"/>
    </row>
    <row r="38171" spans="16:16">
      <c r="P38171" s="2498"/>
    </row>
    <row r="38172" spans="16:16">
      <c r="P38172" s="2498"/>
    </row>
    <row r="38173" spans="16:16">
      <c r="P38173" s="2498"/>
    </row>
    <row r="38174" spans="16:16">
      <c r="P38174" s="2498"/>
    </row>
    <row r="38175" spans="16:16">
      <c r="P38175" s="2498"/>
    </row>
    <row r="38176" spans="16:16">
      <c r="P38176" s="2498"/>
    </row>
    <row r="38177" spans="16:16">
      <c r="P38177" s="2498"/>
    </row>
    <row r="38178" spans="16:16">
      <c r="P38178" s="2498"/>
    </row>
    <row r="38179" spans="16:16">
      <c r="P38179" s="2498"/>
    </row>
    <row r="38180" spans="16:16">
      <c r="P38180" s="2498"/>
    </row>
    <row r="38181" spans="16:16">
      <c r="P38181" s="2498"/>
    </row>
    <row r="38182" spans="16:16">
      <c r="P38182" s="2498"/>
    </row>
    <row r="38183" spans="16:16">
      <c r="P38183" s="2498"/>
    </row>
    <row r="38184" spans="16:16">
      <c r="P38184" s="2498"/>
    </row>
    <row r="38185" spans="16:16">
      <c r="P38185" s="2498"/>
    </row>
    <row r="38186" spans="16:16">
      <c r="P38186" s="2498"/>
    </row>
    <row r="38187" spans="16:16">
      <c r="P38187" s="2498"/>
    </row>
    <row r="38188" spans="16:16">
      <c r="P38188" s="2498"/>
    </row>
    <row r="38189" spans="16:16">
      <c r="P38189" s="2498"/>
    </row>
    <row r="38190" spans="16:16">
      <c r="P38190" s="2498"/>
    </row>
    <row r="38191" spans="16:16">
      <c r="P38191" s="2498"/>
    </row>
    <row r="38192" spans="16:16">
      <c r="P38192" s="2498"/>
    </row>
    <row r="38193" spans="16:16">
      <c r="P38193" s="2498"/>
    </row>
    <row r="38194" spans="16:16">
      <c r="P38194" s="2498"/>
    </row>
    <row r="38195" spans="16:16">
      <c r="P38195" s="2498"/>
    </row>
    <row r="38196" spans="16:16">
      <c r="P38196" s="2498"/>
    </row>
    <row r="38197" spans="16:16">
      <c r="P38197" s="2498"/>
    </row>
    <row r="38198" spans="16:16">
      <c r="P38198" s="2498"/>
    </row>
    <row r="38199" spans="16:16">
      <c r="P38199" s="2498"/>
    </row>
    <row r="38200" spans="16:16">
      <c r="P38200" s="2498"/>
    </row>
    <row r="38201" spans="16:16">
      <c r="P38201" s="2498"/>
    </row>
    <row r="38202" spans="16:16">
      <c r="P38202" s="2498"/>
    </row>
    <row r="38203" spans="16:16">
      <c r="P38203" s="2498"/>
    </row>
    <row r="38204" spans="16:16">
      <c r="P38204" s="2498"/>
    </row>
    <row r="38205" spans="16:16">
      <c r="P38205" s="2498"/>
    </row>
    <row r="38206" spans="16:16">
      <c r="P38206" s="2498"/>
    </row>
    <row r="38207" spans="16:16">
      <c r="P38207" s="2498"/>
    </row>
    <row r="38208" spans="16:16">
      <c r="P38208" s="2498"/>
    </row>
    <row r="38209" spans="16:16">
      <c r="P38209" s="2498"/>
    </row>
    <row r="38210" spans="16:16">
      <c r="P38210" s="2498"/>
    </row>
    <row r="38211" spans="16:16">
      <c r="P38211" s="2498"/>
    </row>
    <row r="38212" spans="16:16">
      <c r="P38212" s="2498"/>
    </row>
    <row r="38213" spans="16:16">
      <c r="P38213" s="2498"/>
    </row>
    <row r="38214" spans="16:16">
      <c r="P38214" s="2498"/>
    </row>
    <row r="38215" spans="16:16">
      <c r="P38215" s="2498"/>
    </row>
    <row r="38216" spans="16:16">
      <c r="P38216" s="2498"/>
    </row>
    <row r="38217" spans="16:16">
      <c r="P38217" s="2498"/>
    </row>
    <row r="38218" spans="16:16">
      <c r="P38218" s="2498"/>
    </row>
    <row r="38219" spans="16:16">
      <c r="P38219" s="2498"/>
    </row>
    <row r="38220" spans="16:16">
      <c r="P38220" s="2498"/>
    </row>
    <row r="38221" spans="16:16">
      <c r="P38221" s="2498"/>
    </row>
    <row r="38222" spans="16:16">
      <c r="P38222" s="2498"/>
    </row>
    <row r="38223" spans="16:16">
      <c r="P38223" s="2498"/>
    </row>
    <row r="38224" spans="16:16">
      <c r="P38224" s="2498"/>
    </row>
    <row r="38225" spans="16:16">
      <c r="P38225" s="2498"/>
    </row>
    <row r="38226" spans="16:16">
      <c r="P38226" s="2498"/>
    </row>
    <row r="38227" spans="16:16">
      <c r="P38227" s="2498"/>
    </row>
    <row r="38228" spans="16:16">
      <c r="P38228" s="2498"/>
    </row>
    <row r="38229" spans="16:16">
      <c r="P38229" s="2498"/>
    </row>
    <row r="38230" spans="16:16">
      <c r="P38230" s="2498"/>
    </row>
    <row r="38231" spans="16:16">
      <c r="P38231" s="2498"/>
    </row>
    <row r="38232" spans="16:16">
      <c r="P38232" s="2498"/>
    </row>
    <row r="38233" spans="16:16">
      <c r="P38233" s="2498"/>
    </row>
    <row r="38234" spans="16:16">
      <c r="P38234" s="2498"/>
    </row>
    <row r="38235" spans="16:16">
      <c r="P38235" s="2498"/>
    </row>
    <row r="38236" spans="16:16">
      <c r="P38236" s="2498"/>
    </row>
    <row r="38237" spans="16:16">
      <c r="P38237" s="2498"/>
    </row>
    <row r="38238" spans="16:16">
      <c r="P38238" s="2498"/>
    </row>
    <row r="38239" spans="16:16">
      <c r="P38239" s="2498"/>
    </row>
    <row r="38240" spans="16:16">
      <c r="P38240" s="2498"/>
    </row>
    <row r="38241" spans="16:16">
      <c r="P38241" s="2498"/>
    </row>
    <row r="38242" spans="16:16">
      <c r="P38242" s="2498"/>
    </row>
    <row r="38243" spans="16:16">
      <c r="P38243" s="2498"/>
    </row>
    <row r="38244" spans="16:16">
      <c r="P38244" s="2498"/>
    </row>
    <row r="38245" spans="16:16">
      <c r="P38245" s="2498"/>
    </row>
    <row r="38246" spans="16:16">
      <c r="P38246" s="2498"/>
    </row>
    <row r="38247" spans="16:16">
      <c r="P38247" s="2498"/>
    </row>
    <row r="38248" spans="16:16">
      <c r="P38248" s="2498"/>
    </row>
    <row r="38249" spans="16:16">
      <c r="P38249" s="2498"/>
    </row>
    <row r="38250" spans="16:16">
      <c r="P38250" s="2498"/>
    </row>
    <row r="38251" spans="16:16">
      <c r="P38251" s="2498"/>
    </row>
    <row r="38252" spans="16:16">
      <c r="P38252" s="2498"/>
    </row>
    <row r="38253" spans="16:16">
      <c r="P38253" s="2498"/>
    </row>
    <row r="38254" spans="16:16">
      <c r="P38254" s="2498"/>
    </row>
    <row r="38255" spans="16:16">
      <c r="P38255" s="2498"/>
    </row>
    <row r="38256" spans="16:16">
      <c r="P38256" s="2498"/>
    </row>
    <row r="38257" spans="16:16">
      <c r="P38257" s="2498"/>
    </row>
    <row r="38258" spans="16:16">
      <c r="P38258" s="2498"/>
    </row>
    <row r="38259" spans="16:16">
      <c r="P38259" s="2498"/>
    </row>
    <row r="38260" spans="16:16">
      <c r="P38260" s="2498"/>
    </row>
    <row r="38261" spans="16:16">
      <c r="P38261" s="2498"/>
    </row>
    <row r="38262" spans="16:16">
      <c r="P38262" s="2498"/>
    </row>
    <row r="38263" spans="16:16">
      <c r="P38263" s="2498"/>
    </row>
    <row r="38264" spans="16:16">
      <c r="P38264" s="2498"/>
    </row>
    <row r="38265" spans="16:16">
      <c r="P38265" s="2498"/>
    </row>
    <row r="38266" spans="16:16">
      <c r="P38266" s="2498"/>
    </row>
    <row r="38267" spans="16:16">
      <c r="P38267" s="2498"/>
    </row>
    <row r="38268" spans="16:16">
      <c r="P38268" s="2498"/>
    </row>
    <row r="38269" spans="16:16">
      <c r="P38269" s="2498"/>
    </row>
    <row r="38270" spans="16:16">
      <c r="P38270" s="2498"/>
    </row>
    <row r="38271" spans="16:16">
      <c r="P38271" s="2498"/>
    </row>
    <row r="38272" spans="16:16">
      <c r="P38272" s="2498"/>
    </row>
    <row r="38273" spans="16:16">
      <c r="P38273" s="2498"/>
    </row>
    <row r="38274" spans="16:16">
      <c r="P38274" s="2498"/>
    </row>
    <row r="38275" spans="16:16">
      <c r="P38275" s="2498"/>
    </row>
    <row r="38276" spans="16:16">
      <c r="P38276" s="2498"/>
    </row>
    <row r="38277" spans="16:16">
      <c r="P38277" s="2498"/>
    </row>
    <row r="38278" spans="16:16">
      <c r="P38278" s="2498"/>
    </row>
    <row r="38279" spans="16:16">
      <c r="P38279" s="2498"/>
    </row>
    <row r="38280" spans="16:16">
      <c r="P38280" s="2498"/>
    </row>
    <row r="38281" spans="16:16">
      <c r="P38281" s="2498"/>
    </row>
    <row r="38282" spans="16:16">
      <c r="P38282" s="2498"/>
    </row>
    <row r="38283" spans="16:16">
      <c r="P38283" s="2498"/>
    </row>
    <row r="38284" spans="16:16">
      <c r="P38284" s="2498"/>
    </row>
    <row r="38285" spans="16:16">
      <c r="P38285" s="2498"/>
    </row>
    <row r="38286" spans="16:16">
      <c r="P38286" s="2498"/>
    </row>
    <row r="38287" spans="16:16">
      <c r="P38287" s="2498"/>
    </row>
    <row r="38288" spans="16:16">
      <c r="P38288" s="2498"/>
    </row>
    <row r="38289" spans="16:16">
      <c r="P38289" s="2498"/>
    </row>
    <row r="38290" spans="16:16">
      <c r="P38290" s="2498"/>
    </row>
    <row r="38291" spans="16:16">
      <c r="P38291" s="2498"/>
    </row>
    <row r="38292" spans="16:16">
      <c r="P38292" s="2498"/>
    </row>
    <row r="38293" spans="16:16">
      <c r="P38293" s="2498"/>
    </row>
    <row r="38294" spans="16:16">
      <c r="P38294" s="2498"/>
    </row>
    <row r="38295" spans="16:16">
      <c r="P38295" s="2498"/>
    </row>
    <row r="38296" spans="16:16">
      <c r="P38296" s="2498"/>
    </row>
    <row r="38297" spans="16:16">
      <c r="P38297" s="2498"/>
    </row>
    <row r="38298" spans="16:16">
      <c r="P38298" s="2498"/>
    </row>
    <row r="38299" spans="16:16">
      <c r="P38299" s="2498"/>
    </row>
    <row r="38300" spans="16:16">
      <c r="P38300" s="2498"/>
    </row>
    <row r="38301" spans="16:16">
      <c r="P38301" s="2498"/>
    </row>
    <row r="38302" spans="16:16">
      <c r="P38302" s="2498"/>
    </row>
    <row r="38303" spans="16:16">
      <c r="P38303" s="2498"/>
    </row>
    <row r="38304" spans="16:16">
      <c r="P38304" s="2498"/>
    </row>
    <row r="38305" spans="16:16">
      <c r="P38305" s="2498"/>
    </row>
    <row r="38306" spans="16:16">
      <c r="P38306" s="2498"/>
    </row>
    <row r="38307" spans="16:16">
      <c r="P38307" s="2498"/>
    </row>
    <row r="38308" spans="16:16">
      <c r="P38308" s="2498"/>
    </row>
    <row r="38309" spans="16:16">
      <c r="P38309" s="2498"/>
    </row>
    <row r="38310" spans="16:16">
      <c r="P38310" s="2498"/>
    </row>
    <row r="38311" spans="16:16">
      <c r="P38311" s="2498"/>
    </row>
    <row r="38312" spans="16:16">
      <c r="P38312" s="2498"/>
    </row>
    <row r="38313" spans="16:16">
      <c r="P38313" s="2498"/>
    </row>
    <row r="38314" spans="16:16">
      <c r="P38314" s="2498"/>
    </row>
    <row r="38315" spans="16:16">
      <c r="P38315" s="2498"/>
    </row>
    <row r="38316" spans="16:16">
      <c r="P38316" s="2498"/>
    </row>
    <row r="38317" spans="16:16">
      <c r="P38317" s="2498"/>
    </row>
    <row r="38318" spans="16:16">
      <c r="P38318" s="2498"/>
    </row>
    <row r="38319" spans="16:16">
      <c r="P38319" s="2498"/>
    </row>
    <row r="38320" spans="16:16">
      <c r="P38320" s="2498"/>
    </row>
    <row r="38321" spans="16:16">
      <c r="P38321" s="2498"/>
    </row>
    <row r="38322" spans="16:16">
      <c r="P38322" s="2498"/>
    </row>
    <row r="38323" spans="16:16">
      <c r="P38323" s="2498"/>
    </row>
    <row r="38324" spans="16:16">
      <c r="P38324" s="2498"/>
    </row>
    <row r="38325" spans="16:16">
      <c r="P38325" s="2498"/>
    </row>
    <row r="38326" spans="16:16">
      <c r="P38326" s="2498"/>
    </row>
    <row r="38327" spans="16:16">
      <c r="P38327" s="2498"/>
    </row>
    <row r="38328" spans="16:16">
      <c r="P38328" s="2498"/>
    </row>
    <row r="38329" spans="16:16">
      <c r="P38329" s="2498"/>
    </row>
    <row r="38330" spans="16:16">
      <c r="P38330" s="2498"/>
    </row>
    <row r="38331" spans="16:16">
      <c r="P38331" s="2498"/>
    </row>
    <row r="38332" spans="16:16">
      <c r="P38332" s="2498"/>
    </row>
    <row r="38333" spans="16:16">
      <c r="P38333" s="2498"/>
    </row>
    <row r="38334" spans="16:16">
      <c r="P38334" s="2498"/>
    </row>
    <row r="38335" spans="16:16">
      <c r="P38335" s="2498"/>
    </row>
    <row r="38336" spans="16:16">
      <c r="P38336" s="2498"/>
    </row>
    <row r="38337" spans="16:16">
      <c r="P38337" s="2498"/>
    </row>
    <row r="38338" spans="16:16">
      <c r="P38338" s="2498"/>
    </row>
    <row r="38339" spans="16:16">
      <c r="P38339" s="2498"/>
    </row>
    <row r="38340" spans="16:16">
      <c r="P38340" s="2498"/>
    </row>
    <row r="38341" spans="16:16">
      <c r="P38341" s="2498"/>
    </row>
    <row r="38342" spans="16:16">
      <c r="P38342" s="2498"/>
    </row>
    <row r="38343" spans="16:16">
      <c r="P38343" s="2498"/>
    </row>
    <row r="38344" spans="16:16">
      <c r="P38344" s="2498"/>
    </row>
    <row r="38345" spans="16:16">
      <c r="P38345" s="2498"/>
    </row>
    <row r="38346" spans="16:16">
      <c r="P38346" s="2498"/>
    </row>
    <row r="38347" spans="16:16">
      <c r="P38347" s="2498"/>
    </row>
    <row r="38348" spans="16:16">
      <c r="P38348" s="2498"/>
    </row>
    <row r="38349" spans="16:16">
      <c r="P38349" s="2498"/>
    </row>
    <row r="38350" spans="16:16">
      <c r="P38350" s="2498"/>
    </row>
    <row r="38351" spans="16:16">
      <c r="P38351" s="2498"/>
    </row>
    <row r="38352" spans="16:16">
      <c r="P38352" s="2498"/>
    </row>
    <row r="38353" spans="16:16">
      <c r="P38353" s="2498"/>
    </row>
    <row r="38354" spans="16:16">
      <c r="P38354" s="2498"/>
    </row>
    <row r="38355" spans="16:16">
      <c r="P38355" s="2498"/>
    </row>
    <row r="38356" spans="16:16">
      <c r="P38356" s="2498"/>
    </row>
    <row r="38357" spans="16:16">
      <c r="P38357" s="2498"/>
    </row>
    <row r="38358" spans="16:16">
      <c r="P38358" s="2498"/>
    </row>
    <row r="38359" spans="16:16">
      <c r="P38359" s="2498"/>
    </row>
    <row r="38360" spans="16:16">
      <c r="P38360" s="2498"/>
    </row>
    <row r="38361" spans="16:16">
      <c r="P38361" s="2498"/>
    </row>
    <row r="38362" spans="16:16">
      <c r="P38362" s="2498"/>
    </row>
    <row r="38363" spans="16:16">
      <c r="P38363" s="2498"/>
    </row>
    <row r="38364" spans="16:16">
      <c r="P38364" s="2498"/>
    </row>
    <row r="38365" spans="16:16">
      <c r="P38365" s="2498"/>
    </row>
    <row r="38366" spans="16:16">
      <c r="P38366" s="2498"/>
    </row>
    <row r="38367" spans="16:16">
      <c r="P38367" s="2498"/>
    </row>
    <row r="38368" spans="16:16">
      <c r="P38368" s="2498"/>
    </row>
    <row r="38369" spans="16:16">
      <c r="P38369" s="2498"/>
    </row>
    <row r="38370" spans="16:16">
      <c r="P38370" s="2498"/>
    </row>
    <row r="38371" spans="16:16">
      <c r="P38371" s="2498"/>
    </row>
    <row r="38372" spans="16:16">
      <c r="P38372" s="2498"/>
    </row>
    <row r="38373" spans="16:16">
      <c r="P38373" s="2498"/>
    </row>
    <row r="38374" spans="16:16">
      <c r="P38374" s="2498"/>
    </row>
    <row r="38375" spans="16:16">
      <c r="P38375" s="2498"/>
    </row>
    <row r="38376" spans="16:16">
      <c r="P38376" s="2498"/>
    </row>
    <row r="38377" spans="16:16">
      <c r="P38377" s="2498"/>
    </row>
    <row r="38378" spans="16:16">
      <c r="P38378" s="2498"/>
    </row>
    <row r="38379" spans="16:16">
      <c r="P38379" s="2498"/>
    </row>
    <row r="38380" spans="16:16">
      <c r="P38380" s="2498"/>
    </row>
    <row r="38381" spans="16:16">
      <c r="P38381" s="2498"/>
    </row>
    <row r="38382" spans="16:16">
      <c r="P38382" s="2498"/>
    </row>
    <row r="38383" spans="16:16">
      <c r="P38383" s="2498"/>
    </row>
    <row r="38384" spans="16:16">
      <c r="P38384" s="2498"/>
    </row>
    <row r="38385" spans="16:16">
      <c r="P38385" s="2498"/>
    </row>
    <row r="38386" spans="16:16">
      <c r="P38386" s="2498"/>
    </row>
    <row r="38387" spans="16:16">
      <c r="P38387" s="2498"/>
    </row>
    <row r="38388" spans="16:16">
      <c r="P38388" s="2498"/>
    </row>
    <row r="38389" spans="16:16">
      <c r="P38389" s="2498"/>
    </row>
    <row r="38390" spans="16:16">
      <c r="P38390" s="2498"/>
    </row>
    <row r="38391" spans="16:16">
      <c r="P38391" s="2498"/>
    </row>
    <row r="38392" spans="16:16">
      <c r="P38392" s="2498"/>
    </row>
    <row r="38393" spans="16:16">
      <c r="P38393" s="2498"/>
    </row>
    <row r="38394" spans="16:16">
      <c r="P38394" s="2498"/>
    </row>
    <row r="38395" spans="16:16">
      <c r="P38395" s="2498"/>
    </row>
    <row r="38396" spans="16:16">
      <c r="P38396" s="2498"/>
    </row>
    <row r="38397" spans="16:16">
      <c r="P38397" s="2498"/>
    </row>
    <row r="38398" spans="16:16">
      <c r="P38398" s="2498"/>
    </row>
    <row r="38399" spans="16:16">
      <c r="P38399" s="2498"/>
    </row>
    <row r="38400" spans="16:16">
      <c r="P38400" s="2498"/>
    </row>
    <row r="38401" spans="16:16">
      <c r="P38401" s="2498"/>
    </row>
    <row r="38402" spans="16:16">
      <c r="P38402" s="2498"/>
    </row>
    <row r="38403" spans="16:16">
      <c r="P38403" s="2498"/>
    </row>
    <row r="38404" spans="16:16">
      <c r="P38404" s="2498"/>
    </row>
    <row r="38405" spans="16:16">
      <c r="P38405" s="2498"/>
    </row>
    <row r="38406" spans="16:16">
      <c r="P38406" s="2498"/>
    </row>
    <row r="38407" spans="16:16">
      <c r="P38407" s="2498"/>
    </row>
    <row r="38408" spans="16:16">
      <c r="P38408" s="2498"/>
    </row>
    <row r="38409" spans="16:16">
      <c r="P38409" s="2498"/>
    </row>
    <row r="38410" spans="16:16">
      <c r="P38410" s="2498"/>
    </row>
    <row r="38411" spans="16:16">
      <c r="P38411" s="2498"/>
    </row>
    <row r="38412" spans="16:16">
      <c r="P38412" s="2498"/>
    </row>
    <row r="38413" spans="16:16">
      <c r="P38413" s="2498"/>
    </row>
    <row r="38414" spans="16:16">
      <c r="P38414" s="2498"/>
    </row>
    <row r="38415" spans="16:16">
      <c r="P38415" s="2498"/>
    </row>
    <row r="38416" spans="16:16">
      <c r="P38416" s="2498"/>
    </row>
    <row r="38417" spans="16:16">
      <c r="P38417" s="2498"/>
    </row>
    <row r="38418" spans="16:16">
      <c r="P38418" s="2498"/>
    </row>
    <row r="38419" spans="16:16">
      <c r="P38419" s="2498"/>
    </row>
    <row r="38420" spans="16:16">
      <c r="P38420" s="2498"/>
    </row>
    <row r="38421" spans="16:16">
      <c r="P38421" s="2498"/>
    </row>
    <row r="38422" spans="16:16">
      <c r="P38422" s="2498"/>
    </row>
    <row r="38423" spans="16:16">
      <c r="P38423" s="2498"/>
    </row>
    <row r="38424" spans="16:16">
      <c r="P38424" s="2498"/>
    </row>
    <row r="38425" spans="16:16">
      <c r="P38425" s="2498"/>
    </row>
    <row r="38426" spans="16:16">
      <c r="P38426" s="2498"/>
    </row>
    <row r="38427" spans="16:16">
      <c r="P38427" s="2498"/>
    </row>
    <row r="38428" spans="16:16">
      <c r="P38428" s="2498"/>
    </row>
    <row r="38429" spans="16:16">
      <c r="P38429" s="2498"/>
    </row>
    <row r="38430" spans="16:16">
      <c r="P38430" s="2498"/>
    </row>
    <row r="38431" spans="16:16">
      <c r="P38431" s="2498"/>
    </row>
    <row r="38432" spans="16:16">
      <c r="P38432" s="2498"/>
    </row>
    <row r="38433" spans="16:16">
      <c r="P38433" s="2498"/>
    </row>
    <row r="38434" spans="16:16">
      <c r="P38434" s="2498"/>
    </row>
    <row r="38435" spans="16:16">
      <c r="P38435" s="2498"/>
    </row>
    <row r="38436" spans="16:16">
      <c r="P38436" s="2498"/>
    </row>
    <row r="38437" spans="16:16">
      <c r="P38437" s="2498"/>
    </row>
    <row r="38438" spans="16:16">
      <c r="P38438" s="2498"/>
    </row>
    <row r="38439" spans="16:16">
      <c r="P38439" s="2498"/>
    </row>
    <row r="38440" spans="16:16">
      <c r="P38440" s="2498"/>
    </row>
    <row r="38441" spans="16:16">
      <c r="P38441" s="2498"/>
    </row>
    <row r="38442" spans="16:16">
      <c r="P38442" s="2498"/>
    </row>
    <row r="38443" spans="16:16">
      <c r="P38443" s="2498"/>
    </row>
    <row r="38444" spans="16:16">
      <c r="P38444" s="2498"/>
    </row>
    <row r="38445" spans="16:16">
      <c r="P38445" s="2498"/>
    </row>
    <row r="38446" spans="16:16">
      <c r="P38446" s="2498"/>
    </row>
    <row r="38447" spans="16:16">
      <c r="P38447" s="2498"/>
    </row>
    <row r="38448" spans="16:16">
      <c r="P38448" s="2498"/>
    </row>
    <row r="38449" spans="16:16">
      <c r="P38449" s="2498"/>
    </row>
    <row r="38450" spans="16:16">
      <c r="P38450" s="2498"/>
    </row>
    <row r="38451" spans="16:16">
      <c r="P38451" s="2498"/>
    </row>
    <row r="38452" spans="16:16">
      <c r="P38452" s="2498"/>
    </row>
    <row r="38453" spans="16:16">
      <c r="P38453" s="2498"/>
    </row>
    <row r="38454" spans="16:16">
      <c r="P38454" s="2498"/>
    </row>
    <row r="38455" spans="16:16">
      <c r="P38455" s="2498"/>
    </row>
    <row r="38456" spans="16:16">
      <c r="P38456" s="2498"/>
    </row>
    <row r="38457" spans="16:16">
      <c r="P38457" s="2498"/>
    </row>
    <row r="38458" spans="16:16">
      <c r="P38458" s="2498"/>
    </row>
    <row r="38459" spans="16:16">
      <c r="P38459" s="2498"/>
    </row>
    <row r="38460" spans="16:16">
      <c r="P38460" s="2498"/>
    </row>
    <row r="38461" spans="16:16">
      <c r="P38461" s="2498"/>
    </row>
    <row r="38462" spans="16:16">
      <c r="P38462" s="2498"/>
    </row>
    <row r="38463" spans="16:16">
      <c r="P38463" s="2498"/>
    </row>
    <row r="38464" spans="16:16">
      <c r="P38464" s="2498"/>
    </row>
    <row r="38465" spans="16:16">
      <c r="P38465" s="2498"/>
    </row>
    <row r="38466" spans="16:16">
      <c r="P38466" s="2498"/>
    </row>
    <row r="38467" spans="16:16">
      <c r="P38467" s="2498"/>
    </row>
    <row r="38468" spans="16:16">
      <c r="P38468" s="2498"/>
    </row>
    <row r="38469" spans="16:16">
      <c r="P38469" s="2498"/>
    </row>
    <row r="38470" spans="16:16">
      <c r="P38470" s="2498"/>
    </row>
    <row r="38471" spans="16:16">
      <c r="P38471" s="2498"/>
    </row>
    <row r="38472" spans="16:16">
      <c r="P38472" s="2498"/>
    </row>
    <row r="38473" spans="16:16">
      <c r="P38473" s="2498"/>
    </row>
    <row r="38474" spans="16:16">
      <c r="P38474" s="2498"/>
    </row>
    <row r="38475" spans="16:16">
      <c r="P38475" s="2498"/>
    </row>
    <row r="38476" spans="16:16">
      <c r="P38476" s="2498"/>
    </row>
    <row r="38477" spans="16:16">
      <c r="P38477" s="2498"/>
    </row>
    <row r="38478" spans="16:16">
      <c r="P38478" s="2498"/>
    </row>
    <row r="38479" spans="16:16">
      <c r="P38479" s="2498"/>
    </row>
    <row r="38480" spans="16:16">
      <c r="P38480" s="2498"/>
    </row>
    <row r="38481" spans="16:16">
      <c r="P38481" s="2498"/>
    </row>
    <row r="38482" spans="16:16">
      <c r="P38482" s="2498"/>
    </row>
    <row r="38483" spans="16:16">
      <c r="P38483" s="2498"/>
    </row>
    <row r="38484" spans="16:16">
      <c r="P38484" s="2498"/>
    </row>
    <row r="38485" spans="16:16">
      <c r="P38485" s="2498"/>
    </row>
    <row r="38486" spans="16:16">
      <c r="P38486" s="2498"/>
    </row>
    <row r="38487" spans="16:16">
      <c r="P38487" s="2498"/>
    </row>
    <row r="38488" spans="16:16">
      <c r="P38488" s="2498"/>
    </row>
    <row r="38489" spans="16:16">
      <c r="P38489" s="2498"/>
    </row>
    <row r="38490" spans="16:16">
      <c r="P38490" s="2498"/>
    </row>
    <row r="38491" spans="16:16">
      <c r="P38491" s="2498"/>
    </row>
    <row r="38492" spans="16:16">
      <c r="P38492" s="2498"/>
    </row>
    <row r="38493" spans="16:16">
      <c r="P38493" s="2498"/>
    </row>
    <row r="38494" spans="16:16">
      <c r="P38494" s="2498"/>
    </row>
    <row r="38495" spans="16:16">
      <c r="P38495" s="2498"/>
    </row>
    <row r="38496" spans="16:16">
      <c r="P38496" s="2498"/>
    </row>
    <row r="38497" spans="16:16">
      <c r="P38497" s="2498"/>
    </row>
    <row r="38498" spans="16:16">
      <c r="P38498" s="2498"/>
    </row>
    <row r="38499" spans="16:16">
      <c r="P38499" s="2498"/>
    </row>
    <row r="38500" spans="16:16">
      <c r="P38500" s="2498"/>
    </row>
    <row r="38501" spans="16:16">
      <c r="P38501" s="2498"/>
    </row>
    <row r="38502" spans="16:16">
      <c r="P38502" s="2498"/>
    </row>
    <row r="38503" spans="16:16">
      <c r="P38503" s="2498"/>
    </row>
    <row r="38504" spans="16:16">
      <c r="P38504" s="2498"/>
    </row>
    <row r="38505" spans="16:16">
      <c r="P38505" s="2498"/>
    </row>
    <row r="38506" spans="16:16">
      <c r="P38506" s="2498"/>
    </row>
    <row r="38507" spans="16:16">
      <c r="P38507" s="2498"/>
    </row>
    <row r="38508" spans="16:16">
      <c r="P38508" s="2498"/>
    </row>
    <row r="38509" spans="16:16">
      <c r="P38509" s="2498"/>
    </row>
    <row r="38510" spans="16:16">
      <c r="P38510" s="2498"/>
    </row>
    <row r="38511" spans="16:16">
      <c r="P38511" s="2498"/>
    </row>
    <row r="38512" spans="16:16">
      <c r="P38512" s="2498"/>
    </row>
    <row r="38513" spans="16:16">
      <c r="P38513" s="2498"/>
    </row>
    <row r="38514" spans="16:16">
      <c r="P38514" s="2498"/>
    </row>
    <row r="38515" spans="16:16">
      <c r="P38515" s="2498"/>
    </row>
    <row r="38516" spans="16:16">
      <c r="P38516" s="2498"/>
    </row>
    <row r="38517" spans="16:16">
      <c r="P38517" s="2498"/>
    </row>
    <row r="38518" spans="16:16">
      <c r="P38518" s="2498"/>
    </row>
    <row r="38519" spans="16:16">
      <c r="P38519" s="2498"/>
    </row>
    <row r="38520" spans="16:16">
      <c r="P38520" s="2498"/>
    </row>
    <row r="38521" spans="16:16">
      <c r="P38521" s="2498"/>
    </row>
    <row r="38522" spans="16:16">
      <c r="P38522" s="2498"/>
    </row>
    <row r="38523" spans="16:16">
      <c r="P38523" s="2498"/>
    </row>
    <row r="38524" spans="16:16">
      <c r="P38524" s="2498"/>
    </row>
    <row r="38525" spans="16:16">
      <c r="P38525" s="2498"/>
    </row>
    <row r="38526" spans="16:16">
      <c r="P38526" s="2498"/>
    </row>
    <row r="38527" spans="16:16">
      <c r="P38527" s="2498"/>
    </row>
    <row r="38528" spans="16:16">
      <c r="P38528" s="2498"/>
    </row>
    <row r="38529" spans="16:16">
      <c r="P38529" s="2498"/>
    </row>
    <row r="38530" spans="16:16">
      <c r="P38530" s="2498"/>
    </row>
    <row r="38531" spans="16:16">
      <c r="P38531" s="2498"/>
    </row>
    <row r="38532" spans="16:16">
      <c r="P38532" s="2498"/>
    </row>
    <row r="38533" spans="16:16">
      <c r="P38533" s="2498"/>
    </row>
    <row r="38534" spans="16:16">
      <c r="P38534" s="2498"/>
    </row>
    <row r="38535" spans="16:16">
      <c r="P38535" s="2498"/>
    </row>
    <row r="38536" spans="16:16">
      <c r="P38536" s="2498"/>
    </row>
    <row r="38537" spans="16:16">
      <c r="P38537" s="2498"/>
    </row>
    <row r="38538" spans="16:16">
      <c r="P38538" s="2498"/>
    </row>
    <row r="38539" spans="16:16">
      <c r="P38539" s="2498"/>
    </row>
    <row r="38540" spans="16:16">
      <c r="P38540" s="2498"/>
    </row>
    <row r="38541" spans="16:16">
      <c r="P38541" s="2498"/>
    </row>
    <row r="38542" spans="16:16">
      <c r="P38542" s="2498"/>
    </row>
    <row r="38543" spans="16:16">
      <c r="P38543" s="2498"/>
    </row>
    <row r="38544" spans="16:16">
      <c r="P38544" s="2498"/>
    </row>
    <row r="38545" spans="16:16">
      <c r="P38545" s="2498"/>
    </row>
    <row r="38546" spans="16:16">
      <c r="P38546" s="2498"/>
    </row>
    <row r="38547" spans="16:16">
      <c r="P38547" s="2498"/>
    </row>
    <row r="38548" spans="16:16">
      <c r="P38548" s="2498"/>
    </row>
    <row r="38549" spans="16:16">
      <c r="P38549" s="2498"/>
    </row>
    <row r="38550" spans="16:16">
      <c r="P38550" s="2498"/>
    </row>
    <row r="38551" spans="16:16">
      <c r="P38551" s="2498"/>
    </row>
    <row r="38552" spans="16:16">
      <c r="P38552" s="2498"/>
    </row>
    <row r="38553" spans="16:16">
      <c r="P38553" s="2498"/>
    </row>
    <row r="38554" spans="16:16">
      <c r="P38554" s="2498"/>
    </row>
    <row r="38555" spans="16:16">
      <c r="P38555" s="2498"/>
    </row>
    <row r="38556" spans="16:16">
      <c r="P38556" s="2498"/>
    </row>
    <row r="38557" spans="16:16">
      <c r="P38557" s="2498"/>
    </row>
    <row r="38558" spans="16:16">
      <c r="P38558" s="2498"/>
    </row>
    <row r="38559" spans="16:16">
      <c r="P38559" s="2498"/>
    </row>
    <row r="38560" spans="16:16">
      <c r="P38560" s="2498"/>
    </row>
    <row r="38561" spans="16:16">
      <c r="P38561" s="2498"/>
    </row>
    <row r="38562" spans="16:16">
      <c r="P38562" s="2498"/>
    </row>
    <row r="38563" spans="16:16">
      <c r="P38563" s="2498"/>
    </row>
    <row r="38564" spans="16:16">
      <c r="P38564" s="2498"/>
    </row>
    <row r="38565" spans="16:16">
      <c r="P38565" s="2498"/>
    </row>
    <row r="38566" spans="16:16">
      <c r="P38566" s="2498"/>
    </row>
    <row r="38567" spans="16:16">
      <c r="P38567" s="2498"/>
    </row>
    <row r="38568" spans="16:16">
      <c r="P38568" s="2498"/>
    </row>
    <row r="38569" spans="16:16">
      <c r="P38569" s="2498"/>
    </row>
    <row r="38570" spans="16:16">
      <c r="P38570" s="2498"/>
    </row>
    <row r="38571" spans="16:16">
      <c r="P38571" s="2498"/>
    </row>
    <row r="38572" spans="16:16">
      <c r="P38572" s="2498"/>
    </row>
    <row r="38573" spans="16:16">
      <c r="P38573" s="2498"/>
    </row>
    <row r="38574" spans="16:16">
      <c r="P38574" s="2498"/>
    </row>
    <row r="38575" spans="16:16">
      <c r="P38575" s="2498"/>
    </row>
    <row r="38576" spans="16:16">
      <c r="P38576" s="2498"/>
    </row>
    <row r="38577" spans="16:16">
      <c r="P38577" s="2498"/>
    </row>
    <row r="38578" spans="16:16">
      <c r="P38578" s="2498"/>
    </row>
    <row r="38579" spans="16:16">
      <c r="P38579" s="2498"/>
    </row>
    <row r="38580" spans="16:16">
      <c r="P38580" s="2498"/>
    </row>
    <row r="38581" spans="16:16">
      <c r="P38581" s="2498"/>
    </row>
    <row r="38582" spans="16:16">
      <c r="P38582" s="2498"/>
    </row>
    <row r="38583" spans="16:16">
      <c r="P38583" s="2498"/>
    </row>
    <row r="38584" spans="16:16">
      <c r="P38584" s="2498"/>
    </row>
    <row r="38585" spans="16:16">
      <c r="P38585" s="2498"/>
    </row>
    <row r="38586" spans="16:16">
      <c r="P38586" s="2498"/>
    </row>
    <row r="38587" spans="16:16">
      <c r="P38587" s="2498"/>
    </row>
    <row r="38588" spans="16:16">
      <c r="P38588" s="2498"/>
    </row>
    <row r="38589" spans="16:16">
      <c r="P38589" s="2498"/>
    </row>
    <row r="38590" spans="16:16">
      <c r="P38590" s="2498"/>
    </row>
    <row r="38591" spans="16:16">
      <c r="P38591" s="2498"/>
    </row>
    <row r="38592" spans="16:16">
      <c r="P38592" s="2498"/>
    </row>
    <row r="38593" spans="16:16">
      <c r="P38593" s="2498"/>
    </row>
    <row r="38594" spans="16:16">
      <c r="P38594" s="2498"/>
    </row>
    <row r="38595" spans="16:16">
      <c r="P38595" s="2498"/>
    </row>
    <row r="38596" spans="16:16">
      <c r="P38596" s="2498"/>
    </row>
    <row r="38597" spans="16:16">
      <c r="P38597" s="2498"/>
    </row>
    <row r="38598" spans="16:16">
      <c r="P38598" s="2498"/>
    </row>
    <row r="38599" spans="16:16">
      <c r="P38599" s="2498"/>
    </row>
    <row r="38600" spans="16:16">
      <c r="P38600" s="2498"/>
    </row>
    <row r="38601" spans="16:16">
      <c r="P38601" s="2498"/>
    </row>
    <row r="38602" spans="16:16">
      <c r="P38602" s="2498"/>
    </row>
    <row r="38603" spans="16:16">
      <c r="P38603" s="2498"/>
    </row>
    <row r="38604" spans="16:16">
      <c r="P38604" s="2498"/>
    </row>
    <row r="38605" spans="16:16">
      <c r="P38605" s="2498"/>
    </row>
    <row r="38606" spans="16:16">
      <c r="P38606" s="2498"/>
    </row>
    <row r="38607" spans="16:16">
      <c r="P38607" s="2498"/>
    </row>
    <row r="38608" spans="16:16">
      <c r="P38608" s="2498"/>
    </row>
    <row r="38609" spans="16:16">
      <c r="P38609" s="2498"/>
    </row>
    <row r="38610" spans="16:16">
      <c r="P38610" s="2498"/>
    </row>
    <row r="38611" spans="16:16">
      <c r="P38611" s="2498"/>
    </row>
    <row r="38612" spans="16:16">
      <c r="P38612" s="2498"/>
    </row>
    <row r="38613" spans="16:16">
      <c r="P38613" s="2498"/>
    </row>
    <row r="38614" spans="16:16">
      <c r="P38614" s="2498"/>
    </row>
    <row r="38615" spans="16:16">
      <c r="P38615" s="2498"/>
    </row>
    <row r="38616" spans="16:16">
      <c r="P38616" s="2498"/>
    </row>
    <row r="38617" spans="16:16">
      <c r="P38617" s="2498"/>
    </row>
    <row r="38618" spans="16:16">
      <c r="P38618" s="2498"/>
    </row>
    <row r="38619" spans="16:16">
      <c r="P38619" s="2498"/>
    </row>
    <row r="38620" spans="16:16">
      <c r="P38620" s="2498"/>
    </row>
    <row r="38621" spans="16:16">
      <c r="P38621" s="2498"/>
    </row>
    <row r="38622" spans="16:16">
      <c r="P38622" s="2498"/>
    </row>
    <row r="38623" spans="16:16">
      <c r="P38623" s="2498"/>
    </row>
    <row r="38624" spans="16:16">
      <c r="P38624" s="2498"/>
    </row>
    <row r="38625" spans="16:16">
      <c r="P38625" s="2498"/>
    </row>
    <row r="38626" spans="16:16">
      <c r="P38626" s="2498"/>
    </row>
    <row r="38627" spans="16:16">
      <c r="P38627" s="2498"/>
    </row>
    <row r="38628" spans="16:16">
      <c r="P38628" s="2498"/>
    </row>
    <row r="38629" spans="16:16">
      <c r="P38629" s="2498"/>
    </row>
    <row r="38630" spans="16:16">
      <c r="P38630" s="2498"/>
    </row>
    <row r="38631" spans="16:16">
      <c r="P38631" s="2498"/>
    </row>
    <row r="38632" spans="16:16">
      <c r="P38632" s="2498"/>
    </row>
    <row r="38633" spans="16:16">
      <c r="P38633" s="2498"/>
    </row>
    <row r="38634" spans="16:16">
      <c r="P38634" s="2498"/>
    </row>
    <row r="38635" spans="16:16">
      <c r="P38635" s="2498"/>
    </row>
    <row r="38636" spans="16:16">
      <c r="P38636" s="2498"/>
    </row>
    <row r="38637" spans="16:16">
      <c r="P38637" s="2498"/>
    </row>
    <row r="38638" spans="16:16">
      <c r="P38638" s="2498"/>
    </row>
    <row r="38639" spans="16:16">
      <c r="P38639" s="2498"/>
    </row>
    <row r="38640" spans="16:16">
      <c r="P38640" s="2498"/>
    </row>
    <row r="38641" spans="16:16">
      <c r="P38641" s="2498"/>
    </row>
    <row r="38642" spans="16:16">
      <c r="P38642" s="2498"/>
    </row>
    <row r="38643" spans="16:16">
      <c r="P38643" s="2498"/>
    </row>
    <row r="38644" spans="16:16">
      <c r="P38644" s="2498"/>
    </row>
    <row r="38645" spans="16:16">
      <c r="P38645" s="2498"/>
    </row>
    <row r="38646" spans="16:16">
      <c r="P38646" s="2498"/>
    </row>
    <row r="38647" spans="16:16">
      <c r="P38647" s="2498"/>
    </row>
    <row r="38648" spans="16:16">
      <c r="P38648" s="2498"/>
    </row>
    <row r="38649" spans="16:16">
      <c r="P38649" s="2498"/>
    </row>
    <row r="38650" spans="16:16">
      <c r="P38650" s="2498"/>
    </row>
    <row r="38651" spans="16:16">
      <c r="P38651" s="2498"/>
    </row>
    <row r="38652" spans="16:16">
      <c r="P38652" s="2498"/>
    </row>
    <row r="38653" spans="16:16">
      <c r="P38653" s="2498"/>
    </row>
    <row r="38654" spans="16:16">
      <c r="P38654" s="2498"/>
    </row>
    <row r="38655" spans="16:16">
      <c r="P38655" s="2498"/>
    </row>
    <row r="38656" spans="16:16">
      <c r="P38656" s="2498"/>
    </row>
    <row r="38657" spans="16:16">
      <c r="P38657" s="2498"/>
    </row>
    <row r="38658" spans="16:16">
      <c r="P38658" s="2498"/>
    </row>
    <row r="38659" spans="16:16">
      <c r="P38659" s="2498"/>
    </row>
    <row r="38660" spans="16:16">
      <c r="P38660" s="2498"/>
    </row>
    <row r="38661" spans="16:16">
      <c r="P38661" s="2498"/>
    </row>
    <row r="38662" spans="16:16">
      <c r="P38662" s="2498"/>
    </row>
    <row r="38663" spans="16:16">
      <c r="P38663" s="2498"/>
    </row>
    <row r="38664" spans="16:16">
      <c r="P38664" s="2498"/>
    </row>
    <row r="38665" spans="16:16">
      <c r="P38665" s="2498"/>
    </row>
    <row r="38666" spans="16:16">
      <c r="P38666" s="2498"/>
    </row>
    <row r="38667" spans="16:16">
      <c r="P38667" s="2498"/>
    </row>
    <row r="38668" spans="16:16">
      <c r="P38668" s="2498"/>
    </row>
    <row r="38669" spans="16:16">
      <c r="P38669" s="2498"/>
    </row>
    <row r="38670" spans="16:16">
      <c r="P38670" s="2498"/>
    </row>
    <row r="38671" spans="16:16">
      <c r="P38671" s="2498"/>
    </row>
    <row r="38672" spans="16:16">
      <c r="P38672" s="2498"/>
    </row>
    <row r="38673" spans="16:16">
      <c r="P38673" s="2498"/>
    </row>
    <row r="38674" spans="16:16">
      <c r="P38674" s="2498"/>
    </row>
    <row r="38675" spans="16:16">
      <c r="P38675" s="2498"/>
    </row>
    <row r="38676" spans="16:16">
      <c r="P38676" s="2498"/>
    </row>
    <row r="38677" spans="16:16">
      <c r="P38677" s="2498"/>
    </row>
    <row r="38678" spans="16:16">
      <c r="P38678" s="2498"/>
    </row>
    <row r="38679" spans="16:16">
      <c r="P38679" s="2498"/>
    </row>
    <row r="38680" spans="16:16">
      <c r="P38680" s="2498"/>
    </row>
    <row r="38681" spans="16:16">
      <c r="P38681" s="2498"/>
    </row>
    <row r="38682" spans="16:16">
      <c r="P38682" s="2498"/>
    </row>
    <row r="38683" spans="16:16">
      <c r="P38683" s="2498"/>
    </row>
    <row r="38684" spans="16:16">
      <c r="P38684" s="2498"/>
    </row>
    <row r="38685" spans="16:16">
      <c r="P38685" s="2498"/>
    </row>
    <row r="38686" spans="16:16">
      <c r="P38686" s="2498"/>
    </row>
    <row r="38687" spans="16:16">
      <c r="P38687" s="2498"/>
    </row>
    <row r="38688" spans="16:16">
      <c r="P38688" s="2498"/>
    </row>
    <row r="38689" spans="16:16">
      <c r="P38689" s="2498"/>
    </row>
    <row r="38690" spans="16:16">
      <c r="P38690" s="2498"/>
    </row>
    <row r="38691" spans="16:16">
      <c r="P38691" s="2498"/>
    </row>
    <row r="38692" spans="16:16">
      <c r="P38692" s="2498"/>
    </row>
    <row r="38693" spans="16:16">
      <c r="P38693" s="2498"/>
    </row>
    <row r="38694" spans="16:16">
      <c r="P38694" s="2498"/>
    </row>
    <row r="38695" spans="16:16">
      <c r="P38695" s="2498"/>
    </row>
    <row r="38696" spans="16:16">
      <c r="P38696" s="2498"/>
    </row>
    <row r="38697" spans="16:16">
      <c r="P38697" s="2498"/>
    </row>
    <row r="38698" spans="16:16">
      <c r="P38698" s="2498"/>
    </row>
    <row r="38699" spans="16:16">
      <c r="P38699" s="2498"/>
    </row>
    <row r="38700" spans="16:16">
      <c r="P38700" s="2498"/>
    </row>
    <row r="38701" spans="16:16">
      <c r="P38701" s="2498"/>
    </row>
    <row r="38702" spans="16:16">
      <c r="P38702" s="2498"/>
    </row>
    <row r="38703" spans="16:16">
      <c r="P38703" s="2498"/>
    </row>
    <row r="38704" spans="16:16">
      <c r="P38704" s="2498"/>
    </row>
    <row r="38705" spans="16:16">
      <c r="P38705" s="2498"/>
    </row>
    <row r="38706" spans="16:16">
      <c r="P38706" s="2498"/>
    </row>
    <row r="38707" spans="16:16">
      <c r="P38707" s="2498"/>
    </row>
    <row r="38708" spans="16:16">
      <c r="P38708" s="2498"/>
    </row>
    <row r="38709" spans="16:16">
      <c r="P38709" s="2498"/>
    </row>
    <row r="38710" spans="16:16">
      <c r="P38710" s="2498"/>
    </row>
    <row r="38711" spans="16:16">
      <c r="P38711" s="2498"/>
    </row>
    <row r="38712" spans="16:16">
      <c r="P38712" s="2498"/>
    </row>
    <row r="38713" spans="16:16">
      <c r="P38713" s="2498"/>
    </row>
    <row r="38714" spans="16:16">
      <c r="P38714" s="2498"/>
    </row>
    <row r="38715" spans="16:16">
      <c r="P38715" s="2498"/>
    </row>
    <row r="38716" spans="16:16">
      <c r="P38716" s="2498"/>
    </row>
    <row r="38717" spans="16:16">
      <c r="P38717" s="2498"/>
    </row>
    <row r="38718" spans="16:16">
      <c r="P38718" s="2498"/>
    </row>
    <row r="38719" spans="16:16">
      <c r="P38719" s="2498"/>
    </row>
    <row r="38720" spans="16:16">
      <c r="P38720" s="2498"/>
    </row>
    <row r="38721" spans="16:16">
      <c r="P38721" s="2498"/>
    </row>
    <row r="38722" spans="16:16">
      <c r="P38722" s="2498"/>
    </row>
    <row r="38723" spans="16:16">
      <c r="P38723" s="2498"/>
    </row>
    <row r="38724" spans="16:16">
      <c r="P38724" s="2498"/>
    </row>
    <row r="38725" spans="16:16">
      <c r="P38725" s="2498"/>
    </row>
    <row r="38726" spans="16:16">
      <c r="P38726" s="2498"/>
    </row>
    <row r="38727" spans="16:16">
      <c r="P38727" s="2498"/>
    </row>
    <row r="38728" spans="16:16">
      <c r="P38728" s="2498"/>
    </row>
    <row r="38729" spans="16:16">
      <c r="P38729" s="2498"/>
    </row>
    <row r="38730" spans="16:16">
      <c r="P38730" s="2498"/>
    </row>
    <row r="38731" spans="16:16">
      <c r="P38731" s="2498"/>
    </row>
    <row r="38732" spans="16:16">
      <c r="P38732" s="2498"/>
    </row>
    <row r="38733" spans="16:16">
      <c r="P38733" s="2498"/>
    </row>
    <row r="38734" spans="16:16">
      <c r="P38734" s="2498"/>
    </row>
    <row r="38735" spans="16:16">
      <c r="P38735" s="2498"/>
    </row>
    <row r="38736" spans="16:16">
      <c r="P38736" s="2498"/>
    </row>
    <row r="38737" spans="16:16">
      <c r="P38737" s="2498"/>
    </row>
    <row r="38738" spans="16:16">
      <c r="P38738" s="2498"/>
    </row>
    <row r="38739" spans="16:16">
      <c r="P38739" s="2498"/>
    </row>
    <row r="38740" spans="16:16">
      <c r="P38740" s="2498"/>
    </row>
    <row r="38741" spans="16:16">
      <c r="P38741" s="2498"/>
    </row>
    <row r="38742" spans="16:16">
      <c r="P38742" s="2498"/>
    </row>
    <row r="38743" spans="16:16">
      <c r="P38743" s="2498"/>
    </row>
    <row r="38744" spans="16:16">
      <c r="P38744" s="2498"/>
    </row>
    <row r="38745" spans="16:16">
      <c r="P38745" s="2498"/>
    </row>
    <row r="38746" spans="16:16">
      <c r="P38746" s="2498"/>
    </row>
    <row r="38747" spans="16:16">
      <c r="P38747" s="2498"/>
    </row>
    <row r="38748" spans="16:16">
      <c r="P38748" s="2498"/>
    </row>
    <row r="38749" spans="16:16">
      <c r="P38749" s="2498"/>
    </row>
    <row r="38750" spans="16:16">
      <c r="P38750" s="2498"/>
    </row>
    <row r="38751" spans="16:16">
      <c r="P38751" s="2498"/>
    </row>
    <row r="38752" spans="16:16">
      <c r="P38752" s="2498"/>
    </row>
    <row r="38753" spans="16:16">
      <c r="P38753" s="2498"/>
    </row>
    <row r="38754" spans="16:16">
      <c r="P38754" s="2498"/>
    </row>
    <row r="38755" spans="16:16">
      <c r="P38755" s="2498"/>
    </row>
    <row r="38756" spans="16:16">
      <c r="P38756" s="2498"/>
    </row>
    <row r="38757" spans="16:16">
      <c r="P38757" s="2498"/>
    </row>
    <row r="38758" spans="16:16">
      <c r="P38758" s="2498"/>
    </row>
    <row r="38759" spans="16:16">
      <c r="P38759" s="2498"/>
    </row>
    <row r="38760" spans="16:16">
      <c r="P38760" s="2498"/>
    </row>
    <row r="38761" spans="16:16">
      <c r="P38761" s="2498"/>
    </row>
    <row r="38762" spans="16:16">
      <c r="P38762" s="2498"/>
    </row>
    <row r="38763" spans="16:16">
      <c r="P38763" s="2498"/>
    </row>
    <row r="38764" spans="16:16">
      <c r="P38764" s="2498"/>
    </row>
    <row r="38765" spans="16:16">
      <c r="P38765" s="2498"/>
    </row>
    <row r="38766" spans="16:16">
      <c r="P38766" s="2498"/>
    </row>
    <row r="38767" spans="16:16">
      <c r="P38767" s="2498"/>
    </row>
    <row r="38768" spans="16:16">
      <c r="P38768" s="2498"/>
    </row>
    <row r="38769" spans="16:16">
      <c r="P38769" s="2498"/>
    </row>
    <row r="38770" spans="16:16">
      <c r="P38770" s="2498"/>
    </row>
    <row r="38771" spans="16:16">
      <c r="P38771" s="2498"/>
    </row>
    <row r="38772" spans="16:16">
      <c r="P38772" s="2498"/>
    </row>
    <row r="38773" spans="16:16">
      <c r="P38773" s="2498"/>
    </row>
    <row r="38774" spans="16:16">
      <c r="P38774" s="2498"/>
    </row>
    <row r="38775" spans="16:16">
      <c r="P38775" s="2498"/>
    </row>
    <row r="38776" spans="16:16">
      <c r="P38776" s="2498"/>
    </row>
    <row r="38777" spans="16:16">
      <c r="P38777" s="2498"/>
    </row>
    <row r="38778" spans="16:16">
      <c r="P38778" s="2498"/>
    </row>
    <row r="38779" spans="16:16">
      <c r="P38779" s="2498"/>
    </row>
    <row r="38780" spans="16:16">
      <c r="P38780" s="2498"/>
    </row>
    <row r="38781" spans="16:16">
      <c r="P38781" s="2498"/>
    </row>
    <row r="38782" spans="16:16">
      <c r="P38782" s="2498"/>
    </row>
    <row r="38783" spans="16:16">
      <c r="P38783" s="2498"/>
    </row>
    <row r="38784" spans="16:16">
      <c r="P38784" s="2498"/>
    </row>
    <row r="38785" spans="16:16">
      <c r="P38785" s="2498"/>
    </row>
    <row r="38786" spans="16:16">
      <c r="P38786" s="2498"/>
    </row>
    <row r="38787" spans="16:16">
      <c r="P38787" s="2498"/>
    </row>
    <row r="38788" spans="16:16">
      <c r="P38788" s="2498"/>
    </row>
    <row r="38789" spans="16:16">
      <c r="P38789" s="2498"/>
    </row>
    <row r="38790" spans="16:16">
      <c r="P38790" s="2498"/>
    </row>
    <row r="38791" spans="16:16">
      <c r="P38791" s="2498"/>
    </row>
    <row r="38792" spans="16:16">
      <c r="P38792" s="2498"/>
    </row>
    <row r="38793" spans="16:16">
      <c r="P38793" s="2498"/>
    </row>
    <row r="38794" spans="16:16">
      <c r="P38794" s="2498"/>
    </row>
    <row r="38795" spans="16:16">
      <c r="P38795" s="2498"/>
    </row>
    <row r="38796" spans="16:16">
      <c r="P38796" s="2498"/>
    </row>
    <row r="38797" spans="16:16">
      <c r="P38797" s="2498"/>
    </row>
    <row r="38798" spans="16:16">
      <c r="P38798" s="2498"/>
    </row>
    <row r="38799" spans="16:16">
      <c r="P38799" s="2498"/>
    </row>
    <row r="38800" spans="16:16">
      <c r="P38800" s="2498"/>
    </row>
    <row r="38801" spans="16:16">
      <c r="P38801" s="2498"/>
    </row>
    <row r="38802" spans="16:16">
      <c r="P38802" s="2498"/>
    </row>
    <row r="38803" spans="16:16">
      <c r="P38803" s="2498"/>
    </row>
    <row r="38804" spans="16:16">
      <c r="P38804" s="2498"/>
    </row>
    <row r="38805" spans="16:16">
      <c r="P38805" s="2498"/>
    </row>
    <row r="38806" spans="16:16">
      <c r="P38806" s="2498"/>
    </row>
    <row r="38807" spans="16:16">
      <c r="P38807" s="2498"/>
    </row>
    <row r="38808" spans="16:16">
      <c r="P38808" s="2498"/>
    </row>
    <row r="38809" spans="16:16">
      <c r="P38809" s="2498"/>
    </row>
    <row r="38810" spans="16:16">
      <c r="P38810" s="2498"/>
    </row>
    <row r="38811" spans="16:16">
      <c r="P38811" s="2498"/>
    </row>
    <row r="38812" spans="16:16">
      <c r="P38812" s="2498"/>
    </row>
    <row r="38813" spans="16:16">
      <c r="P38813" s="2498"/>
    </row>
    <row r="38814" spans="16:16">
      <c r="P38814" s="2498"/>
    </row>
    <row r="38815" spans="16:16">
      <c r="P38815" s="2498"/>
    </row>
    <row r="38816" spans="16:16">
      <c r="P38816" s="2498"/>
    </row>
    <row r="38817" spans="16:16">
      <c r="P38817" s="2498"/>
    </row>
    <row r="38818" spans="16:16">
      <c r="P38818" s="2498"/>
    </row>
    <row r="38819" spans="16:16">
      <c r="P38819" s="2498"/>
    </row>
    <row r="38820" spans="16:16">
      <c r="P38820" s="2498"/>
    </row>
    <row r="38821" spans="16:16">
      <c r="P38821" s="2498"/>
    </row>
    <row r="38822" spans="16:16">
      <c r="P38822" s="2498"/>
    </row>
    <row r="38823" spans="16:16">
      <c r="P38823" s="2498"/>
    </row>
    <row r="38824" spans="16:16">
      <c r="P38824" s="2498"/>
    </row>
    <row r="38825" spans="16:16">
      <c r="P38825" s="2498"/>
    </row>
    <row r="38826" spans="16:16">
      <c r="P38826" s="2498"/>
    </row>
    <row r="38827" spans="16:16">
      <c r="P38827" s="2498"/>
    </row>
    <row r="38828" spans="16:16">
      <c r="P38828" s="2498"/>
    </row>
    <row r="38829" spans="16:16">
      <c r="P38829" s="2498"/>
    </row>
    <row r="38830" spans="16:16">
      <c r="P38830" s="2498"/>
    </row>
    <row r="38831" spans="16:16">
      <c r="P38831" s="2498"/>
    </row>
    <row r="38832" spans="16:16">
      <c r="P38832" s="2498"/>
    </row>
    <row r="38833" spans="16:16">
      <c r="P38833" s="2498"/>
    </row>
    <row r="38834" spans="16:16">
      <c r="P38834" s="2498"/>
    </row>
    <row r="38835" spans="16:16">
      <c r="P38835" s="2498"/>
    </row>
    <row r="38836" spans="16:16">
      <c r="P38836" s="2498"/>
    </row>
    <row r="38837" spans="16:16">
      <c r="P38837" s="2498"/>
    </row>
    <row r="38838" spans="16:16">
      <c r="P38838" s="2498"/>
    </row>
    <row r="38839" spans="16:16">
      <c r="P38839" s="2498"/>
    </row>
    <row r="38840" spans="16:16">
      <c r="P38840" s="2498"/>
    </row>
    <row r="38841" spans="16:16">
      <c r="P38841" s="2498"/>
    </row>
    <row r="38842" spans="16:16">
      <c r="P38842" s="2498"/>
    </row>
    <row r="38843" spans="16:16">
      <c r="P38843" s="2498"/>
    </row>
    <row r="38844" spans="16:16">
      <c r="P38844" s="2498"/>
    </row>
    <row r="38845" spans="16:16">
      <c r="P38845" s="2498"/>
    </row>
    <row r="38846" spans="16:16">
      <c r="P38846" s="2498"/>
    </row>
    <row r="38847" spans="16:16">
      <c r="P38847" s="2498"/>
    </row>
    <row r="38848" spans="16:16">
      <c r="P38848" s="2498"/>
    </row>
    <row r="38849" spans="16:16">
      <c r="P38849" s="2498"/>
    </row>
    <row r="38850" spans="16:16">
      <c r="P38850" s="2498"/>
    </row>
    <row r="38851" spans="16:16">
      <c r="P38851" s="2498"/>
    </row>
    <row r="38852" spans="16:16">
      <c r="P38852" s="2498"/>
    </row>
    <row r="38853" spans="16:16">
      <c r="P38853" s="2498"/>
    </row>
    <row r="38854" spans="16:16">
      <c r="P38854" s="2498"/>
    </row>
    <row r="38855" spans="16:16">
      <c r="P38855" s="2498"/>
    </row>
    <row r="38856" spans="16:16">
      <c r="P38856" s="2498"/>
    </row>
    <row r="38857" spans="16:16">
      <c r="P38857" s="2498"/>
    </row>
    <row r="38858" spans="16:16">
      <c r="P38858" s="2498"/>
    </row>
    <row r="38859" spans="16:16">
      <c r="P38859" s="2498"/>
    </row>
    <row r="38860" spans="16:16">
      <c r="P38860" s="2498"/>
    </row>
    <row r="38861" spans="16:16">
      <c r="P38861" s="2498"/>
    </row>
    <row r="38862" spans="16:16">
      <c r="P38862" s="2498"/>
    </row>
    <row r="38863" spans="16:16">
      <c r="P38863" s="2498"/>
    </row>
    <row r="38864" spans="16:16">
      <c r="P38864" s="2498"/>
    </row>
    <row r="38865" spans="16:16">
      <c r="P38865" s="2498"/>
    </row>
    <row r="38866" spans="16:16">
      <c r="P38866" s="2498"/>
    </row>
    <row r="38867" spans="16:16">
      <c r="P38867" s="2498"/>
    </row>
    <row r="38868" spans="16:16">
      <c r="P38868" s="2498"/>
    </row>
    <row r="38869" spans="16:16">
      <c r="P38869" s="2498"/>
    </row>
    <row r="38870" spans="16:16">
      <c r="P38870" s="2498"/>
    </row>
    <row r="38871" spans="16:16">
      <c r="P38871" s="2498"/>
    </row>
    <row r="38872" spans="16:16">
      <c r="P38872" s="2498"/>
    </row>
    <row r="38873" spans="16:16">
      <c r="P38873" s="2498"/>
    </row>
    <row r="38874" spans="16:16">
      <c r="P38874" s="2498"/>
    </row>
    <row r="38875" spans="16:16">
      <c r="P38875" s="2498"/>
    </row>
    <row r="38876" spans="16:16">
      <c r="P38876" s="2498"/>
    </row>
    <row r="38877" spans="16:16">
      <c r="P38877" s="2498"/>
    </row>
    <row r="38878" spans="16:16">
      <c r="P38878" s="2498"/>
    </row>
    <row r="38879" spans="16:16">
      <c r="P38879" s="2498"/>
    </row>
    <row r="38880" spans="16:16">
      <c r="P38880" s="2498"/>
    </row>
    <row r="38881" spans="16:16">
      <c r="P38881" s="2498"/>
    </row>
    <row r="38882" spans="16:16">
      <c r="P38882" s="2498"/>
    </row>
    <row r="38883" spans="16:16">
      <c r="P38883" s="2498"/>
    </row>
    <row r="38884" spans="16:16">
      <c r="P38884" s="2498"/>
    </row>
    <row r="38885" spans="16:16">
      <c r="P38885" s="2498"/>
    </row>
    <row r="38886" spans="16:16">
      <c r="P38886" s="2498"/>
    </row>
    <row r="38887" spans="16:16">
      <c r="P38887" s="2498"/>
    </row>
    <row r="38888" spans="16:16">
      <c r="P38888" s="2498"/>
    </row>
    <row r="38889" spans="16:16">
      <c r="P38889" s="2498"/>
    </row>
    <row r="38890" spans="16:16">
      <c r="P38890" s="2498"/>
    </row>
    <row r="38891" spans="16:16">
      <c r="P38891" s="2498"/>
    </row>
    <row r="38892" spans="16:16">
      <c r="P38892" s="2498"/>
    </row>
    <row r="38893" spans="16:16">
      <c r="P38893" s="2498"/>
    </row>
    <row r="38894" spans="16:16">
      <c r="P38894" s="2498"/>
    </row>
    <row r="38895" spans="16:16">
      <c r="P38895" s="2498"/>
    </row>
    <row r="38896" spans="16:16">
      <c r="P38896" s="2498"/>
    </row>
    <row r="38897" spans="16:16">
      <c r="P38897" s="2498"/>
    </row>
    <row r="38898" spans="16:16">
      <c r="P38898" s="2498"/>
    </row>
    <row r="38899" spans="16:16">
      <c r="P38899" s="2498"/>
    </row>
    <row r="38900" spans="16:16">
      <c r="P38900" s="2498"/>
    </row>
    <row r="38901" spans="16:16">
      <c r="P38901" s="2498"/>
    </row>
    <row r="38902" spans="16:16">
      <c r="P38902" s="2498"/>
    </row>
    <row r="38903" spans="16:16">
      <c r="P38903" s="2498"/>
    </row>
    <row r="38904" spans="16:16">
      <c r="P38904" s="2498"/>
    </row>
    <row r="38905" spans="16:16">
      <c r="P38905" s="2498"/>
    </row>
    <row r="38906" spans="16:16">
      <c r="P38906" s="2498"/>
    </row>
    <row r="38907" spans="16:16">
      <c r="P38907" s="2498"/>
    </row>
    <row r="38908" spans="16:16">
      <c r="P38908" s="2498"/>
    </row>
    <row r="38909" spans="16:16">
      <c r="P38909" s="2498"/>
    </row>
    <row r="38910" spans="16:16">
      <c r="P38910" s="2498"/>
    </row>
    <row r="38911" spans="16:16">
      <c r="P38911" s="2498"/>
    </row>
    <row r="38912" spans="16:16">
      <c r="P38912" s="2498"/>
    </row>
    <row r="38913" spans="16:16">
      <c r="P38913" s="2498"/>
    </row>
    <row r="38914" spans="16:16">
      <c r="P38914" s="2498"/>
    </row>
    <row r="38915" spans="16:16">
      <c r="P38915" s="2498"/>
    </row>
    <row r="38916" spans="16:16">
      <c r="P38916" s="2498"/>
    </row>
    <row r="38917" spans="16:16">
      <c r="P38917" s="2498"/>
    </row>
    <row r="38918" spans="16:16">
      <c r="P38918" s="2498"/>
    </row>
    <row r="38919" spans="16:16">
      <c r="P38919" s="2498"/>
    </row>
    <row r="38920" spans="16:16">
      <c r="P38920" s="2498"/>
    </row>
    <row r="38921" spans="16:16">
      <c r="P38921" s="2498"/>
    </row>
    <row r="38922" spans="16:16">
      <c r="P38922" s="2498"/>
    </row>
    <row r="38923" spans="16:16">
      <c r="P38923" s="2498"/>
    </row>
    <row r="38924" spans="16:16">
      <c r="P38924" s="2498"/>
    </row>
    <row r="38925" spans="16:16">
      <c r="P38925" s="2498"/>
    </row>
    <row r="38926" spans="16:16">
      <c r="P38926" s="2498"/>
    </row>
    <row r="38927" spans="16:16">
      <c r="P38927" s="2498"/>
    </row>
    <row r="38928" spans="16:16">
      <c r="P38928" s="2498"/>
    </row>
    <row r="38929" spans="16:16">
      <c r="P38929" s="2498"/>
    </row>
    <row r="38930" spans="16:16">
      <c r="P38930" s="2498"/>
    </row>
    <row r="38931" spans="16:16">
      <c r="P38931" s="2498"/>
    </row>
    <row r="38932" spans="16:16">
      <c r="P38932" s="2498"/>
    </row>
    <row r="38933" spans="16:16">
      <c r="P38933" s="2498"/>
    </row>
    <row r="38934" spans="16:16">
      <c r="P38934" s="2498"/>
    </row>
    <row r="38935" spans="16:16">
      <c r="P38935" s="2498"/>
    </row>
    <row r="38936" spans="16:16">
      <c r="P38936" s="2498"/>
    </row>
    <row r="38937" spans="16:16">
      <c r="P38937" s="2498"/>
    </row>
    <row r="38938" spans="16:16">
      <c r="P38938" s="2498"/>
    </row>
    <row r="38939" spans="16:16">
      <c r="P38939" s="2498"/>
    </row>
    <row r="38940" spans="16:16">
      <c r="P38940" s="2498"/>
    </row>
    <row r="38941" spans="16:16">
      <c r="P38941" s="2498"/>
    </row>
    <row r="38942" spans="16:16">
      <c r="P38942" s="2498"/>
    </row>
    <row r="38943" spans="16:16">
      <c r="P38943" s="2498"/>
    </row>
    <row r="38944" spans="16:16">
      <c r="P38944" s="2498"/>
    </row>
    <row r="38945" spans="16:16">
      <c r="P38945" s="2498"/>
    </row>
    <row r="38946" spans="16:16">
      <c r="P38946" s="2498"/>
    </row>
    <row r="38947" spans="16:16">
      <c r="P38947" s="2498"/>
    </row>
    <row r="38948" spans="16:16">
      <c r="P38948" s="2498"/>
    </row>
    <row r="38949" spans="16:16">
      <c r="P38949" s="2498"/>
    </row>
    <row r="38950" spans="16:16">
      <c r="P38950" s="2498"/>
    </row>
    <row r="38951" spans="16:16">
      <c r="P38951" s="2498"/>
    </row>
    <row r="38952" spans="16:16">
      <c r="P38952" s="2498"/>
    </row>
    <row r="38953" spans="16:16">
      <c r="P38953" s="2498"/>
    </row>
    <row r="38954" spans="16:16">
      <c r="P38954" s="2498"/>
    </row>
    <row r="38955" spans="16:16">
      <c r="P38955" s="2498"/>
    </row>
    <row r="38956" spans="16:16">
      <c r="P38956" s="2498"/>
    </row>
    <row r="38957" spans="16:16">
      <c r="P38957" s="2498"/>
    </row>
    <row r="38958" spans="16:16">
      <c r="P38958" s="2498"/>
    </row>
    <row r="38959" spans="16:16">
      <c r="P38959" s="2498"/>
    </row>
    <row r="38960" spans="16:16">
      <c r="P38960" s="2498"/>
    </row>
    <row r="38961" spans="16:16">
      <c r="P38961" s="2498"/>
    </row>
    <row r="38962" spans="16:16">
      <c r="P38962" s="2498"/>
    </row>
    <row r="38963" spans="16:16">
      <c r="P38963" s="2498"/>
    </row>
    <row r="38964" spans="16:16">
      <c r="P38964" s="2498"/>
    </row>
    <row r="38965" spans="16:16">
      <c r="P38965" s="2498"/>
    </row>
    <row r="38966" spans="16:16">
      <c r="P38966" s="2498"/>
    </row>
    <row r="38967" spans="16:16">
      <c r="P38967" s="2498"/>
    </row>
    <row r="38968" spans="16:16">
      <c r="P38968" s="2498"/>
    </row>
    <row r="38969" spans="16:16">
      <c r="P38969" s="2498"/>
    </row>
    <row r="38970" spans="16:16">
      <c r="P38970" s="2498"/>
    </row>
    <row r="38971" spans="16:16">
      <c r="P38971" s="2498"/>
    </row>
    <row r="38972" spans="16:16">
      <c r="P38972" s="2498"/>
    </row>
    <row r="38973" spans="16:16">
      <c r="P38973" s="2498"/>
    </row>
    <row r="38974" spans="16:16">
      <c r="P38974" s="2498"/>
    </row>
    <row r="38975" spans="16:16">
      <c r="P38975" s="2498"/>
    </row>
    <row r="38976" spans="16:16">
      <c r="P38976" s="2498"/>
    </row>
    <row r="38977" spans="16:16">
      <c r="P38977" s="2498"/>
    </row>
    <row r="38978" spans="16:16">
      <c r="P38978" s="2498"/>
    </row>
    <row r="38979" spans="16:16">
      <c r="P38979" s="2498"/>
    </row>
    <row r="38980" spans="16:16">
      <c r="P38980" s="2498"/>
    </row>
    <row r="38981" spans="16:16">
      <c r="P38981" s="2498"/>
    </row>
    <row r="38982" spans="16:16">
      <c r="P38982" s="2498"/>
    </row>
    <row r="38983" spans="16:16">
      <c r="P38983" s="2498"/>
    </row>
    <row r="38984" spans="16:16">
      <c r="P38984" s="2498"/>
    </row>
    <row r="38985" spans="16:16">
      <c r="P38985" s="2498"/>
    </row>
    <row r="38986" spans="16:16">
      <c r="P38986" s="2498"/>
    </row>
    <row r="38987" spans="16:16">
      <c r="P38987" s="2498"/>
    </row>
    <row r="38988" spans="16:16">
      <c r="P38988" s="2498"/>
    </row>
    <row r="38989" spans="16:16">
      <c r="P38989" s="2498"/>
    </row>
    <row r="38990" spans="16:16">
      <c r="P38990" s="2498"/>
    </row>
    <row r="38991" spans="16:16">
      <c r="P38991" s="2498"/>
    </row>
    <row r="38992" spans="16:16">
      <c r="P38992" s="2498"/>
    </row>
    <row r="38993" spans="16:16">
      <c r="P38993" s="2498"/>
    </row>
    <row r="38994" spans="16:16">
      <c r="P38994" s="2498"/>
    </row>
    <row r="38995" spans="16:16">
      <c r="P38995" s="2498"/>
    </row>
    <row r="38996" spans="16:16">
      <c r="P38996" s="2498"/>
    </row>
    <row r="38997" spans="16:16">
      <c r="P38997" s="2498"/>
    </row>
    <row r="38998" spans="16:16">
      <c r="P38998" s="2498"/>
    </row>
    <row r="38999" spans="16:16">
      <c r="P38999" s="2498"/>
    </row>
    <row r="39000" spans="16:16">
      <c r="P39000" s="2498"/>
    </row>
    <row r="39001" spans="16:16">
      <c r="P39001" s="2498"/>
    </row>
    <row r="39002" spans="16:16">
      <c r="P39002" s="2498"/>
    </row>
    <row r="39003" spans="16:16">
      <c r="P39003" s="2498"/>
    </row>
    <row r="39004" spans="16:16">
      <c r="P39004" s="2498"/>
    </row>
    <row r="39005" spans="16:16">
      <c r="P39005" s="2498"/>
    </row>
    <row r="39006" spans="16:16">
      <c r="P39006" s="2498"/>
    </row>
    <row r="39007" spans="16:16">
      <c r="P39007" s="2498"/>
    </row>
    <row r="39008" spans="16:16">
      <c r="P39008" s="2498"/>
    </row>
    <row r="39009" spans="16:16">
      <c r="P39009" s="2498"/>
    </row>
    <row r="39010" spans="16:16">
      <c r="P39010" s="2498"/>
    </row>
    <row r="39011" spans="16:16">
      <c r="P39011" s="2498"/>
    </row>
    <row r="39012" spans="16:16">
      <c r="P39012" s="2498"/>
    </row>
    <row r="39013" spans="16:16">
      <c r="P39013" s="2498"/>
    </row>
    <row r="39014" spans="16:16">
      <c r="P39014" s="2498"/>
    </row>
    <row r="39015" spans="16:16">
      <c r="P39015" s="2498"/>
    </row>
    <row r="39016" spans="16:16">
      <c r="P39016" s="2498"/>
    </row>
    <row r="39017" spans="16:16">
      <c r="P39017" s="2498"/>
    </row>
    <row r="39018" spans="16:16">
      <c r="P39018" s="2498"/>
    </row>
    <row r="39019" spans="16:16">
      <c r="P39019" s="2498"/>
    </row>
    <row r="39020" spans="16:16">
      <c r="P39020" s="2498"/>
    </row>
    <row r="39021" spans="16:16">
      <c r="P39021" s="2498"/>
    </row>
    <row r="39022" spans="16:16">
      <c r="P39022" s="2498"/>
    </row>
    <row r="39023" spans="16:16">
      <c r="P39023" s="2498"/>
    </row>
    <row r="39024" spans="16:16">
      <c r="P39024" s="2498"/>
    </row>
    <row r="39025" spans="16:16">
      <c r="P39025" s="2498"/>
    </row>
    <row r="39026" spans="16:16">
      <c r="P39026" s="2498"/>
    </row>
    <row r="39027" spans="16:16">
      <c r="P39027" s="2498"/>
    </row>
    <row r="39028" spans="16:16">
      <c r="P39028" s="2498"/>
    </row>
    <row r="39029" spans="16:16">
      <c r="P39029" s="2498"/>
    </row>
    <row r="39030" spans="16:16">
      <c r="P39030" s="2498"/>
    </row>
    <row r="39031" spans="16:16">
      <c r="P39031" s="2498"/>
    </row>
    <row r="39032" spans="16:16">
      <c r="P39032" s="2498"/>
    </row>
    <row r="39033" spans="16:16">
      <c r="P39033" s="2498"/>
    </row>
    <row r="39034" spans="16:16">
      <c r="P39034" s="2498"/>
    </row>
    <row r="39035" spans="16:16">
      <c r="P39035" s="2498"/>
    </row>
    <row r="39036" spans="16:16">
      <c r="P39036" s="2498"/>
    </row>
    <row r="39037" spans="16:16">
      <c r="P39037" s="2498"/>
    </row>
    <row r="39038" spans="16:16">
      <c r="P39038" s="2498"/>
    </row>
    <row r="39039" spans="16:16">
      <c r="P39039" s="2498"/>
    </row>
    <row r="39040" spans="16:16">
      <c r="P39040" s="2498"/>
    </row>
    <row r="39041" spans="16:16">
      <c r="P39041" s="2498"/>
    </row>
    <row r="39042" spans="16:16">
      <c r="P39042" s="2498"/>
    </row>
    <row r="39043" spans="16:16">
      <c r="P39043" s="2498"/>
    </row>
    <row r="39044" spans="16:16">
      <c r="P39044" s="2498"/>
    </row>
    <row r="39045" spans="16:16">
      <c r="P39045" s="2498"/>
    </row>
    <row r="39046" spans="16:16">
      <c r="P39046" s="2498"/>
    </row>
    <row r="39047" spans="16:16">
      <c r="P39047" s="2498"/>
    </row>
    <row r="39048" spans="16:16">
      <c r="P39048" s="2498"/>
    </row>
    <row r="39049" spans="16:16">
      <c r="P39049" s="2498"/>
    </row>
    <row r="39050" spans="16:16">
      <c r="P39050" s="2498"/>
    </row>
    <row r="39051" spans="16:16">
      <c r="P39051" s="2498"/>
    </row>
    <row r="39052" spans="16:16">
      <c r="P39052" s="2498"/>
    </row>
    <row r="39053" spans="16:16">
      <c r="P39053" s="2498"/>
    </row>
    <row r="39054" spans="16:16">
      <c r="P39054" s="2498"/>
    </row>
    <row r="39055" spans="16:16">
      <c r="P39055" s="2498"/>
    </row>
    <row r="39056" spans="16:16">
      <c r="P39056" s="2498"/>
    </row>
    <row r="39057" spans="16:16">
      <c r="P39057" s="2498"/>
    </row>
    <row r="39058" spans="16:16">
      <c r="P39058" s="2498"/>
    </row>
    <row r="39059" spans="16:16">
      <c r="P39059" s="2498"/>
    </row>
    <row r="39060" spans="16:16">
      <c r="P39060" s="2498"/>
    </row>
    <row r="39061" spans="16:16">
      <c r="P39061" s="2498"/>
    </row>
    <row r="39062" spans="16:16">
      <c r="P39062" s="2498"/>
    </row>
    <row r="39063" spans="16:16">
      <c r="P39063" s="2498"/>
    </row>
    <row r="39064" spans="16:16">
      <c r="P39064" s="2498"/>
    </row>
    <row r="39065" spans="16:16">
      <c r="P39065" s="2498"/>
    </row>
    <row r="39066" spans="16:16">
      <c r="P39066" s="2498"/>
    </row>
    <row r="39067" spans="16:16">
      <c r="P39067" s="2498"/>
    </row>
    <row r="39068" spans="16:16">
      <c r="P39068" s="2498"/>
    </row>
    <row r="39069" spans="16:16">
      <c r="P39069" s="2498"/>
    </row>
    <row r="39070" spans="16:16">
      <c r="P39070" s="2498"/>
    </row>
    <row r="39071" spans="16:16">
      <c r="P39071" s="2498"/>
    </row>
    <row r="39072" spans="16:16">
      <c r="P39072" s="2498"/>
    </row>
    <row r="39073" spans="16:16">
      <c r="P39073" s="2498"/>
    </row>
    <row r="39074" spans="16:16">
      <c r="P39074" s="2498"/>
    </row>
    <row r="39075" spans="16:16">
      <c r="P39075" s="2498"/>
    </row>
    <row r="39076" spans="16:16">
      <c r="P39076" s="2498"/>
    </row>
    <row r="39077" spans="16:16">
      <c r="P39077" s="2498"/>
    </row>
    <row r="39078" spans="16:16">
      <c r="P39078" s="2498"/>
    </row>
    <row r="39079" spans="16:16">
      <c r="P39079" s="2498"/>
    </row>
    <row r="39080" spans="16:16">
      <c r="P39080" s="2498"/>
    </row>
    <row r="39081" spans="16:16">
      <c r="P39081" s="2498"/>
    </row>
    <row r="39082" spans="16:16">
      <c r="P39082" s="2498"/>
    </row>
    <row r="39083" spans="16:16">
      <c r="P39083" s="2498"/>
    </row>
    <row r="39084" spans="16:16">
      <c r="P39084" s="2498"/>
    </row>
    <row r="39085" spans="16:16">
      <c r="P39085" s="2498"/>
    </row>
    <row r="39086" spans="16:16">
      <c r="P39086" s="2498"/>
    </row>
    <row r="39087" spans="16:16">
      <c r="P39087" s="2498"/>
    </row>
    <row r="39088" spans="16:16">
      <c r="P39088" s="2498"/>
    </row>
    <row r="39089" spans="16:16">
      <c r="P39089" s="2498"/>
    </row>
    <row r="39090" spans="16:16">
      <c r="P39090" s="2498"/>
    </row>
    <row r="39091" spans="16:16">
      <c r="P39091" s="2498"/>
    </row>
    <row r="39092" spans="16:16">
      <c r="P39092" s="2498"/>
    </row>
    <row r="39093" spans="16:16">
      <c r="P39093" s="2498"/>
    </row>
    <row r="39094" spans="16:16">
      <c r="P39094" s="2498"/>
    </row>
    <row r="39095" spans="16:16">
      <c r="P39095" s="2498"/>
    </row>
    <row r="39096" spans="16:16">
      <c r="P39096" s="2498"/>
    </row>
    <row r="39097" spans="16:16">
      <c r="P39097" s="2498"/>
    </row>
    <row r="39098" spans="16:16">
      <c r="P39098" s="2498"/>
    </row>
    <row r="39099" spans="16:16">
      <c r="P39099" s="2498"/>
    </row>
    <row r="39100" spans="16:16">
      <c r="P39100" s="2498"/>
    </row>
    <row r="39101" spans="16:16">
      <c r="P39101" s="2498"/>
    </row>
    <row r="39102" spans="16:16">
      <c r="P39102" s="2498"/>
    </row>
    <row r="39103" spans="16:16">
      <c r="P39103" s="2498"/>
    </row>
    <row r="39104" spans="16:16">
      <c r="P39104" s="2498"/>
    </row>
    <row r="39105" spans="16:16">
      <c r="P39105" s="2498"/>
    </row>
    <row r="39106" spans="16:16">
      <c r="P39106" s="2498"/>
    </row>
    <row r="39107" spans="16:16">
      <c r="P39107" s="2498"/>
    </row>
    <row r="39108" spans="16:16">
      <c r="P39108" s="2498"/>
    </row>
    <row r="39109" spans="16:16">
      <c r="P39109" s="2498"/>
    </row>
    <row r="39110" spans="16:16">
      <c r="P39110" s="2498"/>
    </row>
    <row r="39111" spans="16:16">
      <c r="P39111" s="2498"/>
    </row>
    <row r="39112" spans="16:16">
      <c r="P39112" s="2498"/>
    </row>
    <row r="39113" spans="16:16">
      <c r="P39113" s="2498"/>
    </row>
    <row r="39114" spans="16:16">
      <c r="P39114" s="2498"/>
    </row>
    <row r="39115" spans="16:16">
      <c r="P39115" s="2498"/>
    </row>
    <row r="39116" spans="16:16">
      <c r="P39116" s="2498"/>
    </row>
    <row r="39117" spans="16:16">
      <c r="P39117" s="2498"/>
    </row>
    <row r="39118" spans="16:16">
      <c r="P39118" s="2498"/>
    </row>
    <row r="39119" spans="16:16">
      <c r="P39119" s="2498"/>
    </row>
    <row r="39120" spans="16:16">
      <c r="P39120" s="2498"/>
    </row>
    <row r="39121" spans="16:16">
      <c r="P39121" s="2498"/>
    </row>
    <row r="39122" spans="16:16">
      <c r="P39122" s="2498"/>
    </row>
    <row r="39123" spans="16:16">
      <c r="P39123" s="2498"/>
    </row>
    <row r="39124" spans="16:16">
      <c r="P39124" s="2498"/>
    </row>
    <row r="39125" spans="16:16">
      <c r="P39125" s="2498"/>
    </row>
    <row r="39126" spans="16:16">
      <c r="P39126" s="2498"/>
    </row>
    <row r="39127" spans="16:16">
      <c r="P39127" s="2498"/>
    </row>
    <row r="39128" spans="16:16">
      <c r="P39128" s="2498"/>
    </row>
    <row r="39129" spans="16:16">
      <c r="P39129" s="2498"/>
    </row>
    <row r="39130" spans="16:16">
      <c r="P39130" s="2498"/>
    </row>
    <row r="39131" spans="16:16">
      <c r="P39131" s="2498"/>
    </row>
    <row r="39132" spans="16:16">
      <c r="P39132" s="2498"/>
    </row>
    <row r="39133" spans="16:16">
      <c r="P39133" s="2498"/>
    </row>
    <row r="39134" spans="16:16">
      <c r="P39134" s="2498"/>
    </row>
    <row r="39135" spans="16:16">
      <c r="P39135" s="2498"/>
    </row>
    <row r="39136" spans="16:16">
      <c r="P39136" s="2498"/>
    </row>
    <row r="39137" spans="16:16">
      <c r="P39137" s="2498"/>
    </row>
    <row r="39138" spans="16:16">
      <c r="P39138" s="2498"/>
    </row>
    <row r="39139" spans="16:16">
      <c r="P39139" s="2498"/>
    </row>
    <row r="39140" spans="16:16">
      <c r="P39140" s="2498"/>
    </row>
    <row r="39141" spans="16:16">
      <c r="P39141" s="2498"/>
    </row>
    <row r="39142" spans="16:16">
      <c r="P39142" s="2498"/>
    </row>
    <row r="39143" spans="16:16">
      <c r="P39143" s="2498"/>
    </row>
    <row r="39144" spans="16:16">
      <c r="P39144" s="2498"/>
    </row>
    <row r="39145" spans="16:16">
      <c r="P39145" s="2498"/>
    </row>
    <row r="39146" spans="16:16">
      <c r="P39146" s="2498"/>
    </row>
    <row r="39147" spans="16:16">
      <c r="P39147" s="2498"/>
    </row>
    <row r="39148" spans="16:16">
      <c r="P39148" s="2498"/>
    </row>
    <row r="39149" spans="16:16">
      <c r="P39149" s="2498"/>
    </row>
    <row r="39150" spans="16:16">
      <c r="P39150" s="2498"/>
    </row>
    <row r="39151" spans="16:16">
      <c r="P39151" s="2498"/>
    </row>
    <row r="39152" spans="16:16">
      <c r="P39152" s="2498"/>
    </row>
    <row r="39153" spans="16:16">
      <c r="P39153" s="2498"/>
    </row>
    <row r="39154" spans="16:16">
      <c r="P39154" s="2498"/>
    </row>
    <row r="39155" spans="16:16">
      <c r="P39155" s="2498"/>
    </row>
    <row r="39156" spans="16:16">
      <c r="P39156" s="2498"/>
    </row>
    <row r="39157" spans="16:16">
      <c r="P39157" s="2498"/>
    </row>
    <row r="39158" spans="16:16">
      <c r="P39158" s="2498"/>
    </row>
    <row r="39159" spans="16:16">
      <c r="P39159" s="2498"/>
    </row>
    <row r="39160" spans="16:16">
      <c r="P39160" s="2498"/>
    </row>
    <row r="39161" spans="16:16">
      <c r="P39161" s="2498"/>
    </row>
    <row r="39162" spans="16:16">
      <c r="P39162" s="2498"/>
    </row>
    <row r="39163" spans="16:16">
      <c r="P39163" s="2498"/>
    </row>
    <row r="39164" spans="16:16">
      <c r="P39164" s="2498"/>
    </row>
    <row r="39165" spans="16:16">
      <c r="P39165" s="2498"/>
    </row>
    <row r="39166" spans="16:16">
      <c r="P39166" s="2498"/>
    </row>
    <row r="39167" spans="16:16">
      <c r="P39167" s="2498"/>
    </row>
    <row r="39168" spans="16:16">
      <c r="P39168" s="2498"/>
    </row>
    <row r="39169" spans="16:16">
      <c r="P39169" s="2498"/>
    </row>
    <row r="39170" spans="16:16">
      <c r="P39170" s="2498"/>
    </row>
    <row r="39171" spans="16:16">
      <c r="P39171" s="2498"/>
    </row>
    <row r="39172" spans="16:16">
      <c r="P39172" s="2498"/>
    </row>
    <row r="39173" spans="16:16">
      <c r="P39173" s="2498"/>
    </row>
    <row r="39174" spans="16:16">
      <c r="P39174" s="2498"/>
    </row>
    <row r="39175" spans="16:16">
      <c r="P39175" s="2498"/>
    </row>
    <row r="39176" spans="16:16">
      <c r="P39176" s="2498"/>
    </row>
    <row r="39177" spans="16:16">
      <c r="P39177" s="2498"/>
    </row>
    <row r="39178" spans="16:16">
      <c r="P39178" s="2498"/>
    </row>
    <row r="39179" spans="16:16">
      <c r="P39179" s="2498"/>
    </row>
    <row r="39180" spans="16:16">
      <c r="P39180" s="2498"/>
    </row>
    <row r="39181" spans="16:16">
      <c r="P39181" s="2498"/>
    </row>
    <row r="39182" spans="16:16">
      <c r="P39182" s="2498"/>
    </row>
    <row r="39183" spans="16:16">
      <c r="P39183" s="2498"/>
    </row>
    <row r="39184" spans="16:16">
      <c r="P39184" s="2498"/>
    </row>
    <row r="39185" spans="16:16">
      <c r="P39185" s="2498"/>
    </row>
    <row r="39186" spans="16:16">
      <c r="P39186" s="2498"/>
    </row>
    <row r="39187" spans="16:16">
      <c r="P39187" s="2498"/>
    </row>
    <row r="39188" spans="16:16">
      <c r="P39188" s="2498"/>
    </row>
    <row r="39189" spans="16:16">
      <c r="P39189" s="2498"/>
    </row>
    <row r="39190" spans="16:16">
      <c r="P39190" s="2498"/>
    </row>
    <row r="39191" spans="16:16">
      <c r="P39191" s="2498"/>
    </row>
    <row r="39192" spans="16:16">
      <c r="P39192" s="2498"/>
    </row>
    <row r="39193" spans="16:16">
      <c r="P39193" s="2498"/>
    </row>
    <row r="39194" spans="16:16">
      <c r="P39194" s="2498"/>
    </row>
    <row r="39195" spans="16:16">
      <c r="P39195" s="2498"/>
    </row>
    <row r="39196" spans="16:16">
      <c r="P39196" s="2498"/>
    </row>
    <row r="39197" spans="16:16">
      <c r="P39197" s="2498"/>
    </row>
    <row r="39198" spans="16:16">
      <c r="P39198" s="2498"/>
    </row>
    <row r="39199" spans="16:16">
      <c r="P39199" s="2498"/>
    </row>
    <row r="39200" spans="16:16">
      <c r="P39200" s="2498"/>
    </row>
    <row r="39201" spans="16:16">
      <c r="P39201" s="2498"/>
    </row>
    <row r="39202" spans="16:16">
      <c r="P39202" s="2498"/>
    </row>
    <row r="39203" spans="16:16">
      <c r="P39203" s="2498"/>
    </row>
    <row r="39204" spans="16:16">
      <c r="P39204" s="2498"/>
    </row>
    <row r="39205" spans="16:16">
      <c r="P39205" s="2498"/>
    </row>
    <row r="39206" spans="16:16">
      <c r="P39206" s="2498"/>
    </row>
    <row r="39207" spans="16:16">
      <c r="P39207" s="2498"/>
    </row>
    <row r="39208" spans="16:16">
      <c r="P39208" s="2498"/>
    </row>
    <row r="39209" spans="16:16">
      <c r="P39209" s="2498"/>
    </row>
    <row r="39210" spans="16:16">
      <c r="P39210" s="2498"/>
    </row>
    <row r="39211" spans="16:16">
      <c r="P39211" s="2498"/>
    </row>
    <row r="39212" spans="16:16">
      <c r="P39212" s="2498"/>
    </row>
    <row r="39213" spans="16:16">
      <c r="P39213" s="2498"/>
    </row>
    <row r="39214" spans="16:16">
      <c r="P39214" s="2498"/>
    </row>
    <row r="39215" spans="16:16">
      <c r="P39215" s="2498"/>
    </row>
    <row r="39216" spans="16:16">
      <c r="P39216" s="2498"/>
    </row>
    <row r="39217" spans="16:16">
      <c r="P39217" s="2498"/>
    </row>
    <row r="39218" spans="16:16">
      <c r="P39218" s="2498"/>
    </row>
    <row r="39219" spans="16:16">
      <c r="P39219" s="2498"/>
    </row>
    <row r="39220" spans="16:16">
      <c r="P39220" s="2498"/>
    </row>
    <row r="39221" spans="16:16">
      <c r="P39221" s="2498"/>
    </row>
    <row r="39222" spans="16:16">
      <c r="P39222" s="2498"/>
    </row>
    <row r="39223" spans="16:16">
      <c r="P39223" s="2498"/>
    </row>
    <row r="39224" spans="16:16">
      <c r="P39224" s="2498"/>
    </row>
    <row r="39225" spans="16:16">
      <c r="P39225" s="2498"/>
    </row>
    <row r="39226" spans="16:16">
      <c r="P39226" s="2498"/>
    </row>
    <row r="39227" spans="16:16">
      <c r="P39227" s="2498"/>
    </row>
    <row r="39228" spans="16:16">
      <c r="P39228" s="2498"/>
    </row>
    <row r="39229" spans="16:16">
      <c r="P39229" s="2498"/>
    </row>
    <row r="39230" spans="16:16">
      <c r="P39230" s="2498"/>
    </row>
    <row r="39231" spans="16:16">
      <c r="P39231" s="2498"/>
    </row>
    <row r="39232" spans="16:16">
      <c r="P39232" s="2498"/>
    </row>
    <row r="39233" spans="16:16">
      <c r="P39233" s="2498"/>
    </row>
    <row r="39234" spans="16:16">
      <c r="P39234" s="2498"/>
    </row>
    <row r="39235" spans="16:16">
      <c r="P39235" s="2498"/>
    </row>
    <row r="39236" spans="16:16">
      <c r="P39236" s="2498"/>
    </row>
    <row r="39237" spans="16:16">
      <c r="P39237" s="2498"/>
    </row>
    <row r="39238" spans="16:16">
      <c r="P39238" s="2498"/>
    </row>
    <row r="39239" spans="16:16">
      <c r="P39239" s="2498"/>
    </row>
    <row r="39240" spans="16:16">
      <c r="P39240" s="2498"/>
    </row>
    <row r="39241" spans="16:16">
      <c r="P39241" s="2498"/>
    </row>
    <row r="39242" spans="16:16">
      <c r="P39242" s="2498"/>
    </row>
    <row r="39243" spans="16:16">
      <c r="P39243" s="2498"/>
    </row>
    <row r="39244" spans="16:16">
      <c r="P39244" s="2498"/>
    </row>
    <row r="39245" spans="16:16">
      <c r="P39245" s="2498"/>
    </row>
    <row r="39246" spans="16:16">
      <c r="P39246" s="2498"/>
    </row>
    <row r="39247" spans="16:16">
      <c r="P39247" s="2498"/>
    </row>
    <row r="39248" spans="16:16">
      <c r="P39248" s="2498"/>
    </row>
    <row r="39249" spans="16:16">
      <c r="P39249" s="2498"/>
    </row>
    <row r="39250" spans="16:16">
      <c r="P39250" s="2498"/>
    </row>
    <row r="39251" spans="16:16">
      <c r="P39251" s="2498"/>
    </row>
    <row r="39252" spans="16:16">
      <c r="P39252" s="2498"/>
    </row>
    <row r="39253" spans="16:16">
      <c r="P39253" s="2498"/>
    </row>
    <row r="39254" spans="16:16">
      <c r="P39254" s="2498"/>
    </row>
    <row r="39255" spans="16:16">
      <c r="P39255" s="2498"/>
    </row>
    <row r="39256" spans="16:16">
      <c r="P39256" s="2498"/>
    </row>
    <row r="39257" spans="16:16">
      <c r="P39257" s="2498"/>
    </row>
    <row r="39258" spans="16:16">
      <c r="P39258" s="2498"/>
    </row>
    <row r="39259" spans="16:16">
      <c r="P39259" s="2498"/>
    </row>
    <row r="39260" spans="16:16">
      <c r="P39260" s="2498"/>
    </row>
    <row r="39261" spans="16:16">
      <c r="P39261" s="2498"/>
    </row>
    <row r="39262" spans="16:16">
      <c r="P39262" s="2498"/>
    </row>
    <row r="39263" spans="16:16">
      <c r="P39263" s="2498"/>
    </row>
    <row r="39264" spans="16:16">
      <c r="P39264" s="2498"/>
    </row>
    <row r="39265" spans="16:16">
      <c r="P39265" s="2498"/>
    </row>
    <row r="39266" spans="16:16">
      <c r="P39266" s="2498"/>
    </row>
    <row r="39267" spans="16:16">
      <c r="P39267" s="2498"/>
    </row>
    <row r="39268" spans="16:16">
      <c r="P39268" s="2498"/>
    </row>
    <row r="39269" spans="16:16">
      <c r="P39269" s="2498"/>
    </row>
    <row r="39270" spans="16:16">
      <c r="P39270" s="2498"/>
    </row>
    <row r="39271" spans="16:16">
      <c r="P39271" s="2498"/>
    </row>
    <row r="39272" spans="16:16">
      <c r="P39272" s="2498"/>
    </row>
    <row r="39273" spans="16:16">
      <c r="P39273" s="2498"/>
    </row>
    <row r="39274" spans="16:16">
      <c r="P39274" s="2498"/>
    </row>
    <row r="39275" spans="16:16">
      <c r="P39275" s="2498"/>
    </row>
    <row r="39276" spans="16:16">
      <c r="P39276" s="2498"/>
    </row>
    <row r="39277" spans="16:16">
      <c r="P39277" s="2498"/>
    </row>
    <row r="39278" spans="16:16">
      <c r="P39278" s="2498"/>
    </row>
    <row r="39279" spans="16:16">
      <c r="P39279" s="2498"/>
    </row>
    <row r="39280" spans="16:16">
      <c r="P39280" s="2498"/>
    </row>
    <row r="39281" spans="16:16">
      <c r="P39281" s="2498"/>
    </row>
    <row r="39282" spans="16:16">
      <c r="P39282" s="2498"/>
    </row>
    <row r="39283" spans="16:16">
      <c r="P39283" s="2498"/>
    </row>
    <row r="39284" spans="16:16">
      <c r="P39284" s="2498"/>
    </row>
    <row r="39285" spans="16:16">
      <c r="P39285" s="2498"/>
    </row>
    <row r="39286" spans="16:16">
      <c r="P39286" s="2498"/>
    </row>
    <row r="39287" spans="16:16">
      <c r="P39287" s="2498"/>
    </row>
    <row r="39288" spans="16:16">
      <c r="P39288" s="2498"/>
    </row>
    <row r="39289" spans="16:16">
      <c r="P39289" s="2498"/>
    </row>
    <row r="39290" spans="16:16">
      <c r="P39290" s="2498"/>
    </row>
    <row r="39291" spans="16:16">
      <c r="P39291" s="2498"/>
    </row>
    <row r="39292" spans="16:16">
      <c r="P39292" s="2498"/>
    </row>
    <row r="39293" spans="16:16">
      <c r="P39293" s="2498"/>
    </row>
    <row r="39294" spans="16:16">
      <c r="P39294" s="2498"/>
    </row>
    <row r="39295" spans="16:16">
      <c r="P39295" s="2498"/>
    </row>
    <row r="39296" spans="16:16">
      <c r="P39296" s="2498"/>
    </row>
    <row r="39297" spans="16:16">
      <c r="P39297" s="2498"/>
    </row>
    <row r="39298" spans="16:16">
      <c r="P39298" s="2498"/>
    </row>
    <row r="39299" spans="16:16">
      <c r="P39299" s="2498"/>
    </row>
    <row r="39300" spans="16:16">
      <c r="P39300" s="2498"/>
    </row>
    <row r="39301" spans="16:16">
      <c r="P39301" s="2498"/>
    </row>
    <row r="39302" spans="16:16">
      <c r="P39302" s="2498"/>
    </row>
    <row r="39303" spans="16:16">
      <c r="P39303" s="2498"/>
    </row>
    <row r="39304" spans="16:16">
      <c r="P39304" s="2498"/>
    </row>
    <row r="39305" spans="16:16">
      <c r="P39305" s="2498"/>
    </row>
    <row r="39306" spans="16:16">
      <c r="P39306" s="2498"/>
    </row>
    <row r="39307" spans="16:16">
      <c r="P39307" s="2498"/>
    </row>
    <row r="39308" spans="16:16">
      <c r="P39308" s="2498"/>
    </row>
    <row r="39309" spans="16:16">
      <c r="P39309" s="2498"/>
    </row>
    <row r="39310" spans="16:16">
      <c r="P39310" s="2498"/>
    </row>
    <row r="39311" spans="16:16">
      <c r="P39311" s="2498"/>
    </row>
    <row r="39312" spans="16:16">
      <c r="P39312" s="2498"/>
    </row>
    <row r="39313" spans="16:16">
      <c r="P39313" s="2498"/>
    </row>
    <row r="39314" spans="16:16">
      <c r="P39314" s="2498"/>
    </row>
    <row r="39315" spans="16:16">
      <c r="P39315" s="2498"/>
    </row>
    <row r="39316" spans="16:16">
      <c r="P39316" s="2498"/>
    </row>
    <row r="39317" spans="16:16">
      <c r="P39317" s="2498"/>
    </row>
    <row r="39318" spans="16:16">
      <c r="P39318" s="2498"/>
    </row>
    <row r="39319" spans="16:16">
      <c r="P39319" s="2498"/>
    </row>
    <row r="39320" spans="16:16">
      <c r="P39320" s="2498"/>
    </row>
    <row r="39321" spans="16:16">
      <c r="P39321" s="2498"/>
    </row>
    <row r="39322" spans="16:16">
      <c r="P39322" s="2498"/>
    </row>
    <row r="39323" spans="16:16">
      <c r="P39323" s="2498"/>
    </row>
    <row r="39324" spans="16:16">
      <c r="P39324" s="2498"/>
    </row>
    <row r="39325" spans="16:16">
      <c r="P39325" s="2498"/>
    </row>
    <row r="39326" spans="16:16">
      <c r="P39326" s="2498"/>
    </row>
    <row r="39327" spans="16:16">
      <c r="P39327" s="2498"/>
    </row>
    <row r="39328" spans="16:16">
      <c r="P39328" s="2498"/>
    </row>
    <row r="39329" spans="16:16">
      <c r="P39329" s="2498"/>
    </row>
    <row r="39330" spans="16:16">
      <c r="P39330" s="2498"/>
    </row>
    <row r="39331" spans="16:16">
      <c r="P39331" s="2498"/>
    </row>
    <row r="39332" spans="16:16">
      <c r="P39332" s="2498"/>
    </row>
    <row r="39333" spans="16:16">
      <c r="P39333" s="2498"/>
    </row>
    <row r="39334" spans="16:16">
      <c r="P39334" s="2498"/>
    </row>
    <row r="39335" spans="16:16">
      <c r="P39335" s="2498"/>
    </row>
    <row r="39336" spans="16:16">
      <c r="P39336" s="2498"/>
    </row>
    <row r="39337" spans="16:16">
      <c r="P39337" s="2498"/>
    </row>
    <row r="39338" spans="16:16">
      <c r="P39338" s="2498"/>
    </row>
    <row r="39339" spans="16:16">
      <c r="P39339" s="2498"/>
    </row>
    <row r="39340" spans="16:16">
      <c r="P39340" s="2498"/>
    </row>
    <row r="39341" spans="16:16">
      <c r="P39341" s="2498"/>
    </row>
    <row r="39342" spans="16:16">
      <c r="P39342" s="2498"/>
    </row>
    <row r="39343" spans="16:16">
      <c r="P39343" s="2498"/>
    </row>
    <row r="39344" spans="16:16">
      <c r="P39344" s="2498"/>
    </row>
    <row r="39345" spans="16:16">
      <c r="P39345" s="2498"/>
    </row>
    <row r="39346" spans="16:16">
      <c r="P39346" s="2498"/>
    </row>
    <row r="39347" spans="16:16">
      <c r="P39347" s="2498"/>
    </row>
    <row r="39348" spans="16:16">
      <c r="P39348" s="2498"/>
    </row>
    <row r="39349" spans="16:16">
      <c r="P39349" s="2498"/>
    </row>
    <row r="39350" spans="16:16">
      <c r="P39350" s="2498"/>
    </row>
    <row r="39351" spans="16:16">
      <c r="P39351" s="2498"/>
    </row>
    <row r="39352" spans="16:16">
      <c r="P39352" s="2498"/>
    </row>
    <row r="39353" spans="16:16">
      <c r="P39353" s="2498"/>
    </row>
    <row r="39354" spans="16:16">
      <c r="P39354" s="2498"/>
    </row>
    <row r="39355" spans="16:16">
      <c r="P39355" s="2498"/>
    </row>
    <row r="39356" spans="16:16">
      <c r="P39356" s="2498"/>
    </row>
    <row r="39357" spans="16:16">
      <c r="P39357" s="2498"/>
    </row>
    <row r="39358" spans="16:16">
      <c r="P39358" s="2498"/>
    </row>
    <row r="39359" spans="16:16">
      <c r="P39359" s="2498"/>
    </row>
    <row r="39360" spans="16:16">
      <c r="P39360" s="2498"/>
    </row>
    <row r="39361" spans="16:16">
      <c r="P39361" s="2498"/>
    </row>
    <row r="39362" spans="16:16">
      <c r="P39362" s="2498"/>
    </row>
    <row r="39363" spans="16:16">
      <c r="P39363" s="2498"/>
    </row>
    <row r="39364" spans="16:16">
      <c r="P39364" s="2498"/>
    </row>
    <row r="39365" spans="16:16">
      <c r="P39365" s="2498"/>
    </row>
    <row r="39366" spans="16:16">
      <c r="P39366" s="2498"/>
    </row>
    <row r="39367" spans="16:16">
      <c r="P39367" s="2498"/>
    </row>
    <row r="39368" spans="16:16">
      <c r="P39368" s="2498"/>
    </row>
    <row r="39369" spans="16:16">
      <c r="P39369" s="2498"/>
    </row>
    <row r="39370" spans="16:16">
      <c r="P39370" s="2498"/>
    </row>
    <row r="39371" spans="16:16">
      <c r="P39371" s="2498"/>
    </row>
    <row r="39372" spans="16:16">
      <c r="P39372" s="2498"/>
    </row>
    <row r="39373" spans="16:16">
      <c r="P39373" s="2498"/>
    </row>
    <row r="39374" spans="16:16">
      <c r="P39374" s="2498"/>
    </row>
    <row r="39375" spans="16:16">
      <c r="P39375" s="2498"/>
    </row>
    <row r="39376" spans="16:16">
      <c r="P39376" s="2498"/>
    </row>
    <row r="39377" spans="16:16">
      <c r="P39377" s="2498"/>
    </row>
    <row r="39378" spans="16:16">
      <c r="P39378" s="2498"/>
    </row>
    <row r="39379" spans="16:16">
      <c r="P39379" s="2498"/>
    </row>
    <row r="39380" spans="16:16">
      <c r="P39380" s="2498"/>
    </row>
    <row r="39381" spans="16:16">
      <c r="P39381" s="2498"/>
    </row>
    <row r="39382" spans="16:16">
      <c r="P39382" s="2498"/>
    </row>
    <row r="39383" spans="16:16">
      <c r="P39383" s="2498"/>
    </row>
    <row r="39384" spans="16:16">
      <c r="P39384" s="2498"/>
    </row>
    <row r="39385" spans="16:16">
      <c r="P39385" s="2498"/>
    </row>
    <row r="39386" spans="16:16">
      <c r="P39386" s="2498"/>
    </row>
    <row r="39387" spans="16:16">
      <c r="P39387" s="2498"/>
    </row>
    <row r="39388" spans="16:16">
      <c r="P39388" s="2498"/>
    </row>
    <row r="39389" spans="16:16">
      <c r="P39389" s="2498"/>
    </row>
    <row r="39390" spans="16:16">
      <c r="P39390" s="2498"/>
    </row>
    <row r="39391" spans="16:16">
      <c r="P39391" s="2498"/>
    </row>
    <row r="39392" spans="16:16">
      <c r="P39392" s="2498"/>
    </row>
    <row r="39393" spans="16:16">
      <c r="P39393" s="2498"/>
    </row>
    <row r="39394" spans="16:16">
      <c r="P39394" s="2498"/>
    </row>
    <row r="39395" spans="16:16">
      <c r="P39395" s="2498"/>
    </row>
    <row r="39396" spans="16:16">
      <c r="P39396" s="2498"/>
    </row>
    <row r="39397" spans="16:16">
      <c r="P39397" s="2498"/>
    </row>
    <row r="39398" spans="16:16">
      <c r="P39398" s="2498"/>
    </row>
    <row r="39399" spans="16:16">
      <c r="P39399" s="2498"/>
    </row>
    <row r="39400" spans="16:16">
      <c r="P39400" s="2498"/>
    </row>
    <row r="39401" spans="16:16">
      <c r="P39401" s="2498"/>
    </row>
    <row r="39402" spans="16:16">
      <c r="P39402" s="2498"/>
    </row>
    <row r="39403" spans="16:16">
      <c r="P39403" s="2498"/>
    </row>
    <row r="39404" spans="16:16">
      <c r="P39404" s="2498"/>
    </row>
    <row r="39405" spans="16:16">
      <c r="P39405" s="2498"/>
    </row>
    <row r="39406" spans="16:16">
      <c r="P39406" s="2498"/>
    </row>
    <row r="39407" spans="16:16">
      <c r="P39407" s="2498"/>
    </row>
    <row r="39408" spans="16:16">
      <c r="P39408" s="2498"/>
    </row>
    <row r="39409" spans="16:16">
      <c r="P39409" s="2498"/>
    </row>
    <row r="39410" spans="16:16">
      <c r="P39410" s="2498"/>
    </row>
    <row r="39411" spans="16:16">
      <c r="P39411" s="2498"/>
    </row>
    <row r="39412" spans="16:16">
      <c r="P39412" s="2498"/>
    </row>
    <row r="39413" spans="16:16">
      <c r="P39413" s="2498"/>
    </row>
    <row r="39414" spans="16:16">
      <c r="P39414" s="2498"/>
    </row>
    <row r="39415" spans="16:16">
      <c r="P39415" s="2498"/>
    </row>
    <row r="39416" spans="16:16">
      <c r="P39416" s="2498"/>
    </row>
    <row r="39417" spans="16:16">
      <c r="P39417" s="2498"/>
    </row>
    <row r="39418" spans="16:16">
      <c r="P39418" s="2498"/>
    </row>
    <row r="39419" spans="16:16">
      <c r="P39419" s="2498"/>
    </row>
    <row r="39420" spans="16:16">
      <c r="P39420" s="2498"/>
    </row>
    <row r="39421" spans="16:16">
      <c r="P39421" s="2498"/>
    </row>
    <row r="39422" spans="16:16">
      <c r="P39422" s="2498"/>
    </row>
    <row r="39423" spans="16:16">
      <c r="P39423" s="2498"/>
    </row>
    <row r="39424" spans="16:16">
      <c r="P39424" s="2498"/>
    </row>
    <row r="39425" spans="16:16">
      <c r="P39425" s="2498"/>
    </row>
    <row r="39426" spans="16:16">
      <c r="P39426" s="2498"/>
    </row>
    <row r="39427" spans="16:16">
      <c r="P39427" s="2498"/>
    </row>
    <row r="39428" spans="16:16">
      <c r="P39428" s="2498"/>
    </row>
    <row r="39429" spans="16:16">
      <c r="P39429" s="2498"/>
    </row>
    <row r="39430" spans="16:16">
      <c r="P39430" s="2498"/>
    </row>
    <row r="39431" spans="16:16">
      <c r="P39431" s="2498"/>
    </row>
    <row r="39432" spans="16:16">
      <c r="P39432" s="2498"/>
    </row>
    <row r="39433" spans="16:16">
      <c r="P39433" s="2498"/>
    </row>
    <row r="39434" spans="16:16">
      <c r="P39434" s="2498"/>
    </row>
    <row r="39435" spans="16:16">
      <c r="P39435" s="2498"/>
    </row>
    <row r="39436" spans="16:16">
      <c r="P39436" s="2498"/>
    </row>
    <row r="39437" spans="16:16">
      <c r="P39437" s="2498"/>
    </row>
    <row r="39438" spans="16:16">
      <c r="P39438" s="2498"/>
    </row>
    <row r="39439" spans="16:16">
      <c r="P39439" s="2498"/>
    </row>
    <row r="39440" spans="16:16">
      <c r="P39440" s="2498"/>
    </row>
    <row r="39441" spans="16:16">
      <c r="P39441" s="2498"/>
    </row>
    <row r="39442" spans="16:16">
      <c r="P39442" s="2498"/>
    </row>
    <row r="39443" spans="16:16">
      <c r="P39443" s="2498"/>
    </row>
    <row r="39444" spans="16:16">
      <c r="P39444" s="2498"/>
    </row>
    <row r="39445" spans="16:16">
      <c r="P39445" s="2498"/>
    </row>
    <row r="39446" spans="16:16">
      <c r="P39446" s="2498"/>
    </row>
    <row r="39447" spans="16:16">
      <c r="P39447" s="2498"/>
    </row>
    <row r="39448" spans="16:16">
      <c r="P39448" s="2498"/>
    </row>
    <row r="39449" spans="16:16">
      <c r="P39449" s="2498"/>
    </row>
    <row r="39450" spans="16:16">
      <c r="P39450" s="2498"/>
    </row>
    <row r="39451" spans="16:16">
      <c r="P39451" s="2498"/>
    </row>
    <row r="39452" spans="16:16">
      <c r="P39452" s="2498"/>
    </row>
    <row r="39453" spans="16:16">
      <c r="P39453" s="2498"/>
    </row>
    <row r="39454" spans="16:16">
      <c r="P39454" s="2498"/>
    </row>
    <row r="39455" spans="16:16">
      <c r="P39455" s="2498"/>
    </row>
    <row r="39456" spans="16:16">
      <c r="P39456" s="2498"/>
    </row>
    <row r="39457" spans="16:16">
      <c r="P39457" s="2498"/>
    </row>
    <row r="39458" spans="16:16">
      <c r="P39458" s="2498"/>
    </row>
    <row r="39459" spans="16:16">
      <c r="P39459" s="2498"/>
    </row>
    <row r="39460" spans="16:16">
      <c r="P39460" s="2498"/>
    </row>
    <row r="39461" spans="16:16">
      <c r="P39461" s="2498"/>
    </row>
    <row r="39462" spans="16:16">
      <c r="P39462" s="2498"/>
    </row>
    <row r="39463" spans="16:16">
      <c r="P39463" s="2498"/>
    </row>
    <row r="39464" spans="16:16">
      <c r="P39464" s="2498"/>
    </row>
    <row r="39465" spans="16:16">
      <c r="P39465" s="2498"/>
    </row>
    <row r="39466" spans="16:16">
      <c r="P39466" s="2498"/>
    </row>
    <row r="39467" spans="16:16">
      <c r="P39467" s="2498"/>
    </row>
    <row r="39468" spans="16:16">
      <c r="P39468" s="2498"/>
    </row>
    <row r="39469" spans="16:16">
      <c r="P39469" s="2498"/>
    </row>
    <row r="39470" spans="16:16">
      <c r="P39470" s="2498"/>
    </row>
    <row r="39471" spans="16:16">
      <c r="P39471" s="2498"/>
    </row>
    <row r="39472" spans="16:16">
      <c r="P39472" s="2498"/>
    </row>
    <row r="39473" spans="16:16">
      <c r="P39473" s="2498"/>
    </row>
    <row r="39474" spans="16:16">
      <c r="P39474" s="2498"/>
    </row>
    <row r="39475" spans="16:16">
      <c r="P39475" s="2498"/>
    </row>
    <row r="39476" spans="16:16">
      <c r="P39476" s="2498"/>
    </row>
    <row r="39477" spans="16:16">
      <c r="P39477" s="2498"/>
    </row>
    <row r="39478" spans="16:16">
      <c r="P39478" s="2498"/>
    </row>
    <row r="39479" spans="16:16">
      <c r="P39479" s="2498"/>
    </row>
    <row r="39480" spans="16:16">
      <c r="P39480" s="2498"/>
    </row>
    <row r="39481" spans="16:16">
      <c r="P39481" s="2498"/>
    </row>
    <row r="39482" spans="16:16">
      <c r="P39482" s="2498"/>
    </row>
    <row r="39483" spans="16:16">
      <c r="P39483" s="2498"/>
    </row>
    <row r="39484" spans="16:16">
      <c r="P39484" s="2498"/>
    </row>
    <row r="39485" spans="16:16">
      <c r="P39485" s="2498"/>
    </row>
    <row r="39486" spans="16:16">
      <c r="P39486" s="2498"/>
    </row>
    <row r="39487" spans="16:16">
      <c r="P39487" s="2498"/>
    </row>
    <row r="39488" spans="16:16">
      <c r="P39488" s="2498"/>
    </row>
    <row r="39489" spans="16:16">
      <c r="P39489" s="2498"/>
    </row>
    <row r="39490" spans="16:16">
      <c r="P39490" s="2498"/>
    </row>
    <row r="39491" spans="16:16">
      <c r="P39491" s="2498"/>
    </row>
    <row r="39492" spans="16:16">
      <c r="P39492" s="2498"/>
    </row>
    <row r="39493" spans="16:16">
      <c r="P39493" s="2498"/>
    </row>
    <row r="39494" spans="16:16">
      <c r="P39494" s="2498"/>
    </row>
    <row r="39495" spans="16:16">
      <c r="P39495" s="2498"/>
    </row>
    <row r="39496" spans="16:16">
      <c r="P39496" s="2498"/>
    </row>
    <row r="39497" spans="16:16">
      <c r="P39497" s="2498"/>
    </row>
    <row r="39498" spans="16:16">
      <c r="P39498" s="2498"/>
    </row>
    <row r="39499" spans="16:16">
      <c r="P39499" s="2498"/>
    </row>
    <row r="39500" spans="16:16">
      <c r="P39500" s="2498"/>
    </row>
    <row r="39501" spans="16:16">
      <c r="P39501" s="2498"/>
    </row>
    <row r="39502" spans="16:16">
      <c r="P39502" s="2498"/>
    </row>
    <row r="39503" spans="16:16">
      <c r="P39503" s="2498"/>
    </row>
    <row r="39504" spans="16:16">
      <c r="P39504" s="2498"/>
    </row>
    <row r="39505" spans="16:16">
      <c r="P39505" s="2498"/>
    </row>
    <row r="39506" spans="16:16">
      <c r="P39506" s="2498"/>
    </row>
    <row r="39507" spans="16:16">
      <c r="P39507" s="2498"/>
    </row>
    <row r="39508" spans="16:16">
      <c r="P39508" s="2498"/>
    </row>
    <row r="39509" spans="16:16">
      <c r="P39509" s="2498"/>
    </row>
    <row r="39510" spans="16:16">
      <c r="P39510" s="2498"/>
    </row>
    <row r="39511" spans="16:16">
      <c r="P39511" s="2498"/>
    </row>
    <row r="39512" spans="16:16">
      <c r="P39512" s="2498"/>
    </row>
    <row r="39513" spans="16:16">
      <c r="P39513" s="2498"/>
    </row>
    <row r="39514" spans="16:16">
      <c r="P39514" s="2498"/>
    </row>
    <row r="39515" spans="16:16">
      <c r="P39515" s="2498"/>
    </row>
    <row r="39516" spans="16:16">
      <c r="P39516" s="2498"/>
    </row>
    <row r="39517" spans="16:16">
      <c r="P39517" s="2498"/>
    </row>
    <row r="39518" spans="16:16">
      <c r="P39518" s="2498"/>
    </row>
    <row r="39519" spans="16:16">
      <c r="P39519" s="2498"/>
    </row>
    <row r="39520" spans="16:16">
      <c r="P39520" s="2498"/>
    </row>
    <row r="39521" spans="16:16">
      <c r="P39521" s="2498"/>
    </row>
    <row r="39522" spans="16:16">
      <c r="P39522" s="2498"/>
    </row>
    <row r="39523" spans="16:16">
      <c r="P39523" s="2498"/>
    </row>
    <row r="39524" spans="16:16">
      <c r="P39524" s="2498"/>
    </row>
    <row r="39525" spans="16:16">
      <c r="P39525" s="2498"/>
    </row>
    <row r="39526" spans="16:16">
      <c r="P39526" s="2498"/>
    </row>
    <row r="39527" spans="16:16">
      <c r="P39527" s="2498"/>
    </row>
    <row r="39528" spans="16:16">
      <c r="P39528" s="2498"/>
    </row>
    <row r="39529" spans="16:16">
      <c r="P39529" s="2498"/>
    </row>
    <row r="39530" spans="16:16">
      <c r="P39530" s="2498"/>
    </row>
    <row r="39531" spans="16:16">
      <c r="P39531" s="2498"/>
    </row>
    <row r="39532" spans="16:16">
      <c r="P39532" s="2498"/>
    </row>
    <row r="39533" spans="16:16">
      <c r="P39533" s="2498"/>
    </row>
    <row r="39534" spans="16:16">
      <c r="P39534" s="2498"/>
    </row>
    <row r="39535" spans="16:16">
      <c r="P39535" s="2498"/>
    </row>
    <row r="39536" spans="16:16">
      <c r="P39536" s="2498"/>
    </row>
    <row r="39537" spans="16:16">
      <c r="P39537" s="2498"/>
    </row>
    <row r="39538" spans="16:16">
      <c r="P39538" s="2498"/>
    </row>
    <row r="39539" spans="16:16">
      <c r="P39539" s="2498"/>
    </row>
    <row r="39540" spans="16:16">
      <c r="P39540" s="2498"/>
    </row>
    <row r="39541" spans="16:16">
      <c r="P39541" s="2498"/>
    </row>
    <row r="39542" spans="16:16">
      <c r="P39542" s="2498"/>
    </row>
    <row r="39543" spans="16:16">
      <c r="P39543" s="2498"/>
    </row>
    <row r="39544" spans="16:16">
      <c r="P39544" s="2498"/>
    </row>
    <row r="39545" spans="16:16">
      <c r="P39545" s="2498"/>
    </row>
    <row r="39546" spans="16:16">
      <c r="P39546" s="2498"/>
    </row>
    <row r="39547" spans="16:16">
      <c r="P39547" s="2498"/>
    </row>
    <row r="39548" spans="16:16">
      <c r="P39548" s="2498"/>
    </row>
    <row r="39549" spans="16:16">
      <c r="P39549" s="2498"/>
    </row>
    <row r="39550" spans="16:16">
      <c r="P39550" s="2498"/>
    </row>
    <row r="39551" spans="16:16">
      <c r="P39551" s="2498"/>
    </row>
    <row r="39552" spans="16:16">
      <c r="P39552" s="2498"/>
    </row>
    <row r="39553" spans="16:16">
      <c r="P39553" s="2498"/>
    </row>
    <row r="39554" spans="16:16">
      <c r="P39554" s="2498"/>
    </row>
    <row r="39555" spans="16:16">
      <c r="P39555" s="2498"/>
    </row>
    <row r="39556" spans="16:16">
      <c r="P39556" s="2498"/>
    </row>
    <row r="39557" spans="16:16">
      <c r="P39557" s="2498"/>
    </row>
    <row r="39558" spans="16:16">
      <c r="P39558" s="2498"/>
    </row>
    <row r="39559" spans="16:16">
      <c r="P39559" s="2498"/>
    </row>
    <row r="39560" spans="16:16">
      <c r="P39560" s="2498"/>
    </row>
    <row r="39561" spans="16:16">
      <c r="P39561" s="2498"/>
    </row>
    <row r="39562" spans="16:16">
      <c r="P39562" s="2498"/>
    </row>
    <row r="39563" spans="16:16">
      <c r="P39563" s="2498"/>
    </row>
    <row r="39564" spans="16:16">
      <c r="P39564" s="2498"/>
    </row>
    <row r="39565" spans="16:16">
      <c r="P39565" s="2498"/>
    </row>
    <row r="39566" spans="16:16">
      <c r="P39566" s="2498"/>
    </row>
    <row r="39567" spans="16:16">
      <c r="P39567" s="2498"/>
    </row>
    <row r="39568" spans="16:16">
      <c r="P39568" s="2498"/>
    </row>
    <row r="39569" spans="16:16">
      <c r="P39569" s="2498"/>
    </row>
    <row r="39570" spans="16:16">
      <c r="P39570" s="2498"/>
    </row>
    <row r="39571" spans="16:16">
      <c r="P39571" s="2498"/>
    </row>
    <row r="39572" spans="16:16">
      <c r="P39572" s="2498"/>
    </row>
    <row r="39573" spans="16:16">
      <c r="P39573" s="2498"/>
    </row>
    <row r="39574" spans="16:16">
      <c r="P39574" s="2498"/>
    </row>
    <row r="39575" spans="16:16">
      <c r="P39575" s="2498"/>
    </row>
    <row r="39576" spans="16:16">
      <c r="P39576" s="2498"/>
    </row>
    <row r="39577" spans="16:16">
      <c r="P39577" s="2498"/>
    </row>
    <row r="39578" spans="16:16">
      <c r="P39578" s="2498"/>
    </row>
    <row r="39579" spans="16:16">
      <c r="P39579" s="2498"/>
    </row>
    <row r="39580" spans="16:16">
      <c r="P39580" s="2498"/>
    </row>
    <row r="39581" spans="16:16">
      <c r="P39581" s="2498"/>
    </row>
    <row r="39582" spans="16:16">
      <c r="P39582" s="2498"/>
    </row>
    <row r="39583" spans="16:16">
      <c r="P39583" s="2498"/>
    </row>
    <row r="39584" spans="16:16">
      <c r="P39584" s="2498"/>
    </row>
    <row r="39585" spans="16:16">
      <c r="P39585" s="2498"/>
    </row>
    <row r="39586" spans="16:16">
      <c r="P39586" s="2498"/>
    </row>
    <row r="39587" spans="16:16">
      <c r="P39587" s="2498"/>
    </row>
    <row r="39588" spans="16:16">
      <c r="P39588" s="2498"/>
    </row>
    <row r="39589" spans="16:16">
      <c r="P39589" s="2498"/>
    </row>
    <row r="39590" spans="16:16">
      <c r="P39590" s="2498"/>
    </row>
    <row r="39591" spans="16:16">
      <c r="P39591" s="2498"/>
    </row>
    <row r="39592" spans="16:16">
      <c r="P39592" s="2498"/>
    </row>
    <row r="39593" spans="16:16">
      <c r="P39593" s="2498"/>
    </row>
    <row r="39594" spans="16:16">
      <c r="P39594" s="2498"/>
    </row>
    <row r="39595" spans="16:16">
      <c r="P39595" s="2498"/>
    </row>
    <row r="39596" spans="16:16">
      <c r="P39596" s="2498"/>
    </row>
    <row r="39597" spans="16:16">
      <c r="P39597" s="2498"/>
    </row>
    <row r="39598" spans="16:16">
      <c r="P39598" s="2498"/>
    </row>
    <row r="39599" spans="16:16">
      <c r="P39599" s="2498"/>
    </row>
    <row r="39600" spans="16:16">
      <c r="P39600" s="2498"/>
    </row>
    <row r="39601" spans="16:16">
      <c r="P39601" s="2498"/>
    </row>
    <row r="39602" spans="16:16">
      <c r="P39602" s="2498"/>
    </row>
    <row r="39603" spans="16:16">
      <c r="P39603" s="2498"/>
    </row>
    <row r="39604" spans="16:16">
      <c r="P39604" s="2498"/>
    </row>
    <row r="39605" spans="16:16">
      <c r="P39605" s="2498"/>
    </row>
    <row r="39606" spans="16:16">
      <c r="P39606" s="2498"/>
    </row>
    <row r="39607" spans="16:16">
      <c r="P39607" s="2498"/>
    </row>
    <row r="39608" spans="16:16">
      <c r="P39608" s="2498"/>
    </row>
    <row r="39609" spans="16:16">
      <c r="P39609" s="2498"/>
    </row>
    <row r="39610" spans="16:16">
      <c r="P39610" s="2498"/>
    </row>
    <row r="39611" spans="16:16">
      <c r="P39611" s="2498"/>
    </row>
    <row r="39612" spans="16:16">
      <c r="P39612" s="2498"/>
    </row>
    <row r="39613" spans="16:16">
      <c r="P39613" s="2498"/>
    </row>
    <row r="39614" spans="16:16">
      <c r="P39614" s="2498"/>
    </row>
    <row r="39615" spans="16:16">
      <c r="P39615" s="2498"/>
    </row>
    <row r="39616" spans="16:16">
      <c r="P39616" s="2498"/>
    </row>
    <row r="39617" spans="16:16">
      <c r="P39617" s="2498"/>
    </row>
    <row r="39618" spans="16:16">
      <c r="P39618" s="2498"/>
    </row>
    <row r="39619" spans="16:16">
      <c r="P39619" s="2498"/>
    </row>
    <row r="39620" spans="16:16">
      <c r="P39620" s="2498"/>
    </row>
    <row r="39621" spans="16:16">
      <c r="P39621" s="2498"/>
    </row>
    <row r="39622" spans="16:16">
      <c r="P39622" s="2498"/>
    </row>
    <row r="39623" spans="16:16">
      <c r="P39623" s="2498"/>
    </row>
    <row r="39624" spans="16:16">
      <c r="P39624" s="2498"/>
    </row>
    <row r="39625" spans="16:16">
      <c r="P39625" s="2498"/>
    </row>
    <row r="39626" spans="16:16">
      <c r="P39626" s="2498"/>
    </row>
    <row r="39627" spans="16:16">
      <c r="P39627" s="2498"/>
    </row>
    <row r="39628" spans="16:16">
      <c r="P39628" s="2498"/>
    </row>
    <row r="39629" spans="16:16">
      <c r="P39629" s="2498"/>
    </row>
    <row r="39630" spans="16:16">
      <c r="P39630" s="2498"/>
    </row>
    <row r="39631" spans="16:16">
      <c r="P39631" s="2498"/>
    </row>
    <row r="39632" spans="16:16">
      <c r="P39632" s="2498"/>
    </row>
    <row r="39633" spans="16:16">
      <c r="P39633" s="2498"/>
    </row>
    <row r="39634" spans="16:16">
      <c r="P39634" s="2498"/>
    </row>
    <row r="39635" spans="16:16">
      <c r="P39635" s="2498"/>
    </row>
    <row r="39636" spans="16:16">
      <c r="P39636" s="2498"/>
    </row>
    <row r="39637" spans="16:16">
      <c r="P39637" s="2498"/>
    </row>
    <row r="39638" spans="16:16">
      <c r="P39638" s="2498"/>
    </row>
    <row r="39639" spans="16:16">
      <c r="P39639" s="2498"/>
    </row>
    <row r="39640" spans="16:16">
      <c r="P39640" s="2498"/>
    </row>
    <row r="39641" spans="16:16">
      <c r="P39641" s="2498"/>
    </row>
    <row r="39642" spans="16:16">
      <c r="P39642" s="2498"/>
    </row>
    <row r="39643" spans="16:16">
      <c r="P39643" s="2498"/>
    </row>
    <row r="39644" spans="16:16">
      <c r="P39644" s="2498"/>
    </row>
    <row r="39645" spans="16:16">
      <c r="P39645" s="2498"/>
    </row>
    <row r="39646" spans="16:16">
      <c r="P39646" s="2498"/>
    </row>
    <row r="39647" spans="16:16">
      <c r="P39647" s="2498"/>
    </row>
    <row r="39648" spans="16:16">
      <c r="P39648" s="2498"/>
    </row>
    <row r="39649" spans="16:16">
      <c r="P39649" s="2498"/>
    </row>
    <row r="39650" spans="16:16">
      <c r="P39650" s="2498"/>
    </row>
    <row r="39651" spans="16:16">
      <c r="P39651" s="2498"/>
    </row>
    <row r="39652" spans="16:16">
      <c r="P39652" s="2498"/>
    </row>
    <row r="39653" spans="16:16">
      <c r="P39653" s="2498"/>
    </row>
    <row r="39654" spans="16:16">
      <c r="P39654" s="2498"/>
    </row>
    <row r="39655" spans="16:16">
      <c r="P39655" s="2498"/>
    </row>
    <row r="39656" spans="16:16">
      <c r="P39656" s="2498"/>
    </row>
    <row r="39657" spans="16:16">
      <c r="P39657" s="2498"/>
    </row>
    <row r="39658" spans="16:16">
      <c r="P39658" s="2498"/>
    </row>
    <row r="39659" spans="16:16">
      <c r="P39659" s="2498"/>
    </row>
    <row r="39660" spans="16:16">
      <c r="P39660" s="2498"/>
    </row>
    <row r="39661" spans="16:16">
      <c r="P39661" s="2498"/>
    </row>
    <row r="39662" spans="16:16">
      <c r="P39662" s="2498"/>
    </row>
    <row r="39663" spans="16:16">
      <c r="P39663" s="2498"/>
    </row>
    <row r="39664" spans="16:16">
      <c r="P39664" s="2498"/>
    </row>
    <row r="39665" spans="16:16">
      <c r="P39665" s="2498"/>
    </row>
    <row r="39666" spans="16:16">
      <c r="P39666" s="2498"/>
    </row>
    <row r="39667" spans="16:16">
      <c r="P39667" s="2498"/>
    </row>
    <row r="39668" spans="16:16">
      <c r="P39668" s="2498"/>
    </row>
    <row r="39669" spans="16:16">
      <c r="P39669" s="2498"/>
    </row>
    <row r="39670" spans="16:16">
      <c r="P39670" s="2498"/>
    </row>
    <row r="39671" spans="16:16">
      <c r="P39671" s="2498"/>
    </row>
    <row r="39672" spans="16:16">
      <c r="P39672" s="2498"/>
    </row>
    <row r="39673" spans="16:16">
      <c r="P39673" s="2498"/>
    </row>
    <row r="39674" spans="16:16">
      <c r="P39674" s="2498"/>
    </row>
    <row r="39675" spans="16:16">
      <c r="P39675" s="2498"/>
    </row>
    <row r="39676" spans="16:16">
      <c r="P39676" s="2498"/>
    </row>
    <row r="39677" spans="16:16">
      <c r="P39677" s="2498"/>
    </row>
    <row r="39678" spans="16:16">
      <c r="P39678" s="2498"/>
    </row>
    <row r="39679" spans="16:16">
      <c r="P39679" s="2498"/>
    </row>
    <row r="39680" spans="16:16">
      <c r="P39680" s="2498"/>
    </row>
    <row r="39681" spans="16:16">
      <c r="P39681" s="2498"/>
    </row>
    <row r="39682" spans="16:16">
      <c r="P39682" s="2498"/>
    </row>
    <row r="39683" spans="16:16">
      <c r="P39683" s="2498"/>
    </row>
    <row r="39684" spans="16:16">
      <c r="P39684" s="2498"/>
    </row>
    <row r="39685" spans="16:16">
      <c r="P39685" s="2498"/>
    </row>
    <row r="39686" spans="16:16">
      <c r="P39686" s="2498"/>
    </row>
    <row r="39687" spans="16:16">
      <c r="P39687" s="2498"/>
    </row>
    <row r="39688" spans="16:16">
      <c r="P39688" s="2498"/>
    </row>
    <row r="39689" spans="16:16">
      <c r="P39689" s="2498"/>
    </row>
    <row r="39690" spans="16:16">
      <c r="P39690" s="2498"/>
    </row>
    <row r="39691" spans="16:16">
      <c r="P39691" s="2498"/>
    </row>
    <row r="39692" spans="16:16">
      <c r="P39692" s="2498"/>
    </row>
    <row r="39693" spans="16:16">
      <c r="P39693" s="2498"/>
    </row>
    <row r="39694" spans="16:16">
      <c r="P39694" s="2498"/>
    </row>
    <row r="39695" spans="16:16">
      <c r="P39695" s="2498"/>
    </row>
    <row r="39696" spans="16:16">
      <c r="P39696" s="2498"/>
    </row>
    <row r="39697" spans="16:16">
      <c r="P39697" s="2498"/>
    </row>
    <row r="39698" spans="16:16">
      <c r="P39698" s="2498"/>
    </row>
    <row r="39699" spans="16:16">
      <c r="P39699" s="2498"/>
    </row>
    <row r="39700" spans="16:16">
      <c r="P39700" s="2498"/>
    </row>
    <row r="39701" spans="16:16">
      <c r="P39701" s="2498"/>
    </row>
    <row r="39702" spans="16:16">
      <c r="P39702" s="2498"/>
    </row>
    <row r="39703" spans="16:16">
      <c r="P39703" s="2498"/>
    </row>
    <row r="39704" spans="16:16">
      <c r="P39704" s="2498"/>
    </row>
    <row r="39705" spans="16:16">
      <c r="P39705" s="2498"/>
    </row>
    <row r="39706" spans="16:16">
      <c r="P39706" s="2498"/>
    </row>
    <row r="39707" spans="16:16">
      <c r="P39707" s="2498"/>
    </row>
    <row r="39708" spans="16:16">
      <c r="P39708" s="2498"/>
    </row>
    <row r="39709" spans="16:16">
      <c r="P39709" s="2498"/>
    </row>
    <row r="39710" spans="16:16">
      <c r="P39710" s="2498"/>
    </row>
    <row r="39711" spans="16:16">
      <c r="P39711" s="2498"/>
    </row>
    <row r="39712" spans="16:16">
      <c r="P39712" s="2498"/>
    </row>
    <row r="39713" spans="16:16">
      <c r="P39713" s="2498"/>
    </row>
    <row r="39714" spans="16:16">
      <c r="P39714" s="2498"/>
    </row>
    <row r="39715" spans="16:16">
      <c r="P39715" s="2498"/>
    </row>
    <row r="39716" spans="16:16">
      <c r="P39716" s="2498"/>
    </row>
    <row r="39717" spans="16:16">
      <c r="P39717" s="2498"/>
    </row>
    <row r="39718" spans="16:16">
      <c r="P39718" s="2498"/>
    </row>
    <row r="39719" spans="16:16">
      <c r="P39719" s="2498"/>
    </row>
    <row r="39720" spans="16:16">
      <c r="P39720" s="2498"/>
    </row>
    <row r="39721" spans="16:16">
      <c r="P39721" s="2498"/>
    </row>
    <row r="39722" spans="16:16">
      <c r="P39722" s="2498"/>
    </row>
    <row r="39723" spans="16:16">
      <c r="P39723" s="2498"/>
    </row>
    <row r="39724" spans="16:16">
      <c r="P39724" s="2498"/>
    </row>
    <row r="39725" spans="16:16">
      <c r="P39725" s="2498"/>
    </row>
    <row r="39726" spans="16:16">
      <c r="P39726" s="2498"/>
    </row>
    <row r="39727" spans="16:16">
      <c r="P39727" s="2498"/>
    </row>
    <row r="39728" spans="16:16">
      <c r="P39728" s="2498"/>
    </row>
    <row r="39729" spans="16:16">
      <c r="P39729" s="2498"/>
    </row>
    <row r="39730" spans="16:16">
      <c r="P39730" s="2498"/>
    </row>
    <row r="39731" spans="16:16">
      <c r="P39731" s="2498"/>
    </row>
    <row r="39732" spans="16:16">
      <c r="P39732" s="2498"/>
    </row>
    <row r="39733" spans="16:16">
      <c r="P39733" s="2498"/>
    </row>
    <row r="39734" spans="16:16">
      <c r="P39734" s="2498"/>
    </row>
    <row r="39735" spans="16:16">
      <c r="P39735" s="2498"/>
    </row>
    <row r="39736" spans="16:16">
      <c r="P39736" s="2498"/>
    </row>
    <row r="39737" spans="16:16">
      <c r="P39737" s="2498"/>
    </row>
    <row r="39738" spans="16:16">
      <c r="P39738" s="2498"/>
    </row>
    <row r="39739" spans="16:16">
      <c r="P39739" s="2498"/>
    </row>
    <row r="39740" spans="16:16">
      <c r="P39740" s="2498"/>
    </row>
    <row r="39741" spans="16:16">
      <c r="P39741" s="2498"/>
    </row>
    <row r="39742" spans="16:16">
      <c r="P39742" s="2498"/>
    </row>
    <row r="39743" spans="16:16">
      <c r="P39743" s="2498"/>
    </row>
    <row r="39744" spans="16:16">
      <c r="P39744" s="2498"/>
    </row>
    <row r="39745" spans="16:16">
      <c r="P39745" s="2498"/>
    </row>
    <row r="39746" spans="16:16">
      <c r="P39746" s="2498"/>
    </row>
    <row r="39747" spans="16:16">
      <c r="P39747" s="2498"/>
    </row>
    <row r="39748" spans="16:16">
      <c r="P39748" s="2498"/>
    </row>
    <row r="39749" spans="16:16">
      <c r="P39749" s="2498"/>
    </row>
    <row r="39750" spans="16:16">
      <c r="P39750" s="2498"/>
    </row>
    <row r="39751" spans="16:16">
      <c r="P39751" s="2498"/>
    </row>
    <row r="39752" spans="16:16">
      <c r="P39752" s="2498"/>
    </row>
    <row r="39753" spans="16:16">
      <c r="P39753" s="2498"/>
    </row>
    <row r="39754" spans="16:16">
      <c r="P39754" s="2498"/>
    </row>
    <row r="39755" spans="16:16">
      <c r="P39755" s="2498"/>
    </row>
    <row r="39756" spans="16:16">
      <c r="P39756" s="2498"/>
    </row>
    <row r="39757" spans="16:16">
      <c r="P39757" s="2498"/>
    </row>
    <row r="39758" spans="16:16">
      <c r="P39758" s="2498"/>
    </row>
    <row r="39759" spans="16:16">
      <c r="P39759" s="2498"/>
    </row>
    <row r="39760" spans="16:16">
      <c r="P39760" s="2498"/>
    </row>
    <row r="39761" spans="16:16">
      <c r="P39761" s="2498"/>
    </row>
    <row r="39762" spans="16:16">
      <c r="P39762" s="2498"/>
    </row>
    <row r="39763" spans="16:16">
      <c r="P39763" s="2498"/>
    </row>
    <row r="39764" spans="16:16">
      <c r="P39764" s="2498"/>
    </row>
    <row r="39765" spans="16:16">
      <c r="P39765" s="2498"/>
    </row>
    <row r="39766" spans="16:16">
      <c r="P39766" s="2498"/>
    </row>
    <row r="39767" spans="16:16">
      <c r="P39767" s="2498"/>
    </row>
    <row r="39768" spans="16:16">
      <c r="P39768" s="2498"/>
    </row>
    <row r="39769" spans="16:16">
      <c r="P39769" s="2498"/>
    </row>
    <row r="39770" spans="16:16">
      <c r="P39770" s="2498"/>
    </row>
    <row r="39771" spans="16:16">
      <c r="P39771" s="2498"/>
    </row>
    <row r="39772" spans="16:16">
      <c r="P39772" s="2498"/>
    </row>
    <row r="39773" spans="16:16">
      <c r="P39773" s="2498"/>
    </row>
    <row r="39774" spans="16:16">
      <c r="P39774" s="2498"/>
    </row>
    <row r="39775" spans="16:16">
      <c r="P39775" s="2498"/>
    </row>
    <row r="39776" spans="16:16">
      <c r="P39776" s="2498"/>
    </row>
    <row r="39777" spans="16:16">
      <c r="P39777" s="2498"/>
    </row>
    <row r="39778" spans="16:16">
      <c r="P39778" s="2498"/>
    </row>
    <row r="39779" spans="16:16">
      <c r="P39779" s="2498"/>
    </row>
    <row r="39780" spans="16:16">
      <c r="P39780" s="2498"/>
    </row>
    <row r="39781" spans="16:16">
      <c r="P39781" s="2498"/>
    </row>
    <row r="39782" spans="16:16">
      <c r="P39782" s="2498"/>
    </row>
    <row r="39783" spans="16:16">
      <c r="P39783" s="2498"/>
    </row>
    <row r="39784" spans="16:16">
      <c r="P39784" s="2498"/>
    </row>
    <row r="39785" spans="16:16">
      <c r="P39785" s="2498"/>
    </row>
    <row r="39786" spans="16:16">
      <c r="P39786" s="2498"/>
    </row>
    <row r="39787" spans="16:16">
      <c r="P39787" s="2498"/>
    </row>
    <row r="39788" spans="16:16">
      <c r="P39788" s="2498"/>
    </row>
    <row r="39789" spans="16:16">
      <c r="P39789" s="2498"/>
    </row>
    <row r="39790" spans="16:16">
      <c r="P39790" s="2498"/>
    </row>
    <row r="39791" spans="16:16">
      <c r="P39791" s="2498"/>
    </row>
    <row r="39792" spans="16:16">
      <c r="P39792" s="2498"/>
    </row>
    <row r="39793" spans="16:16">
      <c r="P39793" s="2498"/>
    </row>
    <row r="39794" spans="16:16">
      <c r="P39794" s="2498"/>
    </row>
    <row r="39795" spans="16:16">
      <c r="P39795" s="2498"/>
    </row>
    <row r="39796" spans="16:16">
      <c r="P39796" s="2498"/>
    </row>
    <row r="39797" spans="16:16">
      <c r="P39797" s="2498"/>
    </row>
    <row r="39798" spans="16:16">
      <c r="P39798" s="2498"/>
    </row>
    <row r="39799" spans="16:16">
      <c r="P39799" s="2498"/>
    </row>
    <row r="39800" spans="16:16">
      <c r="P39800" s="2498"/>
    </row>
    <row r="39801" spans="16:16">
      <c r="P39801" s="2498"/>
    </row>
    <row r="39802" spans="16:16">
      <c r="P39802" s="2498"/>
    </row>
    <row r="39803" spans="16:16">
      <c r="P39803" s="2498"/>
    </row>
    <row r="39804" spans="16:16">
      <c r="P39804" s="2498"/>
    </row>
    <row r="39805" spans="16:16">
      <c r="P39805" s="2498"/>
    </row>
    <row r="39806" spans="16:16">
      <c r="P39806" s="2498"/>
    </row>
    <row r="39807" spans="16:16">
      <c r="P39807" s="2498"/>
    </row>
    <row r="39808" spans="16:16">
      <c r="P39808" s="2498"/>
    </row>
    <row r="39809" spans="16:16">
      <c r="P39809" s="2498"/>
    </row>
    <row r="39810" spans="16:16">
      <c r="P39810" s="2498"/>
    </row>
    <row r="39811" spans="16:16">
      <c r="P39811" s="2498"/>
    </row>
    <row r="39812" spans="16:16">
      <c r="P39812" s="2498"/>
    </row>
    <row r="39813" spans="16:16">
      <c r="P39813" s="2498"/>
    </row>
    <row r="39814" spans="16:16">
      <c r="P39814" s="2498"/>
    </row>
    <row r="39815" spans="16:16">
      <c r="P39815" s="2498"/>
    </row>
    <row r="39816" spans="16:16">
      <c r="P39816" s="2498"/>
    </row>
    <row r="39817" spans="16:16">
      <c r="P39817" s="2498"/>
    </row>
    <row r="39818" spans="16:16">
      <c r="P39818" s="2498"/>
    </row>
    <row r="39819" spans="16:16">
      <c r="P39819" s="2498"/>
    </row>
    <row r="39820" spans="16:16">
      <c r="P39820" s="2498"/>
    </row>
    <row r="39821" spans="16:16">
      <c r="P39821" s="2498"/>
    </row>
    <row r="39822" spans="16:16">
      <c r="P39822" s="2498"/>
    </row>
    <row r="39823" spans="16:16">
      <c r="P39823" s="2498"/>
    </row>
    <row r="39824" spans="16:16">
      <c r="P39824" s="2498"/>
    </row>
    <row r="39825" spans="16:16">
      <c r="P39825" s="2498"/>
    </row>
    <row r="39826" spans="16:16">
      <c r="P39826" s="2498"/>
    </row>
    <row r="39827" spans="16:16">
      <c r="P39827" s="2498"/>
    </row>
    <row r="39828" spans="16:16">
      <c r="P39828" s="2498"/>
    </row>
    <row r="39829" spans="16:16">
      <c r="P39829" s="2498"/>
    </row>
    <row r="39830" spans="16:16">
      <c r="P39830" s="2498"/>
    </row>
    <row r="39831" spans="16:16">
      <c r="P39831" s="2498"/>
    </row>
    <row r="39832" spans="16:16">
      <c r="P39832" s="2498"/>
    </row>
    <row r="39833" spans="16:16">
      <c r="P39833" s="2498"/>
    </row>
    <row r="39834" spans="16:16">
      <c r="P39834" s="2498"/>
    </row>
    <row r="39835" spans="16:16">
      <c r="P39835" s="2498"/>
    </row>
    <row r="39836" spans="16:16">
      <c r="P39836" s="2498"/>
    </row>
    <row r="39837" spans="16:16">
      <c r="P39837" s="2498"/>
    </row>
    <row r="39838" spans="16:16">
      <c r="P39838" s="2498"/>
    </row>
    <row r="39839" spans="16:16">
      <c r="P39839" s="2498"/>
    </row>
    <row r="39840" spans="16:16">
      <c r="P39840" s="2498"/>
    </row>
    <row r="39841" spans="16:16">
      <c r="P39841" s="2498"/>
    </row>
    <row r="39842" spans="16:16">
      <c r="P39842" s="2498"/>
    </row>
    <row r="39843" spans="16:16">
      <c r="P39843" s="2498"/>
    </row>
    <row r="39844" spans="16:16">
      <c r="P39844" s="2498"/>
    </row>
    <row r="39845" spans="16:16">
      <c r="P39845" s="2498"/>
    </row>
    <row r="39846" spans="16:16">
      <c r="P39846" s="2498"/>
    </row>
    <row r="39847" spans="16:16">
      <c r="P39847" s="2498"/>
    </row>
    <row r="39848" spans="16:16">
      <c r="P39848" s="2498"/>
    </row>
    <row r="39849" spans="16:16">
      <c r="P39849" s="2498"/>
    </row>
    <row r="39850" spans="16:16">
      <c r="P39850" s="2498"/>
    </row>
    <row r="39851" spans="16:16">
      <c r="P39851" s="2498"/>
    </row>
    <row r="39852" spans="16:16">
      <c r="P39852" s="2498"/>
    </row>
    <row r="39853" spans="16:16">
      <c r="P39853" s="2498"/>
    </row>
    <row r="39854" spans="16:16">
      <c r="P39854" s="2498"/>
    </row>
    <row r="39855" spans="16:16">
      <c r="P39855" s="2498"/>
    </row>
    <row r="39856" spans="16:16">
      <c r="P39856" s="2498"/>
    </row>
    <row r="39857" spans="16:16">
      <c r="P39857" s="2498"/>
    </row>
    <row r="39858" spans="16:16">
      <c r="P39858" s="2498"/>
    </row>
    <row r="39859" spans="16:16">
      <c r="P39859" s="2498"/>
    </row>
    <row r="39860" spans="16:16">
      <c r="P39860" s="2498"/>
    </row>
    <row r="39861" spans="16:16">
      <c r="P39861" s="2498"/>
    </row>
    <row r="39862" spans="16:16">
      <c r="P39862" s="2498"/>
    </row>
    <row r="39863" spans="16:16">
      <c r="P39863" s="2498"/>
    </row>
    <row r="39864" spans="16:16">
      <c r="P39864" s="2498"/>
    </row>
    <row r="39865" spans="16:16">
      <c r="P39865" s="2498"/>
    </row>
    <row r="39866" spans="16:16">
      <c r="P39866" s="2498"/>
    </row>
    <row r="39867" spans="16:16">
      <c r="P39867" s="2498"/>
    </row>
    <row r="39868" spans="16:16">
      <c r="P39868" s="2498"/>
    </row>
    <row r="39869" spans="16:16">
      <c r="P39869" s="2498"/>
    </row>
    <row r="39870" spans="16:16">
      <c r="P39870" s="2498"/>
    </row>
    <row r="39871" spans="16:16">
      <c r="P39871" s="2498"/>
    </row>
    <row r="39872" spans="16:16">
      <c r="P39872" s="2498"/>
    </row>
    <row r="39873" spans="16:16">
      <c r="P39873" s="2498"/>
    </row>
    <row r="39874" spans="16:16">
      <c r="P39874" s="2498"/>
    </row>
    <row r="39875" spans="16:16">
      <c r="P39875" s="2498"/>
    </row>
    <row r="39876" spans="16:16">
      <c r="P39876" s="2498"/>
    </row>
    <row r="39877" spans="16:16">
      <c r="P39877" s="2498"/>
    </row>
    <row r="39878" spans="16:16">
      <c r="P39878" s="2498"/>
    </row>
    <row r="39879" spans="16:16">
      <c r="P39879" s="2498"/>
    </row>
    <row r="39880" spans="16:16">
      <c r="P39880" s="2498"/>
    </row>
    <row r="39881" spans="16:16">
      <c r="P39881" s="2498"/>
    </row>
    <row r="39882" spans="16:16">
      <c r="P39882" s="2498"/>
    </row>
    <row r="39883" spans="16:16">
      <c r="P39883" s="2498"/>
    </row>
    <row r="39884" spans="16:16">
      <c r="P39884" s="2498"/>
    </row>
    <row r="39885" spans="16:16">
      <c r="P39885" s="2498"/>
    </row>
    <row r="39886" spans="16:16">
      <c r="P39886" s="2498"/>
    </row>
    <row r="39887" spans="16:16">
      <c r="P39887" s="2498"/>
    </row>
    <row r="39888" spans="16:16">
      <c r="P39888" s="2498"/>
    </row>
    <row r="39889" spans="16:16">
      <c r="P39889" s="2498"/>
    </row>
    <row r="39890" spans="16:16">
      <c r="P39890" s="2498"/>
    </row>
    <row r="39891" spans="16:16">
      <c r="P39891" s="2498"/>
    </row>
    <row r="39892" spans="16:16">
      <c r="P39892" s="2498"/>
    </row>
    <row r="39893" spans="16:16">
      <c r="P39893" s="2498"/>
    </row>
    <row r="39894" spans="16:16">
      <c r="P39894" s="2498"/>
    </row>
    <row r="39895" spans="16:16">
      <c r="P39895" s="2498"/>
    </row>
    <row r="39896" spans="16:16">
      <c r="P39896" s="2498"/>
    </row>
    <row r="39897" spans="16:16">
      <c r="P39897" s="2498"/>
    </row>
    <row r="39898" spans="16:16">
      <c r="P39898" s="2498"/>
    </row>
    <row r="39899" spans="16:16">
      <c r="P39899" s="2498"/>
    </row>
    <row r="39900" spans="16:16">
      <c r="P39900" s="2498"/>
    </row>
    <row r="39901" spans="16:16">
      <c r="P39901" s="2498"/>
    </row>
    <row r="39902" spans="16:16">
      <c r="P39902" s="2498"/>
    </row>
    <row r="39903" spans="16:16">
      <c r="P39903" s="2498"/>
    </row>
    <row r="39904" spans="16:16">
      <c r="P39904" s="2498"/>
    </row>
    <row r="39905" spans="16:16">
      <c r="P39905" s="2498"/>
    </row>
    <row r="39906" spans="16:16">
      <c r="P39906" s="2498"/>
    </row>
    <row r="39907" spans="16:16">
      <c r="P39907" s="2498"/>
    </row>
    <row r="39908" spans="16:16">
      <c r="P39908" s="2498"/>
    </row>
    <row r="39909" spans="16:16">
      <c r="P39909" s="2498"/>
    </row>
    <row r="39910" spans="16:16">
      <c r="P39910" s="2498"/>
    </row>
    <row r="39911" spans="16:16">
      <c r="P39911" s="2498"/>
    </row>
    <row r="39912" spans="16:16">
      <c r="P39912" s="2498"/>
    </row>
    <row r="39913" spans="16:16">
      <c r="P39913" s="2498"/>
    </row>
    <row r="39914" spans="16:16">
      <c r="P39914" s="2498"/>
    </row>
    <row r="39915" spans="16:16">
      <c r="P39915" s="2498"/>
    </row>
    <row r="39916" spans="16:16">
      <c r="P39916" s="2498"/>
    </row>
    <row r="39917" spans="16:16">
      <c r="P39917" s="2498"/>
    </row>
    <row r="39918" spans="16:16">
      <c r="P39918" s="2498"/>
    </row>
    <row r="39919" spans="16:16">
      <c r="P39919" s="2498"/>
    </row>
    <row r="39920" spans="16:16">
      <c r="P39920" s="2498"/>
    </row>
    <row r="39921" spans="16:16">
      <c r="P39921" s="2498"/>
    </row>
    <row r="39922" spans="16:16">
      <c r="P39922" s="2498"/>
    </row>
    <row r="39923" spans="16:16">
      <c r="P39923" s="2498"/>
    </row>
    <row r="39924" spans="16:16">
      <c r="P39924" s="2498"/>
    </row>
    <row r="39925" spans="16:16">
      <c r="P39925" s="2498"/>
    </row>
    <row r="39926" spans="16:16">
      <c r="P39926" s="2498"/>
    </row>
    <row r="39927" spans="16:16">
      <c r="P39927" s="2498"/>
    </row>
    <row r="39928" spans="16:16">
      <c r="P39928" s="2498"/>
    </row>
    <row r="39929" spans="16:16">
      <c r="P39929" s="2498"/>
    </row>
    <row r="39930" spans="16:16">
      <c r="P39930" s="2498"/>
    </row>
    <row r="39931" spans="16:16">
      <c r="P39931" s="2498"/>
    </row>
    <row r="39932" spans="16:16">
      <c r="P39932" s="2498"/>
    </row>
    <row r="39933" spans="16:16">
      <c r="P39933" s="2498"/>
    </row>
    <row r="39934" spans="16:16">
      <c r="P39934" s="2498"/>
    </row>
    <row r="39935" spans="16:16">
      <c r="P39935" s="2498"/>
    </row>
    <row r="39936" spans="16:16">
      <c r="P39936" s="2498"/>
    </row>
    <row r="39937" spans="16:16">
      <c r="P39937" s="2498"/>
    </row>
    <row r="39938" spans="16:16">
      <c r="P39938" s="2498"/>
    </row>
    <row r="39939" spans="16:16">
      <c r="P39939" s="2498"/>
    </row>
    <row r="39940" spans="16:16">
      <c r="P39940" s="2498"/>
    </row>
    <row r="39941" spans="16:16">
      <c r="P39941" s="2498"/>
    </row>
    <row r="39942" spans="16:16">
      <c r="P39942" s="2498"/>
    </row>
    <row r="39943" spans="16:16">
      <c r="P39943" s="2498"/>
    </row>
    <row r="39944" spans="16:16">
      <c r="P39944" s="2498"/>
    </row>
    <row r="39945" spans="16:16">
      <c r="P39945" s="2498"/>
    </row>
    <row r="39946" spans="16:16">
      <c r="P39946" s="2498"/>
    </row>
    <row r="39947" spans="16:16">
      <c r="P39947" s="2498"/>
    </row>
    <row r="39948" spans="16:16">
      <c r="P39948" s="2498"/>
    </row>
    <row r="39949" spans="16:16">
      <c r="P39949" s="2498"/>
    </row>
    <row r="39950" spans="16:16">
      <c r="P39950" s="2498"/>
    </row>
    <row r="39951" spans="16:16">
      <c r="P39951" s="2498"/>
    </row>
    <row r="39952" spans="16:16">
      <c r="P39952" s="2498"/>
    </row>
    <row r="39953" spans="16:16">
      <c r="P39953" s="2498"/>
    </row>
    <row r="39954" spans="16:16">
      <c r="P39954" s="2498"/>
    </row>
    <row r="39955" spans="16:16">
      <c r="P39955" s="2498"/>
    </row>
    <row r="39956" spans="16:16">
      <c r="P39956" s="2498"/>
    </row>
    <row r="39957" spans="16:16">
      <c r="P39957" s="2498"/>
    </row>
    <row r="39958" spans="16:16">
      <c r="P39958" s="2498"/>
    </row>
    <row r="39959" spans="16:16">
      <c r="P39959" s="2498"/>
    </row>
    <row r="39960" spans="16:16">
      <c r="P39960" s="2498"/>
    </row>
    <row r="39961" spans="16:16">
      <c r="P39961" s="2498"/>
    </row>
    <row r="39962" spans="16:16">
      <c r="P39962" s="2498"/>
    </row>
    <row r="39963" spans="16:16">
      <c r="P39963" s="2498"/>
    </row>
    <row r="39964" spans="16:16">
      <c r="P39964" s="2498"/>
    </row>
    <row r="39965" spans="16:16">
      <c r="P39965" s="2498"/>
    </row>
    <row r="39966" spans="16:16">
      <c r="P39966" s="2498"/>
    </row>
    <row r="39967" spans="16:16">
      <c r="P39967" s="2498"/>
    </row>
    <row r="39968" spans="16:16">
      <c r="P39968" s="2498"/>
    </row>
    <row r="39969" spans="16:16">
      <c r="P39969" s="2498"/>
    </row>
    <row r="39970" spans="16:16">
      <c r="P39970" s="2498"/>
    </row>
    <row r="39971" spans="16:16">
      <c r="P39971" s="2498"/>
    </row>
    <row r="39972" spans="16:16">
      <c r="P39972" s="2498"/>
    </row>
    <row r="39973" spans="16:16">
      <c r="P39973" s="2498"/>
    </row>
    <row r="39974" spans="16:16">
      <c r="P39974" s="2498"/>
    </row>
    <row r="39975" spans="16:16">
      <c r="P39975" s="2498"/>
    </row>
    <row r="39976" spans="16:16">
      <c r="P39976" s="2498"/>
    </row>
    <row r="39977" spans="16:16">
      <c r="P39977" s="2498"/>
    </row>
    <row r="39978" spans="16:16">
      <c r="P39978" s="2498"/>
    </row>
    <row r="39979" spans="16:16">
      <c r="P39979" s="2498"/>
    </row>
    <row r="39980" spans="16:16">
      <c r="P39980" s="2498"/>
    </row>
    <row r="39981" spans="16:16">
      <c r="P39981" s="2498"/>
    </row>
    <row r="39982" spans="16:16">
      <c r="P39982" s="2498"/>
    </row>
    <row r="39983" spans="16:16">
      <c r="P39983" s="2498"/>
    </row>
    <row r="39984" spans="16:16">
      <c r="P39984" s="2498"/>
    </row>
    <row r="39985" spans="16:16">
      <c r="P39985" s="2498"/>
    </row>
    <row r="39986" spans="16:16">
      <c r="P39986" s="2498"/>
    </row>
    <row r="39987" spans="16:16">
      <c r="P39987" s="2498"/>
    </row>
    <row r="39988" spans="16:16">
      <c r="P39988" s="2498"/>
    </row>
    <row r="39989" spans="16:16">
      <c r="P39989" s="2498"/>
    </row>
    <row r="39990" spans="16:16">
      <c r="P39990" s="2498"/>
    </row>
    <row r="39991" spans="16:16">
      <c r="P39991" s="2498"/>
    </row>
    <row r="39992" spans="16:16">
      <c r="P39992" s="2498"/>
    </row>
    <row r="39993" spans="16:16">
      <c r="P39993" s="2498"/>
    </row>
    <row r="39994" spans="16:16">
      <c r="P39994" s="2498"/>
    </row>
    <row r="39995" spans="16:16">
      <c r="P39995" s="2498"/>
    </row>
    <row r="39996" spans="16:16">
      <c r="P39996" s="2498"/>
    </row>
    <row r="39997" spans="16:16">
      <c r="P39997" s="2498"/>
    </row>
    <row r="39998" spans="16:16">
      <c r="P39998" s="2498"/>
    </row>
    <row r="39999" spans="16:16">
      <c r="P39999" s="2498"/>
    </row>
    <row r="40000" spans="16:16">
      <c r="P40000" s="2498"/>
    </row>
    <row r="40001" spans="16:16">
      <c r="P40001" s="2498"/>
    </row>
    <row r="40002" spans="16:16">
      <c r="P40002" s="2498"/>
    </row>
    <row r="40003" spans="16:16">
      <c r="P40003" s="2498"/>
    </row>
    <row r="40004" spans="16:16">
      <c r="P40004" s="2498"/>
    </row>
    <row r="40005" spans="16:16">
      <c r="P40005" s="2498"/>
    </row>
    <row r="40006" spans="16:16">
      <c r="P40006" s="2498"/>
    </row>
    <row r="40007" spans="16:16">
      <c r="P40007" s="2498"/>
    </row>
    <row r="40008" spans="16:16">
      <c r="P40008" s="2498"/>
    </row>
    <row r="40009" spans="16:16">
      <c r="P40009" s="2498"/>
    </row>
    <row r="40010" spans="16:16">
      <c r="P40010" s="2498"/>
    </row>
    <row r="40011" spans="16:16">
      <c r="P40011" s="2498"/>
    </row>
    <row r="40012" spans="16:16">
      <c r="P40012" s="2498"/>
    </row>
    <row r="40013" spans="16:16">
      <c r="P40013" s="2498"/>
    </row>
    <row r="40014" spans="16:16">
      <c r="P40014" s="2498"/>
    </row>
    <row r="40015" spans="16:16">
      <c r="P40015" s="2498"/>
    </row>
    <row r="40016" spans="16:16">
      <c r="P40016" s="2498"/>
    </row>
    <row r="40017" spans="16:16">
      <c r="P40017" s="2498"/>
    </row>
    <row r="40018" spans="16:16">
      <c r="P40018" s="2498"/>
    </row>
    <row r="40019" spans="16:16">
      <c r="P40019" s="2498"/>
    </row>
    <row r="40020" spans="16:16">
      <c r="P40020" s="2498"/>
    </row>
    <row r="40021" spans="16:16">
      <c r="P40021" s="2498"/>
    </row>
    <row r="40022" spans="16:16">
      <c r="P40022" s="2498"/>
    </row>
    <row r="40023" spans="16:16">
      <c r="P40023" s="2498"/>
    </row>
    <row r="40024" spans="16:16">
      <c r="P40024" s="2498"/>
    </row>
    <row r="40025" spans="16:16">
      <c r="P40025" s="2498"/>
    </row>
    <row r="40026" spans="16:16">
      <c r="P40026" s="2498"/>
    </row>
    <row r="40027" spans="16:16">
      <c r="P40027" s="2498"/>
    </row>
    <row r="40028" spans="16:16">
      <c r="P40028" s="2498"/>
    </row>
    <row r="40029" spans="16:16">
      <c r="P40029" s="2498"/>
    </row>
    <row r="40030" spans="16:16">
      <c r="P40030" s="2498"/>
    </row>
    <row r="40031" spans="16:16">
      <c r="P40031" s="2498"/>
    </row>
    <row r="40032" spans="16:16">
      <c r="P40032" s="2498"/>
    </row>
    <row r="40033" spans="16:16">
      <c r="P40033" s="2498"/>
    </row>
    <row r="40034" spans="16:16">
      <c r="P40034" s="2498"/>
    </row>
    <row r="40035" spans="16:16">
      <c r="P40035" s="2498"/>
    </row>
    <row r="40036" spans="16:16">
      <c r="P40036" s="2498"/>
    </row>
    <row r="40037" spans="16:16">
      <c r="P40037" s="2498"/>
    </row>
    <row r="40038" spans="16:16">
      <c r="P40038" s="2498"/>
    </row>
    <row r="40039" spans="16:16">
      <c r="P40039" s="2498"/>
    </row>
    <row r="40040" spans="16:16">
      <c r="P40040" s="2498"/>
    </row>
    <row r="40041" spans="16:16">
      <c r="P40041" s="2498"/>
    </row>
    <row r="40042" spans="16:16">
      <c r="P40042" s="2498"/>
    </row>
    <row r="40043" spans="16:16">
      <c r="P40043" s="2498"/>
    </row>
    <row r="40044" spans="16:16">
      <c r="P40044" s="2498"/>
    </row>
    <row r="40045" spans="16:16">
      <c r="P40045" s="2498"/>
    </row>
    <row r="40046" spans="16:16">
      <c r="P40046" s="2498"/>
    </row>
    <row r="40047" spans="16:16">
      <c r="P40047" s="2498"/>
    </row>
    <row r="40048" spans="16:16">
      <c r="P40048" s="2498"/>
    </row>
    <row r="40049" spans="16:16">
      <c r="P40049" s="2498"/>
    </row>
    <row r="40050" spans="16:16">
      <c r="P40050" s="2498"/>
    </row>
    <row r="40051" spans="16:16">
      <c r="P40051" s="2498"/>
    </row>
    <row r="40052" spans="16:16">
      <c r="P40052" s="2498"/>
    </row>
    <row r="40053" spans="16:16">
      <c r="P40053" s="2498"/>
    </row>
    <row r="40054" spans="16:16">
      <c r="P40054" s="2498"/>
    </row>
    <row r="40055" spans="16:16">
      <c r="P40055" s="2498"/>
    </row>
    <row r="40056" spans="16:16">
      <c r="P40056" s="2498"/>
    </row>
    <row r="40057" spans="16:16">
      <c r="P40057" s="2498"/>
    </row>
    <row r="40058" spans="16:16">
      <c r="P40058" s="2498"/>
    </row>
    <row r="40059" spans="16:16">
      <c r="P40059" s="2498"/>
    </row>
    <row r="40060" spans="16:16">
      <c r="P40060" s="2498"/>
    </row>
    <row r="40061" spans="16:16">
      <c r="P40061" s="2498"/>
    </row>
    <row r="40062" spans="16:16">
      <c r="P40062" s="2498"/>
    </row>
    <row r="40063" spans="16:16">
      <c r="P40063" s="2498"/>
    </row>
    <row r="40064" spans="16:16">
      <c r="P40064" s="2498"/>
    </row>
    <row r="40065" spans="16:16">
      <c r="P40065" s="2498"/>
    </row>
    <row r="40066" spans="16:16">
      <c r="P40066" s="2498"/>
    </row>
    <row r="40067" spans="16:16">
      <c r="P40067" s="2498"/>
    </row>
    <row r="40068" spans="16:16">
      <c r="P40068" s="2498"/>
    </row>
    <row r="40069" spans="16:16">
      <c r="P40069" s="2498"/>
    </row>
    <row r="40070" spans="16:16">
      <c r="P40070" s="2498"/>
    </row>
    <row r="40071" spans="16:16">
      <c r="P40071" s="2498"/>
    </row>
    <row r="40072" spans="16:16">
      <c r="P40072" s="2498"/>
    </row>
    <row r="40073" spans="16:16">
      <c r="P40073" s="2498"/>
    </row>
    <row r="40074" spans="16:16">
      <c r="P40074" s="2498"/>
    </row>
    <row r="40075" spans="16:16">
      <c r="P40075" s="2498"/>
    </row>
    <row r="40076" spans="16:16">
      <c r="P40076" s="2498"/>
    </row>
    <row r="40077" spans="16:16">
      <c r="P40077" s="2498"/>
    </row>
    <row r="40078" spans="16:16">
      <c r="P40078" s="2498"/>
    </row>
    <row r="40079" spans="16:16">
      <c r="P40079" s="2498"/>
    </row>
    <row r="40080" spans="16:16">
      <c r="P40080" s="2498"/>
    </row>
    <row r="40081" spans="16:16">
      <c r="P40081" s="2498"/>
    </row>
    <row r="40082" spans="16:16">
      <c r="P40082" s="2498"/>
    </row>
    <row r="40083" spans="16:16">
      <c r="P40083" s="2498"/>
    </row>
    <row r="40084" spans="16:16">
      <c r="P40084" s="2498"/>
    </row>
    <row r="40085" spans="16:16">
      <c r="P40085" s="2498"/>
    </row>
    <row r="40086" spans="16:16">
      <c r="P40086" s="2498"/>
    </row>
    <row r="40087" spans="16:16">
      <c r="P40087" s="2498"/>
    </row>
    <row r="40088" spans="16:16">
      <c r="P40088" s="2498"/>
    </row>
    <row r="40089" spans="16:16">
      <c r="P40089" s="2498"/>
    </row>
    <row r="40090" spans="16:16">
      <c r="P40090" s="2498"/>
    </row>
    <row r="40091" spans="16:16">
      <c r="P40091" s="2498"/>
    </row>
    <row r="40092" spans="16:16">
      <c r="P40092" s="2498"/>
    </row>
    <row r="40093" spans="16:16">
      <c r="P40093" s="2498"/>
    </row>
    <row r="40094" spans="16:16">
      <c r="P40094" s="2498"/>
    </row>
    <row r="40095" spans="16:16">
      <c r="P40095" s="2498"/>
    </row>
    <row r="40096" spans="16:16">
      <c r="P40096" s="2498"/>
    </row>
    <row r="40097" spans="16:16">
      <c r="P40097" s="2498"/>
    </row>
    <row r="40098" spans="16:16">
      <c r="P40098" s="2498"/>
    </row>
    <row r="40099" spans="16:16">
      <c r="P40099" s="2498"/>
    </row>
    <row r="40100" spans="16:16">
      <c r="P40100" s="2498"/>
    </row>
    <row r="40101" spans="16:16">
      <c r="P40101" s="2498"/>
    </row>
    <row r="40102" spans="16:16">
      <c r="P40102" s="2498"/>
    </row>
    <row r="40103" spans="16:16">
      <c r="P40103" s="2498"/>
    </row>
    <row r="40104" spans="16:16">
      <c r="P40104" s="2498"/>
    </row>
    <row r="40105" spans="16:16">
      <c r="P40105" s="2498"/>
    </row>
    <row r="40106" spans="16:16">
      <c r="P40106" s="2498"/>
    </row>
    <row r="40107" spans="16:16">
      <c r="P40107" s="2498"/>
    </row>
    <row r="40108" spans="16:16">
      <c r="P40108" s="2498"/>
    </row>
    <row r="40109" spans="16:16">
      <c r="P40109" s="2498"/>
    </row>
    <row r="40110" spans="16:16">
      <c r="P40110" s="2498"/>
    </row>
    <row r="40111" spans="16:16">
      <c r="P40111" s="2498"/>
    </row>
    <row r="40112" spans="16:16">
      <c r="P40112" s="2498"/>
    </row>
    <row r="40113" spans="16:16">
      <c r="P40113" s="2498"/>
    </row>
    <row r="40114" spans="16:16">
      <c r="P40114" s="2498"/>
    </row>
    <row r="40115" spans="16:16">
      <c r="P40115" s="2498"/>
    </row>
    <row r="40116" spans="16:16">
      <c r="P40116" s="2498"/>
    </row>
    <row r="40117" spans="16:16">
      <c r="P40117" s="2498"/>
    </row>
    <row r="40118" spans="16:16">
      <c r="P40118" s="2498"/>
    </row>
    <row r="40119" spans="16:16">
      <c r="P40119" s="2498"/>
    </row>
    <row r="40120" spans="16:16">
      <c r="P40120" s="2498"/>
    </row>
    <row r="40121" spans="16:16">
      <c r="P40121" s="2498"/>
    </row>
    <row r="40122" spans="16:16">
      <c r="P40122" s="2498"/>
    </row>
    <row r="40123" spans="16:16">
      <c r="P40123" s="2498"/>
    </row>
    <row r="40124" spans="16:16">
      <c r="P40124" s="2498"/>
    </row>
    <row r="40125" spans="16:16">
      <c r="P40125" s="2498"/>
    </row>
    <row r="40126" spans="16:16">
      <c r="P40126" s="2498"/>
    </row>
    <row r="40127" spans="16:16">
      <c r="P40127" s="2498"/>
    </row>
    <row r="40128" spans="16:16">
      <c r="P40128" s="2498"/>
    </row>
    <row r="40129" spans="16:16">
      <c r="P40129" s="2498"/>
    </row>
    <row r="40130" spans="16:16">
      <c r="P40130" s="2498"/>
    </row>
    <row r="40131" spans="16:16">
      <c r="P40131" s="2498"/>
    </row>
    <row r="40132" spans="16:16">
      <c r="P40132" s="2498"/>
    </row>
    <row r="40133" spans="16:16">
      <c r="P40133" s="2498"/>
    </row>
    <row r="40134" spans="16:16">
      <c r="P40134" s="2498"/>
    </row>
    <row r="40135" spans="16:16">
      <c r="P40135" s="2498"/>
    </row>
    <row r="40136" spans="16:16">
      <c r="P40136" s="2498"/>
    </row>
    <row r="40137" spans="16:16">
      <c r="P40137" s="2498"/>
    </row>
    <row r="40138" spans="16:16">
      <c r="P40138" s="2498"/>
    </row>
    <row r="40139" spans="16:16">
      <c r="P40139" s="2498"/>
    </row>
    <row r="40140" spans="16:16">
      <c r="P40140" s="2498"/>
    </row>
    <row r="40141" spans="16:16">
      <c r="P40141" s="2498"/>
    </row>
    <row r="40142" spans="16:16">
      <c r="P40142" s="2498"/>
    </row>
    <row r="40143" spans="16:16">
      <c r="P40143" s="2498"/>
    </row>
    <row r="40144" spans="16:16">
      <c r="P40144" s="2498"/>
    </row>
    <row r="40145" spans="16:16">
      <c r="P40145" s="2498"/>
    </row>
    <row r="40146" spans="16:16">
      <c r="P40146" s="2498"/>
    </row>
    <row r="40147" spans="16:16">
      <c r="P40147" s="2498"/>
    </row>
    <row r="40148" spans="16:16">
      <c r="P40148" s="2498"/>
    </row>
    <row r="40149" spans="16:16">
      <c r="P40149" s="2498"/>
    </row>
    <row r="40150" spans="16:16">
      <c r="P40150" s="2498"/>
    </row>
    <row r="40151" spans="16:16">
      <c r="P40151" s="2498"/>
    </row>
    <row r="40152" spans="16:16">
      <c r="P40152" s="2498"/>
    </row>
    <row r="40153" spans="16:16">
      <c r="P40153" s="2498"/>
    </row>
    <row r="40154" spans="16:16">
      <c r="P40154" s="2498"/>
    </row>
    <row r="40155" spans="16:16">
      <c r="P40155" s="2498"/>
    </row>
    <row r="40156" spans="16:16">
      <c r="P40156" s="2498"/>
    </row>
    <row r="40157" spans="16:16">
      <c r="P40157" s="2498"/>
    </row>
    <row r="40158" spans="16:16">
      <c r="P40158" s="2498"/>
    </row>
    <row r="40159" spans="16:16">
      <c r="P40159" s="2498"/>
    </row>
    <row r="40160" spans="16:16">
      <c r="P40160" s="2498"/>
    </row>
    <row r="40161" spans="16:16">
      <c r="P40161" s="2498"/>
    </row>
    <row r="40162" spans="16:16">
      <c r="P40162" s="2498"/>
    </row>
    <row r="40163" spans="16:16">
      <c r="P40163" s="2498"/>
    </row>
    <row r="40164" spans="16:16">
      <c r="P40164" s="2498"/>
    </row>
    <row r="40165" spans="16:16">
      <c r="P40165" s="2498"/>
    </row>
    <row r="40166" spans="16:16">
      <c r="P40166" s="2498"/>
    </row>
    <row r="40167" spans="16:16">
      <c r="P40167" s="2498"/>
    </row>
    <row r="40168" spans="16:16">
      <c r="P40168" s="2498"/>
    </row>
    <row r="40169" spans="16:16">
      <c r="P40169" s="2498"/>
    </row>
    <row r="40170" spans="16:16">
      <c r="P40170" s="2498"/>
    </row>
    <row r="40171" spans="16:16">
      <c r="P40171" s="2498"/>
    </row>
    <row r="40172" spans="16:16">
      <c r="P40172" s="2498"/>
    </row>
    <row r="40173" spans="16:16">
      <c r="P40173" s="2498"/>
    </row>
    <row r="40174" spans="16:16">
      <c r="P40174" s="2498"/>
    </row>
    <row r="40175" spans="16:16">
      <c r="P40175" s="2498"/>
    </row>
    <row r="40176" spans="16:16">
      <c r="P40176" s="2498"/>
    </row>
    <row r="40177" spans="16:16">
      <c r="P40177" s="2498"/>
    </row>
    <row r="40178" spans="16:16">
      <c r="P40178" s="2498"/>
    </row>
    <row r="40179" spans="16:16">
      <c r="P40179" s="2498"/>
    </row>
    <row r="40180" spans="16:16">
      <c r="P40180" s="2498"/>
    </row>
    <row r="40181" spans="16:16">
      <c r="P40181" s="2498"/>
    </row>
    <row r="40182" spans="16:16">
      <c r="P40182" s="2498"/>
    </row>
    <row r="40183" spans="16:16">
      <c r="P40183" s="2498"/>
    </row>
    <row r="40184" spans="16:16">
      <c r="P40184" s="2498"/>
    </row>
    <row r="40185" spans="16:16">
      <c r="P40185" s="2498"/>
    </row>
    <row r="40186" spans="16:16">
      <c r="P40186" s="2498"/>
    </row>
    <row r="40187" spans="16:16">
      <c r="P40187" s="2498"/>
    </row>
    <row r="40188" spans="16:16">
      <c r="P40188" s="2498"/>
    </row>
    <row r="40189" spans="16:16">
      <c r="P40189" s="2498"/>
    </row>
    <row r="40190" spans="16:16">
      <c r="P40190" s="2498"/>
    </row>
    <row r="40191" spans="16:16">
      <c r="P40191" s="2498"/>
    </row>
    <row r="40192" spans="16:16">
      <c r="P40192" s="2498"/>
    </row>
    <row r="40193" spans="16:16">
      <c r="P40193" s="2498"/>
    </row>
    <row r="40194" spans="16:16">
      <c r="P40194" s="2498"/>
    </row>
    <row r="40195" spans="16:16">
      <c r="P40195" s="2498"/>
    </row>
    <row r="40196" spans="16:16">
      <c r="P40196" s="2498"/>
    </row>
    <row r="40197" spans="16:16">
      <c r="P40197" s="2498"/>
    </row>
    <row r="40198" spans="16:16">
      <c r="P40198" s="2498"/>
    </row>
    <row r="40199" spans="16:16">
      <c r="P40199" s="2498"/>
    </row>
    <row r="40200" spans="16:16">
      <c r="P40200" s="2498"/>
    </row>
    <row r="40201" spans="16:16">
      <c r="P40201" s="2498"/>
    </row>
    <row r="40202" spans="16:16">
      <c r="P40202" s="2498"/>
    </row>
    <row r="40203" spans="16:16">
      <c r="P40203" s="2498"/>
    </row>
    <row r="40204" spans="16:16">
      <c r="P40204" s="2498"/>
    </row>
    <row r="40205" spans="16:16">
      <c r="P40205" s="2498"/>
    </row>
    <row r="40206" spans="16:16">
      <c r="P40206" s="2498"/>
    </row>
    <row r="40207" spans="16:16">
      <c r="P40207" s="2498"/>
    </row>
    <row r="40208" spans="16:16">
      <c r="P40208" s="2498"/>
    </row>
    <row r="40209" spans="16:16">
      <c r="P40209" s="2498"/>
    </row>
    <row r="40210" spans="16:16">
      <c r="P40210" s="2498"/>
    </row>
    <row r="40211" spans="16:16">
      <c r="P40211" s="2498"/>
    </row>
    <row r="40212" spans="16:16">
      <c r="P40212" s="2498"/>
    </row>
    <row r="40213" spans="16:16">
      <c r="P40213" s="2498"/>
    </row>
    <row r="40214" spans="16:16">
      <c r="P40214" s="2498"/>
    </row>
    <row r="40215" spans="16:16">
      <c r="P40215" s="2498"/>
    </row>
    <row r="40216" spans="16:16">
      <c r="P40216" s="2498"/>
    </row>
    <row r="40217" spans="16:16">
      <c r="P40217" s="2498"/>
    </row>
    <row r="40218" spans="16:16">
      <c r="P40218" s="2498"/>
    </row>
    <row r="40219" spans="16:16">
      <c r="P40219" s="2498"/>
    </row>
    <row r="40220" spans="16:16">
      <c r="P40220" s="2498"/>
    </row>
    <row r="40221" spans="16:16">
      <c r="P40221" s="2498"/>
    </row>
    <row r="40222" spans="16:16">
      <c r="P40222" s="2498"/>
    </row>
    <row r="40223" spans="16:16">
      <c r="P40223" s="2498"/>
    </row>
    <row r="40224" spans="16:16">
      <c r="P40224" s="2498"/>
    </row>
    <row r="40225" spans="16:16">
      <c r="P40225" s="2498"/>
    </row>
    <row r="40226" spans="16:16">
      <c r="P40226" s="2498"/>
    </row>
    <row r="40227" spans="16:16">
      <c r="P40227" s="2498"/>
    </row>
    <row r="40228" spans="16:16">
      <c r="P40228" s="2498"/>
    </row>
    <row r="40229" spans="16:16">
      <c r="P40229" s="2498"/>
    </row>
    <row r="40230" spans="16:16">
      <c r="P40230" s="2498"/>
    </row>
    <row r="40231" spans="16:16">
      <c r="P40231" s="2498"/>
    </row>
    <row r="40232" spans="16:16">
      <c r="P40232" s="2498"/>
    </row>
    <row r="40233" spans="16:16">
      <c r="P40233" s="2498"/>
    </row>
    <row r="40234" spans="16:16">
      <c r="P40234" s="2498"/>
    </row>
    <row r="40235" spans="16:16">
      <c r="P40235" s="2498"/>
    </row>
    <row r="40236" spans="16:16">
      <c r="P40236" s="2498"/>
    </row>
    <row r="40237" spans="16:16">
      <c r="P40237" s="2498"/>
    </row>
    <row r="40238" spans="16:16">
      <c r="P40238" s="2498"/>
    </row>
    <row r="40239" spans="16:16">
      <c r="P40239" s="2498"/>
    </row>
    <row r="40240" spans="16:16">
      <c r="P40240" s="2498"/>
    </row>
    <row r="40241" spans="16:16">
      <c r="P40241" s="2498"/>
    </row>
    <row r="40242" spans="16:16">
      <c r="P40242" s="2498"/>
    </row>
    <row r="40243" spans="16:16">
      <c r="P40243" s="2498"/>
    </row>
    <row r="40244" spans="16:16">
      <c r="P40244" s="2498"/>
    </row>
    <row r="40245" spans="16:16">
      <c r="P40245" s="2498"/>
    </row>
    <row r="40246" spans="16:16">
      <c r="P40246" s="2498"/>
    </row>
    <row r="40247" spans="16:16">
      <c r="P40247" s="2498"/>
    </row>
    <row r="40248" spans="16:16">
      <c r="P40248" s="2498"/>
    </row>
    <row r="40249" spans="16:16">
      <c r="P40249" s="2498"/>
    </row>
    <row r="40250" spans="16:16">
      <c r="P40250" s="2498"/>
    </row>
    <row r="40251" spans="16:16">
      <c r="P40251" s="2498"/>
    </row>
    <row r="40252" spans="16:16">
      <c r="P40252" s="2498"/>
    </row>
    <row r="40253" spans="16:16">
      <c r="P40253" s="2498"/>
    </row>
    <row r="40254" spans="16:16">
      <c r="P40254" s="2498"/>
    </row>
    <row r="40255" spans="16:16">
      <c r="P40255" s="2498"/>
    </row>
    <row r="40256" spans="16:16">
      <c r="P40256" s="2498"/>
    </row>
    <row r="40257" spans="16:16">
      <c r="P40257" s="2498"/>
    </row>
    <row r="40258" spans="16:16">
      <c r="P40258" s="2498"/>
    </row>
    <row r="40259" spans="16:16">
      <c r="P40259" s="2498"/>
    </row>
    <row r="40260" spans="16:16">
      <c r="P40260" s="2498"/>
    </row>
    <row r="40261" spans="16:16">
      <c r="P40261" s="2498"/>
    </row>
    <row r="40262" spans="16:16">
      <c r="P40262" s="2498"/>
    </row>
    <row r="40263" spans="16:16">
      <c r="P40263" s="2498"/>
    </row>
    <row r="40264" spans="16:16">
      <c r="P40264" s="2498"/>
    </row>
    <row r="40265" spans="16:16">
      <c r="P40265" s="2498"/>
    </row>
    <row r="40266" spans="16:16">
      <c r="P40266" s="2498"/>
    </row>
    <row r="40267" spans="16:16">
      <c r="P40267" s="2498"/>
    </row>
    <row r="40268" spans="16:16">
      <c r="P40268" s="2498"/>
    </row>
    <row r="40269" spans="16:16">
      <c r="P40269" s="2498"/>
    </row>
    <row r="40270" spans="16:16">
      <c r="P40270" s="2498"/>
    </row>
    <row r="40271" spans="16:16">
      <c r="P40271" s="2498"/>
    </row>
    <row r="40272" spans="16:16">
      <c r="P40272" s="2498"/>
    </row>
    <row r="40273" spans="16:16">
      <c r="P40273" s="2498"/>
    </row>
    <row r="40274" spans="16:16">
      <c r="P40274" s="2498"/>
    </row>
    <row r="40275" spans="16:16">
      <c r="P40275" s="2498"/>
    </row>
    <row r="40276" spans="16:16">
      <c r="P40276" s="2498"/>
    </row>
    <row r="40277" spans="16:16">
      <c r="P40277" s="2498"/>
    </row>
    <row r="40278" spans="16:16">
      <c r="P40278" s="2498"/>
    </row>
    <row r="40279" spans="16:16">
      <c r="P40279" s="2498"/>
    </row>
    <row r="40280" spans="16:16">
      <c r="P40280" s="2498"/>
    </row>
    <row r="40281" spans="16:16">
      <c r="P40281" s="2498"/>
    </row>
    <row r="40282" spans="16:16">
      <c r="P40282" s="2498"/>
    </row>
    <row r="40283" spans="16:16">
      <c r="P40283" s="2498"/>
    </row>
    <row r="40284" spans="16:16">
      <c r="P40284" s="2498"/>
    </row>
    <row r="40285" spans="16:16">
      <c r="P40285" s="2498"/>
    </row>
    <row r="40286" spans="16:16">
      <c r="P40286" s="2498"/>
    </row>
    <row r="40287" spans="16:16">
      <c r="P40287" s="2498"/>
    </row>
    <row r="40288" spans="16:16">
      <c r="P40288" s="2498"/>
    </row>
    <row r="40289" spans="16:16">
      <c r="P40289" s="2498"/>
    </row>
    <row r="40290" spans="16:16">
      <c r="P40290" s="2498"/>
    </row>
    <row r="40291" spans="16:16">
      <c r="P40291" s="2498"/>
    </row>
    <row r="40292" spans="16:16">
      <c r="P40292" s="2498"/>
    </row>
    <row r="40293" spans="16:16">
      <c r="P40293" s="2498"/>
    </row>
    <row r="40294" spans="16:16">
      <c r="P40294" s="2498"/>
    </row>
    <row r="40295" spans="16:16">
      <c r="P40295" s="2498"/>
    </row>
    <row r="40296" spans="16:16">
      <c r="P40296" s="2498"/>
    </row>
    <row r="40297" spans="16:16">
      <c r="P40297" s="2498"/>
    </row>
    <row r="40298" spans="16:16">
      <c r="P40298" s="2498"/>
    </row>
    <row r="40299" spans="16:16">
      <c r="P40299" s="2498"/>
    </row>
    <row r="40300" spans="16:16">
      <c r="P40300" s="2498"/>
    </row>
    <row r="40301" spans="16:16">
      <c r="P40301" s="2498"/>
    </row>
    <row r="40302" spans="16:16">
      <c r="P40302" s="2498"/>
    </row>
    <row r="40303" spans="16:16">
      <c r="P40303" s="2498"/>
    </row>
    <row r="40304" spans="16:16">
      <c r="P40304" s="2498"/>
    </row>
    <row r="40305" spans="16:16">
      <c r="P40305" s="2498"/>
    </row>
    <row r="40306" spans="16:16">
      <c r="P40306" s="2498"/>
    </row>
    <row r="40307" spans="16:16">
      <c r="P40307" s="2498"/>
    </row>
    <row r="40308" spans="16:16">
      <c r="P40308" s="2498"/>
    </row>
    <row r="40309" spans="16:16">
      <c r="P40309" s="2498"/>
    </row>
    <row r="40310" spans="16:16">
      <c r="P40310" s="2498"/>
    </row>
    <row r="40311" spans="16:16">
      <c r="P40311" s="2498"/>
    </row>
    <row r="40312" spans="16:16">
      <c r="P40312" s="2498"/>
    </row>
    <row r="40313" spans="16:16">
      <c r="P40313" s="2498"/>
    </row>
    <row r="40314" spans="16:16">
      <c r="P40314" s="2498"/>
    </row>
    <row r="40315" spans="16:16">
      <c r="P40315" s="2498"/>
    </row>
    <row r="40316" spans="16:16">
      <c r="P40316" s="2498"/>
    </row>
    <row r="40317" spans="16:16">
      <c r="P40317" s="2498"/>
    </row>
    <row r="40318" spans="16:16">
      <c r="P40318" s="2498"/>
    </row>
    <row r="40319" spans="16:16">
      <c r="P40319" s="2498"/>
    </row>
    <row r="40320" spans="16:16">
      <c r="P40320" s="2498"/>
    </row>
    <row r="40321" spans="16:16">
      <c r="P40321" s="2498"/>
    </row>
    <row r="40322" spans="16:16">
      <c r="P40322" s="2498"/>
    </row>
    <row r="40323" spans="16:16">
      <c r="P40323" s="2498"/>
    </row>
    <row r="40324" spans="16:16">
      <c r="P40324" s="2498"/>
    </row>
    <row r="40325" spans="16:16">
      <c r="P40325" s="2498"/>
    </row>
    <row r="40326" spans="16:16">
      <c r="P40326" s="2498"/>
    </row>
    <row r="40327" spans="16:16">
      <c r="P40327" s="2498"/>
    </row>
    <row r="40328" spans="16:16">
      <c r="P40328" s="2498"/>
    </row>
    <row r="40329" spans="16:16">
      <c r="P40329" s="2498"/>
    </row>
    <row r="40330" spans="16:16">
      <c r="P40330" s="2498"/>
    </row>
    <row r="40331" spans="16:16">
      <c r="P40331" s="2498"/>
    </row>
    <row r="40332" spans="16:16">
      <c r="P40332" s="2498"/>
    </row>
    <row r="40333" spans="16:16">
      <c r="P40333" s="2498"/>
    </row>
    <row r="40334" spans="16:16">
      <c r="P40334" s="2498"/>
    </row>
    <row r="40335" spans="16:16">
      <c r="P40335" s="2498"/>
    </row>
    <row r="40336" spans="16:16">
      <c r="P40336" s="2498"/>
    </row>
    <row r="40337" spans="16:16">
      <c r="P40337" s="2498"/>
    </row>
    <row r="40338" spans="16:16">
      <c r="P40338" s="2498"/>
    </row>
    <row r="40339" spans="16:16">
      <c r="P40339" s="2498"/>
    </row>
    <row r="40340" spans="16:16">
      <c r="P40340" s="2498"/>
    </row>
    <row r="40341" spans="16:16">
      <c r="P40341" s="2498"/>
    </row>
    <row r="40342" spans="16:16">
      <c r="P40342" s="2498"/>
    </row>
    <row r="40343" spans="16:16">
      <c r="P40343" s="2498"/>
    </row>
    <row r="40344" spans="16:16">
      <c r="P40344" s="2498"/>
    </row>
    <row r="40345" spans="16:16">
      <c r="P40345" s="2498"/>
    </row>
    <row r="40346" spans="16:16">
      <c r="P40346" s="2498"/>
    </row>
    <row r="40347" spans="16:16">
      <c r="P40347" s="2498"/>
    </row>
    <row r="40348" spans="16:16">
      <c r="P40348" s="2498"/>
    </row>
    <row r="40349" spans="16:16">
      <c r="P40349" s="2498"/>
    </row>
    <row r="40350" spans="16:16">
      <c r="P40350" s="2498"/>
    </row>
    <row r="40351" spans="16:16">
      <c r="P40351" s="2498"/>
    </row>
    <row r="40352" spans="16:16">
      <c r="P40352" s="2498"/>
    </row>
    <row r="40353" spans="16:16">
      <c r="P40353" s="2498"/>
    </row>
    <row r="40354" spans="16:16">
      <c r="P40354" s="2498"/>
    </row>
    <row r="40355" spans="16:16">
      <c r="P40355" s="2498"/>
    </row>
    <row r="40356" spans="16:16">
      <c r="P40356" s="2498"/>
    </row>
    <row r="40357" spans="16:16">
      <c r="P40357" s="2498"/>
    </row>
    <row r="40358" spans="16:16">
      <c r="P40358" s="2498"/>
    </row>
    <row r="40359" spans="16:16">
      <c r="P40359" s="2498"/>
    </row>
    <row r="40360" spans="16:16">
      <c r="P40360" s="2498"/>
    </row>
    <row r="40361" spans="16:16">
      <c r="P40361" s="2498"/>
    </row>
    <row r="40362" spans="16:16">
      <c r="P40362" s="2498"/>
    </row>
    <row r="40363" spans="16:16">
      <c r="P40363" s="2498"/>
    </row>
    <row r="40364" spans="16:16">
      <c r="P40364" s="2498"/>
    </row>
    <row r="40365" spans="16:16">
      <c r="P40365" s="2498"/>
    </row>
    <row r="40366" spans="16:16">
      <c r="P40366" s="2498"/>
    </row>
    <row r="40367" spans="16:16">
      <c r="P40367" s="2498"/>
    </row>
    <row r="40368" spans="16:16">
      <c r="P40368" s="2498"/>
    </row>
    <row r="40369" spans="16:16">
      <c r="P40369" s="2498"/>
    </row>
    <row r="40370" spans="16:16">
      <c r="P40370" s="2498"/>
    </row>
    <row r="40371" spans="16:16">
      <c r="P40371" s="2498"/>
    </row>
    <row r="40372" spans="16:16">
      <c r="P40372" s="2498"/>
    </row>
    <row r="40373" spans="16:16">
      <c r="P40373" s="2498"/>
    </row>
    <row r="40374" spans="16:16">
      <c r="P40374" s="2498"/>
    </row>
    <row r="40375" spans="16:16">
      <c r="P40375" s="2498"/>
    </row>
    <row r="40376" spans="16:16">
      <c r="P40376" s="2498"/>
    </row>
    <row r="40377" spans="16:16">
      <c r="P40377" s="2498"/>
    </row>
    <row r="40378" spans="16:16">
      <c r="P40378" s="2498"/>
    </row>
    <row r="40379" spans="16:16">
      <c r="P40379" s="2498"/>
    </row>
    <row r="40380" spans="16:16">
      <c r="P40380" s="2498"/>
    </row>
    <row r="40381" spans="16:16">
      <c r="P40381" s="2498"/>
    </row>
    <row r="40382" spans="16:16">
      <c r="P40382" s="2498"/>
    </row>
    <row r="40383" spans="16:16">
      <c r="P40383" s="2498"/>
    </row>
    <row r="40384" spans="16:16">
      <c r="P40384" s="2498"/>
    </row>
    <row r="40385" spans="16:16">
      <c r="P40385" s="2498"/>
    </row>
    <row r="40386" spans="16:16">
      <c r="P40386" s="2498"/>
    </row>
    <row r="40387" spans="16:16">
      <c r="P40387" s="2498"/>
    </row>
    <row r="40388" spans="16:16">
      <c r="P40388" s="2498"/>
    </row>
    <row r="40389" spans="16:16">
      <c r="P40389" s="2498"/>
    </row>
    <row r="40390" spans="16:16">
      <c r="P40390" s="2498"/>
    </row>
    <row r="40391" spans="16:16">
      <c r="P40391" s="2498"/>
    </row>
    <row r="40392" spans="16:16">
      <c r="P40392" s="2498"/>
    </row>
    <row r="40393" spans="16:16">
      <c r="P40393" s="2498"/>
    </row>
    <row r="40394" spans="16:16">
      <c r="P40394" s="2498"/>
    </row>
    <row r="40395" spans="16:16">
      <c r="P40395" s="2498"/>
    </row>
    <row r="40396" spans="16:16">
      <c r="P40396" s="2498"/>
    </row>
    <row r="40397" spans="16:16">
      <c r="P40397" s="2498"/>
    </row>
    <row r="40398" spans="16:16">
      <c r="P40398" s="2498"/>
    </row>
    <row r="40399" spans="16:16">
      <c r="P40399" s="2498"/>
    </row>
    <row r="40400" spans="16:16">
      <c r="P40400" s="2498"/>
    </row>
    <row r="40401" spans="16:16">
      <c r="P40401" s="2498"/>
    </row>
    <row r="40402" spans="16:16">
      <c r="P40402" s="2498"/>
    </row>
    <row r="40403" spans="16:16">
      <c r="P40403" s="2498"/>
    </row>
    <row r="40404" spans="16:16">
      <c r="P40404" s="2498"/>
    </row>
    <row r="40405" spans="16:16">
      <c r="P40405" s="2498"/>
    </row>
    <row r="40406" spans="16:16">
      <c r="P40406" s="2498"/>
    </row>
    <row r="40407" spans="16:16">
      <c r="P40407" s="2498"/>
    </row>
    <row r="40408" spans="16:16">
      <c r="P40408" s="2498"/>
    </row>
    <row r="40409" spans="16:16">
      <c r="P40409" s="2498"/>
    </row>
    <row r="40410" spans="16:16">
      <c r="P40410" s="2498"/>
    </row>
    <row r="40411" spans="16:16">
      <c r="P40411" s="2498"/>
    </row>
    <row r="40412" spans="16:16">
      <c r="P40412" s="2498"/>
    </row>
    <row r="40413" spans="16:16">
      <c r="P40413" s="2498"/>
    </row>
    <row r="40414" spans="16:16">
      <c r="P40414" s="2498"/>
    </row>
    <row r="40415" spans="16:16">
      <c r="P40415" s="2498"/>
    </row>
    <row r="40416" spans="16:16">
      <c r="P40416" s="2498"/>
    </row>
    <row r="40417" spans="16:16">
      <c r="P40417" s="2498"/>
    </row>
    <row r="40418" spans="16:16">
      <c r="P40418" s="2498"/>
    </row>
    <row r="40419" spans="16:16">
      <c r="P40419" s="2498"/>
    </row>
    <row r="40420" spans="16:16">
      <c r="P40420" s="2498"/>
    </row>
    <row r="40421" spans="16:16">
      <c r="P40421" s="2498"/>
    </row>
    <row r="40422" spans="16:16">
      <c r="P40422" s="2498"/>
    </row>
    <row r="40423" spans="16:16">
      <c r="P40423" s="2498"/>
    </row>
    <row r="40424" spans="16:16">
      <c r="P40424" s="2498"/>
    </row>
    <row r="40425" spans="16:16">
      <c r="P40425" s="2498"/>
    </row>
    <row r="40426" spans="16:16">
      <c r="P40426" s="2498"/>
    </row>
    <row r="40427" spans="16:16">
      <c r="P40427" s="2498"/>
    </row>
    <row r="40428" spans="16:16">
      <c r="P40428" s="2498"/>
    </row>
    <row r="40429" spans="16:16">
      <c r="P40429" s="2498"/>
    </row>
    <row r="40430" spans="16:16">
      <c r="P40430" s="2498"/>
    </row>
    <row r="40431" spans="16:16">
      <c r="P40431" s="2498"/>
    </row>
    <row r="40432" spans="16:16">
      <c r="P40432" s="2498"/>
    </row>
    <row r="40433" spans="16:16">
      <c r="P40433" s="2498"/>
    </row>
    <row r="40434" spans="16:16">
      <c r="P40434" s="2498"/>
    </row>
    <row r="40435" spans="16:16">
      <c r="P40435" s="2498"/>
    </row>
    <row r="40436" spans="16:16">
      <c r="P40436" s="2498"/>
    </row>
    <row r="40437" spans="16:16">
      <c r="P40437" s="2498"/>
    </row>
    <row r="40438" spans="16:16">
      <c r="P40438" s="2498"/>
    </row>
    <row r="40439" spans="16:16">
      <c r="P40439" s="2498"/>
    </row>
    <row r="40440" spans="16:16">
      <c r="P40440" s="2498"/>
    </row>
    <row r="40441" spans="16:16">
      <c r="P40441" s="2498"/>
    </row>
    <row r="40442" spans="16:16">
      <c r="P40442" s="2498"/>
    </row>
    <row r="40443" spans="16:16">
      <c r="P40443" s="2498"/>
    </row>
    <row r="40444" spans="16:16">
      <c r="P40444" s="2498"/>
    </row>
    <row r="40445" spans="16:16">
      <c r="P40445" s="2498"/>
    </row>
    <row r="40446" spans="16:16">
      <c r="P40446" s="2498"/>
    </row>
    <row r="40447" spans="16:16">
      <c r="P40447" s="2498"/>
    </row>
    <row r="40448" spans="16:16">
      <c r="P40448" s="2498"/>
    </row>
    <row r="40449" spans="16:16">
      <c r="P40449" s="2498"/>
    </row>
    <row r="40450" spans="16:16">
      <c r="P40450" s="2498"/>
    </row>
    <row r="40451" spans="16:16">
      <c r="P40451" s="2498"/>
    </row>
    <row r="40452" spans="16:16">
      <c r="P40452" s="2498"/>
    </row>
    <row r="40453" spans="16:16">
      <c r="P40453" s="2498"/>
    </row>
    <row r="40454" spans="16:16">
      <c r="P40454" s="2498"/>
    </row>
    <row r="40455" spans="16:16">
      <c r="P40455" s="2498"/>
    </row>
    <row r="40456" spans="16:16">
      <c r="P40456" s="2498"/>
    </row>
    <row r="40457" spans="16:16">
      <c r="P40457" s="2498"/>
    </row>
    <row r="40458" spans="16:16">
      <c r="P40458" s="2498"/>
    </row>
    <row r="40459" spans="16:16">
      <c r="P40459" s="2498"/>
    </row>
    <row r="40460" spans="16:16">
      <c r="P40460" s="2498"/>
    </row>
    <row r="40461" spans="16:16">
      <c r="P40461" s="2498"/>
    </row>
    <row r="40462" spans="16:16">
      <c r="P40462" s="2498"/>
    </row>
    <row r="40463" spans="16:16">
      <c r="P40463" s="2498"/>
    </row>
    <row r="40464" spans="16:16">
      <c r="P40464" s="2498"/>
    </row>
    <row r="40465" spans="16:16">
      <c r="P40465" s="2498"/>
    </row>
    <row r="40466" spans="16:16">
      <c r="P40466" s="2498"/>
    </row>
    <row r="40467" spans="16:16">
      <c r="P40467" s="2498"/>
    </row>
    <row r="40468" spans="16:16">
      <c r="P40468" s="2498"/>
    </row>
    <row r="40469" spans="16:16">
      <c r="P40469" s="2498"/>
    </row>
    <row r="40470" spans="16:16">
      <c r="P40470" s="2498"/>
    </row>
    <row r="40471" spans="16:16">
      <c r="P40471" s="2498"/>
    </row>
    <row r="40472" spans="16:16">
      <c r="P40472" s="2498"/>
    </row>
    <row r="40473" spans="16:16">
      <c r="P40473" s="2498"/>
    </row>
    <row r="40474" spans="16:16">
      <c r="P40474" s="2498"/>
    </row>
    <row r="40475" spans="16:16">
      <c r="P40475" s="2498"/>
    </row>
    <row r="40476" spans="16:16">
      <c r="P40476" s="2498"/>
    </row>
    <row r="40477" spans="16:16">
      <c r="P40477" s="2498"/>
    </row>
    <row r="40478" spans="16:16">
      <c r="P40478" s="2498"/>
    </row>
    <row r="40479" spans="16:16">
      <c r="P40479" s="2498"/>
    </row>
    <row r="40480" spans="16:16">
      <c r="P40480" s="2498"/>
    </row>
    <row r="40481" spans="16:16">
      <c r="P40481" s="2498"/>
    </row>
    <row r="40482" spans="16:16">
      <c r="P40482" s="2498"/>
    </row>
    <row r="40483" spans="16:16">
      <c r="P40483" s="2498"/>
    </row>
    <row r="40484" spans="16:16">
      <c r="P40484" s="2498"/>
    </row>
    <row r="40485" spans="16:16">
      <c r="P40485" s="2498"/>
    </row>
    <row r="40486" spans="16:16">
      <c r="P40486" s="2498"/>
    </row>
    <row r="40487" spans="16:16">
      <c r="P40487" s="2498"/>
    </row>
    <row r="40488" spans="16:16">
      <c r="P40488" s="2498"/>
    </row>
    <row r="40489" spans="16:16">
      <c r="P40489" s="2498"/>
    </row>
    <row r="40490" spans="16:16">
      <c r="P40490" s="2498"/>
    </row>
    <row r="40491" spans="16:16">
      <c r="P40491" s="2498"/>
    </row>
    <row r="40492" spans="16:16">
      <c r="P40492" s="2498"/>
    </row>
    <row r="40493" spans="16:16">
      <c r="P40493" s="2498"/>
    </row>
    <row r="40494" spans="16:16">
      <c r="P40494" s="2498"/>
    </row>
    <row r="40495" spans="16:16">
      <c r="P40495" s="2498"/>
    </row>
    <row r="40496" spans="16:16">
      <c r="P40496" s="2498"/>
    </row>
    <row r="40497" spans="16:16">
      <c r="P40497" s="2498"/>
    </row>
    <row r="40498" spans="16:16">
      <c r="P40498" s="2498"/>
    </row>
    <row r="40499" spans="16:16">
      <c r="P40499" s="2498"/>
    </row>
    <row r="40500" spans="16:16">
      <c r="P40500" s="2498"/>
    </row>
    <row r="40501" spans="16:16">
      <c r="P40501" s="2498"/>
    </row>
    <row r="40502" spans="16:16">
      <c r="P40502" s="2498"/>
    </row>
    <row r="40503" spans="16:16">
      <c r="P40503" s="2498"/>
    </row>
    <row r="40504" spans="16:16">
      <c r="P40504" s="2498"/>
    </row>
    <row r="40505" spans="16:16">
      <c r="P40505" s="2498"/>
    </row>
    <row r="40506" spans="16:16">
      <c r="P40506" s="2498"/>
    </row>
    <row r="40507" spans="16:16">
      <c r="P40507" s="2498"/>
    </row>
    <row r="40508" spans="16:16">
      <c r="P40508" s="2498"/>
    </row>
    <row r="40509" spans="16:16">
      <c r="P40509" s="2498"/>
    </row>
    <row r="40510" spans="16:16">
      <c r="P40510" s="2498"/>
    </row>
    <row r="40511" spans="16:16">
      <c r="P40511" s="2498"/>
    </row>
    <row r="40512" spans="16:16">
      <c r="P40512" s="2498"/>
    </row>
    <row r="40513" spans="16:16">
      <c r="P40513" s="2498"/>
    </row>
    <row r="40514" spans="16:16">
      <c r="P40514" s="2498"/>
    </row>
    <row r="40515" spans="16:16">
      <c r="P40515" s="2498"/>
    </row>
    <row r="40516" spans="16:16">
      <c r="P40516" s="2498"/>
    </row>
    <row r="40517" spans="16:16">
      <c r="P40517" s="2498"/>
    </row>
    <row r="40518" spans="16:16">
      <c r="P40518" s="2498"/>
    </row>
    <row r="40519" spans="16:16">
      <c r="P40519" s="2498"/>
    </row>
    <row r="40520" spans="16:16">
      <c r="P40520" s="2498"/>
    </row>
    <row r="40521" spans="16:16">
      <c r="P40521" s="2498"/>
    </row>
    <row r="40522" spans="16:16">
      <c r="P40522" s="2498"/>
    </row>
    <row r="40523" spans="16:16">
      <c r="P40523" s="2498"/>
    </row>
    <row r="40524" spans="16:16">
      <c r="P40524" s="2498"/>
    </row>
    <row r="40525" spans="16:16">
      <c r="P40525" s="2498"/>
    </row>
    <row r="40526" spans="16:16">
      <c r="P40526" s="2498"/>
    </row>
    <row r="40527" spans="16:16">
      <c r="P40527" s="2498"/>
    </row>
    <row r="40528" spans="16:16">
      <c r="P40528" s="2498"/>
    </row>
    <row r="40529" spans="16:16">
      <c r="P40529" s="2498"/>
    </row>
    <row r="40530" spans="16:16">
      <c r="P40530" s="2498"/>
    </row>
    <row r="40531" spans="16:16">
      <c r="P40531" s="2498"/>
    </row>
    <row r="40532" spans="16:16">
      <c r="P40532" s="2498"/>
    </row>
    <row r="40533" spans="16:16">
      <c r="P40533" s="2498"/>
    </row>
    <row r="40534" spans="16:16">
      <c r="P40534" s="2498"/>
    </row>
    <row r="40535" spans="16:16">
      <c r="P40535" s="2498"/>
    </row>
    <row r="40536" spans="16:16">
      <c r="P40536" s="2498"/>
    </row>
    <row r="40537" spans="16:16">
      <c r="P40537" s="2498"/>
    </row>
    <row r="40538" spans="16:16">
      <c r="P40538" s="2498"/>
    </row>
    <row r="40539" spans="16:16">
      <c r="P40539" s="2498"/>
    </row>
    <row r="40540" spans="16:16">
      <c r="P40540" s="2498"/>
    </row>
    <row r="40541" spans="16:16">
      <c r="P40541" s="2498"/>
    </row>
    <row r="40542" spans="16:16">
      <c r="P40542" s="2498"/>
    </row>
    <row r="40543" spans="16:16">
      <c r="P40543" s="2498"/>
    </row>
    <row r="40544" spans="16:16">
      <c r="P40544" s="2498"/>
    </row>
    <row r="40545" spans="16:16">
      <c r="P40545" s="2498"/>
    </row>
    <row r="40546" spans="16:16">
      <c r="P40546" s="2498"/>
    </row>
    <row r="40547" spans="16:16">
      <c r="P40547" s="2498"/>
    </row>
    <row r="40548" spans="16:16">
      <c r="P40548" s="2498"/>
    </row>
    <row r="40549" spans="16:16">
      <c r="P40549" s="2498"/>
    </row>
    <row r="40550" spans="16:16">
      <c r="P40550" s="2498"/>
    </row>
    <row r="40551" spans="16:16">
      <c r="P40551" s="2498"/>
    </row>
    <row r="40552" spans="16:16">
      <c r="P40552" s="2498"/>
    </row>
    <row r="40553" spans="16:16">
      <c r="P40553" s="2498"/>
    </row>
    <row r="40554" spans="16:16">
      <c r="P40554" s="2498"/>
    </row>
    <row r="40555" spans="16:16">
      <c r="P40555" s="2498"/>
    </row>
    <row r="40556" spans="16:16">
      <c r="P40556" s="2498"/>
    </row>
    <row r="40557" spans="16:16">
      <c r="P40557" s="2498"/>
    </row>
    <row r="40558" spans="16:16">
      <c r="P40558" s="2498"/>
    </row>
    <row r="40559" spans="16:16">
      <c r="P40559" s="2498"/>
    </row>
    <row r="40560" spans="16:16">
      <c r="P40560" s="2498"/>
    </row>
    <row r="40561" spans="16:16">
      <c r="P40561" s="2498"/>
    </row>
    <row r="40562" spans="16:16">
      <c r="P40562" s="2498"/>
    </row>
    <row r="40563" spans="16:16">
      <c r="P40563" s="2498"/>
    </row>
    <row r="40564" spans="16:16">
      <c r="P40564" s="2498"/>
    </row>
    <row r="40565" spans="16:16">
      <c r="P40565" s="2498"/>
    </row>
    <row r="40566" spans="16:16">
      <c r="P40566" s="2498"/>
    </row>
    <row r="40567" spans="16:16">
      <c r="P40567" s="2498"/>
    </row>
    <row r="40568" spans="16:16">
      <c r="P40568" s="2498"/>
    </row>
    <row r="40569" spans="16:16">
      <c r="P40569" s="2498"/>
    </row>
    <row r="40570" spans="16:16">
      <c r="P40570" s="2498"/>
    </row>
    <row r="40571" spans="16:16">
      <c r="P40571" s="2498"/>
    </row>
    <row r="40572" spans="16:16">
      <c r="P40572" s="2498"/>
    </row>
    <row r="40573" spans="16:16">
      <c r="P40573" s="2498"/>
    </row>
    <row r="40574" spans="16:16">
      <c r="P40574" s="2498"/>
    </row>
    <row r="40575" spans="16:16">
      <c r="P40575" s="2498"/>
    </row>
    <row r="40576" spans="16:16">
      <c r="P40576" s="2498"/>
    </row>
    <row r="40577" spans="16:16">
      <c r="P40577" s="2498"/>
    </row>
    <row r="40578" spans="16:16">
      <c r="P40578" s="2498"/>
    </row>
    <row r="40579" spans="16:16">
      <c r="P40579" s="2498"/>
    </row>
    <row r="40580" spans="16:16">
      <c r="P40580" s="2498"/>
    </row>
    <row r="40581" spans="16:16">
      <c r="P40581" s="2498"/>
    </row>
    <row r="40582" spans="16:16">
      <c r="P40582" s="2498"/>
    </row>
    <row r="40583" spans="16:16">
      <c r="P40583" s="2498"/>
    </row>
    <row r="40584" spans="16:16">
      <c r="P40584" s="2498"/>
    </row>
    <row r="40585" spans="16:16">
      <c r="P40585" s="2498"/>
    </row>
    <row r="40586" spans="16:16">
      <c r="P40586" s="2498"/>
    </row>
    <row r="40587" spans="16:16">
      <c r="P40587" s="2498"/>
    </row>
    <row r="40588" spans="16:16">
      <c r="P40588" s="2498"/>
    </row>
    <row r="40589" spans="16:16">
      <c r="P40589" s="2498"/>
    </row>
    <row r="40590" spans="16:16">
      <c r="P40590" s="2498"/>
    </row>
    <row r="40591" spans="16:16">
      <c r="P40591" s="2498"/>
    </row>
    <row r="40592" spans="16:16">
      <c r="P40592" s="2498"/>
    </row>
    <row r="40593" spans="16:16">
      <c r="P40593" s="2498"/>
    </row>
    <row r="40594" spans="16:16">
      <c r="P40594" s="2498"/>
    </row>
    <row r="40595" spans="16:16">
      <c r="P40595" s="2498"/>
    </row>
    <row r="40596" spans="16:16">
      <c r="P40596" s="2498"/>
    </row>
    <row r="40597" spans="16:16">
      <c r="P40597" s="2498"/>
    </row>
    <row r="40598" spans="16:16">
      <c r="P40598" s="2498"/>
    </row>
    <row r="40599" spans="16:16">
      <c r="P40599" s="2498"/>
    </row>
    <row r="40600" spans="16:16">
      <c r="P40600" s="2498"/>
    </row>
    <row r="40601" spans="16:16">
      <c r="P40601" s="2498"/>
    </row>
    <row r="40602" spans="16:16">
      <c r="P40602" s="2498"/>
    </row>
    <row r="40603" spans="16:16">
      <c r="P40603" s="2498"/>
    </row>
    <row r="40604" spans="16:16">
      <c r="P40604" s="2498"/>
    </row>
    <row r="40605" spans="16:16">
      <c r="P40605" s="2498"/>
    </row>
    <row r="40606" spans="16:16">
      <c r="P40606" s="2498"/>
    </row>
    <row r="40607" spans="16:16">
      <c r="P40607" s="2498"/>
    </row>
    <row r="40608" spans="16:16">
      <c r="P40608" s="2498"/>
    </row>
    <row r="40609" spans="16:16">
      <c r="P40609" s="2498"/>
    </row>
    <row r="40610" spans="16:16">
      <c r="P40610" s="2498"/>
    </row>
    <row r="40611" spans="16:16">
      <c r="P40611" s="2498"/>
    </row>
    <row r="40612" spans="16:16">
      <c r="P40612" s="2498"/>
    </row>
    <row r="40613" spans="16:16">
      <c r="P40613" s="2498"/>
    </row>
    <row r="40614" spans="16:16">
      <c r="P40614" s="2498"/>
    </row>
    <row r="40615" spans="16:16">
      <c r="P40615" s="2498"/>
    </row>
    <row r="40616" spans="16:16">
      <c r="P40616" s="2498"/>
    </row>
    <row r="40617" spans="16:16">
      <c r="P40617" s="2498"/>
    </row>
    <row r="40618" spans="16:16">
      <c r="P40618" s="2498"/>
    </row>
    <row r="40619" spans="16:16">
      <c r="P40619" s="2498"/>
    </row>
    <row r="40620" spans="16:16">
      <c r="P40620" s="2498"/>
    </row>
    <row r="40621" spans="16:16">
      <c r="P40621" s="2498"/>
    </row>
    <row r="40622" spans="16:16">
      <c r="P40622" s="2498"/>
    </row>
    <row r="40623" spans="16:16">
      <c r="P40623" s="2498"/>
    </row>
    <row r="40624" spans="16:16">
      <c r="P40624" s="2498"/>
    </row>
    <row r="40625" spans="16:16">
      <c r="P40625" s="2498"/>
    </row>
    <row r="40626" spans="16:16">
      <c r="P40626" s="2498"/>
    </row>
    <row r="40627" spans="16:16">
      <c r="P40627" s="2498"/>
    </row>
    <row r="40628" spans="16:16">
      <c r="P40628" s="2498"/>
    </row>
    <row r="40629" spans="16:16">
      <c r="P40629" s="2498"/>
    </row>
    <row r="40630" spans="16:16">
      <c r="P40630" s="2498"/>
    </row>
    <row r="40631" spans="16:16">
      <c r="P40631" s="2498"/>
    </row>
    <row r="40632" spans="16:16">
      <c r="P40632" s="2498"/>
    </row>
    <row r="40633" spans="16:16">
      <c r="P40633" s="2498"/>
    </row>
    <row r="40634" spans="16:16">
      <c r="P40634" s="2498"/>
    </row>
    <row r="40635" spans="16:16">
      <c r="P40635" s="2498"/>
    </row>
    <row r="40636" spans="16:16">
      <c r="P40636" s="2498"/>
    </row>
    <row r="40637" spans="16:16">
      <c r="P40637" s="2498"/>
    </row>
    <row r="40638" spans="16:16">
      <c r="P40638" s="2498"/>
    </row>
    <row r="40639" spans="16:16">
      <c r="P40639" s="2498"/>
    </row>
    <row r="40640" spans="16:16">
      <c r="P40640" s="2498"/>
    </row>
    <row r="40641" spans="16:16">
      <c r="P40641" s="2498"/>
    </row>
    <row r="40642" spans="16:16">
      <c r="P40642" s="2498"/>
    </row>
    <row r="40643" spans="16:16">
      <c r="P40643" s="2498"/>
    </row>
    <row r="40644" spans="16:16">
      <c r="P40644" s="2498"/>
    </row>
    <row r="40645" spans="16:16">
      <c r="P40645" s="2498"/>
    </row>
    <row r="40646" spans="16:16">
      <c r="P40646" s="2498"/>
    </row>
    <row r="40647" spans="16:16">
      <c r="P40647" s="2498"/>
    </row>
    <row r="40648" spans="16:16">
      <c r="P40648" s="2498"/>
    </row>
    <row r="40649" spans="16:16">
      <c r="P40649" s="2498"/>
    </row>
    <row r="40650" spans="16:16">
      <c r="P40650" s="2498"/>
    </row>
    <row r="40651" spans="16:16">
      <c r="P40651" s="2498"/>
    </row>
    <row r="40652" spans="16:16">
      <c r="P40652" s="2498"/>
    </row>
    <row r="40653" spans="16:16">
      <c r="P40653" s="2498"/>
    </row>
    <row r="40654" spans="16:16">
      <c r="P40654" s="2498"/>
    </row>
    <row r="40655" spans="16:16">
      <c r="P40655" s="2498"/>
    </row>
    <row r="40656" spans="16:16">
      <c r="P40656" s="2498"/>
    </row>
    <row r="40657" spans="16:16">
      <c r="P40657" s="2498"/>
    </row>
    <row r="40658" spans="16:16">
      <c r="P40658" s="2498"/>
    </row>
    <row r="40659" spans="16:16">
      <c r="P40659" s="2498"/>
    </row>
    <row r="40660" spans="16:16">
      <c r="P40660" s="2498"/>
    </row>
    <row r="40661" spans="16:16">
      <c r="P40661" s="2498"/>
    </row>
    <row r="40662" spans="16:16">
      <c r="P40662" s="2498"/>
    </row>
    <row r="40663" spans="16:16">
      <c r="P40663" s="2498"/>
    </row>
    <row r="40664" spans="16:16">
      <c r="P40664" s="2498"/>
    </row>
    <row r="40665" spans="16:16">
      <c r="P40665" s="2498"/>
    </row>
    <row r="40666" spans="16:16">
      <c r="P40666" s="2498"/>
    </row>
    <row r="40667" spans="16:16">
      <c r="P40667" s="2498"/>
    </row>
    <row r="40668" spans="16:16">
      <c r="P40668" s="2498"/>
    </row>
    <row r="40669" spans="16:16">
      <c r="P40669" s="2498"/>
    </row>
    <row r="40670" spans="16:16">
      <c r="P40670" s="2498"/>
    </row>
    <row r="40671" spans="16:16">
      <c r="P40671" s="2498"/>
    </row>
    <row r="40672" spans="16:16">
      <c r="P40672" s="2498"/>
    </row>
    <row r="40673" spans="16:16">
      <c r="P40673" s="2498"/>
    </row>
    <row r="40674" spans="16:16">
      <c r="P40674" s="2498"/>
    </row>
    <row r="40675" spans="16:16">
      <c r="P40675" s="2498"/>
    </row>
    <row r="40676" spans="16:16">
      <c r="P40676" s="2498"/>
    </row>
    <row r="40677" spans="16:16">
      <c r="P40677" s="2498"/>
    </row>
    <row r="40678" spans="16:16">
      <c r="P40678" s="2498"/>
    </row>
    <row r="40679" spans="16:16">
      <c r="P40679" s="2498"/>
    </row>
    <row r="40680" spans="16:16">
      <c r="P40680" s="2498"/>
    </row>
    <row r="40681" spans="16:16">
      <c r="P40681" s="2498"/>
    </row>
    <row r="40682" spans="16:16">
      <c r="P40682" s="2498"/>
    </row>
    <row r="40683" spans="16:16">
      <c r="P40683" s="2498"/>
    </row>
    <row r="40684" spans="16:16">
      <c r="P40684" s="2498"/>
    </row>
    <row r="40685" spans="16:16">
      <c r="P40685" s="2498"/>
    </row>
    <row r="40686" spans="16:16">
      <c r="P40686" s="2498"/>
    </row>
    <row r="40687" spans="16:16">
      <c r="P40687" s="2498"/>
    </row>
    <row r="40688" spans="16:16">
      <c r="P40688" s="2498"/>
    </row>
    <row r="40689" spans="16:16">
      <c r="P40689" s="2498"/>
    </row>
    <row r="40690" spans="16:16">
      <c r="P40690" s="2498"/>
    </row>
    <row r="40691" spans="16:16">
      <c r="P40691" s="2498"/>
    </row>
    <row r="40692" spans="16:16">
      <c r="P40692" s="2498"/>
    </row>
    <row r="40693" spans="16:16">
      <c r="P40693" s="2498"/>
    </row>
    <row r="40694" spans="16:16">
      <c r="P40694" s="2498"/>
    </row>
    <row r="40695" spans="16:16">
      <c r="P40695" s="2498"/>
    </row>
    <row r="40696" spans="16:16">
      <c r="P40696" s="2498"/>
    </row>
    <row r="40697" spans="16:16">
      <c r="P40697" s="2498"/>
    </row>
    <row r="40698" spans="16:16">
      <c r="P40698" s="2498"/>
    </row>
    <row r="40699" spans="16:16">
      <c r="P40699" s="2498"/>
    </row>
    <row r="40700" spans="16:16">
      <c r="P40700" s="2498"/>
    </row>
    <row r="40701" spans="16:16">
      <c r="P40701" s="2498"/>
    </row>
    <row r="40702" spans="16:16">
      <c r="P40702" s="2498"/>
    </row>
    <row r="40703" spans="16:16">
      <c r="P40703" s="2498"/>
    </row>
    <row r="40704" spans="16:16">
      <c r="P40704" s="2498"/>
    </row>
    <row r="40705" spans="16:16">
      <c r="P40705" s="2498"/>
    </row>
    <row r="40706" spans="16:16">
      <c r="P40706" s="2498"/>
    </row>
    <row r="40707" spans="16:16">
      <c r="P40707" s="2498"/>
    </row>
    <row r="40708" spans="16:16">
      <c r="P40708" s="2498"/>
    </row>
    <row r="40709" spans="16:16">
      <c r="P40709" s="2498"/>
    </row>
    <row r="40710" spans="16:16">
      <c r="P40710" s="2498"/>
    </row>
    <row r="40711" spans="16:16">
      <c r="P40711" s="2498"/>
    </row>
    <row r="40712" spans="16:16">
      <c r="P40712" s="2498"/>
    </row>
    <row r="40713" spans="16:16">
      <c r="P40713" s="2498"/>
    </row>
    <row r="40714" spans="16:16">
      <c r="P40714" s="2498"/>
    </row>
    <row r="40715" spans="16:16">
      <c r="P40715" s="2498"/>
    </row>
    <row r="40716" spans="16:16">
      <c r="P40716" s="2498"/>
    </row>
    <row r="40717" spans="16:16">
      <c r="P40717" s="2498"/>
    </row>
    <row r="40718" spans="16:16">
      <c r="P40718" s="2498"/>
    </row>
    <row r="40719" spans="16:16">
      <c r="P40719" s="2498"/>
    </row>
    <row r="40720" spans="16:16">
      <c r="P40720" s="2498"/>
    </row>
    <row r="40721" spans="16:16">
      <c r="P40721" s="2498"/>
    </row>
    <row r="40722" spans="16:16">
      <c r="P40722" s="2498"/>
    </row>
    <row r="40723" spans="16:16">
      <c r="P40723" s="2498"/>
    </row>
    <row r="40724" spans="16:16">
      <c r="P40724" s="2498"/>
    </row>
    <row r="40725" spans="16:16">
      <c r="P40725" s="2498"/>
    </row>
    <row r="40726" spans="16:16">
      <c r="P40726" s="2498"/>
    </row>
    <row r="40727" spans="16:16">
      <c r="P40727" s="2498"/>
    </row>
    <row r="40728" spans="16:16">
      <c r="P40728" s="2498"/>
    </row>
    <row r="40729" spans="16:16">
      <c r="P40729" s="2498"/>
    </row>
    <row r="40730" spans="16:16">
      <c r="P40730" s="2498"/>
    </row>
    <row r="40731" spans="16:16">
      <c r="P40731" s="2498"/>
    </row>
    <row r="40732" spans="16:16">
      <c r="P40732" s="2498"/>
    </row>
    <row r="40733" spans="16:16">
      <c r="P40733" s="2498"/>
    </row>
    <row r="40734" spans="16:16">
      <c r="P40734" s="2498"/>
    </row>
    <row r="40735" spans="16:16">
      <c r="P40735" s="2498"/>
    </row>
    <row r="40736" spans="16:16">
      <c r="P40736" s="2498"/>
    </row>
    <row r="40737" spans="16:16">
      <c r="P40737" s="2498"/>
    </row>
    <row r="40738" spans="16:16">
      <c r="P40738" s="2498"/>
    </row>
    <row r="40739" spans="16:16">
      <c r="P40739" s="2498"/>
    </row>
    <row r="40740" spans="16:16">
      <c r="P40740" s="2498"/>
    </row>
    <row r="40741" spans="16:16">
      <c r="P40741" s="2498"/>
    </row>
    <row r="40742" spans="16:16">
      <c r="P40742" s="2498"/>
    </row>
    <row r="40743" spans="16:16">
      <c r="P40743" s="2498"/>
    </row>
    <row r="40744" spans="16:16">
      <c r="P40744" s="2498"/>
    </row>
    <row r="40745" spans="16:16">
      <c r="P40745" s="2498"/>
    </row>
    <row r="40746" spans="16:16">
      <c r="P40746" s="2498"/>
    </row>
    <row r="40747" spans="16:16">
      <c r="P40747" s="2498"/>
    </row>
    <row r="40748" spans="16:16">
      <c r="P40748" s="2498"/>
    </row>
    <row r="40749" spans="16:16">
      <c r="P40749" s="2498"/>
    </row>
    <row r="40750" spans="16:16">
      <c r="P40750" s="2498"/>
    </row>
    <row r="40751" spans="16:16">
      <c r="P40751" s="2498"/>
    </row>
    <row r="40752" spans="16:16">
      <c r="P40752" s="2498"/>
    </row>
    <row r="40753" spans="16:16">
      <c r="P40753" s="2498"/>
    </row>
    <row r="40754" spans="16:16">
      <c r="P40754" s="2498"/>
    </row>
    <row r="40755" spans="16:16">
      <c r="P40755" s="2498"/>
    </row>
    <row r="40756" spans="16:16">
      <c r="P40756" s="2498"/>
    </row>
    <row r="40757" spans="16:16">
      <c r="P40757" s="2498"/>
    </row>
    <row r="40758" spans="16:16">
      <c r="P40758" s="2498"/>
    </row>
    <row r="40759" spans="16:16">
      <c r="P40759" s="2498"/>
    </row>
    <row r="40760" spans="16:16">
      <c r="P40760" s="2498"/>
    </row>
    <row r="40761" spans="16:16">
      <c r="P40761" s="2498"/>
    </row>
    <row r="40762" spans="16:16">
      <c r="P40762" s="2498"/>
    </row>
    <row r="40763" spans="16:16">
      <c r="P40763" s="2498"/>
    </row>
    <row r="40764" spans="16:16">
      <c r="P40764" s="2498"/>
    </row>
    <row r="40765" spans="16:16">
      <c r="P40765" s="2498"/>
    </row>
    <row r="40766" spans="16:16">
      <c r="P40766" s="2498"/>
    </row>
    <row r="40767" spans="16:16">
      <c r="P40767" s="2498"/>
    </row>
    <row r="40768" spans="16:16">
      <c r="P40768" s="2498"/>
    </row>
    <row r="40769" spans="16:16">
      <c r="P40769" s="2498"/>
    </row>
    <row r="40770" spans="16:16">
      <c r="P40770" s="2498"/>
    </row>
    <row r="40771" spans="16:16">
      <c r="P40771" s="2498"/>
    </row>
    <row r="40772" spans="16:16">
      <c r="P40772" s="2498"/>
    </row>
    <row r="40773" spans="16:16">
      <c r="P40773" s="2498"/>
    </row>
    <row r="40774" spans="16:16">
      <c r="P40774" s="2498"/>
    </row>
    <row r="40775" spans="16:16">
      <c r="P40775" s="2498"/>
    </row>
    <row r="40776" spans="16:16">
      <c r="P40776" s="2498"/>
    </row>
    <row r="40777" spans="16:16">
      <c r="P40777" s="2498"/>
    </row>
    <row r="40778" spans="16:16">
      <c r="P40778" s="2498"/>
    </row>
    <row r="40779" spans="16:16">
      <c r="P40779" s="2498"/>
    </row>
    <row r="40780" spans="16:16">
      <c r="P40780" s="2498"/>
    </row>
    <row r="40781" spans="16:16">
      <c r="P40781" s="2498"/>
    </row>
    <row r="40782" spans="16:16">
      <c r="P40782" s="2498"/>
    </row>
    <row r="40783" spans="16:16">
      <c r="P40783" s="2498"/>
    </row>
    <row r="40784" spans="16:16">
      <c r="P40784" s="2498"/>
    </row>
    <row r="40785" spans="16:16">
      <c r="P40785" s="2498"/>
    </row>
    <row r="40786" spans="16:16">
      <c r="P40786" s="2498"/>
    </row>
    <row r="40787" spans="16:16">
      <c r="P40787" s="2498"/>
    </row>
    <row r="40788" spans="16:16">
      <c r="P40788" s="2498"/>
    </row>
    <row r="40789" spans="16:16">
      <c r="P40789" s="2498"/>
    </row>
    <row r="40790" spans="16:16">
      <c r="P40790" s="2498"/>
    </row>
    <row r="40791" spans="16:16">
      <c r="P40791" s="2498"/>
    </row>
    <row r="40792" spans="16:16">
      <c r="P40792" s="2498"/>
    </row>
    <row r="40793" spans="16:16">
      <c r="P40793" s="2498"/>
    </row>
    <row r="40794" spans="16:16">
      <c r="P40794" s="2498"/>
    </row>
    <row r="40795" spans="16:16">
      <c r="P40795" s="2498"/>
    </row>
    <row r="40796" spans="16:16">
      <c r="P40796" s="2498"/>
    </row>
    <row r="40797" spans="16:16">
      <c r="P40797" s="2498"/>
    </row>
    <row r="40798" spans="16:16">
      <c r="P40798" s="2498"/>
    </row>
    <row r="40799" spans="16:16">
      <c r="P40799" s="2498"/>
    </row>
    <row r="40800" spans="16:16">
      <c r="P40800" s="2498"/>
    </row>
    <row r="40801" spans="16:16">
      <c r="P40801" s="2498"/>
    </row>
    <row r="40802" spans="16:16">
      <c r="P40802" s="2498"/>
    </row>
    <row r="40803" spans="16:16">
      <c r="P40803" s="2498"/>
    </row>
    <row r="40804" spans="16:16">
      <c r="P40804" s="2498"/>
    </row>
    <row r="40805" spans="16:16">
      <c r="P40805" s="2498"/>
    </row>
    <row r="40806" spans="16:16">
      <c r="P40806" s="2498"/>
    </row>
    <row r="40807" spans="16:16">
      <c r="P40807" s="2498"/>
    </row>
    <row r="40808" spans="16:16">
      <c r="P40808" s="2498"/>
    </row>
    <row r="40809" spans="16:16">
      <c r="P40809" s="2498"/>
    </row>
    <row r="40810" spans="16:16">
      <c r="P40810" s="2498"/>
    </row>
    <row r="40811" spans="16:16">
      <c r="P40811" s="2498"/>
    </row>
    <row r="40812" spans="16:16">
      <c r="P40812" s="2498"/>
    </row>
    <row r="40813" spans="16:16">
      <c r="P40813" s="2498"/>
    </row>
    <row r="40814" spans="16:16">
      <c r="P40814" s="2498"/>
    </row>
    <row r="40815" spans="16:16">
      <c r="P40815" s="2498"/>
    </row>
    <row r="40816" spans="16:16">
      <c r="P40816" s="2498"/>
    </row>
    <row r="40817" spans="16:16">
      <c r="P40817" s="2498"/>
    </row>
    <row r="40818" spans="16:16">
      <c r="P40818" s="2498"/>
    </row>
    <row r="40819" spans="16:16">
      <c r="P40819" s="2498"/>
    </row>
    <row r="40820" spans="16:16">
      <c r="P40820" s="2498"/>
    </row>
    <row r="40821" spans="16:16">
      <c r="P40821" s="2498"/>
    </row>
    <row r="40822" spans="16:16">
      <c r="P40822" s="2498"/>
    </row>
    <row r="40823" spans="16:16">
      <c r="P40823" s="2498"/>
    </row>
    <row r="40824" spans="16:16">
      <c r="P40824" s="2498"/>
    </row>
    <row r="40825" spans="16:16">
      <c r="P40825" s="2498"/>
    </row>
    <row r="40826" spans="16:16">
      <c r="P40826" s="2498"/>
    </row>
    <row r="40827" spans="16:16">
      <c r="P40827" s="2498"/>
    </row>
    <row r="40828" spans="16:16">
      <c r="P40828" s="2498"/>
    </row>
    <row r="40829" spans="16:16">
      <c r="P40829" s="2498"/>
    </row>
    <row r="40830" spans="16:16">
      <c r="P40830" s="2498"/>
    </row>
    <row r="40831" spans="16:16">
      <c r="P40831" s="2498"/>
    </row>
    <row r="40832" spans="16:16">
      <c r="P40832" s="2498"/>
    </row>
    <row r="40833" spans="16:16">
      <c r="P40833" s="2498"/>
    </row>
    <row r="40834" spans="16:16">
      <c r="P40834" s="2498"/>
    </row>
    <row r="40835" spans="16:16">
      <c r="P40835" s="2498"/>
    </row>
    <row r="40836" spans="16:16">
      <c r="P40836" s="2498"/>
    </row>
    <row r="40837" spans="16:16">
      <c r="P40837" s="2498"/>
    </row>
    <row r="40838" spans="16:16">
      <c r="P40838" s="2498"/>
    </row>
    <row r="40839" spans="16:16">
      <c r="P40839" s="2498"/>
    </row>
    <row r="40840" spans="16:16">
      <c r="P40840" s="2498"/>
    </row>
    <row r="40841" spans="16:16">
      <c r="P40841" s="2498"/>
    </row>
    <row r="40842" spans="16:16">
      <c r="P40842" s="2498"/>
    </row>
    <row r="40843" spans="16:16">
      <c r="P40843" s="2498"/>
    </row>
    <row r="40844" spans="16:16">
      <c r="P40844" s="2498"/>
    </row>
    <row r="40845" spans="16:16">
      <c r="P40845" s="2498"/>
    </row>
    <row r="40846" spans="16:16">
      <c r="P40846" s="2498"/>
    </row>
    <row r="40847" spans="16:16">
      <c r="P40847" s="2498"/>
    </row>
    <row r="40848" spans="16:16">
      <c r="P40848" s="2498"/>
    </row>
    <row r="40849" spans="16:16">
      <c r="P40849" s="2498"/>
    </row>
    <row r="40850" spans="16:16">
      <c r="P40850" s="2498"/>
    </row>
    <row r="40851" spans="16:16">
      <c r="P40851" s="2498"/>
    </row>
    <row r="40852" spans="16:16">
      <c r="P40852" s="2498"/>
    </row>
    <row r="40853" spans="16:16">
      <c r="P40853" s="2498"/>
    </row>
    <row r="40854" spans="16:16">
      <c r="P40854" s="2498"/>
    </row>
    <row r="40855" spans="16:16">
      <c r="P40855" s="2498"/>
    </row>
    <row r="40856" spans="16:16">
      <c r="P40856" s="2498"/>
    </row>
    <row r="40857" spans="16:16">
      <c r="P40857" s="2498"/>
    </row>
    <row r="40858" spans="16:16">
      <c r="P40858" s="2498"/>
    </row>
    <row r="40859" spans="16:16">
      <c r="P40859" s="2498"/>
    </row>
    <row r="40860" spans="16:16">
      <c r="P40860" s="2498"/>
    </row>
    <row r="40861" spans="16:16">
      <c r="P40861" s="2498"/>
    </row>
    <row r="40862" spans="16:16">
      <c r="P40862" s="2498"/>
    </row>
    <row r="40863" spans="16:16">
      <c r="P40863" s="2498"/>
    </row>
    <row r="40864" spans="16:16">
      <c r="P40864" s="2498"/>
    </row>
    <row r="40865" spans="16:16">
      <c r="P40865" s="2498"/>
    </row>
    <row r="40866" spans="16:16">
      <c r="P40866" s="2498"/>
    </row>
    <row r="40867" spans="16:16">
      <c r="P40867" s="2498"/>
    </row>
    <row r="40868" spans="16:16">
      <c r="P40868" s="2498"/>
    </row>
    <row r="40869" spans="16:16">
      <c r="P40869" s="2498"/>
    </row>
    <row r="40870" spans="16:16">
      <c r="P40870" s="2498"/>
    </row>
    <row r="40871" spans="16:16">
      <c r="P40871" s="2498"/>
    </row>
    <row r="40872" spans="16:16">
      <c r="P40872" s="2498"/>
    </row>
    <row r="40873" spans="16:16">
      <c r="P40873" s="2498"/>
    </row>
    <row r="40874" spans="16:16">
      <c r="P40874" s="2498"/>
    </row>
    <row r="40875" spans="16:16">
      <c r="P40875" s="2498"/>
    </row>
    <row r="40876" spans="16:16">
      <c r="P40876" s="2498"/>
    </row>
    <row r="40877" spans="16:16">
      <c r="P40877" s="2498"/>
    </row>
    <row r="40878" spans="16:16">
      <c r="P40878" s="2498"/>
    </row>
    <row r="40879" spans="16:16">
      <c r="P40879" s="2498"/>
    </row>
    <row r="40880" spans="16:16">
      <c r="P40880" s="2498"/>
    </row>
    <row r="40881" spans="16:16">
      <c r="P40881" s="2498"/>
    </row>
    <row r="40882" spans="16:16">
      <c r="P40882" s="2498"/>
    </row>
    <row r="40883" spans="16:16">
      <c r="P40883" s="2498"/>
    </row>
    <row r="40884" spans="16:16">
      <c r="P40884" s="2498"/>
    </row>
    <row r="40885" spans="16:16">
      <c r="P40885" s="2498"/>
    </row>
    <row r="40886" spans="16:16">
      <c r="P40886" s="2498"/>
    </row>
    <row r="40887" spans="16:16">
      <c r="P40887" s="2498"/>
    </row>
    <row r="40888" spans="16:16">
      <c r="P40888" s="2498"/>
    </row>
    <row r="40889" spans="16:16">
      <c r="P40889" s="2498"/>
    </row>
    <row r="40890" spans="16:16">
      <c r="P40890" s="2498"/>
    </row>
    <row r="40891" spans="16:16">
      <c r="P40891" s="2498"/>
    </row>
    <row r="40892" spans="16:16">
      <c r="P40892" s="2498"/>
    </row>
    <row r="40893" spans="16:16">
      <c r="P40893" s="2498"/>
    </row>
    <row r="40894" spans="16:16">
      <c r="P40894" s="2498"/>
    </row>
    <row r="40895" spans="16:16">
      <c r="P40895" s="2498"/>
    </row>
    <row r="40896" spans="16:16">
      <c r="P40896" s="2498"/>
    </row>
    <row r="40897" spans="16:16">
      <c r="P40897" s="2498"/>
    </row>
    <row r="40898" spans="16:16">
      <c r="P40898" s="2498"/>
    </row>
    <row r="40899" spans="16:16">
      <c r="P40899" s="2498"/>
    </row>
    <row r="40900" spans="16:16">
      <c r="P40900" s="2498"/>
    </row>
    <row r="40901" spans="16:16">
      <c r="P40901" s="2498"/>
    </row>
    <row r="40902" spans="16:16">
      <c r="P40902" s="2498"/>
    </row>
    <row r="40903" spans="16:16">
      <c r="P40903" s="2498"/>
    </row>
    <row r="40904" spans="16:16">
      <c r="P40904" s="2498"/>
    </row>
    <row r="40905" spans="16:16">
      <c r="P40905" s="2498"/>
    </row>
    <row r="40906" spans="16:16">
      <c r="P40906" s="2498"/>
    </row>
    <row r="40907" spans="16:16">
      <c r="P40907" s="2498"/>
    </row>
    <row r="40908" spans="16:16">
      <c r="P40908" s="2498"/>
    </row>
    <row r="40909" spans="16:16">
      <c r="P40909" s="2498"/>
    </row>
    <row r="40910" spans="16:16">
      <c r="P40910" s="2498"/>
    </row>
    <row r="40911" spans="16:16">
      <c r="P40911" s="2498"/>
    </row>
    <row r="40912" spans="16:16">
      <c r="P40912" s="2498"/>
    </row>
    <row r="40913" spans="16:16">
      <c r="P40913" s="2498"/>
    </row>
    <row r="40914" spans="16:16">
      <c r="P40914" s="2498"/>
    </row>
    <row r="40915" spans="16:16">
      <c r="P40915" s="2498"/>
    </row>
    <row r="40916" spans="16:16">
      <c r="P40916" s="2498"/>
    </row>
    <row r="40917" spans="16:16">
      <c r="P40917" s="2498"/>
    </row>
    <row r="40918" spans="16:16">
      <c r="P40918" s="2498"/>
    </row>
    <row r="40919" spans="16:16">
      <c r="P40919" s="2498"/>
    </row>
    <row r="40920" spans="16:16">
      <c r="P40920" s="2498"/>
    </row>
    <row r="40921" spans="16:16">
      <c r="P40921" s="2498"/>
    </row>
    <row r="40922" spans="16:16">
      <c r="P40922" s="2498"/>
    </row>
    <row r="40923" spans="16:16">
      <c r="P40923" s="2498"/>
    </row>
    <row r="40924" spans="16:16">
      <c r="P40924" s="2498"/>
    </row>
    <row r="40925" spans="16:16">
      <c r="P40925" s="2498"/>
    </row>
    <row r="40926" spans="16:16">
      <c r="P40926" s="2498"/>
    </row>
    <row r="40927" spans="16:16">
      <c r="P40927" s="2498"/>
    </row>
    <row r="40928" spans="16:16">
      <c r="P40928" s="2498"/>
    </row>
    <row r="40929" spans="16:16">
      <c r="P40929" s="2498"/>
    </row>
    <row r="40930" spans="16:16">
      <c r="P40930" s="2498"/>
    </row>
    <row r="40931" spans="16:16">
      <c r="P40931" s="2498"/>
    </row>
    <row r="40932" spans="16:16">
      <c r="P40932" s="2498"/>
    </row>
    <row r="40933" spans="16:16">
      <c r="P40933" s="2498"/>
    </row>
    <row r="40934" spans="16:16">
      <c r="P40934" s="2498"/>
    </row>
    <row r="40935" spans="16:16">
      <c r="P40935" s="2498"/>
    </row>
    <row r="40936" spans="16:16">
      <c r="P40936" s="2498"/>
    </row>
    <row r="40937" spans="16:16">
      <c r="P40937" s="2498"/>
    </row>
    <row r="40938" spans="16:16">
      <c r="P40938" s="2498"/>
    </row>
    <row r="40939" spans="16:16">
      <c r="P40939" s="2498"/>
    </row>
    <row r="40940" spans="16:16">
      <c r="P40940" s="2498"/>
    </row>
    <row r="40941" spans="16:16">
      <c r="P40941" s="2498"/>
    </row>
    <row r="40942" spans="16:16">
      <c r="P40942" s="2498"/>
    </row>
    <row r="40943" spans="16:16">
      <c r="P40943" s="2498"/>
    </row>
    <row r="40944" spans="16:16">
      <c r="P40944" s="2498"/>
    </row>
    <row r="40945" spans="16:16">
      <c r="P40945" s="2498"/>
    </row>
    <row r="40946" spans="16:16">
      <c r="P40946" s="2498"/>
    </row>
    <row r="40947" spans="16:16">
      <c r="P40947" s="2498"/>
    </row>
    <row r="40948" spans="16:16">
      <c r="P40948" s="2498"/>
    </row>
    <row r="40949" spans="16:16">
      <c r="P40949" s="2498"/>
    </row>
    <row r="40950" spans="16:16">
      <c r="P40950" s="2498"/>
    </row>
    <row r="40951" spans="16:16">
      <c r="P40951" s="2498"/>
    </row>
    <row r="40952" spans="16:16">
      <c r="P40952" s="2498"/>
    </row>
    <row r="40953" spans="16:16">
      <c r="P40953" s="2498"/>
    </row>
    <row r="40954" spans="16:16">
      <c r="P40954" s="2498"/>
    </row>
    <row r="40955" spans="16:16">
      <c r="P40955" s="2498"/>
    </row>
    <row r="40956" spans="16:16">
      <c r="P40956" s="2498"/>
    </row>
    <row r="40957" spans="16:16">
      <c r="P40957" s="2498"/>
    </row>
    <row r="40958" spans="16:16">
      <c r="P40958" s="2498"/>
    </row>
    <row r="40959" spans="16:16">
      <c r="P40959" s="2498"/>
    </row>
    <row r="40960" spans="16:16">
      <c r="P40960" s="2498"/>
    </row>
    <row r="40961" spans="16:16">
      <c r="P40961" s="2498"/>
    </row>
    <row r="40962" spans="16:16">
      <c r="P40962" s="2498"/>
    </row>
    <row r="40963" spans="16:16">
      <c r="P40963" s="2498"/>
    </row>
    <row r="40964" spans="16:16">
      <c r="P40964" s="2498"/>
    </row>
    <row r="40965" spans="16:16">
      <c r="P40965" s="2498"/>
    </row>
    <row r="40966" spans="16:16">
      <c r="P40966" s="2498"/>
    </row>
    <row r="40967" spans="16:16">
      <c r="P40967" s="2498"/>
    </row>
    <row r="40968" spans="16:16">
      <c r="P40968" s="2498"/>
    </row>
    <row r="40969" spans="16:16">
      <c r="P40969" s="2498"/>
    </row>
    <row r="40970" spans="16:16">
      <c r="P40970" s="2498"/>
    </row>
    <row r="40971" spans="16:16">
      <c r="P40971" s="2498"/>
    </row>
    <row r="40972" spans="16:16">
      <c r="P40972" s="2498"/>
    </row>
    <row r="40973" spans="16:16">
      <c r="P40973" s="2498"/>
    </row>
    <row r="40974" spans="16:16">
      <c r="P40974" s="2498"/>
    </row>
    <row r="40975" spans="16:16">
      <c r="P40975" s="2498"/>
    </row>
    <row r="40976" spans="16:16">
      <c r="P40976" s="2498"/>
    </row>
    <row r="40977" spans="16:16">
      <c r="P40977" s="2498"/>
    </row>
    <row r="40978" spans="16:16">
      <c r="P40978" s="2498"/>
    </row>
    <row r="40979" spans="16:16">
      <c r="P40979" s="2498"/>
    </row>
    <row r="40980" spans="16:16">
      <c r="P40980" s="2498"/>
    </row>
    <row r="40981" spans="16:16">
      <c r="P40981" s="2498"/>
    </row>
    <row r="40982" spans="16:16">
      <c r="P40982" s="2498"/>
    </row>
    <row r="40983" spans="16:16">
      <c r="P40983" s="2498"/>
    </row>
    <row r="40984" spans="16:16">
      <c r="P40984" s="2498"/>
    </row>
    <row r="40985" spans="16:16">
      <c r="P40985" s="2498"/>
    </row>
    <row r="40986" spans="16:16">
      <c r="P40986" s="2498"/>
    </row>
    <row r="40987" spans="16:16">
      <c r="P40987" s="2498"/>
    </row>
    <row r="40988" spans="16:16">
      <c r="P40988" s="2498"/>
    </row>
    <row r="40989" spans="16:16">
      <c r="P40989" s="2498"/>
    </row>
    <row r="40990" spans="16:16">
      <c r="P40990" s="2498"/>
    </row>
    <row r="40991" spans="16:16">
      <c r="P40991" s="2498"/>
    </row>
    <row r="40992" spans="16:16">
      <c r="P40992" s="2498"/>
    </row>
    <row r="40993" spans="16:16">
      <c r="P40993" s="2498"/>
    </row>
    <row r="40994" spans="16:16">
      <c r="P40994" s="2498"/>
    </row>
    <row r="40995" spans="16:16">
      <c r="P40995" s="2498"/>
    </row>
    <row r="40996" spans="16:16">
      <c r="P40996" s="2498"/>
    </row>
    <row r="40997" spans="16:16">
      <c r="P40997" s="2498"/>
    </row>
    <row r="40998" spans="16:16">
      <c r="P40998" s="2498"/>
    </row>
    <row r="40999" spans="16:16">
      <c r="P40999" s="2498"/>
    </row>
    <row r="41000" spans="16:16">
      <c r="P41000" s="2498"/>
    </row>
    <row r="41001" spans="16:16">
      <c r="P41001" s="2498"/>
    </row>
    <row r="41002" spans="16:16">
      <c r="P41002" s="2498"/>
    </row>
    <row r="41003" spans="16:16">
      <c r="P41003" s="2498"/>
    </row>
    <row r="41004" spans="16:16">
      <c r="P41004" s="2498"/>
    </row>
    <row r="41005" spans="16:16">
      <c r="P41005" s="2498"/>
    </row>
    <row r="41006" spans="16:16">
      <c r="P41006" s="2498"/>
    </row>
    <row r="41007" spans="16:16">
      <c r="P41007" s="2498"/>
    </row>
    <row r="41008" spans="16:16">
      <c r="P41008" s="2498"/>
    </row>
    <row r="41009" spans="16:16">
      <c r="P41009" s="2498"/>
    </row>
    <row r="41010" spans="16:16">
      <c r="P41010" s="2498"/>
    </row>
    <row r="41011" spans="16:16">
      <c r="P41011" s="2498"/>
    </row>
    <row r="41012" spans="16:16">
      <c r="P41012" s="2498"/>
    </row>
    <row r="41013" spans="16:16">
      <c r="P41013" s="2498"/>
    </row>
    <row r="41014" spans="16:16">
      <c r="P41014" s="2498"/>
    </row>
    <row r="41015" spans="16:16">
      <c r="P41015" s="2498"/>
    </row>
    <row r="41016" spans="16:16">
      <c r="P41016" s="2498"/>
    </row>
    <row r="41017" spans="16:16">
      <c r="P41017" s="2498"/>
    </row>
    <row r="41018" spans="16:16">
      <c r="P41018" s="2498"/>
    </row>
    <row r="41019" spans="16:16">
      <c r="P41019" s="2498"/>
    </row>
    <row r="41020" spans="16:16">
      <c r="P41020" s="2498"/>
    </row>
    <row r="41021" spans="16:16">
      <c r="P41021" s="2498"/>
    </row>
    <row r="41022" spans="16:16">
      <c r="P41022" s="2498"/>
    </row>
    <row r="41023" spans="16:16">
      <c r="P41023" s="2498"/>
    </row>
    <row r="41024" spans="16:16">
      <c r="P41024" s="2498"/>
    </row>
    <row r="41025" spans="16:16">
      <c r="P41025" s="2498"/>
    </row>
    <row r="41026" spans="16:16">
      <c r="P41026" s="2498"/>
    </row>
    <row r="41027" spans="16:16">
      <c r="P41027" s="2498"/>
    </row>
    <row r="41028" spans="16:16">
      <c r="P41028" s="2498"/>
    </row>
    <row r="41029" spans="16:16">
      <c r="P41029" s="2498"/>
    </row>
    <row r="41030" spans="16:16">
      <c r="P41030" s="2498"/>
    </row>
    <row r="41031" spans="16:16">
      <c r="P41031" s="2498"/>
    </row>
    <row r="41032" spans="16:16">
      <c r="P41032" s="2498"/>
    </row>
    <row r="41033" spans="16:16">
      <c r="P41033" s="2498"/>
    </row>
    <row r="41034" spans="16:16">
      <c r="P41034" s="2498"/>
    </row>
    <row r="41035" spans="16:16">
      <c r="P41035" s="2498"/>
    </row>
    <row r="41036" spans="16:16">
      <c r="P41036" s="2498"/>
    </row>
    <row r="41037" spans="16:16">
      <c r="P41037" s="2498"/>
    </row>
    <row r="41038" spans="16:16">
      <c r="P41038" s="2498"/>
    </row>
    <row r="41039" spans="16:16">
      <c r="P41039" s="2498"/>
    </row>
    <row r="41040" spans="16:16">
      <c r="P41040" s="2498"/>
    </row>
    <row r="41041" spans="16:16">
      <c r="P41041" s="2498"/>
    </row>
    <row r="41042" spans="16:16">
      <c r="P41042" s="2498"/>
    </row>
    <row r="41043" spans="16:16">
      <c r="P41043" s="2498"/>
    </row>
    <row r="41044" spans="16:16">
      <c r="P41044" s="2498"/>
    </row>
    <row r="41045" spans="16:16">
      <c r="P41045" s="2498"/>
    </row>
    <row r="41046" spans="16:16">
      <c r="P41046" s="2498"/>
    </row>
    <row r="41047" spans="16:16">
      <c r="P41047" s="2498"/>
    </row>
    <row r="41048" spans="16:16">
      <c r="P41048" s="2498"/>
    </row>
    <row r="41049" spans="16:16">
      <c r="P41049" s="2498"/>
    </row>
    <row r="41050" spans="16:16">
      <c r="P41050" s="2498"/>
    </row>
    <row r="41051" spans="16:16">
      <c r="P41051" s="2498"/>
    </row>
    <row r="41052" spans="16:16">
      <c r="P41052" s="2498"/>
    </row>
    <row r="41053" spans="16:16">
      <c r="P41053" s="2498"/>
    </row>
    <row r="41054" spans="16:16">
      <c r="P41054" s="2498"/>
    </row>
    <row r="41055" spans="16:16">
      <c r="P41055" s="2498"/>
    </row>
    <row r="41056" spans="16:16">
      <c r="P41056" s="2498"/>
    </row>
    <row r="41057" spans="16:16">
      <c r="P41057" s="2498"/>
    </row>
    <row r="41058" spans="16:16">
      <c r="P41058" s="2498"/>
    </row>
    <row r="41059" spans="16:16">
      <c r="P41059" s="2498"/>
    </row>
    <row r="41060" spans="16:16">
      <c r="P41060" s="2498"/>
    </row>
    <row r="41061" spans="16:16">
      <c r="P41061" s="2498"/>
    </row>
    <row r="41062" spans="16:16">
      <c r="P41062" s="2498"/>
    </row>
    <row r="41063" spans="16:16">
      <c r="P41063" s="2498"/>
    </row>
    <row r="41064" spans="16:16">
      <c r="P41064" s="2498"/>
    </row>
    <row r="41065" spans="16:16">
      <c r="P41065" s="2498"/>
    </row>
    <row r="41066" spans="16:16">
      <c r="P41066" s="2498"/>
    </row>
    <row r="41067" spans="16:16">
      <c r="P41067" s="2498"/>
    </row>
    <row r="41068" spans="16:16">
      <c r="P41068" s="2498"/>
    </row>
    <row r="41069" spans="16:16">
      <c r="P41069" s="2498"/>
    </row>
    <row r="41070" spans="16:16">
      <c r="P41070" s="2498"/>
    </row>
    <row r="41071" spans="16:16">
      <c r="P41071" s="2498"/>
    </row>
    <row r="41072" spans="16:16">
      <c r="P41072" s="2498"/>
    </row>
    <row r="41073" spans="16:16">
      <c r="P41073" s="2498"/>
    </row>
    <row r="41074" spans="16:16">
      <c r="P41074" s="2498"/>
    </row>
    <row r="41075" spans="16:16">
      <c r="P41075" s="2498"/>
    </row>
    <row r="41076" spans="16:16">
      <c r="P41076" s="2498"/>
    </row>
    <row r="41077" spans="16:16">
      <c r="P41077" s="2498"/>
    </row>
    <row r="41078" spans="16:16">
      <c r="P41078" s="2498"/>
    </row>
    <row r="41079" spans="16:16">
      <c r="P41079" s="2498"/>
    </row>
    <row r="41080" spans="16:16">
      <c r="P41080" s="2498"/>
    </row>
    <row r="41081" spans="16:16">
      <c r="P41081" s="2498"/>
    </row>
    <row r="41082" spans="16:16">
      <c r="P41082" s="2498"/>
    </row>
    <row r="41083" spans="16:16">
      <c r="P41083" s="2498"/>
    </row>
    <row r="41084" spans="16:16">
      <c r="P41084" s="2498"/>
    </row>
    <row r="41085" spans="16:16">
      <c r="P41085" s="2498"/>
    </row>
    <row r="41086" spans="16:16">
      <c r="P41086" s="2498"/>
    </row>
    <row r="41087" spans="16:16">
      <c r="P41087" s="2498"/>
    </row>
    <row r="41088" spans="16:16">
      <c r="P41088" s="2498"/>
    </row>
    <row r="41089" spans="16:16">
      <c r="P41089" s="2498"/>
    </row>
    <row r="41090" spans="16:16">
      <c r="P41090" s="2498"/>
    </row>
    <row r="41091" spans="16:16">
      <c r="P41091" s="2498"/>
    </row>
    <row r="41092" spans="16:16">
      <c r="P41092" s="2498"/>
    </row>
    <row r="41093" spans="16:16">
      <c r="P41093" s="2498"/>
    </row>
    <row r="41094" spans="16:16">
      <c r="P41094" s="2498"/>
    </row>
    <row r="41095" spans="16:16">
      <c r="P41095" s="2498"/>
    </row>
    <row r="41096" spans="16:16">
      <c r="P41096" s="2498"/>
    </row>
    <row r="41097" spans="16:16">
      <c r="P41097" s="2498"/>
    </row>
    <row r="41098" spans="16:16">
      <c r="P41098" s="2498"/>
    </row>
    <row r="41099" spans="16:16">
      <c r="P41099" s="2498"/>
    </row>
    <row r="41100" spans="16:16">
      <c r="P41100" s="2498"/>
    </row>
    <row r="41101" spans="16:16">
      <c r="P41101" s="2498"/>
    </row>
    <row r="41102" spans="16:16">
      <c r="P41102" s="2498"/>
    </row>
    <row r="41103" spans="16:16">
      <c r="P41103" s="2498"/>
    </row>
    <row r="41104" spans="16:16">
      <c r="P41104" s="2498"/>
    </row>
    <row r="41105" spans="16:16">
      <c r="P41105" s="2498"/>
    </row>
    <row r="41106" spans="16:16">
      <c r="P41106" s="2498"/>
    </row>
    <row r="41107" spans="16:16">
      <c r="P41107" s="2498"/>
    </row>
    <row r="41108" spans="16:16">
      <c r="P41108" s="2498"/>
    </row>
    <row r="41109" spans="16:16">
      <c r="P41109" s="2498"/>
    </row>
    <row r="41110" spans="16:16">
      <c r="P41110" s="2498"/>
    </row>
    <row r="41111" spans="16:16">
      <c r="P41111" s="2498"/>
    </row>
    <row r="41112" spans="16:16">
      <c r="P41112" s="2498"/>
    </row>
    <row r="41113" spans="16:16">
      <c r="P41113" s="2498"/>
    </row>
    <row r="41114" spans="16:16">
      <c r="P41114" s="2498"/>
    </row>
    <row r="41115" spans="16:16">
      <c r="P41115" s="2498"/>
    </row>
    <row r="41116" spans="16:16">
      <c r="P41116" s="2498"/>
    </row>
    <row r="41117" spans="16:16">
      <c r="P41117" s="2498"/>
    </row>
    <row r="41118" spans="16:16">
      <c r="P41118" s="2498"/>
    </row>
    <row r="41119" spans="16:16">
      <c r="P41119" s="2498"/>
    </row>
    <row r="41120" spans="16:16">
      <c r="P41120" s="2498"/>
    </row>
    <row r="41121" spans="16:16">
      <c r="P41121" s="2498"/>
    </row>
    <row r="41122" spans="16:16">
      <c r="P41122" s="2498"/>
    </row>
    <row r="41123" spans="16:16">
      <c r="P41123" s="2498"/>
    </row>
    <row r="41124" spans="16:16">
      <c r="P41124" s="2498"/>
    </row>
    <row r="41125" spans="16:16">
      <c r="P41125" s="2498"/>
    </row>
    <row r="41126" spans="16:16">
      <c r="P41126" s="2498"/>
    </row>
    <row r="41127" spans="16:16">
      <c r="P41127" s="2498"/>
    </row>
    <row r="41128" spans="16:16">
      <c r="P41128" s="2498"/>
    </row>
    <row r="41129" spans="16:16">
      <c r="P41129" s="2498"/>
    </row>
    <row r="41130" spans="16:16">
      <c r="P41130" s="2498"/>
    </row>
    <row r="41131" spans="16:16">
      <c r="P41131" s="2498"/>
    </row>
    <row r="41132" spans="16:16">
      <c r="P41132" s="2498"/>
    </row>
    <row r="41133" spans="16:16">
      <c r="P41133" s="2498"/>
    </row>
    <row r="41134" spans="16:16">
      <c r="P41134" s="2498"/>
    </row>
    <row r="41135" spans="16:16">
      <c r="P41135" s="2498"/>
    </row>
    <row r="41136" spans="16:16">
      <c r="P41136" s="2498"/>
    </row>
    <row r="41137" spans="16:16">
      <c r="P41137" s="2498"/>
    </row>
    <row r="41138" spans="16:16">
      <c r="P41138" s="2498"/>
    </row>
    <row r="41139" spans="16:16">
      <c r="P41139" s="2498"/>
    </row>
    <row r="41140" spans="16:16">
      <c r="P41140" s="2498"/>
    </row>
    <row r="41141" spans="16:16">
      <c r="P41141" s="2498"/>
    </row>
    <row r="41142" spans="16:16">
      <c r="P41142" s="2498"/>
    </row>
    <row r="41143" spans="16:16">
      <c r="P41143" s="2498"/>
    </row>
    <row r="41144" spans="16:16">
      <c r="P41144" s="2498"/>
    </row>
    <row r="41145" spans="16:16">
      <c r="P41145" s="2498"/>
    </row>
    <row r="41146" spans="16:16">
      <c r="P41146" s="2498"/>
    </row>
    <row r="41147" spans="16:16">
      <c r="P41147" s="2498"/>
    </row>
    <row r="41148" spans="16:16">
      <c r="P41148" s="2498"/>
    </row>
    <row r="41149" spans="16:16">
      <c r="P41149" s="2498"/>
    </row>
    <row r="41150" spans="16:16">
      <c r="P41150" s="2498"/>
    </row>
    <row r="41151" spans="16:16">
      <c r="P41151" s="2498"/>
    </row>
    <row r="41152" spans="16:16">
      <c r="P41152" s="2498"/>
    </row>
    <row r="41153" spans="16:16">
      <c r="P41153" s="2498"/>
    </row>
    <row r="41154" spans="16:16">
      <c r="P41154" s="2498"/>
    </row>
    <row r="41155" spans="16:16">
      <c r="P41155" s="2498"/>
    </row>
    <row r="41156" spans="16:16">
      <c r="P41156" s="2498"/>
    </row>
    <row r="41157" spans="16:16">
      <c r="P41157" s="2498"/>
    </row>
    <row r="41158" spans="16:16">
      <c r="P41158" s="2498"/>
    </row>
    <row r="41159" spans="16:16">
      <c r="P41159" s="2498"/>
    </row>
    <row r="41160" spans="16:16">
      <c r="P41160" s="2498"/>
    </row>
    <row r="41161" spans="16:16">
      <c r="P41161" s="2498"/>
    </row>
    <row r="41162" spans="16:16">
      <c r="P41162" s="2498"/>
    </row>
    <row r="41163" spans="16:16">
      <c r="P41163" s="2498"/>
    </row>
    <row r="41164" spans="16:16">
      <c r="P41164" s="2498"/>
    </row>
    <row r="41165" spans="16:16">
      <c r="P41165" s="2498"/>
    </row>
    <row r="41166" spans="16:16">
      <c r="P41166" s="2498"/>
    </row>
    <row r="41167" spans="16:16">
      <c r="P41167" s="2498"/>
    </row>
    <row r="41168" spans="16:16">
      <c r="P41168" s="2498"/>
    </row>
    <row r="41169" spans="16:16">
      <c r="P41169" s="2498"/>
    </row>
    <row r="41170" spans="16:16">
      <c r="P41170" s="2498"/>
    </row>
    <row r="41171" spans="16:16">
      <c r="P41171" s="2498"/>
    </row>
    <row r="41172" spans="16:16">
      <c r="P41172" s="2498"/>
    </row>
    <row r="41173" spans="16:16">
      <c r="P41173" s="2498"/>
    </row>
    <row r="41174" spans="16:16">
      <c r="P41174" s="2498"/>
    </row>
    <row r="41175" spans="16:16">
      <c r="P41175" s="2498"/>
    </row>
    <row r="41176" spans="16:16">
      <c r="P41176" s="2498"/>
    </row>
    <row r="41177" spans="16:16">
      <c r="P41177" s="2498"/>
    </row>
    <row r="41178" spans="16:16">
      <c r="P41178" s="2498"/>
    </row>
    <row r="41179" spans="16:16">
      <c r="P41179" s="2498"/>
    </row>
    <row r="41180" spans="16:16">
      <c r="P41180" s="2498"/>
    </row>
    <row r="41181" spans="16:16">
      <c r="P41181" s="2498"/>
    </row>
    <row r="41182" spans="16:16">
      <c r="P41182" s="2498"/>
    </row>
    <row r="41183" spans="16:16">
      <c r="P41183" s="2498"/>
    </row>
    <row r="41184" spans="16:16">
      <c r="P41184" s="2498"/>
    </row>
    <row r="41185" spans="16:16">
      <c r="P41185" s="2498"/>
    </row>
    <row r="41186" spans="16:16">
      <c r="P41186" s="2498"/>
    </row>
    <row r="41187" spans="16:16">
      <c r="P41187" s="2498"/>
    </row>
    <row r="41188" spans="16:16">
      <c r="P41188" s="2498"/>
    </row>
    <row r="41189" spans="16:16">
      <c r="P41189" s="2498"/>
    </row>
    <row r="41190" spans="16:16">
      <c r="P41190" s="2498"/>
    </row>
    <row r="41191" spans="16:16">
      <c r="P41191" s="2498"/>
    </row>
    <row r="41192" spans="16:16">
      <c r="P41192" s="2498"/>
    </row>
    <row r="41193" spans="16:16">
      <c r="P41193" s="2498"/>
    </row>
    <row r="41194" spans="16:16">
      <c r="P41194" s="2498"/>
    </row>
    <row r="41195" spans="16:16">
      <c r="P41195" s="2498"/>
    </row>
    <row r="41196" spans="16:16">
      <c r="P41196" s="2498"/>
    </row>
    <row r="41197" spans="16:16">
      <c r="P41197" s="2498"/>
    </row>
    <row r="41198" spans="16:16">
      <c r="P41198" s="2498"/>
    </row>
    <row r="41199" spans="16:16">
      <c r="P41199" s="2498"/>
    </row>
    <row r="41200" spans="16:16">
      <c r="P41200" s="2498"/>
    </row>
    <row r="41201" spans="16:16">
      <c r="P41201" s="2498"/>
    </row>
    <row r="41202" spans="16:16">
      <c r="P41202" s="2498"/>
    </row>
    <row r="41203" spans="16:16">
      <c r="P41203" s="2498"/>
    </row>
    <row r="41204" spans="16:16">
      <c r="P41204" s="2498"/>
    </row>
    <row r="41205" spans="16:16">
      <c r="P41205" s="2498"/>
    </row>
    <row r="41206" spans="16:16">
      <c r="P41206" s="2498"/>
    </row>
    <row r="41207" spans="16:16">
      <c r="P41207" s="2498"/>
    </row>
    <row r="41208" spans="16:16">
      <c r="P41208" s="2498"/>
    </row>
    <row r="41209" spans="16:16">
      <c r="P41209" s="2498"/>
    </row>
    <row r="41210" spans="16:16">
      <c r="P41210" s="2498"/>
    </row>
    <row r="41211" spans="16:16">
      <c r="P41211" s="2498"/>
    </row>
    <row r="41212" spans="16:16">
      <c r="P41212" s="2498"/>
    </row>
    <row r="41213" spans="16:16">
      <c r="P41213" s="2498"/>
    </row>
    <row r="41214" spans="16:16">
      <c r="P41214" s="2498"/>
    </row>
    <row r="41215" spans="16:16">
      <c r="P41215" s="2498"/>
    </row>
    <row r="41216" spans="16:16">
      <c r="P41216" s="2498"/>
    </row>
    <row r="41217" spans="16:16">
      <c r="P41217" s="2498"/>
    </row>
    <row r="41218" spans="16:16">
      <c r="P41218" s="2498"/>
    </row>
    <row r="41219" spans="16:16">
      <c r="P41219" s="2498"/>
    </row>
    <row r="41220" spans="16:16">
      <c r="P41220" s="2498"/>
    </row>
    <row r="41221" spans="16:16">
      <c r="P41221" s="2498"/>
    </row>
    <row r="41222" spans="16:16">
      <c r="P41222" s="2498"/>
    </row>
    <row r="41223" spans="16:16">
      <c r="P41223" s="2498"/>
    </row>
    <row r="41224" spans="16:16">
      <c r="P41224" s="2498"/>
    </row>
    <row r="41225" spans="16:16">
      <c r="P41225" s="2498"/>
    </row>
    <row r="41226" spans="16:16">
      <c r="P41226" s="2498"/>
    </row>
    <row r="41227" spans="16:16">
      <c r="P41227" s="2498"/>
    </row>
    <row r="41228" spans="16:16">
      <c r="P41228" s="2498"/>
    </row>
    <row r="41229" spans="16:16">
      <c r="P41229" s="2498"/>
    </row>
    <row r="41230" spans="16:16">
      <c r="P41230" s="2498"/>
    </row>
    <row r="41231" spans="16:16">
      <c r="P41231" s="2498"/>
    </row>
    <row r="41232" spans="16:16">
      <c r="P41232" s="2498"/>
    </row>
    <row r="41233" spans="16:16">
      <c r="P41233" s="2498"/>
    </row>
    <row r="41234" spans="16:16">
      <c r="P41234" s="2498"/>
    </row>
    <row r="41235" spans="16:16">
      <c r="P41235" s="2498"/>
    </row>
    <row r="41236" spans="16:16">
      <c r="P41236" s="2498"/>
    </row>
    <row r="41237" spans="16:16">
      <c r="P41237" s="2498"/>
    </row>
    <row r="41238" spans="16:16">
      <c r="P41238" s="2498"/>
    </row>
    <row r="41239" spans="16:16">
      <c r="P41239" s="2498"/>
    </row>
    <row r="41240" spans="16:16">
      <c r="P41240" s="2498"/>
    </row>
    <row r="41241" spans="16:16">
      <c r="P41241" s="2498"/>
    </row>
    <row r="41242" spans="16:16">
      <c r="P41242" s="2498"/>
    </row>
    <row r="41243" spans="16:16">
      <c r="P41243" s="2498"/>
    </row>
    <row r="41244" spans="16:16">
      <c r="P41244" s="2498"/>
    </row>
    <row r="41245" spans="16:16">
      <c r="P41245" s="2498"/>
    </row>
    <row r="41246" spans="16:16">
      <c r="P41246" s="2498"/>
    </row>
    <row r="41247" spans="16:16">
      <c r="P41247" s="2498"/>
    </row>
    <row r="41248" spans="16:16">
      <c r="P41248" s="2498"/>
    </row>
    <row r="41249" spans="16:16">
      <c r="P41249" s="2498"/>
    </row>
    <row r="41250" spans="16:16">
      <c r="P41250" s="2498"/>
    </row>
    <row r="41251" spans="16:16">
      <c r="P41251" s="2498"/>
    </row>
    <row r="41252" spans="16:16">
      <c r="P41252" s="2498"/>
    </row>
    <row r="41253" spans="16:16">
      <c r="P41253" s="2498"/>
    </row>
    <row r="41254" spans="16:16">
      <c r="P41254" s="2498"/>
    </row>
    <row r="41255" spans="16:16">
      <c r="P41255" s="2498"/>
    </row>
    <row r="41256" spans="16:16">
      <c r="P41256" s="2498"/>
    </row>
    <row r="41257" spans="16:16">
      <c r="P41257" s="2498"/>
    </row>
    <row r="41258" spans="16:16">
      <c r="P41258" s="2498"/>
    </row>
    <row r="41259" spans="16:16">
      <c r="P41259" s="2498"/>
    </row>
    <row r="41260" spans="16:16">
      <c r="P41260" s="2498"/>
    </row>
    <row r="41261" spans="16:16">
      <c r="P41261" s="2498"/>
    </row>
    <row r="41262" spans="16:16">
      <c r="P41262" s="2498"/>
    </row>
    <row r="41263" spans="16:16">
      <c r="P41263" s="2498"/>
    </row>
    <row r="41264" spans="16:16">
      <c r="P41264" s="2498"/>
    </row>
    <row r="41265" spans="16:16">
      <c r="P41265" s="2498"/>
    </row>
    <row r="41266" spans="16:16">
      <c r="P41266" s="2498"/>
    </row>
    <row r="41267" spans="16:16">
      <c r="P41267" s="2498"/>
    </row>
    <row r="41268" spans="16:16">
      <c r="P41268" s="2498"/>
    </row>
    <row r="41269" spans="16:16">
      <c r="P41269" s="2498"/>
    </row>
    <row r="41270" spans="16:16">
      <c r="P41270" s="2498"/>
    </row>
    <row r="41271" spans="16:16">
      <c r="P41271" s="2498"/>
    </row>
    <row r="41272" spans="16:16">
      <c r="P41272" s="2498"/>
    </row>
    <row r="41273" spans="16:16">
      <c r="P41273" s="2498"/>
    </row>
    <row r="41274" spans="16:16">
      <c r="P41274" s="2498"/>
    </row>
    <row r="41275" spans="16:16">
      <c r="P41275" s="2498"/>
    </row>
    <row r="41276" spans="16:16">
      <c r="P41276" s="2498"/>
    </row>
    <row r="41277" spans="16:16">
      <c r="P41277" s="2498"/>
    </row>
    <row r="41278" spans="16:16">
      <c r="P41278" s="2498"/>
    </row>
    <row r="41279" spans="16:16">
      <c r="P41279" s="2498"/>
    </row>
    <row r="41280" spans="16:16">
      <c r="P41280" s="2498"/>
    </row>
    <row r="41281" spans="16:16">
      <c r="P41281" s="2498"/>
    </row>
    <row r="41282" spans="16:16">
      <c r="P41282" s="2498"/>
    </row>
    <row r="41283" spans="16:16">
      <c r="P41283" s="2498"/>
    </row>
    <row r="41284" spans="16:16">
      <c r="P41284" s="2498"/>
    </row>
    <row r="41285" spans="16:16">
      <c r="P41285" s="2498"/>
    </row>
    <row r="41286" spans="16:16">
      <c r="P41286" s="2498"/>
    </row>
    <row r="41287" spans="16:16">
      <c r="P41287" s="2498"/>
    </row>
    <row r="41288" spans="16:16">
      <c r="P41288" s="2498"/>
    </row>
    <row r="41289" spans="16:16">
      <c r="P41289" s="2498"/>
    </row>
    <row r="41290" spans="16:16">
      <c r="P41290" s="2498"/>
    </row>
    <row r="41291" spans="16:16">
      <c r="P41291" s="2498"/>
    </row>
    <row r="41292" spans="16:16">
      <c r="P41292" s="2498"/>
    </row>
    <row r="41293" spans="16:16">
      <c r="P41293" s="2498"/>
    </row>
    <row r="41294" spans="16:16">
      <c r="P41294" s="2498"/>
    </row>
    <row r="41295" spans="16:16">
      <c r="P41295" s="2498"/>
    </row>
    <row r="41296" spans="16:16">
      <c r="P41296" s="2498"/>
    </row>
    <row r="41297" spans="16:16">
      <c r="P41297" s="2498"/>
    </row>
    <row r="41298" spans="16:16">
      <c r="P41298" s="2498"/>
    </row>
    <row r="41299" spans="16:16">
      <c r="P41299" s="2498"/>
    </row>
    <row r="41300" spans="16:16">
      <c r="P41300" s="2498"/>
    </row>
    <row r="41301" spans="16:16">
      <c r="P41301" s="2498"/>
    </row>
    <row r="41302" spans="16:16">
      <c r="P41302" s="2498"/>
    </row>
    <row r="41303" spans="16:16">
      <c r="P41303" s="2498"/>
    </row>
    <row r="41304" spans="16:16">
      <c r="P41304" s="2498"/>
    </row>
    <row r="41305" spans="16:16">
      <c r="P41305" s="2498"/>
    </row>
    <row r="41306" spans="16:16">
      <c r="P41306" s="2498"/>
    </row>
    <row r="41307" spans="16:16">
      <c r="P41307" s="2498"/>
    </row>
    <row r="41308" spans="16:16">
      <c r="P41308" s="2498"/>
    </row>
    <row r="41309" spans="16:16">
      <c r="P41309" s="2498"/>
    </row>
    <row r="41310" spans="16:16">
      <c r="P41310" s="2498"/>
    </row>
    <row r="41311" spans="16:16">
      <c r="P41311" s="2498"/>
    </row>
    <row r="41312" spans="16:16">
      <c r="P41312" s="2498"/>
    </row>
    <row r="41313" spans="16:16">
      <c r="P41313" s="2498"/>
    </row>
    <row r="41314" spans="16:16">
      <c r="P41314" s="2498"/>
    </row>
    <row r="41315" spans="16:16">
      <c r="P41315" s="2498"/>
    </row>
    <row r="41316" spans="16:16">
      <c r="P41316" s="2498"/>
    </row>
    <row r="41317" spans="16:16">
      <c r="P41317" s="2498"/>
    </row>
    <row r="41318" spans="16:16">
      <c r="P41318" s="2498"/>
    </row>
    <row r="41319" spans="16:16">
      <c r="P41319" s="2498"/>
    </row>
    <row r="41320" spans="16:16">
      <c r="P41320" s="2498"/>
    </row>
    <row r="41321" spans="16:16">
      <c r="P41321" s="2498"/>
    </row>
    <row r="41322" spans="16:16">
      <c r="P41322" s="2498"/>
    </row>
    <row r="41323" spans="16:16">
      <c r="P41323" s="2498"/>
    </row>
    <row r="41324" spans="16:16">
      <c r="P41324" s="2498"/>
    </row>
    <row r="41325" spans="16:16">
      <c r="P41325" s="2498"/>
    </row>
    <row r="41326" spans="16:16">
      <c r="P41326" s="2498"/>
    </row>
    <row r="41327" spans="16:16">
      <c r="P41327" s="2498"/>
    </row>
    <row r="41328" spans="16:16">
      <c r="P41328" s="2498"/>
    </row>
    <row r="41329" spans="16:16">
      <c r="P41329" s="2498"/>
    </row>
    <row r="41330" spans="16:16">
      <c r="P41330" s="2498"/>
    </row>
    <row r="41331" spans="16:16">
      <c r="P41331" s="2498"/>
    </row>
    <row r="41332" spans="16:16">
      <c r="P41332" s="2498"/>
    </row>
    <row r="41333" spans="16:16">
      <c r="P41333" s="2498"/>
    </row>
    <row r="41334" spans="16:16">
      <c r="P41334" s="2498"/>
    </row>
    <row r="41335" spans="16:16">
      <c r="P41335" s="2498"/>
    </row>
    <row r="41336" spans="16:16">
      <c r="P41336" s="2498"/>
    </row>
    <row r="41337" spans="16:16">
      <c r="P41337" s="2498"/>
    </row>
    <row r="41338" spans="16:16">
      <c r="P41338" s="2498"/>
    </row>
    <row r="41339" spans="16:16">
      <c r="P41339" s="2498"/>
    </row>
    <row r="41340" spans="16:16">
      <c r="P41340" s="2498"/>
    </row>
    <row r="41341" spans="16:16">
      <c r="P41341" s="2498"/>
    </row>
    <row r="41342" spans="16:16">
      <c r="P41342" s="2498"/>
    </row>
    <row r="41343" spans="16:16">
      <c r="P41343" s="2498"/>
    </row>
    <row r="41344" spans="16:16">
      <c r="P41344" s="2498"/>
    </row>
    <row r="41345" spans="16:16">
      <c r="P41345" s="2498"/>
    </row>
    <row r="41346" spans="16:16">
      <c r="P41346" s="2498"/>
    </row>
    <row r="41347" spans="16:16">
      <c r="P41347" s="2498"/>
    </row>
    <row r="41348" spans="16:16">
      <c r="P41348" s="2498"/>
    </row>
    <row r="41349" spans="16:16">
      <c r="P41349" s="2498"/>
    </row>
    <row r="41350" spans="16:16">
      <c r="P41350" s="2498"/>
    </row>
    <row r="41351" spans="16:16">
      <c r="P41351" s="2498"/>
    </row>
    <row r="41352" spans="16:16">
      <c r="P41352" s="2498"/>
    </row>
    <row r="41353" spans="16:16">
      <c r="P41353" s="2498"/>
    </row>
    <row r="41354" spans="16:16">
      <c r="P41354" s="2498"/>
    </row>
    <row r="41355" spans="16:16">
      <c r="P41355" s="2498"/>
    </row>
    <row r="41356" spans="16:16">
      <c r="P41356" s="2498"/>
    </row>
    <row r="41357" spans="16:16">
      <c r="P41357" s="2498"/>
    </row>
    <row r="41358" spans="16:16">
      <c r="P41358" s="2498"/>
    </row>
    <row r="41359" spans="16:16">
      <c r="P41359" s="2498"/>
    </row>
    <row r="41360" spans="16:16">
      <c r="P41360" s="2498"/>
    </row>
    <row r="41361" spans="16:16">
      <c r="P41361" s="2498"/>
    </row>
    <row r="41362" spans="16:16">
      <c r="P41362" s="2498"/>
    </row>
    <row r="41363" spans="16:16">
      <c r="P41363" s="2498"/>
    </row>
    <row r="41364" spans="16:16">
      <c r="P41364" s="2498"/>
    </row>
    <row r="41365" spans="16:16">
      <c r="P41365" s="2498"/>
    </row>
    <row r="41366" spans="16:16">
      <c r="P41366" s="2498"/>
    </row>
    <row r="41367" spans="16:16">
      <c r="P41367" s="2498"/>
    </row>
    <row r="41368" spans="16:16">
      <c r="P41368" s="2498"/>
    </row>
    <row r="41369" spans="16:16">
      <c r="P41369" s="2498"/>
    </row>
    <row r="41370" spans="16:16">
      <c r="P41370" s="2498"/>
    </row>
    <row r="41371" spans="16:16">
      <c r="P41371" s="2498"/>
    </row>
    <row r="41372" spans="16:16">
      <c r="P41372" s="2498"/>
    </row>
    <row r="41373" spans="16:16">
      <c r="P41373" s="2498"/>
    </row>
    <row r="41374" spans="16:16">
      <c r="P41374" s="2498"/>
    </row>
    <row r="41375" spans="16:16">
      <c r="P41375" s="2498"/>
    </row>
    <row r="41376" spans="16:16">
      <c r="P41376" s="2498"/>
    </row>
    <row r="41377" spans="16:16">
      <c r="P41377" s="2498"/>
    </row>
    <row r="41378" spans="16:16">
      <c r="P41378" s="2498"/>
    </row>
    <row r="41379" spans="16:16">
      <c r="P41379" s="2498"/>
    </row>
    <row r="41380" spans="16:16">
      <c r="P41380" s="2498"/>
    </row>
    <row r="41381" spans="16:16">
      <c r="P41381" s="2498"/>
    </row>
    <row r="41382" spans="16:16">
      <c r="P41382" s="2498"/>
    </row>
    <row r="41383" spans="16:16">
      <c r="P41383" s="2498"/>
    </row>
    <row r="41384" spans="16:16">
      <c r="P41384" s="2498"/>
    </row>
    <row r="41385" spans="16:16">
      <c r="P41385" s="2498"/>
    </row>
    <row r="41386" spans="16:16">
      <c r="P41386" s="2498"/>
    </row>
    <row r="41387" spans="16:16">
      <c r="P41387" s="2498"/>
    </row>
    <row r="41388" spans="16:16">
      <c r="P41388" s="2498"/>
    </row>
    <row r="41389" spans="16:16">
      <c r="P41389" s="2498"/>
    </row>
    <row r="41390" spans="16:16">
      <c r="P41390" s="2498"/>
    </row>
    <row r="41391" spans="16:16">
      <c r="P41391" s="2498"/>
    </row>
    <row r="41392" spans="16:16">
      <c r="P41392" s="2498"/>
    </row>
    <row r="41393" spans="16:16">
      <c r="P41393" s="2498"/>
    </row>
    <row r="41394" spans="16:16">
      <c r="P41394" s="2498"/>
    </row>
    <row r="41395" spans="16:16">
      <c r="P41395" s="2498"/>
    </row>
    <row r="41396" spans="16:16">
      <c r="P41396" s="2498"/>
    </row>
    <row r="41397" spans="16:16">
      <c r="P41397" s="2498"/>
    </row>
    <row r="41398" spans="16:16">
      <c r="P41398" s="2498"/>
    </row>
    <row r="41399" spans="16:16">
      <c r="P41399" s="2498"/>
    </row>
    <row r="41400" spans="16:16">
      <c r="P41400" s="2498"/>
    </row>
    <row r="41401" spans="16:16">
      <c r="P41401" s="2498"/>
    </row>
    <row r="41402" spans="16:16">
      <c r="P41402" s="2498"/>
    </row>
    <row r="41403" spans="16:16">
      <c r="P41403" s="2498"/>
    </row>
    <row r="41404" spans="16:16">
      <c r="P41404" s="2498"/>
    </row>
    <row r="41405" spans="16:16">
      <c r="P41405" s="2498"/>
    </row>
    <row r="41406" spans="16:16">
      <c r="P41406" s="2498"/>
    </row>
    <row r="41407" spans="16:16">
      <c r="P41407" s="2498"/>
    </row>
    <row r="41408" spans="16:16">
      <c r="P41408" s="2498"/>
    </row>
    <row r="41409" spans="16:16">
      <c r="P41409" s="2498"/>
    </row>
    <row r="41410" spans="16:16">
      <c r="P41410" s="2498"/>
    </row>
    <row r="41411" spans="16:16">
      <c r="P41411" s="2498"/>
    </row>
    <row r="41412" spans="16:16">
      <c r="P41412" s="2498"/>
    </row>
    <row r="41413" spans="16:16">
      <c r="P41413" s="2498"/>
    </row>
    <row r="41414" spans="16:16">
      <c r="P41414" s="2498"/>
    </row>
    <row r="41415" spans="16:16">
      <c r="P41415" s="2498"/>
    </row>
    <row r="41416" spans="16:16">
      <c r="P41416" s="2498"/>
    </row>
    <row r="41417" spans="16:16">
      <c r="P41417" s="2498"/>
    </row>
    <row r="41418" spans="16:16">
      <c r="P41418" s="2498"/>
    </row>
    <row r="41419" spans="16:16">
      <c r="P41419" s="2498"/>
    </row>
    <row r="41420" spans="16:16">
      <c r="P41420" s="2498"/>
    </row>
    <row r="41421" spans="16:16">
      <c r="P41421" s="2498"/>
    </row>
    <row r="41422" spans="16:16">
      <c r="P41422" s="2498"/>
    </row>
    <row r="41423" spans="16:16">
      <c r="P41423" s="2498"/>
    </row>
    <row r="41424" spans="16:16">
      <c r="P41424" s="2498"/>
    </row>
    <row r="41425" spans="16:16">
      <c r="P41425" s="2498"/>
    </row>
    <row r="41426" spans="16:16">
      <c r="P41426" s="2498"/>
    </row>
    <row r="41427" spans="16:16">
      <c r="P41427" s="2498"/>
    </row>
    <row r="41428" spans="16:16">
      <c r="P41428" s="2498"/>
    </row>
    <row r="41429" spans="16:16">
      <c r="P41429" s="2498"/>
    </row>
    <row r="41430" spans="16:16">
      <c r="P41430" s="2498"/>
    </row>
    <row r="41431" spans="16:16">
      <c r="P41431" s="2498"/>
    </row>
    <row r="41432" spans="16:16">
      <c r="P41432" s="2498"/>
    </row>
    <row r="41433" spans="16:16">
      <c r="P41433" s="2498"/>
    </row>
    <row r="41434" spans="16:16">
      <c r="P41434" s="2498"/>
    </row>
    <row r="41435" spans="16:16">
      <c r="P41435" s="2498"/>
    </row>
    <row r="41436" spans="16:16">
      <c r="P41436" s="2498"/>
    </row>
    <row r="41437" spans="16:16">
      <c r="P41437" s="2498"/>
    </row>
    <row r="41438" spans="16:16">
      <c r="P41438" s="2498"/>
    </row>
    <row r="41439" spans="16:16">
      <c r="P41439" s="2498"/>
    </row>
    <row r="41440" spans="16:16">
      <c r="P41440" s="2498"/>
    </row>
    <row r="41441" spans="16:16">
      <c r="P41441" s="2498"/>
    </row>
    <row r="41442" spans="16:16">
      <c r="P41442" s="2498"/>
    </row>
    <row r="41443" spans="16:16">
      <c r="P41443" s="2498"/>
    </row>
    <row r="41444" spans="16:16">
      <c r="P41444" s="2498"/>
    </row>
    <row r="41445" spans="16:16">
      <c r="P41445" s="2498"/>
    </row>
    <row r="41446" spans="16:16">
      <c r="P41446" s="2498"/>
    </row>
    <row r="41447" spans="16:16">
      <c r="P41447" s="2498"/>
    </row>
    <row r="41448" spans="16:16">
      <c r="P41448" s="2498"/>
    </row>
    <row r="41449" spans="16:16">
      <c r="P41449" s="2498"/>
    </row>
    <row r="41450" spans="16:16">
      <c r="P41450" s="2498"/>
    </row>
    <row r="41451" spans="16:16">
      <c r="P41451" s="2498"/>
    </row>
    <row r="41452" spans="16:16">
      <c r="P41452" s="2498"/>
    </row>
    <row r="41453" spans="16:16">
      <c r="P41453" s="2498"/>
    </row>
    <row r="41454" spans="16:16">
      <c r="P41454" s="2498"/>
    </row>
    <row r="41455" spans="16:16">
      <c r="P41455" s="2498"/>
    </row>
    <row r="41456" spans="16:16">
      <c r="P41456" s="2498"/>
    </row>
    <row r="41457" spans="16:16">
      <c r="P41457" s="2498"/>
    </row>
    <row r="41458" spans="16:16">
      <c r="P41458" s="2498"/>
    </row>
    <row r="41459" spans="16:16">
      <c r="P41459" s="2498"/>
    </row>
    <row r="41460" spans="16:16">
      <c r="P41460" s="2498"/>
    </row>
    <row r="41461" spans="16:16">
      <c r="P41461" s="2498"/>
    </row>
    <row r="41462" spans="16:16">
      <c r="P41462" s="2498"/>
    </row>
    <row r="41463" spans="16:16">
      <c r="P41463" s="2498"/>
    </row>
    <row r="41464" spans="16:16">
      <c r="P41464" s="2498"/>
    </row>
    <row r="41465" spans="16:16">
      <c r="P41465" s="2498"/>
    </row>
    <row r="41466" spans="16:16">
      <c r="P41466" s="2498"/>
    </row>
    <row r="41467" spans="16:16">
      <c r="P41467" s="2498"/>
    </row>
    <row r="41468" spans="16:16">
      <c r="P41468" s="2498"/>
    </row>
    <row r="41469" spans="16:16">
      <c r="P41469" s="2498"/>
    </row>
    <row r="41470" spans="16:16">
      <c r="P41470" s="2498"/>
    </row>
    <row r="41471" spans="16:16">
      <c r="P41471" s="2498"/>
    </row>
    <row r="41472" spans="16:16">
      <c r="P41472" s="2498"/>
    </row>
    <row r="41473" spans="16:16">
      <c r="P41473" s="2498"/>
    </row>
    <row r="41474" spans="16:16">
      <c r="P41474" s="2498"/>
    </row>
    <row r="41475" spans="16:16">
      <c r="P41475" s="2498"/>
    </row>
    <row r="41476" spans="16:16">
      <c r="P41476" s="2498"/>
    </row>
    <row r="41477" spans="16:16">
      <c r="P41477" s="2498"/>
    </row>
    <row r="41478" spans="16:16">
      <c r="P41478" s="2498"/>
    </row>
    <row r="41479" spans="16:16">
      <c r="P41479" s="2498"/>
    </row>
    <row r="41480" spans="16:16">
      <c r="P41480" s="2498"/>
    </row>
    <row r="41481" spans="16:16">
      <c r="P41481" s="2498"/>
    </row>
    <row r="41482" spans="16:16">
      <c r="P41482" s="2498"/>
    </row>
    <row r="41483" spans="16:16">
      <c r="P41483" s="2498"/>
    </row>
    <row r="41484" spans="16:16">
      <c r="P41484" s="2498"/>
    </row>
    <row r="41485" spans="16:16">
      <c r="P41485" s="2498"/>
    </row>
    <row r="41486" spans="16:16">
      <c r="P41486" s="2498"/>
    </row>
    <row r="41487" spans="16:16">
      <c r="P41487" s="2498"/>
    </row>
    <row r="41488" spans="16:16">
      <c r="P41488" s="2498"/>
    </row>
    <row r="41489" spans="16:16">
      <c r="P41489" s="2498"/>
    </row>
    <row r="41490" spans="16:16">
      <c r="P41490" s="2498"/>
    </row>
    <row r="41491" spans="16:16">
      <c r="P41491" s="2498"/>
    </row>
    <row r="41492" spans="16:16">
      <c r="P41492" s="2498"/>
    </row>
    <row r="41493" spans="16:16">
      <c r="P41493" s="2498"/>
    </row>
    <row r="41494" spans="16:16">
      <c r="P41494" s="2498"/>
    </row>
    <row r="41495" spans="16:16">
      <c r="P41495" s="2498"/>
    </row>
    <row r="41496" spans="16:16">
      <c r="P41496" s="2498"/>
    </row>
    <row r="41497" spans="16:16">
      <c r="P41497" s="2498"/>
    </row>
    <row r="41498" spans="16:16">
      <c r="P41498" s="2498"/>
    </row>
    <row r="41499" spans="16:16">
      <c r="P41499" s="2498"/>
    </row>
    <row r="41500" spans="16:16">
      <c r="P41500" s="2498"/>
    </row>
    <row r="41501" spans="16:16">
      <c r="P41501" s="2498"/>
    </row>
    <row r="41502" spans="16:16">
      <c r="P41502" s="2498"/>
    </row>
    <row r="41503" spans="16:16">
      <c r="P41503" s="2498"/>
    </row>
    <row r="41504" spans="16:16">
      <c r="P41504" s="2498"/>
    </row>
    <row r="41505" spans="16:16">
      <c r="P41505" s="2498"/>
    </row>
    <row r="41506" spans="16:16">
      <c r="P41506" s="2498"/>
    </row>
    <row r="41507" spans="16:16">
      <c r="P41507" s="2498"/>
    </row>
    <row r="41508" spans="16:16">
      <c r="P41508" s="2498"/>
    </row>
    <row r="41509" spans="16:16">
      <c r="P41509" s="2498"/>
    </row>
    <row r="41510" spans="16:16">
      <c r="P41510" s="2498"/>
    </row>
    <row r="41511" spans="16:16">
      <c r="P41511" s="2498"/>
    </row>
    <row r="41512" spans="16:16">
      <c r="P41512" s="2498"/>
    </row>
    <row r="41513" spans="16:16">
      <c r="P41513" s="2498"/>
    </row>
    <row r="41514" spans="16:16">
      <c r="P41514" s="2498"/>
    </row>
    <row r="41515" spans="16:16">
      <c r="P41515" s="2498"/>
    </row>
    <row r="41516" spans="16:16">
      <c r="P41516" s="2498"/>
    </row>
    <row r="41517" spans="16:16">
      <c r="P41517" s="2498"/>
    </row>
    <row r="41518" spans="16:16">
      <c r="P41518" s="2498"/>
    </row>
    <row r="41519" spans="16:16">
      <c r="P41519" s="2498"/>
    </row>
    <row r="41520" spans="16:16">
      <c r="P41520" s="2498"/>
    </row>
    <row r="41521" spans="16:16">
      <c r="P41521" s="2498"/>
    </row>
    <row r="41522" spans="16:16">
      <c r="P41522" s="2498"/>
    </row>
    <row r="41523" spans="16:16">
      <c r="P41523" s="2498"/>
    </row>
    <row r="41524" spans="16:16">
      <c r="P41524" s="2498"/>
    </row>
    <row r="41525" spans="16:16">
      <c r="P41525" s="2498"/>
    </row>
    <row r="41526" spans="16:16">
      <c r="P41526" s="2498"/>
    </row>
    <row r="41527" spans="16:16">
      <c r="P41527" s="2498"/>
    </row>
    <row r="41528" spans="16:16">
      <c r="P41528" s="2498"/>
    </row>
    <row r="41529" spans="16:16">
      <c r="P41529" s="2498"/>
    </row>
    <row r="41530" spans="16:16">
      <c r="P41530" s="2498"/>
    </row>
    <row r="41531" spans="16:16">
      <c r="P41531" s="2498"/>
    </row>
    <row r="41532" spans="16:16">
      <c r="P41532" s="2498"/>
    </row>
    <row r="41533" spans="16:16">
      <c r="P41533" s="2498"/>
    </row>
    <row r="41534" spans="16:16">
      <c r="P41534" s="2498"/>
    </row>
    <row r="41535" spans="16:16">
      <c r="P41535" s="2498"/>
    </row>
    <row r="41536" spans="16:16">
      <c r="P41536" s="2498"/>
    </row>
    <row r="41537" spans="16:16">
      <c r="P41537" s="2498"/>
    </row>
    <row r="41538" spans="16:16">
      <c r="P41538" s="2498"/>
    </row>
    <row r="41539" spans="16:16">
      <c r="P41539" s="2498"/>
    </row>
    <row r="41540" spans="16:16">
      <c r="P41540" s="2498"/>
    </row>
    <row r="41541" spans="16:16">
      <c r="P41541" s="2498"/>
    </row>
    <row r="41542" spans="16:16">
      <c r="P41542" s="2498"/>
    </row>
    <row r="41543" spans="16:16">
      <c r="P41543" s="2498"/>
    </row>
    <row r="41544" spans="16:16">
      <c r="P41544" s="2498"/>
    </row>
    <row r="41545" spans="16:16">
      <c r="P41545" s="2498"/>
    </row>
    <row r="41546" spans="16:16">
      <c r="P41546" s="2498"/>
    </row>
    <row r="41547" spans="16:16">
      <c r="P41547" s="2498"/>
    </row>
    <row r="41548" spans="16:16">
      <c r="P41548" s="2498"/>
    </row>
    <row r="41549" spans="16:16">
      <c r="P41549" s="2498"/>
    </row>
    <row r="41550" spans="16:16">
      <c r="P41550" s="2498"/>
    </row>
    <row r="41551" spans="16:16">
      <c r="P41551" s="2498"/>
    </row>
    <row r="41552" spans="16:16">
      <c r="P41552" s="2498"/>
    </row>
    <row r="41553" spans="16:16">
      <c r="P41553" s="2498"/>
    </row>
    <row r="41554" spans="16:16">
      <c r="P41554" s="2498"/>
    </row>
    <row r="41555" spans="16:16">
      <c r="P41555" s="2498"/>
    </row>
    <row r="41556" spans="16:16">
      <c r="P41556" s="2498"/>
    </row>
    <row r="41557" spans="16:16">
      <c r="P41557" s="2498"/>
    </row>
    <row r="41558" spans="16:16">
      <c r="P41558" s="2498"/>
    </row>
    <row r="41559" spans="16:16">
      <c r="P41559" s="2498"/>
    </row>
    <row r="41560" spans="16:16">
      <c r="P41560" s="2498"/>
    </row>
    <row r="41561" spans="16:16">
      <c r="P41561" s="2498"/>
    </row>
    <row r="41562" spans="16:16">
      <c r="P41562" s="2498"/>
    </row>
    <row r="41563" spans="16:16">
      <c r="P41563" s="2498"/>
    </row>
    <row r="41564" spans="16:16">
      <c r="P41564" s="2498"/>
    </row>
    <row r="41565" spans="16:16">
      <c r="P41565" s="2498"/>
    </row>
    <row r="41566" spans="16:16">
      <c r="P41566" s="2498"/>
    </row>
    <row r="41567" spans="16:16">
      <c r="P41567" s="2498"/>
    </row>
    <row r="41568" spans="16:16">
      <c r="P41568" s="2498"/>
    </row>
    <row r="41569" spans="16:16">
      <c r="P41569" s="2498"/>
    </row>
    <row r="41570" spans="16:16">
      <c r="P41570" s="2498"/>
    </row>
    <row r="41571" spans="16:16">
      <c r="P41571" s="2498"/>
    </row>
    <row r="41572" spans="16:16">
      <c r="P41572" s="2498"/>
    </row>
    <row r="41573" spans="16:16">
      <c r="P41573" s="2498"/>
    </row>
    <row r="41574" spans="16:16">
      <c r="P41574" s="2498"/>
    </row>
    <row r="41575" spans="16:16">
      <c r="P41575" s="2498"/>
    </row>
    <row r="41576" spans="16:16">
      <c r="P41576" s="2498"/>
    </row>
    <row r="41577" spans="16:16">
      <c r="P41577" s="2498"/>
    </row>
    <row r="41578" spans="16:16">
      <c r="P41578" s="2498"/>
    </row>
    <row r="41579" spans="16:16">
      <c r="P41579" s="2498"/>
    </row>
    <row r="41580" spans="16:16">
      <c r="P41580" s="2498"/>
    </row>
    <row r="41581" spans="16:16">
      <c r="P41581" s="2498"/>
    </row>
    <row r="41582" spans="16:16">
      <c r="P41582" s="2498"/>
    </row>
    <row r="41583" spans="16:16">
      <c r="P41583" s="2498"/>
    </row>
    <row r="41584" spans="16:16">
      <c r="P41584" s="2498"/>
    </row>
    <row r="41585" spans="16:16">
      <c r="P41585" s="2498"/>
    </row>
    <row r="41586" spans="16:16">
      <c r="P41586" s="2498"/>
    </row>
    <row r="41587" spans="16:16">
      <c r="P41587" s="2498"/>
    </row>
    <row r="41588" spans="16:16">
      <c r="P41588" s="2498"/>
    </row>
    <row r="41589" spans="16:16">
      <c r="P41589" s="2498"/>
    </row>
    <row r="41590" spans="16:16">
      <c r="P41590" s="2498"/>
    </row>
    <row r="41591" spans="16:16">
      <c r="P41591" s="2498"/>
    </row>
    <row r="41592" spans="16:16">
      <c r="P41592" s="2498"/>
    </row>
    <row r="41593" spans="16:16">
      <c r="P41593" s="2498"/>
    </row>
    <row r="41594" spans="16:16">
      <c r="P41594" s="2498"/>
    </row>
    <row r="41595" spans="16:16">
      <c r="P41595" s="2498"/>
    </row>
    <row r="41596" spans="16:16">
      <c r="P41596" s="2498"/>
    </row>
    <row r="41597" spans="16:16">
      <c r="P41597" s="2498"/>
    </row>
    <row r="41598" spans="16:16">
      <c r="P41598" s="2498"/>
    </row>
    <row r="41599" spans="16:16">
      <c r="P41599" s="2498"/>
    </row>
    <row r="41600" spans="16:16">
      <c r="P41600" s="2498"/>
    </row>
    <row r="41601" spans="16:16">
      <c r="P41601" s="2498"/>
    </row>
    <row r="41602" spans="16:16">
      <c r="P41602" s="2498"/>
    </row>
    <row r="41603" spans="16:16">
      <c r="P41603" s="2498"/>
    </row>
    <row r="41604" spans="16:16">
      <c r="P41604" s="2498"/>
    </row>
    <row r="41605" spans="16:16">
      <c r="P41605" s="2498"/>
    </row>
    <row r="41606" spans="16:16">
      <c r="P41606" s="2498"/>
    </row>
    <row r="41607" spans="16:16">
      <c r="P41607" s="2498"/>
    </row>
    <row r="41608" spans="16:16">
      <c r="P41608" s="2498"/>
    </row>
    <row r="41609" spans="16:16">
      <c r="P41609" s="2498"/>
    </row>
    <row r="41610" spans="16:16">
      <c r="P41610" s="2498"/>
    </row>
    <row r="41611" spans="16:16">
      <c r="P41611" s="2498"/>
    </row>
    <row r="41612" spans="16:16">
      <c r="P41612" s="2498"/>
    </row>
    <row r="41613" spans="16:16">
      <c r="P41613" s="2498"/>
    </row>
    <row r="41614" spans="16:16">
      <c r="P41614" s="2498"/>
    </row>
    <row r="41615" spans="16:16">
      <c r="P41615" s="2498"/>
    </row>
    <row r="41616" spans="16:16">
      <c r="P41616" s="2498"/>
    </row>
    <row r="41617" spans="16:16">
      <c r="P41617" s="2498"/>
    </row>
    <row r="41618" spans="16:16">
      <c r="P41618" s="2498"/>
    </row>
    <row r="41619" spans="16:16">
      <c r="P41619" s="2498"/>
    </row>
    <row r="41620" spans="16:16">
      <c r="P41620" s="2498"/>
    </row>
    <row r="41621" spans="16:16">
      <c r="P41621" s="2498"/>
    </row>
    <row r="41622" spans="16:16">
      <c r="P41622" s="2498"/>
    </row>
    <row r="41623" spans="16:16">
      <c r="P41623" s="2498"/>
    </row>
    <row r="41624" spans="16:16">
      <c r="P41624" s="2498"/>
    </row>
    <row r="41625" spans="16:16">
      <c r="P41625" s="2498"/>
    </row>
    <row r="41626" spans="16:16">
      <c r="P41626" s="2498"/>
    </row>
    <row r="41627" spans="16:16">
      <c r="P41627" s="2498"/>
    </row>
    <row r="41628" spans="16:16">
      <c r="P41628" s="2498"/>
    </row>
    <row r="41629" spans="16:16">
      <c r="P41629" s="2498"/>
    </row>
    <row r="41630" spans="16:16">
      <c r="P41630" s="2498"/>
    </row>
    <row r="41631" spans="16:16">
      <c r="P41631" s="2498"/>
    </row>
    <row r="41632" spans="16:16">
      <c r="P41632" s="2498"/>
    </row>
    <row r="41633" spans="16:16">
      <c r="P41633" s="2498"/>
    </row>
    <row r="41634" spans="16:16">
      <c r="P41634" s="2498"/>
    </row>
    <row r="41635" spans="16:16">
      <c r="P41635" s="2498"/>
    </row>
    <row r="41636" spans="16:16">
      <c r="P41636" s="2498"/>
    </row>
    <row r="41637" spans="16:16">
      <c r="P41637" s="2498"/>
    </row>
    <row r="41638" spans="16:16">
      <c r="P41638" s="2498"/>
    </row>
    <row r="41639" spans="16:16">
      <c r="P41639" s="2498"/>
    </row>
    <row r="41640" spans="16:16">
      <c r="P41640" s="2498"/>
    </row>
    <row r="41641" spans="16:16">
      <c r="P41641" s="2498"/>
    </row>
    <row r="41642" spans="16:16">
      <c r="P41642" s="2498"/>
    </row>
    <row r="41643" spans="16:16">
      <c r="P41643" s="2498"/>
    </row>
    <row r="41644" spans="16:16">
      <c r="P41644" s="2498"/>
    </row>
    <row r="41645" spans="16:16">
      <c r="P41645" s="2498"/>
    </row>
    <row r="41646" spans="16:16">
      <c r="P41646" s="2498"/>
    </row>
    <row r="41647" spans="16:16">
      <c r="P41647" s="2498"/>
    </row>
    <row r="41648" spans="16:16">
      <c r="P41648" s="2498"/>
    </row>
    <row r="41649" spans="16:16">
      <c r="P41649" s="2498"/>
    </row>
    <row r="41650" spans="16:16">
      <c r="P41650" s="2498"/>
    </row>
    <row r="41651" spans="16:16">
      <c r="P41651" s="2498"/>
    </row>
    <row r="41652" spans="16:16">
      <c r="P41652" s="2498"/>
    </row>
    <row r="41653" spans="16:16">
      <c r="P41653" s="2498"/>
    </row>
    <row r="41654" spans="16:16">
      <c r="P41654" s="2498"/>
    </row>
    <row r="41655" spans="16:16">
      <c r="P41655" s="2498"/>
    </row>
    <row r="41656" spans="16:16">
      <c r="P41656" s="2498"/>
    </row>
    <row r="41657" spans="16:16">
      <c r="P41657" s="2498"/>
    </row>
    <row r="41658" spans="16:16">
      <c r="P41658" s="2498"/>
    </row>
    <row r="41659" spans="16:16">
      <c r="P41659" s="2498"/>
    </row>
    <row r="41660" spans="16:16">
      <c r="P41660" s="2498"/>
    </row>
    <row r="41661" spans="16:16">
      <c r="P41661" s="2498"/>
    </row>
    <row r="41662" spans="16:16">
      <c r="P41662" s="2498"/>
    </row>
    <row r="41663" spans="16:16">
      <c r="P41663" s="2498"/>
    </row>
    <row r="41664" spans="16:16">
      <c r="P41664" s="2498"/>
    </row>
    <row r="41665" spans="16:16">
      <c r="P41665" s="2498"/>
    </row>
    <row r="41666" spans="16:16">
      <c r="P41666" s="2498"/>
    </row>
    <row r="41667" spans="16:16">
      <c r="P41667" s="2498"/>
    </row>
    <row r="41668" spans="16:16">
      <c r="P41668" s="2498"/>
    </row>
    <row r="41669" spans="16:16">
      <c r="P41669" s="2498"/>
    </row>
    <row r="41670" spans="16:16">
      <c r="P41670" s="2498"/>
    </row>
    <row r="41671" spans="16:16">
      <c r="P41671" s="2498"/>
    </row>
    <row r="41672" spans="16:16">
      <c r="P41672" s="2498"/>
    </row>
    <row r="41673" spans="16:16">
      <c r="P41673" s="2498"/>
    </row>
    <row r="41674" spans="16:16">
      <c r="P41674" s="2498"/>
    </row>
    <row r="41675" spans="16:16">
      <c r="P41675" s="2498"/>
    </row>
    <row r="41676" spans="16:16">
      <c r="P41676" s="2498"/>
    </row>
    <row r="41677" spans="16:16">
      <c r="P41677" s="2498"/>
    </row>
    <row r="41678" spans="16:16">
      <c r="P41678" s="2498"/>
    </row>
    <row r="41679" spans="16:16">
      <c r="P41679" s="2498"/>
    </row>
    <row r="41680" spans="16:16">
      <c r="P41680" s="2498"/>
    </row>
    <row r="41681" spans="16:16">
      <c r="P41681" s="2498"/>
    </row>
    <row r="41682" spans="16:16">
      <c r="P41682" s="2498"/>
    </row>
    <row r="41683" spans="16:16">
      <c r="P41683" s="2498"/>
    </row>
    <row r="41684" spans="16:16">
      <c r="P41684" s="2498"/>
    </row>
    <row r="41685" spans="16:16">
      <c r="P41685" s="2498"/>
    </row>
    <row r="41686" spans="16:16">
      <c r="P41686" s="2498"/>
    </row>
    <row r="41687" spans="16:16">
      <c r="P41687" s="2498"/>
    </row>
    <row r="41688" spans="16:16">
      <c r="P41688" s="2498"/>
    </row>
    <row r="41689" spans="16:16">
      <c r="P41689" s="2498"/>
    </row>
    <row r="41690" spans="16:16">
      <c r="P41690" s="2498"/>
    </row>
    <row r="41691" spans="16:16">
      <c r="P41691" s="2498"/>
    </row>
    <row r="41692" spans="16:16">
      <c r="P41692" s="2498"/>
    </row>
    <row r="41693" spans="16:16">
      <c r="P41693" s="2498"/>
    </row>
    <row r="41694" spans="16:16">
      <c r="P41694" s="2498"/>
    </row>
    <row r="41695" spans="16:16">
      <c r="P41695" s="2498"/>
    </row>
    <row r="41696" spans="16:16">
      <c r="P41696" s="2498"/>
    </row>
    <row r="41697" spans="16:16">
      <c r="P41697" s="2498"/>
    </row>
    <row r="41698" spans="16:16">
      <c r="P41698" s="2498"/>
    </row>
    <row r="41699" spans="16:16">
      <c r="P41699" s="2498"/>
    </row>
    <row r="41700" spans="16:16">
      <c r="P41700" s="2498"/>
    </row>
    <row r="41701" spans="16:16">
      <c r="P41701" s="2498"/>
    </row>
    <row r="41702" spans="16:16">
      <c r="P41702" s="2498"/>
    </row>
    <row r="41703" spans="16:16">
      <c r="P41703" s="2498"/>
    </row>
    <row r="41704" spans="16:16">
      <c r="P41704" s="2498"/>
    </row>
    <row r="41705" spans="16:16">
      <c r="P41705" s="2498"/>
    </row>
    <row r="41706" spans="16:16">
      <c r="P41706" s="2498"/>
    </row>
    <row r="41707" spans="16:16">
      <c r="P41707" s="2498"/>
    </row>
    <row r="41708" spans="16:16">
      <c r="P41708" s="2498"/>
    </row>
    <row r="41709" spans="16:16">
      <c r="P41709" s="2498"/>
    </row>
    <row r="41710" spans="16:16">
      <c r="P41710" s="2498"/>
    </row>
    <row r="41711" spans="16:16">
      <c r="P41711" s="2498"/>
    </row>
    <row r="41712" spans="16:16">
      <c r="P41712" s="2498"/>
    </row>
    <row r="41713" spans="16:16">
      <c r="P41713" s="2498"/>
    </row>
    <row r="41714" spans="16:16">
      <c r="P41714" s="2498"/>
    </row>
    <row r="41715" spans="16:16">
      <c r="P41715" s="2498"/>
    </row>
    <row r="41716" spans="16:16">
      <c r="P41716" s="2498"/>
    </row>
    <row r="41717" spans="16:16">
      <c r="P41717" s="2498"/>
    </row>
    <row r="41718" spans="16:16">
      <c r="P41718" s="2498"/>
    </row>
    <row r="41719" spans="16:16">
      <c r="P41719" s="2498"/>
    </row>
    <row r="41720" spans="16:16">
      <c r="P41720" s="2498"/>
    </row>
    <row r="41721" spans="16:16">
      <c r="P41721" s="2498"/>
    </row>
    <row r="41722" spans="16:16">
      <c r="P41722" s="2498"/>
    </row>
    <row r="41723" spans="16:16">
      <c r="P41723" s="2498"/>
    </row>
    <row r="41724" spans="16:16">
      <c r="P41724" s="2498"/>
    </row>
    <row r="41725" spans="16:16">
      <c r="P41725" s="2498"/>
    </row>
    <row r="41726" spans="16:16">
      <c r="P41726" s="2498"/>
    </row>
    <row r="41727" spans="16:16">
      <c r="P41727" s="2498"/>
    </row>
    <row r="41728" spans="16:16">
      <c r="P41728" s="2498"/>
    </row>
    <row r="41729" spans="16:16">
      <c r="P41729" s="2498"/>
    </row>
    <row r="41730" spans="16:16">
      <c r="P41730" s="2498"/>
    </row>
    <row r="41731" spans="16:16">
      <c r="P41731" s="2498"/>
    </row>
    <row r="41732" spans="16:16">
      <c r="P41732" s="2498"/>
    </row>
    <row r="41733" spans="16:16">
      <c r="P41733" s="2498"/>
    </row>
    <row r="41734" spans="16:16">
      <c r="P41734" s="2498"/>
    </row>
    <row r="41735" spans="16:16">
      <c r="P41735" s="2498"/>
    </row>
    <row r="41736" spans="16:16">
      <c r="P41736" s="2498"/>
    </row>
    <row r="41737" spans="16:16">
      <c r="P41737" s="2498"/>
    </row>
    <row r="41738" spans="16:16">
      <c r="P41738" s="2498"/>
    </row>
    <row r="41739" spans="16:16">
      <c r="P41739" s="2498"/>
    </row>
    <row r="41740" spans="16:16">
      <c r="P41740" s="2498"/>
    </row>
    <row r="41741" spans="16:16">
      <c r="P41741" s="2498"/>
    </row>
    <row r="41742" spans="16:16">
      <c r="P41742" s="2498"/>
    </row>
    <row r="41743" spans="16:16">
      <c r="P41743" s="2498"/>
    </row>
    <row r="41744" spans="16:16">
      <c r="P41744" s="2498"/>
    </row>
    <row r="41745" spans="16:16">
      <c r="P41745" s="2498"/>
    </row>
    <row r="41746" spans="16:16">
      <c r="P41746" s="2498"/>
    </row>
    <row r="41747" spans="16:16">
      <c r="P41747" s="2498"/>
    </row>
    <row r="41748" spans="16:16">
      <c r="P41748" s="2498"/>
    </row>
    <row r="41749" spans="16:16">
      <c r="P41749" s="2498"/>
    </row>
    <row r="41750" spans="16:16">
      <c r="P41750" s="2498"/>
    </row>
    <row r="41751" spans="16:16">
      <c r="P41751" s="2498"/>
    </row>
    <row r="41752" spans="16:16">
      <c r="P41752" s="2498"/>
    </row>
    <row r="41753" spans="16:16">
      <c r="P41753" s="2498"/>
    </row>
    <row r="41754" spans="16:16">
      <c r="P41754" s="2498"/>
    </row>
    <row r="41755" spans="16:16">
      <c r="P41755" s="2498"/>
    </row>
    <row r="41756" spans="16:16">
      <c r="P41756" s="2498"/>
    </row>
    <row r="41757" spans="16:16">
      <c r="P41757" s="2498"/>
    </row>
    <row r="41758" spans="16:16">
      <c r="P41758" s="2498"/>
    </row>
    <row r="41759" spans="16:16">
      <c r="P41759" s="2498"/>
    </row>
    <row r="41760" spans="16:16">
      <c r="P41760" s="2498"/>
    </row>
    <row r="41761" spans="16:16">
      <c r="P41761" s="2498"/>
    </row>
    <row r="41762" spans="16:16">
      <c r="P41762" s="2498"/>
    </row>
    <row r="41763" spans="16:16">
      <c r="P41763" s="2498"/>
    </row>
    <row r="41764" spans="16:16">
      <c r="P41764" s="2498"/>
    </row>
    <row r="41765" spans="16:16">
      <c r="P41765" s="2498"/>
    </row>
    <row r="41766" spans="16:16">
      <c r="P41766" s="2498"/>
    </row>
    <row r="41767" spans="16:16">
      <c r="P41767" s="2498"/>
    </row>
    <row r="41768" spans="16:16">
      <c r="P41768" s="2498"/>
    </row>
    <row r="41769" spans="16:16">
      <c r="P41769" s="2498"/>
    </row>
    <row r="41770" spans="16:16">
      <c r="P41770" s="2498"/>
    </row>
    <row r="41771" spans="16:16">
      <c r="P41771" s="2498"/>
    </row>
    <row r="41772" spans="16:16">
      <c r="P41772" s="2498"/>
    </row>
    <row r="41773" spans="16:16">
      <c r="P41773" s="2498"/>
    </row>
    <row r="41774" spans="16:16">
      <c r="P41774" s="2498"/>
    </row>
    <row r="41775" spans="16:16">
      <c r="P41775" s="2498"/>
    </row>
    <row r="41776" spans="16:16">
      <c r="P41776" s="2498"/>
    </row>
    <row r="41777" spans="16:16">
      <c r="P41777" s="2498"/>
    </row>
    <row r="41778" spans="16:16">
      <c r="P41778" s="2498"/>
    </row>
    <row r="41779" spans="16:16">
      <c r="P41779" s="2498"/>
    </row>
    <row r="41780" spans="16:16">
      <c r="P41780" s="2498"/>
    </row>
    <row r="41781" spans="16:16">
      <c r="P41781" s="2498"/>
    </row>
    <row r="41782" spans="16:16">
      <c r="P41782" s="2498"/>
    </row>
    <row r="41783" spans="16:16">
      <c r="P41783" s="2498"/>
    </row>
    <row r="41784" spans="16:16">
      <c r="P41784" s="2498"/>
    </row>
    <row r="41785" spans="16:16">
      <c r="P41785" s="2498"/>
    </row>
    <row r="41786" spans="16:16">
      <c r="P41786" s="2498"/>
    </row>
    <row r="41787" spans="16:16">
      <c r="P41787" s="2498"/>
    </row>
    <row r="41788" spans="16:16">
      <c r="P41788" s="2498"/>
    </row>
    <row r="41789" spans="16:16">
      <c r="P41789" s="2498"/>
    </row>
    <row r="41790" spans="16:16">
      <c r="P41790" s="2498"/>
    </row>
    <row r="41791" spans="16:16">
      <c r="P41791" s="2498"/>
    </row>
    <row r="41792" spans="16:16">
      <c r="P41792" s="2498"/>
    </row>
    <row r="41793" spans="16:16">
      <c r="P41793" s="2498"/>
    </row>
    <row r="41794" spans="16:16">
      <c r="P41794" s="2498"/>
    </row>
    <row r="41795" spans="16:16">
      <c r="P41795" s="2498"/>
    </row>
    <row r="41796" spans="16:16">
      <c r="P41796" s="2498"/>
    </row>
    <row r="41797" spans="16:16">
      <c r="P41797" s="2498"/>
    </row>
    <row r="41798" spans="16:16">
      <c r="P41798" s="2498"/>
    </row>
    <row r="41799" spans="16:16">
      <c r="P41799" s="2498"/>
    </row>
    <row r="41800" spans="16:16">
      <c r="P41800" s="2498"/>
    </row>
    <row r="41801" spans="16:16">
      <c r="P41801" s="2498"/>
    </row>
    <row r="41802" spans="16:16">
      <c r="P41802" s="2498"/>
    </row>
    <row r="41803" spans="16:16">
      <c r="P41803" s="2498"/>
    </row>
    <row r="41804" spans="16:16">
      <c r="P41804" s="2498"/>
    </row>
    <row r="41805" spans="16:16">
      <c r="P41805" s="2498"/>
    </row>
    <row r="41806" spans="16:16">
      <c r="P41806" s="2498"/>
    </row>
    <row r="41807" spans="16:16">
      <c r="P41807" s="2498"/>
    </row>
    <row r="41808" spans="16:16">
      <c r="P41808" s="2498"/>
    </row>
    <row r="41809" spans="16:16">
      <c r="P41809" s="2498"/>
    </row>
    <row r="41810" spans="16:16">
      <c r="P41810" s="2498"/>
    </row>
    <row r="41811" spans="16:16">
      <c r="P41811" s="2498"/>
    </row>
    <row r="41812" spans="16:16">
      <c r="P41812" s="2498"/>
    </row>
    <row r="41813" spans="16:16">
      <c r="P41813" s="2498"/>
    </row>
    <row r="41814" spans="16:16">
      <c r="P41814" s="2498"/>
    </row>
    <row r="41815" spans="16:16">
      <c r="P41815" s="2498"/>
    </row>
    <row r="41816" spans="16:16">
      <c r="P41816" s="2498"/>
    </row>
    <row r="41817" spans="16:16">
      <c r="P41817" s="2498"/>
    </row>
    <row r="41818" spans="16:16">
      <c r="P41818" s="2498"/>
    </row>
    <row r="41819" spans="16:16">
      <c r="P41819" s="2498"/>
    </row>
    <row r="41820" spans="16:16">
      <c r="P41820" s="2498"/>
    </row>
    <row r="41821" spans="16:16">
      <c r="P41821" s="2498"/>
    </row>
    <row r="41822" spans="16:16">
      <c r="P41822" s="2498"/>
    </row>
    <row r="41823" spans="16:16">
      <c r="P41823" s="2498"/>
    </row>
    <row r="41824" spans="16:16">
      <c r="P41824" s="2498"/>
    </row>
    <row r="41825" spans="16:16">
      <c r="P41825" s="2498"/>
    </row>
    <row r="41826" spans="16:16">
      <c r="P41826" s="2498"/>
    </row>
    <row r="41827" spans="16:16">
      <c r="P41827" s="2498"/>
    </row>
    <row r="41828" spans="16:16">
      <c r="P41828" s="2498"/>
    </row>
    <row r="41829" spans="16:16">
      <c r="P41829" s="2498"/>
    </row>
    <row r="41830" spans="16:16">
      <c r="P41830" s="2498"/>
    </row>
    <row r="41831" spans="16:16">
      <c r="P41831" s="2498"/>
    </row>
    <row r="41832" spans="16:16">
      <c r="P41832" s="2498"/>
    </row>
    <row r="41833" spans="16:16">
      <c r="P41833" s="2498"/>
    </row>
    <row r="41834" spans="16:16">
      <c r="P41834" s="2498"/>
    </row>
    <row r="41835" spans="16:16">
      <c r="P41835" s="2498"/>
    </row>
    <row r="41836" spans="16:16">
      <c r="P41836" s="2498"/>
    </row>
    <row r="41837" spans="16:16">
      <c r="P41837" s="2498"/>
    </row>
    <row r="41838" spans="16:16">
      <c r="P41838" s="2498"/>
    </row>
    <row r="41839" spans="16:16">
      <c r="P41839" s="2498"/>
    </row>
    <row r="41840" spans="16:16">
      <c r="P41840" s="2498"/>
    </row>
    <row r="41841" spans="16:16">
      <c r="P41841" s="2498"/>
    </row>
    <row r="41842" spans="16:16">
      <c r="P41842" s="2498"/>
    </row>
    <row r="41843" spans="16:16">
      <c r="P41843" s="2498"/>
    </row>
    <row r="41844" spans="16:16">
      <c r="P41844" s="2498"/>
    </row>
    <row r="41845" spans="16:16">
      <c r="P41845" s="2498"/>
    </row>
    <row r="41846" spans="16:16">
      <c r="P41846" s="2498"/>
    </row>
    <row r="41847" spans="16:16">
      <c r="P41847" s="2498"/>
    </row>
    <row r="41848" spans="16:16">
      <c r="P41848" s="2498"/>
    </row>
    <row r="41849" spans="16:16">
      <c r="P41849" s="2498"/>
    </row>
    <row r="41850" spans="16:16">
      <c r="P41850" s="2498"/>
    </row>
    <row r="41851" spans="16:16">
      <c r="P41851" s="2498"/>
    </row>
    <row r="41852" spans="16:16">
      <c r="P41852" s="2498"/>
    </row>
    <row r="41853" spans="16:16">
      <c r="P41853" s="2498"/>
    </row>
    <row r="41854" spans="16:16">
      <c r="P41854" s="2498"/>
    </row>
    <row r="41855" spans="16:16">
      <c r="P41855" s="2498"/>
    </row>
    <row r="41856" spans="16:16">
      <c r="P41856" s="2498"/>
    </row>
    <row r="41857" spans="16:16">
      <c r="P41857" s="2498"/>
    </row>
    <row r="41858" spans="16:16">
      <c r="P41858" s="2498"/>
    </row>
    <row r="41859" spans="16:16">
      <c r="P41859" s="2498"/>
    </row>
    <row r="41860" spans="16:16">
      <c r="P41860" s="2498"/>
    </row>
    <row r="41861" spans="16:16">
      <c r="P41861" s="2498"/>
    </row>
    <row r="41862" spans="16:16">
      <c r="P41862" s="2498"/>
    </row>
    <row r="41863" spans="16:16">
      <c r="P41863" s="2498"/>
    </row>
    <row r="41864" spans="16:16">
      <c r="P41864" s="2498"/>
    </row>
    <row r="41865" spans="16:16">
      <c r="P41865" s="2498"/>
    </row>
    <row r="41866" spans="16:16">
      <c r="P41866" s="2498"/>
    </row>
    <row r="41867" spans="16:16">
      <c r="P41867" s="2498"/>
    </row>
    <row r="41868" spans="16:16">
      <c r="P41868" s="2498"/>
    </row>
    <row r="41869" spans="16:16">
      <c r="P41869" s="2498"/>
    </row>
    <row r="41870" spans="16:16">
      <c r="P41870" s="2498"/>
    </row>
    <row r="41871" spans="16:16">
      <c r="P41871" s="2498"/>
    </row>
    <row r="41872" spans="16:16">
      <c r="P41872" s="2498"/>
    </row>
    <row r="41873" spans="16:16">
      <c r="P41873" s="2498"/>
    </row>
    <row r="41874" spans="16:16">
      <c r="P41874" s="2498"/>
    </row>
    <row r="41875" spans="16:16">
      <c r="P41875" s="2498"/>
    </row>
    <row r="41876" spans="16:16">
      <c r="P41876" s="2498"/>
    </row>
    <row r="41877" spans="16:16">
      <c r="P41877" s="2498"/>
    </row>
    <row r="41878" spans="16:16">
      <c r="P41878" s="2498"/>
    </row>
    <row r="41879" spans="16:16">
      <c r="P41879" s="2498"/>
    </row>
    <row r="41880" spans="16:16">
      <c r="P41880" s="2498"/>
    </row>
    <row r="41881" spans="16:16">
      <c r="P41881" s="2498"/>
    </row>
    <row r="41882" spans="16:16">
      <c r="P41882" s="2498"/>
    </row>
    <row r="41883" spans="16:16">
      <c r="P41883" s="2498"/>
    </row>
    <row r="41884" spans="16:16">
      <c r="P41884" s="2498"/>
    </row>
    <row r="41885" spans="16:16">
      <c r="P41885" s="2498"/>
    </row>
    <row r="41886" spans="16:16">
      <c r="P41886" s="2498"/>
    </row>
    <row r="41887" spans="16:16">
      <c r="P41887" s="2498"/>
    </row>
    <row r="41888" spans="16:16">
      <c r="P41888" s="2498"/>
    </row>
    <row r="41889" spans="16:16">
      <c r="P41889" s="2498"/>
    </row>
    <row r="41890" spans="16:16">
      <c r="P41890" s="2498"/>
    </row>
    <row r="41891" spans="16:16">
      <c r="P41891" s="2498"/>
    </row>
    <row r="41892" spans="16:16">
      <c r="P41892" s="2498"/>
    </row>
    <row r="41893" spans="16:16">
      <c r="P41893" s="2498"/>
    </row>
    <row r="41894" spans="16:16">
      <c r="P41894" s="2498"/>
    </row>
    <row r="41895" spans="16:16">
      <c r="P41895" s="2498"/>
    </row>
    <row r="41896" spans="16:16">
      <c r="P41896" s="2498"/>
    </row>
    <row r="41897" spans="16:16">
      <c r="P41897" s="2498"/>
    </row>
    <row r="41898" spans="16:16">
      <c r="P41898" s="2498"/>
    </row>
    <row r="41899" spans="16:16">
      <c r="P41899" s="2498"/>
    </row>
    <row r="41900" spans="16:16">
      <c r="P41900" s="2498"/>
    </row>
    <row r="41901" spans="16:16">
      <c r="P41901" s="2498"/>
    </row>
    <row r="41902" spans="16:16">
      <c r="P41902" s="2498"/>
    </row>
    <row r="41903" spans="16:16">
      <c r="P41903" s="2498"/>
    </row>
    <row r="41904" spans="16:16">
      <c r="P41904" s="2498"/>
    </row>
    <row r="41905" spans="16:16">
      <c r="P41905" s="2498"/>
    </row>
    <row r="41906" spans="16:16">
      <c r="P41906" s="2498"/>
    </row>
    <row r="41907" spans="16:16">
      <c r="P41907" s="2498"/>
    </row>
    <row r="41908" spans="16:16">
      <c r="P41908" s="2498"/>
    </row>
    <row r="41909" spans="16:16">
      <c r="P41909" s="2498"/>
    </row>
    <row r="41910" spans="16:16">
      <c r="P41910" s="2498"/>
    </row>
    <row r="41911" spans="16:16">
      <c r="P41911" s="2498"/>
    </row>
    <row r="41912" spans="16:16">
      <c r="P41912" s="2498"/>
    </row>
    <row r="41913" spans="16:16">
      <c r="P41913" s="2498"/>
    </row>
    <row r="41914" spans="16:16">
      <c r="P41914" s="2498"/>
    </row>
    <row r="41915" spans="16:16">
      <c r="P41915" s="2498"/>
    </row>
    <row r="41916" spans="16:16">
      <c r="P41916" s="2498"/>
    </row>
    <row r="41917" spans="16:16">
      <c r="P41917" s="2498"/>
    </row>
    <row r="41918" spans="16:16">
      <c r="P41918" s="2498"/>
    </row>
    <row r="41919" spans="16:16">
      <c r="P41919" s="2498"/>
    </row>
    <row r="41920" spans="16:16">
      <c r="P41920" s="2498"/>
    </row>
    <row r="41921" spans="16:16">
      <c r="P41921" s="2498"/>
    </row>
    <row r="41922" spans="16:16">
      <c r="P41922" s="2498"/>
    </row>
    <row r="41923" spans="16:16">
      <c r="P41923" s="2498"/>
    </row>
    <row r="41924" spans="16:16">
      <c r="P41924" s="2498"/>
    </row>
    <row r="41925" spans="16:16">
      <c r="P41925" s="2498"/>
    </row>
    <row r="41926" spans="16:16">
      <c r="P41926" s="2498"/>
    </row>
    <row r="41927" spans="16:16">
      <c r="P41927" s="2498"/>
    </row>
    <row r="41928" spans="16:16">
      <c r="P41928" s="2498"/>
    </row>
    <row r="41929" spans="16:16">
      <c r="P41929" s="2498"/>
    </row>
    <row r="41930" spans="16:16">
      <c r="P41930" s="2498"/>
    </row>
    <row r="41931" spans="16:16">
      <c r="P41931" s="2498"/>
    </row>
    <row r="41932" spans="16:16">
      <c r="P41932" s="2498"/>
    </row>
    <row r="41933" spans="16:16">
      <c r="P41933" s="2498"/>
    </row>
    <row r="41934" spans="16:16">
      <c r="P41934" s="2498"/>
    </row>
    <row r="41935" spans="16:16">
      <c r="P41935" s="2498"/>
    </row>
    <row r="41936" spans="16:16">
      <c r="P41936" s="2498"/>
    </row>
    <row r="41937" spans="16:16">
      <c r="P41937" s="2498"/>
    </row>
    <row r="41938" spans="16:16">
      <c r="P41938" s="2498"/>
    </row>
    <row r="41939" spans="16:16">
      <c r="P41939" s="2498"/>
    </row>
    <row r="41940" spans="16:16">
      <c r="P41940" s="2498"/>
    </row>
    <row r="41941" spans="16:16">
      <c r="P41941" s="2498"/>
    </row>
    <row r="41942" spans="16:16">
      <c r="P41942" s="2498"/>
    </row>
    <row r="41943" spans="16:16">
      <c r="P41943" s="2498"/>
    </row>
    <row r="41944" spans="16:16">
      <c r="P41944" s="2498"/>
    </row>
    <row r="41945" spans="16:16">
      <c r="P41945" s="2498"/>
    </row>
    <row r="41946" spans="16:16">
      <c r="P41946" s="2498"/>
    </row>
    <row r="41947" spans="16:16">
      <c r="P41947" s="2498"/>
    </row>
    <row r="41948" spans="16:16">
      <c r="P41948" s="2498"/>
    </row>
    <row r="41949" spans="16:16">
      <c r="P41949" s="2498"/>
    </row>
    <row r="41950" spans="16:16">
      <c r="P41950" s="2498"/>
    </row>
    <row r="41951" spans="16:16">
      <c r="P41951" s="2498"/>
    </row>
    <row r="41952" spans="16:16">
      <c r="P41952" s="2498"/>
    </row>
    <row r="41953" spans="16:16">
      <c r="P41953" s="2498"/>
    </row>
    <row r="41954" spans="16:16">
      <c r="P41954" s="2498"/>
    </row>
    <row r="41955" spans="16:16">
      <c r="P41955" s="2498"/>
    </row>
    <row r="41956" spans="16:16">
      <c r="P41956" s="2498"/>
    </row>
    <row r="41957" spans="16:16">
      <c r="P41957" s="2498"/>
    </row>
    <row r="41958" spans="16:16">
      <c r="P41958" s="2498"/>
    </row>
    <row r="41959" spans="16:16">
      <c r="P41959" s="2498"/>
    </row>
    <row r="41960" spans="16:16">
      <c r="P41960" s="2498"/>
    </row>
    <row r="41961" spans="16:16">
      <c r="P41961" s="2498"/>
    </row>
    <row r="41962" spans="16:16">
      <c r="P41962" s="2498"/>
    </row>
    <row r="41963" spans="16:16">
      <c r="P41963" s="2498"/>
    </row>
    <row r="41964" spans="16:16">
      <c r="P41964" s="2498"/>
    </row>
    <row r="41965" spans="16:16">
      <c r="P41965" s="2498"/>
    </row>
    <row r="41966" spans="16:16">
      <c r="P41966" s="2498"/>
    </row>
    <row r="41967" spans="16:16">
      <c r="P41967" s="2498"/>
    </row>
    <row r="41968" spans="16:16">
      <c r="P41968" s="2498"/>
    </row>
    <row r="41969" spans="16:16">
      <c r="P41969" s="2498"/>
    </row>
    <row r="41970" spans="16:16">
      <c r="P41970" s="2498"/>
    </row>
    <row r="41971" spans="16:16">
      <c r="P41971" s="2498"/>
    </row>
    <row r="41972" spans="16:16">
      <c r="P41972" s="2498"/>
    </row>
    <row r="41973" spans="16:16">
      <c r="P41973" s="2498"/>
    </row>
    <row r="41974" spans="16:16">
      <c r="P41974" s="2498"/>
    </row>
    <row r="41975" spans="16:16">
      <c r="P41975" s="2498"/>
    </row>
    <row r="41976" spans="16:16">
      <c r="P41976" s="2498"/>
    </row>
    <row r="41977" spans="16:16">
      <c r="P41977" s="2498"/>
    </row>
    <row r="41978" spans="16:16">
      <c r="P41978" s="2498"/>
    </row>
    <row r="41979" spans="16:16">
      <c r="P41979" s="2498"/>
    </row>
    <row r="41980" spans="16:16">
      <c r="P41980" s="2498"/>
    </row>
    <row r="41981" spans="16:16">
      <c r="P41981" s="2498"/>
    </row>
    <row r="41982" spans="16:16">
      <c r="P41982" s="2498"/>
    </row>
    <row r="41983" spans="16:16">
      <c r="P41983" s="2498"/>
    </row>
    <row r="41984" spans="16:16">
      <c r="P41984" s="2498"/>
    </row>
    <row r="41985" spans="16:16">
      <c r="P41985" s="2498"/>
    </row>
    <row r="41986" spans="16:16">
      <c r="P41986" s="2498"/>
    </row>
    <row r="41987" spans="16:16">
      <c r="P41987" s="2498"/>
    </row>
    <row r="41988" spans="16:16">
      <c r="P41988" s="2498"/>
    </row>
    <row r="41989" spans="16:16">
      <c r="P41989" s="2498"/>
    </row>
    <row r="41990" spans="16:16">
      <c r="P41990" s="2498"/>
    </row>
    <row r="41991" spans="16:16">
      <c r="P41991" s="2498"/>
    </row>
    <row r="41992" spans="16:16">
      <c r="P41992" s="2498"/>
    </row>
    <row r="41993" spans="16:16">
      <c r="P41993" s="2498"/>
    </row>
    <row r="41994" spans="16:16">
      <c r="P41994" s="2498"/>
    </row>
    <row r="41995" spans="16:16">
      <c r="P41995" s="2498"/>
    </row>
    <row r="41996" spans="16:16">
      <c r="P41996" s="2498"/>
    </row>
    <row r="41997" spans="16:16">
      <c r="P41997" s="2498"/>
    </row>
    <row r="41998" spans="16:16">
      <c r="P41998" s="2498"/>
    </row>
    <row r="41999" spans="16:16">
      <c r="P41999" s="2498"/>
    </row>
    <row r="42000" spans="16:16">
      <c r="P42000" s="2498"/>
    </row>
    <row r="42001" spans="16:16">
      <c r="P42001" s="2498"/>
    </row>
    <row r="42002" spans="16:16">
      <c r="P42002" s="2498"/>
    </row>
    <row r="42003" spans="16:16">
      <c r="P42003" s="2498"/>
    </row>
    <row r="42004" spans="16:16">
      <c r="P42004" s="2498"/>
    </row>
    <row r="42005" spans="16:16">
      <c r="P42005" s="2498"/>
    </row>
    <row r="42006" spans="16:16">
      <c r="P42006" s="2498"/>
    </row>
    <row r="42007" spans="16:16">
      <c r="P42007" s="2498"/>
    </row>
    <row r="42008" spans="16:16">
      <c r="P42008" s="2498"/>
    </row>
    <row r="42009" spans="16:16">
      <c r="P42009" s="2498"/>
    </row>
    <row r="42010" spans="16:16">
      <c r="P42010" s="2498"/>
    </row>
    <row r="42011" spans="16:16">
      <c r="P42011" s="2498"/>
    </row>
    <row r="42012" spans="16:16">
      <c r="P42012" s="2498"/>
    </row>
    <row r="42013" spans="16:16">
      <c r="P42013" s="2498"/>
    </row>
    <row r="42014" spans="16:16">
      <c r="P42014" s="2498"/>
    </row>
    <row r="42015" spans="16:16">
      <c r="P42015" s="2498"/>
    </row>
    <row r="42016" spans="16:16">
      <c r="P42016" s="2498"/>
    </row>
    <row r="42017" spans="16:16">
      <c r="P42017" s="2498"/>
    </row>
    <row r="42018" spans="16:16">
      <c r="P42018" s="2498"/>
    </row>
    <row r="42019" spans="16:16">
      <c r="P42019" s="2498"/>
    </row>
    <row r="42020" spans="16:16">
      <c r="P42020" s="2498"/>
    </row>
    <row r="42021" spans="16:16">
      <c r="P42021" s="2498"/>
    </row>
    <row r="42022" spans="16:16">
      <c r="P42022" s="2498"/>
    </row>
    <row r="42023" spans="16:16">
      <c r="P42023" s="2498"/>
    </row>
    <row r="42024" spans="16:16">
      <c r="P42024" s="2498"/>
    </row>
    <row r="42025" spans="16:16">
      <c r="P42025" s="2498"/>
    </row>
    <row r="42026" spans="16:16">
      <c r="P42026" s="2498"/>
    </row>
    <row r="42027" spans="16:16">
      <c r="P42027" s="2498"/>
    </row>
    <row r="42028" spans="16:16">
      <c r="P42028" s="2498"/>
    </row>
    <row r="42029" spans="16:16">
      <c r="P42029" s="2498"/>
    </row>
    <row r="42030" spans="16:16">
      <c r="P42030" s="2498"/>
    </row>
    <row r="42031" spans="16:16">
      <c r="P42031" s="2498"/>
    </row>
    <row r="42032" spans="16:16">
      <c r="P42032" s="2498"/>
    </row>
    <row r="42033" spans="16:16">
      <c r="P42033" s="2498"/>
    </row>
    <row r="42034" spans="16:16">
      <c r="P42034" s="2498"/>
    </row>
    <row r="42035" spans="16:16">
      <c r="P42035" s="2498"/>
    </row>
    <row r="42036" spans="16:16">
      <c r="P42036" s="2498"/>
    </row>
    <row r="42037" spans="16:16">
      <c r="P42037" s="2498"/>
    </row>
    <row r="42038" spans="16:16">
      <c r="P42038" s="2498"/>
    </row>
    <row r="42039" spans="16:16">
      <c r="P42039" s="2498"/>
    </row>
    <row r="42040" spans="16:16">
      <c r="P42040" s="2498"/>
    </row>
    <row r="42041" spans="16:16">
      <c r="P42041" s="2498"/>
    </row>
    <row r="42042" spans="16:16">
      <c r="P42042" s="2498"/>
    </row>
    <row r="42043" spans="16:16">
      <c r="P42043" s="2498"/>
    </row>
    <row r="42044" spans="16:16">
      <c r="P42044" s="2498"/>
    </row>
    <row r="42045" spans="16:16">
      <c r="P42045" s="2498"/>
    </row>
    <row r="42046" spans="16:16">
      <c r="P42046" s="2498"/>
    </row>
    <row r="42047" spans="16:16">
      <c r="P42047" s="2498"/>
    </row>
    <row r="42048" spans="16:16">
      <c r="P42048" s="2498"/>
    </row>
    <row r="42049" spans="16:16">
      <c r="P42049" s="2498"/>
    </row>
    <row r="42050" spans="16:16">
      <c r="P42050" s="2498"/>
    </row>
    <row r="42051" spans="16:16">
      <c r="P42051" s="2498"/>
    </row>
    <row r="42052" spans="16:16">
      <c r="P42052" s="2498"/>
    </row>
    <row r="42053" spans="16:16">
      <c r="P42053" s="2498"/>
    </row>
    <row r="42054" spans="16:16">
      <c r="P42054" s="2498"/>
    </row>
    <row r="42055" spans="16:16">
      <c r="P42055" s="2498"/>
    </row>
    <row r="42056" spans="16:16">
      <c r="P42056" s="2498"/>
    </row>
    <row r="42057" spans="16:16">
      <c r="P42057" s="2498"/>
    </row>
    <row r="42058" spans="16:16">
      <c r="P42058" s="2498"/>
    </row>
    <row r="42059" spans="16:16">
      <c r="P42059" s="2498"/>
    </row>
    <row r="42060" spans="16:16">
      <c r="P42060" s="2498"/>
    </row>
    <row r="42061" spans="16:16">
      <c r="P42061" s="2498"/>
    </row>
    <row r="42062" spans="16:16">
      <c r="P42062" s="2498"/>
    </row>
    <row r="42063" spans="16:16">
      <c r="P42063" s="2498"/>
    </row>
    <row r="42064" spans="16:16">
      <c r="P42064" s="2498"/>
    </row>
    <row r="42065" spans="16:16">
      <c r="P42065" s="2498"/>
    </row>
    <row r="42066" spans="16:16">
      <c r="P42066" s="2498"/>
    </row>
    <row r="42067" spans="16:16">
      <c r="P42067" s="2498"/>
    </row>
    <row r="42068" spans="16:16">
      <c r="P42068" s="2498"/>
    </row>
    <row r="42069" spans="16:16">
      <c r="P42069" s="2498"/>
    </row>
    <row r="42070" spans="16:16">
      <c r="P42070" s="2498"/>
    </row>
    <row r="42071" spans="16:16">
      <c r="P42071" s="2498"/>
    </row>
    <row r="42072" spans="16:16">
      <c r="P42072" s="2498"/>
    </row>
    <row r="42073" spans="16:16">
      <c r="P42073" s="2498"/>
    </row>
    <row r="42074" spans="16:16">
      <c r="P42074" s="2498"/>
    </row>
    <row r="42075" spans="16:16">
      <c r="P42075" s="2498"/>
    </row>
    <row r="42076" spans="16:16">
      <c r="P42076" s="2498"/>
    </row>
    <row r="42077" spans="16:16">
      <c r="P42077" s="2498"/>
    </row>
    <row r="42078" spans="16:16">
      <c r="P42078" s="2498"/>
    </row>
    <row r="42079" spans="16:16">
      <c r="P42079" s="2498"/>
    </row>
    <row r="42080" spans="16:16">
      <c r="P42080" s="2498"/>
    </row>
    <row r="42081" spans="16:16">
      <c r="P42081" s="2498"/>
    </row>
    <row r="42082" spans="16:16">
      <c r="P42082" s="2498"/>
    </row>
    <row r="42083" spans="16:16">
      <c r="P42083" s="2498"/>
    </row>
    <row r="42084" spans="16:16">
      <c r="P42084" s="2498"/>
    </row>
    <row r="42085" spans="16:16">
      <c r="P42085" s="2498"/>
    </row>
    <row r="42086" spans="16:16">
      <c r="P42086" s="2498"/>
    </row>
    <row r="42087" spans="16:16">
      <c r="P42087" s="2498"/>
    </row>
    <row r="42088" spans="16:16">
      <c r="P42088" s="2498"/>
    </row>
    <row r="42089" spans="16:16">
      <c r="P42089" s="2498"/>
    </row>
    <row r="42090" spans="16:16">
      <c r="P42090" s="2498"/>
    </row>
    <row r="42091" spans="16:16">
      <c r="P42091" s="2498"/>
    </row>
    <row r="42092" spans="16:16">
      <c r="P42092" s="2498"/>
    </row>
    <row r="42093" spans="16:16">
      <c r="P42093" s="2498"/>
    </row>
    <row r="42094" spans="16:16">
      <c r="P42094" s="2498"/>
    </row>
    <row r="42095" spans="16:16">
      <c r="P42095" s="2498"/>
    </row>
    <row r="42096" spans="16:16">
      <c r="P42096" s="2498"/>
    </row>
    <row r="42097" spans="16:16">
      <c r="P42097" s="2498"/>
    </row>
    <row r="42098" spans="16:16">
      <c r="P42098" s="2498"/>
    </row>
    <row r="42099" spans="16:16">
      <c r="P42099" s="2498"/>
    </row>
    <row r="42100" spans="16:16">
      <c r="P42100" s="2498"/>
    </row>
    <row r="42101" spans="16:16">
      <c r="P42101" s="2498"/>
    </row>
    <row r="42102" spans="16:16">
      <c r="P42102" s="2498"/>
    </row>
    <row r="42103" spans="16:16">
      <c r="P42103" s="2498"/>
    </row>
    <row r="42104" spans="16:16">
      <c r="P42104" s="2498"/>
    </row>
    <row r="42105" spans="16:16">
      <c r="P42105" s="2498"/>
    </row>
    <row r="42106" spans="16:16">
      <c r="P42106" s="2498"/>
    </row>
    <row r="42107" spans="16:16">
      <c r="P42107" s="2498"/>
    </row>
    <row r="42108" spans="16:16">
      <c r="P42108" s="2498"/>
    </row>
    <row r="42109" spans="16:16">
      <c r="P42109" s="2498"/>
    </row>
    <row r="42110" spans="16:16">
      <c r="P42110" s="2498"/>
    </row>
    <row r="42111" spans="16:16">
      <c r="P42111" s="2498"/>
    </row>
    <row r="42112" spans="16:16">
      <c r="P42112" s="2498"/>
    </row>
    <row r="42113" spans="16:16">
      <c r="P42113" s="2498"/>
    </row>
    <row r="42114" spans="16:16">
      <c r="P42114" s="2498"/>
    </row>
    <row r="42115" spans="16:16">
      <c r="P42115" s="2498"/>
    </row>
    <row r="42116" spans="16:16">
      <c r="P42116" s="2498"/>
    </row>
    <row r="42117" spans="16:16">
      <c r="P42117" s="2498"/>
    </row>
    <row r="42118" spans="16:16">
      <c r="P42118" s="2498"/>
    </row>
    <row r="42119" spans="16:16">
      <c r="P42119" s="2498"/>
    </row>
    <row r="42120" spans="16:16">
      <c r="P42120" s="2498"/>
    </row>
    <row r="42121" spans="16:16">
      <c r="P42121" s="2498"/>
    </row>
    <row r="42122" spans="16:16">
      <c r="P42122" s="2498"/>
    </row>
    <row r="42123" spans="16:16">
      <c r="P42123" s="2498"/>
    </row>
    <row r="42124" spans="16:16">
      <c r="P42124" s="2498"/>
    </row>
    <row r="42125" spans="16:16">
      <c r="P42125" s="2498"/>
    </row>
    <row r="42126" spans="16:16">
      <c r="P42126" s="2498"/>
    </row>
    <row r="42127" spans="16:16">
      <c r="P42127" s="2498"/>
    </row>
    <row r="42128" spans="16:16">
      <c r="P42128" s="2498"/>
    </row>
    <row r="42129" spans="16:16">
      <c r="P42129" s="2498"/>
    </row>
    <row r="42130" spans="16:16">
      <c r="P42130" s="2498"/>
    </row>
    <row r="42131" spans="16:16">
      <c r="P42131" s="2498"/>
    </row>
    <row r="42132" spans="16:16">
      <c r="P42132" s="2498"/>
    </row>
    <row r="42133" spans="16:16">
      <c r="P42133" s="2498"/>
    </row>
    <row r="42134" spans="16:16">
      <c r="P42134" s="2498"/>
    </row>
    <row r="42135" spans="16:16">
      <c r="P42135" s="2498"/>
    </row>
    <row r="42136" spans="16:16">
      <c r="P42136" s="2498"/>
    </row>
    <row r="42137" spans="16:16">
      <c r="P42137" s="2498"/>
    </row>
    <row r="42138" spans="16:16">
      <c r="P42138" s="2498"/>
    </row>
    <row r="42139" spans="16:16">
      <c r="P42139" s="2498"/>
    </row>
    <row r="42140" spans="16:16">
      <c r="P42140" s="2498"/>
    </row>
    <row r="42141" spans="16:16">
      <c r="P42141" s="2498"/>
    </row>
    <row r="42142" spans="16:16">
      <c r="P42142" s="2498"/>
    </row>
    <row r="42143" spans="16:16">
      <c r="P42143" s="2498"/>
    </row>
    <row r="42144" spans="16:16">
      <c r="P42144" s="2498"/>
    </row>
    <row r="42145" spans="16:16">
      <c r="P42145" s="2498"/>
    </row>
    <row r="42146" spans="16:16">
      <c r="P42146" s="2498"/>
    </row>
    <row r="42147" spans="16:16">
      <c r="P42147" s="2498"/>
    </row>
    <row r="42148" spans="16:16">
      <c r="P42148" s="2498"/>
    </row>
    <row r="42149" spans="16:16">
      <c r="P42149" s="2498"/>
    </row>
    <row r="42150" spans="16:16">
      <c r="P42150" s="2498"/>
    </row>
    <row r="42151" spans="16:16">
      <c r="P42151" s="2498"/>
    </row>
    <row r="42152" spans="16:16">
      <c r="P42152" s="2498"/>
    </row>
    <row r="42153" spans="16:16">
      <c r="P42153" s="2498"/>
    </row>
    <row r="42154" spans="16:16">
      <c r="P42154" s="2498"/>
    </row>
    <row r="42155" spans="16:16">
      <c r="P42155" s="2498"/>
    </row>
    <row r="42156" spans="16:16">
      <c r="P42156" s="2498"/>
    </row>
    <row r="42157" spans="16:16">
      <c r="P42157" s="2498"/>
    </row>
    <row r="42158" spans="16:16">
      <c r="P42158" s="2498"/>
    </row>
    <row r="42159" spans="16:16">
      <c r="P42159" s="2498"/>
    </row>
    <row r="42160" spans="16:16">
      <c r="P42160" s="2498"/>
    </row>
    <row r="42161" spans="16:16">
      <c r="P42161" s="2498"/>
    </row>
    <row r="42162" spans="16:16">
      <c r="P42162" s="2498"/>
    </row>
    <row r="42163" spans="16:16">
      <c r="P42163" s="2498"/>
    </row>
    <row r="42164" spans="16:16">
      <c r="P42164" s="2498"/>
    </row>
    <row r="42165" spans="16:16">
      <c r="P42165" s="2498"/>
    </row>
    <row r="42166" spans="16:16">
      <c r="P42166" s="2498"/>
    </row>
    <row r="42167" spans="16:16">
      <c r="P42167" s="2498"/>
    </row>
    <row r="42168" spans="16:16">
      <c r="P42168" s="2498"/>
    </row>
    <row r="42169" spans="16:16">
      <c r="P42169" s="2498"/>
    </row>
    <row r="42170" spans="16:16">
      <c r="P42170" s="2498"/>
    </row>
    <row r="42171" spans="16:16">
      <c r="P42171" s="2498"/>
    </row>
    <row r="42172" spans="16:16">
      <c r="P42172" s="2498"/>
    </row>
    <row r="42173" spans="16:16">
      <c r="P42173" s="2498"/>
    </row>
    <row r="42174" spans="16:16">
      <c r="P42174" s="2498"/>
    </row>
    <row r="42175" spans="16:16">
      <c r="P42175" s="2498"/>
    </row>
    <row r="42176" spans="16:16">
      <c r="P42176" s="2498"/>
    </row>
    <row r="42177" spans="16:16">
      <c r="P42177" s="2498"/>
    </row>
    <row r="42178" spans="16:16">
      <c r="P42178" s="2498"/>
    </row>
    <row r="42179" spans="16:16">
      <c r="P42179" s="2498"/>
    </row>
    <row r="42180" spans="16:16">
      <c r="P42180" s="2498"/>
    </row>
    <row r="42181" spans="16:16">
      <c r="P42181" s="2498"/>
    </row>
    <row r="42182" spans="16:16">
      <c r="P42182" s="2498"/>
    </row>
    <row r="42183" spans="16:16">
      <c r="P42183" s="2498"/>
    </row>
    <row r="42184" spans="16:16">
      <c r="P42184" s="2498"/>
    </row>
    <row r="42185" spans="16:16">
      <c r="P42185" s="2498"/>
    </row>
    <row r="42186" spans="16:16">
      <c r="P42186" s="2498"/>
    </row>
    <row r="42187" spans="16:16">
      <c r="P42187" s="2498"/>
    </row>
    <row r="42188" spans="16:16">
      <c r="P42188" s="2498"/>
    </row>
    <row r="42189" spans="16:16">
      <c r="P42189" s="2498"/>
    </row>
    <row r="42190" spans="16:16">
      <c r="P42190" s="2498"/>
    </row>
    <row r="42191" spans="16:16">
      <c r="P42191" s="2498"/>
    </row>
    <row r="42192" spans="16:16">
      <c r="P42192" s="2498"/>
    </row>
    <row r="42193" spans="16:16">
      <c r="P42193" s="2498"/>
    </row>
    <row r="42194" spans="16:16">
      <c r="P42194" s="2498"/>
    </row>
    <row r="42195" spans="16:16">
      <c r="P42195" s="2498"/>
    </row>
    <row r="42196" spans="16:16">
      <c r="P42196" s="2498"/>
    </row>
    <row r="42197" spans="16:16">
      <c r="P42197" s="2498"/>
    </row>
    <row r="42198" spans="16:16">
      <c r="P42198" s="2498"/>
    </row>
    <row r="42199" spans="16:16">
      <c r="P42199" s="2498"/>
    </row>
    <row r="42200" spans="16:16">
      <c r="P42200" s="2498"/>
    </row>
    <row r="42201" spans="16:16">
      <c r="P42201" s="2498"/>
    </row>
    <row r="42202" spans="16:16">
      <c r="P42202" s="2498"/>
    </row>
    <row r="42203" spans="16:16">
      <c r="P42203" s="2498"/>
    </row>
    <row r="42204" spans="16:16">
      <c r="P42204" s="2498"/>
    </row>
    <row r="42205" spans="16:16">
      <c r="P42205" s="2498"/>
    </row>
    <row r="42206" spans="16:16">
      <c r="P42206" s="2498"/>
    </row>
    <row r="42207" spans="16:16">
      <c r="P42207" s="2498"/>
    </row>
    <row r="42208" spans="16:16">
      <c r="P42208" s="2498"/>
    </row>
    <row r="42209" spans="16:16">
      <c r="P42209" s="2498"/>
    </row>
    <row r="42210" spans="16:16">
      <c r="P42210" s="2498"/>
    </row>
    <row r="42211" spans="16:16">
      <c r="P42211" s="2498"/>
    </row>
    <row r="42212" spans="16:16">
      <c r="P42212" s="2498"/>
    </row>
    <row r="42213" spans="16:16">
      <c r="P42213" s="2498"/>
    </row>
    <row r="42214" spans="16:16">
      <c r="P42214" s="2498"/>
    </row>
    <row r="42215" spans="16:16">
      <c r="P42215" s="2498"/>
    </row>
    <row r="42216" spans="16:16">
      <c r="P42216" s="2498"/>
    </row>
    <row r="42217" spans="16:16">
      <c r="P42217" s="2498"/>
    </row>
    <row r="42218" spans="16:16">
      <c r="P42218" s="2498"/>
    </row>
    <row r="42219" spans="16:16">
      <c r="P42219" s="2498"/>
    </row>
    <row r="42220" spans="16:16">
      <c r="P42220" s="2498"/>
    </row>
    <row r="42221" spans="16:16">
      <c r="P42221" s="2498"/>
    </row>
    <row r="42222" spans="16:16">
      <c r="P42222" s="2498"/>
    </row>
    <row r="42223" spans="16:16">
      <c r="P42223" s="2498"/>
    </row>
    <row r="42224" spans="16:16">
      <c r="P42224" s="2498"/>
    </row>
    <row r="42225" spans="16:16">
      <c r="P42225" s="2498"/>
    </row>
    <row r="42226" spans="16:16">
      <c r="P42226" s="2498"/>
    </row>
    <row r="42227" spans="16:16">
      <c r="P42227" s="2498"/>
    </row>
    <row r="42228" spans="16:16">
      <c r="P42228" s="2498"/>
    </row>
    <row r="42229" spans="16:16">
      <c r="P42229" s="2498"/>
    </row>
    <row r="42230" spans="16:16">
      <c r="P42230" s="2498"/>
    </row>
    <row r="42231" spans="16:16">
      <c r="P42231" s="2498"/>
    </row>
    <row r="42232" spans="16:16">
      <c r="P42232" s="2498"/>
    </row>
    <row r="42233" spans="16:16">
      <c r="P42233" s="2498"/>
    </row>
    <row r="42234" spans="16:16">
      <c r="P42234" s="2498"/>
    </row>
    <row r="42235" spans="16:16">
      <c r="P42235" s="2498"/>
    </row>
    <row r="42236" spans="16:16">
      <c r="P42236" s="2498"/>
    </row>
    <row r="42237" spans="16:16">
      <c r="P42237" s="2498"/>
    </row>
    <row r="42238" spans="16:16">
      <c r="P42238" s="2498"/>
    </row>
    <row r="42239" spans="16:16">
      <c r="P42239" s="2498"/>
    </row>
    <row r="42240" spans="16:16">
      <c r="P42240" s="2498"/>
    </row>
    <row r="42241" spans="16:16">
      <c r="P42241" s="2498"/>
    </row>
    <row r="42242" spans="16:16">
      <c r="P42242" s="2498"/>
    </row>
    <row r="42243" spans="16:16">
      <c r="P42243" s="2498"/>
    </row>
    <row r="42244" spans="16:16">
      <c r="P42244" s="2498"/>
    </row>
    <row r="42245" spans="16:16">
      <c r="P42245" s="2498"/>
    </row>
    <row r="42246" spans="16:16">
      <c r="P42246" s="2498"/>
    </row>
    <row r="42247" spans="16:16">
      <c r="P42247" s="2498"/>
    </row>
    <row r="42248" spans="16:16">
      <c r="P42248" s="2498"/>
    </row>
    <row r="42249" spans="16:16">
      <c r="P42249" s="2498"/>
    </row>
    <row r="42250" spans="16:16">
      <c r="P42250" s="2498"/>
    </row>
    <row r="42251" spans="16:16">
      <c r="P42251" s="2498"/>
    </row>
    <row r="42252" spans="16:16">
      <c r="P42252" s="2498"/>
    </row>
    <row r="42253" spans="16:16">
      <c r="P42253" s="2498"/>
    </row>
    <row r="42254" spans="16:16">
      <c r="P42254" s="2498"/>
    </row>
    <row r="42255" spans="16:16">
      <c r="P42255" s="2498"/>
    </row>
    <row r="42256" spans="16:16">
      <c r="P42256" s="2498"/>
    </row>
    <row r="42257" spans="16:16">
      <c r="P42257" s="2498"/>
    </row>
    <row r="42258" spans="16:16">
      <c r="P42258" s="2498"/>
    </row>
    <row r="42259" spans="16:16">
      <c r="P42259" s="2498"/>
    </row>
    <row r="42260" spans="16:16">
      <c r="P42260" s="2498"/>
    </row>
    <row r="42261" spans="16:16">
      <c r="P42261" s="2498"/>
    </row>
    <row r="42262" spans="16:16">
      <c r="P42262" s="2498"/>
    </row>
    <row r="42263" spans="16:16">
      <c r="P42263" s="2498"/>
    </row>
    <row r="42264" spans="16:16">
      <c r="P42264" s="2498"/>
    </row>
    <row r="42265" spans="16:16">
      <c r="P42265" s="2498"/>
    </row>
    <row r="42266" spans="16:16">
      <c r="P42266" s="2498"/>
    </row>
    <row r="42267" spans="16:16">
      <c r="P42267" s="2498"/>
    </row>
    <row r="42268" spans="16:16">
      <c r="P42268" s="2498"/>
    </row>
    <row r="42269" spans="16:16">
      <c r="P42269" s="2498"/>
    </row>
    <row r="42270" spans="16:16">
      <c r="P42270" s="2498"/>
    </row>
    <row r="42271" spans="16:16">
      <c r="P42271" s="2498"/>
    </row>
    <row r="42272" spans="16:16">
      <c r="P42272" s="2498"/>
    </row>
    <row r="42273" spans="16:16">
      <c r="P42273" s="2498"/>
    </row>
    <row r="42274" spans="16:16">
      <c r="P42274" s="2498"/>
    </row>
    <row r="42275" spans="16:16">
      <c r="P42275" s="2498"/>
    </row>
    <row r="42276" spans="16:16">
      <c r="P42276" s="2498"/>
    </row>
    <row r="42277" spans="16:16">
      <c r="P42277" s="2498"/>
    </row>
    <row r="42278" spans="16:16">
      <c r="P42278" s="2498"/>
    </row>
    <row r="42279" spans="16:16">
      <c r="P42279" s="2498"/>
    </row>
    <row r="42280" spans="16:16">
      <c r="P42280" s="2498"/>
    </row>
    <row r="42281" spans="16:16">
      <c r="P42281" s="2498"/>
    </row>
    <row r="42282" spans="16:16">
      <c r="P42282" s="2498"/>
    </row>
    <row r="42283" spans="16:16">
      <c r="P42283" s="2498"/>
    </row>
    <row r="42284" spans="16:16">
      <c r="P42284" s="2498"/>
    </row>
    <row r="42285" spans="16:16">
      <c r="P42285" s="2498"/>
    </row>
    <row r="42286" spans="16:16">
      <c r="P42286" s="2498"/>
    </row>
    <row r="42287" spans="16:16">
      <c r="P42287" s="2498"/>
    </row>
    <row r="42288" spans="16:16">
      <c r="P42288" s="2498"/>
    </row>
    <row r="42289" spans="16:16">
      <c r="P42289" s="2498"/>
    </row>
    <row r="42290" spans="16:16">
      <c r="P42290" s="2498"/>
    </row>
    <row r="42291" spans="16:16">
      <c r="P42291" s="2498"/>
    </row>
    <row r="42292" spans="16:16">
      <c r="P42292" s="2498"/>
    </row>
    <row r="42293" spans="16:16">
      <c r="P42293" s="2498"/>
    </row>
    <row r="42294" spans="16:16">
      <c r="P42294" s="2498"/>
    </row>
    <row r="42295" spans="16:16">
      <c r="P42295" s="2498"/>
    </row>
    <row r="42296" spans="16:16">
      <c r="P42296" s="2498"/>
    </row>
    <row r="42297" spans="16:16">
      <c r="P42297" s="2498"/>
    </row>
    <row r="42298" spans="16:16">
      <c r="P42298" s="2498"/>
    </row>
    <row r="42299" spans="16:16">
      <c r="P42299" s="2498"/>
    </row>
    <row r="42300" spans="16:16">
      <c r="P42300" s="2498"/>
    </row>
    <row r="42301" spans="16:16">
      <c r="P42301" s="2498"/>
    </row>
    <row r="42302" spans="16:16">
      <c r="P42302" s="2498"/>
    </row>
    <row r="42303" spans="16:16">
      <c r="P42303" s="2498"/>
    </row>
    <row r="42304" spans="16:16">
      <c r="P42304" s="2498"/>
    </row>
    <row r="42305" spans="16:16">
      <c r="P42305" s="2498"/>
    </row>
    <row r="42306" spans="16:16">
      <c r="P42306" s="2498"/>
    </row>
    <row r="42307" spans="16:16">
      <c r="P42307" s="2498"/>
    </row>
    <row r="42308" spans="16:16">
      <c r="P42308" s="2498"/>
    </row>
    <row r="42309" spans="16:16">
      <c r="P42309" s="2498"/>
    </row>
    <row r="42310" spans="16:16">
      <c r="P42310" s="2498"/>
    </row>
    <row r="42311" spans="16:16">
      <c r="P42311" s="2498"/>
    </row>
    <row r="42312" spans="16:16">
      <c r="P42312" s="2498"/>
    </row>
    <row r="42313" spans="16:16">
      <c r="P42313" s="2498"/>
    </row>
    <row r="42314" spans="16:16">
      <c r="P42314" s="2498"/>
    </row>
    <row r="42315" spans="16:16">
      <c r="P42315" s="2498"/>
    </row>
    <row r="42316" spans="16:16">
      <c r="P42316" s="2498"/>
    </row>
    <row r="42317" spans="16:16">
      <c r="P42317" s="2498"/>
    </row>
    <row r="42318" spans="16:16">
      <c r="P42318" s="2498"/>
    </row>
    <row r="42319" spans="16:16">
      <c r="P42319" s="2498"/>
    </row>
    <row r="42320" spans="16:16">
      <c r="P42320" s="2498"/>
    </row>
    <row r="42321" spans="16:16">
      <c r="P42321" s="2498"/>
    </row>
    <row r="42322" spans="16:16">
      <c r="P42322" s="2498"/>
    </row>
    <row r="42323" spans="16:16">
      <c r="P42323" s="2498"/>
    </row>
    <row r="42324" spans="16:16">
      <c r="P42324" s="2498"/>
    </row>
    <row r="42325" spans="16:16">
      <c r="P42325" s="2498"/>
    </row>
    <row r="42326" spans="16:16">
      <c r="P42326" s="2498"/>
    </row>
    <row r="42327" spans="16:16">
      <c r="P42327" s="2498"/>
    </row>
    <row r="42328" spans="16:16">
      <c r="P42328" s="2498"/>
    </row>
    <row r="42329" spans="16:16">
      <c r="P42329" s="2498"/>
    </row>
    <row r="42330" spans="16:16">
      <c r="P42330" s="2498"/>
    </row>
    <row r="42331" spans="16:16">
      <c r="P42331" s="2498"/>
    </row>
    <row r="42332" spans="16:16">
      <c r="P42332" s="2498"/>
    </row>
    <row r="42333" spans="16:16">
      <c r="P42333" s="2498"/>
    </row>
    <row r="42334" spans="16:16">
      <c r="P42334" s="2498"/>
    </row>
    <row r="42335" spans="16:16">
      <c r="P42335" s="2498"/>
    </row>
    <row r="42336" spans="16:16">
      <c r="P42336" s="2498"/>
    </row>
    <row r="42337" spans="16:16">
      <c r="P42337" s="2498"/>
    </row>
    <row r="42338" spans="16:16">
      <c r="P42338" s="2498"/>
    </row>
    <row r="42339" spans="16:16">
      <c r="P42339" s="2498"/>
    </row>
    <row r="42340" spans="16:16">
      <c r="P42340" s="2498"/>
    </row>
    <row r="42341" spans="16:16">
      <c r="P42341" s="2498"/>
    </row>
    <row r="42342" spans="16:16">
      <c r="P42342" s="2498"/>
    </row>
    <row r="42343" spans="16:16">
      <c r="P42343" s="2498"/>
    </row>
    <row r="42344" spans="16:16">
      <c r="P42344" s="2498"/>
    </row>
    <row r="42345" spans="16:16">
      <c r="P42345" s="2498"/>
    </row>
    <row r="42346" spans="16:16">
      <c r="P42346" s="2498"/>
    </row>
    <row r="42347" spans="16:16">
      <c r="P42347" s="2498"/>
    </row>
    <row r="42348" spans="16:16">
      <c r="P42348" s="2498"/>
    </row>
    <row r="42349" spans="16:16">
      <c r="P42349" s="2498"/>
    </row>
    <row r="42350" spans="16:16">
      <c r="P42350" s="2498"/>
    </row>
    <row r="42351" spans="16:16">
      <c r="P42351" s="2498"/>
    </row>
    <row r="42352" spans="16:16">
      <c r="P42352" s="2498"/>
    </row>
    <row r="42353" spans="16:16">
      <c r="P42353" s="2498"/>
    </row>
    <row r="42354" spans="16:16">
      <c r="P42354" s="2498"/>
    </row>
    <row r="42355" spans="16:16">
      <c r="P42355" s="2498"/>
    </row>
    <row r="42356" spans="16:16">
      <c r="P42356" s="2498"/>
    </row>
    <row r="42357" spans="16:16">
      <c r="P42357" s="2498"/>
    </row>
    <row r="42358" spans="16:16">
      <c r="P42358" s="2498"/>
    </row>
    <row r="42359" spans="16:16">
      <c r="P42359" s="2498"/>
    </row>
    <row r="42360" spans="16:16">
      <c r="P42360" s="2498"/>
    </row>
    <row r="42361" spans="16:16">
      <c r="P42361" s="2498"/>
    </row>
    <row r="42362" spans="16:16">
      <c r="P42362" s="2498"/>
    </row>
    <row r="42363" spans="16:16">
      <c r="P42363" s="2498"/>
    </row>
    <row r="42364" spans="16:16">
      <c r="P42364" s="2498"/>
    </row>
    <row r="42365" spans="16:16">
      <c r="P42365" s="2498"/>
    </row>
    <row r="42366" spans="16:16">
      <c r="P42366" s="2498"/>
    </row>
    <row r="42367" spans="16:16">
      <c r="P42367" s="2498"/>
    </row>
    <row r="42368" spans="16:16">
      <c r="P42368" s="2498"/>
    </row>
    <row r="42369" spans="16:16">
      <c r="P42369" s="2498"/>
    </row>
    <row r="42370" spans="16:16">
      <c r="P42370" s="2498"/>
    </row>
    <row r="42371" spans="16:16">
      <c r="P42371" s="2498"/>
    </row>
    <row r="42372" spans="16:16">
      <c r="P42372" s="2498"/>
    </row>
    <row r="42373" spans="16:16">
      <c r="P42373" s="2498"/>
    </row>
    <row r="42374" spans="16:16">
      <c r="P42374" s="2498"/>
    </row>
    <row r="42375" spans="16:16">
      <c r="P42375" s="2498"/>
    </row>
    <row r="42376" spans="16:16">
      <c r="P42376" s="2498"/>
    </row>
    <row r="42377" spans="16:16">
      <c r="P42377" s="2498"/>
    </row>
    <row r="42378" spans="16:16">
      <c r="P42378" s="2498"/>
    </row>
    <row r="42379" spans="16:16">
      <c r="P42379" s="2498"/>
    </row>
    <row r="42380" spans="16:16">
      <c r="P42380" s="2498"/>
    </row>
    <row r="42381" spans="16:16">
      <c r="P42381" s="2498"/>
    </row>
    <row r="42382" spans="16:16">
      <c r="P42382" s="2498"/>
    </row>
    <row r="42383" spans="16:16">
      <c r="P42383" s="2498"/>
    </row>
    <row r="42384" spans="16:16">
      <c r="P42384" s="2498"/>
    </row>
    <row r="42385" spans="16:16">
      <c r="P42385" s="2498"/>
    </row>
    <row r="42386" spans="16:16">
      <c r="P42386" s="2498"/>
    </row>
    <row r="42387" spans="16:16">
      <c r="P42387" s="2498"/>
    </row>
    <row r="42388" spans="16:16">
      <c r="P42388" s="2498"/>
    </row>
    <row r="42389" spans="16:16">
      <c r="P42389" s="2498"/>
    </row>
    <row r="42390" spans="16:16">
      <c r="P42390" s="2498"/>
    </row>
    <row r="42391" spans="16:16">
      <c r="P42391" s="2498"/>
    </row>
    <row r="42392" spans="16:16">
      <c r="P42392" s="2498"/>
    </row>
    <row r="42393" spans="16:16">
      <c r="P42393" s="2498"/>
    </row>
    <row r="42394" spans="16:16">
      <c r="P42394" s="2498"/>
    </row>
    <row r="42395" spans="16:16">
      <c r="P42395" s="2498"/>
    </row>
    <row r="42396" spans="16:16">
      <c r="P42396" s="2498"/>
    </row>
    <row r="42397" spans="16:16">
      <c r="P42397" s="2498"/>
    </row>
    <row r="42398" spans="16:16">
      <c r="P42398" s="2498"/>
    </row>
    <row r="42399" spans="16:16">
      <c r="P42399" s="2498"/>
    </row>
    <row r="42400" spans="16:16">
      <c r="P42400" s="2498"/>
    </row>
    <row r="42401" spans="16:16">
      <c r="P42401" s="2498"/>
    </row>
    <row r="42402" spans="16:16">
      <c r="P42402" s="2498"/>
    </row>
    <row r="42403" spans="16:16">
      <c r="P42403" s="2498"/>
    </row>
    <row r="42404" spans="16:16">
      <c r="P42404" s="2498"/>
    </row>
    <row r="42405" spans="16:16">
      <c r="P42405" s="2498"/>
    </row>
    <row r="42406" spans="16:16">
      <c r="P42406" s="2498"/>
    </row>
    <row r="42407" spans="16:16">
      <c r="P42407" s="2498"/>
    </row>
    <row r="42408" spans="16:16">
      <c r="P42408" s="2498"/>
    </row>
    <row r="42409" spans="16:16">
      <c r="P42409" s="2498"/>
    </row>
    <row r="42410" spans="16:16">
      <c r="P42410" s="2498"/>
    </row>
    <row r="42411" spans="16:16">
      <c r="P42411" s="2498"/>
    </row>
    <row r="42412" spans="16:16">
      <c r="P42412" s="2498"/>
    </row>
    <row r="42413" spans="16:16">
      <c r="P42413" s="2498"/>
    </row>
    <row r="42414" spans="16:16">
      <c r="P42414" s="2498"/>
    </row>
    <row r="42415" spans="16:16">
      <c r="P42415" s="2498"/>
    </row>
    <row r="42416" spans="16:16">
      <c r="P42416" s="2498"/>
    </row>
    <row r="42417" spans="16:16">
      <c r="P42417" s="2498"/>
    </row>
    <row r="42418" spans="16:16">
      <c r="P42418" s="2498"/>
    </row>
    <row r="42419" spans="16:16">
      <c r="P42419" s="2498"/>
    </row>
    <row r="42420" spans="16:16">
      <c r="P42420" s="2498"/>
    </row>
    <row r="42421" spans="16:16">
      <c r="P42421" s="2498"/>
    </row>
    <row r="42422" spans="16:16">
      <c r="P42422" s="2498"/>
    </row>
    <row r="42423" spans="16:16">
      <c r="P42423" s="2498"/>
    </row>
    <row r="42424" spans="16:16">
      <c r="P42424" s="2498"/>
    </row>
    <row r="42425" spans="16:16">
      <c r="P42425" s="2498"/>
    </row>
    <row r="42426" spans="16:16">
      <c r="P42426" s="2498"/>
    </row>
    <row r="42427" spans="16:16">
      <c r="P42427" s="2498"/>
    </row>
    <row r="42428" spans="16:16">
      <c r="P42428" s="2498"/>
    </row>
    <row r="42429" spans="16:16">
      <c r="P42429" s="2498"/>
    </row>
    <row r="42430" spans="16:16">
      <c r="P42430" s="2498"/>
    </row>
    <row r="42431" spans="16:16">
      <c r="P42431" s="2498"/>
    </row>
    <row r="42432" spans="16:16">
      <c r="P42432" s="2498"/>
    </row>
    <row r="42433" spans="16:16">
      <c r="P42433" s="2498"/>
    </row>
    <row r="42434" spans="16:16">
      <c r="P42434" s="2498"/>
    </row>
    <row r="42435" spans="16:16">
      <c r="P42435" s="2498"/>
    </row>
    <row r="42436" spans="16:16">
      <c r="P42436" s="2498"/>
    </row>
    <row r="42437" spans="16:16">
      <c r="P42437" s="2498"/>
    </row>
    <row r="42438" spans="16:16">
      <c r="P42438" s="2498"/>
    </row>
    <row r="42439" spans="16:16">
      <c r="P42439" s="2498"/>
    </row>
    <row r="42440" spans="16:16">
      <c r="P42440" s="2498"/>
    </row>
    <row r="42441" spans="16:16">
      <c r="P42441" s="2498"/>
    </row>
    <row r="42442" spans="16:16">
      <c r="P42442" s="2498"/>
    </row>
    <row r="42443" spans="16:16">
      <c r="P42443" s="2498"/>
    </row>
    <row r="42444" spans="16:16">
      <c r="P42444" s="2498"/>
    </row>
    <row r="42445" spans="16:16">
      <c r="P42445" s="2498"/>
    </row>
    <row r="42446" spans="16:16">
      <c r="P42446" s="2498"/>
    </row>
    <row r="42447" spans="16:16">
      <c r="P42447" s="2498"/>
    </row>
    <row r="42448" spans="16:16">
      <c r="P42448" s="2498"/>
    </row>
    <row r="42449" spans="16:16">
      <c r="P42449" s="2498"/>
    </row>
    <row r="42450" spans="16:16">
      <c r="P42450" s="2498"/>
    </row>
    <row r="42451" spans="16:16">
      <c r="P42451" s="2498"/>
    </row>
    <row r="42452" spans="16:16">
      <c r="P42452" s="2498"/>
    </row>
    <row r="42453" spans="16:16">
      <c r="P42453" s="2498"/>
    </row>
    <row r="42454" spans="16:16">
      <c r="P42454" s="2498"/>
    </row>
    <row r="42455" spans="16:16">
      <c r="P42455" s="2498"/>
    </row>
    <row r="42456" spans="16:16">
      <c r="P42456" s="2498"/>
    </row>
    <row r="42457" spans="16:16">
      <c r="P42457" s="2498"/>
    </row>
    <row r="42458" spans="16:16">
      <c r="P42458" s="2498"/>
    </row>
    <row r="42459" spans="16:16">
      <c r="P42459" s="2498"/>
    </row>
    <row r="42460" spans="16:16">
      <c r="P42460" s="2498"/>
    </row>
    <row r="42461" spans="16:16">
      <c r="P42461" s="2498"/>
    </row>
    <row r="42462" spans="16:16">
      <c r="P42462" s="2498"/>
    </row>
    <row r="42463" spans="16:16">
      <c r="P42463" s="2498"/>
    </row>
    <row r="42464" spans="16:16">
      <c r="P42464" s="2498"/>
    </row>
    <row r="42465" spans="16:16">
      <c r="P42465" s="2498"/>
    </row>
    <row r="42466" spans="16:16">
      <c r="P42466" s="2498"/>
    </row>
    <row r="42467" spans="16:16">
      <c r="P42467" s="2498"/>
    </row>
    <row r="42468" spans="16:16">
      <c r="P42468" s="2498"/>
    </row>
    <row r="42469" spans="16:16">
      <c r="P42469" s="2498"/>
    </row>
    <row r="42470" spans="16:16">
      <c r="P42470" s="2498"/>
    </row>
    <row r="42471" spans="16:16">
      <c r="P42471" s="2498"/>
    </row>
    <row r="42472" spans="16:16">
      <c r="P42472" s="2498"/>
    </row>
    <row r="42473" spans="16:16">
      <c r="P42473" s="2498"/>
    </row>
    <row r="42474" spans="16:16">
      <c r="P42474" s="2498"/>
    </row>
    <row r="42475" spans="16:16">
      <c r="P42475" s="2498"/>
    </row>
    <row r="42476" spans="16:16">
      <c r="P42476" s="2498"/>
    </row>
    <row r="42477" spans="16:16">
      <c r="P42477" s="2498"/>
    </row>
    <row r="42478" spans="16:16">
      <c r="P42478" s="2498"/>
    </row>
    <row r="42479" spans="16:16">
      <c r="P42479" s="2498"/>
    </row>
    <row r="42480" spans="16:16">
      <c r="P42480" s="2498"/>
    </row>
    <row r="42481" spans="16:16">
      <c r="P42481" s="2498"/>
    </row>
    <row r="42482" spans="16:16">
      <c r="P42482" s="2498"/>
    </row>
    <row r="42483" spans="16:16">
      <c r="P42483" s="2498"/>
    </row>
    <row r="42484" spans="16:16">
      <c r="P42484" s="2498"/>
    </row>
    <row r="42485" spans="16:16">
      <c r="P42485" s="2498"/>
    </row>
    <row r="42486" spans="16:16">
      <c r="P42486" s="2498"/>
    </row>
    <row r="42487" spans="16:16">
      <c r="P42487" s="2498"/>
    </row>
    <row r="42488" spans="16:16">
      <c r="P42488" s="2498"/>
    </row>
    <row r="42489" spans="16:16">
      <c r="P42489" s="2498"/>
    </row>
    <row r="42490" spans="16:16">
      <c r="P42490" s="2498"/>
    </row>
    <row r="42491" spans="16:16">
      <c r="P42491" s="2498"/>
    </row>
    <row r="42492" spans="16:16">
      <c r="P42492" s="2498"/>
    </row>
    <row r="42493" spans="16:16">
      <c r="P42493" s="2498"/>
    </row>
    <row r="42494" spans="16:16">
      <c r="P42494" s="2498"/>
    </row>
    <row r="42495" spans="16:16">
      <c r="P42495" s="2498"/>
    </row>
    <row r="42496" spans="16:16">
      <c r="P42496" s="2498"/>
    </row>
    <row r="42497" spans="16:16">
      <c r="P42497" s="2498"/>
    </row>
    <row r="42498" spans="16:16">
      <c r="P42498" s="2498"/>
    </row>
    <row r="42499" spans="16:16">
      <c r="P42499" s="2498"/>
    </row>
    <row r="42500" spans="16:16">
      <c r="P42500" s="2498"/>
    </row>
    <row r="42501" spans="16:16">
      <c r="P42501" s="2498"/>
    </row>
    <row r="42502" spans="16:16">
      <c r="P42502" s="2498"/>
    </row>
    <row r="42503" spans="16:16">
      <c r="P42503" s="2498"/>
    </row>
    <row r="42504" spans="16:16">
      <c r="P42504" s="2498"/>
    </row>
    <row r="42505" spans="16:16">
      <c r="P42505" s="2498"/>
    </row>
    <row r="42506" spans="16:16">
      <c r="P42506" s="2498"/>
    </row>
    <row r="42507" spans="16:16">
      <c r="P42507" s="2498"/>
    </row>
    <row r="42508" spans="16:16">
      <c r="P42508" s="2498"/>
    </row>
    <row r="42509" spans="16:16">
      <c r="P42509" s="2498"/>
    </row>
    <row r="42510" spans="16:16">
      <c r="P42510" s="2498"/>
    </row>
    <row r="42511" spans="16:16">
      <c r="P42511" s="2498"/>
    </row>
    <row r="42512" spans="16:16">
      <c r="P42512" s="2498"/>
    </row>
    <row r="42513" spans="16:16">
      <c r="P42513" s="2498"/>
    </row>
    <row r="42514" spans="16:16">
      <c r="P42514" s="2498"/>
    </row>
    <row r="42515" spans="16:16">
      <c r="P42515" s="2498"/>
    </row>
    <row r="42516" spans="16:16">
      <c r="P42516" s="2498"/>
    </row>
    <row r="42517" spans="16:16">
      <c r="P42517" s="2498"/>
    </row>
    <row r="42518" spans="16:16">
      <c r="P42518" s="2498"/>
    </row>
    <row r="42519" spans="16:16">
      <c r="P42519" s="2498"/>
    </row>
    <row r="42520" spans="16:16">
      <c r="P42520" s="2498"/>
    </row>
    <row r="42521" spans="16:16">
      <c r="P42521" s="2498"/>
    </row>
    <row r="42522" spans="16:16">
      <c r="P42522" s="2498"/>
    </row>
    <row r="42523" spans="16:16">
      <c r="P42523" s="2498"/>
    </row>
    <row r="42524" spans="16:16">
      <c r="P42524" s="2498"/>
    </row>
    <row r="42525" spans="16:16">
      <c r="P42525" s="2498"/>
    </row>
    <row r="42526" spans="16:16">
      <c r="P42526" s="2498"/>
    </row>
    <row r="42527" spans="16:16">
      <c r="P42527" s="2498"/>
    </row>
    <row r="42528" spans="16:16">
      <c r="P42528" s="2498"/>
    </row>
    <row r="42529" spans="16:16">
      <c r="P42529" s="2498"/>
    </row>
    <row r="42530" spans="16:16">
      <c r="P42530" s="2498"/>
    </row>
    <row r="42531" spans="16:16">
      <c r="P42531" s="2498"/>
    </row>
    <row r="42532" spans="16:16">
      <c r="P42532" s="2498"/>
    </row>
    <row r="42533" spans="16:16">
      <c r="P42533" s="2498"/>
    </row>
    <row r="42534" spans="16:16">
      <c r="P42534" s="2498"/>
    </row>
    <row r="42535" spans="16:16">
      <c r="P42535" s="2498"/>
    </row>
    <row r="42536" spans="16:16">
      <c r="P42536" s="2498"/>
    </row>
    <row r="42537" spans="16:16">
      <c r="P42537" s="2498"/>
    </row>
    <row r="42538" spans="16:16">
      <c r="P42538" s="2498"/>
    </row>
    <row r="42539" spans="16:16">
      <c r="P42539" s="2498"/>
    </row>
    <row r="42540" spans="16:16">
      <c r="P42540" s="2498"/>
    </row>
    <row r="42541" spans="16:16">
      <c r="P42541" s="2498"/>
    </row>
    <row r="42542" spans="16:16">
      <c r="P42542" s="2498"/>
    </row>
    <row r="42543" spans="16:16">
      <c r="P42543" s="2498"/>
    </row>
    <row r="42544" spans="16:16">
      <c r="P42544" s="2498"/>
    </row>
    <row r="42545" spans="16:16">
      <c r="P42545" s="2498"/>
    </row>
    <row r="42546" spans="16:16">
      <c r="P42546" s="2498"/>
    </row>
    <row r="42547" spans="16:16">
      <c r="P42547" s="2498"/>
    </row>
    <row r="42548" spans="16:16">
      <c r="P42548" s="2498"/>
    </row>
    <row r="42549" spans="16:16">
      <c r="P42549" s="2498"/>
    </row>
    <row r="42550" spans="16:16">
      <c r="P42550" s="2498"/>
    </row>
    <row r="42551" spans="16:16">
      <c r="P42551" s="2498"/>
    </row>
    <row r="42552" spans="16:16">
      <c r="P42552" s="2498"/>
    </row>
    <row r="42553" spans="16:16">
      <c r="P42553" s="2498"/>
    </row>
    <row r="42554" spans="16:16">
      <c r="P42554" s="2498"/>
    </row>
    <row r="42555" spans="16:16">
      <c r="P42555" s="2498"/>
    </row>
    <row r="42556" spans="16:16">
      <c r="P42556" s="2498"/>
    </row>
    <row r="42557" spans="16:16">
      <c r="P42557" s="2498"/>
    </row>
    <row r="42558" spans="16:16">
      <c r="P42558" s="2498"/>
    </row>
    <row r="42559" spans="16:16">
      <c r="P42559" s="2498"/>
    </row>
    <row r="42560" spans="16:16">
      <c r="P42560" s="2498"/>
    </row>
    <row r="42561" spans="16:16">
      <c r="P42561" s="2498"/>
    </row>
    <row r="42562" spans="16:16">
      <c r="P42562" s="2498"/>
    </row>
    <row r="42563" spans="16:16">
      <c r="P42563" s="2498"/>
    </row>
    <row r="42564" spans="16:16">
      <c r="P42564" s="2498"/>
    </row>
    <row r="42565" spans="16:16">
      <c r="P42565" s="2498"/>
    </row>
    <row r="42566" spans="16:16">
      <c r="P42566" s="2498"/>
    </row>
    <row r="42567" spans="16:16">
      <c r="P42567" s="2498"/>
    </row>
    <row r="42568" spans="16:16">
      <c r="P42568" s="2498"/>
    </row>
    <row r="42569" spans="16:16">
      <c r="P42569" s="2498"/>
    </row>
    <row r="42570" spans="16:16">
      <c r="P42570" s="2498"/>
    </row>
    <row r="42571" spans="16:16">
      <c r="P42571" s="2498"/>
    </row>
    <row r="42572" spans="16:16">
      <c r="P42572" s="2498"/>
    </row>
    <row r="42573" spans="16:16">
      <c r="P42573" s="2498"/>
    </row>
    <row r="42574" spans="16:16">
      <c r="P42574" s="2498"/>
    </row>
    <row r="42575" spans="16:16">
      <c r="P42575" s="2498"/>
    </row>
    <row r="42576" spans="16:16">
      <c r="P42576" s="2498"/>
    </row>
    <row r="42577" spans="16:16">
      <c r="P42577" s="2498"/>
    </row>
    <row r="42578" spans="16:16">
      <c r="P42578" s="2498"/>
    </row>
    <row r="42579" spans="16:16">
      <c r="P42579" s="2498"/>
    </row>
    <row r="42580" spans="16:16">
      <c r="P42580" s="2498"/>
    </row>
    <row r="42581" spans="16:16">
      <c r="P42581" s="2498"/>
    </row>
    <row r="42582" spans="16:16">
      <c r="P42582" s="2498"/>
    </row>
    <row r="42583" spans="16:16">
      <c r="P42583" s="2498"/>
    </row>
    <row r="42584" spans="16:16">
      <c r="P42584" s="2498"/>
    </row>
    <row r="42585" spans="16:16">
      <c r="P42585" s="2498"/>
    </row>
    <row r="42586" spans="16:16">
      <c r="P42586" s="2498"/>
    </row>
    <row r="42587" spans="16:16">
      <c r="P42587" s="2498"/>
    </row>
    <row r="42588" spans="16:16">
      <c r="P42588" s="2498"/>
    </row>
    <row r="42589" spans="16:16">
      <c r="P42589" s="2498"/>
    </row>
    <row r="42590" spans="16:16">
      <c r="P42590" s="2498"/>
    </row>
    <row r="42591" spans="16:16">
      <c r="P42591" s="2498"/>
    </row>
    <row r="42592" spans="16:16">
      <c r="P42592" s="2498"/>
    </row>
    <row r="42593" spans="16:16">
      <c r="P42593" s="2498"/>
    </row>
    <row r="42594" spans="16:16">
      <c r="P42594" s="2498"/>
    </row>
    <row r="42595" spans="16:16">
      <c r="P42595" s="2498"/>
    </row>
    <row r="42596" spans="16:16">
      <c r="P42596" s="2498"/>
    </row>
    <row r="42597" spans="16:16">
      <c r="P42597" s="2498"/>
    </row>
    <row r="42598" spans="16:16">
      <c r="P42598" s="2498"/>
    </row>
    <row r="42599" spans="16:16">
      <c r="P42599" s="2498"/>
    </row>
    <row r="42600" spans="16:16">
      <c r="P42600" s="2498"/>
    </row>
    <row r="42601" spans="16:16">
      <c r="P42601" s="2498"/>
    </row>
    <row r="42602" spans="16:16">
      <c r="P42602" s="2498"/>
    </row>
    <row r="42603" spans="16:16">
      <c r="P42603" s="2498"/>
    </row>
    <row r="42604" spans="16:16">
      <c r="P42604" s="2498"/>
    </row>
    <row r="42605" spans="16:16">
      <c r="P42605" s="2498"/>
    </row>
    <row r="42606" spans="16:16">
      <c r="P42606" s="2498"/>
    </row>
    <row r="42607" spans="16:16">
      <c r="P42607" s="2498"/>
    </row>
    <row r="42608" spans="16:16">
      <c r="P42608" s="2498"/>
    </row>
    <row r="42609" spans="16:16">
      <c r="P42609" s="2498"/>
    </row>
    <row r="42610" spans="16:16">
      <c r="P42610" s="2498"/>
    </row>
    <row r="42611" spans="16:16">
      <c r="P42611" s="2498"/>
    </row>
    <row r="42612" spans="16:16">
      <c r="P42612" s="2498"/>
    </row>
    <row r="42613" spans="16:16">
      <c r="P42613" s="2498"/>
    </row>
    <row r="42614" spans="16:16">
      <c r="P42614" s="2498"/>
    </row>
    <row r="42615" spans="16:16">
      <c r="P42615" s="2498"/>
    </row>
    <row r="42616" spans="16:16">
      <c r="P42616" s="2498"/>
    </row>
    <row r="42617" spans="16:16">
      <c r="P42617" s="2498"/>
    </row>
    <row r="42618" spans="16:16">
      <c r="P42618" s="2498"/>
    </row>
    <row r="42619" spans="16:16">
      <c r="P42619" s="2498"/>
    </row>
    <row r="42620" spans="16:16">
      <c r="P42620" s="2498"/>
    </row>
    <row r="42621" spans="16:16">
      <c r="P42621" s="2498"/>
    </row>
    <row r="42622" spans="16:16">
      <c r="P42622" s="2498"/>
    </row>
    <row r="42623" spans="16:16">
      <c r="P42623" s="2498"/>
    </row>
    <row r="42624" spans="16:16">
      <c r="P42624" s="2498"/>
    </row>
    <row r="42625" spans="16:16">
      <c r="P42625" s="2498"/>
    </row>
    <row r="42626" spans="16:16">
      <c r="P42626" s="2498"/>
    </row>
    <row r="42627" spans="16:16">
      <c r="P42627" s="2498"/>
    </row>
    <row r="42628" spans="16:16">
      <c r="P42628" s="2498"/>
    </row>
    <row r="42629" spans="16:16">
      <c r="P42629" s="2498"/>
    </row>
    <row r="42630" spans="16:16">
      <c r="P42630" s="2498"/>
    </row>
    <row r="42631" spans="16:16">
      <c r="P42631" s="2498"/>
    </row>
    <row r="42632" spans="16:16">
      <c r="P42632" s="2498"/>
    </row>
    <row r="42633" spans="16:16">
      <c r="P42633" s="2498"/>
    </row>
    <row r="42634" spans="16:16">
      <c r="P42634" s="2498"/>
    </row>
    <row r="42635" spans="16:16">
      <c r="P42635" s="2498"/>
    </row>
    <row r="42636" spans="16:16">
      <c r="P42636" s="2498"/>
    </row>
    <row r="42637" spans="16:16">
      <c r="P42637" s="2498"/>
    </row>
    <row r="42638" spans="16:16">
      <c r="P42638" s="2498"/>
    </row>
    <row r="42639" spans="16:16">
      <c r="P42639" s="2498"/>
    </row>
    <row r="42640" spans="16:16">
      <c r="P42640" s="2498"/>
    </row>
    <row r="42641" spans="16:16">
      <c r="P42641" s="2498"/>
    </row>
    <row r="42642" spans="16:16">
      <c r="P42642" s="2498"/>
    </row>
    <row r="42643" spans="16:16">
      <c r="P42643" s="2498"/>
    </row>
    <row r="42644" spans="16:16">
      <c r="P42644" s="2498"/>
    </row>
    <row r="42645" spans="16:16">
      <c r="P42645" s="2498"/>
    </row>
    <row r="42646" spans="16:16">
      <c r="P42646" s="2498"/>
    </row>
    <row r="42647" spans="16:16">
      <c r="P42647" s="2498"/>
    </row>
    <row r="42648" spans="16:16">
      <c r="P42648" s="2498"/>
    </row>
    <row r="42649" spans="16:16">
      <c r="P42649" s="2498"/>
    </row>
    <row r="42650" spans="16:16">
      <c r="P42650" s="2498"/>
    </row>
    <row r="42651" spans="16:16">
      <c r="P42651" s="2498"/>
    </row>
    <row r="42652" spans="16:16">
      <c r="P42652" s="2498"/>
    </row>
    <row r="42653" spans="16:16">
      <c r="P42653" s="2498"/>
    </row>
    <row r="42654" spans="16:16">
      <c r="P42654" s="2498"/>
    </row>
    <row r="42655" spans="16:16">
      <c r="P42655" s="2498"/>
    </row>
    <row r="42656" spans="16:16">
      <c r="P42656" s="2498"/>
    </row>
    <row r="42657" spans="16:16">
      <c r="P42657" s="2498"/>
    </row>
    <row r="42658" spans="16:16">
      <c r="P42658" s="2498"/>
    </row>
    <row r="42659" spans="16:16">
      <c r="P42659" s="2498"/>
    </row>
    <row r="42660" spans="16:16">
      <c r="P42660" s="2498"/>
    </row>
    <row r="42661" spans="16:16">
      <c r="P42661" s="2498"/>
    </row>
    <row r="42662" spans="16:16">
      <c r="P42662" s="2498"/>
    </row>
    <row r="42663" spans="16:16">
      <c r="P42663" s="2498"/>
    </row>
    <row r="42664" spans="16:16">
      <c r="P42664" s="2498"/>
    </row>
    <row r="42665" spans="16:16">
      <c r="P42665" s="2498"/>
    </row>
    <row r="42666" spans="16:16">
      <c r="P42666" s="2498"/>
    </row>
    <row r="42667" spans="16:16">
      <c r="P42667" s="2498"/>
    </row>
    <row r="42668" spans="16:16">
      <c r="P42668" s="2498"/>
    </row>
    <row r="42669" spans="16:16">
      <c r="P42669" s="2498"/>
    </row>
    <row r="42670" spans="16:16">
      <c r="P42670" s="2498"/>
    </row>
    <row r="42671" spans="16:16">
      <c r="P42671" s="2498"/>
    </row>
    <row r="42672" spans="16:16">
      <c r="P42672" s="2498"/>
    </row>
    <row r="42673" spans="16:16">
      <c r="P42673" s="2498"/>
    </row>
    <row r="42674" spans="16:16">
      <c r="P42674" s="2498"/>
    </row>
    <row r="42675" spans="16:16">
      <c r="P42675" s="2498"/>
    </row>
    <row r="42676" spans="16:16">
      <c r="P42676" s="2498"/>
    </row>
    <row r="42677" spans="16:16">
      <c r="P42677" s="2498"/>
    </row>
    <row r="42678" spans="16:16">
      <c r="P42678" s="2498"/>
    </row>
    <row r="42679" spans="16:16">
      <c r="P42679" s="2498"/>
    </row>
    <row r="42680" spans="16:16">
      <c r="P42680" s="2498"/>
    </row>
    <row r="42681" spans="16:16">
      <c r="P42681" s="2498"/>
    </row>
    <row r="42682" spans="16:16">
      <c r="P42682" s="2498"/>
    </row>
    <row r="42683" spans="16:16">
      <c r="P42683" s="2498"/>
    </row>
    <row r="42684" spans="16:16">
      <c r="P42684" s="2498"/>
    </row>
    <row r="42685" spans="16:16">
      <c r="P42685" s="2498"/>
    </row>
    <row r="42686" spans="16:16">
      <c r="P42686" s="2498"/>
    </row>
    <row r="42687" spans="16:16">
      <c r="P42687" s="2498"/>
    </row>
    <row r="42688" spans="16:16">
      <c r="P42688" s="2498"/>
    </row>
    <row r="42689" spans="16:16">
      <c r="P42689" s="2498"/>
    </row>
    <row r="42690" spans="16:16">
      <c r="P42690" s="2498"/>
    </row>
    <row r="42691" spans="16:16">
      <c r="P42691" s="2498"/>
    </row>
    <row r="42692" spans="16:16">
      <c r="P42692" s="2498"/>
    </row>
    <row r="42693" spans="16:16">
      <c r="P42693" s="2498"/>
    </row>
    <row r="42694" spans="16:16">
      <c r="P42694" s="2498"/>
    </row>
    <row r="42695" spans="16:16">
      <c r="P42695" s="2498"/>
    </row>
    <row r="42696" spans="16:16">
      <c r="P42696" s="2498"/>
    </row>
    <row r="42697" spans="16:16">
      <c r="P42697" s="2498"/>
    </row>
    <row r="42698" spans="16:16">
      <c r="P42698" s="2498"/>
    </row>
    <row r="42699" spans="16:16">
      <c r="P42699" s="2498"/>
    </row>
    <row r="42700" spans="16:16">
      <c r="P42700" s="2498"/>
    </row>
    <row r="42701" spans="16:16">
      <c r="P42701" s="2498"/>
    </row>
    <row r="42702" spans="16:16">
      <c r="P42702" s="2498"/>
    </row>
    <row r="42703" spans="16:16">
      <c r="P42703" s="2498"/>
    </row>
    <row r="42704" spans="16:16">
      <c r="P42704" s="2498"/>
    </row>
    <row r="42705" spans="16:16">
      <c r="P42705" s="2498"/>
    </row>
    <row r="42706" spans="16:16">
      <c r="P42706" s="2498"/>
    </row>
    <row r="42707" spans="16:16">
      <c r="P42707" s="2498"/>
    </row>
    <row r="42708" spans="16:16">
      <c r="P42708" s="2498"/>
    </row>
    <row r="42709" spans="16:16">
      <c r="P42709" s="2498"/>
    </row>
    <row r="42710" spans="16:16">
      <c r="P42710" s="2498"/>
    </row>
    <row r="42711" spans="16:16">
      <c r="P42711" s="2498"/>
    </row>
    <row r="42712" spans="16:16">
      <c r="P42712" s="2498"/>
    </row>
    <row r="42713" spans="16:16">
      <c r="P42713" s="2498"/>
    </row>
    <row r="42714" spans="16:16">
      <c r="P42714" s="2498"/>
    </row>
    <row r="42715" spans="16:16">
      <c r="P42715" s="2498"/>
    </row>
    <row r="42716" spans="16:16">
      <c r="P42716" s="2498"/>
    </row>
    <row r="42717" spans="16:16">
      <c r="P42717" s="2498"/>
    </row>
    <row r="42718" spans="16:16">
      <c r="P42718" s="2498"/>
    </row>
    <row r="42719" spans="16:16">
      <c r="P42719" s="2498"/>
    </row>
    <row r="42720" spans="16:16">
      <c r="P42720" s="2498"/>
    </row>
    <row r="42721" spans="16:16">
      <c r="P42721" s="2498"/>
    </row>
    <row r="42722" spans="16:16">
      <c r="P42722" s="2498"/>
    </row>
    <row r="42723" spans="16:16">
      <c r="P42723" s="2498"/>
    </row>
    <row r="42724" spans="16:16">
      <c r="P42724" s="2498"/>
    </row>
    <row r="42725" spans="16:16">
      <c r="P42725" s="2498"/>
    </row>
    <row r="42726" spans="16:16">
      <c r="P42726" s="2498"/>
    </row>
    <row r="42727" spans="16:16">
      <c r="P42727" s="2498"/>
    </row>
    <row r="42728" spans="16:16">
      <c r="P42728" s="2498"/>
    </row>
    <row r="42729" spans="16:16">
      <c r="P42729" s="2498"/>
    </row>
    <row r="42730" spans="16:16">
      <c r="P42730" s="2498"/>
    </row>
    <row r="42731" spans="16:16">
      <c r="P42731" s="2498"/>
    </row>
    <row r="42732" spans="16:16">
      <c r="P42732" s="2498"/>
    </row>
    <row r="42733" spans="16:16">
      <c r="P42733" s="2498"/>
    </row>
    <row r="42734" spans="16:16">
      <c r="P42734" s="2498"/>
    </row>
    <row r="42735" spans="16:16">
      <c r="P42735" s="2498"/>
    </row>
    <row r="42736" spans="16:16">
      <c r="P42736" s="2498"/>
    </row>
    <row r="42737" spans="16:16">
      <c r="P42737" s="2498"/>
    </row>
    <row r="42738" spans="16:16">
      <c r="P42738" s="2498"/>
    </row>
    <row r="42739" spans="16:16">
      <c r="P42739" s="2498"/>
    </row>
    <row r="42740" spans="16:16">
      <c r="P42740" s="2498"/>
    </row>
    <row r="42741" spans="16:16">
      <c r="P42741" s="2498"/>
    </row>
    <row r="42742" spans="16:16">
      <c r="P42742" s="2498"/>
    </row>
    <row r="42743" spans="16:16">
      <c r="P42743" s="2498"/>
    </row>
    <row r="42744" spans="16:16">
      <c r="P42744" s="2498"/>
    </row>
    <row r="42745" spans="16:16">
      <c r="P42745" s="2498"/>
    </row>
    <row r="42746" spans="16:16">
      <c r="P42746" s="2498"/>
    </row>
    <row r="42747" spans="16:16">
      <c r="P42747" s="2498"/>
    </row>
    <row r="42748" spans="16:16">
      <c r="P42748" s="2498"/>
    </row>
    <row r="42749" spans="16:16">
      <c r="P42749" s="2498"/>
    </row>
    <row r="42750" spans="16:16">
      <c r="P42750" s="2498"/>
    </row>
    <row r="42751" spans="16:16">
      <c r="P42751" s="2498"/>
    </row>
    <row r="42752" spans="16:16">
      <c r="P42752" s="2498"/>
    </row>
    <row r="42753" spans="16:16">
      <c r="P42753" s="2498"/>
    </row>
    <row r="42754" spans="16:16">
      <c r="P42754" s="2498"/>
    </row>
    <row r="42755" spans="16:16">
      <c r="P42755" s="2498"/>
    </row>
    <row r="42756" spans="16:16">
      <c r="P42756" s="2498"/>
    </row>
    <row r="42757" spans="16:16">
      <c r="P42757" s="2498"/>
    </row>
    <row r="42758" spans="16:16">
      <c r="P42758" s="2498"/>
    </row>
    <row r="42759" spans="16:16">
      <c r="P42759" s="2498"/>
    </row>
    <row r="42760" spans="16:16">
      <c r="P42760" s="2498"/>
    </row>
    <row r="42761" spans="16:16">
      <c r="P42761" s="2498"/>
    </row>
    <row r="42762" spans="16:16">
      <c r="P42762" s="2498"/>
    </row>
    <row r="42763" spans="16:16">
      <c r="P42763" s="2498"/>
    </row>
    <row r="42764" spans="16:16">
      <c r="P42764" s="2498"/>
    </row>
    <row r="42765" spans="16:16">
      <c r="P42765" s="2498"/>
    </row>
    <row r="42766" spans="16:16">
      <c r="P42766" s="2498"/>
    </row>
    <row r="42767" spans="16:16">
      <c r="P42767" s="2498"/>
    </row>
    <row r="42768" spans="16:16">
      <c r="P42768" s="2498"/>
    </row>
    <row r="42769" spans="16:16">
      <c r="P42769" s="2498"/>
    </row>
    <row r="42770" spans="16:16">
      <c r="P42770" s="2498"/>
    </row>
    <row r="42771" spans="16:16">
      <c r="P42771" s="2498"/>
    </row>
    <row r="42772" spans="16:16">
      <c r="P42772" s="2498"/>
    </row>
    <row r="42773" spans="16:16">
      <c r="P42773" s="2498"/>
    </row>
    <row r="42774" spans="16:16">
      <c r="P42774" s="2498"/>
    </row>
    <row r="42775" spans="16:16">
      <c r="P42775" s="2498"/>
    </row>
    <row r="42776" spans="16:16">
      <c r="P42776" s="2498"/>
    </row>
    <row r="42777" spans="16:16">
      <c r="P42777" s="2498"/>
    </row>
    <row r="42778" spans="16:16">
      <c r="P42778" s="2498"/>
    </row>
    <row r="42779" spans="16:16">
      <c r="P42779" s="2498"/>
    </row>
    <row r="42780" spans="16:16">
      <c r="P42780" s="2498"/>
    </row>
    <row r="42781" spans="16:16">
      <c r="P42781" s="2498"/>
    </row>
    <row r="42782" spans="16:16">
      <c r="P42782" s="2498"/>
    </row>
    <row r="42783" spans="16:16">
      <c r="P42783" s="2498"/>
    </row>
    <row r="42784" spans="16:16">
      <c r="P42784" s="2498"/>
    </row>
    <row r="42785" spans="16:16">
      <c r="P42785" s="2498"/>
    </row>
    <row r="42786" spans="16:16">
      <c r="P42786" s="2498"/>
    </row>
    <row r="42787" spans="16:16">
      <c r="P42787" s="2498"/>
    </row>
    <row r="42788" spans="16:16">
      <c r="P42788" s="2498"/>
    </row>
    <row r="42789" spans="16:16">
      <c r="P42789" s="2498"/>
    </row>
    <row r="42790" spans="16:16">
      <c r="P42790" s="2498"/>
    </row>
    <row r="42791" spans="16:16">
      <c r="P42791" s="2498"/>
    </row>
    <row r="42792" spans="16:16">
      <c r="P42792" s="2498"/>
    </row>
    <row r="42793" spans="16:16">
      <c r="P42793" s="2498"/>
    </row>
    <row r="42794" spans="16:16">
      <c r="P42794" s="2498"/>
    </row>
    <row r="42795" spans="16:16">
      <c r="P42795" s="2498"/>
    </row>
    <row r="42796" spans="16:16">
      <c r="P42796" s="2498"/>
    </row>
    <row r="42797" spans="16:16">
      <c r="P42797" s="2498"/>
    </row>
    <row r="42798" spans="16:16">
      <c r="P42798" s="2498"/>
    </row>
    <row r="42799" spans="16:16">
      <c r="P42799" s="2498"/>
    </row>
    <row r="42800" spans="16:16">
      <c r="P42800" s="2498"/>
    </row>
    <row r="42801" spans="16:16">
      <c r="P42801" s="2498"/>
    </row>
    <row r="42802" spans="16:16">
      <c r="P42802" s="2498"/>
    </row>
    <row r="42803" spans="16:16">
      <c r="P42803" s="2498"/>
    </row>
    <row r="42804" spans="16:16">
      <c r="P42804" s="2498"/>
    </row>
    <row r="42805" spans="16:16">
      <c r="P42805" s="2498"/>
    </row>
    <row r="42806" spans="16:16">
      <c r="P42806" s="2498"/>
    </row>
    <row r="42807" spans="16:16">
      <c r="P42807" s="2498"/>
    </row>
    <row r="42808" spans="16:16">
      <c r="P42808" s="2498"/>
    </row>
    <row r="42809" spans="16:16">
      <c r="P42809" s="2498"/>
    </row>
    <row r="42810" spans="16:16">
      <c r="P42810" s="2498"/>
    </row>
    <row r="42811" spans="16:16">
      <c r="P42811" s="2498"/>
    </row>
    <row r="42812" spans="16:16">
      <c r="P42812" s="2498"/>
    </row>
    <row r="42813" spans="16:16">
      <c r="P42813" s="2498"/>
    </row>
    <row r="42814" spans="16:16">
      <c r="P42814" s="2498"/>
    </row>
    <row r="42815" spans="16:16">
      <c r="P42815" s="2498"/>
    </row>
    <row r="42816" spans="16:16">
      <c r="P42816" s="2498"/>
    </row>
    <row r="42817" spans="16:16">
      <c r="P42817" s="2498"/>
    </row>
    <row r="42818" spans="16:16">
      <c r="P42818" s="2498"/>
    </row>
    <row r="42819" spans="16:16">
      <c r="P42819" s="2498"/>
    </row>
    <row r="42820" spans="16:16">
      <c r="P42820" s="2498"/>
    </row>
    <row r="42821" spans="16:16">
      <c r="P42821" s="2498"/>
    </row>
    <row r="42822" spans="16:16">
      <c r="P42822" s="2498"/>
    </row>
    <row r="42823" spans="16:16">
      <c r="P42823" s="2498"/>
    </row>
    <row r="42824" spans="16:16">
      <c r="P42824" s="2498"/>
    </row>
    <row r="42825" spans="16:16">
      <c r="P42825" s="2498"/>
    </row>
    <row r="42826" spans="16:16">
      <c r="P42826" s="2498"/>
    </row>
    <row r="42827" spans="16:16">
      <c r="P42827" s="2498"/>
    </row>
    <row r="42828" spans="16:16">
      <c r="P42828" s="2498"/>
    </row>
    <row r="42829" spans="16:16">
      <c r="P42829" s="2498"/>
    </row>
    <row r="42830" spans="16:16">
      <c r="P42830" s="2498"/>
    </row>
    <row r="42831" spans="16:16">
      <c r="P42831" s="2498"/>
    </row>
    <row r="42832" spans="16:16">
      <c r="P42832" s="2498"/>
    </row>
    <row r="42833" spans="16:16">
      <c r="P42833" s="2498"/>
    </row>
    <row r="42834" spans="16:16">
      <c r="P42834" s="2498"/>
    </row>
    <row r="42835" spans="16:16">
      <c r="P42835" s="2498"/>
    </row>
    <row r="42836" spans="16:16">
      <c r="P42836" s="2498"/>
    </row>
    <row r="42837" spans="16:16">
      <c r="P42837" s="2498"/>
    </row>
    <row r="42838" spans="16:16">
      <c r="P42838" s="2498"/>
    </row>
    <row r="42839" spans="16:16">
      <c r="P42839" s="2498"/>
    </row>
    <row r="42840" spans="16:16">
      <c r="P42840" s="2498"/>
    </row>
    <row r="42841" spans="16:16">
      <c r="P42841" s="2498"/>
    </row>
    <row r="42842" spans="16:16">
      <c r="P42842" s="2498"/>
    </row>
    <row r="42843" spans="16:16">
      <c r="P42843" s="2498"/>
    </row>
    <row r="42844" spans="16:16">
      <c r="P42844" s="2498"/>
    </row>
    <row r="42845" spans="16:16">
      <c r="P42845" s="2498"/>
    </row>
    <row r="42846" spans="16:16">
      <c r="P42846" s="2498"/>
    </row>
    <row r="42847" spans="16:16">
      <c r="P42847" s="2498"/>
    </row>
    <row r="42848" spans="16:16">
      <c r="P42848" s="2498"/>
    </row>
    <row r="42849" spans="16:16">
      <c r="P42849" s="2498"/>
    </row>
    <row r="42850" spans="16:16">
      <c r="P42850" s="2498"/>
    </row>
    <row r="42851" spans="16:16">
      <c r="P42851" s="2498"/>
    </row>
    <row r="42852" spans="16:16">
      <c r="P42852" s="2498"/>
    </row>
    <row r="42853" spans="16:16">
      <c r="P42853" s="2498"/>
    </row>
    <row r="42854" spans="16:16">
      <c r="P42854" s="2498"/>
    </row>
    <row r="42855" spans="16:16">
      <c r="P42855" s="2498"/>
    </row>
    <row r="42856" spans="16:16">
      <c r="P42856" s="2498"/>
    </row>
    <row r="42857" spans="16:16">
      <c r="P42857" s="2498"/>
    </row>
    <row r="42858" spans="16:16">
      <c r="P42858" s="2498"/>
    </row>
    <row r="42859" spans="16:16">
      <c r="P42859" s="2498"/>
    </row>
    <row r="42860" spans="16:16">
      <c r="P42860" s="2498"/>
    </row>
    <row r="42861" spans="16:16">
      <c r="P42861" s="2498"/>
    </row>
    <row r="42862" spans="16:16">
      <c r="P42862" s="2498"/>
    </row>
    <row r="42863" spans="16:16">
      <c r="P42863" s="2498"/>
    </row>
    <row r="42864" spans="16:16">
      <c r="P42864" s="2498"/>
    </row>
    <row r="42865" spans="16:16">
      <c r="P42865" s="2498"/>
    </row>
    <row r="42866" spans="16:16">
      <c r="P42866" s="2498"/>
    </row>
    <row r="42867" spans="16:16">
      <c r="P42867" s="2498"/>
    </row>
    <row r="42868" spans="16:16">
      <c r="P42868" s="2498"/>
    </row>
    <row r="42869" spans="16:16">
      <c r="P42869" s="2498"/>
    </row>
    <row r="42870" spans="16:16">
      <c r="P42870" s="2498"/>
    </row>
    <row r="42871" spans="16:16">
      <c r="P42871" s="2498"/>
    </row>
    <row r="42872" spans="16:16">
      <c r="P42872" s="2498"/>
    </row>
    <row r="42873" spans="16:16">
      <c r="P42873" s="2498"/>
    </row>
    <row r="42874" spans="16:16">
      <c r="P42874" s="2498"/>
    </row>
    <row r="42875" spans="16:16">
      <c r="P42875" s="2498"/>
    </row>
    <row r="42876" spans="16:16">
      <c r="P42876" s="2498"/>
    </row>
    <row r="42877" spans="16:16">
      <c r="P42877" s="2498"/>
    </row>
    <row r="42878" spans="16:16">
      <c r="P42878" s="2498"/>
    </row>
    <row r="42879" spans="16:16">
      <c r="P42879" s="2498"/>
    </row>
    <row r="42880" spans="16:16">
      <c r="P42880" s="2498"/>
    </row>
    <row r="42881" spans="16:16">
      <c r="P42881" s="2498"/>
    </row>
    <row r="42882" spans="16:16">
      <c r="P42882" s="2498"/>
    </row>
    <row r="42883" spans="16:16">
      <c r="P42883" s="2498"/>
    </row>
    <row r="42884" spans="16:16">
      <c r="P42884" s="2498"/>
    </row>
    <row r="42885" spans="16:16">
      <c r="P42885" s="2498"/>
    </row>
    <row r="42886" spans="16:16">
      <c r="P42886" s="2498"/>
    </row>
    <row r="42887" spans="16:16">
      <c r="P42887" s="2498"/>
    </row>
    <row r="42888" spans="16:16">
      <c r="P42888" s="2498"/>
    </row>
    <row r="42889" spans="16:16">
      <c r="P42889" s="2498"/>
    </row>
    <row r="42890" spans="16:16">
      <c r="P42890" s="2498"/>
    </row>
    <row r="42891" spans="16:16">
      <c r="P42891" s="2498"/>
    </row>
    <row r="42892" spans="16:16">
      <c r="P42892" s="2498"/>
    </row>
    <row r="42893" spans="16:16">
      <c r="P42893" s="2498"/>
    </row>
    <row r="42894" spans="16:16">
      <c r="P42894" s="2498"/>
    </row>
    <row r="42895" spans="16:16">
      <c r="P42895" s="2498"/>
    </row>
    <row r="42896" spans="16:16">
      <c r="P42896" s="2498"/>
    </row>
    <row r="42897" spans="16:16">
      <c r="P42897" s="2498"/>
    </row>
    <row r="42898" spans="16:16">
      <c r="P42898" s="2498"/>
    </row>
    <row r="42899" spans="16:16">
      <c r="P42899" s="2498"/>
    </row>
    <row r="42900" spans="16:16">
      <c r="P42900" s="2498"/>
    </row>
    <row r="42901" spans="16:16">
      <c r="P42901" s="2498"/>
    </row>
    <row r="42902" spans="16:16">
      <c r="P42902" s="2498"/>
    </row>
    <row r="42903" spans="16:16">
      <c r="P42903" s="2498"/>
    </row>
    <row r="42904" spans="16:16">
      <c r="P42904" s="2498"/>
    </row>
    <row r="42905" spans="16:16">
      <c r="P42905" s="2498"/>
    </row>
    <row r="42906" spans="16:16">
      <c r="P42906" s="2498"/>
    </row>
    <row r="42907" spans="16:16">
      <c r="P42907" s="2498"/>
    </row>
    <row r="42908" spans="16:16">
      <c r="P42908" s="2498"/>
    </row>
    <row r="42909" spans="16:16">
      <c r="P42909" s="2498"/>
    </row>
    <row r="42910" spans="16:16">
      <c r="P42910" s="2498"/>
    </row>
    <row r="42911" spans="16:16">
      <c r="P42911" s="2498"/>
    </row>
    <row r="42912" spans="16:16">
      <c r="P42912" s="2498"/>
    </row>
    <row r="42913" spans="16:16">
      <c r="P42913" s="2498"/>
    </row>
    <row r="42914" spans="16:16">
      <c r="P42914" s="2498"/>
    </row>
    <row r="42915" spans="16:16">
      <c r="P42915" s="2498"/>
    </row>
    <row r="42916" spans="16:16">
      <c r="P42916" s="2498"/>
    </row>
    <row r="42917" spans="16:16">
      <c r="P42917" s="2498"/>
    </row>
    <row r="42918" spans="16:16">
      <c r="P42918" s="2498"/>
    </row>
    <row r="42919" spans="16:16">
      <c r="P42919" s="2498"/>
    </row>
    <row r="42920" spans="16:16">
      <c r="P42920" s="2498"/>
    </row>
    <row r="42921" spans="16:16">
      <c r="P42921" s="2498"/>
    </row>
    <row r="42922" spans="16:16">
      <c r="P42922" s="2498"/>
    </row>
    <row r="42923" spans="16:16">
      <c r="P42923" s="2498"/>
    </row>
    <row r="42924" spans="16:16">
      <c r="P42924" s="2498"/>
    </row>
    <row r="42925" spans="16:16">
      <c r="P42925" s="2498"/>
    </row>
    <row r="42926" spans="16:16">
      <c r="P42926" s="2498"/>
    </row>
    <row r="42927" spans="16:16">
      <c r="P42927" s="2498"/>
    </row>
    <row r="42928" spans="16:16">
      <c r="P42928" s="2498"/>
    </row>
    <row r="42929" spans="16:16">
      <c r="P42929" s="2498"/>
    </row>
    <row r="42930" spans="16:16">
      <c r="P42930" s="2498"/>
    </row>
    <row r="42931" spans="16:16">
      <c r="P42931" s="2498"/>
    </row>
    <row r="42932" spans="16:16">
      <c r="P42932" s="2498"/>
    </row>
    <row r="42933" spans="16:16">
      <c r="P42933" s="2498"/>
    </row>
    <row r="42934" spans="16:16">
      <c r="P42934" s="2498"/>
    </row>
    <row r="42935" spans="16:16">
      <c r="P42935" s="2498"/>
    </row>
    <row r="42936" spans="16:16">
      <c r="P42936" s="2498"/>
    </row>
    <row r="42937" spans="16:16">
      <c r="P42937" s="2498"/>
    </row>
    <row r="42938" spans="16:16">
      <c r="P42938" s="2498"/>
    </row>
    <row r="42939" spans="16:16">
      <c r="P42939" s="2498"/>
    </row>
    <row r="42940" spans="16:16">
      <c r="P42940" s="2498"/>
    </row>
    <row r="42941" spans="16:16">
      <c r="P42941" s="2498"/>
    </row>
    <row r="42942" spans="16:16">
      <c r="P42942" s="2498"/>
    </row>
    <row r="42943" spans="16:16">
      <c r="P42943" s="2498"/>
    </row>
    <row r="42944" spans="16:16">
      <c r="P42944" s="2498"/>
    </row>
    <row r="42945" spans="16:16">
      <c r="P42945" s="2498"/>
    </row>
    <row r="42946" spans="16:16">
      <c r="P42946" s="2498"/>
    </row>
    <row r="42947" spans="16:16">
      <c r="P42947" s="2498"/>
    </row>
    <row r="42948" spans="16:16">
      <c r="P42948" s="2498"/>
    </row>
    <row r="42949" spans="16:16">
      <c r="P42949" s="2498"/>
    </row>
    <row r="42950" spans="16:16">
      <c r="P42950" s="2498"/>
    </row>
    <row r="42951" spans="16:16">
      <c r="P42951" s="2498"/>
    </row>
    <row r="42952" spans="16:16">
      <c r="P42952" s="2498"/>
    </row>
    <row r="42953" spans="16:16">
      <c r="P42953" s="2498"/>
    </row>
    <row r="42954" spans="16:16">
      <c r="P42954" s="2498"/>
    </row>
    <row r="42955" spans="16:16">
      <c r="P42955" s="2498"/>
    </row>
    <row r="42956" spans="16:16">
      <c r="P42956" s="2498"/>
    </row>
    <row r="42957" spans="16:16">
      <c r="P42957" s="2498"/>
    </row>
    <row r="42958" spans="16:16">
      <c r="P42958" s="2498"/>
    </row>
    <row r="42959" spans="16:16">
      <c r="P42959" s="2498"/>
    </row>
    <row r="42960" spans="16:16">
      <c r="P42960" s="2498"/>
    </row>
    <row r="42961" spans="16:16">
      <c r="P42961" s="2498"/>
    </row>
    <row r="42962" spans="16:16">
      <c r="P42962" s="2498"/>
    </row>
    <row r="42963" spans="16:16">
      <c r="P42963" s="2498"/>
    </row>
    <row r="42964" spans="16:16">
      <c r="P42964" s="2498"/>
    </row>
    <row r="42965" spans="16:16">
      <c r="P42965" s="2498"/>
    </row>
    <row r="42966" spans="16:16">
      <c r="P42966" s="2498"/>
    </row>
    <row r="42967" spans="16:16">
      <c r="P42967" s="2498"/>
    </row>
    <row r="42968" spans="16:16">
      <c r="P42968" s="2498"/>
    </row>
    <row r="42969" spans="16:16">
      <c r="P42969" s="2498"/>
    </row>
    <row r="42970" spans="16:16">
      <c r="P42970" s="2498"/>
    </row>
    <row r="42971" spans="16:16">
      <c r="P42971" s="2498"/>
    </row>
    <row r="42972" spans="16:16">
      <c r="P42972" s="2498"/>
    </row>
    <row r="42973" spans="16:16">
      <c r="P42973" s="2498"/>
    </row>
    <row r="42974" spans="16:16">
      <c r="P42974" s="2498"/>
    </row>
    <row r="42975" spans="16:16">
      <c r="P42975" s="2498"/>
    </row>
    <row r="42976" spans="16:16">
      <c r="P42976" s="2498"/>
    </row>
    <row r="42977" spans="16:16">
      <c r="P42977" s="2498"/>
    </row>
    <row r="42978" spans="16:16">
      <c r="P42978" s="2498"/>
    </row>
    <row r="42979" spans="16:16">
      <c r="P42979" s="2498"/>
    </row>
    <row r="42980" spans="16:16">
      <c r="P42980" s="2498"/>
    </row>
    <row r="42981" spans="16:16">
      <c r="P42981" s="2498"/>
    </row>
    <row r="42982" spans="16:16">
      <c r="P42982" s="2498"/>
    </row>
    <row r="42983" spans="16:16">
      <c r="P42983" s="2498"/>
    </row>
    <row r="42984" spans="16:16">
      <c r="P42984" s="2498"/>
    </row>
    <row r="42985" spans="16:16">
      <c r="P42985" s="2498"/>
    </row>
    <row r="42986" spans="16:16">
      <c r="P42986" s="2498"/>
    </row>
    <row r="42987" spans="16:16">
      <c r="P42987" s="2498"/>
    </row>
    <row r="42988" spans="16:16">
      <c r="P42988" s="2498"/>
    </row>
    <row r="42989" spans="16:16">
      <c r="P42989" s="2498"/>
    </row>
    <row r="42990" spans="16:16">
      <c r="P42990" s="2498"/>
    </row>
    <row r="42991" spans="16:16">
      <c r="P42991" s="2498"/>
    </row>
    <row r="42992" spans="16:16">
      <c r="P42992" s="2498"/>
    </row>
    <row r="42993" spans="16:16">
      <c r="P42993" s="2498"/>
    </row>
    <row r="42994" spans="16:16">
      <c r="P42994" s="2498"/>
    </row>
    <row r="42995" spans="16:16">
      <c r="P42995" s="2498"/>
    </row>
    <row r="42996" spans="16:16">
      <c r="P42996" s="2498"/>
    </row>
    <row r="42997" spans="16:16">
      <c r="P42997" s="2498"/>
    </row>
    <row r="42998" spans="16:16">
      <c r="P42998" s="2498"/>
    </row>
    <row r="42999" spans="16:16">
      <c r="P42999" s="2498"/>
    </row>
    <row r="43000" spans="16:16">
      <c r="P43000" s="2498"/>
    </row>
    <row r="43001" spans="16:16">
      <c r="P43001" s="2498"/>
    </row>
    <row r="43002" spans="16:16">
      <c r="P43002" s="2498"/>
    </row>
    <row r="43003" spans="16:16">
      <c r="P43003" s="2498"/>
    </row>
    <row r="43004" spans="16:16">
      <c r="P43004" s="2498"/>
    </row>
    <row r="43005" spans="16:16">
      <c r="P43005" s="2498"/>
    </row>
    <row r="43006" spans="16:16">
      <c r="P43006" s="2498"/>
    </row>
    <row r="43007" spans="16:16">
      <c r="P43007" s="2498"/>
    </row>
    <row r="43008" spans="16:16">
      <c r="P43008" s="2498"/>
    </row>
    <row r="43009" spans="16:16">
      <c r="P43009" s="2498"/>
    </row>
    <row r="43010" spans="16:16">
      <c r="P43010" s="2498"/>
    </row>
    <row r="43011" spans="16:16">
      <c r="P43011" s="2498"/>
    </row>
    <row r="43012" spans="16:16">
      <c r="P43012" s="2498"/>
    </row>
    <row r="43013" spans="16:16">
      <c r="P43013" s="2498"/>
    </row>
    <row r="43014" spans="16:16">
      <c r="P43014" s="2498"/>
    </row>
    <row r="43015" spans="16:16">
      <c r="P43015" s="2498"/>
    </row>
    <row r="43016" spans="16:16">
      <c r="P43016" s="2498"/>
    </row>
    <row r="43017" spans="16:16">
      <c r="P43017" s="2498"/>
    </row>
    <row r="43018" spans="16:16">
      <c r="P43018" s="2498"/>
    </row>
    <row r="43019" spans="16:16">
      <c r="P43019" s="2498"/>
    </row>
    <row r="43020" spans="16:16">
      <c r="P43020" s="2498"/>
    </row>
    <row r="43021" spans="16:16">
      <c r="P43021" s="2498"/>
    </row>
    <row r="43022" spans="16:16">
      <c r="P43022" s="2498"/>
    </row>
    <row r="43023" spans="16:16">
      <c r="P43023" s="2498"/>
    </row>
    <row r="43024" spans="16:16">
      <c r="P43024" s="2498"/>
    </row>
    <row r="43025" spans="16:16">
      <c r="P43025" s="2498"/>
    </row>
    <row r="43026" spans="16:16">
      <c r="P43026" s="2498"/>
    </row>
    <row r="43027" spans="16:16">
      <c r="P43027" s="2498"/>
    </row>
    <row r="43028" spans="16:16">
      <c r="P43028" s="2498"/>
    </row>
    <row r="43029" spans="16:16">
      <c r="P43029" s="2498"/>
    </row>
    <row r="43030" spans="16:16">
      <c r="P43030" s="2498"/>
    </row>
    <row r="43031" spans="16:16">
      <c r="P43031" s="2498"/>
    </row>
    <row r="43032" spans="16:16">
      <c r="P43032" s="2498"/>
    </row>
    <row r="43033" spans="16:16">
      <c r="P43033" s="2498"/>
    </row>
    <row r="43034" spans="16:16">
      <c r="P43034" s="2498"/>
    </row>
    <row r="43035" spans="16:16">
      <c r="P43035" s="2498"/>
    </row>
    <row r="43036" spans="16:16">
      <c r="P43036" s="2498"/>
    </row>
    <row r="43037" spans="16:16">
      <c r="P43037" s="2498"/>
    </row>
    <row r="43038" spans="16:16">
      <c r="P43038" s="2498"/>
    </row>
    <row r="43039" spans="16:16">
      <c r="P43039" s="2498"/>
    </row>
    <row r="43040" spans="16:16">
      <c r="P43040" s="2498"/>
    </row>
    <row r="43041" spans="16:16">
      <c r="P43041" s="2498"/>
    </row>
    <row r="43042" spans="16:16">
      <c r="P43042" s="2498"/>
    </row>
    <row r="43043" spans="16:16">
      <c r="P43043" s="2498"/>
    </row>
    <row r="43044" spans="16:16">
      <c r="P43044" s="2498"/>
    </row>
    <row r="43045" spans="16:16">
      <c r="P43045" s="2498"/>
    </row>
    <row r="43046" spans="16:16">
      <c r="P43046" s="2498"/>
    </row>
    <row r="43047" spans="16:16">
      <c r="P43047" s="2498"/>
    </row>
    <row r="43048" spans="16:16">
      <c r="P43048" s="2498"/>
    </row>
    <row r="43049" spans="16:16">
      <c r="P43049" s="2498"/>
    </row>
    <row r="43050" spans="16:16">
      <c r="P43050" s="2498"/>
    </row>
    <row r="43051" spans="16:16">
      <c r="P43051" s="2498"/>
    </row>
    <row r="43052" spans="16:16">
      <c r="P43052" s="2498"/>
    </row>
    <row r="43053" spans="16:16">
      <c r="P43053" s="2498"/>
    </row>
    <row r="43054" spans="16:16">
      <c r="P43054" s="2498"/>
    </row>
    <row r="43055" spans="16:16">
      <c r="P43055" s="2498"/>
    </row>
    <row r="43056" spans="16:16">
      <c r="P43056" s="2498"/>
    </row>
    <row r="43057" spans="16:16">
      <c r="P43057" s="2498"/>
    </row>
    <row r="43058" spans="16:16">
      <c r="P43058" s="2498"/>
    </row>
    <row r="43059" spans="16:16">
      <c r="P43059" s="2498"/>
    </row>
    <row r="43060" spans="16:16">
      <c r="P43060" s="2498"/>
    </row>
    <row r="43061" spans="16:16">
      <c r="P43061" s="2498"/>
    </row>
    <row r="43062" spans="16:16">
      <c r="P43062" s="2498"/>
    </row>
    <row r="43063" spans="16:16">
      <c r="P43063" s="2498"/>
    </row>
    <row r="43064" spans="16:16">
      <c r="P43064" s="2498"/>
    </row>
    <row r="43065" spans="16:16">
      <c r="P43065" s="2498"/>
    </row>
    <row r="43066" spans="16:16">
      <c r="P43066" s="2498"/>
    </row>
    <row r="43067" spans="16:16">
      <c r="P43067" s="2498"/>
    </row>
    <row r="43068" spans="16:16">
      <c r="P43068" s="2498"/>
    </row>
    <row r="43069" spans="16:16">
      <c r="P43069" s="2498"/>
    </row>
    <row r="43070" spans="16:16">
      <c r="P43070" s="2498"/>
    </row>
    <row r="43071" spans="16:16">
      <c r="P43071" s="2498"/>
    </row>
    <row r="43072" spans="16:16">
      <c r="P43072" s="2498"/>
    </row>
    <row r="43073" spans="16:16">
      <c r="P43073" s="2498"/>
    </row>
    <row r="43074" spans="16:16">
      <c r="P43074" s="2498"/>
    </row>
    <row r="43075" spans="16:16">
      <c r="P43075" s="2498"/>
    </row>
    <row r="43076" spans="16:16">
      <c r="P43076" s="2498"/>
    </row>
    <row r="43077" spans="16:16">
      <c r="P43077" s="2498"/>
    </row>
    <row r="43078" spans="16:16">
      <c r="P43078" s="2498"/>
    </row>
    <row r="43079" spans="16:16">
      <c r="P43079" s="2498"/>
    </row>
    <row r="43080" spans="16:16">
      <c r="P43080" s="2498"/>
    </row>
    <row r="43081" spans="16:16">
      <c r="P43081" s="2498"/>
    </row>
    <row r="43082" spans="16:16">
      <c r="P43082" s="2498"/>
    </row>
    <row r="43083" spans="16:16">
      <c r="P43083" s="2498"/>
    </row>
    <row r="43084" spans="16:16">
      <c r="P43084" s="2498"/>
    </row>
    <row r="43085" spans="16:16">
      <c r="P43085" s="2498"/>
    </row>
    <row r="43086" spans="16:16">
      <c r="P43086" s="2498"/>
    </row>
    <row r="43087" spans="16:16">
      <c r="P43087" s="2498"/>
    </row>
    <row r="43088" spans="16:16">
      <c r="P43088" s="2498"/>
    </row>
    <row r="43089" spans="16:16">
      <c r="P43089" s="2498"/>
    </row>
    <row r="43090" spans="16:16">
      <c r="P43090" s="2498"/>
    </row>
    <row r="43091" spans="16:16">
      <c r="P43091" s="2498"/>
    </row>
    <row r="43092" spans="16:16">
      <c r="P43092" s="2498"/>
    </row>
    <row r="43093" spans="16:16">
      <c r="P43093" s="2498"/>
    </row>
    <row r="43094" spans="16:16">
      <c r="P43094" s="2498"/>
    </row>
    <row r="43095" spans="16:16">
      <c r="P43095" s="2498"/>
    </row>
    <row r="43096" spans="16:16">
      <c r="P43096" s="2498"/>
    </row>
    <row r="43097" spans="16:16">
      <c r="P43097" s="2498"/>
    </row>
    <row r="43098" spans="16:16">
      <c r="P43098" s="2498"/>
    </row>
    <row r="43099" spans="16:16">
      <c r="P43099" s="2498"/>
    </row>
    <row r="43100" spans="16:16">
      <c r="P43100" s="2498"/>
    </row>
    <row r="43101" spans="16:16">
      <c r="P43101" s="2498"/>
    </row>
    <row r="43102" spans="16:16">
      <c r="P43102" s="2498"/>
    </row>
    <row r="43103" spans="16:16">
      <c r="P43103" s="2498"/>
    </row>
    <row r="43104" spans="16:16">
      <c r="P43104" s="2498"/>
    </row>
    <row r="43105" spans="16:16">
      <c r="P43105" s="2498"/>
    </row>
    <row r="43106" spans="16:16">
      <c r="P43106" s="2498"/>
    </row>
    <row r="43107" spans="16:16">
      <c r="P43107" s="2498"/>
    </row>
    <row r="43108" spans="16:16">
      <c r="P43108" s="2498"/>
    </row>
    <row r="43109" spans="16:16">
      <c r="P43109" s="2498"/>
    </row>
    <row r="43110" spans="16:16">
      <c r="P43110" s="2498"/>
    </row>
    <row r="43111" spans="16:16">
      <c r="P43111" s="2498"/>
    </row>
    <row r="43112" spans="16:16">
      <c r="P43112" s="2498"/>
    </row>
    <row r="43113" spans="16:16">
      <c r="P43113" s="2498"/>
    </row>
    <row r="43114" spans="16:16">
      <c r="P43114" s="2498"/>
    </row>
    <row r="43115" spans="16:16">
      <c r="P43115" s="2498"/>
    </row>
    <row r="43116" spans="16:16">
      <c r="P43116" s="2498"/>
    </row>
    <row r="43117" spans="16:16">
      <c r="P43117" s="2498"/>
    </row>
    <row r="43118" spans="16:16">
      <c r="P43118" s="2498"/>
    </row>
    <row r="43119" spans="16:16">
      <c r="P43119" s="2498"/>
    </row>
    <row r="43120" spans="16:16">
      <c r="P43120" s="2498"/>
    </row>
    <row r="43121" spans="16:16">
      <c r="P43121" s="2498"/>
    </row>
    <row r="43122" spans="16:16">
      <c r="P43122" s="2498"/>
    </row>
    <row r="43123" spans="16:16">
      <c r="P43123" s="2498"/>
    </row>
    <row r="43124" spans="16:16">
      <c r="P43124" s="2498"/>
    </row>
    <row r="43125" spans="16:16">
      <c r="P43125" s="2498"/>
    </row>
    <row r="43126" spans="16:16">
      <c r="P43126" s="2498"/>
    </row>
    <row r="43127" spans="16:16">
      <c r="P43127" s="2498"/>
    </row>
    <row r="43128" spans="16:16">
      <c r="P43128" s="2498"/>
    </row>
    <row r="43129" spans="16:16">
      <c r="P43129" s="2498"/>
    </row>
    <row r="43130" spans="16:16">
      <c r="P43130" s="2498"/>
    </row>
    <row r="43131" spans="16:16">
      <c r="P43131" s="2498"/>
    </row>
    <row r="43132" spans="16:16">
      <c r="P43132" s="2498"/>
    </row>
    <row r="43133" spans="16:16">
      <c r="P43133" s="2498"/>
    </row>
    <row r="43134" spans="16:16">
      <c r="P43134" s="2498"/>
    </row>
    <row r="43135" spans="16:16">
      <c r="P43135" s="2498"/>
    </row>
    <row r="43136" spans="16:16">
      <c r="P43136" s="2498"/>
    </row>
    <row r="43137" spans="16:16">
      <c r="P43137" s="2498"/>
    </row>
    <row r="43138" spans="16:16">
      <c r="P43138" s="2498"/>
    </row>
    <row r="43139" spans="16:16">
      <c r="P43139" s="2498"/>
    </row>
    <row r="43140" spans="16:16">
      <c r="P43140" s="2498"/>
    </row>
    <row r="43141" spans="16:16">
      <c r="P43141" s="2498"/>
    </row>
    <row r="43142" spans="16:16">
      <c r="P43142" s="2498"/>
    </row>
    <row r="43143" spans="16:16">
      <c r="P43143" s="2498"/>
    </row>
    <row r="43144" spans="16:16">
      <c r="P43144" s="2498"/>
    </row>
    <row r="43145" spans="16:16">
      <c r="P43145" s="2498"/>
    </row>
    <row r="43146" spans="16:16">
      <c r="P43146" s="2498"/>
    </row>
    <row r="43147" spans="16:16">
      <c r="P43147" s="2498"/>
    </row>
    <row r="43148" spans="16:16">
      <c r="P43148" s="2498"/>
    </row>
    <row r="43149" spans="16:16">
      <c r="P43149" s="2498"/>
    </row>
    <row r="43150" spans="16:16">
      <c r="P43150" s="2498"/>
    </row>
    <row r="43151" spans="16:16">
      <c r="P43151" s="2498"/>
    </row>
    <row r="43152" spans="16:16">
      <c r="P43152" s="2498"/>
    </row>
    <row r="43153" spans="16:16">
      <c r="P43153" s="2498"/>
    </row>
    <row r="43154" spans="16:16">
      <c r="P43154" s="2498"/>
    </row>
    <row r="43155" spans="16:16">
      <c r="P43155" s="2498"/>
    </row>
    <row r="43156" spans="16:16">
      <c r="P43156" s="2498"/>
    </row>
    <row r="43157" spans="16:16">
      <c r="P43157" s="2498"/>
    </row>
    <row r="43158" spans="16:16">
      <c r="P43158" s="2498"/>
    </row>
    <row r="43159" spans="16:16">
      <c r="P43159" s="2498"/>
    </row>
    <row r="43160" spans="16:16">
      <c r="P43160" s="2498"/>
    </row>
    <row r="43161" spans="16:16">
      <c r="P43161" s="2498"/>
    </row>
    <row r="43162" spans="16:16">
      <c r="P43162" s="2498"/>
    </row>
    <row r="43163" spans="16:16">
      <c r="P43163" s="2498"/>
    </row>
    <row r="43164" spans="16:16">
      <c r="P43164" s="2498"/>
    </row>
    <row r="43165" spans="16:16">
      <c r="P43165" s="2498"/>
    </row>
    <row r="43166" spans="16:16">
      <c r="P43166" s="2498"/>
    </row>
    <row r="43167" spans="16:16">
      <c r="P43167" s="2498"/>
    </row>
    <row r="43168" spans="16:16">
      <c r="P43168" s="2498"/>
    </row>
    <row r="43169" spans="16:16">
      <c r="P43169" s="2498"/>
    </row>
    <row r="43170" spans="16:16">
      <c r="P43170" s="2498"/>
    </row>
    <row r="43171" spans="16:16">
      <c r="P43171" s="2498"/>
    </row>
    <row r="43172" spans="16:16">
      <c r="P43172" s="2498"/>
    </row>
    <row r="43173" spans="16:16">
      <c r="P43173" s="2498"/>
    </row>
    <row r="43174" spans="16:16">
      <c r="P43174" s="2498"/>
    </row>
    <row r="43175" spans="16:16">
      <c r="P43175" s="2498"/>
    </row>
    <row r="43176" spans="16:16">
      <c r="P43176" s="2498"/>
    </row>
    <row r="43177" spans="16:16">
      <c r="P43177" s="2498"/>
    </row>
    <row r="43178" spans="16:16">
      <c r="P43178" s="2498"/>
    </row>
    <row r="43179" spans="16:16">
      <c r="P43179" s="2498"/>
    </row>
    <row r="43180" spans="16:16">
      <c r="P43180" s="2498"/>
    </row>
    <row r="43181" spans="16:16">
      <c r="P43181" s="2498"/>
    </row>
    <row r="43182" spans="16:16">
      <c r="P43182" s="2498"/>
    </row>
    <row r="43183" spans="16:16">
      <c r="P43183" s="2498"/>
    </row>
    <row r="43184" spans="16:16">
      <c r="P43184" s="2498"/>
    </row>
    <row r="43185" spans="16:16">
      <c r="P43185" s="2498"/>
    </row>
    <row r="43186" spans="16:16">
      <c r="P43186" s="2498"/>
    </row>
    <row r="43187" spans="16:16">
      <c r="P43187" s="2498"/>
    </row>
    <row r="43188" spans="16:16">
      <c r="P43188" s="2498"/>
    </row>
    <row r="43189" spans="16:16">
      <c r="P43189" s="2498"/>
    </row>
    <row r="43190" spans="16:16">
      <c r="P43190" s="2498"/>
    </row>
    <row r="43191" spans="16:16">
      <c r="P43191" s="2498"/>
    </row>
    <row r="43192" spans="16:16">
      <c r="P43192" s="2498"/>
    </row>
    <row r="43193" spans="16:16">
      <c r="P43193" s="2498"/>
    </row>
    <row r="43194" spans="16:16">
      <c r="P43194" s="2498"/>
    </row>
    <row r="43195" spans="16:16">
      <c r="P43195" s="2498"/>
    </row>
    <row r="43196" spans="16:16">
      <c r="P43196" s="2498"/>
    </row>
    <row r="43197" spans="16:16">
      <c r="P43197" s="2498"/>
    </row>
    <row r="43198" spans="16:16">
      <c r="P43198" s="2498"/>
    </row>
    <row r="43199" spans="16:16">
      <c r="P43199" s="2498"/>
    </row>
    <row r="43200" spans="16:16">
      <c r="P43200" s="2498"/>
    </row>
    <row r="43201" spans="16:16">
      <c r="P43201" s="2498"/>
    </row>
    <row r="43202" spans="16:16">
      <c r="P43202" s="2498"/>
    </row>
    <row r="43203" spans="16:16">
      <c r="P43203" s="2498"/>
    </row>
    <row r="43204" spans="16:16">
      <c r="P43204" s="2498"/>
    </row>
    <row r="43205" spans="16:16">
      <c r="P43205" s="2498"/>
    </row>
    <row r="43206" spans="16:16">
      <c r="P43206" s="2498"/>
    </row>
    <row r="43207" spans="16:16">
      <c r="P43207" s="2498"/>
    </row>
    <row r="43208" spans="16:16">
      <c r="P43208" s="2498"/>
    </row>
    <row r="43209" spans="16:16">
      <c r="P43209" s="2498"/>
    </row>
    <row r="43210" spans="16:16">
      <c r="P43210" s="2498"/>
    </row>
    <row r="43211" spans="16:16">
      <c r="P43211" s="2498"/>
    </row>
    <row r="43212" spans="16:16">
      <c r="P43212" s="2498"/>
    </row>
    <row r="43213" spans="16:16">
      <c r="P43213" s="2498"/>
    </row>
    <row r="43214" spans="16:16">
      <c r="P43214" s="2498"/>
    </row>
    <row r="43215" spans="16:16">
      <c r="P43215" s="2498"/>
    </row>
    <row r="43216" spans="16:16">
      <c r="P43216" s="2498"/>
    </row>
    <row r="43217" spans="16:16">
      <c r="P43217" s="2498"/>
    </row>
    <row r="43218" spans="16:16">
      <c r="P43218" s="2498"/>
    </row>
    <row r="43219" spans="16:16">
      <c r="P43219" s="2498"/>
    </row>
    <row r="43220" spans="16:16">
      <c r="P43220" s="2498"/>
    </row>
    <row r="43221" spans="16:16">
      <c r="P43221" s="2498"/>
    </row>
    <row r="43222" spans="16:16">
      <c r="P43222" s="2498"/>
    </row>
    <row r="43223" spans="16:16">
      <c r="P43223" s="2498"/>
    </row>
    <row r="43224" spans="16:16">
      <c r="P43224" s="2498"/>
    </row>
    <row r="43225" spans="16:16">
      <c r="P43225" s="2498"/>
    </row>
    <row r="43226" spans="16:16">
      <c r="P43226" s="2498"/>
    </row>
    <row r="43227" spans="16:16">
      <c r="P43227" s="2498"/>
    </row>
    <row r="43228" spans="16:16">
      <c r="P43228" s="2498"/>
    </row>
    <row r="43229" spans="16:16">
      <c r="P43229" s="2498"/>
    </row>
    <row r="43230" spans="16:16">
      <c r="P43230" s="2498"/>
    </row>
    <row r="43231" spans="16:16">
      <c r="P43231" s="2498"/>
    </row>
    <row r="43232" spans="16:16">
      <c r="P43232" s="2498"/>
    </row>
    <row r="43233" spans="16:16">
      <c r="P43233" s="2498"/>
    </row>
    <row r="43234" spans="16:16">
      <c r="P43234" s="2498"/>
    </row>
    <row r="43235" spans="16:16">
      <c r="P43235" s="2498"/>
    </row>
    <row r="43236" spans="16:16">
      <c r="P43236" s="2498"/>
    </row>
    <row r="43237" spans="16:16">
      <c r="P43237" s="2498"/>
    </row>
    <row r="43238" spans="16:16">
      <c r="P43238" s="2498"/>
    </row>
    <row r="43239" spans="16:16">
      <c r="P43239" s="2498"/>
    </row>
    <row r="43240" spans="16:16">
      <c r="P43240" s="2498"/>
    </row>
    <row r="43241" spans="16:16">
      <c r="P43241" s="2498"/>
    </row>
    <row r="43242" spans="16:16">
      <c r="P43242" s="2498"/>
    </row>
    <row r="43243" spans="16:16">
      <c r="P43243" s="2498"/>
    </row>
    <row r="43244" spans="16:16">
      <c r="P43244" s="2498"/>
    </row>
    <row r="43245" spans="16:16">
      <c r="P43245" s="2498"/>
    </row>
    <row r="43246" spans="16:16">
      <c r="P43246" s="2498"/>
    </row>
    <row r="43247" spans="16:16">
      <c r="P43247" s="2498"/>
    </row>
    <row r="43248" spans="16:16">
      <c r="P43248" s="2498"/>
    </row>
    <row r="43249" spans="16:16">
      <c r="P43249" s="2498"/>
    </row>
    <row r="43250" spans="16:16">
      <c r="P43250" s="2498"/>
    </row>
    <row r="43251" spans="16:16">
      <c r="P43251" s="2498"/>
    </row>
    <row r="43252" spans="16:16">
      <c r="P43252" s="2498"/>
    </row>
    <row r="43253" spans="16:16">
      <c r="P43253" s="2498"/>
    </row>
    <row r="43254" spans="16:16">
      <c r="P43254" s="2498"/>
    </row>
    <row r="43255" spans="16:16">
      <c r="P43255" s="2498"/>
    </row>
    <row r="43256" spans="16:16">
      <c r="P43256" s="2498"/>
    </row>
    <row r="43257" spans="16:16">
      <c r="P43257" s="2498"/>
    </row>
    <row r="43258" spans="16:16">
      <c r="P43258" s="2498"/>
    </row>
    <row r="43259" spans="16:16">
      <c r="P43259" s="2498"/>
    </row>
    <row r="43260" spans="16:16">
      <c r="P43260" s="2498"/>
    </row>
    <row r="43261" spans="16:16">
      <c r="P43261" s="2498"/>
    </row>
    <row r="43262" spans="16:16">
      <c r="P43262" s="2498"/>
    </row>
    <row r="43263" spans="16:16">
      <c r="P43263" s="2498"/>
    </row>
    <row r="43264" spans="16:16">
      <c r="P43264" s="2498"/>
    </row>
    <row r="43265" spans="16:16">
      <c r="P43265" s="2498"/>
    </row>
    <row r="43266" spans="16:16">
      <c r="P43266" s="2498"/>
    </row>
    <row r="43267" spans="16:16">
      <c r="P43267" s="2498"/>
    </row>
    <row r="43268" spans="16:16">
      <c r="P43268" s="2498"/>
    </row>
    <row r="43269" spans="16:16">
      <c r="P43269" s="2498"/>
    </row>
    <row r="43270" spans="16:16">
      <c r="P43270" s="2498"/>
    </row>
    <row r="43271" spans="16:16">
      <c r="P43271" s="2498"/>
    </row>
    <row r="43272" spans="16:16">
      <c r="P43272" s="2498"/>
    </row>
    <row r="43273" spans="16:16">
      <c r="P43273" s="2498"/>
    </row>
    <row r="43274" spans="16:16">
      <c r="P43274" s="2498"/>
    </row>
    <row r="43275" spans="16:16">
      <c r="P43275" s="2498"/>
    </row>
    <row r="43276" spans="16:16">
      <c r="P43276" s="2498"/>
    </row>
    <row r="43277" spans="16:16">
      <c r="P43277" s="2498"/>
    </row>
    <row r="43278" spans="16:16">
      <c r="P43278" s="2498"/>
    </row>
    <row r="43279" spans="16:16">
      <c r="P43279" s="2498"/>
    </row>
    <row r="43280" spans="16:16">
      <c r="P43280" s="2498"/>
    </row>
    <row r="43281" spans="16:16">
      <c r="P43281" s="2498"/>
    </row>
    <row r="43282" spans="16:16">
      <c r="P43282" s="2498"/>
    </row>
    <row r="43283" spans="16:16">
      <c r="P43283" s="2498"/>
    </row>
    <row r="43284" spans="16:16">
      <c r="P43284" s="2498"/>
    </row>
    <row r="43285" spans="16:16">
      <c r="P43285" s="2498"/>
    </row>
    <row r="43286" spans="16:16">
      <c r="P43286" s="2498"/>
    </row>
    <row r="43287" spans="16:16">
      <c r="P43287" s="2498"/>
    </row>
    <row r="43288" spans="16:16">
      <c r="P43288" s="2498"/>
    </row>
    <row r="43289" spans="16:16">
      <c r="P43289" s="2498"/>
    </row>
    <row r="43290" spans="16:16">
      <c r="P43290" s="2498"/>
    </row>
    <row r="43291" spans="16:16">
      <c r="P43291" s="2498"/>
    </row>
    <row r="43292" spans="16:16">
      <c r="P43292" s="2498"/>
    </row>
    <row r="43293" spans="16:16">
      <c r="P43293" s="2498"/>
    </row>
    <row r="43294" spans="16:16">
      <c r="P43294" s="2498"/>
    </row>
    <row r="43295" spans="16:16">
      <c r="P43295" s="2498"/>
    </row>
    <row r="43296" spans="16:16">
      <c r="P43296" s="2498"/>
    </row>
    <row r="43297" spans="16:16">
      <c r="P43297" s="2498"/>
    </row>
    <row r="43298" spans="16:16">
      <c r="P43298" s="2498"/>
    </row>
    <row r="43299" spans="16:16">
      <c r="P43299" s="2498"/>
    </row>
    <row r="43300" spans="16:16">
      <c r="P43300" s="2498"/>
    </row>
    <row r="43301" spans="16:16">
      <c r="P43301" s="2498"/>
    </row>
    <row r="43302" spans="16:16">
      <c r="P43302" s="2498"/>
    </row>
    <row r="43303" spans="16:16">
      <c r="P43303" s="2498"/>
    </row>
    <row r="43304" spans="16:16">
      <c r="P43304" s="2498"/>
    </row>
    <row r="43305" spans="16:16">
      <c r="P43305" s="2498"/>
    </row>
    <row r="43306" spans="16:16">
      <c r="P43306" s="2498"/>
    </row>
    <row r="43307" spans="16:16">
      <c r="P43307" s="2498"/>
    </row>
    <row r="43308" spans="16:16">
      <c r="P43308" s="2498"/>
    </row>
    <row r="43309" spans="16:16">
      <c r="P43309" s="2498"/>
    </row>
    <row r="43310" spans="16:16">
      <c r="P43310" s="2498"/>
    </row>
    <row r="43311" spans="16:16">
      <c r="P43311" s="2498"/>
    </row>
    <row r="43312" spans="16:16">
      <c r="P43312" s="2498"/>
    </row>
    <row r="43313" spans="16:16">
      <c r="P43313" s="2498"/>
    </row>
    <row r="43314" spans="16:16">
      <c r="P43314" s="2498"/>
    </row>
    <row r="43315" spans="16:16">
      <c r="P43315" s="2498"/>
    </row>
    <row r="43316" spans="16:16">
      <c r="P43316" s="2498"/>
    </row>
    <row r="43317" spans="16:16">
      <c r="P43317" s="2498"/>
    </row>
    <row r="43318" spans="16:16">
      <c r="P43318" s="2498"/>
    </row>
    <row r="43319" spans="16:16">
      <c r="P43319" s="2498"/>
    </row>
    <row r="43320" spans="16:16">
      <c r="P43320" s="2498"/>
    </row>
    <row r="43321" spans="16:16">
      <c r="P43321" s="2498"/>
    </row>
    <row r="43322" spans="16:16">
      <c r="P43322" s="2498"/>
    </row>
    <row r="43323" spans="16:16">
      <c r="P43323" s="2498"/>
    </row>
    <row r="43324" spans="16:16">
      <c r="P43324" s="2498"/>
    </row>
    <row r="43325" spans="16:16">
      <c r="P43325" s="2498"/>
    </row>
    <row r="43326" spans="16:16">
      <c r="P43326" s="2498"/>
    </row>
    <row r="43327" spans="16:16">
      <c r="P43327" s="2498"/>
    </row>
    <row r="43328" spans="16:16">
      <c r="P43328" s="2498"/>
    </row>
    <row r="43329" spans="16:16">
      <c r="P43329" s="2498"/>
    </row>
    <row r="43330" spans="16:16">
      <c r="P43330" s="2498"/>
    </row>
    <row r="43331" spans="16:16">
      <c r="P43331" s="2498"/>
    </row>
    <row r="43332" spans="16:16">
      <c r="P43332" s="2498"/>
    </row>
    <row r="43333" spans="16:16">
      <c r="P43333" s="2498"/>
    </row>
    <row r="43334" spans="16:16">
      <c r="P43334" s="2498"/>
    </row>
    <row r="43335" spans="16:16">
      <c r="P43335" s="2498"/>
    </row>
    <row r="43336" spans="16:16">
      <c r="P43336" s="2498"/>
    </row>
    <row r="43337" spans="16:16">
      <c r="P43337" s="2498"/>
    </row>
    <row r="43338" spans="16:16">
      <c r="P43338" s="2498"/>
    </row>
    <row r="43339" spans="16:16">
      <c r="P43339" s="2498"/>
    </row>
    <row r="43340" spans="16:16">
      <c r="P43340" s="2498"/>
    </row>
    <row r="43341" spans="16:16">
      <c r="P43341" s="2498"/>
    </row>
    <row r="43342" spans="16:16">
      <c r="P43342" s="2498"/>
    </row>
    <row r="43343" spans="16:16">
      <c r="P43343" s="2498"/>
    </row>
    <row r="43344" spans="16:16">
      <c r="P43344" s="2498"/>
    </row>
    <row r="43345" spans="16:16">
      <c r="P43345" s="2498"/>
    </row>
    <row r="43346" spans="16:16">
      <c r="P43346" s="2498"/>
    </row>
    <row r="43347" spans="16:16">
      <c r="P43347" s="2498"/>
    </row>
    <row r="43348" spans="16:16">
      <c r="P43348" s="2498"/>
    </row>
    <row r="43349" spans="16:16">
      <c r="P43349" s="2498"/>
    </row>
    <row r="43350" spans="16:16">
      <c r="P43350" s="2498"/>
    </row>
    <row r="43351" spans="16:16">
      <c r="P43351" s="2498"/>
    </row>
    <row r="43352" spans="16:16">
      <c r="P43352" s="2498"/>
    </row>
    <row r="43353" spans="16:16">
      <c r="P43353" s="2498"/>
    </row>
    <row r="43354" spans="16:16">
      <c r="P43354" s="2498"/>
    </row>
    <row r="43355" spans="16:16">
      <c r="P43355" s="2498"/>
    </row>
    <row r="43356" spans="16:16">
      <c r="P43356" s="2498"/>
    </row>
    <row r="43357" spans="16:16">
      <c r="P43357" s="2498"/>
    </row>
    <row r="43358" spans="16:16">
      <c r="P43358" s="2498"/>
    </row>
    <row r="43359" spans="16:16">
      <c r="P43359" s="2498"/>
    </row>
    <row r="43360" spans="16:16">
      <c r="P43360" s="2498"/>
    </row>
    <row r="43361" spans="16:16">
      <c r="P43361" s="2498"/>
    </row>
    <row r="43362" spans="16:16">
      <c r="P43362" s="2498"/>
    </row>
    <row r="43363" spans="16:16">
      <c r="P43363" s="2498"/>
    </row>
    <row r="43364" spans="16:16">
      <c r="P43364" s="2498"/>
    </row>
    <row r="43365" spans="16:16">
      <c r="P43365" s="2498"/>
    </row>
    <row r="43366" spans="16:16">
      <c r="P43366" s="2498"/>
    </row>
    <row r="43367" spans="16:16">
      <c r="P43367" s="2498"/>
    </row>
    <row r="43368" spans="16:16">
      <c r="P43368" s="2498"/>
    </row>
    <row r="43369" spans="16:16">
      <c r="P43369" s="2498"/>
    </row>
    <row r="43370" spans="16:16">
      <c r="P43370" s="2498"/>
    </row>
    <row r="43371" spans="16:16">
      <c r="P43371" s="2498"/>
    </row>
    <row r="43372" spans="16:16">
      <c r="P43372" s="2498"/>
    </row>
    <row r="43373" spans="16:16">
      <c r="P43373" s="2498"/>
    </row>
    <row r="43374" spans="16:16">
      <c r="P43374" s="2498"/>
    </row>
    <row r="43375" spans="16:16">
      <c r="P43375" s="2498"/>
    </row>
    <row r="43376" spans="16:16">
      <c r="P43376" s="2498"/>
    </row>
    <row r="43377" spans="16:16">
      <c r="P43377" s="2498"/>
    </row>
    <row r="43378" spans="16:16">
      <c r="P43378" s="2498"/>
    </row>
    <row r="43379" spans="16:16">
      <c r="P43379" s="2498"/>
    </row>
    <row r="43380" spans="16:16">
      <c r="P43380" s="2498"/>
    </row>
    <row r="43381" spans="16:16">
      <c r="P43381" s="2498"/>
    </row>
    <row r="43382" spans="16:16">
      <c r="P43382" s="2498"/>
    </row>
    <row r="43383" spans="16:16">
      <c r="P43383" s="2498"/>
    </row>
    <row r="43384" spans="16:16">
      <c r="P43384" s="2498"/>
    </row>
    <row r="43385" spans="16:16">
      <c r="P43385" s="2498"/>
    </row>
    <row r="43386" spans="16:16">
      <c r="P43386" s="2498"/>
    </row>
    <row r="43387" spans="16:16">
      <c r="P43387" s="2498"/>
    </row>
    <row r="43388" spans="16:16">
      <c r="P43388" s="2498"/>
    </row>
    <row r="43389" spans="16:16">
      <c r="P43389" s="2498"/>
    </row>
    <row r="43390" spans="16:16">
      <c r="P43390" s="2498"/>
    </row>
    <row r="43391" spans="16:16">
      <c r="P43391" s="2498"/>
    </row>
    <row r="43392" spans="16:16">
      <c r="P43392" s="2498"/>
    </row>
    <row r="43393" spans="16:16">
      <c r="P43393" s="2498"/>
    </row>
    <row r="43394" spans="16:16">
      <c r="P43394" s="2498"/>
    </row>
    <row r="43395" spans="16:16">
      <c r="P43395" s="2498"/>
    </row>
    <row r="43396" spans="16:16">
      <c r="P43396" s="2498"/>
    </row>
    <row r="43397" spans="16:16">
      <c r="P43397" s="2498"/>
    </row>
    <row r="43398" spans="16:16">
      <c r="P43398" s="2498"/>
    </row>
    <row r="43399" spans="16:16">
      <c r="P43399" s="2498"/>
    </row>
    <row r="43400" spans="16:16">
      <c r="P43400" s="2498"/>
    </row>
    <row r="43401" spans="16:16">
      <c r="P43401" s="2498"/>
    </row>
    <row r="43402" spans="16:16">
      <c r="P43402" s="2498"/>
    </row>
    <row r="43403" spans="16:16">
      <c r="P43403" s="2498"/>
    </row>
    <row r="43404" spans="16:16">
      <c r="P43404" s="2498"/>
    </row>
    <row r="43405" spans="16:16">
      <c r="P43405" s="2498"/>
    </row>
    <row r="43406" spans="16:16">
      <c r="P43406" s="2498"/>
    </row>
    <row r="43407" spans="16:16">
      <c r="P43407" s="2498"/>
    </row>
    <row r="43408" spans="16:16">
      <c r="P43408" s="2498"/>
    </row>
    <row r="43409" spans="16:16">
      <c r="P43409" s="2498"/>
    </row>
    <row r="43410" spans="16:16">
      <c r="P43410" s="2498"/>
    </row>
    <row r="43411" spans="16:16">
      <c r="P43411" s="2498"/>
    </row>
    <row r="43412" spans="16:16">
      <c r="P43412" s="2498"/>
    </row>
    <row r="43413" spans="16:16">
      <c r="P43413" s="2498"/>
    </row>
    <row r="43414" spans="16:16">
      <c r="P43414" s="2498"/>
    </row>
    <row r="43415" spans="16:16">
      <c r="P43415" s="2498"/>
    </row>
    <row r="43416" spans="16:16">
      <c r="P43416" s="2498"/>
    </row>
    <row r="43417" spans="16:16">
      <c r="P43417" s="2498"/>
    </row>
    <row r="43418" spans="16:16">
      <c r="P43418" s="2498"/>
    </row>
    <row r="43419" spans="16:16">
      <c r="P43419" s="2498"/>
    </row>
    <row r="43420" spans="16:16">
      <c r="P43420" s="2498"/>
    </row>
    <row r="43421" spans="16:16">
      <c r="P43421" s="2498"/>
    </row>
    <row r="43422" spans="16:16">
      <c r="P43422" s="2498"/>
    </row>
    <row r="43423" spans="16:16">
      <c r="P43423" s="2498"/>
    </row>
    <row r="43424" spans="16:16">
      <c r="P43424" s="2498"/>
    </row>
    <row r="43425" spans="16:16">
      <c r="P43425" s="2498"/>
    </row>
    <row r="43426" spans="16:16">
      <c r="P43426" s="2498"/>
    </row>
    <row r="43427" spans="16:16">
      <c r="P43427" s="2498"/>
    </row>
    <row r="43428" spans="16:16">
      <c r="P43428" s="2498"/>
    </row>
    <row r="43429" spans="16:16">
      <c r="P43429" s="2498"/>
    </row>
    <row r="43430" spans="16:16">
      <c r="P43430" s="2498"/>
    </row>
    <row r="43431" spans="16:16">
      <c r="P43431" s="2498"/>
    </row>
    <row r="43432" spans="16:16">
      <c r="P43432" s="2498"/>
    </row>
    <row r="43433" spans="16:16">
      <c r="P43433" s="2498"/>
    </row>
    <row r="43434" spans="16:16">
      <c r="P43434" s="2498"/>
    </row>
    <row r="43435" spans="16:16">
      <c r="P43435" s="2498"/>
    </row>
    <row r="43436" spans="16:16">
      <c r="P43436" s="2498"/>
    </row>
    <row r="43437" spans="16:16">
      <c r="P43437" s="2498"/>
    </row>
    <row r="43438" spans="16:16">
      <c r="P43438" s="2498"/>
    </row>
    <row r="43439" spans="16:16">
      <c r="P43439" s="2498"/>
    </row>
    <row r="43440" spans="16:16">
      <c r="P43440" s="2498"/>
    </row>
    <row r="43441" spans="16:16">
      <c r="P43441" s="2498"/>
    </row>
    <row r="43442" spans="16:16">
      <c r="P43442" s="2498"/>
    </row>
    <row r="43443" spans="16:16">
      <c r="P43443" s="2498"/>
    </row>
    <row r="43444" spans="16:16">
      <c r="P43444" s="2498"/>
    </row>
    <row r="43445" spans="16:16">
      <c r="P43445" s="2498"/>
    </row>
    <row r="43446" spans="16:16">
      <c r="P43446" s="2498"/>
    </row>
    <row r="43447" spans="16:16">
      <c r="P43447" s="2498"/>
    </row>
    <row r="43448" spans="16:16">
      <c r="P43448" s="2498"/>
    </row>
    <row r="43449" spans="16:16">
      <c r="P43449" s="2498"/>
    </row>
    <row r="43450" spans="16:16">
      <c r="P43450" s="2498"/>
    </row>
    <row r="43451" spans="16:16">
      <c r="P43451" s="2498"/>
    </row>
    <row r="43452" spans="16:16">
      <c r="P43452" s="2498"/>
    </row>
    <row r="43453" spans="16:16">
      <c r="P43453" s="2498"/>
    </row>
    <row r="43454" spans="16:16">
      <c r="P43454" s="2498"/>
    </row>
    <row r="43455" spans="16:16">
      <c r="P43455" s="2498"/>
    </row>
    <row r="43456" spans="16:16">
      <c r="P43456" s="2498"/>
    </row>
    <row r="43457" spans="16:16">
      <c r="P43457" s="2498"/>
    </row>
    <row r="43458" spans="16:16">
      <c r="P43458" s="2498"/>
    </row>
    <row r="43459" spans="16:16">
      <c r="P43459" s="2498"/>
    </row>
    <row r="43460" spans="16:16">
      <c r="P43460" s="2498"/>
    </row>
    <row r="43461" spans="16:16">
      <c r="P43461" s="2498"/>
    </row>
    <row r="43462" spans="16:16">
      <c r="P43462" s="2498"/>
    </row>
    <row r="43463" spans="16:16">
      <c r="P43463" s="2498"/>
    </row>
    <row r="43464" spans="16:16">
      <c r="P43464" s="2498"/>
    </row>
    <row r="43465" spans="16:16">
      <c r="P43465" s="2498"/>
    </row>
    <row r="43466" spans="16:16">
      <c r="P43466" s="2498"/>
    </row>
    <row r="43467" spans="16:16">
      <c r="P43467" s="2498"/>
    </row>
    <row r="43468" spans="16:16">
      <c r="P43468" s="2498"/>
    </row>
    <row r="43469" spans="16:16">
      <c r="P43469" s="2498"/>
    </row>
    <row r="43470" spans="16:16">
      <c r="P43470" s="2498"/>
    </row>
    <row r="43471" spans="16:16">
      <c r="P43471" s="2498"/>
    </row>
    <row r="43472" spans="16:16">
      <c r="P43472" s="2498"/>
    </row>
    <row r="43473" spans="16:16">
      <c r="P43473" s="2498"/>
    </row>
    <row r="43474" spans="16:16">
      <c r="P43474" s="2498"/>
    </row>
    <row r="43475" spans="16:16">
      <c r="P43475" s="2498"/>
    </row>
    <row r="43476" spans="16:16">
      <c r="P43476" s="2498"/>
    </row>
    <row r="43477" spans="16:16">
      <c r="P43477" s="2498"/>
    </row>
    <row r="43478" spans="16:16">
      <c r="P43478" s="2498"/>
    </row>
    <row r="43479" spans="16:16">
      <c r="P43479" s="2498"/>
    </row>
    <row r="43480" spans="16:16">
      <c r="P43480" s="2498"/>
    </row>
    <row r="43481" spans="16:16">
      <c r="P43481" s="2498"/>
    </row>
    <row r="43482" spans="16:16">
      <c r="P43482" s="2498"/>
    </row>
    <row r="43483" spans="16:16">
      <c r="P43483" s="2498"/>
    </row>
    <row r="43484" spans="16:16">
      <c r="P43484" s="2498"/>
    </row>
    <row r="43485" spans="16:16">
      <c r="P43485" s="2498"/>
    </row>
    <row r="43486" spans="16:16">
      <c r="P43486" s="2498"/>
    </row>
    <row r="43487" spans="16:16">
      <c r="P43487" s="2498"/>
    </row>
    <row r="43488" spans="16:16">
      <c r="P43488" s="2498"/>
    </row>
    <row r="43489" spans="16:16">
      <c r="P43489" s="2498"/>
    </row>
    <row r="43490" spans="16:16">
      <c r="P43490" s="2498"/>
    </row>
    <row r="43491" spans="16:16">
      <c r="P43491" s="2498"/>
    </row>
    <row r="43492" spans="16:16">
      <c r="P43492" s="2498"/>
    </row>
    <row r="43493" spans="16:16">
      <c r="P43493" s="2498"/>
    </row>
    <row r="43494" spans="16:16">
      <c r="P43494" s="2498"/>
    </row>
    <row r="43495" spans="16:16">
      <c r="P43495" s="2498"/>
    </row>
    <row r="43496" spans="16:16">
      <c r="P43496" s="2498"/>
    </row>
    <row r="43497" spans="16:16">
      <c r="P43497" s="2498"/>
    </row>
    <row r="43498" spans="16:16">
      <c r="P43498" s="2498"/>
    </row>
    <row r="43499" spans="16:16">
      <c r="P43499" s="2498"/>
    </row>
    <row r="43500" spans="16:16">
      <c r="P43500" s="2498"/>
    </row>
    <row r="43501" spans="16:16">
      <c r="P43501" s="2498"/>
    </row>
    <row r="43502" spans="16:16">
      <c r="P43502" s="2498"/>
    </row>
    <row r="43503" spans="16:16">
      <c r="P43503" s="2498"/>
    </row>
    <row r="43504" spans="16:16">
      <c r="P43504" s="2498"/>
    </row>
    <row r="43505" spans="16:16">
      <c r="P43505" s="2498"/>
    </row>
    <row r="43506" spans="16:16">
      <c r="P43506" s="2498"/>
    </row>
    <row r="43507" spans="16:16">
      <c r="P43507" s="2498"/>
    </row>
    <row r="43508" spans="16:16">
      <c r="P43508" s="2498"/>
    </row>
    <row r="43509" spans="16:16">
      <c r="P43509" s="2498"/>
    </row>
    <row r="43510" spans="16:16">
      <c r="P43510" s="2498"/>
    </row>
    <row r="43511" spans="16:16">
      <c r="P43511" s="2498"/>
    </row>
    <row r="43512" spans="16:16">
      <c r="P43512" s="2498"/>
    </row>
    <row r="43513" spans="16:16">
      <c r="P43513" s="2498"/>
    </row>
    <row r="43514" spans="16:16">
      <c r="P43514" s="2498"/>
    </row>
    <row r="43515" spans="16:16">
      <c r="P43515" s="2498"/>
    </row>
    <row r="43516" spans="16:16">
      <c r="P43516" s="2498"/>
    </row>
    <row r="43517" spans="16:16">
      <c r="P43517" s="2498"/>
    </row>
    <row r="43518" spans="16:16">
      <c r="P43518" s="2498"/>
    </row>
    <row r="43519" spans="16:16">
      <c r="P43519" s="2498"/>
    </row>
    <row r="43520" spans="16:16">
      <c r="P43520" s="2498"/>
    </row>
    <row r="43521" spans="16:16">
      <c r="P43521" s="2498"/>
    </row>
    <row r="43522" spans="16:16">
      <c r="P43522" s="2498"/>
    </row>
    <row r="43523" spans="16:16">
      <c r="P43523" s="2498"/>
    </row>
    <row r="43524" spans="16:16">
      <c r="P43524" s="2498"/>
    </row>
    <row r="43525" spans="16:16">
      <c r="P43525" s="2498"/>
    </row>
    <row r="43526" spans="16:16">
      <c r="P43526" s="2498"/>
    </row>
    <row r="43527" spans="16:16">
      <c r="P43527" s="2498"/>
    </row>
    <row r="43528" spans="16:16">
      <c r="P43528" s="2498"/>
    </row>
    <row r="43529" spans="16:16">
      <c r="P43529" s="2498"/>
    </row>
    <row r="43530" spans="16:16">
      <c r="P43530" s="2498"/>
    </row>
    <row r="43531" spans="16:16">
      <c r="P43531" s="2498"/>
    </row>
    <row r="43532" spans="16:16">
      <c r="P43532" s="2498"/>
    </row>
    <row r="43533" spans="16:16">
      <c r="P43533" s="2498"/>
    </row>
    <row r="43534" spans="16:16">
      <c r="P43534" s="2498"/>
    </row>
    <row r="43535" spans="16:16">
      <c r="P43535" s="2498"/>
    </row>
    <row r="43536" spans="16:16">
      <c r="P43536" s="2498"/>
    </row>
    <row r="43537" spans="16:16">
      <c r="P43537" s="2498"/>
    </row>
    <row r="43538" spans="16:16">
      <c r="P43538" s="2498"/>
    </row>
    <row r="43539" spans="16:16">
      <c r="P43539" s="2498"/>
    </row>
    <row r="43540" spans="16:16">
      <c r="P43540" s="2498"/>
    </row>
    <row r="43541" spans="16:16">
      <c r="P43541" s="2498"/>
    </row>
    <row r="43542" spans="16:16">
      <c r="P43542" s="2498"/>
    </row>
    <row r="43543" spans="16:16">
      <c r="P43543" s="2498"/>
    </row>
    <row r="43544" spans="16:16">
      <c r="P43544" s="2498"/>
    </row>
    <row r="43545" spans="16:16">
      <c r="P43545" s="2498"/>
    </row>
    <row r="43546" spans="16:16">
      <c r="P43546" s="2498"/>
    </row>
    <row r="43547" spans="16:16">
      <c r="P43547" s="2498"/>
    </row>
    <row r="43548" spans="16:16">
      <c r="P43548" s="2498"/>
    </row>
    <row r="43549" spans="16:16">
      <c r="P43549" s="2498"/>
    </row>
    <row r="43550" spans="16:16">
      <c r="P43550" s="2498"/>
    </row>
    <row r="43551" spans="16:16">
      <c r="P43551" s="2498"/>
    </row>
    <row r="43552" spans="16:16">
      <c r="P43552" s="2498"/>
    </row>
    <row r="43553" spans="16:16">
      <c r="P43553" s="2498"/>
    </row>
    <row r="43554" spans="16:16">
      <c r="P43554" s="2498"/>
    </row>
    <row r="43555" spans="16:16">
      <c r="P43555" s="2498"/>
    </row>
    <row r="43556" spans="16:16">
      <c r="P43556" s="2498"/>
    </row>
    <row r="43557" spans="16:16">
      <c r="P43557" s="2498"/>
    </row>
    <row r="43558" spans="16:16">
      <c r="P43558" s="2498"/>
    </row>
    <row r="43559" spans="16:16">
      <c r="P43559" s="2498"/>
    </row>
    <row r="43560" spans="16:16">
      <c r="P43560" s="2498"/>
    </row>
    <row r="43561" spans="16:16">
      <c r="P43561" s="2498"/>
    </row>
    <row r="43562" spans="16:16">
      <c r="P43562" s="2498"/>
    </row>
    <row r="43563" spans="16:16">
      <c r="P43563" s="2498"/>
    </row>
    <row r="43564" spans="16:16">
      <c r="P43564" s="2498"/>
    </row>
    <row r="43565" spans="16:16">
      <c r="P43565" s="2498"/>
    </row>
    <row r="43566" spans="16:16">
      <c r="P43566" s="2498"/>
    </row>
    <row r="43567" spans="16:16">
      <c r="P43567" s="2498"/>
    </row>
    <row r="43568" spans="16:16">
      <c r="P43568" s="2498"/>
    </row>
    <row r="43569" spans="16:16">
      <c r="P43569" s="2498"/>
    </row>
    <row r="43570" spans="16:16">
      <c r="P43570" s="2498"/>
    </row>
    <row r="43571" spans="16:16">
      <c r="P43571" s="2498"/>
    </row>
    <row r="43572" spans="16:16">
      <c r="P43572" s="2498"/>
    </row>
    <row r="43573" spans="16:16">
      <c r="P43573" s="2498"/>
    </row>
    <row r="43574" spans="16:16">
      <c r="P43574" s="2498"/>
    </row>
    <row r="43575" spans="16:16">
      <c r="P43575" s="2498"/>
    </row>
    <row r="43576" spans="16:16">
      <c r="P43576" s="2498"/>
    </row>
    <row r="43577" spans="16:16">
      <c r="P43577" s="2498"/>
    </row>
    <row r="43578" spans="16:16">
      <c r="P43578" s="2498"/>
    </row>
    <row r="43579" spans="16:16">
      <c r="P43579" s="2498"/>
    </row>
    <row r="43580" spans="16:16">
      <c r="P43580" s="2498"/>
    </row>
    <row r="43581" spans="16:16">
      <c r="P43581" s="2498"/>
    </row>
    <row r="43582" spans="16:16">
      <c r="P43582" s="2498"/>
    </row>
    <row r="43583" spans="16:16">
      <c r="P43583" s="2498"/>
    </row>
    <row r="43584" spans="16:16">
      <c r="P43584" s="2498"/>
    </row>
    <row r="43585" spans="16:16">
      <c r="P43585" s="2498"/>
    </row>
    <row r="43586" spans="16:16">
      <c r="P43586" s="2498"/>
    </row>
    <row r="43587" spans="16:16">
      <c r="P43587" s="2498"/>
    </row>
    <row r="43588" spans="16:16">
      <c r="P43588" s="2498"/>
    </row>
    <row r="43589" spans="16:16">
      <c r="P43589" s="2498"/>
    </row>
    <row r="43590" spans="16:16">
      <c r="P43590" s="2498"/>
    </row>
    <row r="43591" spans="16:16">
      <c r="P43591" s="2498"/>
    </row>
    <row r="43592" spans="16:16">
      <c r="P43592" s="2498"/>
    </row>
    <row r="43593" spans="16:16">
      <c r="P43593" s="2498"/>
    </row>
    <row r="43594" spans="16:16">
      <c r="P43594" s="2498"/>
    </row>
    <row r="43595" spans="16:16">
      <c r="P43595" s="2498"/>
    </row>
    <row r="43596" spans="16:16">
      <c r="P43596" s="2498"/>
    </row>
    <row r="43597" spans="16:16">
      <c r="P43597" s="2498"/>
    </row>
    <row r="43598" spans="16:16">
      <c r="P43598" s="2498"/>
    </row>
    <row r="43599" spans="16:16">
      <c r="P43599" s="2498"/>
    </row>
    <row r="43600" spans="16:16">
      <c r="P43600" s="2498"/>
    </row>
    <row r="43601" spans="16:16">
      <c r="P43601" s="2498"/>
    </row>
    <row r="43602" spans="16:16">
      <c r="P43602" s="2498"/>
    </row>
    <row r="43603" spans="16:16">
      <c r="P43603" s="2498"/>
    </row>
    <row r="43604" spans="16:16">
      <c r="P43604" s="2498"/>
    </row>
    <row r="43605" spans="16:16">
      <c r="P43605" s="2498"/>
    </row>
    <row r="43606" spans="16:16">
      <c r="P43606" s="2498"/>
    </row>
    <row r="43607" spans="16:16">
      <c r="P43607" s="2498"/>
    </row>
    <row r="43608" spans="16:16">
      <c r="P43608" s="2498"/>
    </row>
    <row r="43609" spans="16:16">
      <c r="P43609" s="2498"/>
    </row>
    <row r="43610" spans="16:16">
      <c r="P43610" s="2498"/>
    </row>
    <row r="43611" spans="16:16">
      <c r="P43611" s="2498"/>
    </row>
    <row r="43612" spans="16:16">
      <c r="P43612" s="2498"/>
    </row>
    <row r="43613" spans="16:16">
      <c r="P43613" s="2498"/>
    </row>
    <row r="43614" spans="16:16">
      <c r="P43614" s="2498"/>
    </row>
    <row r="43615" spans="16:16">
      <c r="P43615" s="2498"/>
    </row>
    <row r="43616" spans="16:16">
      <c r="P43616" s="2498"/>
    </row>
    <row r="43617" spans="16:16">
      <c r="P43617" s="2498"/>
    </row>
    <row r="43618" spans="16:16">
      <c r="P43618" s="2498"/>
    </row>
    <row r="43619" spans="16:16">
      <c r="P43619" s="2498"/>
    </row>
    <row r="43620" spans="16:16">
      <c r="P43620" s="2498"/>
    </row>
    <row r="43621" spans="16:16">
      <c r="P43621" s="2498"/>
    </row>
    <row r="43622" spans="16:16">
      <c r="P43622" s="2498"/>
    </row>
    <row r="43623" spans="16:16">
      <c r="P43623" s="2498"/>
    </row>
    <row r="43624" spans="16:16">
      <c r="P43624" s="2498"/>
    </row>
    <row r="43625" spans="16:16">
      <c r="P43625" s="2498"/>
    </row>
    <row r="43626" spans="16:16">
      <c r="P43626" s="2498"/>
    </row>
    <row r="43627" spans="16:16">
      <c r="P43627" s="2498"/>
    </row>
    <row r="43628" spans="16:16">
      <c r="P43628" s="2498"/>
    </row>
    <row r="43629" spans="16:16">
      <c r="P43629" s="2498"/>
    </row>
    <row r="43630" spans="16:16">
      <c r="P43630" s="2498"/>
    </row>
    <row r="43631" spans="16:16">
      <c r="P43631" s="2498"/>
    </row>
    <row r="43632" spans="16:16">
      <c r="P43632" s="2498"/>
    </row>
    <row r="43633" spans="16:16">
      <c r="P43633" s="2498"/>
    </row>
    <row r="43634" spans="16:16">
      <c r="P43634" s="2498"/>
    </row>
    <row r="43635" spans="16:16">
      <c r="P43635" s="2498"/>
    </row>
    <row r="43636" spans="16:16">
      <c r="P43636" s="2498"/>
    </row>
    <row r="43637" spans="16:16">
      <c r="P43637" s="2498"/>
    </row>
    <row r="43638" spans="16:16">
      <c r="P43638" s="2498"/>
    </row>
    <row r="43639" spans="16:16">
      <c r="P43639" s="2498"/>
    </row>
    <row r="43640" spans="16:16">
      <c r="P43640" s="2498"/>
    </row>
    <row r="43641" spans="16:16">
      <c r="P43641" s="2498"/>
    </row>
    <row r="43642" spans="16:16">
      <c r="P43642" s="2498"/>
    </row>
    <row r="43643" spans="16:16">
      <c r="P43643" s="2498"/>
    </row>
    <row r="43644" spans="16:16">
      <c r="P43644" s="2498"/>
    </row>
    <row r="43645" spans="16:16">
      <c r="P43645" s="2498"/>
    </row>
    <row r="43646" spans="16:16">
      <c r="P43646" s="2498"/>
    </row>
    <row r="43647" spans="16:16">
      <c r="P43647" s="2498"/>
    </row>
    <row r="43648" spans="16:16">
      <c r="P43648" s="2498"/>
    </row>
    <row r="43649" spans="16:16">
      <c r="P43649" s="2498"/>
    </row>
    <row r="43650" spans="16:16">
      <c r="P43650" s="2498"/>
    </row>
    <row r="43651" spans="16:16">
      <c r="P43651" s="2498"/>
    </row>
    <row r="43652" spans="16:16">
      <c r="P43652" s="2498"/>
    </row>
    <row r="43653" spans="16:16">
      <c r="P43653" s="2498"/>
    </row>
    <row r="43654" spans="16:16">
      <c r="P43654" s="2498"/>
    </row>
    <row r="43655" spans="16:16">
      <c r="P43655" s="2498"/>
    </row>
    <row r="43656" spans="16:16">
      <c r="P43656" s="2498"/>
    </row>
    <row r="43657" spans="16:16">
      <c r="P43657" s="2498"/>
    </row>
    <row r="43658" spans="16:16">
      <c r="P43658" s="2498"/>
    </row>
    <row r="43659" spans="16:16">
      <c r="P43659" s="2498"/>
    </row>
    <row r="43660" spans="16:16">
      <c r="P43660" s="2498"/>
    </row>
    <row r="43661" spans="16:16">
      <c r="P43661" s="2498"/>
    </row>
    <row r="43662" spans="16:16">
      <c r="P43662" s="2498"/>
    </row>
    <row r="43663" spans="16:16">
      <c r="P43663" s="2498"/>
    </row>
    <row r="43664" spans="16:16">
      <c r="P43664" s="2498"/>
    </row>
    <row r="43665" spans="16:16">
      <c r="P43665" s="2498"/>
    </row>
    <row r="43666" spans="16:16">
      <c r="P43666" s="2498"/>
    </row>
    <row r="43667" spans="16:16">
      <c r="P43667" s="2498"/>
    </row>
    <row r="43668" spans="16:16">
      <c r="P43668" s="2498"/>
    </row>
    <row r="43669" spans="16:16">
      <c r="P43669" s="2498"/>
    </row>
    <row r="43670" spans="16:16">
      <c r="P43670" s="2498"/>
    </row>
    <row r="43671" spans="16:16">
      <c r="P43671" s="2498"/>
    </row>
    <row r="43672" spans="16:16">
      <c r="P43672" s="2498"/>
    </row>
    <row r="43673" spans="16:16">
      <c r="P43673" s="2498"/>
    </row>
    <row r="43674" spans="16:16">
      <c r="P43674" s="2498"/>
    </row>
    <row r="43675" spans="16:16">
      <c r="P43675" s="2498"/>
    </row>
    <row r="43676" spans="16:16">
      <c r="P43676" s="2498"/>
    </row>
    <row r="43677" spans="16:16">
      <c r="P43677" s="2498"/>
    </row>
    <row r="43678" spans="16:16">
      <c r="P43678" s="2498"/>
    </row>
    <row r="43679" spans="16:16">
      <c r="P43679" s="2498"/>
    </row>
    <row r="43680" spans="16:16">
      <c r="P43680" s="2498"/>
    </row>
    <row r="43681" spans="16:16">
      <c r="P43681" s="2498"/>
    </row>
    <row r="43682" spans="16:16">
      <c r="P43682" s="2498"/>
    </row>
    <row r="43683" spans="16:16">
      <c r="P43683" s="2498"/>
    </row>
    <row r="43684" spans="16:16">
      <c r="P43684" s="2498"/>
    </row>
    <row r="43685" spans="16:16">
      <c r="P43685" s="2498"/>
    </row>
    <row r="43686" spans="16:16">
      <c r="P43686" s="2498"/>
    </row>
    <row r="43687" spans="16:16">
      <c r="P43687" s="2498"/>
    </row>
    <row r="43688" spans="16:16">
      <c r="P43688" s="2498"/>
    </row>
    <row r="43689" spans="16:16">
      <c r="P43689" s="2498"/>
    </row>
    <row r="43690" spans="16:16">
      <c r="P43690" s="2498"/>
    </row>
    <row r="43691" spans="16:16">
      <c r="P43691" s="2498"/>
    </row>
    <row r="43692" spans="16:16">
      <c r="P43692" s="2498"/>
    </row>
    <row r="43693" spans="16:16">
      <c r="P43693" s="2498"/>
    </row>
    <row r="43694" spans="16:16">
      <c r="P43694" s="2498"/>
    </row>
    <row r="43695" spans="16:16">
      <c r="P43695" s="2498"/>
    </row>
    <row r="43696" spans="16:16">
      <c r="P43696" s="2498"/>
    </row>
    <row r="43697" spans="16:16">
      <c r="P43697" s="2498"/>
    </row>
    <row r="43698" spans="16:16">
      <c r="P43698" s="2498"/>
    </row>
    <row r="43699" spans="16:16">
      <c r="P43699" s="2498"/>
    </row>
    <row r="43700" spans="16:16">
      <c r="P43700" s="2498"/>
    </row>
    <row r="43701" spans="16:16">
      <c r="P43701" s="2498"/>
    </row>
    <row r="43702" spans="16:16">
      <c r="P43702" s="2498"/>
    </row>
    <row r="43703" spans="16:16">
      <c r="P43703" s="2498"/>
    </row>
    <row r="43704" spans="16:16">
      <c r="P43704" s="2498"/>
    </row>
    <row r="43705" spans="16:16">
      <c r="P43705" s="2498"/>
    </row>
    <row r="43706" spans="16:16">
      <c r="P43706" s="2498"/>
    </row>
    <row r="43707" spans="16:16">
      <c r="P43707" s="2498"/>
    </row>
    <row r="43708" spans="16:16">
      <c r="P43708" s="2498"/>
    </row>
    <row r="43709" spans="16:16">
      <c r="P43709" s="2498"/>
    </row>
    <row r="43710" spans="16:16">
      <c r="P43710" s="2498"/>
    </row>
    <row r="43711" spans="16:16">
      <c r="P43711" s="2498"/>
    </row>
    <row r="43712" spans="16:16">
      <c r="P43712" s="2498"/>
    </row>
    <row r="43713" spans="16:16">
      <c r="P43713" s="2498"/>
    </row>
    <row r="43714" spans="16:16">
      <c r="P43714" s="2498"/>
    </row>
    <row r="43715" spans="16:16">
      <c r="P43715" s="2498"/>
    </row>
    <row r="43716" spans="16:16">
      <c r="P43716" s="2498"/>
    </row>
    <row r="43717" spans="16:16">
      <c r="P43717" s="2498"/>
    </row>
    <row r="43718" spans="16:16">
      <c r="P43718" s="2498"/>
    </row>
    <row r="43719" spans="16:16">
      <c r="P43719" s="2498"/>
    </row>
    <row r="43720" spans="16:16">
      <c r="P43720" s="2498"/>
    </row>
    <row r="43721" spans="16:16">
      <c r="P43721" s="2498"/>
    </row>
    <row r="43722" spans="16:16">
      <c r="P43722" s="2498"/>
    </row>
    <row r="43723" spans="16:16">
      <c r="P43723" s="2498"/>
    </row>
    <row r="43724" spans="16:16">
      <c r="P43724" s="2498"/>
    </row>
    <row r="43725" spans="16:16">
      <c r="P43725" s="2498"/>
    </row>
    <row r="43726" spans="16:16">
      <c r="P43726" s="2498"/>
    </row>
    <row r="43727" spans="16:16">
      <c r="P43727" s="2498"/>
    </row>
    <row r="43728" spans="16:16">
      <c r="P43728" s="2498"/>
    </row>
    <row r="43729" spans="16:16">
      <c r="P43729" s="2498"/>
    </row>
    <row r="43730" spans="16:16">
      <c r="P43730" s="2498"/>
    </row>
    <row r="43731" spans="16:16">
      <c r="P43731" s="2498"/>
    </row>
    <row r="43732" spans="16:16">
      <c r="P43732" s="2498"/>
    </row>
    <row r="43733" spans="16:16">
      <c r="P43733" s="2498"/>
    </row>
    <row r="43734" spans="16:16">
      <c r="P43734" s="2498"/>
    </row>
    <row r="43735" spans="16:16">
      <c r="P43735" s="2498"/>
    </row>
    <row r="43736" spans="16:16">
      <c r="P43736" s="2498"/>
    </row>
    <row r="43737" spans="16:16">
      <c r="P43737" s="2498"/>
    </row>
    <row r="43738" spans="16:16">
      <c r="P43738" s="2498"/>
    </row>
    <row r="43739" spans="16:16">
      <c r="P43739" s="2498"/>
    </row>
    <row r="43740" spans="16:16">
      <c r="P43740" s="2498"/>
    </row>
    <row r="43741" spans="16:16">
      <c r="P43741" s="2498"/>
    </row>
    <row r="43742" spans="16:16">
      <c r="P43742" s="2498"/>
    </row>
    <row r="43743" spans="16:16">
      <c r="P43743" s="2498"/>
    </row>
    <row r="43744" spans="16:16">
      <c r="P43744" s="2498"/>
    </row>
    <row r="43745" spans="16:16">
      <c r="P43745" s="2498"/>
    </row>
    <row r="43746" spans="16:16">
      <c r="P43746" s="2498"/>
    </row>
    <row r="43747" spans="16:16">
      <c r="P43747" s="2498"/>
    </row>
    <row r="43748" spans="16:16">
      <c r="P43748" s="2498"/>
    </row>
    <row r="43749" spans="16:16">
      <c r="P43749" s="2498"/>
    </row>
    <row r="43750" spans="16:16">
      <c r="P43750" s="2498"/>
    </row>
    <row r="43751" spans="16:16">
      <c r="P43751" s="2498"/>
    </row>
    <row r="43752" spans="16:16">
      <c r="P43752" s="2498"/>
    </row>
    <row r="43753" spans="16:16">
      <c r="P43753" s="2498"/>
    </row>
    <row r="43754" spans="16:16">
      <c r="P43754" s="2498"/>
    </row>
    <row r="43755" spans="16:16">
      <c r="P43755" s="2498"/>
    </row>
    <row r="43756" spans="16:16">
      <c r="P43756" s="2498"/>
    </row>
    <row r="43757" spans="16:16">
      <c r="P43757" s="2498"/>
    </row>
    <row r="43758" spans="16:16">
      <c r="P43758" s="2498"/>
    </row>
    <row r="43759" spans="16:16">
      <c r="P43759" s="2498"/>
    </row>
    <row r="43760" spans="16:16">
      <c r="P43760" s="2498"/>
    </row>
    <row r="43761" spans="16:16">
      <c r="P43761" s="2498"/>
    </row>
    <row r="43762" spans="16:16">
      <c r="P43762" s="2498"/>
    </row>
    <row r="43763" spans="16:16">
      <c r="P43763" s="2498"/>
    </row>
    <row r="43764" spans="16:16">
      <c r="P43764" s="2498"/>
    </row>
    <row r="43765" spans="16:16">
      <c r="P43765" s="2498"/>
    </row>
    <row r="43766" spans="16:16">
      <c r="P43766" s="2498"/>
    </row>
    <row r="43767" spans="16:16">
      <c r="P43767" s="2498"/>
    </row>
    <row r="43768" spans="16:16">
      <c r="P43768" s="2498"/>
    </row>
    <row r="43769" spans="16:16">
      <c r="P43769" s="2498"/>
    </row>
    <row r="43770" spans="16:16">
      <c r="P43770" s="2498"/>
    </row>
    <row r="43771" spans="16:16">
      <c r="P43771" s="2498"/>
    </row>
    <row r="43772" spans="16:16">
      <c r="P43772" s="2498"/>
    </row>
    <row r="43773" spans="16:16">
      <c r="P43773" s="2498"/>
    </row>
    <row r="43774" spans="16:16">
      <c r="P43774" s="2498"/>
    </row>
    <row r="43775" spans="16:16">
      <c r="P43775" s="2498"/>
    </row>
    <row r="43776" spans="16:16">
      <c r="P43776" s="2498"/>
    </row>
    <row r="43777" spans="16:16">
      <c r="P43777" s="2498"/>
    </row>
    <row r="43778" spans="16:16">
      <c r="P43778" s="2498"/>
    </row>
    <row r="43779" spans="16:16">
      <c r="P43779" s="2498"/>
    </row>
    <row r="43780" spans="16:16">
      <c r="P43780" s="2498"/>
    </row>
    <row r="43781" spans="16:16">
      <c r="P43781" s="2498"/>
    </row>
    <row r="43782" spans="16:16">
      <c r="P43782" s="2498"/>
    </row>
    <row r="43783" spans="16:16">
      <c r="P43783" s="2498"/>
    </row>
    <row r="43784" spans="16:16">
      <c r="P43784" s="2498"/>
    </row>
    <row r="43785" spans="16:16">
      <c r="P43785" s="2498"/>
    </row>
    <row r="43786" spans="16:16">
      <c r="P43786" s="2498"/>
    </row>
    <row r="43787" spans="16:16">
      <c r="P43787" s="2498"/>
    </row>
    <row r="43788" spans="16:16">
      <c r="P43788" s="2498"/>
    </row>
    <row r="43789" spans="16:16">
      <c r="P43789" s="2498"/>
    </row>
    <row r="43790" spans="16:16">
      <c r="P43790" s="2498"/>
    </row>
    <row r="43791" spans="16:16">
      <c r="P43791" s="2498"/>
    </row>
    <row r="43792" spans="16:16">
      <c r="P43792" s="2498"/>
    </row>
    <row r="43793" spans="16:16">
      <c r="P43793" s="2498"/>
    </row>
    <row r="43794" spans="16:16">
      <c r="P43794" s="2498"/>
    </row>
    <row r="43795" spans="16:16">
      <c r="P43795" s="2498"/>
    </row>
    <row r="43796" spans="16:16">
      <c r="P43796" s="2498"/>
    </row>
    <row r="43797" spans="16:16">
      <c r="P43797" s="2498"/>
    </row>
    <row r="43798" spans="16:16">
      <c r="P43798" s="2498"/>
    </row>
    <row r="43799" spans="16:16">
      <c r="P43799" s="2498"/>
    </row>
    <row r="43800" spans="16:16">
      <c r="P43800" s="2498"/>
    </row>
    <row r="43801" spans="16:16">
      <c r="P43801" s="2498"/>
    </row>
    <row r="43802" spans="16:16">
      <c r="P43802" s="2498"/>
    </row>
    <row r="43803" spans="16:16">
      <c r="P43803" s="2498"/>
    </row>
    <row r="43804" spans="16:16">
      <c r="P43804" s="2498"/>
    </row>
    <row r="43805" spans="16:16">
      <c r="P43805" s="2498"/>
    </row>
    <row r="43806" spans="16:16">
      <c r="P43806" s="2498"/>
    </row>
    <row r="43807" spans="16:16">
      <c r="P43807" s="2498"/>
    </row>
    <row r="43808" spans="16:16">
      <c r="P43808" s="2498"/>
    </row>
    <row r="43809" spans="16:16">
      <c r="P43809" s="2498"/>
    </row>
    <row r="43810" spans="16:16">
      <c r="P43810" s="2498"/>
    </row>
    <row r="43811" spans="16:16">
      <c r="P43811" s="2498"/>
    </row>
    <row r="43812" spans="16:16">
      <c r="P43812" s="2498"/>
    </row>
    <row r="43813" spans="16:16">
      <c r="P43813" s="2498"/>
    </row>
    <row r="43814" spans="16:16">
      <c r="P43814" s="2498"/>
    </row>
    <row r="43815" spans="16:16">
      <c r="P43815" s="2498"/>
    </row>
    <row r="43816" spans="16:16">
      <c r="P43816" s="2498"/>
    </row>
    <row r="43817" spans="16:16">
      <c r="P43817" s="2498"/>
    </row>
    <row r="43818" spans="16:16">
      <c r="P43818" s="2498"/>
    </row>
    <row r="43819" spans="16:16">
      <c r="P43819" s="2498"/>
    </row>
    <row r="43820" spans="16:16">
      <c r="P43820" s="2498"/>
    </row>
    <row r="43821" spans="16:16">
      <c r="P43821" s="2498"/>
    </row>
    <row r="43822" spans="16:16">
      <c r="P43822" s="2498"/>
    </row>
    <row r="43823" spans="16:16">
      <c r="P43823" s="2498"/>
    </row>
    <row r="43824" spans="16:16">
      <c r="P43824" s="2498"/>
    </row>
    <row r="43825" spans="16:16">
      <c r="P43825" s="2498"/>
    </row>
    <row r="43826" spans="16:16">
      <c r="P43826" s="2498"/>
    </row>
    <row r="43827" spans="16:16">
      <c r="P43827" s="2498"/>
    </row>
    <row r="43828" spans="16:16">
      <c r="P43828" s="2498"/>
    </row>
    <row r="43829" spans="16:16">
      <c r="P43829" s="2498"/>
    </row>
    <row r="43830" spans="16:16">
      <c r="P43830" s="2498"/>
    </row>
    <row r="43831" spans="16:16">
      <c r="P43831" s="2498"/>
    </row>
    <row r="43832" spans="16:16">
      <c r="P43832" s="2498"/>
    </row>
    <row r="43833" spans="16:16">
      <c r="P43833" s="2498"/>
    </row>
    <row r="43834" spans="16:16">
      <c r="P43834" s="2498"/>
    </row>
    <row r="43835" spans="16:16">
      <c r="P43835" s="2498"/>
    </row>
    <row r="43836" spans="16:16">
      <c r="P43836" s="2498"/>
    </row>
    <row r="43837" spans="16:16">
      <c r="P43837" s="2498"/>
    </row>
    <row r="43838" spans="16:16">
      <c r="P43838" s="2498"/>
    </row>
    <row r="43839" spans="16:16">
      <c r="P43839" s="2498"/>
    </row>
    <row r="43840" spans="16:16">
      <c r="P43840" s="2498"/>
    </row>
    <row r="43841" spans="16:16">
      <c r="P43841" s="2498"/>
    </row>
    <row r="43842" spans="16:16">
      <c r="P43842" s="2498"/>
    </row>
    <row r="43843" spans="16:16">
      <c r="P43843" s="2498"/>
    </row>
    <row r="43844" spans="16:16">
      <c r="P43844" s="2498"/>
    </row>
    <row r="43845" spans="16:16">
      <c r="P43845" s="2498"/>
    </row>
    <row r="43846" spans="16:16">
      <c r="P43846" s="2498"/>
    </row>
    <row r="43847" spans="16:16">
      <c r="P43847" s="2498"/>
    </row>
    <row r="43848" spans="16:16">
      <c r="P43848" s="2498"/>
    </row>
    <row r="43849" spans="16:16">
      <c r="P43849" s="2498"/>
    </row>
    <row r="43850" spans="16:16">
      <c r="P43850" s="2498"/>
    </row>
    <row r="43851" spans="16:16">
      <c r="P43851" s="2498"/>
    </row>
    <row r="43852" spans="16:16">
      <c r="P43852" s="2498"/>
    </row>
    <row r="43853" spans="16:16">
      <c r="P43853" s="2498"/>
    </row>
    <row r="43854" spans="16:16">
      <c r="P43854" s="2498"/>
    </row>
    <row r="43855" spans="16:16">
      <c r="P43855" s="2498"/>
    </row>
    <row r="43856" spans="16:16">
      <c r="P43856" s="2498"/>
    </row>
    <row r="43857" spans="16:16">
      <c r="P43857" s="2498"/>
    </row>
    <row r="43858" spans="16:16">
      <c r="P43858" s="2498"/>
    </row>
    <row r="43859" spans="16:16">
      <c r="P43859" s="2498"/>
    </row>
    <row r="43860" spans="16:16">
      <c r="P43860" s="2498"/>
    </row>
    <row r="43861" spans="16:16">
      <c r="P43861" s="2498"/>
    </row>
    <row r="43862" spans="16:16">
      <c r="P43862" s="2498"/>
    </row>
    <row r="43863" spans="16:16">
      <c r="P43863" s="2498"/>
    </row>
    <row r="43864" spans="16:16">
      <c r="P43864" s="2498"/>
    </row>
    <row r="43865" spans="16:16">
      <c r="P43865" s="2498"/>
    </row>
    <row r="43866" spans="16:16">
      <c r="P43866" s="2498"/>
    </row>
    <row r="43867" spans="16:16">
      <c r="P43867" s="2498"/>
    </row>
    <row r="43868" spans="16:16">
      <c r="P43868" s="2498"/>
    </row>
    <row r="43869" spans="16:16">
      <c r="P43869" s="2498"/>
    </row>
    <row r="43870" spans="16:16">
      <c r="P43870" s="2498"/>
    </row>
    <row r="43871" spans="16:16">
      <c r="P43871" s="2498"/>
    </row>
    <row r="43872" spans="16:16">
      <c r="P43872" s="2498"/>
    </row>
    <row r="43873" spans="16:16">
      <c r="P43873" s="2498"/>
    </row>
    <row r="43874" spans="16:16">
      <c r="P43874" s="2498"/>
    </row>
    <row r="43875" spans="16:16">
      <c r="P43875" s="2498"/>
    </row>
    <row r="43876" spans="16:16">
      <c r="P43876" s="2498"/>
    </row>
    <row r="43877" spans="16:16">
      <c r="P43877" s="2498"/>
    </row>
    <row r="43878" spans="16:16">
      <c r="P43878" s="2498"/>
    </row>
    <row r="43879" spans="16:16">
      <c r="P43879" s="2498"/>
    </row>
    <row r="43880" spans="16:16">
      <c r="P43880" s="2498"/>
    </row>
    <row r="43881" spans="16:16">
      <c r="P43881" s="2498"/>
    </row>
    <row r="43882" spans="16:16">
      <c r="P43882" s="2498"/>
    </row>
    <row r="43883" spans="16:16">
      <c r="P43883" s="2498"/>
    </row>
    <row r="43884" spans="16:16">
      <c r="P43884" s="2498"/>
    </row>
    <row r="43885" spans="16:16">
      <c r="P43885" s="2498"/>
    </row>
    <row r="43886" spans="16:16">
      <c r="P43886" s="2498"/>
    </row>
    <row r="43887" spans="16:16">
      <c r="P43887" s="2498"/>
    </row>
    <row r="43888" spans="16:16">
      <c r="P43888" s="2498"/>
    </row>
    <row r="43889" spans="16:16">
      <c r="P43889" s="2498"/>
    </row>
    <row r="43890" spans="16:16">
      <c r="P43890" s="2498"/>
    </row>
    <row r="43891" spans="16:16">
      <c r="P43891" s="2498"/>
    </row>
    <row r="43892" spans="16:16">
      <c r="P43892" s="2498"/>
    </row>
    <row r="43893" spans="16:16">
      <c r="P43893" s="2498"/>
    </row>
    <row r="43894" spans="16:16">
      <c r="P43894" s="2498"/>
    </row>
    <row r="43895" spans="16:16">
      <c r="P43895" s="2498"/>
    </row>
    <row r="43896" spans="16:16">
      <c r="P43896" s="2498"/>
    </row>
    <row r="43897" spans="16:16">
      <c r="P43897" s="2498"/>
    </row>
    <row r="43898" spans="16:16">
      <c r="P43898" s="2498"/>
    </row>
    <row r="43899" spans="16:16">
      <c r="P43899" s="2498"/>
    </row>
    <row r="43900" spans="16:16">
      <c r="P43900" s="2498"/>
    </row>
    <row r="43901" spans="16:16">
      <c r="P43901" s="2498"/>
    </row>
    <row r="43902" spans="16:16">
      <c r="P43902" s="2498"/>
    </row>
    <row r="43903" spans="16:16">
      <c r="P43903" s="2498"/>
    </row>
    <row r="43904" spans="16:16">
      <c r="P43904" s="2498"/>
    </row>
    <row r="43905" spans="16:16">
      <c r="P43905" s="2498"/>
    </row>
    <row r="43906" spans="16:16">
      <c r="P43906" s="2498"/>
    </row>
    <row r="43907" spans="16:16">
      <c r="P43907" s="2498"/>
    </row>
    <row r="43908" spans="16:16">
      <c r="P43908" s="2498"/>
    </row>
    <row r="43909" spans="16:16">
      <c r="P43909" s="2498"/>
    </row>
    <row r="43910" spans="16:16">
      <c r="P43910" s="2498"/>
    </row>
    <row r="43911" spans="16:16">
      <c r="P43911" s="2498"/>
    </row>
    <row r="43912" spans="16:16">
      <c r="P43912" s="2498"/>
    </row>
    <row r="43913" spans="16:16">
      <c r="P43913" s="2498"/>
    </row>
    <row r="43914" spans="16:16">
      <c r="P43914" s="2498"/>
    </row>
    <row r="43915" spans="16:16">
      <c r="P43915" s="2498"/>
    </row>
    <row r="43916" spans="16:16">
      <c r="P43916" s="2498"/>
    </row>
    <row r="43917" spans="16:16">
      <c r="P43917" s="2498"/>
    </row>
    <row r="43918" spans="16:16">
      <c r="P43918" s="2498"/>
    </row>
    <row r="43919" spans="16:16">
      <c r="P43919" s="2498"/>
    </row>
    <row r="43920" spans="16:16">
      <c r="P43920" s="2498"/>
    </row>
    <row r="43921" spans="16:16">
      <c r="P43921" s="2498"/>
    </row>
    <row r="43922" spans="16:16">
      <c r="P43922" s="2498"/>
    </row>
    <row r="43923" spans="16:16">
      <c r="P43923" s="2498"/>
    </row>
    <row r="43924" spans="16:16">
      <c r="P43924" s="2498"/>
    </row>
    <row r="43925" spans="16:16">
      <c r="P43925" s="2498"/>
    </row>
    <row r="43926" spans="16:16">
      <c r="P43926" s="2498"/>
    </row>
    <row r="43927" spans="16:16">
      <c r="P43927" s="2498"/>
    </row>
    <row r="43928" spans="16:16">
      <c r="P43928" s="2498"/>
    </row>
    <row r="43929" spans="16:16">
      <c r="P43929" s="2498"/>
    </row>
    <row r="43930" spans="16:16">
      <c r="P43930" s="2498"/>
    </row>
    <row r="43931" spans="16:16">
      <c r="P43931" s="2498"/>
    </row>
    <row r="43932" spans="16:16">
      <c r="P43932" s="2498"/>
    </row>
    <row r="43933" spans="16:16">
      <c r="P43933" s="2498"/>
    </row>
    <row r="43934" spans="16:16">
      <c r="P43934" s="2498"/>
    </row>
    <row r="43935" spans="16:16">
      <c r="P43935" s="2498"/>
    </row>
    <row r="43936" spans="16:16">
      <c r="P43936" s="2498"/>
    </row>
    <row r="43937" spans="16:16">
      <c r="P43937" s="2498"/>
    </row>
    <row r="43938" spans="16:16">
      <c r="P43938" s="2498"/>
    </row>
    <row r="43939" spans="16:16">
      <c r="P43939" s="2498"/>
    </row>
    <row r="43940" spans="16:16">
      <c r="P43940" s="2498"/>
    </row>
    <row r="43941" spans="16:16">
      <c r="P43941" s="2498"/>
    </row>
    <row r="43942" spans="16:16">
      <c r="P43942" s="2498"/>
    </row>
    <row r="43943" spans="16:16">
      <c r="P43943" s="2498"/>
    </row>
    <row r="43944" spans="16:16">
      <c r="P43944" s="2498"/>
    </row>
    <row r="43945" spans="16:16">
      <c r="P43945" s="2498"/>
    </row>
    <row r="43946" spans="16:16">
      <c r="P43946" s="2498"/>
    </row>
    <row r="43947" spans="16:16">
      <c r="P43947" s="2498"/>
    </row>
    <row r="43948" spans="16:16">
      <c r="P43948" s="2498"/>
    </row>
    <row r="43949" spans="16:16">
      <c r="P43949" s="2498"/>
    </row>
    <row r="43950" spans="16:16">
      <c r="P43950" s="2498"/>
    </row>
    <row r="43951" spans="16:16">
      <c r="P43951" s="2498"/>
    </row>
    <row r="43952" spans="16:16">
      <c r="P43952" s="2498"/>
    </row>
    <row r="43953" spans="16:16">
      <c r="P43953" s="2498"/>
    </row>
    <row r="43954" spans="16:16">
      <c r="P43954" s="2498"/>
    </row>
    <row r="43955" spans="16:16">
      <c r="P43955" s="2498"/>
    </row>
    <row r="43956" spans="16:16">
      <c r="P43956" s="2498"/>
    </row>
    <row r="43957" spans="16:16">
      <c r="P43957" s="2498"/>
    </row>
    <row r="43958" spans="16:16">
      <c r="P43958" s="2498"/>
    </row>
    <row r="43959" spans="16:16">
      <c r="P43959" s="2498"/>
    </row>
    <row r="43960" spans="16:16">
      <c r="P43960" s="2498"/>
    </row>
    <row r="43961" spans="16:16">
      <c r="P43961" s="2498"/>
    </row>
    <row r="43962" spans="16:16">
      <c r="P43962" s="2498"/>
    </row>
    <row r="43963" spans="16:16">
      <c r="P43963" s="2498"/>
    </row>
    <row r="43964" spans="16:16">
      <c r="P43964" s="2498"/>
    </row>
    <row r="43965" spans="16:16">
      <c r="P43965" s="2498"/>
    </row>
    <row r="43966" spans="16:16">
      <c r="P43966" s="2498"/>
    </row>
    <row r="43967" spans="16:16">
      <c r="P43967" s="2498"/>
    </row>
    <row r="43968" spans="16:16">
      <c r="P43968" s="2498"/>
    </row>
    <row r="43969" spans="16:16">
      <c r="P43969" s="2498"/>
    </row>
    <row r="43970" spans="16:16">
      <c r="P43970" s="2498"/>
    </row>
    <row r="43971" spans="16:16">
      <c r="P43971" s="2498"/>
    </row>
    <row r="43972" spans="16:16">
      <c r="P43972" s="2498"/>
    </row>
    <row r="43973" spans="16:16">
      <c r="P43973" s="2498"/>
    </row>
    <row r="43974" spans="16:16">
      <c r="P43974" s="2498"/>
    </row>
    <row r="43975" spans="16:16">
      <c r="P43975" s="2498"/>
    </row>
    <row r="43976" spans="16:16">
      <c r="P43976" s="2498"/>
    </row>
    <row r="43977" spans="16:16">
      <c r="P43977" s="2498"/>
    </row>
    <row r="43978" spans="16:16">
      <c r="P43978" s="2498"/>
    </row>
    <row r="43979" spans="16:16">
      <c r="P43979" s="2498"/>
    </row>
    <row r="43980" spans="16:16">
      <c r="P43980" s="2498"/>
    </row>
    <row r="43981" spans="16:16">
      <c r="P43981" s="2498"/>
    </row>
    <row r="43982" spans="16:16">
      <c r="P43982" s="2498"/>
    </row>
    <row r="43983" spans="16:16">
      <c r="P43983" s="2498"/>
    </row>
    <row r="43984" spans="16:16">
      <c r="P43984" s="2498"/>
    </row>
    <row r="43985" spans="16:16">
      <c r="P43985" s="2498"/>
    </row>
    <row r="43986" spans="16:16">
      <c r="P43986" s="2498"/>
    </row>
    <row r="43987" spans="16:16">
      <c r="P43987" s="2498"/>
    </row>
    <row r="43988" spans="16:16">
      <c r="P43988" s="2498"/>
    </row>
    <row r="43989" spans="16:16">
      <c r="P43989" s="2498"/>
    </row>
    <row r="43990" spans="16:16">
      <c r="P43990" s="2498"/>
    </row>
    <row r="43991" spans="16:16">
      <c r="P43991" s="2498"/>
    </row>
    <row r="43992" spans="16:16">
      <c r="P43992" s="2498"/>
    </row>
    <row r="43993" spans="16:16">
      <c r="P43993" s="2498"/>
    </row>
    <row r="43994" spans="16:16">
      <c r="P43994" s="2498"/>
    </row>
    <row r="43995" spans="16:16">
      <c r="P43995" s="2498"/>
    </row>
    <row r="43996" spans="16:16">
      <c r="P43996" s="2498"/>
    </row>
    <row r="43997" spans="16:16">
      <c r="P43997" s="2498"/>
    </row>
    <row r="43998" spans="16:16">
      <c r="P43998" s="2498"/>
    </row>
    <row r="43999" spans="16:16">
      <c r="P43999" s="2498"/>
    </row>
    <row r="44000" spans="16:16">
      <c r="P44000" s="2498"/>
    </row>
    <row r="44001" spans="16:16">
      <c r="P44001" s="2498"/>
    </row>
    <row r="44002" spans="16:16">
      <c r="P44002" s="2498"/>
    </row>
    <row r="44003" spans="16:16">
      <c r="P44003" s="2498"/>
    </row>
    <row r="44004" spans="16:16">
      <c r="P44004" s="2498"/>
    </row>
    <row r="44005" spans="16:16">
      <c r="P44005" s="2498"/>
    </row>
    <row r="44006" spans="16:16">
      <c r="P44006" s="2498"/>
    </row>
    <row r="44007" spans="16:16">
      <c r="P44007" s="2498"/>
    </row>
    <row r="44008" spans="16:16">
      <c r="P44008" s="2498"/>
    </row>
    <row r="44009" spans="16:16">
      <c r="P44009" s="2498"/>
    </row>
    <row r="44010" spans="16:16">
      <c r="P44010" s="2498"/>
    </row>
    <row r="44011" spans="16:16">
      <c r="P44011" s="2498"/>
    </row>
    <row r="44012" spans="16:16">
      <c r="P44012" s="2498"/>
    </row>
    <row r="44013" spans="16:16">
      <c r="P44013" s="2498"/>
    </row>
    <row r="44014" spans="16:16">
      <c r="P44014" s="2498"/>
    </row>
    <row r="44015" spans="16:16">
      <c r="P44015" s="2498"/>
    </row>
    <row r="44016" spans="16:16">
      <c r="P44016" s="2498"/>
    </row>
    <row r="44017" spans="16:16">
      <c r="P44017" s="2498"/>
    </row>
    <row r="44018" spans="16:16">
      <c r="P44018" s="2498"/>
    </row>
    <row r="44019" spans="16:16">
      <c r="P44019" s="2498"/>
    </row>
    <row r="44020" spans="16:16">
      <c r="P44020" s="2498"/>
    </row>
    <row r="44021" spans="16:16">
      <c r="P44021" s="2498"/>
    </row>
    <row r="44022" spans="16:16">
      <c r="P44022" s="2498"/>
    </row>
    <row r="44023" spans="16:16">
      <c r="P44023" s="2498"/>
    </row>
    <row r="44024" spans="16:16">
      <c r="P44024" s="2498"/>
    </row>
    <row r="44025" spans="16:16">
      <c r="P44025" s="2498"/>
    </row>
    <row r="44026" spans="16:16">
      <c r="P44026" s="2498"/>
    </row>
    <row r="44027" spans="16:16">
      <c r="P44027" s="2498"/>
    </row>
    <row r="44028" spans="16:16">
      <c r="P44028" s="2498"/>
    </row>
    <row r="44029" spans="16:16">
      <c r="P44029" s="2498"/>
    </row>
    <row r="44030" spans="16:16">
      <c r="P44030" s="2498"/>
    </row>
    <row r="44031" spans="16:16">
      <c r="P44031" s="2498"/>
    </row>
    <row r="44032" spans="16:16">
      <c r="P44032" s="2498"/>
    </row>
    <row r="44033" spans="16:16">
      <c r="P44033" s="2498"/>
    </row>
    <row r="44034" spans="16:16">
      <c r="P44034" s="2498"/>
    </row>
    <row r="44035" spans="16:16">
      <c r="P44035" s="2498"/>
    </row>
    <row r="44036" spans="16:16">
      <c r="P44036" s="2498"/>
    </row>
    <row r="44037" spans="16:16">
      <c r="P44037" s="2498"/>
    </row>
    <row r="44038" spans="16:16">
      <c r="P44038" s="2498"/>
    </row>
    <row r="44039" spans="16:16">
      <c r="P44039" s="2498"/>
    </row>
    <row r="44040" spans="16:16">
      <c r="P44040" s="2498"/>
    </row>
    <row r="44041" spans="16:16">
      <c r="P44041" s="2498"/>
    </row>
    <row r="44042" spans="16:16">
      <c r="P44042" s="2498"/>
    </row>
    <row r="44043" spans="16:16">
      <c r="P44043" s="2498"/>
    </row>
    <row r="44044" spans="16:16">
      <c r="P44044" s="2498"/>
    </row>
    <row r="44045" spans="16:16">
      <c r="P44045" s="2498"/>
    </row>
    <row r="44046" spans="16:16">
      <c r="P44046" s="2498"/>
    </row>
    <row r="44047" spans="16:16">
      <c r="P44047" s="2498"/>
    </row>
    <row r="44048" spans="16:16">
      <c r="P44048" s="2498"/>
    </row>
    <row r="44049" spans="16:16">
      <c r="P44049" s="2498"/>
    </row>
    <row r="44050" spans="16:16">
      <c r="P44050" s="2498"/>
    </row>
    <row r="44051" spans="16:16">
      <c r="P44051" s="2498"/>
    </row>
    <row r="44052" spans="16:16">
      <c r="P44052" s="2498"/>
    </row>
    <row r="44053" spans="16:16">
      <c r="P44053" s="2498"/>
    </row>
    <row r="44054" spans="16:16">
      <c r="P44054" s="2498"/>
    </row>
    <row r="44055" spans="16:16">
      <c r="P44055" s="2498"/>
    </row>
    <row r="44056" spans="16:16">
      <c r="P44056" s="2498"/>
    </row>
    <row r="44057" spans="16:16">
      <c r="P44057" s="2498"/>
    </row>
    <row r="44058" spans="16:16">
      <c r="P44058" s="2498"/>
    </row>
    <row r="44059" spans="16:16">
      <c r="P44059" s="2498"/>
    </row>
    <row r="44060" spans="16:16">
      <c r="P44060" s="2498"/>
    </row>
    <row r="44061" spans="16:16">
      <c r="P44061" s="2498"/>
    </row>
    <row r="44062" spans="16:16">
      <c r="P44062" s="2498"/>
    </row>
    <row r="44063" spans="16:16">
      <c r="P44063" s="2498"/>
    </row>
    <row r="44064" spans="16:16">
      <c r="P44064" s="2498"/>
    </row>
    <row r="44065" spans="16:16">
      <c r="P44065" s="2498"/>
    </row>
    <row r="44066" spans="16:16">
      <c r="P44066" s="2498"/>
    </row>
    <row r="44067" spans="16:16">
      <c r="P44067" s="2498"/>
    </row>
    <row r="44068" spans="16:16">
      <c r="P44068" s="2498"/>
    </row>
    <row r="44069" spans="16:16">
      <c r="P44069" s="2498"/>
    </row>
    <row r="44070" spans="16:16">
      <c r="P44070" s="2498"/>
    </row>
    <row r="44071" spans="16:16">
      <c r="P44071" s="2498"/>
    </row>
    <row r="44072" spans="16:16">
      <c r="P44072" s="2498"/>
    </row>
    <row r="44073" spans="16:16">
      <c r="P44073" s="2498"/>
    </row>
    <row r="44074" spans="16:16">
      <c r="P44074" s="2498"/>
    </row>
    <row r="44075" spans="16:16">
      <c r="P44075" s="2498"/>
    </row>
    <row r="44076" spans="16:16">
      <c r="P44076" s="2498"/>
    </row>
    <row r="44077" spans="16:16">
      <c r="P44077" s="2498"/>
    </row>
    <row r="44078" spans="16:16">
      <c r="P44078" s="2498"/>
    </row>
    <row r="44079" spans="16:16">
      <c r="P44079" s="2498"/>
    </row>
    <row r="44080" spans="16:16">
      <c r="P44080" s="2498"/>
    </row>
    <row r="44081" spans="16:16">
      <c r="P44081" s="2498"/>
    </row>
    <row r="44082" spans="16:16">
      <c r="P44082" s="2498"/>
    </row>
    <row r="44083" spans="16:16">
      <c r="P44083" s="2498"/>
    </row>
    <row r="44084" spans="16:16">
      <c r="P44084" s="2498"/>
    </row>
    <row r="44085" spans="16:16">
      <c r="P44085" s="2498"/>
    </row>
    <row r="44086" spans="16:16">
      <c r="P44086" s="2498"/>
    </row>
    <row r="44087" spans="16:16">
      <c r="P44087" s="2498"/>
    </row>
    <row r="44088" spans="16:16">
      <c r="P44088" s="2498"/>
    </row>
    <row r="44089" spans="16:16">
      <c r="P44089" s="2498"/>
    </row>
    <row r="44090" spans="16:16">
      <c r="P44090" s="2498"/>
    </row>
    <row r="44091" spans="16:16">
      <c r="P44091" s="2498"/>
    </row>
    <row r="44092" spans="16:16">
      <c r="P44092" s="2498"/>
    </row>
    <row r="44093" spans="16:16">
      <c r="P44093" s="2498"/>
    </row>
    <row r="44094" spans="16:16">
      <c r="P44094" s="2498"/>
    </row>
    <row r="44095" spans="16:16">
      <c r="P44095" s="2498"/>
    </row>
    <row r="44096" spans="16:16">
      <c r="P44096" s="2498"/>
    </row>
    <row r="44097" spans="16:16">
      <c r="P44097" s="2498"/>
    </row>
    <row r="44098" spans="16:16">
      <c r="P44098" s="2498"/>
    </row>
    <row r="44099" spans="16:16">
      <c r="P44099" s="2498"/>
    </row>
    <row r="44100" spans="16:16">
      <c r="P44100" s="2498"/>
    </row>
    <row r="44101" spans="16:16">
      <c r="P44101" s="2498"/>
    </row>
    <row r="44102" spans="16:16">
      <c r="P44102" s="2498"/>
    </row>
    <row r="44103" spans="16:16">
      <c r="P44103" s="2498"/>
    </row>
    <row r="44104" spans="16:16">
      <c r="P44104" s="2498"/>
    </row>
    <row r="44105" spans="16:16">
      <c r="P44105" s="2498"/>
    </row>
    <row r="44106" spans="16:16">
      <c r="P44106" s="2498"/>
    </row>
    <row r="44107" spans="16:16">
      <c r="P44107" s="2498"/>
    </row>
    <row r="44108" spans="16:16">
      <c r="P44108" s="2498"/>
    </row>
    <row r="44109" spans="16:16">
      <c r="P44109" s="2498"/>
    </row>
    <row r="44110" spans="16:16">
      <c r="P44110" s="2498"/>
    </row>
    <row r="44111" spans="16:16">
      <c r="P44111" s="2498"/>
    </row>
    <row r="44112" spans="16:16">
      <c r="P44112" s="2498"/>
    </row>
    <row r="44113" spans="16:16">
      <c r="P44113" s="2498"/>
    </row>
    <row r="44114" spans="16:16">
      <c r="P44114" s="2498"/>
    </row>
    <row r="44115" spans="16:16">
      <c r="P44115" s="2498"/>
    </row>
    <row r="44116" spans="16:16">
      <c r="P44116" s="2498"/>
    </row>
    <row r="44117" spans="16:16">
      <c r="P44117" s="2498"/>
    </row>
    <row r="44118" spans="16:16">
      <c r="P44118" s="2498"/>
    </row>
    <row r="44119" spans="16:16">
      <c r="P44119" s="2498"/>
    </row>
    <row r="44120" spans="16:16">
      <c r="P44120" s="2498"/>
    </row>
    <row r="44121" spans="16:16">
      <c r="P44121" s="2498"/>
    </row>
    <row r="44122" spans="16:16">
      <c r="P44122" s="2498"/>
    </row>
    <row r="44123" spans="16:16">
      <c r="P44123" s="2498"/>
    </row>
    <row r="44124" spans="16:16">
      <c r="P44124" s="2498"/>
    </row>
    <row r="44125" spans="16:16">
      <c r="P44125" s="2498"/>
    </row>
    <row r="44126" spans="16:16">
      <c r="P44126" s="2498"/>
    </row>
    <row r="44127" spans="16:16">
      <c r="P44127" s="2498"/>
    </row>
    <row r="44128" spans="16:16">
      <c r="P44128" s="2498"/>
    </row>
    <row r="44129" spans="16:16">
      <c r="P44129" s="2498"/>
    </row>
    <row r="44130" spans="16:16">
      <c r="P44130" s="2498"/>
    </row>
    <row r="44131" spans="16:16">
      <c r="P44131" s="2498"/>
    </row>
    <row r="44132" spans="16:16">
      <c r="P44132" s="2498"/>
    </row>
    <row r="44133" spans="16:16">
      <c r="P44133" s="2498"/>
    </row>
    <row r="44134" spans="16:16">
      <c r="P44134" s="2498"/>
    </row>
    <row r="44135" spans="16:16">
      <c r="P44135" s="2498"/>
    </row>
    <row r="44136" spans="16:16">
      <c r="P44136" s="2498"/>
    </row>
    <row r="44137" spans="16:16">
      <c r="P44137" s="2498"/>
    </row>
    <row r="44138" spans="16:16">
      <c r="P44138" s="2498"/>
    </row>
    <row r="44139" spans="16:16">
      <c r="P44139" s="2498"/>
    </row>
    <row r="44140" spans="16:16">
      <c r="P44140" s="2498"/>
    </row>
    <row r="44141" spans="16:16">
      <c r="P44141" s="2498"/>
    </row>
    <row r="44142" spans="16:16">
      <c r="P44142" s="2498"/>
    </row>
    <row r="44143" spans="16:16">
      <c r="P44143" s="2498"/>
    </row>
    <row r="44144" spans="16:16">
      <c r="P44144" s="2498"/>
    </row>
    <row r="44145" spans="16:16">
      <c r="P44145" s="2498"/>
    </row>
    <row r="44146" spans="16:16">
      <c r="P44146" s="2498"/>
    </row>
    <row r="44147" spans="16:16">
      <c r="P44147" s="2498"/>
    </row>
    <row r="44148" spans="16:16">
      <c r="P44148" s="2498"/>
    </row>
    <row r="44149" spans="16:16">
      <c r="P44149" s="2498"/>
    </row>
    <row r="44150" spans="16:16">
      <c r="P44150" s="2498"/>
    </row>
    <row r="44151" spans="16:16">
      <c r="P44151" s="2498"/>
    </row>
    <row r="44152" spans="16:16">
      <c r="P44152" s="2498"/>
    </row>
    <row r="44153" spans="16:16">
      <c r="P44153" s="2498"/>
    </row>
    <row r="44154" spans="16:16">
      <c r="P44154" s="2498"/>
    </row>
    <row r="44155" spans="16:16">
      <c r="P44155" s="2498"/>
    </row>
    <row r="44156" spans="16:16">
      <c r="P44156" s="2498"/>
    </row>
    <row r="44157" spans="16:16">
      <c r="P44157" s="2498"/>
    </row>
    <row r="44158" spans="16:16">
      <c r="P44158" s="2498"/>
    </row>
    <row r="44159" spans="16:16">
      <c r="P44159" s="2498"/>
    </row>
    <row r="44160" spans="16:16">
      <c r="P44160" s="2498"/>
    </row>
    <row r="44161" spans="16:16">
      <c r="P44161" s="2498"/>
    </row>
    <row r="44162" spans="16:16">
      <c r="P44162" s="2498"/>
    </row>
    <row r="44163" spans="16:16">
      <c r="P44163" s="2498"/>
    </row>
    <row r="44164" spans="16:16">
      <c r="P44164" s="2498"/>
    </row>
    <row r="44165" spans="16:16">
      <c r="P44165" s="2498"/>
    </row>
    <row r="44166" spans="16:16">
      <c r="P44166" s="2498"/>
    </row>
    <row r="44167" spans="16:16">
      <c r="P44167" s="2498"/>
    </row>
    <row r="44168" spans="16:16">
      <c r="P44168" s="2498"/>
    </row>
    <row r="44169" spans="16:16">
      <c r="P44169" s="2498"/>
    </row>
    <row r="44170" spans="16:16">
      <c r="P44170" s="2498"/>
    </row>
    <row r="44171" spans="16:16">
      <c r="P44171" s="2498"/>
    </row>
    <row r="44172" spans="16:16">
      <c r="P44172" s="2498"/>
    </row>
    <row r="44173" spans="16:16">
      <c r="P44173" s="2498"/>
    </row>
    <row r="44174" spans="16:16">
      <c r="P44174" s="2498"/>
    </row>
    <row r="44175" spans="16:16">
      <c r="P44175" s="2498"/>
    </row>
    <row r="44176" spans="16:16">
      <c r="P44176" s="2498"/>
    </row>
    <row r="44177" spans="16:16">
      <c r="P44177" s="2498"/>
    </row>
    <row r="44178" spans="16:16">
      <c r="P44178" s="2498"/>
    </row>
    <row r="44179" spans="16:16">
      <c r="P44179" s="2498"/>
    </row>
    <row r="44180" spans="16:16">
      <c r="P44180" s="2498"/>
    </row>
    <row r="44181" spans="16:16">
      <c r="P44181" s="2498"/>
    </row>
    <row r="44182" spans="16:16">
      <c r="P44182" s="2498"/>
    </row>
    <row r="44183" spans="16:16">
      <c r="P44183" s="2498"/>
    </row>
    <row r="44184" spans="16:16">
      <c r="P44184" s="2498"/>
    </row>
    <row r="44185" spans="16:16">
      <c r="P44185" s="2498"/>
    </row>
    <row r="44186" spans="16:16">
      <c r="P44186" s="2498"/>
    </row>
    <row r="44187" spans="16:16">
      <c r="P44187" s="2498"/>
    </row>
    <row r="44188" spans="16:16">
      <c r="P44188" s="2498"/>
    </row>
    <row r="44189" spans="16:16">
      <c r="P44189" s="2498"/>
    </row>
    <row r="44190" spans="16:16">
      <c r="P44190" s="2498"/>
    </row>
    <row r="44191" spans="16:16">
      <c r="P44191" s="2498"/>
    </row>
    <row r="44192" spans="16:16">
      <c r="P44192" s="2498"/>
    </row>
    <row r="44193" spans="16:16">
      <c r="P44193" s="2498"/>
    </row>
    <row r="44194" spans="16:16">
      <c r="P44194" s="2498"/>
    </row>
    <row r="44195" spans="16:16">
      <c r="P44195" s="2498"/>
    </row>
    <row r="44196" spans="16:16">
      <c r="P44196" s="2498"/>
    </row>
    <row r="44197" spans="16:16">
      <c r="P44197" s="2498"/>
    </row>
    <row r="44198" spans="16:16">
      <c r="P44198" s="2498"/>
    </row>
    <row r="44199" spans="16:16">
      <c r="P44199" s="2498"/>
    </row>
    <row r="44200" spans="16:16">
      <c r="P44200" s="2498"/>
    </row>
    <row r="44201" spans="16:16">
      <c r="P44201" s="2498"/>
    </row>
    <row r="44202" spans="16:16">
      <c r="P44202" s="2498"/>
    </row>
    <row r="44203" spans="16:16">
      <c r="P44203" s="2498"/>
    </row>
    <row r="44204" spans="16:16">
      <c r="P44204" s="2498"/>
    </row>
    <row r="44205" spans="16:16">
      <c r="P44205" s="2498"/>
    </row>
    <row r="44206" spans="16:16">
      <c r="P44206" s="2498"/>
    </row>
    <row r="44207" spans="16:16">
      <c r="P44207" s="2498"/>
    </row>
    <row r="44208" spans="16:16">
      <c r="P44208" s="2498"/>
    </row>
    <row r="44209" spans="16:16">
      <c r="P44209" s="2498"/>
    </row>
    <row r="44210" spans="16:16">
      <c r="P44210" s="2498"/>
    </row>
    <row r="44211" spans="16:16">
      <c r="P44211" s="2498"/>
    </row>
    <row r="44212" spans="16:16">
      <c r="P44212" s="2498"/>
    </row>
    <row r="44213" spans="16:16">
      <c r="P44213" s="2498"/>
    </row>
    <row r="44214" spans="16:16">
      <c r="P44214" s="2498"/>
    </row>
    <row r="44215" spans="16:16">
      <c r="P44215" s="2498"/>
    </row>
    <row r="44216" spans="16:16">
      <c r="P44216" s="2498"/>
    </row>
    <row r="44217" spans="16:16">
      <c r="P44217" s="2498"/>
    </row>
    <row r="44218" spans="16:16">
      <c r="P44218" s="2498"/>
    </row>
    <row r="44219" spans="16:16">
      <c r="P44219" s="2498"/>
    </row>
    <row r="44220" spans="16:16">
      <c r="P44220" s="2498"/>
    </row>
    <row r="44221" spans="16:16">
      <c r="P44221" s="2498"/>
    </row>
    <row r="44222" spans="16:16">
      <c r="P44222" s="2498"/>
    </row>
    <row r="44223" spans="16:16">
      <c r="P44223" s="2498"/>
    </row>
    <row r="44224" spans="16:16">
      <c r="P44224" s="2498"/>
    </row>
    <row r="44225" spans="16:16">
      <c r="P44225" s="2498"/>
    </row>
    <row r="44226" spans="16:16">
      <c r="P44226" s="2498"/>
    </row>
    <row r="44227" spans="16:16">
      <c r="P44227" s="2498"/>
    </row>
    <row r="44228" spans="16:16">
      <c r="P44228" s="2498"/>
    </row>
    <row r="44229" spans="16:16">
      <c r="P44229" s="2498"/>
    </row>
    <row r="44230" spans="16:16">
      <c r="P44230" s="2498"/>
    </row>
    <row r="44231" spans="16:16">
      <c r="P44231" s="2498"/>
    </row>
    <row r="44232" spans="16:16">
      <c r="P44232" s="2498"/>
    </row>
    <row r="44233" spans="16:16">
      <c r="P44233" s="2498"/>
    </row>
    <row r="44234" spans="16:16">
      <c r="P44234" s="2498"/>
    </row>
    <row r="44235" spans="16:16">
      <c r="P44235" s="2498"/>
    </row>
    <row r="44236" spans="16:16">
      <c r="P44236" s="2498"/>
    </row>
    <row r="44237" spans="16:16">
      <c r="P44237" s="2498"/>
    </row>
    <row r="44238" spans="16:16">
      <c r="P44238" s="2498"/>
    </row>
    <row r="44239" spans="16:16">
      <c r="P44239" s="2498"/>
    </row>
    <row r="44240" spans="16:16">
      <c r="P44240" s="2498"/>
    </row>
    <row r="44241" spans="16:16">
      <c r="P44241" s="2498"/>
    </row>
    <row r="44242" spans="16:16">
      <c r="P44242" s="2498"/>
    </row>
    <row r="44243" spans="16:16">
      <c r="P44243" s="2498"/>
    </row>
    <row r="44244" spans="16:16">
      <c r="P44244" s="2498"/>
    </row>
    <row r="44245" spans="16:16">
      <c r="P44245" s="2498"/>
    </row>
    <row r="44246" spans="16:16">
      <c r="P44246" s="2498"/>
    </row>
    <row r="44247" spans="16:16">
      <c r="P44247" s="2498"/>
    </row>
    <row r="44248" spans="16:16">
      <c r="P44248" s="2498"/>
    </row>
    <row r="44249" spans="16:16">
      <c r="P44249" s="2498"/>
    </row>
    <row r="44250" spans="16:16">
      <c r="P44250" s="2498"/>
    </row>
    <row r="44251" spans="16:16">
      <c r="P44251" s="2498"/>
    </row>
    <row r="44252" spans="16:16">
      <c r="P44252" s="2498"/>
    </row>
    <row r="44253" spans="16:16">
      <c r="P44253" s="2498"/>
    </row>
    <row r="44254" spans="16:16">
      <c r="P44254" s="2498"/>
    </row>
    <row r="44255" spans="16:16">
      <c r="P44255" s="2498"/>
    </row>
    <row r="44256" spans="16:16">
      <c r="P44256" s="2498"/>
    </row>
    <row r="44257" spans="16:16">
      <c r="P44257" s="2498"/>
    </row>
    <row r="44258" spans="16:16">
      <c r="P44258" s="2498"/>
    </row>
    <row r="44259" spans="16:16">
      <c r="P44259" s="2498"/>
    </row>
    <row r="44260" spans="16:16">
      <c r="P44260" s="2498"/>
    </row>
    <row r="44261" spans="16:16">
      <c r="P44261" s="2498"/>
    </row>
    <row r="44262" spans="16:16">
      <c r="P44262" s="2498"/>
    </row>
    <row r="44263" spans="16:16">
      <c r="P44263" s="2498"/>
    </row>
    <row r="44264" spans="16:16">
      <c r="P44264" s="2498"/>
    </row>
    <row r="44265" spans="16:16">
      <c r="P44265" s="2498"/>
    </row>
    <row r="44266" spans="16:16">
      <c r="P44266" s="2498"/>
    </row>
    <row r="44267" spans="16:16">
      <c r="P44267" s="2498"/>
    </row>
    <row r="44268" spans="16:16">
      <c r="P44268" s="2498"/>
    </row>
    <row r="44269" spans="16:16">
      <c r="P44269" s="2498"/>
    </row>
    <row r="44270" spans="16:16">
      <c r="P44270" s="2498"/>
    </row>
    <row r="44271" spans="16:16">
      <c r="P44271" s="2498"/>
    </row>
    <row r="44272" spans="16:16">
      <c r="P44272" s="2498"/>
    </row>
    <row r="44273" spans="16:16">
      <c r="P44273" s="2498"/>
    </row>
    <row r="44274" spans="16:16">
      <c r="P44274" s="2498"/>
    </row>
    <row r="44275" spans="16:16">
      <c r="P44275" s="2498"/>
    </row>
    <row r="44276" spans="16:16">
      <c r="P44276" s="2498"/>
    </row>
    <row r="44277" spans="16:16">
      <c r="P44277" s="2498"/>
    </row>
    <row r="44278" spans="16:16">
      <c r="P44278" s="2498"/>
    </row>
    <row r="44279" spans="16:16">
      <c r="P44279" s="2498"/>
    </row>
    <row r="44280" spans="16:16">
      <c r="P44280" s="2498"/>
    </row>
    <row r="44281" spans="16:16">
      <c r="P44281" s="2498"/>
    </row>
    <row r="44282" spans="16:16">
      <c r="P44282" s="2498"/>
    </row>
    <row r="44283" spans="16:16">
      <c r="P44283" s="2498"/>
    </row>
    <row r="44284" spans="16:16">
      <c r="P44284" s="2498"/>
    </row>
    <row r="44285" spans="16:16">
      <c r="P44285" s="2498"/>
    </row>
    <row r="44286" spans="16:16">
      <c r="P44286" s="2498"/>
    </row>
    <row r="44287" spans="16:16">
      <c r="P44287" s="2498"/>
    </row>
    <row r="44288" spans="16:16">
      <c r="P44288" s="2498"/>
    </row>
    <row r="44289" spans="16:16">
      <c r="P44289" s="2498"/>
    </row>
    <row r="44290" spans="16:16">
      <c r="P44290" s="2498"/>
    </row>
    <row r="44291" spans="16:16">
      <c r="P44291" s="2498"/>
    </row>
    <row r="44292" spans="16:16">
      <c r="P44292" s="2498"/>
    </row>
    <row r="44293" spans="16:16">
      <c r="P44293" s="2498"/>
    </row>
    <row r="44294" spans="16:16">
      <c r="P44294" s="2498"/>
    </row>
    <row r="44295" spans="16:16">
      <c r="P44295" s="2498"/>
    </row>
    <row r="44296" spans="16:16">
      <c r="P44296" s="2498"/>
    </row>
    <row r="44297" spans="16:16">
      <c r="P44297" s="2498"/>
    </row>
    <row r="44298" spans="16:16">
      <c r="P44298" s="2498"/>
    </row>
    <row r="44299" spans="16:16">
      <c r="P44299" s="2498"/>
    </row>
    <row r="44300" spans="16:16">
      <c r="P44300" s="2498"/>
    </row>
    <row r="44301" spans="16:16">
      <c r="P44301" s="2498"/>
    </row>
    <row r="44302" spans="16:16">
      <c r="P44302" s="2498"/>
    </row>
    <row r="44303" spans="16:16">
      <c r="P44303" s="2498"/>
    </row>
    <row r="44304" spans="16:16">
      <c r="P44304" s="2498"/>
    </row>
    <row r="44305" spans="16:16">
      <c r="P44305" s="2498"/>
    </row>
    <row r="44306" spans="16:16">
      <c r="P44306" s="2498"/>
    </row>
    <row r="44307" spans="16:16">
      <c r="P44307" s="2498"/>
    </row>
    <row r="44308" spans="16:16">
      <c r="P44308" s="2498"/>
    </row>
    <row r="44309" spans="16:16">
      <c r="P44309" s="2498"/>
    </row>
    <row r="44310" spans="16:16">
      <c r="P44310" s="2498"/>
    </row>
    <row r="44311" spans="16:16">
      <c r="P44311" s="2498"/>
    </row>
    <row r="44312" spans="16:16">
      <c r="P44312" s="2498"/>
    </row>
    <row r="44313" spans="16:16">
      <c r="P44313" s="2498"/>
    </row>
    <row r="44314" spans="16:16">
      <c r="P44314" s="2498"/>
    </row>
    <row r="44315" spans="16:16">
      <c r="P44315" s="2498"/>
    </row>
    <row r="44316" spans="16:16">
      <c r="P44316" s="2498"/>
    </row>
    <row r="44317" spans="16:16">
      <c r="P44317" s="2498"/>
    </row>
    <row r="44318" spans="16:16">
      <c r="P44318" s="2498"/>
    </row>
    <row r="44319" spans="16:16">
      <c r="P44319" s="2498"/>
    </row>
    <row r="44320" spans="16:16">
      <c r="P44320" s="2498"/>
    </row>
    <row r="44321" spans="16:16">
      <c r="P44321" s="2498"/>
    </row>
    <row r="44322" spans="16:16">
      <c r="P44322" s="2498"/>
    </row>
    <row r="44323" spans="16:16">
      <c r="P44323" s="2498"/>
    </row>
    <row r="44324" spans="16:16">
      <c r="P44324" s="2498"/>
    </row>
    <row r="44325" spans="16:16">
      <c r="P44325" s="2498"/>
    </row>
    <row r="44326" spans="16:16">
      <c r="P44326" s="2498"/>
    </row>
    <row r="44327" spans="16:16">
      <c r="P44327" s="2498"/>
    </row>
    <row r="44328" spans="16:16">
      <c r="P44328" s="2498"/>
    </row>
    <row r="44329" spans="16:16">
      <c r="P44329" s="2498"/>
    </row>
    <row r="44330" spans="16:16">
      <c r="P44330" s="2498"/>
    </row>
    <row r="44331" spans="16:16">
      <c r="P44331" s="2498"/>
    </row>
    <row r="44332" spans="16:16">
      <c r="P44332" s="2498"/>
    </row>
    <row r="44333" spans="16:16">
      <c r="P44333" s="2498"/>
    </row>
    <row r="44334" spans="16:16">
      <c r="P44334" s="2498"/>
    </row>
    <row r="44335" spans="16:16">
      <c r="P44335" s="2498"/>
    </row>
    <row r="44336" spans="16:16">
      <c r="P44336" s="2498"/>
    </row>
    <row r="44337" spans="16:16">
      <c r="P44337" s="2498"/>
    </row>
    <row r="44338" spans="16:16">
      <c r="P44338" s="2498"/>
    </row>
    <row r="44339" spans="16:16">
      <c r="P44339" s="2498"/>
    </row>
    <row r="44340" spans="16:16">
      <c r="P44340" s="2498"/>
    </row>
    <row r="44341" spans="16:16">
      <c r="P44341" s="2498"/>
    </row>
    <row r="44342" spans="16:16">
      <c r="P44342" s="2498"/>
    </row>
    <row r="44343" spans="16:16">
      <c r="P44343" s="2498"/>
    </row>
    <row r="44344" spans="16:16">
      <c r="P44344" s="2498"/>
    </row>
    <row r="44345" spans="16:16">
      <c r="P44345" s="2498"/>
    </row>
    <row r="44346" spans="16:16">
      <c r="P44346" s="2498"/>
    </row>
    <row r="44347" spans="16:16">
      <c r="P44347" s="2498"/>
    </row>
    <row r="44348" spans="16:16">
      <c r="P44348" s="2498"/>
    </row>
    <row r="44349" spans="16:16">
      <c r="P44349" s="2498"/>
    </row>
    <row r="44350" spans="16:16">
      <c r="P44350" s="2498"/>
    </row>
    <row r="44351" spans="16:16">
      <c r="P44351" s="2498"/>
    </row>
    <row r="44352" spans="16:16">
      <c r="P44352" s="2498"/>
    </row>
    <row r="44353" spans="16:16">
      <c r="P44353" s="2498"/>
    </row>
    <row r="44354" spans="16:16">
      <c r="P44354" s="2498"/>
    </row>
    <row r="44355" spans="16:16">
      <c r="P44355" s="2498"/>
    </row>
    <row r="44356" spans="16:16">
      <c r="P44356" s="2498"/>
    </row>
    <row r="44357" spans="16:16">
      <c r="P44357" s="2498"/>
    </row>
    <row r="44358" spans="16:16">
      <c r="P44358" s="2498"/>
    </row>
    <row r="44359" spans="16:16">
      <c r="P44359" s="2498"/>
    </row>
    <row r="44360" spans="16:16">
      <c r="P44360" s="2498"/>
    </row>
    <row r="44361" spans="16:16">
      <c r="P44361" s="2498"/>
    </row>
    <row r="44362" spans="16:16">
      <c r="P44362" s="2498"/>
    </row>
    <row r="44363" spans="16:16">
      <c r="P44363" s="2498"/>
    </row>
    <row r="44364" spans="16:16">
      <c r="P44364" s="2498"/>
    </row>
    <row r="44365" spans="16:16">
      <c r="P44365" s="2498"/>
    </row>
    <row r="44366" spans="16:16">
      <c r="P44366" s="2498"/>
    </row>
    <row r="44367" spans="16:16">
      <c r="P44367" s="2498"/>
    </row>
    <row r="44368" spans="16:16">
      <c r="P44368" s="2498"/>
    </row>
    <row r="44369" spans="16:16">
      <c r="P44369" s="2498"/>
    </row>
    <row r="44370" spans="16:16">
      <c r="P44370" s="2498"/>
    </row>
    <row r="44371" spans="16:16">
      <c r="P44371" s="2498"/>
    </row>
    <row r="44372" spans="16:16">
      <c r="P44372" s="2498"/>
    </row>
    <row r="44373" spans="16:16">
      <c r="P44373" s="2498"/>
    </row>
    <row r="44374" spans="16:16">
      <c r="P44374" s="2498"/>
    </row>
    <row r="44375" spans="16:16">
      <c r="P44375" s="2498"/>
    </row>
    <row r="44376" spans="16:16">
      <c r="P44376" s="2498"/>
    </row>
    <row r="44377" spans="16:16">
      <c r="P44377" s="2498"/>
    </row>
    <row r="44378" spans="16:16">
      <c r="P44378" s="2498"/>
    </row>
    <row r="44379" spans="16:16">
      <c r="P44379" s="2498"/>
    </row>
    <row r="44380" spans="16:16">
      <c r="P44380" s="2498"/>
    </row>
    <row r="44381" spans="16:16">
      <c r="P44381" s="2498"/>
    </row>
    <row r="44382" spans="16:16">
      <c r="P44382" s="2498"/>
    </row>
    <row r="44383" spans="16:16">
      <c r="P44383" s="2498"/>
    </row>
    <row r="44384" spans="16:16">
      <c r="P44384" s="2498"/>
    </row>
    <row r="44385" spans="16:16">
      <c r="P44385" s="2498"/>
    </row>
    <row r="44386" spans="16:16">
      <c r="P44386" s="2498"/>
    </row>
    <row r="44387" spans="16:16">
      <c r="P44387" s="2498"/>
    </row>
    <row r="44388" spans="16:16">
      <c r="P44388" s="2498"/>
    </row>
    <row r="44389" spans="16:16">
      <c r="P44389" s="2498"/>
    </row>
    <row r="44390" spans="16:16">
      <c r="P44390" s="2498"/>
    </row>
    <row r="44391" spans="16:16">
      <c r="P44391" s="2498"/>
    </row>
    <row r="44392" spans="16:16">
      <c r="P44392" s="2498"/>
    </row>
    <row r="44393" spans="16:16">
      <c r="P44393" s="2498"/>
    </row>
    <row r="44394" spans="16:16">
      <c r="P44394" s="2498"/>
    </row>
    <row r="44395" spans="16:16">
      <c r="P44395" s="2498"/>
    </row>
    <row r="44396" spans="16:16">
      <c r="P44396" s="2498"/>
    </row>
    <row r="44397" spans="16:16">
      <c r="P44397" s="2498"/>
    </row>
    <row r="44398" spans="16:16">
      <c r="P44398" s="2498"/>
    </row>
    <row r="44399" spans="16:16">
      <c r="P44399" s="2498"/>
    </row>
    <row r="44400" spans="16:16">
      <c r="P44400" s="2498"/>
    </row>
    <row r="44401" spans="16:16">
      <c r="P44401" s="2498"/>
    </row>
    <row r="44402" spans="16:16">
      <c r="P44402" s="2498"/>
    </row>
    <row r="44403" spans="16:16">
      <c r="P44403" s="2498"/>
    </row>
    <row r="44404" spans="16:16">
      <c r="P44404" s="2498"/>
    </row>
    <row r="44405" spans="16:16">
      <c r="P44405" s="2498"/>
    </row>
    <row r="44406" spans="16:16">
      <c r="P44406" s="2498"/>
    </row>
    <row r="44407" spans="16:16">
      <c r="P44407" s="2498"/>
    </row>
    <row r="44408" spans="16:16">
      <c r="P44408" s="2498"/>
    </row>
    <row r="44409" spans="16:16">
      <c r="P44409" s="2498"/>
    </row>
    <row r="44410" spans="16:16">
      <c r="P44410" s="2498"/>
    </row>
    <row r="44411" spans="16:16">
      <c r="P44411" s="2498"/>
    </row>
    <row r="44412" spans="16:16">
      <c r="P44412" s="2498"/>
    </row>
    <row r="44413" spans="16:16">
      <c r="P44413" s="2498"/>
    </row>
    <row r="44414" spans="16:16">
      <c r="P44414" s="2498"/>
    </row>
    <row r="44415" spans="16:16">
      <c r="P44415" s="2498"/>
    </row>
    <row r="44416" spans="16:16">
      <c r="P44416" s="2498"/>
    </row>
    <row r="44417" spans="16:16">
      <c r="P44417" s="2498"/>
    </row>
    <row r="44418" spans="16:16">
      <c r="P44418" s="2498"/>
    </row>
    <row r="44419" spans="16:16">
      <c r="P44419" s="2498"/>
    </row>
    <row r="44420" spans="16:16">
      <c r="P44420" s="2498"/>
    </row>
    <row r="44421" spans="16:16">
      <c r="P44421" s="2498"/>
    </row>
    <row r="44422" spans="16:16">
      <c r="P44422" s="2498"/>
    </row>
    <row r="44423" spans="16:16">
      <c r="P44423" s="2498"/>
    </row>
    <row r="44424" spans="16:16">
      <c r="P44424" s="2498"/>
    </row>
    <row r="44425" spans="16:16">
      <c r="P44425" s="2498"/>
    </row>
    <row r="44426" spans="16:16">
      <c r="P44426" s="2498"/>
    </row>
    <row r="44427" spans="16:16">
      <c r="P44427" s="2498"/>
    </row>
    <row r="44428" spans="16:16">
      <c r="P44428" s="2498"/>
    </row>
    <row r="44429" spans="16:16">
      <c r="P44429" s="2498"/>
    </row>
    <row r="44430" spans="16:16">
      <c r="P44430" s="2498"/>
    </row>
    <row r="44431" spans="16:16">
      <c r="P44431" s="2498"/>
    </row>
    <row r="44432" spans="16:16">
      <c r="P44432" s="2498"/>
    </row>
    <row r="44433" spans="16:16">
      <c r="P44433" s="2498"/>
    </row>
    <row r="44434" spans="16:16">
      <c r="P44434" s="2498"/>
    </row>
    <row r="44435" spans="16:16">
      <c r="P44435" s="2498"/>
    </row>
    <row r="44436" spans="16:16">
      <c r="P44436" s="2498"/>
    </row>
    <row r="44437" spans="16:16">
      <c r="P44437" s="2498"/>
    </row>
    <row r="44438" spans="16:16">
      <c r="P44438" s="2498"/>
    </row>
    <row r="44439" spans="16:16">
      <c r="P44439" s="2498"/>
    </row>
    <row r="44440" spans="16:16">
      <c r="P44440" s="2498"/>
    </row>
    <row r="44441" spans="16:16">
      <c r="P44441" s="2498"/>
    </row>
    <row r="44442" spans="16:16">
      <c r="P44442" s="2498"/>
    </row>
    <row r="44443" spans="16:16">
      <c r="P44443" s="2498"/>
    </row>
    <row r="44444" spans="16:16">
      <c r="P44444" s="2498"/>
    </row>
    <row r="44445" spans="16:16">
      <c r="P44445" s="2498"/>
    </row>
    <row r="44446" spans="16:16">
      <c r="P44446" s="2498"/>
    </row>
    <row r="44447" spans="16:16">
      <c r="P44447" s="2498"/>
    </row>
    <row r="44448" spans="16:16">
      <c r="P44448" s="2498"/>
    </row>
    <row r="44449" spans="16:16">
      <c r="P44449" s="2498"/>
    </row>
    <row r="44450" spans="16:16">
      <c r="P44450" s="2498"/>
    </row>
    <row r="44451" spans="16:16">
      <c r="P44451" s="2498"/>
    </row>
    <row r="44452" spans="16:16">
      <c r="P44452" s="2498"/>
    </row>
    <row r="44453" spans="16:16">
      <c r="P44453" s="2498"/>
    </row>
    <row r="44454" spans="16:16">
      <c r="P44454" s="2498"/>
    </row>
    <row r="44455" spans="16:16">
      <c r="P44455" s="2498"/>
    </row>
    <row r="44456" spans="16:16">
      <c r="P44456" s="2498"/>
    </row>
    <row r="44457" spans="16:16">
      <c r="P44457" s="2498"/>
    </row>
    <row r="44458" spans="16:16">
      <c r="P44458" s="2498"/>
    </row>
    <row r="44459" spans="16:16">
      <c r="P44459" s="2498"/>
    </row>
    <row r="44460" spans="16:16">
      <c r="P44460" s="2498"/>
    </row>
    <row r="44461" spans="16:16">
      <c r="P44461" s="2498"/>
    </row>
    <row r="44462" spans="16:16">
      <c r="P44462" s="2498"/>
    </row>
    <row r="44463" spans="16:16">
      <c r="P44463" s="2498"/>
    </row>
    <row r="44464" spans="16:16">
      <c r="P44464" s="2498"/>
    </row>
    <row r="44465" spans="16:16">
      <c r="P44465" s="2498"/>
    </row>
    <row r="44466" spans="16:16">
      <c r="P44466" s="2498"/>
    </row>
    <row r="44467" spans="16:16">
      <c r="P44467" s="2498"/>
    </row>
    <row r="44468" spans="16:16">
      <c r="P44468" s="2498"/>
    </row>
    <row r="44469" spans="16:16">
      <c r="P44469" s="2498"/>
    </row>
    <row r="44470" spans="16:16">
      <c r="P44470" s="2498"/>
    </row>
    <row r="44471" spans="16:16">
      <c r="P44471" s="2498"/>
    </row>
    <row r="44472" spans="16:16">
      <c r="P44472" s="2498"/>
    </row>
    <row r="44473" spans="16:16">
      <c r="P44473" s="2498"/>
    </row>
    <row r="44474" spans="16:16">
      <c r="P44474" s="2498"/>
    </row>
    <row r="44475" spans="16:16">
      <c r="P44475" s="2498"/>
    </row>
    <row r="44476" spans="16:16">
      <c r="P44476" s="2498"/>
    </row>
    <row r="44477" spans="16:16">
      <c r="P44477" s="2498"/>
    </row>
    <row r="44478" spans="16:16">
      <c r="P44478" s="2498"/>
    </row>
    <row r="44479" spans="16:16">
      <c r="P44479" s="2498"/>
    </row>
    <row r="44480" spans="16:16">
      <c r="P44480" s="2498"/>
    </row>
    <row r="44481" spans="16:16">
      <c r="P44481" s="2498"/>
    </row>
    <row r="44482" spans="16:16">
      <c r="P44482" s="2498"/>
    </row>
    <row r="44483" spans="16:16">
      <c r="P44483" s="2498"/>
    </row>
    <row r="44484" spans="16:16">
      <c r="P44484" s="2498"/>
    </row>
    <row r="44485" spans="16:16">
      <c r="P44485" s="2498"/>
    </row>
    <row r="44486" spans="16:16">
      <c r="P44486" s="2498"/>
    </row>
    <row r="44487" spans="16:16">
      <c r="P44487" s="2498"/>
    </row>
    <row r="44488" spans="16:16">
      <c r="P44488" s="2498"/>
    </row>
    <row r="44489" spans="16:16">
      <c r="P44489" s="2498"/>
    </row>
    <row r="44490" spans="16:16">
      <c r="P44490" s="2498"/>
    </row>
    <row r="44491" spans="16:16">
      <c r="P44491" s="2498"/>
    </row>
    <row r="44492" spans="16:16">
      <c r="P44492" s="2498"/>
    </row>
    <row r="44493" spans="16:16">
      <c r="P44493" s="2498"/>
    </row>
    <row r="44494" spans="16:16">
      <c r="P44494" s="2498"/>
    </row>
    <row r="44495" spans="16:16">
      <c r="P44495" s="2498"/>
    </row>
    <row r="44496" spans="16:16">
      <c r="P44496" s="2498"/>
    </row>
    <row r="44497" spans="16:16">
      <c r="P44497" s="2498"/>
    </row>
    <row r="44498" spans="16:16">
      <c r="P44498" s="2498"/>
    </row>
    <row r="44499" spans="16:16">
      <c r="P44499" s="2498"/>
    </row>
    <row r="44500" spans="16:16">
      <c r="P44500" s="2498"/>
    </row>
    <row r="44501" spans="16:16">
      <c r="P44501" s="2498"/>
    </row>
    <row r="44502" spans="16:16">
      <c r="P44502" s="2498"/>
    </row>
    <row r="44503" spans="16:16">
      <c r="P44503" s="2498"/>
    </row>
    <row r="44504" spans="16:16">
      <c r="P44504" s="2498"/>
    </row>
    <row r="44505" spans="16:16">
      <c r="P44505" s="2498"/>
    </row>
    <row r="44506" spans="16:16">
      <c r="P44506" s="2498"/>
    </row>
    <row r="44507" spans="16:16">
      <c r="P44507" s="2498"/>
    </row>
    <row r="44508" spans="16:16">
      <c r="P44508" s="2498"/>
    </row>
    <row r="44509" spans="16:16">
      <c r="P44509" s="2498"/>
    </row>
    <row r="44510" spans="16:16">
      <c r="P44510" s="2498"/>
    </row>
    <row r="44511" spans="16:16">
      <c r="P44511" s="2498"/>
    </row>
    <row r="44512" spans="16:16">
      <c r="P44512" s="2498"/>
    </row>
    <row r="44513" spans="16:16">
      <c r="P44513" s="2498"/>
    </row>
    <row r="44514" spans="16:16">
      <c r="P44514" s="2498"/>
    </row>
    <row r="44515" spans="16:16">
      <c r="P44515" s="2498"/>
    </row>
    <row r="44516" spans="16:16">
      <c r="P44516" s="2498"/>
    </row>
    <row r="44517" spans="16:16">
      <c r="P44517" s="2498"/>
    </row>
    <row r="44518" spans="16:16">
      <c r="P44518" s="2498"/>
    </row>
    <row r="44519" spans="16:16">
      <c r="P44519" s="2498"/>
    </row>
    <row r="44520" spans="16:16">
      <c r="P44520" s="2498"/>
    </row>
    <row r="44521" spans="16:16">
      <c r="P44521" s="2498"/>
    </row>
    <row r="44522" spans="16:16">
      <c r="P44522" s="2498"/>
    </row>
    <row r="44523" spans="16:16">
      <c r="P44523" s="2498"/>
    </row>
    <row r="44524" spans="16:16">
      <c r="P44524" s="2498"/>
    </row>
    <row r="44525" spans="16:16">
      <c r="P44525" s="2498"/>
    </row>
    <row r="44526" spans="16:16">
      <c r="P44526" s="2498"/>
    </row>
    <row r="44527" spans="16:16">
      <c r="P44527" s="2498"/>
    </row>
    <row r="44528" spans="16:16">
      <c r="P44528" s="2498"/>
    </row>
    <row r="44529" spans="16:16">
      <c r="P44529" s="2498"/>
    </row>
    <row r="44530" spans="16:16">
      <c r="P44530" s="2498"/>
    </row>
    <row r="44531" spans="16:16">
      <c r="P44531" s="2498"/>
    </row>
    <row r="44532" spans="16:16">
      <c r="P44532" s="2498"/>
    </row>
    <row r="44533" spans="16:16">
      <c r="P44533" s="2498"/>
    </row>
    <row r="44534" spans="16:16">
      <c r="P44534" s="2498"/>
    </row>
    <row r="44535" spans="16:16">
      <c r="P44535" s="2498"/>
    </row>
    <row r="44536" spans="16:16">
      <c r="P44536" s="2498"/>
    </row>
    <row r="44537" spans="16:16">
      <c r="P44537" s="2498"/>
    </row>
    <row r="44538" spans="16:16">
      <c r="P44538" s="2498"/>
    </row>
    <row r="44539" spans="16:16">
      <c r="P44539" s="2498"/>
    </row>
    <row r="44540" spans="16:16">
      <c r="P44540" s="2498"/>
    </row>
    <row r="44541" spans="16:16">
      <c r="P44541" s="2498"/>
    </row>
    <row r="44542" spans="16:16">
      <c r="P44542" s="2498"/>
    </row>
    <row r="44543" spans="16:16">
      <c r="P44543" s="2498"/>
    </row>
    <row r="44544" spans="16:16">
      <c r="P44544" s="2498"/>
    </row>
    <row r="44545" spans="16:16">
      <c r="P44545" s="2498"/>
    </row>
    <row r="44546" spans="16:16">
      <c r="P44546" s="2498"/>
    </row>
    <row r="44547" spans="16:16">
      <c r="P44547" s="2498"/>
    </row>
    <row r="44548" spans="16:16">
      <c r="P44548" s="2498"/>
    </row>
    <row r="44549" spans="16:16">
      <c r="P44549" s="2498"/>
    </row>
    <row r="44550" spans="16:16">
      <c r="P44550" s="2498"/>
    </row>
    <row r="44551" spans="16:16">
      <c r="P44551" s="2498"/>
    </row>
    <row r="44552" spans="16:16">
      <c r="P44552" s="2498"/>
    </row>
    <row r="44553" spans="16:16">
      <c r="P44553" s="2498"/>
    </row>
    <row r="44554" spans="16:16">
      <c r="P44554" s="2498"/>
    </row>
    <row r="44555" spans="16:16">
      <c r="P44555" s="2498"/>
    </row>
    <row r="44556" spans="16:16">
      <c r="P44556" s="2498"/>
    </row>
    <row r="44557" spans="16:16">
      <c r="P44557" s="2498"/>
    </row>
    <row r="44558" spans="16:16">
      <c r="P44558" s="2498"/>
    </row>
    <row r="44559" spans="16:16">
      <c r="P44559" s="2498"/>
    </row>
    <row r="44560" spans="16:16">
      <c r="P44560" s="2498"/>
    </row>
    <row r="44561" spans="16:16">
      <c r="P44561" s="2498"/>
    </row>
    <row r="44562" spans="16:16">
      <c r="P44562" s="2498"/>
    </row>
    <row r="44563" spans="16:16">
      <c r="P44563" s="2498"/>
    </row>
    <row r="44564" spans="16:16">
      <c r="P44564" s="2498"/>
    </row>
    <row r="44565" spans="16:16">
      <c r="P44565" s="2498"/>
    </row>
    <row r="44566" spans="16:16">
      <c r="P44566" s="2498"/>
    </row>
    <row r="44567" spans="16:16">
      <c r="P44567" s="2498"/>
    </row>
    <row r="44568" spans="16:16">
      <c r="P44568" s="2498"/>
    </row>
    <row r="44569" spans="16:16">
      <c r="P44569" s="2498"/>
    </row>
    <row r="44570" spans="16:16">
      <c r="P44570" s="2498"/>
    </row>
    <row r="44571" spans="16:16">
      <c r="P44571" s="2498"/>
    </row>
    <row r="44572" spans="16:16">
      <c r="P44572" s="2498"/>
    </row>
    <row r="44573" spans="16:16">
      <c r="P44573" s="2498"/>
    </row>
    <row r="44574" spans="16:16">
      <c r="P44574" s="2498"/>
    </row>
    <row r="44575" spans="16:16">
      <c r="P44575" s="2498"/>
    </row>
    <row r="44576" spans="16:16">
      <c r="P44576" s="2498"/>
    </row>
    <row r="44577" spans="16:16">
      <c r="P44577" s="2498"/>
    </row>
    <row r="44578" spans="16:16">
      <c r="P44578" s="2498"/>
    </row>
    <row r="44579" spans="16:16">
      <c r="P44579" s="2498"/>
    </row>
    <row r="44580" spans="16:16">
      <c r="P44580" s="2498"/>
    </row>
    <row r="44581" spans="16:16">
      <c r="P44581" s="2498"/>
    </row>
    <row r="44582" spans="16:16">
      <c r="P44582" s="2498"/>
    </row>
    <row r="44583" spans="16:16">
      <c r="P44583" s="2498"/>
    </row>
    <row r="44584" spans="16:16">
      <c r="P44584" s="2498"/>
    </row>
    <row r="44585" spans="16:16">
      <c r="P44585" s="2498"/>
    </row>
    <row r="44586" spans="16:16">
      <c r="P44586" s="2498"/>
    </row>
    <row r="44587" spans="16:16">
      <c r="P44587" s="2498"/>
    </row>
    <row r="44588" spans="16:16">
      <c r="P44588" s="2498"/>
    </row>
    <row r="44589" spans="16:16">
      <c r="P44589" s="2498"/>
    </row>
    <row r="44590" spans="16:16">
      <c r="P44590" s="2498"/>
    </row>
    <row r="44591" spans="16:16">
      <c r="P44591" s="2498"/>
    </row>
    <row r="44592" spans="16:16">
      <c r="P44592" s="2498"/>
    </row>
    <row r="44593" spans="16:16">
      <c r="P44593" s="2498"/>
    </row>
    <row r="44594" spans="16:16">
      <c r="P44594" s="2498"/>
    </row>
    <row r="44595" spans="16:16">
      <c r="P44595" s="2498"/>
    </row>
    <row r="44596" spans="16:16">
      <c r="P44596" s="2498"/>
    </row>
    <row r="44597" spans="16:16">
      <c r="P44597" s="2498"/>
    </row>
    <row r="44598" spans="16:16">
      <c r="P44598" s="2498"/>
    </row>
    <row r="44599" spans="16:16">
      <c r="P44599" s="2498"/>
    </row>
    <row r="44600" spans="16:16">
      <c r="P44600" s="2498"/>
    </row>
    <row r="44601" spans="16:16">
      <c r="P44601" s="2498"/>
    </row>
    <row r="44602" spans="16:16">
      <c r="P44602" s="2498"/>
    </row>
    <row r="44603" spans="16:16">
      <c r="P44603" s="2498"/>
    </row>
    <row r="44604" spans="16:16">
      <c r="P44604" s="2498"/>
    </row>
    <row r="44605" spans="16:16">
      <c r="P44605" s="2498"/>
    </row>
    <row r="44606" spans="16:16">
      <c r="P44606" s="2498"/>
    </row>
    <row r="44607" spans="16:16">
      <c r="P44607" s="2498"/>
    </row>
    <row r="44608" spans="16:16">
      <c r="P44608" s="2498"/>
    </row>
    <row r="44609" spans="16:16">
      <c r="P44609" s="2498"/>
    </row>
    <row r="44610" spans="16:16">
      <c r="P44610" s="2498"/>
    </row>
    <row r="44611" spans="16:16">
      <c r="P44611" s="2498"/>
    </row>
    <row r="44612" spans="16:16">
      <c r="P44612" s="2498"/>
    </row>
    <row r="44613" spans="16:16">
      <c r="P44613" s="2498"/>
    </row>
    <row r="44614" spans="16:16">
      <c r="P44614" s="2498"/>
    </row>
    <row r="44615" spans="16:16">
      <c r="P44615" s="2498"/>
    </row>
    <row r="44616" spans="16:16">
      <c r="P44616" s="2498"/>
    </row>
    <row r="44617" spans="16:16">
      <c r="P44617" s="2498"/>
    </row>
    <row r="44618" spans="16:16">
      <c r="P44618" s="2498"/>
    </row>
    <row r="44619" spans="16:16">
      <c r="P44619" s="2498"/>
    </row>
    <row r="44620" spans="16:16">
      <c r="P44620" s="2498"/>
    </row>
    <row r="44621" spans="16:16">
      <c r="P44621" s="2498"/>
    </row>
    <row r="44622" spans="16:16">
      <c r="P44622" s="2498"/>
    </row>
    <row r="44623" spans="16:16">
      <c r="P44623" s="2498"/>
    </row>
    <row r="44624" spans="16:16">
      <c r="P44624" s="2498"/>
    </row>
    <row r="44625" spans="16:16">
      <c r="P44625" s="2498"/>
    </row>
    <row r="44626" spans="16:16">
      <c r="P44626" s="2498"/>
    </row>
    <row r="44627" spans="16:16">
      <c r="P44627" s="2498"/>
    </row>
    <row r="44628" spans="16:16">
      <c r="P44628" s="2498"/>
    </row>
    <row r="44629" spans="16:16">
      <c r="P44629" s="2498"/>
    </row>
    <row r="44630" spans="16:16">
      <c r="P44630" s="2498"/>
    </row>
    <row r="44631" spans="16:16">
      <c r="P44631" s="2498"/>
    </row>
    <row r="44632" spans="16:16">
      <c r="P44632" s="2498"/>
    </row>
    <row r="44633" spans="16:16">
      <c r="P44633" s="2498"/>
    </row>
    <row r="44634" spans="16:16">
      <c r="P44634" s="2498"/>
    </row>
    <row r="44635" spans="16:16">
      <c r="P44635" s="2498"/>
    </row>
    <row r="44636" spans="16:16">
      <c r="P44636" s="2498"/>
    </row>
    <row r="44637" spans="16:16">
      <c r="P44637" s="2498"/>
    </row>
    <row r="44638" spans="16:16">
      <c r="P44638" s="2498"/>
    </row>
    <row r="44639" spans="16:16">
      <c r="P44639" s="2498"/>
    </row>
    <row r="44640" spans="16:16">
      <c r="P44640" s="2498"/>
    </row>
    <row r="44641" spans="16:16">
      <c r="P44641" s="2498"/>
    </row>
    <row r="44642" spans="16:16">
      <c r="P44642" s="2498"/>
    </row>
    <row r="44643" spans="16:16">
      <c r="P44643" s="2498"/>
    </row>
    <row r="44644" spans="16:16">
      <c r="P44644" s="2498"/>
    </row>
    <row r="44645" spans="16:16">
      <c r="P44645" s="2498"/>
    </row>
    <row r="44646" spans="16:16">
      <c r="P44646" s="2498"/>
    </row>
    <row r="44647" spans="16:16">
      <c r="P44647" s="2498"/>
    </row>
    <row r="44648" spans="16:16">
      <c r="P44648" s="2498"/>
    </row>
    <row r="44649" spans="16:16">
      <c r="P44649" s="2498"/>
    </row>
    <row r="44650" spans="16:16">
      <c r="P44650" s="2498"/>
    </row>
    <row r="44651" spans="16:16">
      <c r="P44651" s="2498"/>
    </row>
    <row r="44652" spans="16:16">
      <c r="P44652" s="2498"/>
    </row>
    <row r="44653" spans="16:16">
      <c r="P44653" s="2498"/>
    </row>
    <row r="44654" spans="16:16">
      <c r="P44654" s="2498"/>
    </row>
    <row r="44655" spans="16:16">
      <c r="P44655" s="2498"/>
    </row>
    <row r="44656" spans="16:16">
      <c r="P44656" s="2498"/>
    </row>
    <row r="44657" spans="16:16">
      <c r="P44657" s="2498"/>
    </row>
    <row r="44658" spans="16:16">
      <c r="P44658" s="2498"/>
    </row>
    <row r="44659" spans="16:16">
      <c r="P44659" s="2498"/>
    </row>
    <row r="44660" spans="16:16">
      <c r="P44660" s="2498"/>
    </row>
    <row r="44661" spans="16:16">
      <c r="P44661" s="2498"/>
    </row>
    <row r="44662" spans="16:16">
      <c r="P44662" s="2498"/>
    </row>
    <row r="44663" spans="16:16">
      <c r="P44663" s="2498"/>
    </row>
    <row r="44664" spans="16:16">
      <c r="P44664" s="2498"/>
    </row>
    <row r="44665" spans="16:16">
      <c r="P44665" s="2498"/>
    </row>
    <row r="44666" spans="16:16">
      <c r="P44666" s="2498"/>
    </row>
    <row r="44667" spans="16:16">
      <c r="P44667" s="2498"/>
    </row>
    <row r="44668" spans="16:16">
      <c r="P44668" s="2498"/>
    </row>
    <row r="44669" spans="16:16">
      <c r="P44669" s="2498"/>
    </row>
    <row r="44670" spans="16:16">
      <c r="P44670" s="2498"/>
    </row>
    <row r="44671" spans="16:16">
      <c r="P44671" s="2498"/>
    </row>
    <row r="44672" spans="16:16">
      <c r="P44672" s="2498"/>
    </row>
    <row r="44673" spans="16:16">
      <c r="P44673" s="2498"/>
    </row>
    <row r="44674" spans="16:16">
      <c r="P44674" s="2498"/>
    </row>
    <row r="44675" spans="16:16">
      <c r="P44675" s="2498"/>
    </row>
    <row r="44676" spans="16:16">
      <c r="P44676" s="2498"/>
    </row>
    <row r="44677" spans="16:16">
      <c r="P44677" s="2498"/>
    </row>
    <row r="44678" spans="16:16">
      <c r="P44678" s="2498"/>
    </row>
    <row r="44679" spans="16:16">
      <c r="P44679" s="2498"/>
    </row>
    <row r="44680" spans="16:16">
      <c r="P44680" s="2498"/>
    </row>
    <row r="44681" spans="16:16">
      <c r="P44681" s="2498"/>
    </row>
    <row r="44682" spans="16:16">
      <c r="P44682" s="2498"/>
    </row>
    <row r="44683" spans="16:16">
      <c r="P44683" s="2498"/>
    </row>
    <row r="44684" spans="16:16">
      <c r="P44684" s="2498"/>
    </row>
    <row r="44685" spans="16:16">
      <c r="P44685" s="2498"/>
    </row>
    <row r="44686" spans="16:16">
      <c r="P44686" s="2498"/>
    </row>
    <row r="44687" spans="16:16">
      <c r="P44687" s="2498"/>
    </row>
    <row r="44688" spans="16:16">
      <c r="P44688" s="2498"/>
    </row>
    <row r="44689" spans="16:16">
      <c r="P44689" s="2498"/>
    </row>
    <row r="44690" spans="16:16">
      <c r="P44690" s="2498"/>
    </row>
    <row r="44691" spans="16:16">
      <c r="P44691" s="2498"/>
    </row>
    <row r="44692" spans="16:16">
      <c r="P44692" s="2498"/>
    </row>
    <row r="44693" spans="16:16">
      <c r="P44693" s="2498"/>
    </row>
    <row r="44694" spans="16:16">
      <c r="P44694" s="2498"/>
    </row>
    <row r="44695" spans="16:16">
      <c r="P44695" s="2498"/>
    </row>
    <row r="44696" spans="16:16">
      <c r="P44696" s="2498"/>
    </row>
    <row r="44697" spans="16:16">
      <c r="P44697" s="2498"/>
    </row>
    <row r="44698" spans="16:16">
      <c r="P44698" s="2498"/>
    </row>
    <row r="44699" spans="16:16">
      <c r="P44699" s="2498"/>
    </row>
    <row r="44700" spans="16:16">
      <c r="P44700" s="2498"/>
    </row>
    <row r="44701" spans="16:16">
      <c r="P44701" s="2498"/>
    </row>
    <row r="44702" spans="16:16">
      <c r="P44702" s="2498"/>
    </row>
    <row r="44703" spans="16:16">
      <c r="P44703" s="2498"/>
    </row>
    <row r="44704" spans="16:16">
      <c r="P44704" s="2498"/>
    </row>
    <row r="44705" spans="16:16">
      <c r="P44705" s="2498"/>
    </row>
    <row r="44706" spans="16:16">
      <c r="P44706" s="2498"/>
    </row>
    <row r="44707" spans="16:16">
      <c r="P44707" s="2498"/>
    </row>
    <row r="44708" spans="16:16">
      <c r="P44708" s="2498"/>
    </row>
    <row r="44709" spans="16:16">
      <c r="P44709" s="2498"/>
    </row>
    <row r="44710" spans="16:16">
      <c r="P44710" s="2498"/>
    </row>
    <row r="44711" spans="16:16">
      <c r="P44711" s="2498"/>
    </row>
    <row r="44712" spans="16:16">
      <c r="P44712" s="2498"/>
    </row>
    <row r="44713" spans="16:16">
      <c r="P44713" s="2498"/>
    </row>
    <row r="44714" spans="16:16">
      <c r="P44714" s="2498"/>
    </row>
    <row r="44715" spans="16:16">
      <c r="P44715" s="2498"/>
    </row>
    <row r="44716" spans="16:16">
      <c r="P44716" s="2498"/>
    </row>
    <row r="44717" spans="16:16">
      <c r="P44717" s="2498"/>
    </row>
    <row r="44718" spans="16:16">
      <c r="P44718" s="2498"/>
    </row>
    <row r="44719" spans="16:16">
      <c r="P44719" s="2498"/>
    </row>
    <row r="44720" spans="16:16">
      <c r="P44720" s="2498"/>
    </row>
    <row r="44721" spans="16:16">
      <c r="P44721" s="2498"/>
    </row>
    <row r="44722" spans="16:16">
      <c r="P44722" s="2498"/>
    </row>
    <row r="44723" spans="16:16">
      <c r="P44723" s="2498"/>
    </row>
    <row r="44724" spans="16:16">
      <c r="P44724" s="2498"/>
    </row>
    <row r="44725" spans="16:16">
      <c r="P44725" s="2498"/>
    </row>
    <row r="44726" spans="16:16">
      <c r="P44726" s="2498"/>
    </row>
    <row r="44727" spans="16:16">
      <c r="P44727" s="2498"/>
    </row>
    <row r="44728" spans="16:16">
      <c r="P44728" s="2498"/>
    </row>
    <row r="44729" spans="16:16">
      <c r="P44729" s="2498"/>
    </row>
    <row r="44730" spans="16:16">
      <c r="P44730" s="2498"/>
    </row>
    <row r="44731" spans="16:16">
      <c r="P44731" s="2498"/>
    </row>
    <row r="44732" spans="16:16">
      <c r="P44732" s="2498"/>
    </row>
    <row r="44733" spans="16:16">
      <c r="P44733" s="2498"/>
    </row>
    <row r="44734" spans="16:16">
      <c r="P44734" s="2498"/>
    </row>
    <row r="44735" spans="16:16">
      <c r="P44735" s="2498"/>
    </row>
    <row r="44736" spans="16:16">
      <c r="P44736" s="2498"/>
    </row>
    <row r="44737" spans="16:16">
      <c r="P44737" s="2498"/>
    </row>
    <row r="44738" spans="16:16">
      <c r="P44738" s="2498"/>
    </row>
    <row r="44739" spans="16:16">
      <c r="P44739" s="2498"/>
    </row>
    <row r="44740" spans="16:16">
      <c r="P44740" s="2498"/>
    </row>
    <row r="44741" spans="16:16">
      <c r="P44741" s="2498"/>
    </row>
    <row r="44742" spans="16:16">
      <c r="P44742" s="2498"/>
    </row>
    <row r="44743" spans="16:16">
      <c r="P44743" s="2498"/>
    </row>
    <row r="44744" spans="16:16">
      <c r="P44744" s="2498"/>
    </row>
    <row r="44745" spans="16:16">
      <c r="P44745" s="2498"/>
    </row>
    <row r="44746" spans="16:16">
      <c r="P44746" s="2498"/>
    </row>
    <row r="44747" spans="16:16">
      <c r="P44747" s="2498"/>
    </row>
    <row r="44748" spans="16:16">
      <c r="P44748" s="2498"/>
    </row>
    <row r="44749" spans="16:16">
      <c r="P44749" s="2498"/>
    </row>
    <row r="44750" spans="16:16">
      <c r="P44750" s="2498"/>
    </row>
    <row r="44751" spans="16:16">
      <c r="P44751" s="2498"/>
    </row>
    <row r="44752" spans="16:16">
      <c r="P44752" s="2498"/>
    </row>
    <row r="44753" spans="16:16">
      <c r="P44753" s="2498"/>
    </row>
    <row r="44754" spans="16:16">
      <c r="P44754" s="2498"/>
    </row>
    <row r="44755" spans="16:16">
      <c r="P44755" s="2498"/>
    </row>
    <row r="44756" spans="16:16">
      <c r="P44756" s="2498"/>
    </row>
    <row r="44757" spans="16:16">
      <c r="P44757" s="2498"/>
    </row>
    <row r="44758" spans="16:16">
      <c r="P44758" s="2498"/>
    </row>
    <row r="44759" spans="16:16">
      <c r="P44759" s="2498"/>
    </row>
    <row r="44760" spans="16:16">
      <c r="P44760" s="2498"/>
    </row>
    <row r="44761" spans="16:16">
      <c r="P44761" s="2498"/>
    </row>
    <row r="44762" spans="16:16">
      <c r="P44762" s="2498"/>
    </row>
    <row r="44763" spans="16:16">
      <c r="P44763" s="2498"/>
    </row>
    <row r="44764" spans="16:16">
      <c r="P44764" s="2498"/>
    </row>
    <row r="44765" spans="16:16">
      <c r="P44765" s="2498"/>
    </row>
    <row r="44766" spans="16:16">
      <c r="P44766" s="2498"/>
    </row>
    <row r="44767" spans="16:16">
      <c r="P44767" s="2498"/>
    </row>
    <row r="44768" spans="16:16">
      <c r="P44768" s="2498"/>
    </row>
    <row r="44769" spans="16:16">
      <c r="P44769" s="2498"/>
    </row>
    <row r="44770" spans="16:16">
      <c r="P44770" s="2498"/>
    </row>
    <row r="44771" spans="16:16">
      <c r="P44771" s="2498"/>
    </row>
    <row r="44772" spans="16:16">
      <c r="P44772" s="2498"/>
    </row>
    <row r="44773" spans="16:16">
      <c r="P44773" s="2498"/>
    </row>
    <row r="44774" spans="16:16">
      <c r="P44774" s="2498"/>
    </row>
    <row r="44775" spans="16:16">
      <c r="P44775" s="2498"/>
    </row>
    <row r="44776" spans="16:16">
      <c r="P44776" s="2498"/>
    </row>
    <row r="44777" spans="16:16">
      <c r="P44777" s="2498"/>
    </row>
    <row r="44778" spans="16:16">
      <c r="P44778" s="2498"/>
    </row>
    <row r="44779" spans="16:16">
      <c r="P44779" s="2498"/>
    </row>
    <row r="44780" spans="16:16">
      <c r="P44780" s="2498"/>
    </row>
    <row r="44781" spans="16:16">
      <c r="P44781" s="2498"/>
    </row>
    <row r="44782" spans="16:16">
      <c r="P44782" s="2498"/>
    </row>
    <row r="44783" spans="16:16">
      <c r="P44783" s="2498"/>
    </row>
    <row r="44784" spans="16:16">
      <c r="P44784" s="2498"/>
    </row>
    <row r="44785" spans="16:16">
      <c r="P44785" s="2498"/>
    </row>
    <row r="44786" spans="16:16">
      <c r="P44786" s="2498"/>
    </row>
    <row r="44787" spans="16:16">
      <c r="P44787" s="2498"/>
    </row>
    <row r="44788" spans="16:16">
      <c r="P44788" s="2498"/>
    </row>
    <row r="44789" spans="16:16">
      <c r="P44789" s="2498"/>
    </row>
    <row r="44790" spans="16:16">
      <c r="P44790" s="2498"/>
    </row>
    <row r="44791" spans="16:16">
      <c r="P44791" s="2498"/>
    </row>
    <row r="44792" spans="16:16">
      <c r="P44792" s="2498"/>
    </row>
    <row r="44793" spans="16:16">
      <c r="P44793" s="2498"/>
    </row>
    <row r="44794" spans="16:16">
      <c r="P44794" s="2498"/>
    </row>
    <row r="44795" spans="16:16">
      <c r="P44795" s="2498"/>
    </row>
    <row r="44796" spans="16:16">
      <c r="P44796" s="2498"/>
    </row>
    <row r="44797" spans="16:16">
      <c r="P44797" s="2498"/>
    </row>
    <row r="44798" spans="16:16">
      <c r="P44798" s="2498"/>
    </row>
    <row r="44799" spans="16:16">
      <c r="P44799" s="2498"/>
    </row>
    <row r="44800" spans="16:16">
      <c r="P44800" s="2498"/>
    </row>
    <row r="44801" spans="16:16">
      <c r="P44801" s="2498"/>
    </row>
    <row r="44802" spans="16:16">
      <c r="P44802" s="2498"/>
    </row>
    <row r="44803" spans="16:16">
      <c r="P44803" s="2498"/>
    </row>
    <row r="44804" spans="16:16">
      <c r="P44804" s="2498"/>
    </row>
    <row r="44805" spans="16:16">
      <c r="P44805" s="2498"/>
    </row>
    <row r="44806" spans="16:16">
      <c r="P44806" s="2498"/>
    </row>
    <row r="44807" spans="16:16">
      <c r="P44807" s="2498"/>
    </row>
    <row r="44808" spans="16:16">
      <c r="P44808" s="2498"/>
    </row>
    <row r="44809" spans="16:16">
      <c r="P44809" s="2498"/>
    </row>
    <row r="44810" spans="16:16">
      <c r="P44810" s="2498"/>
    </row>
    <row r="44811" spans="16:16">
      <c r="P44811" s="2498"/>
    </row>
    <row r="44812" spans="16:16">
      <c r="P44812" s="2498"/>
    </row>
    <row r="44813" spans="16:16">
      <c r="P44813" s="2498"/>
    </row>
    <row r="44814" spans="16:16">
      <c r="P44814" s="2498"/>
    </row>
    <row r="44815" spans="16:16">
      <c r="P44815" s="2498"/>
    </row>
    <row r="44816" spans="16:16">
      <c r="P44816" s="2498"/>
    </row>
    <row r="44817" spans="16:16">
      <c r="P44817" s="2498"/>
    </row>
    <row r="44818" spans="16:16">
      <c r="P44818" s="2498"/>
    </row>
    <row r="44819" spans="16:16">
      <c r="P44819" s="2498"/>
    </row>
    <row r="44820" spans="16:16">
      <c r="P44820" s="2498"/>
    </row>
    <row r="44821" spans="16:16">
      <c r="P44821" s="2498"/>
    </row>
    <row r="44822" spans="16:16">
      <c r="P44822" s="2498"/>
    </row>
    <row r="44823" spans="16:16">
      <c r="P44823" s="2498"/>
    </row>
    <row r="44824" spans="16:16">
      <c r="P44824" s="2498"/>
    </row>
    <row r="44825" spans="16:16">
      <c r="P44825" s="2498"/>
    </row>
    <row r="44826" spans="16:16">
      <c r="P44826" s="2498"/>
    </row>
    <row r="44827" spans="16:16">
      <c r="P44827" s="2498"/>
    </row>
    <row r="44828" spans="16:16">
      <c r="P44828" s="2498"/>
    </row>
    <row r="44829" spans="16:16">
      <c r="P44829" s="2498"/>
    </row>
    <row r="44830" spans="16:16">
      <c r="P44830" s="2498"/>
    </row>
    <row r="44831" spans="16:16">
      <c r="P44831" s="2498"/>
    </row>
    <row r="44832" spans="16:16">
      <c r="P44832" s="2498"/>
    </row>
    <row r="44833" spans="16:16">
      <c r="P44833" s="2498"/>
    </row>
    <row r="44834" spans="16:16">
      <c r="P44834" s="2498"/>
    </row>
    <row r="44835" spans="16:16">
      <c r="P44835" s="2498"/>
    </row>
    <row r="44836" spans="16:16">
      <c r="P44836" s="2498"/>
    </row>
    <row r="44837" spans="16:16">
      <c r="P44837" s="2498"/>
    </row>
    <row r="44838" spans="16:16">
      <c r="P44838" s="2498"/>
    </row>
    <row r="44839" spans="16:16">
      <c r="P44839" s="2498"/>
    </row>
    <row r="44840" spans="16:16">
      <c r="P44840" s="2498"/>
    </row>
    <row r="44841" spans="16:16">
      <c r="P44841" s="2498"/>
    </row>
    <row r="44842" spans="16:16">
      <c r="P44842" s="2498"/>
    </row>
    <row r="44843" spans="16:16">
      <c r="P44843" s="2498"/>
    </row>
    <row r="44844" spans="16:16">
      <c r="P44844" s="2498"/>
    </row>
    <row r="44845" spans="16:16">
      <c r="P44845" s="2498"/>
    </row>
    <row r="44846" spans="16:16">
      <c r="P44846" s="2498"/>
    </row>
    <row r="44847" spans="16:16">
      <c r="P44847" s="2498"/>
    </row>
    <row r="44848" spans="16:16">
      <c r="P44848" s="2498"/>
    </row>
    <row r="44849" spans="16:16">
      <c r="P44849" s="2498"/>
    </row>
    <row r="44850" spans="16:16">
      <c r="P44850" s="2498"/>
    </row>
    <row r="44851" spans="16:16">
      <c r="P44851" s="2498"/>
    </row>
    <row r="44852" spans="16:16">
      <c r="P44852" s="2498"/>
    </row>
    <row r="44853" spans="16:16">
      <c r="P44853" s="2498"/>
    </row>
    <row r="44854" spans="16:16">
      <c r="P44854" s="2498"/>
    </row>
    <row r="44855" spans="16:16">
      <c r="P44855" s="2498"/>
    </row>
    <row r="44856" spans="16:16">
      <c r="P44856" s="2498"/>
    </row>
    <row r="44857" spans="16:16">
      <c r="P44857" s="2498"/>
    </row>
    <row r="44858" spans="16:16">
      <c r="P44858" s="2498"/>
    </row>
    <row r="44859" spans="16:16">
      <c r="P44859" s="2498"/>
    </row>
    <row r="44860" spans="16:16">
      <c r="P44860" s="2498"/>
    </row>
    <row r="44861" spans="16:16">
      <c r="P44861" s="2498"/>
    </row>
    <row r="44862" spans="16:16">
      <c r="P44862" s="2498"/>
    </row>
    <row r="44863" spans="16:16">
      <c r="P44863" s="2498"/>
    </row>
    <row r="44864" spans="16:16">
      <c r="P44864" s="2498"/>
    </row>
    <row r="44865" spans="16:16">
      <c r="P44865" s="2498"/>
    </row>
    <row r="44866" spans="16:16">
      <c r="P44866" s="2498"/>
    </row>
    <row r="44867" spans="16:16">
      <c r="P44867" s="2498"/>
    </row>
    <row r="44868" spans="16:16">
      <c r="P44868" s="2498"/>
    </row>
    <row r="44869" spans="16:16">
      <c r="P44869" s="2498"/>
    </row>
    <row r="44870" spans="16:16">
      <c r="P44870" s="2498"/>
    </row>
    <row r="44871" spans="16:16">
      <c r="P44871" s="2498"/>
    </row>
    <row r="44872" spans="16:16">
      <c r="P44872" s="2498"/>
    </row>
    <row r="44873" spans="16:16">
      <c r="P44873" s="2498"/>
    </row>
    <row r="44874" spans="16:16">
      <c r="P44874" s="2498"/>
    </row>
    <row r="44875" spans="16:16">
      <c r="P44875" s="2498"/>
    </row>
    <row r="44876" spans="16:16">
      <c r="P44876" s="2498"/>
    </row>
    <row r="44877" spans="16:16">
      <c r="P44877" s="2498"/>
    </row>
    <row r="44878" spans="16:16">
      <c r="P44878" s="2498"/>
    </row>
    <row r="44879" spans="16:16">
      <c r="P44879" s="2498"/>
    </row>
    <row r="44880" spans="16:16">
      <c r="P44880" s="2498"/>
    </row>
    <row r="44881" spans="16:16">
      <c r="P44881" s="2498"/>
    </row>
    <row r="44882" spans="16:16">
      <c r="P44882" s="2498"/>
    </row>
    <row r="44883" spans="16:16">
      <c r="P44883" s="2498"/>
    </row>
    <row r="44884" spans="16:16">
      <c r="P44884" s="2498"/>
    </row>
    <row r="44885" spans="16:16">
      <c r="P44885" s="2498"/>
    </row>
    <row r="44886" spans="16:16">
      <c r="P44886" s="2498"/>
    </row>
    <row r="44887" spans="16:16">
      <c r="P44887" s="2498"/>
    </row>
    <row r="44888" spans="16:16">
      <c r="P44888" s="2498"/>
    </row>
    <row r="44889" spans="16:16">
      <c r="P44889" s="2498"/>
    </row>
    <row r="44890" spans="16:16">
      <c r="P44890" s="2498"/>
    </row>
    <row r="44891" spans="16:16">
      <c r="P44891" s="2498"/>
    </row>
    <row r="44892" spans="16:16">
      <c r="P44892" s="2498"/>
    </row>
    <row r="44893" spans="16:16">
      <c r="P44893" s="2498"/>
    </row>
    <row r="44894" spans="16:16">
      <c r="P44894" s="2498"/>
    </row>
    <row r="44895" spans="16:16">
      <c r="P44895" s="2498"/>
    </row>
    <row r="44896" spans="16:16">
      <c r="P44896" s="2498"/>
    </row>
    <row r="44897" spans="16:16">
      <c r="P44897" s="2498"/>
    </row>
    <row r="44898" spans="16:16">
      <c r="P44898" s="2498"/>
    </row>
    <row r="44899" spans="16:16">
      <c r="P44899" s="2498"/>
    </row>
    <row r="44900" spans="16:16">
      <c r="P44900" s="2498"/>
    </row>
    <row r="44901" spans="16:16">
      <c r="P44901" s="2498"/>
    </row>
    <row r="44902" spans="16:16">
      <c r="P44902" s="2498"/>
    </row>
    <row r="44903" spans="16:16">
      <c r="P44903" s="2498"/>
    </row>
    <row r="44904" spans="16:16">
      <c r="P44904" s="2498"/>
    </row>
    <row r="44905" spans="16:16">
      <c r="P44905" s="2498"/>
    </row>
    <row r="44906" spans="16:16">
      <c r="P44906" s="2498"/>
    </row>
    <row r="44907" spans="16:16">
      <c r="P44907" s="2498"/>
    </row>
    <row r="44908" spans="16:16">
      <c r="P44908" s="2498"/>
    </row>
    <row r="44909" spans="16:16">
      <c r="P44909" s="2498"/>
    </row>
    <row r="44910" spans="16:16">
      <c r="P44910" s="2498"/>
    </row>
    <row r="44911" spans="16:16">
      <c r="P44911" s="2498"/>
    </row>
    <row r="44912" spans="16:16">
      <c r="P44912" s="2498"/>
    </row>
    <row r="44913" spans="16:16">
      <c r="P44913" s="2498"/>
    </row>
    <row r="44914" spans="16:16">
      <c r="P44914" s="2498"/>
    </row>
    <row r="44915" spans="16:16">
      <c r="P44915" s="2498"/>
    </row>
    <row r="44916" spans="16:16">
      <c r="P44916" s="2498"/>
    </row>
    <row r="44917" spans="16:16">
      <c r="P44917" s="2498"/>
    </row>
    <row r="44918" spans="16:16">
      <c r="P44918" s="2498"/>
    </row>
    <row r="44919" spans="16:16">
      <c r="P44919" s="2498"/>
    </row>
    <row r="44920" spans="16:16">
      <c r="P44920" s="2498"/>
    </row>
    <row r="44921" spans="16:16">
      <c r="P44921" s="2498"/>
    </row>
    <row r="44922" spans="16:16">
      <c r="P44922" s="2498"/>
    </row>
    <row r="44923" spans="16:16">
      <c r="P44923" s="2498"/>
    </row>
    <row r="44924" spans="16:16">
      <c r="P44924" s="2498"/>
    </row>
    <row r="44925" spans="16:16">
      <c r="P44925" s="2498"/>
    </row>
    <row r="44926" spans="16:16">
      <c r="P44926" s="2498"/>
    </row>
    <row r="44927" spans="16:16">
      <c r="P44927" s="2498"/>
    </row>
    <row r="44928" spans="16:16">
      <c r="P44928" s="2498"/>
    </row>
    <row r="44929" spans="16:16">
      <c r="P44929" s="2498"/>
    </row>
    <row r="44930" spans="16:16">
      <c r="P44930" s="2498"/>
    </row>
    <row r="44931" spans="16:16">
      <c r="P44931" s="2498"/>
    </row>
    <row r="44932" spans="16:16">
      <c r="P44932" s="2498"/>
    </row>
    <row r="44933" spans="16:16">
      <c r="P44933" s="2498"/>
    </row>
    <row r="44934" spans="16:16">
      <c r="P44934" s="2498"/>
    </row>
    <row r="44935" spans="16:16">
      <c r="P44935" s="2498"/>
    </row>
    <row r="44936" spans="16:16">
      <c r="P44936" s="2498"/>
    </row>
    <row r="44937" spans="16:16">
      <c r="P44937" s="2498"/>
    </row>
    <row r="44938" spans="16:16">
      <c r="P44938" s="2498"/>
    </row>
    <row r="44939" spans="16:16">
      <c r="P44939" s="2498"/>
    </row>
    <row r="44940" spans="16:16">
      <c r="P44940" s="2498"/>
    </row>
    <row r="44941" spans="16:16">
      <c r="P44941" s="2498"/>
    </row>
    <row r="44942" spans="16:16">
      <c r="P44942" s="2498"/>
    </row>
    <row r="44943" spans="16:16">
      <c r="P44943" s="2498"/>
    </row>
    <row r="44944" spans="16:16">
      <c r="P44944" s="2498"/>
    </row>
    <row r="44945" spans="16:16">
      <c r="P44945" s="2498"/>
    </row>
    <row r="44946" spans="16:16">
      <c r="P44946" s="2498"/>
    </row>
    <row r="44947" spans="16:16">
      <c r="P44947" s="2498"/>
    </row>
    <row r="44948" spans="16:16">
      <c r="P44948" s="2498"/>
    </row>
    <row r="44949" spans="16:16">
      <c r="P44949" s="2498"/>
    </row>
    <row r="44950" spans="16:16">
      <c r="P44950" s="2498"/>
    </row>
    <row r="44951" spans="16:16">
      <c r="P44951" s="2498"/>
    </row>
    <row r="44952" spans="16:16">
      <c r="P44952" s="2498"/>
    </row>
    <row r="44953" spans="16:16">
      <c r="P44953" s="2498"/>
    </row>
    <row r="44954" spans="16:16">
      <c r="P44954" s="2498"/>
    </row>
    <row r="44955" spans="16:16">
      <c r="P44955" s="2498"/>
    </row>
    <row r="44956" spans="16:16">
      <c r="P44956" s="2498"/>
    </row>
    <row r="44957" spans="16:16">
      <c r="P44957" s="2498"/>
    </row>
    <row r="44958" spans="16:16">
      <c r="P44958" s="2498"/>
    </row>
    <row r="44959" spans="16:16">
      <c r="P44959" s="2498"/>
    </row>
    <row r="44960" spans="16:16">
      <c r="P44960" s="2498"/>
    </row>
    <row r="44961" spans="16:16">
      <c r="P44961" s="2498"/>
    </row>
    <row r="44962" spans="16:16">
      <c r="P44962" s="2498"/>
    </row>
    <row r="44963" spans="16:16">
      <c r="P44963" s="2498"/>
    </row>
    <row r="44964" spans="16:16">
      <c r="P44964" s="2498"/>
    </row>
    <row r="44965" spans="16:16">
      <c r="P44965" s="2498"/>
    </row>
    <row r="44966" spans="16:16">
      <c r="P44966" s="2498"/>
    </row>
    <row r="44967" spans="16:16">
      <c r="P44967" s="2498"/>
    </row>
    <row r="44968" spans="16:16">
      <c r="P44968" s="2498"/>
    </row>
    <row r="44969" spans="16:16">
      <c r="P44969" s="2498"/>
    </row>
    <row r="44970" spans="16:16">
      <c r="P44970" s="2498"/>
    </row>
    <row r="44971" spans="16:16">
      <c r="P44971" s="2498"/>
    </row>
    <row r="44972" spans="16:16">
      <c r="P44972" s="2498"/>
    </row>
    <row r="44973" spans="16:16">
      <c r="P44973" s="2498"/>
    </row>
    <row r="44974" spans="16:16">
      <c r="P44974" s="2498"/>
    </row>
    <row r="44975" spans="16:16">
      <c r="P44975" s="2498"/>
    </row>
    <row r="44976" spans="16:16">
      <c r="P44976" s="2498"/>
    </row>
    <row r="44977" spans="16:16">
      <c r="P44977" s="2498"/>
    </row>
    <row r="44978" spans="16:16">
      <c r="P44978" s="2498"/>
    </row>
    <row r="44979" spans="16:16">
      <c r="P44979" s="2498"/>
    </row>
    <row r="44980" spans="16:16">
      <c r="P44980" s="2498"/>
    </row>
    <row r="44981" spans="16:16">
      <c r="P44981" s="2498"/>
    </row>
    <row r="44982" spans="16:16">
      <c r="P44982" s="2498"/>
    </row>
    <row r="44983" spans="16:16">
      <c r="P44983" s="2498"/>
    </row>
    <row r="44984" spans="16:16">
      <c r="P44984" s="2498"/>
    </row>
    <row r="44985" spans="16:16">
      <c r="P44985" s="2498"/>
    </row>
    <row r="44986" spans="16:16">
      <c r="P44986" s="2498"/>
    </row>
    <row r="44987" spans="16:16">
      <c r="P44987" s="2498"/>
    </row>
    <row r="44988" spans="16:16">
      <c r="P44988" s="2498"/>
    </row>
    <row r="44989" spans="16:16">
      <c r="P44989" s="2498"/>
    </row>
    <row r="44990" spans="16:16">
      <c r="P44990" s="2498"/>
    </row>
    <row r="44991" spans="16:16">
      <c r="P44991" s="2498"/>
    </row>
    <row r="44992" spans="16:16">
      <c r="P44992" s="2498"/>
    </row>
    <row r="44993" spans="16:16">
      <c r="P44993" s="2498"/>
    </row>
    <row r="44994" spans="16:16">
      <c r="P44994" s="2498"/>
    </row>
    <row r="44995" spans="16:16">
      <c r="P44995" s="2498"/>
    </row>
    <row r="44996" spans="16:16">
      <c r="P44996" s="2498"/>
    </row>
    <row r="44997" spans="16:16">
      <c r="P44997" s="2498"/>
    </row>
    <row r="44998" spans="16:16">
      <c r="P44998" s="2498"/>
    </row>
    <row r="44999" spans="16:16">
      <c r="P44999" s="2498"/>
    </row>
    <row r="45000" spans="16:16">
      <c r="P45000" s="2498"/>
    </row>
    <row r="45001" spans="16:16">
      <c r="P45001" s="2498"/>
    </row>
    <row r="45002" spans="16:16">
      <c r="P45002" s="2498"/>
    </row>
    <row r="45003" spans="16:16">
      <c r="P45003" s="2498"/>
    </row>
    <row r="45004" spans="16:16">
      <c r="P45004" s="2498"/>
    </row>
    <row r="45005" spans="16:16">
      <c r="P45005" s="2498"/>
    </row>
    <row r="45006" spans="16:16">
      <c r="P45006" s="2498"/>
    </row>
    <row r="45007" spans="16:16">
      <c r="P45007" s="2498"/>
    </row>
    <row r="45008" spans="16:16">
      <c r="P45008" s="2498"/>
    </row>
    <row r="45009" spans="16:16">
      <c r="P45009" s="2498"/>
    </row>
    <row r="45010" spans="16:16">
      <c r="P45010" s="2498"/>
    </row>
    <row r="45011" spans="16:16">
      <c r="P45011" s="2498"/>
    </row>
    <row r="45012" spans="16:16">
      <c r="P45012" s="2498"/>
    </row>
    <row r="45013" spans="16:16">
      <c r="P45013" s="2498"/>
    </row>
    <row r="45014" spans="16:16">
      <c r="P45014" s="2498"/>
    </row>
    <row r="45015" spans="16:16">
      <c r="P45015" s="2498"/>
    </row>
    <row r="45016" spans="16:16">
      <c r="P45016" s="2498"/>
    </row>
    <row r="45017" spans="16:16">
      <c r="P45017" s="2498"/>
    </row>
    <row r="45018" spans="16:16">
      <c r="P45018" s="2498"/>
    </row>
    <row r="45019" spans="16:16">
      <c r="P45019" s="2498"/>
    </row>
    <row r="45020" spans="16:16">
      <c r="P45020" s="2498"/>
    </row>
    <row r="45021" spans="16:16">
      <c r="P45021" s="2498"/>
    </row>
    <row r="45022" spans="16:16">
      <c r="P45022" s="2498"/>
    </row>
    <row r="45023" spans="16:16">
      <c r="P45023" s="2498"/>
    </row>
    <row r="45024" spans="16:16">
      <c r="P45024" s="2498"/>
    </row>
    <row r="45025" spans="16:16">
      <c r="P45025" s="2498"/>
    </row>
    <row r="45026" spans="16:16">
      <c r="P45026" s="2498"/>
    </row>
    <row r="45027" spans="16:16">
      <c r="P45027" s="2498"/>
    </row>
    <row r="45028" spans="16:16">
      <c r="P45028" s="2498"/>
    </row>
    <row r="45029" spans="16:16">
      <c r="P45029" s="2498"/>
    </row>
    <row r="45030" spans="16:16">
      <c r="P45030" s="2498"/>
    </row>
    <row r="45031" spans="16:16">
      <c r="P45031" s="2498"/>
    </row>
    <row r="45032" spans="16:16">
      <c r="P45032" s="2498"/>
    </row>
    <row r="45033" spans="16:16">
      <c r="P45033" s="2498"/>
    </row>
    <row r="45034" spans="16:16">
      <c r="P45034" s="2498"/>
    </row>
    <row r="45035" spans="16:16">
      <c r="P45035" s="2498"/>
    </row>
    <row r="45036" spans="16:16">
      <c r="P45036" s="2498"/>
    </row>
    <row r="45037" spans="16:16">
      <c r="P45037" s="2498"/>
    </row>
    <row r="45038" spans="16:16">
      <c r="P45038" s="2498"/>
    </row>
    <row r="45039" spans="16:16">
      <c r="P45039" s="2498"/>
    </row>
    <row r="45040" spans="16:16">
      <c r="P45040" s="2498"/>
    </row>
    <row r="45041" spans="16:16">
      <c r="P45041" s="2498"/>
    </row>
    <row r="45042" spans="16:16">
      <c r="P45042" s="2498"/>
    </row>
    <row r="45043" spans="16:16">
      <c r="P45043" s="2498"/>
    </row>
    <row r="45044" spans="16:16">
      <c r="P45044" s="2498"/>
    </row>
    <row r="45045" spans="16:16">
      <c r="P45045" s="2498"/>
    </row>
    <row r="45046" spans="16:16">
      <c r="P45046" s="2498"/>
    </row>
    <row r="45047" spans="16:16">
      <c r="P45047" s="2498"/>
    </row>
    <row r="45048" spans="16:16">
      <c r="P45048" s="2498"/>
    </row>
    <row r="45049" spans="16:16">
      <c r="P45049" s="2498"/>
    </row>
    <row r="45050" spans="16:16">
      <c r="P45050" s="2498"/>
    </row>
    <row r="45051" spans="16:16">
      <c r="P45051" s="2498"/>
    </row>
    <row r="45052" spans="16:16">
      <c r="P45052" s="2498"/>
    </row>
    <row r="45053" spans="16:16">
      <c r="P45053" s="2498"/>
    </row>
    <row r="45054" spans="16:16">
      <c r="P45054" s="2498"/>
    </row>
    <row r="45055" spans="16:16">
      <c r="P45055" s="2498"/>
    </row>
    <row r="45056" spans="16:16">
      <c r="P45056" s="2498"/>
    </row>
    <row r="45057" spans="16:16">
      <c r="P45057" s="2498"/>
    </row>
    <row r="45058" spans="16:16">
      <c r="P45058" s="2498"/>
    </row>
    <row r="45059" spans="16:16">
      <c r="P45059" s="2498"/>
    </row>
    <row r="45060" spans="16:16">
      <c r="P45060" s="2498"/>
    </row>
    <row r="45061" spans="16:16">
      <c r="P45061" s="2498"/>
    </row>
    <row r="45062" spans="16:16">
      <c r="P45062" s="2498"/>
    </row>
    <row r="45063" spans="16:16">
      <c r="P45063" s="2498"/>
    </row>
    <row r="45064" spans="16:16">
      <c r="P45064" s="2498"/>
    </row>
    <row r="45065" spans="16:16">
      <c r="P45065" s="2498"/>
    </row>
    <row r="45066" spans="16:16">
      <c r="P45066" s="2498"/>
    </row>
    <row r="45067" spans="16:16">
      <c r="P45067" s="2498"/>
    </row>
    <row r="45068" spans="16:16">
      <c r="P45068" s="2498"/>
    </row>
    <row r="45069" spans="16:16">
      <c r="P45069" s="2498"/>
    </row>
    <row r="45070" spans="16:16">
      <c r="P45070" s="2498"/>
    </row>
    <row r="45071" spans="16:16">
      <c r="P45071" s="2498"/>
    </row>
    <row r="45072" spans="16:16">
      <c r="P45072" s="2498"/>
    </row>
    <row r="45073" spans="16:16">
      <c r="P45073" s="2498"/>
    </row>
    <row r="45074" spans="16:16">
      <c r="P45074" s="2498"/>
    </row>
    <row r="45075" spans="16:16">
      <c r="P45075" s="2498"/>
    </row>
    <row r="45076" spans="16:16">
      <c r="P45076" s="2498"/>
    </row>
    <row r="45077" spans="16:16">
      <c r="P45077" s="2498"/>
    </row>
    <row r="45078" spans="16:16">
      <c r="P45078" s="2498"/>
    </row>
    <row r="45079" spans="16:16">
      <c r="P45079" s="2498"/>
    </row>
    <row r="45080" spans="16:16">
      <c r="P45080" s="2498"/>
    </row>
    <row r="45081" spans="16:16">
      <c r="P45081" s="2498"/>
    </row>
    <row r="45082" spans="16:16">
      <c r="P45082" s="2498"/>
    </row>
    <row r="45083" spans="16:16">
      <c r="P45083" s="2498"/>
    </row>
    <row r="45084" spans="16:16">
      <c r="P45084" s="2498"/>
    </row>
    <row r="45085" spans="16:16">
      <c r="P45085" s="2498"/>
    </row>
    <row r="45086" spans="16:16">
      <c r="P45086" s="2498"/>
    </row>
    <row r="45087" spans="16:16">
      <c r="P45087" s="2498"/>
    </row>
    <row r="45088" spans="16:16">
      <c r="P45088" s="2498"/>
    </row>
    <row r="45089" spans="16:16">
      <c r="P45089" s="2498"/>
    </row>
    <row r="45090" spans="16:16">
      <c r="P45090" s="2498"/>
    </row>
    <row r="45091" spans="16:16">
      <c r="P45091" s="2498"/>
    </row>
    <row r="45092" spans="16:16">
      <c r="P45092" s="2498"/>
    </row>
    <row r="45093" spans="16:16">
      <c r="P45093" s="2498"/>
    </row>
    <row r="45094" spans="16:16">
      <c r="P45094" s="2498"/>
    </row>
    <row r="45095" spans="16:16">
      <c r="P45095" s="2498"/>
    </row>
    <row r="45096" spans="16:16">
      <c r="P45096" s="2498"/>
    </row>
    <row r="45097" spans="16:16">
      <c r="P45097" s="2498"/>
    </row>
    <row r="45098" spans="16:16">
      <c r="P45098" s="2498"/>
    </row>
    <row r="45099" spans="16:16">
      <c r="P45099" s="2498"/>
    </row>
    <row r="45100" spans="16:16">
      <c r="P45100" s="2498"/>
    </row>
    <row r="45101" spans="16:16">
      <c r="P45101" s="2498"/>
    </row>
    <row r="45102" spans="16:16">
      <c r="P45102" s="2498"/>
    </row>
    <row r="45103" spans="16:16">
      <c r="P45103" s="2498"/>
    </row>
    <row r="45104" spans="16:16">
      <c r="P45104" s="2498"/>
    </row>
    <row r="45105" spans="16:16">
      <c r="P45105" s="2498"/>
    </row>
    <row r="45106" spans="16:16">
      <c r="P45106" s="2498"/>
    </row>
    <row r="45107" spans="16:16">
      <c r="P45107" s="2498"/>
    </row>
    <row r="45108" spans="16:16">
      <c r="P45108" s="2498"/>
    </row>
    <row r="45109" spans="16:16">
      <c r="P45109" s="2498"/>
    </row>
    <row r="45110" spans="16:16">
      <c r="P45110" s="2498"/>
    </row>
    <row r="45111" spans="16:16">
      <c r="P45111" s="2498"/>
    </row>
    <row r="45112" spans="16:16">
      <c r="P45112" s="2498"/>
    </row>
    <row r="45113" spans="16:16">
      <c r="P45113" s="2498"/>
    </row>
    <row r="45114" spans="16:16">
      <c r="P45114" s="2498"/>
    </row>
    <row r="45115" spans="16:16">
      <c r="P45115" s="2498"/>
    </row>
    <row r="45116" spans="16:16">
      <c r="P45116" s="2498"/>
    </row>
    <row r="45117" spans="16:16">
      <c r="P45117" s="2498"/>
    </row>
    <row r="45118" spans="16:16">
      <c r="P45118" s="2498"/>
    </row>
    <row r="45119" spans="16:16">
      <c r="P45119" s="2498"/>
    </row>
    <row r="45120" spans="16:16">
      <c r="P45120" s="2498"/>
    </row>
    <row r="45121" spans="16:16">
      <c r="P45121" s="2498"/>
    </row>
    <row r="45122" spans="16:16">
      <c r="P45122" s="2498"/>
    </row>
    <row r="45123" spans="16:16">
      <c r="P45123" s="2498"/>
    </row>
    <row r="45124" spans="16:16">
      <c r="P45124" s="2498"/>
    </row>
    <row r="45125" spans="16:16">
      <c r="P45125" s="2498"/>
    </row>
    <row r="45126" spans="16:16">
      <c r="P45126" s="2498"/>
    </row>
    <row r="45127" spans="16:16">
      <c r="P45127" s="2498"/>
    </row>
    <row r="45128" spans="16:16">
      <c r="P45128" s="2498"/>
    </row>
    <row r="45129" spans="16:16">
      <c r="P45129" s="2498"/>
    </row>
    <row r="45130" spans="16:16">
      <c r="P45130" s="2498"/>
    </row>
    <row r="45131" spans="16:16">
      <c r="P45131" s="2498"/>
    </row>
    <row r="45132" spans="16:16">
      <c r="P45132" s="2498"/>
    </row>
    <row r="45133" spans="16:16">
      <c r="P45133" s="2498"/>
    </row>
    <row r="45134" spans="16:16">
      <c r="P45134" s="2498"/>
    </row>
    <row r="45135" spans="16:16">
      <c r="P45135" s="2498"/>
    </row>
    <row r="45136" spans="16:16">
      <c r="P45136" s="2498"/>
    </row>
    <row r="45137" spans="16:16">
      <c r="P45137" s="2498"/>
    </row>
    <row r="45138" spans="16:16">
      <c r="P45138" s="2498"/>
    </row>
    <row r="45139" spans="16:16">
      <c r="P45139" s="2498"/>
    </row>
    <row r="45140" spans="16:16">
      <c r="P45140" s="2498"/>
    </row>
    <row r="45141" spans="16:16">
      <c r="P45141" s="2498"/>
    </row>
    <row r="45142" spans="16:16">
      <c r="P45142" s="2498"/>
    </row>
    <row r="45143" spans="16:16">
      <c r="P45143" s="2498"/>
    </row>
    <row r="45144" spans="16:16">
      <c r="P45144" s="2498"/>
    </row>
    <row r="45145" spans="16:16">
      <c r="P45145" s="2498"/>
    </row>
    <row r="45146" spans="16:16">
      <c r="P45146" s="2498"/>
    </row>
    <row r="45147" spans="16:16">
      <c r="P45147" s="2498"/>
    </row>
    <row r="45148" spans="16:16">
      <c r="P45148" s="2498"/>
    </row>
    <row r="45149" spans="16:16">
      <c r="P45149" s="2498"/>
    </row>
    <row r="45150" spans="16:16">
      <c r="P45150" s="2498"/>
    </row>
    <row r="45151" spans="16:16">
      <c r="P45151" s="2498"/>
    </row>
    <row r="45152" spans="16:16">
      <c r="P45152" s="2498"/>
    </row>
    <row r="45153" spans="16:16">
      <c r="P45153" s="2498"/>
    </row>
    <row r="45154" spans="16:16">
      <c r="P45154" s="2498"/>
    </row>
    <row r="45155" spans="16:16">
      <c r="P45155" s="2498"/>
    </row>
    <row r="45156" spans="16:16">
      <c r="P45156" s="2498"/>
    </row>
    <row r="45157" spans="16:16">
      <c r="P45157" s="2498"/>
    </row>
    <row r="45158" spans="16:16">
      <c r="P45158" s="2498"/>
    </row>
    <row r="45159" spans="16:16">
      <c r="P45159" s="2498"/>
    </row>
    <row r="45160" spans="16:16">
      <c r="P45160" s="2498"/>
    </row>
    <row r="45161" spans="16:16">
      <c r="P45161" s="2498"/>
    </row>
    <row r="45162" spans="16:16">
      <c r="P45162" s="2498"/>
    </row>
    <row r="45163" spans="16:16">
      <c r="P45163" s="2498"/>
    </row>
    <row r="45164" spans="16:16">
      <c r="P45164" s="2498"/>
    </row>
    <row r="45165" spans="16:16">
      <c r="P45165" s="2498"/>
    </row>
    <row r="45166" spans="16:16">
      <c r="P45166" s="2498"/>
    </row>
    <row r="45167" spans="16:16">
      <c r="P45167" s="2498"/>
    </row>
    <row r="45168" spans="16:16">
      <c r="P45168" s="2498"/>
    </row>
    <row r="45169" spans="16:16">
      <c r="P45169" s="2498"/>
    </row>
    <row r="45170" spans="16:16">
      <c r="P45170" s="2498"/>
    </row>
    <row r="45171" spans="16:16">
      <c r="P45171" s="2498"/>
    </row>
    <row r="45172" spans="16:16">
      <c r="P45172" s="2498"/>
    </row>
    <row r="45173" spans="16:16">
      <c r="P45173" s="2498"/>
    </row>
    <row r="45174" spans="16:16">
      <c r="P45174" s="2498"/>
    </row>
    <row r="45175" spans="16:16">
      <c r="P45175" s="2498"/>
    </row>
    <row r="45176" spans="16:16">
      <c r="P45176" s="2498"/>
    </row>
    <row r="45177" spans="16:16">
      <c r="P45177" s="2498"/>
    </row>
    <row r="45178" spans="16:16">
      <c r="P45178" s="2498"/>
    </row>
    <row r="45179" spans="16:16">
      <c r="P45179" s="2498"/>
    </row>
    <row r="45180" spans="16:16">
      <c r="P45180" s="2498"/>
    </row>
    <row r="45181" spans="16:16">
      <c r="P45181" s="2498"/>
    </row>
    <row r="45182" spans="16:16">
      <c r="P45182" s="2498"/>
    </row>
    <row r="45183" spans="16:16">
      <c r="P45183" s="2498"/>
    </row>
    <row r="45184" spans="16:16">
      <c r="P45184" s="2498"/>
    </row>
    <row r="45185" spans="16:16">
      <c r="P45185" s="2498"/>
    </row>
    <row r="45186" spans="16:16">
      <c r="P45186" s="2498"/>
    </row>
    <row r="45187" spans="16:16">
      <c r="P45187" s="2498"/>
    </row>
    <row r="45188" spans="16:16">
      <c r="P45188" s="2498"/>
    </row>
    <row r="45189" spans="16:16">
      <c r="P45189" s="2498"/>
    </row>
    <row r="45190" spans="16:16">
      <c r="P45190" s="2498"/>
    </row>
    <row r="45191" spans="16:16">
      <c r="P45191" s="2498"/>
    </row>
    <row r="45192" spans="16:16">
      <c r="P45192" s="2498"/>
    </row>
    <row r="45193" spans="16:16">
      <c r="P45193" s="2498"/>
    </row>
    <row r="45194" spans="16:16">
      <c r="P45194" s="2498"/>
    </row>
    <row r="45195" spans="16:16">
      <c r="P45195" s="2498"/>
    </row>
    <row r="45196" spans="16:16">
      <c r="P45196" s="2498"/>
    </row>
    <row r="45197" spans="16:16">
      <c r="P45197" s="2498"/>
    </row>
    <row r="45198" spans="16:16">
      <c r="P45198" s="2498"/>
    </row>
    <row r="45199" spans="16:16">
      <c r="P45199" s="2498"/>
    </row>
    <row r="45200" spans="16:16">
      <c r="P45200" s="2498"/>
    </row>
    <row r="45201" spans="16:16">
      <c r="P45201" s="2498"/>
    </row>
    <row r="45202" spans="16:16">
      <c r="P45202" s="2498"/>
    </row>
    <row r="45203" spans="16:16">
      <c r="P45203" s="2498"/>
    </row>
    <row r="45204" spans="16:16">
      <c r="P45204" s="2498"/>
    </row>
    <row r="45205" spans="16:16">
      <c r="P45205" s="2498"/>
    </row>
    <row r="45206" spans="16:16">
      <c r="P45206" s="2498"/>
    </row>
    <row r="45207" spans="16:16">
      <c r="P45207" s="2498"/>
    </row>
    <row r="45208" spans="16:16">
      <c r="P45208" s="2498"/>
    </row>
    <row r="45209" spans="16:16">
      <c r="P45209" s="2498"/>
    </row>
    <row r="45210" spans="16:16">
      <c r="P45210" s="2498"/>
    </row>
    <row r="45211" spans="16:16">
      <c r="P45211" s="2498"/>
    </row>
    <row r="45212" spans="16:16">
      <c r="P45212" s="2498"/>
    </row>
    <row r="45213" spans="16:16">
      <c r="P45213" s="2498"/>
    </row>
    <row r="45214" spans="16:16">
      <c r="P45214" s="2498"/>
    </row>
    <row r="45215" spans="16:16">
      <c r="P45215" s="2498"/>
    </row>
    <row r="45216" spans="16:16">
      <c r="P45216" s="2498"/>
    </row>
    <row r="45217" spans="16:16">
      <c r="P45217" s="2498"/>
    </row>
    <row r="45218" spans="16:16">
      <c r="P45218" s="2498"/>
    </row>
    <row r="45219" spans="16:16">
      <c r="P45219" s="2498"/>
    </row>
    <row r="45220" spans="16:16">
      <c r="P45220" s="2498"/>
    </row>
    <row r="45221" spans="16:16">
      <c r="P45221" s="2498"/>
    </row>
    <row r="45222" spans="16:16">
      <c r="P45222" s="2498"/>
    </row>
    <row r="45223" spans="16:16">
      <c r="P45223" s="2498"/>
    </row>
    <row r="45224" spans="16:16">
      <c r="P45224" s="2498"/>
    </row>
    <row r="45225" spans="16:16">
      <c r="P45225" s="2498"/>
    </row>
    <row r="45226" spans="16:16">
      <c r="P45226" s="2498"/>
    </row>
    <row r="45227" spans="16:16">
      <c r="P45227" s="2498"/>
    </row>
    <row r="45228" spans="16:16">
      <c r="P45228" s="2498"/>
    </row>
    <row r="45229" spans="16:16">
      <c r="P45229" s="2498"/>
    </row>
    <row r="45230" spans="16:16">
      <c r="P45230" s="2498"/>
    </row>
    <row r="45231" spans="16:16">
      <c r="P45231" s="2498"/>
    </row>
    <row r="45232" spans="16:16">
      <c r="P45232" s="2498"/>
    </row>
    <row r="45233" spans="16:16">
      <c r="P45233" s="2498"/>
    </row>
    <row r="45234" spans="16:16">
      <c r="P45234" s="2498"/>
    </row>
    <row r="45235" spans="16:16">
      <c r="P45235" s="2498"/>
    </row>
    <row r="45236" spans="16:16">
      <c r="P45236" s="2498"/>
    </row>
    <row r="45237" spans="16:16">
      <c r="P45237" s="2498"/>
    </row>
    <row r="45238" spans="16:16">
      <c r="P45238" s="2498"/>
    </row>
    <row r="45239" spans="16:16">
      <c r="P45239" s="2498"/>
    </row>
    <row r="45240" spans="16:16">
      <c r="P45240" s="2498"/>
    </row>
    <row r="45241" spans="16:16">
      <c r="P45241" s="2498"/>
    </row>
    <row r="45242" spans="16:16">
      <c r="P45242" s="2498"/>
    </row>
    <row r="45243" spans="16:16">
      <c r="P45243" s="2498"/>
    </row>
    <row r="45244" spans="16:16">
      <c r="P45244" s="2498"/>
    </row>
    <row r="45245" spans="16:16">
      <c r="P45245" s="2498"/>
    </row>
    <row r="45246" spans="16:16">
      <c r="P45246" s="2498"/>
    </row>
    <row r="45247" spans="16:16">
      <c r="P45247" s="2498"/>
    </row>
    <row r="45248" spans="16:16">
      <c r="P45248" s="2498"/>
    </row>
    <row r="45249" spans="16:16">
      <c r="P45249" s="2498"/>
    </row>
    <row r="45250" spans="16:16">
      <c r="P45250" s="2498"/>
    </row>
    <row r="45251" spans="16:16">
      <c r="P45251" s="2498"/>
    </row>
    <row r="45252" spans="16:16">
      <c r="P45252" s="2498"/>
    </row>
    <row r="45253" spans="16:16">
      <c r="P45253" s="2498"/>
    </row>
    <row r="45254" spans="16:16">
      <c r="P45254" s="2498"/>
    </row>
    <row r="45255" spans="16:16">
      <c r="P45255" s="2498"/>
    </row>
    <row r="45256" spans="16:16">
      <c r="P45256" s="2498"/>
    </row>
    <row r="45257" spans="16:16">
      <c r="P45257" s="2498"/>
    </row>
    <row r="45258" spans="16:16">
      <c r="P45258" s="2498"/>
    </row>
    <row r="45259" spans="16:16">
      <c r="P45259" s="2498"/>
    </row>
    <row r="45260" spans="16:16">
      <c r="P45260" s="2498"/>
    </row>
    <row r="45261" spans="16:16">
      <c r="P45261" s="2498"/>
    </row>
    <row r="45262" spans="16:16">
      <c r="P45262" s="2498"/>
    </row>
    <row r="45263" spans="16:16">
      <c r="P45263" s="2498"/>
    </row>
    <row r="45264" spans="16:16">
      <c r="P45264" s="2498"/>
    </row>
    <row r="45265" spans="16:16">
      <c r="P45265" s="2498"/>
    </row>
    <row r="45266" spans="16:16">
      <c r="P45266" s="2498"/>
    </row>
    <row r="45267" spans="16:16">
      <c r="P45267" s="2498"/>
    </row>
    <row r="45268" spans="16:16">
      <c r="P45268" s="2498"/>
    </row>
    <row r="45269" spans="16:16">
      <c r="P45269" s="2498"/>
    </row>
    <row r="45270" spans="16:16">
      <c r="P45270" s="2498"/>
    </row>
    <row r="45271" spans="16:16">
      <c r="P45271" s="2498"/>
    </row>
    <row r="45272" spans="16:16">
      <c r="P45272" s="2498"/>
    </row>
    <row r="45273" spans="16:16">
      <c r="P45273" s="2498"/>
    </row>
    <row r="45274" spans="16:16">
      <c r="P45274" s="2498"/>
    </row>
    <row r="45275" spans="16:16">
      <c r="P45275" s="2498"/>
    </row>
    <row r="45276" spans="16:16">
      <c r="P45276" s="2498"/>
    </row>
    <row r="45277" spans="16:16">
      <c r="P45277" s="2498"/>
    </row>
    <row r="45278" spans="16:16">
      <c r="P45278" s="2498"/>
    </row>
    <row r="45279" spans="16:16">
      <c r="P45279" s="2498"/>
    </row>
    <row r="45280" spans="16:16">
      <c r="P45280" s="2498"/>
    </row>
    <row r="45281" spans="16:16">
      <c r="P45281" s="2498"/>
    </row>
    <row r="45282" spans="16:16">
      <c r="P45282" s="2498"/>
    </row>
    <row r="45283" spans="16:16">
      <c r="P45283" s="2498"/>
    </row>
    <row r="45284" spans="16:16">
      <c r="P45284" s="2498"/>
    </row>
    <row r="45285" spans="16:16">
      <c r="P45285" s="2498"/>
    </row>
    <row r="45286" spans="16:16">
      <c r="P45286" s="2498"/>
    </row>
    <row r="45287" spans="16:16">
      <c r="P45287" s="2498"/>
    </row>
    <row r="45288" spans="16:16">
      <c r="P45288" s="2498"/>
    </row>
    <row r="45289" spans="16:16">
      <c r="P45289" s="2498"/>
    </row>
    <row r="45290" spans="16:16">
      <c r="P45290" s="2498"/>
    </row>
    <row r="45291" spans="16:16">
      <c r="P45291" s="2498"/>
    </row>
    <row r="45292" spans="16:16">
      <c r="P45292" s="2498"/>
    </row>
    <row r="45293" spans="16:16">
      <c r="P45293" s="2498"/>
    </row>
    <row r="45294" spans="16:16">
      <c r="P45294" s="2498"/>
    </row>
    <row r="45295" spans="16:16">
      <c r="P45295" s="2498"/>
    </row>
    <row r="45296" spans="16:16">
      <c r="P45296" s="2498"/>
    </row>
    <row r="45297" spans="16:16">
      <c r="P45297" s="2498"/>
    </row>
    <row r="45298" spans="16:16">
      <c r="P45298" s="2498"/>
    </row>
    <row r="45299" spans="16:16">
      <c r="P45299" s="2498"/>
    </row>
    <row r="45300" spans="16:16">
      <c r="P45300" s="2498"/>
    </row>
    <row r="45301" spans="16:16">
      <c r="P45301" s="2498"/>
    </row>
    <row r="45302" spans="16:16">
      <c r="P45302" s="2498"/>
    </row>
    <row r="45303" spans="16:16">
      <c r="P45303" s="2498"/>
    </row>
    <row r="45304" spans="16:16">
      <c r="P45304" s="2498"/>
    </row>
    <row r="45305" spans="16:16">
      <c r="P45305" s="2498"/>
    </row>
    <row r="45306" spans="16:16">
      <c r="P45306" s="2498"/>
    </row>
    <row r="45307" spans="16:16">
      <c r="P45307" s="2498"/>
    </row>
    <row r="45308" spans="16:16">
      <c r="P45308" s="2498"/>
    </row>
    <row r="45309" spans="16:16">
      <c r="P45309" s="2498"/>
    </row>
    <row r="45310" spans="16:16">
      <c r="P45310" s="2498"/>
    </row>
    <row r="45311" spans="16:16">
      <c r="P45311" s="2498"/>
    </row>
    <row r="45312" spans="16:16">
      <c r="P45312" s="2498"/>
    </row>
    <row r="45313" spans="16:16">
      <c r="P45313" s="2498"/>
    </row>
    <row r="45314" spans="16:16">
      <c r="P45314" s="2498"/>
    </row>
    <row r="45315" spans="16:16">
      <c r="P45315" s="2498"/>
    </row>
    <row r="45316" spans="16:16">
      <c r="P45316" s="2498"/>
    </row>
    <row r="45317" spans="16:16">
      <c r="P45317" s="2498"/>
    </row>
    <row r="45318" spans="16:16">
      <c r="P45318" s="2498"/>
    </row>
    <row r="45319" spans="16:16">
      <c r="P45319" s="2498"/>
    </row>
    <row r="45320" spans="16:16">
      <c r="P45320" s="2498"/>
    </row>
    <row r="45321" spans="16:16">
      <c r="P45321" s="2498"/>
    </row>
    <row r="45322" spans="16:16">
      <c r="P45322" s="2498"/>
    </row>
    <row r="45323" spans="16:16">
      <c r="P45323" s="2498"/>
    </row>
    <row r="45324" spans="16:16">
      <c r="P45324" s="2498"/>
    </row>
    <row r="45325" spans="16:16">
      <c r="P45325" s="2498"/>
    </row>
    <row r="45326" spans="16:16">
      <c r="P45326" s="2498"/>
    </row>
    <row r="45327" spans="16:16">
      <c r="P45327" s="2498"/>
    </row>
    <row r="45328" spans="16:16">
      <c r="P45328" s="2498"/>
    </row>
    <row r="45329" spans="16:16">
      <c r="P45329" s="2498"/>
    </row>
    <row r="45330" spans="16:16">
      <c r="P45330" s="2498"/>
    </row>
    <row r="45331" spans="16:16">
      <c r="P45331" s="2498"/>
    </row>
    <row r="45332" spans="16:16">
      <c r="P45332" s="2498"/>
    </row>
    <row r="45333" spans="16:16">
      <c r="P45333" s="2498"/>
    </row>
    <row r="45334" spans="16:16">
      <c r="P45334" s="2498"/>
    </row>
    <row r="45335" spans="16:16">
      <c r="P45335" s="2498"/>
    </row>
    <row r="45336" spans="16:16">
      <c r="P45336" s="2498"/>
    </row>
    <row r="45337" spans="16:16">
      <c r="P45337" s="2498"/>
    </row>
    <row r="45338" spans="16:16">
      <c r="P45338" s="2498"/>
    </row>
    <row r="45339" spans="16:16">
      <c r="P45339" s="2498"/>
    </row>
    <row r="45340" spans="16:16">
      <c r="P45340" s="2498"/>
    </row>
    <row r="45341" spans="16:16">
      <c r="P45341" s="2498"/>
    </row>
    <row r="45342" spans="16:16">
      <c r="P45342" s="2498"/>
    </row>
    <row r="45343" spans="16:16">
      <c r="P45343" s="2498"/>
    </row>
    <row r="45344" spans="16:16">
      <c r="P45344" s="2498"/>
    </row>
    <row r="45345" spans="16:16">
      <c r="P45345" s="2498"/>
    </row>
    <row r="45346" spans="16:16">
      <c r="P45346" s="2498"/>
    </row>
    <row r="45347" spans="16:16">
      <c r="P45347" s="2498"/>
    </row>
    <row r="45348" spans="16:16">
      <c r="P45348" s="2498"/>
    </row>
    <row r="45349" spans="16:16">
      <c r="P45349" s="2498"/>
    </row>
    <row r="45350" spans="16:16">
      <c r="P45350" s="2498"/>
    </row>
    <row r="45351" spans="16:16">
      <c r="P45351" s="2498"/>
    </row>
    <row r="45352" spans="16:16">
      <c r="P45352" s="2498"/>
    </row>
    <row r="45353" spans="16:16">
      <c r="P45353" s="2498"/>
    </row>
    <row r="45354" spans="16:16">
      <c r="P45354" s="2498"/>
    </row>
    <row r="45355" spans="16:16">
      <c r="P45355" s="2498"/>
    </row>
    <row r="45356" spans="16:16">
      <c r="P45356" s="2498"/>
    </row>
    <row r="45357" spans="16:16">
      <c r="P45357" s="2498"/>
    </row>
    <row r="45358" spans="16:16">
      <c r="P45358" s="2498"/>
    </row>
    <row r="45359" spans="16:16">
      <c r="P45359" s="2498"/>
    </row>
    <row r="45360" spans="16:16">
      <c r="P45360" s="2498"/>
    </row>
    <row r="45361" spans="16:16">
      <c r="P45361" s="2498"/>
    </row>
    <row r="45362" spans="16:16">
      <c r="P45362" s="2498"/>
    </row>
    <row r="45363" spans="16:16">
      <c r="P45363" s="2498"/>
    </row>
    <row r="45364" spans="16:16">
      <c r="P45364" s="2498"/>
    </row>
    <row r="45365" spans="16:16">
      <c r="P45365" s="2498"/>
    </row>
    <row r="45366" spans="16:16">
      <c r="P45366" s="2498"/>
    </row>
    <row r="45367" spans="16:16">
      <c r="P45367" s="2498"/>
    </row>
    <row r="45368" spans="16:16">
      <c r="P45368" s="2498"/>
    </row>
    <row r="45369" spans="16:16">
      <c r="P45369" s="2498"/>
    </row>
    <row r="45370" spans="16:16">
      <c r="P45370" s="2498"/>
    </row>
    <row r="45371" spans="16:16">
      <c r="P45371" s="2498"/>
    </row>
    <row r="45372" spans="16:16">
      <c r="P45372" s="2498"/>
    </row>
    <row r="45373" spans="16:16">
      <c r="P45373" s="2498"/>
    </row>
    <row r="45374" spans="16:16">
      <c r="P45374" s="2498"/>
    </row>
    <row r="45375" spans="16:16">
      <c r="P45375" s="2498"/>
    </row>
    <row r="45376" spans="16:16">
      <c r="P45376" s="2498"/>
    </row>
    <row r="45377" spans="16:16">
      <c r="P45377" s="2498"/>
    </row>
    <row r="45378" spans="16:16">
      <c r="P45378" s="2498"/>
    </row>
    <row r="45379" spans="16:16">
      <c r="P45379" s="2498"/>
    </row>
    <row r="45380" spans="16:16">
      <c r="P45380" s="2498"/>
    </row>
    <row r="45381" spans="16:16">
      <c r="P45381" s="2498"/>
    </row>
    <row r="45382" spans="16:16">
      <c r="P45382" s="2498"/>
    </row>
    <row r="45383" spans="16:16">
      <c r="P45383" s="2498"/>
    </row>
    <row r="45384" spans="16:16">
      <c r="P45384" s="2498"/>
    </row>
    <row r="45385" spans="16:16">
      <c r="P45385" s="2498"/>
    </row>
    <row r="45386" spans="16:16">
      <c r="P45386" s="2498"/>
    </row>
    <row r="45387" spans="16:16">
      <c r="P45387" s="2498"/>
    </row>
    <row r="45388" spans="16:16">
      <c r="P45388" s="2498"/>
    </row>
    <row r="45389" spans="16:16">
      <c r="P45389" s="2498"/>
    </row>
    <row r="45390" spans="16:16">
      <c r="P45390" s="2498"/>
    </row>
    <row r="45391" spans="16:16">
      <c r="P45391" s="2498"/>
    </row>
    <row r="45392" spans="16:16">
      <c r="P45392" s="2498"/>
    </row>
    <row r="45393" spans="16:16">
      <c r="P45393" s="2498"/>
    </row>
    <row r="45394" spans="16:16">
      <c r="P45394" s="2498"/>
    </row>
    <row r="45395" spans="16:16">
      <c r="P45395" s="2498"/>
    </row>
    <row r="45396" spans="16:16">
      <c r="P45396" s="2498"/>
    </row>
    <row r="45397" spans="16:16">
      <c r="P45397" s="2498"/>
    </row>
    <row r="45398" spans="16:16">
      <c r="P45398" s="2498"/>
    </row>
    <row r="45399" spans="16:16">
      <c r="P45399" s="2498"/>
    </row>
    <row r="45400" spans="16:16">
      <c r="P45400" s="2498"/>
    </row>
    <row r="45401" spans="16:16">
      <c r="P45401" s="2498"/>
    </row>
    <row r="45402" spans="16:16">
      <c r="P45402" s="2498"/>
    </row>
    <row r="45403" spans="16:16">
      <c r="P45403" s="2498"/>
    </row>
    <row r="45404" spans="16:16">
      <c r="P45404" s="2498"/>
    </row>
    <row r="45405" spans="16:16">
      <c r="P45405" s="2498"/>
    </row>
    <row r="45406" spans="16:16">
      <c r="P45406" s="2498"/>
    </row>
    <row r="45407" spans="16:16">
      <c r="P45407" s="2498"/>
    </row>
    <row r="45408" spans="16:16">
      <c r="P45408" s="2498"/>
    </row>
    <row r="45409" spans="16:16">
      <c r="P45409" s="2498"/>
    </row>
    <row r="45410" spans="16:16">
      <c r="P45410" s="2498"/>
    </row>
    <row r="45411" spans="16:16">
      <c r="P45411" s="2498"/>
    </row>
    <row r="45412" spans="16:16">
      <c r="P45412" s="2498"/>
    </row>
    <row r="45413" spans="16:16">
      <c r="P45413" s="2498"/>
    </row>
    <row r="45414" spans="16:16">
      <c r="P45414" s="2498"/>
    </row>
    <row r="45415" spans="16:16">
      <c r="P45415" s="2498"/>
    </row>
    <row r="45416" spans="16:16">
      <c r="P45416" s="2498"/>
    </row>
    <row r="45417" spans="16:16">
      <c r="P45417" s="2498"/>
    </row>
    <row r="45418" spans="16:16">
      <c r="P45418" s="2498"/>
    </row>
    <row r="45419" spans="16:16">
      <c r="P45419" s="2498"/>
    </row>
    <row r="45420" spans="16:16">
      <c r="P45420" s="2498"/>
    </row>
    <row r="45421" spans="16:16">
      <c r="P45421" s="2498"/>
    </row>
    <row r="45422" spans="16:16">
      <c r="P45422" s="2498"/>
    </row>
    <row r="45423" spans="16:16">
      <c r="P45423" s="2498"/>
    </row>
    <row r="45424" spans="16:16">
      <c r="P45424" s="2498"/>
    </row>
    <row r="45425" spans="16:16">
      <c r="P45425" s="2498"/>
    </row>
    <row r="45426" spans="16:16">
      <c r="P45426" s="2498"/>
    </row>
    <row r="45427" spans="16:16">
      <c r="P45427" s="2498"/>
    </row>
    <row r="45428" spans="16:16">
      <c r="P45428" s="2498"/>
    </row>
    <row r="45429" spans="16:16">
      <c r="P45429" s="2498"/>
    </row>
    <row r="45430" spans="16:16">
      <c r="P45430" s="2498"/>
    </row>
    <row r="45431" spans="16:16">
      <c r="P45431" s="2498"/>
    </row>
    <row r="45432" spans="16:16">
      <c r="P45432" s="2498"/>
    </row>
    <row r="45433" spans="16:16">
      <c r="P45433" s="2498"/>
    </row>
    <row r="45434" spans="16:16">
      <c r="P45434" s="2498"/>
    </row>
    <row r="45435" spans="16:16">
      <c r="P45435" s="2498"/>
    </row>
    <row r="45436" spans="16:16">
      <c r="P45436" s="2498"/>
    </row>
    <row r="45437" spans="16:16">
      <c r="P45437" s="2498"/>
    </row>
    <row r="45438" spans="16:16">
      <c r="P45438" s="2498"/>
    </row>
    <row r="45439" spans="16:16">
      <c r="P45439" s="2498"/>
    </row>
    <row r="45440" spans="16:16">
      <c r="P45440" s="2498"/>
    </row>
    <row r="45441" spans="16:16">
      <c r="P45441" s="2498"/>
    </row>
    <row r="45442" spans="16:16">
      <c r="P45442" s="2498"/>
    </row>
    <row r="45443" spans="16:16">
      <c r="P45443" s="2498"/>
    </row>
    <row r="45444" spans="16:16">
      <c r="P45444" s="2498"/>
    </row>
    <row r="45445" spans="16:16">
      <c r="P45445" s="2498"/>
    </row>
    <row r="45446" spans="16:16">
      <c r="P45446" s="2498"/>
    </row>
    <row r="45447" spans="16:16">
      <c r="P45447" s="2498"/>
    </row>
    <row r="45448" spans="16:16">
      <c r="P45448" s="2498"/>
    </row>
    <row r="45449" spans="16:16">
      <c r="P45449" s="2498"/>
    </row>
    <row r="45450" spans="16:16">
      <c r="P45450" s="2498"/>
    </row>
    <row r="45451" spans="16:16">
      <c r="P45451" s="2498"/>
    </row>
    <row r="45452" spans="16:16">
      <c r="P45452" s="2498"/>
    </row>
    <row r="45453" spans="16:16">
      <c r="P45453" s="2498"/>
    </row>
    <row r="45454" spans="16:16">
      <c r="P45454" s="2498"/>
    </row>
    <row r="45455" spans="16:16">
      <c r="P45455" s="2498"/>
    </row>
    <row r="45456" spans="16:16">
      <c r="P45456" s="2498"/>
    </row>
    <row r="45457" spans="16:16">
      <c r="P45457" s="2498"/>
    </row>
    <row r="45458" spans="16:16">
      <c r="P45458" s="2498"/>
    </row>
    <row r="45459" spans="16:16">
      <c r="P45459" s="2498"/>
    </row>
    <row r="45460" spans="16:16">
      <c r="P45460" s="2498"/>
    </row>
    <row r="45461" spans="16:16">
      <c r="P45461" s="2498"/>
    </row>
    <row r="45462" spans="16:16">
      <c r="P45462" s="2498"/>
    </row>
    <row r="45463" spans="16:16">
      <c r="P45463" s="2498"/>
    </row>
    <row r="45464" spans="16:16">
      <c r="P45464" s="2498"/>
    </row>
    <row r="45465" spans="16:16">
      <c r="P45465" s="2498"/>
    </row>
    <row r="45466" spans="16:16">
      <c r="P45466" s="2498"/>
    </row>
    <row r="45467" spans="16:16">
      <c r="P45467" s="2498"/>
    </row>
    <row r="45468" spans="16:16">
      <c r="P45468" s="2498"/>
    </row>
    <row r="45469" spans="16:16">
      <c r="P45469" s="2498"/>
    </row>
    <row r="45470" spans="16:16">
      <c r="P45470" s="2498"/>
    </row>
    <row r="45471" spans="16:16">
      <c r="P45471" s="2498"/>
    </row>
    <row r="45472" spans="16:16">
      <c r="P45472" s="2498"/>
    </row>
    <row r="45473" spans="16:16">
      <c r="P45473" s="2498"/>
    </row>
    <row r="45474" spans="16:16">
      <c r="P45474" s="2498"/>
    </row>
    <row r="45475" spans="16:16">
      <c r="P45475" s="2498"/>
    </row>
    <row r="45476" spans="16:16">
      <c r="P45476" s="2498"/>
    </row>
    <row r="45477" spans="16:16">
      <c r="P45477" s="2498"/>
    </row>
    <row r="45478" spans="16:16">
      <c r="P45478" s="2498"/>
    </row>
    <row r="45479" spans="16:16">
      <c r="P45479" s="2498"/>
    </row>
    <row r="45480" spans="16:16">
      <c r="P45480" s="2498"/>
    </row>
    <row r="45481" spans="16:16">
      <c r="P45481" s="2498"/>
    </row>
    <row r="45482" spans="16:16">
      <c r="P45482" s="2498"/>
    </row>
    <row r="45483" spans="16:16">
      <c r="P45483" s="2498"/>
    </row>
    <row r="45484" spans="16:16">
      <c r="P45484" s="2498"/>
    </row>
    <row r="45485" spans="16:16">
      <c r="P45485" s="2498"/>
    </row>
    <row r="45486" spans="16:16">
      <c r="P45486" s="2498"/>
    </row>
    <row r="45487" spans="16:16">
      <c r="P45487" s="2498"/>
    </row>
    <row r="45488" spans="16:16">
      <c r="P45488" s="2498"/>
    </row>
    <row r="45489" spans="16:16">
      <c r="P45489" s="2498"/>
    </row>
    <row r="45490" spans="16:16">
      <c r="P45490" s="2498"/>
    </row>
    <row r="45491" spans="16:16">
      <c r="P45491" s="2498"/>
    </row>
    <row r="45492" spans="16:16">
      <c r="P45492" s="2498"/>
    </row>
    <row r="45493" spans="16:16">
      <c r="P45493" s="2498"/>
    </row>
    <row r="45494" spans="16:16">
      <c r="P45494" s="2498"/>
    </row>
    <row r="45495" spans="16:16">
      <c r="P45495" s="2498"/>
    </row>
    <row r="45496" spans="16:16">
      <c r="P45496" s="2498"/>
    </row>
    <row r="45497" spans="16:16">
      <c r="P45497" s="2498"/>
    </row>
    <row r="45498" spans="16:16">
      <c r="P45498" s="2498"/>
    </row>
    <row r="45499" spans="16:16">
      <c r="P45499" s="2498"/>
    </row>
    <row r="45500" spans="16:16">
      <c r="P45500" s="2498"/>
    </row>
    <row r="45501" spans="16:16">
      <c r="P45501" s="2498"/>
    </row>
    <row r="45502" spans="16:16">
      <c r="P45502" s="2498"/>
    </row>
    <row r="45503" spans="16:16">
      <c r="P45503" s="2498"/>
    </row>
    <row r="45504" spans="16:16">
      <c r="P45504" s="2498"/>
    </row>
    <row r="45505" spans="16:16">
      <c r="P45505" s="2498"/>
    </row>
    <row r="45506" spans="16:16">
      <c r="P45506" s="2498"/>
    </row>
    <row r="45507" spans="16:16">
      <c r="P45507" s="2498"/>
    </row>
    <row r="45508" spans="16:16">
      <c r="P45508" s="2498"/>
    </row>
    <row r="45509" spans="16:16">
      <c r="P45509" s="2498"/>
    </row>
    <row r="45510" spans="16:16">
      <c r="P45510" s="2498"/>
    </row>
    <row r="45511" spans="16:16">
      <c r="P45511" s="2498"/>
    </row>
    <row r="45512" spans="16:16">
      <c r="P45512" s="2498"/>
    </row>
    <row r="45513" spans="16:16">
      <c r="P45513" s="2498"/>
    </row>
    <row r="45514" spans="16:16">
      <c r="P45514" s="2498"/>
    </row>
    <row r="45515" spans="16:16">
      <c r="P45515" s="2498"/>
    </row>
    <row r="45516" spans="16:16">
      <c r="P45516" s="2498"/>
    </row>
    <row r="45517" spans="16:16">
      <c r="P45517" s="2498"/>
    </row>
    <row r="45518" spans="16:16">
      <c r="P45518" s="2498"/>
    </row>
    <row r="45519" spans="16:16">
      <c r="P45519" s="2498"/>
    </row>
    <row r="45520" spans="16:16">
      <c r="P45520" s="2498"/>
    </row>
    <row r="45521" spans="16:16">
      <c r="P45521" s="2498"/>
    </row>
    <row r="45522" spans="16:16">
      <c r="P45522" s="2498"/>
    </row>
    <row r="45523" spans="16:16">
      <c r="P45523" s="2498"/>
    </row>
    <row r="45524" spans="16:16">
      <c r="P45524" s="2498"/>
    </row>
    <row r="45525" spans="16:16">
      <c r="P45525" s="2498"/>
    </row>
    <row r="45526" spans="16:16">
      <c r="P45526" s="2498"/>
    </row>
    <row r="45527" spans="16:16">
      <c r="P45527" s="2498"/>
    </row>
    <row r="45528" spans="16:16">
      <c r="P45528" s="2498"/>
    </row>
    <row r="45529" spans="16:16">
      <c r="P45529" s="2498"/>
    </row>
    <row r="45530" spans="16:16">
      <c r="P45530" s="2498"/>
    </row>
    <row r="45531" spans="16:16">
      <c r="P45531" s="2498"/>
    </row>
    <row r="45532" spans="16:16">
      <c r="P45532" s="2498"/>
    </row>
    <row r="45533" spans="16:16">
      <c r="P45533" s="2498"/>
    </row>
    <row r="45534" spans="16:16">
      <c r="P45534" s="2498"/>
    </row>
    <row r="45535" spans="16:16">
      <c r="P45535" s="2498"/>
    </row>
    <row r="45536" spans="16:16">
      <c r="P45536" s="2498"/>
    </row>
    <row r="45537" spans="16:16">
      <c r="P45537" s="2498"/>
    </row>
    <row r="45538" spans="16:16">
      <c r="P45538" s="2498"/>
    </row>
    <row r="45539" spans="16:16">
      <c r="P45539" s="2498"/>
    </row>
    <row r="45540" spans="16:16">
      <c r="P45540" s="2498"/>
    </row>
    <row r="45541" spans="16:16">
      <c r="P45541" s="2498"/>
    </row>
    <row r="45542" spans="16:16">
      <c r="P45542" s="2498"/>
    </row>
    <row r="45543" spans="16:16">
      <c r="P45543" s="2498"/>
    </row>
    <row r="45544" spans="16:16">
      <c r="P45544" s="2498"/>
    </row>
    <row r="45545" spans="16:16">
      <c r="P45545" s="2498"/>
    </row>
    <row r="45546" spans="16:16">
      <c r="P45546" s="2498"/>
    </row>
    <row r="45547" spans="16:16">
      <c r="P45547" s="2498"/>
    </row>
    <row r="45548" spans="16:16">
      <c r="P45548" s="2498"/>
    </row>
    <row r="45549" spans="16:16">
      <c r="P45549" s="2498"/>
    </row>
    <row r="45550" spans="16:16">
      <c r="P45550" s="2498"/>
    </row>
    <row r="45551" spans="16:16">
      <c r="P45551" s="2498"/>
    </row>
    <row r="45552" spans="16:16">
      <c r="P45552" s="2498"/>
    </row>
    <row r="45553" spans="16:16">
      <c r="P45553" s="2498"/>
    </row>
    <row r="45554" spans="16:16">
      <c r="P45554" s="2498"/>
    </row>
    <row r="45555" spans="16:16">
      <c r="P45555" s="2498"/>
    </row>
    <row r="45556" spans="16:16">
      <c r="P45556" s="2498"/>
    </row>
    <row r="45557" spans="16:16">
      <c r="P45557" s="2498"/>
    </row>
    <row r="45558" spans="16:16">
      <c r="P45558" s="2498"/>
    </row>
    <row r="45559" spans="16:16">
      <c r="P45559" s="2498"/>
    </row>
    <row r="45560" spans="16:16">
      <c r="P45560" s="2498"/>
    </row>
    <row r="45561" spans="16:16">
      <c r="P45561" s="2498"/>
    </row>
    <row r="45562" spans="16:16">
      <c r="P45562" s="2498"/>
    </row>
    <row r="45563" spans="16:16">
      <c r="P45563" s="2498"/>
    </row>
    <row r="45564" spans="16:16">
      <c r="P45564" s="2498"/>
    </row>
    <row r="45565" spans="16:16">
      <c r="P45565" s="2498"/>
    </row>
    <row r="45566" spans="16:16">
      <c r="P45566" s="2498"/>
    </row>
    <row r="45567" spans="16:16">
      <c r="P45567" s="2498"/>
    </row>
    <row r="45568" spans="16:16">
      <c r="P45568" s="2498"/>
    </row>
    <row r="45569" spans="16:16">
      <c r="P45569" s="2498"/>
    </row>
    <row r="45570" spans="16:16">
      <c r="P45570" s="2498"/>
    </row>
    <row r="45571" spans="16:16">
      <c r="P45571" s="2498"/>
    </row>
    <row r="45572" spans="16:16">
      <c r="P45572" s="2498"/>
    </row>
    <row r="45573" spans="16:16">
      <c r="P45573" s="2498"/>
    </row>
    <row r="45574" spans="16:16">
      <c r="P45574" s="2498"/>
    </row>
    <row r="45575" spans="16:16">
      <c r="P45575" s="2498"/>
    </row>
    <row r="45576" spans="16:16">
      <c r="P45576" s="2498"/>
    </row>
    <row r="45577" spans="16:16">
      <c r="P45577" s="2498"/>
    </row>
    <row r="45578" spans="16:16">
      <c r="P45578" s="2498"/>
    </row>
    <row r="45579" spans="16:16">
      <c r="P45579" s="2498"/>
    </row>
    <row r="45580" spans="16:16">
      <c r="P45580" s="2498"/>
    </row>
    <row r="45581" spans="16:16">
      <c r="P45581" s="2498"/>
    </row>
    <row r="45582" spans="16:16">
      <c r="P45582" s="2498"/>
    </row>
    <row r="45583" spans="16:16">
      <c r="P45583" s="2498"/>
    </row>
    <row r="45584" spans="16:16">
      <c r="P45584" s="2498"/>
    </row>
    <row r="45585" spans="16:16">
      <c r="P45585" s="2498"/>
    </row>
    <row r="45586" spans="16:16">
      <c r="P45586" s="2498"/>
    </row>
    <row r="45587" spans="16:16">
      <c r="P45587" s="2498"/>
    </row>
    <row r="45588" spans="16:16">
      <c r="P45588" s="2498"/>
    </row>
    <row r="45589" spans="16:16">
      <c r="P45589" s="2498"/>
    </row>
    <row r="45590" spans="16:16">
      <c r="P45590" s="2498"/>
    </row>
    <row r="45591" spans="16:16">
      <c r="P45591" s="2498"/>
    </row>
    <row r="45592" spans="16:16">
      <c r="P45592" s="2498"/>
    </row>
    <row r="45593" spans="16:16">
      <c r="P45593" s="2498"/>
    </row>
    <row r="45594" spans="16:16">
      <c r="P45594" s="2498"/>
    </row>
    <row r="45595" spans="16:16">
      <c r="P45595" s="2498"/>
    </row>
    <row r="45596" spans="16:16">
      <c r="P45596" s="2498"/>
    </row>
    <row r="45597" spans="16:16">
      <c r="P45597" s="2498"/>
    </row>
    <row r="45598" spans="16:16">
      <c r="P45598" s="2498"/>
    </row>
    <row r="45599" spans="16:16">
      <c r="P45599" s="2498"/>
    </row>
    <row r="45600" spans="16:16">
      <c r="P45600" s="2498"/>
    </row>
    <row r="45601" spans="16:16">
      <c r="P45601" s="2498"/>
    </row>
    <row r="45602" spans="16:16">
      <c r="P45602" s="2498"/>
    </row>
    <row r="45603" spans="16:16">
      <c r="P45603" s="2498"/>
    </row>
    <row r="45604" spans="16:16">
      <c r="P45604" s="2498"/>
    </row>
    <row r="45605" spans="16:16">
      <c r="P45605" s="2498"/>
    </row>
    <row r="45606" spans="16:16">
      <c r="P45606" s="2498"/>
    </row>
    <row r="45607" spans="16:16">
      <c r="P45607" s="2498"/>
    </row>
    <row r="45608" spans="16:16">
      <c r="P45608" s="2498"/>
    </row>
    <row r="45609" spans="16:16">
      <c r="P45609" s="2498"/>
    </row>
    <row r="45610" spans="16:16">
      <c r="P45610" s="2498"/>
    </row>
    <row r="45611" spans="16:16">
      <c r="P45611" s="2498"/>
    </row>
    <row r="45612" spans="16:16">
      <c r="P45612" s="2498"/>
    </row>
    <row r="45613" spans="16:16">
      <c r="P45613" s="2498"/>
    </row>
    <row r="45614" spans="16:16">
      <c r="P45614" s="2498"/>
    </row>
    <row r="45615" spans="16:16">
      <c r="P45615" s="2498"/>
    </row>
    <row r="45616" spans="16:16">
      <c r="P45616" s="2498"/>
    </row>
    <row r="45617" spans="16:16">
      <c r="P45617" s="2498"/>
    </row>
    <row r="45618" spans="16:16">
      <c r="P45618" s="2498"/>
    </row>
    <row r="45619" spans="16:16">
      <c r="P45619" s="2498"/>
    </row>
    <row r="45620" spans="16:16">
      <c r="P45620" s="2498"/>
    </row>
    <row r="45621" spans="16:16">
      <c r="P45621" s="2498"/>
    </row>
    <row r="45622" spans="16:16">
      <c r="P45622" s="2498"/>
    </row>
    <row r="45623" spans="16:16">
      <c r="P45623" s="2498"/>
    </row>
    <row r="45624" spans="16:16">
      <c r="P45624" s="2498"/>
    </row>
    <row r="45625" spans="16:16">
      <c r="P45625" s="2498"/>
    </row>
    <row r="45626" spans="16:16">
      <c r="P45626" s="2498"/>
    </row>
    <row r="45627" spans="16:16">
      <c r="P45627" s="2498"/>
    </row>
    <row r="45628" spans="16:16">
      <c r="P45628" s="2498"/>
    </row>
    <row r="45629" spans="16:16">
      <c r="P45629" s="2498"/>
    </row>
    <row r="45630" spans="16:16">
      <c r="P45630" s="2498"/>
    </row>
    <row r="45631" spans="16:16">
      <c r="P45631" s="2498"/>
    </row>
    <row r="45632" spans="16:16">
      <c r="P45632" s="2498"/>
    </row>
    <row r="45633" spans="16:16">
      <c r="P45633" s="2498"/>
    </row>
    <row r="45634" spans="16:16">
      <c r="P45634" s="2498"/>
    </row>
    <row r="45635" spans="16:16">
      <c r="P45635" s="2498"/>
    </row>
    <row r="45636" spans="16:16">
      <c r="P45636" s="2498"/>
    </row>
    <row r="45637" spans="16:16">
      <c r="P45637" s="2498"/>
    </row>
    <row r="45638" spans="16:16">
      <c r="P45638" s="2498"/>
    </row>
    <row r="45639" spans="16:16">
      <c r="P45639" s="2498"/>
    </row>
    <row r="45640" spans="16:16">
      <c r="P45640" s="2498"/>
    </row>
    <row r="45641" spans="16:16">
      <c r="P45641" s="2498"/>
    </row>
    <row r="45642" spans="16:16">
      <c r="P45642" s="2498"/>
    </row>
    <row r="45643" spans="16:16">
      <c r="P45643" s="2498"/>
    </row>
    <row r="45644" spans="16:16">
      <c r="P45644" s="2498"/>
    </row>
    <row r="45645" spans="16:16">
      <c r="P45645" s="2498"/>
    </row>
    <row r="45646" spans="16:16">
      <c r="P45646" s="2498"/>
    </row>
    <row r="45647" spans="16:16">
      <c r="P45647" s="2498"/>
    </row>
    <row r="45648" spans="16:16">
      <c r="P45648" s="2498"/>
    </row>
    <row r="45649" spans="16:16">
      <c r="P45649" s="2498"/>
    </row>
    <row r="45650" spans="16:16">
      <c r="P45650" s="2498"/>
    </row>
    <row r="45651" spans="16:16">
      <c r="P45651" s="2498"/>
    </row>
    <row r="45652" spans="16:16">
      <c r="P45652" s="2498"/>
    </row>
    <row r="45653" spans="16:16">
      <c r="P45653" s="2498"/>
    </row>
    <row r="45654" spans="16:16">
      <c r="P45654" s="2498"/>
    </row>
    <row r="45655" spans="16:16">
      <c r="P45655" s="2498"/>
    </row>
    <row r="45656" spans="16:16">
      <c r="P45656" s="2498"/>
    </row>
    <row r="45657" spans="16:16">
      <c r="P45657" s="2498"/>
    </row>
    <row r="45658" spans="16:16">
      <c r="P45658" s="2498"/>
    </row>
    <row r="45659" spans="16:16">
      <c r="P45659" s="2498"/>
    </row>
    <row r="45660" spans="16:16">
      <c r="P45660" s="2498"/>
    </row>
    <row r="45661" spans="16:16">
      <c r="P45661" s="2498"/>
    </row>
    <row r="45662" spans="16:16">
      <c r="P45662" s="2498"/>
    </row>
    <row r="45663" spans="16:16">
      <c r="P45663" s="2498"/>
    </row>
    <row r="45664" spans="16:16">
      <c r="P45664" s="2498"/>
    </row>
    <row r="45665" spans="16:16">
      <c r="P45665" s="2498"/>
    </row>
    <row r="45666" spans="16:16">
      <c r="P45666" s="2498"/>
    </row>
    <row r="45667" spans="16:16">
      <c r="P45667" s="2498"/>
    </row>
    <row r="45668" spans="16:16">
      <c r="P45668" s="2498"/>
    </row>
    <row r="45669" spans="16:16">
      <c r="P45669" s="2498"/>
    </row>
    <row r="45670" spans="16:16">
      <c r="P45670" s="2498"/>
    </row>
    <row r="45671" spans="16:16">
      <c r="P45671" s="2498"/>
    </row>
    <row r="45672" spans="16:16">
      <c r="P45672" s="2498"/>
    </row>
    <row r="45673" spans="16:16">
      <c r="P45673" s="2498"/>
    </row>
    <row r="45674" spans="16:16">
      <c r="P45674" s="2498"/>
    </row>
    <row r="45675" spans="16:16">
      <c r="P45675" s="2498"/>
    </row>
    <row r="45676" spans="16:16">
      <c r="P45676" s="2498"/>
    </row>
    <row r="45677" spans="16:16">
      <c r="P45677" s="2498"/>
    </row>
    <row r="45678" spans="16:16">
      <c r="P45678" s="2498"/>
    </row>
    <row r="45679" spans="16:16">
      <c r="P45679" s="2498"/>
    </row>
    <row r="45680" spans="16:16">
      <c r="P45680" s="2498"/>
    </row>
    <row r="45681" spans="16:16">
      <c r="P45681" s="2498"/>
    </row>
    <row r="45682" spans="16:16">
      <c r="P45682" s="2498"/>
    </row>
    <row r="45683" spans="16:16">
      <c r="P45683" s="2498"/>
    </row>
    <row r="45684" spans="16:16">
      <c r="P45684" s="2498"/>
    </row>
    <row r="45685" spans="16:16">
      <c r="P45685" s="2498"/>
    </row>
    <row r="45686" spans="16:16">
      <c r="P45686" s="2498"/>
    </row>
    <row r="45687" spans="16:16">
      <c r="P45687" s="2498"/>
    </row>
    <row r="45688" spans="16:16">
      <c r="P45688" s="2498"/>
    </row>
    <row r="45689" spans="16:16">
      <c r="P45689" s="2498"/>
    </row>
    <row r="45690" spans="16:16">
      <c r="P45690" s="2498"/>
    </row>
    <row r="45691" spans="16:16">
      <c r="P45691" s="2498"/>
    </row>
    <row r="45692" spans="16:16">
      <c r="P45692" s="2498"/>
    </row>
    <row r="45693" spans="16:16">
      <c r="P45693" s="2498"/>
    </row>
    <row r="45694" spans="16:16">
      <c r="P45694" s="2498"/>
    </row>
    <row r="45695" spans="16:16">
      <c r="P45695" s="2498"/>
    </row>
    <row r="45696" spans="16:16">
      <c r="P45696" s="2498"/>
    </row>
    <row r="45697" spans="16:16">
      <c r="P45697" s="2498"/>
    </row>
    <row r="45698" spans="16:16">
      <c r="P45698" s="2498"/>
    </row>
    <row r="45699" spans="16:16">
      <c r="P45699" s="2498"/>
    </row>
    <row r="45700" spans="16:16">
      <c r="P45700" s="2498"/>
    </row>
    <row r="45701" spans="16:16">
      <c r="P45701" s="2498"/>
    </row>
    <row r="45702" spans="16:16">
      <c r="P45702" s="2498"/>
    </row>
    <row r="45703" spans="16:16">
      <c r="P45703" s="2498"/>
    </row>
    <row r="45704" spans="16:16">
      <c r="P45704" s="2498"/>
    </row>
    <row r="45705" spans="16:16">
      <c r="P45705" s="2498"/>
    </row>
    <row r="45706" spans="16:16">
      <c r="P45706" s="2498"/>
    </row>
    <row r="45707" spans="16:16">
      <c r="P45707" s="2498"/>
    </row>
    <row r="45708" spans="16:16">
      <c r="P45708" s="2498"/>
    </row>
    <row r="45709" spans="16:16">
      <c r="P45709" s="2498"/>
    </row>
    <row r="45710" spans="16:16">
      <c r="P45710" s="2498"/>
    </row>
    <row r="45711" spans="16:16">
      <c r="P45711" s="2498"/>
    </row>
    <row r="45712" spans="16:16">
      <c r="P45712" s="2498"/>
    </row>
    <row r="45713" spans="16:16">
      <c r="P45713" s="2498"/>
    </row>
    <row r="45714" spans="16:16">
      <c r="P45714" s="2498"/>
    </row>
    <row r="45715" spans="16:16">
      <c r="P45715" s="2498"/>
    </row>
    <row r="45716" spans="16:16">
      <c r="P45716" s="2498"/>
    </row>
    <row r="45717" spans="16:16">
      <c r="P45717" s="2498"/>
    </row>
    <row r="45718" spans="16:16">
      <c r="P45718" s="2498"/>
    </row>
    <row r="45719" spans="16:16">
      <c r="P45719" s="2498"/>
    </row>
    <row r="45720" spans="16:16">
      <c r="P45720" s="2498"/>
    </row>
    <row r="45721" spans="16:16">
      <c r="P45721" s="2498"/>
    </row>
    <row r="45722" spans="16:16">
      <c r="P45722" s="2498"/>
    </row>
    <row r="45723" spans="16:16">
      <c r="P45723" s="2498"/>
    </row>
    <row r="45724" spans="16:16">
      <c r="P45724" s="2498"/>
    </row>
    <row r="45725" spans="16:16">
      <c r="P45725" s="2498"/>
    </row>
    <row r="45726" spans="16:16">
      <c r="P45726" s="2498"/>
    </row>
    <row r="45727" spans="16:16">
      <c r="P45727" s="2498"/>
    </row>
    <row r="45728" spans="16:16">
      <c r="P45728" s="2498"/>
    </row>
    <row r="45729" spans="16:16">
      <c r="P45729" s="2498"/>
    </row>
    <row r="45730" spans="16:16">
      <c r="P45730" s="2498"/>
    </row>
    <row r="45731" spans="16:16">
      <c r="P45731" s="2498"/>
    </row>
    <row r="45732" spans="16:16">
      <c r="P45732" s="2498"/>
    </row>
    <row r="45733" spans="16:16">
      <c r="P45733" s="2498"/>
    </row>
    <row r="45734" spans="16:16">
      <c r="P45734" s="2498"/>
    </row>
    <row r="45735" spans="16:16">
      <c r="P45735" s="2498"/>
    </row>
    <row r="45736" spans="16:16">
      <c r="P45736" s="2498"/>
    </row>
    <row r="45737" spans="16:16">
      <c r="P45737" s="2498"/>
    </row>
    <row r="45738" spans="16:16">
      <c r="P45738" s="2498"/>
    </row>
    <row r="45739" spans="16:16">
      <c r="P45739" s="2498"/>
    </row>
    <row r="45740" spans="16:16">
      <c r="P45740" s="2498"/>
    </row>
    <row r="45741" spans="16:16">
      <c r="P45741" s="2498"/>
    </row>
    <row r="45742" spans="16:16">
      <c r="P45742" s="2498"/>
    </row>
    <row r="45743" spans="16:16">
      <c r="P45743" s="2498"/>
    </row>
    <row r="45744" spans="16:16">
      <c r="P45744" s="2498"/>
    </row>
    <row r="45745" spans="16:16">
      <c r="P45745" s="2498"/>
    </row>
    <row r="45746" spans="16:16">
      <c r="P45746" s="2498"/>
    </row>
    <row r="45747" spans="16:16">
      <c r="P45747" s="2498"/>
    </row>
    <row r="45748" spans="16:16">
      <c r="P45748" s="2498"/>
    </row>
    <row r="45749" spans="16:16">
      <c r="P45749" s="2498"/>
    </row>
    <row r="45750" spans="16:16">
      <c r="P45750" s="2498"/>
    </row>
    <row r="45751" spans="16:16">
      <c r="P45751" s="2498"/>
    </row>
    <row r="45752" spans="16:16">
      <c r="P45752" s="2498"/>
    </row>
    <row r="45753" spans="16:16">
      <c r="P45753" s="2498"/>
    </row>
    <row r="45754" spans="16:16">
      <c r="P45754" s="2498"/>
    </row>
    <row r="45755" spans="16:16">
      <c r="P45755" s="2498"/>
    </row>
    <row r="45756" spans="16:16">
      <c r="P45756" s="2498"/>
    </row>
    <row r="45757" spans="16:16">
      <c r="P45757" s="2498"/>
    </row>
    <row r="45758" spans="16:16">
      <c r="P45758" s="2498"/>
    </row>
    <row r="45759" spans="16:16">
      <c r="P45759" s="2498"/>
    </row>
    <row r="45760" spans="16:16">
      <c r="P45760" s="2498"/>
    </row>
    <row r="45761" spans="16:16">
      <c r="P45761" s="2498"/>
    </row>
    <row r="45762" spans="16:16">
      <c r="P45762" s="2498"/>
    </row>
    <row r="45763" spans="16:16">
      <c r="P45763" s="2498"/>
    </row>
    <row r="45764" spans="16:16">
      <c r="P45764" s="2498"/>
    </row>
    <row r="45765" spans="16:16">
      <c r="P45765" s="2498"/>
    </row>
    <row r="45766" spans="16:16">
      <c r="P45766" s="2498"/>
    </row>
    <row r="45767" spans="16:16">
      <c r="P45767" s="2498"/>
    </row>
    <row r="45768" spans="16:16">
      <c r="P45768" s="2498"/>
    </row>
    <row r="45769" spans="16:16">
      <c r="P45769" s="2498"/>
    </row>
    <row r="45770" spans="16:16">
      <c r="P45770" s="2498"/>
    </row>
    <row r="45771" spans="16:16">
      <c r="P45771" s="2498"/>
    </row>
    <row r="45772" spans="16:16">
      <c r="P45772" s="2498"/>
    </row>
    <row r="45773" spans="16:16">
      <c r="P45773" s="2498"/>
    </row>
    <row r="45774" spans="16:16">
      <c r="P45774" s="2498"/>
    </row>
    <row r="45775" spans="16:16">
      <c r="P45775" s="2498"/>
    </row>
    <row r="45776" spans="16:16">
      <c r="P45776" s="2498"/>
    </row>
    <row r="45777" spans="16:16">
      <c r="P45777" s="2498"/>
    </row>
    <row r="45778" spans="16:16">
      <c r="P45778" s="2498"/>
    </row>
    <row r="45779" spans="16:16">
      <c r="P45779" s="2498"/>
    </row>
    <row r="45780" spans="16:16">
      <c r="P45780" s="2498"/>
    </row>
    <row r="45781" spans="16:16">
      <c r="P45781" s="2498"/>
    </row>
    <row r="45782" spans="16:16">
      <c r="P45782" s="2498"/>
    </row>
    <row r="45783" spans="16:16">
      <c r="P45783" s="2498"/>
    </row>
    <row r="45784" spans="16:16">
      <c r="P45784" s="2498"/>
    </row>
    <row r="45785" spans="16:16">
      <c r="P45785" s="2498"/>
    </row>
    <row r="45786" spans="16:16">
      <c r="P45786" s="2498"/>
    </row>
    <row r="45787" spans="16:16">
      <c r="P45787" s="2498"/>
    </row>
    <row r="45788" spans="16:16">
      <c r="P45788" s="2498"/>
    </row>
    <row r="45789" spans="16:16">
      <c r="P45789" s="2498"/>
    </row>
    <row r="45790" spans="16:16">
      <c r="P45790" s="2498"/>
    </row>
    <row r="45791" spans="16:16">
      <c r="P45791" s="2498"/>
    </row>
    <row r="45792" spans="16:16">
      <c r="P45792" s="2498"/>
    </row>
    <row r="45793" spans="16:16">
      <c r="P45793" s="2498"/>
    </row>
    <row r="45794" spans="16:16">
      <c r="P45794" s="2498"/>
    </row>
    <row r="45795" spans="16:16">
      <c r="P45795" s="2498"/>
    </row>
    <row r="45796" spans="16:16">
      <c r="P45796" s="2498"/>
    </row>
    <row r="45797" spans="16:16">
      <c r="P45797" s="2498"/>
    </row>
    <row r="45798" spans="16:16">
      <c r="P45798" s="2498"/>
    </row>
    <row r="45799" spans="16:16">
      <c r="P45799" s="2498"/>
    </row>
    <row r="45800" spans="16:16">
      <c r="P45800" s="2498"/>
    </row>
    <row r="45801" spans="16:16">
      <c r="P45801" s="2498"/>
    </row>
    <row r="45802" spans="16:16">
      <c r="P45802" s="2498"/>
    </row>
    <row r="45803" spans="16:16">
      <c r="P45803" s="2498"/>
    </row>
    <row r="45804" spans="16:16">
      <c r="P45804" s="2498"/>
    </row>
    <row r="45805" spans="16:16">
      <c r="P45805" s="2498"/>
    </row>
    <row r="45806" spans="16:16">
      <c r="P45806" s="2498"/>
    </row>
    <row r="45807" spans="16:16">
      <c r="P45807" s="2498"/>
    </row>
    <row r="45808" spans="16:16">
      <c r="P45808" s="2498"/>
    </row>
    <row r="45809" spans="16:16">
      <c r="P45809" s="2498"/>
    </row>
    <row r="45810" spans="16:16">
      <c r="P45810" s="2498"/>
    </row>
    <row r="45811" spans="16:16">
      <c r="P45811" s="2498"/>
    </row>
    <row r="45812" spans="16:16">
      <c r="P45812" s="2498"/>
    </row>
    <row r="45813" spans="16:16">
      <c r="P45813" s="2498"/>
    </row>
    <row r="45814" spans="16:16">
      <c r="P45814" s="2498"/>
    </row>
    <row r="45815" spans="16:16">
      <c r="P45815" s="2498"/>
    </row>
    <row r="45816" spans="16:16">
      <c r="P45816" s="2498"/>
    </row>
    <row r="45817" spans="16:16">
      <c r="P45817" s="2498"/>
    </row>
    <row r="45818" spans="16:16">
      <c r="P45818" s="2498"/>
    </row>
    <row r="45819" spans="16:16">
      <c r="P45819" s="2498"/>
    </row>
    <row r="45820" spans="16:16">
      <c r="P45820" s="2498"/>
    </row>
    <row r="45821" spans="16:16">
      <c r="P45821" s="2498"/>
    </row>
    <row r="45822" spans="16:16">
      <c r="P45822" s="2498"/>
    </row>
    <row r="45823" spans="16:16">
      <c r="P45823" s="2498"/>
    </row>
    <row r="45824" spans="16:16">
      <c r="P45824" s="2498"/>
    </row>
    <row r="45825" spans="16:16">
      <c r="P45825" s="2498"/>
    </row>
    <row r="45826" spans="16:16">
      <c r="P45826" s="2498"/>
    </row>
    <row r="45827" spans="16:16">
      <c r="P45827" s="2498"/>
    </row>
    <row r="45828" spans="16:16">
      <c r="P45828" s="2498"/>
    </row>
    <row r="45829" spans="16:16">
      <c r="P45829" s="2498"/>
    </row>
    <row r="45830" spans="16:16">
      <c r="P45830" s="2498"/>
    </row>
    <row r="45831" spans="16:16">
      <c r="P45831" s="2498"/>
    </row>
    <row r="45832" spans="16:16">
      <c r="P45832" s="2498"/>
    </row>
    <row r="45833" spans="16:16">
      <c r="P45833" s="2498"/>
    </row>
    <row r="45834" spans="16:16">
      <c r="P45834" s="2498"/>
    </row>
    <row r="45835" spans="16:16">
      <c r="P45835" s="2498"/>
    </row>
    <row r="45836" spans="16:16">
      <c r="P45836" s="2498"/>
    </row>
    <row r="45837" spans="16:16">
      <c r="P45837" s="2498"/>
    </row>
    <row r="45838" spans="16:16">
      <c r="P45838" s="2498"/>
    </row>
    <row r="45839" spans="16:16">
      <c r="P45839" s="2498"/>
    </row>
    <row r="45840" spans="16:16">
      <c r="P45840" s="2498"/>
    </row>
    <row r="45841" spans="16:16">
      <c r="P45841" s="2498"/>
    </row>
    <row r="45842" spans="16:16">
      <c r="P45842" s="2498"/>
    </row>
    <row r="45843" spans="16:16">
      <c r="P45843" s="2498"/>
    </row>
    <row r="45844" spans="16:16">
      <c r="P45844" s="2498"/>
    </row>
    <row r="45845" spans="16:16">
      <c r="P45845" s="2498"/>
    </row>
    <row r="45846" spans="16:16">
      <c r="P45846" s="2498"/>
    </row>
    <row r="45847" spans="16:16">
      <c r="P45847" s="2498"/>
    </row>
    <row r="45848" spans="16:16">
      <c r="P45848" s="2498"/>
    </row>
    <row r="45849" spans="16:16">
      <c r="P45849" s="2498"/>
    </row>
    <row r="45850" spans="16:16">
      <c r="P45850" s="2498"/>
    </row>
    <row r="45851" spans="16:16">
      <c r="P45851" s="2498"/>
    </row>
    <row r="45852" spans="16:16">
      <c r="P45852" s="2498"/>
    </row>
    <row r="45853" spans="16:16">
      <c r="P45853" s="2498"/>
    </row>
    <row r="45854" spans="16:16">
      <c r="P45854" s="2498"/>
    </row>
    <row r="45855" spans="16:16">
      <c r="P45855" s="2498"/>
    </row>
    <row r="45856" spans="16:16">
      <c r="P45856" s="2498"/>
    </row>
    <row r="45857" spans="16:16">
      <c r="P45857" s="2498"/>
    </row>
    <row r="45858" spans="16:16">
      <c r="P45858" s="2498"/>
    </row>
    <row r="45859" spans="16:16">
      <c r="P45859" s="2498"/>
    </row>
    <row r="45860" spans="16:16">
      <c r="P45860" s="2498"/>
    </row>
    <row r="45861" spans="16:16">
      <c r="P45861" s="2498"/>
    </row>
    <row r="45862" spans="16:16">
      <c r="P45862" s="2498"/>
    </row>
    <row r="45863" spans="16:16">
      <c r="P45863" s="2498"/>
    </row>
    <row r="45864" spans="16:16">
      <c r="P45864" s="2498"/>
    </row>
    <row r="45865" spans="16:16">
      <c r="P45865" s="2498"/>
    </row>
    <row r="45866" spans="16:16">
      <c r="P45866" s="2498"/>
    </row>
    <row r="45867" spans="16:16">
      <c r="P45867" s="2498"/>
    </row>
    <row r="45868" spans="16:16">
      <c r="P45868" s="2498"/>
    </row>
    <row r="45869" spans="16:16">
      <c r="P45869" s="2498"/>
    </row>
    <row r="45870" spans="16:16">
      <c r="P45870" s="2498"/>
    </row>
    <row r="45871" spans="16:16">
      <c r="P45871" s="2498"/>
    </row>
    <row r="45872" spans="16:16">
      <c r="P45872" s="2498"/>
    </row>
    <row r="45873" spans="16:16">
      <c r="P45873" s="2498"/>
    </row>
    <row r="45874" spans="16:16">
      <c r="P45874" s="2498"/>
    </row>
    <row r="45875" spans="16:16">
      <c r="P45875" s="2498"/>
    </row>
    <row r="45876" spans="16:16">
      <c r="P45876" s="2498"/>
    </row>
    <row r="45877" spans="16:16">
      <c r="P45877" s="2498"/>
    </row>
    <row r="45878" spans="16:16">
      <c r="P45878" s="2498"/>
    </row>
    <row r="45879" spans="16:16">
      <c r="P45879" s="2498"/>
    </row>
    <row r="45880" spans="16:16">
      <c r="P45880" s="2498"/>
    </row>
    <row r="45881" spans="16:16">
      <c r="P45881" s="2498"/>
    </row>
    <row r="45882" spans="16:16">
      <c r="P45882" s="2498"/>
    </row>
    <row r="45883" spans="16:16">
      <c r="P45883" s="2498"/>
    </row>
    <row r="45884" spans="16:16">
      <c r="P45884" s="2498"/>
    </row>
    <row r="45885" spans="16:16">
      <c r="P45885" s="2498"/>
    </row>
    <row r="45886" spans="16:16">
      <c r="P45886" s="2498"/>
    </row>
    <row r="45887" spans="16:16">
      <c r="P45887" s="2498"/>
    </row>
    <row r="45888" spans="16:16">
      <c r="P45888" s="2498"/>
    </row>
    <row r="45889" spans="16:16">
      <c r="P45889" s="2498"/>
    </row>
    <row r="45890" spans="16:16">
      <c r="P45890" s="2498"/>
    </row>
    <row r="45891" spans="16:16">
      <c r="P45891" s="2498"/>
    </row>
    <row r="45892" spans="16:16">
      <c r="P45892" s="2498"/>
    </row>
    <row r="45893" spans="16:16">
      <c r="P45893" s="2498"/>
    </row>
    <row r="45894" spans="16:16">
      <c r="P45894" s="2498"/>
    </row>
    <row r="45895" spans="16:16">
      <c r="P45895" s="2498"/>
    </row>
    <row r="45896" spans="16:16">
      <c r="P45896" s="2498"/>
    </row>
    <row r="45897" spans="16:16">
      <c r="P45897" s="2498"/>
    </row>
    <row r="45898" spans="16:16">
      <c r="P45898" s="2498"/>
    </row>
    <row r="45899" spans="16:16">
      <c r="P45899" s="2498"/>
    </row>
    <row r="45900" spans="16:16">
      <c r="P45900" s="2498"/>
    </row>
    <row r="45901" spans="16:16">
      <c r="P45901" s="2498"/>
    </row>
    <row r="45902" spans="16:16">
      <c r="P45902" s="2498"/>
    </row>
    <row r="45903" spans="16:16">
      <c r="P45903" s="2498"/>
    </row>
    <row r="45904" spans="16:16">
      <c r="P45904" s="2498"/>
    </row>
    <row r="45905" spans="16:16">
      <c r="P45905" s="2498"/>
    </row>
    <row r="45906" spans="16:16">
      <c r="P45906" s="2498"/>
    </row>
    <row r="45907" spans="16:16">
      <c r="P45907" s="2498"/>
    </row>
    <row r="45908" spans="16:16">
      <c r="P45908" s="2498"/>
    </row>
    <row r="45909" spans="16:16">
      <c r="P45909" s="2498"/>
    </row>
    <row r="45910" spans="16:16">
      <c r="P45910" s="2498"/>
    </row>
    <row r="45911" spans="16:16">
      <c r="P45911" s="2498"/>
    </row>
    <row r="45912" spans="16:16">
      <c r="P45912" s="2498"/>
    </row>
    <row r="45913" spans="16:16">
      <c r="P45913" s="2498"/>
    </row>
    <row r="45914" spans="16:16">
      <c r="P45914" s="2498"/>
    </row>
    <row r="45915" spans="16:16">
      <c r="P45915" s="2498"/>
    </row>
    <row r="45916" spans="16:16">
      <c r="P45916" s="2498"/>
    </row>
    <row r="45917" spans="16:16">
      <c r="P45917" s="2498"/>
    </row>
    <row r="45918" spans="16:16">
      <c r="P45918" s="2498"/>
    </row>
    <row r="45919" spans="16:16">
      <c r="P45919" s="2498"/>
    </row>
    <row r="45920" spans="16:16">
      <c r="P45920" s="2498"/>
    </row>
    <row r="45921" spans="16:16">
      <c r="P45921" s="2498"/>
    </row>
    <row r="45922" spans="16:16">
      <c r="P45922" s="2498"/>
    </row>
    <row r="45923" spans="16:16">
      <c r="P45923" s="2498"/>
    </row>
    <row r="45924" spans="16:16">
      <c r="P45924" s="2498"/>
    </row>
    <row r="45925" spans="16:16">
      <c r="P45925" s="2498"/>
    </row>
    <row r="45926" spans="16:16">
      <c r="P45926" s="2498"/>
    </row>
    <row r="45927" spans="16:16">
      <c r="P45927" s="2498"/>
    </row>
    <row r="45928" spans="16:16">
      <c r="P45928" s="2498"/>
    </row>
    <row r="45929" spans="16:16">
      <c r="P45929" s="2498"/>
    </row>
    <row r="45930" spans="16:16">
      <c r="P45930" s="2498"/>
    </row>
    <row r="45931" spans="16:16">
      <c r="P45931" s="2498"/>
    </row>
    <row r="45932" spans="16:16">
      <c r="P45932" s="2498"/>
    </row>
    <row r="45933" spans="16:16">
      <c r="P45933" s="2498"/>
    </row>
    <row r="45934" spans="16:16">
      <c r="P45934" s="2498"/>
    </row>
    <row r="45935" spans="16:16">
      <c r="P45935" s="2498"/>
    </row>
    <row r="45936" spans="16:16">
      <c r="P45936" s="2498"/>
    </row>
    <row r="45937" spans="16:16">
      <c r="P45937" s="2498"/>
    </row>
    <row r="45938" spans="16:16">
      <c r="P45938" s="2498"/>
    </row>
    <row r="45939" spans="16:16">
      <c r="P45939" s="2498"/>
    </row>
    <row r="45940" spans="16:16">
      <c r="P45940" s="2498"/>
    </row>
    <row r="45941" spans="16:16">
      <c r="P45941" s="2498"/>
    </row>
    <row r="45942" spans="16:16">
      <c r="P45942" s="2498"/>
    </row>
    <row r="45943" spans="16:16">
      <c r="P45943" s="2498"/>
    </row>
    <row r="45944" spans="16:16">
      <c r="P45944" s="2498"/>
    </row>
    <row r="45945" spans="16:16">
      <c r="P45945" s="2498"/>
    </row>
    <row r="45946" spans="16:16">
      <c r="P45946" s="2498"/>
    </row>
    <row r="45947" spans="16:16">
      <c r="P45947" s="2498"/>
    </row>
    <row r="45948" spans="16:16">
      <c r="P45948" s="2498"/>
    </row>
    <row r="45949" spans="16:16">
      <c r="P45949" s="2498"/>
    </row>
    <row r="45950" spans="16:16">
      <c r="P45950" s="2498"/>
    </row>
    <row r="45951" spans="16:16">
      <c r="P45951" s="2498"/>
    </row>
    <row r="45952" spans="16:16">
      <c r="P45952" s="2498"/>
    </row>
    <row r="45953" spans="16:16">
      <c r="P45953" s="2498"/>
    </row>
    <row r="45954" spans="16:16">
      <c r="P45954" s="2498"/>
    </row>
    <row r="45955" spans="16:16">
      <c r="P45955" s="2498"/>
    </row>
    <row r="45956" spans="16:16">
      <c r="P45956" s="2498"/>
    </row>
    <row r="45957" spans="16:16">
      <c r="P45957" s="2498"/>
    </row>
    <row r="45958" spans="16:16">
      <c r="P45958" s="2498"/>
    </row>
    <row r="45959" spans="16:16">
      <c r="P45959" s="2498"/>
    </row>
    <row r="45960" spans="16:16">
      <c r="P45960" s="2498"/>
    </row>
    <row r="45961" spans="16:16">
      <c r="P45961" s="2498"/>
    </row>
    <row r="45962" spans="16:16">
      <c r="P45962" s="2498"/>
    </row>
    <row r="45963" spans="16:16">
      <c r="P45963" s="2498"/>
    </row>
    <row r="45964" spans="16:16">
      <c r="P45964" s="2498"/>
    </row>
    <row r="45965" spans="16:16">
      <c r="P45965" s="2498"/>
    </row>
    <row r="45966" spans="16:16">
      <c r="P45966" s="2498"/>
    </row>
    <row r="45967" spans="16:16">
      <c r="P45967" s="2498"/>
    </row>
    <row r="45968" spans="16:16">
      <c r="P45968" s="2498"/>
    </row>
    <row r="45969" spans="16:16">
      <c r="P45969" s="2498"/>
    </row>
    <row r="45970" spans="16:16">
      <c r="P45970" s="2498"/>
    </row>
    <row r="45971" spans="16:16">
      <c r="P45971" s="2498"/>
    </row>
    <row r="45972" spans="16:16">
      <c r="P45972" s="2498"/>
    </row>
    <row r="45973" spans="16:16">
      <c r="P45973" s="2498"/>
    </row>
    <row r="45974" spans="16:16">
      <c r="P45974" s="2498"/>
    </row>
    <row r="45975" spans="16:16">
      <c r="P45975" s="2498"/>
    </row>
    <row r="45976" spans="16:16">
      <c r="P45976" s="2498"/>
    </row>
    <row r="45977" spans="16:16">
      <c r="P45977" s="2498"/>
    </row>
    <row r="45978" spans="16:16">
      <c r="P45978" s="2498"/>
    </row>
    <row r="45979" spans="16:16">
      <c r="P45979" s="2498"/>
    </row>
    <row r="45980" spans="16:16">
      <c r="P45980" s="2498"/>
    </row>
    <row r="45981" spans="16:16">
      <c r="P45981" s="2498"/>
    </row>
    <row r="45982" spans="16:16">
      <c r="P45982" s="2498"/>
    </row>
    <row r="45983" spans="16:16">
      <c r="P45983" s="2498"/>
    </row>
    <row r="45984" spans="16:16">
      <c r="P45984" s="2498"/>
    </row>
    <row r="45985" spans="16:16">
      <c r="P45985" s="2498"/>
    </row>
    <row r="45986" spans="16:16">
      <c r="P45986" s="2498"/>
    </row>
    <row r="45987" spans="16:16">
      <c r="P45987" s="2498"/>
    </row>
    <row r="45988" spans="16:16">
      <c r="P45988" s="2498"/>
    </row>
    <row r="45989" spans="16:16">
      <c r="P45989" s="2498"/>
    </row>
    <row r="45990" spans="16:16">
      <c r="P45990" s="2498"/>
    </row>
    <row r="45991" spans="16:16">
      <c r="P45991" s="2498"/>
    </row>
    <row r="45992" spans="16:16">
      <c r="P45992" s="2498"/>
    </row>
    <row r="45993" spans="16:16">
      <c r="P45993" s="2498"/>
    </row>
    <row r="45994" spans="16:16">
      <c r="P45994" s="2498"/>
    </row>
    <row r="45995" spans="16:16">
      <c r="P45995" s="2498"/>
    </row>
    <row r="45996" spans="16:16">
      <c r="P45996" s="2498"/>
    </row>
    <row r="45997" spans="16:16">
      <c r="P45997" s="2498"/>
    </row>
    <row r="45998" spans="16:16">
      <c r="P45998" s="2498"/>
    </row>
    <row r="45999" spans="16:16">
      <c r="P45999" s="2498"/>
    </row>
    <row r="46000" spans="16:16">
      <c r="P46000" s="2498"/>
    </row>
    <row r="46001" spans="16:16">
      <c r="P46001" s="2498"/>
    </row>
    <row r="46002" spans="16:16">
      <c r="P46002" s="2498"/>
    </row>
    <row r="46003" spans="16:16">
      <c r="P46003" s="2498"/>
    </row>
    <row r="46004" spans="16:16">
      <c r="P46004" s="2498"/>
    </row>
    <row r="46005" spans="16:16">
      <c r="P46005" s="2498"/>
    </row>
    <row r="46006" spans="16:16">
      <c r="P46006" s="2498"/>
    </row>
    <row r="46007" spans="16:16">
      <c r="P46007" s="2498"/>
    </row>
    <row r="46008" spans="16:16">
      <c r="P46008" s="2498"/>
    </row>
    <row r="46009" spans="16:16">
      <c r="P46009" s="2498"/>
    </row>
    <row r="46010" spans="16:16">
      <c r="P46010" s="2498"/>
    </row>
    <row r="46011" spans="16:16">
      <c r="P46011" s="2498"/>
    </row>
    <row r="46012" spans="16:16">
      <c r="P46012" s="2498"/>
    </row>
    <row r="46013" spans="16:16">
      <c r="P46013" s="2498"/>
    </row>
    <row r="46014" spans="16:16">
      <c r="P46014" s="2498"/>
    </row>
    <row r="46015" spans="16:16">
      <c r="P46015" s="2498"/>
    </row>
    <row r="46016" spans="16:16">
      <c r="P46016" s="2498"/>
    </row>
    <row r="46017" spans="16:16">
      <c r="P46017" s="2498"/>
    </row>
    <row r="46018" spans="16:16">
      <c r="P46018" s="2498"/>
    </row>
    <row r="46019" spans="16:16">
      <c r="P46019" s="2498"/>
    </row>
    <row r="46020" spans="16:16">
      <c r="P46020" s="2498"/>
    </row>
    <row r="46021" spans="16:16">
      <c r="P46021" s="2498"/>
    </row>
    <row r="46022" spans="16:16">
      <c r="P46022" s="2498"/>
    </row>
    <row r="46023" spans="16:16">
      <c r="P46023" s="2498"/>
    </row>
    <row r="46024" spans="16:16">
      <c r="P46024" s="2498"/>
    </row>
    <row r="46025" spans="16:16">
      <c r="P46025" s="2498"/>
    </row>
    <row r="46026" spans="16:16">
      <c r="P46026" s="2498"/>
    </row>
    <row r="46027" spans="16:16">
      <c r="P46027" s="2498"/>
    </row>
    <row r="46028" spans="16:16">
      <c r="P46028" s="2498"/>
    </row>
    <row r="46029" spans="16:16">
      <c r="P46029" s="2498"/>
    </row>
    <row r="46030" spans="16:16">
      <c r="P46030" s="2498"/>
    </row>
    <row r="46031" spans="16:16">
      <c r="P46031" s="2498"/>
    </row>
    <row r="46032" spans="16:16">
      <c r="P46032" s="2498"/>
    </row>
    <row r="46033" spans="16:16">
      <c r="P46033" s="2498"/>
    </row>
    <row r="46034" spans="16:16">
      <c r="P46034" s="2498"/>
    </row>
    <row r="46035" spans="16:16">
      <c r="P46035" s="2498"/>
    </row>
    <row r="46036" spans="16:16">
      <c r="P46036" s="2498"/>
    </row>
    <row r="46037" spans="16:16">
      <c r="P46037" s="2498"/>
    </row>
    <row r="46038" spans="16:16">
      <c r="P46038" s="2498"/>
    </row>
    <row r="46039" spans="16:16">
      <c r="P46039" s="2498"/>
    </row>
    <row r="46040" spans="16:16">
      <c r="P46040" s="2498"/>
    </row>
    <row r="46041" spans="16:16">
      <c r="P46041" s="2498"/>
    </row>
    <row r="46042" spans="16:16">
      <c r="P46042" s="2498"/>
    </row>
    <row r="46043" spans="16:16">
      <c r="P46043" s="2498"/>
    </row>
    <row r="46044" spans="16:16">
      <c r="P46044" s="2498"/>
    </row>
    <row r="46045" spans="16:16">
      <c r="P46045" s="2498"/>
    </row>
    <row r="46046" spans="16:16">
      <c r="P46046" s="2498"/>
    </row>
    <row r="46047" spans="16:16">
      <c r="P46047" s="2498"/>
    </row>
    <row r="46048" spans="16:16">
      <c r="P46048" s="2498"/>
    </row>
    <row r="46049" spans="16:16">
      <c r="P46049" s="2498"/>
    </row>
    <row r="46050" spans="16:16">
      <c r="P46050" s="2498"/>
    </row>
    <row r="46051" spans="16:16">
      <c r="P46051" s="2498"/>
    </row>
    <row r="46052" spans="16:16">
      <c r="P46052" s="2498"/>
    </row>
    <row r="46053" spans="16:16">
      <c r="P46053" s="2498"/>
    </row>
    <row r="46054" spans="16:16">
      <c r="P46054" s="2498"/>
    </row>
    <row r="46055" spans="16:16">
      <c r="P46055" s="2498"/>
    </row>
    <row r="46056" spans="16:16">
      <c r="P46056" s="2498"/>
    </row>
    <row r="46057" spans="16:16">
      <c r="P46057" s="2498"/>
    </row>
    <row r="46058" spans="16:16">
      <c r="P46058" s="2498"/>
    </row>
    <row r="46059" spans="16:16">
      <c r="P46059" s="2498"/>
    </row>
    <row r="46060" spans="16:16">
      <c r="P46060" s="2498"/>
    </row>
    <row r="46061" spans="16:16">
      <c r="P46061" s="2498"/>
    </row>
    <row r="46062" spans="16:16">
      <c r="P46062" s="2498"/>
    </row>
    <row r="46063" spans="16:16">
      <c r="P46063" s="2498"/>
    </row>
    <row r="46064" spans="16:16">
      <c r="P46064" s="2498"/>
    </row>
    <row r="46065" spans="16:16">
      <c r="P46065" s="2498"/>
    </row>
    <row r="46066" spans="16:16">
      <c r="P46066" s="2498"/>
    </row>
    <row r="46067" spans="16:16">
      <c r="P46067" s="2498"/>
    </row>
    <row r="46068" spans="16:16">
      <c r="P46068" s="2498"/>
    </row>
    <row r="46069" spans="16:16">
      <c r="P46069" s="2498"/>
    </row>
    <row r="46070" spans="16:16">
      <c r="P46070" s="2498"/>
    </row>
    <row r="46071" spans="16:16">
      <c r="P46071" s="2498"/>
    </row>
    <row r="46072" spans="16:16">
      <c r="P46072" s="2498"/>
    </row>
    <row r="46073" spans="16:16">
      <c r="P46073" s="2498"/>
    </row>
    <row r="46074" spans="16:16">
      <c r="P46074" s="2498"/>
    </row>
    <row r="46075" spans="16:16">
      <c r="P46075" s="2498"/>
    </row>
    <row r="46076" spans="16:16">
      <c r="P46076" s="2498"/>
    </row>
    <row r="46077" spans="16:16">
      <c r="P46077" s="2498"/>
    </row>
    <row r="46078" spans="16:16">
      <c r="P46078" s="2498"/>
    </row>
    <row r="46079" spans="16:16">
      <c r="P46079" s="2498"/>
    </row>
    <row r="46080" spans="16:16">
      <c r="P46080" s="2498"/>
    </row>
    <row r="46081" spans="16:16">
      <c r="P46081" s="2498"/>
    </row>
    <row r="46082" spans="16:16">
      <c r="P46082" s="2498"/>
    </row>
    <row r="46083" spans="16:16">
      <c r="P46083" s="2498"/>
    </row>
    <row r="46084" spans="16:16">
      <c r="P46084" s="2498"/>
    </row>
    <row r="46085" spans="16:16">
      <c r="P46085" s="2498"/>
    </row>
    <row r="46086" spans="16:16">
      <c r="P46086" s="2498"/>
    </row>
    <row r="46087" spans="16:16">
      <c r="P46087" s="2498"/>
    </row>
    <row r="46088" spans="16:16">
      <c r="P46088" s="2498"/>
    </row>
    <row r="46089" spans="16:16">
      <c r="P46089" s="2498"/>
    </row>
    <row r="46090" spans="16:16">
      <c r="P46090" s="2498"/>
    </row>
    <row r="46091" spans="16:16">
      <c r="P46091" s="2498"/>
    </row>
    <row r="46092" spans="16:16">
      <c r="P46092" s="2498"/>
    </row>
    <row r="46093" spans="16:16">
      <c r="P46093" s="2498"/>
    </row>
    <row r="46094" spans="16:16">
      <c r="P46094" s="2498"/>
    </row>
    <row r="46095" spans="16:16">
      <c r="P46095" s="2498"/>
    </row>
    <row r="46096" spans="16:16">
      <c r="P46096" s="2498"/>
    </row>
    <row r="46097" spans="16:16">
      <c r="P46097" s="2498"/>
    </row>
    <row r="46098" spans="16:16">
      <c r="P46098" s="2498"/>
    </row>
    <row r="46099" spans="16:16">
      <c r="P46099" s="2498"/>
    </row>
    <row r="46100" spans="16:16">
      <c r="P46100" s="2498"/>
    </row>
    <row r="46101" spans="16:16">
      <c r="P46101" s="2498"/>
    </row>
    <row r="46102" spans="16:16">
      <c r="P46102" s="2498"/>
    </row>
    <row r="46103" spans="16:16">
      <c r="P46103" s="2498"/>
    </row>
    <row r="46104" spans="16:16">
      <c r="P46104" s="2498"/>
    </row>
    <row r="46105" spans="16:16">
      <c r="P46105" s="2498"/>
    </row>
    <row r="46106" spans="16:16">
      <c r="P46106" s="2498"/>
    </row>
    <row r="46107" spans="16:16">
      <c r="P46107" s="2498"/>
    </row>
    <row r="46108" spans="16:16">
      <c r="P46108" s="2498"/>
    </row>
    <row r="46109" spans="16:16">
      <c r="P46109" s="2498"/>
    </row>
    <row r="46110" spans="16:16">
      <c r="P46110" s="2498"/>
    </row>
    <row r="46111" spans="16:16">
      <c r="P46111" s="2498"/>
    </row>
    <row r="46112" spans="16:16">
      <c r="P46112" s="2498"/>
    </row>
    <row r="46113" spans="16:16">
      <c r="P46113" s="2498"/>
    </row>
    <row r="46114" spans="16:16">
      <c r="P46114" s="2498"/>
    </row>
    <row r="46115" spans="16:16">
      <c r="P46115" s="2498"/>
    </row>
    <row r="46116" spans="16:16">
      <c r="P46116" s="2498"/>
    </row>
    <row r="46117" spans="16:16">
      <c r="P46117" s="2498"/>
    </row>
    <row r="46118" spans="16:16">
      <c r="P46118" s="2498"/>
    </row>
    <row r="46119" spans="16:16">
      <c r="P46119" s="2498"/>
    </row>
    <row r="46120" spans="16:16">
      <c r="P46120" s="2498"/>
    </row>
    <row r="46121" spans="16:16">
      <c r="P46121" s="2498"/>
    </row>
    <row r="46122" spans="16:16">
      <c r="P46122" s="2498"/>
    </row>
    <row r="46123" spans="16:16">
      <c r="P46123" s="2498"/>
    </row>
    <row r="46124" spans="16:16">
      <c r="P46124" s="2498"/>
    </row>
    <row r="46125" spans="16:16">
      <c r="P46125" s="2498"/>
    </row>
    <row r="46126" spans="16:16">
      <c r="P46126" s="2498"/>
    </row>
    <row r="46127" spans="16:16">
      <c r="P46127" s="2498"/>
    </row>
    <row r="46128" spans="16:16">
      <c r="P46128" s="2498"/>
    </row>
    <row r="46129" spans="16:16">
      <c r="P46129" s="2498"/>
    </row>
    <row r="46130" spans="16:16">
      <c r="P46130" s="2498"/>
    </row>
    <row r="46131" spans="16:16">
      <c r="P46131" s="2498"/>
    </row>
    <row r="46132" spans="16:16">
      <c r="P46132" s="2498"/>
    </row>
    <row r="46133" spans="16:16">
      <c r="P46133" s="2498"/>
    </row>
    <row r="46134" spans="16:16">
      <c r="P46134" s="2498"/>
    </row>
    <row r="46135" spans="16:16">
      <c r="P46135" s="2498"/>
    </row>
    <row r="46136" spans="16:16">
      <c r="P46136" s="2498"/>
    </row>
    <row r="46137" spans="16:16">
      <c r="P46137" s="2498"/>
    </row>
    <row r="46138" spans="16:16">
      <c r="P46138" s="2498"/>
    </row>
    <row r="46139" spans="16:16">
      <c r="P46139" s="2498"/>
    </row>
    <row r="46140" spans="16:16">
      <c r="P46140" s="2498"/>
    </row>
    <row r="46141" spans="16:16">
      <c r="P46141" s="2498"/>
    </row>
    <row r="46142" spans="16:16">
      <c r="P46142" s="2498"/>
    </row>
    <row r="46143" spans="16:16">
      <c r="P46143" s="2498"/>
    </row>
    <row r="46144" spans="16:16">
      <c r="P46144" s="2498"/>
    </row>
    <row r="46145" spans="16:16">
      <c r="P46145" s="2498"/>
    </row>
    <row r="46146" spans="16:16">
      <c r="P46146" s="2498"/>
    </row>
    <row r="46147" spans="16:16">
      <c r="P46147" s="2498"/>
    </row>
    <row r="46148" spans="16:16">
      <c r="P46148" s="2498"/>
    </row>
    <row r="46149" spans="16:16">
      <c r="P46149" s="2498"/>
    </row>
    <row r="46150" spans="16:16">
      <c r="P46150" s="2498"/>
    </row>
    <row r="46151" spans="16:16">
      <c r="P46151" s="2498"/>
    </row>
    <row r="46152" spans="16:16">
      <c r="P46152" s="2498"/>
    </row>
    <row r="46153" spans="16:16">
      <c r="P46153" s="2498"/>
    </row>
    <row r="46154" spans="16:16">
      <c r="P46154" s="2498"/>
    </row>
    <row r="46155" spans="16:16">
      <c r="P46155" s="2498"/>
    </row>
    <row r="46156" spans="16:16">
      <c r="P46156" s="2498"/>
    </row>
    <row r="46157" spans="16:16">
      <c r="P46157" s="2498"/>
    </row>
    <row r="46158" spans="16:16">
      <c r="P46158" s="2498"/>
    </row>
    <row r="46159" spans="16:16">
      <c r="P46159" s="2498"/>
    </row>
    <row r="46160" spans="16:16">
      <c r="P46160" s="2498"/>
    </row>
    <row r="46161" spans="16:16">
      <c r="P46161" s="2498"/>
    </row>
    <row r="46162" spans="16:16">
      <c r="P46162" s="2498"/>
    </row>
    <row r="46163" spans="16:16">
      <c r="P46163" s="2498"/>
    </row>
    <row r="46164" spans="16:16">
      <c r="P46164" s="2498"/>
    </row>
    <row r="46165" spans="16:16">
      <c r="P46165" s="2498"/>
    </row>
    <row r="46166" spans="16:16">
      <c r="P46166" s="2498"/>
    </row>
    <row r="46167" spans="16:16">
      <c r="P46167" s="2498"/>
    </row>
    <row r="46168" spans="16:16">
      <c r="P46168" s="2498"/>
    </row>
    <row r="46169" spans="16:16">
      <c r="P46169" s="2498"/>
    </row>
    <row r="46170" spans="16:16">
      <c r="P46170" s="2498"/>
    </row>
    <row r="46171" spans="16:16">
      <c r="P46171" s="2498"/>
    </row>
    <row r="46172" spans="16:16">
      <c r="P46172" s="2498"/>
    </row>
    <row r="46173" spans="16:16">
      <c r="P46173" s="2498"/>
    </row>
    <row r="46174" spans="16:16">
      <c r="P46174" s="2498"/>
    </row>
    <row r="46175" spans="16:16">
      <c r="P46175" s="2498"/>
    </row>
    <row r="46176" spans="16:16">
      <c r="P46176" s="2498"/>
    </row>
    <row r="46177" spans="16:16">
      <c r="P46177" s="2498"/>
    </row>
    <row r="46178" spans="16:16">
      <c r="P46178" s="2498"/>
    </row>
    <row r="46179" spans="16:16">
      <c r="P46179" s="2498"/>
    </row>
    <row r="46180" spans="16:16">
      <c r="P46180" s="2498"/>
    </row>
    <row r="46181" spans="16:16">
      <c r="P46181" s="2498"/>
    </row>
    <row r="46182" spans="16:16">
      <c r="P46182" s="2498"/>
    </row>
    <row r="46183" spans="16:16">
      <c r="P46183" s="2498"/>
    </row>
    <row r="46184" spans="16:16">
      <c r="P46184" s="2498"/>
    </row>
    <row r="46185" spans="16:16">
      <c r="P46185" s="2498"/>
    </row>
    <row r="46186" spans="16:16">
      <c r="P46186" s="2498"/>
    </row>
    <row r="46187" spans="16:16">
      <c r="P46187" s="2498"/>
    </row>
    <row r="46188" spans="16:16">
      <c r="P46188" s="2498"/>
    </row>
    <row r="46189" spans="16:16">
      <c r="P46189" s="2498"/>
    </row>
    <row r="46190" spans="16:16">
      <c r="P46190" s="2498"/>
    </row>
    <row r="46191" spans="16:16">
      <c r="P46191" s="2498"/>
    </row>
    <row r="46192" spans="16:16">
      <c r="P46192" s="2498"/>
    </row>
    <row r="46193" spans="16:16">
      <c r="P46193" s="2498"/>
    </row>
    <row r="46194" spans="16:16">
      <c r="P46194" s="2498"/>
    </row>
    <row r="46195" spans="16:16">
      <c r="P46195" s="2498"/>
    </row>
    <row r="46196" spans="16:16">
      <c r="P46196" s="2498"/>
    </row>
    <row r="46197" spans="16:16">
      <c r="P46197" s="2498"/>
    </row>
    <row r="46198" spans="16:16">
      <c r="P46198" s="2498"/>
    </row>
    <row r="46199" spans="16:16">
      <c r="P46199" s="2498"/>
    </row>
    <row r="46200" spans="16:16">
      <c r="P46200" s="2498"/>
    </row>
    <row r="46201" spans="16:16">
      <c r="P46201" s="2498"/>
    </row>
    <row r="46202" spans="16:16">
      <c r="P46202" s="2498"/>
    </row>
    <row r="46203" spans="16:16">
      <c r="P46203" s="2498"/>
    </row>
    <row r="46204" spans="16:16">
      <c r="P46204" s="2498"/>
    </row>
    <row r="46205" spans="16:16">
      <c r="P46205" s="2498"/>
    </row>
    <row r="46206" spans="16:16">
      <c r="P46206" s="2498"/>
    </row>
    <row r="46207" spans="16:16">
      <c r="P46207" s="2498"/>
    </row>
    <row r="46208" spans="16:16">
      <c r="P46208" s="2498"/>
    </row>
    <row r="46209" spans="16:16">
      <c r="P46209" s="2498"/>
    </row>
    <row r="46210" spans="16:16">
      <c r="P46210" s="2498"/>
    </row>
    <row r="46211" spans="16:16">
      <c r="P46211" s="2498"/>
    </row>
    <row r="46212" spans="16:16">
      <c r="P46212" s="2498"/>
    </row>
    <row r="46213" spans="16:16">
      <c r="P46213" s="2498"/>
    </row>
    <row r="46214" spans="16:16">
      <c r="P46214" s="2498"/>
    </row>
    <row r="46215" spans="16:16">
      <c r="P46215" s="2498"/>
    </row>
    <row r="46216" spans="16:16">
      <c r="P46216" s="2498"/>
    </row>
    <row r="46217" spans="16:16">
      <c r="P46217" s="2498"/>
    </row>
    <row r="46218" spans="16:16">
      <c r="P46218" s="2498"/>
    </row>
    <row r="46219" spans="16:16">
      <c r="P46219" s="2498"/>
    </row>
    <row r="46220" spans="16:16">
      <c r="P46220" s="2498"/>
    </row>
    <row r="46221" spans="16:16">
      <c r="P46221" s="2498"/>
    </row>
    <row r="46222" spans="16:16">
      <c r="P46222" s="2498"/>
    </row>
    <row r="46223" spans="16:16">
      <c r="P46223" s="2498"/>
    </row>
    <row r="46224" spans="16:16">
      <c r="P46224" s="2498"/>
    </row>
    <row r="46225" spans="16:16">
      <c r="P46225" s="2498"/>
    </row>
    <row r="46226" spans="16:16">
      <c r="P46226" s="2498"/>
    </row>
    <row r="46227" spans="16:16">
      <c r="P46227" s="2498"/>
    </row>
    <row r="46228" spans="16:16">
      <c r="P46228" s="2498"/>
    </row>
    <row r="46229" spans="16:16">
      <c r="P46229" s="2498"/>
    </row>
    <row r="46230" spans="16:16">
      <c r="P46230" s="2498"/>
    </row>
    <row r="46231" spans="16:16">
      <c r="P46231" s="2498"/>
    </row>
    <row r="46232" spans="16:16">
      <c r="P46232" s="2498"/>
    </row>
    <row r="46233" spans="16:16">
      <c r="P46233" s="2498"/>
    </row>
    <row r="46234" spans="16:16">
      <c r="P46234" s="2498"/>
    </row>
    <row r="46235" spans="16:16">
      <c r="P46235" s="2498"/>
    </row>
    <row r="46236" spans="16:16">
      <c r="P46236" s="2498"/>
    </row>
    <row r="46237" spans="16:16">
      <c r="P46237" s="2498"/>
    </row>
    <row r="46238" spans="16:16">
      <c r="P46238" s="2498"/>
    </row>
    <row r="46239" spans="16:16">
      <c r="P46239" s="2498"/>
    </row>
    <row r="46240" spans="16:16">
      <c r="P46240" s="2498"/>
    </row>
    <row r="46241" spans="16:16">
      <c r="P46241" s="2498"/>
    </row>
    <row r="46242" spans="16:16">
      <c r="P46242" s="2498"/>
    </row>
    <row r="46243" spans="16:16">
      <c r="P46243" s="2498"/>
    </row>
    <row r="46244" spans="16:16">
      <c r="P46244" s="2498"/>
    </row>
    <row r="46245" spans="16:16">
      <c r="P46245" s="2498"/>
    </row>
    <row r="46246" spans="16:16">
      <c r="P46246" s="2498"/>
    </row>
    <row r="46247" spans="16:16">
      <c r="P46247" s="2498"/>
    </row>
    <row r="46248" spans="16:16">
      <c r="P46248" s="2498"/>
    </row>
    <row r="46249" spans="16:16">
      <c r="P46249" s="2498"/>
    </row>
    <row r="46250" spans="16:16">
      <c r="P46250" s="2498"/>
    </row>
    <row r="46251" spans="16:16">
      <c r="P46251" s="2498"/>
    </row>
    <row r="46252" spans="16:16">
      <c r="P46252" s="2498"/>
    </row>
    <row r="46253" spans="16:16">
      <c r="P46253" s="2498"/>
    </row>
    <row r="46254" spans="16:16">
      <c r="P46254" s="2498"/>
    </row>
    <row r="46255" spans="16:16">
      <c r="P46255" s="2498"/>
    </row>
    <row r="46256" spans="16:16">
      <c r="P46256" s="2498"/>
    </row>
    <row r="46257" spans="16:16">
      <c r="P46257" s="2498"/>
    </row>
    <row r="46258" spans="16:16">
      <c r="P46258" s="2498"/>
    </row>
    <row r="46259" spans="16:16">
      <c r="P46259" s="2498"/>
    </row>
    <row r="46260" spans="16:16">
      <c r="P46260" s="2498"/>
    </row>
    <row r="46261" spans="16:16">
      <c r="P46261" s="2498"/>
    </row>
    <row r="46262" spans="16:16">
      <c r="P46262" s="2498"/>
    </row>
    <row r="46263" spans="16:16">
      <c r="P46263" s="2498"/>
    </row>
    <row r="46264" spans="16:16">
      <c r="P46264" s="2498"/>
    </row>
    <row r="46265" spans="16:16">
      <c r="P46265" s="2498"/>
    </row>
    <row r="46266" spans="16:16">
      <c r="P46266" s="2498"/>
    </row>
    <row r="46267" spans="16:16">
      <c r="P46267" s="2498"/>
    </row>
    <row r="46268" spans="16:16">
      <c r="P46268" s="2498"/>
    </row>
    <row r="46269" spans="16:16">
      <c r="P46269" s="2498"/>
    </row>
    <row r="46270" spans="16:16">
      <c r="P46270" s="2498"/>
    </row>
    <row r="46271" spans="16:16">
      <c r="P46271" s="2498"/>
    </row>
    <row r="46272" spans="16:16">
      <c r="P46272" s="2498"/>
    </row>
    <row r="46273" spans="16:16">
      <c r="P46273" s="2498"/>
    </row>
    <row r="46274" spans="16:16">
      <c r="P46274" s="2498"/>
    </row>
    <row r="46275" spans="16:16">
      <c r="P46275" s="2498"/>
    </row>
    <row r="46276" spans="16:16">
      <c r="P46276" s="2498"/>
    </row>
    <row r="46277" spans="16:16">
      <c r="P46277" s="2498"/>
    </row>
    <row r="46278" spans="16:16">
      <c r="P46278" s="2498"/>
    </row>
    <row r="46279" spans="16:16">
      <c r="P46279" s="2498"/>
    </row>
    <row r="46280" spans="16:16">
      <c r="P46280" s="2498"/>
    </row>
    <row r="46281" spans="16:16">
      <c r="P46281" s="2498"/>
    </row>
    <row r="46282" spans="16:16">
      <c r="P46282" s="2498"/>
    </row>
    <row r="46283" spans="16:16">
      <c r="P46283" s="2498"/>
    </row>
    <row r="46284" spans="16:16">
      <c r="P46284" s="2498"/>
    </row>
    <row r="46285" spans="16:16">
      <c r="P46285" s="2498"/>
    </row>
    <row r="46286" spans="16:16">
      <c r="P46286" s="2498"/>
    </row>
    <row r="46287" spans="16:16">
      <c r="P46287" s="2498"/>
    </row>
    <row r="46288" spans="16:16">
      <c r="P46288" s="2498"/>
    </row>
    <row r="46289" spans="16:16">
      <c r="P46289" s="2498"/>
    </row>
    <row r="46290" spans="16:16">
      <c r="P46290" s="2498"/>
    </row>
    <row r="46291" spans="16:16">
      <c r="P46291" s="2498"/>
    </row>
    <row r="46292" spans="16:16">
      <c r="P46292" s="2498"/>
    </row>
    <row r="46293" spans="16:16">
      <c r="P46293" s="2498"/>
    </row>
    <row r="46294" spans="16:16">
      <c r="P46294" s="2498"/>
    </row>
    <row r="46295" spans="16:16">
      <c r="P46295" s="2498"/>
    </row>
    <row r="46296" spans="16:16">
      <c r="P46296" s="2498"/>
    </row>
    <row r="46297" spans="16:16">
      <c r="P46297" s="2498"/>
    </row>
    <row r="46298" spans="16:16">
      <c r="P46298" s="2498"/>
    </row>
    <row r="46299" spans="16:16">
      <c r="P46299" s="2498"/>
    </row>
    <row r="46300" spans="16:16">
      <c r="P46300" s="2498"/>
    </row>
    <row r="46301" spans="16:16">
      <c r="P46301" s="2498"/>
    </row>
    <row r="46302" spans="16:16">
      <c r="P46302" s="2498"/>
    </row>
    <row r="46303" spans="16:16">
      <c r="P46303" s="2498"/>
    </row>
    <row r="46304" spans="16:16">
      <c r="P46304" s="2498"/>
    </row>
    <row r="46305" spans="16:16">
      <c r="P46305" s="2498"/>
    </row>
    <row r="46306" spans="16:16">
      <c r="P46306" s="2498"/>
    </row>
    <row r="46307" spans="16:16">
      <c r="P46307" s="2498"/>
    </row>
    <row r="46308" spans="16:16">
      <c r="P46308" s="2498"/>
    </row>
    <row r="46309" spans="16:16">
      <c r="P46309" s="2498"/>
    </row>
    <row r="46310" spans="16:16">
      <c r="P46310" s="2498"/>
    </row>
    <row r="46311" spans="16:16">
      <c r="P46311" s="2498"/>
    </row>
    <row r="46312" spans="16:16">
      <c r="P46312" s="2498"/>
    </row>
    <row r="46313" spans="16:16">
      <c r="P46313" s="2498"/>
    </row>
    <row r="46314" spans="16:16">
      <c r="P46314" s="2498"/>
    </row>
    <row r="46315" spans="16:16">
      <c r="P46315" s="2498"/>
    </row>
    <row r="46316" spans="16:16">
      <c r="P46316" s="2498"/>
    </row>
    <row r="46317" spans="16:16">
      <c r="P46317" s="2498"/>
    </row>
    <row r="46318" spans="16:16">
      <c r="P46318" s="2498"/>
    </row>
    <row r="46319" spans="16:16">
      <c r="P46319" s="2498"/>
    </row>
    <row r="46320" spans="16:16">
      <c r="P46320" s="2498"/>
    </row>
    <row r="46321" spans="16:16">
      <c r="P46321" s="2498"/>
    </row>
    <row r="46322" spans="16:16">
      <c r="P46322" s="2498"/>
    </row>
    <row r="46323" spans="16:16">
      <c r="P46323" s="2498"/>
    </row>
    <row r="46324" spans="16:16">
      <c r="P46324" s="2498"/>
    </row>
    <row r="46325" spans="16:16">
      <c r="P46325" s="2498"/>
    </row>
    <row r="46326" spans="16:16">
      <c r="P46326" s="2498"/>
    </row>
    <row r="46327" spans="16:16">
      <c r="P46327" s="2498"/>
    </row>
    <row r="46328" spans="16:16">
      <c r="P46328" s="2498"/>
    </row>
    <row r="46329" spans="16:16">
      <c r="P46329" s="2498"/>
    </row>
    <row r="46330" spans="16:16">
      <c r="P46330" s="2498"/>
    </row>
    <row r="46331" spans="16:16">
      <c r="P46331" s="2498"/>
    </row>
    <row r="46332" spans="16:16">
      <c r="P46332" s="2498"/>
    </row>
    <row r="46333" spans="16:16">
      <c r="P46333" s="2498"/>
    </row>
    <row r="46334" spans="16:16">
      <c r="P46334" s="2498"/>
    </row>
    <row r="46335" spans="16:16">
      <c r="P46335" s="2498"/>
    </row>
    <row r="46336" spans="16:16">
      <c r="P46336" s="2498"/>
    </row>
    <row r="46337" spans="16:16">
      <c r="P46337" s="2498"/>
    </row>
    <row r="46338" spans="16:16">
      <c r="P46338" s="2498"/>
    </row>
    <row r="46339" spans="16:16">
      <c r="P46339" s="2498"/>
    </row>
    <row r="46340" spans="16:16">
      <c r="P46340" s="2498"/>
    </row>
    <row r="46341" spans="16:16">
      <c r="P46341" s="2498"/>
    </row>
    <row r="46342" spans="16:16">
      <c r="P46342" s="2498"/>
    </row>
    <row r="46343" spans="16:16">
      <c r="P46343" s="2498"/>
    </row>
    <row r="46344" spans="16:16">
      <c r="P46344" s="2498"/>
    </row>
    <row r="46345" spans="16:16">
      <c r="P46345" s="2498"/>
    </row>
    <row r="46346" spans="16:16">
      <c r="P46346" s="2498"/>
    </row>
    <row r="46347" spans="16:16">
      <c r="P46347" s="2498"/>
    </row>
    <row r="46348" spans="16:16">
      <c r="P46348" s="2498"/>
    </row>
    <row r="46349" spans="16:16">
      <c r="P46349" s="2498"/>
    </row>
    <row r="46350" spans="16:16">
      <c r="P46350" s="2498"/>
    </row>
    <row r="46351" spans="16:16">
      <c r="P46351" s="2498"/>
    </row>
    <row r="46352" spans="16:16">
      <c r="P46352" s="2498"/>
    </row>
    <row r="46353" spans="16:16">
      <c r="P46353" s="2498"/>
    </row>
    <row r="46354" spans="16:16">
      <c r="P46354" s="2498"/>
    </row>
    <row r="46355" spans="16:16">
      <c r="P46355" s="2498"/>
    </row>
    <row r="46356" spans="16:16">
      <c r="P46356" s="2498"/>
    </row>
    <row r="46357" spans="16:16">
      <c r="P46357" s="2498"/>
    </row>
    <row r="46358" spans="16:16">
      <c r="P46358" s="2498"/>
    </row>
    <row r="46359" spans="16:16">
      <c r="P46359" s="2498"/>
    </row>
    <row r="46360" spans="16:16">
      <c r="P46360" s="2498"/>
    </row>
    <row r="46361" spans="16:16">
      <c r="P46361" s="2498"/>
    </row>
    <row r="46362" spans="16:16">
      <c r="P46362" s="2498"/>
    </row>
    <row r="46363" spans="16:16">
      <c r="P46363" s="2498"/>
    </row>
    <row r="46364" spans="16:16">
      <c r="P46364" s="2498"/>
    </row>
    <row r="46365" spans="16:16">
      <c r="P46365" s="2498"/>
    </row>
    <row r="46366" spans="16:16">
      <c r="P46366" s="2498"/>
    </row>
    <row r="46367" spans="16:16">
      <c r="P46367" s="2498"/>
    </row>
    <row r="46368" spans="16:16">
      <c r="P46368" s="2498"/>
    </row>
    <row r="46369" spans="16:16">
      <c r="P46369" s="2498"/>
    </row>
    <row r="46370" spans="16:16">
      <c r="P46370" s="2498"/>
    </row>
    <row r="46371" spans="16:16">
      <c r="P46371" s="2498"/>
    </row>
    <row r="46372" spans="16:16">
      <c r="P46372" s="2498"/>
    </row>
    <row r="46373" spans="16:16">
      <c r="P46373" s="2498"/>
    </row>
    <row r="46374" spans="16:16">
      <c r="P46374" s="2498"/>
    </row>
    <row r="46375" spans="16:16">
      <c r="P46375" s="2498"/>
    </row>
    <row r="46376" spans="16:16">
      <c r="P46376" s="2498"/>
    </row>
    <row r="46377" spans="16:16">
      <c r="P46377" s="2498"/>
    </row>
    <row r="46378" spans="16:16">
      <c r="P46378" s="2498"/>
    </row>
    <row r="46379" spans="16:16">
      <c r="P46379" s="2498"/>
    </row>
    <row r="46380" spans="16:16">
      <c r="P46380" s="2498"/>
    </row>
    <row r="46381" spans="16:16">
      <c r="P46381" s="2498"/>
    </row>
    <row r="46382" spans="16:16">
      <c r="P46382" s="2498"/>
    </row>
    <row r="46383" spans="16:16">
      <c r="P46383" s="2498"/>
    </row>
    <row r="46384" spans="16:16">
      <c r="P46384" s="2498"/>
    </row>
    <row r="46385" spans="16:16">
      <c r="P46385" s="2498"/>
    </row>
    <row r="46386" spans="16:16">
      <c r="P46386" s="2498"/>
    </row>
    <row r="46387" spans="16:16">
      <c r="P46387" s="2498"/>
    </row>
    <row r="46388" spans="16:16">
      <c r="P46388" s="2498"/>
    </row>
    <row r="46389" spans="16:16">
      <c r="P46389" s="2498"/>
    </row>
    <row r="46390" spans="16:16">
      <c r="P46390" s="2498"/>
    </row>
    <row r="46391" spans="16:16">
      <c r="P46391" s="2498"/>
    </row>
    <row r="46392" spans="16:16">
      <c r="P46392" s="2498"/>
    </row>
    <row r="46393" spans="16:16">
      <c r="P46393" s="2498"/>
    </row>
    <row r="46394" spans="16:16">
      <c r="P46394" s="2498"/>
    </row>
    <row r="46395" spans="16:16">
      <c r="P46395" s="2498"/>
    </row>
    <row r="46396" spans="16:16">
      <c r="P46396" s="2498"/>
    </row>
    <row r="46397" spans="16:16">
      <c r="P46397" s="2498"/>
    </row>
    <row r="46398" spans="16:16">
      <c r="P46398" s="2498"/>
    </row>
    <row r="46399" spans="16:16">
      <c r="P46399" s="2498"/>
    </row>
    <row r="46400" spans="16:16">
      <c r="P46400" s="2498"/>
    </row>
    <row r="46401" spans="16:16">
      <c r="P46401" s="2498"/>
    </row>
    <row r="46402" spans="16:16">
      <c r="P46402" s="2498"/>
    </row>
    <row r="46403" spans="16:16">
      <c r="P46403" s="2498"/>
    </row>
    <row r="46404" spans="16:16">
      <c r="P46404" s="2498"/>
    </row>
    <row r="46405" spans="16:16">
      <c r="P46405" s="2498"/>
    </row>
    <row r="46406" spans="16:16">
      <c r="P46406" s="2498"/>
    </row>
    <row r="46407" spans="16:16">
      <c r="P46407" s="2498"/>
    </row>
    <row r="46408" spans="16:16">
      <c r="P46408" s="2498"/>
    </row>
    <row r="46409" spans="16:16">
      <c r="P46409" s="2498"/>
    </row>
    <row r="46410" spans="16:16">
      <c r="P46410" s="2498"/>
    </row>
    <row r="46411" spans="16:16">
      <c r="P46411" s="2498"/>
    </row>
    <row r="46412" spans="16:16">
      <c r="P46412" s="2498"/>
    </row>
    <row r="46413" spans="16:16">
      <c r="P46413" s="2498"/>
    </row>
    <row r="46414" spans="16:16">
      <c r="P46414" s="2498"/>
    </row>
    <row r="46415" spans="16:16">
      <c r="P46415" s="2498"/>
    </row>
    <row r="46416" spans="16:16">
      <c r="P46416" s="2498"/>
    </row>
    <row r="46417" spans="16:16">
      <c r="P46417" s="2498"/>
    </row>
    <row r="46418" spans="16:16">
      <c r="P46418" s="2498"/>
    </row>
    <row r="46419" spans="16:16">
      <c r="P46419" s="2498"/>
    </row>
    <row r="46420" spans="16:16">
      <c r="P46420" s="2498"/>
    </row>
    <row r="46421" spans="16:16">
      <c r="P46421" s="2498"/>
    </row>
    <row r="46422" spans="16:16">
      <c r="P46422" s="2498"/>
    </row>
    <row r="46423" spans="16:16">
      <c r="P46423" s="2498"/>
    </row>
    <row r="46424" spans="16:16">
      <c r="P46424" s="2498"/>
    </row>
    <row r="46425" spans="16:16">
      <c r="P46425" s="2498"/>
    </row>
    <row r="46426" spans="16:16">
      <c r="P46426" s="2498"/>
    </row>
    <row r="46427" spans="16:16">
      <c r="P46427" s="2498"/>
    </row>
    <row r="46428" spans="16:16">
      <c r="P46428" s="2498"/>
    </row>
    <row r="46429" spans="16:16">
      <c r="P46429" s="2498"/>
    </row>
    <row r="46430" spans="16:16">
      <c r="P46430" s="2498"/>
    </row>
    <row r="46431" spans="16:16">
      <c r="P46431" s="2498"/>
    </row>
    <row r="46432" spans="16:16">
      <c r="P46432" s="2498"/>
    </row>
    <row r="46433" spans="16:16">
      <c r="P46433" s="2498"/>
    </row>
    <row r="46434" spans="16:16">
      <c r="P46434" s="2498"/>
    </row>
    <row r="46435" spans="16:16">
      <c r="P46435" s="2498"/>
    </row>
    <row r="46436" spans="16:16">
      <c r="P46436" s="2498"/>
    </row>
    <row r="46437" spans="16:16">
      <c r="P46437" s="2498"/>
    </row>
    <row r="46438" spans="16:16">
      <c r="P46438" s="2498"/>
    </row>
    <row r="46439" spans="16:16">
      <c r="P46439" s="2498"/>
    </row>
    <row r="46440" spans="16:16">
      <c r="P46440" s="2498"/>
    </row>
    <row r="46441" spans="16:16">
      <c r="P46441" s="2498"/>
    </row>
    <row r="46442" spans="16:16">
      <c r="P46442" s="2498"/>
    </row>
    <row r="46443" spans="16:16">
      <c r="P46443" s="2498"/>
    </row>
    <row r="46444" spans="16:16">
      <c r="P46444" s="2498"/>
    </row>
    <row r="46445" spans="16:16">
      <c r="P46445" s="2498"/>
    </row>
    <row r="46446" spans="16:16">
      <c r="P46446" s="2498"/>
    </row>
    <row r="46447" spans="16:16">
      <c r="P46447" s="2498"/>
    </row>
    <row r="46448" spans="16:16">
      <c r="P46448" s="2498"/>
    </row>
    <row r="46449" spans="16:16">
      <c r="P46449" s="2498"/>
    </row>
    <row r="46450" spans="16:16">
      <c r="P46450" s="2498"/>
    </row>
    <row r="46451" spans="16:16">
      <c r="P46451" s="2498"/>
    </row>
    <row r="46452" spans="16:16">
      <c r="P46452" s="2498"/>
    </row>
    <row r="46453" spans="16:16">
      <c r="P46453" s="2498"/>
    </row>
    <row r="46454" spans="16:16">
      <c r="P46454" s="2498"/>
    </row>
    <row r="46455" spans="16:16">
      <c r="P46455" s="2498"/>
    </row>
    <row r="46456" spans="16:16">
      <c r="P46456" s="2498"/>
    </row>
    <row r="46457" spans="16:16">
      <c r="P46457" s="2498"/>
    </row>
    <row r="46458" spans="16:16">
      <c r="P46458" s="2498"/>
    </row>
    <row r="46459" spans="16:16">
      <c r="P46459" s="2498"/>
    </row>
    <row r="46460" spans="16:16">
      <c r="P46460" s="2498"/>
    </row>
    <row r="46461" spans="16:16">
      <c r="P46461" s="2498"/>
    </row>
    <row r="46462" spans="16:16">
      <c r="P46462" s="2498"/>
    </row>
    <row r="46463" spans="16:16">
      <c r="P46463" s="2498"/>
    </row>
    <row r="46464" spans="16:16">
      <c r="P46464" s="2498"/>
    </row>
    <row r="46465" spans="16:16">
      <c r="P46465" s="2498"/>
    </row>
    <row r="46466" spans="16:16">
      <c r="P46466" s="2498"/>
    </row>
    <row r="46467" spans="16:16">
      <c r="P46467" s="2498"/>
    </row>
    <row r="46468" spans="16:16">
      <c r="P46468" s="2498"/>
    </row>
    <row r="46469" spans="16:16">
      <c r="P46469" s="2498"/>
    </row>
    <row r="46470" spans="16:16">
      <c r="P46470" s="2498"/>
    </row>
    <row r="46471" spans="16:16">
      <c r="P46471" s="2498"/>
    </row>
    <row r="46472" spans="16:16">
      <c r="P46472" s="2498"/>
    </row>
    <row r="46473" spans="16:16">
      <c r="P46473" s="2498"/>
    </row>
    <row r="46474" spans="16:16">
      <c r="P46474" s="2498"/>
    </row>
    <row r="46475" spans="16:16">
      <c r="P46475" s="2498"/>
    </row>
    <row r="46476" spans="16:16">
      <c r="P46476" s="2498"/>
    </row>
    <row r="46477" spans="16:16">
      <c r="P46477" s="2498"/>
    </row>
    <row r="46478" spans="16:16">
      <c r="P46478" s="2498"/>
    </row>
    <row r="46479" spans="16:16">
      <c r="P46479" s="2498"/>
    </row>
    <row r="46480" spans="16:16">
      <c r="P46480" s="2498"/>
    </row>
    <row r="46481" spans="16:16">
      <c r="P46481" s="2498"/>
    </row>
    <row r="46482" spans="16:16">
      <c r="P46482" s="2498"/>
    </row>
    <row r="46483" spans="16:16">
      <c r="P46483" s="2498"/>
    </row>
    <row r="46484" spans="16:16">
      <c r="P46484" s="2498"/>
    </row>
    <row r="46485" spans="16:16">
      <c r="P46485" s="2498"/>
    </row>
    <row r="46486" spans="16:16">
      <c r="P46486" s="2498"/>
    </row>
    <row r="46487" spans="16:16">
      <c r="P46487" s="2498"/>
    </row>
    <row r="46488" spans="16:16">
      <c r="P46488" s="2498"/>
    </row>
    <row r="46489" spans="16:16">
      <c r="P46489" s="2498"/>
    </row>
    <row r="46490" spans="16:16">
      <c r="P46490" s="2498"/>
    </row>
    <row r="46491" spans="16:16">
      <c r="P46491" s="2498"/>
    </row>
    <row r="46492" spans="16:16">
      <c r="P46492" s="2498"/>
    </row>
    <row r="46493" spans="16:16">
      <c r="P46493" s="2498"/>
    </row>
    <row r="46494" spans="16:16">
      <c r="P46494" s="2498"/>
    </row>
    <row r="46495" spans="16:16">
      <c r="P46495" s="2498"/>
    </row>
    <row r="46496" spans="16:16">
      <c r="P46496" s="2498"/>
    </row>
    <row r="46497" spans="16:16">
      <c r="P46497" s="2498"/>
    </row>
    <row r="46498" spans="16:16">
      <c r="P46498" s="2498"/>
    </row>
    <row r="46499" spans="16:16">
      <c r="P46499" s="2498"/>
    </row>
    <row r="46500" spans="16:16">
      <c r="P46500" s="2498"/>
    </row>
    <row r="46501" spans="16:16">
      <c r="P46501" s="2498"/>
    </row>
    <row r="46502" spans="16:16">
      <c r="P46502" s="2498"/>
    </row>
    <row r="46503" spans="16:16">
      <c r="P46503" s="2498"/>
    </row>
    <row r="46504" spans="16:16">
      <c r="P46504" s="2498"/>
    </row>
    <row r="46505" spans="16:16">
      <c r="P46505" s="2498"/>
    </row>
    <row r="46506" spans="16:16">
      <c r="P46506" s="2498"/>
    </row>
    <row r="46507" spans="16:16">
      <c r="P46507" s="2498"/>
    </row>
    <row r="46508" spans="16:16">
      <c r="P46508" s="2498"/>
    </row>
    <row r="46509" spans="16:16">
      <c r="P46509" s="2498"/>
    </row>
    <row r="46510" spans="16:16">
      <c r="P46510" s="2498"/>
    </row>
    <row r="46511" spans="16:16">
      <c r="P46511" s="2498"/>
    </row>
    <row r="46512" spans="16:16">
      <c r="P46512" s="2498"/>
    </row>
    <row r="46513" spans="16:16">
      <c r="P46513" s="2498"/>
    </row>
    <row r="46514" spans="16:16">
      <c r="P46514" s="2498"/>
    </row>
    <row r="46515" spans="16:16">
      <c r="P46515" s="2498"/>
    </row>
    <row r="46516" spans="16:16">
      <c r="P46516" s="2498"/>
    </row>
    <row r="46517" spans="16:16">
      <c r="P46517" s="2498"/>
    </row>
    <row r="46518" spans="16:16">
      <c r="P46518" s="2498"/>
    </row>
    <row r="46519" spans="16:16">
      <c r="P46519" s="2498"/>
    </row>
    <row r="46520" spans="16:16">
      <c r="P46520" s="2498"/>
    </row>
    <row r="46521" spans="16:16">
      <c r="P46521" s="2498"/>
    </row>
    <row r="46522" spans="16:16">
      <c r="P46522" s="2498"/>
    </row>
    <row r="46523" spans="16:16">
      <c r="P46523" s="2498"/>
    </row>
    <row r="46524" spans="16:16">
      <c r="P46524" s="2498"/>
    </row>
    <row r="46525" spans="16:16">
      <c r="P46525" s="2498"/>
    </row>
    <row r="46526" spans="16:16">
      <c r="P46526" s="2498"/>
    </row>
    <row r="46527" spans="16:16">
      <c r="P46527" s="2498"/>
    </row>
    <row r="46528" spans="16:16">
      <c r="P46528" s="2498"/>
    </row>
    <row r="46529" spans="16:16">
      <c r="P46529" s="2498"/>
    </row>
    <row r="46530" spans="16:16">
      <c r="P46530" s="2498"/>
    </row>
    <row r="46531" spans="16:16">
      <c r="P46531" s="2498"/>
    </row>
    <row r="46532" spans="16:16">
      <c r="P46532" s="2498"/>
    </row>
    <row r="46533" spans="16:16">
      <c r="P46533" s="2498"/>
    </row>
    <row r="46534" spans="16:16">
      <c r="P46534" s="2498"/>
    </row>
    <row r="46535" spans="16:16">
      <c r="P46535" s="2498"/>
    </row>
    <row r="46536" spans="16:16">
      <c r="P46536" s="2498"/>
    </row>
    <row r="46537" spans="16:16">
      <c r="P46537" s="2498"/>
    </row>
    <row r="46538" spans="16:16">
      <c r="P46538" s="2498"/>
    </row>
    <row r="46539" spans="16:16">
      <c r="P46539" s="2498"/>
    </row>
    <row r="46540" spans="16:16">
      <c r="P46540" s="2498"/>
    </row>
    <row r="46541" spans="16:16">
      <c r="P46541" s="2498"/>
    </row>
    <row r="46542" spans="16:16">
      <c r="P46542" s="2498"/>
    </row>
    <row r="46543" spans="16:16">
      <c r="P46543" s="2498"/>
    </row>
    <row r="46544" spans="16:16">
      <c r="P46544" s="2498"/>
    </row>
    <row r="46545" spans="16:16">
      <c r="P46545" s="2498"/>
    </row>
    <row r="46546" spans="16:16">
      <c r="P46546" s="2498"/>
    </row>
    <row r="46547" spans="16:16">
      <c r="P46547" s="2498"/>
    </row>
    <row r="46548" spans="16:16">
      <c r="P46548" s="2498"/>
    </row>
    <row r="46549" spans="16:16">
      <c r="P46549" s="2498"/>
    </row>
    <row r="46550" spans="16:16">
      <c r="P46550" s="2498"/>
    </row>
    <row r="46551" spans="16:16">
      <c r="P46551" s="2498"/>
    </row>
    <row r="46552" spans="16:16">
      <c r="P46552" s="2498"/>
    </row>
    <row r="46553" spans="16:16">
      <c r="P46553" s="2498"/>
    </row>
    <row r="46554" spans="16:16">
      <c r="P46554" s="2498"/>
    </row>
    <row r="46555" spans="16:16">
      <c r="P46555" s="2498"/>
    </row>
    <row r="46556" spans="16:16">
      <c r="P46556" s="2498"/>
    </row>
    <row r="46557" spans="16:16">
      <c r="P46557" s="2498"/>
    </row>
    <row r="46558" spans="16:16">
      <c r="P46558" s="2498"/>
    </row>
    <row r="46559" spans="16:16">
      <c r="P46559" s="2498"/>
    </row>
    <row r="46560" spans="16:16">
      <c r="P46560" s="2498"/>
    </row>
    <row r="46561" spans="16:16">
      <c r="P46561" s="2498"/>
    </row>
    <row r="46562" spans="16:16">
      <c r="P46562" s="2498"/>
    </row>
    <row r="46563" spans="16:16">
      <c r="P46563" s="2498"/>
    </row>
    <row r="46564" spans="16:16">
      <c r="P46564" s="2498"/>
    </row>
    <row r="46565" spans="16:16">
      <c r="P46565" s="2498"/>
    </row>
    <row r="46566" spans="16:16">
      <c r="P46566" s="2498"/>
    </row>
    <row r="46567" spans="16:16">
      <c r="P46567" s="2498"/>
    </row>
    <row r="46568" spans="16:16">
      <c r="P46568" s="2498"/>
    </row>
    <row r="46569" spans="16:16">
      <c r="P46569" s="2498"/>
    </row>
    <row r="46570" spans="16:16">
      <c r="P46570" s="2498"/>
    </row>
    <row r="46571" spans="16:16">
      <c r="P46571" s="2498"/>
    </row>
    <row r="46572" spans="16:16">
      <c r="P46572" s="2498"/>
    </row>
    <row r="46573" spans="16:16">
      <c r="P46573" s="2498"/>
    </row>
    <row r="46574" spans="16:16">
      <c r="P46574" s="2498"/>
    </row>
    <row r="46575" spans="16:16">
      <c r="P46575" s="2498"/>
    </row>
    <row r="46576" spans="16:16">
      <c r="P46576" s="2498"/>
    </row>
    <row r="46577" spans="16:16">
      <c r="P46577" s="2498"/>
    </row>
    <row r="46578" spans="16:16">
      <c r="P46578" s="2498"/>
    </row>
    <row r="46579" spans="16:16">
      <c r="P46579" s="2498"/>
    </row>
    <row r="46580" spans="16:16">
      <c r="P46580" s="2498"/>
    </row>
    <row r="46581" spans="16:16">
      <c r="P46581" s="2498"/>
    </row>
    <row r="46582" spans="16:16">
      <c r="P46582" s="2498"/>
    </row>
    <row r="46583" spans="16:16">
      <c r="P46583" s="2498"/>
    </row>
    <row r="46584" spans="16:16">
      <c r="P46584" s="2498"/>
    </row>
    <row r="46585" spans="16:16">
      <c r="P46585" s="2498"/>
    </row>
    <row r="46586" spans="16:16">
      <c r="P46586" s="2498"/>
    </row>
    <row r="46587" spans="16:16">
      <c r="P46587" s="2498"/>
    </row>
    <row r="46588" spans="16:16">
      <c r="P46588" s="2498"/>
    </row>
    <row r="46589" spans="16:16">
      <c r="P46589" s="2498"/>
    </row>
    <row r="46590" spans="16:16">
      <c r="P46590" s="2498"/>
    </row>
    <row r="46591" spans="16:16">
      <c r="P46591" s="2498"/>
    </row>
    <row r="46592" spans="16:16">
      <c r="P46592" s="2498"/>
    </row>
    <row r="46593" spans="16:16">
      <c r="P46593" s="2498"/>
    </row>
    <row r="46594" spans="16:16">
      <c r="P46594" s="2498"/>
    </row>
    <row r="46595" spans="16:16">
      <c r="P46595" s="2498"/>
    </row>
    <row r="46596" spans="16:16">
      <c r="P46596" s="2498"/>
    </row>
    <row r="46597" spans="16:16">
      <c r="P46597" s="2498"/>
    </row>
    <row r="46598" spans="16:16">
      <c r="P46598" s="2498"/>
    </row>
    <row r="46599" spans="16:16">
      <c r="P46599" s="2498"/>
    </row>
    <row r="46600" spans="16:16">
      <c r="P46600" s="2498"/>
    </row>
    <row r="46601" spans="16:16">
      <c r="P46601" s="2498"/>
    </row>
    <row r="46602" spans="16:16">
      <c r="P46602" s="2498"/>
    </row>
    <row r="46603" spans="16:16">
      <c r="P46603" s="2498"/>
    </row>
    <row r="46604" spans="16:16">
      <c r="P46604" s="2498"/>
    </row>
    <row r="46605" spans="16:16">
      <c r="P46605" s="2498"/>
    </row>
    <row r="46606" spans="16:16">
      <c r="P46606" s="2498"/>
    </row>
    <row r="46607" spans="16:16">
      <c r="P46607" s="2498"/>
    </row>
    <row r="46608" spans="16:16">
      <c r="P46608" s="2498"/>
    </row>
    <row r="46609" spans="16:16">
      <c r="P46609" s="2498"/>
    </row>
    <row r="46610" spans="16:16">
      <c r="P46610" s="2498"/>
    </row>
    <row r="46611" spans="16:16">
      <c r="P46611" s="2498"/>
    </row>
    <row r="46612" spans="16:16">
      <c r="P46612" s="2498"/>
    </row>
    <row r="46613" spans="16:16">
      <c r="P46613" s="2498"/>
    </row>
    <row r="46614" spans="16:16">
      <c r="P46614" s="2498"/>
    </row>
    <row r="46615" spans="16:16">
      <c r="P46615" s="2498"/>
    </row>
    <row r="46616" spans="16:16">
      <c r="P46616" s="2498"/>
    </row>
    <row r="46617" spans="16:16">
      <c r="P46617" s="2498"/>
    </row>
    <row r="46618" spans="16:16">
      <c r="P46618" s="2498"/>
    </row>
    <row r="46619" spans="16:16">
      <c r="P46619" s="2498"/>
    </row>
    <row r="46620" spans="16:16">
      <c r="P46620" s="2498"/>
    </row>
    <row r="46621" spans="16:16">
      <c r="P46621" s="2498"/>
    </row>
    <row r="46622" spans="16:16">
      <c r="P46622" s="2498"/>
    </row>
    <row r="46623" spans="16:16">
      <c r="P46623" s="2498"/>
    </row>
    <row r="46624" spans="16:16">
      <c r="P46624" s="2498"/>
    </row>
    <row r="46625" spans="16:16">
      <c r="P46625" s="2498"/>
    </row>
    <row r="46626" spans="16:16">
      <c r="P46626" s="2498"/>
    </row>
    <row r="46627" spans="16:16">
      <c r="P46627" s="2498"/>
    </row>
    <row r="46628" spans="16:16">
      <c r="P46628" s="2498"/>
    </row>
    <row r="46629" spans="16:16">
      <c r="P46629" s="2498"/>
    </row>
    <row r="46630" spans="16:16">
      <c r="P46630" s="2498"/>
    </row>
    <row r="46631" spans="16:16">
      <c r="P46631" s="2498"/>
    </row>
    <row r="46632" spans="16:16">
      <c r="P46632" s="2498"/>
    </row>
    <row r="46633" spans="16:16">
      <c r="P46633" s="2498"/>
    </row>
    <row r="46634" spans="16:16">
      <c r="P46634" s="2498"/>
    </row>
    <row r="46635" spans="16:16">
      <c r="P46635" s="2498"/>
    </row>
    <row r="46636" spans="16:16">
      <c r="P46636" s="2498"/>
    </row>
    <row r="46637" spans="16:16">
      <c r="P46637" s="2498"/>
    </row>
    <row r="46638" spans="16:16">
      <c r="P46638" s="2498"/>
    </row>
    <row r="46639" spans="16:16">
      <c r="P46639" s="2498"/>
    </row>
    <row r="46640" spans="16:16">
      <c r="P46640" s="2498"/>
    </row>
    <row r="46641" spans="16:16">
      <c r="P46641" s="2498"/>
    </row>
    <row r="46642" spans="16:16">
      <c r="P46642" s="2498"/>
    </row>
    <row r="46643" spans="16:16">
      <c r="P46643" s="2498"/>
    </row>
    <row r="46644" spans="16:16">
      <c r="P46644" s="2498"/>
    </row>
    <row r="46645" spans="16:16">
      <c r="P46645" s="2498"/>
    </row>
    <row r="46646" spans="16:16">
      <c r="P46646" s="2498"/>
    </row>
    <row r="46647" spans="16:16">
      <c r="P46647" s="2498"/>
    </row>
    <row r="46648" spans="16:16">
      <c r="P46648" s="2498"/>
    </row>
    <row r="46649" spans="16:16">
      <c r="P46649" s="2498"/>
    </row>
    <row r="46650" spans="16:16">
      <c r="P46650" s="2498"/>
    </row>
    <row r="46651" spans="16:16">
      <c r="P46651" s="2498"/>
    </row>
    <row r="46652" spans="16:16">
      <c r="P46652" s="2498"/>
    </row>
    <row r="46653" spans="16:16">
      <c r="P46653" s="2498"/>
    </row>
    <row r="46654" spans="16:16">
      <c r="P46654" s="2498"/>
    </row>
    <row r="46655" spans="16:16">
      <c r="P46655" s="2498"/>
    </row>
    <row r="46656" spans="16:16">
      <c r="P46656" s="2498"/>
    </row>
    <row r="46657" spans="16:16">
      <c r="P46657" s="2498"/>
    </row>
    <row r="46658" spans="16:16">
      <c r="P46658" s="2498"/>
    </row>
    <row r="46659" spans="16:16">
      <c r="P46659" s="2498"/>
    </row>
    <row r="46660" spans="16:16">
      <c r="P46660" s="2498"/>
    </row>
    <row r="46661" spans="16:16">
      <c r="P46661" s="2498"/>
    </row>
    <row r="46662" spans="16:16">
      <c r="P46662" s="2498"/>
    </row>
    <row r="46663" spans="16:16">
      <c r="P46663" s="2498"/>
    </row>
    <row r="46664" spans="16:16">
      <c r="P46664" s="2498"/>
    </row>
    <row r="46665" spans="16:16">
      <c r="P46665" s="2498"/>
    </row>
    <row r="46666" spans="16:16">
      <c r="P46666" s="2498"/>
    </row>
    <row r="46667" spans="16:16">
      <c r="P46667" s="2498"/>
    </row>
    <row r="46668" spans="16:16">
      <c r="P46668" s="2498"/>
    </row>
    <row r="46669" spans="16:16">
      <c r="P46669" s="2498"/>
    </row>
    <row r="46670" spans="16:16">
      <c r="P46670" s="2498"/>
    </row>
    <row r="46671" spans="16:16">
      <c r="P46671" s="2498"/>
    </row>
    <row r="46672" spans="16:16">
      <c r="P46672" s="2498"/>
    </row>
    <row r="46673" spans="16:16">
      <c r="P46673" s="2498"/>
    </row>
    <row r="46674" spans="16:16">
      <c r="P46674" s="2498"/>
    </row>
    <row r="46675" spans="16:16">
      <c r="P46675" s="2498"/>
    </row>
    <row r="46676" spans="16:16">
      <c r="P46676" s="2498"/>
    </row>
    <row r="46677" spans="16:16">
      <c r="P46677" s="2498"/>
    </row>
    <row r="46678" spans="16:16">
      <c r="P46678" s="2498"/>
    </row>
    <row r="46679" spans="16:16">
      <c r="P46679" s="2498"/>
    </row>
    <row r="46680" spans="16:16">
      <c r="P46680" s="2498"/>
    </row>
    <row r="46681" spans="16:16">
      <c r="P46681" s="2498"/>
    </row>
    <row r="46682" spans="16:16">
      <c r="P46682" s="2498"/>
    </row>
    <row r="46683" spans="16:16">
      <c r="P46683" s="2498"/>
    </row>
    <row r="46684" spans="16:16">
      <c r="P46684" s="2498"/>
    </row>
    <row r="46685" spans="16:16">
      <c r="P46685" s="2498"/>
    </row>
    <row r="46686" spans="16:16">
      <c r="P46686" s="2498"/>
    </row>
    <row r="46687" spans="16:16">
      <c r="P46687" s="2498"/>
    </row>
    <row r="46688" spans="16:16">
      <c r="P46688" s="2498"/>
    </row>
    <row r="46689" spans="16:16">
      <c r="P46689" s="2498"/>
    </row>
    <row r="46690" spans="16:16">
      <c r="P46690" s="2498"/>
    </row>
    <row r="46691" spans="16:16">
      <c r="P46691" s="2498"/>
    </row>
    <row r="46692" spans="16:16">
      <c r="P46692" s="2498"/>
    </row>
    <row r="46693" spans="16:16">
      <c r="P46693" s="2498"/>
    </row>
    <row r="46694" spans="16:16">
      <c r="P46694" s="2498"/>
    </row>
    <row r="46695" spans="16:16">
      <c r="P46695" s="2498"/>
    </row>
    <row r="46696" spans="16:16">
      <c r="P46696" s="2498"/>
    </row>
    <row r="46697" spans="16:16">
      <c r="P46697" s="2498"/>
    </row>
    <row r="46698" spans="16:16">
      <c r="P46698" s="2498"/>
    </row>
    <row r="46699" spans="16:16">
      <c r="P46699" s="2498"/>
    </row>
    <row r="46700" spans="16:16">
      <c r="P46700" s="2498"/>
    </row>
    <row r="46701" spans="16:16">
      <c r="P46701" s="2498"/>
    </row>
    <row r="46702" spans="16:16">
      <c r="P46702" s="2498"/>
    </row>
    <row r="46703" spans="16:16">
      <c r="P46703" s="2498"/>
    </row>
    <row r="46704" spans="16:16">
      <c r="P46704" s="2498"/>
    </row>
    <row r="46705" spans="16:16">
      <c r="P46705" s="2498"/>
    </row>
    <row r="46706" spans="16:16">
      <c r="P46706" s="2498"/>
    </row>
    <row r="46707" spans="16:16">
      <c r="P46707" s="2498"/>
    </row>
    <row r="46708" spans="16:16">
      <c r="P46708" s="2498"/>
    </row>
    <row r="46709" spans="16:16">
      <c r="P46709" s="2498"/>
    </row>
    <row r="46710" spans="16:16">
      <c r="P46710" s="2498"/>
    </row>
    <row r="46711" spans="16:16">
      <c r="P46711" s="2498"/>
    </row>
    <row r="46712" spans="16:16">
      <c r="P46712" s="2498"/>
    </row>
    <row r="46713" spans="16:16">
      <c r="P46713" s="2498"/>
    </row>
    <row r="46714" spans="16:16">
      <c r="P46714" s="2498"/>
    </row>
    <row r="46715" spans="16:16">
      <c r="P46715" s="2498"/>
    </row>
    <row r="46716" spans="16:16">
      <c r="P46716" s="2498"/>
    </row>
    <row r="46717" spans="16:16">
      <c r="P46717" s="2498"/>
    </row>
    <row r="46718" spans="16:16">
      <c r="P46718" s="2498"/>
    </row>
    <row r="46719" spans="16:16">
      <c r="P46719" s="2498"/>
    </row>
    <row r="46720" spans="16:16">
      <c r="P46720" s="2498"/>
    </row>
    <row r="46721" spans="16:16">
      <c r="P46721" s="2498"/>
    </row>
    <row r="46722" spans="16:16">
      <c r="P46722" s="2498"/>
    </row>
    <row r="46723" spans="16:16">
      <c r="P46723" s="2498"/>
    </row>
    <row r="46724" spans="16:16">
      <c r="P46724" s="2498"/>
    </row>
    <row r="46725" spans="16:16">
      <c r="P46725" s="2498"/>
    </row>
    <row r="46726" spans="16:16">
      <c r="P46726" s="2498"/>
    </row>
    <row r="46727" spans="16:16">
      <c r="P46727" s="2498"/>
    </row>
    <row r="46728" spans="16:16">
      <c r="P46728" s="2498"/>
    </row>
    <row r="46729" spans="16:16">
      <c r="P46729" s="2498"/>
    </row>
    <row r="46730" spans="16:16">
      <c r="P46730" s="2498"/>
    </row>
    <row r="46731" spans="16:16">
      <c r="P46731" s="2498"/>
    </row>
    <row r="46732" spans="16:16">
      <c r="P46732" s="2498"/>
    </row>
    <row r="46733" spans="16:16">
      <c r="P46733" s="2498"/>
    </row>
    <row r="46734" spans="16:16">
      <c r="P46734" s="2498"/>
    </row>
    <row r="46735" spans="16:16">
      <c r="P46735" s="2498"/>
    </row>
    <row r="46736" spans="16:16">
      <c r="P46736" s="2498"/>
    </row>
    <row r="46737" spans="16:16">
      <c r="P46737" s="2498"/>
    </row>
    <row r="46738" spans="16:16">
      <c r="P46738" s="2498"/>
    </row>
    <row r="46739" spans="16:16">
      <c r="P46739" s="2498"/>
    </row>
    <row r="46740" spans="16:16">
      <c r="P46740" s="2498"/>
    </row>
    <row r="46741" spans="16:16">
      <c r="P46741" s="2498"/>
    </row>
    <row r="46742" spans="16:16">
      <c r="P46742" s="2498"/>
    </row>
    <row r="46743" spans="16:16">
      <c r="P46743" s="2498"/>
    </row>
    <row r="46744" spans="16:16">
      <c r="P46744" s="2498"/>
    </row>
    <row r="46745" spans="16:16">
      <c r="P46745" s="2498"/>
    </row>
    <row r="46746" spans="16:16">
      <c r="P46746" s="2498"/>
    </row>
    <row r="46747" spans="16:16">
      <c r="P46747" s="2498"/>
    </row>
    <row r="46748" spans="16:16">
      <c r="P46748" s="2498"/>
    </row>
    <row r="46749" spans="16:16">
      <c r="P46749" s="2498"/>
    </row>
    <row r="46750" spans="16:16">
      <c r="P46750" s="2498"/>
    </row>
    <row r="46751" spans="16:16">
      <c r="P46751" s="2498"/>
    </row>
    <row r="46752" spans="16:16">
      <c r="P46752" s="2498"/>
    </row>
    <row r="46753" spans="16:16">
      <c r="P46753" s="2498"/>
    </row>
    <row r="46754" spans="16:16">
      <c r="P46754" s="2498"/>
    </row>
    <row r="46755" spans="16:16">
      <c r="P46755" s="2498"/>
    </row>
    <row r="46756" spans="16:16">
      <c r="P46756" s="2498"/>
    </row>
    <row r="46757" spans="16:16">
      <c r="P46757" s="2498"/>
    </row>
    <row r="46758" spans="16:16">
      <c r="P46758" s="2498"/>
    </row>
    <row r="46759" spans="16:16">
      <c r="P46759" s="2498"/>
    </row>
    <row r="46760" spans="16:16">
      <c r="P46760" s="2498"/>
    </row>
    <row r="46761" spans="16:16">
      <c r="P46761" s="2498"/>
    </row>
    <row r="46762" spans="16:16">
      <c r="P46762" s="2498"/>
    </row>
    <row r="46763" spans="16:16">
      <c r="P46763" s="2498"/>
    </row>
    <row r="46764" spans="16:16">
      <c r="P46764" s="2498"/>
    </row>
    <row r="46765" spans="16:16">
      <c r="P46765" s="2498"/>
    </row>
    <row r="46766" spans="16:16">
      <c r="P46766" s="2498"/>
    </row>
    <row r="46767" spans="16:16">
      <c r="P46767" s="2498"/>
    </row>
    <row r="46768" spans="16:16">
      <c r="P46768" s="2498"/>
    </row>
    <row r="46769" spans="16:16">
      <c r="P46769" s="2498"/>
    </row>
    <row r="46770" spans="16:16">
      <c r="P46770" s="2498"/>
    </row>
    <row r="46771" spans="16:16">
      <c r="P46771" s="2498"/>
    </row>
    <row r="46772" spans="16:16">
      <c r="P46772" s="2498"/>
    </row>
    <row r="46773" spans="16:16">
      <c r="P46773" s="2498"/>
    </row>
    <row r="46774" spans="16:16">
      <c r="P46774" s="2498"/>
    </row>
    <row r="46775" spans="16:16">
      <c r="P46775" s="2498"/>
    </row>
    <row r="46776" spans="16:16">
      <c r="P46776" s="2498"/>
    </row>
    <row r="46777" spans="16:16">
      <c r="P46777" s="2498"/>
    </row>
    <row r="46778" spans="16:16">
      <c r="P46778" s="2498"/>
    </row>
    <row r="46779" spans="16:16">
      <c r="P46779" s="2498"/>
    </row>
    <row r="46780" spans="16:16">
      <c r="P46780" s="2498"/>
    </row>
    <row r="46781" spans="16:16">
      <c r="P46781" s="2498"/>
    </row>
    <row r="46782" spans="16:16">
      <c r="P46782" s="2498"/>
    </row>
    <row r="46783" spans="16:16">
      <c r="P46783" s="2498"/>
    </row>
    <row r="46784" spans="16:16">
      <c r="P46784" s="2498"/>
    </row>
    <row r="46785" spans="16:16">
      <c r="P46785" s="2498"/>
    </row>
    <row r="46786" spans="16:16">
      <c r="P46786" s="2498"/>
    </row>
    <row r="46787" spans="16:16">
      <c r="P46787" s="2498"/>
    </row>
    <row r="46788" spans="16:16">
      <c r="P46788" s="2498"/>
    </row>
    <row r="46789" spans="16:16">
      <c r="P46789" s="2498"/>
    </row>
    <row r="46790" spans="16:16">
      <c r="P46790" s="2498"/>
    </row>
    <row r="46791" spans="16:16">
      <c r="P46791" s="2498"/>
    </row>
    <row r="46792" spans="16:16">
      <c r="P46792" s="2498"/>
    </row>
    <row r="46793" spans="16:16">
      <c r="P46793" s="2498"/>
    </row>
    <row r="46794" spans="16:16">
      <c r="P46794" s="2498"/>
    </row>
    <row r="46795" spans="16:16">
      <c r="P46795" s="2498"/>
    </row>
    <row r="46796" spans="16:16">
      <c r="P46796" s="2498"/>
    </row>
    <row r="46797" spans="16:16">
      <c r="P46797" s="2498"/>
    </row>
    <row r="46798" spans="16:16">
      <c r="P46798" s="2498"/>
    </row>
    <row r="46799" spans="16:16">
      <c r="P46799" s="2498"/>
    </row>
    <row r="46800" spans="16:16">
      <c r="P46800" s="2498"/>
    </row>
    <row r="46801" spans="16:16">
      <c r="P46801" s="2498"/>
    </row>
    <row r="46802" spans="16:16">
      <c r="P46802" s="2498"/>
    </row>
    <row r="46803" spans="16:16">
      <c r="P46803" s="2498"/>
    </row>
    <row r="46804" spans="16:16">
      <c r="P46804" s="2498"/>
    </row>
    <row r="46805" spans="16:16">
      <c r="P46805" s="2498"/>
    </row>
    <row r="46806" spans="16:16">
      <c r="P46806" s="2498"/>
    </row>
    <row r="46807" spans="16:16">
      <c r="P46807" s="2498"/>
    </row>
    <row r="46808" spans="16:16">
      <c r="P46808" s="2498"/>
    </row>
    <row r="46809" spans="16:16">
      <c r="P46809" s="2498"/>
    </row>
    <row r="46810" spans="16:16">
      <c r="P46810" s="2498"/>
    </row>
    <row r="46811" spans="16:16">
      <c r="P46811" s="2498"/>
    </row>
    <row r="46812" spans="16:16">
      <c r="P46812" s="2498"/>
    </row>
    <row r="46813" spans="16:16">
      <c r="P46813" s="2498"/>
    </row>
    <row r="46814" spans="16:16">
      <c r="P46814" s="2498"/>
    </row>
    <row r="46815" spans="16:16">
      <c r="P46815" s="2498"/>
    </row>
    <row r="46816" spans="16:16">
      <c r="P46816" s="2498"/>
    </row>
    <row r="46817" spans="16:16">
      <c r="P46817" s="2498"/>
    </row>
    <row r="46818" spans="16:16">
      <c r="P46818" s="2498"/>
    </row>
    <row r="46819" spans="16:16">
      <c r="P46819" s="2498"/>
    </row>
    <row r="46820" spans="16:16">
      <c r="P46820" s="2498"/>
    </row>
    <row r="46821" spans="16:16">
      <c r="P46821" s="2498"/>
    </row>
    <row r="46822" spans="16:16">
      <c r="P46822" s="2498"/>
    </row>
    <row r="46823" spans="16:16">
      <c r="P46823" s="2498"/>
    </row>
    <row r="46824" spans="16:16">
      <c r="P46824" s="2498"/>
    </row>
    <row r="46825" spans="16:16">
      <c r="P46825" s="2498"/>
    </row>
    <row r="46826" spans="16:16">
      <c r="P46826" s="2498"/>
    </row>
    <row r="46827" spans="16:16">
      <c r="P46827" s="2498"/>
    </row>
    <row r="46828" spans="16:16">
      <c r="P46828" s="2498"/>
    </row>
    <row r="46829" spans="16:16">
      <c r="P46829" s="2498"/>
    </row>
    <row r="46830" spans="16:16">
      <c r="P46830" s="2498"/>
    </row>
    <row r="46831" spans="16:16">
      <c r="P46831" s="2498"/>
    </row>
    <row r="46832" spans="16:16">
      <c r="P46832" s="2498"/>
    </row>
    <row r="46833" spans="16:16">
      <c r="P46833" s="2498"/>
    </row>
    <row r="46834" spans="16:16">
      <c r="P46834" s="2498"/>
    </row>
    <row r="46835" spans="16:16">
      <c r="P46835" s="2498"/>
    </row>
    <row r="46836" spans="16:16">
      <c r="P46836" s="2498"/>
    </row>
    <row r="46837" spans="16:16">
      <c r="P46837" s="2498"/>
    </row>
    <row r="46838" spans="16:16">
      <c r="P46838" s="2498"/>
    </row>
    <row r="46839" spans="16:16">
      <c r="P46839" s="2498"/>
    </row>
    <row r="46840" spans="16:16">
      <c r="P46840" s="2498"/>
    </row>
    <row r="46841" spans="16:16">
      <c r="P46841" s="2498"/>
    </row>
    <row r="46842" spans="16:16">
      <c r="P46842" s="2498"/>
    </row>
    <row r="46843" spans="16:16">
      <c r="P46843" s="2498"/>
    </row>
    <row r="46844" spans="16:16">
      <c r="P46844" s="2498"/>
    </row>
    <row r="46845" spans="16:16">
      <c r="P46845" s="2498"/>
    </row>
    <row r="46846" spans="16:16">
      <c r="P46846" s="2498"/>
    </row>
    <row r="46847" spans="16:16">
      <c r="P46847" s="2498"/>
    </row>
    <row r="46848" spans="16:16">
      <c r="P46848" s="2498"/>
    </row>
    <row r="46849" spans="16:16">
      <c r="P46849" s="2498"/>
    </row>
    <row r="46850" spans="16:16">
      <c r="P46850" s="2498"/>
    </row>
    <row r="46851" spans="16:16">
      <c r="P46851" s="2498"/>
    </row>
    <row r="46852" spans="16:16">
      <c r="P46852" s="2498"/>
    </row>
    <row r="46853" spans="16:16">
      <c r="P46853" s="2498"/>
    </row>
    <row r="46854" spans="16:16">
      <c r="P46854" s="2498"/>
    </row>
    <row r="46855" spans="16:16">
      <c r="P46855" s="2498"/>
    </row>
    <row r="46856" spans="16:16">
      <c r="P46856" s="2498"/>
    </row>
    <row r="46857" spans="16:16">
      <c r="P46857" s="2498"/>
    </row>
    <row r="46858" spans="16:16">
      <c r="P46858" s="2498"/>
    </row>
    <row r="46859" spans="16:16">
      <c r="P46859" s="2498"/>
    </row>
    <row r="46860" spans="16:16">
      <c r="P46860" s="2498"/>
    </row>
    <row r="46861" spans="16:16">
      <c r="P46861" s="2498"/>
    </row>
    <row r="46862" spans="16:16">
      <c r="P46862" s="2498"/>
    </row>
    <row r="46863" spans="16:16">
      <c r="P46863" s="2498"/>
    </row>
    <row r="46864" spans="16:16">
      <c r="P46864" s="2498"/>
    </row>
    <row r="46865" spans="16:16">
      <c r="P46865" s="2498"/>
    </row>
    <row r="46866" spans="16:16">
      <c r="P46866" s="2498"/>
    </row>
    <row r="46867" spans="16:16">
      <c r="P46867" s="2498"/>
    </row>
    <row r="46868" spans="16:16">
      <c r="P46868" s="2498"/>
    </row>
    <row r="46869" spans="16:16">
      <c r="P46869" s="2498"/>
    </row>
    <row r="46870" spans="16:16">
      <c r="P46870" s="2498"/>
    </row>
    <row r="46871" spans="16:16">
      <c r="P46871" s="2498"/>
    </row>
    <row r="46872" spans="16:16">
      <c r="P46872" s="2498"/>
    </row>
    <row r="46873" spans="16:16">
      <c r="P46873" s="2498"/>
    </row>
    <row r="46874" spans="16:16">
      <c r="P46874" s="2498"/>
    </row>
    <row r="46875" spans="16:16">
      <c r="P46875" s="2498"/>
    </row>
    <row r="46876" spans="16:16">
      <c r="P46876" s="2498"/>
    </row>
    <row r="46877" spans="16:16">
      <c r="P46877" s="2498"/>
    </row>
    <row r="46878" spans="16:16">
      <c r="P46878" s="2498"/>
    </row>
    <row r="46879" spans="16:16">
      <c r="P46879" s="2498"/>
    </row>
    <row r="46880" spans="16:16">
      <c r="P46880" s="2498"/>
    </row>
    <row r="46881" spans="16:16">
      <c r="P46881" s="2498"/>
    </row>
    <row r="46882" spans="16:16">
      <c r="P46882" s="2498"/>
    </row>
    <row r="46883" spans="16:16">
      <c r="P46883" s="2498"/>
    </row>
    <row r="46884" spans="16:16">
      <c r="P46884" s="2498"/>
    </row>
    <row r="46885" spans="16:16">
      <c r="P46885" s="2498"/>
    </row>
    <row r="46886" spans="16:16">
      <c r="P46886" s="2498"/>
    </row>
    <row r="46887" spans="16:16">
      <c r="P46887" s="2498"/>
    </row>
    <row r="46888" spans="16:16">
      <c r="P46888" s="2498"/>
    </row>
    <row r="46889" spans="16:16">
      <c r="P46889" s="2498"/>
    </row>
    <row r="46890" spans="16:16">
      <c r="P46890" s="2498"/>
    </row>
    <row r="46891" spans="16:16">
      <c r="P46891" s="2498"/>
    </row>
    <row r="46892" spans="16:16">
      <c r="P46892" s="2498"/>
    </row>
    <row r="46893" spans="16:16">
      <c r="P46893" s="2498"/>
    </row>
    <row r="46894" spans="16:16">
      <c r="P46894" s="2498"/>
    </row>
    <row r="46895" spans="16:16">
      <c r="P46895" s="2498"/>
    </row>
    <row r="46896" spans="16:16">
      <c r="P46896" s="2498"/>
    </row>
    <row r="46897" spans="16:16">
      <c r="P46897" s="2498"/>
    </row>
    <row r="46898" spans="16:16">
      <c r="P46898" s="2498"/>
    </row>
    <row r="46899" spans="16:16">
      <c r="P46899" s="2498"/>
    </row>
    <row r="46900" spans="16:16">
      <c r="P46900" s="2498"/>
    </row>
    <row r="46901" spans="16:16">
      <c r="P46901" s="2498"/>
    </row>
    <row r="46902" spans="16:16">
      <c r="P46902" s="2498"/>
    </row>
    <row r="46903" spans="16:16">
      <c r="P46903" s="2498"/>
    </row>
    <row r="46904" spans="16:16">
      <c r="P46904" s="2498"/>
    </row>
    <row r="46905" spans="16:16">
      <c r="P46905" s="2498"/>
    </row>
    <row r="46906" spans="16:16">
      <c r="P46906" s="2498"/>
    </row>
    <row r="46907" spans="16:16">
      <c r="P46907" s="2498"/>
    </row>
    <row r="46908" spans="16:16">
      <c r="P46908" s="2498"/>
    </row>
    <row r="46909" spans="16:16">
      <c r="P46909" s="2498"/>
    </row>
    <row r="46910" spans="16:16">
      <c r="P46910" s="2498"/>
    </row>
    <row r="46911" spans="16:16">
      <c r="P46911" s="2498"/>
    </row>
    <row r="46912" spans="16:16">
      <c r="P46912" s="2498"/>
    </row>
    <row r="46913" spans="16:16">
      <c r="P46913" s="2498"/>
    </row>
    <row r="46914" spans="16:16">
      <c r="P46914" s="2498"/>
    </row>
    <row r="46915" spans="16:16">
      <c r="P46915" s="2498"/>
    </row>
    <row r="46916" spans="16:16">
      <c r="P46916" s="2498"/>
    </row>
    <row r="46917" spans="16:16">
      <c r="P46917" s="2498"/>
    </row>
    <row r="46918" spans="16:16">
      <c r="P46918" s="2498"/>
    </row>
    <row r="46919" spans="16:16">
      <c r="P46919" s="2498"/>
    </row>
    <row r="46920" spans="16:16">
      <c r="P46920" s="2498"/>
    </row>
    <row r="46921" spans="16:16">
      <c r="P46921" s="2498"/>
    </row>
    <row r="46922" spans="16:16">
      <c r="P46922" s="2498"/>
    </row>
    <row r="46923" spans="16:16">
      <c r="P46923" s="2498"/>
    </row>
    <row r="46924" spans="16:16">
      <c r="P46924" s="2498"/>
    </row>
    <row r="46925" spans="16:16">
      <c r="P46925" s="2498"/>
    </row>
    <row r="46926" spans="16:16">
      <c r="P46926" s="2498"/>
    </row>
    <row r="46927" spans="16:16">
      <c r="P46927" s="2498"/>
    </row>
    <row r="46928" spans="16:16">
      <c r="P46928" s="2498"/>
    </row>
    <row r="46929" spans="16:16">
      <c r="P46929" s="2498"/>
    </row>
    <row r="46930" spans="16:16">
      <c r="P46930" s="2498"/>
    </row>
    <row r="46931" spans="16:16">
      <c r="P46931" s="2498"/>
    </row>
    <row r="46932" spans="16:16">
      <c r="P46932" s="2498"/>
    </row>
    <row r="46933" spans="16:16">
      <c r="P46933" s="2498"/>
    </row>
    <row r="46934" spans="16:16">
      <c r="P46934" s="2498"/>
    </row>
    <row r="46935" spans="16:16">
      <c r="P46935" s="2498"/>
    </row>
    <row r="46936" spans="16:16">
      <c r="P46936" s="2498"/>
    </row>
    <row r="46937" spans="16:16">
      <c r="P46937" s="2498"/>
    </row>
    <row r="46938" spans="16:16">
      <c r="P46938" s="2498"/>
    </row>
    <row r="46939" spans="16:16">
      <c r="P46939" s="2498"/>
    </row>
    <row r="46940" spans="16:16">
      <c r="P46940" s="2498"/>
    </row>
    <row r="46941" spans="16:16">
      <c r="P46941" s="2498"/>
    </row>
    <row r="46942" spans="16:16">
      <c r="P46942" s="2498"/>
    </row>
    <row r="46943" spans="16:16">
      <c r="P46943" s="2498"/>
    </row>
    <row r="46944" spans="16:16">
      <c r="P46944" s="2498"/>
    </row>
    <row r="46945" spans="16:16">
      <c r="P46945" s="2498"/>
    </row>
    <row r="46946" spans="16:16">
      <c r="P46946" s="2498"/>
    </row>
    <row r="46947" spans="16:16">
      <c r="P46947" s="2498"/>
    </row>
    <row r="46948" spans="16:16">
      <c r="P46948" s="2498"/>
    </row>
    <row r="46949" spans="16:16">
      <c r="P46949" s="2498"/>
    </row>
    <row r="46950" spans="16:16">
      <c r="P46950" s="2498"/>
    </row>
    <row r="46951" spans="16:16">
      <c r="P46951" s="2498"/>
    </row>
    <row r="46952" spans="16:16">
      <c r="P46952" s="2498"/>
    </row>
    <row r="46953" spans="16:16">
      <c r="P46953" s="2498"/>
    </row>
    <row r="46954" spans="16:16">
      <c r="P46954" s="2498"/>
    </row>
    <row r="46955" spans="16:16">
      <c r="P46955" s="2498"/>
    </row>
    <row r="46956" spans="16:16">
      <c r="P46956" s="2498"/>
    </row>
    <row r="46957" spans="16:16">
      <c r="P46957" s="2498"/>
    </row>
    <row r="46958" spans="16:16">
      <c r="P46958" s="2498"/>
    </row>
    <row r="46959" spans="16:16">
      <c r="P46959" s="2498"/>
    </row>
    <row r="46960" spans="16:16">
      <c r="P46960" s="2498"/>
    </row>
    <row r="46961" spans="16:16">
      <c r="P46961" s="2498"/>
    </row>
    <row r="46962" spans="16:16">
      <c r="P46962" s="2498"/>
    </row>
    <row r="46963" spans="16:16">
      <c r="P46963" s="2498"/>
    </row>
    <row r="46964" spans="16:16">
      <c r="P46964" s="2498"/>
    </row>
    <row r="46965" spans="16:16">
      <c r="P46965" s="2498"/>
    </row>
    <row r="46966" spans="16:16">
      <c r="P46966" s="2498"/>
    </row>
    <row r="46967" spans="16:16">
      <c r="P46967" s="2498"/>
    </row>
    <row r="46968" spans="16:16">
      <c r="P46968" s="2498"/>
    </row>
    <row r="46969" spans="16:16">
      <c r="P46969" s="2498"/>
    </row>
    <row r="46970" spans="16:16">
      <c r="P46970" s="2498"/>
    </row>
    <row r="46971" spans="16:16">
      <c r="P46971" s="2498"/>
    </row>
    <row r="46972" spans="16:16">
      <c r="P46972" s="2498"/>
    </row>
    <row r="46973" spans="16:16">
      <c r="P46973" s="2498"/>
    </row>
    <row r="46974" spans="16:16">
      <c r="P46974" s="2498"/>
    </row>
    <row r="46975" spans="16:16">
      <c r="P46975" s="2498"/>
    </row>
    <row r="46976" spans="16:16">
      <c r="P46976" s="2498"/>
    </row>
    <row r="46977" spans="16:16">
      <c r="P46977" s="2498"/>
    </row>
    <row r="46978" spans="16:16">
      <c r="P46978" s="2498"/>
    </row>
    <row r="46979" spans="16:16">
      <c r="P46979" s="2498"/>
    </row>
    <row r="46980" spans="16:16">
      <c r="P46980" s="2498"/>
    </row>
    <row r="46981" spans="16:16">
      <c r="P46981" s="2498"/>
    </row>
    <row r="46982" spans="16:16">
      <c r="P46982" s="2498"/>
    </row>
    <row r="46983" spans="16:16">
      <c r="P46983" s="2498"/>
    </row>
    <row r="46984" spans="16:16">
      <c r="P46984" s="2498"/>
    </row>
    <row r="46985" spans="16:16">
      <c r="P46985" s="2498"/>
    </row>
    <row r="46986" spans="16:16">
      <c r="P46986" s="2498"/>
    </row>
    <row r="46987" spans="16:16">
      <c r="P46987" s="2498"/>
    </row>
    <row r="46988" spans="16:16">
      <c r="P46988" s="2498"/>
    </row>
    <row r="46989" spans="16:16">
      <c r="P46989" s="2498"/>
    </row>
    <row r="46990" spans="16:16">
      <c r="P46990" s="2498"/>
    </row>
    <row r="46991" spans="16:16">
      <c r="P46991" s="2498"/>
    </row>
    <row r="46992" spans="16:16">
      <c r="P46992" s="2498"/>
    </row>
    <row r="46993" spans="16:16">
      <c r="P46993" s="2498"/>
    </row>
    <row r="46994" spans="16:16">
      <c r="P46994" s="2498"/>
    </row>
    <row r="46995" spans="16:16">
      <c r="P46995" s="2498"/>
    </row>
    <row r="46996" spans="16:16">
      <c r="P46996" s="2498"/>
    </row>
    <row r="46997" spans="16:16">
      <c r="P46997" s="2498"/>
    </row>
    <row r="46998" spans="16:16">
      <c r="P46998" s="2498"/>
    </row>
    <row r="46999" spans="16:16">
      <c r="P46999" s="2498"/>
    </row>
    <row r="47000" spans="16:16">
      <c r="P47000" s="2498"/>
    </row>
    <row r="47001" spans="16:16">
      <c r="P47001" s="2498"/>
    </row>
    <row r="47002" spans="16:16">
      <c r="P47002" s="2498"/>
    </row>
    <row r="47003" spans="16:16">
      <c r="P47003" s="2498"/>
    </row>
    <row r="47004" spans="16:16">
      <c r="P47004" s="2498"/>
    </row>
    <row r="47005" spans="16:16">
      <c r="P47005" s="2498"/>
    </row>
    <row r="47006" spans="16:16">
      <c r="P47006" s="2498"/>
    </row>
    <row r="47007" spans="16:16">
      <c r="P47007" s="2498"/>
    </row>
    <row r="47008" spans="16:16">
      <c r="P47008" s="2498"/>
    </row>
    <row r="47009" spans="16:16">
      <c r="P47009" s="2498"/>
    </row>
    <row r="47010" spans="16:16">
      <c r="P47010" s="2498"/>
    </row>
    <row r="47011" spans="16:16">
      <c r="P47011" s="2498"/>
    </row>
    <row r="47012" spans="16:16">
      <c r="P47012" s="2498"/>
    </row>
    <row r="47013" spans="16:16">
      <c r="P47013" s="2498"/>
    </row>
    <row r="47014" spans="16:16">
      <c r="P47014" s="2498"/>
    </row>
    <row r="47015" spans="16:16">
      <c r="P47015" s="2498"/>
    </row>
    <row r="47016" spans="16:16">
      <c r="P47016" s="2498"/>
    </row>
    <row r="47017" spans="16:16">
      <c r="P47017" s="2498"/>
    </row>
    <row r="47018" spans="16:16">
      <c r="P47018" s="2498"/>
    </row>
    <row r="47019" spans="16:16">
      <c r="P47019" s="2498"/>
    </row>
    <row r="47020" spans="16:16">
      <c r="P47020" s="2498"/>
    </row>
    <row r="47021" spans="16:16">
      <c r="P47021" s="2498"/>
    </row>
    <row r="47022" spans="16:16">
      <c r="P47022" s="2498"/>
    </row>
    <row r="47023" spans="16:16">
      <c r="P47023" s="2498"/>
    </row>
    <row r="47024" spans="16:16">
      <c r="P47024" s="2498"/>
    </row>
    <row r="47025" spans="16:16">
      <c r="P47025" s="2498"/>
    </row>
    <row r="47026" spans="16:16">
      <c r="P47026" s="2498"/>
    </row>
    <row r="47027" spans="16:16">
      <c r="P47027" s="2498"/>
    </row>
    <row r="47028" spans="16:16">
      <c r="P47028" s="2498"/>
    </row>
    <row r="47029" spans="16:16">
      <c r="P47029" s="2498"/>
    </row>
    <row r="47030" spans="16:16">
      <c r="P47030" s="2498"/>
    </row>
    <row r="47031" spans="16:16">
      <c r="P47031" s="2498"/>
    </row>
    <row r="47032" spans="16:16">
      <c r="P47032" s="2498"/>
    </row>
    <row r="47033" spans="16:16">
      <c r="P47033" s="2498"/>
    </row>
    <row r="47034" spans="16:16">
      <c r="P47034" s="2498"/>
    </row>
    <row r="47035" spans="16:16">
      <c r="P47035" s="2498"/>
    </row>
    <row r="47036" spans="16:16">
      <c r="P47036" s="2498"/>
    </row>
    <row r="47037" spans="16:16">
      <c r="P47037" s="2498"/>
    </row>
    <row r="47038" spans="16:16">
      <c r="P47038" s="2498"/>
    </row>
    <row r="47039" spans="16:16">
      <c r="P47039" s="2498"/>
    </row>
    <row r="47040" spans="16:16">
      <c r="P47040" s="2498"/>
    </row>
    <row r="47041" spans="16:16">
      <c r="P47041" s="2498"/>
    </row>
    <row r="47042" spans="16:16">
      <c r="P47042" s="2498"/>
    </row>
    <row r="47043" spans="16:16">
      <c r="P47043" s="2498"/>
    </row>
    <row r="47044" spans="16:16">
      <c r="P47044" s="2498"/>
    </row>
    <row r="47045" spans="16:16">
      <c r="P47045" s="2498"/>
    </row>
    <row r="47046" spans="16:16">
      <c r="P47046" s="2498"/>
    </row>
    <row r="47047" spans="16:16">
      <c r="P47047" s="2498"/>
    </row>
    <row r="47048" spans="16:16">
      <c r="P47048" s="2498"/>
    </row>
    <row r="47049" spans="16:16">
      <c r="P47049" s="2498"/>
    </row>
    <row r="47050" spans="16:16">
      <c r="P47050" s="2498"/>
    </row>
    <row r="47051" spans="16:16">
      <c r="P47051" s="2498"/>
    </row>
    <row r="47052" spans="16:16">
      <c r="P47052" s="2498"/>
    </row>
    <row r="47053" spans="16:16">
      <c r="P47053" s="2498"/>
    </row>
    <row r="47054" spans="16:16">
      <c r="P47054" s="2498"/>
    </row>
    <row r="47055" spans="16:16">
      <c r="P47055" s="2498"/>
    </row>
    <row r="47056" spans="16:16">
      <c r="P47056" s="2498"/>
    </row>
    <row r="47057" spans="16:16">
      <c r="P47057" s="2498"/>
    </row>
    <row r="47058" spans="16:16">
      <c r="P47058" s="2498"/>
    </row>
    <row r="47059" spans="16:16">
      <c r="P47059" s="2498"/>
    </row>
    <row r="47060" spans="16:16">
      <c r="P47060" s="2498"/>
    </row>
    <row r="47061" spans="16:16">
      <c r="P47061" s="2498"/>
    </row>
    <row r="47062" spans="16:16">
      <c r="P47062" s="2498"/>
    </row>
    <row r="47063" spans="16:16">
      <c r="P47063" s="2498"/>
    </row>
    <row r="47064" spans="16:16">
      <c r="P47064" s="2498"/>
    </row>
    <row r="47065" spans="16:16">
      <c r="P47065" s="2498"/>
    </row>
    <row r="47066" spans="16:16">
      <c r="P47066" s="2498"/>
    </row>
    <row r="47067" spans="16:16">
      <c r="P47067" s="2498"/>
    </row>
    <row r="47068" spans="16:16">
      <c r="P47068" s="2498"/>
    </row>
    <row r="47069" spans="16:16">
      <c r="P47069" s="2498"/>
    </row>
    <row r="47070" spans="16:16">
      <c r="P47070" s="2498"/>
    </row>
    <row r="47071" spans="16:16">
      <c r="P47071" s="2498"/>
    </row>
    <row r="47072" spans="16:16">
      <c r="P47072" s="2498"/>
    </row>
    <row r="47073" spans="16:16">
      <c r="P47073" s="2498"/>
    </row>
    <row r="47074" spans="16:16">
      <c r="P47074" s="2498"/>
    </row>
    <row r="47075" spans="16:16">
      <c r="P47075" s="2498"/>
    </row>
    <row r="47076" spans="16:16">
      <c r="P47076" s="2498"/>
    </row>
    <row r="47077" spans="16:16">
      <c r="P47077" s="2498"/>
    </row>
    <row r="47078" spans="16:16">
      <c r="P47078" s="2498"/>
    </row>
    <row r="47079" spans="16:16">
      <c r="P47079" s="2498"/>
    </row>
    <row r="47080" spans="16:16">
      <c r="P47080" s="2498"/>
    </row>
    <row r="47081" spans="16:16">
      <c r="P47081" s="2498"/>
    </row>
    <row r="47082" spans="16:16">
      <c r="P47082" s="2498"/>
    </row>
    <row r="47083" spans="16:16">
      <c r="P47083" s="2498"/>
    </row>
    <row r="47084" spans="16:16">
      <c r="P47084" s="2498"/>
    </row>
    <row r="47085" spans="16:16">
      <c r="P47085" s="2498"/>
    </row>
    <row r="47086" spans="16:16">
      <c r="P47086" s="2498"/>
    </row>
    <row r="47087" spans="16:16">
      <c r="P47087" s="2498"/>
    </row>
    <row r="47088" spans="16:16">
      <c r="P47088" s="2498"/>
    </row>
    <row r="47089" spans="16:16">
      <c r="P47089" s="2498"/>
    </row>
    <row r="47090" spans="16:16">
      <c r="P47090" s="2498"/>
    </row>
    <row r="47091" spans="16:16">
      <c r="P47091" s="2498"/>
    </row>
    <row r="47092" spans="16:16">
      <c r="P47092" s="2498"/>
    </row>
    <row r="47093" spans="16:16">
      <c r="P47093" s="2498"/>
    </row>
    <row r="47094" spans="16:16">
      <c r="P47094" s="2498"/>
    </row>
    <row r="47095" spans="16:16">
      <c r="P47095" s="2498"/>
    </row>
    <row r="47096" spans="16:16">
      <c r="P47096" s="2498"/>
    </row>
    <row r="47097" spans="16:16">
      <c r="P47097" s="2498"/>
    </row>
    <row r="47098" spans="16:16">
      <c r="P47098" s="2498"/>
    </row>
    <row r="47099" spans="16:16">
      <c r="P47099" s="2498"/>
    </row>
    <row r="47100" spans="16:16">
      <c r="P47100" s="2498"/>
    </row>
    <row r="47101" spans="16:16">
      <c r="P47101" s="2498"/>
    </row>
    <row r="47102" spans="16:16">
      <c r="P47102" s="2498"/>
    </row>
    <row r="47103" spans="16:16">
      <c r="P47103" s="2498"/>
    </row>
    <row r="47104" spans="16:16">
      <c r="P47104" s="2498"/>
    </row>
    <row r="47105" spans="16:16">
      <c r="P47105" s="2498"/>
    </row>
    <row r="47106" spans="16:16">
      <c r="P47106" s="2498"/>
    </row>
    <row r="47107" spans="16:16">
      <c r="P47107" s="2498"/>
    </row>
    <row r="47108" spans="16:16">
      <c r="P47108" s="2498"/>
    </row>
    <row r="47109" spans="16:16">
      <c r="P47109" s="2498"/>
    </row>
    <row r="47110" spans="16:16">
      <c r="P47110" s="2498"/>
    </row>
    <row r="47111" spans="16:16">
      <c r="P47111" s="2498"/>
    </row>
    <row r="47112" spans="16:16">
      <c r="P47112" s="2498"/>
    </row>
    <row r="47113" spans="16:16">
      <c r="P47113" s="2498"/>
    </row>
    <row r="47114" spans="16:16">
      <c r="P47114" s="2498"/>
    </row>
    <row r="47115" spans="16:16">
      <c r="P47115" s="2498"/>
    </row>
    <row r="47116" spans="16:16">
      <c r="P47116" s="2498"/>
    </row>
    <row r="47117" spans="16:16">
      <c r="P47117" s="2498"/>
    </row>
    <row r="47118" spans="16:16">
      <c r="P47118" s="2498"/>
    </row>
    <row r="47119" spans="16:16">
      <c r="P47119" s="2498"/>
    </row>
    <row r="47120" spans="16:16">
      <c r="P47120" s="2498"/>
    </row>
    <row r="47121" spans="16:16">
      <c r="P47121" s="2498"/>
    </row>
    <row r="47122" spans="16:16">
      <c r="P47122" s="2498"/>
    </row>
    <row r="47123" spans="16:16">
      <c r="P47123" s="2498"/>
    </row>
    <row r="47124" spans="16:16">
      <c r="P47124" s="2498"/>
    </row>
    <row r="47125" spans="16:16">
      <c r="P47125" s="2498"/>
    </row>
    <row r="47126" spans="16:16">
      <c r="P47126" s="2498"/>
    </row>
    <row r="47127" spans="16:16">
      <c r="P47127" s="2498"/>
    </row>
    <row r="47128" spans="16:16">
      <c r="P47128" s="2498"/>
    </row>
    <row r="47129" spans="16:16">
      <c r="P47129" s="2498"/>
    </row>
    <row r="47130" spans="16:16">
      <c r="P47130" s="2498"/>
    </row>
    <row r="47131" spans="16:16">
      <c r="P47131" s="2498"/>
    </row>
    <row r="47132" spans="16:16">
      <c r="P47132" s="2498"/>
    </row>
    <row r="47133" spans="16:16">
      <c r="P47133" s="2498"/>
    </row>
    <row r="47134" spans="16:16">
      <c r="P47134" s="2498"/>
    </row>
    <row r="47135" spans="16:16">
      <c r="P47135" s="2498"/>
    </row>
    <row r="47136" spans="16:16">
      <c r="P47136" s="2498"/>
    </row>
    <row r="47137" spans="16:16">
      <c r="P47137" s="2498"/>
    </row>
    <row r="47138" spans="16:16">
      <c r="P47138" s="2498"/>
    </row>
    <row r="47139" spans="16:16">
      <c r="P47139" s="2498"/>
    </row>
    <row r="47140" spans="16:16">
      <c r="P47140" s="2498"/>
    </row>
    <row r="47141" spans="16:16">
      <c r="P47141" s="2498"/>
    </row>
    <row r="47142" spans="16:16">
      <c r="P47142" s="2498"/>
    </row>
    <row r="47143" spans="16:16">
      <c r="P47143" s="2498"/>
    </row>
    <row r="47144" spans="16:16">
      <c r="P47144" s="2498"/>
    </row>
    <row r="47145" spans="16:16">
      <c r="P47145" s="2498"/>
    </row>
    <row r="47146" spans="16:16">
      <c r="P47146" s="2498"/>
    </row>
    <row r="47147" spans="16:16">
      <c r="P47147" s="2498"/>
    </row>
    <row r="47148" spans="16:16">
      <c r="P47148" s="2498"/>
    </row>
    <row r="47149" spans="16:16">
      <c r="P47149" s="2498"/>
    </row>
    <row r="47150" spans="16:16">
      <c r="P47150" s="2498"/>
    </row>
    <row r="47151" spans="16:16">
      <c r="P47151" s="2498"/>
    </row>
    <row r="47152" spans="16:16">
      <c r="P47152" s="2498"/>
    </row>
    <row r="47153" spans="16:16">
      <c r="P47153" s="2498"/>
    </row>
    <row r="47154" spans="16:16">
      <c r="P47154" s="2498"/>
    </row>
    <row r="47155" spans="16:16">
      <c r="P47155" s="2498"/>
    </row>
    <row r="47156" spans="16:16">
      <c r="P47156" s="2498"/>
    </row>
    <row r="47157" spans="16:16">
      <c r="P47157" s="2498"/>
    </row>
    <row r="47158" spans="16:16">
      <c r="P47158" s="2498"/>
    </row>
    <row r="47159" spans="16:16">
      <c r="P47159" s="2498"/>
    </row>
    <row r="47160" spans="16:16">
      <c r="P47160" s="2498"/>
    </row>
    <row r="47161" spans="16:16">
      <c r="P47161" s="2498"/>
    </row>
    <row r="47162" spans="16:16">
      <c r="P47162" s="2498"/>
    </row>
    <row r="47163" spans="16:16">
      <c r="P47163" s="2498"/>
    </row>
    <row r="47164" spans="16:16">
      <c r="P47164" s="2498"/>
    </row>
    <row r="47165" spans="16:16">
      <c r="P47165" s="2498"/>
    </row>
    <row r="47166" spans="16:16">
      <c r="P47166" s="2498"/>
    </row>
    <row r="47167" spans="16:16">
      <c r="P47167" s="2498"/>
    </row>
    <row r="47168" spans="16:16">
      <c r="P47168" s="2498"/>
    </row>
    <row r="47169" spans="16:16">
      <c r="P47169" s="2498"/>
    </row>
    <row r="47170" spans="16:16">
      <c r="P47170" s="2498"/>
    </row>
    <row r="47171" spans="16:16">
      <c r="P47171" s="2498"/>
    </row>
    <row r="47172" spans="16:16">
      <c r="P47172" s="2498"/>
    </row>
    <row r="47173" spans="16:16">
      <c r="P47173" s="2498"/>
    </row>
    <row r="47174" spans="16:16">
      <c r="P47174" s="2498"/>
    </row>
    <row r="47175" spans="16:16">
      <c r="P47175" s="2498"/>
    </row>
    <row r="47176" spans="16:16">
      <c r="P47176" s="2498"/>
    </row>
    <row r="47177" spans="16:16">
      <c r="P47177" s="2498"/>
    </row>
    <row r="47178" spans="16:16">
      <c r="P47178" s="2498"/>
    </row>
    <row r="47179" spans="16:16">
      <c r="P47179" s="2498"/>
    </row>
    <row r="47180" spans="16:16">
      <c r="P47180" s="2498"/>
    </row>
    <row r="47181" spans="16:16">
      <c r="P47181" s="2498"/>
    </row>
    <row r="47182" spans="16:16">
      <c r="P47182" s="2498"/>
    </row>
    <row r="47183" spans="16:16">
      <c r="P47183" s="2498"/>
    </row>
    <row r="47184" spans="16:16">
      <c r="P47184" s="2498"/>
    </row>
    <row r="47185" spans="16:16">
      <c r="P47185" s="2498"/>
    </row>
    <row r="47186" spans="16:16">
      <c r="P47186" s="2498"/>
    </row>
    <row r="47187" spans="16:16">
      <c r="P47187" s="2498"/>
    </row>
    <row r="47188" spans="16:16">
      <c r="P47188" s="2498"/>
    </row>
    <row r="47189" spans="16:16">
      <c r="P47189" s="2498"/>
    </row>
    <row r="47190" spans="16:16">
      <c r="P47190" s="2498"/>
    </row>
    <row r="47191" spans="16:16">
      <c r="P47191" s="2498"/>
    </row>
    <row r="47192" spans="16:16">
      <c r="P47192" s="2498"/>
    </row>
    <row r="47193" spans="16:16">
      <c r="P47193" s="2498"/>
    </row>
    <row r="47194" spans="16:16">
      <c r="P47194" s="2498"/>
    </row>
    <row r="47195" spans="16:16">
      <c r="P47195" s="2498"/>
    </row>
    <row r="47196" spans="16:16">
      <c r="P47196" s="2498"/>
    </row>
    <row r="47197" spans="16:16">
      <c r="P47197" s="2498"/>
    </row>
    <row r="47198" spans="16:16">
      <c r="P47198" s="2498"/>
    </row>
    <row r="47199" spans="16:16">
      <c r="P47199" s="2498"/>
    </row>
    <row r="47200" spans="16:16">
      <c r="P47200" s="2498"/>
    </row>
    <row r="47201" spans="16:16">
      <c r="P47201" s="2498"/>
    </row>
    <row r="47202" spans="16:16">
      <c r="P47202" s="2498"/>
    </row>
    <row r="47203" spans="16:16">
      <c r="P47203" s="2498"/>
    </row>
    <row r="47204" spans="16:16">
      <c r="P47204" s="2498"/>
    </row>
    <row r="47205" spans="16:16">
      <c r="P47205" s="2498"/>
    </row>
    <row r="47206" spans="16:16">
      <c r="P47206" s="2498"/>
    </row>
    <row r="47207" spans="16:16">
      <c r="P47207" s="2498"/>
    </row>
    <row r="47208" spans="16:16">
      <c r="P47208" s="2498"/>
    </row>
    <row r="47209" spans="16:16">
      <c r="P47209" s="2498"/>
    </row>
    <row r="47210" spans="16:16">
      <c r="P47210" s="2498"/>
    </row>
    <row r="47211" spans="16:16">
      <c r="P47211" s="2498"/>
    </row>
    <row r="47212" spans="16:16">
      <c r="P47212" s="2498"/>
    </row>
    <row r="47213" spans="16:16">
      <c r="P47213" s="2498"/>
    </row>
    <row r="47214" spans="16:16">
      <c r="P47214" s="2498"/>
    </row>
    <row r="47215" spans="16:16">
      <c r="P47215" s="2498"/>
    </row>
    <row r="47216" spans="16:16">
      <c r="P47216" s="2498"/>
    </row>
    <row r="47217" spans="16:16">
      <c r="P47217" s="2498"/>
    </row>
    <row r="47218" spans="16:16">
      <c r="P47218" s="2498"/>
    </row>
    <row r="47219" spans="16:16">
      <c r="P47219" s="2498"/>
    </row>
    <row r="47220" spans="16:16">
      <c r="P47220" s="2498"/>
    </row>
    <row r="47221" spans="16:16">
      <c r="P47221" s="2498"/>
    </row>
    <row r="47222" spans="16:16">
      <c r="P47222" s="2498"/>
    </row>
    <row r="47223" spans="16:16">
      <c r="P47223" s="2498"/>
    </row>
    <row r="47224" spans="16:16">
      <c r="P47224" s="2498"/>
    </row>
    <row r="47225" spans="16:16">
      <c r="P47225" s="2498"/>
    </row>
    <row r="47226" spans="16:16">
      <c r="P47226" s="2498"/>
    </row>
    <row r="47227" spans="16:16">
      <c r="P47227" s="2498"/>
    </row>
    <row r="47228" spans="16:16">
      <c r="P47228" s="2498"/>
    </row>
    <row r="47229" spans="16:16">
      <c r="P47229" s="2498"/>
    </row>
    <row r="47230" spans="16:16">
      <c r="P47230" s="2498"/>
    </row>
    <row r="47231" spans="16:16">
      <c r="P47231" s="2498"/>
    </row>
    <row r="47232" spans="16:16">
      <c r="P47232" s="2498"/>
    </row>
    <row r="47233" spans="16:16">
      <c r="P47233" s="2498"/>
    </row>
    <row r="47234" spans="16:16">
      <c r="P47234" s="2498"/>
    </row>
    <row r="47235" spans="16:16">
      <c r="P47235" s="2498"/>
    </row>
    <row r="47236" spans="16:16">
      <c r="P47236" s="2498"/>
    </row>
    <row r="47237" spans="16:16">
      <c r="P47237" s="2498"/>
    </row>
    <row r="47238" spans="16:16">
      <c r="P47238" s="2498"/>
    </row>
    <row r="47239" spans="16:16">
      <c r="P47239" s="2498"/>
    </row>
    <row r="47240" spans="16:16">
      <c r="P47240" s="2498"/>
    </row>
    <row r="47241" spans="16:16">
      <c r="P47241" s="2498"/>
    </row>
    <row r="47242" spans="16:16">
      <c r="P47242" s="2498"/>
    </row>
    <row r="47243" spans="16:16">
      <c r="P47243" s="2498"/>
    </row>
    <row r="47244" spans="16:16">
      <c r="P47244" s="2498"/>
    </row>
    <row r="47245" spans="16:16">
      <c r="P47245" s="2498"/>
    </row>
    <row r="47246" spans="16:16">
      <c r="P47246" s="2498"/>
    </row>
    <row r="47247" spans="16:16">
      <c r="P47247" s="2498"/>
    </row>
    <row r="47248" spans="16:16">
      <c r="P47248" s="2498"/>
    </row>
    <row r="47249" spans="16:16">
      <c r="P47249" s="2498"/>
    </row>
    <row r="47250" spans="16:16">
      <c r="P47250" s="2498"/>
    </row>
    <row r="47251" spans="16:16">
      <c r="P47251" s="2498"/>
    </row>
    <row r="47252" spans="16:16">
      <c r="P47252" s="2498"/>
    </row>
    <row r="47253" spans="16:16">
      <c r="P47253" s="2498"/>
    </row>
    <row r="47254" spans="16:16">
      <c r="P47254" s="2498"/>
    </row>
    <row r="47255" spans="16:16">
      <c r="P47255" s="2498"/>
    </row>
    <row r="47256" spans="16:16">
      <c r="P47256" s="2498"/>
    </row>
    <row r="47257" spans="16:16">
      <c r="P47257" s="2498"/>
    </row>
    <row r="47258" spans="16:16">
      <c r="P47258" s="2498"/>
    </row>
    <row r="47259" spans="16:16">
      <c r="P47259" s="2498"/>
    </row>
    <row r="47260" spans="16:16">
      <c r="P47260" s="2498"/>
    </row>
    <row r="47261" spans="16:16">
      <c r="P47261" s="2498"/>
    </row>
    <row r="47262" spans="16:16">
      <c r="P47262" s="2498"/>
    </row>
    <row r="47263" spans="16:16">
      <c r="P47263" s="2498"/>
    </row>
    <row r="47264" spans="16:16">
      <c r="P47264" s="2498"/>
    </row>
    <row r="47265" spans="16:16">
      <c r="P47265" s="2498"/>
    </row>
    <row r="47266" spans="16:16">
      <c r="P47266" s="2498"/>
    </row>
    <row r="47267" spans="16:16">
      <c r="P47267" s="2498"/>
    </row>
    <row r="47268" spans="16:16">
      <c r="P47268" s="2498"/>
    </row>
    <row r="47269" spans="16:16">
      <c r="P47269" s="2498"/>
    </row>
    <row r="47270" spans="16:16">
      <c r="P47270" s="2498"/>
    </row>
    <row r="47271" spans="16:16">
      <c r="P47271" s="2498"/>
    </row>
    <row r="47272" spans="16:16">
      <c r="P47272" s="2498"/>
    </row>
    <row r="47273" spans="16:16">
      <c r="P47273" s="2498"/>
    </row>
    <row r="47274" spans="16:16">
      <c r="P47274" s="2498"/>
    </row>
    <row r="47275" spans="16:16">
      <c r="P47275" s="2498"/>
    </row>
    <row r="47276" spans="16:16">
      <c r="P47276" s="2498"/>
    </row>
    <row r="47277" spans="16:16">
      <c r="P47277" s="2498"/>
    </row>
    <row r="47278" spans="16:16">
      <c r="P47278" s="2498"/>
    </row>
    <row r="47279" spans="16:16">
      <c r="P47279" s="2498"/>
    </row>
    <row r="47280" spans="16:16">
      <c r="P47280" s="2498"/>
    </row>
    <row r="47281" spans="16:16">
      <c r="P47281" s="2498"/>
    </row>
    <row r="47282" spans="16:16">
      <c r="P47282" s="2498"/>
    </row>
    <row r="47283" spans="16:16">
      <c r="P47283" s="2498"/>
    </row>
    <row r="47284" spans="16:16">
      <c r="P47284" s="2498"/>
    </row>
    <row r="47285" spans="16:16">
      <c r="P47285" s="2498"/>
    </row>
    <row r="47286" spans="16:16">
      <c r="P47286" s="2498"/>
    </row>
    <row r="47287" spans="16:16">
      <c r="P47287" s="2498"/>
    </row>
    <row r="47288" spans="16:16">
      <c r="P47288" s="2498"/>
    </row>
    <row r="47289" spans="16:16">
      <c r="P47289" s="2498"/>
    </row>
    <row r="47290" spans="16:16">
      <c r="P47290" s="2498"/>
    </row>
    <row r="47291" spans="16:16">
      <c r="P47291" s="2498"/>
    </row>
    <row r="47292" spans="16:16">
      <c r="P47292" s="2498"/>
    </row>
    <row r="47293" spans="16:16">
      <c r="P47293" s="2498"/>
    </row>
    <row r="47294" spans="16:16">
      <c r="P47294" s="2498"/>
    </row>
    <row r="47295" spans="16:16">
      <c r="P47295" s="2498"/>
    </row>
    <row r="47296" spans="16:16">
      <c r="P47296" s="2498"/>
    </row>
    <row r="47297" spans="16:16">
      <c r="P47297" s="2498"/>
    </row>
    <row r="47298" spans="16:16">
      <c r="P47298" s="2498"/>
    </row>
    <row r="47299" spans="16:16">
      <c r="P47299" s="2498"/>
    </row>
    <row r="47300" spans="16:16">
      <c r="P47300" s="2498"/>
    </row>
    <row r="47301" spans="16:16">
      <c r="P47301" s="2498"/>
    </row>
    <row r="47302" spans="16:16">
      <c r="P47302" s="2498"/>
    </row>
    <row r="47303" spans="16:16">
      <c r="P47303" s="2498"/>
    </row>
    <row r="47304" spans="16:16">
      <c r="P47304" s="2498"/>
    </row>
    <row r="47305" spans="16:16">
      <c r="P47305" s="2498"/>
    </row>
    <row r="47306" spans="16:16">
      <c r="P47306" s="2498"/>
    </row>
    <row r="47307" spans="16:16">
      <c r="P47307" s="2498"/>
    </row>
    <row r="47308" spans="16:16">
      <c r="P47308" s="2498"/>
    </row>
    <row r="47309" spans="16:16">
      <c r="P47309" s="2498"/>
    </row>
    <row r="47310" spans="16:16">
      <c r="P47310" s="2498"/>
    </row>
    <row r="47311" spans="16:16">
      <c r="P47311" s="2498"/>
    </row>
    <row r="47312" spans="16:16">
      <c r="P47312" s="2498"/>
    </row>
    <row r="47313" spans="16:16">
      <c r="P47313" s="2498"/>
    </row>
    <row r="47314" spans="16:16">
      <c r="P47314" s="2498"/>
    </row>
    <row r="47315" spans="16:16">
      <c r="P47315" s="2498"/>
    </row>
    <row r="47316" spans="16:16">
      <c r="P47316" s="2498"/>
    </row>
    <row r="47317" spans="16:16">
      <c r="P47317" s="2498"/>
    </row>
    <row r="47318" spans="16:16">
      <c r="P47318" s="2498"/>
    </row>
    <row r="47319" spans="16:16">
      <c r="P47319" s="2498"/>
    </row>
    <row r="47320" spans="16:16">
      <c r="P47320" s="2498"/>
    </row>
    <row r="47321" spans="16:16">
      <c r="P47321" s="2498"/>
    </row>
    <row r="47322" spans="16:16">
      <c r="P47322" s="2498"/>
    </row>
    <row r="47323" spans="16:16">
      <c r="P47323" s="2498"/>
    </row>
    <row r="47324" spans="16:16">
      <c r="P47324" s="2498"/>
    </row>
    <row r="47325" spans="16:16">
      <c r="P47325" s="2498"/>
    </row>
    <row r="47326" spans="16:16">
      <c r="P47326" s="2498"/>
    </row>
    <row r="47327" spans="16:16">
      <c r="P47327" s="2498"/>
    </row>
    <row r="47328" spans="16:16">
      <c r="P47328" s="2498"/>
    </row>
    <row r="47329" spans="16:16">
      <c r="P47329" s="2498"/>
    </row>
    <row r="47330" spans="16:16">
      <c r="P47330" s="2498"/>
    </row>
    <row r="47331" spans="16:16">
      <c r="P47331" s="2498"/>
    </row>
    <row r="47332" spans="16:16">
      <c r="P47332" s="2498"/>
    </row>
    <row r="47333" spans="16:16">
      <c r="P47333" s="2498"/>
    </row>
    <row r="47334" spans="16:16">
      <c r="P47334" s="2498"/>
    </row>
    <row r="47335" spans="16:16">
      <c r="P47335" s="2498"/>
    </row>
    <row r="47336" spans="16:16">
      <c r="P47336" s="2498"/>
    </row>
    <row r="47337" spans="16:16">
      <c r="P47337" s="2498"/>
    </row>
    <row r="47338" spans="16:16">
      <c r="P47338" s="2498"/>
    </row>
    <row r="47339" spans="16:16">
      <c r="P47339" s="2498"/>
    </row>
    <row r="47340" spans="16:16">
      <c r="P47340" s="2498"/>
    </row>
    <row r="47341" spans="16:16">
      <c r="P47341" s="2498"/>
    </row>
    <row r="47342" spans="16:16">
      <c r="P47342" s="2498"/>
    </row>
    <row r="47343" spans="16:16">
      <c r="P47343" s="2498"/>
    </row>
    <row r="47344" spans="16:16">
      <c r="P47344" s="2498"/>
    </row>
    <row r="47345" spans="16:16">
      <c r="P47345" s="2498"/>
    </row>
    <row r="47346" spans="16:16">
      <c r="P47346" s="2498"/>
    </row>
    <row r="47347" spans="16:16">
      <c r="P47347" s="2498"/>
    </row>
    <row r="47348" spans="16:16">
      <c r="P47348" s="2498"/>
    </row>
    <row r="47349" spans="16:16">
      <c r="P47349" s="2498"/>
    </row>
    <row r="47350" spans="16:16">
      <c r="P47350" s="2498"/>
    </row>
    <row r="47351" spans="16:16">
      <c r="P47351" s="2498"/>
    </row>
    <row r="47352" spans="16:16">
      <c r="P47352" s="2498"/>
    </row>
    <row r="47353" spans="16:16">
      <c r="P47353" s="2498"/>
    </row>
    <row r="47354" spans="16:16">
      <c r="P47354" s="2498"/>
    </row>
    <row r="47355" spans="16:16">
      <c r="P47355" s="2498"/>
    </row>
    <row r="47356" spans="16:16">
      <c r="P47356" s="2498"/>
    </row>
    <row r="47357" spans="16:16">
      <c r="P47357" s="2498"/>
    </row>
    <row r="47358" spans="16:16">
      <c r="P47358" s="2498"/>
    </row>
    <row r="47359" spans="16:16">
      <c r="P47359" s="2498"/>
    </row>
    <row r="47360" spans="16:16">
      <c r="P47360" s="2498"/>
    </row>
    <row r="47361" spans="16:16">
      <c r="P47361" s="2498"/>
    </row>
    <row r="47362" spans="16:16">
      <c r="P47362" s="2498"/>
    </row>
    <row r="47363" spans="16:16">
      <c r="P47363" s="2498"/>
    </row>
    <row r="47364" spans="16:16">
      <c r="P47364" s="2498"/>
    </row>
    <row r="47365" spans="16:16">
      <c r="P47365" s="2498"/>
    </row>
    <row r="47366" spans="16:16">
      <c r="P47366" s="2498"/>
    </row>
    <row r="47367" spans="16:16">
      <c r="P47367" s="2498"/>
    </row>
    <row r="47368" spans="16:16">
      <c r="P47368" s="2498"/>
    </row>
    <row r="47369" spans="16:16">
      <c r="P47369" s="2498"/>
    </row>
    <row r="47370" spans="16:16">
      <c r="P47370" s="2498"/>
    </row>
    <row r="47371" spans="16:16">
      <c r="P47371" s="2498"/>
    </row>
    <row r="47372" spans="16:16">
      <c r="P47372" s="2498"/>
    </row>
    <row r="47373" spans="16:16">
      <c r="P47373" s="2498"/>
    </row>
    <row r="47374" spans="16:16">
      <c r="P47374" s="2498"/>
    </row>
    <row r="47375" spans="16:16">
      <c r="P47375" s="2498"/>
    </row>
    <row r="47376" spans="16:16">
      <c r="P47376" s="2498"/>
    </row>
    <row r="47377" spans="16:16">
      <c r="P47377" s="2498"/>
    </row>
    <row r="47378" spans="16:16">
      <c r="P47378" s="2498"/>
    </row>
    <row r="47379" spans="16:16">
      <c r="P47379" s="2498"/>
    </row>
    <row r="47380" spans="16:16">
      <c r="P47380" s="2498"/>
    </row>
    <row r="47381" spans="16:16">
      <c r="P47381" s="2498"/>
    </row>
    <row r="47382" spans="16:16">
      <c r="P47382" s="2498"/>
    </row>
    <row r="47383" spans="16:16">
      <c r="P47383" s="2498"/>
    </row>
    <row r="47384" spans="16:16">
      <c r="P47384" s="2498"/>
    </row>
    <row r="47385" spans="16:16">
      <c r="P47385" s="2498"/>
    </row>
    <row r="47386" spans="16:16">
      <c r="P47386" s="2498"/>
    </row>
    <row r="47387" spans="16:16">
      <c r="P47387" s="2498"/>
    </row>
    <row r="47388" spans="16:16">
      <c r="P47388" s="2498"/>
    </row>
    <row r="47389" spans="16:16">
      <c r="P47389" s="2498"/>
    </row>
    <row r="47390" spans="16:16">
      <c r="P47390" s="2498"/>
    </row>
    <row r="47391" spans="16:16">
      <c r="P47391" s="2498"/>
    </row>
    <row r="47392" spans="16:16">
      <c r="P47392" s="2498"/>
    </row>
    <row r="47393" spans="16:16">
      <c r="P47393" s="2498"/>
    </row>
    <row r="47394" spans="16:16">
      <c r="P47394" s="2498"/>
    </row>
    <row r="47395" spans="16:16">
      <c r="P47395" s="2498"/>
    </row>
    <row r="47396" spans="16:16">
      <c r="P47396" s="2498"/>
    </row>
    <row r="47397" spans="16:16">
      <c r="P47397" s="2498"/>
    </row>
    <row r="47398" spans="16:16">
      <c r="P47398" s="2498"/>
    </row>
    <row r="47399" spans="16:16">
      <c r="P47399" s="2498"/>
    </row>
    <row r="47400" spans="16:16">
      <c r="P47400" s="2498"/>
    </row>
    <row r="47401" spans="16:16">
      <c r="P47401" s="2498"/>
    </row>
    <row r="47402" spans="16:16">
      <c r="P47402" s="2498"/>
    </row>
    <row r="47403" spans="16:16">
      <c r="P47403" s="2498"/>
    </row>
    <row r="47404" spans="16:16">
      <c r="P47404" s="2498"/>
    </row>
    <row r="47405" spans="16:16">
      <c r="P47405" s="2498"/>
    </row>
    <row r="47406" spans="16:16">
      <c r="P47406" s="2498"/>
    </row>
    <row r="47407" spans="16:16">
      <c r="P47407" s="2498"/>
    </row>
    <row r="47408" spans="16:16">
      <c r="P47408" s="2498"/>
    </row>
    <row r="47409" spans="16:16">
      <c r="P47409" s="2498"/>
    </row>
    <row r="47410" spans="16:16">
      <c r="P47410" s="2498"/>
    </row>
    <row r="47411" spans="16:16">
      <c r="P47411" s="2498"/>
    </row>
    <row r="47412" spans="16:16">
      <c r="P47412" s="2498"/>
    </row>
    <row r="47413" spans="16:16">
      <c r="P47413" s="2498"/>
    </row>
    <row r="47414" spans="16:16">
      <c r="P47414" s="2498"/>
    </row>
    <row r="47415" spans="16:16">
      <c r="P47415" s="2498"/>
    </row>
    <row r="47416" spans="16:16">
      <c r="P47416" s="2498"/>
    </row>
    <row r="47417" spans="16:16">
      <c r="P47417" s="2498"/>
    </row>
    <row r="47418" spans="16:16">
      <c r="P47418" s="2498"/>
    </row>
    <row r="47419" spans="16:16">
      <c r="P47419" s="2498"/>
    </row>
    <row r="47420" spans="16:16">
      <c r="P47420" s="2498"/>
    </row>
    <row r="47421" spans="16:16">
      <c r="P47421" s="2498"/>
    </row>
    <row r="47422" spans="16:16">
      <c r="P47422" s="2498"/>
    </row>
    <row r="47423" spans="16:16">
      <c r="P47423" s="2498"/>
    </row>
    <row r="47424" spans="16:16">
      <c r="P47424" s="2498"/>
    </row>
    <row r="47425" spans="16:16">
      <c r="P47425" s="2498"/>
    </row>
    <row r="47426" spans="16:16">
      <c r="P47426" s="2498"/>
    </row>
    <row r="47427" spans="16:16">
      <c r="P47427" s="2498"/>
    </row>
    <row r="47428" spans="16:16">
      <c r="P47428" s="2498"/>
    </row>
    <row r="47429" spans="16:16">
      <c r="P47429" s="2498"/>
    </row>
    <row r="47430" spans="16:16">
      <c r="P47430" s="2498"/>
    </row>
    <row r="47431" spans="16:16">
      <c r="P47431" s="2498"/>
    </row>
    <row r="47432" spans="16:16">
      <c r="P47432" s="2498"/>
    </row>
    <row r="47433" spans="16:16">
      <c r="P47433" s="2498"/>
    </row>
    <row r="47434" spans="16:16">
      <c r="P47434" s="2498"/>
    </row>
    <row r="47435" spans="16:16">
      <c r="P47435" s="2498"/>
    </row>
    <row r="47436" spans="16:16">
      <c r="P47436" s="2498"/>
    </row>
    <row r="47437" spans="16:16">
      <c r="P47437" s="2498"/>
    </row>
    <row r="47438" spans="16:16">
      <c r="P47438" s="2498"/>
    </row>
    <row r="47439" spans="16:16">
      <c r="P47439" s="2498"/>
    </row>
    <row r="47440" spans="16:16">
      <c r="P47440" s="2498"/>
    </row>
    <row r="47441" spans="16:16">
      <c r="P47441" s="2498"/>
    </row>
    <row r="47442" spans="16:16">
      <c r="P47442" s="2498"/>
    </row>
    <row r="47443" spans="16:16">
      <c r="P47443" s="2498"/>
    </row>
    <row r="47444" spans="16:16">
      <c r="P47444" s="2498"/>
    </row>
    <row r="47445" spans="16:16">
      <c r="P47445" s="2498"/>
    </row>
    <row r="47446" spans="16:16">
      <c r="P47446" s="2498"/>
    </row>
    <row r="47447" spans="16:16">
      <c r="P47447" s="2498"/>
    </row>
    <row r="47448" spans="16:16">
      <c r="P47448" s="2498"/>
    </row>
    <row r="47449" spans="16:16">
      <c r="P47449" s="2498"/>
    </row>
    <row r="47450" spans="16:16">
      <c r="P47450" s="2498"/>
    </row>
    <row r="47451" spans="16:16">
      <c r="P47451" s="2498"/>
    </row>
    <row r="47452" spans="16:16">
      <c r="P47452" s="2498"/>
    </row>
    <row r="47453" spans="16:16">
      <c r="P47453" s="2498"/>
    </row>
    <row r="47454" spans="16:16">
      <c r="P47454" s="2498"/>
    </row>
    <row r="47455" spans="16:16">
      <c r="P47455" s="2498"/>
    </row>
    <row r="47456" spans="16:16">
      <c r="P47456" s="2498"/>
    </row>
    <row r="47457" spans="16:16">
      <c r="P47457" s="2498"/>
    </row>
    <row r="47458" spans="16:16">
      <c r="P47458" s="2498"/>
    </row>
    <row r="47459" spans="16:16">
      <c r="P47459" s="2498"/>
    </row>
    <row r="47460" spans="16:16">
      <c r="P47460" s="2498"/>
    </row>
    <row r="47461" spans="16:16">
      <c r="P47461" s="2498"/>
    </row>
    <row r="47462" spans="16:16">
      <c r="P47462" s="2498"/>
    </row>
    <row r="47463" spans="16:16">
      <c r="P47463" s="2498"/>
    </row>
    <row r="47464" spans="16:16">
      <c r="P47464" s="2498"/>
    </row>
    <row r="47465" spans="16:16">
      <c r="P47465" s="2498"/>
    </row>
    <row r="47466" spans="16:16">
      <c r="P47466" s="2498"/>
    </row>
    <row r="47467" spans="16:16">
      <c r="P47467" s="2498"/>
    </row>
    <row r="47468" spans="16:16">
      <c r="P47468" s="2498"/>
    </row>
    <row r="47469" spans="16:16">
      <c r="P47469" s="2498"/>
    </row>
    <row r="47470" spans="16:16">
      <c r="P47470" s="2498"/>
    </row>
    <row r="47471" spans="16:16">
      <c r="P47471" s="2498"/>
    </row>
    <row r="47472" spans="16:16">
      <c r="P47472" s="2498"/>
    </row>
    <row r="47473" spans="16:16">
      <c r="P47473" s="2498"/>
    </row>
    <row r="47474" spans="16:16">
      <c r="P47474" s="2498"/>
    </row>
    <row r="47475" spans="16:16">
      <c r="P47475" s="2498"/>
    </row>
    <row r="47476" spans="16:16">
      <c r="P47476" s="2498"/>
    </row>
    <row r="47477" spans="16:16">
      <c r="P47477" s="2498"/>
    </row>
    <row r="47478" spans="16:16">
      <c r="P47478" s="2498"/>
    </row>
    <row r="47479" spans="16:16">
      <c r="P47479" s="2498"/>
    </row>
    <row r="47480" spans="16:16">
      <c r="P47480" s="2498"/>
    </row>
    <row r="47481" spans="16:16">
      <c r="P47481" s="2498"/>
    </row>
    <row r="47482" spans="16:16">
      <c r="P47482" s="2498"/>
    </row>
    <row r="47483" spans="16:16">
      <c r="P47483" s="2498"/>
    </row>
    <row r="47484" spans="16:16">
      <c r="P47484" s="2498"/>
    </row>
    <row r="47485" spans="16:16">
      <c r="P47485" s="2498"/>
    </row>
    <row r="47486" spans="16:16">
      <c r="P47486" s="2498"/>
    </row>
    <row r="47487" spans="16:16">
      <c r="P47487" s="2498"/>
    </row>
    <row r="47488" spans="16:16">
      <c r="P47488" s="2498"/>
    </row>
    <row r="47489" spans="16:16">
      <c r="P47489" s="2498"/>
    </row>
    <row r="47490" spans="16:16">
      <c r="P47490" s="2498"/>
    </row>
    <row r="47491" spans="16:16">
      <c r="P47491" s="2498"/>
    </row>
    <row r="47492" spans="16:16">
      <c r="P47492" s="2498"/>
    </row>
    <row r="47493" spans="16:16">
      <c r="P47493" s="2498"/>
    </row>
    <row r="47494" spans="16:16">
      <c r="P47494" s="2498"/>
    </row>
    <row r="47495" spans="16:16">
      <c r="P47495" s="2498"/>
    </row>
    <row r="47496" spans="16:16">
      <c r="P47496" s="2498"/>
    </row>
    <row r="47497" spans="16:16">
      <c r="P47497" s="2498"/>
    </row>
    <row r="47498" spans="16:16">
      <c r="P47498" s="2498"/>
    </row>
    <row r="47499" spans="16:16">
      <c r="P47499" s="2498"/>
    </row>
    <row r="47500" spans="16:16">
      <c r="P47500" s="2498"/>
    </row>
    <row r="47501" spans="16:16">
      <c r="P47501" s="2498"/>
    </row>
    <row r="47502" spans="16:16">
      <c r="P47502" s="2498"/>
    </row>
    <row r="47503" spans="16:16">
      <c r="P47503" s="2498"/>
    </row>
    <row r="47504" spans="16:16">
      <c r="P47504" s="2498"/>
    </row>
    <row r="47505" spans="16:16">
      <c r="P47505" s="2498"/>
    </row>
    <row r="47506" spans="16:16">
      <c r="P47506" s="2498"/>
    </row>
    <row r="47507" spans="16:16">
      <c r="P47507" s="2498"/>
    </row>
    <row r="47508" spans="16:16">
      <c r="P47508" s="2498"/>
    </row>
    <row r="47509" spans="16:16">
      <c r="P47509" s="2498"/>
    </row>
    <row r="47510" spans="16:16">
      <c r="P47510" s="2498"/>
    </row>
    <row r="47511" spans="16:16">
      <c r="P47511" s="2498"/>
    </row>
    <row r="47512" spans="16:16">
      <c r="P47512" s="2498"/>
    </row>
    <row r="47513" spans="16:16">
      <c r="P47513" s="2498"/>
    </row>
    <row r="47514" spans="16:16">
      <c r="P47514" s="2498"/>
    </row>
    <row r="47515" spans="16:16">
      <c r="P47515" s="2498"/>
    </row>
    <row r="47516" spans="16:16">
      <c r="P47516" s="2498"/>
    </row>
    <row r="47517" spans="16:16">
      <c r="P47517" s="2498"/>
    </row>
    <row r="47518" spans="16:16">
      <c r="P47518" s="2498"/>
    </row>
    <row r="47519" spans="16:16">
      <c r="P47519" s="2498"/>
    </row>
    <row r="47520" spans="16:16">
      <c r="P47520" s="2498"/>
    </row>
    <row r="47521" spans="16:16">
      <c r="P47521" s="2498"/>
    </row>
    <row r="47522" spans="16:16">
      <c r="P47522" s="2498"/>
    </row>
    <row r="47523" spans="16:16">
      <c r="P47523" s="2498"/>
    </row>
    <row r="47524" spans="16:16">
      <c r="P47524" s="2498"/>
    </row>
    <row r="47525" spans="16:16">
      <c r="P47525" s="2498"/>
    </row>
    <row r="47526" spans="16:16">
      <c r="P47526" s="2498"/>
    </row>
    <row r="47527" spans="16:16">
      <c r="P47527" s="2498"/>
    </row>
    <row r="47528" spans="16:16">
      <c r="P47528" s="2498"/>
    </row>
    <row r="47529" spans="16:16">
      <c r="P47529" s="2498"/>
    </row>
    <row r="47530" spans="16:16">
      <c r="P47530" s="2498"/>
    </row>
    <row r="47531" spans="16:16">
      <c r="P47531" s="2498"/>
    </row>
    <row r="47532" spans="16:16">
      <c r="P47532" s="2498"/>
    </row>
    <row r="47533" spans="16:16">
      <c r="P47533" s="2498"/>
    </row>
    <row r="47534" spans="16:16">
      <c r="P47534" s="2498"/>
    </row>
    <row r="47535" spans="16:16">
      <c r="P47535" s="2498"/>
    </row>
    <row r="47536" spans="16:16">
      <c r="P47536" s="2498"/>
    </row>
    <row r="47537" spans="16:16">
      <c r="P47537" s="2498"/>
    </row>
    <row r="47538" spans="16:16">
      <c r="P47538" s="2498"/>
    </row>
    <row r="47539" spans="16:16">
      <c r="P47539" s="2498"/>
    </row>
    <row r="47540" spans="16:16">
      <c r="P47540" s="2498"/>
    </row>
    <row r="47541" spans="16:16">
      <c r="P47541" s="2498"/>
    </row>
    <row r="47542" spans="16:16">
      <c r="P47542" s="2498"/>
    </row>
    <row r="47543" spans="16:16">
      <c r="P47543" s="2498"/>
    </row>
    <row r="47544" spans="16:16">
      <c r="P47544" s="2498"/>
    </row>
    <row r="47545" spans="16:16">
      <c r="P47545" s="2498"/>
    </row>
    <row r="47546" spans="16:16">
      <c r="P47546" s="2498"/>
    </row>
    <row r="47547" spans="16:16">
      <c r="P47547" s="2498"/>
    </row>
    <row r="47548" spans="16:16">
      <c r="P47548" s="2498"/>
    </row>
    <row r="47549" spans="16:16">
      <c r="P47549" s="2498"/>
    </row>
    <row r="47550" spans="16:16">
      <c r="P47550" s="2498"/>
    </row>
    <row r="47551" spans="16:16">
      <c r="P47551" s="2498"/>
    </row>
    <row r="47552" spans="16:16">
      <c r="P47552" s="2498"/>
    </row>
    <row r="47553" spans="16:16">
      <c r="P47553" s="2498"/>
    </row>
    <row r="47554" spans="16:16">
      <c r="P47554" s="2498"/>
    </row>
    <row r="47555" spans="16:16">
      <c r="P47555" s="2498"/>
    </row>
    <row r="47556" spans="16:16">
      <c r="P47556" s="2498"/>
    </row>
    <row r="47557" spans="16:16">
      <c r="P47557" s="2498"/>
    </row>
    <row r="47558" spans="16:16">
      <c r="P47558" s="2498"/>
    </row>
    <row r="47559" spans="16:16">
      <c r="P47559" s="2498"/>
    </row>
    <row r="47560" spans="16:16">
      <c r="P47560" s="2498"/>
    </row>
    <row r="47561" spans="16:16">
      <c r="P47561" s="2498"/>
    </row>
    <row r="47562" spans="16:16">
      <c r="P47562" s="2498"/>
    </row>
    <row r="47563" spans="16:16">
      <c r="P47563" s="2498"/>
    </row>
    <row r="47564" spans="16:16">
      <c r="P47564" s="2498"/>
    </row>
    <row r="47565" spans="16:16">
      <c r="P47565" s="2498"/>
    </row>
    <row r="47566" spans="16:16">
      <c r="P47566" s="2498"/>
    </row>
    <row r="47567" spans="16:16">
      <c r="P47567" s="2498"/>
    </row>
    <row r="47568" spans="16:16">
      <c r="P47568" s="2498"/>
    </row>
    <row r="47569" spans="16:16">
      <c r="P47569" s="2498"/>
    </row>
    <row r="47570" spans="16:16">
      <c r="P47570" s="2498"/>
    </row>
    <row r="47571" spans="16:16">
      <c r="P47571" s="2498"/>
    </row>
    <row r="47572" spans="16:16">
      <c r="P47572" s="2498"/>
    </row>
    <row r="47573" spans="16:16">
      <c r="P47573" s="2498"/>
    </row>
    <row r="47574" spans="16:16">
      <c r="P47574" s="2498"/>
    </row>
    <row r="47575" spans="16:16">
      <c r="P47575" s="2498"/>
    </row>
    <row r="47576" spans="16:16">
      <c r="P47576" s="2498"/>
    </row>
    <row r="47577" spans="16:16">
      <c r="P47577" s="2498"/>
    </row>
    <row r="47578" spans="16:16">
      <c r="P47578" s="2498"/>
    </row>
    <row r="47579" spans="16:16">
      <c r="P47579" s="2498"/>
    </row>
    <row r="47580" spans="16:16">
      <c r="P47580" s="2498"/>
    </row>
    <row r="47581" spans="16:16">
      <c r="P47581" s="2498"/>
    </row>
    <row r="47582" spans="16:16">
      <c r="P47582" s="2498"/>
    </row>
    <row r="47583" spans="16:16">
      <c r="P47583" s="2498"/>
    </row>
    <row r="47584" spans="16:16">
      <c r="P47584" s="2498"/>
    </row>
    <row r="47585" spans="16:16">
      <c r="P47585" s="2498"/>
    </row>
    <row r="47586" spans="16:16">
      <c r="P47586" s="2498"/>
    </row>
    <row r="47587" spans="16:16">
      <c r="P47587" s="2498"/>
    </row>
    <row r="47588" spans="16:16">
      <c r="P47588" s="2498"/>
    </row>
    <row r="47589" spans="16:16">
      <c r="P47589" s="2498"/>
    </row>
    <row r="47590" spans="16:16">
      <c r="P47590" s="2498"/>
    </row>
    <row r="47591" spans="16:16">
      <c r="P47591" s="2498"/>
    </row>
    <row r="47592" spans="16:16">
      <c r="P47592" s="2498"/>
    </row>
    <row r="47593" spans="16:16">
      <c r="P47593" s="2498"/>
    </row>
    <row r="47594" spans="16:16">
      <c r="P47594" s="2498"/>
    </row>
    <row r="47595" spans="16:16">
      <c r="P47595" s="2498"/>
    </row>
    <row r="47596" spans="16:16">
      <c r="P47596" s="2498"/>
    </row>
    <row r="47597" spans="16:16">
      <c r="P47597" s="2498"/>
    </row>
    <row r="47598" spans="16:16">
      <c r="P47598" s="2498"/>
    </row>
    <row r="47599" spans="16:16">
      <c r="P47599" s="2498"/>
    </row>
    <row r="47600" spans="16:16">
      <c r="P47600" s="2498"/>
    </row>
    <row r="47601" spans="16:16">
      <c r="P47601" s="2498"/>
    </row>
    <row r="47602" spans="16:16">
      <c r="P47602" s="2498"/>
    </row>
    <row r="47603" spans="16:16">
      <c r="P47603" s="2498"/>
    </row>
    <row r="47604" spans="16:16">
      <c r="P47604" s="2498"/>
    </row>
    <row r="47605" spans="16:16">
      <c r="P47605" s="2498"/>
    </row>
    <row r="47606" spans="16:16">
      <c r="P47606" s="2498"/>
    </row>
    <row r="47607" spans="16:16">
      <c r="P47607" s="2498"/>
    </row>
    <row r="47608" spans="16:16">
      <c r="P47608" s="2498"/>
    </row>
    <row r="47609" spans="16:16">
      <c r="P47609" s="2498"/>
    </row>
    <row r="47610" spans="16:16">
      <c r="P47610" s="2498"/>
    </row>
    <row r="47611" spans="16:16">
      <c r="P47611" s="2498"/>
    </row>
    <row r="47612" spans="16:16">
      <c r="P47612" s="2498"/>
    </row>
    <row r="47613" spans="16:16">
      <c r="P47613" s="2498"/>
    </row>
    <row r="47614" spans="16:16">
      <c r="P47614" s="2498"/>
    </row>
    <row r="47615" spans="16:16">
      <c r="P47615" s="2498"/>
    </row>
    <row r="47616" spans="16:16">
      <c r="P47616" s="2498"/>
    </row>
    <row r="47617" spans="16:16">
      <c r="P47617" s="2498"/>
    </row>
    <row r="47618" spans="16:16">
      <c r="P47618" s="2498"/>
    </row>
    <row r="47619" spans="16:16">
      <c r="P47619" s="2498"/>
    </row>
    <row r="47620" spans="16:16">
      <c r="P47620" s="2498"/>
    </row>
    <row r="47621" spans="16:16">
      <c r="P47621" s="2498"/>
    </row>
    <row r="47622" spans="16:16">
      <c r="P47622" s="2498"/>
    </row>
    <row r="47623" spans="16:16">
      <c r="P47623" s="2498"/>
    </row>
    <row r="47624" spans="16:16">
      <c r="P47624" s="2498"/>
    </row>
    <row r="47625" spans="16:16">
      <c r="P47625" s="2498"/>
    </row>
    <row r="47626" spans="16:16">
      <c r="P47626" s="2498"/>
    </row>
    <row r="47627" spans="16:16">
      <c r="P47627" s="2498"/>
    </row>
    <row r="47628" spans="16:16">
      <c r="P47628" s="2498"/>
    </row>
    <row r="47629" spans="16:16">
      <c r="P47629" s="2498"/>
    </row>
    <row r="47630" spans="16:16">
      <c r="P47630" s="2498"/>
    </row>
    <row r="47631" spans="16:16">
      <c r="P47631" s="2498"/>
    </row>
    <row r="47632" spans="16:16">
      <c r="P47632" s="2498"/>
    </row>
    <row r="47633" spans="16:16">
      <c r="P47633" s="2498"/>
    </row>
    <row r="47634" spans="16:16">
      <c r="P47634" s="2498"/>
    </row>
    <row r="47635" spans="16:16">
      <c r="P47635" s="2498"/>
    </row>
    <row r="47636" spans="16:16">
      <c r="P47636" s="2498"/>
    </row>
    <row r="47637" spans="16:16">
      <c r="P47637" s="2498"/>
    </row>
    <row r="47638" spans="16:16">
      <c r="P47638" s="2498"/>
    </row>
    <row r="47639" spans="16:16">
      <c r="P47639" s="2498"/>
    </row>
    <row r="47640" spans="16:16">
      <c r="P47640" s="2498"/>
    </row>
    <row r="47641" spans="16:16">
      <c r="P47641" s="2498"/>
    </row>
    <row r="47642" spans="16:16">
      <c r="P47642" s="2498"/>
    </row>
    <row r="47643" spans="16:16">
      <c r="P47643" s="2498"/>
    </row>
    <row r="47644" spans="16:16">
      <c r="P47644" s="2498"/>
    </row>
    <row r="47645" spans="16:16">
      <c r="P47645" s="2498"/>
    </row>
    <row r="47646" spans="16:16">
      <c r="P47646" s="2498"/>
    </row>
    <row r="47647" spans="16:16">
      <c r="P47647" s="2498"/>
    </row>
    <row r="47648" spans="16:16">
      <c r="P47648" s="2498"/>
    </row>
    <row r="47649" spans="16:16">
      <c r="P47649" s="2498"/>
    </row>
    <row r="47650" spans="16:16">
      <c r="P47650" s="2498"/>
    </row>
    <row r="47651" spans="16:16">
      <c r="P47651" s="2498"/>
    </row>
    <row r="47652" spans="16:16">
      <c r="P47652" s="2498"/>
    </row>
    <row r="47653" spans="16:16">
      <c r="P47653" s="2498"/>
    </row>
    <row r="47654" spans="16:16">
      <c r="P47654" s="2498"/>
    </row>
    <row r="47655" spans="16:16">
      <c r="P47655" s="2498"/>
    </row>
    <row r="47656" spans="16:16">
      <c r="P47656" s="2498"/>
    </row>
    <row r="47657" spans="16:16">
      <c r="P47657" s="2498"/>
    </row>
    <row r="47658" spans="16:16">
      <c r="P47658" s="2498"/>
    </row>
    <row r="47659" spans="16:16">
      <c r="P47659" s="2498"/>
    </row>
    <row r="47660" spans="16:16">
      <c r="P47660" s="2498"/>
    </row>
    <row r="47661" spans="16:16">
      <c r="P47661" s="2498"/>
    </row>
    <row r="47662" spans="16:16">
      <c r="P47662" s="2498"/>
    </row>
    <row r="47663" spans="16:16">
      <c r="P47663" s="2498"/>
    </row>
    <row r="47664" spans="16:16">
      <c r="P47664" s="2498"/>
    </row>
    <row r="47665" spans="16:16">
      <c r="P47665" s="2498"/>
    </row>
    <row r="47666" spans="16:16">
      <c r="P47666" s="2498"/>
    </row>
    <row r="47667" spans="16:16">
      <c r="P47667" s="2498"/>
    </row>
    <row r="47668" spans="16:16">
      <c r="P47668" s="2498"/>
    </row>
    <row r="47669" spans="16:16">
      <c r="P47669" s="2498"/>
    </row>
    <row r="47670" spans="16:16">
      <c r="P47670" s="2498"/>
    </row>
    <row r="47671" spans="16:16">
      <c r="P47671" s="2498"/>
    </row>
    <row r="47672" spans="16:16">
      <c r="P47672" s="2498"/>
    </row>
    <row r="47673" spans="16:16">
      <c r="P47673" s="2498"/>
    </row>
    <row r="47674" spans="16:16">
      <c r="P47674" s="2498"/>
    </row>
    <row r="47675" spans="16:16">
      <c r="P47675" s="2498"/>
    </row>
    <row r="47676" spans="16:16">
      <c r="P47676" s="2498"/>
    </row>
    <row r="47677" spans="16:16">
      <c r="P47677" s="2498"/>
    </row>
    <row r="47678" spans="16:16">
      <c r="P47678" s="2498"/>
    </row>
    <row r="47679" spans="16:16">
      <c r="P47679" s="2498"/>
    </row>
    <row r="47680" spans="16:16">
      <c r="P47680" s="2498"/>
    </row>
    <row r="47681" spans="16:16">
      <c r="P47681" s="2498"/>
    </row>
    <row r="47682" spans="16:16">
      <c r="P47682" s="2498"/>
    </row>
    <row r="47683" spans="16:16">
      <c r="P47683" s="2498"/>
    </row>
    <row r="47684" spans="16:16">
      <c r="P47684" s="2498"/>
    </row>
    <row r="47685" spans="16:16">
      <c r="P47685" s="2498"/>
    </row>
    <row r="47686" spans="16:16">
      <c r="P47686" s="2498"/>
    </row>
    <row r="47687" spans="16:16">
      <c r="P47687" s="2498"/>
    </row>
    <row r="47688" spans="16:16">
      <c r="P47688" s="2498"/>
    </row>
    <row r="47689" spans="16:16">
      <c r="P47689" s="2498"/>
    </row>
    <row r="47690" spans="16:16">
      <c r="P47690" s="2498"/>
    </row>
    <row r="47691" spans="16:16">
      <c r="P47691" s="2498"/>
    </row>
    <row r="47692" spans="16:16">
      <c r="P47692" s="2498"/>
    </row>
    <row r="47693" spans="16:16">
      <c r="P47693" s="2498"/>
    </row>
    <row r="47694" spans="16:16">
      <c r="P47694" s="2498"/>
    </row>
    <row r="47695" spans="16:16">
      <c r="P47695" s="2498"/>
    </row>
    <row r="47696" spans="16:16">
      <c r="P47696" s="2498"/>
    </row>
    <row r="47697" spans="16:16">
      <c r="P47697" s="2498"/>
    </row>
    <row r="47698" spans="16:16">
      <c r="P47698" s="2498"/>
    </row>
    <row r="47699" spans="16:16">
      <c r="P47699" s="2498"/>
    </row>
    <row r="47700" spans="16:16">
      <c r="P47700" s="2498"/>
    </row>
    <row r="47701" spans="16:16">
      <c r="P47701" s="2498"/>
    </row>
    <row r="47702" spans="16:16">
      <c r="P47702" s="2498"/>
    </row>
    <row r="47703" spans="16:16">
      <c r="P47703" s="2498"/>
    </row>
    <row r="47704" spans="16:16">
      <c r="P47704" s="2498"/>
    </row>
    <row r="47705" spans="16:16">
      <c r="P47705" s="2498"/>
    </row>
    <row r="47706" spans="16:16">
      <c r="P47706" s="2498"/>
    </row>
    <row r="47707" spans="16:16">
      <c r="P47707" s="2498"/>
    </row>
    <row r="47708" spans="16:16">
      <c r="P47708" s="2498"/>
    </row>
    <row r="47709" spans="16:16">
      <c r="P47709" s="2498"/>
    </row>
    <row r="47710" spans="16:16">
      <c r="P47710" s="2498"/>
    </row>
    <row r="47711" spans="16:16">
      <c r="P47711" s="2498"/>
    </row>
    <row r="47712" spans="16:16">
      <c r="P47712" s="2498"/>
    </row>
    <row r="47713" spans="16:16">
      <c r="P47713" s="2498"/>
    </row>
    <row r="47714" spans="16:16">
      <c r="P47714" s="2498"/>
    </row>
    <row r="47715" spans="16:16">
      <c r="P47715" s="2498"/>
    </row>
    <row r="47716" spans="16:16">
      <c r="P47716" s="2498"/>
    </row>
    <row r="47717" spans="16:16">
      <c r="P47717" s="2498"/>
    </row>
    <row r="47718" spans="16:16">
      <c r="P47718" s="2498"/>
    </row>
    <row r="47719" spans="16:16">
      <c r="P47719" s="2498"/>
    </row>
    <row r="47720" spans="16:16">
      <c r="P47720" s="2498"/>
    </row>
    <row r="47721" spans="16:16">
      <c r="P47721" s="2498"/>
    </row>
    <row r="47722" spans="16:16">
      <c r="P47722" s="2498"/>
    </row>
    <row r="47723" spans="16:16">
      <c r="P47723" s="2498"/>
    </row>
    <row r="47724" spans="16:16">
      <c r="P47724" s="2498"/>
    </row>
    <row r="47725" spans="16:16">
      <c r="P47725" s="2498"/>
    </row>
    <row r="47726" spans="16:16">
      <c r="P47726" s="2498"/>
    </row>
    <row r="47727" spans="16:16">
      <c r="P47727" s="2498"/>
    </row>
    <row r="47728" spans="16:16">
      <c r="P47728" s="2498"/>
    </row>
    <row r="47729" spans="16:16">
      <c r="P47729" s="2498"/>
    </row>
    <row r="47730" spans="16:16">
      <c r="P47730" s="2498"/>
    </row>
    <row r="47731" spans="16:16">
      <c r="P47731" s="2498"/>
    </row>
    <row r="47732" spans="16:16">
      <c r="P47732" s="2498"/>
    </row>
    <row r="47733" spans="16:16">
      <c r="P47733" s="2498"/>
    </row>
    <row r="47734" spans="16:16">
      <c r="P47734" s="2498"/>
    </row>
    <row r="47735" spans="16:16">
      <c r="P47735" s="2498"/>
    </row>
    <row r="47736" spans="16:16">
      <c r="P47736" s="2498"/>
    </row>
    <row r="47737" spans="16:16">
      <c r="P47737" s="2498"/>
    </row>
    <row r="47738" spans="16:16">
      <c r="P47738" s="2498"/>
    </row>
    <row r="47739" spans="16:16">
      <c r="P47739" s="2498"/>
    </row>
    <row r="47740" spans="16:16">
      <c r="P47740" s="2498"/>
    </row>
    <row r="47741" spans="16:16">
      <c r="P47741" s="2498"/>
    </row>
    <row r="47742" spans="16:16">
      <c r="P47742" s="2498"/>
    </row>
    <row r="47743" spans="16:16">
      <c r="P47743" s="2498"/>
    </row>
    <row r="47744" spans="16:16">
      <c r="P47744" s="2498"/>
    </row>
    <row r="47745" spans="16:16">
      <c r="P47745" s="2498"/>
    </row>
    <row r="47746" spans="16:16">
      <c r="P47746" s="2498"/>
    </row>
    <row r="47747" spans="16:16">
      <c r="P47747" s="2498"/>
    </row>
    <row r="47748" spans="16:16">
      <c r="P47748" s="2498"/>
    </row>
    <row r="47749" spans="16:16">
      <c r="P47749" s="2498"/>
    </row>
    <row r="47750" spans="16:16">
      <c r="P47750" s="2498"/>
    </row>
    <row r="47751" spans="16:16">
      <c r="P47751" s="2498"/>
    </row>
    <row r="47752" spans="16:16">
      <c r="P47752" s="2498"/>
    </row>
    <row r="47753" spans="16:16">
      <c r="P47753" s="2498"/>
    </row>
    <row r="47754" spans="16:16">
      <c r="P47754" s="2498"/>
    </row>
    <row r="47755" spans="16:16">
      <c r="P47755" s="2498"/>
    </row>
    <row r="47756" spans="16:16">
      <c r="P47756" s="2498"/>
    </row>
    <row r="47757" spans="16:16">
      <c r="P47757" s="2498"/>
    </row>
    <row r="47758" spans="16:16">
      <c r="P47758" s="2498"/>
    </row>
    <row r="47759" spans="16:16">
      <c r="P47759" s="2498"/>
    </row>
    <row r="47760" spans="16:16">
      <c r="P47760" s="2498"/>
    </row>
    <row r="47761" spans="16:16">
      <c r="P47761" s="2498"/>
    </row>
    <row r="47762" spans="16:16">
      <c r="P47762" s="2498"/>
    </row>
    <row r="47763" spans="16:16">
      <c r="P47763" s="2498"/>
    </row>
    <row r="47764" spans="16:16">
      <c r="P47764" s="2498"/>
    </row>
    <row r="47765" spans="16:16">
      <c r="P47765" s="2498"/>
    </row>
    <row r="47766" spans="16:16">
      <c r="P47766" s="2498"/>
    </row>
    <row r="47767" spans="16:16">
      <c r="P47767" s="2498"/>
    </row>
    <row r="47768" spans="16:16">
      <c r="P47768" s="2498"/>
    </row>
    <row r="47769" spans="16:16">
      <c r="P47769" s="2498"/>
    </row>
    <row r="47770" spans="16:16">
      <c r="P47770" s="2498"/>
    </row>
    <row r="47771" spans="16:16">
      <c r="P47771" s="2498"/>
    </row>
    <row r="47772" spans="16:16">
      <c r="P47772" s="2498"/>
    </row>
    <row r="47773" spans="16:16">
      <c r="P47773" s="2498"/>
    </row>
    <row r="47774" spans="16:16">
      <c r="P47774" s="2498"/>
    </row>
    <row r="47775" spans="16:16">
      <c r="P47775" s="2498"/>
    </row>
    <row r="47776" spans="16:16">
      <c r="P47776" s="2498"/>
    </row>
    <row r="47777" spans="16:16">
      <c r="P47777" s="2498"/>
    </row>
    <row r="47778" spans="16:16">
      <c r="P47778" s="2498"/>
    </row>
    <row r="47779" spans="16:16">
      <c r="P47779" s="2498"/>
    </row>
    <row r="47780" spans="16:16">
      <c r="P47780" s="2498"/>
    </row>
    <row r="47781" spans="16:16">
      <c r="P47781" s="2498"/>
    </row>
    <row r="47782" spans="16:16">
      <c r="P47782" s="2498"/>
    </row>
    <row r="47783" spans="16:16">
      <c r="P47783" s="2498"/>
    </row>
    <row r="47784" spans="16:16">
      <c r="P47784" s="2498"/>
    </row>
    <row r="47785" spans="16:16">
      <c r="P47785" s="2498"/>
    </row>
    <row r="47786" spans="16:16">
      <c r="P47786" s="2498"/>
    </row>
    <row r="47787" spans="16:16">
      <c r="P47787" s="2498"/>
    </row>
    <row r="47788" spans="16:16">
      <c r="P47788" s="2498"/>
    </row>
    <row r="47789" spans="16:16">
      <c r="P47789" s="2498"/>
    </row>
    <row r="47790" spans="16:16">
      <c r="P47790" s="2498"/>
    </row>
    <row r="47791" spans="16:16">
      <c r="P47791" s="2498"/>
    </row>
    <row r="47792" spans="16:16">
      <c r="P47792" s="2498"/>
    </row>
    <row r="47793" spans="16:16">
      <c r="P47793" s="2498"/>
    </row>
    <row r="47794" spans="16:16">
      <c r="P47794" s="2498"/>
    </row>
    <row r="47795" spans="16:16">
      <c r="P47795" s="2498"/>
    </row>
    <row r="47796" spans="16:16">
      <c r="P47796" s="2498"/>
    </row>
    <row r="47797" spans="16:16">
      <c r="P47797" s="2498"/>
    </row>
    <row r="47798" spans="16:16">
      <c r="P47798" s="2498"/>
    </row>
    <row r="47799" spans="16:16">
      <c r="P47799" s="2498"/>
    </row>
    <row r="47800" spans="16:16">
      <c r="P47800" s="2498"/>
    </row>
    <row r="47801" spans="16:16">
      <c r="P47801" s="2498"/>
    </row>
    <row r="47802" spans="16:16">
      <c r="P47802" s="2498"/>
    </row>
    <row r="47803" spans="16:16">
      <c r="P47803" s="2498"/>
    </row>
    <row r="47804" spans="16:16">
      <c r="P47804" s="2498"/>
    </row>
    <row r="47805" spans="16:16">
      <c r="P47805" s="2498"/>
    </row>
    <row r="47806" spans="16:16">
      <c r="P47806" s="2498"/>
    </row>
    <row r="47807" spans="16:16">
      <c r="P47807" s="2498"/>
    </row>
    <row r="47808" spans="16:16">
      <c r="P47808" s="2498"/>
    </row>
    <row r="47809" spans="16:16">
      <c r="P47809" s="2498"/>
    </row>
    <row r="47810" spans="16:16">
      <c r="P47810" s="2498"/>
    </row>
    <row r="47811" spans="16:16">
      <c r="P47811" s="2498"/>
    </row>
    <row r="47812" spans="16:16">
      <c r="P47812" s="2498"/>
    </row>
    <row r="47813" spans="16:16">
      <c r="P47813" s="2498"/>
    </row>
    <row r="47814" spans="16:16">
      <c r="P47814" s="2498"/>
    </row>
    <row r="47815" spans="16:16">
      <c r="P47815" s="2498"/>
    </row>
    <row r="47816" spans="16:16">
      <c r="P47816" s="2498"/>
    </row>
    <row r="47817" spans="16:16">
      <c r="P47817" s="2498"/>
    </row>
    <row r="47818" spans="16:16">
      <c r="P47818" s="2498"/>
    </row>
    <row r="47819" spans="16:16">
      <c r="P47819" s="2498"/>
    </row>
    <row r="47820" spans="16:16">
      <c r="P47820" s="2498"/>
    </row>
    <row r="47821" spans="16:16">
      <c r="P47821" s="2498"/>
    </row>
    <row r="47822" spans="16:16">
      <c r="P47822" s="2498"/>
    </row>
    <row r="47823" spans="16:16">
      <c r="P47823" s="2498"/>
    </row>
    <row r="47824" spans="16:16">
      <c r="P47824" s="2498"/>
    </row>
    <row r="47825" spans="16:16">
      <c r="P47825" s="2498"/>
    </row>
    <row r="47826" spans="16:16">
      <c r="P47826" s="2498"/>
    </row>
    <row r="47827" spans="16:16">
      <c r="P47827" s="2498"/>
    </row>
    <row r="47828" spans="16:16">
      <c r="P47828" s="2498"/>
    </row>
    <row r="47829" spans="16:16">
      <c r="P47829" s="2498"/>
    </row>
    <row r="47830" spans="16:16">
      <c r="P47830" s="2498"/>
    </row>
    <row r="47831" spans="16:16">
      <c r="P47831" s="2498"/>
    </row>
    <row r="47832" spans="16:16">
      <c r="P47832" s="2498"/>
    </row>
    <row r="47833" spans="16:16">
      <c r="P47833" s="2498"/>
    </row>
    <row r="47834" spans="16:16">
      <c r="P47834" s="2498"/>
    </row>
    <row r="47835" spans="16:16">
      <c r="P47835" s="2498"/>
    </row>
    <row r="47836" spans="16:16">
      <c r="P47836" s="2498"/>
    </row>
    <row r="47837" spans="16:16">
      <c r="P47837" s="2498"/>
    </row>
    <row r="47838" spans="16:16">
      <c r="P47838" s="2498"/>
    </row>
    <row r="47839" spans="16:16">
      <c r="P47839" s="2498"/>
    </row>
    <row r="47840" spans="16:16">
      <c r="P47840" s="2498"/>
    </row>
    <row r="47841" spans="16:16">
      <c r="P47841" s="2498"/>
    </row>
    <row r="47842" spans="16:16">
      <c r="P47842" s="2498"/>
    </row>
    <row r="47843" spans="16:16">
      <c r="P47843" s="2498"/>
    </row>
    <row r="47844" spans="16:16">
      <c r="P47844" s="2498"/>
    </row>
    <row r="47845" spans="16:16">
      <c r="P47845" s="2498"/>
    </row>
    <row r="47846" spans="16:16">
      <c r="P47846" s="2498"/>
    </row>
    <row r="47847" spans="16:16">
      <c r="P47847" s="2498"/>
    </row>
    <row r="47848" spans="16:16">
      <c r="P47848" s="2498"/>
    </row>
    <row r="47849" spans="16:16">
      <c r="P47849" s="2498"/>
    </row>
    <row r="47850" spans="16:16">
      <c r="P47850" s="2498"/>
    </row>
    <row r="47851" spans="16:16">
      <c r="P47851" s="2498"/>
    </row>
    <row r="47852" spans="16:16">
      <c r="P47852" s="2498"/>
    </row>
    <row r="47853" spans="16:16">
      <c r="P47853" s="2498"/>
    </row>
    <row r="47854" spans="16:16">
      <c r="P47854" s="2498"/>
    </row>
    <row r="47855" spans="16:16">
      <c r="P47855" s="2498"/>
    </row>
    <row r="47856" spans="16:16">
      <c r="P47856" s="2498"/>
    </row>
    <row r="47857" spans="16:16">
      <c r="P47857" s="2498"/>
    </row>
    <row r="47858" spans="16:16">
      <c r="P47858" s="2498"/>
    </row>
    <row r="47859" spans="16:16">
      <c r="P47859" s="2498"/>
    </row>
    <row r="47860" spans="16:16">
      <c r="P47860" s="2498"/>
    </row>
    <row r="47861" spans="16:16">
      <c r="P47861" s="2498"/>
    </row>
    <row r="47862" spans="16:16">
      <c r="P47862" s="2498"/>
    </row>
    <row r="47863" spans="16:16">
      <c r="P47863" s="2498"/>
    </row>
    <row r="47864" spans="16:16">
      <c r="P47864" s="2498"/>
    </row>
    <row r="47865" spans="16:16">
      <c r="P47865" s="2498"/>
    </row>
    <row r="47866" spans="16:16">
      <c r="P47866" s="2498"/>
    </row>
    <row r="47867" spans="16:16">
      <c r="P47867" s="2498"/>
    </row>
    <row r="47868" spans="16:16">
      <c r="P47868" s="2498"/>
    </row>
    <row r="47869" spans="16:16">
      <c r="P47869" s="2498"/>
    </row>
    <row r="47870" spans="16:16">
      <c r="P47870" s="2498"/>
    </row>
    <row r="47871" spans="16:16">
      <c r="P47871" s="2498"/>
    </row>
    <row r="47872" spans="16:16">
      <c r="P47872" s="2498"/>
    </row>
    <row r="47873" spans="16:16">
      <c r="P47873" s="2498"/>
    </row>
    <row r="47874" spans="16:16">
      <c r="P47874" s="2498"/>
    </row>
    <row r="47875" spans="16:16">
      <c r="P47875" s="2498"/>
    </row>
    <row r="47876" spans="16:16">
      <c r="P47876" s="2498"/>
    </row>
    <row r="47877" spans="16:16">
      <c r="P47877" s="2498"/>
    </row>
    <row r="47878" spans="16:16">
      <c r="P47878" s="2498"/>
    </row>
    <row r="47879" spans="16:16">
      <c r="P47879" s="2498"/>
    </row>
    <row r="47880" spans="16:16">
      <c r="P47880" s="2498"/>
    </row>
    <row r="47881" spans="16:16">
      <c r="P47881" s="2498"/>
    </row>
    <row r="47882" spans="16:16">
      <c r="P47882" s="2498"/>
    </row>
    <row r="47883" spans="16:16">
      <c r="P47883" s="2498"/>
    </row>
    <row r="47884" spans="16:16">
      <c r="P47884" s="2498"/>
    </row>
    <row r="47885" spans="16:16">
      <c r="P47885" s="2498"/>
    </row>
    <row r="47886" spans="16:16">
      <c r="P47886" s="2498"/>
    </row>
    <row r="47887" spans="16:16">
      <c r="P47887" s="2498"/>
    </row>
    <row r="47888" spans="16:16">
      <c r="P47888" s="2498"/>
    </row>
    <row r="47889" spans="16:16">
      <c r="P47889" s="2498"/>
    </row>
    <row r="47890" spans="16:16">
      <c r="P47890" s="2498"/>
    </row>
    <row r="47891" spans="16:16">
      <c r="P47891" s="2498"/>
    </row>
    <row r="47892" spans="16:16">
      <c r="P47892" s="2498"/>
    </row>
    <row r="47893" spans="16:16">
      <c r="P47893" s="2498"/>
    </row>
    <row r="47894" spans="16:16">
      <c r="P47894" s="2498"/>
    </row>
    <row r="47895" spans="16:16">
      <c r="P47895" s="2498"/>
    </row>
    <row r="47896" spans="16:16">
      <c r="P47896" s="2498"/>
    </row>
    <row r="47897" spans="16:16">
      <c r="P47897" s="2498"/>
    </row>
    <row r="47898" spans="16:16">
      <c r="P47898" s="2498"/>
    </row>
    <row r="47899" spans="16:16">
      <c r="P47899" s="2498"/>
    </row>
    <row r="47900" spans="16:16">
      <c r="P47900" s="2498"/>
    </row>
    <row r="47901" spans="16:16">
      <c r="P47901" s="2498"/>
    </row>
    <row r="47902" spans="16:16">
      <c r="P47902" s="2498"/>
    </row>
    <row r="47903" spans="16:16">
      <c r="P47903" s="2498"/>
    </row>
    <row r="47904" spans="16:16">
      <c r="P47904" s="2498"/>
    </row>
    <row r="47905" spans="16:16">
      <c r="P47905" s="2498"/>
    </row>
    <row r="47906" spans="16:16">
      <c r="P47906" s="2498"/>
    </row>
    <row r="47907" spans="16:16">
      <c r="P47907" s="2498"/>
    </row>
    <row r="47908" spans="16:16">
      <c r="P47908" s="2498"/>
    </row>
    <row r="47909" spans="16:16">
      <c r="P47909" s="2498"/>
    </row>
    <row r="47910" spans="16:16">
      <c r="P47910" s="2498"/>
    </row>
    <row r="47911" spans="16:16">
      <c r="P47911" s="2498"/>
    </row>
    <row r="47912" spans="16:16">
      <c r="P47912" s="2498"/>
    </row>
    <row r="47913" spans="16:16">
      <c r="P47913" s="2498"/>
    </row>
    <row r="47914" spans="16:16">
      <c r="P47914" s="2498"/>
    </row>
    <row r="47915" spans="16:16">
      <c r="P47915" s="2498"/>
    </row>
    <row r="47916" spans="16:16">
      <c r="P47916" s="2498"/>
    </row>
    <row r="47917" spans="16:16">
      <c r="P47917" s="2498"/>
    </row>
    <row r="47918" spans="16:16">
      <c r="P47918" s="2498"/>
    </row>
    <row r="47919" spans="16:16">
      <c r="P47919" s="2498"/>
    </row>
    <row r="47920" spans="16:16">
      <c r="P47920" s="2498"/>
    </row>
    <row r="47921" spans="16:16">
      <c r="P47921" s="2498"/>
    </row>
    <row r="47922" spans="16:16">
      <c r="P47922" s="2498"/>
    </row>
    <row r="47923" spans="16:16">
      <c r="P47923" s="2498"/>
    </row>
    <row r="47924" spans="16:16">
      <c r="P47924" s="2498"/>
    </row>
    <row r="47925" spans="16:16">
      <c r="P47925" s="2498"/>
    </row>
    <row r="47926" spans="16:16">
      <c r="P47926" s="2498"/>
    </row>
    <row r="47927" spans="16:16">
      <c r="P47927" s="2498"/>
    </row>
    <row r="47928" spans="16:16">
      <c r="P47928" s="2498"/>
    </row>
    <row r="47929" spans="16:16">
      <c r="P47929" s="2498"/>
    </row>
    <row r="47930" spans="16:16">
      <c r="P47930" s="2498"/>
    </row>
    <row r="47931" spans="16:16">
      <c r="P47931" s="2498"/>
    </row>
    <row r="47932" spans="16:16">
      <c r="P47932" s="2498"/>
    </row>
    <row r="47933" spans="16:16">
      <c r="P47933" s="2498"/>
    </row>
    <row r="47934" spans="16:16">
      <c r="P47934" s="2498"/>
    </row>
    <row r="47935" spans="16:16">
      <c r="P47935" s="2498"/>
    </row>
    <row r="47936" spans="16:16">
      <c r="P47936" s="2498"/>
    </row>
    <row r="47937" spans="16:16">
      <c r="P47937" s="2498"/>
    </row>
    <row r="47938" spans="16:16">
      <c r="P47938" s="2498"/>
    </row>
    <row r="47939" spans="16:16">
      <c r="P47939" s="2498"/>
    </row>
    <row r="47940" spans="16:16">
      <c r="P47940" s="2498"/>
    </row>
    <row r="47941" spans="16:16">
      <c r="P47941" s="2498"/>
    </row>
    <row r="47942" spans="16:16">
      <c r="P47942" s="2498"/>
    </row>
    <row r="47943" spans="16:16">
      <c r="P47943" s="2498"/>
    </row>
    <row r="47944" spans="16:16">
      <c r="P47944" s="2498"/>
    </row>
    <row r="47945" spans="16:16">
      <c r="P47945" s="2498"/>
    </row>
    <row r="47946" spans="16:16">
      <c r="P47946" s="2498"/>
    </row>
    <row r="47947" spans="16:16">
      <c r="P47947" s="2498"/>
    </row>
    <row r="47948" spans="16:16">
      <c r="P47948" s="2498"/>
    </row>
    <row r="47949" spans="16:16">
      <c r="P47949" s="2498"/>
    </row>
    <row r="47950" spans="16:16">
      <c r="P47950" s="2498"/>
    </row>
    <row r="47951" spans="16:16">
      <c r="P47951" s="2498"/>
    </row>
    <row r="47952" spans="16:16">
      <c r="P47952" s="2498"/>
    </row>
    <row r="47953" spans="16:16">
      <c r="P47953" s="2498"/>
    </row>
    <row r="47954" spans="16:16">
      <c r="P47954" s="2498"/>
    </row>
    <row r="47955" spans="16:16">
      <c r="P47955" s="2498"/>
    </row>
    <row r="47956" spans="16:16">
      <c r="P47956" s="2498"/>
    </row>
    <row r="47957" spans="16:16">
      <c r="P47957" s="2498"/>
    </row>
    <row r="47958" spans="16:16">
      <c r="P47958" s="2498"/>
    </row>
    <row r="47959" spans="16:16">
      <c r="P47959" s="2498"/>
    </row>
    <row r="47960" spans="16:16">
      <c r="P47960" s="2498"/>
    </row>
    <row r="47961" spans="16:16">
      <c r="P47961" s="2498"/>
    </row>
    <row r="47962" spans="16:16">
      <c r="P47962" s="2498"/>
    </row>
    <row r="47963" spans="16:16">
      <c r="P47963" s="2498"/>
    </row>
    <row r="47964" spans="16:16">
      <c r="P47964" s="2498"/>
    </row>
    <row r="47965" spans="16:16">
      <c r="P47965" s="2498"/>
    </row>
    <row r="47966" spans="16:16">
      <c r="P47966" s="2498"/>
    </row>
    <row r="47967" spans="16:16">
      <c r="P47967" s="2498"/>
    </row>
    <row r="47968" spans="16:16">
      <c r="P47968" s="2498"/>
    </row>
    <row r="47969" spans="16:16">
      <c r="P47969" s="2498"/>
    </row>
    <row r="47970" spans="16:16">
      <c r="P47970" s="2498"/>
    </row>
    <row r="47971" spans="16:16">
      <c r="P47971" s="2498"/>
    </row>
    <row r="47972" spans="16:16">
      <c r="P47972" s="2498"/>
    </row>
    <row r="47973" spans="16:16">
      <c r="P47973" s="2498"/>
    </row>
    <row r="47974" spans="16:16">
      <c r="P47974" s="2498"/>
    </row>
    <row r="47975" spans="16:16">
      <c r="P47975" s="2498"/>
    </row>
    <row r="47976" spans="16:16">
      <c r="P47976" s="2498"/>
    </row>
    <row r="47977" spans="16:16">
      <c r="P47977" s="2498"/>
    </row>
    <row r="47978" spans="16:16">
      <c r="P47978" s="2498"/>
    </row>
    <row r="47979" spans="16:16">
      <c r="P47979" s="2498"/>
    </row>
    <row r="47980" spans="16:16">
      <c r="P47980" s="2498"/>
    </row>
    <row r="47981" spans="16:16">
      <c r="P47981" s="2498"/>
    </row>
    <row r="47982" spans="16:16">
      <c r="P47982" s="2498"/>
    </row>
    <row r="47983" spans="16:16">
      <c r="P47983" s="2498"/>
    </row>
    <row r="47984" spans="16:16">
      <c r="P47984" s="2498"/>
    </row>
    <row r="47985" spans="16:16">
      <c r="P47985" s="2498"/>
    </row>
    <row r="47986" spans="16:16">
      <c r="P47986" s="2498"/>
    </row>
    <row r="47987" spans="16:16">
      <c r="P47987" s="2498"/>
    </row>
    <row r="47988" spans="16:16">
      <c r="P47988" s="2498"/>
    </row>
    <row r="47989" spans="16:16">
      <c r="P47989" s="2498"/>
    </row>
    <row r="47990" spans="16:16">
      <c r="P47990" s="2498"/>
    </row>
    <row r="47991" spans="16:16">
      <c r="P47991" s="2498"/>
    </row>
    <row r="47992" spans="16:16">
      <c r="P47992" s="2498"/>
    </row>
    <row r="47993" spans="16:16">
      <c r="P47993" s="2498"/>
    </row>
    <row r="47994" spans="16:16">
      <c r="P47994" s="2498"/>
    </row>
    <row r="47995" spans="16:16">
      <c r="P47995" s="2498"/>
    </row>
    <row r="47996" spans="16:16">
      <c r="P47996" s="2498"/>
    </row>
    <row r="47997" spans="16:16">
      <c r="P47997" s="2498"/>
    </row>
    <row r="47998" spans="16:16">
      <c r="P47998" s="2498"/>
    </row>
    <row r="47999" spans="16:16">
      <c r="P47999" s="2498"/>
    </row>
    <row r="48000" spans="16:16">
      <c r="P48000" s="2498"/>
    </row>
    <row r="48001" spans="16:16">
      <c r="P48001" s="2498"/>
    </row>
    <row r="48002" spans="16:16">
      <c r="P48002" s="2498"/>
    </row>
    <row r="48003" spans="16:16">
      <c r="P48003" s="2498"/>
    </row>
    <row r="48004" spans="16:16">
      <c r="P48004" s="2498"/>
    </row>
    <row r="48005" spans="16:16">
      <c r="P48005" s="2498"/>
    </row>
    <row r="48006" spans="16:16">
      <c r="P48006" s="2498"/>
    </row>
    <row r="48007" spans="16:16">
      <c r="P48007" s="2498"/>
    </row>
    <row r="48008" spans="16:16">
      <c r="P48008" s="2498"/>
    </row>
    <row r="48009" spans="16:16">
      <c r="P48009" s="2498"/>
    </row>
    <row r="48010" spans="16:16">
      <c r="P48010" s="2498"/>
    </row>
    <row r="48011" spans="16:16">
      <c r="P48011" s="2498"/>
    </row>
    <row r="48012" spans="16:16">
      <c r="P48012" s="2498"/>
    </row>
    <row r="48013" spans="16:16">
      <c r="P48013" s="2498"/>
    </row>
    <row r="48014" spans="16:16">
      <c r="P48014" s="2498"/>
    </row>
    <row r="48015" spans="16:16">
      <c r="P48015" s="2498"/>
    </row>
    <row r="48016" spans="16:16">
      <c r="P48016" s="2498"/>
    </row>
    <row r="48017" spans="16:16">
      <c r="P48017" s="2498"/>
    </row>
    <row r="48018" spans="16:16">
      <c r="P48018" s="2498"/>
    </row>
    <row r="48019" spans="16:16">
      <c r="P48019" s="2498"/>
    </row>
    <row r="48020" spans="16:16">
      <c r="P48020" s="2498"/>
    </row>
    <row r="48021" spans="16:16">
      <c r="P48021" s="2498"/>
    </row>
    <row r="48022" spans="16:16">
      <c r="P48022" s="2498"/>
    </row>
    <row r="48023" spans="16:16">
      <c r="P48023" s="2498"/>
    </row>
    <row r="48024" spans="16:16">
      <c r="P48024" s="2498"/>
    </row>
    <row r="48025" spans="16:16">
      <c r="P48025" s="2498"/>
    </row>
    <row r="48026" spans="16:16">
      <c r="P48026" s="2498"/>
    </row>
    <row r="48027" spans="16:16">
      <c r="P48027" s="2498"/>
    </row>
    <row r="48028" spans="16:16">
      <c r="P48028" s="2498"/>
    </row>
    <row r="48029" spans="16:16">
      <c r="P48029" s="2498"/>
    </row>
    <row r="48030" spans="16:16">
      <c r="P48030" s="2498"/>
    </row>
    <row r="48031" spans="16:16">
      <c r="P48031" s="2498"/>
    </row>
    <row r="48032" spans="16:16">
      <c r="P48032" s="2498"/>
    </row>
    <row r="48033" spans="16:16">
      <c r="P48033" s="2498"/>
    </row>
    <row r="48034" spans="16:16">
      <c r="P48034" s="2498"/>
    </row>
    <row r="48035" spans="16:16">
      <c r="P48035" s="2498"/>
    </row>
    <row r="48036" spans="16:16">
      <c r="P48036" s="2498"/>
    </row>
    <row r="48037" spans="16:16">
      <c r="P48037" s="2498"/>
    </row>
    <row r="48038" spans="16:16">
      <c r="P48038" s="2498"/>
    </row>
    <row r="48039" spans="16:16">
      <c r="P48039" s="2498"/>
    </row>
    <row r="48040" spans="16:16">
      <c r="P48040" s="2498"/>
    </row>
    <row r="48041" spans="16:16">
      <c r="P48041" s="2498"/>
    </row>
    <row r="48042" spans="16:16">
      <c r="P48042" s="2498"/>
    </row>
    <row r="48043" spans="16:16">
      <c r="P48043" s="2498"/>
    </row>
    <row r="48044" spans="16:16">
      <c r="P48044" s="2498"/>
    </row>
    <row r="48045" spans="16:16">
      <c r="P48045" s="2498"/>
    </row>
    <row r="48046" spans="16:16">
      <c r="P48046" s="2498"/>
    </row>
    <row r="48047" spans="16:16">
      <c r="P48047" s="2498"/>
    </row>
    <row r="48048" spans="16:16">
      <c r="P48048" s="2498"/>
    </row>
    <row r="48049" spans="16:16">
      <c r="P48049" s="2498"/>
    </row>
    <row r="48050" spans="16:16">
      <c r="P48050" s="2498"/>
    </row>
    <row r="48051" spans="16:16">
      <c r="P48051" s="2498"/>
    </row>
    <row r="48052" spans="16:16">
      <c r="P48052" s="2498"/>
    </row>
    <row r="48053" spans="16:16">
      <c r="P48053" s="2498"/>
    </row>
    <row r="48054" spans="16:16">
      <c r="P48054" s="2498"/>
    </row>
    <row r="48055" spans="16:16">
      <c r="P48055" s="2498"/>
    </row>
    <row r="48056" spans="16:16">
      <c r="P48056" s="2498"/>
    </row>
    <row r="48057" spans="16:16">
      <c r="P48057" s="2498"/>
    </row>
    <row r="48058" spans="16:16">
      <c r="P48058" s="2498"/>
    </row>
    <row r="48059" spans="16:16">
      <c r="P48059" s="2498"/>
    </row>
    <row r="48060" spans="16:16">
      <c r="P48060" s="2498"/>
    </row>
    <row r="48061" spans="16:16">
      <c r="P48061" s="2498"/>
    </row>
    <row r="48062" spans="16:16">
      <c r="P48062" s="2498"/>
    </row>
    <row r="48063" spans="16:16">
      <c r="P48063" s="2498"/>
    </row>
    <row r="48064" spans="16:16">
      <c r="P48064" s="2498"/>
    </row>
    <row r="48065" spans="16:16">
      <c r="P48065" s="2498"/>
    </row>
    <row r="48066" spans="16:16">
      <c r="P48066" s="2498"/>
    </row>
    <row r="48067" spans="16:16">
      <c r="P48067" s="2498"/>
    </row>
    <row r="48068" spans="16:16">
      <c r="P48068" s="2498"/>
    </row>
    <row r="48069" spans="16:16">
      <c r="P48069" s="2498"/>
    </row>
    <row r="48070" spans="16:16">
      <c r="P48070" s="2498"/>
    </row>
    <row r="48071" spans="16:16">
      <c r="P48071" s="2498"/>
    </row>
    <row r="48072" spans="16:16">
      <c r="P48072" s="2498"/>
    </row>
    <row r="48073" spans="16:16">
      <c r="P48073" s="2498"/>
    </row>
    <row r="48074" spans="16:16">
      <c r="P48074" s="2498"/>
    </row>
    <row r="48075" spans="16:16">
      <c r="P48075" s="2498"/>
    </row>
    <row r="48076" spans="16:16">
      <c r="P48076" s="2498"/>
    </row>
    <row r="48077" spans="16:16">
      <c r="P48077" s="2498"/>
    </row>
    <row r="48078" spans="16:16">
      <c r="P48078" s="2498"/>
    </row>
    <row r="48079" spans="16:16">
      <c r="P48079" s="2498"/>
    </row>
    <row r="48080" spans="16:16">
      <c r="P48080" s="2498"/>
    </row>
    <row r="48081" spans="16:16">
      <c r="P48081" s="2498"/>
    </row>
    <row r="48082" spans="16:16">
      <c r="P48082" s="2498"/>
    </row>
    <row r="48083" spans="16:16">
      <c r="P48083" s="2498"/>
    </row>
    <row r="48084" spans="16:16">
      <c r="P48084" s="2498"/>
    </row>
    <row r="48085" spans="16:16">
      <c r="P48085" s="2498"/>
    </row>
    <row r="48086" spans="16:16">
      <c r="P48086" s="2498"/>
    </row>
    <row r="48087" spans="16:16">
      <c r="P48087" s="2498"/>
    </row>
    <row r="48088" spans="16:16">
      <c r="P48088" s="2498"/>
    </row>
    <row r="48089" spans="16:16">
      <c r="P48089" s="2498"/>
    </row>
    <row r="48090" spans="16:16">
      <c r="P48090" s="2498"/>
    </row>
    <row r="48091" spans="16:16">
      <c r="P48091" s="2498"/>
    </row>
    <row r="48092" spans="16:16">
      <c r="P48092" s="2498"/>
    </row>
    <row r="48093" spans="16:16">
      <c r="P48093" s="2498"/>
    </row>
    <row r="48094" spans="16:16">
      <c r="P48094" s="2498"/>
    </row>
    <row r="48095" spans="16:16">
      <c r="P48095" s="2498"/>
    </row>
    <row r="48096" spans="16:16">
      <c r="P48096" s="2498"/>
    </row>
    <row r="48097" spans="16:16">
      <c r="P48097" s="2498"/>
    </row>
    <row r="48098" spans="16:16">
      <c r="P48098" s="2498"/>
    </row>
    <row r="48099" spans="16:16">
      <c r="P48099" s="2498"/>
    </row>
    <row r="48100" spans="16:16">
      <c r="P48100" s="2498"/>
    </row>
    <row r="48101" spans="16:16">
      <c r="P48101" s="2498"/>
    </row>
    <row r="48102" spans="16:16">
      <c r="P48102" s="2498"/>
    </row>
    <row r="48103" spans="16:16">
      <c r="P48103" s="2498"/>
    </row>
    <row r="48104" spans="16:16">
      <c r="P48104" s="2498"/>
    </row>
    <row r="48105" spans="16:16">
      <c r="P48105" s="2498"/>
    </row>
    <row r="48106" spans="16:16">
      <c r="P48106" s="2498"/>
    </row>
    <row r="48107" spans="16:16">
      <c r="P48107" s="2498"/>
    </row>
    <row r="48108" spans="16:16">
      <c r="P48108" s="2498"/>
    </row>
    <row r="48109" spans="16:16">
      <c r="P48109" s="2498"/>
    </row>
    <row r="48110" spans="16:16">
      <c r="P48110" s="2498"/>
    </row>
    <row r="48111" spans="16:16">
      <c r="P48111" s="2498"/>
    </row>
    <row r="48112" spans="16:16">
      <c r="P48112" s="2498"/>
    </row>
    <row r="48113" spans="16:16">
      <c r="P48113" s="2498"/>
    </row>
    <row r="48114" spans="16:16">
      <c r="P48114" s="2498"/>
    </row>
    <row r="48115" spans="16:16">
      <c r="P48115" s="2498"/>
    </row>
    <row r="48116" spans="16:16">
      <c r="P48116" s="2498"/>
    </row>
    <row r="48117" spans="16:16">
      <c r="P48117" s="2498"/>
    </row>
    <row r="48118" spans="16:16">
      <c r="P48118" s="2498"/>
    </row>
    <row r="48119" spans="16:16">
      <c r="P48119" s="2498"/>
    </row>
    <row r="48120" spans="16:16">
      <c r="P48120" s="2498"/>
    </row>
    <row r="48121" spans="16:16">
      <c r="P48121" s="2498"/>
    </row>
    <row r="48122" spans="16:16">
      <c r="P48122" s="2498"/>
    </row>
    <row r="48123" spans="16:16">
      <c r="P48123" s="2498"/>
    </row>
    <row r="48124" spans="16:16">
      <c r="P48124" s="2498"/>
    </row>
    <row r="48125" spans="16:16">
      <c r="P48125" s="2498"/>
    </row>
    <row r="48126" spans="16:16">
      <c r="P48126" s="2498"/>
    </row>
    <row r="48127" spans="16:16">
      <c r="P48127" s="2498"/>
    </row>
    <row r="48128" spans="16:16">
      <c r="P48128" s="2498"/>
    </row>
    <row r="48129" spans="16:16">
      <c r="P48129" s="2498"/>
    </row>
    <row r="48130" spans="16:16">
      <c r="P48130" s="2498"/>
    </row>
    <row r="48131" spans="16:16">
      <c r="P48131" s="2498"/>
    </row>
    <row r="48132" spans="16:16">
      <c r="P48132" s="2498"/>
    </row>
    <row r="48133" spans="16:16">
      <c r="P48133" s="2498"/>
    </row>
    <row r="48134" spans="16:16">
      <c r="P48134" s="2498"/>
    </row>
    <row r="48135" spans="16:16">
      <c r="P48135" s="2498"/>
    </row>
    <row r="48136" spans="16:16">
      <c r="P48136" s="2498"/>
    </row>
    <row r="48137" spans="16:16">
      <c r="P48137" s="2498"/>
    </row>
    <row r="48138" spans="16:16">
      <c r="P48138" s="2498"/>
    </row>
    <row r="48139" spans="16:16">
      <c r="P48139" s="2498"/>
    </row>
    <row r="48140" spans="16:16">
      <c r="P48140" s="2498"/>
    </row>
    <row r="48141" spans="16:16">
      <c r="P48141" s="2498"/>
    </row>
    <row r="48142" spans="16:16">
      <c r="P48142" s="2498"/>
    </row>
    <row r="48143" spans="16:16">
      <c r="P48143" s="2498"/>
    </row>
    <row r="48144" spans="16:16">
      <c r="P48144" s="2498"/>
    </row>
    <row r="48145" spans="16:16">
      <c r="P48145" s="2498"/>
    </row>
    <row r="48146" spans="16:16">
      <c r="P48146" s="2498"/>
    </row>
    <row r="48147" spans="16:16">
      <c r="P48147" s="2498"/>
    </row>
    <row r="48148" spans="16:16">
      <c r="P48148" s="2498"/>
    </row>
    <row r="48149" spans="16:16">
      <c r="P48149" s="2498"/>
    </row>
    <row r="48150" spans="16:16">
      <c r="P48150" s="2498"/>
    </row>
    <row r="48151" spans="16:16">
      <c r="P48151" s="2498"/>
    </row>
    <row r="48152" spans="16:16">
      <c r="P48152" s="2498"/>
    </row>
    <row r="48153" spans="16:16">
      <c r="P48153" s="2498"/>
    </row>
    <row r="48154" spans="16:16">
      <c r="P48154" s="2498"/>
    </row>
    <row r="48155" spans="16:16">
      <c r="P48155" s="2498"/>
    </row>
    <row r="48156" spans="16:16">
      <c r="P48156" s="2498"/>
    </row>
    <row r="48157" spans="16:16">
      <c r="P48157" s="2498"/>
    </row>
    <row r="48158" spans="16:16">
      <c r="P48158" s="2498"/>
    </row>
    <row r="48159" spans="16:16">
      <c r="P48159" s="2498"/>
    </row>
    <row r="48160" spans="16:16">
      <c r="P48160" s="2498"/>
    </row>
    <row r="48161" spans="16:16">
      <c r="P48161" s="2498"/>
    </row>
    <row r="48162" spans="16:16">
      <c r="P48162" s="2498"/>
    </row>
    <row r="48163" spans="16:16">
      <c r="P48163" s="2498"/>
    </row>
    <row r="48164" spans="16:16">
      <c r="P48164" s="2498"/>
    </row>
    <row r="48165" spans="16:16">
      <c r="P48165" s="2498"/>
    </row>
    <row r="48166" spans="16:16">
      <c r="P48166" s="2498"/>
    </row>
    <row r="48167" spans="16:16">
      <c r="P48167" s="2498"/>
    </row>
    <row r="48168" spans="16:16">
      <c r="P48168" s="2498"/>
    </row>
    <row r="48169" spans="16:16">
      <c r="P48169" s="2498"/>
    </row>
    <row r="48170" spans="16:16">
      <c r="P48170" s="2498"/>
    </row>
    <row r="48171" spans="16:16">
      <c r="P48171" s="2498"/>
    </row>
    <row r="48172" spans="16:16">
      <c r="P48172" s="2498"/>
    </row>
    <row r="48173" spans="16:16">
      <c r="P48173" s="2498"/>
    </row>
    <row r="48174" spans="16:16">
      <c r="P48174" s="2498"/>
    </row>
    <row r="48175" spans="16:16">
      <c r="P48175" s="2498"/>
    </row>
    <row r="48176" spans="16:16">
      <c r="P48176" s="2498"/>
    </row>
    <row r="48177" spans="16:16">
      <c r="P48177" s="2498"/>
    </row>
    <row r="48178" spans="16:16">
      <c r="P48178" s="2498"/>
    </row>
    <row r="48179" spans="16:16">
      <c r="P48179" s="2498"/>
    </row>
    <row r="48180" spans="16:16">
      <c r="P48180" s="2498"/>
    </row>
    <row r="48181" spans="16:16">
      <c r="P48181" s="2498"/>
    </row>
    <row r="48182" spans="16:16">
      <c r="P48182" s="2498"/>
    </row>
    <row r="48183" spans="16:16">
      <c r="P48183" s="2498"/>
    </row>
    <row r="48184" spans="16:16">
      <c r="P48184" s="2498"/>
    </row>
    <row r="48185" spans="16:16">
      <c r="P48185" s="2498"/>
    </row>
    <row r="48186" spans="16:16">
      <c r="P48186" s="2498"/>
    </row>
    <row r="48187" spans="16:16">
      <c r="P48187" s="2498"/>
    </row>
    <row r="48188" spans="16:16">
      <c r="P48188" s="2498"/>
    </row>
    <row r="48189" spans="16:16">
      <c r="P48189" s="2498"/>
    </row>
    <row r="48190" spans="16:16">
      <c r="P48190" s="2498"/>
    </row>
    <row r="48191" spans="16:16">
      <c r="P48191" s="2498"/>
    </row>
    <row r="48192" spans="16:16">
      <c r="P48192" s="2498"/>
    </row>
    <row r="48193" spans="16:16">
      <c r="P48193" s="2498"/>
    </row>
    <row r="48194" spans="16:16">
      <c r="P48194" s="2498"/>
    </row>
    <row r="48195" spans="16:16">
      <c r="P48195" s="2498"/>
    </row>
    <row r="48196" spans="16:16">
      <c r="P48196" s="2498"/>
    </row>
    <row r="48197" spans="16:16">
      <c r="P48197" s="2498"/>
    </row>
    <row r="48198" spans="16:16">
      <c r="P48198" s="2498"/>
    </row>
    <row r="48199" spans="16:16">
      <c r="P48199" s="2498"/>
    </row>
    <row r="48200" spans="16:16">
      <c r="P48200" s="2498"/>
    </row>
    <row r="48201" spans="16:16">
      <c r="P48201" s="2498"/>
    </row>
    <row r="48202" spans="16:16">
      <c r="P48202" s="2498"/>
    </row>
    <row r="48203" spans="16:16">
      <c r="P48203" s="2498"/>
    </row>
    <row r="48204" spans="16:16">
      <c r="P48204" s="2498"/>
    </row>
    <row r="48205" spans="16:16">
      <c r="P48205" s="2498"/>
    </row>
    <row r="48206" spans="16:16">
      <c r="P48206" s="2498"/>
    </row>
    <row r="48207" spans="16:16">
      <c r="P48207" s="2498"/>
    </row>
    <row r="48208" spans="16:16">
      <c r="P48208" s="2498"/>
    </row>
    <row r="48209" spans="16:16">
      <c r="P48209" s="2498"/>
    </row>
    <row r="48210" spans="16:16">
      <c r="P48210" s="2498"/>
    </row>
    <row r="48211" spans="16:16">
      <c r="P48211" s="2498"/>
    </row>
    <row r="48212" spans="16:16">
      <c r="P48212" s="2498"/>
    </row>
    <row r="48213" spans="16:16">
      <c r="P48213" s="2498"/>
    </row>
    <row r="48214" spans="16:16">
      <c r="P48214" s="2498"/>
    </row>
    <row r="48215" spans="16:16">
      <c r="P48215" s="2498"/>
    </row>
    <row r="48216" spans="16:16">
      <c r="P48216" s="2498"/>
    </row>
    <row r="48217" spans="16:16">
      <c r="P48217" s="2498"/>
    </row>
    <row r="48218" spans="16:16">
      <c r="P48218" s="2498"/>
    </row>
    <row r="48219" spans="16:16">
      <c r="P48219" s="2498"/>
    </row>
    <row r="48220" spans="16:16">
      <c r="P48220" s="2498"/>
    </row>
    <row r="48221" spans="16:16">
      <c r="P48221" s="2498"/>
    </row>
    <row r="48222" spans="16:16">
      <c r="P48222" s="2498"/>
    </row>
    <row r="48223" spans="16:16">
      <c r="P48223" s="2498"/>
    </row>
    <row r="48224" spans="16:16">
      <c r="P48224" s="2498"/>
    </row>
    <row r="48225" spans="16:16">
      <c r="P48225" s="2498"/>
    </row>
    <row r="48226" spans="16:16">
      <c r="P48226" s="2498"/>
    </row>
    <row r="48227" spans="16:16">
      <c r="P48227" s="2498"/>
    </row>
    <row r="48228" spans="16:16">
      <c r="P48228" s="2498"/>
    </row>
    <row r="48229" spans="16:16">
      <c r="P48229" s="2498"/>
    </row>
    <row r="48230" spans="16:16">
      <c r="P48230" s="2498"/>
    </row>
    <row r="48231" spans="16:16">
      <c r="P48231" s="2498"/>
    </row>
    <row r="48232" spans="16:16">
      <c r="P48232" s="2498"/>
    </row>
    <row r="48233" spans="16:16">
      <c r="P48233" s="2498"/>
    </row>
    <row r="48234" spans="16:16">
      <c r="P48234" s="2498"/>
    </row>
    <row r="48235" spans="16:16">
      <c r="P48235" s="2498"/>
    </row>
    <row r="48236" spans="16:16">
      <c r="P48236" s="2498"/>
    </row>
    <row r="48237" spans="16:16">
      <c r="P48237" s="2498"/>
    </row>
    <row r="48238" spans="16:16">
      <c r="P48238" s="2498"/>
    </row>
    <row r="48239" spans="16:16">
      <c r="P48239" s="2498"/>
    </row>
    <row r="48240" spans="16:16">
      <c r="P48240" s="2498"/>
    </row>
    <row r="48241" spans="16:16">
      <c r="P48241" s="2498"/>
    </row>
    <row r="48242" spans="16:16">
      <c r="P48242" s="2498"/>
    </row>
    <row r="48243" spans="16:16">
      <c r="P48243" s="2498"/>
    </row>
    <row r="48244" spans="16:16">
      <c r="P48244" s="2498"/>
    </row>
    <row r="48245" spans="16:16">
      <c r="P48245" s="2498"/>
    </row>
    <row r="48246" spans="16:16">
      <c r="P48246" s="2498"/>
    </row>
    <row r="48247" spans="16:16">
      <c r="P48247" s="2498"/>
    </row>
    <row r="48248" spans="16:16">
      <c r="P48248" s="2498"/>
    </row>
    <row r="48249" spans="16:16">
      <c r="P48249" s="2498"/>
    </row>
    <row r="48250" spans="16:16">
      <c r="P48250" s="2498"/>
    </row>
    <row r="48251" spans="16:16">
      <c r="P48251" s="2498"/>
    </row>
    <row r="48252" spans="16:16">
      <c r="P48252" s="2498"/>
    </row>
    <row r="48253" spans="16:16">
      <c r="P48253" s="2498"/>
    </row>
    <row r="48254" spans="16:16">
      <c r="P48254" s="2498"/>
    </row>
    <row r="48255" spans="16:16">
      <c r="P48255" s="2498"/>
    </row>
    <row r="48256" spans="16:16">
      <c r="P48256" s="2498"/>
    </row>
    <row r="48257" spans="16:16">
      <c r="P48257" s="2498"/>
    </row>
    <row r="48258" spans="16:16">
      <c r="P48258" s="2498"/>
    </row>
    <row r="48259" spans="16:16">
      <c r="P48259" s="2498"/>
    </row>
    <row r="48260" spans="16:16">
      <c r="P48260" s="2498"/>
    </row>
    <row r="48261" spans="16:16">
      <c r="P48261" s="2498"/>
    </row>
    <row r="48262" spans="16:16">
      <c r="P48262" s="2498"/>
    </row>
    <row r="48263" spans="16:16">
      <c r="P48263" s="2498"/>
    </row>
    <row r="48264" spans="16:16">
      <c r="P48264" s="2498"/>
    </row>
    <row r="48265" spans="16:16">
      <c r="P48265" s="2498"/>
    </row>
    <row r="48266" spans="16:16">
      <c r="P48266" s="2498"/>
    </row>
    <row r="48267" spans="16:16">
      <c r="P48267" s="2498"/>
    </row>
    <row r="48268" spans="16:16">
      <c r="P48268" s="2498"/>
    </row>
    <row r="48269" spans="16:16">
      <c r="P48269" s="2498"/>
    </row>
    <row r="48270" spans="16:16">
      <c r="P48270" s="2498"/>
    </row>
    <row r="48271" spans="16:16">
      <c r="P48271" s="2498"/>
    </row>
    <row r="48272" spans="16:16">
      <c r="P48272" s="2498"/>
    </row>
    <row r="48273" spans="16:16">
      <c r="P48273" s="2498"/>
    </row>
    <row r="48274" spans="16:16">
      <c r="P48274" s="2498"/>
    </row>
    <row r="48275" spans="16:16">
      <c r="P48275" s="2498"/>
    </row>
    <row r="48276" spans="16:16">
      <c r="P48276" s="2498"/>
    </row>
    <row r="48277" spans="16:16">
      <c r="P48277" s="2498"/>
    </row>
    <row r="48278" spans="16:16">
      <c r="P48278" s="2498"/>
    </row>
    <row r="48279" spans="16:16">
      <c r="P48279" s="2498"/>
    </row>
    <row r="48280" spans="16:16">
      <c r="P48280" s="2498"/>
    </row>
    <row r="48281" spans="16:16">
      <c r="P48281" s="2498"/>
    </row>
    <row r="48282" spans="16:16">
      <c r="P48282" s="2498"/>
    </row>
    <row r="48283" spans="16:16">
      <c r="P48283" s="2498"/>
    </row>
    <row r="48284" spans="16:16">
      <c r="P48284" s="2498"/>
    </row>
    <row r="48285" spans="16:16">
      <c r="P48285" s="2498"/>
    </row>
    <row r="48286" spans="16:16">
      <c r="P48286" s="2498"/>
    </row>
    <row r="48287" spans="16:16">
      <c r="P48287" s="2498"/>
    </row>
    <row r="48288" spans="16:16">
      <c r="P48288" s="2498"/>
    </row>
    <row r="48289" spans="16:16">
      <c r="P48289" s="2498"/>
    </row>
    <row r="48290" spans="16:16">
      <c r="P48290" s="2498"/>
    </row>
    <row r="48291" spans="16:16">
      <c r="P48291" s="2498"/>
    </row>
    <row r="48292" spans="16:16">
      <c r="P48292" s="2498"/>
    </row>
    <row r="48293" spans="16:16">
      <c r="P48293" s="2498"/>
    </row>
    <row r="48294" spans="16:16">
      <c r="P48294" s="2498"/>
    </row>
    <row r="48295" spans="16:16">
      <c r="P48295" s="2498"/>
    </row>
    <row r="48296" spans="16:16">
      <c r="P48296" s="2498"/>
    </row>
    <row r="48297" spans="16:16">
      <c r="P48297" s="2498"/>
    </row>
    <row r="48298" spans="16:16">
      <c r="P48298" s="2498"/>
    </row>
    <row r="48299" spans="16:16">
      <c r="P48299" s="2498"/>
    </row>
    <row r="48300" spans="16:16">
      <c r="P48300" s="2498"/>
    </row>
    <row r="48301" spans="16:16">
      <c r="P48301" s="2498"/>
    </row>
    <row r="48302" spans="16:16">
      <c r="P48302" s="2498"/>
    </row>
    <row r="48303" spans="16:16">
      <c r="P48303" s="2498"/>
    </row>
    <row r="48304" spans="16:16">
      <c r="P48304" s="2498"/>
    </row>
    <row r="48305" spans="16:16">
      <c r="P48305" s="2498"/>
    </row>
    <row r="48306" spans="16:16">
      <c r="P48306" s="2498"/>
    </row>
    <row r="48307" spans="16:16">
      <c r="P48307" s="2498"/>
    </row>
    <row r="48308" spans="16:16">
      <c r="P48308" s="2498"/>
    </row>
    <row r="48309" spans="16:16">
      <c r="P48309" s="2498"/>
    </row>
    <row r="48310" spans="16:16">
      <c r="P48310" s="2498"/>
    </row>
    <row r="48311" spans="16:16">
      <c r="P48311" s="2498"/>
    </row>
    <row r="48312" spans="16:16">
      <c r="P48312" s="2498"/>
    </row>
    <row r="48313" spans="16:16">
      <c r="P48313" s="2498"/>
    </row>
    <row r="48314" spans="16:16">
      <c r="P48314" s="2498"/>
    </row>
    <row r="48315" spans="16:16">
      <c r="P48315" s="2498"/>
    </row>
    <row r="48316" spans="16:16">
      <c r="P48316" s="2498"/>
    </row>
    <row r="48317" spans="16:16">
      <c r="P48317" s="2498"/>
    </row>
    <row r="48318" spans="16:16">
      <c r="P48318" s="2498"/>
    </row>
    <row r="48319" spans="16:16">
      <c r="P48319" s="2498"/>
    </row>
    <row r="48320" spans="16:16">
      <c r="P48320" s="2498"/>
    </row>
    <row r="48321" spans="16:16">
      <c r="P48321" s="2498"/>
    </row>
    <row r="48322" spans="16:16">
      <c r="P48322" s="2498"/>
    </row>
    <row r="48323" spans="16:16">
      <c r="P48323" s="2498"/>
    </row>
    <row r="48324" spans="16:16">
      <c r="P48324" s="2498"/>
    </row>
    <row r="48325" spans="16:16">
      <c r="P48325" s="2498"/>
    </row>
    <row r="48326" spans="16:16">
      <c r="P48326" s="2498"/>
    </row>
    <row r="48327" spans="16:16">
      <c r="P48327" s="2498"/>
    </row>
    <row r="48328" spans="16:16">
      <c r="P48328" s="2498"/>
    </row>
    <row r="48329" spans="16:16">
      <c r="P48329" s="2498"/>
    </row>
    <row r="48330" spans="16:16">
      <c r="P48330" s="2498"/>
    </row>
    <row r="48331" spans="16:16">
      <c r="P48331" s="2498"/>
    </row>
    <row r="48332" spans="16:16">
      <c r="P48332" s="2498"/>
    </row>
    <row r="48333" spans="16:16">
      <c r="P48333" s="2498"/>
    </row>
    <row r="48334" spans="16:16">
      <c r="P48334" s="2498"/>
    </row>
    <row r="48335" spans="16:16">
      <c r="P48335" s="2498"/>
    </row>
    <row r="48336" spans="16:16">
      <c r="P48336" s="2498"/>
    </row>
    <row r="48337" spans="16:16">
      <c r="P48337" s="2498"/>
    </row>
    <row r="48338" spans="16:16">
      <c r="P48338" s="2498"/>
    </row>
    <row r="48339" spans="16:16">
      <c r="P48339" s="2498"/>
    </row>
    <row r="48340" spans="16:16">
      <c r="P48340" s="2498"/>
    </row>
    <row r="48341" spans="16:16">
      <c r="P48341" s="2498"/>
    </row>
    <row r="48342" spans="16:16">
      <c r="P48342" s="2498"/>
    </row>
    <row r="48343" spans="16:16">
      <c r="P48343" s="2498"/>
    </row>
    <row r="48344" spans="16:16">
      <c r="P48344" s="2498"/>
    </row>
    <row r="48345" spans="16:16">
      <c r="P48345" s="2498"/>
    </row>
    <row r="48346" spans="16:16">
      <c r="P48346" s="2498"/>
    </row>
    <row r="48347" spans="16:16">
      <c r="P48347" s="2498"/>
    </row>
    <row r="48348" spans="16:16">
      <c r="P48348" s="2498"/>
    </row>
    <row r="48349" spans="16:16">
      <c r="P48349" s="2498"/>
    </row>
    <row r="48350" spans="16:16">
      <c r="P48350" s="2498"/>
    </row>
    <row r="48351" spans="16:16">
      <c r="P48351" s="2498"/>
    </row>
    <row r="48352" spans="16:16">
      <c r="P48352" s="2498"/>
    </row>
    <row r="48353" spans="16:16">
      <c r="P48353" s="2498"/>
    </row>
    <row r="48354" spans="16:16">
      <c r="P48354" s="2498"/>
    </row>
    <row r="48355" spans="16:16">
      <c r="P48355" s="2498"/>
    </row>
    <row r="48356" spans="16:16">
      <c r="P48356" s="2498"/>
    </row>
    <row r="48357" spans="16:16">
      <c r="P48357" s="2498"/>
    </row>
    <row r="48358" spans="16:16">
      <c r="P48358" s="2498"/>
    </row>
    <row r="48359" spans="16:16">
      <c r="P48359" s="2498"/>
    </row>
    <row r="48360" spans="16:16">
      <c r="P48360" s="2498"/>
    </row>
    <row r="48361" spans="16:16">
      <c r="P48361" s="2498"/>
    </row>
    <row r="48362" spans="16:16">
      <c r="P48362" s="2498"/>
    </row>
    <row r="48363" spans="16:16">
      <c r="P48363" s="2498"/>
    </row>
    <row r="48364" spans="16:16">
      <c r="P48364" s="2498"/>
    </row>
    <row r="48365" spans="16:16">
      <c r="P48365" s="2498"/>
    </row>
    <row r="48366" spans="16:16">
      <c r="P48366" s="2498"/>
    </row>
    <row r="48367" spans="16:16">
      <c r="P48367" s="2498"/>
    </row>
    <row r="48368" spans="16:16">
      <c r="P48368" s="2498"/>
    </row>
    <row r="48369" spans="16:16">
      <c r="P48369" s="2498"/>
    </row>
    <row r="48370" spans="16:16">
      <c r="P48370" s="2498"/>
    </row>
    <row r="48371" spans="16:16">
      <c r="P48371" s="2498"/>
    </row>
    <row r="48372" spans="16:16">
      <c r="P48372" s="2498"/>
    </row>
    <row r="48373" spans="16:16">
      <c r="P48373" s="2498"/>
    </row>
    <row r="48374" spans="16:16">
      <c r="P48374" s="2498"/>
    </row>
    <row r="48375" spans="16:16">
      <c r="P48375" s="2498"/>
    </row>
    <row r="48376" spans="16:16">
      <c r="P48376" s="2498"/>
    </row>
    <row r="48377" spans="16:16">
      <c r="P48377" s="2498"/>
    </row>
    <row r="48378" spans="16:16">
      <c r="P48378" s="2498"/>
    </row>
    <row r="48379" spans="16:16">
      <c r="P48379" s="2498"/>
    </row>
    <row r="48380" spans="16:16">
      <c r="P48380" s="2498"/>
    </row>
    <row r="48381" spans="16:16">
      <c r="P48381" s="2498"/>
    </row>
    <row r="48382" spans="16:16">
      <c r="P48382" s="2498"/>
    </row>
    <row r="48383" spans="16:16">
      <c r="P48383" s="2498"/>
    </row>
    <row r="48384" spans="16:16">
      <c r="P48384" s="2498"/>
    </row>
    <row r="48385" spans="16:16">
      <c r="P48385" s="2498"/>
    </row>
    <row r="48386" spans="16:16">
      <c r="P48386" s="2498"/>
    </row>
    <row r="48387" spans="16:16">
      <c r="P48387" s="2498"/>
    </row>
    <row r="48388" spans="16:16">
      <c r="P48388" s="2498"/>
    </row>
    <row r="48389" spans="16:16">
      <c r="P48389" s="2498"/>
    </row>
    <row r="48390" spans="16:16">
      <c r="P48390" s="2498"/>
    </row>
    <row r="48391" spans="16:16">
      <c r="P48391" s="2498"/>
    </row>
    <row r="48392" spans="16:16">
      <c r="P48392" s="2498"/>
    </row>
    <row r="48393" spans="16:16">
      <c r="P48393" s="2498"/>
    </row>
    <row r="48394" spans="16:16">
      <c r="P48394" s="2498"/>
    </row>
    <row r="48395" spans="16:16">
      <c r="P48395" s="2498"/>
    </row>
    <row r="48396" spans="16:16">
      <c r="P48396" s="2498"/>
    </row>
    <row r="48397" spans="16:16">
      <c r="P48397" s="2498"/>
    </row>
    <row r="48398" spans="16:16">
      <c r="P48398" s="2498"/>
    </row>
    <row r="48399" spans="16:16">
      <c r="P48399" s="2498"/>
    </row>
    <row r="48400" spans="16:16">
      <c r="P48400" s="2498"/>
    </row>
    <row r="48401" spans="16:16">
      <c r="P48401" s="2498"/>
    </row>
    <row r="48402" spans="16:16">
      <c r="P48402" s="2498"/>
    </row>
    <row r="48403" spans="16:16">
      <c r="P48403" s="2498"/>
    </row>
    <row r="48404" spans="16:16">
      <c r="P48404" s="2498"/>
    </row>
    <row r="48405" spans="16:16">
      <c r="P48405" s="2498"/>
    </row>
    <row r="48406" spans="16:16">
      <c r="P48406" s="2498"/>
    </row>
    <row r="48407" spans="16:16">
      <c r="P48407" s="2498"/>
    </row>
    <row r="48408" spans="16:16">
      <c r="P48408" s="2498"/>
    </row>
    <row r="48409" spans="16:16">
      <c r="P48409" s="2498"/>
    </row>
    <row r="48410" spans="16:16">
      <c r="P48410" s="2498"/>
    </row>
    <row r="48411" spans="16:16">
      <c r="P48411" s="2498"/>
    </row>
    <row r="48412" spans="16:16">
      <c r="P48412" s="2498"/>
    </row>
    <row r="48413" spans="16:16">
      <c r="P48413" s="2498"/>
    </row>
    <row r="48414" spans="16:16">
      <c r="P48414" s="2498"/>
    </row>
    <row r="48415" spans="16:16">
      <c r="P48415" s="2498"/>
    </row>
    <row r="48416" spans="16:16">
      <c r="P48416" s="2498"/>
    </row>
    <row r="48417" spans="16:16">
      <c r="P48417" s="2498"/>
    </row>
    <row r="48418" spans="16:16">
      <c r="P48418" s="2498"/>
    </row>
    <row r="48419" spans="16:16">
      <c r="P48419" s="2498"/>
    </row>
    <row r="48420" spans="16:16">
      <c r="P48420" s="2498"/>
    </row>
    <row r="48421" spans="16:16">
      <c r="P48421" s="2498"/>
    </row>
    <row r="48422" spans="16:16">
      <c r="P48422" s="2498"/>
    </row>
    <row r="48423" spans="16:16">
      <c r="P48423" s="2498"/>
    </row>
    <row r="48424" spans="16:16">
      <c r="P48424" s="2498"/>
    </row>
    <row r="48425" spans="16:16">
      <c r="P48425" s="2498"/>
    </row>
    <row r="48426" spans="16:16">
      <c r="P48426" s="2498"/>
    </row>
    <row r="48427" spans="16:16">
      <c r="P48427" s="2498"/>
    </row>
    <row r="48428" spans="16:16">
      <c r="P48428" s="2498"/>
    </row>
    <row r="48429" spans="16:16">
      <c r="P48429" s="2498"/>
    </row>
    <row r="48430" spans="16:16">
      <c r="P48430" s="2498"/>
    </row>
    <row r="48431" spans="16:16">
      <c r="P48431" s="2498"/>
    </row>
    <row r="48432" spans="16:16">
      <c r="P48432" s="2498"/>
    </row>
    <row r="48433" spans="16:16">
      <c r="P48433" s="2498"/>
    </row>
    <row r="48434" spans="16:16">
      <c r="P48434" s="2498"/>
    </row>
    <row r="48435" spans="16:16">
      <c r="P48435" s="2498"/>
    </row>
    <row r="48436" spans="16:16">
      <c r="P48436" s="2498"/>
    </row>
    <row r="48437" spans="16:16">
      <c r="P48437" s="2498"/>
    </row>
    <row r="48438" spans="16:16">
      <c r="P48438" s="2498"/>
    </row>
    <row r="48439" spans="16:16">
      <c r="P48439" s="2498"/>
    </row>
    <row r="48440" spans="16:16">
      <c r="P48440" s="2498"/>
    </row>
    <row r="48441" spans="16:16">
      <c r="P48441" s="2498"/>
    </row>
    <row r="48442" spans="16:16">
      <c r="P48442" s="2498"/>
    </row>
    <row r="48443" spans="16:16">
      <c r="P48443" s="2498"/>
    </row>
    <row r="48444" spans="16:16">
      <c r="P48444" s="2498"/>
    </row>
    <row r="48445" spans="16:16">
      <c r="P48445" s="2498"/>
    </row>
    <row r="48446" spans="16:16">
      <c r="P48446" s="2498"/>
    </row>
    <row r="48447" spans="16:16">
      <c r="P48447" s="2498"/>
    </row>
    <row r="48448" spans="16:16">
      <c r="P48448" s="2498"/>
    </row>
    <row r="48449" spans="16:16">
      <c r="P48449" s="2498"/>
    </row>
    <row r="48450" spans="16:16">
      <c r="P48450" s="2498"/>
    </row>
    <row r="48451" spans="16:16">
      <c r="P48451" s="2498"/>
    </row>
    <row r="48452" spans="16:16">
      <c r="P48452" s="2498"/>
    </row>
    <row r="48453" spans="16:16">
      <c r="P48453" s="2498"/>
    </row>
    <row r="48454" spans="16:16">
      <c r="P48454" s="2498"/>
    </row>
    <row r="48455" spans="16:16">
      <c r="P48455" s="2498"/>
    </row>
    <row r="48456" spans="16:16">
      <c r="P48456" s="2498"/>
    </row>
    <row r="48457" spans="16:16">
      <c r="P48457" s="2498"/>
    </row>
    <row r="48458" spans="16:16">
      <c r="P48458" s="2498"/>
    </row>
    <row r="48459" spans="16:16">
      <c r="P48459" s="2498"/>
    </row>
    <row r="48460" spans="16:16">
      <c r="P48460" s="2498"/>
    </row>
    <row r="48461" spans="16:16">
      <c r="P48461" s="2498"/>
    </row>
    <row r="48462" spans="16:16">
      <c r="P48462" s="2498"/>
    </row>
    <row r="48463" spans="16:16">
      <c r="P48463" s="2498"/>
    </row>
    <row r="48464" spans="16:16">
      <c r="P48464" s="2498"/>
    </row>
    <row r="48465" spans="16:16">
      <c r="P48465" s="2498"/>
    </row>
    <row r="48466" spans="16:16">
      <c r="P48466" s="2498"/>
    </row>
    <row r="48467" spans="16:16">
      <c r="P48467" s="2498"/>
    </row>
    <row r="48468" spans="16:16">
      <c r="P48468" s="2498"/>
    </row>
    <row r="48469" spans="16:16">
      <c r="P48469" s="2498"/>
    </row>
    <row r="48470" spans="16:16">
      <c r="P48470" s="2498"/>
    </row>
    <row r="48471" spans="16:16">
      <c r="P48471" s="2498"/>
    </row>
    <row r="48472" spans="16:16">
      <c r="P48472" s="2498"/>
    </row>
    <row r="48473" spans="16:16">
      <c r="P48473" s="2498"/>
    </row>
    <row r="48474" spans="16:16">
      <c r="P48474" s="2498"/>
    </row>
    <row r="48475" spans="16:16">
      <c r="P48475" s="2498"/>
    </row>
    <row r="48476" spans="16:16">
      <c r="P48476" s="2498"/>
    </row>
    <row r="48477" spans="16:16">
      <c r="P48477" s="2498"/>
    </row>
    <row r="48478" spans="16:16">
      <c r="P48478" s="2498"/>
    </row>
    <row r="48479" spans="16:16">
      <c r="P48479" s="2498"/>
    </row>
    <row r="48480" spans="16:16">
      <c r="P48480" s="2498"/>
    </row>
    <row r="48481" spans="16:16">
      <c r="P48481" s="2498"/>
    </row>
    <row r="48482" spans="16:16">
      <c r="P48482" s="2498"/>
    </row>
    <row r="48483" spans="16:16">
      <c r="P48483" s="2498"/>
    </row>
    <row r="48484" spans="16:16">
      <c r="P48484" s="2498"/>
    </row>
    <row r="48485" spans="16:16">
      <c r="P48485" s="2498"/>
    </row>
    <row r="48486" spans="16:16">
      <c r="P48486" s="2498"/>
    </row>
    <row r="48487" spans="16:16">
      <c r="P48487" s="2498"/>
    </row>
    <row r="48488" spans="16:16">
      <c r="P48488" s="2498"/>
    </row>
    <row r="48489" spans="16:16">
      <c r="P48489" s="2498"/>
    </row>
    <row r="48490" spans="16:16">
      <c r="P48490" s="2498"/>
    </row>
    <row r="48491" spans="16:16">
      <c r="P48491" s="2498"/>
    </row>
    <row r="48492" spans="16:16">
      <c r="P48492" s="2498"/>
    </row>
    <row r="48493" spans="16:16">
      <c r="P48493" s="2498"/>
    </row>
    <row r="48494" spans="16:16">
      <c r="P48494" s="2498"/>
    </row>
    <row r="48495" spans="16:16">
      <c r="P48495" s="2498"/>
    </row>
    <row r="48496" spans="16:16">
      <c r="P48496" s="2498"/>
    </row>
    <row r="48497" spans="16:16">
      <c r="P48497" s="2498"/>
    </row>
    <row r="48498" spans="16:16">
      <c r="P48498" s="2498"/>
    </row>
    <row r="48499" spans="16:16">
      <c r="P48499" s="2498"/>
    </row>
    <row r="48500" spans="16:16">
      <c r="P48500" s="2498"/>
    </row>
    <row r="48501" spans="16:16">
      <c r="P48501" s="2498"/>
    </row>
    <row r="48502" spans="16:16">
      <c r="P48502" s="2498"/>
    </row>
    <row r="48503" spans="16:16">
      <c r="P48503" s="2498"/>
    </row>
    <row r="48504" spans="16:16">
      <c r="P48504" s="2498"/>
    </row>
    <row r="48505" spans="16:16">
      <c r="P48505" s="2498"/>
    </row>
    <row r="48506" spans="16:16">
      <c r="P48506" s="2498"/>
    </row>
    <row r="48507" spans="16:16">
      <c r="P48507" s="2498"/>
    </row>
    <row r="48508" spans="16:16">
      <c r="P48508" s="2498"/>
    </row>
    <row r="48509" spans="16:16">
      <c r="P48509" s="2498"/>
    </row>
    <row r="48510" spans="16:16">
      <c r="P48510" s="2498"/>
    </row>
    <row r="48511" spans="16:16">
      <c r="P48511" s="2498"/>
    </row>
    <row r="48512" spans="16:16">
      <c r="P48512" s="2498"/>
    </row>
    <row r="48513" spans="16:16">
      <c r="P48513" s="2498"/>
    </row>
    <row r="48514" spans="16:16">
      <c r="P48514" s="2498"/>
    </row>
    <row r="48515" spans="16:16">
      <c r="P48515" s="2498"/>
    </row>
    <row r="48516" spans="16:16">
      <c r="P48516" s="2498"/>
    </row>
    <row r="48517" spans="16:16">
      <c r="P48517" s="2498"/>
    </row>
    <row r="48518" spans="16:16">
      <c r="P48518" s="2498"/>
    </row>
    <row r="48519" spans="16:16">
      <c r="P48519" s="2498"/>
    </row>
    <row r="48520" spans="16:16">
      <c r="P48520" s="2498"/>
    </row>
    <row r="48521" spans="16:16">
      <c r="P48521" s="2498"/>
    </row>
    <row r="48522" spans="16:16">
      <c r="P48522" s="2498"/>
    </row>
    <row r="48523" spans="16:16">
      <c r="P48523" s="2498"/>
    </row>
    <row r="48524" spans="16:16">
      <c r="P48524" s="2498"/>
    </row>
    <row r="48525" spans="16:16">
      <c r="P48525" s="2498"/>
    </row>
    <row r="48526" spans="16:16">
      <c r="P48526" s="2498"/>
    </row>
    <row r="48527" spans="16:16">
      <c r="P48527" s="2498"/>
    </row>
    <row r="48528" spans="16:16">
      <c r="P48528" s="2498"/>
    </row>
    <row r="48529" spans="16:16">
      <c r="P48529" s="2498"/>
    </row>
    <row r="48530" spans="16:16">
      <c r="P48530" s="2498"/>
    </row>
    <row r="48531" spans="16:16">
      <c r="P48531" s="2498"/>
    </row>
    <row r="48532" spans="16:16">
      <c r="P48532" s="2498"/>
    </row>
    <row r="48533" spans="16:16">
      <c r="P48533" s="2498"/>
    </row>
    <row r="48534" spans="16:16">
      <c r="P48534" s="2498"/>
    </row>
    <row r="48535" spans="16:16">
      <c r="P48535" s="2498"/>
    </row>
    <row r="48536" spans="16:16">
      <c r="P48536" s="2498"/>
    </row>
    <row r="48537" spans="16:16">
      <c r="P48537" s="2498"/>
    </row>
    <row r="48538" spans="16:16">
      <c r="P48538" s="2498"/>
    </row>
    <row r="48539" spans="16:16">
      <c r="P48539" s="2498"/>
    </row>
    <row r="48540" spans="16:16">
      <c r="P48540" s="2498"/>
    </row>
    <row r="48541" spans="16:16">
      <c r="P48541" s="2498"/>
    </row>
    <row r="48542" spans="16:16">
      <c r="P48542" s="2498"/>
    </row>
    <row r="48543" spans="16:16">
      <c r="P48543" s="2498"/>
    </row>
    <row r="48544" spans="16:16">
      <c r="P48544" s="2498"/>
    </row>
    <row r="48545" spans="16:16">
      <c r="P48545" s="2498"/>
    </row>
    <row r="48546" spans="16:16">
      <c r="P48546" s="2498"/>
    </row>
    <row r="48547" spans="16:16">
      <c r="P48547" s="2498"/>
    </row>
    <row r="48548" spans="16:16">
      <c r="P48548" s="2498"/>
    </row>
    <row r="48549" spans="16:16">
      <c r="P48549" s="2498"/>
    </row>
    <row r="48550" spans="16:16">
      <c r="P48550" s="2498"/>
    </row>
    <row r="48551" spans="16:16">
      <c r="P48551" s="2498"/>
    </row>
    <row r="48552" spans="16:16">
      <c r="P48552" s="2498"/>
    </row>
    <row r="48553" spans="16:16">
      <c r="P48553" s="2498"/>
    </row>
    <row r="48554" spans="16:16">
      <c r="P48554" s="2498"/>
    </row>
    <row r="48555" spans="16:16">
      <c r="P48555" s="2498"/>
    </row>
    <row r="48556" spans="16:16">
      <c r="P48556" s="2498"/>
    </row>
    <row r="48557" spans="16:16">
      <c r="P48557" s="2498"/>
    </row>
    <row r="48558" spans="16:16">
      <c r="P48558" s="2498"/>
    </row>
    <row r="48559" spans="16:16">
      <c r="P48559" s="2498"/>
    </row>
    <row r="48560" spans="16:16">
      <c r="P48560" s="2498"/>
    </row>
    <row r="48561" spans="16:16">
      <c r="P48561" s="2498"/>
    </row>
    <row r="48562" spans="16:16">
      <c r="P48562" s="2498"/>
    </row>
    <row r="48563" spans="16:16">
      <c r="P48563" s="2498"/>
    </row>
    <row r="48564" spans="16:16">
      <c r="P48564" s="2498"/>
    </row>
    <row r="48565" spans="16:16">
      <c r="P48565" s="2498"/>
    </row>
    <row r="48566" spans="16:16">
      <c r="P48566" s="2498"/>
    </row>
    <row r="48567" spans="16:16">
      <c r="P48567" s="2498"/>
    </row>
    <row r="48568" spans="16:16">
      <c r="P48568" s="2498"/>
    </row>
    <row r="48569" spans="16:16">
      <c r="P48569" s="2498"/>
    </row>
    <row r="48570" spans="16:16">
      <c r="P48570" s="2498"/>
    </row>
    <row r="48571" spans="16:16">
      <c r="P48571" s="2498"/>
    </row>
    <row r="48572" spans="16:16">
      <c r="P48572" s="2498"/>
    </row>
    <row r="48573" spans="16:16">
      <c r="P48573" s="2498"/>
    </row>
    <row r="48574" spans="16:16">
      <c r="P48574" s="2498"/>
    </row>
    <row r="48575" spans="16:16">
      <c r="P48575" s="2498"/>
    </row>
    <row r="48576" spans="16:16">
      <c r="P48576" s="2498"/>
    </row>
    <row r="48577" spans="16:16">
      <c r="P48577" s="2498"/>
    </row>
    <row r="48578" spans="16:16">
      <c r="P48578" s="2498"/>
    </row>
    <row r="48579" spans="16:16">
      <c r="P48579" s="2498"/>
    </row>
    <row r="48580" spans="16:16">
      <c r="P48580" s="2498"/>
    </row>
    <row r="48581" spans="16:16">
      <c r="P48581" s="2498"/>
    </row>
    <row r="48582" spans="16:16">
      <c r="P48582" s="2498"/>
    </row>
    <row r="48583" spans="16:16">
      <c r="P48583" s="2498"/>
    </row>
    <row r="48584" spans="16:16">
      <c r="P48584" s="2498"/>
    </row>
    <row r="48585" spans="16:16">
      <c r="P48585" s="2498"/>
    </row>
    <row r="48586" spans="16:16">
      <c r="P48586" s="2498"/>
    </row>
    <row r="48587" spans="16:16">
      <c r="P48587" s="2498"/>
    </row>
    <row r="48588" spans="16:16">
      <c r="P48588" s="2498"/>
    </row>
    <row r="48589" spans="16:16">
      <c r="P48589" s="2498"/>
    </row>
    <row r="48590" spans="16:16">
      <c r="P48590" s="2498"/>
    </row>
    <row r="48591" spans="16:16">
      <c r="P48591" s="2498"/>
    </row>
    <row r="48592" spans="16:16">
      <c r="P48592" s="2498"/>
    </row>
    <row r="48593" spans="16:16">
      <c r="P48593" s="2498"/>
    </row>
    <row r="48594" spans="16:16">
      <c r="P48594" s="2498"/>
    </row>
    <row r="48595" spans="16:16">
      <c r="P48595" s="2498"/>
    </row>
    <row r="48596" spans="16:16">
      <c r="P48596" s="2498"/>
    </row>
    <row r="48597" spans="16:16">
      <c r="P48597" s="2498"/>
    </row>
    <row r="48598" spans="16:16">
      <c r="P48598" s="2498"/>
    </row>
    <row r="48599" spans="16:16">
      <c r="P48599" s="2498"/>
    </row>
    <row r="48600" spans="16:16">
      <c r="P48600" s="2498"/>
    </row>
    <row r="48601" spans="16:16">
      <c r="P48601" s="2498"/>
    </row>
    <row r="48602" spans="16:16">
      <c r="P48602" s="2498"/>
    </row>
    <row r="48603" spans="16:16">
      <c r="P48603" s="2498"/>
    </row>
    <row r="48604" spans="16:16">
      <c r="P48604" s="2498"/>
    </row>
    <row r="48605" spans="16:16">
      <c r="P48605" s="2498"/>
    </row>
    <row r="48606" spans="16:16">
      <c r="P48606" s="2498"/>
    </row>
    <row r="48607" spans="16:16">
      <c r="P48607" s="2498"/>
    </row>
    <row r="48608" spans="16:16">
      <c r="P48608" s="2498"/>
    </row>
    <row r="48609" spans="16:16">
      <c r="P48609" s="2498"/>
    </row>
    <row r="48610" spans="16:16">
      <c r="P48610" s="2498"/>
    </row>
    <row r="48611" spans="16:16">
      <c r="P48611" s="2498"/>
    </row>
    <row r="48612" spans="16:16">
      <c r="P48612" s="2498"/>
    </row>
    <row r="48613" spans="16:16">
      <c r="P48613" s="2498"/>
    </row>
    <row r="48614" spans="16:16">
      <c r="P48614" s="2498"/>
    </row>
    <row r="48615" spans="16:16">
      <c r="P48615" s="2498"/>
    </row>
    <row r="48616" spans="16:16">
      <c r="P48616" s="2498"/>
    </row>
    <row r="48617" spans="16:16">
      <c r="P48617" s="2498"/>
    </row>
    <row r="48618" spans="16:16">
      <c r="P48618" s="2498"/>
    </row>
    <row r="48619" spans="16:16">
      <c r="P48619" s="2498"/>
    </row>
    <row r="48620" spans="16:16">
      <c r="P48620" s="2498"/>
    </row>
    <row r="48621" spans="16:16">
      <c r="P48621" s="2498"/>
    </row>
    <row r="48622" spans="16:16">
      <c r="P48622" s="2498"/>
    </row>
    <row r="48623" spans="16:16">
      <c r="P48623" s="2498"/>
    </row>
    <row r="48624" spans="16:16">
      <c r="P48624" s="2498"/>
    </row>
    <row r="48625" spans="16:16">
      <c r="P48625" s="2498"/>
    </row>
    <row r="48626" spans="16:16">
      <c r="P48626" s="2498"/>
    </row>
    <row r="48627" spans="16:16">
      <c r="P48627" s="2498"/>
    </row>
    <row r="48628" spans="16:16">
      <c r="P48628" s="2498"/>
    </row>
    <row r="48629" spans="16:16">
      <c r="P48629" s="2498"/>
    </row>
    <row r="48630" spans="16:16">
      <c r="P48630" s="2498"/>
    </row>
    <row r="48631" spans="16:16">
      <c r="P48631" s="2498"/>
    </row>
    <row r="48632" spans="16:16">
      <c r="P48632" s="2498"/>
    </row>
    <row r="48633" spans="16:16">
      <c r="P48633" s="2498"/>
    </row>
    <row r="48634" spans="16:16">
      <c r="P48634" s="2498"/>
    </row>
    <row r="48635" spans="16:16">
      <c r="P48635" s="2498"/>
    </row>
    <row r="48636" spans="16:16">
      <c r="P48636" s="2498"/>
    </row>
    <row r="48637" spans="16:16">
      <c r="P48637" s="2498"/>
    </row>
    <row r="48638" spans="16:16">
      <c r="P48638" s="2498"/>
    </row>
    <row r="48639" spans="16:16">
      <c r="P48639" s="2498"/>
    </row>
    <row r="48640" spans="16:16">
      <c r="P48640" s="2498"/>
    </row>
    <row r="48641" spans="16:16">
      <c r="P48641" s="2498"/>
    </row>
    <row r="48642" spans="16:16">
      <c r="P48642" s="2498"/>
    </row>
    <row r="48643" spans="16:16">
      <c r="P48643" s="2498"/>
    </row>
    <row r="48644" spans="16:16">
      <c r="P48644" s="2498"/>
    </row>
    <row r="48645" spans="16:16">
      <c r="P48645" s="2498"/>
    </row>
    <row r="48646" spans="16:16">
      <c r="P48646" s="2498"/>
    </row>
    <row r="48647" spans="16:16">
      <c r="P48647" s="2498"/>
    </row>
    <row r="48648" spans="16:16">
      <c r="P48648" s="2498"/>
    </row>
    <row r="48649" spans="16:16">
      <c r="P48649" s="2498"/>
    </row>
    <row r="48650" spans="16:16">
      <c r="P48650" s="2498"/>
    </row>
    <row r="48651" spans="16:16">
      <c r="P48651" s="2498"/>
    </row>
    <row r="48652" spans="16:16">
      <c r="P48652" s="2498"/>
    </row>
    <row r="48653" spans="16:16">
      <c r="P48653" s="2498"/>
    </row>
    <row r="48654" spans="16:16">
      <c r="P48654" s="2498"/>
    </row>
    <row r="48655" spans="16:16">
      <c r="P48655" s="2498"/>
    </row>
    <row r="48656" spans="16:16">
      <c r="P48656" s="2498"/>
    </row>
    <row r="48657" spans="16:16">
      <c r="P48657" s="2498"/>
    </row>
    <row r="48658" spans="16:16">
      <c r="P48658" s="2498"/>
    </row>
    <row r="48659" spans="16:16">
      <c r="P48659" s="2498"/>
    </row>
    <row r="48660" spans="16:16">
      <c r="P48660" s="2498"/>
    </row>
    <row r="48661" spans="16:16">
      <c r="P48661" s="2498"/>
    </row>
    <row r="48662" spans="16:16">
      <c r="P48662" s="2498"/>
    </row>
    <row r="48663" spans="16:16">
      <c r="P48663" s="2498"/>
    </row>
    <row r="48664" spans="16:16">
      <c r="P48664" s="2498"/>
    </row>
    <row r="48665" spans="16:16">
      <c r="P48665" s="2498"/>
    </row>
    <row r="48666" spans="16:16">
      <c r="P48666" s="2498"/>
    </row>
    <row r="48667" spans="16:16">
      <c r="P48667" s="2498"/>
    </row>
    <row r="48668" spans="16:16">
      <c r="P48668" s="2498"/>
    </row>
    <row r="48669" spans="16:16">
      <c r="P48669" s="2498"/>
    </row>
    <row r="48670" spans="16:16">
      <c r="P48670" s="2498"/>
    </row>
    <row r="48671" spans="16:16">
      <c r="P48671" s="2498"/>
    </row>
    <row r="48672" spans="16:16">
      <c r="P48672" s="2498"/>
    </row>
    <row r="48673" spans="16:16">
      <c r="P48673" s="2498"/>
    </row>
    <row r="48674" spans="16:16">
      <c r="P48674" s="2498"/>
    </row>
    <row r="48675" spans="16:16">
      <c r="P48675" s="2498"/>
    </row>
    <row r="48676" spans="16:16">
      <c r="P48676" s="2498"/>
    </row>
    <row r="48677" spans="16:16">
      <c r="P48677" s="2498"/>
    </row>
    <row r="48678" spans="16:16">
      <c r="P48678" s="2498"/>
    </row>
    <row r="48679" spans="16:16">
      <c r="P48679" s="2498"/>
    </row>
    <row r="48680" spans="16:16">
      <c r="P48680" s="2498"/>
    </row>
    <row r="48681" spans="16:16">
      <c r="P48681" s="2498"/>
    </row>
    <row r="48682" spans="16:16">
      <c r="P48682" s="2498"/>
    </row>
    <row r="48683" spans="16:16">
      <c r="P48683" s="2498"/>
    </row>
    <row r="48684" spans="16:16">
      <c r="P48684" s="2498"/>
    </row>
    <row r="48685" spans="16:16">
      <c r="P48685" s="2498"/>
    </row>
    <row r="48686" spans="16:16">
      <c r="P48686" s="2498"/>
    </row>
    <row r="48687" spans="16:16">
      <c r="P48687" s="2498"/>
    </row>
    <row r="48688" spans="16:16">
      <c r="P48688" s="2498"/>
    </row>
    <row r="48689" spans="16:16">
      <c r="P48689" s="2498"/>
    </row>
    <row r="48690" spans="16:16">
      <c r="P48690" s="2498"/>
    </row>
    <row r="48691" spans="16:16">
      <c r="P48691" s="2498"/>
    </row>
    <row r="48692" spans="16:16">
      <c r="P48692" s="2498"/>
    </row>
    <row r="48693" spans="16:16">
      <c r="P48693" s="2498"/>
    </row>
    <row r="48694" spans="16:16">
      <c r="P48694" s="2498"/>
    </row>
    <row r="48695" spans="16:16">
      <c r="P48695" s="2498"/>
    </row>
    <row r="48696" spans="16:16">
      <c r="P48696" s="2498"/>
    </row>
    <row r="48697" spans="16:16">
      <c r="P48697" s="2498"/>
    </row>
    <row r="48698" spans="16:16">
      <c r="P48698" s="2498"/>
    </row>
    <row r="48699" spans="16:16">
      <c r="P48699" s="2498"/>
    </row>
    <row r="48700" spans="16:16">
      <c r="P48700" s="2498"/>
    </row>
    <row r="48701" spans="16:16">
      <c r="P48701" s="2498"/>
    </row>
    <row r="48702" spans="16:16">
      <c r="P48702" s="2498"/>
    </row>
    <row r="48703" spans="16:16">
      <c r="P48703" s="2498"/>
    </row>
    <row r="48704" spans="16:16">
      <c r="P48704" s="2498"/>
    </row>
    <row r="48705" spans="16:16">
      <c r="P48705" s="2498"/>
    </row>
    <row r="48706" spans="16:16">
      <c r="P48706" s="2498"/>
    </row>
    <row r="48707" spans="16:16">
      <c r="P48707" s="2498"/>
    </row>
    <row r="48708" spans="16:16">
      <c r="P48708" s="2498"/>
    </row>
    <row r="48709" spans="16:16">
      <c r="P48709" s="2498"/>
    </row>
    <row r="48710" spans="16:16">
      <c r="P48710" s="2498"/>
    </row>
    <row r="48711" spans="16:16">
      <c r="P48711" s="2498"/>
    </row>
    <row r="48712" spans="16:16">
      <c r="P48712" s="2498"/>
    </row>
    <row r="48713" spans="16:16">
      <c r="P48713" s="2498"/>
    </row>
    <row r="48714" spans="16:16">
      <c r="P48714" s="2498"/>
    </row>
    <row r="48715" spans="16:16">
      <c r="P48715" s="2498"/>
    </row>
    <row r="48716" spans="16:16">
      <c r="P48716" s="2498"/>
    </row>
    <row r="48717" spans="16:16">
      <c r="P48717" s="2498"/>
    </row>
    <row r="48718" spans="16:16">
      <c r="P48718" s="2498"/>
    </row>
    <row r="48719" spans="16:16">
      <c r="P48719" s="2498"/>
    </row>
    <row r="48720" spans="16:16">
      <c r="P48720" s="2498"/>
    </row>
    <row r="48721" spans="16:16">
      <c r="P48721" s="2498"/>
    </row>
    <row r="48722" spans="16:16">
      <c r="P48722" s="2498"/>
    </row>
    <row r="48723" spans="16:16">
      <c r="P48723" s="2498"/>
    </row>
    <row r="48724" spans="16:16">
      <c r="P48724" s="2498"/>
    </row>
    <row r="48725" spans="16:16">
      <c r="P48725" s="2498"/>
    </row>
    <row r="48726" spans="16:16">
      <c r="P48726" s="2498"/>
    </row>
    <row r="48727" spans="16:16">
      <c r="P48727" s="2498"/>
    </row>
    <row r="48728" spans="16:16">
      <c r="P48728" s="2498"/>
    </row>
    <row r="48729" spans="16:16">
      <c r="P48729" s="2498"/>
    </row>
    <row r="48730" spans="16:16">
      <c r="P48730" s="2498"/>
    </row>
    <row r="48731" spans="16:16">
      <c r="P48731" s="2498"/>
    </row>
    <row r="48732" spans="16:16">
      <c r="P48732" s="2498"/>
    </row>
    <row r="48733" spans="16:16">
      <c r="P48733" s="2498"/>
    </row>
    <row r="48734" spans="16:16">
      <c r="P48734" s="2498"/>
    </row>
    <row r="48735" spans="16:16">
      <c r="P48735" s="2498"/>
    </row>
    <row r="48736" spans="16:16">
      <c r="P48736" s="2498"/>
    </row>
    <row r="48737" spans="16:16">
      <c r="P48737" s="2498"/>
    </row>
    <row r="48738" spans="16:16">
      <c r="P48738" s="2498"/>
    </row>
    <row r="48739" spans="16:16">
      <c r="P48739" s="2498"/>
    </row>
    <row r="48740" spans="16:16">
      <c r="P48740" s="2498"/>
    </row>
    <row r="48741" spans="16:16">
      <c r="P48741" s="2498"/>
    </row>
    <row r="48742" spans="16:16">
      <c r="P48742" s="2498"/>
    </row>
    <row r="48743" spans="16:16">
      <c r="P48743" s="2498"/>
    </row>
    <row r="48744" spans="16:16">
      <c r="P48744" s="2498"/>
    </row>
    <row r="48745" spans="16:16">
      <c r="P48745" s="2498"/>
    </row>
    <row r="48746" spans="16:16">
      <c r="P48746" s="2498"/>
    </row>
    <row r="48747" spans="16:16">
      <c r="P48747" s="2498"/>
    </row>
    <row r="48748" spans="16:16">
      <c r="P48748" s="2498"/>
    </row>
    <row r="48749" spans="16:16">
      <c r="P48749" s="2498"/>
    </row>
    <row r="48750" spans="16:16">
      <c r="P48750" s="2498"/>
    </row>
    <row r="48751" spans="16:16">
      <c r="P48751" s="2498"/>
    </row>
    <row r="48752" spans="16:16">
      <c r="P48752" s="2498"/>
    </row>
    <row r="48753" spans="16:16">
      <c r="P48753" s="2498"/>
    </row>
    <row r="48754" spans="16:16">
      <c r="P48754" s="2498"/>
    </row>
    <row r="48755" spans="16:16">
      <c r="P48755" s="2498"/>
    </row>
    <row r="48756" spans="16:16">
      <c r="P48756" s="2498"/>
    </row>
    <row r="48757" spans="16:16">
      <c r="P48757" s="2498"/>
    </row>
    <row r="48758" spans="16:16">
      <c r="P48758" s="2498"/>
    </row>
    <row r="48759" spans="16:16">
      <c r="P48759" s="2498"/>
    </row>
    <row r="48760" spans="16:16">
      <c r="P48760" s="2498"/>
    </row>
    <row r="48761" spans="16:16">
      <c r="P48761" s="2498"/>
    </row>
    <row r="48762" spans="16:16">
      <c r="P48762" s="2498"/>
    </row>
    <row r="48763" spans="16:16">
      <c r="P48763" s="2498"/>
    </row>
    <row r="48764" spans="16:16">
      <c r="P48764" s="2498"/>
    </row>
    <row r="48765" spans="16:16">
      <c r="P48765" s="2498"/>
    </row>
    <row r="48766" spans="16:16">
      <c r="P48766" s="2498"/>
    </row>
    <row r="48767" spans="16:16">
      <c r="P48767" s="2498"/>
    </row>
    <row r="48768" spans="16:16">
      <c r="P48768" s="2498"/>
    </row>
    <row r="48769" spans="16:16">
      <c r="P48769" s="2498"/>
    </row>
    <row r="48770" spans="16:16">
      <c r="P48770" s="2498"/>
    </row>
    <row r="48771" spans="16:16">
      <c r="P48771" s="2498"/>
    </row>
    <row r="48772" spans="16:16">
      <c r="P48772" s="2498"/>
    </row>
    <row r="48773" spans="16:16">
      <c r="P48773" s="2498"/>
    </row>
    <row r="48774" spans="16:16">
      <c r="P48774" s="2498"/>
    </row>
    <row r="48775" spans="16:16">
      <c r="P48775" s="2498"/>
    </row>
    <row r="48776" spans="16:16">
      <c r="P48776" s="2498"/>
    </row>
    <row r="48777" spans="16:16">
      <c r="P48777" s="2498"/>
    </row>
    <row r="48778" spans="16:16">
      <c r="P48778" s="2498"/>
    </row>
    <row r="48779" spans="16:16">
      <c r="P48779" s="2498"/>
    </row>
    <row r="48780" spans="16:16">
      <c r="P48780" s="2498"/>
    </row>
    <row r="48781" spans="16:16">
      <c r="P48781" s="2498"/>
    </row>
    <row r="48782" spans="16:16">
      <c r="P48782" s="2498"/>
    </row>
    <row r="48783" spans="16:16">
      <c r="P48783" s="2498"/>
    </row>
    <row r="48784" spans="16:16">
      <c r="P48784" s="2498"/>
    </row>
    <row r="48785" spans="16:16">
      <c r="P48785" s="2498"/>
    </row>
    <row r="48786" spans="16:16">
      <c r="P48786" s="2498"/>
    </row>
    <row r="48787" spans="16:16">
      <c r="P48787" s="2498"/>
    </row>
    <row r="48788" spans="16:16">
      <c r="P48788" s="2498"/>
    </row>
    <row r="48789" spans="16:16">
      <c r="P48789" s="2498"/>
    </row>
    <row r="48790" spans="16:16">
      <c r="P48790" s="2498"/>
    </row>
    <row r="48791" spans="16:16">
      <c r="P48791" s="2498"/>
    </row>
    <row r="48792" spans="16:16">
      <c r="P48792" s="2498"/>
    </row>
    <row r="48793" spans="16:16">
      <c r="P48793" s="2498"/>
    </row>
    <row r="48794" spans="16:16">
      <c r="P48794" s="2498"/>
    </row>
    <row r="48795" spans="16:16">
      <c r="P48795" s="2498"/>
    </row>
    <row r="48796" spans="16:16">
      <c r="P48796" s="2498"/>
    </row>
    <row r="48797" spans="16:16">
      <c r="P48797" s="2498"/>
    </row>
    <row r="48798" spans="16:16">
      <c r="P48798" s="2498"/>
    </row>
    <row r="48799" spans="16:16">
      <c r="P48799" s="2498"/>
    </row>
    <row r="48800" spans="16:16">
      <c r="P48800" s="2498"/>
    </row>
    <row r="48801" spans="16:16">
      <c r="P48801" s="2498"/>
    </row>
    <row r="48802" spans="16:16">
      <c r="P48802" s="2498"/>
    </row>
    <row r="48803" spans="16:16">
      <c r="P48803" s="2498"/>
    </row>
    <row r="48804" spans="16:16">
      <c r="P48804" s="2498"/>
    </row>
    <row r="48805" spans="16:16">
      <c r="P48805" s="2498"/>
    </row>
    <row r="48806" spans="16:16">
      <c r="P48806" s="2498"/>
    </row>
    <row r="48807" spans="16:16">
      <c r="P48807" s="2498"/>
    </row>
    <row r="48808" spans="16:16">
      <c r="P48808" s="2498"/>
    </row>
    <row r="48809" spans="16:16">
      <c r="P48809" s="2498"/>
    </row>
    <row r="48810" spans="16:16">
      <c r="P48810" s="2498"/>
    </row>
    <row r="48811" spans="16:16">
      <c r="P48811" s="2498"/>
    </row>
    <row r="48812" spans="16:16">
      <c r="P48812" s="2498"/>
    </row>
    <row r="48813" spans="16:16">
      <c r="P48813" s="2498"/>
    </row>
    <row r="48814" spans="16:16">
      <c r="P48814" s="2498"/>
    </row>
    <row r="48815" spans="16:16">
      <c r="P48815" s="2498"/>
    </row>
    <row r="48816" spans="16:16">
      <c r="P48816" s="2498"/>
    </row>
    <row r="48817" spans="16:16">
      <c r="P48817" s="2498"/>
    </row>
    <row r="48818" spans="16:16">
      <c r="P48818" s="2498"/>
    </row>
    <row r="48819" spans="16:16">
      <c r="P48819" s="2498"/>
    </row>
    <row r="48820" spans="16:16">
      <c r="P48820" s="2498"/>
    </row>
    <row r="48821" spans="16:16">
      <c r="P48821" s="2498"/>
    </row>
    <row r="48822" spans="16:16">
      <c r="P48822" s="2498"/>
    </row>
    <row r="48823" spans="16:16">
      <c r="P48823" s="2498"/>
    </row>
    <row r="48824" spans="16:16">
      <c r="P48824" s="2498"/>
    </row>
    <row r="48825" spans="16:16">
      <c r="P48825" s="2498"/>
    </row>
    <row r="48826" spans="16:16">
      <c r="P48826" s="2498"/>
    </row>
    <row r="48827" spans="16:16">
      <c r="P48827" s="2498"/>
    </row>
    <row r="48828" spans="16:16">
      <c r="P48828" s="2498"/>
    </row>
    <row r="48829" spans="16:16">
      <c r="P48829" s="2498"/>
    </row>
    <row r="48830" spans="16:16">
      <c r="P48830" s="2498"/>
    </row>
    <row r="48831" spans="16:16">
      <c r="P48831" s="2498"/>
    </row>
    <row r="48832" spans="16:16">
      <c r="P48832" s="2498"/>
    </row>
    <row r="48833" spans="16:16">
      <c r="P48833" s="2498"/>
    </row>
    <row r="48834" spans="16:16">
      <c r="P48834" s="2498"/>
    </row>
    <row r="48835" spans="16:16">
      <c r="P48835" s="2498"/>
    </row>
    <row r="48836" spans="16:16">
      <c r="P48836" s="2498"/>
    </row>
    <row r="48837" spans="16:16">
      <c r="P48837" s="2498"/>
    </row>
    <row r="48838" spans="16:16">
      <c r="P48838" s="2498"/>
    </row>
    <row r="48839" spans="16:16">
      <c r="P48839" s="2498"/>
    </row>
    <row r="48840" spans="16:16">
      <c r="P48840" s="2498"/>
    </row>
    <row r="48841" spans="16:16">
      <c r="P48841" s="2498"/>
    </row>
    <row r="48842" spans="16:16">
      <c r="P48842" s="2498"/>
    </row>
    <row r="48843" spans="16:16">
      <c r="P48843" s="2498"/>
    </row>
    <row r="48844" spans="16:16">
      <c r="P48844" s="2498"/>
    </row>
    <row r="48845" spans="16:16">
      <c r="P48845" s="2498"/>
    </row>
    <row r="48846" spans="16:16">
      <c r="P48846" s="2498"/>
    </row>
    <row r="48847" spans="16:16">
      <c r="P48847" s="2498"/>
    </row>
    <row r="48848" spans="16:16">
      <c r="P48848" s="2498"/>
    </row>
    <row r="48849" spans="16:16">
      <c r="P48849" s="2498"/>
    </row>
    <row r="48850" spans="16:16">
      <c r="P48850" s="2498"/>
    </row>
    <row r="48851" spans="16:16">
      <c r="P48851" s="2498"/>
    </row>
    <row r="48852" spans="16:16">
      <c r="P48852" s="2498"/>
    </row>
    <row r="48853" spans="16:16">
      <c r="P48853" s="2498"/>
    </row>
    <row r="48854" spans="16:16">
      <c r="P48854" s="2498"/>
    </row>
    <row r="48855" spans="16:16">
      <c r="P48855" s="2498"/>
    </row>
    <row r="48856" spans="16:16">
      <c r="P48856" s="2498"/>
    </row>
    <row r="48857" spans="16:16">
      <c r="P48857" s="2498"/>
    </row>
    <row r="48858" spans="16:16">
      <c r="P48858" s="2498"/>
    </row>
    <row r="48859" spans="16:16">
      <c r="P48859" s="2498"/>
    </row>
    <row r="48860" spans="16:16">
      <c r="P48860" s="2498"/>
    </row>
    <row r="48861" spans="16:16">
      <c r="P48861" s="2498"/>
    </row>
    <row r="48862" spans="16:16">
      <c r="P48862" s="2498"/>
    </row>
    <row r="48863" spans="16:16">
      <c r="P48863" s="2498"/>
    </row>
    <row r="48864" spans="16:16">
      <c r="P48864" s="2498"/>
    </row>
    <row r="48865" spans="16:16">
      <c r="P48865" s="2498"/>
    </row>
    <row r="48866" spans="16:16">
      <c r="P48866" s="2498"/>
    </row>
    <row r="48867" spans="16:16">
      <c r="P48867" s="2498"/>
    </row>
    <row r="48868" spans="16:16">
      <c r="P48868" s="2498"/>
    </row>
    <row r="48869" spans="16:16">
      <c r="P48869" s="2498"/>
    </row>
    <row r="48870" spans="16:16">
      <c r="P48870" s="2498"/>
    </row>
    <row r="48871" spans="16:16">
      <c r="P48871" s="2498"/>
    </row>
    <row r="48872" spans="16:16">
      <c r="P48872" s="2498"/>
    </row>
    <row r="48873" spans="16:16">
      <c r="P48873" s="2498"/>
    </row>
    <row r="48874" spans="16:16">
      <c r="P48874" s="2498"/>
    </row>
    <row r="48875" spans="16:16">
      <c r="P48875" s="2498"/>
    </row>
    <row r="48876" spans="16:16">
      <c r="P48876" s="2498"/>
    </row>
    <row r="48877" spans="16:16">
      <c r="P48877" s="2498"/>
    </row>
    <row r="48878" spans="16:16">
      <c r="P48878" s="2498"/>
    </row>
    <row r="48879" spans="16:16">
      <c r="P48879" s="2498"/>
    </row>
    <row r="48880" spans="16:16">
      <c r="P48880" s="2498"/>
    </row>
    <row r="48881" spans="16:16">
      <c r="P48881" s="2498"/>
    </row>
    <row r="48882" spans="16:16">
      <c r="P48882" s="2498"/>
    </row>
    <row r="48883" spans="16:16">
      <c r="P48883" s="2498"/>
    </row>
    <row r="48884" spans="16:16">
      <c r="P48884" s="2498"/>
    </row>
    <row r="48885" spans="16:16">
      <c r="P48885" s="2498"/>
    </row>
    <row r="48886" spans="16:16">
      <c r="P48886" s="2498"/>
    </row>
    <row r="48887" spans="16:16">
      <c r="P48887" s="2498"/>
    </row>
    <row r="48888" spans="16:16">
      <c r="P48888" s="2498"/>
    </row>
    <row r="48889" spans="16:16">
      <c r="P48889" s="2498"/>
    </row>
    <row r="48890" spans="16:16">
      <c r="P48890" s="2498"/>
    </row>
    <row r="48891" spans="16:16">
      <c r="P48891" s="2498"/>
    </row>
    <row r="48892" spans="16:16">
      <c r="P48892" s="2498"/>
    </row>
    <row r="48893" spans="16:16">
      <c r="P48893" s="2498"/>
    </row>
    <row r="48894" spans="16:16">
      <c r="P48894" s="2498"/>
    </row>
    <row r="48895" spans="16:16">
      <c r="P48895" s="2498"/>
    </row>
    <row r="48896" spans="16:16">
      <c r="P48896" s="2498"/>
    </row>
    <row r="48897" spans="16:16">
      <c r="P48897" s="2498"/>
    </row>
    <row r="48898" spans="16:16">
      <c r="P48898" s="2498"/>
    </row>
    <row r="48899" spans="16:16">
      <c r="P48899" s="2498"/>
    </row>
    <row r="48900" spans="16:16">
      <c r="P48900" s="2498"/>
    </row>
    <row r="48901" spans="16:16">
      <c r="P48901" s="2498"/>
    </row>
    <row r="48902" spans="16:16">
      <c r="P48902" s="2498"/>
    </row>
    <row r="48903" spans="16:16">
      <c r="P48903" s="2498"/>
    </row>
    <row r="48904" spans="16:16">
      <c r="P48904" s="2498"/>
    </row>
    <row r="48905" spans="16:16">
      <c r="P48905" s="2498"/>
    </row>
    <row r="48906" spans="16:16">
      <c r="P48906" s="2498"/>
    </row>
    <row r="48907" spans="16:16">
      <c r="P48907" s="2498"/>
    </row>
    <row r="48908" spans="16:16">
      <c r="P48908" s="2498"/>
    </row>
    <row r="48909" spans="16:16">
      <c r="P48909" s="2498"/>
    </row>
    <row r="48910" spans="16:16">
      <c r="P48910" s="2498"/>
    </row>
    <row r="48911" spans="16:16">
      <c r="P48911" s="2498"/>
    </row>
    <row r="48912" spans="16:16">
      <c r="P48912" s="2498"/>
    </row>
    <row r="48913" spans="16:16">
      <c r="P48913" s="2498"/>
    </row>
    <row r="48914" spans="16:16">
      <c r="P48914" s="2498"/>
    </row>
    <row r="48915" spans="16:16">
      <c r="P48915" s="2498"/>
    </row>
    <row r="48916" spans="16:16">
      <c r="P48916" s="2498"/>
    </row>
    <row r="48917" spans="16:16">
      <c r="P48917" s="2498"/>
    </row>
    <row r="48918" spans="16:16">
      <c r="P48918" s="2498"/>
    </row>
    <row r="48919" spans="16:16">
      <c r="P48919" s="2498"/>
    </row>
    <row r="48920" spans="16:16">
      <c r="P48920" s="2498"/>
    </row>
    <row r="48921" spans="16:16">
      <c r="P48921" s="2498"/>
    </row>
    <row r="48922" spans="16:16">
      <c r="P48922" s="2498"/>
    </row>
    <row r="48923" spans="16:16">
      <c r="P48923" s="2498"/>
    </row>
    <row r="48924" spans="16:16">
      <c r="P48924" s="2498"/>
    </row>
    <row r="48925" spans="16:16">
      <c r="P48925" s="2498"/>
    </row>
    <row r="48926" spans="16:16">
      <c r="P48926" s="2498"/>
    </row>
    <row r="48927" spans="16:16">
      <c r="P48927" s="2498"/>
    </row>
    <row r="48928" spans="16:16">
      <c r="P48928" s="2498"/>
    </row>
    <row r="48929" spans="16:16">
      <c r="P48929" s="2498"/>
    </row>
    <row r="48930" spans="16:16">
      <c r="P48930" s="2498"/>
    </row>
    <row r="48931" spans="16:16">
      <c r="P48931" s="2498"/>
    </row>
    <row r="48932" spans="16:16">
      <c r="P48932" s="2498"/>
    </row>
    <row r="48933" spans="16:16">
      <c r="P48933" s="2498"/>
    </row>
    <row r="48934" spans="16:16">
      <c r="P48934" s="2498"/>
    </row>
    <row r="48935" spans="16:16">
      <c r="P48935" s="2498"/>
    </row>
    <row r="48936" spans="16:16">
      <c r="P48936" s="2498"/>
    </row>
    <row r="48937" spans="16:16">
      <c r="P48937" s="2498"/>
    </row>
    <row r="48938" spans="16:16">
      <c r="P48938" s="2498"/>
    </row>
    <row r="48939" spans="16:16">
      <c r="P48939" s="2498"/>
    </row>
    <row r="48940" spans="16:16">
      <c r="P48940" s="2498"/>
    </row>
    <row r="48941" spans="16:16">
      <c r="P48941" s="2498"/>
    </row>
    <row r="48942" spans="16:16">
      <c r="P48942" s="2498"/>
    </row>
    <row r="48943" spans="16:16">
      <c r="P48943" s="2498"/>
    </row>
    <row r="48944" spans="16:16">
      <c r="P48944" s="2498"/>
    </row>
    <row r="48945" spans="16:16">
      <c r="P48945" s="2498"/>
    </row>
    <row r="48946" spans="16:16">
      <c r="P48946" s="2498"/>
    </row>
    <row r="48947" spans="16:16">
      <c r="P48947" s="2498"/>
    </row>
    <row r="48948" spans="16:16">
      <c r="P48948" s="2498"/>
    </row>
    <row r="48949" spans="16:16">
      <c r="P48949" s="2498"/>
    </row>
    <row r="48950" spans="16:16">
      <c r="P48950" s="2498"/>
    </row>
    <row r="48951" spans="16:16">
      <c r="P48951" s="2498"/>
    </row>
    <row r="48952" spans="16:16">
      <c r="P48952" s="2498"/>
    </row>
    <row r="48953" spans="16:16">
      <c r="P48953" s="2498"/>
    </row>
    <row r="48954" spans="16:16">
      <c r="P48954" s="2498"/>
    </row>
    <row r="48955" spans="16:16">
      <c r="P48955" s="2498"/>
    </row>
    <row r="48956" spans="16:16">
      <c r="P48956" s="2498"/>
    </row>
    <row r="48957" spans="16:16">
      <c r="P48957" s="2498"/>
    </row>
    <row r="48958" spans="16:16">
      <c r="P48958" s="2498"/>
    </row>
    <row r="48959" spans="16:16">
      <c r="P48959" s="2498"/>
    </row>
    <row r="48960" spans="16:16">
      <c r="P48960" s="2498"/>
    </row>
    <row r="48961" spans="16:16">
      <c r="P48961" s="2498"/>
    </row>
    <row r="48962" spans="16:16">
      <c r="P48962" s="2498"/>
    </row>
    <row r="48963" spans="16:16">
      <c r="P48963" s="2498"/>
    </row>
    <row r="48964" spans="16:16">
      <c r="P48964" s="2498"/>
    </row>
    <row r="48965" spans="16:16">
      <c r="P48965" s="2498"/>
    </row>
    <row r="48966" spans="16:16">
      <c r="P48966" s="2498"/>
    </row>
    <row r="48967" spans="16:16">
      <c r="P48967" s="2498"/>
    </row>
    <row r="48968" spans="16:16">
      <c r="P48968" s="2498"/>
    </row>
    <row r="48969" spans="16:16">
      <c r="P48969" s="2498"/>
    </row>
    <row r="48970" spans="16:16">
      <c r="P48970" s="2498"/>
    </row>
    <row r="48971" spans="16:16">
      <c r="P48971" s="2498"/>
    </row>
    <row r="48972" spans="16:16">
      <c r="P48972" s="2498"/>
    </row>
    <row r="48973" spans="16:16">
      <c r="P48973" s="2498"/>
    </row>
    <row r="48974" spans="16:16">
      <c r="P48974" s="2498"/>
    </row>
    <row r="48975" spans="16:16">
      <c r="P48975" s="2498"/>
    </row>
    <row r="48976" spans="16:16">
      <c r="P48976" s="2498"/>
    </row>
    <row r="48977" spans="16:16">
      <c r="P48977" s="2498"/>
    </row>
    <row r="48978" spans="16:16">
      <c r="P48978" s="2498"/>
    </row>
    <row r="48979" spans="16:16">
      <c r="P48979" s="2498"/>
    </row>
    <row r="48980" spans="16:16">
      <c r="P48980" s="2498"/>
    </row>
    <row r="48981" spans="16:16">
      <c r="P48981" s="2498"/>
    </row>
    <row r="48982" spans="16:16">
      <c r="P48982" s="2498"/>
    </row>
    <row r="48983" spans="16:16">
      <c r="P48983" s="2498"/>
    </row>
    <row r="48984" spans="16:16">
      <c r="P48984" s="2498"/>
    </row>
    <row r="48985" spans="16:16">
      <c r="P48985" s="2498"/>
    </row>
    <row r="48986" spans="16:16">
      <c r="P48986" s="2498"/>
    </row>
    <row r="48987" spans="16:16">
      <c r="P48987" s="2498"/>
    </row>
    <row r="48988" spans="16:16">
      <c r="P48988" s="2498"/>
    </row>
    <row r="48989" spans="16:16">
      <c r="P48989" s="2498"/>
    </row>
    <row r="48990" spans="16:16">
      <c r="P48990" s="2498"/>
    </row>
    <row r="48991" spans="16:16">
      <c r="P48991" s="2498"/>
    </row>
    <row r="48992" spans="16:16">
      <c r="P48992" s="2498"/>
    </row>
    <row r="48993" spans="16:16">
      <c r="P48993" s="2498"/>
    </row>
    <row r="48994" spans="16:16">
      <c r="P48994" s="2498"/>
    </row>
    <row r="48995" spans="16:16">
      <c r="P48995" s="2498"/>
    </row>
    <row r="48996" spans="16:16">
      <c r="P48996" s="2498"/>
    </row>
    <row r="48997" spans="16:16">
      <c r="P48997" s="2498"/>
    </row>
    <row r="48998" spans="16:16">
      <c r="P48998" s="2498"/>
    </row>
    <row r="48999" spans="16:16">
      <c r="P48999" s="2498"/>
    </row>
    <row r="49000" spans="16:16">
      <c r="P49000" s="2498"/>
    </row>
    <row r="49001" spans="16:16">
      <c r="P49001" s="2498"/>
    </row>
    <row r="49002" spans="16:16">
      <c r="P49002" s="2498"/>
    </row>
    <row r="49003" spans="16:16">
      <c r="P49003" s="2498"/>
    </row>
    <row r="49004" spans="16:16">
      <c r="P49004" s="2498"/>
    </row>
    <row r="49005" spans="16:16">
      <c r="P49005" s="2498"/>
    </row>
    <row r="49006" spans="16:16">
      <c r="P49006" s="2498"/>
    </row>
    <row r="49007" spans="16:16">
      <c r="P49007" s="2498"/>
    </row>
    <row r="49008" spans="16:16">
      <c r="P49008" s="2498"/>
    </row>
    <row r="49009" spans="16:16">
      <c r="P49009" s="2498"/>
    </row>
    <row r="49010" spans="16:16">
      <c r="P49010" s="2498"/>
    </row>
    <row r="49011" spans="16:16">
      <c r="P49011" s="2498"/>
    </row>
    <row r="49012" spans="16:16">
      <c r="P49012" s="2498"/>
    </row>
    <row r="49013" spans="16:16">
      <c r="P49013" s="2498"/>
    </row>
    <row r="49014" spans="16:16">
      <c r="P49014" s="2498"/>
    </row>
    <row r="49015" spans="16:16">
      <c r="P49015" s="2498"/>
    </row>
    <row r="49016" spans="16:16">
      <c r="P49016" s="2498"/>
    </row>
    <row r="49017" spans="16:16">
      <c r="P49017" s="2498"/>
    </row>
    <row r="49018" spans="16:16">
      <c r="P49018" s="2498"/>
    </row>
    <row r="49019" spans="16:16">
      <c r="P49019" s="2498"/>
    </row>
    <row r="49020" spans="16:16">
      <c r="P49020" s="2498"/>
    </row>
    <row r="49021" spans="16:16">
      <c r="P49021" s="2498"/>
    </row>
    <row r="49022" spans="16:16">
      <c r="P49022" s="2498"/>
    </row>
    <row r="49023" spans="16:16">
      <c r="P49023" s="2498"/>
    </row>
    <row r="49024" spans="16:16">
      <c r="P49024" s="2498"/>
    </row>
    <row r="49025" spans="16:16">
      <c r="P49025" s="2498"/>
    </row>
    <row r="49026" spans="16:16">
      <c r="P49026" s="2498"/>
    </row>
    <row r="49027" spans="16:16">
      <c r="P49027" s="2498"/>
    </row>
    <row r="49028" spans="16:16">
      <c r="P49028" s="2498"/>
    </row>
    <row r="49029" spans="16:16">
      <c r="P49029" s="2498"/>
    </row>
    <row r="49030" spans="16:16">
      <c r="P49030" s="2498"/>
    </row>
    <row r="49031" spans="16:16">
      <c r="P49031" s="2498"/>
    </row>
    <row r="49032" spans="16:16">
      <c r="P49032" s="2498"/>
    </row>
    <row r="49033" spans="16:16">
      <c r="P49033" s="2498"/>
    </row>
    <row r="49034" spans="16:16">
      <c r="P49034" s="2498"/>
    </row>
    <row r="49035" spans="16:16">
      <c r="P49035" s="2498"/>
    </row>
    <row r="49036" spans="16:16">
      <c r="P49036" s="2498"/>
    </row>
    <row r="49037" spans="16:16">
      <c r="P49037" s="2498"/>
    </row>
    <row r="49038" spans="16:16">
      <c r="P49038" s="2498"/>
    </row>
    <row r="49039" spans="16:16">
      <c r="P49039" s="2498"/>
    </row>
    <row r="49040" spans="16:16">
      <c r="P49040" s="2498"/>
    </row>
    <row r="49041" spans="16:16">
      <c r="P49041" s="2498"/>
    </row>
    <row r="49042" spans="16:16">
      <c r="P49042" s="2498"/>
    </row>
    <row r="49043" spans="16:16">
      <c r="P49043" s="2498"/>
    </row>
    <row r="49044" spans="16:16">
      <c r="P49044" s="2498"/>
    </row>
    <row r="49045" spans="16:16">
      <c r="P49045" s="2498"/>
    </row>
    <row r="49046" spans="16:16">
      <c r="P49046" s="2498"/>
    </row>
    <row r="49047" spans="16:16">
      <c r="P49047" s="2498"/>
    </row>
    <row r="49048" spans="16:16">
      <c r="P49048" s="2498"/>
    </row>
    <row r="49049" spans="16:16">
      <c r="P49049" s="2498"/>
    </row>
    <row r="49050" spans="16:16">
      <c r="P49050" s="2498"/>
    </row>
    <row r="49051" spans="16:16">
      <c r="P49051" s="2498"/>
    </row>
    <row r="49052" spans="16:16">
      <c r="P49052" s="2498"/>
    </row>
    <row r="49053" spans="16:16">
      <c r="P49053" s="2498"/>
    </row>
    <row r="49054" spans="16:16">
      <c r="P49054" s="2498"/>
    </row>
    <row r="49055" spans="16:16">
      <c r="P49055" s="2498"/>
    </row>
    <row r="49056" spans="16:16">
      <c r="P49056" s="2498"/>
    </row>
    <row r="49057" spans="16:16">
      <c r="P49057" s="2498"/>
    </row>
    <row r="49058" spans="16:16">
      <c r="P49058" s="2498"/>
    </row>
    <row r="49059" spans="16:16">
      <c r="P49059" s="2498"/>
    </row>
    <row r="49060" spans="16:16">
      <c r="P49060" s="2498"/>
    </row>
    <row r="49061" spans="16:16">
      <c r="P49061" s="2498"/>
    </row>
    <row r="49062" spans="16:16">
      <c r="P49062" s="2498"/>
    </row>
    <row r="49063" spans="16:16">
      <c r="P49063" s="2498"/>
    </row>
    <row r="49064" spans="16:16">
      <c r="P49064" s="2498"/>
    </row>
    <row r="49065" spans="16:16">
      <c r="P49065" s="2498"/>
    </row>
    <row r="49066" spans="16:16">
      <c r="P49066" s="2498"/>
    </row>
    <row r="49067" spans="16:16">
      <c r="P49067" s="2498"/>
    </row>
    <row r="49068" spans="16:16">
      <c r="P49068" s="2498"/>
    </row>
    <row r="49069" spans="16:16">
      <c r="P49069" s="2498"/>
    </row>
    <row r="49070" spans="16:16">
      <c r="P49070" s="2498"/>
    </row>
    <row r="49071" spans="16:16">
      <c r="P49071" s="2498"/>
    </row>
    <row r="49072" spans="16:16">
      <c r="P49072" s="2498"/>
    </row>
    <row r="49073" spans="16:16">
      <c r="P49073" s="2498"/>
    </row>
    <row r="49074" spans="16:16">
      <c r="P49074" s="2498"/>
    </row>
    <row r="49075" spans="16:16">
      <c r="P49075" s="2498"/>
    </row>
    <row r="49076" spans="16:16">
      <c r="P49076" s="2498"/>
    </row>
    <row r="49077" spans="16:16">
      <c r="P49077" s="2498"/>
    </row>
    <row r="49078" spans="16:16">
      <c r="P49078" s="2498"/>
    </row>
    <row r="49079" spans="16:16">
      <c r="P49079" s="2498"/>
    </row>
    <row r="49080" spans="16:16">
      <c r="P49080" s="2498"/>
    </row>
    <row r="49081" spans="16:16">
      <c r="P49081" s="2498"/>
    </row>
    <row r="49082" spans="16:16">
      <c r="P49082" s="2498"/>
    </row>
    <row r="49083" spans="16:16">
      <c r="P49083" s="2498"/>
    </row>
    <row r="49084" spans="16:16">
      <c r="P49084" s="2498"/>
    </row>
    <row r="49085" spans="16:16">
      <c r="P49085" s="2498"/>
    </row>
    <row r="49086" spans="16:16">
      <c r="P49086" s="2498"/>
    </row>
    <row r="49087" spans="16:16">
      <c r="P49087" s="2498"/>
    </row>
    <row r="49088" spans="16:16">
      <c r="P49088" s="2498"/>
    </row>
    <row r="49089" spans="16:16">
      <c r="P49089" s="2498"/>
    </row>
    <row r="49090" spans="16:16">
      <c r="P49090" s="2498"/>
    </row>
    <row r="49091" spans="16:16">
      <c r="P49091" s="2498"/>
    </row>
    <row r="49092" spans="16:16">
      <c r="P49092" s="2498"/>
    </row>
    <row r="49093" spans="16:16">
      <c r="P49093" s="2498"/>
    </row>
    <row r="49094" spans="16:16">
      <c r="P49094" s="2498"/>
    </row>
    <row r="49095" spans="16:16">
      <c r="P49095" s="2498"/>
    </row>
    <row r="49096" spans="16:16">
      <c r="P49096" s="2498"/>
    </row>
    <row r="49097" spans="16:16">
      <c r="P49097" s="2498"/>
    </row>
    <row r="49098" spans="16:16">
      <c r="P49098" s="2498"/>
    </row>
    <row r="49099" spans="16:16">
      <c r="P49099" s="2498"/>
    </row>
    <row r="49100" spans="16:16">
      <c r="P49100" s="2498"/>
    </row>
    <row r="49101" spans="16:16">
      <c r="P49101" s="2498"/>
    </row>
    <row r="49102" spans="16:16">
      <c r="P49102" s="2498"/>
    </row>
    <row r="49103" spans="16:16">
      <c r="P49103" s="2498"/>
    </row>
    <row r="49104" spans="16:16">
      <c r="P49104" s="2498"/>
    </row>
    <row r="49105" spans="16:16">
      <c r="P49105" s="2498"/>
    </row>
    <row r="49106" spans="16:16">
      <c r="P49106" s="2498"/>
    </row>
    <row r="49107" spans="16:16">
      <c r="P49107" s="2498"/>
    </row>
    <row r="49108" spans="16:16">
      <c r="P49108" s="2498"/>
    </row>
    <row r="49109" spans="16:16">
      <c r="P49109" s="2498"/>
    </row>
    <row r="49110" spans="16:16">
      <c r="P49110" s="2498"/>
    </row>
    <row r="49111" spans="16:16">
      <c r="P49111" s="2498"/>
    </row>
    <row r="49112" spans="16:16">
      <c r="P49112" s="2498"/>
    </row>
    <row r="49113" spans="16:16">
      <c r="P49113" s="2498"/>
    </row>
    <row r="49114" spans="16:16">
      <c r="P49114" s="2498"/>
    </row>
    <row r="49115" spans="16:16">
      <c r="P49115" s="2498"/>
    </row>
    <row r="49116" spans="16:16">
      <c r="P49116" s="2498"/>
    </row>
    <row r="49117" spans="16:16">
      <c r="P49117" s="2498"/>
    </row>
    <row r="49118" spans="16:16">
      <c r="P49118" s="2498"/>
    </row>
    <row r="49119" spans="16:16">
      <c r="P49119" s="2498"/>
    </row>
    <row r="49120" spans="16:16">
      <c r="P49120" s="2498"/>
    </row>
    <row r="49121" spans="16:16">
      <c r="P49121" s="2498"/>
    </row>
    <row r="49122" spans="16:16">
      <c r="P49122" s="2498"/>
    </row>
    <row r="49123" spans="16:16">
      <c r="P49123" s="2498"/>
    </row>
    <row r="49124" spans="16:16">
      <c r="P49124" s="2498"/>
    </row>
    <row r="49125" spans="16:16">
      <c r="P49125" s="2498"/>
    </row>
    <row r="49126" spans="16:16">
      <c r="P49126" s="2498"/>
    </row>
    <row r="49127" spans="16:16">
      <c r="P49127" s="2498"/>
    </row>
    <row r="49128" spans="16:16">
      <c r="P49128" s="2498"/>
    </row>
    <row r="49129" spans="16:16">
      <c r="P49129" s="2498"/>
    </row>
    <row r="49130" spans="16:16">
      <c r="P49130" s="2498"/>
    </row>
    <row r="49131" spans="16:16">
      <c r="P49131" s="2498"/>
    </row>
    <row r="49132" spans="16:16">
      <c r="P49132" s="2498"/>
    </row>
    <row r="49133" spans="16:16">
      <c r="P49133" s="2498"/>
    </row>
    <row r="49134" spans="16:16">
      <c r="P49134" s="2498"/>
    </row>
    <row r="49135" spans="16:16">
      <c r="P49135" s="2498"/>
    </row>
    <row r="49136" spans="16:16">
      <c r="P49136" s="2498"/>
    </row>
    <row r="49137" spans="16:16">
      <c r="P49137" s="2498"/>
    </row>
    <row r="49138" spans="16:16">
      <c r="P49138" s="2498"/>
    </row>
    <row r="49139" spans="16:16">
      <c r="P49139" s="2498"/>
    </row>
    <row r="49140" spans="16:16">
      <c r="P49140" s="2498"/>
    </row>
    <row r="49141" spans="16:16">
      <c r="P49141" s="2498"/>
    </row>
    <row r="49142" spans="16:16">
      <c r="P49142" s="2498"/>
    </row>
    <row r="49143" spans="16:16">
      <c r="P49143" s="2498"/>
    </row>
    <row r="49144" spans="16:16">
      <c r="P49144" s="2498"/>
    </row>
    <row r="49145" spans="16:16">
      <c r="P49145" s="2498"/>
    </row>
    <row r="49146" spans="16:16">
      <c r="P49146" s="2498"/>
    </row>
    <row r="49147" spans="16:16">
      <c r="P49147" s="2498"/>
    </row>
    <row r="49148" spans="16:16">
      <c r="P49148" s="2498"/>
    </row>
    <row r="49149" spans="16:16">
      <c r="P49149" s="2498"/>
    </row>
    <row r="49150" spans="16:16">
      <c r="P49150" s="2498"/>
    </row>
    <row r="49151" spans="16:16">
      <c r="P49151" s="2498"/>
    </row>
    <row r="49152" spans="16:16">
      <c r="P49152" s="2498"/>
    </row>
    <row r="49153" spans="16:16">
      <c r="P49153" s="2498"/>
    </row>
    <row r="49154" spans="16:16">
      <c r="P49154" s="2498"/>
    </row>
    <row r="49155" spans="16:16">
      <c r="P49155" s="2498"/>
    </row>
    <row r="49156" spans="16:16">
      <c r="P49156" s="2498"/>
    </row>
    <row r="49157" spans="16:16">
      <c r="P49157" s="2498"/>
    </row>
    <row r="49158" spans="16:16">
      <c r="P49158" s="2498"/>
    </row>
    <row r="49159" spans="16:16">
      <c r="P49159" s="2498"/>
    </row>
    <row r="49160" spans="16:16">
      <c r="P49160" s="2498"/>
    </row>
    <row r="49161" spans="16:16">
      <c r="P49161" s="2498"/>
    </row>
    <row r="49162" spans="16:16">
      <c r="P49162" s="2498"/>
    </row>
    <row r="49163" spans="16:16">
      <c r="P49163" s="2498"/>
    </row>
    <row r="49164" spans="16:16">
      <c r="P49164" s="2498"/>
    </row>
    <row r="49165" spans="16:16">
      <c r="P49165" s="2498"/>
    </row>
    <row r="49166" spans="16:16">
      <c r="P49166" s="2498"/>
    </row>
    <row r="49167" spans="16:16">
      <c r="P49167" s="2498"/>
    </row>
    <row r="49168" spans="16:16">
      <c r="P49168" s="2498"/>
    </row>
    <row r="49169" spans="16:16">
      <c r="P49169" s="2498"/>
    </row>
    <row r="49170" spans="16:16">
      <c r="P49170" s="2498"/>
    </row>
    <row r="49171" spans="16:16">
      <c r="P49171" s="2498"/>
    </row>
    <row r="49172" spans="16:16">
      <c r="P49172" s="2498"/>
    </row>
    <row r="49173" spans="16:16">
      <c r="P49173" s="2498"/>
    </row>
    <row r="49174" spans="16:16">
      <c r="P49174" s="2498"/>
    </row>
    <row r="49175" spans="16:16">
      <c r="P49175" s="2498"/>
    </row>
    <row r="49176" spans="16:16">
      <c r="P49176" s="2498"/>
    </row>
    <row r="49177" spans="16:16">
      <c r="P49177" s="2498"/>
    </row>
    <row r="49178" spans="16:16">
      <c r="P49178" s="2498"/>
    </row>
    <row r="49179" spans="16:16">
      <c r="P49179" s="2498"/>
    </row>
    <row r="49180" spans="16:16">
      <c r="P49180" s="2498"/>
    </row>
    <row r="49181" spans="16:16">
      <c r="P49181" s="2498"/>
    </row>
    <row r="49182" spans="16:16">
      <c r="P49182" s="2498"/>
    </row>
    <row r="49183" spans="16:16">
      <c r="P49183" s="2498"/>
    </row>
    <row r="49184" spans="16:16">
      <c r="P49184" s="2498"/>
    </row>
    <row r="49185" spans="16:16">
      <c r="P49185" s="2498"/>
    </row>
    <row r="49186" spans="16:16">
      <c r="P49186" s="2498"/>
    </row>
    <row r="49187" spans="16:16">
      <c r="P49187" s="2498"/>
    </row>
    <row r="49188" spans="16:16">
      <c r="P49188" s="2498"/>
    </row>
    <row r="49189" spans="16:16">
      <c r="P49189" s="2498"/>
    </row>
    <row r="49190" spans="16:16">
      <c r="P49190" s="2498"/>
    </row>
    <row r="49191" spans="16:16">
      <c r="P49191" s="2498"/>
    </row>
    <row r="49192" spans="16:16">
      <c r="P49192" s="2498"/>
    </row>
    <row r="49193" spans="16:16">
      <c r="P49193" s="2498"/>
    </row>
    <row r="49194" spans="16:16">
      <c r="P49194" s="2498"/>
    </row>
    <row r="49195" spans="16:16">
      <c r="P49195" s="2498"/>
    </row>
    <row r="49196" spans="16:16">
      <c r="P49196" s="2498"/>
    </row>
    <row r="49197" spans="16:16">
      <c r="P49197" s="2498"/>
    </row>
    <row r="49198" spans="16:16">
      <c r="P49198" s="2498"/>
    </row>
    <row r="49199" spans="16:16">
      <c r="P49199" s="2498"/>
    </row>
    <row r="49200" spans="16:16">
      <c r="P49200" s="2498"/>
    </row>
    <row r="49201" spans="16:16">
      <c r="P49201" s="2498"/>
    </row>
    <row r="49202" spans="16:16">
      <c r="P49202" s="2498"/>
    </row>
    <row r="49203" spans="16:16">
      <c r="P49203" s="2498"/>
    </row>
    <row r="49204" spans="16:16">
      <c r="P49204" s="2498"/>
    </row>
    <row r="49205" spans="16:16">
      <c r="P49205" s="2498"/>
    </row>
    <row r="49206" spans="16:16">
      <c r="P49206" s="2498"/>
    </row>
    <row r="49207" spans="16:16">
      <c r="P49207" s="2498"/>
    </row>
    <row r="49208" spans="16:16">
      <c r="P49208" s="2498"/>
    </row>
    <row r="49209" spans="16:16">
      <c r="P49209" s="2498"/>
    </row>
    <row r="49210" spans="16:16">
      <c r="P49210" s="2498"/>
    </row>
    <row r="49211" spans="16:16">
      <c r="P49211" s="2498"/>
    </row>
    <row r="49212" spans="16:16">
      <c r="P49212" s="2498"/>
    </row>
    <row r="49213" spans="16:16">
      <c r="P49213" s="2498"/>
    </row>
    <row r="49214" spans="16:16">
      <c r="P49214" s="2498"/>
    </row>
    <row r="49215" spans="16:16">
      <c r="P49215" s="2498"/>
    </row>
    <row r="49216" spans="16:16">
      <c r="P49216" s="2498"/>
    </row>
    <row r="49217" spans="16:16">
      <c r="P49217" s="2498"/>
    </row>
    <row r="49218" spans="16:16">
      <c r="P49218" s="2498"/>
    </row>
    <row r="49219" spans="16:16">
      <c r="P49219" s="2498"/>
    </row>
    <row r="49220" spans="16:16">
      <c r="P49220" s="2498"/>
    </row>
    <row r="49221" spans="16:16">
      <c r="P49221" s="2498"/>
    </row>
    <row r="49222" spans="16:16">
      <c r="P49222" s="2498"/>
    </row>
    <row r="49223" spans="16:16">
      <c r="P49223" s="2498"/>
    </row>
    <row r="49224" spans="16:16">
      <c r="P49224" s="2498"/>
    </row>
    <row r="49225" spans="16:16">
      <c r="P49225" s="2498"/>
    </row>
    <row r="49226" spans="16:16">
      <c r="P49226" s="2498"/>
    </row>
    <row r="49227" spans="16:16">
      <c r="P49227" s="2498"/>
    </row>
    <row r="49228" spans="16:16">
      <c r="P49228" s="2498"/>
    </row>
    <row r="49229" spans="16:16">
      <c r="P49229" s="2498"/>
    </row>
    <row r="49230" spans="16:16">
      <c r="P49230" s="2498"/>
    </row>
    <row r="49231" spans="16:16">
      <c r="P49231" s="2498"/>
    </row>
    <row r="49232" spans="16:16">
      <c r="P49232" s="2498"/>
    </row>
    <row r="49233" spans="16:16">
      <c r="P49233" s="2498"/>
    </row>
    <row r="49234" spans="16:16">
      <c r="P49234" s="2498"/>
    </row>
    <row r="49235" spans="16:16">
      <c r="P49235" s="2498"/>
    </row>
    <row r="49236" spans="16:16">
      <c r="P49236" s="2498"/>
    </row>
    <row r="49237" spans="16:16">
      <c r="P49237" s="2498"/>
    </row>
    <row r="49238" spans="16:16">
      <c r="P49238" s="2498"/>
    </row>
    <row r="49239" spans="16:16">
      <c r="P49239" s="2498"/>
    </row>
    <row r="49240" spans="16:16">
      <c r="P49240" s="2498"/>
    </row>
    <row r="49241" spans="16:16">
      <c r="P49241" s="2498"/>
    </row>
    <row r="49242" spans="16:16">
      <c r="P49242" s="2498"/>
    </row>
    <row r="49243" spans="16:16">
      <c r="P49243" s="2498"/>
    </row>
    <row r="49244" spans="16:16">
      <c r="P49244" s="2498"/>
    </row>
    <row r="49245" spans="16:16">
      <c r="P49245" s="2498"/>
    </row>
    <row r="49246" spans="16:16">
      <c r="P49246" s="2498"/>
    </row>
    <row r="49247" spans="16:16">
      <c r="P49247" s="2498"/>
    </row>
    <row r="49248" spans="16:16">
      <c r="P49248" s="2498"/>
    </row>
    <row r="49249" spans="16:16">
      <c r="P49249" s="2498"/>
    </row>
    <row r="49250" spans="16:16">
      <c r="P49250" s="2498"/>
    </row>
    <row r="49251" spans="16:16">
      <c r="P49251" s="2498"/>
    </row>
    <row r="49252" spans="16:16">
      <c r="P49252" s="2498"/>
    </row>
    <row r="49253" spans="16:16">
      <c r="P49253" s="2498"/>
    </row>
    <row r="49254" spans="16:16">
      <c r="P49254" s="2498"/>
    </row>
    <row r="49255" spans="16:16">
      <c r="P49255" s="2498"/>
    </row>
    <row r="49256" spans="16:16">
      <c r="P49256" s="2498"/>
    </row>
    <row r="49257" spans="16:16">
      <c r="P49257" s="2498"/>
    </row>
    <row r="49258" spans="16:16">
      <c r="P49258" s="2498"/>
    </row>
    <row r="49259" spans="16:16">
      <c r="P49259" s="2498"/>
    </row>
    <row r="49260" spans="16:16">
      <c r="P49260" s="2498"/>
    </row>
    <row r="49261" spans="16:16">
      <c r="P49261" s="2498"/>
    </row>
    <row r="49262" spans="16:16">
      <c r="P49262" s="2498"/>
    </row>
    <row r="49263" spans="16:16">
      <c r="P49263" s="2498"/>
    </row>
    <row r="49264" spans="16:16">
      <c r="P49264" s="2498"/>
    </row>
    <row r="49265" spans="16:16">
      <c r="P49265" s="2498"/>
    </row>
    <row r="49266" spans="16:16">
      <c r="P49266" s="2498"/>
    </row>
    <row r="49267" spans="16:16">
      <c r="P49267" s="2498"/>
    </row>
    <row r="49268" spans="16:16">
      <c r="P49268" s="2498"/>
    </row>
    <row r="49269" spans="16:16">
      <c r="P49269" s="2498"/>
    </row>
    <row r="49270" spans="16:16">
      <c r="P49270" s="2498"/>
    </row>
    <row r="49271" spans="16:16">
      <c r="P49271" s="2498"/>
    </row>
    <row r="49272" spans="16:16">
      <c r="P49272" s="2498"/>
    </row>
    <row r="49273" spans="16:16">
      <c r="P49273" s="2498"/>
    </row>
    <row r="49274" spans="16:16">
      <c r="P49274" s="2498"/>
    </row>
    <row r="49275" spans="16:16">
      <c r="P49275" s="2498"/>
    </row>
    <row r="49276" spans="16:16">
      <c r="P49276" s="2498"/>
    </row>
    <row r="49277" spans="16:16">
      <c r="P49277" s="2498"/>
    </row>
    <row r="49278" spans="16:16">
      <c r="P49278" s="2498"/>
    </row>
    <row r="49279" spans="16:16">
      <c r="P49279" s="2498"/>
    </row>
    <row r="49280" spans="16:16">
      <c r="P49280" s="2498"/>
    </row>
    <row r="49281" spans="16:16">
      <c r="P49281" s="2498"/>
    </row>
    <row r="49282" spans="16:16">
      <c r="P49282" s="2498"/>
    </row>
    <row r="49283" spans="16:16">
      <c r="P49283" s="2498"/>
    </row>
    <row r="49284" spans="16:16">
      <c r="P49284" s="2498"/>
    </row>
    <row r="49285" spans="16:16">
      <c r="P49285" s="2498"/>
    </row>
    <row r="49286" spans="16:16">
      <c r="P49286" s="2498"/>
    </row>
    <row r="49287" spans="16:16">
      <c r="P49287" s="2498"/>
    </row>
    <row r="49288" spans="16:16">
      <c r="P49288" s="2498"/>
    </row>
    <row r="49289" spans="16:16">
      <c r="P49289" s="2498"/>
    </row>
    <row r="49290" spans="16:16">
      <c r="P49290" s="2498"/>
    </row>
    <row r="49291" spans="16:16">
      <c r="P49291" s="2498"/>
    </row>
    <row r="49292" spans="16:16">
      <c r="P49292" s="2498"/>
    </row>
    <row r="49293" spans="16:16">
      <c r="P49293" s="2498"/>
    </row>
    <row r="49294" spans="16:16">
      <c r="P49294" s="2498"/>
    </row>
    <row r="49295" spans="16:16">
      <c r="P49295" s="2498"/>
    </row>
    <row r="49296" spans="16:16">
      <c r="P49296" s="2498"/>
    </row>
    <row r="49297" spans="16:16">
      <c r="P49297" s="2498"/>
    </row>
    <row r="49298" spans="16:16">
      <c r="P49298" s="2498"/>
    </row>
    <row r="49299" spans="16:16">
      <c r="P49299" s="2498"/>
    </row>
    <row r="49300" spans="16:16">
      <c r="P49300" s="2498"/>
    </row>
    <row r="49301" spans="16:16">
      <c r="P49301" s="2498"/>
    </row>
    <row r="49302" spans="16:16">
      <c r="P49302" s="2498"/>
    </row>
    <row r="49303" spans="16:16">
      <c r="P49303" s="2498"/>
    </row>
    <row r="49304" spans="16:16">
      <c r="P49304" s="2498"/>
    </row>
    <row r="49305" spans="16:16">
      <c r="P49305" s="2498"/>
    </row>
    <row r="49306" spans="16:16">
      <c r="P49306" s="2498"/>
    </row>
    <row r="49307" spans="16:16">
      <c r="P49307" s="2498"/>
    </row>
    <row r="49308" spans="16:16">
      <c r="P49308" s="2498"/>
    </row>
    <row r="49309" spans="16:16">
      <c r="P49309" s="2498"/>
    </row>
    <row r="49310" spans="16:16">
      <c r="P49310" s="2498"/>
    </row>
    <row r="49311" spans="16:16">
      <c r="P49311" s="2498"/>
    </row>
    <row r="49312" spans="16:16">
      <c r="P49312" s="2498"/>
    </row>
    <row r="49313" spans="16:16">
      <c r="P49313" s="2498"/>
    </row>
    <row r="49314" spans="16:16">
      <c r="P49314" s="2498"/>
    </row>
    <row r="49315" spans="16:16">
      <c r="P49315" s="2498"/>
    </row>
    <row r="49316" spans="16:16">
      <c r="P49316" s="2498"/>
    </row>
    <row r="49317" spans="16:16">
      <c r="P49317" s="2498"/>
    </row>
    <row r="49318" spans="16:16">
      <c r="P49318" s="2498"/>
    </row>
    <row r="49319" spans="16:16">
      <c r="P49319" s="2498"/>
    </row>
    <row r="49320" spans="16:16">
      <c r="P49320" s="2498"/>
    </row>
    <row r="49321" spans="16:16">
      <c r="P49321" s="2498"/>
    </row>
    <row r="49322" spans="16:16">
      <c r="P49322" s="2498"/>
    </row>
    <row r="49323" spans="16:16">
      <c r="P49323" s="2498"/>
    </row>
    <row r="49324" spans="16:16">
      <c r="P49324" s="2498"/>
    </row>
    <row r="49325" spans="16:16">
      <c r="P49325" s="2498"/>
    </row>
    <row r="49326" spans="16:16">
      <c r="P49326" s="2498"/>
    </row>
    <row r="49327" spans="16:16">
      <c r="P49327" s="2498"/>
    </row>
    <row r="49328" spans="16:16">
      <c r="P49328" s="2498"/>
    </row>
    <row r="49329" spans="16:16">
      <c r="P49329" s="2498"/>
    </row>
    <row r="49330" spans="16:16">
      <c r="P49330" s="2498"/>
    </row>
    <row r="49331" spans="16:16">
      <c r="P49331" s="2498"/>
    </row>
    <row r="49332" spans="16:16">
      <c r="P49332" s="2498"/>
    </row>
    <row r="49333" spans="16:16">
      <c r="P49333" s="2498"/>
    </row>
    <row r="49334" spans="16:16">
      <c r="P49334" s="2498"/>
    </row>
    <row r="49335" spans="16:16">
      <c r="P49335" s="2498"/>
    </row>
    <row r="49336" spans="16:16">
      <c r="P49336" s="2498"/>
    </row>
    <row r="49337" spans="16:16">
      <c r="P49337" s="2498"/>
    </row>
    <row r="49338" spans="16:16">
      <c r="P49338" s="2498"/>
    </row>
    <row r="49339" spans="16:16">
      <c r="P49339" s="2498"/>
    </row>
    <row r="49340" spans="16:16">
      <c r="P49340" s="2498"/>
    </row>
    <row r="49341" spans="16:16">
      <c r="P49341" s="2498"/>
    </row>
    <row r="49342" spans="16:16">
      <c r="P49342" s="2498"/>
    </row>
    <row r="49343" spans="16:16">
      <c r="P49343" s="2498"/>
    </row>
    <row r="49344" spans="16:16">
      <c r="P49344" s="2498"/>
    </row>
    <row r="49345" spans="16:16">
      <c r="P49345" s="2498"/>
    </row>
    <row r="49346" spans="16:16">
      <c r="P49346" s="2498"/>
    </row>
    <row r="49347" spans="16:16">
      <c r="P49347" s="2498"/>
    </row>
    <row r="49348" spans="16:16">
      <c r="P49348" s="2498"/>
    </row>
    <row r="49349" spans="16:16">
      <c r="P49349" s="2498"/>
    </row>
    <row r="49350" spans="16:16">
      <c r="P49350" s="2498"/>
    </row>
    <row r="49351" spans="16:16">
      <c r="P49351" s="2498"/>
    </row>
    <row r="49352" spans="16:16">
      <c r="P49352" s="2498"/>
    </row>
    <row r="49353" spans="16:16">
      <c r="P49353" s="2498"/>
    </row>
    <row r="49354" spans="16:16">
      <c r="P49354" s="2498"/>
    </row>
    <row r="49355" spans="16:16">
      <c r="P49355" s="2498"/>
    </row>
    <row r="49356" spans="16:16">
      <c r="P49356" s="2498"/>
    </row>
    <row r="49357" spans="16:16">
      <c r="P49357" s="2498"/>
    </row>
    <row r="49358" spans="16:16">
      <c r="P49358" s="2498"/>
    </row>
    <row r="49359" spans="16:16">
      <c r="P49359" s="2498"/>
    </row>
    <row r="49360" spans="16:16">
      <c r="P49360" s="2498"/>
    </row>
    <row r="49361" spans="16:16">
      <c r="P49361" s="2498"/>
    </row>
    <row r="49362" spans="16:16">
      <c r="P49362" s="2498"/>
    </row>
    <row r="49363" spans="16:16">
      <c r="P49363" s="2498"/>
    </row>
    <row r="49364" spans="16:16">
      <c r="P49364" s="2498"/>
    </row>
    <row r="49365" spans="16:16">
      <c r="P49365" s="2498"/>
    </row>
    <row r="49366" spans="16:16">
      <c r="P49366" s="2498"/>
    </row>
    <row r="49367" spans="16:16">
      <c r="P49367" s="2498"/>
    </row>
    <row r="49368" spans="16:16">
      <c r="P49368" s="2498"/>
    </row>
    <row r="49369" spans="16:16">
      <c r="P49369" s="2498"/>
    </row>
    <row r="49370" spans="16:16">
      <c r="P49370" s="2498"/>
    </row>
    <row r="49371" spans="16:16">
      <c r="P49371" s="2498"/>
    </row>
    <row r="49372" spans="16:16">
      <c r="P49372" s="2498"/>
    </row>
    <row r="49373" spans="16:16">
      <c r="P49373" s="2498"/>
    </row>
    <row r="49374" spans="16:16">
      <c r="P49374" s="2498"/>
    </row>
    <row r="49375" spans="16:16">
      <c r="P49375" s="2498"/>
    </row>
    <row r="49376" spans="16:16">
      <c r="P49376" s="2498"/>
    </row>
    <row r="49377" spans="16:16">
      <c r="P49377" s="2498"/>
    </row>
    <row r="49378" spans="16:16">
      <c r="P49378" s="2498"/>
    </row>
    <row r="49379" spans="16:16">
      <c r="P49379" s="2498"/>
    </row>
    <row r="49380" spans="16:16">
      <c r="P49380" s="2498"/>
    </row>
    <row r="49381" spans="16:16">
      <c r="P49381" s="2498"/>
    </row>
    <row r="49382" spans="16:16">
      <c r="P49382" s="2498"/>
    </row>
    <row r="49383" spans="16:16">
      <c r="P49383" s="2498"/>
    </row>
    <row r="49384" spans="16:16">
      <c r="P49384" s="2498"/>
    </row>
    <row r="49385" spans="16:16">
      <c r="P49385" s="2498"/>
    </row>
    <row r="49386" spans="16:16">
      <c r="P49386" s="2498"/>
    </row>
    <row r="49387" spans="16:16">
      <c r="P49387" s="2498"/>
    </row>
    <row r="49388" spans="16:16">
      <c r="P49388" s="2498"/>
    </row>
    <row r="49389" spans="16:16">
      <c r="P49389" s="2498"/>
    </row>
    <row r="49390" spans="16:16">
      <c r="P49390" s="2498"/>
    </row>
    <row r="49391" spans="16:16">
      <c r="P49391" s="2498"/>
    </row>
    <row r="49392" spans="16:16">
      <c r="P49392" s="2498"/>
    </row>
    <row r="49393" spans="16:16">
      <c r="P49393" s="2498"/>
    </row>
    <row r="49394" spans="16:16">
      <c r="P49394" s="2498"/>
    </row>
    <row r="49395" spans="16:16">
      <c r="P49395" s="2498"/>
    </row>
    <row r="49396" spans="16:16">
      <c r="P49396" s="2498"/>
    </row>
    <row r="49397" spans="16:16">
      <c r="P49397" s="2498"/>
    </row>
    <row r="49398" spans="16:16">
      <c r="P49398" s="2498"/>
    </row>
    <row r="49399" spans="16:16">
      <c r="P49399" s="2498"/>
    </row>
    <row r="49400" spans="16:16">
      <c r="P49400" s="2498"/>
    </row>
    <row r="49401" spans="16:16">
      <c r="P49401" s="2498"/>
    </row>
    <row r="49402" spans="16:16">
      <c r="P49402" s="2498"/>
    </row>
    <row r="49403" spans="16:16">
      <c r="P49403" s="2498"/>
    </row>
    <row r="49404" spans="16:16">
      <c r="P49404" s="2498"/>
    </row>
    <row r="49405" spans="16:16">
      <c r="P49405" s="2498"/>
    </row>
    <row r="49406" spans="16:16">
      <c r="P49406" s="2498"/>
    </row>
    <row r="49407" spans="16:16">
      <c r="P49407" s="2498"/>
    </row>
    <row r="49408" spans="16:16">
      <c r="P49408" s="2498"/>
    </row>
    <row r="49409" spans="16:16">
      <c r="P49409" s="2498"/>
    </row>
    <row r="49410" spans="16:16">
      <c r="P49410" s="2498"/>
    </row>
    <row r="49411" spans="16:16">
      <c r="P49411" s="2498"/>
    </row>
    <row r="49412" spans="16:16">
      <c r="P49412" s="2498"/>
    </row>
    <row r="49413" spans="16:16">
      <c r="P49413" s="2498"/>
    </row>
    <row r="49414" spans="16:16">
      <c r="P49414" s="2498"/>
    </row>
    <row r="49415" spans="16:16">
      <c r="P49415" s="2498"/>
    </row>
    <row r="49416" spans="16:16">
      <c r="P49416" s="2498"/>
    </row>
    <row r="49417" spans="16:16">
      <c r="P49417" s="2498"/>
    </row>
    <row r="49418" spans="16:16">
      <c r="P49418" s="2498"/>
    </row>
    <row r="49419" spans="16:16">
      <c r="P49419" s="2498"/>
    </row>
    <row r="49420" spans="16:16">
      <c r="P49420" s="2498"/>
    </row>
    <row r="49421" spans="16:16">
      <c r="P49421" s="2498"/>
    </row>
    <row r="49422" spans="16:16">
      <c r="P49422" s="2498"/>
    </row>
    <row r="49423" spans="16:16">
      <c r="P49423" s="2498"/>
    </row>
    <row r="49424" spans="16:16">
      <c r="P49424" s="2498"/>
    </row>
    <row r="49425" spans="16:16">
      <c r="P49425" s="2498"/>
    </row>
    <row r="49426" spans="16:16">
      <c r="P49426" s="2498"/>
    </row>
    <row r="49427" spans="16:16">
      <c r="P49427" s="2498"/>
    </row>
    <row r="49428" spans="16:16">
      <c r="P49428" s="2498"/>
    </row>
    <row r="49429" spans="16:16">
      <c r="P49429" s="2498"/>
    </row>
    <row r="49430" spans="16:16">
      <c r="P49430" s="2498"/>
    </row>
    <row r="49431" spans="16:16">
      <c r="P49431" s="2498"/>
    </row>
    <row r="49432" spans="16:16">
      <c r="P49432" s="2498"/>
    </row>
    <row r="49433" spans="16:16">
      <c r="P49433" s="2498"/>
    </row>
    <row r="49434" spans="16:16">
      <c r="P49434" s="2498"/>
    </row>
    <row r="49435" spans="16:16">
      <c r="P49435" s="2498"/>
    </row>
    <row r="49436" spans="16:16">
      <c r="P49436" s="2498"/>
    </row>
    <row r="49437" spans="16:16">
      <c r="P49437" s="2498"/>
    </row>
    <row r="49438" spans="16:16">
      <c r="P49438" s="2498"/>
    </row>
    <row r="49439" spans="16:16">
      <c r="P49439" s="2498"/>
    </row>
    <row r="49440" spans="16:16">
      <c r="P49440" s="2498"/>
    </row>
    <row r="49441" spans="16:16">
      <c r="P49441" s="2498"/>
    </row>
    <row r="49442" spans="16:16">
      <c r="P49442" s="2498"/>
    </row>
    <row r="49443" spans="16:16">
      <c r="P49443" s="2498"/>
    </row>
    <row r="49444" spans="16:16">
      <c r="P49444" s="2498"/>
    </row>
    <row r="49445" spans="16:16">
      <c r="P49445" s="2498"/>
    </row>
    <row r="49446" spans="16:16">
      <c r="P49446" s="2498"/>
    </row>
    <row r="49447" spans="16:16">
      <c r="P49447" s="2498"/>
    </row>
    <row r="49448" spans="16:16">
      <c r="P49448" s="2498"/>
    </row>
    <row r="49449" spans="16:16">
      <c r="P49449" s="2498"/>
    </row>
    <row r="49450" spans="16:16">
      <c r="P49450" s="2498"/>
    </row>
    <row r="49451" spans="16:16">
      <c r="P49451" s="2498"/>
    </row>
    <row r="49452" spans="16:16">
      <c r="P49452" s="2498"/>
    </row>
    <row r="49453" spans="16:16">
      <c r="P49453" s="2498"/>
    </row>
    <row r="49454" spans="16:16">
      <c r="P49454" s="2498"/>
    </row>
    <row r="49455" spans="16:16">
      <c r="P49455" s="2498"/>
    </row>
    <row r="49456" spans="16:16">
      <c r="P49456" s="2498"/>
    </row>
    <row r="49457" spans="16:16">
      <c r="P49457" s="2498"/>
    </row>
    <row r="49458" spans="16:16">
      <c r="P49458" s="2498"/>
    </row>
    <row r="49459" spans="16:16">
      <c r="P49459" s="2498"/>
    </row>
    <row r="49460" spans="16:16">
      <c r="P49460" s="2498"/>
    </row>
    <row r="49461" spans="16:16">
      <c r="P49461" s="2498"/>
    </row>
    <row r="49462" spans="16:16">
      <c r="P49462" s="2498"/>
    </row>
    <row r="49463" spans="16:16">
      <c r="P49463" s="2498"/>
    </row>
    <row r="49464" spans="16:16">
      <c r="P49464" s="2498"/>
    </row>
    <row r="49465" spans="16:16">
      <c r="P49465" s="2498"/>
    </row>
    <row r="49466" spans="16:16">
      <c r="P49466" s="2498"/>
    </row>
    <row r="49467" spans="16:16">
      <c r="P49467" s="2498"/>
    </row>
    <row r="49468" spans="16:16">
      <c r="P49468" s="2498"/>
    </row>
    <row r="49469" spans="16:16">
      <c r="P49469" s="2498"/>
    </row>
    <row r="49470" spans="16:16">
      <c r="P49470" s="2498"/>
    </row>
    <row r="49471" spans="16:16">
      <c r="P49471" s="2498"/>
    </row>
    <row r="49472" spans="16:16">
      <c r="P49472" s="2498"/>
    </row>
    <row r="49473" spans="16:16">
      <c r="P49473" s="2498"/>
    </row>
    <row r="49474" spans="16:16">
      <c r="P49474" s="2498"/>
    </row>
    <row r="49475" spans="16:16">
      <c r="P49475" s="2498"/>
    </row>
    <row r="49476" spans="16:16">
      <c r="P49476" s="2498"/>
    </row>
    <row r="49477" spans="16:16">
      <c r="P49477" s="2498"/>
    </row>
    <row r="49478" spans="16:16">
      <c r="P49478" s="2498"/>
    </row>
    <row r="49479" spans="16:16">
      <c r="P49479" s="2498"/>
    </row>
    <row r="49480" spans="16:16">
      <c r="P49480" s="2498"/>
    </row>
    <row r="49481" spans="16:16">
      <c r="P49481" s="2498"/>
    </row>
    <row r="49482" spans="16:16">
      <c r="P49482" s="2498"/>
    </row>
    <row r="49483" spans="16:16">
      <c r="P49483" s="2498"/>
    </row>
    <row r="49484" spans="16:16">
      <c r="P49484" s="2498"/>
    </row>
    <row r="49485" spans="16:16">
      <c r="P49485" s="2498"/>
    </row>
    <row r="49486" spans="16:16">
      <c r="P49486" s="2498"/>
    </row>
    <row r="49487" spans="16:16">
      <c r="P49487" s="2498"/>
    </row>
    <row r="49488" spans="16:16">
      <c r="P49488" s="2498"/>
    </row>
    <row r="49489" spans="16:16">
      <c r="P49489" s="2498"/>
    </row>
    <row r="49490" spans="16:16">
      <c r="P49490" s="2498"/>
    </row>
    <row r="49491" spans="16:16">
      <c r="P49491" s="2498"/>
    </row>
    <row r="49492" spans="16:16">
      <c r="P49492" s="2498"/>
    </row>
    <row r="49493" spans="16:16">
      <c r="P49493" s="2498"/>
    </row>
    <row r="49494" spans="16:16">
      <c r="P49494" s="2498"/>
    </row>
    <row r="49495" spans="16:16">
      <c r="P49495" s="2498"/>
    </row>
    <row r="49496" spans="16:16">
      <c r="P49496" s="2498"/>
    </row>
    <row r="49497" spans="16:16">
      <c r="P49497" s="2498"/>
    </row>
    <row r="49498" spans="16:16">
      <c r="P49498" s="2498"/>
    </row>
    <row r="49499" spans="16:16">
      <c r="P49499" s="2498"/>
    </row>
    <row r="49500" spans="16:16">
      <c r="P49500" s="2498"/>
    </row>
    <row r="49501" spans="16:16">
      <c r="P49501" s="2498"/>
    </row>
    <row r="49502" spans="16:16">
      <c r="P49502" s="2498"/>
    </row>
    <row r="49503" spans="16:16">
      <c r="P49503" s="2498"/>
    </row>
    <row r="49504" spans="16:16">
      <c r="P49504" s="2498"/>
    </row>
    <row r="49505" spans="16:16">
      <c r="P49505" s="2498"/>
    </row>
    <row r="49506" spans="16:16">
      <c r="P49506" s="2498"/>
    </row>
    <row r="49507" spans="16:16">
      <c r="P49507" s="2498"/>
    </row>
    <row r="49508" spans="16:16">
      <c r="P49508" s="2498"/>
    </row>
    <row r="49509" spans="16:16">
      <c r="P49509" s="2498"/>
    </row>
    <row r="49510" spans="16:16">
      <c r="P49510" s="2498"/>
    </row>
    <row r="49511" spans="16:16">
      <c r="P49511" s="2498"/>
    </row>
    <row r="49512" spans="16:16">
      <c r="P49512" s="2498"/>
    </row>
    <row r="49513" spans="16:16">
      <c r="P49513" s="2498"/>
    </row>
    <row r="49514" spans="16:16">
      <c r="P49514" s="2498"/>
    </row>
    <row r="49515" spans="16:16">
      <c r="P49515" s="2498"/>
    </row>
    <row r="49516" spans="16:16">
      <c r="P49516" s="2498"/>
    </row>
    <row r="49517" spans="16:16">
      <c r="P49517" s="2498"/>
    </row>
    <row r="49518" spans="16:16">
      <c r="P49518" s="2498"/>
    </row>
    <row r="49519" spans="16:16">
      <c r="P49519" s="2498"/>
    </row>
    <row r="49520" spans="16:16">
      <c r="P49520" s="2498"/>
    </row>
    <row r="49521" spans="16:16">
      <c r="P49521" s="2498"/>
    </row>
    <row r="49522" spans="16:16">
      <c r="P49522" s="2498"/>
    </row>
    <row r="49523" spans="16:16">
      <c r="P49523" s="2498"/>
    </row>
    <row r="49524" spans="16:16">
      <c r="P49524" s="2498"/>
    </row>
    <row r="49525" spans="16:16">
      <c r="P49525" s="2498"/>
    </row>
    <row r="49526" spans="16:16">
      <c r="P49526" s="2498"/>
    </row>
    <row r="49527" spans="16:16">
      <c r="P49527" s="2498"/>
    </row>
    <row r="49528" spans="16:16">
      <c r="P49528" s="2498"/>
    </row>
    <row r="49529" spans="16:16">
      <c r="P49529" s="2498"/>
    </row>
    <row r="49530" spans="16:16">
      <c r="P49530" s="2498"/>
    </row>
    <row r="49531" spans="16:16">
      <c r="P49531" s="2498"/>
    </row>
    <row r="49532" spans="16:16">
      <c r="P49532" s="2498"/>
    </row>
    <row r="49533" spans="16:16">
      <c r="P49533" s="2498"/>
    </row>
    <row r="49534" spans="16:16">
      <c r="P49534" s="2498"/>
    </row>
    <row r="49535" spans="16:16">
      <c r="P49535" s="2498"/>
    </row>
    <row r="49536" spans="16:16">
      <c r="P49536" s="2498"/>
    </row>
    <row r="49537" spans="16:16">
      <c r="P49537" s="2498"/>
    </row>
    <row r="49538" spans="16:16">
      <c r="P49538" s="2498"/>
    </row>
    <row r="49539" spans="16:16">
      <c r="P49539" s="2498"/>
    </row>
    <row r="49540" spans="16:16">
      <c r="P49540" s="2498"/>
    </row>
    <row r="49541" spans="16:16">
      <c r="P49541" s="2498"/>
    </row>
    <row r="49542" spans="16:16">
      <c r="P49542" s="2498"/>
    </row>
    <row r="49543" spans="16:16">
      <c r="P49543" s="2498"/>
    </row>
    <row r="49544" spans="16:16">
      <c r="P49544" s="2498"/>
    </row>
    <row r="49545" spans="16:16">
      <c r="P49545" s="2498"/>
    </row>
    <row r="49546" spans="16:16">
      <c r="P49546" s="2498"/>
    </row>
    <row r="49547" spans="16:16">
      <c r="P49547" s="2498"/>
    </row>
    <row r="49548" spans="16:16">
      <c r="P49548" s="2498"/>
    </row>
    <row r="49549" spans="16:16">
      <c r="P49549" s="2498"/>
    </row>
    <row r="49550" spans="16:16">
      <c r="P49550" s="2498"/>
    </row>
    <row r="49551" spans="16:16">
      <c r="P49551" s="2498"/>
    </row>
    <row r="49552" spans="16:16">
      <c r="P49552" s="2498"/>
    </row>
    <row r="49553" spans="16:16">
      <c r="P49553" s="2498"/>
    </row>
    <row r="49554" spans="16:16">
      <c r="P49554" s="2498"/>
    </row>
    <row r="49555" spans="16:16">
      <c r="P49555" s="2498"/>
    </row>
    <row r="49556" spans="16:16">
      <c r="P49556" s="2498"/>
    </row>
    <row r="49557" spans="16:16">
      <c r="P49557" s="2498"/>
    </row>
    <row r="49558" spans="16:16">
      <c r="P49558" s="2498"/>
    </row>
    <row r="49559" spans="16:16">
      <c r="P49559" s="2498"/>
    </row>
    <row r="49560" spans="16:16">
      <c r="P49560" s="2498"/>
    </row>
    <row r="49561" spans="16:16">
      <c r="P49561" s="2498"/>
    </row>
    <row r="49562" spans="16:16">
      <c r="P49562" s="2498"/>
    </row>
    <row r="49563" spans="16:16">
      <c r="P49563" s="2498"/>
    </row>
    <row r="49564" spans="16:16">
      <c r="P49564" s="2498"/>
    </row>
    <row r="49565" spans="16:16">
      <c r="P49565" s="2498"/>
    </row>
    <row r="49566" spans="16:16">
      <c r="P49566" s="2498"/>
    </row>
    <row r="49567" spans="16:16">
      <c r="P49567" s="2498"/>
    </row>
    <row r="49568" spans="16:16">
      <c r="P49568" s="2498"/>
    </row>
    <row r="49569" spans="16:16">
      <c r="P49569" s="2498"/>
    </row>
    <row r="49570" spans="16:16">
      <c r="P49570" s="2498"/>
    </row>
    <row r="49571" spans="16:16">
      <c r="P49571" s="2498"/>
    </row>
    <row r="49572" spans="16:16">
      <c r="P49572" s="2498"/>
    </row>
    <row r="49573" spans="16:16">
      <c r="P49573" s="2498"/>
    </row>
    <row r="49574" spans="16:16">
      <c r="P49574" s="2498"/>
    </row>
    <row r="49575" spans="16:16">
      <c r="P49575" s="2498"/>
    </row>
    <row r="49576" spans="16:16">
      <c r="P49576" s="2498"/>
    </row>
    <row r="49577" spans="16:16">
      <c r="P49577" s="2498"/>
    </row>
    <row r="49578" spans="16:16">
      <c r="P49578" s="2498"/>
    </row>
    <row r="49579" spans="16:16">
      <c r="P49579" s="2498"/>
    </row>
    <row r="49580" spans="16:16">
      <c r="P49580" s="2498"/>
    </row>
    <row r="49581" spans="16:16">
      <c r="P49581" s="2498"/>
    </row>
    <row r="49582" spans="16:16">
      <c r="P49582" s="2498"/>
    </row>
    <row r="49583" spans="16:16">
      <c r="P49583" s="2498"/>
    </row>
    <row r="49584" spans="16:16">
      <c r="P49584" s="2498"/>
    </row>
    <row r="49585" spans="16:16">
      <c r="P49585" s="2498"/>
    </row>
    <row r="49586" spans="16:16">
      <c r="P49586" s="2498"/>
    </row>
    <row r="49587" spans="16:16">
      <c r="P49587" s="2498"/>
    </row>
    <row r="49588" spans="16:16">
      <c r="P49588" s="2498"/>
    </row>
    <row r="49589" spans="16:16">
      <c r="P49589" s="2498"/>
    </row>
    <row r="49590" spans="16:16">
      <c r="P49590" s="2498"/>
    </row>
    <row r="49591" spans="16:16">
      <c r="P49591" s="2498"/>
    </row>
    <row r="49592" spans="16:16">
      <c r="P49592" s="2498"/>
    </row>
    <row r="49593" spans="16:16">
      <c r="P49593" s="2498"/>
    </row>
    <row r="49594" spans="16:16">
      <c r="P49594" s="2498"/>
    </row>
    <row r="49595" spans="16:16">
      <c r="P49595" s="2498"/>
    </row>
    <row r="49596" spans="16:16">
      <c r="P49596" s="2498"/>
    </row>
    <row r="49597" spans="16:16">
      <c r="P49597" s="2498"/>
    </row>
    <row r="49598" spans="16:16">
      <c r="P49598" s="2498"/>
    </row>
    <row r="49599" spans="16:16">
      <c r="P49599" s="2498"/>
    </row>
    <row r="49600" spans="16:16">
      <c r="P49600" s="2498"/>
    </row>
    <row r="49601" spans="16:16">
      <c r="P49601" s="2498"/>
    </row>
    <row r="49602" spans="16:16">
      <c r="P49602" s="2498"/>
    </row>
    <row r="49603" spans="16:16">
      <c r="P49603" s="2498"/>
    </row>
    <row r="49604" spans="16:16">
      <c r="P49604" s="2498"/>
    </row>
    <row r="49605" spans="16:16">
      <c r="P49605" s="2498"/>
    </row>
    <row r="49606" spans="16:16">
      <c r="P49606" s="2498"/>
    </row>
    <row r="49607" spans="16:16">
      <c r="P49607" s="2498"/>
    </row>
    <row r="49608" spans="16:16">
      <c r="P49608" s="2498"/>
    </row>
    <row r="49609" spans="16:16">
      <c r="P49609" s="2498"/>
    </row>
    <row r="49610" spans="16:16">
      <c r="P49610" s="2498"/>
    </row>
    <row r="49611" spans="16:16">
      <c r="P49611" s="2498"/>
    </row>
    <row r="49612" spans="16:16">
      <c r="P49612" s="2498"/>
    </row>
    <row r="49613" spans="16:16">
      <c r="P49613" s="2498"/>
    </row>
    <row r="49614" spans="16:16">
      <c r="P49614" s="2498"/>
    </row>
    <row r="49615" spans="16:16">
      <c r="P49615" s="2498"/>
    </row>
    <row r="49616" spans="16:16">
      <c r="P49616" s="2498"/>
    </row>
    <row r="49617" spans="16:16">
      <c r="P49617" s="2498"/>
    </row>
    <row r="49618" spans="16:16">
      <c r="P49618" s="2498"/>
    </row>
    <row r="49619" spans="16:16">
      <c r="P49619" s="2498"/>
    </row>
    <row r="49620" spans="16:16">
      <c r="P49620" s="2498"/>
    </row>
    <row r="49621" spans="16:16">
      <c r="P49621" s="2498"/>
    </row>
    <row r="49622" spans="16:16">
      <c r="P49622" s="2498"/>
    </row>
    <row r="49623" spans="16:16">
      <c r="P49623" s="2498"/>
    </row>
    <row r="49624" spans="16:16">
      <c r="P49624" s="2498"/>
    </row>
    <row r="49625" spans="16:16">
      <c r="P49625" s="2498"/>
    </row>
    <row r="49626" spans="16:16">
      <c r="P49626" s="2498"/>
    </row>
    <row r="49627" spans="16:16">
      <c r="P49627" s="2498"/>
    </row>
    <row r="49628" spans="16:16">
      <c r="P49628" s="2498"/>
    </row>
    <row r="49629" spans="16:16">
      <c r="P49629" s="2498"/>
    </row>
    <row r="49630" spans="16:16">
      <c r="P49630" s="2498"/>
    </row>
    <row r="49631" spans="16:16">
      <c r="P49631" s="2498"/>
    </row>
    <row r="49632" spans="16:16">
      <c r="P49632" s="2498"/>
    </row>
    <row r="49633" spans="16:16">
      <c r="P49633" s="2498"/>
    </row>
    <row r="49634" spans="16:16">
      <c r="P49634" s="2498"/>
    </row>
    <row r="49635" spans="16:16">
      <c r="P49635" s="2498"/>
    </row>
    <row r="49636" spans="16:16">
      <c r="P49636" s="2498"/>
    </row>
    <row r="49637" spans="16:16">
      <c r="P49637" s="2498"/>
    </row>
    <row r="49638" spans="16:16">
      <c r="P49638" s="2498"/>
    </row>
    <row r="49639" spans="16:16">
      <c r="P49639" s="2498"/>
    </row>
    <row r="49640" spans="16:16">
      <c r="P49640" s="2498"/>
    </row>
    <row r="49641" spans="16:16">
      <c r="P49641" s="2498"/>
    </row>
    <row r="49642" spans="16:16">
      <c r="P49642" s="2498"/>
    </row>
    <row r="49643" spans="16:16">
      <c r="P49643" s="2498"/>
    </row>
    <row r="49644" spans="16:16">
      <c r="P49644" s="2498"/>
    </row>
    <row r="49645" spans="16:16">
      <c r="P49645" s="2498"/>
    </row>
    <row r="49646" spans="16:16">
      <c r="P49646" s="2498"/>
    </row>
    <row r="49647" spans="16:16">
      <c r="P49647" s="2498"/>
    </row>
    <row r="49648" spans="16:16">
      <c r="P49648" s="2498"/>
    </row>
    <row r="49649" spans="16:16">
      <c r="P49649" s="2498"/>
    </row>
    <row r="49650" spans="16:16">
      <c r="P49650" s="2498"/>
    </row>
    <row r="49651" spans="16:16">
      <c r="P49651" s="2498"/>
    </row>
    <row r="49652" spans="16:16">
      <c r="P49652" s="2498"/>
    </row>
    <row r="49653" spans="16:16">
      <c r="P49653" s="2498"/>
    </row>
    <row r="49654" spans="16:16">
      <c r="P49654" s="2498"/>
    </row>
    <row r="49655" spans="16:16">
      <c r="P49655" s="2498"/>
    </row>
    <row r="49656" spans="16:16">
      <c r="P49656" s="2498"/>
    </row>
    <row r="49657" spans="16:16">
      <c r="P49657" s="2498"/>
    </row>
    <row r="49658" spans="16:16">
      <c r="P49658" s="2498"/>
    </row>
    <row r="49659" spans="16:16">
      <c r="P49659" s="2498"/>
    </row>
    <row r="49660" spans="16:16">
      <c r="P49660" s="2498"/>
    </row>
    <row r="49661" spans="16:16">
      <c r="P49661" s="2498"/>
    </row>
    <row r="49662" spans="16:16">
      <c r="P49662" s="2498"/>
    </row>
    <row r="49663" spans="16:16">
      <c r="P49663" s="2498"/>
    </row>
    <row r="49664" spans="16:16">
      <c r="P49664" s="2498"/>
    </row>
    <row r="49665" spans="16:16">
      <c r="P49665" s="2498"/>
    </row>
    <row r="49666" spans="16:16">
      <c r="P49666" s="2498"/>
    </row>
    <row r="49667" spans="16:16">
      <c r="P49667" s="2498"/>
    </row>
    <row r="49668" spans="16:16">
      <c r="P49668" s="2498"/>
    </row>
    <row r="49669" spans="16:16">
      <c r="P49669" s="2498"/>
    </row>
    <row r="49670" spans="16:16">
      <c r="P49670" s="2498"/>
    </row>
    <row r="49671" spans="16:16">
      <c r="P49671" s="2498"/>
    </row>
    <row r="49672" spans="16:16">
      <c r="P49672" s="2498"/>
    </row>
    <row r="49673" spans="16:16">
      <c r="P49673" s="2498"/>
    </row>
    <row r="49674" spans="16:16">
      <c r="P49674" s="2498"/>
    </row>
    <row r="49675" spans="16:16">
      <c r="P49675" s="2498"/>
    </row>
    <row r="49676" spans="16:16">
      <c r="P49676" s="2498"/>
    </row>
    <row r="49677" spans="16:16">
      <c r="P49677" s="2498"/>
    </row>
    <row r="49678" spans="16:16">
      <c r="P49678" s="2498"/>
    </row>
    <row r="49679" spans="16:16">
      <c r="P49679" s="2498"/>
    </row>
    <row r="49680" spans="16:16">
      <c r="P49680" s="2498"/>
    </row>
    <row r="49681" spans="16:16">
      <c r="P49681" s="2498"/>
    </row>
    <row r="49682" spans="16:16">
      <c r="P49682" s="2498"/>
    </row>
    <row r="49683" spans="16:16">
      <c r="P49683" s="2498"/>
    </row>
    <row r="49684" spans="16:16">
      <c r="P49684" s="2498"/>
    </row>
    <row r="49685" spans="16:16">
      <c r="P49685" s="2498"/>
    </row>
    <row r="49686" spans="16:16">
      <c r="P49686" s="2498"/>
    </row>
    <row r="49687" spans="16:16">
      <c r="P49687" s="2498"/>
    </row>
    <row r="49688" spans="16:16">
      <c r="P49688" s="2498"/>
    </row>
    <row r="49689" spans="16:16">
      <c r="P49689" s="2498"/>
    </row>
    <row r="49690" spans="16:16">
      <c r="P49690" s="2498"/>
    </row>
    <row r="49691" spans="16:16">
      <c r="P49691" s="2498"/>
    </row>
    <row r="49692" spans="16:16">
      <c r="P49692" s="2498"/>
    </row>
    <row r="49693" spans="16:16">
      <c r="P49693" s="2498"/>
    </row>
    <row r="49694" spans="16:16">
      <c r="P49694" s="2498"/>
    </row>
    <row r="49695" spans="16:16">
      <c r="P49695" s="2498"/>
    </row>
    <row r="49696" spans="16:16">
      <c r="P49696" s="2498"/>
    </row>
    <row r="49697" spans="16:16">
      <c r="P49697" s="2498"/>
    </row>
    <row r="49698" spans="16:16">
      <c r="P49698" s="2498"/>
    </row>
    <row r="49699" spans="16:16">
      <c r="P49699" s="2498"/>
    </row>
    <row r="49700" spans="16:16">
      <c r="P49700" s="2498"/>
    </row>
    <row r="49701" spans="16:16">
      <c r="P49701" s="2498"/>
    </row>
    <row r="49702" spans="16:16">
      <c r="P49702" s="2498"/>
    </row>
    <row r="49703" spans="16:16">
      <c r="P49703" s="2498"/>
    </row>
    <row r="49704" spans="16:16">
      <c r="P49704" s="2498"/>
    </row>
    <row r="49705" spans="16:16">
      <c r="P49705" s="2498"/>
    </row>
    <row r="49706" spans="16:16">
      <c r="P49706" s="2498"/>
    </row>
    <row r="49707" spans="16:16">
      <c r="P49707" s="2498"/>
    </row>
    <row r="49708" spans="16:16">
      <c r="P49708" s="2498"/>
    </row>
    <row r="49709" spans="16:16">
      <c r="P49709" s="2498"/>
    </row>
    <row r="49710" spans="16:16">
      <c r="P49710" s="2498"/>
    </row>
    <row r="49711" spans="16:16">
      <c r="P49711" s="2498"/>
    </row>
    <row r="49712" spans="16:16">
      <c r="P49712" s="2498"/>
    </row>
    <row r="49713" spans="16:16">
      <c r="P49713" s="2498"/>
    </row>
    <row r="49714" spans="16:16">
      <c r="P49714" s="2498"/>
    </row>
    <row r="49715" spans="16:16">
      <c r="P49715" s="2498"/>
    </row>
    <row r="49716" spans="16:16">
      <c r="P49716" s="2498"/>
    </row>
    <row r="49717" spans="16:16">
      <c r="P49717" s="2498"/>
    </row>
    <row r="49718" spans="16:16">
      <c r="P49718" s="2498"/>
    </row>
    <row r="49719" spans="16:16">
      <c r="P49719" s="2498"/>
    </row>
    <row r="49720" spans="16:16">
      <c r="P49720" s="2498"/>
    </row>
    <row r="49721" spans="16:16">
      <c r="P49721" s="2498"/>
    </row>
    <row r="49722" spans="16:16">
      <c r="P49722" s="2498"/>
    </row>
    <row r="49723" spans="16:16">
      <c r="P49723" s="2498"/>
    </row>
    <row r="49724" spans="16:16">
      <c r="P49724" s="2498"/>
    </row>
    <row r="49725" spans="16:16">
      <c r="P49725" s="2498"/>
    </row>
    <row r="49726" spans="16:16">
      <c r="P49726" s="2498"/>
    </row>
    <row r="49727" spans="16:16">
      <c r="P49727" s="2498"/>
    </row>
    <row r="49728" spans="16:16">
      <c r="P49728" s="2498"/>
    </row>
    <row r="49729" spans="16:16">
      <c r="P49729" s="2498"/>
    </row>
    <row r="49730" spans="16:16">
      <c r="P49730" s="2498"/>
    </row>
    <row r="49731" spans="16:16">
      <c r="P49731" s="2498"/>
    </row>
    <row r="49732" spans="16:16">
      <c r="P49732" s="2498"/>
    </row>
    <row r="49733" spans="16:16">
      <c r="P49733" s="2498"/>
    </row>
    <row r="49734" spans="16:16">
      <c r="P49734" s="2498"/>
    </row>
    <row r="49735" spans="16:16">
      <c r="P49735" s="2498"/>
    </row>
    <row r="49736" spans="16:16">
      <c r="P49736" s="2498"/>
    </row>
    <row r="49737" spans="16:16">
      <c r="P49737" s="2498"/>
    </row>
    <row r="49738" spans="16:16">
      <c r="P49738" s="2498"/>
    </row>
    <row r="49739" spans="16:16">
      <c r="P49739" s="2498"/>
    </row>
    <row r="49740" spans="16:16">
      <c r="P49740" s="2498"/>
    </row>
    <row r="49741" spans="16:16">
      <c r="P49741" s="2498"/>
    </row>
    <row r="49742" spans="16:16">
      <c r="P49742" s="2498"/>
    </row>
    <row r="49743" spans="16:16">
      <c r="P49743" s="2498"/>
    </row>
    <row r="49744" spans="16:16">
      <c r="P49744" s="2498"/>
    </row>
    <row r="49745" spans="16:16">
      <c r="P49745" s="2498"/>
    </row>
    <row r="49746" spans="16:16">
      <c r="P49746" s="2498"/>
    </row>
    <row r="49747" spans="16:16">
      <c r="P49747" s="2498"/>
    </row>
    <row r="49748" spans="16:16">
      <c r="P49748" s="2498"/>
    </row>
    <row r="49749" spans="16:16">
      <c r="P49749" s="2498"/>
    </row>
    <row r="49750" spans="16:16">
      <c r="P49750" s="2498"/>
    </row>
    <row r="49751" spans="16:16">
      <c r="P49751" s="2498"/>
    </row>
    <row r="49752" spans="16:16">
      <c r="P49752" s="2498"/>
    </row>
    <row r="49753" spans="16:16">
      <c r="P49753" s="2498"/>
    </row>
    <row r="49754" spans="16:16">
      <c r="P49754" s="2498"/>
    </row>
    <row r="49755" spans="16:16">
      <c r="P49755" s="2498"/>
    </row>
    <row r="49756" spans="16:16">
      <c r="P49756" s="2498"/>
    </row>
    <row r="49757" spans="16:16">
      <c r="P49757" s="2498"/>
    </row>
    <row r="49758" spans="16:16">
      <c r="P49758" s="2498"/>
    </row>
    <row r="49759" spans="16:16">
      <c r="P49759" s="2498"/>
    </row>
    <row r="49760" spans="16:16">
      <c r="P49760" s="2498"/>
    </row>
    <row r="49761" spans="16:16">
      <c r="P49761" s="2498"/>
    </row>
    <row r="49762" spans="16:16">
      <c r="P49762" s="2498"/>
    </row>
    <row r="49763" spans="16:16">
      <c r="P49763" s="2498"/>
    </row>
    <row r="49764" spans="16:16">
      <c r="P49764" s="2498"/>
    </row>
    <row r="49765" spans="16:16">
      <c r="P49765" s="2498"/>
    </row>
    <row r="49766" spans="16:16">
      <c r="P49766" s="2498"/>
    </row>
    <row r="49767" spans="16:16">
      <c r="P49767" s="2498"/>
    </row>
    <row r="49768" spans="16:16">
      <c r="P49768" s="2498"/>
    </row>
    <row r="49769" spans="16:16">
      <c r="P49769" s="2498"/>
    </row>
    <row r="49770" spans="16:16">
      <c r="P49770" s="2498"/>
    </row>
    <row r="49771" spans="16:16">
      <c r="P49771" s="2498"/>
    </row>
    <row r="49772" spans="16:16">
      <c r="P49772" s="2498"/>
    </row>
    <row r="49773" spans="16:16">
      <c r="P49773" s="2498"/>
    </row>
    <row r="49774" spans="16:16">
      <c r="P49774" s="2498"/>
    </row>
    <row r="49775" spans="16:16">
      <c r="P49775" s="2498"/>
    </row>
    <row r="49776" spans="16:16">
      <c r="P49776" s="2498"/>
    </row>
    <row r="49777" spans="16:16">
      <c r="P49777" s="2498"/>
    </row>
    <row r="49778" spans="16:16">
      <c r="P49778" s="2498"/>
    </row>
    <row r="49779" spans="16:16">
      <c r="P49779" s="2498"/>
    </row>
    <row r="49780" spans="16:16">
      <c r="P49780" s="2498"/>
    </row>
    <row r="49781" spans="16:16">
      <c r="P49781" s="2498"/>
    </row>
    <row r="49782" spans="16:16">
      <c r="P49782" s="2498"/>
    </row>
    <row r="49783" spans="16:16">
      <c r="P49783" s="2498"/>
    </row>
    <row r="49784" spans="16:16">
      <c r="P49784" s="2498"/>
    </row>
    <row r="49785" spans="16:16">
      <c r="P49785" s="2498"/>
    </row>
    <row r="49786" spans="16:16">
      <c r="P49786" s="2498"/>
    </row>
    <row r="49787" spans="16:16">
      <c r="P49787" s="2498"/>
    </row>
    <row r="49788" spans="16:16">
      <c r="P49788" s="2498"/>
    </row>
    <row r="49789" spans="16:16">
      <c r="P49789" s="2498"/>
    </row>
    <row r="49790" spans="16:16">
      <c r="P49790" s="2498"/>
    </row>
    <row r="49791" spans="16:16">
      <c r="P49791" s="2498"/>
    </row>
    <row r="49792" spans="16:16">
      <c r="P49792" s="2498"/>
    </row>
    <row r="49793" spans="16:16">
      <c r="P49793" s="2498"/>
    </row>
    <row r="49794" spans="16:16">
      <c r="P49794" s="2498"/>
    </row>
    <row r="49795" spans="16:16">
      <c r="P49795" s="2498"/>
    </row>
    <row r="49796" spans="16:16">
      <c r="P49796" s="2498"/>
    </row>
    <row r="49797" spans="16:16">
      <c r="P49797" s="2498"/>
    </row>
    <row r="49798" spans="16:16">
      <c r="P49798" s="2498"/>
    </row>
    <row r="49799" spans="16:16">
      <c r="P49799" s="2498"/>
    </row>
    <row r="49800" spans="16:16">
      <c r="P49800" s="2498"/>
    </row>
    <row r="49801" spans="16:16">
      <c r="P49801" s="2498"/>
    </row>
    <row r="49802" spans="16:16">
      <c r="P49802" s="2498"/>
    </row>
    <row r="49803" spans="16:16">
      <c r="P49803" s="2498"/>
    </row>
    <row r="49804" spans="16:16">
      <c r="P49804" s="2498"/>
    </row>
    <row r="49805" spans="16:16">
      <c r="P49805" s="2498"/>
    </row>
    <row r="49806" spans="16:16">
      <c r="P49806" s="2498"/>
    </row>
    <row r="49807" spans="16:16">
      <c r="P49807" s="2498"/>
    </row>
    <row r="49808" spans="16:16">
      <c r="P49808" s="2498"/>
    </row>
    <row r="49809" spans="16:16">
      <c r="P49809" s="2498"/>
    </row>
    <row r="49810" spans="16:16">
      <c r="P49810" s="2498"/>
    </row>
    <row r="49811" spans="16:16">
      <c r="P49811" s="2498"/>
    </row>
    <row r="49812" spans="16:16">
      <c r="P49812" s="2498"/>
    </row>
    <row r="49813" spans="16:16">
      <c r="P49813" s="2498"/>
    </row>
    <row r="49814" spans="16:16">
      <c r="P49814" s="2498"/>
    </row>
    <row r="49815" spans="16:16">
      <c r="P49815" s="2498"/>
    </row>
    <row r="49816" spans="16:16">
      <c r="P49816" s="2498"/>
    </row>
    <row r="49817" spans="16:16">
      <c r="P49817" s="2498"/>
    </row>
    <row r="49818" spans="16:16">
      <c r="P49818" s="2498"/>
    </row>
    <row r="49819" spans="16:16">
      <c r="P49819" s="2498"/>
    </row>
    <row r="49820" spans="16:16">
      <c r="P49820" s="2498"/>
    </row>
    <row r="49821" spans="16:16">
      <c r="P49821" s="2498"/>
    </row>
    <row r="49822" spans="16:16">
      <c r="P49822" s="2498"/>
    </row>
    <row r="49823" spans="16:16">
      <c r="P49823" s="2498"/>
    </row>
    <row r="49824" spans="16:16">
      <c r="P49824" s="2498"/>
    </row>
    <row r="49825" spans="16:16">
      <c r="P49825" s="2498"/>
    </row>
    <row r="49826" spans="16:16">
      <c r="P49826" s="2498"/>
    </row>
    <row r="49827" spans="16:16">
      <c r="P49827" s="2498"/>
    </row>
    <row r="49828" spans="16:16">
      <c r="P49828" s="2498"/>
    </row>
    <row r="49829" spans="16:16">
      <c r="P49829" s="2498"/>
    </row>
    <row r="49830" spans="16:16">
      <c r="P49830" s="2498"/>
    </row>
    <row r="49831" spans="16:16">
      <c r="P49831" s="2498"/>
    </row>
    <row r="49832" spans="16:16">
      <c r="P49832" s="2498"/>
    </row>
    <row r="49833" spans="16:16">
      <c r="P49833" s="2498"/>
    </row>
    <row r="49834" spans="16:16">
      <c r="P49834" s="2498"/>
    </row>
    <row r="49835" spans="16:16">
      <c r="P49835" s="2498"/>
    </row>
    <row r="49836" spans="16:16">
      <c r="P49836" s="2498"/>
    </row>
    <row r="49837" spans="16:16">
      <c r="P49837" s="2498"/>
    </row>
    <row r="49838" spans="16:16">
      <c r="P49838" s="2498"/>
    </row>
    <row r="49839" spans="16:16">
      <c r="P49839" s="2498"/>
    </row>
    <row r="49840" spans="16:16">
      <c r="P49840" s="2498"/>
    </row>
    <row r="49841" spans="16:16">
      <c r="P49841" s="2498"/>
    </row>
    <row r="49842" spans="16:16">
      <c r="P49842" s="2498"/>
    </row>
    <row r="49843" spans="16:16">
      <c r="P49843" s="2498"/>
    </row>
    <row r="49844" spans="16:16">
      <c r="P49844" s="2498"/>
    </row>
    <row r="49845" spans="16:16">
      <c r="P49845" s="2498"/>
    </row>
    <row r="49846" spans="16:16">
      <c r="P49846" s="2498"/>
    </row>
    <row r="49847" spans="16:16">
      <c r="P49847" s="2498"/>
    </row>
    <row r="49848" spans="16:16">
      <c r="P49848" s="2498"/>
    </row>
    <row r="49849" spans="16:16">
      <c r="P49849" s="2498"/>
    </row>
    <row r="49850" spans="16:16">
      <c r="P49850" s="2498"/>
    </row>
    <row r="49851" spans="16:16">
      <c r="P49851" s="2498"/>
    </row>
    <row r="49852" spans="16:16">
      <c r="P49852" s="2498"/>
    </row>
    <row r="49853" spans="16:16">
      <c r="P49853" s="2498"/>
    </row>
    <row r="49854" spans="16:16">
      <c r="P49854" s="2498"/>
    </row>
    <row r="49855" spans="16:16">
      <c r="P49855" s="2498"/>
    </row>
    <row r="49856" spans="16:16">
      <c r="P49856" s="2498"/>
    </row>
    <row r="49857" spans="16:16">
      <c r="P49857" s="2498"/>
    </row>
    <row r="49858" spans="16:16">
      <c r="P49858" s="2498"/>
    </row>
    <row r="49859" spans="16:16">
      <c r="P49859" s="2498"/>
    </row>
    <row r="49860" spans="16:16">
      <c r="P49860" s="2498"/>
    </row>
    <row r="49861" spans="16:16">
      <c r="P49861" s="2498"/>
    </row>
    <row r="49862" spans="16:16">
      <c r="P49862" s="2498"/>
    </row>
    <row r="49863" spans="16:16">
      <c r="P49863" s="2498"/>
    </row>
    <row r="49864" spans="16:16">
      <c r="P49864" s="2498"/>
    </row>
    <row r="49865" spans="16:16">
      <c r="P49865" s="2498"/>
    </row>
    <row r="49866" spans="16:16">
      <c r="P49866" s="2498"/>
    </row>
    <row r="49867" spans="16:16">
      <c r="P49867" s="2498"/>
    </row>
    <row r="49868" spans="16:16">
      <c r="P49868" s="2498"/>
    </row>
    <row r="49869" spans="16:16">
      <c r="P49869" s="2498"/>
    </row>
    <row r="49870" spans="16:16">
      <c r="P49870" s="2498"/>
    </row>
    <row r="49871" spans="16:16">
      <c r="P49871" s="2498"/>
    </row>
    <row r="49872" spans="16:16">
      <c r="P49872" s="2498"/>
    </row>
    <row r="49873" spans="16:16">
      <c r="P49873" s="2498"/>
    </row>
    <row r="49874" spans="16:16">
      <c r="P49874" s="2498"/>
    </row>
    <row r="49875" spans="16:16">
      <c r="P49875" s="2498"/>
    </row>
    <row r="49876" spans="16:16">
      <c r="P49876" s="2498"/>
    </row>
    <row r="49877" spans="16:16">
      <c r="P49877" s="2498"/>
    </row>
    <row r="49878" spans="16:16">
      <c r="P49878" s="2498"/>
    </row>
    <row r="49879" spans="16:16">
      <c r="P49879" s="2498"/>
    </row>
    <row r="49880" spans="16:16">
      <c r="P49880" s="2498"/>
    </row>
    <row r="49881" spans="16:16">
      <c r="P49881" s="2498"/>
    </row>
    <row r="49882" spans="16:16">
      <c r="P49882" s="2498"/>
    </row>
    <row r="49883" spans="16:16">
      <c r="P49883" s="2498"/>
    </row>
    <row r="49884" spans="16:16">
      <c r="P49884" s="2498"/>
    </row>
    <row r="49885" spans="16:16">
      <c r="P49885" s="2498"/>
    </row>
    <row r="49886" spans="16:16">
      <c r="P49886" s="2498"/>
    </row>
    <row r="49887" spans="16:16">
      <c r="P49887" s="2498"/>
    </row>
    <row r="49888" spans="16:16">
      <c r="P49888" s="2498"/>
    </row>
    <row r="49889" spans="16:16">
      <c r="P49889" s="2498"/>
    </row>
    <row r="49890" spans="16:16">
      <c r="P49890" s="2498"/>
    </row>
    <row r="49891" spans="16:16">
      <c r="P49891" s="2498"/>
    </row>
    <row r="49892" spans="16:16">
      <c r="P49892" s="2498"/>
    </row>
    <row r="49893" spans="16:16">
      <c r="P49893" s="2498"/>
    </row>
    <row r="49894" spans="16:16">
      <c r="P49894" s="2498"/>
    </row>
    <row r="49895" spans="16:16">
      <c r="P49895" s="2498"/>
    </row>
    <row r="49896" spans="16:16">
      <c r="P49896" s="2498"/>
    </row>
    <row r="49897" spans="16:16">
      <c r="P49897" s="2498"/>
    </row>
    <row r="49898" spans="16:16">
      <c r="P49898" s="2498"/>
    </row>
    <row r="49899" spans="16:16">
      <c r="P49899" s="2498"/>
    </row>
    <row r="49900" spans="16:16">
      <c r="P49900" s="2498"/>
    </row>
    <row r="49901" spans="16:16">
      <c r="P49901" s="2498"/>
    </row>
    <row r="49902" spans="16:16">
      <c r="P49902" s="2498"/>
    </row>
    <row r="49903" spans="16:16">
      <c r="P49903" s="2498"/>
    </row>
    <row r="49904" spans="16:16">
      <c r="P49904" s="2498"/>
    </row>
    <row r="49905" spans="16:16">
      <c r="P49905" s="2498"/>
    </row>
    <row r="49906" spans="16:16">
      <c r="P49906" s="2498"/>
    </row>
    <row r="49907" spans="16:16">
      <c r="P49907" s="2498"/>
    </row>
    <row r="49908" spans="16:16">
      <c r="P49908" s="2498"/>
    </row>
    <row r="49909" spans="16:16">
      <c r="P49909" s="2498"/>
    </row>
    <row r="49910" spans="16:16">
      <c r="P49910" s="2498"/>
    </row>
    <row r="49911" spans="16:16">
      <c r="P49911" s="2498"/>
    </row>
    <row r="49912" spans="16:16">
      <c r="P49912" s="2498"/>
    </row>
    <row r="49913" spans="16:16">
      <c r="P49913" s="2498"/>
    </row>
    <row r="49914" spans="16:16">
      <c r="P49914" s="2498"/>
    </row>
    <row r="49915" spans="16:16">
      <c r="P49915" s="2498"/>
    </row>
    <row r="49916" spans="16:16">
      <c r="P49916" s="2498"/>
    </row>
    <row r="49917" spans="16:16">
      <c r="P49917" s="2498"/>
    </row>
    <row r="49918" spans="16:16">
      <c r="P49918" s="2498"/>
    </row>
    <row r="49919" spans="16:16">
      <c r="P49919" s="2498"/>
    </row>
    <row r="49920" spans="16:16">
      <c r="P49920" s="2498"/>
    </row>
    <row r="49921" spans="16:16">
      <c r="P49921" s="2498"/>
    </row>
    <row r="49922" spans="16:16">
      <c r="P49922" s="2498"/>
    </row>
    <row r="49923" spans="16:16">
      <c r="P49923" s="2498"/>
    </row>
    <row r="49924" spans="16:16">
      <c r="P49924" s="2498"/>
    </row>
    <row r="49925" spans="16:16">
      <c r="P49925" s="2498"/>
    </row>
    <row r="49926" spans="16:16">
      <c r="P49926" s="2498"/>
    </row>
    <row r="49927" spans="16:16">
      <c r="P49927" s="2498"/>
    </row>
    <row r="49928" spans="16:16">
      <c r="P49928" s="2498"/>
    </row>
    <row r="49929" spans="16:16">
      <c r="P49929" s="2498"/>
    </row>
    <row r="49930" spans="16:16">
      <c r="P49930" s="2498"/>
    </row>
    <row r="49931" spans="16:16">
      <c r="P49931" s="2498"/>
    </row>
    <row r="49932" spans="16:16">
      <c r="P49932" s="2498"/>
    </row>
    <row r="49933" spans="16:16">
      <c r="P49933" s="2498"/>
    </row>
    <row r="49934" spans="16:16">
      <c r="P49934" s="2498"/>
    </row>
    <row r="49935" spans="16:16">
      <c r="P49935" s="2498"/>
    </row>
    <row r="49936" spans="16:16">
      <c r="P49936" s="2498"/>
    </row>
    <row r="49937" spans="16:16">
      <c r="P49937" s="2498"/>
    </row>
    <row r="49938" spans="16:16">
      <c r="P49938" s="2498"/>
    </row>
    <row r="49939" spans="16:16">
      <c r="P49939" s="2498"/>
    </row>
    <row r="49940" spans="16:16">
      <c r="P49940" s="2498"/>
    </row>
    <row r="49941" spans="16:16">
      <c r="P49941" s="2498"/>
    </row>
    <row r="49942" spans="16:16">
      <c r="P49942" s="2498"/>
    </row>
    <row r="49943" spans="16:16">
      <c r="P49943" s="2498"/>
    </row>
    <row r="49944" spans="16:16">
      <c r="P49944" s="2498"/>
    </row>
    <row r="49945" spans="16:16">
      <c r="P49945" s="2498"/>
    </row>
    <row r="49946" spans="16:16">
      <c r="P49946" s="2498"/>
    </row>
    <row r="49947" spans="16:16">
      <c r="P49947" s="2498"/>
    </row>
    <row r="49948" spans="16:16">
      <c r="P49948" s="2498"/>
    </row>
    <row r="49949" spans="16:16">
      <c r="P49949" s="2498"/>
    </row>
    <row r="49950" spans="16:16">
      <c r="P49950" s="2498"/>
    </row>
    <row r="49951" spans="16:16">
      <c r="P49951" s="2498"/>
    </row>
    <row r="49952" spans="16:16">
      <c r="P49952" s="2498"/>
    </row>
    <row r="49953" spans="16:16">
      <c r="P49953" s="2498"/>
    </row>
    <row r="49954" spans="16:16">
      <c r="P49954" s="2498"/>
    </row>
    <row r="49955" spans="16:16">
      <c r="P49955" s="2498"/>
    </row>
    <row r="49956" spans="16:16">
      <c r="P49956" s="2498"/>
    </row>
    <row r="49957" spans="16:16">
      <c r="P49957" s="2498"/>
    </row>
    <row r="49958" spans="16:16">
      <c r="P49958" s="2498"/>
    </row>
    <row r="49959" spans="16:16">
      <c r="P49959" s="2498"/>
    </row>
    <row r="49960" spans="16:16">
      <c r="P49960" s="2498"/>
    </row>
    <row r="49961" spans="16:16">
      <c r="P49961" s="2498"/>
    </row>
    <row r="49962" spans="16:16">
      <c r="P49962" s="2498"/>
    </row>
    <row r="49963" spans="16:16">
      <c r="P49963" s="2498"/>
    </row>
    <row r="49964" spans="16:16">
      <c r="P49964" s="2498"/>
    </row>
    <row r="49965" spans="16:16">
      <c r="P49965" s="2498"/>
    </row>
    <row r="49966" spans="16:16">
      <c r="P49966" s="2498"/>
    </row>
    <row r="49967" spans="16:16">
      <c r="P49967" s="2498"/>
    </row>
    <row r="49968" spans="16:16">
      <c r="P49968" s="2498"/>
    </row>
    <row r="49969" spans="16:16">
      <c r="P49969" s="2498"/>
    </row>
    <row r="49970" spans="16:16">
      <c r="P49970" s="2498"/>
    </row>
    <row r="49971" spans="16:16">
      <c r="P49971" s="2498"/>
    </row>
    <row r="49972" spans="16:16">
      <c r="P49972" s="2498"/>
    </row>
    <row r="49973" spans="16:16">
      <c r="P49973" s="2498"/>
    </row>
    <row r="49974" spans="16:16">
      <c r="P49974" s="2498"/>
    </row>
    <row r="49975" spans="16:16">
      <c r="P49975" s="2498"/>
    </row>
    <row r="49976" spans="16:16">
      <c r="P49976" s="2498"/>
    </row>
    <row r="49977" spans="16:16">
      <c r="P49977" s="2498"/>
    </row>
    <row r="49978" spans="16:16">
      <c r="P49978" s="2498"/>
    </row>
    <row r="49979" spans="16:16">
      <c r="P49979" s="2498"/>
    </row>
    <row r="49980" spans="16:16">
      <c r="P49980" s="2498"/>
    </row>
    <row r="49981" spans="16:16">
      <c r="P49981" s="2498"/>
    </row>
    <row r="49982" spans="16:16">
      <c r="P49982" s="2498"/>
    </row>
    <row r="49983" spans="16:16">
      <c r="P49983" s="2498"/>
    </row>
    <row r="49984" spans="16:16">
      <c r="P49984" s="2498"/>
    </row>
    <row r="49985" spans="16:16">
      <c r="P49985" s="2498"/>
    </row>
    <row r="49986" spans="16:16">
      <c r="P49986" s="2498"/>
    </row>
    <row r="49987" spans="16:16">
      <c r="P49987" s="2498"/>
    </row>
    <row r="49988" spans="16:16">
      <c r="P49988" s="2498"/>
    </row>
    <row r="49989" spans="16:16">
      <c r="P49989" s="2498"/>
    </row>
    <row r="49990" spans="16:16">
      <c r="P49990" s="2498"/>
    </row>
    <row r="49991" spans="16:16">
      <c r="P49991" s="2498"/>
    </row>
    <row r="49992" spans="16:16">
      <c r="P49992" s="2498"/>
    </row>
    <row r="49993" spans="16:16">
      <c r="P49993" s="2498"/>
    </row>
    <row r="49994" spans="16:16">
      <c r="P49994" s="2498"/>
    </row>
    <row r="49995" spans="16:16">
      <c r="P49995" s="2498"/>
    </row>
    <row r="49996" spans="16:16">
      <c r="P49996" s="2498"/>
    </row>
    <row r="49997" spans="16:16">
      <c r="P49997" s="2498"/>
    </row>
    <row r="49998" spans="16:16">
      <c r="P49998" s="2498"/>
    </row>
    <row r="49999" spans="16:16">
      <c r="P49999" s="2498"/>
    </row>
    <row r="50000" spans="16:16">
      <c r="P50000" s="2498"/>
    </row>
    <row r="50001" spans="16:16">
      <c r="P50001" s="2498"/>
    </row>
    <row r="50002" spans="16:16">
      <c r="P50002" s="2498"/>
    </row>
    <row r="50003" spans="16:16">
      <c r="P50003" s="2498"/>
    </row>
    <row r="50004" spans="16:16">
      <c r="P50004" s="2498"/>
    </row>
    <row r="50005" spans="16:16">
      <c r="P50005" s="2498"/>
    </row>
    <row r="50006" spans="16:16">
      <c r="P50006" s="2498"/>
    </row>
    <row r="50007" spans="16:16">
      <c r="P50007" s="2498"/>
    </row>
    <row r="50008" spans="16:16">
      <c r="P50008" s="2498"/>
    </row>
    <row r="50009" spans="16:16">
      <c r="P50009" s="2498"/>
    </row>
    <row r="50010" spans="16:16">
      <c r="P50010" s="2498"/>
    </row>
    <row r="50011" spans="16:16">
      <c r="P50011" s="2498"/>
    </row>
    <row r="50012" spans="16:16">
      <c r="P50012" s="2498"/>
    </row>
    <row r="50013" spans="16:16">
      <c r="P50013" s="2498"/>
    </row>
    <row r="50014" spans="16:16">
      <c r="P50014" s="2498"/>
    </row>
    <row r="50015" spans="16:16">
      <c r="P50015" s="2498"/>
    </row>
    <row r="50016" spans="16:16">
      <c r="P50016" s="2498"/>
    </row>
    <row r="50017" spans="16:16">
      <c r="P50017" s="2498"/>
    </row>
    <row r="50018" spans="16:16">
      <c r="P50018" s="2498"/>
    </row>
    <row r="50019" spans="16:16">
      <c r="P50019" s="2498"/>
    </row>
    <row r="50020" spans="16:16">
      <c r="P50020" s="2498"/>
    </row>
    <row r="50021" spans="16:16">
      <c r="P50021" s="2498"/>
    </row>
    <row r="50022" spans="16:16">
      <c r="P50022" s="2498"/>
    </row>
    <row r="50023" spans="16:16">
      <c r="P50023" s="2498"/>
    </row>
    <row r="50024" spans="16:16">
      <c r="P50024" s="2498"/>
    </row>
    <row r="50025" spans="16:16">
      <c r="P50025" s="2498"/>
    </row>
    <row r="50026" spans="16:16">
      <c r="P50026" s="2498"/>
    </row>
    <row r="50027" spans="16:16">
      <c r="P50027" s="2498"/>
    </row>
    <row r="50028" spans="16:16">
      <c r="P50028" s="2498"/>
    </row>
    <row r="50029" spans="16:16">
      <c r="P50029" s="2498"/>
    </row>
    <row r="50030" spans="16:16">
      <c r="P50030" s="2498"/>
    </row>
    <row r="50031" spans="16:16">
      <c r="P50031" s="2498"/>
    </row>
    <row r="50032" spans="16:16">
      <c r="P50032" s="2498"/>
    </row>
    <row r="50033" spans="16:16">
      <c r="P50033" s="2498"/>
    </row>
    <row r="50034" spans="16:16">
      <c r="P50034" s="2498"/>
    </row>
    <row r="50035" spans="16:16">
      <c r="P50035" s="2498"/>
    </row>
    <row r="50036" spans="16:16">
      <c r="P50036" s="2498"/>
    </row>
    <row r="50037" spans="16:16">
      <c r="P50037" s="2498"/>
    </row>
    <row r="50038" spans="16:16">
      <c r="P50038" s="2498"/>
    </row>
    <row r="50039" spans="16:16">
      <c r="P50039" s="2498"/>
    </row>
    <row r="50040" spans="16:16">
      <c r="P50040" s="2498"/>
    </row>
    <row r="50041" spans="16:16">
      <c r="P50041" s="2498"/>
    </row>
    <row r="50042" spans="16:16">
      <c r="P50042" s="2498"/>
    </row>
    <row r="50043" spans="16:16">
      <c r="P50043" s="2498"/>
    </row>
    <row r="50044" spans="16:16">
      <c r="P50044" s="2498"/>
    </row>
    <row r="50045" spans="16:16">
      <c r="P50045" s="2498"/>
    </row>
    <row r="50046" spans="16:16">
      <c r="P50046" s="2498"/>
    </row>
    <row r="50047" spans="16:16">
      <c r="P50047" s="2498"/>
    </row>
    <row r="50048" spans="16:16">
      <c r="P50048" s="2498"/>
    </row>
    <row r="50049" spans="16:16">
      <c r="P50049" s="2498"/>
    </row>
    <row r="50050" spans="16:16">
      <c r="P50050" s="2498"/>
    </row>
    <row r="50051" spans="16:16">
      <c r="P50051" s="2498"/>
    </row>
    <row r="50052" spans="16:16">
      <c r="P50052" s="2498"/>
    </row>
    <row r="50053" spans="16:16">
      <c r="P50053" s="2498"/>
    </row>
    <row r="50054" spans="16:16">
      <c r="P50054" s="2498"/>
    </row>
    <row r="50055" spans="16:16">
      <c r="P50055" s="2498"/>
    </row>
    <row r="50056" spans="16:16">
      <c r="P50056" s="2498"/>
    </row>
    <row r="50057" spans="16:16">
      <c r="P50057" s="2498"/>
    </row>
    <row r="50058" spans="16:16">
      <c r="P50058" s="2498"/>
    </row>
    <row r="50059" spans="16:16">
      <c r="P50059" s="2498"/>
    </row>
    <row r="50060" spans="16:16">
      <c r="P50060" s="2498"/>
    </row>
    <row r="50061" spans="16:16">
      <c r="P50061" s="2498"/>
    </row>
    <row r="50062" spans="16:16">
      <c r="P50062" s="2498"/>
    </row>
    <row r="50063" spans="16:16">
      <c r="P50063" s="2498"/>
    </row>
    <row r="50064" spans="16:16">
      <c r="P50064" s="2498"/>
    </row>
    <row r="50065" spans="16:16">
      <c r="P50065" s="2498"/>
    </row>
    <row r="50066" spans="16:16">
      <c r="P50066" s="2498"/>
    </row>
    <row r="50067" spans="16:16">
      <c r="P50067" s="2498"/>
    </row>
    <row r="50068" spans="16:16">
      <c r="P50068" s="2498"/>
    </row>
    <row r="50069" spans="16:16">
      <c r="P50069" s="2498"/>
    </row>
    <row r="50070" spans="16:16">
      <c r="P50070" s="2498"/>
    </row>
    <row r="50071" spans="16:16">
      <c r="P50071" s="2498"/>
    </row>
    <row r="50072" spans="16:16">
      <c r="P50072" s="2498"/>
    </row>
    <row r="50073" spans="16:16">
      <c r="P50073" s="2498"/>
    </row>
    <row r="50074" spans="16:16">
      <c r="P50074" s="2498"/>
    </row>
    <row r="50075" spans="16:16">
      <c r="P50075" s="2498"/>
    </row>
    <row r="50076" spans="16:16">
      <c r="P50076" s="2498"/>
    </row>
    <row r="50077" spans="16:16">
      <c r="P50077" s="2498"/>
    </row>
    <row r="50078" spans="16:16">
      <c r="P50078" s="2498"/>
    </row>
    <row r="50079" spans="16:16">
      <c r="P50079" s="2498"/>
    </row>
    <row r="50080" spans="16:16">
      <c r="P50080" s="2498"/>
    </row>
    <row r="50081" spans="16:16">
      <c r="P50081" s="2498"/>
    </row>
    <row r="50082" spans="16:16">
      <c r="P50082" s="2498"/>
    </row>
    <row r="50083" spans="16:16">
      <c r="P50083" s="2498"/>
    </row>
    <row r="50084" spans="16:16">
      <c r="P50084" s="2498"/>
    </row>
    <row r="50085" spans="16:16">
      <c r="P50085" s="2498"/>
    </row>
    <row r="50086" spans="16:16">
      <c r="P50086" s="2498"/>
    </row>
    <row r="50087" spans="16:16">
      <c r="P50087" s="2498"/>
    </row>
    <row r="50088" spans="16:16">
      <c r="P50088" s="2498"/>
    </row>
    <row r="50089" spans="16:16">
      <c r="P50089" s="2498"/>
    </row>
    <row r="50090" spans="16:16">
      <c r="P50090" s="2498"/>
    </row>
    <row r="50091" spans="16:16">
      <c r="P50091" s="2498"/>
    </row>
    <row r="50092" spans="16:16">
      <c r="P50092" s="2498"/>
    </row>
    <row r="50093" spans="16:16">
      <c r="P50093" s="2498"/>
    </row>
    <row r="50094" spans="16:16">
      <c r="P50094" s="2498"/>
    </row>
    <row r="50095" spans="16:16">
      <c r="P50095" s="2498"/>
    </row>
    <row r="50096" spans="16:16">
      <c r="P50096" s="2498"/>
    </row>
    <row r="50097" spans="16:16">
      <c r="P50097" s="2498"/>
    </row>
    <row r="50098" spans="16:16">
      <c r="P50098" s="2498"/>
    </row>
    <row r="50099" spans="16:16">
      <c r="P50099" s="2498"/>
    </row>
    <row r="50100" spans="16:16">
      <c r="P50100" s="2498"/>
    </row>
    <row r="50101" spans="16:16">
      <c r="P50101" s="2498"/>
    </row>
    <row r="50102" spans="16:16">
      <c r="P50102" s="2498"/>
    </row>
    <row r="50103" spans="16:16">
      <c r="P50103" s="2498"/>
    </row>
    <row r="50104" spans="16:16">
      <c r="P50104" s="2498"/>
    </row>
    <row r="50105" spans="16:16">
      <c r="P50105" s="2498"/>
    </row>
    <row r="50106" spans="16:16">
      <c r="P50106" s="2498"/>
    </row>
    <row r="50107" spans="16:16">
      <c r="P50107" s="2498"/>
    </row>
    <row r="50108" spans="16:16">
      <c r="P50108" s="2498"/>
    </row>
    <row r="50109" spans="16:16">
      <c r="P50109" s="2498"/>
    </row>
    <row r="50110" spans="16:16">
      <c r="P50110" s="2498"/>
    </row>
    <row r="50111" spans="16:16">
      <c r="P50111" s="2498"/>
    </row>
    <row r="50112" spans="16:16">
      <c r="P50112" s="2498"/>
    </row>
    <row r="50113" spans="16:16">
      <c r="P50113" s="2498"/>
    </row>
    <row r="50114" spans="16:16">
      <c r="P50114" s="2498"/>
    </row>
    <row r="50115" spans="16:16">
      <c r="P50115" s="2498"/>
    </row>
    <row r="50116" spans="16:16">
      <c r="P50116" s="2498"/>
    </row>
    <row r="50117" spans="16:16">
      <c r="P50117" s="2498"/>
    </row>
    <row r="50118" spans="16:16">
      <c r="P50118" s="2498"/>
    </row>
    <row r="50119" spans="16:16">
      <c r="P50119" s="2498"/>
    </row>
    <row r="50120" spans="16:16">
      <c r="P50120" s="2498"/>
    </row>
    <row r="50121" spans="16:16">
      <c r="P50121" s="2498"/>
    </row>
    <row r="50122" spans="16:16">
      <c r="P50122" s="2498"/>
    </row>
    <row r="50123" spans="16:16">
      <c r="P50123" s="2498"/>
    </row>
    <row r="50124" spans="16:16">
      <c r="P50124" s="2498"/>
    </row>
    <row r="50125" spans="16:16">
      <c r="P50125" s="2498"/>
    </row>
    <row r="50126" spans="16:16">
      <c r="P50126" s="2498"/>
    </row>
    <row r="50127" spans="16:16">
      <c r="P50127" s="2498"/>
    </row>
    <row r="50128" spans="16:16">
      <c r="P50128" s="2498"/>
    </row>
    <row r="50129" spans="16:16">
      <c r="P50129" s="2498"/>
    </row>
    <row r="50130" spans="16:16">
      <c r="P50130" s="2498"/>
    </row>
    <row r="50131" spans="16:16">
      <c r="P50131" s="2498"/>
    </row>
    <row r="50132" spans="16:16">
      <c r="P50132" s="2498"/>
    </row>
    <row r="50133" spans="16:16">
      <c r="P50133" s="2498"/>
    </row>
    <row r="50134" spans="16:16">
      <c r="P50134" s="2498"/>
    </row>
    <row r="50135" spans="16:16">
      <c r="P50135" s="2498"/>
    </row>
    <row r="50136" spans="16:16">
      <c r="P50136" s="2498"/>
    </row>
    <row r="50137" spans="16:16">
      <c r="P50137" s="2498"/>
    </row>
    <row r="50138" spans="16:16">
      <c r="P50138" s="2498"/>
    </row>
    <row r="50139" spans="16:16">
      <c r="P50139" s="2498"/>
    </row>
    <row r="50140" spans="16:16">
      <c r="P50140" s="2498"/>
    </row>
    <row r="50141" spans="16:16">
      <c r="P50141" s="2498"/>
    </row>
    <row r="50142" spans="16:16">
      <c r="P50142" s="2498"/>
    </row>
    <row r="50143" spans="16:16">
      <c r="P50143" s="2498"/>
    </row>
    <row r="50144" spans="16:16">
      <c r="P50144" s="2498"/>
    </row>
    <row r="50145" spans="16:16">
      <c r="P50145" s="2498"/>
    </row>
    <row r="50146" spans="16:16">
      <c r="P50146" s="2498"/>
    </row>
    <row r="50147" spans="16:16">
      <c r="P50147" s="2498"/>
    </row>
    <row r="50148" spans="16:16">
      <c r="P50148" s="2498"/>
    </row>
    <row r="50149" spans="16:16">
      <c r="P50149" s="2498"/>
    </row>
    <row r="50150" spans="16:16">
      <c r="P50150" s="2498"/>
    </row>
    <row r="50151" spans="16:16">
      <c r="P50151" s="2498"/>
    </row>
    <row r="50152" spans="16:16">
      <c r="P50152" s="2498"/>
    </row>
    <row r="50153" spans="16:16">
      <c r="P50153" s="2498"/>
    </row>
    <row r="50154" spans="16:16">
      <c r="P50154" s="2498"/>
    </row>
    <row r="50155" spans="16:16">
      <c r="P50155" s="2498"/>
    </row>
    <row r="50156" spans="16:16">
      <c r="P50156" s="2498"/>
    </row>
    <row r="50157" spans="16:16">
      <c r="P50157" s="2498"/>
    </row>
    <row r="50158" spans="16:16">
      <c r="P50158" s="2498"/>
    </row>
    <row r="50159" spans="16:16">
      <c r="P50159" s="2498"/>
    </row>
    <row r="50160" spans="16:16">
      <c r="P50160" s="2498"/>
    </row>
    <row r="50161" spans="16:16">
      <c r="P50161" s="2498"/>
    </row>
    <row r="50162" spans="16:16">
      <c r="P50162" s="2498"/>
    </row>
    <row r="50163" spans="16:16">
      <c r="P50163" s="2498"/>
    </row>
    <row r="50164" spans="16:16">
      <c r="P50164" s="2498"/>
    </row>
    <row r="50165" spans="16:16">
      <c r="P50165" s="2498"/>
    </row>
    <row r="50166" spans="16:16">
      <c r="P50166" s="2498"/>
    </row>
    <row r="50167" spans="16:16">
      <c r="P50167" s="2498"/>
    </row>
    <row r="50168" spans="16:16">
      <c r="P50168" s="2498"/>
    </row>
    <row r="50169" spans="16:16">
      <c r="P50169" s="2498"/>
    </row>
    <row r="50170" spans="16:16">
      <c r="P50170" s="2498"/>
    </row>
    <row r="50171" spans="16:16">
      <c r="P50171" s="2498"/>
    </row>
    <row r="50172" spans="16:16">
      <c r="P50172" s="2498"/>
    </row>
    <row r="50173" spans="16:16">
      <c r="P50173" s="2498"/>
    </row>
    <row r="50174" spans="16:16">
      <c r="P50174" s="2498"/>
    </row>
    <row r="50175" spans="16:16">
      <c r="P50175" s="2498"/>
    </row>
    <row r="50176" spans="16:16">
      <c r="P50176" s="2498"/>
    </row>
    <row r="50177" spans="16:16">
      <c r="P50177" s="2498"/>
    </row>
    <row r="50178" spans="16:16">
      <c r="P50178" s="2498"/>
    </row>
    <row r="50179" spans="16:16">
      <c r="P50179" s="2498"/>
    </row>
    <row r="50180" spans="16:16">
      <c r="P50180" s="2498"/>
    </row>
    <row r="50181" spans="16:16">
      <c r="P50181" s="2498"/>
    </row>
    <row r="50182" spans="16:16">
      <c r="P50182" s="2498"/>
    </row>
    <row r="50183" spans="16:16">
      <c r="P50183" s="2498"/>
    </row>
    <row r="50184" spans="16:16">
      <c r="P50184" s="2498"/>
    </row>
    <row r="50185" spans="16:16">
      <c r="P50185" s="2498"/>
    </row>
    <row r="50186" spans="16:16">
      <c r="P50186" s="2498"/>
    </row>
    <row r="50187" spans="16:16">
      <c r="P50187" s="2498"/>
    </row>
    <row r="50188" spans="16:16">
      <c r="P50188" s="2498"/>
    </row>
    <row r="50189" spans="16:16">
      <c r="P50189" s="2498"/>
    </row>
    <row r="50190" spans="16:16">
      <c r="P50190" s="2498"/>
    </row>
    <row r="50191" spans="16:16">
      <c r="P50191" s="2498"/>
    </row>
    <row r="50192" spans="16:16">
      <c r="P50192" s="2498"/>
    </row>
    <row r="50193" spans="16:16">
      <c r="P50193" s="2498"/>
    </row>
    <row r="50194" spans="16:16">
      <c r="P50194" s="2498"/>
    </row>
    <row r="50195" spans="16:16">
      <c r="P50195" s="2498"/>
    </row>
    <row r="50196" spans="16:16">
      <c r="P50196" s="2498"/>
    </row>
    <row r="50197" spans="16:16">
      <c r="P50197" s="2498"/>
    </row>
    <row r="50198" spans="16:16">
      <c r="P50198" s="2498"/>
    </row>
    <row r="50199" spans="16:16">
      <c r="P50199" s="2498"/>
    </row>
    <row r="50200" spans="16:16">
      <c r="P50200" s="2498"/>
    </row>
    <row r="50201" spans="16:16">
      <c r="P50201" s="2498"/>
    </row>
    <row r="50202" spans="16:16">
      <c r="P50202" s="2498"/>
    </row>
    <row r="50203" spans="16:16">
      <c r="P50203" s="2498"/>
    </row>
    <row r="50204" spans="16:16">
      <c r="P50204" s="2498"/>
    </row>
    <row r="50205" spans="16:16">
      <c r="P50205" s="2498"/>
    </row>
    <row r="50206" spans="16:16">
      <c r="P50206" s="2498"/>
    </row>
    <row r="50207" spans="16:16">
      <c r="P50207" s="2498"/>
    </row>
    <row r="50208" spans="16:16">
      <c r="P50208" s="2498"/>
    </row>
    <row r="50209" spans="16:16">
      <c r="P50209" s="2498"/>
    </row>
    <row r="50210" spans="16:16">
      <c r="P50210" s="2498"/>
    </row>
    <row r="50211" spans="16:16">
      <c r="P50211" s="2498"/>
    </row>
    <row r="50212" spans="16:16">
      <c r="P50212" s="2498"/>
    </row>
    <row r="50213" spans="16:16">
      <c r="P50213" s="2498"/>
    </row>
    <row r="50214" spans="16:16">
      <c r="P50214" s="2498"/>
    </row>
    <row r="50215" spans="16:16">
      <c r="P50215" s="2498"/>
    </row>
    <row r="50216" spans="16:16">
      <c r="P50216" s="2498"/>
    </row>
    <row r="50217" spans="16:16">
      <c r="P50217" s="2498"/>
    </row>
    <row r="50218" spans="16:16">
      <c r="P50218" s="2498"/>
    </row>
    <row r="50219" spans="16:16">
      <c r="P50219" s="2498"/>
    </row>
    <row r="50220" spans="16:16">
      <c r="P50220" s="2498"/>
    </row>
    <row r="50221" spans="16:16">
      <c r="P50221" s="2498"/>
    </row>
    <row r="50222" spans="16:16">
      <c r="P50222" s="2498"/>
    </row>
    <row r="50223" spans="16:16">
      <c r="P50223" s="2498"/>
    </row>
    <row r="50224" spans="16:16">
      <c r="P50224" s="2498"/>
    </row>
    <row r="50225" spans="16:16">
      <c r="P50225" s="2498"/>
    </row>
    <row r="50226" spans="16:16">
      <c r="P50226" s="2498"/>
    </row>
    <row r="50227" spans="16:16">
      <c r="P50227" s="2498"/>
    </row>
    <row r="50228" spans="16:16">
      <c r="P50228" s="2498"/>
    </row>
    <row r="50229" spans="16:16">
      <c r="P50229" s="2498"/>
    </row>
    <row r="50230" spans="16:16">
      <c r="P50230" s="2498"/>
    </row>
    <row r="50231" spans="16:16">
      <c r="P50231" s="2498"/>
    </row>
    <row r="50232" spans="16:16">
      <c r="P50232" s="2498"/>
    </row>
    <row r="50233" spans="16:16">
      <c r="P50233" s="2498"/>
    </row>
    <row r="50234" spans="16:16">
      <c r="P50234" s="2498"/>
    </row>
    <row r="50235" spans="16:16">
      <c r="P50235" s="2498"/>
    </row>
    <row r="50236" spans="16:16">
      <c r="P50236" s="2498"/>
    </row>
    <row r="50237" spans="16:16">
      <c r="P50237" s="2498"/>
    </row>
    <row r="50238" spans="16:16">
      <c r="P50238" s="2498"/>
    </row>
    <row r="50239" spans="16:16">
      <c r="P50239" s="2498"/>
    </row>
    <row r="50240" spans="16:16">
      <c r="P50240" s="2498"/>
    </row>
    <row r="50241" spans="16:16">
      <c r="P50241" s="2498"/>
    </row>
    <row r="50242" spans="16:16">
      <c r="P50242" s="2498"/>
    </row>
    <row r="50243" spans="16:16">
      <c r="P50243" s="2498"/>
    </row>
    <row r="50244" spans="16:16">
      <c r="P50244" s="2498"/>
    </row>
    <row r="50245" spans="16:16">
      <c r="P50245" s="2498"/>
    </row>
    <row r="50246" spans="16:16">
      <c r="P50246" s="2498"/>
    </row>
    <row r="50247" spans="16:16">
      <c r="P50247" s="2498"/>
    </row>
    <row r="50248" spans="16:16">
      <c r="P50248" s="2498"/>
    </row>
    <row r="50249" spans="16:16">
      <c r="P50249" s="2498"/>
    </row>
    <row r="50250" spans="16:16">
      <c r="P50250" s="2498"/>
    </row>
    <row r="50251" spans="16:16">
      <c r="P50251" s="2498"/>
    </row>
    <row r="50252" spans="16:16">
      <c r="P50252" s="2498"/>
    </row>
    <row r="50253" spans="16:16">
      <c r="P50253" s="2498"/>
    </row>
    <row r="50254" spans="16:16">
      <c r="P50254" s="2498"/>
    </row>
    <row r="50255" spans="16:16">
      <c r="P50255" s="2498"/>
    </row>
    <row r="50256" spans="16:16">
      <c r="P50256" s="2498"/>
    </row>
    <row r="50257" spans="16:16">
      <c r="P50257" s="2498"/>
    </row>
    <row r="50258" spans="16:16">
      <c r="P50258" s="2498"/>
    </row>
    <row r="50259" spans="16:16">
      <c r="P50259" s="2498"/>
    </row>
    <row r="50260" spans="16:16">
      <c r="P50260" s="2498"/>
    </row>
    <row r="50261" spans="16:16">
      <c r="P50261" s="2498"/>
    </row>
    <row r="50262" spans="16:16">
      <c r="P50262" s="2498"/>
    </row>
    <row r="50263" spans="16:16">
      <c r="P50263" s="2498"/>
    </row>
    <row r="50264" spans="16:16">
      <c r="P50264" s="2498"/>
    </row>
    <row r="50265" spans="16:16">
      <c r="P50265" s="2498"/>
    </row>
    <row r="50266" spans="16:16">
      <c r="P50266" s="2498"/>
    </row>
    <row r="50267" spans="16:16">
      <c r="P50267" s="2498"/>
    </row>
    <row r="50268" spans="16:16">
      <c r="P50268" s="2498"/>
    </row>
    <row r="50269" spans="16:16">
      <c r="P50269" s="2498"/>
    </row>
    <row r="50270" spans="16:16">
      <c r="P50270" s="2498"/>
    </row>
    <row r="50271" spans="16:16">
      <c r="P50271" s="2498"/>
    </row>
    <row r="50272" spans="16:16">
      <c r="P50272" s="2498"/>
    </row>
    <row r="50273" spans="16:16">
      <c r="P50273" s="2498"/>
    </row>
    <row r="50274" spans="16:16">
      <c r="P50274" s="2498"/>
    </row>
    <row r="50275" spans="16:16">
      <c r="P50275" s="2498"/>
    </row>
    <row r="50276" spans="16:16">
      <c r="P50276" s="2498"/>
    </row>
    <row r="50277" spans="16:16">
      <c r="P50277" s="2498"/>
    </row>
    <row r="50278" spans="16:16">
      <c r="P50278" s="2498"/>
    </row>
    <row r="50279" spans="16:16">
      <c r="P50279" s="2498"/>
    </row>
    <row r="50280" spans="16:16">
      <c r="P50280" s="2498"/>
    </row>
    <row r="50281" spans="16:16">
      <c r="P50281" s="2498"/>
    </row>
    <row r="50282" spans="16:16">
      <c r="P50282" s="2498"/>
    </row>
    <row r="50283" spans="16:16">
      <c r="P50283" s="2498"/>
    </row>
    <row r="50284" spans="16:16">
      <c r="P50284" s="2498"/>
    </row>
    <row r="50285" spans="16:16">
      <c r="P50285" s="2498"/>
    </row>
    <row r="50286" spans="16:16">
      <c r="P50286" s="2498"/>
    </row>
    <row r="50287" spans="16:16">
      <c r="P50287" s="2498"/>
    </row>
    <row r="50288" spans="16:16">
      <c r="P50288" s="2498"/>
    </row>
    <row r="50289" spans="16:16">
      <c r="P50289" s="2498"/>
    </row>
    <row r="50290" spans="16:16">
      <c r="P50290" s="2498"/>
    </row>
    <row r="50291" spans="16:16">
      <c r="P50291" s="2498"/>
    </row>
    <row r="50292" spans="16:16">
      <c r="P50292" s="2498"/>
    </row>
    <row r="50293" spans="16:16">
      <c r="P50293" s="2498"/>
    </row>
    <row r="50294" spans="16:16">
      <c r="P50294" s="2498"/>
    </row>
    <row r="50295" spans="16:16">
      <c r="P50295" s="2498"/>
    </row>
    <row r="50296" spans="16:16">
      <c r="P50296" s="2498"/>
    </row>
    <row r="50297" spans="16:16">
      <c r="P50297" s="2498"/>
    </row>
    <row r="50298" spans="16:16">
      <c r="P50298" s="2498"/>
    </row>
    <row r="50299" spans="16:16">
      <c r="P50299" s="2498"/>
    </row>
    <row r="50300" spans="16:16">
      <c r="P50300" s="2498"/>
    </row>
    <row r="50301" spans="16:16">
      <c r="P50301" s="2498"/>
    </row>
    <row r="50302" spans="16:16">
      <c r="P50302" s="2498"/>
    </row>
    <row r="50303" spans="16:16">
      <c r="P50303" s="2498"/>
    </row>
    <row r="50304" spans="16:16">
      <c r="P50304" s="2498"/>
    </row>
    <row r="50305" spans="16:16">
      <c r="P50305" s="2498"/>
    </row>
    <row r="50306" spans="16:16">
      <c r="P50306" s="2498"/>
    </row>
    <row r="50307" spans="16:16">
      <c r="P50307" s="2498"/>
    </row>
    <row r="50308" spans="16:16">
      <c r="P50308" s="2498"/>
    </row>
    <row r="50309" spans="16:16">
      <c r="P50309" s="2498"/>
    </row>
    <row r="50310" spans="16:16">
      <c r="P50310" s="2498"/>
    </row>
    <row r="50311" spans="16:16">
      <c r="P50311" s="2498"/>
    </row>
    <row r="50312" spans="16:16">
      <c r="P50312" s="2498"/>
    </row>
    <row r="50313" spans="16:16">
      <c r="P50313" s="2498"/>
    </row>
    <row r="50314" spans="16:16">
      <c r="P50314" s="2498"/>
    </row>
    <row r="50315" spans="16:16">
      <c r="P50315" s="2498"/>
    </row>
    <row r="50316" spans="16:16">
      <c r="P50316" s="2498"/>
    </row>
    <row r="50317" spans="16:16">
      <c r="P50317" s="2498"/>
    </row>
    <row r="50318" spans="16:16">
      <c r="P50318" s="2498"/>
    </row>
    <row r="50319" spans="16:16">
      <c r="P50319" s="2498"/>
    </row>
    <row r="50320" spans="16:16">
      <c r="P50320" s="2498"/>
    </row>
    <row r="50321" spans="16:16">
      <c r="P50321" s="2498"/>
    </row>
    <row r="50322" spans="16:16">
      <c r="P50322" s="2498"/>
    </row>
    <row r="50323" spans="16:16">
      <c r="P50323" s="2498"/>
    </row>
    <row r="50324" spans="16:16">
      <c r="P50324" s="2498"/>
    </row>
    <row r="50325" spans="16:16">
      <c r="P50325" s="2498"/>
    </row>
    <row r="50326" spans="16:16">
      <c r="P50326" s="2498"/>
    </row>
    <row r="50327" spans="16:16">
      <c r="P50327" s="2498"/>
    </row>
    <row r="50328" spans="16:16">
      <c r="P50328" s="2498"/>
    </row>
    <row r="50329" spans="16:16">
      <c r="P50329" s="2498"/>
    </row>
    <row r="50330" spans="16:16">
      <c r="P50330" s="2498"/>
    </row>
    <row r="50331" spans="16:16">
      <c r="P50331" s="2498"/>
    </row>
    <row r="50332" spans="16:16">
      <c r="P50332" s="2498"/>
    </row>
    <row r="50333" spans="16:16">
      <c r="P50333" s="2498"/>
    </row>
    <row r="50334" spans="16:16">
      <c r="P50334" s="2498"/>
    </row>
    <row r="50335" spans="16:16">
      <c r="P50335" s="2498"/>
    </row>
    <row r="50336" spans="16:16">
      <c r="P50336" s="2498"/>
    </row>
    <row r="50337" spans="16:16">
      <c r="P50337" s="2498"/>
    </row>
    <row r="50338" spans="16:16">
      <c r="P50338" s="2498"/>
    </row>
    <row r="50339" spans="16:16">
      <c r="P50339" s="2498"/>
    </row>
    <row r="50340" spans="16:16">
      <c r="P50340" s="2498"/>
    </row>
    <row r="50341" spans="16:16">
      <c r="P50341" s="2498"/>
    </row>
    <row r="50342" spans="16:16">
      <c r="P50342" s="2498"/>
    </row>
    <row r="50343" spans="16:16">
      <c r="P50343" s="2498"/>
    </row>
    <row r="50344" spans="16:16">
      <c r="P50344" s="2498"/>
    </row>
    <row r="50345" spans="16:16">
      <c r="P50345" s="2498"/>
    </row>
    <row r="50346" spans="16:16">
      <c r="P50346" s="2498"/>
    </row>
    <row r="50347" spans="16:16">
      <c r="P50347" s="2498"/>
    </row>
    <row r="50348" spans="16:16">
      <c r="P50348" s="2498"/>
    </row>
    <row r="50349" spans="16:16">
      <c r="P50349" s="2498"/>
    </row>
    <row r="50350" spans="16:16">
      <c r="P50350" s="2498"/>
    </row>
    <row r="50351" spans="16:16">
      <c r="P50351" s="2498"/>
    </row>
    <row r="50352" spans="16:16">
      <c r="P50352" s="2498"/>
    </row>
    <row r="50353" spans="16:16">
      <c r="P50353" s="2498"/>
    </row>
    <row r="50354" spans="16:16">
      <c r="P50354" s="2498"/>
    </row>
    <row r="50355" spans="16:16">
      <c r="P50355" s="2498"/>
    </row>
    <row r="50356" spans="16:16">
      <c r="P50356" s="2498"/>
    </row>
    <row r="50357" spans="16:16">
      <c r="P50357" s="2498"/>
    </row>
    <row r="50358" spans="16:16">
      <c r="P50358" s="2498"/>
    </row>
    <row r="50359" spans="16:16">
      <c r="P50359" s="2498"/>
    </row>
    <row r="50360" spans="16:16">
      <c r="P50360" s="2498"/>
    </row>
    <row r="50361" spans="16:16">
      <c r="P50361" s="2498"/>
    </row>
    <row r="50362" spans="16:16">
      <c r="P50362" s="2498"/>
    </row>
    <row r="50363" spans="16:16">
      <c r="P50363" s="2498"/>
    </row>
    <row r="50364" spans="16:16">
      <c r="P50364" s="2498"/>
    </row>
    <row r="50365" spans="16:16">
      <c r="P50365" s="2498"/>
    </row>
    <row r="50366" spans="16:16">
      <c r="P50366" s="2498"/>
    </row>
    <row r="50367" spans="16:16">
      <c r="P50367" s="2498"/>
    </row>
    <row r="50368" spans="16:16">
      <c r="P50368" s="2498"/>
    </row>
    <row r="50369" spans="16:16">
      <c r="P50369" s="2498"/>
    </row>
    <row r="50370" spans="16:16">
      <c r="P50370" s="2498"/>
    </row>
    <row r="50371" spans="16:16">
      <c r="P50371" s="2498"/>
    </row>
    <row r="50372" spans="16:16">
      <c r="P50372" s="2498"/>
    </row>
    <row r="50373" spans="16:16">
      <c r="P50373" s="2498"/>
    </row>
    <row r="50374" spans="16:16">
      <c r="P50374" s="2498"/>
    </row>
    <row r="50375" spans="16:16">
      <c r="P50375" s="2498"/>
    </row>
    <row r="50376" spans="16:16">
      <c r="P50376" s="2498"/>
    </row>
    <row r="50377" spans="16:16">
      <c r="P50377" s="2498"/>
    </row>
    <row r="50378" spans="16:16">
      <c r="P50378" s="2498"/>
    </row>
    <row r="50379" spans="16:16">
      <c r="P50379" s="2498"/>
    </row>
    <row r="50380" spans="16:16">
      <c r="P50380" s="2498"/>
    </row>
    <row r="50381" spans="16:16">
      <c r="P50381" s="2498"/>
    </row>
    <row r="50382" spans="16:16">
      <c r="P50382" s="2498"/>
    </row>
    <row r="50383" spans="16:16">
      <c r="P50383" s="2498"/>
    </row>
    <row r="50384" spans="16:16">
      <c r="P50384" s="2498"/>
    </row>
    <row r="50385" spans="16:16">
      <c r="P50385" s="2498"/>
    </row>
    <row r="50386" spans="16:16">
      <c r="P50386" s="2498"/>
    </row>
    <row r="50387" spans="16:16">
      <c r="P50387" s="2498"/>
    </row>
    <row r="50388" spans="16:16">
      <c r="P50388" s="2498"/>
    </row>
    <row r="50389" spans="16:16">
      <c r="P50389" s="2498"/>
    </row>
    <row r="50390" spans="16:16">
      <c r="P50390" s="2498"/>
    </row>
    <row r="50391" spans="16:16">
      <c r="P50391" s="2498"/>
    </row>
    <row r="50392" spans="16:16">
      <c r="P50392" s="2498"/>
    </row>
    <row r="50393" spans="16:16">
      <c r="P50393" s="2498"/>
    </row>
    <row r="50394" spans="16:16">
      <c r="P50394" s="2498"/>
    </row>
    <row r="50395" spans="16:16">
      <c r="P50395" s="2498"/>
    </row>
    <row r="50396" spans="16:16">
      <c r="P50396" s="2498"/>
    </row>
    <row r="50397" spans="16:16">
      <c r="P50397" s="2498"/>
    </row>
    <row r="50398" spans="16:16">
      <c r="P50398" s="2498"/>
    </row>
    <row r="50399" spans="16:16">
      <c r="P50399" s="2498"/>
    </row>
    <row r="50400" spans="16:16">
      <c r="P50400" s="2498"/>
    </row>
    <row r="50401" spans="16:16">
      <c r="P50401" s="2498"/>
    </row>
    <row r="50402" spans="16:16">
      <c r="P50402" s="2498"/>
    </row>
    <row r="50403" spans="16:16">
      <c r="P50403" s="2498"/>
    </row>
    <row r="50404" spans="16:16">
      <c r="P50404" s="2498"/>
    </row>
    <row r="50405" spans="16:16">
      <c r="P50405" s="2498"/>
    </row>
    <row r="50406" spans="16:16">
      <c r="P50406" s="2498"/>
    </row>
    <row r="50407" spans="16:16">
      <c r="P50407" s="2498"/>
    </row>
    <row r="50408" spans="16:16">
      <c r="P50408" s="2498"/>
    </row>
    <row r="50409" spans="16:16">
      <c r="P50409" s="2498"/>
    </row>
    <row r="50410" spans="16:16">
      <c r="P50410" s="2498"/>
    </row>
    <row r="50411" spans="16:16">
      <c r="P50411" s="2498"/>
    </row>
    <row r="50412" spans="16:16">
      <c r="P50412" s="2498"/>
    </row>
    <row r="50413" spans="16:16">
      <c r="P50413" s="2498"/>
    </row>
    <row r="50414" spans="16:16">
      <c r="P50414" s="2498"/>
    </row>
    <row r="50415" spans="16:16">
      <c r="P50415" s="2498"/>
    </row>
    <row r="50416" spans="16:16">
      <c r="P50416" s="2498"/>
    </row>
    <row r="50417" spans="16:16">
      <c r="P50417" s="2498"/>
    </row>
    <row r="50418" spans="16:16">
      <c r="P50418" s="2498"/>
    </row>
    <row r="50419" spans="16:16">
      <c r="P50419" s="2498"/>
    </row>
    <row r="50420" spans="16:16">
      <c r="P50420" s="2498"/>
    </row>
    <row r="50421" spans="16:16">
      <c r="P50421" s="2498"/>
    </row>
    <row r="50422" spans="16:16">
      <c r="P50422" s="2498"/>
    </row>
    <row r="50423" spans="16:16">
      <c r="P50423" s="2498"/>
    </row>
    <row r="50424" spans="16:16">
      <c r="P50424" s="2498"/>
    </row>
    <row r="50425" spans="16:16">
      <c r="P50425" s="2498"/>
    </row>
    <row r="50426" spans="16:16">
      <c r="P50426" s="2498"/>
    </row>
    <row r="50427" spans="16:16">
      <c r="P50427" s="2498"/>
    </row>
    <row r="50428" spans="16:16">
      <c r="P50428" s="2498"/>
    </row>
    <row r="50429" spans="16:16">
      <c r="P50429" s="2498"/>
    </row>
    <row r="50430" spans="16:16">
      <c r="P50430" s="2498"/>
    </row>
    <row r="50431" spans="16:16">
      <c r="P50431" s="2498"/>
    </row>
    <row r="50432" spans="16:16">
      <c r="P50432" s="2498"/>
    </row>
    <row r="50433" spans="16:16">
      <c r="P50433" s="2498"/>
    </row>
    <row r="50434" spans="16:16">
      <c r="P50434" s="2498"/>
    </row>
    <row r="50435" spans="16:16">
      <c r="P50435" s="2498"/>
    </row>
    <row r="50436" spans="16:16">
      <c r="P50436" s="2498"/>
    </row>
    <row r="50437" spans="16:16">
      <c r="P50437" s="2498"/>
    </row>
    <row r="50438" spans="16:16">
      <c r="P50438" s="2498"/>
    </row>
    <row r="50439" spans="16:16">
      <c r="P50439" s="2498"/>
    </row>
    <row r="50440" spans="16:16">
      <c r="P50440" s="2498"/>
    </row>
    <row r="50441" spans="16:16">
      <c r="P50441" s="2498"/>
    </row>
    <row r="50442" spans="16:16">
      <c r="P50442" s="2498"/>
    </row>
    <row r="50443" spans="16:16">
      <c r="P50443" s="2498"/>
    </row>
    <row r="50444" spans="16:16">
      <c r="P50444" s="2498"/>
    </row>
    <row r="50445" spans="16:16">
      <c r="P50445" s="2498"/>
    </row>
    <row r="50446" spans="16:16">
      <c r="P50446" s="2498"/>
    </row>
    <row r="50447" spans="16:16">
      <c r="P50447" s="2498"/>
    </row>
    <row r="50448" spans="16:16">
      <c r="P50448" s="2498"/>
    </row>
    <row r="50449" spans="16:16">
      <c r="P50449" s="2498"/>
    </row>
    <row r="50450" spans="16:16">
      <c r="P50450" s="2498"/>
    </row>
    <row r="50451" spans="16:16">
      <c r="P50451" s="2498"/>
    </row>
    <row r="50452" spans="16:16">
      <c r="P50452" s="2498"/>
    </row>
    <row r="50453" spans="16:16">
      <c r="P50453" s="2498"/>
    </row>
    <row r="50454" spans="16:16">
      <c r="P50454" s="2498"/>
    </row>
    <row r="50455" spans="16:16">
      <c r="P50455" s="2498"/>
    </row>
    <row r="50456" spans="16:16">
      <c r="P50456" s="2498"/>
    </row>
    <row r="50457" spans="16:16">
      <c r="P50457" s="2498"/>
    </row>
    <row r="50458" spans="16:16">
      <c r="P50458" s="2498"/>
    </row>
    <row r="50459" spans="16:16">
      <c r="P50459" s="2498"/>
    </row>
    <row r="50460" spans="16:16">
      <c r="P50460" s="2498"/>
    </row>
    <row r="50461" spans="16:16">
      <c r="P50461" s="2498"/>
    </row>
    <row r="50462" spans="16:16">
      <c r="P50462" s="2498"/>
    </row>
    <row r="50463" spans="16:16">
      <c r="P50463" s="2498"/>
    </row>
    <row r="50464" spans="16:16">
      <c r="P50464" s="2498"/>
    </row>
    <row r="50465" spans="16:16">
      <c r="P50465" s="2498"/>
    </row>
    <row r="50466" spans="16:16">
      <c r="P50466" s="2498"/>
    </row>
    <row r="50467" spans="16:16">
      <c r="P50467" s="2498"/>
    </row>
    <row r="50468" spans="16:16">
      <c r="P50468" s="2498"/>
    </row>
    <row r="50469" spans="16:16">
      <c r="P50469" s="2498"/>
    </row>
    <row r="50470" spans="16:16">
      <c r="P50470" s="2498"/>
    </row>
    <row r="50471" spans="16:16">
      <c r="P50471" s="2498"/>
    </row>
    <row r="50472" spans="16:16">
      <c r="P50472" s="2498"/>
    </row>
    <row r="50473" spans="16:16">
      <c r="P50473" s="2498"/>
    </row>
    <row r="50474" spans="16:16">
      <c r="P50474" s="2498"/>
    </row>
    <row r="50475" spans="16:16">
      <c r="P50475" s="2498"/>
    </row>
    <row r="50476" spans="16:16">
      <c r="P50476" s="2498"/>
    </row>
    <row r="50477" spans="16:16">
      <c r="P50477" s="2498"/>
    </row>
    <row r="50478" spans="16:16">
      <c r="P50478" s="2498"/>
    </row>
    <row r="50479" spans="16:16">
      <c r="P50479" s="2498"/>
    </row>
    <row r="50480" spans="16:16">
      <c r="P50480" s="2498"/>
    </row>
    <row r="50481" spans="16:16">
      <c r="P50481" s="2498"/>
    </row>
    <row r="50482" spans="16:16">
      <c r="P50482" s="2498"/>
    </row>
    <row r="50483" spans="16:16">
      <c r="P50483" s="2498"/>
    </row>
    <row r="50484" spans="16:16">
      <c r="P50484" s="2498"/>
    </row>
    <row r="50485" spans="16:16">
      <c r="P50485" s="2498"/>
    </row>
    <row r="50486" spans="16:16">
      <c r="P50486" s="2498"/>
    </row>
    <row r="50487" spans="16:16">
      <c r="P50487" s="2498"/>
    </row>
    <row r="50488" spans="16:16">
      <c r="P50488" s="2498"/>
    </row>
    <row r="50489" spans="16:16">
      <c r="P50489" s="2498"/>
    </row>
    <row r="50490" spans="16:16">
      <c r="P50490" s="2498"/>
    </row>
    <row r="50491" spans="16:16">
      <c r="P50491" s="2498"/>
    </row>
    <row r="50492" spans="16:16">
      <c r="P50492" s="2498"/>
    </row>
    <row r="50493" spans="16:16">
      <c r="P50493" s="2498"/>
    </row>
    <row r="50494" spans="16:16">
      <c r="P50494" s="2498"/>
    </row>
    <row r="50495" spans="16:16">
      <c r="P50495" s="2498"/>
    </row>
    <row r="50496" spans="16:16">
      <c r="P50496" s="2498"/>
    </row>
    <row r="50497" spans="16:16">
      <c r="P50497" s="2498"/>
    </row>
    <row r="50498" spans="16:16">
      <c r="P50498" s="2498"/>
    </row>
    <row r="50499" spans="16:16">
      <c r="P50499" s="2498"/>
    </row>
    <row r="50500" spans="16:16">
      <c r="P50500" s="2498"/>
    </row>
    <row r="50501" spans="16:16">
      <c r="P50501" s="2498"/>
    </row>
    <row r="50502" spans="16:16">
      <c r="P50502" s="2498"/>
    </row>
    <row r="50503" spans="16:16">
      <c r="P50503" s="2498"/>
    </row>
    <row r="50504" spans="16:16">
      <c r="P50504" s="2498"/>
    </row>
    <row r="50505" spans="16:16">
      <c r="P50505" s="2498"/>
    </row>
    <row r="50506" spans="16:16">
      <c r="P50506" s="2498"/>
    </row>
    <row r="50507" spans="16:16">
      <c r="P50507" s="2498"/>
    </row>
    <row r="50508" spans="16:16">
      <c r="P50508" s="2498"/>
    </row>
    <row r="50509" spans="16:16">
      <c r="P50509" s="2498"/>
    </row>
    <row r="50510" spans="16:16">
      <c r="P50510" s="2498"/>
    </row>
    <row r="50511" spans="16:16">
      <c r="P50511" s="2498"/>
    </row>
    <row r="50512" spans="16:16">
      <c r="P50512" s="2498"/>
    </row>
    <row r="50513" spans="16:16">
      <c r="P50513" s="2498"/>
    </row>
    <row r="50514" spans="16:16">
      <c r="P50514" s="2498"/>
    </row>
    <row r="50515" spans="16:16">
      <c r="P50515" s="2498"/>
    </row>
    <row r="50516" spans="16:16">
      <c r="P50516" s="2498"/>
    </row>
    <row r="50517" spans="16:16">
      <c r="P50517" s="2498"/>
    </row>
    <row r="50518" spans="16:16">
      <c r="P50518" s="2498"/>
    </row>
    <row r="50519" spans="16:16">
      <c r="P50519" s="2498"/>
    </row>
    <row r="50520" spans="16:16">
      <c r="P50520" s="2498"/>
    </row>
    <row r="50521" spans="16:16">
      <c r="P50521" s="2498"/>
    </row>
    <row r="50522" spans="16:16">
      <c r="P50522" s="2498"/>
    </row>
    <row r="50523" spans="16:16">
      <c r="P50523" s="2498"/>
    </row>
    <row r="50524" spans="16:16">
      <c r="P50524" s="2498"/>
    </row>
    <row r="50525" spans="16:16">
      <c r="P50525" s="2498"/>
    </row>
    <row r="50526" spans="16:16">
      <c r="P50526" s="2498"/>
    </row>
    <row r="50527" spans="16:16">
      <c r="P50527" s="2498"/>
    </row>
    <row r="50528" spans="16:16">
      <c r="P50528" s="2498"/>
    </row>
    <row r="50529" spans="16:16">
      <c r="P50529" s="2498"/>
    </row>
    <row r="50530" spans="16:16">
      <c r="P50530" s="2498"/>
    </row>
    <row r="50531" spans="16:16">
      <c r="P50531" s="2498"/>
    </row>
    <row r="50532" spans="16:16">
      <c r="P50532" s="2498"/>
    </row>
    <row r="50533" spans="16:16">
      <c r="P50533" s="2498"/>
    </row>
    <row r="50534" spans="16:16">
      <c r="P50534" s="2498"/>
    </row>
    <row r="50535" spans="16:16">
      <c r="P50535" s="2498"/>
    </row>
    <row r="50536" spans="16:16">
      <c r="P50536" s="2498"/>
    </row>
    <row r="50537" spans="16:16">
      <c r="P50537" s="2498"/>
    </row>
    <row r="50538" spans="16:16">
      <c r="P50538" s="2498"/>
    </row>
    <row r="50539" spans="16:16">
      <c r="P50539" s="2498"/>
    </row>
    <row r="50540" spans="16:16">
      <c r="P50540" s="2498"/>
    </row>
    <row r="50541" spans="16:16">
      <c r="P50541" s="2498"/>
    </row>
    <row r="50542" spans="16:16">
      <c r="P50542" s="2498"/>
    </row>
    <row r="50543" spans="16:16">
      <c r="P50543" s="2498"/>
    </row>
    <row r="50544" spans="16:16">
      <c r="P50544" s="2498"/>
    </row>
    <row r="50545" spans="16:16">
      <c r="P50545" s="2498"/>
    </row>
    <row r="50546" spans="16:16">
      <c r="P50546" s="2498"/>
    </row>
    <row r="50547" spans="16:16">
      <c r="P50547" s="2498"/>
    </row>
    <row r="50548" spans="16:16">
      <c r="P50548" s="2498"/>
    </row>
    <row r="50549" spans="16:16">
      <c r="P50549" s="2498"/>
    </row>
    <row r="50550" spans="16:16">
      <c r="P50550" s="2498"/>
    </row>
    <row r="50551" spans="16:16">
      <c r="P50551" s="2498"/>
    </row>
    <row r="50552" spans="16:16">
      <c r="P50552" s="2498"/>
    </row>
    <row r="50553" spans="16:16">
      <c r="P50553" s="2498"/>
    </row>
    <row r="50554" spans="16:16">
      <c r="P50554" s="2498"/>
    </row>
    <row r="50555" spans="16:16">
      <c r="P50555" s="2498"/>
    </row>
    <row r="50556" spans="16:16">
      <c r="P50556" s="2498"/>
    </row>
    <row r="50557" spans="16:16">
      <c r="P50557" s="2498"/>
    </row>
    <row r="50558" spans="16:16">
      <c r="P50558" s="2498"/>
    </row>
    <row r="50559" spans="16:16">
      <c r="P50559" s="2498"/>
    </row>
    <row r="50560" spans="16:16">
      <c r="P50560" s="2498"/>
    </row>
    <row r="50561" spans="16:16">
      <c r="P50561" s="2498"/>
    </row>
    <row r="50562" spans="16:16">
      <c r="P50562" s="2498"/>
    </row>
    <row r="50563" spans="16:16">
      <c r="P50563" s="2498"/>
    </row>
    <row r="50564" spans="16:16">
      <c r="P50564" s="2498"/>
    </row>
    <row r="50565" spans="16:16">
      <c r="P50565" s="2498"/>
    </row>
    <row r="50566" spans="16:16">
      <c r="P50566" s="2498"/>
    </row>
    <row r="50567" spans="16:16">
      <c r="P50567" s="2498"/>
    </row>
    <row r="50568" spans="16:16">
      <c r="P50568" s="2498"/>
    </row>
    <row r="50569" spans="16:16">
      <c r="P50569" s="2498"/>
    </row>
    <row r="50570" spans="16:16">
      <c r="P50570" s="2498"/>
    </row>
    <row r="50571" spans="16:16">
      <c r="P50571" s="2498"/>
    </row>
    <row r="50572" spans="16:16">
      <c r="P50572" s="2498"/>
    </row>
    <row r="50573" spans="16:16">
      <c r="P50573" s="2498"/>
    </row>
    <row r="50574" spans="16:16">
      <c r="P50574" s="2498"/>
    </row>
    <row r="50575" spans="16:16">
      <c r="P50575" s="2498"/>
    </row>
    <row r="50576" spans="16:16">
      <c r="P50576" s="2498"/>
    </row>
    <row r="50577" spans="16:16">
      <c r="P50577" s="2498"/>
    </row>
    <row r="50578" spans="16:16">
      <c r="P50578" s="2498"/>
    </row>
    <row r="50579" spans="16:16">
      <c r="P50579" s="2498"/>
    </row>
    <row r="50580" spans="16:16">
      <c r="P50580" s="2498"/>
    </row>
    <row r="50581" spans="16:16">
      <c r="P50581" s="2498"/>
    </row>
    <row r="50582" spans="16:16">
      <c r="P50582" s="2498"/>
    </row>
    <row r="50583" spans="16:16">
      <c r="P50583" s="2498"/>
    </row>
    <row r="50584" spans="16:16">
      <c r="P50584" s="2498"/>
    </row>
    <row r="50585" spans="16:16">
      <c r="P50585" s="2498"/>
    </row>
    <row r="50586" spans="16:16">
      <c r="P50586" s="2498"/>
    </row>
    <row r="50587" spans="16:16">
      <c r="P50587" s="2498"/>
    </row>
    <row r="50588" spans="16:16">
      <c r="P50588" s="2498"/>
    </row>
    <row r="50589" spans="16:16">
      <c r="P50589" s="2498"/>
    </row>
    <row r="50590" spans="16:16">
      <c r="P50590" s="2498"/>
    </row>
    <row r="50591" spans="16:16">
      <c r="P50591" s="2498"/>
    </row>
    <row r="50592" spans="16:16">
      <c r="P50592" s="2498"/>
    </row>
    <row r="50593" spans="16:16">
      <c r="P50593" s="2498"/>
    </row>
    <row r="50594" spans="16:16">
      <c r="P50594" s="2498"/>
    </row>
    <row r="50595" spans="16:16">
      <c r="P50595" s="2498"/>
    </row>
    <row r="50596" spans="16:16">
      <c r="P50596" s="2498"/>
    </row>
    <row r="50597" spans="16:16">
      <c r="P50597" s="2498"/>
    </row>
    <row r="50598" spans="16:16">
      <c r="P50598" s="2498"/>
    </row>
    <row r="50599" spans="16:16">
      <c r="P50599" s="2498"/>
    </row>
    <row r="50600" spans="16:16">
      <c r="P50600" s="2498"/>
    </row>
    <row r="50601" spans="16:16">
      <c r="P50601" s="2498"/>
    </row>
    <row r="50602" spans="16:16">
      <c r="P50602" s="2498"/>
    </row>
    <row r="50603" spans="16:16">
      <c r="P50603" s="2498"/>
    </row>
    <row r="50604" spans="16:16">
      <c r="P50604" s="2498"/>
    </row>
    <row r="50605" spans="16:16">
      <c r="P50605" s="2498"/>
    </row>
    <row r="50606" spans="16:16">
      <c r="P50606" s="2498"/>
    </row>
    <row r="50607" spans="16:16">
      <c r="P50607" s="2498"/>
    </row>
    <row r="50608" spans="16:16">
      <c r="P50608" s="2498"/>
    </row>
    <row r="50609" spans="16:16">
      <c r="P50609" s="2498"/>
    </row>
    <row r="50610" spans="16:16">
      <c r="P50610" s="2498"/>
    </row>
    <row r="50611" spans="16:16">
      <c r="P50611" s="2498"/>
    </row>
    <row r="50612" spans="16:16">
      <c r="P50612" s="2498"/>
    </row>
    <row r="50613" spans="16:16">
      <c r="P50613" s="2498"/>
    </row>
    <row r="50614" spans="16:16">
      <c r="P50614" s="2498"/>
    </row>
    <row r="50615" spans="16:16">
      <c r="P50615" s="2498"/>
    </row>
    <row r="50616" spans="16:16">
      <c r="P50616" s="2498"/>
    </row>
    <row r="50617" spans="16:16">
      <c r="P50617" s="2498"/>
    </row>
    <row r="50618" spans="16:16">
      <c r="P50618" s="2498"/>
    </row>
    <row r="50619" spans="16:16">
      <c r="P50619" s="2498"/>
    </row>
    <row r="50620" spans="16:16">
      <c r="P50620" s="2498"/>
    </row>
    <row r="50621" spans="16:16">
      <c r="P50621" s="2498"/>
    </row>
    <row r="50622" spans="16:16">
      <c r="P50622" s="2498"/>
    </row>
    <row r="50623" spans="16:16">
      <c r="P50623" s="2498"/>
    </row>
    <row r="50624" spans="16:16">
      <c r="P50624" s="2498"/>
    </row>
    <row r="50625" spans="16:16">
      <c r="P50625" s="2498"/>
    </row>
    <row r="50626" spans="16:16">
      <c r="P50626" s="2498"/>
    </row>
    <row r="50627" spans="16:16">
      <c r="P50627" s="2498"/>
    </row>
    <row r="50628" spans="16:16">
      <c r="P50628" s="2498"/>
    </row>
    <row r="50629" spans="16:16">
      <c r="P50629" s="2498"/>
    </row>
    <row r="50630" spans="16:16">
      <c r="P50630" s="2498"/>
    </row>
    <row r="50631" spans="16:16">
      <c r="P50631" s="2498"/>
    </row>
    <row r="50632" spans="16:16">
      <c r="P50632" s="2498"/>
    </row>
    <row r="50633" spans="16:16">
      <c r="P50633" s="2498"/>
    </row>
    <row r="50634" spans="16:16">
      <c r="P50634" s="2498"/>
    </row>
    <row r="50635" spans="16:16">
      <c r="P50635" s="2498"/>
    </row>
    <row r="50636" spans="16:16">
      <c r="P50636" s="2498"/>
    </row>
    <row r="50637" spans="16:16">
      <c r="P50637" s="2498"/>
    </row>
    <row r="50638" spans="16:16">
      <c r="P50638" s="2498"/>
    </row>
    <row r="50639" spans="16:16">
      <c r="P50639" s="2498"/>
    </row>
    <row r="50640" spans="16:16">
      <c r="P50640" s="2498"/>
    </row>
    <row r="50641" spans="16:16">
      <c r="P50641" s="2498"/>
    </row>
    <row r="50642" spans="16:16">
      <c r="P50642" s="2498"/>
    </row>
    <row r="50643" spans="16:16">
      <c r="P50643" s="2498"/>
    </row>
    <row r="50644" spans="16:16">
      <c r="P50644" s="2498"/>
    </row>
    <row r="50645" spans="16:16">
      <c r="P50645" s="2498"/>
    </row>
    <row r="50646" spans="16:16">
      <c r="P50646" s="2498"/>
    </row>
    <row r="50647" spans="16:16">
      <c r="P50647" s="2498"/>
    </row>
    <row r="50648" spans="16:16">
      <c r="P50648" s="2498"/>
    </row>
    <row r="50649" spans="16:16">
      <c r="P50649" s="2498"/>
    </row>
    <row r="50650" spans="16:16">
      <c r="P50650" s="2498"/>
    </row>
    <row r="50651" spans="16:16">
      <c r="P50651" s="2498"/>
    </row>
    <row r="50652" spans="16:16">
      <c r="P50652" s="2498"/>
    </row>
    <row r="50653" spans="16:16">
      <c r="P50653" s="2498"/>
    </row>
    <row r="50654" spans="16:16">
      <c r="P50654" s="2498"/>
    </row>
    <row r="50655" spans="16:16">
      <c r="P50655" s="2498"/>
    </row>
    <row r="50656" spans="16:16">
      <c r="P50656" s="2498"/>
    </row>
    <row r="50657" spans="16:16">
      <c r="P50657" s="2498"/>
    </row>
    <row r="50658" spans="16:16">
      <c r="P50658" s="2498"/>
    </row>
    <row r="50659" spans="16:16">
      <c r="P50659" s="2498"/>
    </row>
    <row r="50660" spans="16:16">
      <c r="P50660" s="2498"/>
    </row>
    <row r="50661" spans="16:16">
      <c r="P50661" s="2498"/>
    </row>
    <row r="50662" spans="16:16">
      <c r="P50662" s="2498"/>
    </row>
    <row r="50663" spans="16:16">
      <c r="P50663" s="2498"/>
    </row>
    <row r="50664" spans="16:16">
      <c r="P50664" s="2498"/>
    </row>
    <row r="50665" spans="16:16">
      <c r="P50665" s="2498"/>
    </row>
    <row r="50666" spans="16:16">
      <c r="P50666" s="2498"/>
    </row>
    <row r="50667" spans="16:16">
      <c r="P50667" s="2498"/>
    </row>
    <row r="50668" spans="16:16">
      <c r="P50668" s="2498"/>
    </row>
    <row r="50669" spans="16:16">
      <c r="P50669" s="2498"/>
    </row>
    <row r="50670" spans="16:16">
      <c r="P50670" s="2498"/>
    </row>
    <row r="50671" spans="16:16">
      <c r="P50671" s="2498"/>
    </row>
    <row r="50672" spans="16:16">
      <c r="P50672" s="2498"/>
    </row>
    <row r="50673" spans="16:16">
      <c r="P50673" s="2498"/>
    </row>
    <row r="50674" spans="16:16">
      <c r="P50674" s="2498"/>
    </row>
    <row r="50675" spans="16:16">
      <c r="P50675" s="2498"/>
    </row>
    <row r="50676" spans="16:16">
      <c r="P50676" s="2498"/>
    </row>
    <row r="50677" spans="16:16">
      <c r="P50677" s="2498"/>
    </row>
    <row r="50678" spans="16:16">
      <c r="P50678" s="2498"/>
    </row>
    <row r="50679" spans="16:16">
      <c r="P50679" s="2498"/>
    </row>
    <row r="50680" spans="16:16">
      <c r="P50680" s="2498"/>
    </row>
    <row r="50681" spans="16:16">
      <c r="P50681" s="2498"/>
    </row>
    <row r="50682" spans="16:16">
      <c r="P50682" s="2498"/>
    </row>
    <row r="50683" spans="16:16">
      <c r="P50683" s="2498"/>
    </row>
    <row r="50684" spans="16:16">
      <c r="P50684" s="2498"/>
    </row>
    <row r="50685" spans="16:16">
      <c r="P50685" s="2498"/>
    </row>
    <row r="50686" spans="16:16">
      <c r="P50686" s="2498"/>
    </row>
    <row r="50687" spans="16:16">
      <c r="P50687" s="2498"/>
    </row>
    <row r="50688" spans="16:16">
      <c r="P50688" s="2498"/>
    </row>
    <row r="50689" spans="16:16">
      <c r="P50689" s="2498"/>
    </row>
    <row r="50690" spans="16:16">
      <c r="P50690" s="2498"/>
    </row>
    <row r="50691" spans="16:16">
      <c r="P50691" s="2498"/>
    </row>
    <row r="50692" spans="16:16">
      <c r="P50692" s="2498"/>
    </row>
    <row r="50693" spans="16:16">
      <c r="P50693" s="2498"/>
    </row>
    <row r="50694" spans="16:16">
      <c r="P50694" s="2498"/>
    </row>
    <row r="50695" spans="16:16">
      <c r="P50695" s="2498"/>
    </row>
    <row r="50696" spans="16:16">
      <c r="P50696" s="2498"/>
    </row>
    <row r="50697" spans="16:16">
      <c r="P50697" s="2498"/>
    </row>
    <row r="50698" spans="16:16">
      <c r="P50698" s="2498"/>
    </row>
    <row r="50699" spans="16:16">
      <c r="P50699" s="2498"/>
    </row>
    <row r="50700" spans="16:16">
      <c r="P50700" s="2498"/>
    </row>
    <row r="50701" spans="16:16">
      <c r="P50701" s="2498"/>
    </row>
    <row r="50702" spans="16:16">
      <c r="P50702" s="2498"/>
    </row>
    <row r="50703" spans="16:16">
      <c r="P50703" s="2498"/>
    </row>
    <row r="50704" spans="16:16">
      <c r="P50704" s="2498"/>
    </row>
    <row r="50705" spans="16:16">
      <c r="P50705" s="2498"/>
    </row>
    <row r="50706" spans="16:16">
      <c r="P50706" s="2498"/>
    </row>
    <row r="50707" spans="16:16">
      <c r="P50707" s="2498"/>
    </row>
    <row r="50708" spans="16:16">
      <c r="P50708" s="2498"/>
    </row>
    <row r="50709" spans="16:16">
      <c r="P50709" s="2498"/>
    </row>
    <row r="50710" spans="16:16">
      <c r="P50710" s="2498"/>
    </row>
    <row r="50711" spans="16:16">
      <c r="P50711" s="2498"/>
    </row>
    <row r="50712" spans="16:16">
      <c r="P50712" s="2498"/>
    </row>
    <row r="50713" spans="16:16">
      <c r="P50713" s="2498"/>
    </row>
    <row r="50714" spans="16:16">
      <c r="P50714" s="2498"/>
    </row>
    <row r="50715" spans="16:16">
      <c r="P50715" s="2498"/>
    </row>
    <row r="50716" spans="16:16">
      <c r="P50716" s="2498"/>
    </row>
    <row r="50717" spans="16:16">
      <c r="P50717" s="2498"/>
    </row>
    <row r="50718" spans="16:16">
      <c r="P50718" s="2498"/>
    </row>
    <row r="50719" spans="16:16">
      <c r="P50719" s="2498"/>
    </row>
    <row r="50720" spans="16:16">
      <c r="P50720" s="2498"/>
    </row>
    <row r="50721" spans="16:16">
      <c r="P50721" s="2498"/>
    </row>
    <row r="50722" spans="16:16">
      <c r="P50722" s="2498"/>
    </row>
    <row r="50723" spans="16:16">
      <c r="P50723" s="2498"/>
    </row>
    <row r="50724" spans="16:16">
      <c r="P50724" s="2498"/>
    </row>
    <row r="50725" spans="16:16">
      <c r="P50725" s="2498"/>
    </row>
    <row r="50726" spans="16:16">
      <c r="P50726" s="2498"/>
    </row>
    <row r="50727" spans="16:16">
      <c r="P50727" s="2498"/>
    </row>
    <row r="50728" spans="16:16">
      <c r="P50728" s="2498"/>
    </row>
    <row r="50729" spans="16:16">
      <c r="P50729" s="2498"/>
    </row>
    <row r="50730" spans="16:16">
      <c r="P50730" s="2498"/>
    </row>
    <row r="50731" spans="16:16">
      <c r="P50731" s="2498"/>
    </row>
    <row r="50732" spans="16:16">
      <c r="P50732" s="2498"/>
    </row>
    <row r="50733" spans="16:16">
      <c r="P50733" s="2498"/>
    </row>
    <row r="50734" spans="16:16">
      <c r="P50734" s="2498"/>
    </row>
    <row r="50735" spans="16:16">
      <c r="P50735" s="2498"/>
    </row>
    <row r="50736" spans="16:16">
      <c r="P50736" s="2498"/>
    </row>
    <row r="50737" spans="16:16">
      <c r="P50737" s="2498"/>
    </row>
    <row r="50738" spans="16:16">
      <c r="P50738" s="2498"/>
    </row>
    <row r="50739" spans="16:16">
      <c r="P50739" s="2498"/>
    </row>
    <row r="50740" spans="16:16">
      <c r="P50740" s="2498"/>
    </row>
    <row r="50741" spans="16:16">
      <c r="P50741" s="2498"/>
    </row>
    <row r="50742" spans="16:16">
      <c r="P50742" s="2498"/>
    </row>
    <row r="50743" spans="16:16">
      <c r="P50743" s="2498"/>
    </row>
    <row r="50744" spans="16:16">
      <c r="P50744" s="2498"/>
    </row>
    <row r="50745" spans="16:16">
      <c r="P50745" s="2498"/>
    </row>
    <row r="50746" spans="16:16">
      <c r="P50746" s="2498"/>
    </row>
    <row r="50747" spans="16:16">
      <c r="P50747" s="2498"/>
    </row>
    <row r="50748" spans="16:16">
      <c r="P50748" s="2498"/>
    </row>
    <row r="50749" spans="16:16">
      <c r="P50749" s="2498"/>
    </row>
    <row r="50750" spans="16:16">
      <c r="P50750" s="2498"/>
    </row>
    <row r="50751" spans="16:16">
      <c r="P50751" s="2498"/>
    </row>
    <row r="50752" spans="16:16">
      <c r="P50752" s="2498"/>
    </row>
    <row r="50753" spans="16:16">
      <c r="P50753" s="2498"/>
    </row>
    <row r="50754" spans="16:16">
      <c r="P50754" s="2498"/>
    </row>
    <row r="50755" spans="16:16">
      <c r="P50755" s="2498"/>
    </row>
    <row r="50756" spans="16:16">
      <c r="P50756" s="2498"/>
    </row>
    <row r="50757" spans="16:16">
      <c r="P50757" s="2498"/>
    </row>
    <row r="50758" spans="16:16">
      <c r="P50758" s="2498"/>
    </row>
    <row r="50759" spans="16:16">
      <c r="P50759" s="2498"/>
    </row>
    <row r="50760" spans="16:16">
      <c r="P50760" s="2498"/>
    </row>
    <row r="50761" spans="16:16">
      <c r="P50761" s="2498"/>
    </row>
    <row r="50762" spans="16:16">
      <c r="P50762" s="2498"/>
    </row>
    <row r="50763" spans="16:16">
      <c r="P50763" s="2498"/>
    </row>
    <row r="50764" spans="16:16">
      <c r="P50764" s="2498"/>
    </row>
    <row r="50765" spans="16:16">
      <c r="P50765" s="2498"/>
    </row>
    <row r="50766" spans="16:16">
      <c r="P50766" s="2498"/>
    </row>
    <row r="50767" spans="16:16">
      <c r="P50767" s="2498"/>
    </row>
    <row r="50768" spans="16:16">
      <c r="P50768" s="2498"/>
    </row>
    <row r="50769" spans="16:16">
      <c r="P50769" s="2498"/>
    </row>
    <row r="50770" spans="16:16">
      <c r="P50770" s="2498"/>
    </row>
    <row r="50771" spans="16:16">
      <c r="P50771" s="2498"/>
    </row>
    <row r="50772" spans="16:16">
      <c r="P50772" s="2498"/>
    </row>
    <row r="50773" spans="16:16">
      <c r="P50773" s="2498"/>
    </row>
    <row r="50774" spans="16:16">
      <c r="P50774" s="2498"/>
    </row>
    <row r="50775" spans="16:16">
      <c r="P50775" s="2498"/>
    </row>
    <row r="50776" spans="16:16">
      <c r="P50776" s="2498"/>
    </row>
    <row r="50777" spans="16:16">
      <c r="P50777" s="2498"/>
    </row>
    <row r="50778" spans="16:16">
      <c r="P50778" s="2498"/>
    </row>
    <row r="50779" spans="16:16">
      <c r="P50779" s="2498"/>
    </row>
    <row r="50780" spans="16:16">
      <c r="P50780" s="2498"/>
    </row>
    <row r="50781" spans="16:16">
      <c r="P50781" s="2498"/>
    </row>
    <row r="50782" spans="16:16">
      <c r="P50782" s="2498"/>
    </row>
    <row r="50783" spans="16:16">
      <c r="P50783" s="2498"/>
    </row>
    <row r="50784" spans="16:16">
      <c r="P50784" s="2498"/>
    </row>
    <row r="50785" spans="16:16">
      <c r="P50785" s="2498"/>
    </row>
    <row r="50786" spans="16:16">
      <c r="P50786" s="2498"/>
    </row>
    <row r="50787" spans="16:16">
      <c r="P50787" s="2498"/>
    </row>
    <row r="50788" spans="16:16">
      <c r="P50788" s="2498"/>
    </row>
    <row r="50789" spans="16:16">
      <c r="P50789" s="2498"/>
    </row>
    <row r="50790" spans="16:16">
      <c r="P50790" s="2498"/>
    </row>
    <row r="50791" spans="16:16">
      <c r="P50791" s="2498"/>
    </row>
    <row r="50792" spans="16:16">
      <c r="P50792" s="2498"/>
    </row>
    <row r="50793" spans="16:16">
      <c r="P50793" s="2498"/>
    </row>
    <row r="50794" spans="16:16">
      <c r="P50794" s="2498"/>
    </row>
    <row r="50795" spans="16:16">
      <c r="P50795" s="2498"/>
    </row>
    <row r="50796" spans="16:16">
      <c r="P50796" s="2498"/>
    </row>
    <row r="50797" spans="16:16">
      <c r="P50797" s="2498"/>
    </row>
    <row r="50798" spans="16:16">
      <c r="P50798" s="2498"/>
    </row>
    <row r="50799" spans="16:16">
      <c r="P50799" s="2498"/>
    </row>
    <row r="50800" spans="16:16">
      <c r="P50800" s="2498"/>
    </row>
    <row r="50801" spans="16:16">
      <c r="P50801" s="2498"/>
    </row>
    <row r="50802" spans="16:16">
      <c r="P50802" s="2498"/>
    </row>
    <row r="50803" spans="16:16">
      <c r="P50803" s="2498"/>
    </row>
    <row r="50804" spans="16:16">
      <c r="P50804" s="2498"/>
    </row>
    <row r="50805" spans="16:16">
      <c r="P50805" s="2498"/>
    </row>
    <row r="50806" spans="16:16">
      <c r="P50806" s="2498"/>
    </row>
    <row r="50807" spans="16:16">
      <c r="P50807" s="2498"/>
    </row>
    <row r="50808" spans="16:16">
      <c r="P50808" s="2498"/>
    </row>
    <row r="50809" spans="16:16">
      <c r="P50809" s="2498"/>
    </row>
    <row r="50810" spans="16:16">
      <c r="P50810" s="2498"/>
    </row>
    <row r="50811" spans="16:16">
      <c r="P50811" s="2498"/>
    </row>
    <row r="50812" spans="16:16">
      <c r="P50812" s="2498"/>
    </row>
    <row r="50813" spans="16:16">
      <c r="P50813" s="2498"/>
    </row>
    <row r="50814" spans="16:16">
      <c r="P50814" s="2498"/>
    </row>
    <row r="50815" spans="16:16">
      <c r="P50815" s="2498"/>
    </row>
    <row r="50816" spans="16:16">
      <c r="P50816" s="2498"/>
    </row>
    <row r="50817" spans="16:16">
      <c r="P50817" s="2498"/>
    </row>
    <row r="50818" spans="16:16">
      <c r="P50818" s="2498"/>
    </row>
    <row r="50819" spans="16:16">
      <c r="P50819" s="2498"/>
    </row>
    <row r="50820" spans="16:16">
      <c r="P50820" s="2498"/>
    </row>
    <row r="50821" spans="16:16">
      <c r="P50821" s="2498"/>
    </row>
    <row r="50822" spans="16:16">
      <c r="P50822" s="2498"/>
    </row>
    <row r="50823" spans="16:16">
      <c r="P50823" s="2498"/>
    </row>
    <row r="50824" spans="16:16">
      <c r="P50824" s="2498"/>
    </row>
    <row r="50825" spans="16:16">
      <c r="P50825" s="2498"/>
    </row>
    <row r="50826" spans="16:16">
      <c r="P50826" s="2498"/>
    </row>
    <row r="50827" spans="16:16">
      <c r="P50827" s="2498"/>
    </row>
    <row r="50828" spans="16:16">
      <c r="P50828" s="2498"/>
    </row>
    <row r="50829" spans="16:16">
      <c r="P50829" s="2498"/>
    </row>
    <row r="50830" spans="16:16">
      <c r="P50830" s="2498"/>
    </row>
    <row r="50831" spans="16:16">
      <c r="P50831" s="2498"/>
    </row>
    <row r="50832" spans="16:16">
      <c r="P50832" s="2498"/>
    </row>
    <row r="50833" spans="16:16">
      <c r="P50833" s="2498"/>
    </row>
    <row r="50834" spans="16:16">
      <c r="P50834" s="2498"/>
    </row>
    <row r="50835" spans="16:16">
      <c r="P50835" s="2498"/>
    </row>
    <row r="50836" spans="16:16">
      <c r="P50836" s="2498"/>
    </row>
    <row r="50837" spans="16:16">
      <c r="P50837" s="2498"/>
    </row>
    <row r="50838" spans="16:16">
      <c r="P50838" s="2498"/>
    </row>
    <row r="50839" spans="16:16">
      <c r="P50839" s="2498"/>
    </row>
    <row r="50840" spans="16:16">
      <c r="P50840" s="2498"/>
    </row>
    <row r="50841" spans="16:16">
      <c r="P50841" s="2498"/>
    </row>
    <row r="50842" spans="16:16">
      <c r="P50842" s="2498"/>
    </row>
    <row r="50843" spans="16:16">
      <c r="P50843" s="2498"/>
    </row>
    <row r="50844" spans="16:16">
      <c r="P50844" s="2498"/>
    </row>
    <row r="50845" spans="16:16">
      <c r="P50845" s="2498"/>
    </row>
    <row r="50846" spans="16:16">
      <c r="P50846" s="2498"/>
    </row>
    <row r="50847" spans="16:16">
      <c r="P50847" s="2498"/>
    </row>
    <row r="50848" spans="16:16">
      <c r="P50848" s="2498"/>
    </row>
    <row r="50849" spans="16:16">
      <c r="P50849" s="2498"/>
    </row>
    <row r="50850" spans="16:16">
      <c r="P50850" s="2498"/>
    </row>
    <row r="50851" spans="16:16">
      <c r="P50851" s="2498"/>
    </row>
    <row r="50852" spans="16:16">
      <c r="P50852" s="2498"/>
    </row>
    <row r="50853" spans="16:16">
      <c r="P50853" s="2498"/>
    </row>
    <row r="50854" spans="16:16">
      <c r="P50854" s="2498"/>
    </row>
    <row r="50855" spans="16:16">
      <c r="P50855" s="2498"/>
    </row>
    <row r="50856" spans="16:16">
      <c r="P50856" s="2498"/>
    </row>
    <row r="50857" spans="16:16">
      <c r="P50857" s="2498"/>
    </row>
    <row r="50858" spans="16:16">
      <c r="P50858" s="2498"/>
    </row>
    <row r="50859" spans="16:16">
      <c r="P50859" s="2498"/>
    </row>
    <row r="50860" spans="16:16">
      <c r="P50860" s="2498"/>
    </row>
    <row r="50861" spans="16:16">
      <c r="P50861" s="2498"/>
    </row>
    <row r="50862" spans="16:16">
      <c r="P50862" s="2498"/>
    </row>
    <row r="50863" spans="16:16">
      <c r="P50863" s="2498"/>
    </row>
    <row r="50864" spans="16:16">
      <c r="P50864" s="2498"/>
    </row>
    <row r="50865" spans="16:16">
      <c r="P50865" s="2498"/>
    </row>
    <row r="50866" spans="16:16">
      <c r="P50866" s="2498"/>
    </row>
    <row r="50867" spans="16:16">
      <c r="P50867" s="2498"/>
    </row>
    <row r="50868" spans="16:16">
      <c r="P50868" s="2498"/>
    </row>
    <row r="50869" spans="16:16">
      <c r="P50869" s="2498"/>
    </row>
    <row r="50870" spans="16:16">
      <c r="P50870" s="2498"/>
    </row>
    <row r="50871" spans="16:16">
      <c r="P50871" s="2498"/>
    </row>
    <row r="50872" spans="16:16">
      <c r="P50872" s="2498"/>
    </row>
    <row r="50873" spans="16:16">
      <c r="P50873" s="2498"/>
    </row>
    <row r="50874" spans="16:16">
      <c r="P50874" s="2498"/>
    </row>
    <row r="50875" spans="16:16">
      <c r="P50875" s="2498"/>
    </row>
    <row r="50876" spans="16:16">
      <c r="P50876" s="2498"/>
    </row>
    <row r="50877" spans="16:16">
      <c r="P50877" s="2498"/>
    </row>
    <row r="50878" spans="16:16">
      <c r="P50878" s="2498"/>
    </row>
    <row r="50879" spans="16:16">
      <c r="P50879" s="2498"/>
    </row>
    <row r="50880" spans="16:16">
      <c r="P50880" s="2498"/>
    </row>
    <row r="50881" spans="16:16">
      <c r="P50881" s="2498"/>
    </row>
    <row r="50882" spans="16:16">
      <c r="P50882" s="2498"/>
    </row>
    <row r="50883" spans="16:16">
      <c r="P50883" s="2498"/>
    </row>
    <row r="50884" spans="16:16">
      <c r="P50884" s="2498"/>
    </row>
    <row r="50885" spans="16:16">
      <c r="P50885" s="2498"/>
    </row>
    <row r="50886" spans="16:16">
      <c r="P50886" s="2498"/>
    </row>
    <row r="50887" spans="16:16">
      <c r="P50887" s="2498"/>
    </row>
    <row r="50888" spans="16:16">
      <c r="P50888" s="2498"/>
    </row>
    <row r="50889" spans="16:16">
      <c r="P50889" s="2498"/>
    </row>
    <row r="50890" spans="16:16">
      <c r="P50890" s="2498"/>
    </row>
    <row r="50891" spans="16:16">
      <c r="P50891" s="2498"/>
    </row>
    <row r="50892" spans="16:16">
      <c r="P50892" s="2498"/>
    </row>
    <row r="50893" spans="16:16">
      <c r="P50893" s="2498"/>
    </row>
    <row r="50894" spans="16:16">
      <c r="P50894" s="2498"/>
    </row>
    <row r="50895" spans="16:16">
      <c r="P50895" s="2498"/>
    </row>
    <row r="50896" spans="16:16">
      <c r="P50896" s="2498"/>
    </row>
    <row r="50897" spans="16:16">
      <c r="P50897" s="2498"/>
    </row>
    <row r="50898" spans="16:16">
      <c r="P50898" s="2498"/>
    </row>
    <row r="50899" spans="16:16">
      <c r="P50899" s="2498"/>
    </row>
    <row r="50900" spans="16:16">
      <c r="P50900" s="2498"/>
    </row>
    <row r="50901" spans="16:16">
      <c r="P50901" s="2498"/>
    </row>
    <row r="50902" spans="16:16">
      <c r="P50902" s="2498"/>
    </row>
    <row r="50903" spans="16:16">
      <c r="P50903" s="2498"/>
    </row>
    <row r="50904" spans="16:16">
      <c r="P50904" s="2498"/>
    </row>
    <row r="50905" spans="16:16">
      <c r="P50905" s="2498"/>
    </row>
    <row r="50906" spans="16:16">
      <c r="P50906" s="2498"/>
    </row>
    <row r="50907" spans="16:16">
      <c r="P50907" s="2498"/>
    </row>
    <row r="50908" spans="16:16">
      <c r="P50908" s="2498"/>
    </row>
    <row r="50909" spans="16:16">
      <c r="P50909" s="2498"/>
    </row>
    <row r="50910" spans="16:16">
      <c r="P50910" s="2498"/>
    </row>
    <row r="50911" spans="16:16">
      <c r="P50911" s="2498"/>
    </row>
    <row r="50912" spans="16:16">
      <c r="P50912" s="2498"/>
    </row>
    <row r="50913" spans="16:16">
      <c r="P50913" s="2498"/>
    </row>
    <row r="50914" spans="16:16">
      <c r="P50914" s="2498"/>
    </row>
    <row r="50915" spans="16:16">
      <c r="P50915" s="2498"/>
    </row>
    <row r="50916" spans="16:16">
      <c r="P50916" s="2498"/>
    </row>
    <row r="50917" spans="16:16">
      <c r="P50917" s="2498"/>
    </row>
    <row r="50918" spans="16:16">
      <c r="P50918" s="2498"/>
    </row>
    <row r="50919" spans="16:16">
      <c r="P50919" s="2498"/>
    </row>
    <row r="50920" spans="16:16">
      <c r="P50920" s="2498"/>
    </row>
    <row r="50921" spans="16:16">
      <c r="P50921" s="2498"/>
    </row>
    <row r="50922" spans="16:16">
      <c r="P50922" s="2498"/>
    </row>
    <row r="50923" spans="16:16">
      <c r="P50923" s="2498"/>
    </row>
    <row r="50924" spans="16:16">
      <c r="P50924" s="2498"/>
    </row>
    <row r="50925" spans="16:16">
      <c r="P50925" s="2498"/>
    </row>
    <row r="50926" spans="16:16">
      <c r="P50926" s="2498"/>
    </row>
    <row r="50927" spans="16:16">
      <c r="P50927" s="2498"/>
    </row>
    <row r="50928" spans="16:16">
      <c r="P50928" s="2498"/>
    </row>
    <row r="50929" spans="16:16">
      <c r="P50929" s="2498"/>
    </row>
    <row r="50930" spans="16:16">
      <c r="P50930" s="2498"/>
    </row>
    <row r="50931" spans="16:16">
      <c r="P50931" s="2498"/>
    </row>
    <row r="50932" spans="16:16">
      <c r="P50932" s="2498"/>
    </row>
    <row r="50933" spans="16:16">
      <c r="P50933" s="2498"/>
    </row>
    <row r="50934" spans="16:16">
      <c r="P50934" s="2498"/>
    </row>
    <row r="50935" spans="16:16">
      <c r="P50935" s="2498"/>
    </row>
    <row r="50936" spans="16:16">
      <c r="P50936" s="2498"/>
    </row>
    <row r="50937" spans="16:16">
      <c r="P50937" s="2498"/>
    </row>
    <row r="50938" spans="16:16">
      <c r="P50938" s="2498"/>
    </row>
    <row r="50939" spans="16:16">
      <c r="P50939" s="2498"/>
    </row>
    <row r="50940" spans="16:16">
      <c r="P50940" s="2498"/>
    </row>
    <row r="50941" spans="16:16">
      <c r="P50941" s="2498"/>
    </row>
    <row r="50942" spans="16:16">
      <c r="P50942" s="2498"/>
    </row>
    <row r="50943" spans="16:16">
      <c r="P50943" s="2498"/>
    </row>
    <row r="50944" spans="16:16">
      <c r="P50944" s="2498"/>
    </row>
    <row r="50945" spans="16:16">
      <c r="P50945" s="2498"/>
    </row>
    <row r="50946" spans="16:16">
      <c r="P50946" s="2498"/>
    </row>
    <row r="50947" spans="16:16">
      <c r="P50947" s="2498"/>
    </row>
    <row r="50948" spans="16:16">
      <c r="P50948" s="2498"/>
    </row>
    <row r="50949" spans="16:16">
      <c r="P50949" s="2498"/>
    </row>
    <row r="50950" spans="16:16">
      <c r="P50950" s="2498"/>
    </row>
    <row r="50951" spans="16:16">
      <c r="P50951" s="2498"/>
    </row>
    <row r="50952" spans="16:16">
      <c r="P50952" s="2498"/>
    </row>
    <row r="50953" spans="16:16">
      <c r="P50953" s="2498"/>
    </row>
    <row r="50954" spans="16:16">
      <c r="P50954" s="2498"/>
    </row>
    <row r="50955" spans="16:16">
      <c r="P50955" s="2498"/>
    </row>
    <row r="50956" spans="16:16">
      <c r="P50956" s="2498"/>
    </row>
    <row r="50957" spans="16:16">
      <c r="P50957" s="2498"/>
    </row>
    <row r="50958" spans="16:16">
      <c r="P50958" s="2498"/>
    </row>
    <row r="50959" spans="16:16">
      <c r="P50959" s="2498"/>
    </row>
    <row r="50960" spans="16:16">
      <c r="P50960" s="2498"/>
    </row>
    <row r="50961" spans="16:16">
      <c r="P50961" s="2498"/>
    </row>
    <row r="50962" spans="16:16">
      <c r="P50962" s="2498"/>
    </row>
    <row r="50963" spans="16:16">
      <c r="P50963" s="2498"/>
    </row>
    <row r="50964" spans="16:16">
      <c r="P50964" s="2498"/>
    </row>
    <row r="50965" spans="16:16">
      <c r="P50965" s="2498"/>
    </row>
    <row r="50966" spans="16:16">
      <c r="P50966" s="2498"/>
    </row>
    <row r="50967" spans="16:16">
      <c r="P50967" s="2498"/>
    </row>
    <row r="50968" spans="16:16">
      <c r="P50968" s="2498"/>
    </row>
    <row r="50969" spans="16:16">
      <c r="P50969" s="2498"/>
    </row>
    <row r="50970" spans="16:16">
      <c r="P50970" s="2498"/>
    </row>
    <row r="50971" spans="16:16">
      <c r="P50971" s="2498"/>
    </row>
    <row r="50972" spans="16:16">
      <c r="P50972" s="2498"/>
    </row>
    <row r="50973" spans="16:16">
      <c r="P50973" s="2498"/>
    </row>
    <row r="50974" spans="16:16">
      <c r="P50974" s="2498"/>
    </row>
    <row r="50975" spans="16:16">
      <c r="P50975" s="2498"/>
    </row>
    <row r="50976" spans="16:16">
      <c r="P50976" s="2498"/>
    </row>
    <row r="50977" spans="16:16">
      <c r="P50977" s="2498"/>
    </row>
    <row r="50978" spans="16:16">
      <c r="P50978" s="2498"/>
    </row>
    <row r="50979" spans="16:16">
      <c r="P50979" s="2498"/>
    </row>
    <row r="50980" spans="16:16">
      <c r="P50980" s="2498"/>
    </row>
    <row r="50981" spans="16:16">
      <c r="P50981" s="2498"/>
    </row>
    <row r="50982" spans="16:16">
      <c r="P50982" s="2498"/>
    </row>
    <row r="50983" spans="16:16">
      <c r="P50983" s="2498"/>
    </row>
    <row r="50984" spans="16:16">
      <c r="P50984" s="2498"/>
    </row>
    <row r="50985" spans="16:16">
      <c r="P50985" s="2498"/>
    </row>
    <row r="50986" spans="16:16">
      <c r="P50986" s="2498"/>
    </row>
    <row r="50987" spans="16:16">
      <c r="P50987" s="2498"/>
    </row>
    <row r="50988" spans="16:16">
      <c r="P50988" s="2498"/>
    </row>
    <row r="50989" spans="16:16">
      <c r="P50989" s="2498"/>
    </row>
    <row r="50990" spans="16:16">
      <c r="P50990" s="2498"/>
    </row>
    <row r="50991" spans="16:16">
      <c r="P50991" s="2498"/>
    </row>
    <row r="50992" spans="16:16">
      <c r="P50992" s="2498"/>
    </row>
    <row r="50993" spans="16:16">
      <c r="P50993" s="2498"/>
    </row>
    <row r="50994" spans="16:16">
      <c r="P50994" s="2498"/>
    </row>
    <row r="50995" spans="16:16">
      <c r="P50995" s="2498"/>
    </row>
    <row r="50996" spans="16:16">
      <c r="P50996" s="2498"/>
    </row>
    <row r="50997" spans="16:16">
      <c r="P50997" s="2498"/>
    </row>
    <row r="50998" spans="16:16">
      <c r="P50998" s="2498"/>
    </row>
    <row r="50999" spans="16:16">
      <c r="P50999" s="2498"/>
    </row>
    <row r="51000" spans="16:16">
      <c r="P51000" s="2498"/>
    </row>
    <row r="51001" spans="16:16">
      <c r="P51001" s="2498"/>
    </row>
    <row r="51002" spans="16:16">
      <c r="P51002" s="2498"/>
    </row>
    <row r="51003" spans="16:16">
      <c r="P51003" s="2498"/>
    </row>
    <row r="51004" spans="16:16">
      <c r="P51004" s="2498"/>
    </row>
    <row r="51005" spans="16:16">
      <c r="P51005" s="2498"/>
    </row>
    <row r="51006" spans="16:16">
      <c r="P51006" s="2498"/>
    </row>
    <row r="51007" spans="16:16">
      <c r="P51007" s="2498"/>
    </row>
    <row r="51008" spans="16:16">
      <c r="P51008" s="2498"/>
    </row>
    <row r="51009" spans="16:16">
      <c r="P51009" s="2498"/>
    </row>
    <row r="51010" spans="16:16">
      <c r="P51010" s="2498"/>
    </row>
    <row r="51011" spans="16:16">
      <c r="P51011" s="2498"/>
    </row>
    <row r="51012" spans="16:16">
      <c r="P51012" s="2498"/>
    </row>
    <row r="51013" spans="16:16">
      <c r="P51013" s="2498"/>
    </row>
    <row r="51014" spans="16:16">
      <c r="P51014" s="2498"/>
    </row>
    <row r="51015" spans="16:16">
      <c r="P51015" s="2498"/>
    </row>
    <row r="51016" spans="16:16">
      <c r="P51016" s="2498"/>
    </row>
    <row r="51017" spans="16:16">
      <c r="P51017" s="2498"/>
    </row>
    <row r="51018" spans="16:16">
      <c r="P51018" s="2498"/>
    </row>
    <row r="51019" spans="16:16">
      <c r="P51019" s="2498"/>
    </row>
    <row r="51020" spans="16:16">
      <c r="P51020" s="2498"/>
    </row>
    <row r="51021" spans="16:16">
      <c r="P51021" s="2498"/>
    </row>
    <row r="51022" spans="16:16">
      <c r="P51022" s="2498"/>
    </row>
    <row r="51023" spans="16:16">
      <c r="P51023" s="2498"/>
    </row>
    <row r="51024" spans="16:16">
      <c r="P51024" s="2498"/>
    </row>
    <row r="51025" spans="16:16">
      <c r="P51025" s="2498"/>
    </row>
    <row r="51026" spans="16:16">
      <c r="P51026" s="2498"/>
    </row>
    <row r="51027" spans="16:16">
      <c r="P51027" s="2498"/>
    </row>
    <row r="51028" spans="16:16">
      <c r="P51028" s="2498"/>
    </row>
    <row r="51029" spans="16:16">
      <c r="P51029" s="2498"/>
    </row>
    <row r="51030" spans="16:16">
      <c r="P51030" s="2498"/>
    </row>
    <row r="51031" spans="16:16">
      <c r="P51031" s="2498"/>
    </row>
    <row r="51032" spans="16:16">
      <c r="P51032" s="2498"/>
    </row>
    <row r="51033" spans="16:16">
      <c r="P51033" s="2498"/>
    </row>
    <row r="51034" spans="16:16">
      <c r="P51034" s="2498"/>
    </row>
    <row r="51035" spans="16:16">
      <c r="P51035" s="2498"/>
    </row>
    <row r="51036" spans="16:16">
      <c r="P51036" s="2498"/>
    </row>
    <row r="51037" spans="16:16">
      <c r="P51037" s="2498"/>
    </row>
    <row r="51038" spans="16:16">
      <c r="P51038" s="2498"/>
    </row>
    <row r="51039" spans="16:16">
      <c r="P51039" s="2498"/>
    </row>
    <row r="51040" spans="16:16">
      <c r="P51040" s="2498"/>
    </row>
    <row r="51041" spans="16:16">
      <c r="P51041" s="2498"/>
    </row>
    <row r="51042" spans="16:16">
      <c r="P51042" s="2498"/>
    </row>
    <row r="51043" spans="16:16">
      <c r="P51043" s="2498"/>
    </row>
    <row r="51044" spans="16:16">
      <c r="P51044" s="2498"/>
    </row>
    <row r="51045" spans="16:16">
      <c r="P51045" s="2498"/>
    </row>
    <row r="51046" spans="16:16">
      <c r="P51046" s="2498"/>
    </row>
    <row r="51047" spans="16:16">
      <c r="P51047" s="2498"/>
    </row>
    <row r="51048" spans="16:16">
      <c r="P51048" s="2498"/>
    </row>
    <row r="51049" spans="16:16">
      <c r="P51049" s="2498"/>
    </row>
    <row r="51050" spans="16:16">
      <c r="P51050" s="2498"/>
    </row>
    <row r="51051" spans="16:16">
      <c r="P51051" s="2498"/>
    </row>
    <row r="51052" spans="16:16">
      <c r="P51052" s="2498"/>
    </row>
    <row r="51053" spans="16:16">
      <c r="P51053" s="2498"/>
    </row>
    <row r="51054" spans="16:16">
      <c r="P51054" s="2498"/>
    </row>
    <row r="51055" spans="16:16">
      <c r="P51055" s="2498"/>
    </row>
    <row r="51056" spans="16:16">
      <c r="P51056" s="2498"/>
    </row>
    <row r="51057" spans="16:16">
      <c r="P51057" s="2498"/>
    </row>
    <row r="51058" spans="16:16">
      <c r="P51058" s="2498"/>
    </row>
    <row r="51059" spans="16:16">
      <c r="P51059" s="2498"/>
    </row>
    <row r="51060" spans="16:16">
      <c r="P51060" s="2498"/>
    </row>
    <row r="51061" spans="16:16">
      <c r="P51061" s="2498"/>
    </row>
    <row r="51062" spans="16:16">
      <c r="P51062" s="2498"/>
    </row>
    <row r="51063" spans="16:16">
      <c r="P51063" s="2498"/>
    </row>
    <row r="51064" spans="16:16">
      <c r="P51064" s="2498"/>
    </row>
    <row r="51065" spans="16:16">
      <c r="P51065" s="2498"/>
    </row>
    <row r="51066" spans="16:16">
      <c r="P51066" s="2498"/>
    </row>
    <row r="51067" spans="16:16">
      <c r="P51067" s="2498"/>
    </row>
    <row r="51068" spans="16:16">
      <c r="P51068" s="2498"/>
    </row>
    <row r="51069" spans="16:16">
      <c r="P51069" s="2498"/>
    </row>
    <row r="51070" spans="16:16">
      <c r="P51070" s="2498"/>
    </row>
    <row r="51071" spans="16:16">
      <c r="P51071" s="2498"/>
    </row>
    <row r="51072" spans="16:16">
      <c r="P51072" s="2498"/>
    </row>
    <row r="51073" spans="16:16">
      <c r="P51073" s="2498"/>
    </row>
    <row r="51074" spans="16:16">
      <c r="P51074" s="2498"/>
    </row>
    <row r="51075" spans="16:16">
      <c r="P51075" s="2498"/>
    </row>
    <row r="51076" spans="16:16">
      <c r="P51076" s="2498"/>
    </row>
    <row r="51077" spans="16:16">
      <c r="P51077" s="2498"/>
    </row>
    <row r="51078" spans="16:16">
      <c r="P51078" s="2498"/>
    </row>
    <row r="51079" spans="16:16">
      <c r="P51079" s="2498"/>
    </row>
    <row r="51080" spans="16:16">
      <c r="P51080" s="2498"/>
    </row>
    <row r="51081" spans="16:16">
      <c r="P51081" s="2498"/>
    </row>
    <row r="51082" spans="16:16">
      <c r="P51082" s="2498"/>
    </row>
    <row r="51083" spans="16:16">
      <c r="P51083" s="2498"/>
    </row>
    <row r="51084" spans="16:16">
      <c r="P51084" s="2498"/>
    </row>
    <row r="51085" spans="16:16">
      <c r="P51085" s="2498"/>
    </row>
    <row r="51086" spans="16:16">
      <c r="P51086" s="2498"/>
    </row>
    <row r="51087" spans="16:16">
      <c r="P51087" s="2498"/>
    </row>
    <row r="51088" spans="16:16">
      <c r="P51088" s="2498"/>
    </row>
    <row r="51089" spans="16:16">
      <c r="P51089" s="2498"/>
    </row>
    <row r="51090" spans="16:16">
      <c r="P51090" s="2498"/>
    </row>
    <row r="51091" spans="16:16">
      <c r="P51091" s="2498"/>
    </row>
    <row r="51092" spans="16:16">
      <c r="P51092" s="2498"/>
    </row>
    <row r="51093" spans="16:16">
      <c r="P51093" s="2498"/>
    </row>
    <row r="51094" spans="16:16">
      <c r="P51094" s="2498"/>
    </row>
    <row r="51095" spans="16:16">
      <c r="P51095" s="2498"/>
    </row>
    <row r="51096" spans="16:16">
      <c r="P51096" s="2498"/>
    </row>
    <row r="51097" spans="16:16">
      <c r="P51097" s="2498"/>
    </row>
    <row r="51098" spans="16:16">
      <c r="P51098" s="2498"/>
    </row>
    <row r="51099" spans="16:16">
      <c r="P51099" s="2498"/>
    </row>
    <row r="51100" spans="16:16">
      <c r="P51100" s="2498"/>
    </row>
    <row r="51101" spans="16:16">
      <c r="P51101" s="2498"/>
    </row>
    <row r="51102" spans="16:16">
      <c r="P51102" s="2498"/>
    </row>
    <row r="51103" spans="16:16">
      <c r="P51103" s="2498"/>
    </row>
    <row r="51104" spans="16:16">
      <c r="P51104" s="2498"/>
    </row>
    <row r="51105" spans="16:16">
      <c r="P51105" s="2498"/>
    </row>
    <row r="51106" spans="16:16">
      <c r="P51106" s="2498"/>
    </row>
    <row r="51107" spans="16:16">
      <c r="P51107" s="2498"/>
    </row>
    <row r="51108" spans="16:16">
      <c r="P51108" s="2498"/>
    </row>
    <row r="51109" spans="16:16">
      <c r="P51109" s="2498"/>
    </row>
    <row r="51110" spans="16:16">
      <c r="P51110" s="2498"/>
    </row>
    <row r="51111" spans="16:16">
      <c r="P51111" s="2498"/>
    </row>
    <row r="51112" spans="16:16">
      <c r="P51112" s="2498"/>
    </row>
    <row r="51113" spans="16:16">
      <c r="P51113" s="2498"/>
    </row>
    <row r="51114" spans="16:16">
      <c r="P51114" s="2498"/>
    </row>
    <row r="51115" spans="16:16">
      <c r="P51115" s="2498"/>
    </row>
    <row r="51116" spans="16:16">
      <c r="P51116" s="2498"/>
    </row>
    <row r="51117" spans="16:16">
      <c r="P51117" s="2498"/>
    </row>
    <row r="51118" spans="16:16">
      <c r="P51118" s="2498"/>
    </row>
    <row r="51119" spans="16:16">
      <c r="P51119" s="2498"/>
    </row>
    <row r="51120" spans="16:16">
      <c r="P51120" s="2498"/>
    </row>
    <row r="51121" spans="16:16">
      <c r="P51121" s="2498"/>
    </row>
    <row r="51122" spans="16:16">
      <c r="P51122" s="2498"/>
    </row>
    <row r="51123" spans="16:16">
      <c r="P51123" s="2498"/>
    </row>
    <row r="51124" spans="16:16">
      <c r="P51124" s="2498"/>
    </row>
    <row r="51125" spans="16:16">
      <c r="P51125" s="2498"/>
    </row>
    <row r="51126" spans="16:16">
      <c r="P51126" s="2498"/>
    </row>
    <row r="51127" spans="16:16">
      <c r="P51127" s="2498"/>
    </row>
    <row r="51128" spans="16:16">
      <c r="P51128" s="2498"/>
    </row>
    <row r="51129" spans="16:16">
      <c r="P51129" s="2498"/>
    </row>
    <row r="51130" spans="16:16">
      <c r="P51130" s="2498"/>
    </row>
    <row r="51131" spans="16:16">
      <c r="P51131" s="2498"/>
    </row>
    <row r="51132" spans="16:16">
      <c r="P51132" s="2498"/>
    </row>
    <row r="51133" spans="16:16">
      <c r="P51133" s="2498"/>
    </row>
    <row r="51134" spans="16:16">
      <c r="P51134" s="2498"/>
    </row>
    <row r="51135" spans="16:16">
      <c r="P51135" s="2498"/>
    </row>
    <row r="51136" spans="16:16">
      <c r="P51136" s="2498"/>
    </row>
    <row r="51137" spans="16:16">
      <c r="P51137" s="2498"/>
    </row>
    <row r="51138" spans="16:16">
      <c r="P51138" s="2498"/>
    </row>
    <row r="51139" spans="16:16">
      <c r="P51139" s="2498"/>
    </row>
    <row r="51140" spans="16:16">
      <c r="P51140" s="2498"/>
    </row>
    <row r="51141" spans="16:16">
      <c r="P51141" s="2498"/>
    </row>
    <row r="51142" spans="16:16">
      <c r="P51142" s="2498"/>
    </row>
    <row r="51143" spans="16:16">
      <c r="P51143" s="2498"/>
    </row>
    <row r="51144" spans="16:16">
      <c r="P51144" s="2498"/>
    </row>
    <row r="51145" spans="16:16">
      <c r="P51145" s="2498"/>
    </row>
    <row r="51146" spans="16:16">
      <c r="P51146" s="2498"/>
    </row>
    <row r="51147" spans="16:16">
      <c r="P51147" s="2498"/>
    </row>
    <row r="51148" spans="16:16">
      <c r="P51148" s="2498"/>
    </row>
    <row r="51149" spans="16:16">
      <c r="P51149" s="2498"/>
    </row>
    <row r="51150" spans="16:16">
      <c r="P51150" s="2498"/>
    </row>
    <row r="51151" spans="16:16">
      <c r="P51151" s="2498"/>
    </row>
    <row r="51152" spans="16:16">
      <c r="P51152" s="2498"/>
    </row>
    <row r="51153" spans="16:16">
      <c r="P51153" s="2498"/>
    </row>
    <row r="51154" spans="16:16">
      <c r="P51154" s="2498"/>
    </row>
    <row r="51155" spans="16:16">
      <c r="P51155" s="2498"/>
    </row>
    <row r="51156" spans="16:16">
      <c r="P51156" s="2498"/>
    </row>
    <row r="51157" spans="16:16">
      <c r="P51157" s="2498"/>
    </row>
    <row r="51158" spans="16:16">
      <c r="P51158" s="2498"/>
    </row>
    <row r="51159" spans="16:16">
      <c r="P51159" s="2498"/>
    </row>
    <row r="51160" spans="16:16">
      <c r="P51160" s="2498"/>
    </row>
    <row r="51161" spans="16:16">
      <c r="P51161" s="2498"/>
    </row>
    <row r="51162" spans="16:16">
      <c r="P51162" s="2498"/>
    </row>
    <row r="51163" spans="16:16">
      <c r="P51163" s="2498"/>
    </row>
    <row r="51164" spans="16:16">
      <c r="P51164" s="2498"/>
    </row>
    <row r="51165" spans="16:16">
      <c r="P51165" s="2498"/>
    </row>
    <row r="51166" spans="16:16">
      <c r="P51166" s="2498"/>
    </row>
    <row r="51167" spans="16:16">
      <c r="P51167" s="2498"/>
    </row>
    <row r="51168" spans="16:16">
      <c r="P51168" s="2498"/>
    </row>
    <row r="51169" spans="16:16">
      <c r="P51169" s="2498"/>
    </row>
    <row r="51170" spans="16:16">
      <c r="P51170" s="2498"/>
    </row>
    <row r="51171" spans="16:16">
      <c r="P51171" s="2498"/>
    </row>
    <row r="51172" spans="16:16">
      <c r="P51172" s="2498"/>
    </row>
    <row r="51173" spans="16:16">
      <c r="P51173" s="2498"/>
    </row>
    <row r="51174" spans="16:16">
      <c r="P51174" s="2498"/>
    </row>
    <row r="51175" spans="16:16">
      <c r="P51175" s="2498"/>
    </row>
    <row r="51176" spans="16:16">
      <c r="P51176" s="2498"/>
    </row>
    <row r="51177" spans="16:16">
      <c r="P51177" s="2498"/>
    </row>
    <row r="51178" spans="16:16">
      <c r="P51178" s="2498"/>
    </row>
    <row r="51179" spans="16:16">
      <c r="P51179" s="2498"/>
    </row>
    <row r="51180" spans="16:16">
      <c r="P51180" s="2498"/>
    </row>
    <row r="51181" spans="16:16">
      <c r="P51181" s="2498"/>
    </row>
    <row r="51182" spans="16:16">
      <c r="P51182" s="2498"/>
    </row>
    <row r="51183" spans="16:16">
      <c r="P51183" s="2498"/>
    </row>
    <row r="51184" spans="16:16">
      <c r="P51184" s="2498"/>
    </row>
    <row r="51185" spans="16:16">
      <c r="P51185" s="2498"/>
    </row>
    <row r="51186" spans="16:16">
      <c r="P51186" s="2498"/>
    </row>
    <row r="51187" spans="16:16">
      <c r="P51187" s="2498"/>
    </row>
    <row r="51188" spans="16:16">
      <c r="P51188" s="2498"/>
    </row>
    <row r="51189" spans="16:16">
      <c r="P51189" s="2498"/>
    </row>
    <row r="51190" spans="16:16">
      <c r="P51190" s="2498"/>
    </row>
    <row r="51191" spans="16:16">
      <c r="P51191" s="2498"/>
    </row>
    <row r="51192" spans="16:16">
      <c r="P51192" s="2498"/>
    </row>
    <row r="51193" spans="16:16">
      <c r="P51193" s="2498"/>
    </row>
    <row r="51194" spans="16:16">
      <c r="P51194" s="2498"/>
    </row>
    <row r="51195" spans="16:16">
      <c r="P51195" s="2498"/>
    </row>
    <row r="51196" spans="16:16">
      <c r="P51196" s="2498"/>
    </row>
    <row r="51197" spans="16:16">
      <c r="P51197" s="2498"/>
    </row>
    <row r="51198" spans="16:16">
      <c r="P51198" s="2498"/>
    </row>
    <row r="51199" spans="16:16">
      <c r="P51199" s="2498"/>
    </row>
    <row r="51200" spans="16:16">
      <c r="P51200" s="2498"/>
    </row>
    <row r="51201" spans="16:16">
      <c r="P51201" s="2498"/>
    </row>
    <row r="51202" spans="16:16">
      <c r="P51202" s="2498"/>
    </row>
    <row r="51203" spans="16:16">
      <c r="P51203" s="2498"/>
    </row>
    <row r="51204" spans="16:16">
      <c r="P51204" s="2498"/>
    </row>
    <row r="51205" spans="16:16">
      <c r="P51205" s="2498"/>
    </row>
    <row r="51206" spans="16:16">
      <c r="P51206" s="2498"/>
    </row>
    <row r="51207" spans="16:16">
      <c r="P51207" s="2498"/>
    </row>
    <row r="51208" spans="16:16">
      <c r="P51208" s="2498"/>
    </row>
    <row r="51209" spans="16:16">
      <c r="P51209" s="2498"/>
    </row>
    <row r="51210" spans="16:16">
      <c r="P51210" s="2498"/>
    </row>
    <row r="51211" spans="16:16">
      <c r="P51211" s="2498"/>
    </row>
    <row r="51212" spans="16:16">
      <c r="P51212" s="2498"/>
    </row>
    <row r="51213" spans="16:16">
      <c r="P51213" s="2498"/>
    </row>
    <row r="51214" spans="16:16">
      <c r="P51214" s="2498"/>
    </row>
    <row r="51215" spans="16:16">
      <c r="P51215" s="2498"/>
    </row>
    <row r="51216" spans="16:16">
      <c r="P51216" s="2498"/>
    </row>
    <row r="51217" spans="16:16">
      <c r="P51217" s="2498"/>
    </row>
    <row r="51218" spans="16:16">
      <c r="P51218" s="2498"/>
    </row>
    <row r="51219" spans="16:16">
      <c r="P51219" s="2498"/>
    </row>
    <row r="51220" spans="16:16">
      <c r="P51220" s="2498"/>
    </row>
    <row r="51221" spans="16:16">
      <c r="P51221" s="2498"/>
    </row>
    <row r="51222" spans="16:16">
      <c r="P51222" s="2498"/>
    </row>
    <row r="51223" spans="16:16">
      <c r="P51223" s="2498"/>
    </row>
    <row r="51224" spans="16:16">
      <c r="P51224" s="2498"/>
    </row>
    <row r="51225" spans="16:16">
      <c r="P51225" s="2498"/>
    </row>
    <row r="51226" spans="16:16">
      <c r="P51226" s="2498"/>
    </row>
    <row r="51227" spans="16:16">
      <c r="P51227" s="2498"/>
    </row>
    <row r="51228" spans="16:16">
      <c r="P51228" s="2498"/>
    </row>
    <row r="51229" spans="16:16">
      <c r="P51229" s="2498"/>
    </row>
    <row r="51230" spans="16:16">
      <c r="P51230" s="2498"/>
    </row>
    <row r="51231" spans="16:16">
      <c r="P51231" s="2498"/>
    </row>
    <row r="51232" spans="16:16">
      <c r="P51232" s="2498"/>
    </row>
    <row r="51233" spans="16:16">
      <c r="P51233" s="2498"/>
    </row>
    <row r="51234" spans="16:16">
      <c r="P51234" s="2498"/>
    </row>
    <row r="51235" spans="16:16">
      <c r="P51235" s="2498"/>
    </row>
    <row r="51236" spans="16:16">
      <c r="P51236" s="2498"/>
    </row>
    <row r="51237" spans="16:16">
      <c r="P51237" s="2498"/>
    </row>
    <row r="51238" spans="16:16">
      <c r="P51238" s="2498"/>
    </row>
    <row r="51239" spans="16:16">
      <c r="P51239" s="2498"/>
    </row>
    <row r="51240" spans="16:16">
      <c r="P51240" s="2498"/>
    </row>
    <row r="51241" spans="16:16">
      <c r="P51241" s="2498"/>
    </row>
    <row r="51242" spans="16:16">
      <c r="P51242" s="2498"/>
    </row>
    <row r="51243" spans="16:16">
      <c r="P51243" s="2498"/>
    </row>
    <row r="51244" spans="16:16">
      <c r="P51244" s="2498"/>
    </row>
    <row r="51245" spans="16:16">
      <c r="P51245" s="2498"/>
    </row>
    <row r="51246" spans="16:16">
      <c r="P51246" s="2498"/>
    </row>
    <row r="51247" spans="16:16">
      <c r="P51247" s="2498"/>
    </row>
    <row r="51248" spans="16:16">
      <c r="P51248" s="2498"/>
    </row>
    <row r="51249" spans="16:16">
      <c r="P51249" s="2498"/>
    </row>
    <row r="51250" spans="16:16">
      <c r="P51250" s="2498"/>
    </row>
    <row r="51251" spans="16:16">
      <c r="P51251" s="2498"/>
    </row>
    <row r="51252" spans="16:16">
      <c r="P51252" s="2498"/>
    </row>
    <row r="51253" spans="16:16">
      <c r="P51253" s="2498"/>
    </row>
    <row r="51254" spans="16:16">
      <c r="P51254" s="2498"/>
    </row>
    <row r="51255" spans="16:16">
      <c r="P51255" s="2498"/>
    </row>
    <row r="51256" spans="16:16">
      <c r="P51256" s="2498"/>
    </row>
    <row r="51257" spans="16:16">
      <c r="P51257" s="2498"/>
    </row>
    <row r="51258" spans="16:16">
      <c r="P51258" s="2498"/>
    </row>
    <row r="51259" spans="16:16">
      <c r="P51259" s="2498"/>
    </row>
    <row r="51260" spans="16:16">
      <c r="P51260" s="2498"/>
    </row>
    <row r="51261" spans="16:16">
      <c r="P51261" s="2498"/>
    </row>
    <row r="51262" spans="16:16">
      <c r="P51262" s="2498"/>
    </row>
    <row r="51263" spans="16:16">
      <c r="P51263" s="2498"/>
    </row>
    <row r="51264" spans="16:16">
      <c r="P51264" s="2498"/>
    </row>
    <row r="51265" spans="16:16">
      <c r="P51265" s="2498"/>
    </row>
    <row r="51266" spans="16:16">
      <c r="P51266" s="2498"/>
    </row>
    <row r="51267" spans="16:16">
      <c r="P51267" s="2498"/>
    </row>
    <row r="51268" spans="16:16">
      <c r="P51268" s="2498"/>
    </row>
    <row r="51269" spans="16:16">
      <c r="P51269" s="2498"/>
    </row>
    <row r="51270" spans="16:16">
      <c r="P51270" s="2498"/>
    </row>
    <row r="51271" spans="16:16">
      <c r="P51271" s="2498"/>
    </row>
    <row r="51272" spans="16:16">
      <c r="P51272" s="2498"/>
    </row>
    <row r="51273" spans="16:16">
      <c r="P51273" s="2498"/>
    </row>
    <row r="51274" spans="16:16">
      <c r="P51274" s="2498"/>
    </row>
    <row r="51275" spans="16:16">
      <c r="P51275" s="2498"/>
    </row>
    <row r="51276" spans="16:16">
      <c r="P51276" s="2498"/>
    </row>
    <row r="51277" spans="16:16">
      <c r="P51277" s="2498"/>
    </row>
    <row r="51278" spans="16:16">
      <c r="P51278" s="2498"/>
    </row>
    <row r="51279" spans="16:16">
      <c r="P51279" s="2498"/>
    </row>
    <row r="51280" spans="16:16">
      <c r="P51280" s="2498"/>
    </row>
    <row r="51281" spans="16:16">
      <c r="P51281" s="2498"/>
    </row>
    <row r="51282" spans="16:16">
      <c r="P51282" s="2498"/>
    </row>
    <row r="51283" spans="16:16">
      <c r="P51283" s="2498"/>
    </row>
    <row r="51284" spans="16:16">
      <c r="P51284" s="2498"/>
    </row>
    <row r="51285" spans="16:16">
      <c r="P51285" s="2498"/>
    </row>
    <row r="51286" spans="16:16">
      <c r="P51286" s="2498"/>
    </row>
    <row r="51287" spans="16:16">
      <c r="P51287" s="2498"/>
    </row>
    <row r="51288" spans="16:16">
      <c r="P51288" s="2498"/>
    </row>
    <row r="51289" spans="16:16">
      <c r="P51289" s="2498"/>
    </row>
    <row r="51290" spans="16:16">
      <c r="P51290" s="2498"/>
    </row>
    <row r="51291" spans="16:16">
      <c r="P51291" s="2498"/>
    </row>
    <row r="51292" spans="16:16">
      <c r="P51292" s="2498"/>
    </row>
    <row r="51293" spans="16:16">
      <c r="P51293" s="2498"/>
    </row>
    <row r="51294" spans="16:16">
      <c r="P51294" s="2498"/>
    </row>
    <row r="51295" spans="16:16">
      <c r="P51295" s="2498"/>
    </row>
    <row r="51296" spans="16:16">
      <c r="P51296" s="2498"/>
    </row>
    <row r="51297" spans="16:16">
      <c r="P51297" s="2498"/>
    </row>
    <row r="51298" spans="16:16">
      <c r="P51298" s="2498"/>
    </row>
    <row r="51299" spans="16:16">
      <c r="P51299" s="2498"/>
    </row>
    <row r="51300" spans="16:16">
      <c r="P51300" s="2498"/>
    </row>
    <row r="51301" spans="16:16">
      <c r="P51301" s="2498"/>
    </row>
    <row r="51302" spans="16:16">
      <c r="P51302" s="2498"/>
    </row>
    <row r="51303" spans="16:16">
      <c r="P51303" s="2498"/>
    </row>
    <row r="51304" spans="16:16">
      <c r="P51304" s="2498"/>
    </row>
    <row r="51305" spans="16:16">
      <c r="P51305" s="2498"/>
    </row>
    <row r="51306" spans="16:16">
      <c r="P51306" s="2498"/>
    </row>
    <row r="51307" spans="16:16">
      <c r="P51307" s="2498"/>
    </row>
    <row r="51308" spans="16:16">
      <c r="P51308" s="2498"/>
    </row>
    <row r="51309" spans="16:16">
      <c r="P51309" s="2498"/>
    </row>
    <row r="51310" spans="16:16">
      <c r="P51310" s="2498"/>
    </row>
    <row r="51311" spans="16:16">
      <c r="P51311" s="2498"/>
    </row>
    <row r="51312" spans="16:16">
      <c r="P51312" s="2498"/>
    </row>
    <row r="51313" spans="16:16">
      <c r="P51313" s="2498"/>
    </row>
    <row r="51314" spans="16:16">
      <c r="P51314" s="2498"/>
    </row>
    <row r="51315" spans="16:16">
      <c r="P51315" s="2498"/>
    </row>
    <row r="51316" spans="16:16">
      <c r="P51316" s="2498"/>
    </row>
    <row r="51317" spans="16:16">
      <c r="P51317" s="2498"/>
    </row>
    <row r="51318" spans="16:16">
      <c r="P51318" s="2498"/>
    </row>
    <row r="51319" spans="16:16">
      <c r="P51319" s="2498"/>
    </row>
    <row r="51320" spans="16:16">
      <c r="P51320" s="2498"/>
    </row>
    <row r="51321" spans="16:16">
      <c r="P51321" s="2498"/>
    </row>
    <row r="51322" spans="16:16">
      <c r="P51322" s="2498"/>
    </row>
    <row r="51323" spans="16:16">
      <c r="P51323" s="2498"/>
    </row>
    <row r="51324" spans="16:16">
      <c r="P51324" s="2498"/>
    </row>
    <row r="51325" spans="16:16">
      <c r="P51325" s="2498"/>
    </row>
    <row r="51326" spans="16:16">
      <c r="P51326" s="2498"/>
    </row>
    <row r="51327" spans="16:16">
      <c r="P51327" s="2498"/>
    </row>
    <row r="51328" spans="16:16">
      <c r="P51328" s="2498"/>
    </row>
    <row r="51329" spans="16:16">
      <c r="P51329" s="2498"/>
    </row>
    <row r="51330" spans="16:16">
      <c r="P51330" s="2498"/>
    </row>
    <row r="51331" spans="16:16">
      <c r="P51331" s="2498"/>
    </row>
    <row r="51332" spans="16:16">
      <c r="P51332" s="2498"/>
    </row>
    <row r="51333" spans="16:16">
      <c r="P51333" s="2498"/>
    </row>
    <row r="51334" spans="16:16">
      <c r="P51334" s="2498"/>
    </row>
    <row r="51335" spans="16:16">
      <c r="P51335" s="2498"/>
    </row>
    <row r="51336" spans="16:16">
      <c r="P51336" s="2498"/>
    </row>
    <row r="51337" spans="16:16">
      <c r="P51337" s="2498"/>
    </row>
    <row r="51338" spans="16:16">
      <c r="P51338" s="2498"/>
    </row>
    <row r="51339" spans="16:16">
      <c r="P51339" s="2498"/>
    </row>
    <row r="51340" spans="16:16">
      <c r="P51340" s="2498"/>
    </row>
    <row r="51341" spans="16:16">
      <c r="P51341" s="2498"/>
    </row>
    <row r="51342" spans="16:16">
      <c r="P51342" s="2498"/>
    </row>
    <row r="51343" spans="16:16">
      <c r="P51343" s="2498"/>
    </row>
    <row r="51344" spans="16:16">
      <c r="P51344" s="2498"/>
    </row>
    <row r="51345" spans="16:16">
      <c r="P51345" s="2498"/>
    </row>
    <row r="51346" spans="16:16">
      <c r="P51346" s="2498"/>
    </row>
    <row r="51347" spans="16:16">
      <c r="P51347" s="2498"/>
    </row>
    <row r="51348" spans="16:16">
      <c r="P51348" s="2498"/>
    </row>
    <row r="51349" spans="16:16">
      <c r="P51349" s="2498"/>
    </row>
    <row r="51350" spans="16:16">
      <c r="P51350" s="2498"/>
    </row>
    <row r="51351" spans="16:16">
      <c r="P51351" s="2498"/>
    </row>
    <row r="51352" spans="16:16">
      <c r="P51352" s="2498"/>
    </row>
    <row r="51353" spans="16:16">
      <c r="P51353" s="2498"/>
    </row>
    <row r="51354" spans="16:16">
      <c r="P51354" s="2498"/>
    </row>
    <row r="51355" spans="16:16">
      <c r="P51355" s="2498"/>
    </row>
    <row r="51356" spans="16:16">
      <c r="P51356" s="2498"/>
    </row>
    <row r="51357" spans="16:16">
      <c r="P51357" s="2498"/>
    </row>
    <row r="51358" spans="16:16">
      <c r="P51358" s="2498"/>
    </row>
    <row r="51359" spans="16:16">
      <c r="P51359" s="2498"/>
    </row>
    <row r="51360" spans="16:16">
      <c r="P51360" s="2498"/>
    </row>
    <row r="51361" spans="16:16">
      <c r="P51361" s="2498"/>
    </row>
    <row r="51362" spans="16:16">
      <c r="P51362" s="2498"/>
    </row>
    <row r="51363" spans="16:16">
      <c r="P51363" s="2498"/>
    </row>
    <row r="51364" spans="16:16">
      <c r="P51364" s="2498"/>
    </row>
    <row r="51365" spans="16:16">
      <c r="P51365" s="2498"/>
    </row>
    <row r="51366" spans="16:16">
      <c r="P51366" s="2498"/>
    </row>
    <row r="51367" spans="16:16">
      <c r="P51367" s="2498"/>
    </row>
    <row r="51368" spans="16:16">
      <c r="P51368" s="2498"/>
    </row>
    <row r="51369" spans="16:16">
      <c r="P51369" s="2498"/>
    </row>
    <row r="51370" spans="16:16">
      <c r="P51370" s="2498"/>
    </row>
    <row r="51371" spans="16:16">
      <c r="P51371" s="2498"/>
    </row>
    <row r="51372" spans="16:16">
      <c r="P51372" s="2498"/>
    </row>
    <row r="51373" spans="16:16">
      <c r="P51373" s="2498"/>
    </row>
    <row r="51374" spans="16:16">
      <c r="P51374" s="2498"/>
    </row>
    <row r="51375" spans="16:16">
      <c r="P51375" s="2498"/>
    </row>
    <row r="51376" spans="16:16">
      <c r="P51376" s="2498"/>
    </row>
    <row r="51377" spans="16:16">
      <c r="P51377" s="2498"/>
    </row>
    <row r="51378" spans="16:16">
      <c r="P51378" s="2498"/>
    </row>
    <row r="51379" spans="16:16">
      <c r="P51379" s="2498"/>
    </row>
    <row r="51380" spans="16:16">
      <c r="P51380" s="2498"/>
    </row>
    <row r="51381" spans="16:16">
      <c r="P51381" s="2498"/>
    </row>
    <row r="51382" spans="16:16">
      <c r="P51382" s="2498"/>
    </row>
    <row r="51383" spans="16:16">
      <c r="P51383" s="2498"/>
    </row>
    <row r="51384" spans="16:16">
      <c r="P51384" s="2498"/>
    </row>
    <row r="51385" spans="16:16">
      <c r="P51385" s="2498"/>
    </row>
    <row r="51386" spans="16:16">
      <c r="P51386" s="2498"/>
    </row>
    <row r="51387" spans="16:16">
      <c r="P51387" s="2498"/>
    </row>
    <row r="51388" spans="16:16">
      <c r="P51388" s="2498"/>
    </row>
    <row r="51389" spans="16:16">
      <c r="P51389" s="2498"/>
    </row>
    <row r="51390" spans="16:16">
      <c r="P51390" s="2498"/>
    </row>
    <row r="51391" spans="16:16">
      <c r="P51391" s="2498"/>
    </row>
    <row r="51392" spans="16:16">
      <c r="P51392" s="2498"/>
    </row>
    <row r="51393" spans="16:16">
      <c r="P51393" s="2498"/>
    </row>
    <row r="51394" spans="16:16">
      <c r="P51394" s="2498"/>
    </row>
    <row r="51395" spans="16:16">
      <c r="P51395" s="2498"/>
    </row>
    <row r="51396" spans="16:16">
      <c r="P51396" s="2498"/>
    </row>
    <row r="51397" spans="16:16">
      <c r="P51397" s="2498"/>
    </row>
    <row r="51398" spans="16:16">
      <c r="P51398" s="2498"/>
    </row>
    <row r="51399" spans="16:16">
      <c r="P51399" s="2498"/>
    </row>
    <row r="51400" spans="16:16">
      <c r="P51400" s="2498"/>
    </row>
    <row r="51401" spans="16:16">
      <c r="P51401" s="2498"/>
    </row>
    <row r="51402" spans="16:16">
      <c r="P51402" s="2498"/>
    </row>
    <row r="51403" spans="16:16">
      <c r="P51403" s="2498"/>
    </row>
    <row r="51404" spans="16:16">
      <c r="P51404" s="2498"/>
    </row>
    <row r="51405" spans="16:16">
      <c r="P51405" s="2498"/>
    </row>
    <row r="51406" spans="16:16">
      <c r="P51406" s="2498"/>
    </row>
    <row r="51407" spans="16:16">
      <c r="P51407" s="2498"/>
    </row>
    <row r="51408" spans="16:16">
      <c r="P51408" s="2498"/>
    </row>
    <row r="51409" spans="16:16">
      <c r="P51409" s="2498"/>
    </row>
    <row r="51410" spans="16:16">
      <c r="P51410" s="2498"/>
    </row>
    <row r="51411" spans="16:16">
      <c r="P51411" s="2498"/>
    </row>
    <row r="51412" spans="16:16">
      <c r="P51412" s="2498"/>
    </row>
    <row r="51413" spans="16:16">
      <c r="P51413" s="2498"/>
    </row>
    <row r="51414" spans="16:16">
      <c r="P51414" s="2498"/>
    </row>
    <row r="51415" spans="16:16">
      <c r="P51415" s="2498"/>
    </row>
    <row r="51416" spans="16:16">
      <c r="P51416" s="2498"/>
    </row>
    <row r="51417" spans="16:16">
      <c r="P51417" s="2498"/>
    </row>
    <row r="51418" spans="16:16">
      <c r="P51418" s="2498"/>
    </row>
    <row r="51419" spans="16:16">
      <c r="P51419" s="2498"/>
    </row>
    <row r="51420" spans="16:16">
      <c r="P51420" s="2498"/>
    </row>
    <row r="51421" spans="16:16">
      <c r="P51421" s="2498"/>
    </row>
    <row r="51422" spans="16:16">
      <c r="P51422" s="2498"/>
    </row>
    <row r="51423" spans="16:16">
      <c r="P51423" s="2498"/>
    </row>
    <row r="51424" spans="16:16">
      <c r="P51424" s="2498"/>
    </row>
    <row r="51425" spans="16:16">
      <c r="P51425" s="2498"/>
    </row>
    <row r="51426" spans="16:16">
      <c r="P51426" s="2498"/>
    </row>
    <row r="51427" spans="16:16">
      <c r="P51427" s="2498"/>
    </row>
    <row r="51428" spans="16:16">
      <c r="P51428" s="2498"/>
    </row>
    <row r="51429" spans="16:16">
      <c r="P51429" s="2498"/>
    </row>
    <row r="51430" spans="16:16">
      <c r="P51430" s="2498"/>
    </row>
    <row r="51431" spans="16:16">
      <c r="P51431" s="2498"/>
    </row>
    <row r="51432" spans="16:16">
      <c r="P51432" s="2498"/>
    </row>
    <row r="51433" spans="16:16">
      <c r="P51433" s="2498"/>
    </row>
    <row r="51434" spans="16:16">
      <c r="P51434" s="2498"/>
    </row>
    <row r="51435" spans="16:16">
      <c r="P51435" s="2498"/>
    </row>
    <row r="51436" spans="16:16">
      <c r="P51436" s="2498"/>
    </row>
    <row r="51437" spans="16:16">
      <c r="P51437" s="2498"/>
    </row>
    <row r="51438" spans="16:16">
      <c r="P51438" s="2498"/>
    </row>
    <row r="51439" spans="16:16">
      <c r="P51439" s="2498"/>
    </row>
    <row r="51440" spans="16:16">
      <c r="P51440" s="2498"/>
    </row>
    <row r="51441" spans="16:16">
      <c r="P51441" s="2498"/>
    </row>
    <row r="51442" spans="16:16">
      <c r="P51442" s="2498"/>
    </row>
    <row r="51443" spans="16:16">
      <c r="P51443" s="2498"/>
    </row>
    <row r="51444" spans="16:16">
      <c r="P51444" s="2498"/>
    </row>
    <row r="51445" spans="16:16">
      <c r="P51445" s="2498"/>
    </row>
    <row r="51446" spans="16:16">
      <c r="P51446" s="2498"/>
    </row>
    <row r="51447" spans="16:16">
      <c r="P51447" s="2498"/>
    </row>
    <row r="51448" spans="16:16">
      <c r="P51448" s="2498"/>
    </row>
    <row r="51449" spans="16:16">
      <c r="P51449" s="2498"/>
    </row>
    <row r="51450" spans="16:16">
      <c r="P51450" s="2498"/>
    </row>
    <row r="51451" spans="16:16">
      <c r="P51451" s="2498"/>
    </row>
    <row r="51452" spans="16:16">
      <c r="P51452" s="2498"/>
    </row>
    <row r="51453" spans="16:16">
      <c r="P51453" s="2498"/>
    </row>
    <row r="51454" spans="16:16">
      <c r="P51454" s="2498"/>
    </row>
    <row r="51455" spans="16:16">
      <c r="P51455" s="2498"/>
    </row>
    <row r="51456" spans="16:16">
      <c r="P51456" s="2498"/>
    </row>
    <row r="51457" spans="16:16">
      <c r="P51457" s="2498"/>
    </row>
    <row r="51458" spans="16:16">
      <c r="P51458" s="2498"/>
    </row>
    <row r="51459" spans="16:16">
      <c r="P51459" s="2498"/>
    </row>
    <row r="51460" spans="16:16">
      <c r="P51460" s="2498"/>
    </row>
    <row r="51461" spans="16:16">
      <c r="P51461" s="2498"/>
    </row>
    <row r="51462" spans="16:16">
      <c r="P51462" s="2498"/>
    </row>
    <row r="51463" spans="16:16">
      <c r="P51463" s="2498"/>
    </row>
    <row r="51464" spans="16:16">
      <c r="P51464" s="2498"/>
    </row>
    <row r="51465" spans="16:16">
      <c r="P51465" s="2498"/>
    </row>
    <row r="51466" spans="16:16">
      <c r="P51466" s="2498"/>
    </row>
    <row r="51467" spans="16:16">
      <c r="P51467" s="2498"/>
    </row>
    <row r="51468" spans="16:16">
      <c r="P51468" s="2498"/>
    </row>
    <row r="51469" spans="16:16">
      <c r="P51469" s="2498"/>
    </row>
    <row r="51470" spans="16:16">
      <c r="P51470" s="2498"/>
    </row>
    <row r="51471" spans="16:16">
      <c r="P51471" s="2498"/>
    </row>
    <row r="51472" spans="16:16">
      <c r="P51472" s="2498"/>
    </row>
    <row r="51473" spans="16:16">
      <c r="P51473" s="2498"/>
    </row>
    <row r="51474" spans="16:16">
      <c r="P51474" s="2498"/>
    </row>
    <row r="51475" spans="16:16">
      <c r="P51475" s="2498"/>
    </row>
    <row r="51476" spans="16:16">
      <c r="P51476" s="2498"/>
    </row>
    <row r="51477" spans="16:16">
      <c r="P51477" s="2498"/>
    </row>
    <row r="51478" spans="16:16">
      <c r="P51478" s="2498"/>
    </row>
    <row r="51479" spans="16:16">
      <c r="P51479" s="2498"/>
    </row>
    <row r="51480" spans="16:16">
      <c r="P51480" s="2498"/>
    </row>
    <row r="51481" spans="16:16">
      <c r="P51481" s="2498"/>
    </row>
    <row r="51482" spans="16:16">
      <c r="P51482" s="2498"/>
    </row>
    <row r="51483" spans="16:16">
      <c r="P51483" s="2498"/>
    </row>
    <row r="51484" spans="16:16">
      <c r="P51484" s="2498"/>
    </row>
    <row r="51485" spans="16:16">
      <c r="P51485" s="2498"/>
    </row>
    <row r="51486" spans="16:16">
      <c r="P51486" s="2498"/>
    </row>
    <row r="51487" spans="16:16">
      <c r="P51487" s="2498"/>
    </row>
    <row r="51488" spans="16:16">
      <c r="P51488" s="2498"/>
    </row>
    <row r="51489" spans="16:16">
      <c r="P51489" s="2498"/>
    </row>
    <row r="51490" spans="16:16">
      <c r="P51490" s="2498"/>
    </row>
    <row r="51491" spans="16:16">
      <c r="P51491" s="2498"/>
    </row>
    <row r="51492" spans="16:16">
      <c r="P51492" s="2498"/>
    </row>
    <row r="51493" spans="16:16">
      <c r="P51493" s="2498"/>
    </row>
    <row r="51494" spans="16:16">
      <c r="P51494" s="2498"/>
    </row>
    <row r="51495" spans="16:16">
      <c r="P51495" s="2498"/>
    </row>
    <row r="51496" spans="16:16">
      <c r="P51496" s="2498"/>
    </row>
    <row r="51497" spans="16:16">
      <c r="P51497" s="2498"/>
    </row>
    <row r="51498" spans="16:16">
      <c r="P51498" s="2498"/>
    </row>
    <row r="51499" spans="16:16">
      <c r="P51499" s="2498"/>
    </row>
    <row r="51500" spans="16:16">
      <c r="P51500" s="2498"/>
    </row>
    <row r="51501" spans="16:16">
      <c r="P51501" s="2498"/>
    </row>
    <row r="51502" spans="16:16">
      <c r="P51502" s="2498"/>
    </row>
    <row r="51503" spans="16:16">
      <c r="P51503" s="2498"/>
    </row>
    <row r="51504" spans="16:16">
      <c r="P51504" s="2498"/>
    </row>
    <row r="51505" spans="16:16">
      <c r="P51505" s="2498"/>
    </row>
    <row r="51506" spans="16:16">
      <c r="P51506" s="2498"/>
    </row>
    <row r="51507" spans="16:16">
      <c r="P51507" s="2498"/>
    </row>
    <row r="51508" spans="16:16">
      <c r="P51508" s="2498"/>
    </row>
    <row r="51509" spans="16:16">
      <c r="P51509" s="2498"/>
    </row>
    <row r="51510" spans="16:16">
      <c r="P51510" s="2498"/>
    </row>
    <row r="51511" spans="16:16">
      <c r="P51511" s="2498"/>
    </row>
    <row r="51512" spans="16:16">
      <c r="P51512" s="2498"/>
    </row>
    <row r="51513" spans="16:16">
      <c r="P51513" s="2498"/>
    </row>
    <row r="51514" spans="16:16">
      <c r="P51514" s="2498"/>
    </row>
    <row r="51515" spans="16:16">
      <c r="P51515" s="2498"/>
    </row>
    <row r="51516" spans="16:16">
      <c r="P51516" s="2498"/>
    </row>
    <row r="51517" spans="16:16">
      <c r="P51517" s="2498"/>
    </row>
    <row r="51518" spans="16:16">
      <c r="P51518" s="2498"/>
    </row>
    <row r="51519" spans="16:16">
      <c r="P51519" s="2498"/>
    </row>
    <row r="51520" spans="16:16">
      <c r="P51520" s="2498"/>
    </row>
    <row r="51521" spans="16:16">
      <c r="P51521" s="2498"/>
    </row>
    <row r="51522" spans="16:16">
      <c r="P51522" s="2498"/>
    </row>
    <row r="51523" spans="16:16">
      <c r="P51523" s="2498"/>
    </row>
    <row r="51524" spans="16:16">
      <c r="P51524" s="2498"/>
    </row>
    <row r="51525" spans="16:16">
      <c r="P51525" s="2498"/>
    </row>
    <row r="51526" spans="16:16">
      <c r="P51526" s="2498"/>
    </row>
    <row r="51527" spans="16:16">
      <c r="P51527" s="2498"/>
    </row>
    <row r="51528" spans="16:16">
      <c r="P51528" s="2498"/>
    </row>
    <row r="51529" spans="16:16">
      <c r="P51529" s="2498"/>
    </row>
    <row r="51530" spans="16:16">
      <c r="P51530" s="2498"/>
    </row>
    <row r="51531" spans="16:16">
      <c r="P51531" s="2498"/>
    </row>
    <row r="51532" spans="16:16">
      <c r="P51532" s="2498"/>
    </row>
    <row r="51533" spans="16:16">
      <c r="P51533" s="2498"/>
    </row>
    <row r="51534" spans="16:16">
      <c r="P51534" s="2498"/>
    </row>
    <row r="51535" spans="16:16">
      <c r="P51535" s="2498"/>
    </row>
    <row r="51536" spans="16:16">
      <c r="P51536" s="2498"/>
    </row>
    <row r="51537" spans="16:16">
      <c r="P51537" s="2498"/>
    </row>
    <row r="51538" spans="16:16">
      <c r="P51538" s="2498"/>
    </row>
    <row r="51539" spans="16:16">
      <c r="P51539" s="2498"/>
    </row>
    <row r="51540" spans="16:16">
      <c r="P51540" s="2498"/>
    </row>
    <row r="51541" spans="16:16">
      <c r="P51541" s="2498"/>
    </row>
    <row r="51542" spans="16:16">
      <c r="P51542" s="2498"/>
    </row>
    <row r="51543" spans="16:16">
      <c r="P51543" s="2498"/>
    </row>
    <row r="51544" spans="16:16">
      <c r="P51544" s="2498"/>
    </row>
    <row r="51545" spans="16:16">
      <c r="P51545" s="2498"/>
    </row>
    <row r="51546" spans="16:16">
      <c r="P51546" s="2498"/>
    </row>
    <row r="51547" spans="16:16">
      <c r="P51547" s="2498"/>
    </row>
    <row r="51548" spans="16:16">
      <c r="P51548" s="2498"/>
    </row>
    <row r="51549" spans="16:16">
      <c r="P51549" s="2498"/>
    </row>
    <row r="51550" spans="16:16">
      <c r="P51550" s="2498"/>
    </row>
    <row r="51551" spans="16:16">
      <c r="P51551" s="2498"/>
    </row>
    <row r="51552" spans="16:16">
      <c r="P51552" s="2498"/>
    </row>
    <row r="51553" spans="16:16">
      <c r="P51553" s="2498"/>
    </row>
    <row r="51554" spans="16:16">
      <c r="P51554" s="2498"/>
    </row>
    <row r="51555" spans="16:16">
      <c r="P51555" s="2498"/>
    </row>
    <row r="51556" spans="16:16">
      <c r="P51556" s="2498"/>
    </row>
    <row r="51557" spans="16:16">
      <c r="P51557" s="2498"/>
    </row>
    <row r="51558" spans="16:16">
      <c r="P51558" s="2498"/>
    </row>
    <row r="51559" spans="16:16">
      <c r="P51559" s="2498"/>
    </row>
    <row r="51560" spans="16:16">
      <c r="P51560" s="2498"/>
    </row>
    <row r="51561" spans="16:16">
      <c r="P51561" s="2498"/>
    </row>
    <row r="51562" spans="16:16">
      <c r="P51562" s="2498"/>
    </row>
    <row r="51563" spans="16:16">
      <c r="P51563" s="2498"/>
    </row>
    <row r="51564" spans="16:16">
      <c r="P51564" s="2498"/>
    </row>
    <row r="51565" spans="16:16">
      <c r="P51565" s="2498"/>
    </row>
    <row r="51566" spans="16:16">
      <c r="P51566" s="2498"/>
    </row>
    <row r="51567" spans="16:16">
      <c r="P51567" s="2498"/>
    </row>
    <row r="51568" spans="16:16">
      <c r="P51568" s="2498"/>
    </row>
    <row r="51569" spans="16:16">
      <c r="P51569" s="2498"/>
    </row>
    <row r="51570" spans="16:16">
      <c r="P51570" s="2498"/>
    </row>
    <row r="51571" spans="16:16">
      <c r="P51571" s="2498"/>
    </row>
    <row r="51572" spans="16:16">
      <c r="P51572" s="2498"/>
    </row>
    <row r="51573" spans="16:16">
      <c r="P51573" s="2498"/>
    </row>
    <row r="51574" spans="16:16">
      <c r="P51574" s="2498"/>
    </row>
    <row r="51575" spans="16:16">
      <c r="P51575" s="2498"/>
    </row>
    <row r="51576" spans="16:16">
      <c r="P51576" s="2498"/>
    </row>
    <row r="51577" spans="16:16">
      <c r="P51577" s="2498"/>
    </row>
    <row r="51578" spans="16:16">
      <c r="P51578" s="2498"/>
    </row>
    <row r="51579" spans="16:16">
      <c r="P51579" s="2498"/>
    </row>
    <row r="51580" spans="16:16">
      <c r="P51580" s="2498"/>
    </row>
    <row r="51581" spans="16:16">
      <c r="P51581" s="2498"/>
    </row>
    <row r="51582" spans="16:16">
      <c r="P51582" s="2498"/>
    </row>
    <row r="51583" spans="16:16">
      <c r="P51583" s="2498"/>
    </row>
    <row r="51584" spans="16:16">
      <c r="P51584" s="2498"/>
    </row>
    <row r="51585" spans="16:16">
      <c r="P51585" s="2498"/>
    </row>
    <row r="51586" spans="16:16">
      <c r="P51586" s="2498"/>
    </row>
    <row r="51587" spans="16:16">
      <c r="P51587" s="2498"/>
    </row>
    <row r="51588" spans="16:16">
      <c r="P51588" s="2498"/>
    </row>
    <row r="51589" spans="16:16">
      <c r="P51589" s="2498"/>
    </row>
    <row r="51590" spans="16:16">
      <c r="P51590" s="2498"/>
    </row>
    <row r="51591" spans="16:16">
      <c r="P51591" s="2498"/>
    </row>
    <row r="51592" spans="16:16">
      <c r="P51592" s="2498"/>
    </row>
    <row r="51593" spans="16:16">
      <c r="P51593" s="2498"/>
    </row>
    <row r="51594" spans="16:16">
      <c r="P51594" s="2498"/>
    </row>
    <row r="51595" spans="16:16">
      <c r="P51595" s="2498"/>
    </row>
    <row r="51596" spans="16:16">
      <c r="P51596" s="2498"/>
    </row>
    <row r="51597" spans="16:16">
      <c r="P51597" s="2498"/>
    </row>
    <row r="51598" spans="16:16">
      <c r="P51598" s="2498"/>
    </row>
    <row r="51599" spans="16:16">
      <c r="P51599" s="2498"/>
    </row>
    <row r="51600" spans="16:16">
      <c r="P51600" s="2498"/>
    </row>
    <row r="51601" spans="16:16">
      <c r="P51601" s="2498"/>
    </row>
    <row r="51602" spans="16:16">
      <c r="P51602" s="2498"/>
    </row>
    <row r="51603" spans="16:16">
      <c r="P51603" s="2498"/>
    </row>
    <row r="51604" spans="16:16">
      <c r="P51604" s="2498"/>
    </row>
    <row r="51605" spans="16:16">
      <c r="P51605" s="2498"/>
    </row>
    <row r="51606" spans="16:16">
      <c r="P51606" s="2498"/>
    </row>
    <row r="51607" spans="16:16">
      <c r="P51607" s="2498"/>
    </row>
    <row r="51608" spans="16:16">
      <c r="P51608" s="2498"/>
    </row>
    <row r="51609" spans="16:16">
      <c r="P51609" s="2498"/>
    </row>
    <row r="51610" spans="16:16">
      <c r="P51610" s="2498"/>
    </row>
    <row r="51611" spans="16:16">
      <c r="P51611" s="2498"/>
    </row>
    <row r="51612" spans="16:16">
      <c r="P51612" s="2498"/>
    </row>
    <row r="51613" spans="16:16">
      <c r="P51613" s="2498"/>
    </row>
    <row r="51614" spans="16:16">
      <c r="P51614" s="2498"/>
    </row>
    <row r="51615" spans="16:16">
      <c r="P51615" s="2498"/>
    </row>
    <row r="51616" spans="16:16">
      <c r="P51616" s="2498"/>
    </row>
    <row r="51617" spans="16:16">
      <c r="P51617" s="2498"/>
    </row>
    <row r="51618" spans="16:16">
      <c r="P51618" s="2498"/>
    </row>
    <row r="51619" spans="16:16">
      <c r="P51619" s="2498"/>
    </row>
    <row r="51620" spans="16:16">
      <c r="P51620" s="2498"/>
    </row>
    <row r="51621" spans="16:16">
      <c r="P51621" s="2498"/>
    </row>
    <row r="51622" spans="16:16">
      <c r="P51622" s="2498"/>
    </row>
    <row r="51623" spans="16:16">
      <c r="P51623" s="2498"/>
    </row>
    <row r="51624" spans="16:16">
      <c r="P51624" s="2498"/>
    </row>
    <row r="51625" spans="16:16">
      <c r="P51625" s="2498"/>
    </row>
    <row r="51626" spans="16:16">
      <c r="P51626" s="2498"/>
    </row>
    <row r="51627" spans="16:16">
      <c r="P51627" s="2498"/>
    </row>
    <row r="51628" spans="16:16">
      <c r="P51628" s="2498"/>
    </row>
    <row r="51629" spans="16:16">
      <c r="P51629" s="2498"/>
    </row>
    <row r="51630" spans="16:16">
      <c r="P51630" s="2498"/>
    </row>
    <row r="51631" spans="16:16">
      <c r="P51631" s="2498"/>
    </row>
    <row r="51632" spans="16:16">
      <c r="P51632" s="2498"/>
    </row>
    <row r="51633" spans="16:16">
      <c r="P51633" s="2498"/>
    </row>
    <row r="51634" spans="16:16">
      <c r="P51634" s="2498"/>
    </row>
    <row r="51635" spans="16:16">
      <c r="P51635" s="2498"/>
    </row>
    <row r="51636" spans="16:16">
      <c r="P51636" s="2498"/>
    </row>
    <row r="51637" spans="16:16">
      <c r="P51637" s="2498"/>
    </row>
    <row r="51638" spans="16:16">
      <c r="P51638" s="2498"/>
    </row>
    <row r="51639" spans="16:16">
      <c r="P51639" s="2498"/>
    </row>
    <row r="51640" spans="16:16">
      <c r="P51640" s="2498"/>
    </row>
    <row r="51641" spans="16:16">
      <c r="P51641" s="2498"/>
    </row>
    <row r="51642" spans="16:16">
      <c r="P51642" s="2498"/>
    </row>
    <row r="51643" spans="16:16">
      <c r="P51643" s="2498"/>
    </row>
    <row r="51644" spans="16:16">
      <c r="P51644" s="2498"/>
    </row>
    <row r="51645" spans="16:16">
      <c r="P51645" s="2498"/>
    </row>
    <row r="51646" spans="16:16">
      <c r="P51646" s="2498"/>
    </row>
    <row r="51647" spans="16:16">
      <c r="P51647" s="2498"/>
    </row>
    <row r="51648" spans="16:16">
      <c r="P51648" s="2498"/>
    </row>
    <row r="51649" spans="16:16">
      <c r="P51649" s="2498"/>
    </row>
    <row r="51650" spans="16:16">
      <c r="P51650" s="2498"/>
    </row>
    <row r="51651" spans="16:16">
      <c r="P51651" s="2498"/>
    </row>
    <row r="51652" spans="16:16">
      <c r="P51652" s="2498"/>
    </row>
    <row r="51653" spans="16:16">
      <c r="P51653" s="2498"/>
    </row>
    <row r="51654" spans="16:16">
      <c r="P51654" s="2498"/>
    </row>
    <row r="51655" spans="16:16">
      <c r="P51655" s="2498"/>
    </row>
    <row r="51656" spans="16:16">
      <c r="P51656" s="2498"/>
    </row>
    <row r="51657" spans="16:16">
      <c r="P51657" s="2498"/>
    </row>
    <row r="51658" spans="16:16">
      <c r="P51658" s="2498"/>
    </row>
    <row r="51659" spans="16:16">
      <c r="P51659" s="2498"/>
    </row>
    <row r="51660" spans="16:16">
      <c r="P51660" s="2498"/>
    </row>
    <row r="51661" spans="16:16">
      <c r="P51661" s="2498"/>
    </row>
    <row r="51662" spans="16:16">
      <c r="P51662" s="2498"/>
    </row>
    <row r="51663" spans="16:16">
      <c r="P51663" s="2498"/>
    </row>
    <row r="51664" spans="16:16">
      <c r="P51664" s="2498"/>
    </row>
    <row r="51665" spans="16:16">
      <c r="P51665" s="2498"/>
    </row>
    <row r="51666" spans="16:16">
      <c r="P51666" s="2498"/>
    </row>
    <row r="51667" spans="16:16">
      <c r="P51667" s="2498"/>
    </row>
    <row r="51668" spans="16:16">
      <c r="P51668" s="2498"/>
    </row>
    <row r="51669" spans="16:16">
      <c r="P51669" s="2498"/>
    </row>
    <row r="51670" spans="16:16">
      <c r="P51670" s="2498"/>
    </row>
    <row r="51671" spans="16:16">
      <c r="P51671" s="2498"/>
    </row>
    <row r="51672" spans="16:16">
      <c r="P51672" s="2498"/>
    </row>
    <row r="51673" spans="16:16">
      <c r="P51673" s="2498"/>
    </row>
    <row r="51674" spans="16:16">
      <c r="P51674" s="2498"/>
    </row>
    <row r="51675" spans="16:16">
      <c r="P51675" s="2498"/>
    </row>
    <row r="51676" spans="16:16">
      <c r="P51676" s="2498"/>
    </row>
    <row r="51677" spans="16:16">
      <c r="P51677" s="2498"/>
    </row>
    <row r="51678" spans="16:16">
      <c r="P51678" s="2498"/>
    </row>
    <row r="51679" spans="16:16">
      <c r="P51679" s="2498"/>
    </row>
    <row r="51680" spans="16:16">
      <c r="P51680" s="2498"/>
    </row>
    <row r="51681" spans="16:16">
      <c r="P51681" s="2498"/>
    </row>
    <row r="51682" spans="16:16">
      <c r="P51682" s="2498"/>
    </row>
    <row r="51683" spans="16:16">
      <c r="P51683" s="2498"/>
    </row>
    <row r="51684" spans="16:16">
      <c r="P51684" s="2498"/>
    </row>
    <row r="51685" spans="16:16">
      <c r="P51685" s="2498"/>
    </row>
    <row r="51686" spans="16:16">
      <c r="P51686" s="2498"/>
    </row>
    <row r="51687" spans="16:16">
      <c r="P51687" s="2498"/>
    </row>
    <row r="51688" spans="16:16">
      <c r="P51688" s="2498"/>
    </row>
    <row r="51689" spans="16:16">
      <c r="P51689" s="2498"/>
    </row>
    <row r="51690" spans="16:16">
      <c r="P51690" s="2498"/>
    </row>
    <row r="51691" spans="16:16">
      <c r="P51691" s="2498"/>
    </row>
    <row r="51692" spans="16:16">
      <c r="P51692" s="2498"/>
    </row>
    <row r="51693" spans="16:16">
      <c r="P51693" s="2498"/>
    </row>
    <row r="51694" spans="16:16">
      <c r="P51694" s="2498"/>
    </row>
    <row r="51695" spans="16:16">
      <c r="P51695" s="2498"/>
    </row>
    <row r="51696" spans="16:16">
      <c r="P51696" s="2498"/>
    </row>
    <row r="51697" spans="16:16">
      <c r="P51697" s="2498"/>
    </row>
    <row r="51698" spans="16:16">
      <c r="P51698" s="2498"/>
    </row>
    <row r="51699" spans="16:16">
      <c r="P51699" s="2498"/>
    </row>
    <row r="51700" spans="16:16">
      <c r="P51700" s="2498"/>
    </row>
    <row r="51701" spans="16:16">
      <c r="P51701" s="2498"/>
    </row>
    <row r="51702" spans="16:16">
      <c r="P51702" s="2498"/>
    </row>
    <row r="51703" spans="16:16">
      <c r="P51703" s="2498"/>
    </row>
    <row r="51704" spans="16:16">
      <c r="P51704" s="2498"/>
    </row>
    <row r="51705" spans="16:16">
      <c r="P51705" s="2498"/>
    </row>
    <row r="51706" spans="16:16">
      <c r="P51706" s="2498"/>
    </row>
    <row r="51707" spans="16:16">
      <c r="P51707" s="2498"/>
    </row>
    <row r="51708" spans="16:16">
      <c r="P51708" s="2498"/>
    </row>
    <row r="51709" spans="16:16">
      <c r="P51709" s="2498"/>
    </row>
    <row r="51710" spans="16:16">
      <c r="P51710" s="2498"/>
    </row>
    <row r="51711" spans="16:16">
      <c r="P51711" s="2498"/>
    </row>
    <row r="51712" spans="16:16">
      <c r="P51712" s="2498"/>
    </row>
    <row r="51713" spans="16:16">
      <c r="P51713" s="2498"/>
    </row>
    <row r="51714" spans="16:16">
      <c r="P51714" s="2498"/>
    </row>
    <row r="51715" spans="16:16">
      <c r="P51715" s="2498"/>
    </row>
    <row r="51716" spans="16:16">
      <c r="P51716" s="2498"/>
    </row>
    <row r="51717" spans="16:16">
      <c r="P51717" s="2498"/>
    </row>
    <row r="51718" spans="16:16">
      <c r="P51718" s="2498"/>
    </row>
    <row r="51719" spans="16:16">
      <c r="P51719" s="2498"/>
    </row>
    <row r="51720" spans="16:16">
      <c r="P51720" s="2498"/>
    </row>
    <row r="51721" spans="16:16">
      <c r="P51721" s="2498"/>
    </row>
    <row r="51722" spans="16:16">
      <c r="P51722" s="2498"/>
    </row>
    <row r="51723" spans="16:16">
      <c r="P51723" s="2498"/>
    </row>
    <row r="51724" spans="16:16">
      <c r="P51724" s="2498"/>
    </row>
    <row r="51725" spans="16:16">
      <c r="P51725" s="2498"/>
    </row>
    <row r="51726" spans="16:16">
      <c r="P51726" s="2498"/>
    </row>
    <row r="51727" spans="16:16">
      <c r="P51727" s="2498"/>
    </row>
    <row r="51728" spans="16:16">
      <c r="P51728" s="2498"/>
    </row>
    <row r="51729" spans="16:16">
      <c r="P51729" s="2498"/>
    </row>
    <row r="51730" spans="16:16">
      <c r="P51730" s="2498"/>
    </row>
    <row r="51731" spans="16:16">
      <c r="P51731" s="2498"/>
    </row>
    <row r="51732" spans="16:16">
      <c r="P51732" s="2498"/>
    </row>
    <row r="51733" spans="16:16">
      <c r="P51733" s="2498"/>
    </row>
    <row r="51734" spans="16:16">
      <c r="P51734" s="2498"/>
    </row>
    <row r="51735" spans="16:16">
      <c r="P51735" s="2498"/>
    </row>
    <row r="51736" spans="16:16">
      <c r="P51736" s="2498"/>
    </row>
    <row r="51737" spans="16:16">
      <c r="P51737" s="2498"/>
    </row>
    <row r="51738" spans="16:16">
      <c r="P51738" s="2498"/>
    </row>
    <row r="51739" spans="16:16">
      <c r="P51739" s="2498"/>
    </row>
    <row r="51740" spans="16:16">
      <c r="P51740" s="2498"/>
    </row>
    <row r="51741" spans="16:16">
      <c r="P51741" s="2498"/>
    </row>
    <row r="51742" spans="16:16">
      <c r="P51742" s="2498"/>
    </row>
    <row r="51743" spans="16:16">
      <c r="P51743" s="2498"/>
    </row>
    <row r="51744" spans="16:16">
      <c r="P51744" s="2498"/>
    </row>
    <row r="51745" spans="16:16">
      <c r="P51745" s="2498"/>
    </row>
    <row r="51746" spans="16:16">
      <c r="P51746" s="2498"/>
    </row>
    <row r="51747" spans="16:16">
      <c r="P51747" s="2498"/>
    </row>
    <row r="51748" spans="16:16">
      <c r="P51748" s="2498"/>
    </row>
    <row r="51749" spans="16:16">
      <c r="P51749" s="2498"/>
    </row>
    <row r="51750" spans="16:16">
      <c r="P51750" s="2498"/>
    </row>
    <row r="51751" spans="16:16">
      <c r="P51751" s="2498"/>
    </row>
    <row r="51752" spans="16:16">
      <c r="P51752" s="2498"/>
    </row>
    <row r="51753" spans="16:16">
      <c r="P51753" s="2498"/>
    </row>
    <row r="51754" spans="16:16">
      <c r="P51754" s="2498"/>
    </row>
    <row r="51755" spans="16:16">
      <c r="P51755" s="2498"/>
    </row>
    <row r="51756" spans="16:16">
      <c r="P51756" s="2498"/>
    </row>
    <row r="51757" spans="16:16">
      <c r="P51757" s="2498"/>
    </row>
    <row r="51758" spans="16:16">
      <c r="P51758" s="2498"/>
    </row>
    <row r="51759" spans="16:16">
      <c r="P51759" s="2498"/>
    </row>
    <row r="51760" spans="16:16">
      <c r="P51760" s="2498"/>
    </row>
    <row r="51761" spans="16:16">
      <c r="P51761" s="2498"/>
    </row>
    <row r="51762" spans="16:16">
      <c r="P51762" s="2498"/>
    </row>
    <row r="51763" spans="16:16">
      <c r="P51763" s="2498"/>
    </row>
    <row r="51764" spans="16:16">
      <c r="P51764" s="2498"/>
    </row>
    <row r="51765" spans="16:16">
      <c r="P51765" s="2498"/>
    </row>
    <row r="51766" spans="16:16">
      <c r="P51766" s="2498"/>
    </row>
    <row r="51767" spans="16:16">
      <c r="P51767" s="2498"/>
    </row>
    <row r="51768" spans="16:16">
      <c r="P51768" s="2498"/>
    </row>
    <row r="51769" spans="16:16">
      <c r="P51769" s="2498"/>
    </row>
    <row r="51770" spans="16:16">
      <c r="P51770" s="2498"/>
    </row>
    <row r="51771" spans="16:16">
      <c r="P51771" s="2498"/>
    </row>
    <row r="51772" spans="16:16">
      <c r="P51772" s="2498"/>
    </row>
    <row r="51773" spans="16:16">
      <c r="P51773" s="2498"/>
    </row>
    <row r="51774" spans="16:16">
      <c r="P51774" s="2498"/>
    </row>
    <row r="51775" spans="16:16">
      <c r="P51775" s="2498"/>
    </row>
    <row r="51776" spans="16:16">
      <c r="P51776" s="2498"/>
    </row>
    <row r="51777" spans="16:16">
      <c r="P51777" s="2498"/>
    </row>
    <row r="51778" spans="16:16">
      <c r="P51778" s="2498"/>
    </row>
    <row r="51779" spans="16:16">
      <c r="P51779" s="2498"/>
    </row>
    <row r="51780" spans="16:16">
      <c r="P51780" s="2498"/>
    </row>
    <row r="51781" spans="16:16">
      <c r="P51781" s="2498"/>
    </row>
    <row r="51782" spans="16:16">
      <c r="P51782" s="2498"/>
    </row>
    <row r="51783" spans="16:16">
      <c r="P51783" s="2498"/>
    </row>
    <row r="51784" spans="16:16">
      <c r="P51784" s="2498"/>
    </row>
    <row r="51785" spans="16:16">
      <c r="P51785" s="2498"/>
    </row>
    <row r="51786" spans="16:16">
      <c r="P51786" s="2498"/>
    </row>
    <row r="51787" spans="16:16">
      <c r="P51787" s="2498"/>
    </row>
    <row r="51788" spans="16:16">
      <c r="P51788" s="2498"/>
    </row>
    <row r="51789" spans="16:16">
      <c r="P51789" s="2498"/>
    </row>
    <row r="51790" spans="16:16">
      <c r="P51790" s="2498"/>
    </row>
    <row r="51791" spans="16:16">
      <c r="P51791" s="2498"/>
    </row>
    <row r="51792" spans="16:16">
      <c r="P51792" s="2498"/>
    </row>
    <row r="51793" spans="16:16">
      <c r="P51793" s="2498"/>
    </row>
    <row r="51794" spans="16:16">
      <c r="P51794" s="2498"/>
    </row>
    <row r="51795" spans="16:16">
      <c r="P51795" s="2498"/>
    </row>
    <row r="51796" spans="16:16">
      <c r="P51796" s="2498"/>
    </row>
    <row r="51797" spans="16:16">
      <c r="P51797" s="2498"/>
    </row>
    <row r="51798" spans="16:16">
      <c r="P51798" s="2498"/>
    </row>
    <row r="51799" spans="16:16">
      <c r="P51799" s="2498"/>
    </row>
    <row r="51800" spans="16:16">
      <c r="P51800" s="2498"/>
    </row>
    <row r="51801" spans="16:16">
      <c r="P51801" s="2498"/>
    </row>
    <row r="51802" spans="16:16">
      <c r="P51802" s="2498"/>
    </row>
    <row r="51803" spans="16:16">
      <c r="P51803" s="2498"/>
    </row>
    <row r="51804" spans="16:16">
      <c r="P51804" s="2498"/>
    </row>
    <row r="51805" spans="16:16">
      <c r="P51805" s="2498"/>
    </row>
    <row r="51806" spans="16:16">
      <c r="P51806" s="2498"/>
    </row>
    <row r="51807" spans="16:16">
      <c r="P51807" s="2498"/>
    </row>
    <row r="51808" spans="16:16">
      <c r="P51808" s="2498"/>
    </row>
    <row r="51809" spans="16:16">
      <c r="P51809" s="2498"/>
    </row>
    <row r="51810" spans="16:16">
      <c r="P51810" s="2498"/>
    </row>
    <row r="51811" spans="16:16">
      <c r="P51811" s="2498"/>
    </row>
    <row r="51812" spans="16:16">
      <c r="P51812" s="2498"/>
    </row>
    <row r="51813" spans="16:16">
      <c r="P51813" s="2498"/>
    </row>
    <row r="51814" spans="16:16">
      <c r="P51814" s="2498"/>
    </row>
    <row r="51815" spans="16:16">
      <c r="P51815" s="2498"/>
    </row>
    <row r="51816" spans="16:16">
      <c r="P51816" s="2498"/>
    </row>
    <row r="51817" spans="16:16">
      <c r="P51817" s="2498"/>
    </row>
    <row r="51818" spans="16:16">
      <c r="P51818" s="2498"/>
    </row>
    <row r="51819" spans="16:16">
      <c r="P51819" s="2498"/>
    </row>
    <row r="51820" spans="16:16">
      <c r="P51820" s="2498"/>
    </row>
    <row r="51821" spans="16:16">
      <c r="P51821" s="2498"/>
    </row>
    <row r="51822" spans="16:16">
      <c r="P51822" s="2498"/>
    </row>
    <row r="51823" spans="16:16">
      <c r="P51823" s="2498"/>
    </row>
    <row r="51824" spans="16:16">
      <c r="P51824" s="2498"/>
    </row>
    <row r="51825" spans="16:16">
      <c r="P51825" s="2498"/>
    </row>
    <row r="51826" spans="16:16">
      <c r="P51826" s="2498"/>
    </row>
    <row r="51827" spans="16:16">
      <c r="P51827" s="2498"/>
    </row>
    <row r="51828" spans="16:16">
      <c r="P51828" s="2498"/>
    </row>
    <row r="51829" spans="16:16">
      <c r="P51829" s="2498"/>
    </row>
    <row r="51830" spans="16:16">
      <c r="P51830" s="2498"/>
    </row>
    <row r="51831" spans="16:16">
      <c r="P51831" s="2498"/>
    </row>
    <row r="51832" spans="16:16">
      <c r="P51832" s="2498"/>
    </row>
    <row r="51833" spans="16:16">
      <c r="P51833" s="2498"/>
    </row>
    <row r="51834" spans="16:16">
      <c r="P51834" s="2498"/>
    </row>
    <row r="51835" spans="16:16">
      <c r="P51835" s="2498"/>
    </row>
    <row r="51836" spans="16:16">
      <c r="P51836" s="2498"/>
    </row>
    <row r="51837" spans="16:16">
      <c r="P51837" s="2498"/>
    </row>
    <row r="51838" spans="16:16">
      <c r="P51838" s="2498"/>
    </row>
    <row r="51839" spans="16:16">
      <c r="P51839" s="2498"/>
    </row>
    <row r="51840" spans="16:16">
      <c r="P51840" s="2498"/>
    </row>
    <row r="51841" spans="16:16">
      <c r="P51841" s="2498"/>
    </row>
    <row r="51842" spans="16:16">
      <c r="P51842" s="2498"/>
    </row>
    <row r="51843" spans="16:16">
      <c r="P51843" s="2498"/>
    </row>
    <row r="51844" spans="16:16">
      <c r="P51844" s="2498"/>
    </row>
    <row r="51845" spans="16:16">
      <c r="P51845" s="2498"/>
    </row>
    <row r="51846" spans="16:16">
      <c r="P51846" s="2498"/>
    </row>
    <row r="51847" spans="16:16">
      <c r="P51847" s="2498"/>
    </row>
    <row r="51848" spans="16:16">
      <c r="P51848" s="2498"/>
    </row>
    <row r="51849" spans="16:16">
      <c r="P51849" s="2498"/>
    </row>
    <row r="51850" spans="16:16">
      <c r="P51850" s="2498"/>
    </row>
    <row r="51851" spans="16:16">
      <c r="P51851" s="2498"/>
    </row>
    <row r="51852" spans="16:16">
      <c r="P51852" s="2498"/>
    </row>
    <row r="51853" spans="16:16">
      <c r="P51853" s="2498"/>
    </row>
    <row r="51854" spans="16:16">
      <c r="P51854" s="2498"/>
    </row>
    <row r="51855" spans="16:16">
      <c r="P51855" s="2498"/>
    </row>
    <row r="51856" spans="16:16">
      <c r="P51856" s="2498"/>
    </row>
    <row r="51857" spans="16:16">
      <c r="P51857" s="2498"/>
    </row>
    <row r="51858" spans="16:16">
      <c r="P51858" s="2498"/>
    </row>
    <row r="51859" spans="16:16">
      <c r="P51859" s="2498"/>
    </row>
    <row r="51860" spans="16:16">
      <c r="P51860" s="2498"/>
    </row>
    <row r="51861" spans="16:16">
      <c r="P51861" s="2498"/>
    </row>
    <row r="51862" spans="16:16">
      <c r="P51862" s="2498"/>
    </row>
    <row r="51863" spans="16:16">
      <c r="P51863" s="2498"/>
    </row>
    <row r="51864" spans="16:16">
      <c r="P51864" s="2498"/>
    </row>
    <row r="51865" spans="16:16">
      <c r="P51865" s="2498"/>
    </row>
    <row r="51866" spans="16:16">
      <c r="P51866" s="2498"/>
    </row>
    <row r="51867" spans="16:16">
      <c r="P51867" s="2498"/>
    </row>
    <row r="51868" spans="16:16">
      <c r="P51868" s="2498"/>
    </row>
    <row r="51869" spans="16:16">
      <c r="P51869" s="2498"/>
    </row>
    <row r="51870" spans="16:16">
      <c r="P51870" s="2498"/>
    </row>
    <row r="51871" spans="16:16">
      <c r="P51871" s="2498"/>
    </row>
    <row r="51872" spans="16:16">
      <c r="P51872" s="2498"/>
    </row>
    <row r="51873" spans="16:16">
      <c r="P51873" s="2498"/>
    </row>
    <row r="51874" spans="16:16">
      <c r="P51874" s="2498"/>
    </row>
    <row r="51875" spans="16:16">
      <c r="P51875" s="2498"/>
    </row>
    <row r="51876" spans="16:16">
      <c r="P51876" s="2498"/>
    </row>
    <row r="51877" spans="16:16">
      <c r="P51877" s="2498"/>
    </row>
    <row r="51878" spans="16:16">
      <c r="P51878" s="2498"/>
    </row>
    <row r="51879" spans="16:16">
      <c r="P51879" s="2498"/>
    </row>
    <row r="51880" spans="16:16">
      <c r="P51880" s="2498"/>
    </row>
    <row r="51881" spans="16:16">
      <c r="P51881" s="2498"/>
    </row>
    <row r="51882" spans="16:16">
      <c r="P51882" s="2498"/>
    </row>
    <row r="51883" spans="16:16">
      <c r="P51883" s="2498"/>
    </row>
    <row r="51884" spans="16:16">
      <c r="P51884" s="2498"/>
    </row>
    <row r="51885" spans="16:16">
      <c r="P51885" s="2498"/>
    </row>
    <row r="51886" spans="16:16">
      <c r="P51886" s="2498"/>
    </row>
    <row r="51887" spans="16:16">
      <c r="P51887" s="2498"/>
    </row>
    <row r="51888" spans="16:16">
      <c r="P51888" s="2498"/>
    </row>
    <row r="51889" spans="16:16">
      <c r="P51889" s="2498"/>
    </row>
    <row r="51890" spans="16:16">
      <c r="P51890" s="2498"/>
    </row>
    <row r="51891" spans="16:16">
      <c r="P51891" s="2498"/>
    </row>
    <row r="51892" spans="16:16">
      <c r="P51892" s="2498"/>
    </row>
    <row r="51893" spans="16:16">
      <c r="P51893" s="2498"/>
    </row>
    <row r="51894" spans="16:16">
      <c r="P51894" s="2498"/>
    </row>
    <row r="51895" spans="16:16">
      <c r="P51895" s="2498"/>
    </row>
    <row r="51896" spans="16:16">
      <c r="P51896" s="2498"/>
    </row>
    <row r="51897" spans="16:16">
      <c r="P51897" s="2498"/>
    </row>
    <row r="51898" spans="16:16">
      <c r="P51898" s="2498"/>
    </row>
    <row r="51899" spans="16:16">
      <c r="P51899" s="2498"/>
    </row>
    <row r="51900" spans="16:16">
      <c r="P51900" s="2498"/>
    </row>
    <row r="51901" spans="16:16">
      <c r="P51901" s="2498"/>
    </row>
    <row r="51902" spans="16:16">
      <c r="P51902" s="2498"/>
    </row>
    <row r="51903" spans="16:16">
      <c r="P51903" s="2498"/>
    </row>
    <row r="51904" spans="16:16">
      <c r="P51904" s="2498"/>
    </row>
    <row r="51905" spans="16:16">
      <c r="P51905" s="2498"/>
    </row>
    <row r="51906" spans="16:16">
      <c r="P51906" s="2498"/>
    </row>
    <row r="51907" spans="16:16">
      <c r="P51907" s="2498"/>
    </row>
    <row r="51908" spans="16:16">
      <c r="P51908" s="2498"/>
    </row>
    <row r="51909" spans="16:16">
      <c r="P51909" s="2498"/>
    </row>
    <row r="51910" spans="16:16">
      <c r="P51910" s="2498"/>
    </row>
    <row r="51911" spans="16:16">
      <c r="P51911" s="2498"/>
    </row>
    <row r="51912" spans="16:16">
      <c r="P51912" s="2498"/>
    </row>
    <row r="51913" spans="16:16">
      <c r="P51913" s="2498"/>
    </row>
    <row r="51914" spans="16:16">
      <c r="P51914" s="2498"/>
    </row>
    <row r="51915" spans="16:16">
      <c r="P51915" s="2498"/>
    </row>
    <row r="51916" spans="16:16">
      <c r="P51916" s="2498"/>
    </row>
    <row r="51917" spans="16:16">
      <c r="P51917" s="2498"/>
    </row>
    <row r="51918" spans="16:16">
      <c r="P51918" s="2498"/>
    </row>
    <row r="51919" spans="16:16">
      <c r="P51919" s="2498"/>
    </row>
    <row r="51920" spans="16:16">
      <c r="P51920" s="2498"/>
    </row>
    <row r="51921" spans="16:16">
      <c r="P51921" s="2498"/>
    </row>
    <row r="51922" spans="16:16">
      <c r="P51922" s="2498"/>
    </row>
    <row r="51923" spans="16:16">
      <c r="P51923" s="2498"/>
    </row>
    <row r="51924" spans="16:16">
      <c r="P51924" s="2498"/>
    </row>
    <row r="51925" spans="16:16">
      <c r="P51925" s="2498"/>
    </row>
    <row r="51926" spans="16:16">
      <c r="P51926" s="2498"/>
    </row>
    <row r="51927" spans="16:16">
      <c r="P51927" s="2498"/>
    </row>
    <row r="51928" spans="16:16">
      <c r="P51928" s="2498"/>
    </row>
    <row r="51929" spans="16:16">
      <c r="P51929" s="2498"/>
    </row>
    <row r="51930" spans="16:16">
      <c r="P51930" s="2498"/>
    </row>
    <row r="51931" spans="16:16">
      <c r="P51931" s="2498"/>
    </row>
    <row r="51932" spans="16:16">
      <c r="P51932" s="2498"/>
    </row>
    <row r="51933" spans="16:16">
      <c r="P51933" s="2498"/>
    </row>
    <row r="51934" spans="16:16">
      <c r="P51934" s="2498"/>
    </row>
    <row r="51935" spans="16:16">
      <c r="P51935" s="2498"/>
    </row>
    <row r="51936" spans="16:16">
      <c r="P51936" s="2498"/>
    </row>
    <row r="51937" spans="16:16">
      <c r="P51937" s="2498"/>
    </row>
    <row r="51938" spans="16:16">
      <c r="P51938" s="2498"/>
    </row>
    <row r="51939" spans="16:16">
      <c r="P51939" s="2498"/>
    </row>
    <row r="51940" spans="16:16">
      <c r="P51940" s="2498"/>
    </row>
    <row r="51941" spans="16:16">
      <c r="P51941" s="2498"/>
    </row>
    <row r="51942" spans="16:16">
      <c r="P51942" s="2498"/>
    </row>
    <row r="51943" spans="16:16">
      <c r="P51943" s="2498"/>
    </row>
    <row r="51944" spans="16:16">
      <c r="P51944" s="2498"/>
    </row>
    <row r="51945" spans="16:16">
      <c r="P51945" s="2498"/>
    </row>
    <row r="51946" spans="16:16">
      <c r="P51946" s="2498"/>
    </row>
    <row r="51947" spans="16:16">
      <c r="P51947" s="2498"/>
    </row>
    <row r="51948" spans="16:16">
      <c r="P51948" s="2498"/>
    </row>
    <row r="51949" spans="16:16">
      <c r="P51949" s="2498"/>
    </row>
    <row r="51950" spans="16:16">
      <c r="P51950" s="2498"/>
    </row>
    <row r="51951" spans="16:16">
      <c r="P51951" s="2498"/>
    </row>
    <row r="51952" spans="16:16">
      <c r="P51952" s="2498"/>
    </row>
    <row r="51953" spans="16:16">
      <c r="P51953" s="2498"/>
    </row>
    <row r="51954" spans="16:16">
      <c r="P51954" s="2498"/>
    </row>
    <row r="51955" spans="16:16">
      <c r="P51955" s="2498"/>
    </row>
    <row r="51956" spans="16:16">
      <c r="P51956" s="2498"/>
    </row>
    <row r="51957" spans="16:16">
      <c r="P51957" s="2498"/>
    </row>
    <row r="51958" spans="16:16">
      <c r="P51958" s="2498"/>
    </row>
    <row r="51959" spans="16:16">
      <c r="P51959" s="2498"/>
    </row>
    <row r="51960" spans="16:16">
      <c r="P51960" s="2498"/>
    </row>
    <row r="51961" spans="16:16">
      <c r="P51961" s="2498"/>
    </row>
    <row r="51962" spans="16:16">
      <c r="P51962" s="2498"/>
    </row>
    <row r="51963" spans="16:16">
      <c r="P51963" s="2498"/>
    </row>
    <row r="51964" spans="16:16">
      <c r="P51964" s="2498"/>
    </row>
    <row r="51965" spans="16:16">
      <c r="P51965" s="2498"/>
    </row>
    <row r="51966" spans="16:16">
      <c r="P51966" s="2498"/>
    </row>
    <row r="51967" spans="16:16">
      <c r="P51967" s="2498"/>
    </row>
    <row r="51968" spans="16:16">
      <c r="P51968" s="2498"/>
    </row>
    <row r="51969" spans="16:16">
      <c r="P51969" s="2498"/>
    </row>
    <row r="51970" spans="16:16">
      <c r="P51970" s="2498"/>
    </row>
    <row r="51971" spans="16:16">
      <c r="P51971" s="2498"/>
    </row>
    <row r="51972" spans="16:16">
      <c r="P51972" s="2498"/>
    </row>
    <row r="51973" spans="16:16">
      <c r="P51973" s="2498"/>
    </row>
    <row r="51974" spans="16:16">
      <c r="P51974" s="2498"/>
    </row>
    <row r="51975" spans="16:16">
      <c r="P51975" s="2498"/>
    </row>
    <row r="51976" spans="16:16">
      <c r="P51976" s="2498"/>
    </row>
    <row r="51977" spans="16:16">
      <c r="P51977" s="2498"/>
    </row>
    <row r="51978" spans="16:16">
      <c r="P51978" s="2498"/>
    </row>
    <row r="51979" spans="16:16">
      <c r="P51979" s="2498"/>
    </row>
    <row r="51980" spans="16:16">
      <c r="P51980" s="2498"/>
    </row>
    <row r="51981" spans="16:16">
      <c r="P51981" s="2498"/>
    </row>
    <row r="51982" spans="16:16">
      <c r="P51982" s="2498"/>
    </row>
    <row r="51983" spans="16:16">
      <c r="P51983" s="2498"/>
    </row>
    <row r="51984" spans="16:16">
      <c r="P51984" s="2498"/>
    </row>
    <row r="51985" spans="16:16">
      <c r="P51985" s="2498"/>
    </row>
    <row r="51986" spans="16:16">
      <c r="P51986" s="2498"/>
    </row>
    <row r="51987" spans="16:16">
      <c r="P51987" s="2498"/>
    </row>
    <row r="51988" spans="16:16">
      <c r="P51988" s="2498"/>
    </row>
    <row r="51989" spans="16:16">
      <c r="P51989" s="2498"/>
    </row>
    <row r="51990" spans="16:16">
      <c r="P51990" s="2498"/>
    </row>
    <row r="51991" spans="16:16">
      <c r="P51991" s="2498"/>
    </row>
    <row r="51992" spans="16:16">
      <c r="P51992" s="2498"/>
    </row>
    <row r="51993" spans="16:16">
      <c r="P51993" s="2498"/>
    </row>
    <row r="51994" spans="16:16">
      <c r="P51994" s="2498"/>
    </row>
    <row r="51995" spans="16:16">
      <c r="P51995" s="2498"/>
    </row>
    <row r="51996" spans="16:16">
      <c r="P51996" s="2498"/>
    </row>
    <row r="51997" spans="16:16">
      <c r="P51997" s="2498"/>
    </row>
    <row r="51998" spans="16:16">
      <c r="P51998" s="2498"/>
    </row>
    <row r="51999" spans="16:16">
      <c r="P51999" s="2498"/>
    </row>
    <row r="52000" spans="16:16">
      <c r="P52000" s="2498"/>
    </row>
    <row r="52001" spans="16:16">
      <c r="P52001" s="2498"/>
    </row>
    <row r="52002" spans="16:16">
      <c r="P52002" s="2498"/>
    </row>
    <row r="52003" spans="16:16">
      <c r="P52003" s="2498"/>
    </row>
    <row r="52004" spans="16:16">
      <c r="P52004" s="2498"/>
    </row>
    <row r="52005" spans="16:16">
      <c r="P52005" s="2498"/>
    </row>
    <row r="52006" spans="16:16">
      <c r="P52006" s="2498"/>
    </row>
    <row r="52007" spans="16:16">
      <c r="P52007" s="2498"/>
    </row>
    <row r="52008" spans="16:16">
      <c r="P52008" s="2498"/>
    </row>
    <row r="52009" spans="16:16">
      <c r="P52009" s="2498"/>
    </row>
    <row r="52010" spans="16:16">
      <c r="P52010" s="2498"/>
    </row>
    <row r="52011" spans="16:16">
      <c r="P52011" s="2498"/>
    </row>
    <row r="52012" spans="16:16">
      <c r="P52012" s="2498"/>
    </row>
    <row r="52013" spans="16:16">
      <c r="P52013" s="2498"/>
    </row>
    <row r="52014" spans="16:16">
      <c r="P52014" s="2498"/>
    </row>
    <row r="52015" spans="16:16">
      <c r="P52015" s="2498"/>
    </row>
    <row r="52016" spans="16:16">
      <c r="P52016" s="2498"/>
    </row>
    <row r="52017" spans="16:16">
      <c r="P52017" s="2498"/>
    </row>
    <row r="52018" spans="16:16">
      <c r="P52018" s="2498"/>
    </row>
    <row r="52019" spans="16:16">
      <c r="P52019" s="2498"/>
    </row>
    <row r="52020" spans="16:16">
      <c r="P52020" s="2498"/>
    </row>
    <row r="52021" spans="16:16">
      <c r="P52021" s="2498"/>
    </row>
    <row r="52022" spans="16:16">
      <c r="P52022" s="2498"/>
    </row>
    <row r="52023" spans="16:16">
      <c r="P52023" s="2498"/>
    </row>
    <row r="52024" spans="16:16">
      <c r="P52024" s="2498"/>
    </row>
    <row r="52025" spans="16:16">
      <c r="P52025" s="2498"/>
    </row>
    <row r="52026" spans="16:16">
      <c r="P52026" s="2498"/>
    </row>
    <row r="52027" spans="16:16">
      <c r="P52027" s="2498"/>
    </row>
    <row r="52028" spans="16:16">
      <c r="P52028" s="2498"/>
    </row>
    <row r="52029" spans="16:16">
      <c r="P52029" s="2498"/>
    </row>
    <row r="52030" spans="16:16">
      <c r="P52030" s="2498"/>
    </row>
    <row r="52031" spans="16:16">
      <c r="P52031" s="2498"/>
    </row>
    <row r="52032" spans="16:16">
      <c r="P52032" s="2498"/>
    </row>
    <row r="52033" spans="16:16">
      <c r="P52033" s="2498"/>
    </row>
    <row r="52034" spans="16:16">
      <c r="P52034" s="2498"/>
    </row>
    <row r="52035" spans="16:16">
      <c r="P52035" s="2498"/>
    </row>
    <row r="52036" spans="16:16">
      <c r="P52036" s="2498"/>
    </row>
    <row r="52037" spans="16:16">
      <c r="P52037" s="2498"/>
    </row>
    <row r="52038" spans="16:16">
      <c r="P52038" s="2498"/>
    </row>
    <row r="52039" spans="16:16">
      <c r="P52039" s="2498"/>
    </row>
    <row r="52040" spans="16:16">
      <c r="P52040" s="2498"/>
    </row>
    <row r="52041" spans="16:16">
      <c r="P52041" s="2498"/>
    </row>
    <row r="52042" spans="16:16">
      <c r="P52042" s="2498"/>
    </row>
    <row r="52043" spans="16:16">
      <c r="P52043" s="2498"/>
    </row>
    <row r="52044" spans="16:16">
      <c r="P52044" s="2498"/>
    </row>
    <row r="52045" spans="16:16">
      <c r="P52045" s="2498"/>
    </row>
    <row r="52046" spans="16:16">
      <c r="P52046" s="2498"/>
    </row>
    <row r="52047" spans="16:16">
      <c r="P52047" s="2498"/>
    </row>
    <row r="52048" spans="16:16">
      <c r="P52048" s="2498"/>
    </row>
    <row r="52049" spans="16:16">
      <c r="P52049" s="2498"/>
    </row>
    <row r="52050" spans="16:16">
      <c r="P52050" s="2498"/>
    </row>
    <row r="52051" spans="16:16">
      <c r="P52051" s="2498"/>
    </row>
    <row r="52052" spans="16:16">
      <c r="P52052" s="2498"/>
    </row>
    <row r="52053" spans="16:16">
      <c r="P52053" s="2498"/>
    </row>
    <row r="52054" spans="16:16">
      <c r="P52054" s="2498"/>
    </row>
    <row r="52055" spans="16:16">
      <c r="P52055" s="2498"/>
    </row>
    <row r="52056" spans="16:16">
      <c r="P52056" s="2498"/>
    </row>
    <row r="52057" spans="16:16">
      <c r="P52057" s="2498"/>
    </row>
    <row r="52058" spans="16:16">
      <c r="P52058" s="2498"/>
    </row>
    <row r="52059" spans="16:16">
      <c r="P52059" s="2498"/>
    </row>
    <row r="52060" spans="16:16">
      <c r="P52060" s="2498"/>
    </row>
    <row r="52061" spans="16:16">
      <c r="P52061" s="2498"/>
    </row>
    <row r="52062" spans="16:16">
      <c r="P52062" s="2498"/>
    </row>
    <row r="52063" spans="16:16">
      <c r="P52063" s="2498"/>
    </row>
    <row r="52064" spans="16:16">
      <c r="P52064" s="2498"/>
    </row>
    <row r="52065" spans="16:16">
      <c r="P52065" s="2498"/>
    </row>
    <row r="52066" spans="16:16">
      <c r="P52066" s="2498"/>
    </row>
    <row r="52067" spans="16:16">
      <c r="P52067" s="2498"/>
    </row>
    <row r="52068" spans="16:16">
      <c r="P52068" s="2498"/>
    </row>
    <row r="52069" spans="16:16">
      <c r="P52069" s="2498"/>
    </row>
    <row r="52070" spans="16:16">
      <c r="P52070" s="2498"/>
    </row>
    <row r="52071" spans="16:16">
      <c r="P52071" s="2498"/>
    </row>
    <row r="52072" spans="16:16">
      <c r="P52072" s="2498"/>
    </row>
    <row r="52073" spans="16:16">
      <c r="P52073" s="2498"/>
    </row>
    <row r="52074" spans="16:16">
      <c r="P52074" s="2498"/>
    </row>
    <row r="52075" spans="16:16">
      <c r="P52075" s="2498"/>
    </row>
    <row r="52076" spans="16:16">
      <c r="P52076" s="2498"/>
    </row>
    <row r="52077" spans="16:16">
      <c r="P52077" s="2498"/>
    </row>
    <row r="52078" spans="16:16">
      <c r="P52078" s="2498"/>
    </row>
    <row r="52079" spans="16:16">
      <c r="P52079" s="2498"/>
    </row>
    <row r="52080" spans="16:16">
      <c r="P52080" s="2498"/>
    </row>
    <row r="52081" spans="16:16">
      <c r="P52081" s="2498"/>
    </row>
    <row r="52082" spans="16:16">
      <c r="P52082" s="2498"/>
    </row>
    <row r="52083" spans="16:16">
      <c r="P52083" s="2498"/>
    </row>
    <row r="52084" spans="16:16">
      <c r="P52084" s="2498"/>
    </row>
    <row r="52085" spans="16:16">
      <c r="P52085" s="2498"/>
    </row>
    <row r="52086" spans="16:16">
      <c r="P52086" s="2498"/>
    </row>
    <row r="52087" spans="16:16">
      <c r="P52087" s="2498"/>
    </row>
    <row r="52088" spans="16:16">
      <c r="P52088" s="2498"/>
    </row>
    <row r="52089" spans="16:16">
      <c r="P52089" s="2498"/>
    </row>
    <row r="52090" spans="16:16">
      <c r="P52090" s="2498"/>
    </row>
    <row r="52091" spans="16:16">
      <c r="P52091" s="2498"/>
    </row>
    <row r="52092" spans="16:16">
      <c r="P52092" s="2498"/>
    </row>
    <row r="52093" spans="16:16">
      <c r="P52093" s="2498"/>
    </row>
    <row r="52094" spans="16:16">
      <c r="P52094" s="2498"/>
    </row>
    <row r="52095" spans="16:16">
      <c r="P52095" s="2498"/>
    </row>
    <row r="52096" spans="16:16">
      <c r="P52096" s="2498"/>
    </row>
    <row r="52097" spans="16:16">
      <c r="P52097" s="2498"/>
    </row>
    <row r="52098" spans="16:16">
      <c r="P52098" s="2498"/>
    </row>
    <row r="52099" spans="16:16">
      <c r="P52099" s="2498"/>
    </row>
    <row r="52100" spans="16:16">
      <c r="P52100" s="2498"/>
    </row>
    <row r="52101" spans="16:16">
      <c r="P52101" s="2498"/>
    </row>
    <row r="52102" spans="16:16">
      <c r="P52102" s="2498"/>
    </row>
    <row r="52103" spans="16:16">
      <c r="P52103" s="2498"/>
    </row>
    <row r="52104" spans="16:16">
      <c r="P52104" s="2498"/>
    </row>
    <row r="52105" spans="16:16">
      <c r="P52105" s="2498"/>
    </row>
    <row r="52106" spans="16:16">
      <c r="P52106" s="2498"/>
    </row>
    <row r="52107" spans="16:16">
      <c r="P52107" s="2498"/>
    </row>
    <row r="52108" spans="16:16">
      <c r="P52108" s="2498"/>
    </row>
    <row r="52109" spans="16:16">
      <c r="P52109" s="2498"/>
    </row>
    <row r="52110" spans="16:16">
      <c r="P52110" s="2498"/>
    </row>
    <row r="52111" spans="16:16">
      <c r="P52111" s="2498"/>
    </row>
    <row r="52112" spans="16:16">
      <c r="P52112" s="2498"/>
    </row>
    <row r="52113" spans="16:16">
      <c r="P52113" s="2498"/>
    </row>
    <row r="52114" spans="16:16">
      <c r="P52114" s="2498"/>
    </row>
    <row r="52115" spans="16:16">
      <c r="P52115" s="2498"/>
    </row>
    <row r="52116" spans="16:16">
      <c r="P52116" s="2498"/>
    </row>
    <row r="52117" spans="16:16">
      <c r="P52117" s="2498"/>
    </row>
    <row r="52118" spans="16:16">
      <c r="P52118" s="2498"/>
    </row>
    <row r="52119" spans="16:16">
      <c r="P52119" s="2498"/>
    </row>
    <row r="52120" spans="16:16">
      <c r="P52120" s="2498"/>
    </row>
    <row r="52121" spans="16:16">
      <c r="P52121" s="2498"/>
    </row>
    <row r="52122" spans="16:16">
      <c r="P52122" s="2498"/>
    </row>
    <row r="52123" spans="16:16">
      <c r="P52123" s="2498"/>
    </row>
    <row r="52124" spans="16:16">
      <c r="P52124" s="2498"/>
    </row>
    <row r="52125" spans="16:16">
      <c r="P52125" s="2498"/>
    </row>
    <row r="52126" spans="16:16">
      <c r="P52126" s="2498"/>
    </row>
    <row r="52127" spans="16:16">
      <c r="P52127" s="2498"/>
    </row>
    <row r="52128" spans="16:16">
      <c r="P52128" s="2498"/>
    </row>
    <row r="52129" spans="16:16">
      <c r="P52129" s="2498"/>
    </row>
    <row r="52130" spans="16:16">
      <c r="P52130" s="2498"/>
    </row>
    <row r="52131" spans="16:16">
      <c r="P52131" s="2498"/>
    </row>
    <row r="52132" spans="16:16">
      <c r="P52132" s="2498"/>
    </row>
    <row r="52133" spans="16:16">
      <c r="P52133" s="2498"/>
    </row>
    <row r="52134" spans="16:16">
      <c r="P52134" s="2498"/>
    </row>
    <row r="52135" spans="16:16">
      <c r="P52135" s="2498"/>
    </row>
    <row r="52136" spans="16:16">
      <c r="P52136" s="2498"/>
    </row>
    <row r="52137" spans="16:16">
      <c r="P52137" s="2498"/>
    </row>
    <row r="52138" spans="16:16">
      <c r="P52138" s="2498"/>
    </row>
    <row r="52139" spans="16:16">
      <c r="P52139" s="2498"/>
    </row>
    <row r="52140" spans="16:16">
      <c r="P52140" s="2498"/>
    </row>
    <row r="52141" spans="16:16">
      <c r="P52141" s="2498"/>
    </row>
    <row r="52142" spans="16:16">
      <c r="P52142" s="2498"/>
    </row>
    <row r="52143" spans="16:16">
      <c r="P52143" s="2498"/>
    </row>
    <row r="52144" spans="16:16">
      <c r="P52144" s="2498"/>
    </row>
    <row r="52145" spans="16:16">
      <c r="P52145" s="2498"/>
    </row>
    <row r="52146" spans="16:16">
      <c r="P52146" s="2498"/>
    </row>
    <row r="52147" spans="16:16">
      <c r="P52147" s="2498"/>
    </row>
    <row r="52148" spans="16:16">
      <c r="P52148" s="2498"/>
    </row>
    <row r="52149" spans="16:16">
      <c r="P52149" s="2498"/>
    </row>
    <row r="52150" spans="16:16">
      <c r="P52150" s="2498"/>
    </row>
    <row r="52151" spans="16:16">
      <c r="P52151" s="2498"/>
    </row>
    <row r="52152" spans="16:16">
      <c r="P52152" s="2498"/>
    </row>
    <row r="52153" spans="16:16">
      <c r="P52153" s="2498"/>
    </row>
    <row r="52154" spans="16:16">
      <c r="P52154" s="2498"/>
    </row>
    <row r="52155" spans="16:16">
      <c r="P52155" s="2498"/>
    </row>
    <row r="52156" spans="16:16">
      <c r="P52156" s="2498"/>
    </row>
    <row r="52157" spans="16:16">
      <c r="P52157" s="2498"/>
    </row>
    <row r="52158" spans="16:16">
      <c r="P52158" s="2498"/>
    </row>
    <row r="52159" spans="16:16">
      <c r="P52159" s="2498"/>
    </row>
    <row r="52160" spans="16:16">
      <c r="P52160" s="2498"/>
    </row>
    <row r="52161" spans="16:16">
      <c r="P52161" s="2498"/>
    </row>
    <row r="52162" spans="16:16">
      <c r="P52162" s="2498"/>
    </row>
    <row r="52163" spans="16:16">
      <c r="P52163" s="2498"/>
    </row>
    <row r="52164" spans="16:16">
      <c r="P52164" s="2498"/>
    </row>
    <row r="52165" spans="16:16">
      <c r="P52165" s="2498"/>
    </row>
    <row r="52166" spans="16:16">
      <c r="P52166" s="2498"/>
    </row>
    <row r="52167" spans="16:16">
      <c r="P52167" s="2498"/>
    </row>
    <row r="52168" spans="16:16">
      <c r="P52168" s="2498"/>
    </row>
    <row r="52169" spans="16:16">
      <c r="P52169" s="2498"/>
    </row>
    <row r="52170" spans="16:16">
      <c r="P52170" s="2498"/>
    </row>
    <row r="52171" spans="16:16">
      <c r="P52171" s="2498"/>
    </row>
    <row r="52172" spans="16:16">
      <c r="P52172" s="2498"/>
    </row>
    <row r="52173" spans="16:16">
      <c r="P52173" s="2498"/>
    </row>
    <row r="52174" spans="16:16">
      <c r="P52174" s="2498"/>
    </row>
    <row r="52175" spans="16:16">
      <c r="P52175" s="2498"/>
    </row>
    <row r="52176" spans="16:16">
      <c r="P52176" s="2498"/>
    </row>
    <row r="52177" spans="16:16">
      <c r="P52177" s="2498"/>
    </row>
    <row r="52178" spans="16:16">
      <c r="P52178" s="2498"/>
    </row>
    <row r="52179" spans="16:16">
      <c r="P52179" s="2498"/>
    </row>
    <row r="52180" spans="16:16">
      <c r="P52180" s="2498"/>
    </row>
    <row r="52181" spans="16:16">
      <c r="P52181" s="2498"/>
    </row>
    <row r="52182" spans="16:16">
      <c r="P52182" s="2498"/>
    </row>
    <row r="52183" spans="16:16">
      <c r="P52183" s="2498"/>
    </row>
    <row r="52184" spans="16:16">
      <c r="P52184" s="2498"/>
    </row>
    <row r="52185" spans="16:16">
      <c r="P52185" s="2498"/>
    </row>
    <row r="52186" spans="16:16">
      <c r="P52186" s="2498"/>
    </row>
    <row r="52187" spans="16:16">
      <c r="P52187" s="2498"/>
    </row>
    <row r="52188" spans="16:16">
      <c r="P52188" s="2498"/>
    </row>
    <row r="52189" spans="16:16">
      <c r="P52189" s="2498"/>
    </row>
    <row r="52190" spans="16:16">
      <c r="P52190" s="2498"/>
    </row>
    <row r="52191" spans="16:16">
      <c r="P52191" s="2498"/>
    </row>
    <row r="52192" spans="16:16">
      <c r="P52192" s="2498"/>
    </row>
    <row r="52193" spans="16:16">
      <c r="P52193" s="2498"/>
    </row>
    <row r="52194" spans="16:16">
      <c r="P52194" s="2498"/>
    </row>
    <row r="52195" spans="16:16">
      <c r="P52195" s="2498"/>
    </row>
    <row r="52196" spans="16:16">
      <c r="P52196" s="2498"/>
    </row>
    <row r="52197" spans="16:16">
      <c r="P52197" s="2498"/>
    </row>
    <row r="52198" spans="16:16">
      <c r="P52198" s="2498"/>
    </row>
    <row r="52199" spans="16:16">
      <c r="P52199" s="2498"/>
    </row>
    <row r="52200" spans="16:16">
      <c r="P52200" s="2498"/>
    </row>
    <row r="52201" spans="16:16">
      <c r="P52201" s="2498"/>
    </row>
    <row r="52202" spans="16:16">
      <c r="P52202" s="2498"/>
    </row>
    <row r="52203" spans="16:16">
      <c r="P52203" s="2498"/>
    </row>
    <row r="52204" spans="16:16">
      <c r="P52204" s="2498"/>
    </row>
    <row r="52205" spans="16:16">
      <c r="P52205" s="2498"/>
    </row>
    <row r="52206" spans="16:16">
      <c r="P52206" s="2498"/>
    </row>
    <row r="52207" spans="16:16">
      <c r="P52207" s="2498"/>
    </row>
    <row r="52208" spans="16:16">
      <c r="P52208" s="2498"/>
    </row>
    <row r="52209" spans="16:16">
      <c r="P52209" s="2498"/>
    </row>
    <row r="52210" spans="16:16">
      <c r="P52210" s="2498"/>
    </row>
    <row r="52211" spans="16:16">
      <c r="P52211" s="2498"/>
    </row>
    <row r="52212" spans="16:16">
      <c r="P52212" s="2498"/>
    </row>
    <row r="52213" spans="16:16">
      <c r="P52213" s="2498"/>
    </row>
    <row r="52214" spans="16:16">
      <c r="P52214" s="2498"/>
    </row>
    <row r="52215" spans="16:16">
      <c r="P52215" s="2498"/>
    </row>
    <row r="52216" spans="16:16">
      <c r="P52216" s="2498"/>
    </row>
    <row r="52217" spans="16:16">
      <c r="P52217" s="2498"/>
    </row>
    <row r="52218" spans="16:16">
      <c r="P52218" s="2498"/>
    </row>
    <row r="52219" spans="16:16">
      <c r="P52219" s="2498"/>
    </row>
    <row r="52220" spans="16:16">
      <c r="P52220" s="2498"/>
    </row>
    <row r="52221" spans="16:16">
      <c r="P52221" s="2498"/>
    </row>
    <row r="52222" spans="16:16">
      <c r="P52222" s="2498"/>
    </row>
    <row r="52223" spans="16:16">
      <c r="P52223" s="2498"/>
    </row>
    <row r="52224" spans="16:16">
      <c r="P52224" s="2498"/>
    </row>
    <row r="52225" spans="16:16">
      <c r="P52225" s="2498"/>
    </row>
    <row r="52226" spans="16:16">
      <c r="P52226" s="2498"/>
    </row>
    <row r="52227" spans="16:16">
      <c r="P52227" s="2498"/>
    </row>
    <row r="52228" spans="16:16">
      <c r="P52228" s="2498"/>
    </row>
    <row r="52229" spans="16:16">
      <c r="P52229" s="2498"/>
    </row>
    <row r="52230" spans="16:16">
      <c r="P52230" s="2498"/>
    </row>
    <row r="52231" spans="16:16">
      <c r="P52231" s="2498"/>
    </row>
    <row r="52232" spans="16:16">
      <c r="P52232" s="2498"/>
    </row>
    <row r="52233" spans="16:16">
      <c r="P52233" s="2498"/>
    </row>
    <row r="52234" spans="16:16">
      <c r="P52234" s="2498"/>
    </row>
    <row r="52235" spans="16:16">
      <c r="P52235" s="2498"/>
    </row>
    <row r="52236" spans="16:16">
      <c r="P52236" s="2498"/>
    </row>
    <row r="52237" spans="16:16">
      <c r="P52237" s="2498"/>
    </row>
    <row r="52238" spans="16:16">
      <c r="P52238" s="2498"/>
    </row>
    <row r="52239" spans="16:16">
      <c r="P52239" s="2498"/>
    </row>
    <row r="52240" spans="16:16">
      <c r="P52240" s="2498"/>
    </row>
    <row r="52241" spans="16:16">
      <c r="P52241" s="2498"/>
    </row>
    <row r="52242" spans="16:16">
      <c r="P52242" s="2498"/>
    </row>
    <row r="52243" spans="16:16">
      <c r="P52243" s="2498"/>
    </row>
    <row r="52244" spans="16:16">
      <c r="P52244" s="2498"/>
    </row>
    <row r="52245" spans="16:16">
      <c r="P52245" s="2498"/>
    </row>
    <row r="52246" spans="16:16">
      <c r="P52246" s="2498"/>
    </row>
    <row r="52247" spans="16:16">
      <c r="P52247" s="2498"/>
    </row>
    <row r="52248" spans="16:16">
      <c r="P52248" s="2498"/>
    </row>
    <row r="52249" spans="16:16">
      <c r="P52249" s="2498"/>
    </row>
    <row r="52250" spans="16:16">
      <c r="P52250" s="2498"/>
    </row>
    <row r="52251" spans="16:16">
      <c r="P52251" s="2498"/>
    </row>
    <row r="52252" spans="16:16">
      <c r="P52252" s="2498"/>
    </row>
    <row r="52253" spans="16:16">
      <c r="P52253" s="2498"/>
    </row>
    <row r="52254" spans="16:16">
      <c r="P52254" s="2498"/>
    </row>
    <row r="52255" spans="16:16">
      <c r="P52255" s="2498"/>
    </row>
    <row r="52256" spans="16:16">
      <c r="P52256" s="2498"/>
    </row>
    <row r="52257" spans="16:16">
      <c r="P52257" s="2498"/>
    </row>
    <row r="52258" spans="16:16">
      <c r="P52258" s="2498"/>
    </row>
    <row r="52259" spans="16:16">
      <c r="P52259" s="2498"/>
    </row>
    <row r="52260" spans="16:16">
      <c r="P52260" s="2498"/>
    </row>
    <row r="52261" spans="16:16">
      <c r="P52261" s="2498"/>
    </row>
    <row r="52262" spans="16:16">
      <c r="P52262" s="2498"/>
    </row>
    <row r="52263" spans="16:16">
      <c r="P52263" s="2498"/>
    </row>
    <row r="52264" spans="16:16">
      <c r="P52264" s="2498"/>
    </row>
    <row r="52265" spans="16:16">
      <c r="P52265" s="2498"/>
    </row>
    <row r="52266" spans="16:16">
      <c r="P52266" s="2498"/>
    </row>
    <row r="52267" spans="16:16">
      <c r="P52267" s="2498"/>
    </row>
    <row r="52268" spans="16:16">
      <c r="P52268" s="2498"/>
    </row>
    <row r="52269" spans="16:16">
      <c r="P52269" s="2498"/>
    </row>
    <row r="52270" spans="16:16">
      <c r="P52270" s="2498"/>
    </row>
    <row r="52271" spans="16:16">
      <c r="P52271" s="2498"/>
    </row>
    <row r="52272" spans="16:16">
      <c r="P52272" s="2498"/>
    </row>
    <row r="52273" spans="16:16">
      <c r="P52273" s="2498"/>
    </row>
    <row r="52274" spans="16:16">
      <c r="P52274" s="2498"/>
    </row>
    <row r="52275" spans="16:16">
      <c r="P52275" s="2498"/>
    </row>
    <row r="52276" spans="16:16">
      <c r="P52276" s="2498"/>
    </row>
    <row r="52277" spans="16:16">
      <c r="P52277" s="2498"/>
    </row>
    <row r="52278" spans="16:16">
      <c r="P52278" s="2498"/>
    </row>
    <row r="52279" spans="16:16">
      <c r="P52279" s="2498"/>
    </row>
    <row r="52280" spans="16:16">
      <c r="P52280" s="2498"/>
    </row>
    <row r="52281" spans="16:16">
      <c r="P52281" s="2498"/>
    </row>
    <row r="52282" spans="16:16">
      <c r="P52282" s="2498"/>
    </row>
    <row r="52283" spans="16:16">
      <c r="P52283" s="2498"/>
    </row>
    <row r="52284" spans="16:16">
      <c r="P52284" s="2498"/>
    </row>
    <row r="52285" spans="16:16">
      <c r="P52285" s="2498"/>
    </row>
    <row r="52286" spans="16:16">
      <c r="P52286" s="2498"/>
    </row>
    <row r="52287" spans="16:16">
      <c r="P52287" s="2498"/>
    </row>
    <row r="52288" spans="16:16">
      <c r="P52288" s="2498"/>
    </row>
    <row r="52289" spans="16:16">
      <c r="P52289" s="2498"/>
    </row>
    <row r="52290" spans="16:16">
      <c r="P52290" s="2498"/>
    </row>
    <row r="52291" spans="16:16">
      <c r="P52291" s="2498"/>
    </row>
    <row r="52292" spans="16:16">
      <c r="P52292" s="2498"/>
    </row>
    <row r="52293" spans="16:16">
      <c r="P52293" s="2498"/>
    </row>
    <row r="52294" spans="16:16">
      <c r="P52294" s="2498"/>
    </row>
    <row r="52295" spans="16:16">
      <c r="P52295" s="2498"/>
    </row>
    <row r="52296" spans="16:16">
      <c r="P52296" s="2498"/>
    </row>
    <row r="52297" spans="16:16">
      <c r="P52297" s="2498"/>
    </row>
    <row r="52298" spans="16:16">
      <c r="P52298" s="2498"/>
    </row>
    <row r="52299" spans="16:16">
      <c r="P52299" s="2498"/>
    </row>
    <row r="52300" spans="16:16">
      <c r="P52300" s="2498"/>
    </row>
    <row r="52301" spans="16:16">
      <c r="P52301" s="2498"/>
    </row>
    <row r="52302" spans="16:16">
      <c r="P52302" s="2498"/>
    </row>
    <row r="52303" spans="16:16">
      <c r="P52303" s="2498"/>
    </row>
    <row r="52304" spans="16:16">
      <c r="P52304" s="2498"/>
    </row>
    <row r="52305" spans="16:16">
      <c r="P52305" s="2498"/>
    </row>
    <row r="52306" spans="16:16">
      <c r="P52306" s="2498"/>
    </row>
    <row r="52307" spans="16:16">
      <c r="P52307" s="2498"/>
    </row>
    <row r="52308" spans="16:16">
      <c r="P52308" s="2498"/>
    </row>
    <row r="52309" spans="16:16">
      <c r="P52309" s="2498"/>
    </row>
    <row r="52310" spans="16:16">
      <c r="P52310" s="2498"/>
    </row>
    <row r="52311" spans="16:16">
      <c r="P52311" s="2498"/>
    </row>
    <row r="52312" spans="16:16">
      <c r="P52312" s="2498"/>
    </row>
    <row r="52313" spans="16:16">
      <c r="P52313" s="2498"/>
    </row>
    <row r="52314" spans="16:16">
      <c r="P52314" s="2498"/>
    </row>
    <row r="52315" spans="16:16">
      <c r="P52315" s="2498"/>
    </row>
    <row r="52316" spans="16:16">
      <c r="P52316" s="2498"/>
    </row>
    <row r="52317" spans="16:16">
      <c r="P52317" s="2498"/>
    </row>
    <row r="52318" spans="16:16">
      <c r="P52318" s="2498"/>
    </row>
    <row r="52319" spans="16:16">
      <c r="P52319" s="2498"/>
    </row>
    <row r="52320" spans="16:16">
      <c r="P52320" s="2498"/>
    </row>
    <row r="52321" spans="16:16">
      <c r="P52321" s="2498"/>
    </row>
    <row r="52322" spans="16:16">
      <c r="P52322" s="2498"/>
    </row>
    <row r="52323" spans="16:16">
      <c r="P52323" s="2498"/>
    </row>
    <row r="52324" spans="16:16">
      <c r="P52324" s="2498"/>
    </row>
    <row r="52325" spans="16:16">
      <c r="P52325" s="2498"/>
    </row>
    <row r="52326" spans="16:16">
      <c r="P52326" s="2498"/>
    </row>
    <row r="52327" spans="16:16">
      <c r="P52327" s="2498"/>
    </row>
    <row r="52328" spans="16:16">
      <c r="P52328" s="2498"/>
    </row>
    <row r="52329" spans="16:16">
      <c r="P52329" s="2498"/>
    </row>
    <row r="52330" spans="16:16">
      <c r="P52330" s="2498"/>
    </row>
    <row r="52331" spans="16:16">
      <c r="P52331" s="2498"/>
    </row>
    <row r="52332" spans="16:16">
      <c r="P52332" s="2498"/>
    </row>
    <row r="52333" spans="16:16">
      <c r="P52333" s="2498"/>
    </row>
    <row r="52334" spans="16:16">
      <c r="P52334" s="2498"/>
    </row>
    <row r="52335" spans="16:16">
      <c r="P52335" s="2498"/>
    </row>
    <row r="52336" spans="16:16">
      <c r="P52336" s="2498"/>
    </row>
    <row r="52337" spans="16:16">
      <c r="P52337" s="2498"/>
    </row>
    <row r="52338" spans="16:16">
      <c r="P52338" s="2498"/>
    </row>
    <row r="52339" spans="16:16">
      <c r="P52339" s="2498"/>
    </row>
    <row r="52340" spans="16:16">
      <c r="P52340" s="2498"/>
    </row>
    <row r="52341" spans="16:16">
      <c r="P52341" s="2498"/>
    </row>
    <row r="52342" spans="16:16">
      <c r="P52342" s="2498"/>
    </row>
    <row r="52343" spans="16:16">
      <c r="P52343" s="2498"/>
    </row>
    <row r="52344" spans="16:16">
      <c r="P52344" s="2498"/>
    </row>
    <row r="52345" spans="16:16">
      <c r="P52345" s="2498"/>
    </row>
    <row r="52346" spans="16:16">
      <c r="P52346" s="2498"/>
    </row>
    <row r="52347" spans="16:16">
      <c r="P52347" s="2498"/>
    </row>
    <row r="52348" spans="16:16">
      <c r="P52348" s="2498"/>
    </row>
    <row r="52349" spans="16:16">
      <c r="P52349" s="2498"/>
    </row>
    <row r="52350" spans="16:16">
      <c r="P52350" s="2498"/>
    </row>
    <row r="52351" spans="16:16">
      <c r="P52351" s="2498"/>
    </row>
    <row r="52352" spans="16:16">
      <c r="P52352" s="2498"/>
    </row>
    <row r="52353" spans="16:16">
      <c r="P52353" s="2498"/>
    </row>
    <row r="52354" spans="16:16">
      <c r="P52354" s="2498"/>
    </row>
    <row r="52355" spans="16:16">
      <c r="P52355" s="2498"/>
    </row>
    <row r="52356" spans="16:16">
      <c r="P52356" s="2498"/>
    </row>
    <row r="52357" spans="16:16">
      <c r="P52357" s="2498"/>
    </row>
    <row r="52358" spans="16:16">
      <c r="P52358" s="2498"/>
    </row>
    <row r="52359" spans="16:16">
      <c r="P52359" s="2498"/>
    </row>
    <row r="52360" spans="16:16">
      <c r="P52360" s="2498"/>
    </row>
    <row r="52361" spans="16:16">
      <c r="P52361" s="2498"/>
    </row>
    <row r="52362" spans="16:16">
      <c r="P52362" s="2498"/>
    </row>
    <row r="52363" spans="16:16">
      <c r="P52363" s="2498"/>
    </row>
    <row r="52364" spans="16:16">
      <c r="P52364" s="2498"/>
    </row>
    <row r="52365" spans="16:16">
      <c r="P52365" s="2498"/>
    </row>
    <row r="52366" spans="16:16">
      <c r="P52366" s="2498"/>
    </row>
    <row r="52367" spans="16:16">
      <c r="P52367" s="2498"/>
    </row>
    <row r="52368" spans="16:16">
      <c r="P52368" s="2498"/>
    </row>
    <row r="52369" spans="16:16">
      <c r="P52369" s="2498"/>
    </row>
    <row r="52370" spans="16:16">
      <c r="P52370" s="2498"/>
    </row>
    <row r="52371" spans="16:16">
      <c r="P52371" s="2498"/>
    </row>
    <row r="52372" spans="16:16">
      <c r="P52372" s="2498"/>
    </row>
    <row r="52373" spans="16:16">
      <c r="P52373" s="2498"/>
    </row>
    <row r="52374" spans="16:16">
      <c r="P52374" s="2498"/>
    </row>
    <row r="52375" spans="16:16">
      <c r="P52375" s="2498"/>
    </row>
    <row r="52376" spans="16:16">
      <c r="P52376" s="2498"/>
    </row>
    <row r="52377" spans="16:16">
      <c r="P52377" s="2498"/>
    </row>
    <row r="52378" spans="16:16">
      <c r="P52378" s="2498"/>
    </row>
    <row r="52379" spans="16:16">
      <c r="P52379" s="2498"/>
    </row>
    <row r="52380" spans="16:16">
      <c r="P52380" s="2498"/>
    </row>
    <row r="52381" spans="16:16">
      <c r="P52381" s="2498"/>
    </row>
    <row r="52382" spans="16:16">
      <c r="P52382" s="2498"/>
    </row>
    <row r="52383" spans="16:16">
      <c r="P52383" s="2498"/>
    </row>
    <row r="52384" spans="16:16">
      <c r="P52384" s="2498"/>
    </row>
    <row r="52385" spans="16:16">
      <c r="P52385" s="2498"/>
    </row>
    <row r="52386" spans="16:16">
      <c r="P52386" s="2498"/>
    </row>
    <row r="52387" spans="16:16">
      <c r="P52387" s="2498"/>
    </row>
    <row r="52388" spans="16:16">
      <c r="P52388" s="2498"/>
    </row>
    <row r="52389" spans="16:16">
      <c r="P52389" s="2498"/>
    </row>
    <row r="52390" spans="16:16">
      <c r="P52390" s="2498"/>
    </row>
    <row r="52391" spans="16:16">
      <c r="P52391" s="2498"/>
    </row>
    <row r="52392" spans="16:16">
      <c r="P52392" s="2498"/>
    </row>
    <row r="52393" spans="16:16">
      <c r="P52393" s="2498"/>
    </row>
    <row r="52394" spans="16:16">
      <c r="P52394" s="2498"/>
    </row>
    <row r="52395" spans="16:16">
      <c r="P52395" s="2498"/>
    </row>
    <row r="52396" spans="16:16">
      <c r="P52396" s="2498"/>
    </row>
    <row r="52397" spans="16:16">
      <c r="P52397" s="2498"/>
    </row>
    <row r="52398" spans="16:16">
      <c r="P52398" s="2498"/>
    </row>
    <row r="52399" spans="16:16">
      <c r="P52399" s="2498"/>
    </row>
    <row r="52400" spans="16:16">
      <c r="P52400" s="2498"/>
    </row>
    <row r="52401" spans="16:16">
      <c r="P52401" s="2498"/>
    </row>
    <row r="52402" spans="16:16">
      <c r="P52402" s="2498"/>
    </row>
    <row r="52403" spans="16:16">
      <c r="P52403" s="2498"/>
    </row>
    <row r="52404" spans="16:16">
      <c r="P52404" s="2498"/>
    </row>
    <row r="52405" spans="16:16">
      <c r="P52405" s="2498"/>
    </row>
    <row r="52406" spans="16:16">
      <c r="P52406" s="2498"/>
    </row>
    <row r="52407" spans="16:16">
      <c r="P52407" s="2498"/>
    </row>
    <row r="52408" spans="16:16">
      <c r="P52408" s="2498"/>
    </row>
    <row r="52409" spans="16:16">
      <c r="P52409" s="2498"/>
    </row>
    <row r="52410" spans="16:16">
      <c r="P52410" s="2498"/>
    </row>
    <row r="52411" spans="16:16">
      <c r="P52411" s="2498"/>
    </row>
    <row r="52412" spans="16:16">
      <c r="P52412" s="2498"/>
    </row>
    <row r="52413" spans="16:16">
      <c r="P52413" s="2498"/>
    </row>
    <row r="52414" spans="16:16">
      <c r="P52414" s="2498"/>
    </row>
    <row r="52415" spans="16:16">
      <c r="P52415" s="2498"/>
    </row>
    <row r="52416" spans="16:16">
      <c r="P52416" s="2498"/>
    </row>
    <row r="52417" spans="16:16">
      <c r="P52417" s="2498"/>
    </row>
    <row r="52418" spans="16:16">
      <c r="P52418" s="2498"/>
    </row>
    <row r="52419" spans="16:16">
      <c r="P52419" s="2498"/>
    </row>
    <row r="52420" spans="16:16">
      <c r="P52420" s="2498"/>
    </row>
    <row r="52421" spans="16:16">
      <c r="P52421" s="2498"/>
    </row>
    <row r="52422" spans="16:16">
      <c r="P52422" s="2498"/>
    </row>
    <row r="52423" spans="16:16">
      <c r="P52423" s="2498"/>
    </row>
    <row r="52424" spans="16:16">
      <c r="P52424" s="2498"/>
    </row>
    <row r="52425" spans="16:16">
      <c r="P52425" s="2498"/>
    </row>
    <row r="52426" spans="16:16">
      <c r="P52426" s="2498"/>
    </row>
    <row r="52427" spans="16:16">
      <c r="P52427" s="2498"/>
    </row>
    <row r="52428" spans="16:16">
      <c r="P52428" s="2498"/>
    </row>
    <row r="52429" spans="16:16">
      <c r="P52429" s="2498"/>
    </row>
    <row r="52430" spans="16:16">
      <c r="P52430" s="2498"/>
    </row>
    <row r="52431" spans="16:16">
      <c r="P52431" s="2498"/>
    </row>
    <row r="52432" spans="16:16">
      <c r="P52432" s="2498"/>
    </row>
    <row r="52433" spans="16:16">
      <c r="P52433" s="2498"/>
    </row>
    <row r="52434" spans="16:16">
      <c r="P52434" s="2498"/>
    </row>
    <row r="52435" spans="16:16">
      <c r="P52435" s="2498"/>
    </row>
    <row r="52436" spans="16:16">
      <c r="P52436" s="2498"/>
    </row>
    <row r="52437" spans="16:16">
      <c r="P52437" s="2498"/>
    </row>
    <row r="52438" spans="16:16">
      <c r="P52438" s="2498"/>
    </row>
    <row r="52439" spans="16:16">
      <c r="P52439" s="2498"/>
    </row>
    <row r="52440" spans="16:16">
      <c r="P52440" s="2498"/>
    </row>
    <row r="52441" spans="16:16">
      <c r="P52441" s="2498"/>
    </row>
    <row r="52442" spans="16:16">
      <c r="P52442" s="2498"/>
    </row>
    <row r="52443" spans="16:16">
      <c r="P52443" s="2498"/>
    </row>
    <row r="52444" spans="16:16">
      <c r="P52444" s="2498"/>
    </row>
    <row r="52445" spans="16:16">
      <c r="P52445" s="2498"/>
    </row>
    <row r="52446" spans="16:16">
      <c r="P52446" s="2498"/>
    </row>
    <row r="52447" spans="16:16">
      <c r="P52447" s="2498"/>
    </row>
    <row r="52448" spans="16:16">
      <c r="P52448" s="2498"/>
    </row>
    <row r="52449" spans="16:16">
      <c r="P52449" s="2498"/>
    </row>
    <row r="52450" spans="16:16">
      <c r="P52450" s="2498"/>
    </row>
    <row r="52451" spans="16:16">
      <c r="P52451" s="2498"/>
    </row>
    <row r="52452" spans="16:16">
      <c r="P52452" s="2498"/>
    </row>
    <row r="52453" spans="16:16">
      <c r="P52453" s="2498"/>
    </row>
    <row r="52454" spans="16:16">
      <c r="P52454" s="2498"/>
    </row>
    <row r="52455" spans="16:16">
      <c r="P52455" s="2498"/>
    </row>
    <row r="52456" spans="16:16">
      <c r="P52456" s="2498"/>
    </row>
    <row r="52457" spans="16:16">
      <c r="P52457" s="2498"/>
    </row>
    <row r="52458" spans="16:16">
      <c r="P52458" s="2498"/>
    </row>
    <row r="52459" spans="16:16">
      <c r="P52459" s="2498"/>
    </row>
    <row r="52460" spans="16:16">
      <c r="P52460" s="2498"/>
    </row>
    <row r="52461" spans="16:16">
      <c r="P52461" s="2498"/>
    </row>
    <row r="52462" spans="16:16">
      <c r="P52462" s="2498"/>
    </row>
    <row r="52463" spans="16:16">
      <c r="P52463" s="2498"/>
    </row>
    <row r="52464" spans="16:16">
      <c r="P52464" s="2498"/>
    </row>
    <row r="52465" spans="16:16">
      <c r="P52465" s="2498"/>
    </row>
    <row r="52466" spans="16:16">
      <c r="P52466" s="2498"/>
    </row>
    <row r="52467" spans="16:16">
      <c r="P52467" s="2498"/>
    </row>
    <row r="52468" spans="16:16">
      <c r="P52468" s="2498"/>
    </row>
    <row r="52469" spans="16:16">
      <c r="P52469" s="2498"/>
    </row>
    <row r="52470" spans="16:16">
      <c r="P52470" s="2498"/>
    </row>
    <row r="52471" spans="16:16">
      <c r="P52471" s="2498"/>
    </row>
    <row r="52472" spans="16:16">
      <c r="P52472" s="2498"/>
    </row>
    <row r="52473" spans="16:16">
      <c r="P52473" s="2498"/>
    </row>
    <row r="52474" spans="16:16">
      <c r="P52474" s="2498"/>
    </row>
    <row r="52475" spans="16:16">
      <c r="P52475" s="2498"/>
    </row>
    <row r="52476" spans="16:16">
      <c r="P52476" s="2498"/>
    </row>
    <row r="52477" spans="16:16">
      <c r="P52477" s="2498"/>
    </row>
    <row r="52478" spans="16:16">
      <c r="P52478" s="2498"/>
    </row>
    <row r="52479" spans="16:16">
      <c r="P52479" s="2498"/>
    </row>
    <row r="52480" spans="16:16">
      <c r="P52480" s="2498"/>
    </row>
    <row r="52481" spans="16:16">
      <c r="P52481" s="2498"/>
    </row>
    <row r="52482" spans="16:16">
      <c r="P52482" s="2498"/>
    </row>
    <row r="52483" spans="16:16">
      <c r="P52483" s="2498"/>
    </row>
    <row r="52484" spans="16:16">
      <c r="P52484" s="2498"/>
    </row>
    <row r="52485" spans="16:16">
      <c r="P52485" s="2498"/>
    </row>
    <row r="52486" spans="16:16">
      <c r="P52486" s="2498"/>
    </row>
    <row r="52487" spans="16:16">
      <c r="P52487" s="2498"/>
    </row>
    <row r="52488" spans="16:16">
      <c r="P52488" s="2498"/>
    </row>
    <row r="52489" spans="16:16">
      <c r="P52489" s="2498"/>
    </row>
    <row r="52490" spans="16:16">
      <c r="P52490" s="2498"/>
    </row>
    <row r="52491" spans="16:16">
      <c r="P52491" s="2498"/>
    </row>
    <row r="52492" spans="16:16">
      <c r="P52492" s="2498"/>
    </row>
    <row r="52493" spans="16:16">
      <c r="P52493" s="2498"/>
    </row>
    <row r="52494" spans="16:16">
      <c r="P52494" s="2498"/>
    </row>
    <row r="52495" spans="16:16">
      <c r="P52495" s="2498"/>
    </row>
    <row r="52496" spans="16:16">
      <c r="P52496" s="2498"/>
    </row>
    <row r="52497" spans="16:16">
      <c r="P52497" s="2498"/>
    </row>
    <row r="52498" spans="16:16">
      <c r="P52498" s="2498"/>
    </row>
    <row r="52499" spans="16:16">
      <c r="P52499" s="2498"/>
    </row>
    <row r="52500" spans="16:16">
      <c r="P52500" s="2498"/>
    </row>
    <row r="52501" spans="16:16">
      <c r="P52501" s="2498"/>
    </row>
    <row r="52502" spans="16:16">
      <c r="P52502" s="2498"/>
    </row>
    <row r="52503" spans="16:16">
      <c r="P52503" s="2498"/>
    </row>
    <row r="52504" spans="16:16">
      <c r="P52504" s="2498"/>
    </row>
    <row r="52505" spans="16:16">
      <c r="P52505" s="2498"/>
    </row>
    <row r="52506" spans="16:16">
      <c r="P52506" s="2498"/>
    </row>
    <row r="52507" spans="16:16">
      <c r="P52507" s="2498"/>
    </row>
    <row r="52508" spans="16:16">
      <c r="P52508" s="2498"/>
    </row>
    <row r="52509" spans="16:16">
      <c r="P52509" s="2498"/>
    </row>
    <row r="52510" spans="16:16">
      <c r="P52510" s="2498"/>
    </row>
    <row r="52511" spans="16:16">
      <c r="P52511" s="2498"/>
    </row>
    <row r="52512" spans="16:16">
      <c r="P52512" s="2498"/>
    </row>
    <row r="52513" spans="16:16">
      <c r="P52513" s="2498"/>
    </row>
    <row r="52514" spans="16:16">
      <c r="P52514" s="2498"/>
    </row>
    <row r="52515" spans="16:16">
      <c r="P52515" s="2498"/>
    </row>
    <row r="52516" spans="16:16">
      <c r="P52516" s="2498"/>
    </row>
    <row r="52517" spans="16:16">
      <c r="P52517" s="2498"/>
    </row>
    <row r="52518" spans="16:16">
      <c r="P52518" s="2498"/>
    </row>
    <row r="52519" spans="16:16">
      <c r="P52519" s="2498"/>
    </row>
    <row r="52520" spans="16:16">
      <c r="P52520" s="2498"/>
    </row>
    <row r="52521" spans="16:16">
      <c r="P52521" s="2498"/>
    </row>
    <row r="52522" spans="16:16">
      <c r="P52522" s="2498"/>
    </row>
    <row r="52523" spans="16:16">
      <c r="P52523" s="2498"/>
    </row>
    <row r="52524" spans="16:16">
      <c r="P52524" s="2498"/>
    </row>
    <row r="52525" spans="16:16">
      <c r="P52525" s="2498"/>
    </row>
    <row r="52526" spans="16:16">
      <c r="P52526" s="2498"/>
    </row>
    <row r="52527" spans="16:16">
      <c r="P52527" s="2498"/>
    </row>
    <row r="52528" spans="16:16">
      <c r="P52528" s="2498"/>
    </row>
    <row r="52529" spans="16:16">
      <c r="P52529" s="2498"/>
    </row>
    <row r="52530" spans="16:16">
      <c r="P52530" s="2498"/>
    </row>
    <row r="52531" spans="16:16">
      <c r="P52531" s="2498"/>
    </row>
    <row r="52532" spans="16:16">
      <c r="P52532" s="2498"/>
    </row>
    <row r="52533" spans="16:16">
      <c r="P52533" s="2498"/>
    </row>
    <row r="52534" spans="16:16">
      <c r="P52534" s="2498"/>
    </row>
    <row r="52535" spans="16:16">
      <c r="P52535" s="2498"/>
    </row>
    <row r="52536" spans="16:16">
      <c r="P52536" s="2498"/>
    </row>
    <row r="52537" spans="16:16">
      <c r="P52537" s="2498"/>
    </row>
    <row r="52538" spans="16:16">
      <c r="P52538" s="2498"/>
    </row>
    <row r="52539" spans="16:16">
      <c r="P52539" s="2498"/>
    </row>
    <row r="52540" spans="16:16">
      <c r="P52540" s="2498"/>
    </row>
    <row r="52541" spans="16:16">
      <c r="P52541" s="2498"/>
    </row>
    <row r="52542" spans="16:16">
      <c r="P52542" s="2498"/>
    </row>
    <row r="52543" spans="16:16">
      <c r="P52543" s="2498"/>
    </row>
    <row r="52544" spans="16:16">
      <c r="P52544" s="2498"/>
    </row>
    <row r="52545" spans="16:16">
      <c r="P52545" s="2498"/>
    </row>
    <row r="52546" spans="16:16">
      <c r="P52546" s="2498"/>
    </row>
    <row r="52547" spans="16:16">
      <c r="P52547" s="2498"/>
    </row>
    <row r="52548" spans="16:16">
      <c r="P52548" s="2498"/>
    </row>
    <row r="52549" spans="16:16">
      <c r="P52549" s="2498"/>
    </row>
    <row r="52550" spans="16:16">
      <c r="P52550" s="2498"/>
    </row>
    <row r="52551" spans="16:16">
      <c r="P52551" s="2498"/>
    </row>
    <row r="52552" spans="16:16">
      <c r="P52552" s="2498"/>
    </row>
    <row r="52553" spans="16:16">
      <c r="P52553" s="2498"/>
    </row>
    <row r="52554" spans="16:16">
      <c r="P52554" s="2498"/>
    </row>
    <row r="52555" spans="16:16">
      <c r="P52555" s="2498"/>
    </row>
    <row r="52556" spans="16:16">
      <c r="P52556" s="2498"/>
    </row>
    <row r="52557" spans="16:16">
      <c r="P52557" s="2498"/>
    </row>
    <row r="52558" spans="16:16">
      <c r="P52558" s="2498"/>
    </row>
    <row r="52559" spans="16:16">
      <c r="P52559" s="2498"/>
    </row>
    <row r="52560" spans="16:16">
      <c r="P52560" s="2498"/>
    </row>
    <row r="52561" spans="16:16">
      <c r="P52561" s="2498"/>
    </row>
    <row r="52562" spans="16:16">
      <c r="P52562" s="2498"/>
    </row>
    <row r="52563" spans="16:16">
      <c r="P52563" s="2498"/>
    </row>
    <row r="52564" spans="16:16">
      <c r="P52564" s="2498"/>
    </row>
    <row r="52565" spans="16:16">
      <c r="P52565" s="2498"/>
    </row>
    <row r="52566" spans="16:16">
      <c r="P52566" s="2498"/>
    </row>
    <row r="52567" spans="16:16">
      <c r="P52567" s="2498"/>
    </row>
    <row r="52568" spans="16:16">
      <c r="P52568" s="2498"/>
    </row>
    <row r="52569" spans="16:16">
      <c r="P52569" s="2498"/>
    </row>
    <row r="52570" spans="16:16">
      <c r="P52570" s="2498"/>
    </row>
    <row r="52571" spans="16:16">
      <c r="P52571" s="2498"/>
    </row>
    <row r="52572" spans="16:16">
      <c r="P52572" s="2498"/>
    </row>
    <row r="52573" spans="16:16">
      <c r="P52573" s="2498"/>
    </row>
    <row r="52574" spans="16:16">
      <c r="P52574" s="2498"/>
    </row>
    <row r="52575" spans="16:16">
      <c r="P52575" s="2498"/>
    </row>
    <row r="52576" spans="16:16">
      <c r="P52576" s="2498"/>
    </row>
    <row r="52577" spans="16:16">
      <c r="P52577" s="2498"/>
    </row>
    <row r="52578" spans="16:16">
      <c r="P52578" s="2498"/>
    </row>
    <row r="52579" spans="16:16">
      <c r="P52579" s="2498"/>
    </row>
    <row r="52580" spans="16:16">
      <c r="P52580" s="2498"/>
    </row>
    <row r="52581" spans="16:16">
      <c r="P52581" s="2498"/>
    </row>
    <row r="52582" spans="16:16">
      <c r="P52582" s="2498"/>
    </row>
    <row r="52583" spans="16:16">
      <c r="P52583" s="2498"/>
    </row>
    <row r="52584" spans="16:16">
      <c r="P52584" s="2498"/>
    </row>
    <row r="52585" spans="16:16">
      <c r="P52585" s="2498"/>
    </row>
    <row r="52586" spans="16:16">
      <c r="P52586" s="2498"/>
    </row>
    <row r="52587" spans="16:16">
      <c r="P52587" s="2498"/>
    </row>
    <row r="52588" spans="16:16">
      <c r="P52588" s="2498"/>
    </row>
    <row r="52589" spans="16:16">
      <c r="P52589" s="2498"/>
    </row>
    <row r="52590" spans="16:16">
      <c r="P52590" s="2498"/>
    </row>
    <row r="52591" spans="16:16">
      <c r="P52591" s="2498"/>
    </row>
    <row r="52592" spans="16:16">
      <c r="P52592" s="2498"/>
    </row>
    <row r="52593" spans="16:16">
      <c r="P52593" s="2498"/>
    </row>
    <row r="52594" spans="16:16">
      <c r="P52594" s="2498"/>
    </row>
    <row r="52595" spans="16:16">
      <c r="P52595" s="2498"/>
    </row>
    <row r="52596" spans="16:16">
      <c r="P52596" s="2498"/>
    </row>
    <row r="52597" spans="16:16">
      <c r="P52597" s="2498"/>
    </row>
    <row r="52598" spans="16:16">
      <c r="P52598" s="2498"/>
    </row>
    <row r="52599" spans="16:16">
      <c r="P52599" s="2498"/>
    </row>
    <row r="52600" spans="16:16">
      <c r="P52600" s="2498"/>
    </row>
    <row r="52601" spans="16:16">
      <c r="P52601" s="2498"/>
    </row>
    <row r="52602" spans="16:16">
      <c r="P52602" s="2498"/>
    </row>
    <row r="52603" spans="16:16">
      <c r="P52603" s="2498"/>
    </row>
    <row r="52604" spans="16:16">
      <c r="P52604" s="2498"/>
    </row>
    <row r="52605" spans="16:16">
      <c r="P52605" s="2498"/>
    </row>
    <row r="52606" spans="16:16">
      <c r="P52606" s="2498"/>
    </row>
    <row r="52607" spans="16:16">
      <c r="P52607" s="2498"/>
    </row>
    <row r="52608" spans="16:16">
      <c r="P52608" s="2498"/>
    </row>
    <row r="52609" spans="16:16">
      <c r="P52609" s="2498"/>
    </row>
    <row r="52610" spans="16:16">
      <c r="P52610" s="2498"/>
    </row>
    <row r="52611" spans="16:16">
      <c r="P52611" s="2498"/>
    </row>
    <row r="52612" spans="16:16">
      <c r="P52612" s="2498"/>
    </row>
    <row r="52613" spans="16:16">
      <c r="P52613" s="2498"/>
    </row>
    <row r="52614" spans="16:16">
      <c r="P52614" s="2498"/>
    </row>
    <row r="52615" spans="16:16">
      <c r="P52615" s="2498"/>
    </row>
    <row r="52616" spans="16:16">
      <c r="P52616" s="2498"/>
    </row>
    <row r="52617" spans="16:16">
      <c r="P52617" s="2498"/>
    </row>
    <row r="52618" spans="16:16">
      <c r="P52618" s="2498"/>
    </row>
    <row r="52619" spans="16:16">
      <c r="P52619" s="2498"/>
    </row>
    <row r="52620" spans="16:16">
      <c r="P52620" s="2498"/>
    </row>
    <row r="52621" spans="16:16">
      <c r="P52621" s="2498"/>
    </row>
    <row r="52622" spans="16:16">
      <c r="P52622" s="2498"/>
    </row>
    <row r="52623" spans="16:16">
      <c r="P52623" s="2498"/>
    </row>
    <row r="52624" spans="16:16">
      <c r="P52624" s="2498"/>
    </row>
    <row r="52625" spans="16:16">
      <c r="P52625" s="2498"/>
    </row>
    <row r="52626" spans="16:16">
      <c r="P52626" s="2498"/>
    </row>
    <row r="52627" spans="16:16">
      <c r="P52627" s="2498"/>
    </row>
    <row r="52628" spans="16:16">
      <c r="P52628" s="2498"/>
    </row>
    <row r="52629" spans="16:16">
      <c r="P52629" s="2498"/>
    </row>
    <row r="52630" spans="16:16">
      <c r="P52630" s="2498"/>
    </row>
    <row r="52631" spans="16:16">
      <c r="P52631" s="2498"/>
    </row>
    <row r="52632" spans="16:16">
      <c r="P52632" s="2498"/>
    </row>
    <row r="52633" spans="16:16">
      <c r="P52633" s="2498"/>
    </row>
    <row r="52634" spans="16:16">
      <c r="P52634" s="2498"/>
    </row>
    <row r="52635" spans="16:16">
      <c r="P52635" s="2498"/>
    </row>
    <row r="52636" spans="16:16">
      <c r="P52636" s="2498"/>
    </row>
    <row r="52637" spans="16:16">
      <c r="P52637" s="2498"/>
    </row>
    <row r="52638" spans="16:16">
      <c r="P52638" s="2498"/>
    </row>
    <row r="52639" spans="16:16">
      <c r="P52639" s="2498"/>
    </row>
    <row r="52640" spans="16:16">
      <c r="P52640" s="2498"/>
    </row>
    <row r="52641" spans="16:16">
      <c r="P52641" s="2498"/>
    </row>
    <row r="52642" spans="16:16">
      <c r="P52642" s="2498"/>
    </row>
    <row r="52643" spans="16:16">
      <c r="P52643" s="2498"/>
    </row>
    <row r="52644" spans="16:16">
      <c r="P52644" s="2498"/>
    </row>
    <row r="52645" spans="16:16">
      <c r="P52645" s="2498"/>
    </row>
    <row r="52646" spans="16:16">
      <c r="P52646" s="2498"/>
    </row>
    <row r="52647" spans="16:16">
      <c r="P52647" s="2498"/>
    </row>
    <row r="52648" spans="16:16">
      <c r="P52648" s="2498"/>
    </row>
    <row r="52649" spans="16:16">
      <c r="P52649" s="2498"/>
    </row>
    <row r="52650" spans="16:16">
      <c r="P52650" s="2498"/>
    </row>
    <row r="52651" spans="16:16">
      <c r="P52651" s="2498"/>
    </row>
    <row r="52652" spans="16:16">
      <c r="P52652" s="2498"/>
    </row>
    <row r="52653" spans="16:16">
      <c r="P52653" s="2498"/>
    </row>
    <row r="52654" spans="16:16">
      <c r="P52654" s="2498"/>
    </row>
    <row r="52655" spans="16:16">
      <c r="P52655" s="2498"/>
    </row>
    <row r="52656" spans="16:16">
      <c r="P52656" s="2498"/>
    </row>
    <row r="52657" spans="16:16">
      <c r="P52657" s="2498"/>
    </row>
    <row r="52658" spans="16:16">
      <c r="P52658" s="2498"/>
    </row>
    <row r="52659" spans="16:16">
      <c r="P52659" s="2498"/>
    </row>
    <row r="52660" spans="16:16">
      <c r="P52660" s="2498"/>
    </row>
    <row r="52661" spans="16:16">
      <c r="P52661" s="2498"/>
    </row>
    <row r="52662" spans="16:16">
      <c r="P52662" s="2498"/>
    </row>
    <row r="52663" spans="16:16">
      <c r="P52663" s="2498"/>
    </row>
    <row r="52664" spans="16:16">
      <c r="P52664" s="2498"/>
    </row>
    <row r="52665" spans="16:16">
      <c r="P52665" s="2498"/>
    </row>
    <row r="52666" spans="16:16">
      <c r="P52666" s="2498"/>
    </row>
    <row r="52667" spans="16:16">
      <c r="P52667" s="2498"/>
    </row>
    <row r="52668" spans="16:16">
      <c r="P52668" s="2498"/>
    </row>
    <row r="52669" spans="16:16">
      <c r="P52669" s="2498"/>
    </row>
    <row r="52670" spans="16:16">
      <c r="P52670" s="2498"/>
    </row>
    <row r="52671" spans="16:16">
      <c r="P52671" s="2498"/>
    </row>
    <row r="52672" spans="16:16">
      <c r="P52672" s="2498"/>
    </row>
    <row r="52673" spans="16:16">
      <c r="P52673" s="2498"/>
    </row>
    <row r="52674" spans="16:16">
      <c r="P52674" s="2498"/>
    </row>
    <row r="52675" spans="16:16">
      <c r="P52675" s="2498"/>
    </row>
    <row r="52676" spans="16:16">
      <c r="P52676" s="2498"/>
    </row>
    <row r="52677" spans="16:16">
      <c r="P52677" s="2498"/>
    </row>
    <row r="52678" spans="16:16">
      <c r="P52678" s="2498"/>
    </row>
    <row r="52679" spans="16:16">
      <c r="P52679" s="2498"/>
    </row>
    <row r="52680" spans="16:16">
      <c r="P52680" s="2498"/>
    </row>
    <row r="52681" spans="16:16">
      <c r="P52681" s="2498"/>
    </row>
    <row r="52682" spans="16:16">
      <c r="P52682" s="2498"/>
    </row>
    <row r="52683" spans="16:16">
      <c r="P52683" s="2498"/>
    </row>
    <row r="52684" spans="16:16">
      <c r="P52684" s="2498"/>
    </row>
    <row r="52685" spans="16:16">
      <c r="P52685" s="2498"/>
    </row>
    <row r="52686" spans="16:16">
      <c r="P52686" s="2498"/>
    </row>
    <row r="52687" spans="16:16">
      <c r="P52687" s="2498"/>
    </row>
    <row r="52688" spans="16:16">
      <c r="P52688" s="2498"/>
    </row>
    <row r="52689" spans="16:16">
      <c r="P52689" s="2498"/>
    </row>
    <row r="52690" spans="16:16">
      <c r="P52690" s="2498"/>
    </row>
    <row r="52691" spans="16:16">
      <c r="P52691" s="2498"/>
    </row>
    <row r="52692" spans="16:16">
      <c r="P52692" s="2498"/>
    </row>
    <row r="52693" spans="16:16">
      <c r="P52693" s="2498"/>
    </row>
    <row r="52694" spans="16:16">
      <c r="P52694" s="2498"/>
    </row>
    <row r="52695" spans="16:16">
      <c r="P52695" s="2498"/>
    </row>
    <row r="52696" spans="16:16">
      <c r="P52696" s="2498"/>
    </row>
    <row r="52697" spans="16:16">
      <c r="P52697" s="2498"/>
    </row>
    <row r="52698" spans="16:16">
      <c r="P52698" s="2498"/>
    </row>
    <row r="52699" spans="16:16">
      <c r="P52699" s="2498"/>
    </row>
    <row r="52700" spans="16:16">
      <c r="P52700" s="2498"/>
    </row>
    <row r="52701" spans="16:16">
      <c r="P52701" s="2498"/>
    </row>
    <row r="52702" spans="16:16">
      <c r="P52702" s="2498"/>
    </row>
    <row r="52703" spans="16:16">
      <c r="P52703" s="2498"/>
    </row>
    <row r="52704" spans="16:16">
      <c r="P52704" s="2498"/>
    </row>
    <row r="52705" spans="16:16">
      <c r="P52705" s="2498"/>
    </row>
    <row r="52706" spans="16:16">
      <c r="P52706" s="2498"/>
    </row>
    <row r="52707" spans="16:16">
      <c r="P52707" s="2498"/>
    </row>
    <row r="52708" spans="16:16">
      <c r="P52708" s="2498"/>
    </row>
    <row r="52709" spans="16:16">
      <c r="P52709" s="2498"/>
    </row>
    <row r="52710" spans="16:16">
      <c r="P52710" s="2498"/>
    </row>
    <row r="52711" spans="16:16">
      <c r="P52711" s="2498"/>
    </row>
    <row r="52712" spans="16:16">
      <c r="P52712" s="2498"/>
    </row>
    <row r="52713" spans="16:16">
      <c r="P52713" s="2498"/>
    </row>
    <row r="52714" spans="16:16">
      <c r="P52714" s="2498"/>
    </row>
    <row r="52715" spans="16:16">
      <c r="P52715" s="2498"/>
    </row>
    <row r="52716" spans="16:16">
      <c r="P52716" s="2498"/>
    </row>
    <row r="52717" spans="16:16">
      <c r="P52717" s="2498"/>
    </row>
    <row r="52718" spans="16:16">
      <c r="P52718" s="2498"/>
    </row>
    <row r="52719" spans="16:16">
      <c r="P52719" s="2498"/>
    </row>
    <row r="52720" spans="16:16">
      <c r="P52720" s="2498"/>
    </row>
    <row r="52721" spans="16:16">
      <c r="P52721" s="2498"/>
    </row>
    <row r="52722" spans="16:16">
      <c r="P52722" s="2498"/>
    </row>
    <row r="52723" spans="16:16">
      <c r="P52723" s="2498"/>
    </row>
    <row r="52724" spans="16:16">
      <c r="P52724" s="2498"/>
    </row>
    <row r="52725" spans="16:16">
      <c r="P52725" s="2498"/>
    </row>
    <row r="52726" spans="16:16">
      <c r="P52726" s="2498"/>
    </row>
    <row r="52727" spans="16:16">
      <c r="P52727" s="2498"/>
    </row>
    <row r="52728" spans="16:16">
      <c r="P52728" s="2498"/>
    </row>
    <row r="52729" spans="16:16">
      <c r="P52729" s="2498"/>
    </row>
    <row r="52730" spans="16:16">
      <c r="P52730" s="2498"/>
    </row>
    <row r="52731" spans="16:16">
      <c r="P52731" s="2498"/>
    </row>
    <row r="52732" spans="16:16">
      <c r="P52732" s="2498"/>
    </row>
    <row r="52733" spans="16:16">
      <c r="P52733" s="2498"/>
    </row>
    <row r="52734" spans="16:16">
      <c r="P52734" s="2498"/>
    </row>
    <row r="52735" spans="16:16">
      <c r="P52735" s="2498"/>
    </row>
    <row r="52736" spans="16:16">
      <c r="P52736" s="2498"/>
    </row>
    <row r="52737" spans="16:16">
      <c r="P52737" s="2498"/>
    </row>
    <row r="52738" spans="16:16">
      <c r="P52738" s="2498"/>
    </row>
    <row r="52739" spans="16:16">
      <c r="P52739" s="2498"/>
    </row>
    <row r="52740" spans="16:16">
      <c r="P52740" s="2498"/>
    </row>
    <row r="52741" spans="16:16">
      <c r="P52741" s="2498"/>
    </row>
    <row r="52742" spans="16:16">
      <c r="P52742" s="2498"/>
    </row>
    <row r="52743" spans="16:16">
      <c r="P52743" s="2498"/>
    </row>
    <row r="52744" spans="16:16">
      <c r="P52744" s="2498"/>
    </row>
    <row r="52745" spans="16:16">
      <c r="P52745" s="2498"/>
    </row>
    <row r="52746" spans="16:16">
      <c r="P52746" s="2498"/>
    </row>
    <row r="52747" spans="16:16">
      <c r="P52747" s="2498"/>
    </row>
    <row r="52748" spans="16:16">
      <c r="P52748" s="2498"/>
    </row>
    <row r="52749" spans="16:16">
      <c r="P52749" s="2498"/>
    </row>
    <row r="52750" spans="16:16">
      <c r="P52750" s="2498"/>
    </row>
    <row r="52751" spans="16:16">
      <c r="P52751" s="2498"/>
    </row>
    <row r="52752" spans="16:16">
      <c r="P52752" s="2498"/>
    </row>
    <row r="52753" spans="16:16">
      <c r="P52753" s="2498"/>
    </row>
    <row r="52754" spans="16:16">
      <c r="P52754" s="2498"/>
    </row>
    <row r="52755" spans="16:16">
      <c r="P52755" s="2498"/>
    </row>
    <row r="52756" spans="16:16">
      <c r="P52756" s="2498"/>
    </row>
    <row r="52757" spans="16:16">
      <c r="P52757" s="2498"/>
    </row>
    <row r="52758" spans="16:16">
      <c r="P52758" s="2498"/>
    </row>
    <row r="52759" spans="16:16">
      <c r="P52759" s="2498"/>
    </row>
    <row r="52760" spans="16:16">
      <c r="P52760" s="2498"/>
    </row>
    <row r="52761" spans="16:16">
      <c r="P52761" s="2498"/>
    </row>
    <row r="52762" spans="16:16">
      <c r="P52762" s="2498"/>
    </row>
    <row r="52763" spans="16:16">
      <c r="P52763" s="2498"/>
    </row>
    <row r="52764" spans="16:16">
      <c r="P52764" s="2498"/>
    </row>
    <row r="52765" spans="16:16">
      <c r="P52765" s="2498"/>
    </row>
    <row r="52766" spans="16:16">
      <c r="P52766" s="2498"/>
    </row>
    <row r="52767" spans="16:16">
      <c r="P52767" s="2498"/>
    </row>
    <row r="52768" spans="16:16">
      <c r="P52768" s="2498"/>
    </row>
    <row r="52769" spans="16:16">
      <c r="P52769" s="2498"/>
    </row>
    <row r="52770" spans="16:16">
      <c r="P52770" s="2498"/>
    </row>
    <row r="52771" spans="16:16">
      <c r="P52771" s="2498"/>
    </row>
    <row r="52772" spans="16:16">
      <c r="P52772" s="2498"/>
    </row>
    <row r="52773" spans="16:16">
      <c r="P52773" s="2498"/>
    </row>
    <row r="52774" spans="16:16">
      <c r="P52774" s="2498"/>
    </row>
    <row r="52775" spans="16:16">
      <c r="P52775" s="2498"/>
    </row>
    <row r="52776" spans="16:16">
      <c r="P52776" s="2498"/>
    </row>
    <row r="52777" spans="16:16">
      <c r="P52777" s="2498"/>
    </row>
    <row r="52778" spans="16:16">
      <c r="P52778" s="2498"/>
    </row>
    <row r="52779" spans="16:16">
      <c r="P52779" s="2498"/>
    </row>
    <row r="52780" spans="16:16">
      <c r="P52780" s="2498"/>
    </row>
    <row r="52781" spans="16:16">
      <c r="P52781" s="2498"/>
    </row>
    <row r="52782" spans="16:16">
      <c r="P52782" s="2498"/>
    </row>
    <row r="52783" spans="16:16">
      <c r="P52783" s="2498"/>
    </row>
    <row r="52784" spans="16:16">
      <c r="P52784" s="2498"/>
    </row>
    <row r="52785" spans="16:16">
      <c r="P52785" s="2498"/>
    </row>
    <row r="52786" spans="16:16">
      <c r="P52786" s="2498"/>
    </row>
    <row r="52787" spans="16:16">
      <c r="P52787" s="2498"/>
    </row>
    <row r="52788" spans="16:16">
      <c r="P52788" s="2498"/>
    </row>
    <row r="52789" spans="16:16">
      <c r="P52789" s="2498"/>
    </row>
    <row r="52790" spans="16:16">
      <c r="P52790" s="2498"/>
    </row>
    <row r="52791" spans="16:16">
      <c r="P52791" s="2498"/>
    </row>
    <row r="52792" spans="16:16">
      <c r="P52792" s="2498"/>
    </row>
    <row r="52793" spans="16:16">
      <c r="P52793" s="2498"/>
    </row>
    <row r="52794" spans="16:16">
      <c r="P52794" s="2498"/>
    </row>
    <row r="52795" spans="16:16">
      <c r="P52795" s="2498"/>
    </row>
    <row r="52796" spans="16:16">
      <c r="P52796" s="2498"/>
    </row>
    <row r="52797" spans="16:16">
      <c r="P52797" s="2498"/>
    </row>
    <row r="52798" spans="16:16">
      <c r="P52798" s="2498"/>
    </row>
    <row r="52799" spans="16:16">
      <c r="P52799" s="2498"/>
    </row>
    <row r="52800" spans="16:16">
      <c r="P52800" s="2498"/>
    </row>
    <row r="52801" spans="16:16">
      <c r="P52801" s="2498"/>
    </row>
    <row r="52802" spans="16:16">
      <c r="P52802" s="2498"/>
    </row>
    <row r="52803" spans="16:16">
      <c r="P52803" s="2498"/>
    </row>
    <row r="52804" spans="16:16">
      <c r="P52804" s="2498"/>
    </row>
    <row r="52805" spans="16:16">
      <c r="P52805" s="2498"/>
    </row>
    <row r="52806" spans="16:16">
      <c r="P52806" s="2498"/>
    </row>
    <row r="52807" spans="16:16">
      <c r="P52807" s="2498"/>
    </row>
    <row r="52808" spans="16:16">
      <c r="P52808" s="2498"/>
    </row>
    <row r="52809" spans="16:16">
      <c r="P52809" s="2498"/>
    </row>
    <row r="52810" spans="16:16">
      <c r="P52810" s="2498"/>
    </row>
    <row r="52811" spans="16:16">
      <c r="P52811" s="2498"/>
    </row>
    <row r="52812" spans="16:16">
      <c r="P52812" s="2498"/>
    </row>
    <row r="52813" spans="16:16">
      <c r="P52813" s="2498"/>
    </row>
    <row r="52814" spans="16:16">
      <c r="P52814" s="2498"/>
    </row>
    <row r="52815" spans="16:16">
      <c r="P52815" s="2498"/>
    </row>
    <row r="52816" spans="16:16">
      <c r="P52816" s="2498"/>
    </row>
    <row r="52817" spans="16:16">
      <c r="P52817" s="2498"/>
    </row>
    <row r="52818" spans="16:16">
      <c r="P52818" s="2498"/>
    </row>
    <row r="52819" spans="16:16">
      <c r="P52819" s="2498"/>
    </row>
    <row r="52820" spans="16:16">
      <c r="P52820" s="2498"/>
    </row>
    <row r="52821" spans="16:16">
      <c r="P52821" s="2498"/>
    </row>
    <row r="52822" spans="16:16">
      <c r="P52822" s="2498"/>
    </row>
    <row r="52823" spans="16:16">
      <c r="P52823" s="2498"/>
    </row>
    <row r="52824" spans="16:16">
      <c r="P52824" s="2498"/>
    </row>
    <row r="52825" spans="16:16">
      <c r="P52825" s="2498"/>
    </row>
    <row r="52826" spans="16:16">
      <c r="P52826" s="2498"/>
    </row>
    <row r="52827" spans="16:16">
      <c r="P52827" s="2498"/>
    </row>
    <row r="52828" spans="16:16">
      <c r="P52828" s="2498"/>
    </row>
    <row r="52829" spans="16:16">
      <c r="P52829" s="2498"/>
    </row>
    <row r="52830" spans="16:16">
      <c r="P52830" s="2498"/>
    </row>
    <row r="52831" spans="16:16">
      <c r="P52831" s="2498"/>
    </row>
    <row r="52832" spans="16:16">
      <c r="P52832" s="2498"/>
    </row>
    <row r="52833" spans="16:16">
      <c r="P52833" s="2498"/>
    </row>
    <row r="52834" spans="16:16">
      <c r="P52834" s="2498"/>
    </row>
    <row r="52835" spans="16:16">
      <c r="P52835" s="2498"/>
    </row>
    <row r="52836" spans="16:16">
      <c r="P52836" s="2498"/>
    </row>
    <row r="52837" spans="16:16">
      <c r="P52837" s="2498"/>
    </row>
    <row r="52838" spans="16:16">
      <c r="P52838" s="2498"/>
    </row>
    <row r="52839" spans="16:16">
      <c r="P52839" s="2498"/>
    </row>
    <row r="52840" spans="16:16">
      <c r="P52840" s="2498"/>
    </row>
    <row r="52841" spans="16:16">
      <c r="P52841" s="2498"/>
    </row>
    <row r="52842" spans="16:16">
      <c r="P52842" s="2498"/>
    </row>
    <row r="52843" spans="16:16">
      <c r="P52843" s="2498"/>
    </row>
    <row r="52844" spans="16:16">
      <c r="P52844" s="2498"/>
    </row>
    <row r="52845" spans="16:16">
      <c r="P52845" s="2498"/>
    </row>
    <row r="52846" spans="16:16">
      <c r="P52846" s="2498"/>
    </row>
    <row r="52847" spans="16:16">
      <c r="P52847" s="2498"/>
    </row>
    <row r="52848" spans="16:16">
      <c r="P52848" s="2498"/>
    </row>
    <row r="52849" spans="16:16">
      <c r="P52849" s="2498"/>
    </row>
    <row r="52850" spans="16:16">
      <c r="P52850" s="2498"/>
    </row>
    <row r="52851" spans="16:16">
      <c r="P52851" s="2498"/>
    </row>
    <row r="52852" spans="16:16">
      <c r="P52852" s="2498"/>
    </row>
    <row r="52853" spans="16:16">
      <c r="P52853" s="2498"/>
    </row>
    <row r="52854" spans="16:16">
      <c r="P52854" s="2498"/>
    </row>
    <row r="52855" spans="16:16">
      <c r="P52855" s="2498"/>
    </row>
    <row r="52856" spans="16:16">
      <c r="P52856" s="2498"/>
    </row>
    <row r="52857" spans="16:16">
      <c r="P52857" s="2498"/>
    </row>
    <row r="52858" spans="16:16">
      <c r="P52858" s="2498"/>
    </row>
    <row r="52859" spans="16:16">
      <c r="P52859" s="2498"/>
    </row>
    <row r="52860" spans="16:16">
      <c r="P52860" s="2498"/>
    </row>
    <row r="52861" spans="16:16">
      <c r="P52861" s="2498"/>
    </row>
    <row r="52862" spans="16:16">
      <c r="P52862" s="2498"/>
    </row>
    <row r="52863" spans="16:16">
      <c r="P52863" s="2498"/>
    </row>
    <row r="52864" spans="16:16">
      <c r="P52864" s="2498"/>
    </row>
    <row r="52865" spans="16:16">
      <c r="P52865" s="2498"/>
    </row>
    <row r="52866" spans="16:16">
      <c r="P52866" s="2498"/>
    </row>
    <row r="52867" spans="16:16">
      <c r="P52867" s="2498"/>
    </row>
    <row r="52868" spans="16:16">
      <c r="P52868" s="2498"/>
    </row>
    <row r="52869" spans="16:16">
      <c r="P52869" s="2498"/>
    </row>
    <row r="52870" spans="16:16">
      <c r="P52870" s="2498"/>
    </row>
    <row r="52871" spans="16:16">
      <c r="P52871" s="2498"/>
    </row>
    <row r="52872" spans="16:16">
      <c r="P52872" s="2498"/>
    </row>
    <row r="52873" spans="16:16">
      <c r="P52873" s="2498"/>
    </row>
    <row r="52874" spans="16:16">
      <c r="P52874" s="2498"/>
    </row>
    <row r="52875" spans="16:16">
      <c r="P52875" s="2498"/>
    </row>
    <row r="52876" spans="16:16">
      <c r="P52876" s="2498"/>
    </row>
    <row r="52877" spans="16:16">
      <c r="P52877" s="2498"/>
    </row>
    <row r="52878" spans="16:16">
      <c r="P52878" s="2498"/>
    </row>
    <row r="52879" spans="16:16">
      <c r="P52879" s="2498"/>
    </row>
    <row r="52880" spans="16:16">
      <c r="P52880" s="2498"/>
    </row>
    <row r="52881" spans="16:16">
      <c r="P52881" s="2498"/>
    </row>
    <row r="52882" spans="16:16">
      <c r="P52882" s="2498"/>
    </row>
    <row r="52883" spans="16:16">
      <c r="P52883" s="2498"/>
    </row>
    <row r="52884" spans="16:16">
      <c r="P52884" s="2498"/>
    </row>
    <row r="52885" spans="16:16">
      <c r="P52885" s="2498"/>
    </row>
    <row r="52886" spans="16:16">
      <c r="P52886" s="2498"/>
    </row>
    <row r="52887" spans="16:16">
      <c r="P52887" s="2498"/>
    </row>
    <row r="52888" spans="16:16">
      <c r="P52888" s="2498"/>
    </row>
    <row r="52889" spans="16:16">
      <c r="P52889" s="2498"/>
    </row>
    <row r="52890" spans="16:16">
      <c r="P52890" s="2498"/>
    </row>
    <row r="52891" spans="16:16">
      <c r="P52891" s="2498"/>
    </row>
    <row r="52892" spans="16:16">
      <c r="P52892" s="2498"/>
    </row>
    <row r="52893" spans="16:16">
      <c r="P52893" s="2498"/>
    </row>
    <row r="52894" spans="16:16">
      <c r="P52894" s="2498"/>
    </row>
    <row r="52895" spans="16:16">
      <c r="P52895" s="2498"/>
    </row>
    <row r="52896" spans="16:16">
      <c r="P52896" s="2498"/>
    </row>
    <row r="52897" spans="16:16">
      <c r="P52897" s="2498"/>
    </row>
    <row r="52898" spans="16:16">
      <c r="P52898" s="2498"/>
    </row>
    <row r="52899" spans="16:16">
      <c r="P52899" s="2498"/>
    </row>
    <row r="52900" spans="16:16">
      <c r="P52900" s="2498"/>
    </row>
    <row r="52901" spans="16:16">
      <c r="P52901" s="2498"/>
    </row>
    <row r="52902" spans="16:16">
      <c r="P52902" s="2498"/>
    </row>
    <row r="52903" spans="16:16">
      <c r="P52903" s="2498"/>
    </row>
    <row r="52904" spans="16:16">
      <c r="P52904" s="2498"/>
    </row>
    <row r="52905" spans="16:16">
      <c r="P52905" s="2498"/>
    </row>
    <row r="52906" spans="16:16">
      <c r="P52906" s="2498"/>
    </row>
    <row r="52907" spans="16:16">
      <c r="P52907" s="2498"/>
    </row>
    <row r="52908" spans="16:16">
      <c r="P52908" s="2498"/>
    </row>
    <row r="52909" spans="16:16">
      <c r="P52909" s="2498"/>
    </row>
    <row r="52910" spans="16:16">
      <c r="P52910" s="2498"/>
    </row>
    <row r="52911" spans="16:16">
      <c r="P52911" s="2498"/>
    </row>
    <row r="52912" spans="16:16">
      <c r="P52912" s="2498"/>
    </row>
    <row r="52913" spans="16:16">
      <c r="P52913" s="2498"/>
    </row>
    <row r="52914" spans="16:16">
      <c r="P52914" s="2498"/>
    </row>
    <row r="52915" spans="16:16">
      <c r="P52915" s="2498"/>
    </row>
    <row r="52916" spans="16:16">
      <c r="P52916" s="2498"/>
    </row>
    <row r="52917" spans="16:16">
      <c r="P52917" s="2498"/>
    </row>
    <row r="52918" spans="16:16">
      <c r="P52918" s="2498"/>
    </row>
    <row r="52919" spans="16:16">
      <c r="P52919" s="2498"/>
    </row>
    <row r="52920" spans="16:16">
      <c r="P52920" s="2498"/>
    </row>
    <row r="52921" spans="16:16">
      <c r="P52921" s="2498"/>
    </row>
    <row r="52922" spans="16:16">
      <c r="P52922" s="2498"/>
    </row>
    <row r="52923" spans="16:16">
      <c r="P52923" s="2498"/>
    </row>
    <row r="52924" spans="16:16">
      <c r="P52924" s="2498"/>
    </row>
    <row r="52925" spans="16:16">
      <c r="P52925" s="2498"/>
    </row>
    <row r="52926" spans="16:16">
      <c r="P52926" s="2498"/>
    </row>
    <row r="52927" spans="16:16">
      <c r="P52927" s="2498"/>
    </row>
    <row r="52928" spans="16:16">
      <c r="P52928" s="2498"/>
    </row>
    <row r="52929" spans="16:16">
      <c r="P52929" s="2498"/>
    </row>
    <row r="52930" spans="16:16">
      <c r="P52930" s="2498"/>
    </row>
    <row r="52931" spans="16:16">
      <c r="P52931" s="2498"/>
    </row>
    <row r="52932" spans="16:16">
      <c r="P52932" s="2498"/>
    </row>
    <row r="52933" spans="16:16">
      <c r="P52933" s="2498"/>
    </row>
    <row r="52934" spans="16:16">
      <c r="P52934" s="2498"/>
    </row>
    <row r="52935" spans="16:16">
      <c r="P52935" s="2498"/>
    </row>
    <row r="52936" spans="16:16">
      <c r="P52936" s="2498"/>
    </row>
    <row r="52937" spans="16:16">
      <c r="P52937" s="2498"/>
    </row>
    <row r="52938" spans="16:16">
      <c r="P52938" s="2498"/>
    </row>
    <row r="52939" spans="16:16">
      <c r="P52939" s="2498"/>
    </row>
    <row r="52940" spans="16:16">
      <c r="P52940" s="2498"/>
    </row>
    <row r="52941" spans="16:16">
      <c r="P52941" s="2498"/>
    </row>
    <row r="52942" spans="16:16">
      <c r="P52942" s="2498"/>
    </row>
    <row r="52943" spans="16:16">
      <c r="P52943" s="2498"/>
    </row>
    <row r="52944" spans="16:16">
      <c r="P52944" s="2498"/>
    </row>
    <row r="52945" spans="16:16">
      <c r="P52945" s="2498"/>
    </row>
    <row r="52946" spans="16:16">
      <c r="P52946" s="2498"/>
    </row>
    <row r="52947" spans="16:16">
      <c r="P52947" s="2498"/>
    </row>
    <row r="52948" spans="16:16">
      <c r="P52948" s="2498"/>
    </row>
    <row r="52949" spans="16:16">
      <c r="P52949" s="2498"/>
    </row>
    <row r="52950" spans="16:16">
      <c r="P52950" s="2498"/>
    </row>
    <row r="52951" spans="16:16">
      <c r="P52951" s="2498"/>
    </row>
    <row r="52952" spans="16:16">
      <c r="P52952" s="2498"/>
    </row>
    <row r="52953" spans="16:16">
      <c r="P52953" s="2498"/>
    </row>
    <row r="52954" spans="16:16">
      <c r="P52954" s="2498"/>
    </row>
    <row r="52955" spans="16:16">
      <c r="P52955" s="2498"/>
    </row>
    <row r="52956" spans="16:16">
      <c r="P52956" s="2498"/>
    </row>
    <row r="52957" spans="16:16">
      <c r="P52957" s="2498"/>
    </row>
    <row r="52958" spans="16:16">
      <c r="P52958" s="2498"/>
    </row>
    <row r="52959" spans="16:16">
      <c r="P52959" s="2498"/>
    </row>
    <row r="52960" spans="16:16">
      <c r="P52960" s="2498"/>
    </row>
    <row r="52961" spans="16:16">
      <c r="P52961" s="2498"/>
    </row>
    <row r="52962" spans="16:16">
      <c r="P52962" s="2498"/>
    </row>
    <row r="52963" spans="16:16">
      <c r="P52963" s="2498"/>
    </row>
    <row r="52964" spans="16:16">
      <c r="P52964" s="2498"/>
    </row>
    <row r="52965" spans="16:16">
      <c r="P52965" s="2498"/>
    </row>
    <row r="52966" spans="16:16">
      <c r="P52966" s="2498"/>
    </row>
    <row r="52967" spans="16:16">
      <c r="P52967" s="2498"/>
    </row>
    <row r="52968" spans="16:16">
      <c r="P52968" s="2498"/>
    </row>
    <row r="52969" spans="16:16">
      <c r="P52969" s="2498"/>
    </row>
    <row r="52970" spans="16:16">
      <c r="P52970" s="2498"/>
    </row>
    <row r="52971" spans="16:16">
      <c r="P52971" s="2498"/>
    </row>
    <row r="52972" spans="16:16">
      <c r="P52972" s="2498"/>
    </row>
    <row r="52973" spans="16:16">
      <c r="P52973" s="2498"/>
    </row>
    <row r="52974" spans="16:16">
      <c r="P52974" s="2498"/>
    </row>
    <row r="52975" spans="16:16">
      <c r="P52975" s="2498"/>
    </row>
    <row r="52976" spans="16:16">
      <c r="P52976" s="2498"/>
    </row>
    <row r="52977" spans="16:16">
      <c r="P52977" s="2498"/>
    </row>
    <row r="52978" spans="16:16">
      <c r="P52978" s="2498"/>
    </row>
    <row r="52979" spans="16:16">
      <c r="P52979" s="2498"/>
    </row>
    <row r="52980" spans="16:16">
      <c r="P52980" s="2498"/>
    </row>
    <row r="52981" spans="16:16">
      <c r="P52981" s="2498"/>
    </row>
    <row r="52982" spans="16:16">
      <c r="P52982" s="2498"/>
    </row>
    <row r="52983" spans="16:16">
      <c r="P52983" s="2498"/>
    </row>
    <row r="52984" spans="16:16">
      <c r="P52984" s="2498"/>
    </row>
    <row r="52985" spans="16:16">
      <c r="P52985" s="2498"/>
    </row>
    <row r="52986" spans="16:16">
      <c r="P52986" s="2498"/>
    </row>
    <row r="52987" spans="16:16">
      <c r="P52987" s="2498"/>
    </row>
    <row r="52988" spans="16:16">
      <c r="P52988" s="2498"/>
    </row>
    <row r="52989" spans="16:16">
      <c r="P52989" s="2498"/>
    </row>
    <row r="52990" spans="16:16">
      <c r="P52990" s="2498"/>
    </row>
    <row r="52991" spans="16:16">
      <c r="P52991" s="2498"/>
    </row>
    <row r="52992" spans="16:16">
      <c r="P52992" s="2498"/>
    </row>
    <row r="52993" spans="16:16">
      <c r="P52993" s="2498"/>
    </row>
    <row r="52994" spans="16:16">
      <c r="P52994" s="2498"/>
    </row>
    <row r="52995" spans="16:16">
      <c r="P52995" s="2498"/>
    </row>
    <row r="52996" spans="16:16">
      <c r="P52996" s="2498"/>
    </row>
    <row r="52997" spans="16:16">
      <c r="P52997" s="2498"/>
    </row>
    <row r="52998" spans="16:16">
      <c r="P52998" s="2498"/>
    </row>
    <row r="52999" spans="16:16">
      <c r="P52999" s="2498"/>
    </row>
    <row r="53000" spans="16:16">
      <c r="P53000" s="2498"/>
    </row>
    <row r="53001" spans="16:16">
      <c r="P53001" s="2498"/>
    </row>
    <row r="53002" spans="16:16">
      <c r="P53002" s="2498"/>
    </row>
    <row r="53003" spans="16:16">
      <c r="P53003" s="2498"/>
    </row>
    <row r="53004" spans="16:16">
      <c r="P53004" s="2498"/>
    </row>
    <row r="53005" spans="16:16">
      <c r="P53005" s="2498"/>
    </row>
    <row r="53006" spans="16:16">
      <c r="P53006" s="2498"/>
    </row>
    <row r="53007" spans="16:16">
      <c r="P53007" s="2498"/>
    </row>
    <row r="53008" spans="16:16">
      <c r="P53008" s="2498"/>
    </row>
    <row r="53009" spans="16:16">
      <c r="P53009" s="2498"/>
    </row>
    <row r="53010" spans="16:16">
      <c r="P53010" s="2498"/>
    </row>
    <row r="53011" spans="16:16">
      <c r="P53011" s="2498"/>
    </row>
    <row r="53012" spans="16:16">
      <c r="P53012" s="2498"/>
    </row>
    <row r="53013" spans="16:16">
      <c r="P53013" s="2498"/>
    </row>
    <row r="53014" spans="16:16">
      <c r="P53014" s="2498"/>
    </row>
    <row r="53015" spans="16:16">
      <c r="P53015" s="2498"/>
    </row>
    <row r="53016" spans="16:16">
      <c r="P53016" s="2498"/>
    </row>
    <row r="53017" spans="16:16">
      <c r="P53017" s="2498"/>
    </row>
    <row r="53018" spans="16:16">
      <c r="P53018" s="2498"/>
    </row>
    <row r="53019" spans="16:16">
      <c r="P53019" s="2498"/>
    </row>
    <row r="53020" spans="16:16">
      <c r="P53020" s="2498"/>
    </row>
    <row r="53021" spans="16:16">
      <c r="P53021" s="2498"/>
    </row>
    <row r="53022" spans="16:16">
      <c r="P53022" s="2498"/>
    </row>
    <row r="53023" spans="16:16">
      <c r="P53023" s="2498"/>
    </row>
    <row r="53024" spans="16:16">
      <c r="P53024" s="2498"/>
    </row>
    <row r="53025" spans="16:16">
      <c r="P53025" s="2498"/>
    </row>
    <row r="53026" spans="16:16">
      <c r="P53026" s="2498"/>
    </row>
    <row r="53027" spans="16:16">
      <c r="P53027" s="2498"/>
    </row>
    <row r="53028" spans="16:16">
      <c r="P53028" s="2498"/>
    </row>
    <row r="53029" spans="16:16">
      <c r="P53029" s="2498"/>
    </row>
    <row r="53030" spans="16:16">
      <c r="P53030" s="2498"/>
    </row>
    <row r="53031" spans="16:16">
      <c r="P53031" s="2498"/>
    </row>
    <row r="53032" spans="16:16">
      <c r="P53032" s="2498"/>
    </row>
    <row r="53033" spans="16:16">
      <c r="P53033" s="2498"/>
    </row>
    <row r="53034" spans="16:16">
      <c r="P53034" s="2498"/>
    </row>
    <row r="53035" spans="16:16">
      <c r="P53035" s="2498"/>
    </row>
    <row r="53036" spans="16:16">
      <c r="P53036" s="2498"/>
    </row>
    <row r="53037" spans="16:16">
      <c r="P53037" s="2498"/>
    </row>
    <row r="53038" spans="16:16">
      <c r="P53038" s="2498"/>
    </row>
    <row r="53039" spans="16:16">
      <c r="P53039" s="2498"/>
    </row>
    <row r="53040" spans="16:16">
      <c r="P53040" s="2498"/>
    </row>
    <row r="53041" spans="16:16">
      <c r="P53041" s="2498"/>
    </row>
    <row r="53042" spans="16:16">
      <c r="P53042" s="2498"/>
    </row>
    <row r="53043" spans="16:16">
      <c r="P53043" s="2498"/>
    </row>
    <row r="53044" spans="16:16">
      <c r="P53044" s="2498"/>
    </row>
    <row r="53045" spans="16:16">
      <c r="P53045" s="2498"/>
    </row>
    <row r="53046" spans="16:16">
      <c r="P53046" s="2498"/>
    </row>
    <row r="53047" spans="16:16">
      <c r="P53047" s="2498"/>
    </row>
    <row r="53048" spans="16:16">
      <c r="P53048" s="2498"/>
    </row>
    <row r="53049" spans="16:16">
      <c r="P53049" s="2498"/>
    </row>
    <row r="53050" spans="16:16">
      <c r="P53050" s="2498"/>
    </row>
    <row r="53051" spans="16:16">
      <c r="P53051" s="2498"/>
    </row>
    <row r="53052" spans="16:16">
      <c r="P53052" s="2498"/>
    </row>
    <row r="53053" spans="16:16">
      <c r="P53053" s="2498"/>
    </row>
    <row r="53054" spans="16:16">
      <c r="P53054" s="2498"/>
    </row>
    <row r="53055" spans="16:16">
      <c r="P53055" s="2498"/>
    </row>
    <row r="53056" spans="16:16">
      <c r="P53056" s="2498"/>
    </row>
    <row r="53057" spans="16:16">
      <c r="P53057" s="2498"/>
    </row>
    <row r="53058" spans="16:16">
      <c r="P53058" s="2498"/>
    </row>
    <row r="53059" spans="16:16">
      <c r="P53059" s="2498"/>
    </row>
    <row r="53060" spans="16:16">
      <c r="P53060" s="2498"/>
    </row>
    <row r="53061" spans="16:16">
      <c r="P53061" s="2498"/>
    </row>
    <row r="53062" spans="16:16">
      <c r="P53062" s="2498"/>
    </row>
    <row r="53063" spans="16:16">
      <c r="P53063" s="2498"/>
    </row>
    <row r="53064" spans="16:16">
      <c r="P53064" s="2498"/>
    </row>
    <row r="53065" spans="16:16">
      <c r="P53065" s="2498"/>
    </row>
    <row r="53066" spans="16:16">
      <c r="P53066" s="2498"/>
    </row>
    <row r="53067" spans="16:16">
      <c r="P53067" s="2498"/>
    </row>
    <row r="53068" spans="16:16">
      <c r="P53068" s="2498"/>
    </row>
    <row r="53069" spans="16:16">
      <c r="P53069" s="2498"/>
    </row>
    <row r="53070" spans="16:16">
      <c r="P53070" s="2498"/>
    </row>
    <row r="53071" spans="16:16">
      <c r="P53071" s="2498"/>
    </row>
    <row r="53072" spans="16:16">
      <c r="P53072" s="2498"/>
    </row>
    <row r="53073" spans="16:16">
      <c r="P53073" s="2498"/>
    </row>
    <row r="53074" spans="16:16">
      <c r="P53074" s="2498"/>
    </row>
    <row r="53075" spans="16:16">
      <c r="P53075" s="2498"/>
    </row>
    <row r="53076" spans="16:16">
      <c r="P53076" s="2498"/>
    </row>
    <row r="53077" spans="16:16">
      <c r="P53077" s="2498"/>
    </row>
    <row r="53078" spans="16:16">
      <c r="P53078" s="2498"/>
    </row>
    <row r="53079" spans="16:16">
      <c r="P53079" s="2498"/>
    </row>
    <row r="53080" spans="16:16">
      <c r="P53080" s="2498"/>
    </row>
    <row r="53081" spans="16:16">
      <c r="P53081" s="2498"/>
    </row>
    <row r="53082" spans="16:16">
      <c r="P53082" s="2498"/>
    </row>
    <row r="53083" spans="16:16">
      <c r="P53083" s="2498"/>
    </row>
    <row r="53084" spans="16:16">
      <c r="P53084" s="2498"/>
    </row>
    <row r="53085" spans="16:16">
      <c r="P53085" s="2498"/>
    </row>
    <row r="53086" spans="16:16">
      <c r="P53086" s="2498"/>
    </row>
    <row r="53087" spans="16:16">
      <c r="P53087" s="2498"/>
    </row>
    <row r="53088" spans="16:16">
      <c r="P53088" s="2498"/>
    </row>
    <row r="53089" spans="16:16">
      <c r="P53089" s="2498"/>
    </row>
    <row r="53090" spans="16:16">
      <c r="P53090" s="2498"/>
    </row>
    <row r="53091" spans="16:16">
      <c r="P53091" s="2498"/>
    </row>
    <row r="53092" spans="16:16">
      <c r="P53092" s="2498"/>
    </row>
    <row r="53093" spans="16:16">
      <c r="P53093" s="2498"/>
    </row>
    <row r="53094" spans="16:16">
      <c r="P53094" s="2498"/>
    </row>
    <row r="53095" spans="16:16">
      <c r="P53095" s="2498"/>
    </row>
    <row r="53096" spans="16:16">
      <c r="P53096" s="2498"/>
    </row>
    <row r="53097" spans="16:16">
      <c r="P53097" s="2498"/>
    </row>
    <row r="53098" spans="16:16">
      <c r="P53098" s="2498"/>
    </row>
    <row r="53099" spans="16:16">
      <c r="P53099" s="2498"/>
    </row>
    <row r="53100" spans="16:16">
      <c r="P53100" s="2498"/>
    </row>
    <row r="53101" spans="16:16">
      <c r="P53101" s="2498"/>
    </row>
    <row r="53102" spans="16:16">
      <c r="P53102" s="2498"/>
    </row>
    <row r="53103" spans="16:16">
      <c r="P53103" s="2498"/>
    </row>
    <row r="53104" spans="16:16">
      <c r="P53104" s="2498"/>
    </row>
    <row r="53105" spans="16:16">
      <c r="P53105" s="2498"/>
    </row>
    <row r="53106" spans="16:16">
      <c r="P53106" s="2498"/>
    </row>
    <row r="53107" spans="16:16">
      <c r="P53107" s="2498"/>
    </row>
    <row r="53108" spans="16:16">
      <c r="P53108" s="2498"/>
    </row>
    <row r="53109" spans="16:16">
      <c r="P53109" s="2498"/>
    </row>
    <row r="53110" spans="16:16">
      <c r="P53110" s="2498"/>
    </row>
    <row r="53111" spans="16:16">
      <c r="P53111" s="2498"/>
    </row>
    <row r="53112" spans="16:16">
      <c r="P53112" s="2498"/>
    </row>
    <row r="53113" spans="16:16">
      <c r="P53113" s="2498"/>
    </row>
    <row r="53114" spans="16:16">
      <c r="P53114" s="2498"/>
    </row>
    <row r="53115" spans="16:16">
      <c r="P53115" s="2498"/>
    </row>
    <row r="53116" spans="16:16">
      <c r="P53116" s="2498"/>
    </row>
    <row r="53117" spans="16:16">
      <c r="P53117" s="2498"/>
    </row>
    <row r="53118" spans="16:16">
      <c r="P53118" s="2498"/>
    </row>
    <row r="53119" spans="16:16">
      <c r="P53119" s="2498"/>
    </row>
    <row r="53120" spans="16:16">
      <c r="P53120" s="2498"/>
    </row>
    <row r="53121" spans="16:16">
      <c r="P53121" s="2498"/>
    </row>
    <row r="53122" spans="16:16">
      <c r="P53122" s="2498"/>
    </row>
    <row r="53123" spans="16:16">
      <c r="P53123" s="2498"/>
    </row>
    <row r="53124" spans="16:16">
      <c r="P53124" s="2498"/>
    </row>
    <row r="53125" spans="16:16">
      <c r="P53125" s="2498"/>
    </row>
    <row r="53126" spans="16:16">
      <c r="P53126" s="2498"/>
    </row>
    <row r="53127" spans="16:16">
      <c r="P53127" s="2498"/>
    </row>
    <row r="53128" spans="16:16">
      <c r="P53128" s="2498"/>
    </row>
    <row r="53129" spans="16:16">
      <c r="P53129" s="2498"/>
    </row>
    <row r="53130" spans="16:16">
      <c r="P53130" s="2498"/>
    </row>
    <row r="53131" spans="16:16">
      <c r="P53131" s="2498"/>
    </row>
    <row r="53132" spans="16:16">
      <c r="P53132" s="2498"/>
    </row>
    <row r="53133" spans="16:16">
      <c r="P53133" s="2498"/>
    </row>
    <row r="53134" spans="16:16">
      <c r="P53134" s="2498"/>
    </row>
    <row r="53135" spans="16:16">
      <c r="P53135" s="2498"/>
    </row>
    <row r="53136" spans="16:16">
      <c r="P53136" s="2498"/>
    </row>
    <row r="53137" spans="16:16">
      <c r="P53137" s="2498"/>
    </row>
    <row r="53138" spans="16:16">
      <c r="P53138" s="2498"/>
    </row>
    <row r="53139" spans="16:16">
      <c r="P53139" s="2498"/>
    </row>
    <row r="53140" spans="16:16">
      <c r="P53140" s="2498"/>
    </row>
    <row r="53141" spans="16:16">
      <c r="P53141" s="2498"/>
    </row>
    <row r="53142" spans="16:16">
      <c r="P53142" s="2498"/>
    </row>
    <row r="53143" spans="16:16">
      <c r="P53143" s="2498"/>
    </row>
    <row r="53144" spans="16:16">
      <c r="P53144" s="2498"/>
    </row>
    <row r="53145" spans="16:16">
      <c r="P53145" s="2498"/>
    </row>
    <row r="53146" spans="16:16">
      <c r="P53146" s="2498"/>
    </row>
    <row r="53147" spans="16:16">
      <c r="P53147" s="2498"/>
    </row>
    <row r="53148" spans="16:16">
      <c r="P53148" s="2498"/>
    </row>
    <row r="53149" spans="16:16">
      <c r="P53149" s="2498"/>
    </row>
    <row r="53150" spans="16:16">
      <c r="P53150" s="2498"/>
    </row>
    <row r="53151" spans="16:16">
      <c r="P53151" s="2498"/>
    </row>
    <row r="53152" spans="16:16">
      <c r="P53152" s="2498"/>
    </row>
    <row r="53153" spans="16:16">
      <c r="P53153" s="2498"/>
    </row>
    <row r="53154" spans="16:16">
      <c r="P53154" s="2498"/>
    </row>
    <row r="53155" spans="16:16">
      <c r="P53155" s="2498"/>
    </row>
    <row r="53156" spans="16:16">
      <c r="P53156" s="2498"/>
    </row>
    <row r="53157" spans="16:16">
      <c r="P53157" s="2498"/>
    </row>
    <row r="53158" spans="16:16">
      <c r="P53158" s="2498"/>
    </row>
    <row r="53159" spans="16:16">
      <c r="P53159" s="2498"/>
    </row>
    <row r="53160" spans="16:16">
      <c r="P53160" s="2498"/>
    </row>
    <row r="53161" spans="16:16">
      <c r="P53161" s="2498"/>
    </row>
    <row r="53162" spans="16:16">
      <c r="P53162" s="2498"/>
    </row>
    <row r="53163" spans="16:16">
      <c r="P53163" s="2498"/>
    </row>
    <row r="53164" spans="16:16">
      <c r="P53164" s="2498"/>
    </row>
    <row r="53165" spans="16:16">
      <c r="P53165" s="2498"/>
    </row>
    <row r="53166" spans="16:16">
      <c r="P53166" s="2498"/>
    </row>
    <row r="53167" spans="16:16">
      <c r="P53167" s="2498"/>
    </row>
    <row r="53168" spans="16:16">
      <c r="P53168" s="2498"/>
    </row>
    <row r="53169" spans="16:16">
      <c r="P53169" s="2498"/>
    </row>
    <row r="53170" spans="16:16">
      <c r="P53170" s="2498"/>
    </row>
    <row r="53171" spans="16:16">
      <c r="P53171" s="2498"/>
    </row>
    <row r="53172" spans="16:16">
      <c r="P53172" s="2498"/>
    </row>
    <row r="53173" spans="16:16">
      <c r="P53173" s="2498"/>
    </row>
    <row r="53174" spans="16:16">
      <c r="P53174" s="2498"/>
    </row>
    <row r="53175" spans="16:16">
      <c r="P53175" s="2498"/>
    </row>
    <row r="53176" spans="16:16">
      <c r="P53176" s="2498"/>
    </row>
    <row r="53177" spans="16:16">
      <c r="P53177" s="2498"/>
    </row>
    <row r="53178" spans="16:16">
      <c r="P53178" s="2498"/>
    </row>
    <row r="53179" spans="16:16">
      <c r="P53179" s="2498"/>
    </row>
    <row r="53180" spans="16:16">
      <c r="P53180" s="2498"/>
    </row>
    <row r="53181" spans="16:16">
      <c r="P53181" s="2498"/>
    </row>
    <row r="53182" spans="16:16">
      <c r="P53182" s="2498"/>
    </row>
    <row r="53183" spans="16:16">
      <c r="P53183" s="2498"/>
    </row>
    <row r="53184" spans="16:16">
      <c r="P53184" s="2498"/>
    </row>
    <row r="53185" spans="16:16">
      <c r="P53185" s="2498"/>
    </row>
    <row r="53186" spans="16:16">
      <c r="P53186" s="2498"/>
    </row>
    <row r="53187" spans="16:16">
      <c r="P53187" s="2498"/>
    </row>
    <row r="53188" spans="16:16">
      <c r="P53188" s="2498"/>
    </row>
    <row r="53189" spans="16:16">
      <c r="P53189" s="2498"/>
    </row>
    <row r="53190" spans="16:16">
      <c r="P53190" s="2498"/>
    </row>
    <row r="53191" spans="16:16">
      <c r="P53191" s="2498"/>
    </row>
    <row r="53192" spans="16:16">
      <c r="P53192" s="2498"/>
    </row>
    <row r="53193" spans="16:16">
      <c r="P53193" s="2498"/>
    </row>
    <row r="53194" spans="16:16">
      <c r="P53194" s="2498"/>
    </row>
    <row r="53195" spans="16:16">
      <c r="P53195" s="2498"/>
    </row>
    <row r="53196" spans="16:16">
      <c r="P53196" s="2498"/>
    </row>
    <row r="53197" spans="16:16">
      <c r="P53197" s="2498"/>
    </row>
    <row r="53198" spans="16:16">
      <c r="P53198" s="2498"/>
    </row>
    <row r="53199" spans="16:16">
      <c r="P53199" s="2498"/>
    </row>
    <row r="53200" spans="16:16">
      <c r="P53200" s="2498"/>
    </row>
    <row r="53201" spans="16:16">
      <c r="P53201" s="2498"/>
    </row>
    <row r="53202" spans="16:16">
      <c r="P53202" s="2498"/>
    </row>
    <row r="53203" spans="16:16">
      <c r="P53203" s="2498"/>
    </row>
    <row r="53204" spans="16:16">
      <c r="P53204" s="2498"/>
    </row>
    <row r="53205" spans="16:16">
      <c r="P53205" s="2498"/>
    </row>
    <row r="53206" spans="16:16">
      <c r="P53206" s="2498"/>
    </row>
    <row r="53207" spans="16:16">
      <c r="P53207" s="2498"/>
    </row>
    <row r="53208" spans="16:16">
      <c r="P53208" s="2498"/>
    </row>
    <row r="53209" spans="16:16">
      <c r="P53209" s="2498"/>
    </row>
    <row r="53210" spans="16:16">
      <c r="P53210" s="2498"/>
    </row>
    <row r="53211" spans="16:16">
      <c r="P53211" s="2498"/>
    </row>
    <row r="53212" spans="16:16">
      <c r="P53212" s="2498"/>
    </row>
    <row r="53213" spans="16:16">
      <c r="P53213" s="2498"/>
    </row>
    <row r="53214" spans="16:16">
      <c r="P53214" s="2498"/>
    </row>
    <row r="53215" spans="16:16">
      <c r="P53215" s="2498"/>
    </row>
    <row r="53216" spans="16:16">
      <c r="P53216" s="2498"/>
    </row>
    <row r="53217" spans="16:16">
      <c r="P53217" s="2498"/>
    </row>
    <row r="53218" spans="16:16">
      <c r="P53218" s="2498"/>
    </row>
    <row r="53219" spans="16:16">
      <c r="P53219" s="2498"/>
    </row>
    <row r="53220" spans="16:16">
      <c r="P53220" s="2498"/>
    </row>
    <row r="53221" spans="16:16">
      <c r="P53221" s="2498"/>
    </row>
    <row r="53222" spans="16:16">
      <c r="P53222" s="2498"/>
    </row>
    <row r="53223" spans="16:16">
      <c r="P53223" s="2498"/>
    </row>
    <row r="53224" spans="16:16">
      <c r="P53224" s="2498"/>
    </row>
    <row r="53225" spans="16:16">
      <c r="P53225" s="2498"/>
    </row>
    <row r="53226" spans="16:16">
      <c r="P53226" s="2498"/>
    </row>
    <row r="53227" spans="16:16">
      <c r="P53227" s="2498"/>
    </row>
    <row r="53228" spans="16:16">
      <c r="P53228" s="2498"/>
    </row>
    <row r="53229" spans="16:16">
      <c r="P53229" s="2498"/>
    </row>
    <row r="53230" spans="16:16">
      <c r="P53230" s="2498"/>
    </row>
    <row r="53231" spans="16:16">
      <c r="P53231" s="2498"/>
    </row>
    <row r="53232" spans="16:16">
      <c r="P53232" s="2498"/>
    </row>
    <row r="53233" spans="16:16">
      <c r="P53233" s="2498"/>
    </row>
    <row r="53234" spans="16:16">
      <c r="P53234" s="2498"/>
    </row>
    <row r="53235" spans="16:16">
      <c r="P53235" s="2498"/>
    </row>
    <row r="53236" spans="16:16">
      <c r="P53236" s="2498"/>
    </row>
    <row r="53237" spans="16:16">
      <c r="P53237" s="2498"/>
    </row>
    <row r="53238" spans="16:16">
      <c r="P53238" s="2498"/>
    </row>
    <row r="53239" spans="16:16">
      <c r="P53239" s="2498"/>
    </row>
    <row r="53240" spans="16:16">
      <c r="P53240" s="2498"/>
    </row>
    <row r="53241" spans="16:16">
      <c r="P53241" s="2498"/>
    </row>
    <row r="53242" spans="16:16">
      <c r="P53242" s="2498"/>
    </row>
    <row r="53243" spans="16:16">
      <c r="P53243" s="2498"/>
    </row>
    <row r="53244" spans="16:16">
      <c r="P53244" s="2498"/>
    </row>
    <row r="53245" spans="16:16">
      <c r="P53245" s="2498"/>
    </row>
    <row r="53246" spans="16:16">
      <c r="P53246" s="2498"/>
    </row>
    <row r="53247" spans="16:16">
      <c r="P53247" s="2498"/>
    </row>
    <row r="53248" spans="16:16">
      <c r="P53248" s="2498"/>
    </row>
    <row r="53249" spans="16:16">
      <c r="P53249" s="2498"/>
    </row>
    <row r="53250" spans="16:16">
      <c r="P53250" s="2498"/>
    </row>
    <row r="53251" spans="16:16">
      <c r="P53251" s="2498"/>
    </row>
    <row r="53252" spans="16:16">
      <c r="P53252" s="2498"/>
    </row>
    <row r="53253" spans="16:16">
      <c r="P53253" s="2498"/>
    </row>
    <row r="53254" spans="16:16">
      <c r="P53254" s="2498"/>
    </row>
    <row r="53255" spans="16:16">
      <c r="P53255" s="2498"/>
    </row>
    <row r="53256" spans="16:16">
      <c r="P53256" s="2498"/>
    </row>
    <row r="53257" spans="16:16">
      <c r="P53257" s="2498"/>
    </row>
    <row r="53258" spans="16:16">
      <c r="P53258" s="2498"/>
    </row>
    <row r="53259" spans="16:16">
      <c r="P53259" s="2498"/>
    </row>
    <row r="53260" spans="16:16">
      <c r="P53260" s="2498"/>
    </row>
    <row r="53261" spans="16:16">
      <c r="P53261" s="2498"/>
    </row>
    <row r="53262" spans="16:16">
      <c r="P53262" s="2498"/>
    </row>
    <row r="53263" spans="16:16">
      <c r="P53263" s="2498"/>
    </row>
    <row r="53264" spans="16:16">
      <c r="P53264" s="2498"/>
    </row>
    <row r="53265" spans="16:16">
      <c r="P53265" s="2498"/>
    </row>
    <row r="53266" spans="16:16">
      <c r="P53266" s="2498"/>
    </row>
    <row r="53267" spans="16:16">
      <c r="P53267" s="2498"/>
    </row>
    <row r="53268" spans="16:16">
      <c r="P53268" s="2498"/>
    </row>
    <row r="53269" spans="16:16">
      <c r="P53269" s="2498"/>
    </row>
    <row r="53270" spans="16:16">
      <c r="P53270" s="2498"/>
    </row>
    <row r="53271" spans="16:16">
      <c r="P53271" s="2498"/>
    </row>
    <row r="53272" spans="16:16">
      <c r="P53272" s="2498"/>
    </row>
    <row r="53273" spans="16:16">
      <c r="P53273" s="2498"/>
    </row>
    <row r="53274" spans="16:16">
      <c r="P53274" s="2498"/>
    </row>
    <row r="53275" spans="16:16">
      <c r="P53275" s="2498"/>
    </row>
    <row r="53276" spans="16:16">
      <c r="P53276" s="2498"/>
    </row>
    <row r="53277" spans="16:16">
      <c r="P53277" s="2498"/>
    </row>
    <row r="53278" spans="16:16">
      <c r="P53278" s="2498"/>
    </row>
    <row r="53279" spans="16:16">
      <c r="P53279" s="2498"/>
    </row>
    <row r="53280" spans="16:16">
      <c r="P53280" s="2498"/>
    </row>
    <row r="53281" spans="16:16">
      <c r="P53281" s="2498"/>
    </row>
    <row r="53282" spans="16:16">
      <c r="P53282" s="2498"/>
    </row>
    <row r="53283" spans="16:16">
      <c r="P53283" s="2498"/>
    </row>
    <row r="53284" spans="16:16">
      <c r="P53284" s="2498"/>
    </row>
    <row r="53285" spans="16:16">
      <c r="P53285" s="2498"/>
    </row>
    <row r="53286" spans="16:16">
      <c r="P53286" s="2498"/>
    </row>
    <row r="53287" spans="16:16">
      <c r="P53287" s="2498"/>
    </row>
    <row r="53288" spans="16:16">
      <c r="P53288" s="2498"/>
    </row>
    <row r="53289" spans="16:16">
      <c r="P53289" s="2498"/>
    </row>
    <row r="53290" spans="16:16">
      <c r="P53290" s="2498"/>
    </row>
    <row r="53291" spans="16:16">
      <c r="P53291" s="2498"/>
    </row>
    <row r="53292" spans="16:16">
      <c r="P53292" s="2498"/>
    </row>
    <row r="53293" spans="16:16">
      <c r="P53293" s="2498"/>
    </row>
    <row r="53294" spans="16:16">
      <c r="P53294" s="2498"/>
    </row>
    <row r="53295" spans="16:16">
      <c r="P53295" s="2498"/>
    </row>
    <row r="53296" spans="16:16">
      <c r="P53296" s="2498"/>
    </row>
    <row r="53297" spans="16:16">
      <c r="P53297" s="2498"/>
    </row>
    <row r="53298" spans="16:16">
      <c r="P53298" s="2498"/>
    </row>
    <row r="53299" spans="16:16">
      <c r="P53299" s="2498"/>
    </row>
    <row r="53300" spans="16:16">
      <c r="P53300" s="2498"/>
    </row>
    <row r="53301" spans="16:16">
      <c r="P53301" s="2498"/>
    </row>
    <row r="53302" spans="16:16">
      <c r="P53302" s="2498"/>
    </row>
    <row r="53303" spans="16:16">
      <c r="P53303" s="2498"/>
    </row>
    <row r="53304" spans="16:16">
      <c r="P53304" s="2498"/>
    </row>
    <row r="53305" spans="16:16">
      <c r="P53305" s="2498"/>
    </row>
    <row r="53306" spans="16:16">
      <c r="P53306" s="2498"/>
    </row>
    <row r="53307" spans="16:16">
      <c r="P53307" s="2498"/>
    </row>
    <row r="53308" spans="16:16">
      <c r="P53308" s="2498"/>
    </row>
    <row r="53309" spans="16:16">
      <c r="P53309" s="2498"/>
    </row>
    <row r="53310" spans="16:16">
      <c r="P53310" s="2498"/>
    </row>
    <row r="53311" spans="16:16">
      <c r="P53311" s="2498"/>
    </row>
    <row r="53312" spans="16:16">
      <c r="P53312" s="2498"/>
    </row>
    <row r="53313" spans="16:16">
      <c r="P53313" s="2498"/>
    </row>
    <row r="53314" spans="16:16">
      <c r="P53314" s="2498"/>
    </row>
    <row r="53315" spans="16:16">
      <c r="P53315" s="2498"/>
    </row>
    <row r="53316" spans="16:16">
      <c r="P53316" s="2498"/>
    </row>
    <row r="53317" spans="16:16">
      <c r="P53317" s="2498"/>
    </row>
    <row r="53318" spans="16:16">
      <c r="P53318" s="2498"/>
    </row>
    <row r="53319" spans="16:16">
      <c r="P53319" s="2498"/>
    </row>
    <row r="53320" spans="16:16">
      <c r="P53320" s="2498"/>
    </row>
    <row r="53321" spans="16:16">
      <c r="P53321" s="2498"/>
    </row>
    <row r="53322" spans="16:16">
      <c r="P53322" s="2498"/>
    </row>
    <row r="53323" spans="16:16">
      <c r="P53323" s="2498"/>
    </row>
    <row r="53324" spans="16:16">
      <c r="P53324" s="2498"/>
    </row>
    <row r="53325" spans="16:16">
      <c r="P53325" s="2498"/>
    </row>
    <row r="53326" spans="16:16">
      <c r="P53326" s="2498"/>
    </row>
    <row r="53327" spans="16:16">
      <c r="P53327" s="2498"/>
    </row>
    <row r="53328" spans="16:16">
      <c r="P53328" s="2498"/>
    </row>
    <row r="53329" spans="16:16">
      <c r="P53329" s="2498"/>
    </row>
    <row r="53330" spans="16:16">
      <c r="P53330" s="2498"/>
    </row>
    <row r="53331" spans="16:16">
      <c r="P53331" s="2498"/>
    </row>
    <row r="53332" spans="16:16">
      <c r="P53332" s="2498"/>
    </row>
    <row r="53333" spans="16:16">
      <c r="P53333" s="2498"/>
    </row>
    <row r="53334" spans="16:16">
      <c r="P53334" s="2498"/>
    </row>
    <row r="53335" spans="16:16">
      <c r="P53335" s="2498"/>
    </row>
    <row r="53336" spans="16:16">
      <c r="P53336" s="2498"/>
    </row>
    <row r="53337" spans="16:16">
      <c r="P53337" s="2498"/>
    </row>
    <row r="53338" spans="16:16">
      <c r="P53338" s="2498"/>
    </row>
    <row r="53339" spans="16:16">
      <c r="P53339" s="2498"/>
    </row>
    <row r="53340" spans="16:16">
      <c r="P53340" s="2498"/>
    </row>
    <row r="53341" spans="16:16">
      <c r="P53341" s="2498"/>
    </row>
    <row r="53342" spans="16:16">
      <c r="P53342" s="2498"/>
    </row>
    <row r="53343" spans="16:16">
      <c r="P53343" s="2498"/>
    </row>
    <row r="53344" spans="16:16">
      <c r="P53344" s="2498"/>
    </row>
    <row r="53345" spans="16:16">
      <c r="P53345" s="2498"/>
    </row>
    <row r="53346" spans="16:16">
      <c r="P53346" s="2498"/>
    </row>
    <row r="53347" spans="16:16">
      <c r="P53347" s="2498"/>
    </row>
    <row r="53348" spans="16:16">
      <c r="P53348" s="2498"/>
    </row>
    <row r="53349" spans="16:16">
      <c r="P53349" s="2498"/>
    </row>
    <row r="53350" spans="16:16">
      <c r="P53350" s="2498"/>
    </row>
    <row r="53351" spans="16:16">
      <c r="P53351" s="2498"/>
    </row>
    <row r="53352" spans="16:16">
      <c r="P53352" s="2498"/>
    </row>
    <row r="53353" spans="16:16">
      <c r="P53353" s="2498"/>
    </row>
    <row r="53354" spans="16:16">
      <c r="P53354" s="2498"/>
    </row>
    <row r="53355" spans="16:16">
      <c r="P53355" s="2498"/>
    </row>
    <row r="53356" spans="16:16">
      <c r="P53356" s="2498"/>
    </row>
    <row r="53357" spans="16:16">
      <c r="P53357" s="2498"/>
    </row>
    <row r="53358" spans="16:16">
      <c r="P53358" s="2498"/>
    </row>
    <row r="53359" spans="16:16">
      <c r="P53359" s="2498"/>
    </row>
    <row r="53360" spans="16:16">
      <c r="P53360" s="2498"/>
    </row>
    <row r="53361" spans="16:16">
      <c r="P53361" s="2498"/>
    </row>
    <row r="53362" spans="16:16">
      <c r="P53362" s="2498"/>
    </row>
    <row r="53363" spans="16:16">
      <c r="P53363" s="2498"/>
    </row>
    <row r="53364" spans="16:16">
      <c r="P53364" s="2498"/>
    </row>
    <row r="53365" spans="16:16">
      <c r="P53365" s="2498"/>
    </row>
    <row r="53366" spans="16:16">
      <c r="P53366" s="2498"/>
    </row>
    <row r="53367" spans="16:16">
      <c r="P53367" s="2498"/>
    </row>
    <row r="53368" spans="16:16">
      <c r="P53368" s="2498"/>
    </row>
    <row r="53369" spans="16:16">
      <c r="P53369" s="2498"/>
    </row>
    <row r="53370" spans="16:16">
      <c r="P53370" s="2498"/>
    </row>
    <row r="53371" spans="16:16">
      <c r="P53371" s="2498"/>
    </row>
    <row r="53372" spans="16:16">
      <c r="P53372" s="2498"/>
    </row>
    <row r="53373" spans="16:16">
      <c r="P53373" s="2498"/>
    </row>
    <row r="53374" spans="16:16">
      <c r="P53374" s="2498"/>
    </row>
    <row r="53375" spans="16:16">
      <c r="P53375" s="2498"/>
    </row>
    <row r="53376" spans="16:16">
      <c r="P53376" s="2498"/>
    </row>
    <row r="53377" spans="16:16">
      <c r="P53377" s="2498"/>
    </row>
    <row r="53378" spans="16:16">
      <c r="P53378" s="2498"/>
    </row>
    <row r="53379" spans="16:16">
      <c r="P53379" s="2498"/>
    </row>
    <row r="53380" spans="16:16">
      <c r="P53380" s="2498"/>
    </row>
    <row r="53381" spans="16:16">
      <c r="P53381" s="2498"/>
    </row>
    <row r="53382" spans="16:16">
      <c r="P53382" s="2498"/>
    </row>
    <row r="53383" spans="16:16">
      <c r="P53383" s="2498"/>
    </row>
    <row r="53384" spans="16:16">
      <c r="P53384" s="2498"/>
    </row>
    <row r="53385" spans="16:16">
      <c r="P53385" s="2498"/>
    </row>
    <row r="53386" spans="16:16">
      <c r="P53386" s="2498"/>
    </row>
    <row r="53387" spans="16:16">
      <c r="P53387" s="2498"/>
    </row>
    <row r="53388" spans="16:16">
      <c r="P53388" s="2498"/>
    </row>
    <row r="53389" spans="16:16">
      <c r="P53389" s="2498"/>
    </row>
    <row r="53390" spans="16:16">
      <c r="P53390" s="2498"/>
    </row>
    <row r="53391" spans="16:16">
      <c r="P53391" s="2498"/>
    </row>
    <row r="53392" spans="16:16">
      <c r="P53392" s="2498"/>
    </row>
    <row r="53393" spans="16:16">
      <c r="P53393" s="2498"/>
    </row>
    <row r="53394" spans="16:16">
      <c r="P53394" s="2498"/>
    </row>
    <row r="53395" spans="16:16">
      <c r="P53395" s="2498"/>
    </row>
    <row r="53396" spans="16:16">
      <c r="P53396" s="2498"/>
    </row>
    <row r="53397" spans="16:16">
      <c r="P53397" s="2498"/>
    </row>
    <row r="53398" spans="16:16">
      <c r="P53398" s="2498"/>
    </row>
    <row r="53399" spans="16:16">
      <c r="P53399" s="2498"/>
    </row>
    <row r="53400" spans="16:16">
      <c r="P53400" s="2498"/>
    </row>
    <row r="53401" spans="16:16">
      <c r="P53401" s="2498"/>
    </row>
    <row r="53402" spans="16:16">
      <c r="P53402" s="2498"/>
    </row>
    <row r="53403" spans="16:16">
      <c r="P53403" s="2498"/>
    </row>
    <row r="53404" spans="16:16">
      <c r="P53404" s="2498"/>
    </row>
    <row r="53405" spans="16:16">
      <c r="P53405" s="2498"/>
    </row>
    <row r="53406" spans="16:16">
      <c r="P53406" s="2498"/>
    </row>
    <row r="53407" spans="16:16">
      <c r="P53407" s="2498"/>
    </row>
    <row r="53408" spans="16:16">
      <c r="P53408" s="2498"/>
    </row>
    <row r="53409" spans="16:16">
      <c r="P53409" s="2498"/>
    </row>
    <row r="53410" spans="16:16">
      <c r="P53410" s="2498"/>
    </row>
    <row r="53411" spans="16:16">
      <c r="P53411" s="2498"/>
    </row>
    <row r="53412" spans="16:16">
      <c r="P53412" s="2498"/>
    </row>
    <row r="53413" spans="16:16">
      <c r="P53413" s="2498"/>
    </row>
    <row r="53414" spans="16:16">
      <c r="P53414" s="2498"/>
    </row>
    <row r="53415" spans="16:16">
      <c r="P53415" s="2498"/>
    </row>
    <row r="53416" spans="16:16">
      <c r="P53416" s="2498"/>
    </row>
    <row r="53417" spans="16:16">
      <c r="P53417" s="2498"/>
    </row>
    <row r="53418" spans="16:16">
      <c r="P53418" s="2498"/>
    </row>
    <row r="53419" spans="16:16">
      <c r="P53419" s="2498"/>
    </row>
    <row r="53420" spans="16:16">
      <c r="P53420" s="2498"/>
    </row>
    <row r="53421" spans="16:16">
      <c r="P53421" s="2498"/>
    </row>
    <row r="53422" spans="16:16">
      <c r="P53422" s="2498"/>
    </row>
    <row r="53423" spans="16:16">
      <c r="P53423" s="2498"/>
    </row>
    <row r="53424" spans="16:16">
      <c r="P53424" s="2498"/>
    </row>
    <row r="53425" spans="16:16">
      <c r="P53425" s="2498"/>
    </row>
    <row r="53426" spans="16:16">
      <c r="P53426" s="2498"/>
    </row>
    <row r="53427" spans="16:16">
      <c r="P53427" s="2498"/>
    </row>
    <row r="53428" spans="16:16">
      <c r="P53428" s="2498"/>
    </row>
    <row r="53429" spans="16:16">
      <c r="P53429" s="2498"/>
    </row>
    <row r="53430" spans="16:16">
      <c r="P53430" s="2498"/>
    </row>
    <row r="53431" spans="16:16">
      <c r="P53431" s="2498"/>
    </row>
    <row r="53432" spans="16:16">
      <c r="P53432" s="2498"/>
    </row>
    <row r="53433" spans="16:16">
      <c r="P53433" s="2498"/>
    </row>
    <row r="53434" spans="16:16">
      <c r="P53434" s="2498"/>
    </row>
    <row r="53435" spans="16:16">
      <c r="P53435" s="2498"/>
    </row>
    <row r="53436" spans="16:16">
      <c r="P53436" s="2498"/>
    </row>
    <row r="53437" spans="16:16">
      <c r="P53437" s="2498"/>
    </row>
    <row r="53438" spans="16:16">
      <c r="P53438" s="2498"/>
    </row>
    <row r="53439" spans="16:16">
      <c r="P53439" s="2498"/>
    </row>
    <row r="53440" spans="16:16">
      <c r="P53440" s="2498"/>
    </row>
    <row r="53441" spans="16:16">
      <c r="P53441" s="2498"/>
    </row>
    <row r="53442" spans="16:16">
      <c r="P53442" s="2498"/>
    </row>
    <row r="53443" spans="16:16">
      <c r="P53443" s="2498"/>
    </row>
    <row r="53444" spans="16:16">
      <c r="P53444" s="2498"/>
    </row>
    <row r="53445" spans="16:16">
      <c r="P53445" s="2498"/>
    </row>
    <row r="53446" spans="16:16">
      <c r="P53446" s="2498"/>
    </row>
    <row r="53447" spans="16:16">
      <c r="P53447" s="2498"/>
    </row>
    <row r="53448" spans="16:16">
      <c r="P53448" s="2498"/>
    </row>
    <row r="53449" spans="16:16">
      <c r="P53449" s="2498"/>
    </row>
    <row r="53450" spans="16:16">
      <c r="P53450" s="2498"/>
    </row>
    <row r="53451" spans="16:16">
      <c r="P53451" s="2498"/>
    </row>
    <row r="53452" spans="16:16">
      <c r="P53452" s="2498"/>
    </row>
    <row r="53453" spans="16:16">
      <c r="P53453" s="2498"/>
    </row>
    <row r="53454" spans="16:16">
      <c r="P53454" s="2498"/>
    </row>
    <row r="53455" spans="16:16">
      <c r="P53455" s="2498"/>
    </row>
    <row r="53456" spans="16:16">
      <c r="P53456" s="2498"/>
    </row>
    <row r="53457" spans="16:16">
      <c r="P53457" s="2498"/>
    </row>
    <row r="53458" spans="16:16">
      <c r="P53458" s="2498"/>
    </row>
    <row r="53459" spans="16:16">
      <c r="P53459" s="2498"/>
    </row>
    <row r="53460" spans="16:16">
      <c r="P53460" s="2498"/>
    </row>
    <row r="53461" spans="16:16">
      <c r="P53461" s="2498"/>
    </row>
    <row r="53462" spans="16:16">
      <c r="P53462" s="2498"/>
    </row>
    <row r="53463" spans="16:16">
      <c r="P53463" s="2498"/>
    </row>
    <row r="53464" spans="16:16">
      <c r="P53464" s="2498"/>
    </row>
    <row r="53465" spans="16:16">
      <c r="P53465" s="2498"/>
    </row>
    <row r="53466" spans="16:16">
      <c r="P53466" s="2498"/>
    </row>
    <row r="53467" spans="16:16">
      <c r="P53467" s="2498"/>
    </row>
    <row r="53468" spans="16:16">
      <c r="P53468" s="2498"/>
    </row>
    <row r="53469" spans="16:16">
      <c r="P53469" s="2498"/>
    </row>
    <row r="53470" spans="16:16">
      <c r="P53470" s="2498"/>
    </row>
    <row r="53471" spans="16:16">
      <c r="P53471" s="2498"/>
    </row>
    <row r="53472" spans="16:16">
      <c r="P53472" s="2498"/>
    </row>
    <row r="53473" spans="16:16">
      <c r="P53473" s="2498"/>
    </row>
    <row r="53474" spans="16:16">
      <c r="P53474" s="2498"/>
    </row>
    <row r="53475" spans="16:16">
      <c r="P53475" s="2498"/>
    </row>
    <row r="53476" spans="16:16">
      <c r="P53476" s="2498"/>
    </row>
    <row r="53477" spans="16:16">
      <c r="P53477" s="2498"/>
    </row>
    <row r="53478" spans="16:16">
      <c r="P53478" s="2498"/>
    </row>
    <row r="53479" spans="16:16">
      <c r="P53479" s="2498"/>
    </row>
    <row r="53480" spans="16:16">
      <c r="P53480" s="2498"/>
    </row>
    <row r="53481" spans="16:16">
      <c r="P53481" s="2498"/>
    </row>
    <row r="53482" spans="16:16">
      <c r="P53482" s="2498"/>
    </row>
    <row r="53483" spans="16:16">
      <c r="P53483" s="2498"/>
    </row>
    <row r="53484" spans="16:16">
      <c r="P53484" s="2498"/>
    </row>
    <row r="53485" spans="16:16">
      <c r="P53485" s="2498"/>
    </row>
    <row r="53486" spans="16:16">
      <c r="P53486" s="2498"/>
    </row>
    <row r="53487" spans="16:16">
      <c r="P53487" s="2498"/>
    </row>
    <row r="53488" spans="16:16">
      <c r="P53488" s="2498"/>
    </row>
    <row r="53489" spans="16:16">
      <c r="P53489" s="2498"/>
    </row>
    <row r="53490" spans="16:16">
      <c r="P53490" s="2498"/>
    </row>
    <row r="53491" spans="16:16">
      <c r="P53491" s="2498"/>
    </row>
    <row r="53492" spans="16:16">
      <c r="P53492" s="2498"/>
    </row>
    <row r="53493" spans="16:16">
      <c r="P53493" s="2498"/>
    </row>
    <row r="53494" spans="16:16">
      <c r="P53494" s="2498"/>
    </row>
    <row r="53495" spans="16:16">
      <c r="P53495" s="2498"/>
    </row>
    <row r="53496" spans="16:16">
      <c r="P53496" s="2498"/>
    </row>
    <row r="53497" spans="16:16">
      <c r="P53497" s="2498"/>
    </row>
    <row r="53498" spans="16:16">
      <c r="P53498" s="2498"/>
    </row>
    <row r="53499" spans="16:16">
      <c r="P53499" s="2498"/>
    </row>
    <row r="53500" spans="16:16">
      <c r="P53500" s="2498"/>
    </row>
    <row r="53501" spans="16:16">
      <c r="P53501" s="2498"/>
    </row>
    <row r="53502" spans="16:16">
      <c r="P53502" s="2498"/>
    </row>
    <row r="53503" spans="16:16">
      <c r="P53503" s="2498"/>
    </row>
    <row r="53504" spans="16:16">
      <c r="P53504" s="2498"/>
    </row>
    <row r="53505" spans="16:16">
      <c r="P53505" s="2498"/>
    </row>
    <row r="53506" spans="16:16">
      <c r="P53506" s="2498"/>
    </row>
    <row r="53507" spans="16:16">
      <c r="P53507" s="2498"/>
    </row>
    <row r="53508" spans="16:16">
      <c r="P53508" s="2498"/>
    </row>
    <row r="53509" spans="16:16">
      <c r="P53509" s="2498"/>
    </row>
    <row r="53510" spans="16:16">
      <c r="P53510" s="2498"/>
    </row>
    <row r="53511" spans="16:16">
      <c r="P53511" s="2498"/>
    </row>
    <row r="53512" spans="16:16">
      <c r="P53512" s="2498"/>
    </row>
    <row r="53513" spans="16:16">
      <c r="P53513" s="2498"/>
    </row>
    <row r="53514" spans="16:16">
      <c r="P53514" s="2498"/>
    </row>
    <row r="53515" spans="16:16">
      <c r="P53515" s="2498"/>
    </row>
    <row r="53516" spans="16:16">
      <c r="P53516" s="2498"/>
    </row>
    <row r="53517" spans="16:16">
      <c r="P53517" s="2498"/>
    </row>
    <row r="53518" spans="16:16">
      <c r="P53518" s="2498"/>
    </row>
    <row r="53519" spans="16:16">
      <c r="P53519" s="2498"/>
    </row>
    <row r="53520" spans="16:16">
      <c r="P53520" s="2498"/>
    </row>
    <row r="53521" spans="16:16">
      <c r="P53521" s="2498"/>
    </row>
    <row r="53522" spans="16:16">
      <c r="P53522" s="2498"/>
    </row>
    <row r="53523" spans="16:16">
      <c r="P53523" s="2498"/>
    </row>
    <row r="53524" spans="16:16">
      <c r="P53524" s="2498"/>
    </row>
    <row r="53525" spans="16:16">
      <c r="P53525" s="2498"/>
    </row>
    <row r="53526" spans="16:16">
      <c r="P53526" s="2498"/>
    </row>
    <row r="53527" spans="16:16">
      <c r="P53527" s="2498"/>
    </row>
    <row r="53528" spans="16:16">
      <c r="P53528" s="2498"/>
    </row>
    <row r="53529" spans="16:16">
      <c r="P53529" s="2498"/>
    </row>
    <row r="53530" spans="16:16">
      <c r="P53530" s="2498"/>
    </row>
    <row r="53531" spans="16:16">
      <c r="P53531" s="2498"/>
    </row>
    <row r="53532" spans="16:16">
      <c r="P53532" s="2498"/>
    </row>
    <row r="53533" spans="16:16">
      <c r="P53533" s="2498"/>
    </row>
    <row r="53534" spans="16:16">
      <c r="P53534" s="2498"/>
    </row>
    <row r="53535" spans="16:16">
      <c r="P53535" s="2498"/>
    </row>
    <row r="53536" spans="16:16">
      <c r="P53536" s="2498"/>
    </row>
    <row r="53537" spans="16:16">
      <c r="P53537" s="2498"/>
    </row>
    <row r="53538" spans="16:16">
      <c r="P53538" s="2498"/>
    </row>
    <row r="53539" spans="16:16">
      <c r="P53539" s="2498"/>
    </row>
    <row r="53540" spans="16:16">
      <c r="P53540" s="2498"/>
    </row>
    <row r="53541" spans="16:16">
      <c r="P53541" s="2498"/>
    </row>
    <row r="53542" spans="16:16">
      <c r="P53542" s="2498"/>
    </row>
    <row r="53543" spans="16:16">
      <c r="P53543" s="2498"/>
    </row>
    <row r="53544" spans="16:16">
      <c r="P53544" s="2498"/>
    </row>
    <row r="53545" spans="16:16">
      <c r="P53545" s="2498"/>
    </row>
    <row r="53546" spans="16:16">
      <c r="P53546" s="2498"/>
    </row>
    <row r="53547" spans="16:16">
      <c r="P53547" s="2498"/>
    </row>
    <row r="53548" spans="16:16">
      <c r="P53548" s="2498"/>
    </row>
    <row r="53549" spans="16:16">
      <c r="P53549" s="2498"/>
    </row>
    <row r="53550" spans="16:16">
      <c r="P53550" s="2498"/>
    </row>
    <row r="53551" spans="16:16">
      <c r="P53551" s="2498"/>
    </row>
    <row r="53552" spans="16:16">
      <c r="P53552" s="2498"/>
    </row>
    <row r="53553" spans="16:16">
      <c r="P53553" s="2498"/>
    </row>
    <row r="53554" spans="16:16">
      <c r="P53554" s="2498"/>
    </row>
    <row r="53555" spans="16:16">
      <c r="P53555" s="2498"/>
    </row>
    <row r="53556" spans="16:16">
      <c r="P53556" s="2498"/>
    </row>
    <row r="53557" spans="16:16">
      <c r="P53557" s="2498"/>
    </row>
    <row r="53558" spans="16:16">
      <c r="P53558" s="2498"/>
    </row>
    <row r="53559" spans="16:16">
      <c r="P53559" s="2498"/>
    </row>
    <row r="53560" spans="16:16">
      <c r="P53560" s="2498"/>
    </row>
    <row r="53561" spans="16:16">
      <c r="P53561" s="2498"/>
    </row>
    <row r="53562" spans="16:16">
      <c r="P53562" s="2498"/>
    </row>
    <row r="53563" spans="16:16">
      <c r="P53563" s="2498"/>
    </row>
    <row r="53564" spans="16:16">
      <c r="P53564" s="2498"/>
    </row>
    <row r="53565" spans="16:16">
      <c r="P53565" s="2498"/>
    </row>
    <row r="53566" spans="16:16">
      <c r="P53566" s="2498"/>
    </row>
    <row r="53567" spans="16:16">
      <c r="P53567" s="2498"/>
    </row>
    <row r="53568" spans="16:16">
      <c r="P53568" s="2498"/>
    </row>
    <row r="53569" spans="16:16">
      <c r="P53569" s="2498"/>
    </row>
    <row r="53570" spans="16:16">
      <c r="P53570" s="2498"/>
    </row>
    <row r="53571" spans="16:16">
      <c r="P53571" s="2498"/>
    </row>
    <row r="53572" spans="16:16">
      <c r="P53572" s="2498"/>
    </row>
    <row r="53573" spans="16:16">
      <c r="P53573" s="2498"/>
    </row>
    <row r="53574" spans="16:16">
      <c r="P53574" s="2498"/>
    </row>
    <row r="53575" spans="16:16">
      <c r="P53575" s="2498"/>
    </row>
    <row r="53576" spans="16:16">
      <c r="P53576" s="2498"/>
    </row>
    <row r="53577" spans="16:16">
      <c r="P53577" s="2498"/>
    </row>
    <row r="53578" spans="16:16">
      <c r="P53578" s="2498"/>
    </row>
    <row r="53579" spans="16:16">
      <c r="P53579" s="2498"/>
    </row>
    <row r="53580" spans="16:16">
      <c r="P53580" s="2498"/>
    </row>
    <row r="53581" spans="16:16">
      <c r="P53581" s="2498"/>
    </row>
    <row r="53582" spans="16:16">
      <c r="P53582" s="2498"/>
    </row>
    <row r="53583" spans="16:16">
      <c r="P53583" s="2498"/>
    </row>
    <row r="53584" spans="16:16">
      <c r="P53584" s="2498"/>
    </row>
    <row r="53585" spans="16:16">
      <c r="P53585" s="2498"/>
    </row>
    <row r="53586" spans="16:16">
      <c r="P53586" s="2498"/>
    </row>
    <row r="53587" spans="16:16">
      <c r="P53587" s="2498"/>
    </row>
    <row r="53588" spans="16:16">
      <c r="P53588" s="2498"/>
    </row>
    <row r="53589" spans="16:16">
      <c r="P53589" s="2498"/>
    </row>
    <row r="53590" spans="16:16">
      <c r="P53590" s="2498"/>
    </row>
    <row r="53591" spans="16:16">
      <c r="P53591" s="2498"/>
    </row>
    <row r="53592" spans="16:16">
      <c r="P53592" s="2498"/>
    </row>
    <row r="53593" spans="16:16">
      <c r="P53593" s="2498"/>
    </row>
    <row r="53594" spans="16:16">
      <c r="P53594" s="2498"/>
    </row>
    <row r="53595" spans="16:16">
      <c r="P53595" s="2498"/>
    </row>
    <row r="53596" spans="16:16">
      <c r="P53596" s="2498"/>
    </row>
    <row r="53597" spans="16:16">
      <c r="P53597" s="2498"/>
    </row>
    <row r="53598" spans="16:16">
      <c r="P53598" s="2498"/>
    </row>
    <row r="53599" spans="16:16">
      <c r="P53599" s="2498"/>
    </row>
    <row r="53600" spans="16:16">
      <c r="P53600" s="2498"/>
    </row>
    <row r="53601" spans="16:16">
      <c r="P53601" s="2498"/>
    </row>
    <row r="53602" spans="16:16">
      <c r="P53602" s="2498"/>
    </row>
    <row r="53603" spans="16:16">
      <c r="P53603" s="2498"/>
    </row>
    <row r="53604" spans="16:16">
      <c r="P53604" s="2498"/>
    </row>
    <row r="53605" spans="16:16">
      <c r="P53605" s="2498"/>
    </row>
    <row r="53606" spans="16:16">
      <c r="P53606" s="2498"/>
    </row>
    <row r="53607" spans="16:16">
      <c r="P53607" s="2498"/>
    </row>
    <row r="53608" spans="16:16">
      <c r="P53608" s="2498"/>
    </row>
    <row r="53609" spans="16:16">
      <c r="P53609" s="2498"/>
    </row>
    <row r="53610" spans="16:16">
      <c r="P53610" s="2498"/>
    </row>
    <row r="53611" spans="16:16">
      <c r="P53611" s="2498"/>
    </row>
    <row r="53612" spans="16:16">
      <c r="P53612" s="2498"/>
    </row>
    <row r="53613" spans="16:16">
      <c r="P53613" s="2498"/>
    </row>
    <row r="53614" spans="16:16">
      <c r="P53614" s="2498"/>
    </row>
    <row r="53615" spans="16:16">
      <c r="P53615" s="2498"/>
    </row>
    <row r="53616" spans="16:16">
      <c r="P53616" s="2498"/>
    </row>
    <row r="53617" spans="16:16">
      <c r="P53617" s="2498"/>
    </row>
    <row r="53618" spans="16:16">
      <c r="P53618" s="2498"/>
    </row>
    <row r="53619" spans="16:16">
      <c r="P53619" s="2498"/>
    </row>
    <row r="53620" spans="16:16">
      <c r="P53620" s="2498"/>
    </row>
    <row r="53621" spans="16:16">
      <c r="P53621" s="2498"/>
    </row>
    <row r="53622" spans="16:16">
      <c r="P53622" s="2498"/>
    </row>
    <row r="53623" spans="16:16">
      <c r="P53623" s="2498"/>
    </row>
    <row r="53624" spans="16:16">
      <c r="P53624" s="2498"/>
    </row>
    <row r="53625" spans="16:16">
      <c r="P53625" s="2498"/>
    </row>
    <row r="53626" spans="16:16">
      <c r="P53626" s="2498"/>
    </row>
    <row r="53627" spans="16:16">
      <c r="P53627" s="2498"/>
    </row>
    <row r="53628" spans="16:16">
      <c r="P53628" s="2498"/>
    </row>
    <row r="53629" spans="16:16">
      <c r="P53629" s="2498"/>
    </row>
    <row r="53630" spans="16:16">
      <c r="P53630" s="2498"/>
    </row>
    <row r="53631" spans="16:16">
      <c r="P53631" s="2498"/>
    </row>
    <row r="53632" spans="16:16">
      <c r="P53632" s="2498"/>
    </row>
    <row r="53633" spans="16:16">
      <c r="P53633" s="2498"/>
    </row>
    <row r="53634" spans="16:16">
      <c r="P53634" s="2498"/>
    </row>
    <row r="53635" spans="16:16">
      <c r="P53635" s="2498"/>
    </row>
    <row r="53636" spans="16:16">
      <c r="P53636" s="2498"/>
    </row>
    <row r="53637" spans="16:16">
      <c r="P53637" s="2498"/>
    </row>
    <row r="53638" spans="16:16">
      <c r="P53638" s="2498"/>
    </row>
    <row r="53639" spans="16:16">
      <c r="P53639" s="2498"/>
    </row>
    <row r="53640" spans="16:16">
      <c r="P53640" s="2498"/>
    </row>
    <row r="53641" spans="16:16">
      <c r="P53641" s="2498"/>
    </row>
    <row r="53642" spans="16:16">
      <c r="P53642" s="2498"/>
    </row>
    <row r="53643" spans="16:16">
      <c r="P53643" s="2498"/>
    </row>
    <row r="53644" spans="16:16">
      <c r="P53644" s="2498"/>
    </row>
    <row r="53645" spans="16:16">
      <c r="P53645" s="2498"/>
    </row>
    <row r="53646" spans="16:16">
      <c r="P53646" s="2498"/>
    </row>
    <row r="53647" spans="16:16">
      <c r="P53647" s="2498"/>
    </row>
    <row r="53648" spans="16:16">
      <c r="P53648" s="2498"/>
    </row>
    <row r="53649" spans="16:16">
      <c r="P53649" s="2498"/>
    </row>
    <row r="53650" spans="16:16">
      <c r="P53650" s="2498"/>
    </row>
    <row r="53651" spans="16:16">
      <c r="P53651" s="2498"/>
    </row>
    <row r="53652" spans="16:16">
      <c r="P53652" s="2498"/>
    </row>
    <row r="53653" spans="16:16">
      <c r="P53653" s="2498"/>
    </row>
    <row r="53654" spans="16:16">
      <c r="P53654" s="2498"/>
    </row>
    <row r="53655" spans="16:16">
      <c r="P53655" s="2498"/>
    </row>
    <row r="53656" spans="16:16">
      <c r="P53656" s="2498"/>
    </row>
    <row r="53657" spans="16:16">
      <c r="P53657" s="2498"/>
    </row>
    <row r="53658" spans="16:16">
      <c r="P53658" s="2498"/>
    </row>
    <row r="53659" spans="16:16">
      <c r="P53659" s="2498"/>
    </row>
    <row r="53660" spans="16:16">
      <c r="P53660" s="2498"/>
    </row>
    <row r="53661" spans="16:16">
      <c r="P53661" s="2498"/>
    </row>
    <row r="53662" spans="16:16">
      <c r="P53662" s="2498"/>
    </row>
    <row r="53663" spans="16:16">
      <c r="P53663" s="2498"/>
    </row>
    <row r="53664" spans="16:16">
      <c r="P53664" s="2498"/>
    </row>
    <row r="53665" spans="16:16">
      <c r="P53665" s="2498"/>
    </row>
    <row r="53666" spans="16:16">
      <c r="P53666" s="2498"/>
    </row>
    <row r="53667" spans="16:16">
      <c r="P53667" s="2498"/>
    </row>
    <row r="53668" spans="16:16">
      <c r="P53668" s="2498"/>
    </row>
    <row r="53669" spans="16:16">
      <c r="P53669" s="2498"/>
    </row>
    <row r="53670" spans="16:16">
      <c r="P53670" s="2498"/>
    </row>
    <row r="53671" spans="16:16">
      <c r="P53671" s="2498"/>
    </row>
    <row r="53672" spans="16:16">
      <c r="P53672" s="2498"/>
    </row>
    <row r="53673" spans="16:16">
      <c r="P53673" s="2498"/>
    </row>
    <row r="53674" spans="16:16">
      <c r="P53674" s="2498"/>
    </row>
    <row r="53675" spans="16:16">
      <c r="P53675" s="2498"/>
    </row>
    <row r="53676" spans="16:16">
      <c r="P53676" s="2498"/>
    </row>
    <row r="53677" spans="16:16">
      <c r="P53677" s="2498"/>
    </row>
    <row r="53678" spans="16:16">
      <c r="P53678" s="2498"/>
    </row>
    <row r="53679" spans="16:16">
      <c r="P53679" s="2498"/>
    </row>
    <row r="53680" spans="16:16">
      <c r="P53680" s="2498"/>
    </row>
    <row r="53681" spans="16:16">
      <c r="P53681" s="2498"/>
    </row>
    <row r="53682" spans="16:16">
      <c r="P53682" s="2498"/>
    </row>
    <row r="53683" spans="16:16">
      <c r="P53683" s="2498"/>
    </row>
    <row r="53684" spans="16:16">
      <c r="P53684" s="2498"/>
    </row>
    <row r="53685" spans="16:16">
      <c r="P53685" s="2498"/>
    </row>
    <row r="53686" spans="16:16">
      <c r="P53686" s="2498"/>
    </row>
    <row r="53687" spans="16:16">
      <c r="P53687" s="2498"/>
    </row>
    <row r="53688" spans="16:16">
      <c r="P53688" s="2498"/>
    </row>
    <row r="53689" spans="16:16">
      <c r="P53689" s="2498"/>
    </row>
    <row r="53690" spans="16:16">
      <c r="P53690" s="2498"/>
    </row>
    <row r="53691" spans="16:16">
      <c r="P53691" s="2498"/>
    </row>
    <row r="53692" spans="16:16">
      <c r="P53692" s="2498"/>
    </row>
    <row r="53693" spans="16:16">
      <c r="P53693" s="2498"/>
    </row>
    <row r="53694" spans="16:16">
      <c r="P53694" s="2498"/>
    </row>
    <row r="53695" spans="16:16">
      <c r="P53695" s="2498"/>
    </row>
    <row r="53696" spans="16:16">
      <c r="P53696" s="2498"/>
    </row>
    <row r="53697" spans="16:16">
      <c r="P53697" s="2498"/>
    </row>
    <row r="53698" spans="16:16">
      <c r="P53698" s="2498"/>
    </row>
    <row r="53699" spans="16:16">
      <c r="P53699" s="2498"/>
    </row>
    <row r="53700" spans="16:16">
      <c r="P53700" s="2498"/>
    </row>
    <row r="53701" spans="16:16">
      <c r="P53701" s="2498"/>
    </row>
    <row r="53702" spans="16:16">
      <c r="P53702" s="2498"/>
    </row>
    <row r="53703" spans="16:16">
      <c r="P53703" s="2498"/>
    </row>
    <row r="53704" spans="16:16">
      <c r="P53704" s="2498"/>
    </row>
    <row r="53705" spans="16:16">
      <c r="P53705" s="2498"/>
    </row>
    <row r="53706" spans="16:16">
      <c r="P53706" s="2498"/>
    </row>
    <row r="53707" spans="16:16">
      <c r="P53707" s="2498"/>
    </row>
    <row r="53708" spans="16:16">
      <c r="P53708" s="2498"/>
    </row>
    <row r="53709" spans="16:16">
      <c r="P53709" s="2498"/>
    </row>
    <row r="53710" spans="16:16">
      <c r="P53710" s="2498"/>
    </row>
    <row r="53711" spans="16:16">
      <c r="P53711" s="2498"/>
    </row>
    <row r="53712" spans="16:16">
      <c r="P53712" s="2498"/>
    </row>
    <row r="53713" spans="16:16">
      <c r="P53713" s="2498"/>
    </row>
    <row r="53714" spans="16:16">
      <c r="P53714" s="2498"/>
    </row>
    <row r="53715" spans="16:16">
      <c r="P53715" s="2498"/>
    </row>
    <row r="53716" spans="16:16">
      <c r="P53716" s="2498"/>
    </row>
    <row r="53717" spans="16:16">
      <c r="P53717" s="2498"/>
    </row>
    <row r="53718" spans="16:16">
      <c r="P53718" s="2498"/>
    </row>
    <row r="53719" spans="16:16">
      <c r="P53719" s="2498"/>
    </row>
    <row r="53720" spans="16:16">
      <c r="P53720" s="2498"/>
    </row>
    <row r="53721" spans="16:16">
      <c r="P53721" s="2498"/>
    </row>
    <row r="53722" spans="16:16">
      <c r="P53722" s="2498"/>
    </row>
    <row r="53723" spans="16:16">
      <c r="P53723" s="2498"/>
    </row>
    <row r="53724" spans="16:16">
      <c r="P53724" s="2498"/>
    </row>
    <row r="53725" spans="16:16">
      <c r="P53725" s="2498"/>
    </row>
    <row r="53726" spans="16:16">
      <c r="P53726" s="2498"/>
    </row>
    <row r="53727" spans="16:16">
      <c r="P53727" s="2498"/>
    </row>
    <row r="53728" spans="16:16">
      <c r="P53728" s="2498"/>
    </row>
    <row r="53729" spans="16:16">
      <c r="P53729" s="2498"/>
    </row>
    <row r="53730" spans="16:16">
      <c r="P53730" s="2498"/>
    </row>
    <row r="53731" spans="16:16">
      <c r="P53731" s="2498"/>
    </row>
    <row r="53732" spans="16:16">
      <c r="P53732" s="2498"/>
    </row>
    <row r="53733" spans="16:16">
      <c r="P53733" s="2498"/>
    </row>
    <row r="53734" spans="16:16">
      <c r="P53734" s="2498"/>
    </row>
    <row r="53735" spans="16:16">
      <c r="P53735" s="2498"/>
    </row>
    <row r="53736" spans="16:16">
      <c r="P53736" s="2498"/>
    </row>
    <row r="53737" spans="16:16">
      <c r="P53737" s="2498"/>
    </row>
    <row r="53738" spans="16:16">
      <c r="P53738" s="2498"/>
    </row>
    <row r="53739" spans="16:16">
      <c r="P53739" s="2498"/>
    </row>
    <row r="53740" spans="16:16">
      <c r="P53740" s="2498"/>
    </row>
    <row r="53741" spans="16:16">
      <c r="P53741" s="2498"/>
    </row>
    <row r="53742" spans="16:16">
      <c r="P53742" s="2498"/>
    </row>
    <row r="53743" spans="16:16">
      <c r="P53743" s="2498"/>
    </row>
    <row r="53744" spans="16:16">
      <c r="P53744" s="2498"/>
    </row>
    <row r="53745" spans="16:16">
      <c r="P53745" s="2498"/>
    </row>
    <row r="53746" spans="16:16">
      <c r="P53746" s="2498"/>
    </row>
    <row r="53747" spans="16:16">
      <c r="P53747" s="2498"/>
    </row>
    <row r="53748" spans="16:16">
      <c r="P53748" s="2498"/>
    </row>
    <row r="53749" spans="16:16">
      <c r="P53749" s="2498"/>
    </row>
    <row r="53750" spans="16:16">
      <c r="P53750" s="2498"/>
    </row>
    <row r="53751" spans="16:16">
      <c r="P53751" s="2498"/>
    </row>
    <row r="53752" spans="16:16">
      <c r="P53752" s="2498"/>
    </row>
    <row r="53753" spans="16:16">
      <c r="P53753" s="2498"/>
    </row>
    <row r="53754" spans="16:16">
      <c r="P53754" s="2498"/>
    </row>
    <row r="53755" spans="16:16">
      <c r="P53755" s="2498"/>
    </row>
    <row r="53756" spans="16:16">
      <c r="P53756" s="2498"/>
    </row>
    <row r="53757" spans="16:16">
      <c r="P53757" s="2498"/>
    </row>
    <row r="53758" spans="16:16">
      <c r="P53758" s="2498"/>
    </row>
    <row r="53759" spans="16:16">
      <c r="P53759" s="2498"/>
    </row>
    <row r="53760" spans="16:16">
      <c r="P53760" s="2498"/>
    </row>
    <row r="53761" spans="16:16">
      <c r="P53761" s="2498"/>
    </row>
    <row r="53762" spans="16:16">
      <c r="P53762" s="2498"/>
    </row>
    <row r="53763" spans="16:16">
      <c r="P53763" s="2498"/>
    </row>
    <row r="53764" spans="16:16">
      <c r="P53764" s="2498"/>
    </row>
    <row r="53765" spans="16:16">
      <c r="P53765" s="2498"/>
    </row>
    <row r="53766" spans="16:16">
      <c r="P53766" s="2498"/>
    </row>
    <row r="53767" spans="16:16">
      <c r="P53767" s="2498"/>
    </row>
    <row r="53768" spans="16:16">
      <c r="P53768" s="2498"/>
    </row>
    <row r="53769" spans="16:16">
      <c r="P53769" s="2498"/>
    </row>
    <row r="53770" spans="16:16">
      <c r="P53770" s="2498"/>
    </row>
    <row r="53771" spans="16:16">
      <c r="P53771" s="2498"/>
    </row>
    <row r="53772" spans="16:16">
      <c r="P53772" s="2498"/>
    </row>
    <row r="53773" spans="16:16">
      <c r="P53773" s="2498"/>
    </row>
    <row r="53774" spans="16:16">
      <c r="P53774" s="2498"/>
    </row>
    <row r="53775" spans="16:16">
      <c r="P53775" s="2498"/>
    </row>
    <row r="53776" spans="16:16">
      <c r="P53776" s="2498"/>
    </row>
    <row r="53777" spans="16:16">
      <c r="P53777" s="2498"/>
    </row>
    <row r="53778" spans="16:16">
      <c r="P53778" s="2498"/>
    </row>
    <row r="53779" spans="16:16">
      <c r="P53779" s="2498"/>
    </row>
    <row r="53780" spans="16:16">
      <c r="P53780" s="2498"/>
    </row>
    <row r="53781" spans="16:16">
      <c r="P53781" s="2498"/>
    </row>
    <row r="53782" spans="16:16">
      <c r="P53782" s="2498"/>
    </row>
    <row r="53783" spans="16:16">
      <c r="P53783" s="2498"/>
    </row>
    <row r="53784" spans="16:16">
      <c r="P53784" s="2498"/>
    </row>
    <row r="53785" spans="16:16">
      <c r="P53785" s="2498"/>
    </row>
    <row r="53786" spans="16:16">
      <c r="P53786" s="2498"/>
    </row>
    <row r="53787" spans="16:16">
      <c r="P53787" s="2498"/>
    </row>
    <row r="53788" spans="16:16">
      <c r="P53788" s="2498"/>
    </row>
    <row r="53789" spans="16:16">
      <c r="P53789" s="2498"/>
    </row>
    <row r="53790" spans="16:16">
      <c r="P53790" s="2498"/>
    </row>
    <row r="53791" spans="16:16">
      <c r="P53791" s="2498"/>
    </row>
    <row r="53792" spans="16:16">
      <c r="P53792" s="2498"/>
    </row>
    <row r="53793" spans="16:16">
      <c r="P53793" s="2498"/>
    </row>
    <row r="53794" spans="16:16">
      <c r="P53794" s="2498"/>
    </row>
    <row r="53795" spans="16:16">
      <c r="P53795" s="2498"/>
    </row>
    <row r="53796" spans="16:16">
      <c r="P53796" s="2498"/>
    </row>
    <row r="53797" spans="16:16">
      <c r="P53797" s="2498"/>
    </row>
    <row r="53798" spans="16:16">
      <c r="P53798" s="2498"/>
    </row>
    <row r="53799" spans="16:16">
      <c r="P53799" s="2498"/>
    </row>
    <row r="53800" spans="16:16">
      <c r="P53800" s="2498"/>
    </row>
    <row r="53801" spans="16:16">
      <c r="P53801" s="2498"/>
    </row>
    <row r="53802" spans="16:16">
      <c r="P53802" s="2498"/>
    </row>
    <row r="53803" spans="16:16">
      <c r="P53803" s="2498"/>
    </row>
    <row r="53804" spans="16:16">
      <c r="P53804" s="2498"/>
    </row>
    <row r="53805" spans="16:16">
      <c r="P53805" s="2498"/>
    </row>
    <row r="53806" spans="16:16">
      <c r="P53806" s="2498"/>
    </row>
    <row r="53807" spans="16:16">
      <c r="P53807" s="2498"/>
    </row>
    <row r="53808" spans="16:16">
      <c r="P53808" s="2498"/>
    </row>
    <row r="53809" spans="16:16">
      <c r="P53809" s="2498"/>
    </row>
    <row r="53810" spans="16:16">
      <c r="P53810" s="2498"/>
    </row>
    <row r="53811" spans="16:16">
      <c r="P53811" s="2498"/>
    </row>
    <row r="53812" spans="16:16">
      <c r="P53812" s="2498"/>
    </row>
    <row r="53813" spans="16:16">
      <c r="P53813" s="2498"/>
    </row>
    <row r="53814" spans="16:16">
      <c r="P53814" s="2498"/>
    </row>
    <row r="53815" spans="16:16">
      <c r="P53815" s="2498"/>
    </row>
    <row r="53816" spans="16:16">
      <c r="P53816" s="2498"/>
    </row>
    <row r="53817" spans="16:16">
      <c r="P53817" s="2498"/>
    </row>
    <row r="53818" spans="16:16">
      <c r="P53818" s="2498"/>
    </row>
    <row r="53819" spans="16:16">
      <c r="P53819" s="2498"/>
    </row>
    <row r="53820" spans="16:16">
      <c r="P53820" s="2498"/>
    </row>
    <row r="53821" spans="16:16">
      <c r="P53821" s="2498"/>
    </row>
    <row r="53822" spans="16:16">
      <c r="P53822" s="2498"/>
    </row>
    <row r="53823" spans="16:16">
      <c r="P53823" s="2498"/>
    </row>
    <row r="53824" spans="16:16">
      <c r="P53824" s="2498"/>
    </row>
    <row r="53825" spans="16:16">
      <c r="P53825" s="2498"/>
    </row>
    <row r="53826" spans="16:16">
      <c r="P53826" s="2498"/>
    </row>
    <row r="53827" spans="16:16">
      <c r="P53827" s="2498"/>
    </row>
    <row r="53828" spans="16:16">
      <c r="P53828" s="2498"/>
    </row>
    <row r="53829" spans="16:16">
      <c r="P53829" s="2498"/>
    </row>
    <row r="53830" spans="16:16">
      <c r="P53830" s="2498"/>
    </row>
    <row r="53831" spans="16:16">
      <c r="P53831" s="2498"/>
    </row>
    <row r="53832" spans="16:16">
      <c r="P53832" s="2498"/>
    </row>
    <row r="53833" spans="16:16">
      <c r="P53833" s="2498"/>
    </row>
    <row r="53834" spans="16:16">
      <c r="P53834" s="2498"/>
    </row>
    <row r="53835" spans="16:16">
      <c r="P53835" s="2498"/>
    </row>
    <row r="53836" spans="16:16">
      <c r="P53836" s="2498"/>
    </row>
    <row r="53837" spans="16:16">
      <c r="P53837" s="2498"/>
    </row>
    <row r="53838" spans="16:16">
      <c r="P53838" s="2498"/>
    </row>
    <row r="53839" spans="16:16">
      <c r="P53839" s="2498"/>
    </row>
    <row r="53840" spans="16:16">
      <c r="P53840" s="2498"/>
    </row>
    <row r="53841" spans="16:16">
      <c r="P53841" s="2498"/>
    </row>
    <row r="53842" spans="16:16">
      <c r="P53842" s="2498"/>
    </row>
    <row r="53843" spans="16:16">
      <c r="P53843" s="2498"/>
    </row>
    <row r="53844" spans="16:16">
      <c r="P53844" s="2498"/>
    </row>
    <row r="53845" spans="16:16">
      <c r="P53845" s="2498"/>
    </row>
    <row r="53846" spans="16:16">
      <c r="P53846" s="2498"/>
    </row>
    <row r="53847" spans="16:16">
      <c r="P53847" s="2498"/>
    </row>
    <row r="53848" spans="16:16">
      <c r="P53848" s="2498"/>
    </row>
    <row r="53849" spans="16:16">
      <c r="P53849" s="2498"/>
    </row>
    <row r="53850" spans="16:16">
      <c r="P53850" s="2498"/>
    </row>
    <row r="53851" spans="16:16">
      <c r="P53851" s="2498"/>
    </row>
    <row r="53852" spans="16:16">
      <c r="P53852" s="2498"/>
    </row>
    <row r="53853" spans="16:16">
      <c r="P53853" s="2498"/>
    </row>
    <row r="53854" spans="16:16">
      <c r="P53854" s="2498"/>
    </row>
    <row r="53855" spans="16:16">
      <c r="P53855" s="2498"/>
    </row>
    <row r="53856" spans="16:16">
      <c r="P53856" s="2498"/>
    </row>
    <row r="53857" spans="16:16">
      <c r="P53857" s="2498"/>
    </row>
    <row r="53858" spans="16:16">
      <c r="P53858" s="2498"/>
    </row>
    <row r="53859" spans="16:16">
      <c r="P53859" s="2498"/>
    </row>
    <row r="53860" spans="16:16">
      <c r="P53860" s="2498"/>
    </row>
    <row r="53861" spans="16:16">
      <c r="P53861" s="2498"/>
    </row>
    <row r="53862" spans="16:16">
      <c r="P53862" s="2498"/>
    </row>
    <row r="53863" spans="16:16">
      <c r="P53863" s="2498"/>
    </row>
    <row r="53864" spans="16:16">
      <c r="P53864" s="2498"/>
    </row>
    <row r="53865" spans="16:16">
      <c r="P53865" s="2498"/>
    </row>
    <row r="53866" spans="16:16">
      <c r="P53866" s="2498"/>
    </row>
    <row r="53867" spans="16:16">
      <c r="P53867" s="2498"/>
    </row>
    <row r="53868" spans="16:16">
      <c r="P53868" s="2498"/>
    </row>
    <row r="53869" spans="16:16">
      <c r="P53869" s="2498"/>
    </row>
    <row r="53870" spans="16:16">
      <c r="P53870" s="2498"/>
    </row>
    <row r="53871" spans="16:16">
      <c r="P53871" s="2498"/>
    </row>
    <row r="53872" spans="16:16">
      <c r="P53872" s="2498"/>
    </row>
    <row r="53873" spans="16:16">
      <c r="P53873" s="2498"/>
    </row>
    <row r="53874" spans="16:16">
      <c r="P53874" s="2498"/>
    </row>
    <row r="53875" spans="16:16">
      <c r="P53875" s="2498"/>
    </row>
    <row r="53876" spans="16:16">
      <c r="P53876" s="2498"/>
    </row>
    <row r="53877" spans="16:16">
      <c r="P53877" s="2498"/>
    </row>
    <row r="53878" spans="16:16">
      <c r="P53878" s="2498"/>
    </row>
    <row r="53879" spans="16:16">
      <c r="P53879" s="2498"/>
    </row>
    <row r="53880" spans="16:16">
      <c r="P53880" s="2498"/>
    </row>
    <row r="53881" spans="16:16">
      <c r="P53881" s="2498"/>
    </row>
    <row r="53882" spans="16:16">
      <c r="P53882" s="2498"/>
    </row>
    <row r="53883" spans="16:16">
      <c r="P53883" s="2498"/>
    </row>
    <row r="53884" spans="16:16">
      <c r="P53884" s="2498"/>
    </row>
    <row r="53885" spans="16:16">
      <c r="P53885" s="2498"/>
    </row>
    <row r="53886" spans="16:16">
      <c r="P53886" s="2498"/>
    </row>
    <row r="53887" spans="16:16">
      <c r="P53887" s="2498"/>
    </row>
    <row r="53888" spans="16:16">
      <c r="P53888" s="2498"/>
    </row>
    <row r="53889" spans="16:16">
      <c r="P53889" s="2498"/>
    </row>
    <row r="53890" spans="16:16">
      <c r="P53890" s="2498"/>
    </row>
    <row r="53891" spans="16:16">
      <c r="P53891" s="2498"/>
    </row>
    <row r="53892" spans="16:16">
      <c r="P53892" s="2498"/>
    </row>
    <row r="53893" spans="16:16">
      <c r="P53893" s="2498"/>
    </row>
    <row r="53894" spans="16:16">
      <c r="P53894" s="2498"/>
    </row>
    <row r="53895" spans="16:16">
      <c r="P53895" s="2498"/>
    </row>
    <row r="53896" spans="16:16">
      <c r="P53896" s="2498"/>
    </row>
    <row r="53897" spans="16:16">
      <c r="P53897" s="2498"/>
    </row>
    <row r="53898" spans="16:16">
      <c r="P53898" s="2498"/>
    </row>
    <row r="53899" spans="16:16">
      <c r="P53899" s="2498"/>
    </row>
    <row r="53900" spans="16:16">
      <c r="P53900" s="2498"/>
    </row>
    <row r="53901" spans="16:16">
      <c r="P53901" s="2498"/>
    </row>
    <row r="53902" spans="16:16">
      <c r="P53902" s="2498"/>
    </row>
    <row r="53903" spans="16:16">
      <c r="P53903" s="2498"/>
    </row>
    <row r="53904" spans="16:16">
      <c r="P53904" s="2498"/>
    </row>
    <row r="53905" spans="16:16">
      <c r="P53905" s="2498"/>
    </row>
    <row r="53906" spans="16:16">
      <c r="P53906" s="2498"/>
    </row>
    <row r="53907" spans="16:16">
      <c r="P53907" s="2498"/>
    </row>
    <row r="53908" spans="16:16">
      <c r="P53908" s="2498"/>
    </row>
    <row r="53909" spans="16:16">
      <c r="P53909" s="2498"/>
    </row>
    <row r="53910" spans="16:16">
      <c r="P53910" s="2498"/>
    </row>
    <row r="53911" spans="16:16">
      <c r="P53911" s="2498"/>
    </row>
    <row r="53912" spans="16:16">
      <c r="P53912" s="2498"/>
    </row>
    <row r="53913" spans="16:16">
      <c r="P53913" s="2498"/>
    </row>
    <row r="53914" spans="16:16">
      <c r="P53914" s="2498"/>
    </row>
    <row r="53915" spans="16:16">
      <c r="P53915" s="2498"/>
    </row>
    <row r="53916" spans="16:16">
      <c r="P53916" s="2498"/>
    </row>
    <row r="53917" spans="16:16">
      <c r="P53917" s="2498"/>
    </row>
    <row r="53918" spans="16:16">
      <c r="P53918" s="2498"/>
    </row>
    <row r="53919" spans="16:16">
      <c r="P53919" s="2498"/>
    </row>
    <row r="53920" spans="16:16">
      <c r="P53920" s="2498"/>
    </row>
    <row r="53921" spans="16:16">
      <c r="P53921" s="2498"/>
    </row>
    <row r="53922" spans="16:16">
      <c r="P53922" s="2498"/>
    </row>
    <row r="53923" spans="16:16">
      <c r="P53923" s="2498"/>
    </row>
    <row r="53924" spans="16:16">
      <c r="P53924" s="2498"/>
    </row>
    <row r="53925" spans="16:16">
      <c r="P53925" s="2498"/>
    </row>
    <row r="53926" spans="16:16">
      <c r="P53926" s="2498"/>
    </row>
    <row r="53927" spans="16:16">
      <c r="P53927" s="2498"/>
    </row>
    <row r="53928" spans="16:16">
      <c r="P53928" s="2498"/>
    </row>
    <row r="53929" spans="16:16">
      <c r="P53929" s="2498"/>
    </row>
    <row r="53930" spans="16:16">
      <c r="P53930" s="2498"/>
    </row>
    <row r="53931" spans="16:16">
      <c r="P53931" s="2498"/>
    </row>
    <row r="53932" spans="16:16">
      <c r="P53932" s="2498"/>
    </row>
    <row r="53933" spans="16:16">
      <c r="P53933" s="2498"/>
    </row>
    <row r="53934" spans="16:16">
      <c r="P53934" s="2498"/>
    </row>
    <row r="53935" spans="16:16">
      <c r="P53935" s="2498"/>
    </row>
    <row r="53936" spans="16:16">
      <c r="P53936" s="2498"/>
    </row>
    <row r="53937" spans="16:16">
      <c r="P53937" s="2498"/>
    </row>
    <row r="53938" spans="16:16">
      <c r="P53938" s="2498"/>
    </row>
    <row r="53939" spans="16:16">
      <c r="P53939" s="2498"/>
    </row>
    <row r="53940" spans="16:16">
      <c r="P53940" s="2498"/>
    </row>
    <row r="53941" spans="16:16">
      <c r="P53941" s="2498"/>
    </row>
    <row r="53942" spans="16:16">
      <c r="P53942" s="2498"/>
    </row>
    <row r="53943" spans="16:16">
      <c r="P53943" s="2498"/>
    </row>
    <row r="53944" spans="16:16">
      <c r="P53944" s="2498"/>
    </row>
    <row r="53945" spans="16:16">
      <c r="P53945" s="2498"/>
    </row>
    <row r="53946" spans="16:16">
      <c r="P53946" s="2498"/>
    </row>
    <row r="53947" spans="16:16">
      <c r="P53947" s="2498"/>
    </row>
    <row r="53948" spans="16:16">
      <c r="P53948" s="2498"/>
    </row>
    <row r="53949" spans="16:16">
      <c r="P53949" s="2498"/>
    </row>
    <row r="53950" spans="16:16">
      <c r="P53950" s="2498"/>
    </row>
    <row r="53951" spans="16:16">
      <c r="P53951" s="2498"/>
    </row>
    <row r="53952" spans="16:16">
      <c r="P53952" s="2498"/>
    </row>
    <row r="53953" spans="16:16">
      <c r="P53953" s="2498"/>
    </row>
    <row r="53954" spans="16:16">
      <c r="P53954" s="2498"/>
    </row>
    <row r="53955" spans="16:16">
      <c r="P53955" s="2498"/>
    </row>
    <row r="53956" spans="16:16">
      <c r="P53956" s="2498"/>
    </row>
    <row r="53957" spans="16:16">
      <c r="P53957" s="2498"/>
    </row>
    <row r="53958" spans="16:16">
      <c r="P53958" s="2498"/>
    </row>
    <row r="53959" spans="16:16">
      <c r="P53959" s="2498"/>
    </row>
    <row r="53960" spans="16:16">
      <c r="P53960" s="2498"/>
    </row>
    <row r="53961" spans="16:16">
      <c r="P53961" s="2498"/>
    </row>
    <row r="53962" spans="16:16">
      <c r="P53962" s="2498"/>
    </row>
    <row r="53963" spans="16:16">
      <c r="P53963" s="2498"/>
    </row>
    <row r="53964" spans="16:16">
      <c r="P53964" s="2498"/>
    </row>
    <row r="53965" spans="16:16">
      <c r="P53965" s="2498"/>
    </row>
    <row r="53966" spans="16:16">
      <c r="P53966" s="2498"/>
    </row>
    <row r="53967" spans="16:16">
      <c r="P53967" s="2498"/>
    </row>
    <row r="53968" spans="16:16">
      <c r="P53968" s="2498"/>
    </row>
    <row r="53969" spans="16:16">
      <c r="P53969" s="2498"/>
    </row>
    <row r="53970" spans="16:16">
      <c r="P53970" s="2498"/>
    </row>
    <row r="53971" spans="16:16">
      <c r="P53971" s="2498"/>
    </row>
    <row r="53972" spans="16:16">
      <c r="P53972" s="2498"/>
    </row>
    <row r="53973" spans="16:16">
      <c r="P53973" s="2498"/>
    </row>
    <row r="53974" spans="16:16">
      <c r="P53974" s="2498"/>
    </row>
    <row r="53975" spans="16:16">
      <c r="P53975" s="2498"/>
    </row>
    <row r="53976" spans="16:16">
      <c r="P53976" s="2498"/>
    </row>
    <row r="53977" spans="16:16">
      <c r="P53977" s="2498"/>
    </row>
    <row r="53978" spans="16:16">
      <c r="P53978" s="2498"/>
    </row>
    <row r="53979" spans="16:16">
      <c r="P53979" s="2498"/>
    </row>
    <row r="53980" spans="16:16">
      <c r="P53980" s="2498"/>
    </row>
    <row r="53981" spans="16:16">
      <c r="P53981" s="2498"/>
    </row>
    <row r="53982" spans="16:16">
      <c r="P53982" s="2498"/>
    </row>
    <row r="53983" spans="16:16">
      <c r="P53983" s="2498"/>
    </row>
    <row r="53984" spans="16:16">
      <c r="P53984" s="2498"/>
    </row>
    <row r="53985" spans="16:16">
      <c r="P53985" s="2498"/>
    </row>
    <row r="53986" spans="16:16">
      <c r="P53986" s="2498"/>
    </row>
    <row r="53987" spans="16:16">
      <c r="P53987" s="2498"/>
    </row>
    <row r="53988" spans="16:16">
      <c r="P53988" s="2498"/>
    </row>
    <row r="53989" spans="16:16">
      <c r="P53989" s="2498"/>
    </row>
    <row r="53990" spans="16:16">
      <c r="P53990" s="2498"/>
    </row>
    <row r="53991" spans="16:16">
      <c r="P53991" s="2498"/>
    </row>
    <row r="53992" spans="16:16">
      <c r="P53992" s="2498"/>
    </row>
    <row r="53993" spans="16:16">
      <c r="P53993" s="2498"/>
    </row>
    <row r="53994" spans="16:16">
      <c r="P53994" s="2498"/>
    </row>
    <row r="53995" spans="16:16">
      <c r="P53995" s="2498"/>
    </row>
    <row r="53996" spans="16:16">
      <c r="P53996" s="2498"/>
    </row>
    <row r="53997" spans="16:16">
      <c r="P53997" s="2498"/>
    </row>
    <row r="53998" spans="16:16">
      <c r="P53998" s="2498"/>
    </row>
    <row r="53999" spans="16:16">
      <c r="P53999" s="2498"/>
    </row>
    <row r="54000" spans="16:16">
      <c r="P54000" s="2498"/>
    </row>
    <row r="54001" spans="16:16">
      <c r="P54001" s="2498"/>
    </row>
    <row r="54002" spans="16:16">
      <c r="P54002" s="2498"/>
    </row>
    <row r="54003" spans="16:16">
      <c r="P54003" s="2498"/>
    </row>
    <row r="54004" spans="16:16">
      <c r="P54004" s="2498"/>
    </row>
    <row r="54005" spans="16:16">
      <c r="P54005" s="2498"/>
    </row>
    <row r="54006" spans="16:16">
      <c r="P54006" s="2498"/>
    </row>
    <row r="54007" spans="16:16">
      <c r="P54007" s="2498"/>
    </row>
    <row r="54008" spans="16:16">
      <c r="P54008" s="2498"/>
    </row>
    <row r="54009" spans="16:16">
      <c r="P54009" s="2498"/>
    </row>
    <row r="54010" spans="16:16">
      <c r="P54010" s="2498"/>
    </row>
    <row r="54011" spans="16:16">
      <c r="P54011" s="2498"/>
    </row>
    <row r="54012" spans="16:16">
      <c r="P54012" s="2498"/>
    </row>
    <row r="54013" spans="16:16">
      <c r="P54013" s="2498"/>
    </row>
    <row r="54014" spans="16:16">
      <c r="P54014" s="2498"/>
    </row>
    <row r="54015" spans="16:16">
      <c r="P54015" s="2498"/>
    </row>
    <row r="54016" spans="16:16">
      <c r="P54016" s="2498"/>
    </row>
    <row r="54017" spans="16:16">
      <c r="P54017" s="2498"/>
    </row>
    <row r="54018" spans="16:16">
      <c r="P54018" s="2498"/>
    </row>
    <row r="54019" spans="16:16">
      <c r="P54019" s="2498"/>
    </row>
    <row r="54020" spans="16:16">
      <c r="P54020" s="2498"/>
    </row>
    <row r="54021" spans="16:16">
      <c r="P54021" s="2498"/>
    </row>
    <row r="54022" spans="16:16">
      <c r="P54022" s="2498"/>
    </row>
    <row r="54023" spans="16:16">
      <c r="P54023" s="2498"/>
    </row>
    <row r="54024" spans="16:16">
      <c r="P54024" s="2498"/>
    </row>
    <row r="54025" spans="16:16">
      <c r="P54025" s="2498"/>
    </row>
    <row r="54026" spans="16:16">
      <c r="P54026" s="2498"/>
    </row>
    <row r="54027" spans="16:16">
      <c r="P54027" s="2498"/>
    </row>
    <row r="54028" spans="16:16">
      <c r="P54028" s="2498"/>
    </row>
    <row r="54029" spans="16:16">
      <c r="P54029" s="2498"/>
    </row>
    <row r="54030" spans="16:16">
      <c r="P54030" s="2498"/>
    </row>
    <row r="54031" spans="16:16">
      <c r="P54031" s="2498"/>
    </row>
    <row r="54032" spans="16:16">
      <c r="P54032" s="2498"/>
    </row>
    <row r="54033" spans="16:16">
      <c r="P54033" s="2498"/>
    </row>
    <row r="54034" spans="16:16">
      <c r="P54034" s="2498"/>
    </row>
    <row r="54035" spans="16:16">
      <c r="P54035" s="2498"/>
    </row>
    <row r="54036" spans="16:16">
      <c r="P54036" s="2498"/>
    </row>
    <row r="54037" spans="16:16">
      <c r="P54037" s="2498"/>
    </row>
    <row r="54038" spans="16:16">
      <c r="P54038" s="2498"/>
    </row>
    <row r="54039" spans="16:16">
      <c r="P54039" s="2498"/>
    </row>
    <row r="54040" spans="16:16">
      <c r="P54040" s="2498"/>
    </row>
    <row r="54041" spans="16:16">
      <c r="P54041" s="2498"/>
    </row>
    <row r="54042" spans="16:16">
      <c r="P54042" s="2498"/>
    </row>
    <row r="54043" spans="16:16">
      <c r="P54043" s="2498"/>
    </row>
    <row r="54044" spans="16:16">
      <c r="P54044" s="2498"/>
    </row>
    <row r="54045" spans="16:16">
      <c r="P54045" s="2498"/>
    </row>
    <row r="54046" spans="16:16">
      <c r="P54046" s="2498"/>
    </row>
    <row r="54047" spans="16:16">
      <c r="P54047" s="2498"/>
    </row>
    <row r="54048" spans="16:16">
      <c r="P54048" s="2498"/>
    </row>
    <row r="54049" spans="16:16">
      <c r="P54049" s="2498"/>
    </row>
    <row r="54050" spans="16:16">
      <c r="P54050" s="2498"/>
    </row>
    <row r="54051" spans="16:16">
      <c r="P54051" s="2498"/>
    </row>
    <row r="54052" spans="16:16">
      <c r="P54052" s="2498"/>
    </row>
    <row r="54053" spans="16:16">
      <c r="P54053" s="2498"/>
    </row>
    <row r="54054" spans="16:16">
      <c r="P54054" s="2498"/>
    </row>
    <row r="54055" spans="16:16">
      <c r="P54055" s="2498"/>
    </row>
    <row r="54056" spans="16:16">
      <c r="P54056" s="2498"/>
    </row>
    <row r="54057" spans="16:16">
      <c r="P54057" s="2498"/>
    </row>
    <row r="54058" spans="16:16">
      <c r="P54058" s="2498"/>
    </row>
    <row r="54059" spans="16:16">
      <c r="P54059" s="2498"/>
    </row>
    <row r="54060" spans="16:16">
      <c r="P54060" s="2498"/>
    </row>
    <row r="54061" spans="16:16">
      <c r="P54061" s="2498"/>
    </row>
    <row r="54062" spans="16:16">
      <c r="P54062" s="2498"/>
    </row>
    <row r="54063" spans="16:16">
      <c r="P54063" s="2498"/>
    </row>
    <row r="54064" spans="16:16">
      <c r="P54064" s="2498"/>
    </row>
    <row r="54065" spans="16:16">
      <c r="P54065" s="2498"/>
    </row>
    <row r="54066" spans="16:16">
      <c r="P54066" s="2498"/>
    </row>
    <row r="54067" spans="16:16">
      <c r="P54067" s="2498"/>
    </row>
    <row r="54068" spans="16:16">
      <c r="P54068" s="2498"/>
    </row>
    <row r="54069" spans="16:16">
      <c r="P54069" s="2498"/>
    </row>
    <row r="54070" spans="16:16">
      <c r="P54070" s="2498"/>
    </row>
    <row r="54071" spans="16:16">
      <c r="P54071" s="2498"/>
    </row>
    <row r="54072" spans="16:16">
      <c r="P54072" s="2498"/>
    </row>
    <row r="54073" spans="16:16">
      <c r="P54073" s="2498"/>
    </row>
    <row r="54074" spans="16:16">
      <c r="P54074" s="2498"/>
    </row>
    <row r="54075" spans="16:16">
      <c r="P54075" s="2498"/>
    </row>
    <row r="54076" spans="16:16">
      <c r="P54076" s="2498"/>
    </row>
    <row r="54077" spans="16:16">
      <c r="P54077" s="2498"/>
    </row>
    <row r="54078" spans="16:16">
      <c r="P54078" s="2498"/>
    </row>
    <row r="54079" spans="16:16">
      <c r="P54079" s="2498"/>
    </row>
    <row r="54080" spans="16:16">
      <c r="P54080" s="2498"/>
    </row>
    <row r="54081" spans="16:16">
      <c r="P54081" s="2498"/>
    </row>
    <row r="54082" spans="16:16">
      <c r="P54082" s="2498"/>
    </row>
    <row r="54083" spans="16:16">
      <c r="P54083" s="2498"/>
    </row>
    <row r="54084" spans="16:16">
      <c r="P54084" s="2498"/>
    </row>
    <row r="54085" spans="16:16">
      <c r="P54085" s="2498"/>
    </row>
    <row r="54086" spans="16:16">
      <c r="P54086" s="2498"/>
    </row>
    <row r="54087" spans="16:16">
      <c r="P54087" s="2498"/>
    </row>
    <row r="54088" spans="16:16">
      <c r="P54088" s="2498"/>
    </row>
    <row r="54089" spans="16:16">
      <c r="P54089" s="2498"/>
    </row>
    <row r="54090" spans="16:16">
      <c r="P54090" s="2498"/>
    </row>
    <row r="54091" spans="16:16">
      <c r="P54091" s="2498"/>
    </row>
    <row r="54092" spans="16:16">
      <c r="P54092" s="2498"/>
    </row>
    <row r="54093" spans="16:16">
      <c r="P54093" s="2498"/>
    </row>
    <row r="54094" spans="16:16">
      <c r="P54094" s="2498"/>
    </row>
    <row r="54095" spans="16:16">
      <c r="P54095" s="2498"/>
    </row>
    <row r="54096" spans="16:16">
      <c r="P54096" s="2498"/>
    </row>
    <row r="54097" spans="16:16">
      <c r="P54097" s="2498"/>
    </row>
    <row r="54098" spans="16:16">
      <c r="P54098" s="2498"/>
    </row>
    <row r="54099" spans="16:16">
      <c r="P54099" s="2498"/>
    </row>
    <row r="54100" spans="16:16">
      <c r="P54100" s="2498"/>
    </row>
    <row r="54101" spans="16:16">
      <c r="P54101" s="2498"/>
    </row>
    <row r="54102" spans="16:16">
      <c r="P54102" s="2498"/>
    </row>
    <row r="54103" spans="16:16">
      <c r="P54103" s="2498"/>
    </row>
    <row r="54104" spans="16:16">
      <c r="P54104" s="2498"/>
    </row>
    <row r="54105" spans="16:16">
      <c r="P54105" s="2498"/>
    </row>
    <row r="54106" spans="16:16">
      <c r="P54106" s="2498"/>
    </row>
    <row r="54107" spans="16:16">
      <c r="P54107" s="2498"/>
    </row>
    <row r="54108" spans="16:16">
      <c r="P54108" s="2498"/>
    </row>
    <row r="54109" spans="16:16">
      <c r="P54109" s="2498"/>
    </row>
    <row r="54110" spans="16:16">
      <c r="P54110" s="2498"/>
    </row>
    <row r="54111" spans="16:16">
      <c r="P54111" s="2498"/>
    </row>
    <row r="54112" spans="16:16">
      <c r="P54112" s="2498"/>
    </row>
    <row r="54113" spans="16:16">
      <c r="P54113" s="2498"/>
    </row>
    <row r="54114" spans="16:16">
      <c r="P54114" s="2498"/>
    </row>
    <row r="54115" spans="16:16">
      <c r="P54115" s="2498"/>
    </row>
    <row r="54116" spans="16:16">
      <c r="P54116" s="2498"/>
    </row>
    <row r="54117" spans="16:16">
      <c r="P54117" s="2498"/>
    </row>
    <row r="54118" spans="16:16">
      <c r="P54118" s="2498"/>
    </row>
    <row r="54119" spans="16:16">
      <c r="P54119" s="2498"/>
    </row>
    <row r="54120" spans="16:16">
      <c r="P54120" s="2498"/>
    </row>
    <row r="54121" spans="16:16">
      <c r="P54121" s="2498"/>
    </row>
    <row r="54122" spans="16:16">
      <c r="P54122" s="2498"/>
    </row>
    <row r="54123" spans="16:16">
      <c r="P54123" s="2498"/>
    </row>
    <row r="54124" spans="16:16">
      <c r="P54124" s="2498"/>
    </row>
    <row r="54125" spans="16:16">
      <c r="P54125" s="2498"/>
    </row>
    <row r="54126" spans="16:16">
      <c r="P54126" s="2498"/>
    </row>
    <row r="54127" spans="16:16">
      <c r="P54127" s="2498"/>
    </row>
    <row r="54128" spans="16:16">
      <c r="P54128" s="2498"/>
    </row>
    <row r="54129" spans="16:16">
      <c r="P54129" s="2498"/>
    </row>
    <row r="54130" spans="16:16">
      <c r="P54130" s="2498"/>
    </row>
    <row r="54131" spans="16:16">
      <c r="P54131" s="2498"/>
    </row>
    <row r="54132" spans="16:16">
      <c r="P54132" s="2498"/>
    </row>
    <row r="54133" spans="16:16">
      <c r="P54133" s="2498"/>
    </row>
    <row r="54134" spans="16:16">
      <c r="P54134" s="2498"/>
    </row>
    <row r="54135" spans="16:16">
      <c r="P54135" s="2498"/>
    </row>
    <row r="54136" spans="16:16">
      <c r="P54136" s="2498"/>
    </row>
    <row r="54137" spans="16:16">
      <c r="P54137" s="2498"/>
    </row>
    <row r="54138" spans="16:16">
      <c r="P54138" s="2498"/>
    </row>
    <row r="54139" spans="16:16">
      <c r="P54139" s="2498"/>
    </row>
    <row r="54140" spans="16:16">
      <c r="P54140" s="2498"/>
    </row>
    <row r="54141" spans="16:16">
      <c r="P54141" s="2498"/>
    </row>
    <row r="54142" spans="16:16">
      <c r="P54142" s="2498"/>
    </row>
    <row r="54143" spans="16:16">
      <c r="P54143" s="2498"/>
    </row>
    <row r="54144" spans="16:16">
      <c r="P54144" s="2498"/>
    </row>
    <row r="54145" spans="16:16">
      <c r="P54145" s="2498"/>
    </row>
    <row r="54146" spans="16:16">
      <c r="P54146" s="2498"/>
    </row>
    <row r="54147" spans="16:16">
      <c r="P54147" s="2498"/>
    </row>
    <row r="54148" spans="16:16">
      <c r="P54148" s="2498"/>
    </row>
    <row r="54149" spans="16:16">
      <c r="P54149" s="2498"/>
    </row>
    <row r="54150" spans="16:16">
      <c r="P54150" s="2498"/>
    </row>
    <row r="54151" spans="16:16">
      <c r="P54151" s="2498"/>
    </row>
    <row r="54152" spans="16:16">
      <c r="P54152" s="2498"/>
    </row>
    <row r="54153" spans="16:16">
      <c r="P54153" s="2498"/>
    </row>
    <row r="54154" spans="16:16">
      <c r="P54154" s="2498"/>
    </row>
    <row r="54155" spans="16:16">
      <c r="P54155" s="2498"/>
    </row>
    <row r="54156" spans="16:16">
      <c r="P54156" s="2498"/>
    </row>
    <row r="54157" spans="16:16">
      <c r="P54157" s="2498"/>
    </row>
    <row r="54158" spans="16:16">
      <c r="P54158" s="2498"/>
    </row>
    <row r="54159" spans="16:16">
      <c r="P54159" s="2498"/>
    </row>
    <row r="54160" spans="16:16">
      <c r="P54160" s="2498"/>
    </row>
    <row r="54161" spans="16:16">
      <c r="P54161" s="2498"/>
    </row>
    <row r="54162" spans="16:16">
      <c r="P54162" s="2498"/>
    </row>
    <row r="54163" spans="16:16">
      <c r="P54163" s="2498"/>
    </row>
    <row r="54164" spans="16:16">
      <c r="P54164" s="2498"/>
    </row>
    <row r="54165" spans="16:16">
      <c r="P54165" s="2498"/>
    </row>
    <row r="54166" spans="16:16">
      <c r="P54166" s="2498"/>
    </row>
    <row r="54167" spans="16:16">
      <c r="P54167" s="2498"/>
    </row>
    <row r="54168" spans="16:16">
      <c r="P54168" s="2498"/>
    </row>
    <row r="54169" spans="16:16">
      <c r="P54169" s="2498"/>
    </row>
    <row r="54170" spans="16:16">
      <c r="P54170" s="2498"/>
    </row>
    <row r="54171" spans="16:16">
      <c r="P54171" s="2498"/>
    </row>
    <row r="54172" spans="16:16">
      <c r="P54172" s="2498"/>
    </row>
    <row r="54173" spans="16:16">
      <c r="P54173" s="2498"/>
    </row>
    <row r="54174" spans="16:16">
      <c r="P54174" s="2498"/>
    </row>
    <row r="54175" spans="16:16">
      <c r="P54175" s="2498"/>
    </row>
    <row r="54176" spans="16:16">
      <c r="P54176" s="2498"/>
    </row>
    <row r="54177" spans="16:16">
      <c r="P54177" s="2498"/>
    </row>
    <row r="54178" spans="16:16">
      <c r="P54178" s="2498"/>
    </row>
    <row r="54179" spans="16:16">
      <c r="P54179" s="2498"/>
    </row>
    <row r="54180" spans="16:16">
      <c r="P54180" s="2498"/>
    </row>
    <row r="54181" spans="16:16">
      <c r="P54181" s="2498"/>
    </row>
    <row r="54182" spans="16:16">
      <c r="P54182" s="2498"/>
    </row>
    <row r="54183" spans="16:16">
      <c r="P54183" s="2498"/>
    </row>
    <row r="54184" spans="16:16">
      <c r="P54184" s="2498"/>
    </row>
    <row r="54185" spans="16:16">
      <c r="P54185" s="2498"/>
    </row>
    <row r="54186" spans="16:16">
      <c r="P54186" s="2498"/>
    </row>
    <row r="54187" spans="16:16">
      <c r="P54187" s="2498"/>
    </row>
    <row r="54188" spans="16:16">
      <c r="P54188" s="2498"/>
    </row>
    <row r="54189" spans="16:16">
      <c r="P54189" s="2498"/>
    </row>
    <row r="54190" spans="16:16">
      <c r="P54190" s="2498"/>
    </row>
    <row r="54191" spans="16:16">
      <c r="P54191" s="2498"/>
    </row>
    <row r="54192" spans="16:16">
      <c r="P54192" s="2498"/>
    </row>
    <row r="54193" spans="16:16">
      <c r="P54193" s="2498"/>
    </row>
    <row r="54194" spans="16:16">
      <c r="P54194" s="2498"/>
    </row>
    <row r="54195" spans="16:16">
      <c r="P54195" s="2498"/>
    </row>
    <row r="54196" spans="16:16">
      <c r="P54196" s="2498"/>
    </row>
    <row r="54197" spans="16:16">
      <c r="P54197" s="2498"/>
    </row>
    <row r="54198" spans="16:16">
      <c r="P54198" s="2498"/>
    </row>
    <row r="54199" spans="16:16">
      <c r="P54199" s="2498"/>
    </row>
    <row r="54200" spans="16:16">
      <c r="P54200" s="2498"/>
    </row>
    <row r="54201" spans="16:16">
      <c r="P54201" s="2498"/>
    </row>
    <row r="54202" spans="16:16">
      <c r="P54202" s="2498"/>
    </row>
    <row r="54203" spans="16:16">
      <c r="P54203" s="2498"/>
    </row>
    <row r="54204" spans="16:16">
      <c r="P54204" s="2498"/>
    </row>
    <row r="54205" spans="16:16">
      <c r="P54205" s="2498"/>
    </row>
    <row r="54206" spans="16:16">
      <c r="P54206" s="2498"/>
    </row>
    <row r="54207" spans="16:16">
      <c r="P54207" s="2498"/>
    </row>
    <row r="54208" spans="16:16">
      <c r="P54208" s="2498"/>
    </row>
    <row r="54209" spans="16:16">
      <c r="P54209" s="2498"/>
    </row>
    <row r="54210" spans="16:16">
      <c r="P54210" s="2498"/>
    </row>
    <row r="54211" spans="16:16">
      <c r="P54211" s="2498"/>
    </row>
    <row r="54212" spans="16:16">
      <c r="P54212" s="2498"/>
    </row>
    <row r="54213" spans="16:16">
      <c r="P54213" s="2498"/>
    </row>
    <row r="54214" spans="16:16">
      <c r="P54214" s="2498"/>
    </row>
    <row r="54215" spans="16:16">
      <c r="P54215" s="2498"/>
    </row>
    <row r="54216" spans="16:16">
      <c r="P54216" s="2498"/>
    </row>
    <row r="54217" spans="16:16">
      <c r="P54217" s="2498"/>
    </row>
    <row r="54218" spans="16:16">
      <c r="P54218" s="2498"/>
    </row>
    <row r="54219" spans="16:16">
      <c r="P54219" s="2498"/>
    </row>
    <row r="54220" spans="16:16">
      <c r="P54220" s="2498"/>
    </row>
    <row r="54221" spans="16:16">
      <c r="P54221" s="2498"/>
    </row>
    <row r="54222" spans="16:16">
      <c r="P54222" s="2498"/>
    </row>
    <row r="54223" spans="16:16">
      <c r="P54223" s="2498"/>
    </row>
    <row r="54224" spans="16:16">
      <c r="P54224" s="2498"/>
    </row>
    <row r="54225" spans="16:16">
      <c r="P54225" s="2498"/>
    </row>
    <row r="54226" spans="16:16">
      <c r="P54226" s="2498"/>
    </row>
    <row r="54227" spans="16:16">
      <c r="P54227" s="2498"/>
    </row>
    <row r="54228" spans="16:16">
      <c r="P54228" s="2498"/>
    </row>
    <row r="54229" spans="16:16">
      <c r="P54229" s="2498"/>
    </row>
    <row r="54230" spans="16:16">
      <c r="P54230" s="2498"/>
    </row>
    <row r="54231" spans="16:16">
      <c r="P54231" s="2498"/>
    </row>
    <row r="54232" spans="16:16">
      <c r="P54232" s="2498"/>
    </row>
    <row r="54233" spans="16:16">
      <c r="P54233" s="2498"/>
    </row>
    <row r="54234" spans="16:16">
      <c r="P54234" s="2498"/>
    </row>
    <row r="54235" spans="16:16">
      <c r="P54235" s="2498"/>
    </row>
    <row r="54236" spans="16:16">
      <c r="P54236" s="2498"/>
    </row>
    <row r="54237" spans="16:16">
      <c r="P54237" s="2498"/>
    </row>
    <row r="54238" spans="16:16">
      <c r="P54238" s="2498"/>
    </row>
    <row r="54239" spans="16:16">
      <c r="P54239" s="2498"/>
    </row>
    <row r="54240" spans="16:16">
      <c r="P54240" s="2498"/>
    </row>
    <row r="54241" spans="16:16">
      <c r="P54241" s="2498"/>
    </row>
    <row r="54242" spans="16:16">
      <c r="P54242" s="2498"/>
    </row>
    <row r="54243" spans="16:16">
      <c r="P54243" s="2498"/>
    </row>
    <row r="54244" spans="16:16">
      <c r="P54244" s="2498"/>
    </row>
    <row r="54245" spans="16:16">
      <c r="P54245" s="2498"/>
    </row>
    <row r="54246" spans="16:16">
      <c r="P54246" s="2498"/>
    </row>
    <row r="54247" spans="16:16">
      <c r="P54247" s="2498"/>
    </row>
    <row r="54248" spans="16:16">
      <c r="P54248" s="2498"/>
    </row>
    <row r="54249" spans="16:16">
      <c r="P54249" s="2498"/>
    </row>
    <row r="54250" spans="16:16">
      <c r="P54250" s="2498"/>
    </row>
    <row r="54251" spans="16:16">
      <c r="P54251" s="2498"/>
    </row>
    <row r="54252" spans="16:16">
      <c r="P54252" s="2498"/>
    </row>
    <row r="54253" spans="16:16">
      <c r="P54253" s="2498"/>
    </row>
    <row r="54254" spans="16:16">
      <c r="P54254" s="2498"/>
    </row>
    <row r="54255" spans="16:16">
      <c r="P54255" s="2498"/>
    </row>
    <row r="54256" spans="16:16">
      <c r="P54256" s="2498"/>
    </row>
    <row r="54257" spans="16:16">
      <c r="P54257" s="2498"/>
    </row>
    <row r="54258" spans="16:16">
      <c r="P54258" s="2498"/>
    </row>
    <row r="54259" spans="16:16">
      <c r="P54259" s="2498"/>
    </row>
    <row r="54260" spans="16:16">
      <c r="P54260" s="2498"/>
    </row>
    <row r="54261" spans="16:16">
      <c r="P54261" s="2498"/>
    </row>
    <row r="54262" spans="16:16">
      <c r="P54262" s="2498"/>
    </row>
    <row r="54263" spans="16:16">
      <c r="P54263" s="2498"/>
    </row>
    <row r="54264" spans="16:16">
      <c r="P54264" s="2498"/>
    </row>
    <row r="54265" spans="16:16">
      <c r="P54265" s="2498"/>
    </row>
    <row r="54266" spans="16:16">
      <c r="P54266" s="2498"/>
    </row>
    <row r="54267" spans="16:16">
      <c r="P54267" s="2498"/>
    </row>
    <row r="54268" spans="16:16">
      <c r="P54268" s="2498"/>
    </row>
    <row r="54269" spans="16:16">
      <c r="P54269" s="2498"/>
    </row>
    <row r="54270" spans="16:16">
      <c r="P54270" s="2498"/>
    </row>
    <row r="54271" spans="16:16">
      <c r="P54271" s="2498"/>
    </row>
    <row r="54272" spans="16:16">
      <c r="P54272" s="2498"/>
    </row>
    <row r="54273" spans="16:16">
      <c r="P54273" s="2498"/>
    </row>
    <row r="54274" spans="16:16">
      <c r="P54274" s="2498"/>
    </row>
    <row r="54275" spans="16:16">
      <c r="P54275" s="2498"/>
    </row>
    <row r="54276" spans="16:16">
      <c r="P54276" s="2498"/>
    </row>
    <row r="54277" spans="16:16">
      <c r="P54277" s="2498"/>
    </row>
    <row r="54278" spans="16:16">
      <c r="P54278" s="2498"/>
    </row>
    <row r="54279" spans="16:16">
      <c r="P54279" s="2498"/>
    </row>
    <row r="54280" spans="16:16">
      <c r="P54280" s="2498"/>
    </row>
    <row r="54281" spans="16:16">
      <c r="P54281" s="2498"/>
    </row>
    <row r="54282" spans="16:16">
      <c r="P54282" s="2498"/>
    </row>
    <row r="54283" spans="16:16">
      <c r="P54283" s="2498"/>
    </row>
    <row r="54284" spans="16:16">
      <c r="P54284" s="2498"/>
    </row>
    <row r="54285" spans="16:16">
      <c r="P54285" s="2498"/>
    </row>
    <row r="54286" spans="16:16">
      <c r="P54286" s="2498"/>
    </row>
    <row r="54287" spans="16:16">
      <c r="P54287" s="2498"/>
    </row>
    <row r="54288" spans="16:16">
      <c r="P54288" s="2498"/>
    </row>
    <row r="54289" spans="16:16">
      <c r="P54289" s="2498"/>
    </row>
    <row r="54290" spans="16:16">
      <c r="P54290" s="2498"/>
    </row>
    <row r="54291" spans="16:16">
      <c r="P54291" s="2498"/>
    </row>
    <row r="54292" spans="16:16">
      <c r="P54292" s="2498"/>
    </row>
    <row r="54293" spans="16:16">
      <c r="P54293" s="2498"/>
    </row>
    <row r="54294" spans="16:16">
      <c r="P54294" s="2498"/>
    </row>
    <row r="54295" spans="16:16">
      <c r="P54295" s="2498"/>
    </row>
    <row r="54296" spans="16:16">
      <c r="P54296" s="2498"/>
    </row>
    <row r="54297" spans="16:16">
      <c r="P54297" s="2498"/>
    </row>
    <row r="54298" spans="16:16">
      <c r="P54298" s="2498"/>
    </row>
    <row r="54299" spans="16:16">
      <c r="P54299" s="2498"/>
    </row>
    <row r="54300" spans="16:16">
      <c r="P54300" s="2498"/>
    </row>
    <row r="54301" spans="16:16">
      <c r="P54301" s="2498"/>
    </row>
    <row r="54302" spans="16:16">
      <c r="P54302" s="2498"/>
    </row>
    <row r="54303" spans="16:16">
      <c r="P54303" s="2498"/>
    </row>
    <row r="54304" spans="16:16">
      <c r="P54304" s="2498"/>
    </row>
    <row r="54305" spans="16:16">
      <c r="P54305" s="2498"/>
    </row>
    <row r="54306" spans="16:16">
      <c r="P54306" s="2498"/>
    </row>
    <row r="54307" spans="16:16">
      <c r="P54307" s="2498"/>
    </row>
    <row r="54308" spans="16:16">
      <c r="P54308" s="2498"/>
    </row>
    <row r="54309" spans="16:16">
      <c r="P54309" s="2498"/>
    </row>
    <row r="54310" spans="16:16">
      <c r="P54310" s="2498"/>
    </row>
    <row r="54311" spans="16:16">
      <c r="P54311" s="2498"/>
    </row>
    <row r="54312" spans="16:16">
      <c r="P54312" s="2498"/>
    </row>
    <row r="54313" spans="16:16">
      <c r="P54313" s="2498"/>
    </row>
    <row r="54314" spans="16:16">
      <c r="P54314" s="2498"/>
    </row>
    <row r="54315" spans="16:16">
      <c r="P54315" s="2498"/>
    </row>
    <row r="54316" spans="16:16">
      <c r="P54316" s="2498"/>
    </row>
    <row r="54317" spans="16:16">
      <c r="P54317" s="2498"/>
    </row>
    <row r="54318" spans="16:16">
      <c r="P54318" s="2498"/>
    </row>
    <row r="54319" spans="16:16">
      <c r="P54319" s="2498"/>
    </row>
    <row r="54320" spans="16:16">
      <c r="P54320" s="2498"/>
    </row>
    <row r="54321" spans="16:16">
      <c r="P54321" s="2498"/>
    </row>
    <row r="54322" spans="16:16">
      <c r="P54322" s="2498"/>
    </row>
    <row r="54323" spans="16:16">
      <c r="P54323" s="2498"/>
    </row>
    <row r="54324" spans="16:16">
      <c r="P54324" s="2498"/>
    </row>
    <row r="54325" spans="16:16">
      <c r="P54325" s="2498"/>
    </row>
    <row r="54326" spans="16:16">
      <c r="P54326" s="2498"/>
    </row>
    <row r="54327" spans="16:16">
      <c r="P54327" s="2498"/>
    </row>
    <row r="54328" spans="16:16">
      <c r="P54328" s="2498"/>
    </row>
    <row r="54329" spans="16:16">
      <c r="P54329" s="2498"/>
    </row>
    <row r="54330" spans="16:16">
      <c r="P54330" s="2498"/>
    </row>
    <row r="54331" spans="16:16">
      <c r="P54331" s="2498"/>
    </row>
    <row r="54332" spans="16:16">
      <c r="P54332" s="2498"/>
    </row>
    <row r="54333" spans="16:16">
      <c r="P54333" s="2498"/>
    </row>
    <row r="54334" spans="16:16">
      <c r="P54334" s="2498"/>
    </row>
    <row r="54335" spans="16:16">
      <c r="P54335" s="2498"/>
    </row>
    <row r="54336" spans="16:16">
      <c r="P54336" s="2498"/>
    </row>
    <row r="54337" spans="16:16">
      <c r="P54337" s="2498"/>
    </row>
    <row r="54338" spans="16:16">
      <c r="P54338" s="2498"/>
    </row>
    <row r="54339" spans="16:16">
      <c r="P54339" s="2498"/>
    </row>
    <row r="54340" spans="16:16">
      <c r="P54340" s="2498"/>
    </row>
    <row r="54341" spans="16:16">
      <c r="P54341" s="2498"/>
    </row>
    <row r="54342" spans="16:16">
      <c r="P54342" s="2498"/>
    </row>
    <row r="54343" spans="16:16">
      <c r="P54343" s="2498"/>
    </row>
    <row r="54344" spans="16:16">
      <c r="P54344" s="2498"/>
    </row>
    <row r="54345" spans="16:16">
      <c r="P54345" s="2498"/>
    </row>
    <row r="54346" spans="16:16">
      <c r="P54346" s="2498"/>
    </row>
    <row r="54347" spans="16:16">
      <c r="P54347" s="2498"/>
    </row>
    <row r="54348" spans="16:16">
      <c r="P54348" s="2498"/>
    </row>
    <row r="54349" spans="16:16">
      <c r="P54349" s="2498"/>
    </row>
    <row r="54350" spans="16:16">
      <c r="P54350" s="2498"/>
    </row>
    <row r="54351" spans="16:16">
      <c r="P54351" s="2498"/>
    </row>
    <row r="54352" spans="16:16">
      <c r="P54352" s="2498"/>
    </row>
    <row r="54353" spans="16:16">
      <c r="P54353" s="2498"/>
    </row>
    <row r="54354" spans="16:16">
      <c r="P54354" s="2498"/>
    </row>
    <row r="54355" spans="16:16">
      <c r="P54355" s="2498"/>
    </row>
    <row r="54356" spans="16:16">
      <c r="P54356" s="2498"/>
    </row>
    <row r="54357" spans="16:16">
      <c r="P54357" s="2498"/>
    </row>
    <row r="54358" spans="16:16">
      <c r="P54358" s="2498"/>
    </row>
    <row r="54359" spans="16:16">
      <c r="P54359" s="2498"/>
    </row>
    <row r="54360" spans="16:16">
      <c r="P54360" s="2498"/>
    </row>
    <row r="54361" spans="16:16">
      <c r="P54361" s="2498"/>
    </row>
    <row r="54362" spans="16:16">
      <c r="P54362" s="2498"/>
    </row>
    <row r="54363" spans="16:16">
      <c r="P54363" s="2498"/>
    </row>
    <row r="54364" spans="16:16">
      <c r="P54364" s="2498"/>
    </row>
    <row r="54365" spans="16:16">
      <c r="P54365" s="2498"/>
    </row>
    <row r="54366" spans="16:16">
      <c r="P54366" s="2498"/>
    </row>
    <row r="54367" spans="16:16">
      <c r="P54367" s="2498"/>
    </row>
    <row r="54368" spans="16:16">
      <c r="P54368" s="2498"/>
    </row>
    <row r="54369" spans="16:16">
      <c r="P54369" s="2498"/>
    </row>
    <row r="54370" spans="16:16">
      <c r="P54370" s="2498"/>
    </row>
    <row r="54371" spans="16:16">
      <c r="P54371" s="2498"/>
    </row>
    <row r="54372" spans="16:16">
      <c r="P54372" s="2498"/>
    </row>
    <row r="54373" spans="16:16">
      <c r="P54373" s="2498"/>
    </row>
    <row r="54374" spans="16:16">
      <c r="P54374" s="2498"/>
    </row>
    <row r="54375" spans="16:16">
      <c r="P54375" s="2498"/>
    </row>
    <row r="54376" spans="16:16">
      <c r="P54376" s="2498"/>
    </row>
    <row r="54377" spans="16:16">
      <c r="P54377" s="2498"/>
    </row>
    <row r="54378" spans="16:16">
      <c r="P54378" s="2498"/>
    </row>
    <row r="54379" spans="16:16">
      <c r="P54379" s="2498"/>
    </row>
    <row r="54380" spans="16:16">
      <c r="P54380" s="2498"/>
    </row>
    <row r="54381" spans="16:16">
      <c r="P54381" s="2498"/>
    </row>
    <row r="54382" spans="16:16">
      <c r="P54382" s="2498"/>
    </row>
    <row r="54383" spans="16:16">
      <c r="P54383" s="2498"/>
    </row>
    <row r="54384" spans="16:16">
      <c r="P54384" s="2498"/>
    </row>
    <row r="54385" spans="16:16">
      <c r="P54385" s="2498"/>
    </row>
    <row r="54386" spans="16:16">
      <c r="P54386" s="2498"/>
    </row>
    <row r="54387" spans="16:16">
      <c r="P54387" s="2498"/>
    </row>
    <row r="54388" spans="16:16">
      <c r="P54388" s="2498"/>
    </row>
    <row r="54389" spans="16:16">
      <c r="P54389" s="2498"/>
    </row>
    <row r="54390" spans="16:16">
      <c r="P54390" s="2498"/>
    </row>
    <row r="54391" spans="16:16">
      <c r="P54391" s="2498"/>
    </row>
    <row r="54392" spans="16:16">
      <c r="P54392" s="2498"/>
    </row>
    <row r="54393" spans="16:16">
      <c r="P54393" s="2498"/>
    </row>
    <row r="54394" spans="16:16">
      <c r="P54394" s="2498"/>
    </row>
    <row r="54395" spans="16:16">
      <c r="P54395" s="2498"/>
    </row>
    <row r="54396" spans="16:16">
      <c r="P54396" s="2498"/>
    </row>
    <row r="54397" spans="16:16">
      <c r="P54397" s="2498"/>
    </row>
    <row r="54398" spans="16:16">
      <c r="P54398" s="2498"/>
    </row>
    <row r="54399" spans="16:16">
      <c r="P54399" s="2498"/>
    </row>
    <row r="54400" spans="16:16">
      <c r="P54400" s="2498"/>
    </row>
    <row r="54401" spans="16:16">
      <c r="P54401" s="2498"/>
    </row>
    <row r="54402" spans="16:16">
      <c r="P54402" s="2498"/>
    </row>
    <row r="54403" spans="16:16">
      <c r="P54403" s="2498"/>
    </row>
    <row r="54404" spans="16:16">
      <c r="P54404" s="2498"/>
    </row>
    <row r="54405" spans="16:16">
      <c r="P54405" s="2498"/>
    </row>
    <row r="54406" spans="16:16">
      <c r="P54406" s="2498"/>
    </row>
    <row r="54407" spans="16:16">
      <c r="P54407" s="2498"/>
    </row>
    <row r="54408" spans="16:16">
      <c r="P54408" s="2498"/>
    </row>
    <row r="54409" spans="16:16">
      <c r="P54409" s="2498"/>
    </row>
    <row r="54410" spans="16:16">
      <c r="P54410" s="2498"/>
    </row>
    <row r="54411" spans="16:16">
      <c r="P54411" s="2498"/>
    </row>
    <row r="54412" spans="16:16">
      <c r="P54412" s="2498"/>
    </row>
    <row r="54413" spans="16:16">
      <c r="P54413" s="2498"/>
    </row>
    <row r="54414" spans="16:16">
      <c r="P54414" s="2498"/>
    </row>
    <row r="54415" spans="16:16">
      <c r="P54415" s="2498"/>
    </row>
    <row r="54416" spans="16:16">
      <c r="P54416" s="2498"/>
    </row>
    <row r="54417" spans="16:16">
      <c r="P54417" s="2498"/>
    </row>
    <row r="54418" spans="16:16">
      <c r="P54418" s="2498"/>
    </row>
    <row r="54419" spans="16:16">
      <c r="P54419" s="2498"/>
    </row>
    <row r="54420" spans="16:16">
      <c r="P54420" s="2498"/>
    </row>
    <row r="54421" spans="16:16">
      <c r="P54421" s="2498"/>
    </row>
    <row r="54422" spans="16:16">
      <c r="P54422" s="2498"/>
    </row>
    <row r="54423" spans="16:16">
      <c r="P54423" s="2498"/>
    </row>
    <row r="54424" spans="16:16">
      <c r="P54424" s="2498"/>
    </row>
    <row r="54425" spans="16:16">
      <c r="P54425" s="2498"/>
    </row>
    <row r="54426" spans="16:16">
      <c r="P54426" s="2498"/>
    </row>
    <row r="54427" spans="16:16">
      <c r="P54427" s="2498"/>
    </row>
    <row r="54428" spans="16:16">
      <c r="P54428" s="2498"/>
    </row>
    <row r="54429" spans="16:16">
      <c r="P54429" s="2498"/>
    </row>
    <row r="54430" spans="16:16">
      <c r="P54430" s="2498"/>
    </row>
    <row r="54431" spans="16:16">
      <c r="P54431" s="2498"/>
    </row>
    <row r="54432" spans="16:16">
      <c r="P54432" s="2498"/>
    </row>
    <row r="54433" spans="16:16">
      <c r="P54433" s="2498"/>
    </row>
    <row r="54434" spans="16:16">
      <c r="P54434" s="2498"/>
    </row>
    <row r="54435" spans="16:16">
      <c r="P54435" s="2498"/>
    </row>
    <row r="54436" spans="16:16">
      <c r="P54436" s="2498"/>
    </row>
    <row r="54437" spans="16:16">
      <c r="P54437" s="2498"/>
    </row>
    <row r="54438" spans="16:16">
      <c r="P54438" s="2498"/>
    </row>
    <row r="54439" spans="16:16">
      <c r="P54439" s="2498"/>
    </row>
    <row r="54440" spans="16:16">
      <c r="P54440" s="2498"/>
    </row>
    <row r="54441" spans="16:16">
      <c r="P54441" s="2498"/>
    </row>
    <row r="54442" spans="16:16">
      <c r="P54442" s="2498"/>
    </row>
    <row r="54443" spans="16:16">
      <c r="P54443" s="2498"/>
    </row>
    <row r="54444" spans="16:16">
      <c r="P54444" s="2498"/>
    </row>
    <row r="54445" spans="16:16">
      <c r="P54445" s="2498"/>
    </row>
    <row r="54446" spans="16:16">
      <c r="P54446" s="2498"/>
    </row>
    <row r="54447" spans="16:16">
      <c r="P54447" s="2498"/>
    </row>
    <row r="54448" spans="16:16">
      <c r="P54448" s="2498"/>
    </row>
    <row r="54449" spans="16:16">
      <c r="P54449" s="2498"/>
    </row>
    <row r="54450" spans="16:16">
      <c r="P54450" s="2498"/>
    </row>
    <row r="54451" spans="16:16">
      <c r="P54451" s="2498"/>
    </row>
    <row r="54452" spans="16:16">
      <c r="P54452" s="2498"/>
    </row>
    <row r="54453" spans="16:16">
      <c r="P54453" s="2498"/>
    </row>
    <row r="54454" spans="16:16">
      <c r="P54454" s="2498"/>
    </row>
    <row r="54455" spans="16:16">
      <c r="P54455" s="2498"/>
    </row>
    <row r="54456" spans="16:16">
      <c r="P54456" s="2498"/>
    </row>
    <row r="54457" spans="16:16">
      <c r="P54457" s="2498"/>
    </row>
    <row r="54458" spans="16:16">
      <c r="P54458" s="2498"/>
    </row>
    <row r="54459" spans="16:16">
      <c r="P54459" s="2498"/>
    </row>
    <row r="54460" spans="16:16">
      <c r="P54460" s="2498"/>
    </row>
    <row r="54461" spans="16:16">
      <c r="P54461" s="2498"/>
    </row>
    <row r="54462" spans="16:16">
      <c r="P54462" s="2498"/>
    </row>
    <row r="54463" spans="16:16">
      <c r="P54463" s="2498"/>
    </row>
    <row r="54464" spans="16:16">
      <c r="P54464" s="2498"/>
    </row>
    <row r="54465" spans="16:16">
      <c r="P54465" s="2498"/>
    </row>
    <row r="54466" spans="16:16">
      <c r="P54466" s="2498"/>
    </row>
    <row r="54467" spans="16:16">
      <c r="P54467" s="2498"/>
    </row>
    <row r="54468" spans="16:16">
      <c r="P54468" s="2498"/>
    </row>
    <row r="54469" spans="16:16">
      <c r="P54469" s="2498"/>
    </row>
    <row r="54470" spans="16:16">
      <c r="P54470" s="2498"/>
    </row>
    <row r="54471" spans="16:16">
      <c r="P54471" s="2498"/>
    </row>
    <row r="54472" spans="16:16">
      <c r="P54472" s="2498"/>
    </row>
    <row r="54473" spans="16:16">
      <c r="P54473" s="2498"/>
    </row>
    <row r="54474" spans="16:16">
      <c r="P54474" s="2498"/>
    </row>
    <row r="54475" spans="16:16">
      <c r="P54475" s="2498"/>
    </row>
    <row r="54476" spans="16:16">
      <c r="P54476" s="2498"/>
    </row>
    <row r="54477" spans="16:16">
      <c r="P54477" s="2498"/>
    </row>
    <row r="54478" spans="16:16">
      <c r="P54478" s="2498"/>
    </row>
    <row r="54479" spans="16:16">
      <c r="P54479" s="2498"/>
    </row>
    <row r="54480" spans="16:16">
      <c r="P54480" s="2498"/>
    </row>
    <row r="54481" spans="16:16">
      <c r="P54481" s="2498"/>
    </row>
    <row r="54482" spans="16:16">
      <c r="P54482" s="2498"/>
    </row>
    <row r="54483" spans="16:16">
      <c r="P54483" s="2498"/>
    </row>
    <row r="54484" spans="16:16">
      <c r="P54484" s="2498"/>
    </row>
    <row r="54485" spans="16:16">
      <c r="P54485" s="2498"/>
    </row>
    <row r="54486" spans="16:16">
      <c r="P54486" s="2498"/>
    </row>
    <row r="54487" spans="16:16">
      <c r="P54487" s="2498"/>
    </row>
    <row r="54488" spans="16:16">
      <c r="P54488" s="2498"/>
    </row>
    <row r="54489" spans="16:16">
      <c r="P54489" s="2498"/>
    </row>
    <row r="54490" spans="16:16">
      <c r="P54490" s="2498"/>
    </row>
    <row r="54491" spans="16:16">
      <c r="P54491" s="2498"/>
    </row>
    <row r="54492" spans="16:16">
      <c r="P54492" s="2498"/>
    </row>
    <row r="54493" spans="16:16">
      <c r="P54493" s="2498"/>
    </row>
    <row r="54494" spans="16:16">
      <c r="P54494" s="2498"/>
    </row>
    <row r="54495" spans="16:16">
      <c r="P54495" s="2498"/>
    </row>
    <row r="54496" spans="16:16">
      <c r="P54496" s="2498"/>
    </row>
    <row r="54497" spans="16:16">
      <c r="P54497" s="2498"/>
    </row>
    <row r="54498" spans="16:16">
      <c r="P54498" s="2498"/>
    </row>
    <row r="54499" spans="16:16">
      <c r="P54499" s="2498"/>
    </row>
    <row r="54500" spans="16:16">
      <c r="P54500" s="2498"/>
    </row>
    <row r="54501" spans="16:16">
      <c r="P54501" s="2498"/>
    </row>
    <row r="54502" spans="16:16">
      <c r="P54502" s="2498"/>
    </row>
    <row r="54503" spans="16:16">
      <c r="P54503" s="2498"/>
    </row>
    <row r="54504" spans="16:16">
      <c r="P54504" s="2498"/>
    </row>
    <row r="54505" spans="16:16">
      <c r="P54505" s="2498"/>
    </row>
    <row r="54506" spans="16:16">
      <c r="P54506" s="2498"/>
    </row>
    <row r="54507" spans="16:16">
      <c r="P54507" s="2498"/>
    </row>
    <row r="54508" spans="16:16">
      <c r="P54508" s="2498"/>
    </row>
    <row r="54509" spans="16:16">
      <c r="P54509" s="2498"/>
    </row>
    <row r="54510" spans="16:16">
      <c r="P54510" s="2498"/>
    </row>
    <row r="54511" spans="16:16">
      <c r="P54511" s="2498"/>
    </row>
    <row r="54512" spans="16:16">
      <c r="P54512" s="2498"/>
    </row>
    <row r="54513" spans="16:16">
      <c r="P54513" s="2498"/>
    </row>
    <row r="54514" spans="16:16">
      <c r="P54514" s="2498"/>
    </row>
    <row r="54515" spans="16:16">
      <c r="P54515" s="2498"/>
    </row>
    <row r="54516" spans="16:16">
      <c r="P54516" s="2498"/>
    </row>
    <row r="54517" spans="16:16">
      <c r="P54517" s="2498"/>
    </row>
    <row r="54518" spans="16:16">
      <c r="P54518" s="2498"/>
    </row>
    <row r="54519" spans="16:16">
      <c r="P54519" s="2498"/>
    </row>
    <row r="54520" spans="16:16">
      <c r="P54520" s="2498"/>
    </row>
    <row r="54521" spans="16:16">
      <c r="P54521" s="2498"/>
    </row>
    <row r="54522" spans="16:16">
      <c r="P54522" s="2498"/>
    </row>
    <row r="54523" spans="16:16">
      <c r="P54523" s="2498"/>
    </row>
    <row r="54524" spans="16:16">
      <c r="P54524" s="2498"/>
    </row>
    <row r="54525" spans="16:16">
      <c r="P54525" s="2498"/>
    </row>
    <row r="54526" spans="16:16">
      <c r="P54526" s="2498"/>
    </row>
    <row r="54527" spans="16:16">
      <c r="P54527" s="2498"/>
    </row>
    <row r="54528" spans="16:16">
      <c r="P54528" s="2498"/>
    </row>
    <row r="54529" spans="16:16">
      <c r="P54529" s="2498"/>
    </row>
    <row r="54530" spans="16:16">
      <c r="P54530" s="2498"/>
    </row>
    <row r="54531" spans="16:16">
      <c r="P54531" s="2498"/>
    </row>
    <row r="54532" spans="16:16">
      <c r="P54532" s="2498"/>
    </row>
    <row r="54533" spans="16:16">
      <c r="P54533" s="2498"/>
    </row>
    <row r="54534" spans="16:16">
      <c r="P54534" s="2498"/>
    </row>
    <row r="54535" spans="16:16">
      <c r="P54535" s="2498"/>
    </row>
    <row r="54536" spans="16:16">
      <c r="P54536" s="2498"/>
    </row>
    <row r="54537" spans="16:16">
      <c r="P54537" s="2498"/>
    </row>
    <row r="54538" spans="16:16">
      <c r="P54538" s="2498"/>
    </row>
    <row r="54539" spans="16:16">
      <c r="P54539" s="2498"/>
    </row>
    <row r="54540" spans="16:16">
      <c r="P54540" s="2498"/>
    </row>
    <row r="54541" spans="16:16">
      <c r="P54541" s="2498"/>
    </row>
    <row r="54542" spans="16:16">
      <c r="P54542" s="2498"/>
    </row>
    <row r="54543" spans="16:16">
      <c r="P54543" s="2498"/>
    </row>
    <row r="54544" spans="16:16">
      <c r="P54544" s="2498"/>
    </row>
    <row r="54545" spans="16:16">
      <c r="P54545" s="2498"/>
    </row>
    <row r="54546" spans="16:16">
      <c r="P54546" s="2498"/>
    </row>
    <row r="54547" spans="16:16">
      <c r="P54547" s="2498"/>
    </row>
    <row r="54548" spans="16:16">
      <c r="P54548" s="2498"/>
    </row>
    <row r="54549" spans="16:16">
      <c r="P54549" s="2498"/>
    </row>
    <row r="54550" spans="16:16">
      <c r="P54550" s="2498"/>
    </row>
    <row r="54551" spans="16:16">
      <c r="P54551" s="2498"/>
    </row>
    <row r="54552" spans="16:16">
      <c r="P54552" s="2498"/>
    </row>
    <row r="54553" spans="16:16">
      <c r="P54553" s="2498"/>
    </row>
    <row r="54554" spans="16:16">
      <c r="P54554" s="2498"/>
    </row>
    <row r="54555" spans="16:16">
      <c r="P54555" s="2498"/>
    </row>
    <row r="54556" spans="16:16">
      <c r="P54556" s="2498"/>
    </row>
    <row r="54557" spans="16:16">
      <c r="P54557" s="2498"/>
    </row>
    <row r="54558" spans="16:16">
      <c r="P54558" s="2498"/>
    </row>
    <row r="54559" spans="16:16">
      <c r="P54559" s="2498"/>
    </row>
    <row r="54560" spans="16:16">
      <c r="P54560" s="2498"/>
    </row>
    <row r="54561" spans="16:16">
      <c r="P54561" s="2498"/>
    </row>
    <row r="54562" spans="16:16">
      <c r="P54562" s="2498"/>
    </row>
    <row r="54563" spans="16:16">
      <c r="P54563" s="2498"/>
    </row>
    <row r="54564" spans="16:16">
      <c r="P54564" s="2498"/>
    </row>
    <row r="54565" spans="16:16">
      <c r="P54565" s="2498"/>
    </row>
    <row r="54566" spans="16:16">
      <c r="P54566" s="2498"/>
    </row>
    <row r="54567" spans="16:16">
      <c r="P54567" s="2498"/>
    </row>
    <row r="54568" spans="16:16">
      <c r="P54568" s="2498"/>
    </row>
    <row r="54569" spans="16:16">
      <c r="P54569" s="2498"/>
    </row>
    <row r="54570" spans="16:16">
      <c r="P54570" s="2498"/>
    </row>
    <row r="54571" spans="16:16">
      <c r="P54571" s="2498"/>
    </row>
    <row r="54572" spans="16:16">
      <c r="P54572" s="2498"/>
    </row>
    <row r="54573" spans="16:16">
      <c r="P54573" s="2498"/>
    </row>
    <row r="54574" spans="16:16">
      <c r="P54574" s="2498"/>
    </row>
    <row r="54575" spans="16:16">
      <c r="P54575" s="2498"/>
    </row>
    <row r="54576" spans="16:16">
      <c r="P54576" s="2498"/>
    </row>
    <row r="54577" spans="16:16">
      <c r="P54577" s="2498"/>
    </row>
    <row r="54578" spans="16:16">
      <c r="P54578" s="2498"/>
    </row>
    <row r="54579" spans="16:16">
      <c r="P54579" s="2498"/>
    </row>
    <row r="54580" spans="16:16">
      <c r="P54580" s="2498"/>
    </row>
    <row r="54581" spans="16:16">
      <c r="P54581" s="2498"/>
    </row>
    <row r="54582" spans="16:16">
      <c r="P54582" s="2498"/>
    </row>
    <row r="54583" spans="16:16">
      <c r="P54583" s="2498"/>
    </row>
    <row r="54584" spans="16:16">
      <c r="P54584" s="2498"/>
    </row>
    <row r="54585" spans="16:16">
      <c r="P54585" s="2498"/>
    </row>
    <row r="54586" spans="16:16">
      <c r="P54586" s="2498"/>
    </row>
    <row r="54587" spans="16:16">
      <c r="P54587" s="2498"/>
    </row>
    <row r="54588" spans="16:16">
      <c r="P54588" s="2498"/>
    </row>
    <row r="54589" spans="16:16">
      <c r="P54589" s="2498"/>
    </row>
    <row r="54590" spans="16:16">
      <c r="P54590" s="2498"/>
    </row>
    <row r="54591" spans="16:16">
      <c r="P54591" s="2498"/>
    </row>
    <row r="54592" spans="16:16">
      <c r="P54592" s="2498"/>
    </row>
    <row r="54593" spans="16:16">
      <c r="P54593" s="2498"/>
    </row>
    <row r="54594" spans="16:16">
      <c r="P54594" s="2498"/>
    </row>
    <row r="54595" spans="16:16">
      <c r="P54595" s="2498"/>
    </row>
    <row r="54596" spans="16:16">
      <c r="P54596" s="2498"/>
    </row>
    <row r="54597" spans="16:16">
      <c r="P54597" s="2498"/>
    </row>
    <row r="54598" spans="16:16">
      <c r="P54598" s="2498"/>
    </row>
    <row r="54599" spans="16:16">
      <c r="P54599" s="2498"/>
    </row>
    <row r="54600" spans="16:16">
      <c r="P54600" s="2498"/>
    </row>
    <row r="54601" spans="16:16">
      <c r="P54601" s="2498"/>
    </row>
    <row r="54602" spans="16:16">
      <c r="P54602" s="2498"/>
    </row>
    <row r="54603" spans="16:16">
      <c r="P54603" s="2498"/>
    </row>
    <row r="54604" spans="16:16">
      <c r="P54604" s="2498"/>
    </row>
    <row r="54605" spans="16:16">
      <c r="P54605" s="2498"/>
    </row>
    <row r="54606" spans="16:16">
      <c r="P54606" s="2498"/>
    </row>
    <row r="54607" spans="16:16">
      <c r="P54607" s="2498"/>
    </row>
    <row r="54608" spans="16:16">
      <c r="P54608" s="2498"/>
    </row>
    <row r="54609" spans="16:16">
      <c r="P54609" s="2498"/>
    </row>
    <row r="54610" spans="16:16">
      <c r="P54610" s="2498"/>
    </row>
    <row r="54611" spans="16:16">
      <c r="P54611" s="2498"/>
    </row>
    <row r="54612" spans="16:16">
      <c r="P54612" s="2498"/>
    </row>
    <row r="54613" spans="16:16">
      <c r="P54613" s="2498"/>
    </row>
    <row r="54614" spans="16:16">
      <c r="P54614" s="2498"/>
    </row>
    <row r="54615" spans="16:16">
      <c r="P54615" s="2498"/>
    </row>
    <row r="54616" spans="16:16">
      <c r="P54616" s="2498"/>
    </row>
    <row r="54617" spans="16:16">
      <c r="P54617" s="2498"/>
    </row>
    <row r="54618" spans="16:16">
      <c r="P54618" s="2498"/>
    </row>
    <row r="54619" spans="16:16">
      <c r="P54619" s="2498"/>
    </row>
    <row r="54620" spans="16:16">
      <c r="P54620" s="2498"/>
    </row>
    <row r="54621" spans="16:16">
      <c r="P54621" s="2498"/>
    </row>
    <row r="54622" spans="16:16">
      <c r="P54622" s="2498"/>
    </row>
    <row r="54623" spans="16:16">
      <c r="P54623" s="2498"/>
    </row>
    <row r="54624" spans="16:16">
      <c r="P54624" s="2498"/>
    </row>
    <row r="54625" spans="16:16">
      <c r="P54625" s="2498"/>
    </row>
    <row r="54626" spans="16:16">
      <c r="P54626" s="2498"/>
    </row>
    <row r="54627" spans="16:16">
      <c r="P54627" s="2498"/>
    </row>
    <row r="54628" spans="16:16">
      <c r="P54628" s="2498"/>
    </row>
    <row r="54629" spans="16:16">
      <c r="P54629" s="2498"/>
    </row>
    <row r="54630" spans="16:16">
      <c r="P54630" s="2498"/>
    </row>
    <row r="54631" spans="16:16">
      <c r="P54631" s="2498"/>
    </row>
    <row r="54632" spans="16:16">
      <c r="P54632" s="2498"/>
    </row>
    <row r="54633" spans="16:16">
      <c r="P54633" s="2498"/>
    </row>
    <row r="54634" spans="16:16">
      <c r="P54634" s="2498"/>
    </row>
    <row r="54635" spans="16:16">
      <c r="P54635" s="2498"/>
    </row>
    <row r="54636" spans="16:16">
      <c r="P54636" s="2498"/>
    </row>
    <row r="54637" spans="16:16">
      <c r="P54637" s="2498"/>
    </row>
    <row r="54638" spans="16:16">
      <c r="P54638" s="2498"/>
    </row>
    <row r="54639" spans="16:16">
      <c r="P54639" s="2498"/>
    </row>
    <row r="54640" spans="16:16">
      <c r="P54640" s="2498"/>
    </row>
    <row r="54641" spans="16:16">
      <c r="P54641" s="2498"/>
    </row>
    <row r="54642" spans="16:16">
      <c r="P54642" s="2498"/>
    </row>
    <row r="54643" spans="16:16">
      <c r="P54643" s="2498"/>
    </row>
    <row r="54644" spans="16:16">
      <c r="P54644" s="2498"/>
    </row>
    <row r="54645" spans="16:16">
      <c r="P54645" s="2498"/>
    </row>
    <row r="54646" spans="16:16">
      <c r="P54646" s="2498"/>
    </row>
    <row r="54647" spans="16:16">
      <c r="P54647" s="2498"/>
    </row>
    <row r="54648" spans="16:16">
      <c r="P54648" s="2498"/>
    </row>
    <row r="54649" spans="16:16">
      <c r="P54649" s="2498"/>
    </row>
    <row r="54650" spans="16:16">
      <c r="P54650" s="2498"/>
    </row>
    <row r="54651" spans="16:16">
      <c r="P54651" s="2498"/>
    </row>
    <row r="54652" spans="16:16">
      <c r="P54652" s="2498"/>
    </row>
    <row r="54653" spans="16:16">
      <c r="P54653" s="2498"/>
    </row>
    <row r="54654" spans="16:16">
      <c r="P54654" s="2498"/>
    </row>
    <row r="54655" spans="16:16">
      <c r="P54655" s="2498"/>
    </row>
    <row r="54656" spans="16:16">
      <c r="P54656" s="2498"/>
    </row>
    <row r="54657" spans="16:16">
      <c r="P54657" s="2498"/>
    </row>
    <row r="54658" spans="16:16">
      <c r="P54658" s="2498"/>
    </row>
    <row r="54659" spans="16:16">
      <c r="P54659" s="2498"/>
    </row>
    <row r="54660" spans="16:16">
      <c r="P54660" s="2498"/>
    </row>
    <row r="54661" spans="16:16">
      <c r="P54661" s="2498"/>
    </row>
    <row r="54662" spans="16:16">
      <c r="P54662" s="2498"/>
    </row>
    <row r="54663" spans="16:16">
      <c r="P54663" s="2498"/>
    </row>
    <row r="54664" spans="16:16">
      <c r="P54664" s="2498"/>
    </row>
    <row r="54665" spans="16:16">
      <c r="P54665" s="2498"/>
    </row>
    <row r="54666" spans="16:16">
      <c r="P54666" s="2498"/>
    </row>
    <row r="54667" spans="16:16">
      <c r="P54667" s="2498"/>
    </row>
    <row r="54668" spans="16:16">
      <c r="P54668" s="2498"/>
    </row>
    <row r="54669" spans="16:16">
      <c r="P54669" s="2498"/>
    </row>
    <row r="54670" spans="16:16">
      <c r="P54670" s="2498"/>
    </row>
    <row r="54671" spans="16:16">
      <c r="P54671" s="2498"/>
    </row>
    <row r="54672" spans="16:16">
      <c r="P54672" s="2498"/>
    </row>
    <row r="54673" spans="16:16">
      <c r="P54673" s="2498"/>
    </row>
    <row r="54674" spans="16:16">
      <c r="P54674" s="2498"/>
    </row>
    <row r="54675" spans="16:16">
      <c r="P54675" s="2498"/>
    </row>
    <row r="54676" spans="16:16">
      <c r="P54676" s="2498"/>
    </row>
    <row r="54677" spans="16:16">
      <c r="P54677" s="2498"/>
    </row>
    <row r="54678" spans="16:16">
      <c r="P54678" s="2498"/>
    </row>
    <row r="54679" spans="16:16">
      <c r="P54679" s="2498"/>
    </row>
    <row r="54680" spans="16:16">
      <c r="P54680" s="2498"/>
    </row>
    <row r="54681" spans="16:16">
      <c r="P54681" s="2498"/>
    </row>
    <row r="54682" spans="16:16">
      <c r="P54682" s="2498"/>
    </row>
    <row r="54683" spans="16:16">
      <c r="P54683" s="2498"/>
    </row>
    <row r="54684" spans="16:16">
      <c r="P54684" s="2498"/>
    </row>
    <row r="54685" spans="16:16">
      <c r="P54685" s="2498"/>
    </row>
    <row r="54686" spans="16:16">
      <c r="P54686" s="2498"/>
    </row>
    <row r="54687" spans="16:16">
      <c r="P54687" s="2498"/>
    </row>
    <row r="54688" spans="16:16">
      <c r="P54688" s="2498"/>
    </row>
    <row r="54689" spans="16:16">
      <c r="P54689" s="2498"/>
    </row>
    <row r="54690" spans="16:16">
      <c r="P54690" s="2498"/>
    </row>
    <row r="54691" spans="16:16">
      <c r="P54691" s="2498"/>
    </row>
    <row r="54692" spans="16:16">
      <c r="P54692" s="2498"/>
    </row>
    <row r="54693" spans="16:16">
      <c r="P54693" s="2498"/>
    </row>
    <row r="54694" spans="16:16">
      <c r="P54694" s="2498"/>
    </row>
    <row r="54695" spans="16:16">
      <c r="P54695" s="2498"/>
    </row>
    <row r="54696" spans="16:16">
      <c r="P54696" s="2498"/>
    </row>
    <row r="54697" spans="16:16">
      <c r="P54697" s="2498"/>
    </row>
    <row r="54698" spans="16:16">
      <c r="P54698" s="2498"/>
    </row>
    <row r="54699" spans="16:16">
      <c r="P54699" s="2498"/>
    </row>
    <row r="54700" spans="16:16">
      <c r="P54700" s="2498"/>
    </row>
    <row r="54701" spans="16:16">
      <c r="P54701" s="2498"/>
    </row>
    <row r="54702" spans="16:16">
      <c r="P54702" s="2498"/>
    </row>
    <row r="54703" spans="16:16">
      <c r="P54703" s="2498"/>
    </row>
    <row r="54704" spans="16:16">
      <c r="P54704" s="2498"/>
    </row>
    <row r="54705" spans="16:16">
      <c r="P54705" s="2498"/>
    </row>
    <row r="54706" spans="16:16">
      <c r="P54706" s="2498"/>
    </row>
    <row r="54707" spans="16:16">
      <c r="P54707" s="2498"/>
    </row>
    <row r="54708" spans="16:16">
      <c r="P54708" s="2498"/>
    </row>
    <row r="54709" spans="16:16">
      <c r="P54709" s="2498"/>
    </row>
    <row r="54710" spans="16:16">
      <c r="P54710" s="2498"/>
    </row>
    <row r="54711" spans="16:16">
      <c r="P54711" s="2498"/>
    </row>
    <row r="54712" spans="16:16">
      <c r="P54712" s="2498"/>
    </row>
    <row r="54713" spans="16:16">
      <c r="P54713" s="2498"/>
    </row>
    <row r="54714" spans="16:16">
      <c r="P54714" s="2498"/>
    </row>
    <row r="54715" spans="16:16">
      <c r="P54715" s="2498"/>
    </row>
    <row r="54716" spans="16:16">
      <c r="P54716" s="2498"/>
    </row>
    <row r="54717" spans="16:16">
      <c r="P54717" s="2498"/>
    </row>
    <row r="54718" spans="16:16">
      <c r="P54718" s="2498"/>
    </row>
    <row r="54719" spans="16:16">
      <c r="P54719" s="2498"/>
    </row>
    <row r="54720" spans="16:16">
      <c r="P54720" s="2498"/>
    </row>
    <row r="54721" spans="16:16">
      <c r="P54721" s="2498"/>
    </row>
    <row r="54722" spans="16:16">
      <c r="P54722" s="2498"/>
    </row>
    <row r="54723" spans="16:16">
      <c r="P54723" s="2498"/>
    </row>
    <row r="54724" spans="16:16">
      <c r="P54724" s="2498"/>
    </row>
    <row r="54725" spans="16:16">
      <c r="P54725" s="2498"/>
    </row>
    <row r="54726" spans="16:16">
      <c r="P54726" s="2498"/>
    </row>
    <row r="54727" spans="16:16">
      <c r="P54727" s="2498"/>
    </row>
    <row r="54728" spans="16:16">
      <c r="P54728" s="2498"/>
    </row>
    <row r="54729" spans="16:16">
      <c r="P54729" s="2498"/>
    </row>
    <row r="54730" spans="16:16">
      <c r="P54730" s="2498"/>
    </row>
    <row r="54731" spans="16:16">
      <c r="P54731" s="2498"/>
    </row>
    <row r="54732" spans="16:16">
      <c r="P54732" s="2498"/>
    </row>
    <row r="54733" spans="16:16">
      <c r="P54733" s="2498"/>
    </row>
    <row r="54734" spans="16:16">
      <c r="P54734" s="2498"/>
    </row>
    <row r="54735" spans="16:16">
      <c r="P54735" s="2498"/>
    </row>
    <row r="54736" spans="16:16">
      <c r="P54736" s="2498"/>
    </row>
    <row r="54737" spans="16:16">
      <c r="P54737" s="2498"/>
    </row>
    <row r="54738" spans="16:16">
      <c r="P54738" s="2498"/>
    </row>
    <row r="54739" spans="16:16">
      <c r="P54739" s="2498"/>
    </row>
    <row r="54740" spans="16:16">
      <c r="P54740" s="2498"/>
    </row>
    <row r="54741" spans="16:16">
      <c r="P54741" s="2498"/>
    </row>
    <row r="54742" spans="16:16">
      <c r="P54742" s="2498"/>
    </row>
    <row r="54743" spans="16:16">
      <c r="P54743" s="2498"/>
    </row>
    <row r="54744" spans="16:16">
      <c r="P54744" s="2498"/>
    </row>
    <row r="54745" spans="16:16">
      <c r="P54745" s="2498"/>
    </row>
    <row r="54746" spans="16:16">
      <c r="P54746" s="2498"/>
    </row>
    <row r="54747" spans="16:16">
      <c r="P54747" s="2498"/>
    </row>
    <row r="54748" spans="16:16">
      <c r="P54748" s="2498"/>
    </row>
    <row r="54749" spans="16:16">
      <c r="P54749" s="2498"/>
    </row>
    <row r="54750" spans="16:16">
      <c r="P54750" s="2498"/>
    </row>
    <row r="54751" spans="16:16">
      <c r="P54751" s="2498"/>
    </row>
    <row r="54752" spans="16:16">
      <c r="P54752" s="2498"/>
    </row>
    <row r="54753" spans="16:16">
      <c r="P54753" s="2498"/>
    </row>
    <row r="54754" spans="16:16">
      <c r="P54754" s="2498"/>
    </row>
    <row r="54755" spans="16:16">
      <c r="P54755" s="2498"/>
    </row>
    <row r="54756" spans="16:16">
      <c r="P54756" s="2498"/>
    </row>
    <row r="54757" spans="16:16">
      <c r="P54757" s="2498"/>
    </row>
    <row r="54758" spans="16:16">
      <c r="P54758" s="2498"/>
    </row>
    <row r="54759" spans="16:16">
      <c r="P54759" s="2498"/>
    </row>
    <row r="54760" spans="16:16">
      <c r="P54760" s="2498"/>
    </row>
    <row r="54761" spans="16:16">
      <c r="P54761" s="2498"/>
    </row>
    <row r="54762" spans="16:16">
      <c r="P54762" s="2498"/>
    </row>
    <row r="54763" spans="16:16">
      <c r="P54763" s="2498"/>
    </row>
    <row r="54764" spans="16:16">
      <c r="P54764" s="2498"/>
    </row>
    <row r="54765" spans="16:16">
      <c r="P54765" s="2498"/>
    </row>
    <row r="54766" spans="16:16">
      <c r="P54766" s="2498"/>
    </row>
    <row r="54767" spans="16:16">
      <c r="P54767" s="2498"/>
    </row>
    <row r="54768" spans="16:16">
      <c r="P54768" s="2498"/>
    </row>
    <row r="54769" spans="16:16">
      <c r="P54769" s="2498"/>
    </row>
    <row r="54770" spans="16:16">
      <c r="P54770" s="2498"/>
    </row>
    <row r="54771" spans="16:16">
      <c r="P54771" s="2498"/>
    </row>
    <row r="54772" spans="16:16">
      <c r="P54772" s="2498"/>
    </row>
    <row r="54773" spans="16:16">
      <c r="P54773" s="2498"/>
    </row>
    <row r="54774" spans="16:16">
      <c r="P54774" s="2498"/>
    </row>
    <row r="54775" spans="16:16">
      <c r="P54775" s="2498"/>
    </row>
    <row r="54776" spans="16:16">
      <c r="P54776" s="2498"/>
    </row>
    <row r="54777" spans="16:16">
      <c r="P54777" s="2498"/>
    </row>
    <row r="54778" spans="16:16">
      <c r="P54778" s="2498"/>
    </row>
    <row r="54779" spans="16:16">
      <c r="P54779" s="2498"/>
    </row>
    <row r="54780" spans="16:16">
      <c r="P54780" s="2498"/>
    </row>
    <row r="54781" spans="16:16">
      <c r="P54781" s="2498"/>
    </row>
    <row r="54782" spans="16:16">
      <c r="P54782" s="2498"/>
    </row>
    <row r="54783" spans="16:16">
      <c r="P54783" s="2498"/>
    </row>
    <row r="54784" spans="16:16">
      <c r="P54784" s="2498"/>
    </row>
    <row r="54785" spans="16:16">
      <c r="P54785" s="2498"/>
    </row>
    <row r="54786" spans="16:16">
      <c r="P54786" s="2498"/>
    </row>
    <row r="54787" spans="16:16">
      <c r="P54787" s="2498"/>
    </row>
    <row r="54788" spans="16:16">
      <c r="P54788" s="2498"/>
    </row>
    <row r="54789" spans="16:16">
      <c r="P54789" s="2498"/>
    </row>
    <row r="54790" spans="16:16">
      <c r="P54790" s="2498"/>
    </row>
    <row r="54791" spans="16:16">
      <c r="P54791" s="2498"/>
    </row>
    <row r="54792" spans="16:16">
      <c r="P54792" s="2498"/>
    </row>
    <row r="54793" spans="16:16">
      <c r="P54793" s="2498"/>
    </row>
    <row r="54794" spans="16:16">
      <c r="P54794" s="2498"/>
    </row>
    <row r="54795" spans="16:16">
      <c r="P54795" s="2498"/>
    </row>
    <row r="54796" spans="16:16">
      <c r="P54796" s="2498"/>
    </row>
    <row r="54797" spans="16:16">
      <c r="P54797" s="2498"/>
    </row>
    <row r="54798" spans="16:16">
      <c r="P54798" s="2498"/>
    </row>
    <row r="54799" spans="16:16">
      <c r="P54799" s="2498"/>
    </row>
    <row r="54800" spans="16:16">
      <c r="P54800" s="2498"/>
    </row>
    <row r="54801" spans="16:16">
      <c r="P54801" s="2498"/>
    </row>
    <row r="54802" spans="16:16">
      <c r="P54802" s="2498"/>
    </row>
    <row r="54803" spans="16:16">
      <c r="P54803" s="2498"/>
    </row>
    <row r="54804" spans="16:16">
      <c r="P54804" s="2498"/>
    </row>
    <row r="54805" spans="16:16">
      <c r="P54805" s="2498"/>
    </row>
    <row r="54806" spans="16:16">
      <c r="P54806" s="2498"/>
    </row>
    <row r="54807" spans="16:16">
      <c r="P54807" s="2498"/>
    </row>
    <row r="54808" spans="16:16">
      <c r="P54808" s="2498"/>
    </row>
    <row r="54809" spans="16:16">
      <c r="P54809" s="2498"/>
    </row>
    <row r="54810" spans="16:16">
      <c r="P54810" s="2498"/>
    </row>
    <row r="54811" spans="16:16">
      <c r="P54811" s="2498"/>
    </row>
    <row r="54812" spans="16:16">
      <c r="P54812" s="2498"/>
    </row>
    <row r="54813" spans="16:16">
      <c r="P54813" s="2498"/>
    </row>
    <row r="54814" spans="16:16">
      <c r="P54814" s="2498"/>
    </row>
    <row r="54815" spans="16:16">
      <c r="P54815" s="2498"/>
    </row>
    <row r="54816" spans="16:16">
      <c r="P54816" s="2498"/>
    </row>
    <row r="54817" spans="16:16">
      <c r="P54817" s="2498"/>
    </row>
    <row r="54818" spans="16:16">
      <c r="P54818" s="2498"/>
    </row>
    <row r="54819" spans="16:16">
      <c r="P54819" s="2498"/>
    </row>
    <row r="54820" spans="16:16">
      <c r="P54820" s="2498"/>
    </row>
    <row r="54821" spans="16:16">
      <c r="P54821" s="2498"/>
    </row>
    <row r="54822" spans="16:16">
      <c r="P54822" s="2498"/>
    </row>
    <row r="54823" spans="16:16">
      <c r="P54823" s="2498"/>
    </row>
    <row r="54824" spans="16:16">
      <c r="P54824" s="2498"/>
    </row>
    <row r="54825" spans="16:16">
      <c r="P54825" s="2498"/>
    </row>
    <row r="54826" spans="16:16">
      <c r="P54826" s="2498"/>
    </row>
    <row r="54827" spans="16:16">
      <c r="P54827" s="2498"/>
    </row>
    <row r="54828" spans="16:16">
      <c r="P54828" s="2498"/>
    </row>
    <row r="54829" spans="16:16">
      <c r="P54829" s="2498"/>
    </row>
    <row r="54830" spans="16:16">
      <c r="P54830" s="2498"/>
    </row>
    <row r="54831" spans="16:16">
      <c r="P54831" s="2498"/>
    </row>
    <row r="54832" spans="16:16">
      <c r="P54832" s="2498"/>
    </row>
    <row r="54833" spans="16:16">
      <c r="P54833" s="2498"/>
    </row>
    <row r="54834" spans="16:16">
      <c r="P54834" s="2498"/>
    </row>
    <row r="54835" spans="16:16">
      <c r="P54835" s="2498"/>
    </row>
    <row r="54836" spans="16:16">
      <c r="P54836" s="2498"/>
    </row>
    <row r="54837" spans="16:16">
      <c r="P54837" s="2498"/>
    </row>
    <row r="54838" spans="16:16">
      <c r="P54838" s="2498"/>
    </row>
    <row r="54839" spans="16:16">
      <c r="P54839" s="2498"/>
    </row>
    <row r="54840" spans="16:16">
      <c r="P54840" s="2498"/>
    </row>
    <row r="54841" spans="16:16">
      <c r="P54841" s="2498"/>
    </row>
    <row r="54842" spans="16:16">
      <c r="P54842" s="2498"/>
    </row>
    <row r="54843" spans="16:16">
      <c r="P54843" s="2498"/>
    </row>
    <row r="54844" spans="16:16">
      <c r="P54844" s="2498"/>
    </row>
    <row r="54845" spans="16:16">
      <c r="P54845" s="2498"/>
    </row>
    <row r="54846" spans="16:16">
      <c r="P54846" s="2498"/>
    </row>
    <row r="54847" spans="16:16">
      <c r="P54847" s="2498"/>
    </row>
    <row r="54848" spans="16:16">
      <c r="P54848" s="2498"/>
    </row>
    <row r="54849" spans="16:16">
      <c r="P54849" s="2498"/>
    </row>
    <row r="54850" spans="16:16">
      <c r="P54850" s="2498"/>
    </row>
    <row r="54851" spans="16:16">
      <c r="P54851" s="2498"/>
    </row>
    <row r="54852" spans="16:16">
      <c r="P54852" s="2498"/>
    </row>
    <row r="54853" spans="16:16">
      <c r="P54853" s="2498"/>
    </row>
    <row r="54854" spans="16:16">
      <c r="P54854" s="2498"/>
    </row>
    <row r="54855" spans="16:16">
      <c r="P54855" s="2498"/>
    </row>
    <row r="54856" spans="16:16">
      <c r="P54856" s="2498"/>
    </row>
    <row r="54857" spans="16:16">
      <c r="P54857" s="2498"/>
    </row>
    <row r="54858" spans="16:16">
      <c r="P54858" s="2498"/>
    </row>
    <row r="54859" spans="16:16">
      <c r="P54859" s="2498"/>
    </row>
    <row r="54860" spans="16:16">
      <c r="P54860" s="2498"/>
    </row>
    <row r="54861" spans="16:16">
      <c r="P54861" s="2498"/>
    </row>
    <row r="54862" spans="16:16">
      <c r="P54862" s="2498"/>
    </row>
    <row r="54863" spans="16:16">
      <c r="P54863" s="2498"/>
    </row>
    <row r="54864" spans="16:16">
      <c r="P54864" s="2498"/>
    </row>
    <row r="54865" spans="16:16">
      <c r="P54865" s="2498"/>
    </row>
    <row r="54866" spans="16:16">
      <c r="P54866" s="2498"/>
    </row>
    <row r="54867" spans="16:16">
      <c r="P54867" s="2498"/>
    </row>
    <row r="54868" spans="16:16">
      <c r="P54868" s="2498"/>
    </row>
    <row r="54869" spans="16:16">
      <c r="P54869" s="2498"/>
    </row>
    <row r="54870" spans="16:16">
      <c r="P54870" s="2498"/>
    </row>
    <row r="54871" spans="16:16">
      <c r="P54871" s="2498"/>
    </row>
    <row r="54872" spans="16:16">
      <c r="P54872" s="2498"/>
    </row>
    <row r="54873" spans="16:16">
      <c r="P54873" s="2498"/>
    </row>
    <row r="54874" spans="16:16">
      <c r="P54874" s="2498"/>
    </row>
    <row r="54875" spans="16:16">
      <c r="P54875" s="2498"/>
    </row>
    <row r="54876" spans="16:16">
      <c r="P54876" s="2498"/>
    </row>
    <row r="54877" spans="16:16">
      <c r="P54877" s="2498"/>
    </row>
    <row r="54878" spans="16:16">
      <c r="P54878" s="2498"/>
    </row>
    <row r="54879" spans="16:16">
      <c r="P54879" s="2498"/>
    </row>
    <row r="54880" spans="16:16">
      <c r="P54880" s="2498"/>
    </row>
    <row r="54881" spans="16:16">
      <c r="P54881" s="2498"/>
    </row>
    <row r="54882" spans="16:16">
      <c r="P54882" s="2498"/>
    </row>
    <row r="54883" spans="16:16">
      <c r="P54883" s="2498"/>
    </row>
    <row r="54884" spans="16:16">
      <c r="P54884" s="2498"/>
    </row>
    <row r="54885" spans="16:16">
      <c r="P54885" s="2498"/>
    </row>
    <row r="54886" spans="16:16">
      <c r="P54886" s="2498"/>
    </row>
    <row r="54887" spans="16:16">
      <c r="P54887" s="2498"/>
    </row>
    <row r="54888" spans="16:16">
      <c r="P54888" s="2498"/>
    </row>
    <row r="54889" spans="16:16">
      <c r="P54889" s="2498"/>
    </row>
    <row r="54890" spans="16:16">
      <c r="P54890" s="2498"/>
    </row>
    <row r="54891" spans="16:16">
      <c r="P54891" s="2498"/>
    </row>
    <row r="54892" spans="16:16">
      <c r="P54892" s="2498"/>
    </row>
    <row r="54893" spans="16:16">
      <c r="P54893" s="2498"/>
    </row>
    <row r="54894" spans="16:16">
      <c r="P54894" s="2498"/>
    </row>
    <row r="54895" spans="16:16">
      <c r="P54895" s="2498"/>
    </row>
    <row r="54896" spans="16:16">
      <c r="P54896" s="2498"/>
    </row>
    <row r="54897" spans="16:16">
      <c r="P54897" s="2498"/>
    </row>
    <row r="54898" spans="16:16">
      <c r="P54898" s="2498"/>
    </row>
    <row r="54899" spans="16:16">
      <c r="P54899" s="2498"/>
    </row>
    <row r="54900" spans="16:16">
      <c r="P54900" s="2498"/>
    </row>
    <row r="54901" spans="16:16">
      <c r="P54901" s="2498"/>
    </row>
    <row r="54902" spans="16:16">
      <c r="P54902" s="2498"/>
    </row>
    <row r="54903" spans="16:16">
      <c r="P54903" s="2498"/>
    </row>
    <row r="54904" spans="16:16">
      <c r="P54904" s="2498"/>
    </row>
    <row r="54905" spans="16:16">
      <c r="P54905" s="2498"/>
    </row>
    <row r="54906" spans="16:16">
      <c r="P54906" s="2498"/>
    </row>
    <row r="54907" spans="16:16">
      <c r="P54907" s="2498"/>
    </row>
    <row r="54908" spans="16:16">
      <c r="P54908" s="2498"/>
    </row>
    <row r="54909" spans="16:16">
      <c r="P54909" s="2498"/>
    </row>
    <row r="54910" spans="16:16">
      <c r="P54910" s="2498"/>
    </row>
    <row r="54911" spans="16:16">
      <c r="P54911" s="2498"/>
    </row>
    <row r="54912" spans="16:16">
      <c r="P54912" s="2498"/>
    </row>
    <row r="54913" spans="16:16">
      <c r="P54913" s="2498"/>
    </row>
    <row r="54914" spans="16:16">
      <c r="P54914" s="2498"/>
    </row>
    <row r="54915" spans="16:16">
      <c r="P54915" s="2498"/>
    </row>
    <row r="54916" spans="16:16">
      <c r="P54916" s="2498"/>
    </row>
    <row r="54917" spans="16:16">
      <c r="P54917" s="2498"/>
    </row>
    <row r="54918" spans="16:16">
      <c r="P54918" s="2498"/>
    </row>
    <row r="54919" spans="16:16">
      <c r="P54919" s="2498"/>
    </row>
    <row r="54920" spans="16:16">
      <c r="P54920" s="2498"/>
    </row>
    <row r="54921" spans="16:16">
      <c r="P54921" s="2498"/>
    </row>
    <row r="54922" spans="16:16">
      <c r="P54922" s="2498"/>
    </row>
    <row r="54923" spans="16:16">
      <c r="P54923" s="2498"/>
    </row>
    <row r="54924" spans="16:16">
      <c r="P54924" s="2498"/>
    </row>
    <row r="54925" spans="16:16">
      <c r="P54925" s="2498"/>
    </row>
    <row r="54926" spans="16:16">
      <c r="P54926" s="2498"/>
    </row>
    <row r="54927" spans="16:16">
      <c r="P54927" s="2498"/>
    </row>
    <row r="54928" spans="16:16">
      <c r="P54928" s="2498"/>
    </row>
    <row r="54929" spans="16:16">
      <c r="P54929" s="2498"/>
    </row>
    <row r="54930" spans="16:16">
      <c r="P54930" s="2498"/>
    </row>
    <row r="54931" spans="16:16">
      <c r="P54931" s="2498"/>
    </row>
    <row r="54932" spans="16:16">
      <c r="P54932" s="2498"/>
    </row>
    <row r="54933" spans="16:16">
      <c r="P54933" s="2498"/>
    </row>
    <row r="54934" spans="16:16">
      <c r="P54934" s="2498"/>
    </row>
    <row r="54935" spans="16:16">
      <c r="P54935" s="2498"/>
    </row>
    <row r="54936" spans="16:16">
      <c r="P54936" s="2498"/>
    </row>
    <row r="54937" spans="16:16">
      <c r="P54937" s="2498"/>
    </row>
    <row r="54938" spans="16:16">
      <c r="P54938" s="2498"/>
    </row>
    <row r="54939" spans="16:16">
      <c r="P54939" s="2498"/>
    </row>
    <row r="54940" spans="16:16">
      <c r="P54940" s="2498"/>
    </row>
    <row r="54941" spans="16:16">
      <c r="P54941" s="2498"/>
    </row>
    <row r="54942" spans="16:16">
      <c r="P54942" s="2498"/>
    </row>
    <row r="54943" spans="16:16">
      <c r="P54943" s="2498"/>
    </row>
    <row r="54944" spans="16:16">
      <c r="P54944" s="2498"/>
    </row>
    <row r="54945" spans="16:16">
      <c r="P54945" s="2498"/>
    </row>
    <row r="54946" spans="16:16">
      <c r="P54946" s="2498"/>
    </row>
    <row r="54947" spans="16:16">
      <c r="P54947" s="2498"/>
    </row>
    <row r="54948" spans="16:16">
      <c r="P54948" s="2498"/>
    </row>
    <row r="54949" spans="16:16">
      <c r="P54949" s="2498"/>
    </row>
    <row r="54950" spans="16:16">
      <c r="P54950" s="2498"/>
    </row>
    <row r="54951" spans="16:16">
      <c r="P54951" s="2498"/>
    </row>
    <row r="54952" spans="16:16">
      <c r="P54952" s="2498"/>
    </row>
    <row r="54953" spans="16:16">
      <c r="P54953" s="2498"/>
    </row>
    <row r="54954" spans="16:16">
      <c r="P54954" s="2498"/>
    </row>
    <row r="54955" spans="16:16">
      <c r="P54955" s="2498"/>
    </row>
    <row r="54956" spans="16:16">
      <c r="P54956" s="2498"/>
    </row>
    <row r="54957" spans="16:16">
      <c r="P54957" s="2498"/>
    </row>
    <row r="54958" spans="16:16">
      <c r="P54958" s="2498"/>
    </row>
    <row r="54959" spans="16:16">
      <c r="P54959" s="2498"/>
    </row>
    <row r="54960" spans="16:16">
      <c r="P54960" s="2498"/>
    </row>
    <row r="54961" spans="16:16">
      <c r="P54961" s="2498"/>
    </row>
    <row r="54962" spans="16:16">
      <c r="P54962" s="2498"/>
    </row>
    <row r="54963" spans="16:16">
      <c r="P54963" s="2498"/>
    </row>
    <row r="54964" spans="16:16">
      <c r="P54964" s="2498"/>
    </row>
    <row r="54965" spans="16:16">
      <c r="P54965" s="2498"/>
    </row>
    <row r="54966" spans="16:16">
      <c r="P54966" s="2498"/>
    </row>
    <row r="54967" spans="16:16">
      <c r="P54967" s="2498"/>
    </row>
    <row r="54968" spans="16:16">
      <c r="P54968" s="2498"/>
    </row>
    <row r="54969" spans="16:16">
      <c r="P54969" s="2498"/>
    </row>
    <row r="54970" spans="16:16">
      <c r="P54970" s="2498"/>
    </row>
    <row r="54971" spans="16:16">
      <c r="P54971" s="2498"/>
    </row>
    <row r="54972" spans="16:16">
      <c r="P54972" s="2498"/>
    </row>
    <row r="54973" spans="16:16">
      <c r="P54973" s="2498"/>
    </row>
    <row r="54974" spans="16:16">
      <c r="P54974" s="2498"/>
    </row>
    <row r="54975" spans="16:16">
      <c r="P54975" s="2498"/>
    </row>
    <row r="54976" spans="16:16">
      <c r="P54976" s="2498"/>
    </row>
    <row r="54977" spans="16:16">
      <c r="P54977" s="2498"/>
    </row>
    <row r="54978" spans="16:16">
      <c r="P54978" s="2498"/>
    </row>
    <row r="54979" spans="16:16">
      <c r="P54979" s="2498"/>
    </row>
    <row r="54980" spans="16:16">
      <c r="P54980" s="2498"/>
    </row>
    <row r="54981" spans="16:16">
      <c r="P54981" s="2498"/>
    </row>
    <row r="54982" spans="16:16">
      <c r="P54982" s="2498"/>
    </row>
    <row r="54983" spans="16:16">
      <c r="P54983" s="2498"/>
    </row>
    <row r="54984" spans="16:16">
      <c r="P54984" s="2498"/>
    </row>
    <row r="54985" spans="16:16">
      <c r="P54985" s="2498"/>
    </row>
    <row r="54986" spans="16:16">
      <c r="P54986" s="2498"/>
    </row>
    <row r="54987" spans="16:16">
      <c r="P54987" s="2498"/>
    </row>
    <row r="54988" spans="16:16">
      <c r="P54988" s="2498"/>
    </row>
    <row r="54989" spans="16:16">
      <c r="P54989" s="2498"/>
    </row>
    <row r="54990" spans="16:16">
      <c r="P54990" s="2498"/>
    </row>
    <row r="54991" spans="16:16">
      <c r="P54991" s="2498"/>
    </row>
    <row r="54992" spans="16:16">
      <c r="P54992" s="2498"/>
    </row>
    <row r="54993" spans="16:16">
      <c r="P54993" s="2498"/>
    </row>
    <row r="54994" spans="16:16">
      <c r="P54994" s="2498"/>
    </row>
    <row r="54995" spans="16:16">
      <c r="P54995" s="2498"/>
    </row>
    <row r="54996" spans="16:16">
      <c r="P54996" s="2498"/>
    </row>
    <row r="54997" spans="16:16">
      <c r="P54997" s="2498"/>
    </row>
    <row r="54998" spans="16:16">
      <c r="P54998" s="2498"/>
    </row>
    <row r="54999" spans="16:16">
      <c r="P54999" s="2498"/>
    </row>
    <row r="55000" spans="16:16">
      <c r="P55000" s="2498"/>
    </row>
    <row r="55001" spans="16:16">
      <c r="P55001" s="2498"/>
    </row>
    <row r="55002" spans="16:16">
      <c r="P55002" s="2498"/>
    </row>
    <row r="55003" spans="16:16">
      <c r="P55003" s="2498"/>
    </row>
    <row r="55004" spans="16:16">
      <c r="P55004" s="2498"/>
    </row>
    <row r="55005" spans="16:16">
      <c r="P55005" s="2498"/>
    </row>
    <row r="55006" spans="16:16">
      <c r="P55006" s="2498"/>
    </row>
    <row r="55007" spans="16:16">
      <c r="P55007" s="2498"/>
    </row>
    <row r="55008" spans="16:16">
      <c r="P55008" s="2498"/>
    </row>
    <row r="55009" spans="16:16">
      <c r="P55009" s="2498"/>
    </row>
    <row r="55010" spans="16:16">
      <c r="P55010" s="2498"/>
    </row>
    <row r="55011" spans="16:16">
      <c r="P55011" s="2498"/>
    </row>
    <row r="55012" spans="16:16">
      <c r="P55012" s="2498"/>
    </row>
    <row r="55013" spans="16:16">
      <c r="P55013" s="2498"/>
    </row>
    <row r="55014" spans="16:16">
      <c r="P55014" s="2498"/>
    </row>
    <row r="55015" spans="16:16">
      <c r="P55015" s="2498"/>
    </row>
    <row r="55016" spans="16:16">
      <c r="P55016" s="2498"/>
    </row>
    <row r="55017" spans="16:16">
      <c r="P55017" s="2498"/>
    </row>
    <row r="55018" spans="16:16">
      <c r="P55018" s="2498"/>
    </row>
    <row r="55019" spans="16:16">
      <c r="P55019" s="2498"/>
    </row>
    <row r="55020" spans="16:16">
      <c r="P55020" s="2498"/>
    </row>
    <row r="55021" spans="16:16">
      <c r="P55021" s="2498"/>
    </row>
    <row r="55022" spans="16:16">
      <c r="P55022" s="2498"/>
    </row>
    <row r="55023" spans="16:16">
      <c r="P55023" s="2498"/>
    </row>
    <row r="55024" spans="16:16">
      <c r="P55024" s="2498"/>
    </row>
    <row r="55025" spans="16:16">
      <c r="P55025" s="2498"/>
    </row>
    <row r="55026" spans="16:16">
      <c r="P55026" s="2498"/>
    </row>
    <row r="55027" spans="16:16">
      <c r="P55027" s="2498"/>
    </row>
    <row r="55028" spans="16:16">
      <c r="P55028" s="2498"/>
    </row>
    <row r="55029" spans="16:16">
      <c r="P55029" s="2498"/>
    </row>
    <row r="55030" spans="16:16">
      <c r="P55030" s="2498"/>
    </row>
    <row r="55031" spans="16:16">
      <c r="P55031" s="2498"/>
    </row>
    <row r="55032" spans="16:16">
      <c r="P55032" s="2498"/>
    </row>
    <row r="55033" spans="16:16">
      <c r="P55033" s="2498"/>
    </row>
    <row r="55034" spans="16:16">
      <c r="P55034" s="2498"/>
    </row>
    <row r="55035" spans="16:16">
      <c r="P55035" s="2498"/>
    </row>
    <row r="55036" spans="16:16">
      <c r="P55036" s="2498"/>
    </row>
    <row r="55037" spans="16:16">
      <c r="P55037" s="2498"/>
    </row>
    <row r="55038" spans="16:16">
      <c r="P55038" s="2498"/>
    </row>
    <row r="55039" spans="16:16">
      <c r="P55039" s="2498"/>
    </row>
    <row r="55040" spans="16:16">
      <c r="P55040" s="2498"/>
    </row>
    <row r="55041" spans="16:16">
      <c r="P55041" s="2498"/>
    </row>
    <row r="55042" spans="16:16">
      <c r="P55042" s="2498"/>
    </row>
    <row r="55043" spans="16:16">
      <c r="P55043" s="2498"/>
    </row>
    <row r="55044" spans="16:16">
      <c r="P55044" s="2498"/>
    </row>
    <row r="55045" spans="16:16">
      <c r="P55045" s="2498"/>
    </row>
    <row r="55046" spans="16:16">
      <c r="P55046" s="2498"/>
    </row>
    <row r="55047" spans="16:16">
      <c r="P55047" s="2498"/>
    </row>
    <row r="55048" spans="16:16">
      <c r="P55048" s="2498"/>
    </row>
    <row r="55049" spans="16:16">
      <c r="P55049" s="2498"/>
    </row>
    <row r="55050" spans="16:16">
      <c r="P55050" s="2498"/>
    </row>
    <row r="55051" spans="16:16">
      <c r="P55051" s="2498"/>
    </row>
    <row r="55052" spans="16:16">
      <c r="P55052" s="2498"/>
    </row>
    <row r="55053" spans="16:16">
      <c r="P55053" s="2498"/>
    </row>
    <row r="55054" spans="16:16">
      <c r="P55054" s="2498"/>
    </row>
    <row r="55055" spans="16:16">
      <c r="P55055" s="2498"/>
    </row>
    <row r="55056" spans="16:16">
      <c r="P55056" s="2498"/>
    </row>
    <row r="55057" spans="16:16">
      <c r="P55057" s="2498"/>
    </row>
    <row r="55058" spans="16:16">
      <c r="P55058" s="2498"/>
    </row>
    <row r="55059" spans="16:16">
      <c r="P55059" s="2498"/>
    </row>
    <row r="55060" spans="16:16">
      <c r="P55060" s="2498"/>
    </row>
    <row r="55061" spans="16:16">
      <c r="P55061" s="2498"/>
    </row>
    <row r="55062" spans="16:16">
      <c r="P55062" s="2498"/>
    </row>
    <row r="55063" spans="16:16">
      <c r="P55063" s="2498"/>
    </row>
    <row r="55064" spans="16:16">
      <c r="P55064" s="2498"/>
    </row>
    <row r="55065" spans="16:16">
      <c r="P55065" s="2498"/>
    </row>
    <row r="55066" spans="16:16">
      <c r="P55066" s="2498"/>
    </row>
    <row r="55067" spans="16:16">
      <c r="P55067" s="2498"/>
    </row>
    <row r="55068" spans="16:16">
      <c r="P55068" s="2498"/>
    </row>
    <row r="55069" spans="16:16">
      <c r="P55069" s="2498"/>
    </row>
    <row r="55070" spans="16:16">
      <c r="P55070" s="2498"/>
    </row>
    <row r="55071" spans="16:16">
      <c r="P55071" s="2498"/>
    </row>
    <row r="55072" spans="16:16">
      <c r="P55072" s="2498"/>
    </row>
    <row r="55073" spans="16:16">
      <c r="P55073" s="2498"/>
    </row>
    <row r="55074" spans="16:16">
      <c r="P55074" s="2498"/>
    </row>
    <row r="55075" spans="16:16">
      <c r="P55075" s="2498"/>
    </row>
    <row r="55076" spans="16:16">
      <c r="P55076" s="2498"/>
    </row>
    <row r="55077" spans="16:16">
      <c r="P55077" s="2498"/>
    </row>
    <row r="55078" spans="16:16">
      <c r="P55078" s="2498"/>
    </row>
    <row r="55079" spans="16:16">
      <c r="P55079" s="2498"/>
    </row>
    <row r="55080" spans="16:16">
      <c r="P55080" s="2498"/>
    </row>
    <row r="55081" spans="16:16">
      <c r="P55081" s="2498"/>
    </row>
    <row r="55082" spans="16:16">
      <c r="P55082" s="2498"/>
    </row>
    <row r="55083" spans="16:16">
      <c r="P55083" s="2498"/>
    </row>
    <row r="55084" spans="16:16">
      <c r="P55084" s="2498"/>
    </row>
    <row r="55085" spans="16:16">
      <c r="P55085" s="2498"/>
    </row>
    <row r="55086" spans="16:16">
      <c r="P55086" s="2498"/>
    </row>
    <row r="55087" spans="16:16">
      <c r="P55087" s="2498"/>
    </row>
    <row r="55088" spans="16:16">
      <c r="P55088" s="2498"/>
    </row>
    <row r="55089" spans="16:16">
      <c r="P55089" s="2498"/>
    </row>
    <row r="55090" spans="16:16">
      <c r="P55090" s="2498"/>
    </row>
    <row r="55091" spans="16:16">
      <c r="P55091" s="2498"/>
    </row>
    <row r="55092" spans="16:16">
      <c r="P55092" s="2498"/>
    </row>
    <row r="55093" spans="16:16">
      <c r="P55093" s="2498"/>
    </row>
    <row r="55094" spans="16:16">
      <c r="P55094" s="2498"/>
    </row>
    <row r="55095" spans="16:16">
      <c r="P55095" s="2498"/>
    </row>
    <row r="55096" spans="16:16">
      <c r="P55096" s="2498"/>
    </row>
    <row r="55097" spans="16:16">
      <c r="P55097" s="2498"/>
    </row>
    <row r="55098" spans="16:16">
      <c r="P55098" s="2498"/>
    </row>
    <row r="55099" spans="16:16">
      <c r="P55099" s="2498"/>
    </row>
    <row r="55100" spans="16:16">
      <c r="P55100" s="2498"/>
    </row>
    <row r="55101" spans="16:16">
      <c r="P55101" s="2498"/>
    </row>
    <row r="55102" spans="16:16">
      <c r="P55102" s="2498"/>
    </row>
    <row r="55103" spans="16:16">
      <c r="P55103" s="2498"/>
    </row>
    <row r="55104" spans="16:16">
      <c r="P55104" s="2498"/>
    </row>
    <row r="55105" spans="16:16">
      <c r="P55105" s="2498"/>
    </row>
    <row r="55106" spans="16:16">
      <c r="P55106" s="2498"/>
    </row>
    <row r="55107" spans="16:16">
      <c r="P55107" s="2498"/>
    </row>
    <row r="55108" spans="16:16">
      <c r="P55108" s="2498"/>
    </row>
    <row r="55109" spans="16:16">
      <c r="P55109" s="2498"/>
    </row>
    <row r="55110" spans="16:16">
      <c r="P55110" s="2498"/>
    </row>
    <row r="55111" spans="16:16">
      <c r="P55111" s="2498"/>
    </row>
    <row r="55112" spans="16:16">
      <c r="P55112" s="2498"/>
    </row>
    <row r="55113" spans="16:16">
      <c r="P55113" s="2498"/>
    </row>
    <row r="55114" spans="16:16">
      <c r="P55114" s="2498"/>
    </row>
    <row r="55115" spans="16:16">
      <c r="P55115" s="2498"/>
    </row>
    <row r="55116" spans="16:16">
      <c r="P55116" s="2498"/>
    </row>
    <row r="55117" spans="16:16">
      <c r="P55117" s="2498"/>
    </row>
    <row r="55118" spans="16:16">
      <c r="P55118" s="2498"/>
    </row>
    <row r="55119" spans="16:16">
      <c r="P55119" s="2498"/>
    </row>
    <row r="55120" spans="16:16">
      <c r="P55120" s="2498"/>
    </row>
    <row r="55121" spans="16:16">
      <c r="P55121" s="2498"/>
    </row>
    <row r="55122" spans="16:16">
      <c r="P55122" s="2498"/>
    </row>
    <row r="55123" spans="16:16">
      <c r="P55123" s="2498"/>
    </row>
    <row r="55124" spans="16:16">
      <c r="P55124" s="2498"/>
    </row>
    <row r="55125" spans="16:16">
      <c r="P55125" s="2498"/>
    </row>
    <row r="55126" spans="16:16">
      <c r="P55126" s="2498"/>
    </row>
    <row r="55127" spans="16:16">
      <c r="P55127" s="2498"/>
    </row>
    <row r="55128" spans="16:16">
      <c r="P55128" s="2498"/>
    </row>
    <row r="55129" spans="16:16">
      <c r="P55129" s="2498"/>
    </row>
    <row r="55130" spans="16:16">
      <c r="P55130" s="2498"/>
    </row>
    <row r="55131" spans="16:16">
      <c r="P55131" s="2498"/>
    </row>
    <row r="55132" spans="16:16">
      <c r="P55132" s="2498"/>
    </row>
    <row r="55133" spans="16:16">
      <c r="P55133" s="2498"/>
    </row>
    <row r="55134" spans="16:16">
      <c r="P55134" s="2498"/>
    </row>
    <row r="55135" spans="16:16">
      <c r="P55135" s="2498"/>
    </row>
    <row r="55136" spans="16:16">
      <c r="P55136" s="2498"/>
    </row>
    <row r="55137" spans="16:16">
      <c r="P55137" s="2498"/>
    </row>
    <row r="55138" spans="16:16">
      <c r="P55138" s="2498"/>
    </row>
    <row r="55139" spans="16:16">
      <c r="P55139" s="2498"/>
    </row>
    <row r="55140" spans="16:16">
      <c r="P55140" s="2498"/>
    </row>
    <row r="55141" spans="16:16">
      <c r="P55141" s="2498"/>
    </row>
    <row r="55142" spans="16:16">
      <c r="P55142" s="2498"/>
    </row>
    <row r="55143" spans="16:16">
      <c r="P55143" s="2498"/>
    </row>
    <row r="55144" spans="16:16">
      <c r="P55144" s="2498"/>
    </row>
    <row r="55145" spans="16:16">
      <c r="P55145" s="2498"/>
    </row>
    <row r="55146" spans="16:16">
      <c r="P55146" s="2498"/>
    </row>
    <row r="55147" spans="16:16">
      <c r="P55147" s="2498"/>
    </row>
    <row r="55148" spans="16:16">
      <c r="P55148" s="2498"/>
    </row>
    <row r="55149" spans="16:16">
      <c r="P55149" s="2498"/>
    </row>
    <row r="55150" spans="16:16">
      <c r="P55150" s="2498"/>
    </row>
    <row r="55151" spans="16:16">
      <c r="P55151" s="2498"/>
    </row>
    <row r="55152" spans="16:16">
      <c r="P55152" s="2498"/>
    </row>
    <row r="55153" spans="16:16">
      <c r="P55153" s="2498"/>
    </row>
    <row r="55154" spans="16:16">
      <c r="P55154" s="2498"/>
    </row>
    <row r="55155" spans="16:16">
      <c r="P55155" s="2498"/>
    </row>
    <row r="55156" spans="16:16">
      <c r="P55156" s="2498"/>
    </row>
    <row r="55157" spans="16:16">
      <c r="P55157" s="2498"/>
    </row>
    <row r="55158" spans="16:16">
      <c r="P55158" s="2498"/>
    </row>
    <row r="55159" spans="16:16">
      <c r="P55159" s="2498"/>
    </row>
    <row r="55160" spans="16:16">
      <c r="P55160" s="2498"/>
    </row>
    <row r="55161" spans="16:16">
      <c r="P55161" s="2498"/>
    </row>
    <row r="55162" spans="16:16">
      <c r="P55162" s="2498"/>
    </row>
    <row r="55163" spans="16:16">
      <c r="P55163" s="2498"/>
    </row>
    <row r="55164" spans="16:16">
      <c r="P55164" s="2498"/>
    </row>
    <row r="55165" spans="16:16">
      <c r="P55165" s="2498"/>
    </row>
    <row r="55166" spans="16:16">
      <c r="P55166" s="2498"/>
    </row>
    <row r="55167" spans="16:16">
      <c r="P55167" s="2498"/>
    </row>
    <row r="55168" spans="16:16">
      <c r="P55168" s="2498"/>
    </row>
    <row r="55169" spans="16:16">
      <c r="P55169" s="2498"/>
    </row>
    <row r="55170" spans="16:16">
      <c r="P55170" s="2498"/>
    </row>
    <row r="55171" spans="16:16">
      <c r="P55171" s="2498"/>
    </row>
    <row r="55172" spans="16:16">
      <c r="P55172" s="2498"/>
    </row>
    <row r="55173" spans="16:16">
      <c r="P55173" s="2498"/>
    </row>
    <row r="55174" spans="16:16">
      <c r="P55174" s="2498"/>
    </row>
    <row r="55175" spans="16:16">
      <c r="P55175" s="2498"/>
    </row>
    <row r="55176" spans="16:16">
      <c r="P55176" s="2498"/>
    </row>
    <row r="55177" spans="16:16">
      <c r="P55177" s="2498"/>
    </row>
    <row r="55178" spans="16:16">
      <c r="P55178" s="2498"/>
    </row>
    <row r="55179" spans="16:16">
      <c r="P55179" s="2498"/>
    </row>
    <row r="55180" spans="16:16">
      <c r="P55180" s="2498"/>
    </row>
    <row r="55181" spans="16:16">
      <c r="P55181" s="2498"/>
    </row>
    <row r="55182" spans="16:16">
      <c r="P55182" s="2498"/>
    </row>
    <row r="55183" spans="16:16">
      <c r="P55183" s="2498"/>
    </row>
    <row r="55184" spans="16:16">
      <c r="P55184" s="2498"/>
    </row>
    <row r="55185" spans="16:16">
      <c r="P55185" s="2498"/>
    </row>
    <row r="55186" spans="16:16">
      <c r="P55186" s="2498"/>
    </row>
    <row r="55187" spans="16:16">
      <c r="P55187" s="2498"/>
    </row>
    <row r="55188" spans="16:16">
      <c r="P55188" s="2498"/>
    </row>
    <row r="55189" spans="16:16">
      <c r="P55189" s="2498"/>
    </row>
    <row r="55190" spans="16:16">
      <c r="P55190" s="2498"/>
    </row>
    <row r="55191" spans="16:16">
      <c r="P55191" s="2498"/>
    </row>
    <row r="55192" spans="16:16">
      <c r="P55192" s="2498"/>
    </row>
    <row r="55193" spans="16:16">
      <c r="P55193" s="2498"/>
    </row>
    <row r="55194" spans="16:16">
      <c r="P55194" s="2498"/>
    </row>
    <row r="55195" spans="16:16">
      <c r="P55195" s="2498"/>
    </row>
    <row r="55196" spans="16:16">
      <c r="P55196" s="2498"/>
    </row>
    <row r="55197" spans="16:16">
      <c r="P55197" s="2498"/>
    </row>
    <row r="55198" spans="16:16">
      <c r="P55198" s="2498"/>
    </row>
    <row r="55199" spans="16:16">
      <c r="P55199" s="2498"/>
    </row>
    <row r="55200" spans="16:16">
      <c r="P55200" s="2498"/>
    </row>
    <row r="55201" spans="16:16">
      <c r="P55201" s="2498"/>
    </row>
    <row r="55202" spans="16:16">
      <c r="P55202" s="2498"/>
    </row>
    <row r="55203" spans="16:16">
      <c r="P55203" s="2498"/>
    </row>
    <row r="55204" spans="16:16">
      <c r="P55204" s="2498"/>
    </row>
    <row r="55205" spans="16:16">
      <c r="P55205" s="2498"/>
    </row>
    <row r="55206" spans="16:16">
      <c r="P55206" s="2498"/>
    </row>
    <row r="55207" spans="16:16">
      <c r="P55207" s="2498"/>
    </row>
    <row r="55208" spans="16:16">
      <c r="P55208" s="2498"/>
    </row>
    <row r="55209" spans="16:16">
      <c r="P55209" s="2498"/>
    </row>
    <row r="55210" spans="16:16">
      <c r="P55210" s="2498"/>
    </row>
    <row r="55211" spans="16:16">
      <c r="P55211" s="2498"/>
    </row>
    <row r="55212" spans="16:16">
      <c r="P55212" s="2498"/>
    </row>
    <row r="55213" spans="16:16">
      <c r="P55213" s="2498"/>
    </row>
    <row r="55214" spans="16:16">
      <c r="P55214" s="2498"/>
    </row>
    <row r="55215" spans="16:16">
      <c r="P55215" s="2498"/>
    </row>
    <row r="55216" spans="16:16">
      <c r="P55216" s="2498"/>
    </row>
    <row r="55217" spans="16:16">
      <c r="P55217" s="2498"/>
    </row>
    <row r="55218" spans="16:16">
      <c r="P55218" s="2498"/>
    </row>
    <row r="55219" spans="16:16">
      <c r="P55219" s="2498"/>
    </row>
    <row r="55220" spans="16:16">
      <c r="P55220" s="2498"/>
    </row>
    <row r="55221" spans="16:16">
      <c r="P55221" s="2498"/>
    </row>
    <row r="55222" spans="16:16">
      <c r="P55222" s="2498"/>
    </row>
    <row r="55223" spans="16:16">
      <c r="P55223" s="2498"/>
    </row>
    <row r="55224" spans="16:16">
      <c r="P55224" s="2498"/>
    </row>
    <row r="55225" spans="16:16">
      <c r="P55225" s="2498"/>
    </row>
    <row r="55226" spans="16:16">
      <c r="P55226" s="2498"/>
    </row>
    <row r="55227" spans="16:16">
      <c r="P55227" s="2498"/>
    </row>
    <row r="55228" spans="16:16">
      <c r="P55228" s="2498"/>
    </row>
    <row r="55229" spans="16:16">
      <c r="P55229" s="2498"/>
    </row>
    <row r="55230" spans="16:16">
      <c r="P55230" s="2498"/>
    </row>
    <row r="55231" spans="16:16">
      <c r="P55231" s="2498"/>
    </row>
    <row r="55232" spans="16:16">
      <c r="P55232" s="2498"/>
    </row>
    <row r="55233" spans="16:16">
      <c r="P55233" s="2498"/>
    </row>
    <row r="55234" spans="16:16">
      <c r="P55234" s="2498"/>
    </row>
    <row r="55235" spans="16:16">
      <c r="P55235" s="2498"/>
    </row>
    <row r="55236" spans="16:16">
      <c r="P55236" s="2498"/>
    </row>
    <row r="55237" spans="16:16">
      <c r="P55237" s="2498"/>
    </row>
    <row r="55238" spans="16:16">
      <c r="P55238" s="2498"/>
    </row>
    <row r="55239" spans="16:16">
      <c r="P55239" s="2498"/>
    </row>
    <row r="55240" spans="16:16">
      <c r="P55240" s="2498"/>
    </row>
    <row r="55241" spans="16:16">
      <c r="P55241" s="2498"/>
    </row>
    <row r="55242" spans="16:16">
      <c r="P55242" s="2498"/>
    </row>
    <row r="55243" spans="16:16">
      <c r="P55243" s="2498"/>
    </row>
    <row r="55244" spans="16:16">
      <c r="P55244" s="2498"/>
    </row>
    <row r="55245" spans="16:16">
      <c r="P55245" s="2498"/>
    </row>
    <row r="55246" spans="16:16">
      <c r="P55246" s="2498"/>
    </row>
    <row r="55247" spans="16:16">
      <c r="P55247" s="2498"/>
    </row>
    <row r="55248" spans="16:16">
      <c r="P55248" s="2498"/>
    </row>
    <row r="55249" spans="16:16">
      <c r="P55249" s="2498"/>
    </row>
    <row r="55250" spans="16:16">
      <c r="P55250" s="2498"/>
    </row>
    <row r="55251" spans="16:16">
      <c r="P55251" s="2498"/>
    </row>
    <row r="55252" spans="16:16">
      <c r="P55252" s="2498"/>
    </row>
    <row r="55253" spans="16:16">
      <c r="P55253" s="2498"/>
    </row>
    <row r="55254" spans="16:16">
      <c r="P55254" s="2498"/>
    </row>
    <row r="55255" spans="16:16">
      <c r="P55255" s="2498"/>
    </row>
    <row r="55256" spans="16:16">
      <c r="P55256" s="2498"/>
    </row>
    <row r="55257" spans="16:16">
      <c r="P55257" s="2498"/>
    </row>
    <row r="55258" spans="16:16">
      <c r="P55258" s="2498"/>
    </row>
    <row r="55259" spans="16:16">
      <c r="P55259" s="2498"/>
    </row>
    <row r="55260" spans="16:16">
      <c r="P55260" s="2498"/>
    </row>
    <row r="55261" spans="16:16">
      <c r="P55261" s="2498"/>
    </row>
    <row r="55262" spans="16:16">
      <c r="P55262" s="2498"/>
    </row>
    <row r="55263" spans="16:16">
      <c r="P55263" s="2498"/>
    </row>
    <row r="55264" spans="16:16">
      <c r="P55264" s="2498"/>
    </row>
    <row r="55265" spans="16:16">
      <c r="P55265" s="2498"/>
    </row>
    <row r="55266" spans="16:16">
      <c r="P55266" s="2498"/>
    </row>
    <row r="55267" spans="16:16">
      <c r="P55267" s="2498"/>
    </row>
    <row r="55268" spans="16:16">
      <c r="P55268" s="2498"/>
    </row>
    <row r="55269" spans="16:16">
      <c r="P55269" s="2498"/>
    </row>
    <row r="55270" spans="16:16">
      <c r="P55270" s="2498"/>
    </row>
    <row r="55271" spans="16:16">
      <c r="P55271" s="2498"/>
    </row>
    <row r="55272" spans="16:16">
      <c r="P55272" s="2498"/>
    </row>
    <row r="55273" spans="16:16">
      <c r="P55273" s="2498"/>
    </row>
    <row r="55274" spans="16:16">
      <c r="P55274" s="2498"/>
    </row>
    <row r="55275" spans="16:16">
      <c r="P55275" s="2498"/>
    </row>
    <row r="55276" spans="16:16">
      <c r="P55276" s="2498"/>
    </row>
    <row r="55277" spans="16:16">
      <c r="P55277" s="2498"/>
    </row>
    <row r="55278" spans="16:16">
      <c r="P55278" s="2498"/>
    </row>
    <row r="55279" spans="16:16">
      <c r="P55279" s="2498"/>
    </row>
    <row r="55280" spans="16:16">
      <c r="P55280" s="2498"/>
    </row>
    <row r="55281" spans="16:16">
      <c r="P55281" s="2498"/>
    </row>
    <row r="55282" spans="16:16">
      <c r="P55282" s="2498"/>
    </row>
    <row r="55283" spans="16:16">
      <c r="P55283" s="2498"/>
    </row>
    <row r="55284" spans="16:16">
      <c r="P55284" s="2498"/>
    </row>
    <row r="55285" spans="16:16">
      <c r="P55285" s="2498"/>
    </row>
    <row r="55286" spans="16:16">
      <c r="P55286" s="2498"/>
    </row>
    <row r="55287" spans="16:16">
      <c r="P55287" s="2498"/>
    </row>
    <row r="55288" spans="16:16">
      <c r="P55288" s="2498"/>
    </row>
    <row r="55289" spans="16:16">
      <c r="P55289" s="2498"/>
    </row>
    <row r="55290" spans="16:16">
      <c r="P55290" s="2498"/>
    </row>
    <row r="55291" spans="16:16">
      <c r="P55291" s="2498"/>
    </row>
    <row r="55292" spans="16:16">
      <c r="P55292" s="2498"/>
    </row>
    <row r="55293" spans="16:16">
      <c r="P55293" s="2498"/>
    </row>
    <row r="55294" spans="16:16">
      <c r="P55294" s="2498"/>
    </row>
    <row r="55295" spans="16:16">
      <c r="P55295" s="2498"/>
    </row>
    <row r="55296" spans="16:16">
      <c r="P55296" s="2498"/>
    </row>
    <row r="55297" spans="16:16">
      <c r="P55297" s="2498"/>
    </row>
    <row r="55298" spans="16:16">
      <c r="P55298" s="2498"/>
    </row>
    <row r="55299" spans="16:16">
      <c r="P55299" s="2498"/>
    </row>
    <row r="55300" spans="16:16">
      <c r="P55300" s="2498"/>
    </row>
    <row r="55301" spans="16:16">
      <c r="P55301" s="2498"/>
    </row>
    <row r="55302" spans="16:16">
      <c r="P55302" s="2498"/>
    </row>
    <row r="55303" spans="16:16">
      <c r="P55303" s="2498"/>
    </row>
    <row r="55304" spans="16:16">
      <c r="P55304" s="2498"/>
    </row>
    <row r="55305" spans="16:16">
      <c r="P55305" s="2498"/>
    </row>
    <row r="55306" spans="16:16">
      <c r="P55306" s="2498"/>
    </row>
    <row r="55307" spans="16:16">
      <c r="P55307" s="2498"/>
    </row>
    <row r="55308" spans="16:16">
      <c r="P55308" s="2498"/>
    </row>
    <row r="55309" spans="16:16">
      <c r="P55309" s="2498"/>
    </row>
    <row r="55310" spans="16:16">
      <c r="P55310" s="2498"/>
    </row>
    <row r="55311" spans="16:16">
      <c r="P55311" s="2498"/>
    </row>
    <row r="55312" spans="16:16">
      <c r="P55312" s="2498"/>
    </row>
    <row r="55313" spans="16:16">
      <c r="P55313" s="2498"/>
    </row>
    <row r="55314" spans="16:16">
      <c r="P55314" s="2498"/>
    </row>
    <row r="55315" spans="16:16">
      <c r="P55315" s="2498"/>
    </row>
    <row r="55316" spans="16:16">
      <c r="P55316" s="2498"/>
    </row>
    <row r="55317" spans="16:16">
      <c r="P55317" s="2498"/>
    </row>
    <row r="55318" spans="16:16">
      <c r="P55318" s="2498"/>
    </row>
    <row r="55319" spans="16:16">
      <c r="P55319" s="2498"/>
    </row>
    <row r="55320" spans="16:16">
      <c r="P55320" s="2498"/>
    </row>
    <row r="55321" spans="16:16">
      <c r="P55321" s="2498"/>
    </row>
    <row r="55322" spans="16:16">
      <c r="P55322" s="2498"/>
    </row>
    <row r="55323" spans="16:16">
      <c r="P55323" s="2498"/>
    </row>
    <row r="55324" spans="16:16">
      <c r="P55324" s="2498"/>
    </row>
    <row r="55325" spans="16:16">
      <c r="P55325" s="2498"/>
    </row>
    <row r="55326" spans="16:16">
      <c r="P55326" s="2498"/>
    </row>
    <row r="55327" spans="16:16">
      <c r="P55327" s="2498"/>
    </row>
    <row r="55328" spans="16:16">
      <c r="P55328" s="2498"/>
    </row>
    <row r="55329" spans="16:16">
      <c r="P55329" s="2498"/>
    </row>
    <row r="55330" spans="16:16">
      <c r="P55330" s="2498"/>
    </row>
    <row r="55331" spans="16:16">
      <c r="P55331" s="2498"/>
    </row>
    <row r="55332" spans="16:16">
      <c r="P55332" s="2498"/>
    </row>
    <row r="55333" spans="16:16">
      <c r="P55333" s="2498"/>
    </row>
    <row r="55334" spans="16:16">
      <c r="P55334" s="2498"/>
    </row>
    <row r="55335" spans="16:16">
      <c r="P55335" s="2498"/>
    </row>
    <row r="55336" spans="16:16">
      <c r="P55336" s="2498"/>
    </row>
    <row r="55337" spans="16:16">
      <c r="P55337" s="2498"/>
    </row>
    <row r="55338" spans="16:16">
      <c r="P55338" s="2498"/>
    </row>
    <row r="55339" spans="16:16">
      <c r="P55339" s="2498"/>
    </row>
    <row r="55340" spans="16:16">
      <c r="P55340" s="2498"/>
    </row>
    <row r="55341" spans="16:16">
      <c r="P55341" s="2498"/>
    </row>
    <row r="55342" spans="16:16">
      <c r="P55342" s="2498"/>
    </row>
    <row r="55343" spans="16:16">
      <c r="P55343" s="2498"/>
    </row>
    <row r="55344" spans="16:16">
      <c r="P55344" s="2498"/>
    </row>
    <row r="55345" spans="16:16">
      <c r="P55345" s="2498"/>
    </row>
    <row r="55346" spans="16:16">
      <c r="P55346" s="2498"/>
    </row>
    <row r="55347" spans="16:16">
      <c r="P55347" s="2498"/>
    </row>
    <row r="55348" spans="16:16">
      <c r="P55348" s="2498"/>
    </row>
    <row r="55349" spans="16:16">
      <c r="P55349" s="2498"/>
    </row>
    <row r="55350" spans="16:16">
      <c r="P55350" s="2498"/>
    </row>
    <row r="55351" spans="16:16">
      <c r="P55351" s="2498"/>
    </row>
    <row r="55352" spans="16:16">
      <c r="P55352" s="2498"/>
    </row>
    <row r="55353" spans="16:16">
      <c r="P55353" s="2498"/>
    </row>
    <row r="55354" spans="16:16">
      <c r="P55354" s="2498"/>
    </row>
    <row r="55355" spans="16:16">
      <c r="P55355" s="2498"/>
    </row>
    <row r="55356" spans="16:16">
      <c r="P55356" s="2498"/>
    </row>
    <row r="55357" spans="16:16">
      <c r="P55357" s="2498"/>
    </row>
    <row r="55358" spans="16:16">
      <c r="P55358" s="2498"/>
    </row>
    <row r="55359" spans="16:16">
      <c r="P55359" s="2498"/>
    </row>
    <row r="55360" spans="16:16">
      <c r="P55360" s="2498"/>
    </row>
    <row r="55361" spans="16:16">
      <c r="P55361" s="2498"/>
    </row>
    <row r="55362" spans="16:16">
      <c r="P55362" s="2498"/>
    </row>
    <row r="55363" spans="16:16">
      <c r="P55363" s="2498"/>
    </row>
    <row r="55364" spans="16:16">
      <c r="P55364" s="2498"/>
    </row>
    <row r="55365" spans="16:16">
      <c r="P55365" s="2498"/>
    </row>
    <row r="55366" spans="16:16">
      <c r="P55366" s="2498"/>
    </row>
    <row r="55367" spans="16:16">
      <c r="P55367" s="2498"/>
    </row>
    <row r="55368" spans="16:16">
      <c r="P55368" s="2498"/>
    </row>
    <row r="55369" spans="16:16">
      <c r="P55369" s="2498"/>
    </row>
    <row r="55370" spans="16:16">
      <c r="P55370" s="2498"/>
    </row>
    <row r="55371" spans="16:16">
      <c r="P55371" s="2498"/>
    </row>
    <row r="55372" spans="16:16">
      <c r="P55372" s="2498"/>
    </row>
    <row r="55373" spans="16:16">
      <c r="P55373" s="2498"/>
    </row>
    <row r="55374" spans="16:16">
      <c r="P55374" s="2498"/>
    </row>
    <row r="55375" spans="16:16">
      <c r="P55375" s="2498"/>
    </row>
    <row r="55376" spans="16:16">
      <c r="P55376" s="2498"/>
    </row>
    <row r="55377" spans="16:16">
      <c r="P55377" s="2498"/>
    </row>
    <row r="55378" spans="16:16">
      <c r="P55378" s="2498"/>
    </row>
    <row r="55379" spans="16:16">
      <c r="P55379" s="2498"/>
    </row>
    <row r="55380" spans="16:16">
      <c r="P55380" s="2498"/>
    </row>
    <row r="55381" spans="16:16">
      <c r="P55381" s="2498"/>
    </row>
    <row r="55382" spans="16:16">
      <c r="P55382" s="2498"/>
    </row>
    <row r="55383" spans="16:16">
      <c r="P55383" s="2498"/>
    </row>
    <row r="55384" spans="16:16">
      <c r="P55384" s="2498"/>
    </row>
    <row r="55385" spans="16:16">
      <c r="P55385" s="2498"/>
    </row>
    <row r="55386" spans="16:16">
      <c r="P55386" s="2498"/>
    </row>
    <row r="55387" spans="16:16">
      <c r="P55387" s="2498"/>
    </row>
    <row r="55388" spans="16:16">
      <c r="P55388" s="2498"/>
    </row>
    <row r="55389" spans="16:16">
      <c r="P55389" s="2498"/>
    </row>
    <row r="55390" spans="16:16">
      <c r="P55390" s="2498"/>
    </row>
    <row r="55391" spans="16:16">
      <c r="P55391" s="2498"/>
    </row>
    <row r="55392" spans="16:16">
      <c r="P55392" s="2498"/>
    </row>
    <row r="55393" spans="16:16">
      <c r="P55393" s="2498"/>
    </row>
    <row r="55394" spans="16:16">
      <c r="P55394" s="2498"/>
    </row>
    <row r="55395" spans="16:16">
      <c r="P55395" s="2498"/>
    </row>
    <row r="55396" spans="16:16">
      <c r="P55396" s="2498"/>
    </row>
    <row r="55397" spans="16:16">
      <c r="P55397" s="2498"/>
    </row>
    <row r="55398" spans="16:16">
      <c r="P55398" s="2498"/>
    </row>
    <row r="55399" spans="16:16">
      <c r="P55399" s="2498"/>
    </row>
    <row r="55400" spans="16:16">
      <c r="P55400" s="2498"/>
    </row>
    <row r="55401" spans="16:16">
      <c r="P55401" s="2498"/>
    </row>
    <row r="55402" spans="16:16">
      <c r="P55402" s="2498"/>
    </row>
    <row r="55403" spans="16:16">
      <c r="P55403" s="2498"/>
    </row>
    <row r="55404" spans="16:16">
      <c r="P55404" s="2498"/>
    </row>
    <row r="55405" spans="16:16">
      <c r="P55405" s="2498"/>
    </row>
    <row r="55406" spans="16:16">
      <c r="P55406" s="2498"/>
    </row>
    <row r="55407" spans="16:16">
      <c r="P55407" s="2498"/>
    </row>
    <row r="55408" spans="16:16">
      <c r="P55408" s="2498"/>
    </row>
    <row r="55409" spans="16:16">
      <c r="P55409" s="2498"/>
    </row>
    <row r="55410" spans="16:16">
      <c r="P55410" s="2498"/>
    </row>
    <row r="55411" spans="16:16">
      <c r="P55411" s="2498"/>
    </row>
    <row r="55412" spans="16:16">
      <c r="P55412" s="2498"/>
    </row>
    <row r="55413" spans="16:16">
      <c r="P55413" s="2498"/>
    </row>
    <row r="55414" spans="16:16">
      <c r="P55414" s="2498"/>
    </row>
    <row r="55415" spans="16:16">
      <c r="P55415" s="2498"/>
    </row>
    <row r="55416" spans="16:16">
      <c r="P55416" s="2498"/>
    </row>
    <row r="55417" spans="16:16">
      <c r="P55417" s="2498"/>
    </row>
    <row r="55418" spans="16:16">
      <c r="P55418" s="2498"/>
    </row>
    <row r="55419" spans="16:16">
      <c r="P55419" s="2498"/>
    </row>
    <row r="55420" spans="16:16">
      <c r="P55420" s="2498"/>
    </row>
    <row r="55421" spans="16:16">
      <c r="P55421" s="2498"/>
    </row>
    <row r="55422" spans="16:16">
      <c r="P55422" s="2498"/>
    </row>
    <row r="55423" spans="16:16">
      <c r="P55423" s="2498"/>
    </row>
    <row r="55424" spans="16:16">
      <c r="P55424" s="2498"/>
    </row>
    <row r="55425" spans="16:16">
      <c r="P55425" s="2498"/>
    </row>
    <row r="55426" spans="16:16">
      <c r="P55426" s="2498"/>
    </row>
    <row r="55427" spans="16:16">
      <c r="P55427" s="2498"/>
    </row>
    <row r="55428" spans="16:16">
      <c r="P55428" s="2498"/>
    </row>
    <row r="55429" spans="16:16">
      <c r="P55429" s="2498"/>
    </row>
    <row r="55430" spans="16:16">
      <c r="P55430" s="2498"/>
    </row>
    <row r="55431" spans="16:16">
      <c r="P55431" s="2498"/>
    </row>
    <row r="55432" spans="16:16">
      <c r="P55432" s="2498"/>
    </row>
    <row r="55433" spans="16:16">
      <c r="P55433" s="2498"/>
    </row>
    <row r="55434" spans="16:16">
      <c r="P55434" s="2498"/>
    </row>
    <row r="55435" spans="16:16">
      <c r="P55435" s="2498"/>
    </row>
    <row r="55436" spans="16:16">
      <c r="P55436" s="2498"/>
    </row>
    <row r="55437" spans="16:16">
      <c r="P55437" s="2498"/>
    </row>
    <row r="55438" spans="16:16">
      <c r="P55438" s="2498"/>
    </row>
    <row r="55439" spans="16:16">
      <c r="P55439" s="2498"/>
    </row>
    <row r="55440" spans="16:16">
      <c r="P55440" s="2498"/>
    </row>
    <row r="55441" spans="16:16">
      <c r="P55441" s="2498"/>
    </row>
    <row r="55442" spans="16:16">
      <c r="P55442" s="2498"/>
    </row>
    <row r="55443" spans="16:16">
      <c r="P55443" s="2498"/>
    </row>
    <row r="55444" spans="16:16">
      <c r="P55444" s="2498"/>
    </row>
    <row r="55445" spans="16:16">
      <c r="P55445" s="2498"/>
    </row>
    <row r="55446" spans="16:16">
      <c r="P55446" s="2498"/>
    </row>
    <row r="55447" spans="16:16">
      <c r="P55447" s="2498"/>
    </row>
    <row r="55448" spans="16:16">
      <c r="P55448" s="2498"/>
    </row>
    <row r="55449" spans="16:16">
      <c r="P55449" s="2498"/>
    </row>
    <row r="55450" spans="16:16">
      <c r="P55450" s="2498"/>
    </row>
    <row r="55451" spans="16:16">
      <c r="P55451" s="2498"/>
    </row>
    <row r="55452" spans="16:16">
      <c r="P55452" s="2498"/>
    </row>
    <row r="55453" spans="16:16">
      <c r="P55453" s="2498"/>
    </row>
    <row r="55454" spans="16:16">
      <c r="P55454" s="2498"/>
    </row>
    <row r="55455" spans="16:16">
      <c r="P55455" s="2498"/>
    </row>
    <row r="55456" spans="16:16">
      <c r="P55456" s="2498"/>
    </row>
    <row r="55457" spans="16:16">
      <c r="P55457" s="2498"/>
    </row>
    <row r="55458" spans="16:16">
      <c r="P55458" s="2498"/>
    </row>
    <row r="55459" spans="16:16">
      <c r="P55459" s="2498"/>
    </row>
    <row r="55460" spans="16:16">
      <c r="P55460" s="2498"/>
    </row>
    <row r="55461" spans="16:16">
      <c r="P55461" s="2498"/>
    </row>
    <row r="55462" spans="16:16">
      <c r="P55462" s="2498"/>
    </row>
    <row r="55463" spans="16:16">
      <c r="P55463" s="2498"/>
    </row>
    <row r="55464" spans="16:16">
      <c r="P55464" s="2498"/>
    </row>
    <row r="55465" spans="16:16">
      <c r="P55465" s="2498"/>
    </row>
    <row r="55466" spans="16:16">
      <c r="P55466" s="2498"/>
    </row>
    <row r="55467" spans="16:16">
      <c r="P55467" s="2498"/>
    </row>
    <row r="55468" spans="16:16">
      <c r="P55468" s="2498"/>
    </row>
    <row r="55469" spans="16:16">
      <c r="P55469" s="2498"/>
    </row>
    <row r="55470" spans="16:16">
      <c r="P55470" s="2498"/>
    </row>
    <row r="55471" spans="16:16">
      <c r="P55471" s="2498"/>
    </row>
    <row r="55472" spans="16:16">
      <c r="P55472" s="2498"/>
    </row>
    <row r="55473" spans="16:16">
      <c r="P55473" s="2498"/>
    </row>
    <row r="55474" spans="16:16">
      <c r="P55474" s="2498"/>
    </row>
    <row r="55475" spans="16:16">
      <c r="P55475" s="2498"/>
    </row>
    <row r="55476" spans="16:16">
      <c r="P55476" s="2498"/>
    </row>
    <row r="55477" spans="16:16">
      <c r="P55477" s="2498"/>
    </row>
    <row r="55478" spans="16:16">
      <c r="P55478" s="2498"/>
    </row>
    <row r="55479" spans="16:16">
      <c r="P55479" s="2498"/>
    </row>
    <row r="55480" spans="16:16">
      <c r="P55480" s="2498"/>
    </row>
    <row r="55481" spans="16:16">
      <c r="P55481" s="2498"/>
    </row>
    <row r="55482" spans="16:16">
      <c r="P55482" s="2498"/>
    </row>
    <row r="55483" spans="16:16">
      <c r="P55483" s="2498"/>
    </row>
    <row r="55484" spans="16:16">
      <c r="P55484" s="2498"/>
    </row>
    <row r="55485" spans="16:16">
      <c r="P55485" s="2498"/>
    </row>
    <row r="55486" spans="16:16">
      <c r="P55486" s="2498"/>
    </row>
    <row r="55487" spans="16:16">
      <c r="P55487" s="2498"/>
    </row>
    <row r="55488" spans="16:16">
      <c r="P55488" s="2498"/>
    </row>
    <row r="55489" spans="16:16">
      <c r="P55489" s="2498"/>
    </row>
    <row r="55490" spans="16:16">
      <c r="P55490" s="2498"/>
    </row>
    <row r="55491" spans="16:16">
      <c r="P55491" s="2498"/>
    </row>
    <row r="55492" spans="16:16">
      <c r="P55492" s="2498"/>
    </row>
    <row r="55493" spans="16:16">
      <c r="P55493" s="2498"/>
    </row>
    <row r="55494" spans="16:16">
      <c r="P55494" s="2498"/>
    </row>
    <row r="55495" spans="16:16">
      <c r="P55495" s="2498"/>
    </row>
    <row r="55496" spans="16:16">
      <c r="P55496" s="2498"/>
    </row>
    <row r="55497" spans="16:16">
      <c r="P55497" s="2498"/>
    </row>
    <row r="55498" spans="16:16">
      <c r="P55498" s="2498"/>
    </row>
    <row r="55499" spans="16:16">
      <c r="P55499" s="2498"/>
    </row>
    <row r="55500" spans="16:16">
      <c r="P55500" s="2498"/>
    </row>
    <row r="55501" spans="16:16">
      <c r="P55501" s="2498"/>
    </row>
    <row r="55502" spans="16:16">
      <c r="P55502" s="2498"/>
    </row>
    <row r="55503" spans="16:16">
      <c r="P55503" s="2498"/>
    </row>
    <row r="55504" spans="16:16">
      <c r="P55504" s="2498"/>
    </row>
    <row r="55505" spans="16:16">
      <c r="P55505" s="2498"/>
    </row>
    <row r="55506" spans="16:16">
      <c r="P55506" s="2498"/>
    </row>
    <row r="55507" spans="16:16">
      <c r="P55507" s="2498"/>
    </row>
    <row r="55508" spans="16:16">
      <c r="P55508" s="2498"/>
    </row>
    <row r="55509" spans="16:16">
      <c r="P55509" s="2498"/>
    </row>
    <row r="55510" spans="16:16">
      <c r="P55510" s="2498"/>
    </row>
    <row r="55511" spans="16:16">
      <c r="P55511" s="2498"/>
    </row>
    <row r="55512" spans="16:16">
      <c r="P55512" s="2498"/>
    </row>
    <row r="55513" spans="16:16">
      <c r="P55513" s="2498"/>
    </row>
    <row r="55514" spans="16:16">
      <c r="P55514" s="2498"/>
    </row>
    <row r="55515" spans="16:16">
      <c r="P55515" s="2498"/>
    </row>
    <row r="55516" spans="16:16">
      <c r="P55516" s="2498"/>
    </row>
    <row r="55517" spans="16:16">
      <c r="P55517" s="2498"/>
    </row>
    <row r="55518" spans="16:16">
      <c r="P55518" s="2498"/>
    </row>
    <row r="55519" spans="16:16">
      <c r="P55519" s="2498"/>
    </row>
    <row r="55520" spans="16:16">
      <c r="P55520" s="2498"/>
    </row>
    <row r="55521" spans="16:16">
      <c r="P55521" s="2498"/>
    </row>
    <row r="55522" spans="16:16">
      <c r="P55522" s="2498"/>
    </row>
    <row r="55523" spans="16:16">
      <c r="P55523" s="2498"/>
    </row>
    <row r="55524" spans="16:16">
      <c r="P55524" s="2498"/>
    </row>
    <row r="55525" spans="16:16">
      <c r="P55525" s="2498"/>
    </row>
    <row r="55526" spans="16:16">
      <c r="P55526" s="2498"/>
    </row>
    <row r="55527" spans="16:16">
      <c r="P55527" s="2498"/>
    </row>
    <row r="55528" spans="16:16">
      <c r="P55528" s="2498"/>
    </row>
    <row r="55529" spans="16:16">
      <c r="P55529" s="2498"/>
    </row>
    <row r="55530" spans="16:16">
      <c r="P55530" s="2498"/>
    </row>
    <row r="55531" spans="16:16">
      <c r="P55531" s="2498"/>
    </row>
    <row r="55532" spans="16:16">
      <c r="P55532" s="2498"/>
    </row>
    <row r="55533" spans="16:16">
      <c r="P55533" s="2498"/>
    </row>
    <row r="55534" spans="16:16">
      <c r="P55534" s="2498"/>
    </row>
    <row r="55535" spans="16:16">
      <c r="P55535" s="2498"/>
    </row>
    <row r="55536" spans="16:16">
      <c r="P55536" s="2498"/>
    </row>
    <row r="55537" spans="16:16">
      <c r="P55537" s="2498"/>
    </row>
    <row r="55538" spans="16:16">
      <c r="P55538" s="2498"/>
    </row>
    <row r="55539" spans="16:16">
      <c r="P55539" s="2498"/>
    </row>
    <row r="55540" spans="16:16">
      <c r="P55540" s="2498"/>
    </row>
    <row r="55541" spans="16:16">
      <c r="P55541" s="2498"/>
    </row>
    <row r="55542" spans="16:16">
      <c r="P55542" s="2498"/>
    </row>
    <row r="55543" spans="16:16">
      <c r="P55543" s="2498"/>
    </row>
    <row r="55544" spans="16:16">
      <c r="P55544" s="2498"/>
    </row>
    <row r="55545" spans="16:16">
      <c r="P55545" s="2498"/>
    </row>
    <row r="55546" spans="16:16">
      <c r="P55546" s="2498"/>
    </row>
    <row r="55547" spans="16:16">
      <c r="P55547" s="2498"/>
    </row>
    <row r="55548" spans="16:16">
      <c r="P55548" s="2498"/>
    </row>
    <row r="55549" spans="16:16">
      <c r="P55549" s="2498"/>
    </row>
    <row r="55550" spans="16:16">
      <c r="P55550" s="2498"/>
    </row>
    <row r="55551" spans="16:16">
      <c r="P55551" s="2498"/>
    </row>
    <row r="55552" spans="16:16">
      <c r="P55552" s="2498"/>
    </row>
    <row r="55553" spans="16:16">
      <c r="P55553" s="2498"/>
    </row>
    <row r="55554" spans="16:16">
      <c r="P55554" s="2498"/>
    </row>
    <row r="55555" spans="16:16">
      <c r="P55555" s="2498"/>
    </row>
    <row r="55556" spans="16:16">
      <c r="P55556" s="2498"/>
    </row>
    <row r="55557" spans="16:16">
      <c r="P55557" s="2498"/>
    </row>
    <row r="55558" spans="16:16">
      <c r="P55558" s="2498"/>
    </row>
    <row r="55559" spans="16:16">
      <c r="P55559" s="2498"/>
    </row>
    <row r="55560" spans="16:16">
      <c r="P55560" s="2498"/>
    </row>
    <row r="55561" spans="16:16">
      <c r="P55561" s="2498"/>
    </row>
    <row r="55562" spans="16:16">
      <c r="P55562" s="2498"/>
    </row>
    <row r="55563" spans="16:16">
      <c r="P55563" s="2498"/>
    </row>
    <row r="55564" spans="16:16">
      <c r="P55564" s="2498"/>
    </row>
    <row r="55565" spans="16:16">
      <c r="P55565" s="2498"/>
    </row>
    <row r="55566" spans="16:16">
      <c r="P55566" s="2498"/>
    </row>
    <row r="55567" spans="16:16">
      <c r="P55567" s="2498"/>
    </row>
    <row r="55568" spans="16:16">
      <c r="P55568" s="2498"/>
    </row>
    <row r="55569" spans="16:16">
      <c r="P55569" s="2498"/>
    </row>
    <row r="55570" spans="16:16">
      <c r="P55570" s="2498"/>
    </row>
    <row r="55571" spans="16:16">
      <c r="P55571" s="2498"/>
    </row>
    <row r="55572" spans="16:16">
      <c r="P55572" s="2498"/>
    </row>
    <row r="55573" spans="16:16">
      <c r="P55573" s="2498"/>
    </row>
    <row r="55574" spans="16:16">
      <c r="P55574" s="2498"/>
    </row>
    <row r="55575" spans="16:16">
      <c r="P55575" s="2498"/>
    </row>
    <row r="55576" spans="16:16">
      <c r="P55576" s="2498"/>
    </row>
    <row r="55577" spans="16:16">
      <c r="P55577" s="2498"/>
    </row>
    <row r="55578" spans="16:16">
      <c r="P55578" s="2498"/>
    </row>
    <row r="55579" spans="16:16">
      <c r="P55579" s="2498"/>
    </row>
    <row r="55580" spans="16:16">
      <c r="P55580" s="2498"/>
    </row>
    <row r="55581" spans="16:16">
      <c r="P55581" s="2498"/>
    </row>
    <row r="55582" spans="16:16">
      <c r="P55582" s="2498"/>
    </row>
    <row r="55583" spans="16:16">
      <c r="P55583" s="2498"/>
    </row>
    <row r="55584" spans="16:16">
      <c r="P55584" s="2498"/>
    </row>
    <row r="55585" spans="16:16">
      <c r="P55585" s="2498"/>
    </row>
    <row r="55586" spans="16:16">
      <c r="P55586" s="2498"/>
    </row>
    <row r="55587" spans="16:16">
      <c r="P55587" s="2498"/>
    </row>
    <row r="55588" spans="16:16">
      <c r="P55588" s="2498"/>
    </row>
    <row r="55589" spans="16:16">
      <c r="P55589" s="2498"/>
    </row>
    <row r="55590" spans="16:16">
      <c r="P55590" s="2498"/>
    </row>
    <row r="55591" spans="16:16">
      <c r="P55591" s="2498"/>
    </row>
    <row r="55592" spans="16:16">
      <c r="P55592" s="2498"/>
    </row>
    <row r="55593" spans="16:16">
      <c r="P55593" s="2498"/>
    </row>
    <row r="55594" spans="16:16">
      <c r="P55594" s="2498"/>
    </row>
    <row r="55595" spans="16:16">
      <c r="P55595" s="2498"/>
    </row>
    <row r="55596" spans="16:16">
      <c r="P55596" s="2498"/>
    </row>
    <row r="55597" spans="16:16">
      <c r="P55597" s="2498"/>
    </row>
    <row r="55598" spans="16:16">
      <c r="P55598" s="2498"/>
    </row>
    <row r="55599" spans="16:16">
      <c r="P55599" s="2498"/>
    </row>
    <row r="55600" spans="16:16">
      <c r="P55600" s="2498"/>
    </row>
    <row r="55601" spans="16:16">
      <c r="P55601" s="2498"/>
    </row>
    <row r="55602" spans="16:16">
      <c r="P55602" s="2498"/>
    </row>
    <row r="55603" spans="16:16">
      <c r="P55603" s="2498"/>
    </row>
    <row r="55604" spans="16:16">
      <c r="P55604" s="2498"/>
    </row>
    <row r="55605" spans="16:16">
      <c r="P55605" s="2498"/>
    </row>
    <row r="55606" spans="16:16">
      <c r="P55606" s="2498"/>
    </row>
    <row r="55607" spans="16:16">
      <c r="P55607" s="2498"/>
    </row>
    <row r="55608" spans="16:16">
      <c r="P55608" s="2498"/>
    </row>
    <row r="55609" spans="16:16">
      <c r="P55609" s="2498"/>
    </row>
    <row r="55610" spans="16:16">
      <c r="P55610" s="2498"/>
    </row>
    <row r="55611" spans="16:16">
      <c r="P55611" s="2498"/>
    </row>
    <row r="55612" spans="16:16">
      <c r="P55612" s="2498"/>
    </row>
    <row r="55613" spans="16:16">
      <c r="P55613" s="2498"/>
    </row>
    <row r="55614" spans="16:16">
      <c r="P55614" s="2498"/>
    </row>
    <row r="55615" spans="16:16">
      <c r="P55615" s="2498"/>
    </row>
    <row r="55616" spans="16:16">
      <c r="P55616" s="2498"/>
    </row>
    <row r="55617" spans="16:16">
      <c r="P55617" s="2498"/>
    </row>
    <row r="55618" spans="16:16">
      <c r="P55618" s="2498"/>
    </row>
    <row r="55619" spans="16:16">
      <c r="P55619" s="2498"/>
    </row>
    <row r="55620" spans="16:16">
      <c r="P55620" s="2498"/>
    </row>
    <row r="55621" spans="16:16">
      <c r="P55621" s="2498"/>
    </row>
    <row r="55622" spans="16:16">
      <c r="P55622" s="2498"/>
    </row>
    <row r="55623" spans="16:16">
      <c r="P55623" s="2498"/>
    </row>
    <row r="55624" spans="16:16">
      <c r="P55624" s="2498"/>
    </row>
    <row r="55625" spans="16:16">
      <c r="P55625" s="2498"/>
    </row>
    <row r="55626" spans="16:16">
      <c r="P55626" s="2498"/>
    </row>
    <row r="55627" spans="16:16">
      <c r="P55627" s="2498"/>
    </row>
    <row r="55628" spans="16:16">
      <c r="P55628" s="2498"/>
    </row>
    <row r="55629" spans="16:16">
      <c r="P55629" s="2498"/>
    </row>
    <row r="55630" spans="16:16">
      <c r="P55630" s="2498"/>
    </row>
    <row r="55631" spans="16:16">
      <c r="P55631" s="2498"/>
    </row>
    <row r="55632" spans="16:16">
      <c r="P55632" s="2498"/>
    </row>
    <row r="55633" spans="16:16">
      <c r="P55633" s="2498"/>
    </row>
    <row r="55634" spans="16:16">
      <c r="P55634" s="2498"/>
    </row>
    <row r="55635" spans="16:16">
      <c r="P55635" s="2498"/>
    </row>
    <row r="55636" spans="16:16">
      <c r="P55636" s="2498"/>
    </row>
    <row r="55637" spans="16:16">
      <c r="P55637" s="2498"/>
    </row>
    <row r="55638" spans="16:16">
      <c r="P55638" s="2498"/>
    </row>
    <row r="55639" spans="16:16">
      <c r="P55639" s="2498"/>
    </row>
    <row r="55640" spans="16:16">
      <c r="P55640" s="2498"/>
    </row>
    <row r="55641" spans="16:16">
      <c r="P55641" s="2498"/>
    </row>
    <row r="55642" spans="16:16">
      <c r="P55642" s="2498"/>
    </row>
    <row r="55643" spans="16:16">
      <c r="P55643" s="2498"/>
    </row>
    <row r="55644" spans="16:16">
      <c r="P55644" s="2498"/>
    </row>
    <row r="55645" spans="16:16">
      <c r="P55645" s="2498"/>
    </row>
    <row r="55646" spans="16:16">
      <c r="P55646" s="2498"/>
    </row>
    <row r="55647" spans="16:16">
      <c r="P55647" s="2498"/>
    </row>
    <row r="55648" spans="16:16">
      <c r="P55648" s="2498"/>
    </row>
    <row r="55649" spans="16:16">
      <c r="P55649" s="2498"/>
    </row>
    <row r="55650" spans="16:16">
      <c r="P55650" s="2498"/>
    </row>
    <row r="55651" spans="16:16">
      <c r="P55651" s="2498"/>
    </row>
    <row r="55652" spans="16:16">
      <c r="P55652" s="2498"/>
    </row>
    <row r="55653" spans="16:16">
      <c r="P55653" s="2498"/>
    </row>
    <row r="55654" spans="16:16">
      <c r="P55654" s="2498"/>
    </row>
    <row r="55655" spans="16:16">
      <c r="P55655" s="2498"/>
    </row>
    <row r="55656" spans="16:16">
      <c r="P55656" s="2498"/>
    </row>
    <row r="55657" spans="16:16">
      <c r="P55657" s="2498"/>
    </row>
    <row r="55658" spans="16:16">
      <c r="P55658" s="2498"/>
    </row>
    <row r="55659" spans="16:16">
      <c r="P55659" s="2498"/>
    </row>
    <row r="55660" spans="16:16">
      <c r="P55660" s="2498"/>
    </row>
    <row r="55661" spans="16:16">
      <c r="P55661" s="2498"/>
    </row>
    <row r="55662" spans="16:16">
      <c r="P55662" s="2498"/>
    </row>
    <row r="55663" spans="16:16">
      <c r="P55663" s="2498"/>
    </row>
    <row r="55664" spans="16:16">
      <c r="P55664" s="2498"/>
    </row>
    <row r="55665" spans="16:16">
      <c r="P55665" s="2498"/>
    </row>
    <row r="55666" spans="16:16">
      <c r="P55666" s="2498"/>
    </row>
    <row r="55667" spans="16:16">
      <c r="P55667" s="2498"/>
    </row>
    <row r="55668" spans="16:16">
      <c r="P55668" s="2498"/>
    </row>
    <row r="55669" spans="16:16">
      <c r="P55669" s="2498"/>
    </row>
    <row r="55670" spans="16:16">
      <c r="P55670" s="2498"/>
    </row>
    <row r="55671" spans="16:16">
      <c r="P55671" s="2498"/>
    </row>
    <row r="55672" spans="16:16">
      <c r="P55672" s="2498"/>
    </row>
    <row r="55673" spans="16:16">
      <c r="P55673" s="2498"/>
    </row>
    <row r="55674" spans="16:16">
      <c r="P55674" s="2498"/>
    </row>
    <row r="55675" spans="16:16">
      <c r="P55675" s="2498"/>
    </row>
    <row r="55676" spans="16:16">
      <c r="P55676" s="2498"/>
    </row>
    <row r="55677" spans="16:16">
      <c r="P55677" s="2498"/>
    </row>
    <row r="55678" spans="16:16">
      <c r="P55678" s="2498"/>
    </row>
    <row r="55679" spans="16:16">
      <c r="P55679" s="2498"/>
    </row>
    <row r="55680" spans="16:16">
      <c r="P55680" s="2498"/>
    </row>
    <row r="55681" spans="16:16">
      <c r="P55681" s="2498"/>
    </row>
    <row r="55682" spans="16:16">
      <c r="P55682" s="2498"/>
    </row>
    <row r="55683" spans="16:16">
      <c r="P55683" s="2498"/>
    </row>
    <row r="55684" spans="16:16">
      <c r="P55684" s="2498"/>
    </row>
    <row r="55685" spans="16:16">
      <c r="P55685" s="2498"/>
    </row>
    <row r="55686" spans="16:16">
      <c r="P55686" s="2498"/>
    </row>
    <row r="55687" spans="16:16">
      <c r="P55687" s="2498"/>
    </row>
    <row r="55688" spans="16:16">
      <c r="P55688" s="2498"/>
    </row>
    <row r="55689" spans="16:16">
      <c r="P55689" s="2498"/>
    </row>
    <row r="55690" spans="16:16">
      <c r="P55690" s="2498"/>
    </row>
    <row r="55691" spans="16:16">
      <c r="P55691" s="2498"/>
    </row>
    <row r="55692" spans="16:16">
      <c r="P55692" s="2498"/>
    </row>
    <row r="55693" spans="16:16">
      <c r="P55693" s="2498"/>
    </row>
    <row r="55694" spans="16:16">
      <c r="P55694" s="2498"/>
    </row>
    <row r="55695" spans="16:16">
      <c r="P55695" s="2498"/>
    </row>
    <row r="55696" spans="16:16">
      <c r="P55696" s="2498"/>
    </row>
    <row r="55697" spans="16:16">
      <c r="P55697" s="2498"/>
    </row>
    <row r="55698" spans="16:16">
      <c r="P55698" s="2498"/>
    </row>
    <row r="55699" spans="16:16">
      <c r="P55699" s="2498"/>
    </row>
    <row r="55700" spans="16:16">
      <c r="P55700" s="2498"/>
    </row>
    <row r="55701" spans="16:16">
      <c r="P55701" s="2498"/>
    </row>
    <row r="55702" spans="16:16">
      <c r="P55702" s="2498"/>
    </row>
    <row r="55703" spans="16:16">
      <c r="P55703" s="2498"/>
    </row>
    <row r="55704" spans="16:16">
      <c r="P55704" s="2498"/>
    </row>
    <row r="55705" spans="16:16">
      <c r="P55705" s="2498"/>
    </row>
    <row r="55706" spans="16:16">
      <c r="P55706" s="2498"/>
    </row>
    <row r="55707" spans="16:16">
      <c r="P55707" s="2498"/>
    </row>
    <row r="55708" spans="16:16">
      <c r="P55708" s="2498"/>
    </row>
    <row r="55709" spans="16:16">
      <c r="P55709" s="2498"/>
    </row>
    <row r="55710" spans="16:16">
      <c r="P55710" s="2498"/>
    </row>
    <row r="55711" spans="16:16">
      <c r="P55711" s="2498"/>
    </row>
    <row r="55712" spans="16:16">
      <c r="P55712" s="2498"/>
    </row>
    <row r="55713" spans="16:16">
      <c r="P55713" s="2498"/>
    </row>
    <row r="55714" spans="16:16">
      <c r="P55714" s="2498"/>
    </row>
    <row r="55715" spans="16:16">
      <c r="P55715" s="2498"/>
    </row>
    <row r="55716" spans="16:16">
      <c r="P55716" s="2498"/>
    </row>
    <row r="55717" spans="16:16">
      <c r="P55717" s="2498"/>
    </row>
    <row r="55718" spans="16:16">
      <c r="P55718" s="2498"/>
    </row>
    <row r="55719" spans="16:16">
      <c r="P55719" s="2498"/>
    </row>
    <row r="55720" spans="16:16">
      <c r="P55720" s="2498"/>
    </row>
    <row r="55721" spans="16:16">
      <c r="P55721" s="2498"/>
    </row>
    <row r="55722" spans="16:16">
      <c r="P55722" s="2498"/>
    </row>
    <row r="55723" spans="16:16">
      <c r="P55723" s="2498"/>
    </row>
    <row r="55724" spans="16:16">
      <c r="P55724" s="2498"/>
    </row>
    <row r="55725" spans="16:16">
      <c r="P55725" s="2498"/>
    </row>
    <row r="55726" spans="16:16">
      <c r="P55726" s="2498"/>
    </row>
    <row r="55727" spans="16:16">
      <c r="P55727" s="2498"/>
    </row>
    <row r="55728" spans="16:16">
      <c r="P55728" s="2498"/>
    </row>
    <row r="55729" spans="16:16">
      <c r="P55729" s="2498"/>
    </row>
    <row r="55730" spans="16:16">
      <c r="P55730" s="2498"/>
    </row>
    <row r="55731" spans="16:16">
      <c r="P55731" s="2498"/>
    </row>
    <row r="55732" spans="16:16">
      <c r="P55732" s="2498"/>
    </row>
    <row r="55733" spans="16:16">
      <c r="P55733" s="2498"/>
    </row>
    <row r="55734" spans="16:16">
      <c r="P55734" s="2498"/>
    </row>
    <row r="55735" spans="16:16">
      <c r="P55735" s="2498"/>
    </row>
    <row r="55736" spans="16:16">
      <c r="P55736" s="2498"/>
    </row>
    <row r="55737" spans="16:16">
      <c r="P55737" s="2498"/>
    </row>
    <row r="55738" spans="16:16">
      <c r="P55738" s="2498"/>
    </row>
    <row r="55739" spans="16:16">
      <c r="P55739" s="2498"/>
    </row>
    <row r="55740" spans="16:16">
      <c r="P55740" s="2498"/>
    </row>
    <row r="55741" spans="16:16">
      <c r="P55741" s="2498"/>
    </row>
    <row r="55742" spans="16:16">
      <c r="P55742" s="2498"/>
    </row>
    <row r="55743" spans="16:16">
      <c r="P55743" s="2498"/>
    </row>
    <row r="55744" spans="16:16">
      <c r="P55744" s="2498"/>
    </row>
    <row r="55745" spans="16:16">
      <c r="P55745" s="2498"/>
    </row>
    <row r="55746" spans="16:16">
      <c r="P55746" s="2498"/>
    </row>
    <row r="55747" spans="16:16">
      <c r="P55747" s="2498"/>
    </row>
    <row r="55748" spans="16:16">
      <c r="P55748" s="2498"/>
    </row>
    <row r="55749" spans="16:16">
      <c r="P55749" s="2498"/>
    </row>
    <row r="55750" spans="16:16">
      <c r="P55750" s="2498"/>
    </row>
    <row r="55751" spans="16:16">
      <c r="P55751" s="2498"/>
    </row>
    <row r="55752" spans="16:16">
      <c r="P55752" s="2498"/>
    </row>
    <row r="55753" spans="16:16">
      <c r="P55753" s="2498"/>
    </row>
    <row r="55754" spans="16:16">
      <c r="P55754" s="2498"/>
    </row>
    <row r="55755" spans="16:16">
      <c r="P55755" s="2498"/>
    </row>
    <row r="55756" spans="16:16">
      <c r="P55756" s="2498"/>
    </row>
    <row r="55757" spans="16:16">
      <c r="P55757" s="2498"/>
    </row>
    <row r="55758" spans="16:16">
      <c r="P55758" s="2498"/>
    </row>
    <row r="55759" spans="16:16">
      <c r="P55759" s="2498"/>
    </row>
    <row r="55760" spans="16:16">
      <c r="P55760" s="2498"/>
    </row>
    <row r="55761" spans="16:16">
      <c r="P55761" s="2498"/>
    </row>
    <row r="55762" spans="16:16">
      <c r="P55762" s="2498"/>
    </row>
    <row r="55763" spans="16:16">
      <c r="P55763" s="2498"/>
    </row>
    <row r="55764" spans="16:16">
      <c r="P55764" s="2498"/>
    </row>
    <row r="55765" spans="16:16">
      <c r="P55765" s="2498"/>
    </row>
    <row r="55766" spans="16:16">
      <c r="P55766" s="2498"/>
    </row>
    <row r="55767" spans="16:16">
      <c r="P55767" s="2498"/>
    </row>
    <row r="55768" spans="16:16">
      <c r="P55768" s="2498"/>
    </row>
    <row r="55769" spans="16:16">
      <c r="P55769" s="2498"/>
    </row>
    <row r="55770" spans="16:16">
      <c r="P55770" s="2498"/>
    </row>
    <row r="55771" spans="16:16">
      <c r="P55771" s="2498"/>
    </row>
    <row r="55772" spans="16:16">
      <c r="P55772" s="2498"/>
    </row>
    <row r="55773" spans="16:16">
      <c r="P55773" s="2498"/>
    </row>
    <row r="55774" spans="16:16">
      <c r="P55774" s="2498"/>
    </row>
    <row r="55775" spans="16:16">
      <c r="P55775" s="2498"/>
    </row>
    <row r="55776" spans="16:16">
      <c r="P55776" s="2498"/>
    </row>
    <row r="55777" spans="16:16">
      <c r="P55777" s="2498"/>
    </row>
    <row r="55778" spans="16:16">
      <c r="P55778" s="2498"/>
    </row>
    <row r="55779" spans="16:16">
      <c r="P55779" s="2498"/>
    </row>
    <row r="55780" spans="16:16">
      <c r="P55780" s="2498"/>
    </row>
    <row r="55781" spans="16:16">
      <c r="P55781" s="2498"/>
    </row>
    <row r="55782" spans="16:16">
      <c r="P55782" s="2498"/>
    </row>
    <row r="55783" spans="16:16">
      <c r="P55783" s="2498"/>
    </row>
    <row r="55784" spans="16:16">
      <c r="P55784" s="2498"/>
    </row>
    <row r="55785" spans="16:16">
      <c r="P55785" s="2498"/>
    </row>
    <row r="55786" spans="16:16">
      <c r="P55786" s="2498"/>
    </row>
    <row r="55787" spans="16:16">
      <c r="P55787" s="2498"/>
    </row>
    <row r="55788" spans="16:16">
      <c r="P55788" s="2498"/>
    </row>
    <row r="55789" spans="16:16">
      <c r="P55789" s="2498"/>
    </row>
    <row r="55790" spans="16:16">
      <c r="P55790" s="2498"/>
    </row>
    <row r="55791" spans="16:16">
      <c r="P55791" s="2498"/>
    </row>
    <row r="55792" spans="16:16">
      <c r="P55792" s="2498"/>
    </row>
    <row r="55793" spans="16:16">
      <c r="P55793" s="2498"/>
    </row>
    <row r="55794" spans="16:16">
      <c r="P55794" s="2498"/>
    </row>
    <row r="55795" spans="16:16">
      <c r="P55795" s="2498"/>
    </row>
    <row r="55796" spans="16:16">
      <c r="P55796" s="2498"/>
    </row>
    <row r="55797" spans="16:16">
      <c r="P55797" s="2498"/>
    </row>
    <row r="55798" spans="16:16">
      <c r="P55798" s="2498"/>
    </row>
    <row r="55799" spans="16:16">
      <c r="P55799" s="2498"/>
    </row>
    <row r="55800" spans="16:16">
      <c r="P55800" s="2498"/>
    </row>
    <row r="55801" spans="16:16">
      <c r="P55801" s="2498"/>
    </row>
    <row r="55802" spans="16:16">
      <c r="P55802" s="2498"/>
    </row>
    <row r="55803" spans="16:16">
      <c r="P55803" s="2498"/>
    </row>
    <row r="55804" spans="16:16">
      <c r="P55804" s="2498"/>
    </row>
    <row r="55805" spans="16:16">
      <c r="P55805" s="2498"/>
    </row>
    <row r="55806" spans="16:16">
      <c r="P55806" s="2498"/>
    </row>
    <row r="55807" spans="16:16">
      <c r="P55807" s="2498"/>
    </row>
    <row r="55808" spans="16:16">
      <c r="P55808" s="2498"/>
    </row>
    <row r="55809" spans="16:16">
      <c r="P55809" s="2498"/>
    </row>
    <row r="55810" spans="16:16">
      <c r="P55810" s="2498"/>
    </row>
    <row r="55811" spans="16:16">
      <c r="P55811" s="2498"/>
    </row>
    <row r="55812" spans="16:16">
      <c r="P55812" s="2498"/>
    </row>
    <row r="55813" spans="16:16">
      <c r="P55813" s="2498"/>
    </row>
    <row r="55814" spans="16:16">
      <c r="P55814" s="2498"/>
    </row>
    <row r="55815" spans="16:16">
      <c r="P55815" s="2498"/>
    </row>
    <row r="55816" spans="16:16">
      <c r="P55816" s="2498"/>
    </row>
    <row r="55817" spans="16:16">
      <c r="P55817" s="2498"/>
    </row>
    <row r="55818" spans="16:16">
      <c r="P55818" s="2498"/>
    </row>
    <row r="55819" spans="16:16">
      <c r="P55819" s="2498"/>
    </row>
    <row r="55820" spans="16:16">
      <c r="P55820" s="2498"/>
    </row>
    <row r="55821" spans="16:16">
      <c r="P55821" s="2498"/>
    </row>
    <row r="55822" spans="16:16">
      <c r="P55822" s="2498"/>
    </row>
    <row r="55823" spans="16:16">
      <c r="P55823" s="2498"/>
    </row>
    <row r="55824" spans="16:16">
      <c r="P55824" s="2498"/>
    </row>
    <row r="55825" spans="16:16">
      <c r="P55825" s="2498"/>
    </row>
    <row r="55826" spans="16:16">
      <c r="P55826" s="2498"/>
    </row>
    <row r="55827" spans="16:16">
      <c r="P55827" s="2498"/>
    </row>
    <row r="55828" spans="16:16">
      <c r="P55828" s="2498"/>
    </row>
    <row r="55829" spans="16:16">
      <c r="P55829" s="2498"/>
    </row>
    <row r="55830" spans="16:16">
      <c r="P55830" s="2498"/>
    </row>
    <row r="55831" spans="16:16">
      <c r="P55831" s="2498"/>
    </row>
    <row r="55832" spans="16:16">
      <c r="P55832" s="2498"/>
    </row>
    <row r="55833" spans="16:16">
      <c r="P55833" s="2498"/>
    </row>
    <row r="55834" spans="16:16">
      <c r="P55834" s="2498"/>
    </row>
    <row r="55835" spans="16:16">
      <c r="P55835" s="2498"/>
    </row>
    <row r="55836" spans="16:16">
      <c r="P55836" s="2498"/>
    </row>
    <row r="55837" spans="16:16">
      <c r="P55837" s="2498"/>
    </row>
    <row r="55838" spans="16:16">
      <c r="P55838" s="2498"/>
    </row>
    <row r="55839" spans="16:16">
      <c r="P55839" s="2498"/>
    </row>
    <row r="55840" spans="16:16">
      <c r="P55840" s="2498"/>
    </row>
    <row r="55841" spans="16:16">
      <c r="P55841" s="2498"/>
    </row>
    <row r="55842" spans="16:16">
      <c r="P55842" s="2498"/>
    </row>
    <row r="55843" spans="16:16">
      <c r="P55843" s="2498"/>
    </row>
    <row r="55844" spans="16:16">
      <c r="P55844" s="2498"/>
    </row>
    <row r="55845" spans="16:16">
      <c r="P55845" s="2498"/>
    </row>
    <row r="55846" spans="16:16">
      <c r="P55846" s="2498"/>
    </row>
    <row r="55847" spans="16:16">
      <c r="P55847" s="2498"/>
    </row>
    <row r="55848" spans="16:16">
      <c r="P55848" s="2498"/>
    </row>
    <row r="55849" spans="16:16">
      <c r="P55849" s="2498"/>
    </row>
    <row r="55850" spans="16:16">
      <c r="P55850" s="2498"/>
    </row>
    <row r="55851" spans="16:16">
      <c r="P55851" s="2498"/>
    </row>
    <row r="55852" spans="16:16">
      <c r="P55852" s="2498"/>
    </row>
    <row r="55853" spans="16:16">
      <c r="P55853" s="2498"/>
    </row>
    <row r="55854" spans="16:16">
      <c r="P55854" s="2498"/>
    </row>
    <row r="55855" spans="16:16">
      <c r="P55855" s="2498"/>
    </row>
    <row r="55856" spans="16:16">
      <c r="P55856" s="2498"/>
    </row>
    <row r="55857" spans="16:16">
      <c r="P55857" s="2498"/>
    </row>
    <row r="55858" spans="16:16">
      <c r="P55858" s="2498"/>
    </row>
    <row r="55859" spans="16:16">
      <c r="P55859" s="2498"/>
    </row>
    <row r="55860" spans="16:16">
      <c r="P55860" s="2498"/>
    </row>
    <row r="55861" spans="16:16">
      <c r="P55861" s="2498"/>
    </row>
    <row r="55862" spans="16:16">
      <c r="P55862" s="2498"/>
    </row>
    <row r="55863" spans="16:16">
      <c r="P55863" s="2498"/>
    </row>
    <row r="55864" spans="16:16">
      <c r="P55864" s="2498"/>
    </row>
    <row r="55865" spans="16:16">
      <c r="P55865" s="2498"/>
    </row>
    <row r="55866" spans="16:16">
      <c r="P55866" s="2498"/>
    </row>
    <row r="55867" spans="16:16">
      <c r="P55867" s="2498"/>
    </row>
    <row r="55868" spans="16:16">
      <c r="P55868" s="2498"/>
    </row>
    <row r="55869" spans="16:16">
      <c r="P55869" s="2498"/>
    </row>
    <row r="55870" spans="16:16">
      <c r="P55870" s="2498"/>
    </row>
    <row r="55871" spans="16:16">
      <c r="P55871" s="2498"/>
    </row>
    <row r="55872" spans="16:16">
      <c r="P55872" s="2498"/>
    </row>
    <row r="55873" spans="16:16">
      <c r="P55873" s="2498"/>
    </row>
    <row r="55874" spans="16:16">
      <c r="P55874" s="2498"/>
    </row>
    <row r="55875" spans="16:16">
      <c r="P55875" s="2498"/>
    </row>
    <row r="55876" spans="16:16">
      <c r="P55876" s="2498"/>
    </row>
    <row r="55877" spans="16:16">
      <c r="P55877" s="2498"/>
    </row>
    <row r="55878" spans="16:16">
      <c r="P55878" s="2498"/>
    </row>
    <row r="55879" spans="16:16">
      <c r="P55879" s="2498"/>
    </row>
    <row r="55880" spans="16:16">
      <c r="P55880" s="2498"/>
    </row>
    <row r="55881" spans="16:16">
      <c r="P55881" s="2498"/>
    </row>
    <row r="55882" spans="16:16">
      <c r="P55882" s="2498"/>
    </row>
    <row r="55883" spans="16:16">
      <c r="P55883" s="2498"/>
    </row>
    <row r="55884" spans="16:16">
      <c r="P55884" s="2498"/>
    </row>
    <row r="55885" spans="16:16">
      <c r="P55885" s="2498"/>
    </row>
    <row r="55886" spans="16:16">
      <c r="P55886" s="2498"/>
    </row>
    <row r="55887" spans="16:16">
      <c r="P55887" s="2498"/>
    </row>
    <row r="55888" spans="16:16">
      <c r="P55888" s="2498"/>
    </row>
    <row r="55889" spans="16:16">
      <c r="P55889" s="2498"/>
    </row>
    <row r="55890" spans="16:16">
      <c r="P55890" s="2498"/>
    </row>
    <row r="55891" spans="16:16">
      <c r="P55891" s="2498"/>
    </row>
    <row r="55892" spans="16:16">
      <c r="P55892" s="2498"/>
    </row>
    <row r="55893" spans="16:16">
      <c r="P55893" s="2498"/>
    </row>
    <row r="55894" spans="16:16">
      <c r="P55894" s="2498"/>
    </row>
    <row r="55895" spans="16:16">
      <c r="P55895" s="2498"/>
    </row>
    <row r="55896" spans="16:16">
      <c r="P55896" s="2498"/>
    </row>
    <row r="55897" spans="16:16">
      <c r="P55897" s="2498"/>
    </row>
    <row r="55898" spans="16:16">
      <c r="P55898" s="2498"/>
    </row>
    <row r="55899" spans="16:16">
      <c r="P55899" s="2498"/>
    </row>
    <row r="55900" spans="16:16">
      <c r="P55900" s="2498"/>
    </row>
    <row r="55901" spans="16:16">
      <c r="P55901" s="2498"/>
    </row>
    <row r="55902" spans="16:16">
      <c r="P55902" s="2498"/>
    </row>
    <row r="55903" spans="16:16">
      <c r="P55903" s="2498"/>
    </row>
    <row r="55904" spans="16:16">
      <c r="P55904" s="2498"/>
    </row>
    <row r="55905" spans="16:16">
      <c r="P55905" s="2498"/>
    </row>
    <row r="55906" spans="16:16">
      <c r="P55906" s="2498"/>
    </row>
    <row r="55907" spans="16:16">
      <c r="P55907" s="2498"/>
    </row>
    <row r="55908" spans="16:16">
      <c r="P55908" s="2498"/>
    </row>
    <row r="55909" spans="16:16">
      <c r="P55909" s="2498"/>
    </row>
    <row r="55910" spans="16:16">
      <c r="P55910" s="2498"/>
    </row>
    <row r="55911" spans="16:16">
      <c r="P55911" s="2498"/>
    </row>
    <row r="55912" spans="16:16">
      <c r="P55912" s="2498"/>
    </row>
    <row r="55913" spans="16:16">
      <c r="P55913" s="2498"/>
    </row>
    <row r="55914" spans="16:16">
      <c r="P55914" s="2498"/>
    </row>
    <row r="55915" spans="16:16">
      <c r="P55915" s="2498"/>
    </row>
    <row r="55916" spans="16:16">
      <c r="P55916" s="2498"/>
    </row>
    <row r="55917" spans="16:16">
      <c r="P55917" s="2498"/>
    </row>
    <row r="55918" spans="16:16">
      <c r="P55918" s="2498"/>
    </row>
    <row r="55919" spans="16:16">
      <c r="P55919" s="2498"/>
    </row>
    <row r="55920" spans="16:16">
      <c r="P55920" s="2498"/>
    </row>
    <row r="55921" spans="16:16">
      <c r="P55921" s="2498"/>
    </row>
    <row r="55922" spans="16:16">
      <c r="P55922" s="2498"/>
    </row>
    <row r="55923" spans="16:16">
      <c r="P55923" s="2498"/>
    </row>
    <row r="55924" spans="16:16">
      <c r="P55924" s="2498"/>
    </row>
    <row r="55925" spans="16:16">
      <c r="P55925" s="2498"/>
    </row>
    <row r="55926" spans="16:16">
      <c r="P55926" s="2498"/>
    </row>
    <row r="55927" spans="16:16">
      <c r="P55927" s="2498"/>
    </row>
    <row r="55928" spans="16:16">
      <c r="P55928" s="2498"/>
    </row>
    <row r="55929" spans="16:16">
      <c r="P55929" s="2498"/>
    </row>
    <row r="55930" spans="16:16">
      <c r="P55930" s="2498"/>
    </row>
    <row r="55931" spans="16:16">
      <c r="P55931" s="2498"/>
    </row>
    <row r="55932" spans="16:16">
      <c r="P55932" s="2498"/>
    </row>
    <row r="55933" spans="16:16">
      <c r="P55933" s="2498"/>
    </row>
    <row r="55934" spans="16:16">
      <c r="P55934" s="2498"/>
    </row>
    <row r="55935" spans="16:16">
      <c r="P55935" s="2498"/>
    </row>
    <row r="55936" spans="16:16">
      <c r="P55936" s="2498"/>
    </row>
    <row r="55937" spans="16:16">
      <c r="P55937" s="2498"/>
    </row>
    <row r="55938" spans="16:16">
      <c r="P55938" s="2498"/>
    </row>
    <row r="55939" spans="16:16">
      <c r="P55939" s="2498"/>
    </row>
    <row r="55940" spans="16:16">
      <c r="P55940" s="2498"/>
    </row>
    <row r="55941" spans="16:16">
      <c r="P55941" s="2498"/>
    </row>
    <row r="55942" spans="16:16">
      <c r="P55942" s="2498"/>
    </row>
    <row r="55943" spans="16:16">
      <c r="P55943" s="2498"/>
    </row>
    <row r="55944" spans="16:16">
      <c r="P55944" s="2498"/>
    </row>
    <row r="55945" spans="16:16">
      <c r="P55945" s="2498"/>
    </row>
    <row r="55946" spans="16:16">
      <c r="P55946" s="2498"/>
    </row>
    <row r="55947" spans="16:16">
      <c r="P55947" s="2498"/>
    </row>
    <row r="55948" spans="16:16">
      <c r="P55948" s="2498"/>
    </row>
    <row r="55949" spans="16:16">
      <c r="P55949" s="2498"/>
    </row>
    <row r="55950" spans="16:16">
      <c r="P55950" s="2498"/>
    </row>
    <row r="55951" spans="16:16">
      <c r="P55951" s="2498"/>
    </row>
    <row r="55952" spans="16:16">
      <c r="P55952" s="2498"/>
    </row>
    <row r="55953" spans="16:16">
      <c r="P55953" s="2498"/>
    </row>
    <row r="55954" spans="16:16">
      <c r="P55954" s="2498"/>
    </row>
    <row r="55955" spans="16:16">
      <c r="P55955" s="2498"/>
    </row>
    <row r="55956" spans="16:16">
      <c r="P55956" s="2498"/>
    </row>
    <row r="55957" spans="16:16">
      <c r="P55957" s="2498"/>
    </row>
    <row r="55958" spans="16:16">
      <c r="P55958" s="2498"/>
    </row>
    <row r="55959" spans="16:16">
      <c r="P55959" s="2498"/>
    </row>
    <row r="55960" spans="16:16">
      <c r="P55960" s="2498"/>
    </row>
    <row r="55961" spans="16:16">
      <c r="P55961" s="2498"/>
    </row>
    <row r="55962" spans="16:16">
      <c r="P55962" s="2498"/>
    </row>
    <row r="55963" spans="16:16">
      <c r="P55963" s="2498"/>
    </row>
    <row r="55964" spans="16:16">
      <c r="P55964" s="2498"/>
    </row>
    <row r="55965" spans="16:16">
      <c r="P55965" s="2498"/>
    </row>
    <row r="55966" spans="16:16">
      <c r="P55966" s="2498"/>
    </row>
    <row r="55967" spans="16:16">
      <c r="P55967" s="2498"/>
    </row>
    <row r="55968" spans="16:16">
      <c r="P55968" s="2498"/>
    </row>
    <row r="55969" spans="16:16">
      <c r="P55969" s="2498"/>
    </row>
    <row r="55970" spans="16:16">
      <c r="P55970" s="2498"/>
    </row>
    <row r="55971" spans="16:16">
      <c r="P55971" s="2498"/>
    </row>
    <row r="55972" spans="16:16">
      <c r="P55972" s="2498"/>
    </row>
    <row r="55973" spans="16:16">
      <c r="P55973" s="2498"/>
    </row>
    <row r="55974" spans="16:16">
      <c r="P55974" s="2498"/>
    </row>
    <row r="55975" spans="16:16">
      <c r="P55975" s="2498"/>
    </row>
    <row r="55976" spans="16:16">
      <c r="P55976" s="2498"/>
    </row>
    <row r="55977" spans="16:16">
      <c r="P55977" s="2498"/>
    </row>
    <row r="55978" spans="16:16">
      <c r="P55978" s="2498"/>
    </row>
    <row r="55979" spans="16:16">
      <c r="P55979" s="2498"/>
    </row>
    <row r="55980" spans="16:16">
      <c r="P55980" s="2498"/>
    </row>
    <row r="55981" spans="16:16">
      <c r="P55981" s="2498"/>
    </row>
    <row r="55982" spans="16:16">
      <c r="P55982" s="2498"/>
    </row>
    <row r="55983" spans="16:16">
      <c r="P55983" s="2498"/>
    </row>
    <row r="55984" spans="16:16">
      <c r="P55984" s="2498"/>
    </row>
    <row r="55985" spans="16:16">
      <c r="P55985" s="2498"/>
    </row>
    <row r="55986" spans="16:16">
      <c r="P55986" s="2498"/>
    </row>
    <row r="55987" spans="16:16">
      <c r="P55987" s="2498"/>
    </row>
    <row r="55988" spans="16:16">
      <c r="P55988" s="2498"/>
    </row>
    <row r="55989" spans="16:16">
      <c r="P55989" s="2498"/>
    </row>
    <row r="55990" spans="16:16">
      <c r="P55990" s="2498"/>
    </row>
    <row r="55991" spans="16:16">
      <c r="P55991" s="2498"/>
    </row>
    <row r="55992" spans="16:16">
      <c r="P55992" s="2498"/>
    </row>
    <row r="55993" spans="16:16">
      <c r="P55993" s="2498"/>
    </row>
    <row r="55994" spans="16:16">
      <c r="P55994" s="2498"/>
    </row>
    <row r="55995" spans="16:16">
      <c r="P55995" s="2498"/>
    </row>
    <row r="55996" spans="16:16">
      <c r="P55996" s="2498"/>
    </row>
    <row r="55997" spans="16:16">
      <c r="P55997" s="2498"/>
    </row>
    <row r="55998" spans="16:16">
      <c r="P55998" s="2498"/>
    </row>
    <row r="55999" spans="16:16">
      <c r="P55999" s="2498"/>
    </row>
    <row r="56000" spans="16:16">
      <c r="P56000" s="2498"/>
    </row>
    <row r="56001" spans="16:16">
      <c r="P56001" s="2498"/>
    </row>
    <row r="56002" spans="16:16">
      <c r="P56002" s="2498"/>
    </row>
    <row r="56003" spans="16:16">
      <c r="P56003" s="2498"/>
    </row>
    <row r="56004" spans="16:16">
      <c r="P56004" s="2498"/>
    </row>
    <row r="56005" spans="16:16">
      <c r="P56005" s="2498"/>
    </row>
    <row r="56006" spans="16:16">
      <c r="P56006" s="2498"/>
    </row>
    <row r="56007" spans="16:16">
      <c r="P56007" s="2498"/>
    </row>
    <row r="56008" spans="16:16">
      <c r="P56008" s="2498"/>
    </row>
    <row r="56009" spans="16:16">
      <c r="P56009" s="2498"/>
    </row>
    <row r="56010" spans="16:16">
      <c r="P56010" s="2498"/>
    </row>
    <row r="56011" spans="16:16">
      <c r="P56011" s="2498"/>
    </row>
    <row r="56012" spans="16:16">
      <c r="P56012" s="2498"/>
    </row>
    <row r="56013" spans="16:16">
      <c r="P56013" s="2498"/>
    </row>
    <row r="56014" spans="16:16">
      <c r="P56014" s="2498"/>
    </row>
    <row r="56015" spans="16:16">
      <c r="P56015" s="2498"/>
    </row>
    <row r="56016" spans="16:16">
      <c r="P56016" s="2498"/>
    </row>
    <row r="56017" spans="16:16">
      <c r="P56017" s="2498"/>
    </row>
    <row r="56018" spans="16:16">
      <c r="P56018" s="2498"/>
    </row>
    <row r="56019" spans="16:16">
      <c r="P56019" s="2498"/>
    </row>
    <row r="56020" spans="16:16">
      <c r="P56020" s="2498"/>
    </row>
    <row r="56021" spans="16:16">
      <c r="P56021" s="2498"/>
    </row>
    <row r="56022" spans="16:16">
      <c r="P56022" s="2498"/>
    </row>
    <row r="56023" spans="16:16">
      <c r="P56023" s="2498"/>
    </row>
    <row r="56024" spans="16:16">
      <c r="P56024" s="2498"/>
    </row>
    <row r="56025" spans="16:16">
      <c r="P56025" s="2498"/>
    </row>
    <row r="56026" spans="16:16">
      <c r="P56026" s="2498"/>
    </row>
    <row r="56027" spans="16:16">
      <c r="P56027" s="2498"/>
    </row>
    <row r="56028" spans="16:16">
      <c r="P56028" s="2498"/>
    </row>
    <row r="56029" spans="16:16">
      <c r="P56029" s="2498"/>
    </row>
    <row r="56030" spans="16:16">
      <c r="P56030" s="2498"/>
    </row>
    <row r="56031" spans="16:16">
      <c r="P56031" s="2498"/>
    </row>
    <row r="56032" spans="16:16">
      <c r="P56032" s="2498"/>
    </row>
    <row r="56033" spans="16:16">
      <c r="P56033" s="2498"/>
    </row>
    <row r="56034" spans="16:16">
      <c r="P56034" s="2498"/>
    </row>
    <row r="56035" spans="16:16">
      <c r="P56035" s="2498"/>
    </row>
    <row r="56036" spans="16:16">
      <c r="P56036" s="2498"/>
    </row>
    <row r="56037" spans="16:16">
      <c r="P56037" s="2498"/>
    </row>
    <row r="56038" spans="16:16">
      <c r="P56038" s="2498"/>
    </row>
    <row r="56039" spans="16:16">
      <c r="P56039" s="2498"/>
    </row>
    <row r="56040" spans="16:16">
      <c r="P56040" s="2498"/>
    </row>
    <row r="56041" spans="16:16">
      <c r="P56041" s="2498"/>
    </row>
    <row r="56042" spans="16:16">
      <c r="P56042" s="2498"/>
    </row>
    <row r="56043" spans="16:16">
      <c r="P56043" s="2498"/>
    </row>
    <row r="56044" spans="16:16">
      <c r="P56044" s="2498"/>
    </row>
    <row r="56045" spans="16:16">
      <c r="P56045" s="2498"/>
    </row>
    <row r="56046" spans="16:16">
      <c r="P56046" s="2498"/>
    </row>
    <row r="56047" spans="16:16">
      <c r="P56047" s="2498"/>
    </row>
    <row r="56048" spans="16:16">
      <c r="P56048" s="2498"/>
    </row>
    <row r="56049" spans="16:16">
      <c r="P56049" s="2498"/>
    </row>
    <row r="56050" spans="16:16">
      <c r="P56050" s="2498"/>
    </row>
    <row r="56051" spans="16:16">
      <c r="P56051" s="2498"/>
    </row>
    <row r="56052" spans="16:16">
      <c r="P56052" s="2498"/>
    </row>
    <row r="56053" spans="16:16">
      <c r="P56053" s="2498"/>
    </row>
    <row r="56054" spans="16:16">
      <c r="P56054" s="2498"/>
    </row>
    <row r="56055" spans="16:16">
      <c r="P56055" s="2498"/>
    </row>
    <row r="56056" spans="16:16">
      <c r="P56056" s="2498"/>
    </row>
    <row r="56057" spans="16:16">
      <c r="P56057" s="2498"/>
    </row>
    <row r="56058" spans="16:16">
      <c r="P56058" s="2498"/>
    </row>
    <row r="56059" spans="16:16">
      <c r="P56059" s="2498"/>
    </row>
    <row r="56060" spans="16:16">
      <c r="P56060" s="2498"/>
    </row>
    <row r="56061" spans="16:16">
      <c r="P56061" s="2498"/>
    </row>
    <row r="56062" spans="16:16">
      <c r="P56062" s="2498"/>
    </row>
    <row r="56063" spans="16:16">
      <c r="P56063" s="2498"/>
    </row>
    <row r="56064" spans="16:16">
      <c r="P56064" s="2498"/>
    </row>
    <row r="56065" spans="16:16">
      <c r="P56065" s="2498"/>
    </row>
    <row r="56066" spans="16:16">
      <c r="P56066" s="2498"/>
    </row>
    <row r="56067" spans="16:16">
      <c r="P56067" s="2498"/>
    </row>
    <row r="56068" spans="16:16">
      <c r="P56068" s="2498"/>
    </row>
    <row r="56069" spans="16:16">
      <c r="P56069" s="2498"/>
    </row>
    <row r="56070" spans="16:16">
      <c r="P56070" s="2498"/>
    </row>
    <row r="56071" spans="16:16">
      <c r="P56071" s="2498"/>
    </row>
    <row r="56072" spans="16:16">
      <c r="P56072" s="2498"/>
    </row>
    <row r="56073" spans="16:16">
      <c r="P56073" s="2498"/>
    </row>
    <row r="56074" spans="16:16">
      <c r="P56074" s="2498"/>
    </row>
    <row r="56075" spans="16:16">
      <c r="P56075" s="2498"/>
    </row>
    <row r="56076" spans="16:16">
      <c r="P56076" s="2498"/>
    </row>
    <row r="56077" spans="16:16">
      <c r="P56077" s="2498"/>
    </row>
    <row r="56078" spans="16:16">
      <c r="P56078" s="2498"/>
    </row>
    <row r="56079" spans="16:16">
      <c r="P56079" s="2498"/>
    </row>
    <row r="56080" spans="16:16">
      <c r="P56080" s="2498"/>
    </row>
    <row r="56081" spans="16:16">
      <c r="P56081" s="2498"/>
    </row>
    <row r="56082" spans="16:16">
      <c r="P56082" s="2498"/>
    </row>
    <row r="56083" spans="16:16">
      <c r="P56083" s="2498"/>
    </row>
    <row r="56084" spans="16:16">
      <c r="P56084" s="2498"/>
    </row>
    <row r="56085" spans="16:16">
      <c r="P56085" s="2498"/>
    </row>
    <row r="56086" spans="16:16">
      <c r="P56086" s="2498"/>
    </row>
    <row r="56087" spans="16:16">
      <c r="P56087" s="2498"/>
    </row>
    <row r="56088" spans="16:16">
      <c r="P56088" s="2498"/>
    </row>
    <row r="56089" spans="16:16">
      <c r="P56089" s="2498"/>
    </row>
    <row r="56090" spans="16:16">
      <c r="P56090" s="2498"/>
    </row>
    <row r="56091" spans="16:16">
      <c r="P56091" s="2498"/>
    </row>
    <row r="56092" spans="16:16">
      <c r="P56092" s="2498"/>
    </row>
    <row r="56093" spans="16:16">
      <c r="P56093" s="2498"/>
    </row>
    <row r="56094" spans="16:16">
      <c r="P56094" s="2498"/>
    </row>
    <row r="56095" spans="16:16">
      <c r="P56095" s="2498"/>
    </row>
    <row r="56096" spans="16:16">
      <c r="P56096" s="2498"/>
    </row>
    <row r="56097" spans="16:16">
      <c r="P56097" s="2498"/>
    </row>
    <row r="56098" spans="16:16">
      <c r="P56098" s="2498"/>
    </row>
    <row r="56099" spans="16:16">
      <c r="P56099" s="2498"/>
    </row>
    <row r="56100" spans="16:16">
      <c r="P56100" s="2498"/>
    </row>
    <row r="56101" spans="16:16">
      <c r="P56101" s="2498"/>
    </row>
    <row r="56102" spans="16:16">
      <c r="P56102" s="2498"/>
    </row>
    <row r="56103" spans="16:16">
      <c r="P56103" s="2498"/>
    </row>
    <row r="56104" spans="16:16">
      <c r="P56104" s="2498"/>
    </row>
    <row r="56105" spans="16:16">
      <c r="P56105" s="2498"/>
    </row>
    <row r="56106" spans="16:16">
      <c r="P56106" s="2498"/>
    </row>
    <row r="56107" spans="16:16">
      <c r="P56107" s="2498"/>
    </row>
    <row r="56108" spans="16:16">
      <c r="P56108" s="2498"/>
    </row>
    <row r="56109" spans="16:16">
      <c r="P56109" s="2498"/>
    </row>
    <row r="56110" spans="16:16">
      <c r="P56110" s="2498"/>
    </row>
    <row r="56111" spans="16:16">
      <c r="P56111" s="2498"/>
    </row>
    <row r="56112" spans="16:16">
      <c r="P56112" s="2498"/>
    </row>
    <row r="56113" spans="16:16">
      <c r="P56113" s="2498"/>
    </row>
    <row r="56114" spans="16:16">
      <c r="P56114" s="2498"/>
    </row>
    <row r="56115" spans="16:16">
      <c r="P56115" s="2498"/>
    </row>
    <row r="56116" spans="16:16">
      <c r="P56116" s="2498"/>
    </row>
    <row r="56117" spans="16:16">
      <c r="P56117" s="2498"/>
    </row>
    <row r="56118" spans="16:16">
      <c r="P56118" s="2498"/>
    </row>
    <row r="56119" spans="16:16">
      <c r="P56119" s="2498"/>
    </row>
    <row r="56120" spans="16:16">
      <c r="P56120" s="2498"/>
    </row>
    <row r="56121" spans="16:16">
      <c r="P56121" s="2498"/>
    </row>
    <row r="56122" spans="16:16">
      <c r="P56122" s="2498"/>
    </row>
    <row r="56123" spans="16:16">
      <c r="P56123" s="2498"/>
    </row>
    <row r="56124" spans="16:16">
      <c r="P56124" s="2498"/>
    </row>
    <row r="56125" spans="16:16">
      <c r="P56125" s="2498"/>
    </row>
    <row r="56126" spans="16:16">
      <c r="P56126" s="2498"/>
    </row>
    <row r="56127" spans="16:16">
      <c r="P56127" s="2498"/>
    </row>
    <row r="56128" spans="16:16">
      <c r="P56128" s="2498"/>
    </row>
    <row r="56129" spans="16:16">
      <c r="P56129" s="2498"/>
    </row>
    <row r="56130" spans="16:16">
      <c r="P56130" s="2498"/>
    </row>
    <row r="56131" spans="16:16">
      <c r="P56131" s="2498"/>
    </row>
    <row r="56132" spans="16:16">
      <c r="P56132" s="2498"/>
    </row>
    <row r="56133" spans="16:16">
      <c r="P56133" s="2498"/>
    </row>
    <row r="56134" spans="16:16">
      <c r="P56134" s="2498"/>
    </row>
    <row r="56135" spans="16:16">
      <c r="P56135" s="2498"/>
    </row>
    <row r="56136" spans="16:16">
      <c r="P56136" s="2498"/>
    </row>
    <row r="56137" spans="16:16">
      <c r="P56137" s="2498"/>
    </row>
    <row r="56138" spans="16:16">
      <c r="P56138" s="2498"/>
    </row>
    <row r="56139" spans="16:16">
      <c r="P56139" s="2498"/>
    </row>
    <row r="56140" spans="16:16">
      <c r="P56140" s="2498"/>
    </row>
    <row r="56141" spans="16:16">
      <c r="P56141" s="2498"/>
    </row>
    <row r="56142" spans="16:16">
      <c r="P56142" s="2498"/>
    </row>
    <row r="56143" spans="16:16">
      <c r="P56143" s="2498"/>
    </row>
    <row r="56144" spans="16:16">
      <c r="P56144" s="2498"/>
    </row>
    <row r="56145" spans="16:16">
      <c r="P56145" s="2498"/>
    </row>
    <row r="56146" spans="16:16">
      <c r="P56146" s="2498"/>
    </row>
    <row r="56147" spans="16:16">
      <c r="P56147" s="2498"/>
    </row>
    <row r="56148" spans="16:16">
      <c r="P56148" s="2498"/>
    </row>
    <row r="56149" spans="16:16">
      <c r="P56149" s="2498"/>
    </row>
    <row r="56150" spans="16:16">
      <c r="P56150" s="2498"/>
    </row>
    <row r="56151" spans="16:16">
      <c r="P56151" s="2498"/>
    </row>
    <row r="56152" spans="16:16">
      <c r="P56152" s="2498"/>
    </row>
    <row r="56153" spans="16:16">
      <c r="P56153" s="2498"/>
    </row>
    <row r="56154" spans="16:16">
      <c r="P56154" s="2498"/>
    </row>
    <row r="56155" spans="16:16">
      <c r="P56155" s="2498"/>
    </row>
    <row r="56156" spans="16:16">
      <c r="P56156" s="2498"/>
    </row>
    <row r="56157" spans="16:16">
      <c r="P56157" s="2498"/>
    </row>
    <row r="56158" spans="16:16">
      <c r="P56158" s="2498"/>
    </row>
    <row r="56159" spans="16:16">
      <c r="P56159" s="2498"/>
    </row>
    <row r="56160" spans="16:16">
      <c r="P56160" s="2498"/>
    </row>
    <row r="56161" spans="16:16">
      <c r="P56161" s="2498"/>
    </row>
    <row r="56162" spans="16:16">
      <c r="P56162" s="2498"/>
    </row>
    <row r="56163" spans="16:16">
      <c r="P56163" s="2498"/>
    </row>
    <row r="56164" spans="16:16">
      <c r="P56164" s="2498"/>
    </row>
    <row r="56165" spans="16:16">
      <c r="P56165" s="2498"/>
    </row>
    <row r="56166" spans="16:16">
      <c r="P56166" s="2498"/>
    </row>
    <row r="56167" spans="16:16">
      <c r="P56167" s="2498"/>
    </row>
    <row r="56168" spans="16:16">
      <c r="P56168" s="2498"/>
    </row>
    <row r="56169" spans="16:16">
      <c r="P56169" s="2498"/>
    </row>
    <row r="56170" spans="16:16">
      <c r="P56170" s="2498"/>
    </row>
    <row r="56171" spans="16:16">
      <c r="P56171" s="2498"/>
    </row>
    <row r="56172" spans="16:16">
      <c r="P56172" s="2498"/>
    </row>
    <row r="56173" spans="16:16">
      <c r="P56173" s="2498"/>
    </row>
    <row r="56174" spans="16:16">
      <c r="P56174" s="2498"/>
    </row>
    <row r="56175" spans="16:16">
      <c r="P56175" s="2498"/>
    </row>
    <row r="56176" spans="16:16">
      <c r="P56176" s="2498"/>
    </row>
    <row r="56177" spans="16:16">
      <c r="P56177" s="2498"/>
    </row>
    <row r="56178" spans="16:16">
      <c r="P56178" s="2498"/>
    </row>
    <row r="56179" spans="16:16">
      <c r="P56179" s="2498"/>
    </row>
    <row r="56180" spans="16:16">
      <c r="P56180" s="2498"/>
    </row>
    <row r="56181" spans="16:16">
      <c r="P56181" s="2498"/>
    </row>
    <row r="56182" spans="16:16">
      <c r="P56182" s="2498"/>
    </row>
    <row r="56183" spans="16:16">
      <c r="P56183" s="2498"/>
    </row>
    <row r="56184" spans="16:16">
      <c r="P56184" s="2498"/>
    </row>
    <row r="56185" spans="16:16">
      <c r="P56185" s="2498"/>
    </row>
    <row r="56186" spans="16:16">
      <c r="P56186" s="2498"/>
    </row>
    <row r="56187" spans="16:16">
      <c r="P56187" s="2498"/>
    </row>
    <row r="56188" spans="16:16">
      <c r="P56188" s="2498"/>
    </row>
    <row r="56189" spans="16:16">
      <c r="P56189" s="2498"/>
    </row>
    <row r="56190" spans="16:16">
      <c r="P56190" s="2498"/>
    </row>
    <row r="56191" spans="16:16">
      <c r="P56191" s="2498"/>
    </row>
    <row r="56192" spans="16:16">
      <c r="P56192" s="2498"/>
    </row>
    <row r="56193" spans="16:16">
      <c r="P56193" s="2498"/>
    </row>
    <row r="56194" spans="16:16">
      <c r="P56194" s="2498"/>
    </row>
    <row r="56195" spans="16:16">
      <c r="P56195" s="2498"/>
    </row>
    <row r="56196" spans="16:16">
      <c r="P56196" s="2498"/>
    </row>
    <row r="56197" spans="16:16">
      <c r="P56197" s="2498"/>
    </row>
    <row r="56198" spans="16:16">
      <c r="P56198" s="2498"/>
    </row>
    <row r="56199" spans="16:16">
      <c r="P56199" s="2498"/>
    </row>
    <row r="56200" spans="16:16">
      <c r="P56200" s="2498"/>
    </row>
    <row r="56201" spans="16:16">
      <c r="P56201" s="2498"/>
    </row>
    <row r="56202" spans="16:16">
      <c r="P56202" s="2498"/>
    </row>
    <row r="56203" spans="16:16">
      <c r="P56203" s="2498"/>
    </row>
    <row r="56204" spans="16:16">
      <c r="P56204" s="2498"/>
    </row>
    <row r="56205" spans="16:16">
      <c r="P56205" s="2498"/>
    </row>
    <row r="56206" spans="16:16">
      <c r="P56206" s="2498"/>
    </row>
    <row r="56207" spans="16:16">
      <c r="P56207" s="2498"/>
    </row>
    <row r="56208" spans="16:16">
      <c r="P56208" s="2498"/>
    </row>
    <row r="56209" spans="16:16">
      <c r="P56209" s="2498"/>
    </row>
    <row r="56210" spans="16:16">
      <c r="P56210" s="2498"/>
    </row>
    <row r="56211" spans="16:16">
      <c r="P56211" s="2498"/>
    </row>
    <row r="56212" spans="16:16">
      <c r="P56212" s="2498"/>
    </row>
    <row r="56213" spans="16:16">
      <c r="P56213" s="2498"/>
    </row>
    <row r="56214" spans="16:16">
      <c r="P56214" s="2498"/>
    </row>
    <row r="56215" spans="16:16">
      <c r="P56215" s="2498"/>
    </row>
    <row r="56216" spans="16:16">
      <c r="P56216" s="2498"/>
    </row>
    <row r="56217" spans="16:16">
      <c r="P56217" s="2498"/>
    </row>
    <row r="56218" spans="16:16">
      <c r="P56218" s="2498"/>
    </row>
    <row r="56219" spans="16:16">
      <c r="P56219" s="2498"/>
    </row>
    <row r="56220" spans="16:16">
      <c r="P56220" s="2498"/>
    </row>
    <row r="56221" spans="16:16">
      <c r="P56221" s="2498"/>
    </row>
    <row r="56222" spans="16:16">
      <c r="P56222" s="2498"/>
    </row>
    <row r="56223" spans="16:16">
      <c r="P56223" s="2498"/>
    </row>
    <row r="56224" spans="16:16">
      <c r="P56224" s="2498"/>
    </row>
    <row r="56225" spans="16:16">
      <c r="P56225" s="2498"/>
    </row>
    <row r="56226" spans="16:16">
      <c r="P56226" s="2498"/>
    </row>
    <row r="56227" spans="16:16">
      <c r="P56227" s="2498"/>
    </row>
    <row r="56228" spans="16:16">
      <c r="P56228" s="2498"/>
    </row>
    <row r="56229" spans="16:16">
      <c r="P56229" s="2498"/>
    </row>
    <row r="56230" spans="16:16">
      <c r="P56230" s="2498"/>
    </row>
    <row r="56231" spans="16:16">
      <c r="P56231" s="2498"/>
    </row>
    <row r="56232" spans="16:16">
      <c r="P56232" s="2498"/>
    </row>
    <row r="56233" spans="16:16">
      <c r="P56233" s="2498"/>
    </row>
    <row r="56234" spans="16:16">
      <c r="P56234" s="2498"/>
    </row>
    <row r="56235" spans="16:16">
      <c r="P56235" s="2498"/>
    </row>
    <row r="56236" spans="16:16">
      <c r="P56236" s="2498"/>
    </row>
    <row r="56237" spans="16:16">
      <c r="P56237" s="2498"/>
    </row>
    <row r="56238" spans="16:16">
      <c r="P56238" s="2498"/>
    </row>
    <row r="56239" spans="16:16">
      <c r="P56239" s="2498"/>
    </row>
    <row r="56240" spans="16:16">
      <c r="P56240" s="2498"/>
    </row>
    <row r="56241" spans="16:16">
      <c r="P56241" s="2498"/>
    </row>
    <row r="56242" spans="16:16">
      <c r="P56242" s="2498"/>
    </row>
    <row r="56243" spans="16:16">
      <c r="P56243" s="2498"/>
    </row>
    <row r="56244" spans="16:16">
      <c r="P56244" s="2498"/>
    </row>
    <row r="56245" spans="16:16">
      <c r="P56245" s="2498"/>
    </row>
    <row r="56246" spans="16:16">
      <c r="P56246" s="2498"/>
    </row>
    <row r="56247" spans="16:16">
      <c r="P56247" s="2498"/>
    </row>
    <row r="56248" spans="16:16">
      <c r="P56248" s="2498"/>
    </row>
    <row r="56249" spans="16:16">
      <c r="P56249" s="2498"/>
    </row>
    <row r="56250" spans="16:16">
      <c r="P56250" s="2498"/>
    </row>
    <row r="56251" spans="16:16">
      <c r="P56251" s="2498"/>
    </row>
    <row r="56252" spans="16:16">
      <c r="P56252" s="2498"/>
    </row>
    <row r="56253" spans="16:16">
      <c r="P56253" s="2498"/>
    </row>
    <row r="56254" spans="16:16">
      <c r="P56254" s="2498"/>
    </row>
    <row r="56255" spans="16:16">
      <c r="P56255" s="2498"/>
    </row>
    <row r="56256" spans="16:16">
      <c r="P56256" s="2498"/>
    </row>
    <row r="56257" spans="16:16">
      <c r="P56257" s="2498"/>
    </row>
    <row r="56258" spans="16:16">
      <c r="P56258" s="2498"/>
    </row>
    <row r="56259" spans="16:16">
      <c r="P56259" s="2498"/>
    </row>
    <row r="56260" spans="16:16">
      <c r="P56260" s="2498"/>
    </row>
    <row r="56261" spans="16:16">
      <c r="P56261" s="2498"/>
    </row>
    <row r="56262" spans="16:16">
      <c r="P56262" s="2498"/>
    </row>
    <row r="56263" spans="16:16">
      <c r="P56263" s="2498"/>
    </row>
    <row r="56264" spans="16:16">
      <c r="P56264" s="2498"/>
    </row>
    <row r="56265" spans="16:16">
      <c r="P56265" s="2498"/>
    </row>
    <row r="56266" spans="16:16">
      <c r="P56266" s="2498"/>
    </row>
    <row r="56267" spans="16:16">
      <c r="P56267" s="2498"/>
    </row>
    <row r="56268" spans="16:16">
      <c r="P56268" s="2498"/>
    </row>
    <row r="56269" spans="16:16">
      <c r="P56269" s="2498"/>
    </row>
    <row r="56270" spans="16:16">
      <c r="P56270" s="2498"/>
    </row>
    <row r="56271" spans="16:16">
      <c r="P56271" s="2498"/>
    </row>
    <row r="56272" spans="16:16">
      <c r="P56272" s="2498"/>
    </row>
    <row r="56273" spans="16:16">
      <c r="P56273" s="2498"/>
    </row>
    <row r="56274" spans="16:16">
      <c r="P56274" s="2498"/>
    </row>
    <row r="56275" spans="16:16">
      <c r="P56275" s="2498"/>
    </row>
    <row r="56276" spans="16:16">
      <c r="P56276" s="2498"/>
    </row>
    <row r="56277" spans="16:16">
      <c r="P56277" s="2498"/>
    </row>
    <row r="56278" spans="16:16">
      <c r="P56278" s="2498"/>
    </row>
    <row r="56279" spans="16:16">
      <c r="P56279" s="2498"/>
    </row>
    <row r="56280" spans="16:16">
      <c r="P56280" s="2498"/>
    </row>
    <row r="56281" spans="16:16">
      <c r="P56281" s="2498"/>
    </row>
    <row r="56282" spans="16:16">
      <c r="P56282" s="2498"/>
    </row>
    <row r="56283" spans="16:16">
      <c r="P56283" s="2498"/>
    </row>
    <row r="56284" spans="16:16">
      <c r="P56284" s="2498"/>
    </row>
    <row r="56285" spans="16:16">
      <c r="P56285" s="2498"/>
    </row>
    <row r="56286" spans="16:16">
      <c r="P56286" s="2498"/>
    </row>
    <row r="56287" spans="16:16">
      <c r="P56287" s="2498"/>
    </row>
    <row r="56288" spans="16:16">
      <c r="P56288" s="2498"/>
    </row>
    <row r="56289" spans="16:16">
      <c r="P56289" s="2498"/>
    </row>
    <row r="56290" spans="16:16">
      <c r="P56290" s="2498"/>
    </row>
    <row r="56291" spans="16:16">
      <c r="P56291" s="2498"/>
    </row>
    <row r="56292" spans="16:16">
      <c r="P56292" s="2498"/>
    </row>
    <row r="56293" spans="16:16">
      <c r="P56293" s="2498"/>
    </row>
    <row r="56294" spans="16:16">
      <c r="P56294" s="2498"/>
    </row>
    <row r="56295" spans="16:16">
      <c r="P56295" s="2498"/>
    </row>
    <row r="56296" spans="16:16">
      <c r="P56296" s="2498"/>
    </row>
    <row r="56297" spans="16:16">
      <c r="P56297" s="2498"/>
    </row>
    <row r="56298" spans="16:16">
      <c r="P56298" s="2498"/>
    </row>
    <row r="56299" spans="16:16">
      <c r="P56299" s="2498"/>
    </row>
    <row r="56300" spans="16:16">
      <c r="P56300" s="2498"/>
    </row>
    <row r="56301" spans="16:16">
      <c r="P56301" s="2498"/>
    </row>
    <row r="56302" spans="16:16">
      <c r="P56302" s="2498"/>
    </row>
    <row r="56303" spans="16:16">
      <c r="P56303" s="2498"/>
    </row>
    <row r="56304" spans="16:16">
      <c r="P56304" s="2498"/>
    </row>
    <row r="56305" spans="16:16">
      <c r="P56305" s="2498"/>
    </row>
    <row r="56306" spans="16:16">
      <c r="P56306" s="2498"/>
    </row>
    <row r="56307" spans="16:16">
      <c r="P56307" s="2498"/>
    </row>
    <row r="56308" spans="16:16">
      <c r="P56308" s="2498"/>
    </row>
    <row r="56309" spans="16:16">
      <c r="P56309" s="2498"/>
    </row>
    <row r="56310" spans="16:16">
      <c r="P56310" s="2498"/>
    </row>
    <row r="56311" spans="16:16">
      <c r="P56311" s="2498"/>
    </row>
    <row r="56312" spans="16:16">
      <c r="P56312" s="2498"/>
    </row>
    <row r="56313" spans="16:16">
      <c r="P56313" s="2498"/>
    </row>
    <row r="56314" spans="16:16">
      <c r="P56314" s="2498"/>
    </row>
    <row r="56315" spans="16:16">
      <c r="P56315" s="2498"/>
    </row>
    <row r="56316" spans="16:16">
      <c r="P56316" s="2498"/>
    </row>
    <row r="56317" spans="16:16">
      <c r="P56317" s="2498"/>
    </row>
    <row r="56318" spans="16:16">
      <c r="P56318" s="2498"/>
    </row>
    <row r="56319" spans="16:16">
      <c r="P56319" s="2498"/>
    </row>
    <row r="56320" spans="16:16">
      <c r="P56320" s="2498"/>
    </row>
    <row r="56321" spans="16:16">
      <c r="P56321" s="2498"/>
    </row>
    <row r="56322" spans="16:16">
      <c r="P56322" s="2498"/>
    </row>
    <row r="56323" spans="16:16">
      <c r="P56323" s="2498"/>
    </row>
    <row r="56324" spans="16:16">
      <c r="P56324" s="2498"/>
    </row>
    <row r="56325" spans="16:16">
      <c r="P56325" s="2498"/>
    </row>
    <row r="56326" spans="16:16">
      <c r="P56326" s="2498"/>
    </row>
    <row r="56327" spans="16:16">
      <c r="P56327" s="2498"/>
    </row>
    <row r="56328" spans="16:16">
      <c r="P56328" s="2498"/>
    </row>
    <row r="56329" spans="16:16">
      <c r="P56329" s="2498"/>
    </row>
    <row r="56330" spans="16:16">
      <c r="P56330" s="2498"/>
    </row>
    <row r="56331" spans="16:16">
      <c r="P56331" s="2498"/>
    </row>
    <row r="56332" spans="16:16">
      <c r="P56332" s="2498"/>
    </row>
    <row r="56333" spans="16:16">
      <c r="P56333" s="2498"/>
    </row>
    <row r="56334" spans="16:16">
      <c r="P56334" s="2498"/>
    </row>
    <row r="56335" spans="16:16">
      <c r="P56335" s="2498"/>
    </row>
    <row r="56336" spans="16:16">
      <c r="P56336" s="2498"/>
    </row>
    <row r="56337" spans="16:16">
      <c r="P56337" s="2498"/>
    </row>
    <row r="56338" spans="16:16">
      <c r="P56338" s="2498"/>
    </row>
    <row r="56339" spans="16:16">
      <c r="P56339" s="2498"/>
    </row>
    <row r="56340" spans="16:16">
      <c r="P56340" s="2498"/>
    </row>
    <row r="56341" spans="16:16">
      <c r="P56341" s="2498"/>
    </row>
    <row r="56342" spans="16:16">
      <c r="P56342" s="2498"/>
    </row>
    <row r="56343" spans="16:16">
      <c r="P56343" s="2498"/>
    </row>
    <row r="56344" spans="16:16">
      <c r="P56344" s="2498"/>
    </row>
    <row r="56345" spans="16:16">
      <c r="P56345" s="2498"/>
    </row>
    <row r="56346" spans="16:16">
      <c r="P56346" s="2498"/>
    </row>
    <row r="56347" spans="16:16">
      <c r="P56347" s="2498"/>
    </row>
    <row r="56348" spans="16:16">
      <c r="P56348" s="2498"/>
    </row>
    <row r="56349" spans="16:16">
      <c r="P56349" s="2498"/>
    </row>
    <row r="56350" spans="16:16">
      <c r="P56350" s="2498"/>
    </row>
    <row r="56351" spans="16:16">
      <c r="P56351" s="2498"/>
    </row>
    <row r="56352" spans="16:16">
      <c r="P56352" s="2498"/>
    </row>
    <row r="56353" spans="16:16">
      <c r="P56353" s="2498"/>
    </row>
    <row r="56354" spans="16:16">
      <c r="P56354" s="2498"/>
    </row>
    <row r="56355" spans="16:16">
      <c r="P56355" s="2498"/>
    </row>
    <row r="56356" spans="16:16">
      <c r="P56356" s="2498"/>
    </row>
    <row r="56357" spans="16:16">
      <c r="P56357" s="2498"/>
    </row>
    <row r="56358" spans="16:16">
      <c r="P56358" s="2498"/>
    </row>
    <row r="56359" spans="16:16">
      <c r="P56359" s="2498"/>
    </row>
    <row r="56360" spans="16:16">
      <c r="P56360" s="2498"/>
    </row>
    <row r="56361" spans="16:16">
      <c r="P56361" s="2498"/>
    </row>
    <row r="56362" spans="16:16">
      <c r="P56362" s="2498"/>
    </row>
    <row r="56363" spans="16:16">
      <c r="P56363" s="2498"/>
    </row>
    <row r="56364" spans="16:16">
      <c r="P56364" s="2498"/>
    </row>
    <row r="56365" spans="16:16">
      <c r="P56365" s="2498"/>
    </row>
    <row r="56366" spans="16:16">
      <c r="P56366" s="2498"/>
    </row>
    <row r="56367" spans="16:16">
      <c r="P56367" s="2498"/>
    </row>
    <row r="56368" spans="16:16">
      <c r="P56368" s="2498"/>
    </row>
    <row r="56369" spans="16:16">
      <c r="P56369" s="2498"/>
    </row>
    <row r="56370" spans="16:16">
      <c r="P56370" s="2498"/>
    </row>
    <row r="56371" spans="16:16">
      <c r="P56371" s="2498"/>
    </row>
    <row r="56372" spans="16:16">
      <c r="P56372" s="2498"/>
    </row>
    <row r="56373" spans="16:16">
      <c r="P56373" s="2498"/>
    </row>
    <row r="56374" spans="16:16">
      <c r="P56374" s="2498"/>
    </row>
    <row r="56375" spans="16:16">
      <c r="P56375" s="2498"/>
    </row>
    <row r="56376" spans="16:16">
      <c r="P56376" s="2498"/>
    </row>
    <row r="56377" spans="16:16">
      <c r="P56377" s="2498"/>
    </row>
    <row r="56378" spans="16:16">
      <c r="P56378" s="2498"/>
    </row>
    <row r="56379" spans="16:16">
      <c r="P56379" s="2498"/>
    </row>
    <row r="56380" spans="16:16">
      <c r="P56380" s="2498"/>
    </row>
    <row r="56381" spans="16:16">
      <c r="P56381" s="2498"/>
    </row>
    <row r="56382" spans="16:16">
      <c r="P56382" s="2498"/>
    </row>
    <row r="56383" spans="16:16">
      <c r="P56383" s="2498"/>
    </row>
    <row r="56384" spans="16:16">
      <c r="P56384" s="2498"/>
    </row>
    <row r="56385" spans="16:16">
      <c r="P56385" s="2498"/>
    </row>
    <row r="56386" spans="16:16">
      <c r="P56386" s="2498"/>
    </row>
    <row r="56387" spans="16:16">
      <c r="P56387" s="2498"/>
    </row>
    <row r="56388" spans="16:16">
      <c r="P56388" s="2498"/>
    </row>
    <row r="56389" spans="16:16">
      <c r="P56389" s="2498"/>
    </row>
    <row r="56390" spans="16:16">
      <c r="P56390" s="2498"/>
    </row>
    <row r="56391" spans="16:16">
      <c r="P56391" s="2498"/>
    </row>
    <row r="56392" spans="16:16">
      <c r="P56392" s="2498"/>
    </row>
    <row r="56393" spans="16:16">
      <c r="P56393" s="2498"/>
    </row>
    <row r="56394" spans="16:16">
      <c r="P56394" s="2498"/>
    </row>
    <row r="56395" spans="16:16">
      <c r="P56395" s="2498"/>
    </row>
    <row r="56396" spans="16:16">
      <c r="P56396" s="2498"/>
    </row>
    <row r="56397" spans="16:16">
      <c r="P56397" s="2498"/>
    </row>
    <row r="56398" spans="16:16">
      <c r="P56398" s="2498"/>
    </row>
    <row r="56399" spans="16:16">
      <c r="P56399" s="2498"/>
    </row>
    <row r="56400" spans="16:16">
      <c r="P56400" s="2498"/>
    </row>
    <row r="56401" spans="16:16">
      <c r="P56401" s="2498"/>
    </row>
    <row r="56402" spans="16:16">
      <c r="P56402" s="2498"/>
    </row>
    <row r="56403" spans="16:16">
      <c r="P56403" s="2498"/>
    </row>
    <row r="56404" spans="16:16">
      <c r="P56404" s="2498"/>
    </row>
    <row r="56405" spans="16:16">
      <c r="P56405" s="2498"/>
    </row>
    <row r="56406" spans="16:16">
      <c r="P56406" s="2498"/>
    </row>
    <row r="56407" spans="16:16">
      <c r="P56407" s="2498"/>
    </row>
    <row r="56408" spans="16:16">
      <c r="P56408" s="2498"/>
    </row>
    <row r="56409" spans="16:16">
      <c r="P56409" s="2498"/>
    </row>
    <row r="56410" spans="16:16">
      <c r="P56410" s="2498"/>
    </row>
    <row r="56411" spans="16:16">
      <c r="P56411" s="2498"/>
    </row>
    <row r="56412" spans="16:16">
      <c r="P56412" s="2498"/>
    </row>
    <row r="56413" spans="16:16">
      <c r="P56413" s="2498"/>
    </row>
    <row r="56414" spans="16:16">
      <c r="P56414" s="2498"/>
    </row>
    <row r="56415" spans="16:16">
      <c r="P56415" s="2498"/>
    </row>
    <row r="56416" spans="16:16">
      <c r="P56416" s="2498"/>
    </row>
    <row r="56417" spans="16:16">
      <c r="P56417" s="2498"/>
    </row>
    <row r="56418" spans="16:16">
      <c r="P56418" s="2498"/>
    </row>
    <row r="56419" spans="16:16">
      <c r="P56419" s="2498"/>
    </row>
    <row r="56420" spans="16:16">
      <c r="P56420" s="2498"/>
    </row>
    <row r="56421" spans="16:16">
      <c r="P56421" s="2498"/>
    </row>
    <row r="56422" spans="16:16">
      <c r="P56422" s="2498"/>
    </row>
    <row r="56423" spans="16:16">
      <c r="P56423" s="2498"/>
    </row>
    <row r="56424" spans="16:16">
      <c r="P56424" s="2498"/>
    </row>
    <row r="56425" spans="16:16">
      <c r="P56425" s="2498"/>
    </row>
    <row r="56426" spans="16:16">
      <c r="P56426" s="2498"/>
    </row>
    <row r="56427" spans="16:16">
      <c r="P56427" s="2498"/>
    </row>
    <row r="56428" spans="16:16">
      <c r="P56428" s="2498"/>
    </row>
    <row r="56429" spans="16:16">
      <c r="P56429" s="2498"/>
    </row>
    <row r="56430" spans="16:16">
      <c r="P56430" s="2498"/>
    </row>
    <row r="56431" spans="16:16">
      <c r="P56431" s="2498"/>
    </row>
    <row r="56432" spans="16:16">
      <c r="P56432" s="2498"/>
    </row>
    <row r="56433" spans="16:16">
      <c r="P56433" s="2498"/>
    </row>
    <row r="56434" spans="16:16">
      <c r="P56434" s="2498"/>
    </row>
    <row r="56435" spans="16:16">
      <c r="P56435" s="2498"/>
    </row>
    <row r="56436" spans="16:16">
      <c r="P56436" s="2498"/>
    </row>
    <row r="56437" spans="16:16">
      <c r="P56437" s="2498"/>
    </row>
    <row r="56438" spans="16:16">
      <c r="P56438" s="2498"/>
    </row>
    <row r="56439" spans="16:16">
      <c r="P56439" s="2498"/>
    </row>
    <row r="56440" spans="16:16">
      <c r="P56440" s="2498"/>
    </row>
    <row r="56441" spans="16:16">
      <c r="P56441" s="2498"/>
    </row>
    <row r="56442" spans="16:16">
      <c r="P56442" s="2498"/>
    </row>
    <row r="56443" spans="16:16">
      <c r="P56443" s="2498"/>
    </row>
    <row r="56444" spans="16:16">
      <c r="P56444" s="2498"/>
    </row>
    <row r="56445" spans="16:16">
      <c r="P56445" s="2498"/>
    </row>
    <row r="56446" spans="16:16">
      <c r="P56446" s="2498"/>
    </row>
    <row r="56447" spans="16:16">
      <c r="P56447" s="2498"/>
    </row>
    <row r="56448" spans="16:16">
      <c r="P56448" s="2498"/>
    </row>
    <row r="56449" spans="16:16">
      <c r="P56449" s="2498"/>
    </row>
    <row r="56450" spans="16:16">
      <c r="P56450" s="2498"/>
    </row>
    <row r="56451" spans="16:16">
      <c r="P56451" s="2498"/>
    </row>
    <row r="56452" spans="16:16">
      <c r="P56452" s="2498"/>
    </row>
    <row r="56453" spans="16:16">
      <c r="P56453" s="2498"/>
    </row>
    <row r="56454" spans="16:16">
      <c r="P56454" s="2498"/>
    </row>
    <row r="56455" spans="16:16">
      <c r="P56455" s="2498"/>
    </row>
    <row r="56456" spans="16:16">
      <c r="P56456" s="2498"/>
    </row>
    <row r="56457" spans="16:16">
      <c r="P56457" s="2498"/>
    </row>
    <row r="56458" spans="16:16">
      <c r="P56458" s="2498"/>
    </row>
    <row r="56459" spans="16:16">
      <c r="P56459" s="2498"/>
    </row>
    <row r="56460" spans="16:16">
      <c r="P56460" s="2498"/>
    </row>
    <row r="56461" spans="16:16">
      <c r="P56461" s="2498"/>
    </row>
    <row r="56462" spans="16:16">
      <c r="P56462" s="2498"/>
    </row>
    <row r="56463" spans="16:16">
      <c r="P56463" s="2498"/>
    </row>
    <row r="56464" spans="16:16">
      <c r="P56464" s="2498"/>
    </row>
    <row r="56465" spans="16:16">
      <c r="P56465" s="2498"/>
    </row>
    <row r="56466" spans="16:16">
      <c r="P56466" s="2498"/>
    </row>
    <row r="56467" spans="16:16">
      <c r="P56467" s="2498"/>
    </row>
    <row r="56468" spans="16:16">
      <c r="P56468" s="2498"/>
    </row>
    <row r="56469" spans="16:16">
      <c r="P56469" s="2498"/>
    </row>
    <row r="56470" spans="16:16">
      <c r="P56470" s="2498"/>
    </row>
    <row r="56471" spans="16:16">
      <c r="P56471" s="2498"/>
    </row>
    <row r="56472" spans="16:16">
      <c r="P56472" s="2498"/>
    </row>
    <row r="56473" spans="16:16">
      <c r="P56473" s="2498"/>
    </row>
    <row r="56474" spans="16:16">
      <c r="P56474" s="2498"/>
    </row>
    <row r="56475" spans="16:16">
      <c r="P56475" s="2498"/>
    </row>
    <row r="56476" spans="16:16">
      <c r="P56476" s="2498"/>
    </row>
    <row r="56477" spans="16:16">
      <c r="P56477" s="2498"/>
    </row>
    <row r="56478" spans="16:16">
      <c r="P56478" s="2498"/>
    </row>
    <row r="56479" spans="16:16">
      <c r="P56479" s="2498"/>
    </row>
    <row r="56480" spans="16:16">
      <c r="P56480" s="2498"/>
    </row>
    <row r="56481" spans="16:16">
      <c r="P56481" s="2498"/>
    </row>
    <row r="56482" spans="16:16">
      <c r="P56482" s="2498"/>
    </row>
    <row r="56483" spans="16:16">
      <c r="P56483" s="2498"/>
    </row>
    <row r="56484" spans="16:16">
      <c r="P56484" s="2498"/>
    </row>
    <row r="56485" spans="16:16">
      <c r="P56485" s="2498"/>
    </row>
    <row r="56486" spans="16:16">
      <c r="P56486" s="2498"/>
    </row>
    <row r="56487" spans="16:16">
      <c r="P56487" s="2498"/>
    </row>
    <row r="56488" spans="16:16">
      <c r="P56488" s="2498"/>
    </row>
    <row r="56489" spans="16:16">
      <c r="P56489" s="2498"/>
    </row>
    <row r="56490" spans="16:16">
      <c r="P56490" s="2498"/>
    </row>
    <row r="56491" spans="16:16">
      <c r="P56491" s="2498"/>
    </row>
    <row r="56492" spans="16:16">
      <c r="P56492" s="2498"/>
    </row>
    <row r="56493" spans="16:16">
      <c r="P56493" s="2498"/>
    </row>
    <row r="56494" spans="16:16">
      <c r="P56494" s="2498"/>
    </row>
    <row r="56495" spans="16:16">
      <c r="P56495" s="2498"/>
    </row>
    <row r="56496" spans="16:16">
      <c r="P56496" s="2498"/>
    </row>
    <row r="56497" spans="16:16">
      <c r="P56497" s="2498"/>
    </row>
    <row r="56498" spans="16:16">
      <c r="P56498" s="2498"/>
    </row>
    <row r="56499" spans="16:16">
      <c r="P56499" s="2498"/>
    </row>
    <row r="56500" spans="16:16">
      <c r="P56500" s="2498"/>
    </row>
    <row r="56501" spans="16:16">
      <c r="P56501" s="2498"/>
    </row>
    <row r="56502" spans="16:16">
      <c r="P56502" s="2498"/>
    </row>
    <row r="56503" spans="16:16">
      <c r="P56503" s="2498"/>
    </row>
    <row r="56504" spans="16:16">
      <c r="P56504" s="2498"/>
    </row>
    <row r="56505" spans="16:16">
      <c r="P56505" s="2498"/>
    </row>
    <row r="56506" spans="16:16">
      <c r="P56506" s="2498"/>
    </row>
    <row r="56507" spans="16:16">
      <c r="P56507" s="2498"/>
    </row>
    <row r="56508" spans="16:16">
      <c r="P56508" s="2498"/>
    </row>
    <row r="56509" spans="16:16">
      <c r="P56509" s="2498"/>
    </row>
    <row r="56510" spans="16:16">
      <c r="P56510" s="2498"/>
    </row>
    <row r="56511" spans="16:16">
      <c r="P56511" s="2498"/>
    </row>
    <row r="56512" spans="16:16">
      <c r="P56512" s="2498"/>
    </row>
    <row r="56513" spans="16:16">
      <c r="P56513" s="2498"/>
    </row>
    <row r="56514" spans="16:16">
      <c r="P56514" s="2498"/>
    </row>
    <row r="56515" spans="16:16">
      <c r="P56515" s="2498"/>
    </row>
    <row r="56516" spans="16:16">
      <c r="P56516" s="2498"/>
    </row>
    <row r="56517" spans="16:16">
      <c r="P56517" s="2498"/>
    </row>
    <row r="56518" spans="16:16">
      <c r="P56518" s="2498"/>
    </row>
    <row r="56519" spans="16:16">
      <c r="P56519" s="2498"/>
    </row>
    <row r="56520" spans="16:16">
      <c r="P56520" s="2498"/>
    </row>
    <row r="56521" spans="16:16">
      <c r="P56521" s="2498"/>
    </row>
    <row r="56522" spans="16:16">
      <c r="P56522" s="2498"/>
    </row>
    <row r="56523" spans="16:16">
      <c r="P56523" s="2498"/>
    </row>
    <row r="56524" spans="16:16">
      <c r="P56524" s="2498"/>
    </row>
    <row r="56525" spans="16:16">
      <c r="P56525" s="2498"/>
    </row>
    <row r="56526" spans="16:16">
      <c r="P56526" s="2498"/>
    </row>
    <row r="56527" spans="16:16">
      <c r="P56527" s="2498"/>
    </row>
    <row r="56528" spans="16:16">
      <c r="P56528" s="2498"/>
    </row>
    <row r="56529" spans="16:16">
      <c r="P56529" s="2498"/>
    </row>
    <row r="56530" spans="16:16">
      <c r="P56530" s="2498"/>
    </row>
    <row r="56531" spans="16:16">
      <c r="P56531" s="2498"/>
    </row>
    <row r="56532" spans="16:16">
      <c r="P56532" s="2498"/>
    </row>
    <row r="56533" spans="16:16">
      <c r="P56533" s="2498"/>
    </row>
    <row r="56534" spans="16:16">
      <c r="P56534" s="2498"/>
    </row>
    <row r="56535" spans="16:16">
      <c r="P56535" s="2498"/>
    </row>
    <row r="56536" spans="16:16">
      <c r="P56536" s="2498"/>
    </row>
    <row r="56537" spans="16:16">
      <c r="P56537" s="2498"/>
    </row>
    <row r="56538" spans="16:16">
      <c r="P56538" s="2498"/>
    </row>
    <row r="56539" spans="16:16">
      <c r="P56539" s="2498"/>
    </row>
    <row r="56540" spans="16:16">
      <c r="P56540" s="2498"/>
    </row>
    <row r="56541" spans="16:16">
      <c r="P56541" s="2498"/>
    </row>
    <row r="56542" spans="16:16">
      <c r="P56542" s="2498"/>
    </row>
    <row r="56543" spans="16:16">
      <c r="P56543" s="2498"/>
    </row>
    <row r="56544" spans="16:16">
      <c r="P56544" s="2498"/>
    </row>
    <row r="56545" spans="16:16">
      <c r="P56545" s="2498"/>
    </row>
    <row r="56546" spans="16:16">
      <c r="P56546" s="2498"/>
    </row>
    <row r="56547" spans="16:16">
      <c r="P56547" s="2498"/>
    </row>
    <row r="56548" spans="16:16">
      <c r="P56548" s="2498"/>
    </row>
    <row r="56549" spans="16:16">
      <c r="P56549" s="2498"/>
    </row>
    <row r="56550" spans="16:16">
      <c r="P56550" s="2498"/>
    </row>
    <row r="56551" spans="16:16">
      <c r="P56551" s="2498"/>
    </row>
    <row r="56552" spans="16:16">
      <c r="P56552" s="2498"/>
    </row>
    <row r="56553" spans="16:16">
      <c r="P56553" s="2498"/>
    </row>
    <row r="56554" spans="16:16">
      <c r="P56554" s="2498"/>
    </row>
    <row r="56555" spans="16:16">
      <c r="P56555" s="2498"/>
    </row>
    <row r="56556" spans="16:16">
      <c r="P56556" s="2498"/>
    </row>
    <row r="56557" spans="16:16">
      <c r="P56557" s="2498"/>
    </row>
    <row r="56558" spans="16:16">
      <c r="P56558" s="2498"/>
    </row>
    <row r="56559" spans="16:16">
      <c r="P56559" s="2498"/>
    </row>
    <row r="56560" spans="16:16">
      <c r="P56560" s="2498"/>
    </row>
    <row r="56561" spans="16:16">
      <c r="P56561" s="2498"/>
    </row>
    <row r="56562" spans="16:16">
      <c r="P56562" s="2498"/>
    </row>
    <row r="56563" spans="16:16">
      <c r="P56563" s="2498"/>
    </row>
    <row r="56564" spans="16:16">
      <c r="P56564" s="2498"/>
    </row>
    <row r="56565" spans="16:16">
      <c r="P56565" s="2498"/>
    </row>
    <row r="56566" spans="16:16">
      <c r="P56566" s="2498"/>
    </row>
    <row r="56567" spans="16:16">
      <c r="P56567" s="2498"/>
    </row>
    <row r="56568" spans="16:16">
      <c r="P56568" s="2498"/>
    </row>
    <row r="56569" spans="16:16">
      <c r="P56569" s="2498"/>
    </row>
    <row r="56570" spans="16:16">
      <c r="P56570" s="2498"/>
    </row>
    <row r="56571" spans="16:16">
      <c r="P56571" s="2498"/>
    </row>
    <row r="56572" spans="16:16">
      <c r="P56572" s="2498"/>
    </row>
    <row r="56573" spans="16:16">
      <c r="P56573" s="2498"/>
    </row>
    <row r="56574" spans="16:16">
      <c r="P56574" s="2498"/>
    </row>
    <row r="56575" spans="16:16">
      <c r="P56575" s="2498"/>
    </row>
    <row r="56576" spans="16:16">
      <c r="P56576" s="2498"/>
    </row>
    <row r="56577" spans="16:16">
      <c r="P56577" s="2498"/>
    </row>
    <row r="56578" spans="16:16">
      <c r="P56578" s="2498"/>
    </row>
    <row r="56579" spans="16:16">
      <c r="P56579" s="2498"/>
    </row>
    <row r="56580" spans="16:16">
      <c r="P56580" s="2498"/>
    </row>
    <row r="56581" spans="16:16">
      <c r="P56581" s="2498"/>
    </row>
    <row r="56582" spans="16:16">
      <c r="P56582" s="2498"/>
    </row>
    <row r="56583" spans="16:16">
      <c r="P56583" s="2498"/>
    </row>
    <row r="56584" spans="16:16">
      <c r="P56584" s="2498"/>
    </row>
    <row r="56585" spans="16:16">
      <c r="P56585" s="2498"/>
    </row>
    <row r="56586" spans="16:16">
      <c r="P56586" s="2498"/>
    </row>
    <row r="56587" spans="16:16">
      <c r="P56587" s="2498"/>
    </row>
    <row r="56588" spans="16:16">
      <c r="P56588" s="2498"/>
    </row>
    <row r="56589" spans="16:16">
      <c r="P56589" s="2498"/>
    </row>
    <row r="56590" spans="16:16">
      <c r="P56590" s="2498"/>
    </row>
    <row r="56591" spans="16:16">
      <c r="P56591" s="2498"/>
    </row>
    <row r="56592" spans="16:16">
      <c r="P56592" s="2498"/>
    </row>
    <row r="56593" spans="16:16">
      <c r="P56593" s="2498"/>
    </row>
    <row r="56594" spans="16:16">
      <c r="P56594" s="2498"/>
    </row>
    <row r="56595" spans="16:16">
      <c r="P56595" s="2498"/>
    </row>
    <row r="56596" spans="16:16">
      <c r="P56596" s="2498"/>
    </row>
    <row r="56597" spans="16:16">
      <c r="P56597" s="2498"/>
    </row>
    <row r="56598" spans="16:16">
      <c r="P56598" s="2498"/>
    </row>
    <row r="56599" spans="16:16">
      <c r="P56599" s="2498"/>
    </row>
    <row r="56600" spans="16:16">
      <c r="P56600" s="2498"/>
    </row>
    <row r="56601" spans="16:16">
      <c r="P56601" s="2498"/>
    </row>
    <row r="56602" spans="16:16">
      <c r="P56602" s="2498"/>
    </row>
    <row r="56603" spans="16:16">
      <c r="P56603" s="2498"/>
    </row>
    <row r="56604" spans="16:16">
      <c r="P56604" s="2498"/>
    </row>
    <row r="56605" spans="16:16">
      <c r="P56605" s="2498"/>
    </row>
    <row r="56606" spans="16:16">
      <c r="P56606" s="2498"/>
    </row>
    <row r="56607" spans="16:16">
      <c r="P56607" s="2498"/>
    </row>
    <row r="56608" spans="16:16">
      <c r="P56608" s="2498"/>
    </row>
    <row r="56609" spans="16:16">
      <c r="P56609" s="2498"/>
    </row>
    <row r="56610" spans="16:16">
      <c r="P56610" s="2498"/>
    </row>
    <row r="56611" spans="16:16">
      <c r="P56611" s="2498"/>
    </row>
    <row r="56612" spans="16:16">
      <c r="P56612" s="2498"/>
    </row>
    <row r="56613" spans="16:16">
      <c r="P56613" s="2498"/>
    </row>
    <row r="56614" spans="16:16">
      <c r="P56614" s="2498"/>
    </row>
    <row r="56615" spans="16:16">
      <c r="P56615" s="2498"/>
    </row>
    <row r="56616" spans="16:16">
      <c r="P56616" s="2498"/>
    </row>
    <row r="56617" spans="16:16">
      <c r="P56617" s="2498"/>
    </row>
    <row r="56618" spans="16:16">
      <c r="P56618" s="2498"/>
    </row>
    <row r="56619" spans="16:16">
      <c r="P56619" s="2498"/>
    </row>
    <row r="56620" spans="16:16">
      <c r="P56620" s="2498"/>
    </row>
    <row r="56621" spans="16:16">
      <c r="P56621" s="2498"/>
    </row>
    <row r="56622" spans="16:16">
      <c r="P56622" s="2498"/>
    </row>
    <row r="56623" spans="16:16">
      <c r="P56623" s="2498"/>
    </row>
    <row r="56624" spans="16:16">
      <c r="P56624" s="2498"/>
    </row>
    <row r="56625" spans="16:16">
      <c r="P56625" s="2498"/>
    </row>
    <row r="56626" spans="16:16">
      <c r="P56626" s="2498"/>
    </row>
    <row r="56627" spans="16:16">
      <c r="P56627" s="2498"/>
    </row>
    <row r="56628" spans="16:16">
      <c r="P56628" s="2498"/>
    </row>
    <row r="56629" spans="16:16">
      <c r="P56629" s="2498"/>
    </row>
    <row r="56630" spans="16:16">
      <c r="P56630" s="2498"/>
    </row>
    <row r="56631" spans="16:16">
      <c r="P56631" s="2498"/>
    </row>
    <row r="56632" spans="16:16">
      <c r="P56632" s="2498"/>
    </row>
    <row r="56633" spans="16:16">
      <c r="P56633" s="2498"/>
    </row>
    <row r="56634" spans="16:16">
      <c r="P56634" s="2498"/>
    </row>
    <row r="56635" spans="16:16">
      <c r="P56635" s="2498"/>
    </row>
    <row r="56636" spans="16:16">
      <c r="P56636" s="2498"/>
    </row>
    <row r="56637" spans="16:16">
      <c r="P56637" s="2498"/>
    </row>
    <row r="56638" spans="16:16">
      <c r="P56638" s="2498"/>
    </row>
    <row r="56639" spans="16:16">
      <c r="P56639" s="2498"/>
    </row>
    <row r="56640" spans="16:16">
      <c r="P56640" s="2498"/>
    </row>
    <row r="56641" spans="16:16">
      <c r="P56641" s="2498"/>
    </row>
    <row r="56642" spans="16:16">
      <c r="P56642" s="2498"/>
    </row>
    <row r="56643" spans="16:16">
      <c r="P56643" s="2498"/>
    </row>
    <row r="56644" spans="16:16">
      <c r="P56644" s="2498"/>
    </row>
    <row r="56645" spans="16:16">
      <c r="P56645" s="2498"/>
    </row>
    <row r="56646" spans="16:16">
      <c r="P56646" s="2498"/>
    </row>
    <row r="56647" spans="16:16">
      <c r="P56647" s="2498"/>
    </row>
    <row r="56648" spans="16:16">
      <c r="P56648" s="2498"/>
    </row>
    <row r="56649" spans="16:16">
      <c r="P56649" s="2498"/>
    </row>
    <row r="56650" spans="16:16">
      <c r="P56650" s="2498"/>
    </row>
    <row r="56651" spans="16:16">
      <c r="P56651" s="2498"/>
    </row>
    <row r="56652" spans="16:16">
      <c r="P56652" s="2498"/>
    </row>
    <row r="56653" spans="16:16">
      <c r="P56653" s="2498"/>
    </row>
    <row r="56654" spans="16:16">
      <c r="P56654" s="2498"/>
    </row>
    <row r="56655" spans="16:16">
      <c r="P56655" s="2498"/>
    </row>
    <row r="56656" spans="16:16">
      <c r="P56656" s="2498"/>
    </row>
    <row r="56657" spans="16:16">
      <c r="P56657" s="2498"/>
    </row>
    <row r="56658" spans="16:16">
      <c r="P56658" s="2498"/>
    </row>
    <row r="56659" spans="16:16">
      <c r="P56659" s="2498"/>
    </row>
    <row r="56660" spans="16:16">
      <c r="P56660" s="2498"/>
    </row>
    <row r="56661" spans="16:16">
      <c r="P56661" s="2498"/>
    </row>
    <row r="56662" spans="16:16">
      <c r="P56662" s="2498"/>
    </row>
    <row r="56663" spans="16:16">
      <c r="P56663" s="2498"/>
    </row>
    <row r="56664" spans="16:16">
      <c r="P56664" s="2498"/>
    </row>
    <row r="56665" spans="16:16">
      <c r="P56665" s="2498"/>
    </row>
    <row r="56666" spans="16:16">
      <c r="P56666" s="2498"/>
    </row>
    <row r="56667" spans="16:16">
      <c r="P56667" s="2498"/>
    </row>
    <row r="56668" spans="16:16">
      <c r="P56668" s="2498"/>
    </row>
    <row r="56669" spans="16:16">
      <c r="P56669" s="2498"/>
    </row>
    <row r="56670" spans="16:16">
      <c r="P56670" s="2498"/>
    </row>
    <row r="56671" spans="16:16">
      <c r="P56671" s="2498"/>
    </row>
    <row r="56672" spans="16:16">
      <c r="P56672" s="2498"/>
    </row>
    <row r="56673" spans="16:16">
      <c r="P56673" s="2498"/>
    </row>
    <row r="56674" spans="16:16">
      <c r="P56674" s="2498"/>
    </row>
    <row r="56675" spans="16:16">
      <c r="P56675" s="2498"/>
    </row>
    <row r="56676" spans="16:16">
      <c r="P56676" s="2498"/>
    </row>
    <row r="56677" spans="16:16">
      <c r="P56677" s="2498"/>
    </row>
    <row r="56678" spans="16:16">
      <c r="P56678" s="2498"/>
    </row>
    <row r="56679" spans="16:16">
      <c r="P56679" s="2498"/>
    </row>
    <row r="56680" spans="16:16">
      <c r="P56680" s="2498"/>
    </row>
    <row r="56681" spans="16:16">
      <c r="P56681" s="2498"/>
    </row>
    <row r="56682" spans="16:16">
      <c r="P56682" s="2498"/>
    </row>
    <row r="56683" spans="16:16">
      <c r="P56683" s="2498"/>
    </row>
    <row r="56684" spans="16:16">
      <c r="P56684" s="2498"/>
    </row>
    <row r="56685" spans="16:16">
      <c r="P56685" s="2498"/>
    </row>
    <row r="56686" spans="16:16">
      <c r="P56686" s="2498"/>
    </row>
    <row r="56687" spans="16:16">
      <c r="P56687" s="2498"/>
    </row>
    <row r="56688" spans="16:16">
      <c r="P56688" s="2498"/>
    </row>
    <row r="56689" spans="16:16">
      <c r="P56689" s="2498"/>
    </row>
    <row r="56690" spans="16:16">
      <c r="P56690" s="2498"/>
    </row>
    <row r="56691" spans="16:16">
      <c r="P56691" s="2498"/>
    </row>
    <row r="56692" spans="16:16">
      <c r="P56692" s="2498"/>
    </row>
    <row r="56693" spans="16:16">
      <c r="P56693" s="2498"/>
    </row>
    <row r="56694" spans="16:16">
      <c r="P56694" s="2498"/>
    </row>
    <row r="56695" spans="16:16">
      <c r="P56695" s="2498"/>
    </row>
    <row r="56696" spans="16:16">
      <c r="P56696" s="2498"/>
    </row>
    <row r="56697" spans="16:16">
      <c r="P56697" s="2498"/>
    </row>
    <row r="56698" spans="16:16">
      <c r="P56698" s="2498"/>
    </row>
    <row r="56699" spans="16:16">
      <c r="P56699" s="2498"/>
    </row>
    <row r="56700" spans="16:16">
      <c r="P56700" s="2498"/>
    </row>
    <row r="56701" spans="16:16">
      <c r="P56701" s="2498"/>
    </row>
    <row r="56702" spans="16:16">
      <c r="P56702" s="2498"/>
    </row>
    <row r="56703" spans="16:16">
      <c r="P56703" s="2498"/>
    </row>
    <row r="56704" spans="16:16">
      <c r="P56704" s="2498"/>
    </row>
    <row r="56705" spans="16:16">
      <c r="P56705" s="2498"/>
    </row>
    <row r="56706" spans="16:16">
      <c r="P56706" s="2498"/>
    </row>
    <row r="56707" spans="16:16">
      <c r="P56707" s="2498"/>
    </row>
    <row r="56708" spans="16:16">
      <c r="P56708" s="2498"/>
    </row>
    <row r="56709" spans="16:16">
      <c r="P56709" s="2498"/>
    </row>
    <row r="56710" spans="16:16">
      <c r="P56710" s="2498"/>
    </row>
    <row r="56711" spans="16:16">
      <c r="P56711" s="2498"/>
    </row>
    <row r="56712" spans="16:16">
      <c r="P56712" s="2498"/>
    </row>
    <row r="56713" spans="16:16">
      <c r="P56713" s="2498"/>
    </row>
    <row r="56714" spans="16:16">
      <c r="P56714" s="2498"/>
    </row>
    <row r="56715" spans="16:16">
      <c r="P56715" s="2498"/>
    </row>
    <row r="56716" spans="16:16">
      <c r="P56716" s="2498"/>
    </row>
    <row r="56717" spans="16:16">
      <c r="P56717" s="2498"/>
    </row>
    <row r="56718" spans="16:16">
      <c r="P56718" s="2498"/>
    </row>
    <row r="56719" spans="16:16">
      <c r="P56719" s="2498"/>
    </row>
    <row r="56720" spans="16:16">
      <c r="P56720" s="2498"/>
    </row>
    <row r="56721" spans="16:16">
      <c r="P56721" s="2498"/>
    </row>
    <row r="56722" spans="16:16">
      <c r="P56722" s="2498"/>
    </row>
    <row r="56723" spans="16:16">
      <c r="P56723" s="2498"/>
    </row>
    <row r="56724" spans="16:16">
      <c r="P56724" s="2498"/>
    </row>
    <row r="56725" spans="16:16">
      <c r="P56725" s="2498"/>
    </row>
    <row r="56726" spans="16:16">
      <c r="P56726" s="2498"/>
    </row>
    <row r="56727" spans="16:16">
      <c r="P56727" s="2498"/>
    </row>
    <row r="56728" spans="16:16">
      <c r="P56728" s="2498"/>
    </row>
    <row r="56729" spans="16:16">
      <c r="P56729" s="2498"/>
    </row>
    <row r="56730" spans="16:16">
      <c r="P56730" s="2498"/>
    </row>
    <row r="56731" spans="16:16">
      <c r="P56731" s="2498"/>
    </row>
    <row r="56732" spans="16:16">
      <c r="P56732" s="2498"/>
    </row>
    <row r="56733" spans="16:16">
      <c r="P56733" s="2498"/>
    </row>
    <row r="56734" spans="16:16">
      <c r="P56734" s="2498"/>
    </row>
    <row r="56735" spans="16:16">
      <c r="P56735" s="2498"/>
    </row>
    <row r="56736" spans="16:16">
      <c r="P56736" s="2498"/>
    </row>
    <row r="56737" spans="16:16">
      <c r="P56737" s="2498"/>
    </row>
    <row r="56738" spans="16:16">
      <c r="P56738" s="2498"/>
    </row>
    <row r="56739" spans="16:16">
      <c r="P56739" s="2498"/>
    </row>
    <row r="56740" spans="16:16">
      <c r="P56740" s="2498"/>
    </row>
    <row r="56741" spans="16:16">
      <c r="P56741" s="2498"/>
    </row>
    <row r="56742" spans="16:16">
      <c r="P56742" s="2498"/>
    </row>
    <row r="56743" spans="16:16">
      <c r="P56743" s="2498"/>
    </row>
    <row r="56744" spans="16:16">
      <c r="P56744" s="2498"/>
    </row>
    <row r="56745" spans="16:16">
      <c r="P56745" s="2498"/>
    </row>
    <row r="56746" spans="16:16">
      <c r="P56746" s="2498"/>
    </row>
    <row r="56747" spans="16:16">
      <c r="P56747" s="2498"/>
    </row>
    <row r="56748" spans="16:16">
      <c r="P56748" s="2498"/>
    </row>
    <row r="56749" spans="16:16">
      <c r="P56749" s="2498"/>
    </row>
    <row r="56750" spans="16:16">
      <c r="P56750" s="2498"/>
    </row>
    <row r="56751" spans="16:16">
      <c r="P56751" s="2498"/>
    </row>
    <row r="56752" spans="16:16">
      <c r="P56752" s="2498"/>
    </row>
    <row r="56753" spans="16:16">
      <c r="P56753" s="2498"/>
    </row>
    <row r="56754" spans="16:16">
      <c r="P56754" s="2498"/>
    </row>
    <row r="56755" spans="16:16">
      <c r="P56755" s="2498"/>
    </row>
    <row r="56756" spans="16:16">
      <c r="P56756" s="2498"/>
    </row>
    <row r="56757" spans="16:16">
      <c r="P56757" s="2498"/>
    </row>
    <row r="56758" spans="16:16">
      <c r="P56758" s="2498"/>
    </row>
    <row r="56759" spans="16:16">
      <c r="P56759" s="2498"/>
    </row>
    <row r="56760" spans="16:16">
      <c r="P56760" s="2498"/>
    </row>
    <row r="56761" spans="16:16">
      <c r="P56761" s="2498"/>
    </row>
    <row r="56762" spans="16:16">
      <c r="P56762" s="2498"/>
    </row>
    <row r="56763" spans="16:16">
      <c r="P56763" s="2498"/>
    </row>
    <row r="56764" spans="16:16">
      <c r="P56764" s="2498"/>
    </row>
    <row r="56765" spans="16:16">
      <c r="P56765" s="2498"/>
    </row>
    <row r="56766" spans="16:16">
      <c r="P56766" s="2498"/>
    </row>
    <row r="56767" spans="16:16">
      <c r="P56767" s="2498"/>
    </row>
    <row r="56768" spans="16:16">
      <c r="P56768" s="2498"/>
    </row>
    <row r="56769" spans="16:16">
      <c r="P56769" s="2498"/>
    </row>
    <row r="56770" spans="16:16">
      <c r="P56770" s="2498"/>
    </row>
    <row r="56771" spans="16:16">
      <c r="P56771" s="2498"/>
    </row>
    <row r="56772" spans="16:16">
      <c r="P56772" s="2498"/>
    </row>
    <row r="56773" spans="16:16">
      <c r="P56773" s="2498"/>
    </row>
    <row r="56774" spans="16:16">
      <c r="P56774" s="2498"/>
    </row>
    <row r="56775" spans="16:16">
      <c r="P56775" s="2498"/>
    </row>
    <row r="56776" spans="16:16">
      <c r="P56776" s="2498"/>
    </row>
    <row r="56777" spans="16:16">
      <c r="P56777" s="2498"/>
    </row>
    <row r="56778" spans="16:16">
      <c r="P56778" s="2498"/>
    </row>
    <row r="56779" spans="16:16">
      <c r="P56779" s="2498"/>
    </row>
    <row r="56780" spans="16:16">
      <c r="P56780" s="2498"/>
    </row>
    <row r="56781" spans="16:16">
      <c r="P56781" s="2498"/>
    </row>
    <row r="56782" spans="16:16">
      <c r="P56782" s="2498"/>
    </row>
    <row r="56783" spans="16:16">
      <c r="P56783" s="2498"/>
    </row>
    <row r="56784" spans="16:16">
      <c r="P56784" s="2498"/>
    </row>
    <row r="56785" spans="16:16">
      <c r="P56785" s="2498"/>
    </row>
    <row r="56786" spans="16:16">
      <c r="P56786" s="2498"/>
    </row>
    <row r="56787" spans="16:16">
      <c r="P56787" s="2498"/>
    </row>
    <row r="56788" spans="16:16">
      <c r="P56788" s="2498"/>
    </row>
    <row r="56789" spans="16:16">
      <c r="P56789" s="2498"/>
    </row>
    <row r="56790" spans="16:16">
      <c r="P56790" s="2498"/>
    </row>
    <row r="56791" spans="16:16">
      <c r="P56791" s="2498"/>
    </row>
    <row r="56792" spans="16:16">
      <c r="P56792" s="2498"/>
    </row>
    <row r="56793" spans="16:16">
      <c r="P56793" s="2498"/>
    </row>
    <row r="56794" spans="16:16">
      <c r="P56794" s="2498"/>
    </row>
    <row r="56795" spans="16:16">
      <c r="P56795" s="2498"/>
    </row>
    <row r="56796" spans="16:16">
      <c r="P56796" s="2498"/>
    </row>
    <row r="56797" spans="16:16">
      <c r="P56797" s="2498"/>
    </row>
    <row r="56798" spans="16:16">
      <c r="P56798" s="2498"/>
    </row>
    <row r="56799" spans="16:16">
      <c r="P56799" s="2498"/>
    </row>
    <row r="56800" spans="16:16">
      <c r="P56800" s="2498"/>
    </row>
    <row r="56801" spans="16:16">
      <c r="P56801" s="2498"/>
    </row>
    <row r="56802" spans="16:16">
      <c r="P56802" s="2498"/>
    </row>
    <row r="56803" spans="16:16">
      <c r="P56803" s="2498"/>
    </row>
    <row r="56804" spans="16:16">
      <c r="P56804" s="2498"/>
    </row>
    <row r="56805" spans="16:16">
      <c r="P56805" s="2498"/>
    </row>
    <row r="56806" spans="16:16">
      <c r="P56806" s="2498"/>
    </row>
    <row r="56807" spans="16:16">
      <c r="P56807" s="2498"/>
    </row>
    <row r="56808" spans="16:16">
      <c r="P56808" s="2498"/>
    </row>
    <row r="56809" spans="16:16">
      <c r="P56809" s="2498"/>
    </row>
    <row r="56810" spans="16:16">
      <c r="P56810" s="2498"/>
    </row>
    <row r="56811" spans="16:16">
      <c r="P56811" s="2498"/>
    </row>
    <row r="56812" spans="16:16">
      <c r="P56812" s="2498"/>
    </row>
    <row r="56813" spans="16:16">
      <c r="P56813" s="2498"/>
    </row>
    <row r="56814" spans="16:16">
      <c r="P56814" s="2498"/>
    </row>
    <row r="56815" spans="16:16">
      <c r="P56815" s="2498"/>
    </row>
    <row r="56816" spans="16:16">
      <c r="P56816" s="2498"/>
    </row>
    <row r="56817" spans="16:16">
      <c r="P56817" s="2498"/>
    </row>
    <row r="56818" spans="16:16">
      <c r="P56818" s="2498"/>
    </row>
    <row r="56819" spans="16:16">
      <c r="P56819" s="2498"/>
    </row>
    <row r="56820" spans="16:16">
      <c r="P56820" s="2498"/>
    </row>
    <row r="56821" spans="16:16">
      <c r="P56821" s="2498"/>
    </row>
    <row r="56822" spans="16:16">
      <c r="P56822" s="2498"/>
    </row>
    <row r="56823" spans="16:16">
      <c r="P56823" s="2498"/>
    </row>
    <row r="56824" spans="16:16">
      <c r="P56824" s="2498"/>
    </row>
    <row r="56825" spans="16:16">
      <c r="P56825" s="2498"/>
    </row>
    <row r="56826" spans="16:16">
      <c r="P56826" s="2498"/>
    </row>
    <row r="56827" spans="16:16">
      <c r="P56827" s="2498"/>
    </row>
    <row r="56828" spans="16:16">
      <c r="P56828" s="2498"/>
    </row>
    <row r="56829" spans="16:16">
      <c r="P56829" s="2498"/>
    </row>
    <row r="56830" spans="16:16">
      <c r="P56830" s="2498"/>
    </row>
    <row r="56831" spans="16:16">
      <c r="P56831" s="2498"/>
    </row>
    <row r="56832" spans="16:16">
      <c r="P56832" s="2498"/>
    </row>
    <row r="56833" spans="16:16">
      <c r="P56833" s="2498"/>
    </row>
    <row r="56834" spans="16:16">
      <c r="P56834" s="2498"/>
    </row>
    <row r="56835" spans="16:16">
      <c r="P56835" s="2498"/>
    </row>
    <row r="56836" spans="16:16">
      <c r="P56836" s="2498"/>
    </row>
    <row r="56837" spans="16:16">
      <c r="P56837" s="2498"/>
    </row>
    <row r="56838" spans="16:16">
      <c r="P56838" s="2498"/>
    </row>
    <row r="56839" spans="16:16">
      <c r="P56839" s="2498"/>
    </row>
    <row r="56840" spans="16:16">
      <c r="P56840" s="2498"/>
    </row>
    <row r="56841" spans="16:16">
      <c r="P56841" s="2498"/>
    </row>
    <row r="56842" spans="16:16">
      <c r="P56842" s="2498"/>
    </row>
    <row r="56843" spans="16:16">
      <c r="P56843" s="2498"/>
    </row>
    <row r="56844" spans="16:16">
      <c r="P56844" s="2498"/>
    </row>
    <row r="56845" spans="16:16">
      <c r="P56845" s="2498"/>
    </row>
    <row r="56846" spans="16:16">
      <c r="P56846" s="2498"/>
    </row>
    <row r="56847" spans="16:16">
      <c r="P56847" s="2498"/>
    </row>
    <row r="56848" spans="16:16">
      <c r="P56848" s="2498"/>
    </row>
    <row r="56849" spans="16:16">
      <c r="P56849" s="2498"/>
    </row>
    <row r="56850" spans="16:16">
      <c r="P56850" s="2498"/>
    </row>
    <row r="56851" spans="16:16">
      <c r="P56851" s="2498"/>
    </row>
    <row r="56852" spans="16:16">
      <c r="P56852" s="2498"/>
    </row>
    <row r="56853" spans="16:16">
      <c r="P56853" s="2498"/>
    </row>
    <row r="56854" spans="16:16">
      <c r="P56854" s="2498"/>
    </row>
    <row r="56855" spans="16:16">
      <c r="P56855" s="2498"/>
    </row>
    <row r="56856" spans="16:16">
      <c r="P56856" s="2498"/>
    </row>
    <row r="56857" spans="16:16">
      <c r="P56857" s="2498"/>
    </row>
    <row r="56858" spans="16:16">
      <c r="P56858" s="2498"/>
    </row>
    <row r="56859" spans="16:16">
      <c r="P56859" s="2498"/>
    </row>
    <row r="56860" spans="16:16">
      <c r="P56860" s="2498"/>
    </row>
    <row r="56861" spans="16:16">
      <c r="P56861" s="2498"/>
    </row>
    <row r="56862" spans="16:16">
      <c r="P56862" s="2498"/>
    </row>
    <row r="56863" spans="16:16">
      <c r="P56863" s="2498"/>
    </row>
    <row r="56864" spans="16:16">
      <c r="P56864" s="2498"/>
    </row>
    <row r="56865" spans="16:16">
      <c r="P56865" s="2498"/>
    </row>
    <row r="56866" spans="16:16">
      <c r="P56866" s="2498"/>
    </row>
    <row r="56867" spans="16:16">
      <c r="P56867" s="2498"/>
    </row>
    <row r="56868" spans="16:16">
      <c r="P56868" s="2498"/>
    </row>
    <row r="56869" spans="16:16">
      <c r="P56869" s="2498"/>
    </row>
    <row r="56870" spans="16:16">
      <c r="P56870" s="2498"/>
    </row>
    <row r="56871" spans="16:16">
      <c r="P56871" s="2498"/>
    </row>
    <row r="56872" spans="16:16">
      <c r="P56872" s="2498"/>
    </row>
    <row r="56873" spans="16:16">
      <c r="P56873" s="2498"/>
    </row>
    <row r="56874" spans="16:16">
      <c r="P56874" s="2498"/>
    </row>
    <row r="56875" spans="16:16">
      <c r="P56875" s="2498"/>
    </row>
    <row r="56876" spans="16:16">
      <c r="P56876" s="2498"/>
    </row>
    <row r="56877" spans="16:16">
      <c r="P56877" s="2498"/>
    </row>
    <row r="56878" spans="16:16">
      <c r="P56878" s="2498"/>
    </row>
    <row r="56879" spans="16:16">
      <c r="P56879" s="2498"/>
    </row>
    <row r="56880" spans="16:16">
      <c r="P56880" s="2498"/>
    </row>
    <row r="56881" spans="16:16">
      <c r="P56881" s="2498"/>
    </row>
    <row r="56882" spans="16:16">
      <c r="P56882" s="2498"/>
    </row>
    <row r="56883" spans="16:16">
      <c r="P56883" s="2498"/>
    </row>
    <row r="56884" spans="16:16">
      <c r="P56884" s="2498"/>
    </row>
    <row r="56885" spans="16:16">
      <c r="P56885" s="2498"/>
    </row>
    <row r="56886" spans="16:16">
      <c r="P56886" s="2498"/>
    </row>
    <row r="56887" spans="16:16">
      <c r="P56887" s="2498"/>
    </row>
    <row r="56888" spans="16:16">
      <c r="P56888" s="2498"/>
    </row>
    <row r="56889" spans="16:16">
      <c r="P56889" s="2498"/>
    </row>
    <row r="56890" spans="16:16">
      <c r="P56890" s="2498"/>
    </row>
    <row r="56891" spans="16:16">
      <c r="P56891" s="2498"/>
    </row>
    <row r="56892" spans="16:16">
      <c r="P56892" s="2498"/>
    </row>
    <row r="56893" spans="16:16">
      <c r="P56893" s="2498"/>
    </row>
    <row r="56894" spans="16:16">
      <c r="P56894" s="2498"/>
    </row>
    <row r="56895" spans="16:16">
      <c r="P56895" s="2498"/>
    </row>
    <row r="56896" spans="16:16">
      <c r="P56896" s="2498"/>
    </row>
    <row r="56897" spans="16:16">
      <c r="P56897" s="2498"/>
    </row>
    <row r="56898" spans="16:16">
      <c r="P56898" s="2498"/>
    </row>
    <row r="56899" spans="16:16">
      <c r="P56899" s="2498"/>
    </row>
    <row r="56900" spans="16:16">
      <c r="P56900" s="2498"/>
    </row>
    <row r="56901" spans="16:16">
      <c r="P56901" s="2498"/>
    </row>
    <row r="56902" spans="16:16">
      <c r="P56902" s="2498"/>
    </row>
    <row r="56903" spans="16:16">
      <c r="P56903" s="2498"/>
    </row>
    <row r="56904" spans="16:16">
      <c r="P56904" s="2498"/>
    </row>
    <row r="56905" spans="16:16">
      <c r="P56905" s="2498"/>
    </row>
    <row r="56906" spans="16:16">
      <c r="P56906" s="2498"/>
    </row>
    <row r="56907" spans="16:16">
      <c r="P56907" s="2498"/>
    </row>
    <row r="56908" spans="16:16">
      <c r="P56908" s="2498"/>
    </row>
    <row r="56909" spans="16:16">
      <c r="P56909" s="2498"/>
    </row>
    <row r="56910" spans="16:16">
      <c r="P56910" s="2498"/>
    </row>
    <row r="56911" spans="16:16">
      <c r="P56911" s="2498"/>
    </row>
    <row r="56912" spans="16:16">
      <c r="P56912" s="2498"/>
    </row>
    <row r="56913" spans="16:16">
      <c r="P56913" s="2498"/>
    </row>
    <row r="56914" spans="16:16">
      <c r="P56914" s="2498"/>
    </row>
    <row r="56915" spans="16:16">
      <c r="P56915" s="2498"/>
    </row>
    <row r="56916" spans="16:16">
      <c r="P56916" s="2498"/>
    </row>
    <row r="56917" spans="16:16">
      <c r="P56917" s="2498"/>
    </row>
    <row r="56918" spans="16:16">
      <c r="P56918" s="2498"/>
    </row>
    <row r="56919" spans="16:16">
      <c r="P56919" s="2498"/>
    </row>
    <row r="56920" spans="16:16">
      <c r="P56920" s="2498"/>
    </row>
    <row r="56921" spans="16:16">
      <c r="P56921" s="2498"/>
    </row>
    <row r="56922" spans="16:16">
      <c r="P56922" s="2498"/>
    </row>
    <row r="56923" spans="16:16">
      <c r="P56923" s="2498"/>
    </row>
    <row r="56924" spans="16:16">
      <c r="P56924" s="2498"/>
    </row>
    <row r="56925" spans="16:16">
      <c r="P56925" s="2498"/>
    </row>
    <row r="56926" spans="16:16">
      <c r="P56926" s="2498"/>
    </row>
    <row r="56927" spans="16:16">
      <c r="P56927" s="2498"/>
    </row>
    <row r="56928" spans="16:16">
      <c r="P56928" s="2498"/>
    </row>
    <row r="56929" spans="16:16">
      <c r="P56929" s="2498"/>
    </row>
    <row r="56930" spans="16:16">
      <c r="P56930" s="2498"/>
    </row>
    <row r="56931" spans="16:16">
      <c r="P56931" s="2498"/>
    </row>
    <row r="56932" spans="16:16">
      <c r="P56932" s="2498"/>
    </row>
    <row r="56933" spans="16:16">
      <c r="P56933" s="2498"/>
    </row>
    <row r="56934" spans="16:16">
      <c r="P56934" s="2498"/>
    </row>
    <row r="56935" spans="16:16">
      <c r="P56935" s="2498"/>
    </row>
    <row r="56936" spans="16:16">
      <c r="P56936" s="2498"/>
    </row>
    <row r="56937" spans="16:16">
      <c r="P56937" s="2498"/>
    </row>
    <row r="56938" spans="16:16">
      <c r="P56938" s="2498"/>
    </row>
    <row r="56939" spans="16:16">
      <c r="P56939" s="2498"/>
    </row>
    <row r="56940" spans="16:16">
      <c r="P56940" s="2498"/>
    </row>
    <row r="56941" spans="16:16">
      <c r="P56941" s="2498"/>
    </row>
    <row r="56942" spans="16:16">
      <c r="P56942" s="2498"/>
    </row>
    <row r="56943" spans="16:16">
      <c r="P56943" s="2498"/>
    </row>
    <row r="56944" spans="16:16">
      <c r="P56944" s="2498"/>
    </row>
    <row r="56945" spans="16:16">
      <c r="P56945" s="2498"/>
    </row>
    <row r="56946" spans="16:16">
      <c r="P56946" s="2498"/>
    </row>
    <row r="56947" spans="16:16">
      <c r="P56947" s="2498"/>
    </row>
    <row r="56948" spans="16:16">
      <c r="P56948" s="2498"/>
    </row>
    <row r="56949" spans="16:16">
      <c r="P56949" s="2498"/>
    </row>
    <row r="56950" spans="16:16">
      <c r="P56950" s="2498"/>
    </row>
    <row r="56951" spans="16:16">
      <c r="P56951" s="2498"/>
    </row>
    <row r="56952" spans="16:16">
      <c r="P56952" s="2498"/>
    </row>
    <row r="56953" spans="16:16">
      <c r="P56953" s="2498"/>
    </row>
    <row r="56954" spans="16:16">
      <c r="P56954" s="2498"/>
    </row>
    <row r="56955" spans="16:16">
      <c r="P56955" s="2498"/>
    </row>
    <row r="56956" spans="16:16">
      <c r="P56956" s="2498"/>
    </row>
    <row r="56957" spans="16:16">
      <c r="P56957" s="2498"/>
    </row>
    <row r="56958" spans="16:16">
      <c r="P56958" s="2498"/>
    </row>
    <row r="56959" spans="16:16">
      <c r="P56959" s="2498"/>
    </row>
    <row r="56960" spans="16:16">
      <c r="P56960" s="2498"/>
    </row>
    <row r="56961" spans="16:16">
      <c r="P56961" s="2498"/>
    </row>
    <row r="56962" spans="16:16">
      <c r="P56962" s="2498"/>
    </row>
    <row r="56963" spans="16:16">
      <c r="P56963" s="2498"/>
    </row>
    <row r="56964" spans="16:16">
      <c r="P56964" s="2498"/>
    </row>
    <row r="56965" spans="16:16">
      <c r="P56965" s="2498"/>
    </row>
    <row r="56966" spans="16:16">
      <c r="P56966" s="2498"/>
    </row>
    <row r="56967" spans="16:16">
      <c r="P56967" s="2498"/>
    </row>
    <row r="56968" spans="16:16">
      <c r="P56968" s="2498"/>
    </row>
    <row r="56969" spans="16:16">
      <c r="P56969" s="2498"/>
    </row>
    <row r="56970" spans="16:16">
      <c r="P56970" s="2498"/>
    </row>
    <row r="56971" spans="16:16">
      <c r="P56971" s="2498"/>
    </row>
    <row r="56972" spans="16:16">
      <c r="P56972" s="2498"/>
    </row>
    <row r="56973" spans="16:16">
      <c r="P56973" s="2498"/>
    </row>
    <row r="56974" spans="16:16">
      <c r="P56974" s="2498"/>
    </row>
    <row r="56975" spans="16:16">
      <c r="P56975" s="2498"/>
    </row>
    <row r="56976" spans="16:16">
      <c r="P56976" s="2498"/>
    </row>
    <row r="56977" spans="16:16">
      <c r="P56977" s="2498"/>
    </row>
    <row r="56978" spans="16:16">
      <c r="P56978" s="2498"/>
    </row>
    <row r="56979" spans="16:16">
      <c r="P56979" s="2498"/>
    </row>
    <row r="56980" spans="16:16">
      <c r="P56980" s="2498"/>
    </row>
    <row r="56981" spans="16:16">
      <c r="P56981" s="2498"/>
    </row>
    <row r="56982" spans="16:16">
      <c r="P56982" s="2498"/>
    </row>
    <row r="56983" spans="16:16">
      <c r="P56983" s="2498"/>
    </row>
    <row r="56984" spans="16:16">
      <c r="P56984" s="2498"/>
    </row>
    <row r="56985" spans="16:16">
      <c r="P56985" s="2498"/>
    </row>
    <row r="56986" spans="16:16">
      <c r="P56986" s="2498"/>
    </row>
    <row r="56987" spans="16:16">
      <c r="P56987" s="2498"/>
    </row>
    <row r="56988" spans="16:16">
      <c r="P56988" s="2498"/>
    </row>
    <row r="56989" spans="16:16">
      <c r="P56989" s="2498"/>
    </row>
    <row r="56990" spans="16:16">
      <c r="P56990" s="2498"/>
    </row>
    <row r="56991" spans="16:16">
      <c r="P56991" s="2498"/>
    </row>
    <row r="56992" spans="16:16">
      <c r="P56992" s="2498"/>
    </row>
    <row r="56993" spans="16:16">
      <c r="P56993" s="2498"/>
    </row>
    <row r="56994" spans="16:16">
      <c r="P56994" s="2498"/>
    </row>
    <row r="56995" spans="16:16">
      <c r="P56995" s="2498"/>
    </row>
    <row r="56996" spans="16:16">
      <c r="P56996" s="2498"/>
    </row>
    <row r="56997" spans="16:16">
      <c r="P56997" s="2498"/>
    </row>
    <row r="56998" spans="16:16">
      <c r="P56998" s="2498"/>
    </row>
    <row r="56999" spans="16:16">
      <c r="P56999" s="2498"/>
    </row>
    <row r="57000" spans="16:16">
      <c r="P57000" s="2498"/>
    </row>
    <row r="57001" spans="16:16">
      <c r="P57001" s="2498"/>
    </row>
    <row r="57002" spans="16:16">
      <c r="P57002" s="2498"/>
    </row>
    <row r="57003" spans="16:16">
      <c r="P57003" s="2498"/>
    </row>
    <row r="57004" spans="16:16">
      <c r="P57004" s="2498"/>
    </row>
    <row r="57005" spans="16:16">
      <c r="P57005" s="2498"/>
    </row>
    <row r="57006" spans="16:16">
      <c r="P57006" s="2498"/>
    </row>
    <row r="57007" spans="16:16">
      <c r="P57007" s="2498"/>
    </row>
    <row r="57008" spans="16:16">
      <c r="P57008" s="2498"/>
    </row>
    <row r="57009" spans="16:16">
      <c r="P57009" s="2498"/>
    </row>
    <row r="57010" spans="16:16">
      <c r="P57010" s="2498"/>
    </row>
    <row r="57011" spans="16:16">
      <c r="P57011" s="2498"/>
    </row>
    <row r="57012" spans="16:16">
      <c r="P57012" s="2498"/>
    </row>
    <row r="57013" spans="16:16">
      <c r="P57013" s="2498"/>
    </row>
    <row r="57014" spans="16:16">
      <c r="P57014" s="2498"/>
    </row>
    <row r="57015" spans="16:16">
      <c r="P57015" s="2498"/>
    </row>
    <row r="57016" spans="16:16">
      <c r="P57016" s="2498"/>
    </row>
    <row r="57017" spans="16:16">
      <c r="P57017" s="2498"/>
    </row>
    <row r="57018" spans="16:16">
      <c r="P57018" s="2498"/>
    </row>
    <row r="57019" spans="16:16">
      <c r="P57019" s="2498"/>
    </row>
    <row r="57020" spans="16:16">
      <c r="P57020" s="2498"/>
    </row>
    <row r="57021" spans="16:16">
      <c r="P57021" s="2498"/>
    </row>
    <row r="57022" spans="16:16">
      <c r="P57022" s="2498"/>
    </row>
    <row r="57023" spans="16:16">
      <c r="P57023" s="2498"/>
    </row>
    <row r="57024" spans="16:16">
      <c r="P57024" s="2498"/>
    </row>
    <row r="57025" spans="16:16">
      <c r="P57025" s="2498"/>
    </row>
    <row r="57026" spans="16:16">
      <c r="P57026" s="2498"/>
    </row>
    <row r="57027" spans="16:16">
      <c r="P57027" s="2498"/>
    </row>
    <row r="57028" spans="16:16">
      <c r="P57028" s="2498"/>
    </row>
    <row r="57029" spans="16:16">
      <c r="P57029" s="2498"/>
    </row>
    <row r="57030" spans="16:16">
      <c r="P57030" s="2498"/>
    </row>
    <row r="57031" spans="16:16">
      <c r="P57031" s="2498"/>
    </row>
    <row r="57032" spans="16:16">
      <c r="P57032" s="2498"/>
    </row>
    <row r="57033" spans="16:16">
      <c r="P57033" s="2498"/>
    </row>
    <row r="57034" spans="16:16">
      <c r="P57034" s="2498"/>
    </row>
    <row r="57035" spans="16:16">
      <c r="P57035" s="2498"/>
    </row>
    <row r="57036" spans="16:16">
      <c r="P57036" s="2498"/>
    </row>
    <row r="57037" spans="16:16">
      <c r="P57037" s="2498"/>
    </row>
    <row r="57038" spans="16:16">
      <c r="P57038" s="2498"/>
    </row>
    <row r="57039" spans="16:16">
      <c r="P57039" s="2498"/>
    </row>
    <row r="57040" spans="16:16">
      <c r="P57040" s="2498"/>
    </row>
    <row r="57041" spans="16:16">
      <c r="P57041" s="2498"/>
    </row>
    <row r="57042" spans="16:16">
      <c r="P57042" s="2498"/>
    </row>
    <row r="57043" spans="16:16">
      <c r="P57043" s="2498"/>
    </row>
    <row r="57044" spans="16:16">
      <c r="P57044" s="2498"/>
    </row>
    <row r="57045" spans="16:16">
      <c r="P57045" s="2498"/>
    </row>
    <row r="57046" spans="16:16">
      <c r="P57046" s="2498"/>
    </row>
    <row r="57047" spans="16:16">
      <c r="P57047" s="2498"/>
    </row>
    <row r="57048" spans="16:16">
      <c r="P57048" s="2498"/>
    </row>
    <row r="57049" spans="16:16">
      <c r="P57049" s="2498"/>
    </row>
    <row r="57050" spans="16:16">
      <c r="P57050" s="2498"/>
    </row>
    <row r="57051" spans="16:16">
      <c r="P57051" s="2498"/>
    </row>
    <row r="57052" spans="16:16">
      <c r="P57052" s="2498"/>
    </row>
    <row r="57053" spans="16:16">
      <c r="P57053" s="2498"/>
    </row>
    <row r="57054" spans="16:16">
      <c r="P57054" s="2498"/>
    </row>
    <row r="57055" spans="16:16">
      <c r="P57055" s="2498"/>
    </row>
    <row r="57056" spans="16:16">
      <c r="P57056" s="2498"/>
    </row>
    <row r="57057" spans="16:16">
      <c r="P57057" s="2498"/>
    </row>
    <row r="57058" spans="16:16">
      <c r="P57058" s="2498"/>
    </row>
    <row r="57059" spans="16:16">
      <c r="P57059" s="2498"/>
    </row>
    <row r="57060" spans="16:16">
      <c r="P57060" s="2498"/>
    </row>
    <row r="57061" spans="16:16">
      <c r="P57061" s="2498"/>
    </row>
    <row r="57062" spans="16:16">
      <c r="P57062" s="2498"/>
    </row>
    <row r="57063" spans="16:16">
      <c r="P57063" s="2498"/>
    </row>
    <row r="57064" spans="16:16">
      <c r="P57064" s="2498"/>
    </row>
    <row r="57065" spans="16:16">
      <c r="P57065" s="2498"/>
    </row>
    <row r="57066" spans="16:16">
      <c r="P57066" s="2498"/>
    </row>
    <row r="57067" spans="16:16">
      <c r="P57067" s="2498"/>
    </row>
    <row r="57068" spans="16:16">
      <c r="P57068" s="2498"/>
    </row>
    <row r="57069" spans="16:16">
      <c r="P57069" s="2498"/>
    </row>
    <row r="57070" spans="16:16">
      <c r="P57070" s="2498"/>
    </row>
    <row r="57071" spans="16:16">
      <c r="P57071" s="2498"/>
    </row>
    <row r="57072" spans="16:16">
      <c r="P57072" s="2498"/>
    </row>
    <row r="57073" spans="16:16">
      <c r="P57073" s="2498"/>
    </row>
    <row r="57074" spans="16:16">
      <c r="P57074" s="2498"/>
    </row>
    <row r="57075" spans="16:16">
      <c r="P57075" s="2498"/>
    </row>
    <row r="57076" spans="16:16">
      <c r="P57076" s="2498"/>
    </row>
    <row r="57077" spans="16:16">
      <c r="P57077" s="2498"/>
    </row>
    <row r="57078" spans="16:16">
      <c r="P57078" s="2498"/>
    </row>
    <row r="57079" spans="16:16">
      <c r="P57079" s="2498"/>
    </row>
    <row r="57080" spans="16:16">
      <c r="P57080" s="2498"/>
    </row>
    <row r="57081" spans="16:16">
      <c r="P57081" s="2498"/>
    </row>
    <row r="57082" spans="16:16">
      <c r="P57082" s="2498"/>
    </row>
    <row r="57083" spans="16:16">
      <c r="P57083" s="2498"/>
    </row>
    <row r="57084" spans="16:16">
      <c r="P57084" s="2498"/>
    </row>
    <row r="57085" spans="16:16">
      <c r="P57085" s="2498"/>
    </row>
    <row r="57086" spans="16:16">
      <c r="P57086" s="2498"/>
    </row>
    <row r="57087" spans="16:16">
      <c r="P57087" s="2498"/>
    </row>
    <row r="57088" spans="16:16">
      <c r="P57088" s="2498"/>
    </row>
    <row r="57089" spans="16:16">
      <c r="P57089" s="2498"/>
    </row>
    <row r="57090" spans="16:16">
      <c r="P57090" s="2498"/>
    </row>
    <row r="57091" spans="16:16">
      <c r="P57091" s="2498"/>
    </row>
    <row r="57092" spans="16:16">
      <c r="P57092" s="2498"/>
    </row>
    <row r="57093" spans="16:16">
      <c r="P57093" s="2498"/>
    </row>
    <row r="57094" spans="16:16">
      <c r="P57094" s="2498"/>
    </row>
    <row r="57095" spans="16:16">
      <c r="P57095" s="2498"/>
    </row>
    <row r="57096" spans="16:16">
      <c r="P57096" s="2498"/>
    </row>
    <row r="57097" spans="16:16">
      <c r="P57097" s="2498"/>
    </row>
    <row r="57098" spans="16:16">
      <c r="P57098" s="2498"/>
    </row>
    <row r="57099" spans="16:16">
      <c r="P57099" s="2498"/>
    </row>
    <row r="57100" spans="16:16">
      <c r="P57100" s="2498"/>
    </row>
    <row r="57101" spans="16:16">
      <c r="P57101" s="2498"/>
    </row>
    <row r="57102" spans="16:16">
      <c r="P57102" s="2498"/>
    </row>
    <row r="57103" spans="16:16">
      <c r="P57103" s="2498"/>
    </row>
    <row r="57104" spans="16:16">
      <c r="P57104" s="2498"/>
    </row>
    <row r="57105" spans="16:16">
      <c r="P57105" s="2498"/>
    </row>
    <row r="57106" spans="16:16">
      <c r="P57106" s="2498"/>
    </row>
    <row r="57107" spans="16:16">
      <c r="P57107" s="2498"/>
    </row>
    <row r="57108" spans="16:16">
      <c r="P57108" s="2498"/>
    </row>
    <row r="57109" spans="16:16">
      <c r="P57109" s="2498"/>
    </row>
    <row r="57110" spans="16:16">
      <c r="P57110" s="2498"/>
    </row>
    <row r="57111" spans="16:16">
      <c r="P57111" s="2498"/>
    </row>
    <row r="57112" spans="16:16">
      <c r="P57112" s="2498"/>
    </row>
    <row r="57113" spans="16:16">
      <c r="P57113" s="2498"/>
    </row>
    <row r="57114" spans="16:16">
      <c r="P57114" s="2498"/>
    </row>
    <row r="57115" spans="16:16">
      <c r="P57115" s="2498"/>
    </row>
    <row r="57116" spans="16:16">
      <c r="P57116" s="2498"/>
    </row>
    <row r="57117" spans="16:16">
      <c r="P57117" s="2498"/>
    </row>
    <row r="57118" spans="16:16">
      <c r="P57118" s="2498"/>
    </row>
    <row r="57119" spans="16:16">
      <c r="P57119" s="2498"/>
    </row>
    <row r="57120" spans="16:16">
      <c r="P57120" s="2498"/>
    </row>
    <row r="57121" spans="16:16">
      <c r="P57121" s="2498"/>
    </row>
    <row r="57122" spans="16:16">
      <c r="P57122" s="2498"/>
    </row>
    <row r="57123" spans="16:16">
      <c r="P57123" s="2498"/>
    </row>
    <row r="57124" spans="16:16">
      <c r="P57124" s="2498"/>
    </row>
    <row r="57125" spans="16:16">
      <c r="P57125" s="2498"/>
    </row>
    <row r="57126" spans="16:16">
      <c r="P57126" s="2498"/>
    </row>
    <row r="57127" spans="16:16">
      <c r="P57127" s="2498"/>
    </row>
    <row r="57128" spans="16:16">
      <c r="P57128" s="2498"/>
    </row>
    <row r="57129" spans="16:16">
      <c r="P57129" s="2498"/>
    </row>
    <row r="57130" spans="16:16">
      <c r="P57130" s="2498"/>
    </row>
    <row r="57131" spans="16:16">
      <c r="P57131" s="2498"/>
    </row>
    <row r="57132" spans="16:16">
      <c r="P57132" s="2498"/>
    </row>
    <row r="57133" spans="16:16">
      <c r="P57133" s="2498"/>
    </row>
    <row r="57134" spans="16:16">
      <c r="P57134" s="2498"/>
    </row>
    <row r="57135" spans="16:16">
      <c r="P57135" s="2498"/>
    </row>
    <row r="57136" spans="16:16">
      <c r="P57136" s="2498"/>
    </row>
    <row r="57137" spans="16:16">
      <c r="P57137" s="2498"/>
    </row>
    <row r="57138" spans="16:16">
      <c r="P57138" s="2498"/>
    </row>
    <row r="57139" spans="16:16">
      <c r="P57139" s="2498"/>
    </row>
    <row r="57140" spans="16:16">
      <c r="P57140" s="2498"/>
    </row>
    <row r="57141" spans="16:16">
      <c r="P57141" s="2498"/>
    </row>
    <row r="57142" spans="16:16">
      <c r="P57142" s="2498"/>
    </row>
    <row r="57143" spans="16:16">
      <c r="P57143" s="2498"/>
    </row>
    <row r="57144" spans="16:16">
      <c r="P57144" s="2498"/>
    </row>
    <row r="57145" spans="16:16">
      <c r="P57145" s="2498"/>
    </row>
    <row r="57146" spans="16:16">
      <c r="P57146" s="2498"/>
    </row>
    <row r="57147" spans="16:16">
      <c r="P57147" s="2498"/>
    </row>
    <row r="57148" spans="16:16">
      <c r="P57148" s="2498"/>
    </row>
    <row r="57149" spans="16:16">
      <c r="P57149" s="2498"/>
    </row>
    <row r="57150" spans="16:16">
      <c r="P57150" s="2498"/>
    </row>
    <row r="57151" spans="16:16">
      <c r="P57151" s="2498"/>
    </row>
    <row r="57152" spans="16:16">
      <c r="P57152" s="2498"/>
    </row>
    <row r="57153" spans="16:16">
      <c r="P57153" s="2498"/>
    </row>
    <row r="57154" spans="16:16">
      <c r="P57154" s="2498"/>
    </row>
    <row r="57155" spans="16:16">
      <c r="P57155" s="2498"/>
    </row>
    <row r="57156" spans="16:16">
      <c r="P57156" s="2498"/>
    </row>
    <row r="57157" spans="16:16">
      <c r="P57157" s="2498"/>
    </row>
    <row r="57158" spans="16:16">
      <c r="P57158" s="2498"/>
    </row>
    <row r="57159" spans="16:16">
      <c r="P57159" s="2498"/>
    </row>
    <row r="57160" spans="16:16">
      <c r="P57160" s="2498"/>
    </row>
    <row r="57161" spans="16:16">
      <c r="P57161" s="2498"/>
    </row>
    <row r="57162" spans="16:16">
      <c r="P57162" s="2498"/>
    </row>
    <row r="57163" spans="16:16">
      <c r="P57163" s="2498"/>
    </row>
    <row r="57164" spans="16:16">
      <c r="P57164" s="2498"/>
    </row>
    <row r="57165" spans="16:16">
      <c r="P57165" s="2498"/>
    </row>
    <row r="57166" spans="16:16">
      <c r="P57166" s="2498"/>
    </row>
    <row r="57167" spans="16:16">
      <c r="P57167" s="2498"/>
    </row>
    <row r="57168" spans="16:16">
      <c r="P57168" s="2498"/>
    </row>
    <row r="57169" spans="16:16">
      <c r="P57169" s="2498"/>
    </row>
    <row r="57170" spans="16:16">
      <c r="P57170" s="2498"/>
    </row>
    <row r="57171" spans="16:16">
      <c r="P57171" s="2498"/>
    </row>
    <row r="57172" spans="16:16">
      <c r="P57172" s="2498"/>
    </row>
    <row r="57173" spans="16:16">
      <c r="P57173" s="2498"/>
    </row>
    <row r="57174" spans="16:16">
      <c r="P57174" s="2498"/>
    </row>
    <row r="57175" spans="16:16">
      <c r="P57175" s="2498"/>
    </row>
    <row r="57176" spans="16:16">
      <c r="P57176" s="2498"/>
    </row>
    <row r="57177" spans="16:16">
      <c r="P57177" s="2498"/>
    </row>
    <row r="57178" spans="16:16">
      <c r="P57178" s="2498"/>
    </row>
    <row r="57179" spans="16:16">
      <c r="P57179" s="2498"/>
    </row>
    <row r="57180" spans="16:16">
      <c r="P57180" s="2498"/>
    </row>
    <row r="57181" spans="16:16">
      <c r="P57181" s="2498"/>
    </row>
    <row r="57182" spans="16:16">
      <c r="P57182" s="2498"/>
    </row>
    <row r="57183" spans="16:16">
      <c r="P57183" s="2498"/>
    </row>
    <row r="57184" spans="16:16">
      <c r="P57184" s="2498"/>
    </row>
    <row r="57185" spans="16:16">
      <c r="P57185" s="2498"/>
    </row>
    <row r="57186" spans="16:16">
      <c r="P57186" s="2498"/>
    </row>
    <row r="57187" spans="16:16">
      <c r="P57187" s="2498"/>
    </row>
    <row r="57188" spans="16:16">
      <c r="P57188" s="2498"/>
    </row>
    <row r="57189" spans="16:16">
      <c r="P57189" s="2498"/>
    </row>
    <row r="57190" spans="16:16">
      <c r="P57190" s="2498"/>
    </row>
    <row r="57191" spans="16:16">
      <c r="P57191" s="2498"/>
    </row>
    <row r="57192" spans="16:16">
      <c r="P57192" s="2498"/>
    </row>
    <row r="57193" spans="16:16">
      <c r="P57193" s="2498"/>
    </row>
    <row r="57194" spans="16:16">
      <c r="P57194" s="2498"/>
    </row>
    <row r="57195" spans="16:16">
      <c r="P57195" s="2498"/>
    </row>
    <row r="57196" spans="16:16">
      <c r="P57196" s="2498"/>
    </row>
    <row r="57197" spans="16:16">
      <c r="P57197" s="2498"/>
    </row>
    <row r="57198" spans="16:16">
      <c r="P57198" s="2498"/>
    </row>
    <row r="57199" spans="16:16">
      <c r="P57199" s="2498"/>
    </row>
    <row r="57200" spans="16:16">
      <c r="P57200" s="2498"/>
    </row>
    <row r="57201" spans="16:16">
      <c r="P57201" s="2498"/>
    </row>
    <row r="57202" spans="16:16">
      <c r="P57202" s="2498"/>
    </row>
    <row r="57203" spans="16:16">
      <c r="P57203" s="2498"/>
    </row>
    <row r="57204" spans="16:16">
      <c r="P57204" s="2498"/>
    </row>
    <row r="57205" spans="16:16">
      <c r="P57205" s="2498"/>
    </row>
    <row r="57206" spans="16:16">
      <c r="P57206" s="2498"/>
    </row>
    <row r="57207" spans="16:16">
      <c r="P57207" s="2498"/>
    </row>
    <row r="57208" spans="16:16">
      <c r="P57208" s="2498"/>
    </row>
    <row r="57209" spans="16:16">
      <c r="P57209" s="2498"/>
    </row>
    <row r="57210" spans="16:16">
      <c r="P57210" s="2498"/>
    </row>
    <row r="57211" spans="16:16">
      <c r="P57211" s="2498"/>
    </row>
    <row r="57212" spans="16:16">
      <c r="P57212" s="2498"/>
    </row>
    <row r="57213" spans="16:16">
      <c r="P57213" s="2498"/>
    </row>
    <row r="57214" spans="16:16">
      <c r="P57214" s="2498"/>
    </row>
    <row r="57215" spans="16:16">
      <c r="P57215" s="2498"/>
    </row>
    <row r="57216" spans="16:16">
      <c r="P57216" s="2498"/>
    </row>
    <row r="57217" spans="16:16">
      <c r="P57217" s="2498"/>
    </row>
    <row r="57218" spans="16:16">
      <c r="P57218" s="2498"/>
    </row>
    <row r="57219" spans="16:16">
      <c r="P57219" s="2498"/>
    </row>
    <row r="57220" spans="16:16">
      <c r="P57220" s="2498"/>
    </row>
    <row r="57221" spans="16:16">
      <c r="P57221" s="2498"/>
    </row>
    <row r="57222" spans="16:16">
      <c r="P57222" s="2498"/>
    </row>
    <row r="57223" spans="16:16">
      <c r="P57223" s="2498"/>
    </row>
    <row r="57224" spans="16:16">
      <c r="P57224" s="2498"/>
    </row>
    <row r="57225" spans="16:16">
      <c r="P57225" s="2498"/>
    </row>
    <row r="57226" spans="16:16">
      <c r="P57226" s="2498"/>
    </row>
    <row r="57227" spans="16:16">
      <c r="P57227" s="2498"/>
    </row>
    <row r="57228" spans="16:16">
      <c r="P57228" s="2498"/>
    </row>
    <row r="57229" spans="16:16">
      <c r="P57229" s="2498"/>
    </row>
    <row r="57230" spans="16:16">
      <c r="P57230" s="2498"/>
    </row>
    <row r="57231" spans="16:16">
      <c r="P57231" s="2498"/>
    </row>
    <row r="57232" spans="16:16">
      <c r="P57232" s="2498"/>
    </row>
    <row r="57233" spans="16:16">
      <c r="P57233" s="2498"/>
    </row>
    <row r="57234" spans="16:16">
      <c r="P57234" s="2498"/>
    </row>
    <row r="57235" spans="16:16">
      <c r="P57235" s="2498"/>
    </row>
    <row r="57236" spans="16:16">
      <c r="P57236" s="2498"/>
    </row>
    <row r="57237" spans="16:16">
      <c r="P57237" s="2498"/>
    </row>
    <row r="57238" spans="16:16">
      <c r="P57238" s="2498"/>
    </row>
    <row r="57239" spans="16:16">
      <c r="P57239" s="2498"/>
    </row>
    <row r="57240" spans="16:16">
      <c r="P57240" s="2498"/>
    </row>
    <row r="57241" spans="16:16">
      <c r="P57241" s="2498"/>
    </row>
    <row r="57242" spans="16:16">
      <c r="P57242" s="2498"/>
    </row>
    <row r="57243" spans="16:16">
      <c r="P57243" s="2498"/>
    </row>
    <row r="57244" spans="16:16">
      <c r="P57244" s="2498"/>
    </row>
    <row r="57245" spans="16:16">
      <c r="P57245" s="2498"/>
    </row>
    <row r="57246" spans="16:16">
      <c r="P57246" s="2498"/>
    </row>
    <row r="57247" spans="16:16">
      <c r="P57247" s="2498"/>
    </row>
    <row r="57248" spans="16:16">
      <c r="P57248" s="2498"/>
    </row>
    <row r="57249" spans="16:16">
      <c r="P57249" s="2498"/>
    </row>
    <row r="57250" spans="16:16">
      <c r="P57250" s="2498"/>
    </row>
    <row r="57251" spans="16:16">
      <c r="P57251" s="2498"/>
    </row>
    <row r="57252" spans="16:16">
      <c r="P57252" s="2498"/>
    </row>
    <row r="57253" spans="16:16">
      <c r="P57253" s="2498"/>
    </row>
    <row r="57254" spans="16:16">
      <c r="P57254" s="2498"/>
    </row>
    <row r="57255" spans="16:16">
      <c r="P57255" s="2498"/>
    </row>
    <row r="57256" spans="16:16">
      <c r="P57256" s="2498"/>
    </row>
    <row r="57257" spans="16:16">
      <c r="P57257" s="2498"/>
    </row>
    <row r="57258" spans="16:16">
      <c r="P57258" s="2498"/>
    </row>
    <row r="57259" spans="16:16">
      <c r="P57259" s="2498"/>
    </row>
    <row r="57260" spans="16:16">
      <c r="P57260" s="2498"/>
    </row>
    <row r="57261" spans="16:16">
      <c r="P57261" s="2498"/>
    </row>
    <row r="57262" spans="16:16">
      <c r="P57262" s="2498"/>
    </row>
    <row r="57263" spans="16:16">
      <c r="P57263" s="2498"/>
    </row>
    <row r="57264" spans="16:16">
      <c r="P57264" s="2498"/>
    </row>
    <row r="57265" spans="16:16">
      <c r="P57265" s="2498"/>
    </row>
    <row r="57266" spans="16:16">
      <c r="P57266" s="2498"/>
    </row>
    <row r="57267" spans="16:16">
      <c r="P57267" s="2498"/>
    </row>
    <row r="57268" spans="16:16">
      <c r="P57268" s="2498"/>
    </row>
    <row r="57269" spans="16:16">
      <c r="P57269" s="2498"/>
    </row>
    <row r="57270" spans="16:16">
      <c r="P57270" s="2498"/>
    </row>
    <row r="57271" spans="16:16">
      <c r="P57271" s="2498"/>
    </row>
    <row r="57272" spans="16:16">
      <c r="P57272" s="2498"/>
    </row>
    <row r="57273" spans="16:16">
      <c r="P57273" s="2498"/>
    </row>
    <row r="57274" spans="16:16">
      <c r="P57274" s="2498"/>
    </row>
    <row r="57275" spans="16:16">
      <c r="P57275" s="2498"/>
    </row>
    <row r="57276" spans="16:16">
      <c r="P57276" s="2498"/>
    </row>
    <row r="57277" spans="16:16">
      <c r="P57277" s="2498"/>
    </row>
    <row r="57278" spans="16:16">
      <c r="P57278" s="2498"/>
    </row>
    <row r="57279" spans="16:16">
      <c r="P57279" s="2498"/>
    </row>
    <row r="57280" spans="16:16">
      <c r="P57280" s="2498"/>
    </row>
    <row r="57281" spans="16:16">
      <c r="P57281" s="2498"/>
    </row>
    <row r="57282" spans="16:16">
      <c r="P57282" s="2498"/>
    </row>
    <row r="57283" spans="16:16">
      <c r="P57283" s="2498"/>
    </row>
    <row r="57284" spans="16:16">
      <c r="P57284" s="2498"/>
    </row>
    <row r="57285" spans="16:16">
      <c r="P57285" s="2498"/>
    </row>
    <row r="57286" spans="16:16">
      <c r="P57286" s="2498"/>
    </row>
    <row r="57287" spans="16:16">
      <c r="P57287" s="2498"/>
    </row>
    <row r="57288" spans="16:16">
      <c r="P57288" s="2498"/>
    </row>
    <row r="57289" spans="16:16">
      <c r="P57289" s="2498"/>
    </row>
    <row r="57290" spans="16:16">
      <c r="P57290" s="2498"/>
    </row>
    <row r="57291" spans="16:16">
      <c r="P57291" s="2498"/>
    </row>
    <row r="57292" spans="16:16">
      <c r="P57292" s="2498"/>
    </row>
    <row r="57293" spans="16:16">
      <c r="P57293" s="2498"/>
    </row>
    <row r="57294" spans="16:16">
      <c r="P57294" s="2498"/>
    </row>
    <row r="57295" spans="16:16">
      <c r="P57295" s="2498"/>
    </row>
    <row r="57296" spans="16:16">
      <c r="P57296" s="2498"/>
    </row>
    <row r="57297" spans="16:16">
      <c r="P57297" s="2498"/>
    </row>
    <row r="57298" spans="16:16">
      <c r="P57298" s="2498"/>
    </row>
    <row r="57299" spans="16:16">
      <c r="P57299" s="2498"/>
    </row>
    <row r="57300" spans="16:16">
      <c r="P57300" s="2498"/>
    </row>
    <row r="57301" spans="16:16">
      <c r="P57301" s="2498"/>
    </row>
    <row r="57302" spans="16:16">
      <c r="P57302" s="2498"/>
    </row>
    <row r="57303" spans="16:16">
      <c r="P57303" s="2498"/>
    </row>
    <row r="57304" spans="16:16">
      <c r="P57304" s="2498"/>
    </row>
    <row r="57305" spans="16:16">
      <c r="P57305" s="2498"/>
    </row>
    <row r="57306" spans="16:16">
      <c r="P57306" s="2498"/>
    </row>
    <row r="57307" spans="16:16">
      <c r="P57307" s="2498"/>
    </row>
    <row r="57308" spans="16:16">
      <c r="P57308" s="2498"/>
    </row>
    <row r="57309" spans="16:16">
      <c r="P57309" s="2498"/>
    </row>
    <row r="57310" spans="16:16">
      <c r="P57310" s="2498"/>
    </row>
    <row r="57311" spans="16:16">
      <c r="P57311" s="2498"/>
    </row>
    <row r="57312" spans="16:16">
      <c r="P57312" s="2498"/>
    </row>
    <row r="57313" spans="16:16">
      <c r="P57313" s="2498"/>
    </row>
    <row r="57314" spans="16:16">
      <c r="P57314" s="2498"/>
    </row>
    <row r="57315" spans="16:16">
      <c r="P57315" s="2498"/>
    </row>
    <row r="57316" spans="16:16">
      <c r="P57316" s="2498"/>
    </row>
    <row r="57317" spans="16:16">
      <c r="P57317" s="2498"/>
    </row>
    <row r="57318" spans="16:16">
      <c r="P57318" s="2498"/>
    </row>
    <row r="57319" spans="16:16">
      <c r="P57319" s="2498"/>
    </row>
    <row r="57320" spans="16:16">
      <c r="P57320" s="2498"/>
    </row>
    <row r="57321" spans="16:16">
      <c r="P57321" s="2498"/>
    </row>
    <row r="57322" spans="16:16">
      <c r="P57322" s="2498"/>
    </row>
    <row r="57323" spans="16:16">
      <c r="P57323" s="2498"/>
    </row>
    <row r="57324" spans="16:16">
      <c r="P57324" s="2498"/>
    </row>
    <row r="57325" spans="16:16">
      <c r="P57325" s="2498"/>
    </row>
    <row r="57326" spans="16:16">
      <c r="P57326" s="2498"/>
    </row>
    <row r="57327" spans="16:16">
      <c r="P57327" s="2498"/>
    </row>
    <row r="57328" spans="16:16">
      <c r="P57328" s="2498"/>
    </row>
    <row r="57329" spans="16:16">
      <c r="P57329" s="2498"/>
    </row>
    <row r="57330" spans="16:16">
      <c r="P57330" s="2498"/>
    </row>
    <row r="57331" spans="16:16">
      <c r="P57331" s="2498"/>
    </row>
    <row r="57332" spans="16:16">
      <c r="P57332" s="2498"/>
    </row>
    <row r="57333" spans="16:16">
      <c r="P57333" s="2498"/>
    </row>
    <row r="57334" spans="16:16">
      <c r="P57334" s="2498"/>
    </row>
    <row r="57335" spans="16:16">
      <c r="P57335" s="2498"/>
    </row>
    <row r="57336" spans="16:16">
      <c r="P57336" s="2498"/>
    </row>
    <row r="57337" spans="16:16">
      <c r="P57337" s="2498"/>
    </row>
    <row r="57338" spans="16:16">
      <c r="P57338" s="2498"/>
    </row>
    <row r="57339" spans="16:16">
      <c r="P57339" s="2498"/>
    </row>
    <row r="57340" spans="16:16">
      <c r="P57340" s="2498"/>
    </row>
    <row r="57341" spans="16:16">
      <c r="P57341" s="2498"/>
    </row>
    <row r="57342" spans="16:16">
      <c r="P57342" s="2498"/>
    </row>
    <row r="57343" spans="16:16">
      <c r="P57343" s="2498"/>
    </row>
    <row r="57344" spans="16:16">
      <c r="P57344" s="2498"/>
    </row>
    <row r="57345" spans="16:16">
      <c r="P57345" s="2498"/>
    </row>
    <row r="57346" spans="16:16">
      <c r="P57346" s="2498"/>
    </row>
    <row r="57347" spans="16:16">
      <c r="P57347" s="2498"/>
    </row>
    <row r="57348" spans="16:16">
      <c r="P57348" s="2498"/>
    </row>
    <row r="57349" spans="16:16">
      <c r="P57349" s="2498"/>
    </row>
    <row r="57350" spans="16:16">
      <c r="P57350" s="2498"/>
    </row>
    <row r="57351" spans="16:16">
      <c r="P57351" s="2498"/>
    </row>
    <row r="57352" spans="16:16">
      <c r="P57352" s="2498"/>
    </row>
    <row r="57353" spans="16:16">
      <c r="P57353" s="2498"/>
    </row>
    <row r="57354" spans="16:16">
      <c r="P57354" s="2498"/>
    </row>
    <row r="57355" spans="16:16">
      <c r="P57355" s="2498"/>
    </row>
    <row r="57356" spans="16:16">
      <c r="P57356" s="2498"/>
    </row>
    <row r="57357" spans="16:16">
      <c r="P57357" s="2498"/>
    </row>
    <row r="57358" spans="16:16">
      <c r="P57358" s="2498"/>
    </row>
    <row r="57359" spans="16:16">
      <c r="P57359" s="2498"/>
    </row>
    <row r="57360" spans="16:16">
      <c r="P57360" s="2498"/>
    </row>
    <row r="57361" spans="16:16">
      <c r="P57361" s="2498"/>
    </row>
    <row r="57362" spans="16:16">
      <c r="P57362" s="2498"/>
    </row>
    <row r="57363" spans="16:16">
      <c r="P57363" s="2498"/>
    </row>
    <row r="57364" spans="16:16">
      <c r="P57364" s="2498"/>
    </row>
    <row r="57365" spans="16:16">
      <c r="P57365" s="2498"/>
    </row>
    <row r="57366" spans="16:16">
      <c r="P57366" s="2498"/>
    </row>
    <row r="57367" spans="16:16">
      <c r="P57367" s="2498"/>
    </row>
    <row r="57368" spans="16:16">
      <c r="P57368" s="2498"/>
    </row>
    <row r="57369" spans="16:16">
      <c r="P57369" s="2498"/>
    </row>
    <row r="57370" spans="16:16">
      <c r="P57370" s="2498"/>
    </row>
    <row r="57371" spans="16:16">
      <c r="P57371" s="2498"/>
    </row>
    <row r="57372" spans="16:16">
      <c r="P57372" s="2498"/>
    </row>
    <row r="57373" spans="16:16">
      <c r="P57373" s="2498"/>
    </row>
    <row r="57374" spans="16:16">
      <c r="P57374" s="2498"/>
    </row>
    <row r="57375" spans="16:16">
      <c r="P57375" s="2498"/>
    </row>
    <row r="57376" spans="16:16">
      <c r="P57376" s="2498"/>
    </row>
    <row r="57377" spans="16:16">
      <c r="P57377" s="2498"/>
    </row>
    <row r="57378" spans="16:16">
      <c r="P57378" s="2498"/>
    </row>
    <row r="57379" spans="16:16">
      <c r="P57379" s="2498"/>
    </row>
    <row r="57380" spans="16:16">
      <c r="P57380" s="2498"/>
    </row>
    <row r="57381" spans="16:16">
      <c r="P57381" s="2498"/>
    </row>
    <row r="57382" spans="16:16">
      <c r="P57382" s="2498"/>
    </row>
    <row r="57383" spans="16:16">
      <c r="P57383" s="2498"/>
    </row>
    <row r="57384" spans="16:16">
      <c r="P57384" s="2498"/>
    </row>
    <row r="57385" spans="16:16">
      <c r="P57385" s="2498"/>
    </row>
    <row r="57386" spans="16:16">
      <c r="P57386" s="2498"/>
    </row>
    <row r="57387" spans="16:16">
      <c r="P57387" s="2498"/>
    </row>
    <row r="57388" spans="16:16">
      <c r="P57388" s="2498"/>
    </row>
    <row r="57389" spans="16:16">
      <c r="P57389" s="2498"/>
    </row>
    <row r="57390" spans="16:16">
      <c r="P57390" s="2498"/>
    </row>
    <row r="57391" spans="16:16">
      <c r="P57391" s="2498"/>
    </row>
    <row r="57392" spans="16:16">
      <c r="P57392" s="2498"/>
    </row>
    <row r="57393" spans="16:16">
      <c r="P57393" s="2498"/>
    </row>
    <row r="57394" spans="16:16">
      <c r="P57394" s="2498"/>
    </row>
    <row r="57395" spans="16:16">
      <c r="P57395" s="2498"/>
    </row>
    <row r="57396" spans="16:16">
      <c r="P57396" s="2498"/>
    </row>
    <row r="57397" spans="16:16">
      <c r="P57397" s="2498"/>
    </row>
    <row r="57398" spans="16:16">
      <c r="P57398" s="2498"/>
    </row>
    <row r="57399" spans="16:16">
      <c r="P57399" s="2498"/>
    </row>
    <row r="57400" spans="16:16">
      <c r="P57400" s="2498"/>
    </row>
    <row r="57401" spans="16:16">
      <c r="P57401" s="2498"/>
    </row>
    <row r="57402" spans="16:16">
      <c r="P57402" s="2498"/>
    </row>
    <row r="57403" spans="16:16">
      <c r="P57403" s="2498"/>
    </row>
    <row r="57404" spans="16:16">
      <c r="P57404" s="2498"/>
    </row>
    <row r="57405" spans="16:16">
      <c r="P57405" s="2498"/>
    </row>
    <row r="57406" spans="16:16">
      <c r="P57406" s="2498"/>
    </row>
    <row r="57407" spans="16:16">
      <c r="P57407" s="2498"/>
    </row>
    <row r="57408" spans="16:16">
      <c r="P57408" s="2498"/>
    </row>
    <row r="57409" spans="16:16">
      <c r="P57409" s="2498"/>
    </row>
    <row r="57410" spans="16:16">
      <c r="P57410" s="2498"/>
    </row>
    <row r="57411" spans="16:16">
      <c r="P57411" s="2498"/>
    </row>
    <row r="57412" spans="16:16">
      <c r="P57412" s="2498"/>
    </row>
    <row r="57413" spans="16:16">
      <c r="P57413" s="2498"/>
    </row>
    <row r="57414" spans="16:16">
      <c r="P57414" s="2498"/>
    </row>
    <row r="57415" spans="16:16">
      <c r="P57415" s="2498"/>
    </row>
    <row r="57416" spans="16:16">
      <c r="P57416" s="2498"/>
    </row>
    <row r="57417" spans="16:16">
      <c r="P57417" s="2498"/>
    </row>
    <row r="57418" spans="16:16">
      <c r="P57418" s="2498"/>
    </row>
    <row r="57419" spans="16:16">
      <c r="P57419" s="2498"/>
    </row>
    <row r="57420" spans="16:16">
      <c r="P57420" s="2498"/>
    </row>
    <row r="57421" spans="16:16">
      <c r="P57421" s="2498"/>
    </row>
    <row r="57422" spans="16:16">
      <c r="P57422" s="2498"/>
    </row>
    <row r="57423" spans="16:16">
      <c r="P57423" s="2498"/>
    </row>
    <row r="57424" spans="16:16">
      <c r="P57424" s="2498"/>
    </row>
    <row r="57425" spans="16:16">
      <c r="P57425" s="2498"/>
    </row>
    <row r="57426" spans="16:16">
      <c r="P57426" s="2498"/>
    </row>
    <row r="57427" spans="16:16">
      <c r="P57427" s="2498"/>
    </row>
    <row r="57428" spans="16:16">
      <c r="P57428" s="2498"/>
    </row>
    <row r="57429" spans="16:16">
      <c r="P57429" s="2498"/>
    </row>
    <row r="57430" spans="16:16">
      <c r="P57430" s="2498"/>
    </row>
    <row r="57431" spans="16:16">
      <c r="P57431" s="2498"/>
    </row>
    <row r="57432" spans="16:16">
      <c r="P57432" s="2498"/>
    </row>
    <row r="57433" spans="16:16">
      <c r="P57433" s="2498"/>
    </row>
    <row r="57434" spans="16:16">
      <c r="P57434" s="2498"/>
    </row>
    <row r="57435" spans="16:16">
      <c r="P57435" s="2498"/>
    </row>
    <row r="57436" spans="16:16">
      <c r="P57436" s="2498"/>
    </row>
    <row r="57437" spans="16:16">
      <c r="P57437" s="2498"/>
    </row>
    <row r="57438" spans="16:16">
      <c r="P57438" s="2498"/>
    </row>
    <row r="57439" spans="16:16">
      <c r="P57439" s="2498"/>
    </row>
    <row r="57440" spans="16:16">
      <c r="P57440" s="2498"/>
    </row>
    <row r="57441" spans="16:16">
      <c r="P57441" s="2498"/>
    </row>
    <row r="57442" spans="16:16">
      <c r="P57442" s="2498"/>
    </row>
    <row r="57443" spans="16:16">
      <c r="P57443" s="2498"/>
    </row>
    <row r="57444" spans="16:16">
      <c r="P57444" s="2498"/>
    </row>
    <row r="57445" spans="16:16">
      <c r="P57445" s="2498"/>
    </row>
    <row r="57446" spans="16:16">
      <c r="P57446" s="2498"/>
    </row>
    <row r="57447" spans="16:16">
      <c r="P57447" s="2498"/>
    </row>
    <row r="57448" spans="16:16">
      <c r="P57448" s="2498"/>
    </row>
    <row r="57449" spans="16:16">
      <c r="P57449" s="2498"/>
    </row>
    <row r="57450" spans="16:16">
      <c r="P57450" s="2498"/>
    </row>
    <row r="57451" spans="16:16">
      <c r="P57451" s="2498"/>
    </row>
    <row r="57452" spans="16:16">
      <c r="P57452" s="2498"/>
    </row>
    <row r="57453" spans="16:16">
      <c r="P57453" s="2498"/>
    </row>
    <row r="57454" spans="16:16">
      <c r="P57454" s="2498"/>
    </row>
    <row r="57455" spans="16:16">
      <c r="P57455" s="2498"/>
    </row>
    <row r="57456" spans="16:16">
      <c r="P57456" s="2498"/>
    </row>
    <row r="57457" spans="16:16">
      <c r="P57457" s="2498"/>
    </row>
    <row r="57458" spans="16:16">
      <c r="P57458" s="2498"/>
    </row>
    <row r="57459" spans="16:16">
      <c r="P57459" s="2498"/>
    </row>
    <row r="57460" spans="16:16">
      <c r="P57460" s="2498"/>
    </row>
    <row r="57461" spans="16:16">
      <c r="P57461" s="2498"/>
    </row>
    <row r="57462" spans="16:16">
      <c r="P57462" s="2498"/>
    </row>
    <row r="57463" spans="16:16">
      <c r="P57463" s="2498"/>
    </row>
    <row r="57464" spans="16:16">
      <c r="P57464" s="2498"/>
    </row>
    <row r="57465" spans="16:16">
      <c r="P57465" s="2498"/>
    </row>
    <row r="57466" spans="16:16">
      <c r="P57466" s="2498"/>
    </row>
    <row r="57467" spans="16:16">
      <c r="P57467" s="2498"/>
    </row>
    <row r="57468" spans="16:16">
      <c r="P57468" s="2498"/>
    </row>
    <row r="57469" spans="16:16">
      <c r="P57469" s="2498"/>
    </row>
    <row r="57470" spans="16:16">
      <c r="P57470" s="2498"/>
    </row>
    <row r="57471" spans="16:16">
      <c r="P57471" s="2498"/>
    </row>
    <row r="57472" spans="16:16">
      <c r="P57472" s="2498"/>
    </row>
    <row r="57473" spans="16:16">
      <c r="P57473" s="2498"/>
    </row>
    <row r="57474" spans="16:16">
      <c r="P57474" s="2498"/>
    </row>
    <row r="57475" spans="16:16">
      <c r="P57475" s="2498"/>
    </row>
    <row r="57476" spans="16:16">
      <c r="P57476" s="2498"/>
    </row>
    <row r="57477" spans="16:16">
      <c r="P57477" s="2498"/>
    </row>
    <row r="57478" spans="16:16">
      <c r="P57478" s="2498"/>
    </row>
    <row r="57479" spans="16:16">
      <c r="P57479" s="2498"/>
    </row>
    <row r="57480" spans="16:16">
      <c r="P57480" s="2498"/>
    </row>
    <row r="57481" spans="16:16">
      <c r="P57481" s="2498"/>
    </row>
    <row r="57482" spans="16:16">
      <c r="P57482" s="2498"/>
    </row>
    <row r="57483" spans="16:16">
      <c r="P57483" s="2498"/>
    </row>
    <row r="57484" spans="16:16">
      <c r="P57484" s="2498"/>
    </row>
    <row r="57485" spans="16:16">
      <c r="P57485" s="2498"/>
    </row>
    <row r="57486" spans="16:16">
      <c r="P57486" s="2498"/>
    </row>
    <row r="57487" spans="16:16">
      <c r="P57487" s="2498"/>
    </row>
    <row r="57488" spans="16:16">
      <c r="P57488" s="2498"/>
    </row>
    <row r="57489" spans="16:16">
      <c r="P57489" s="2498"/>
    </row>
    <row r="57490" spans="16:16">
      <c r="P57490" s="2498"/>
    </row>
    <row r="57491" spans="16:16">
      <c r="P57491" s="2498"/>
    </row>
    <row r="57492" spans="16:16">
      <c r="P57492" s="2498"/>
    </row>
    <row r="57493" spans="16:16">
      <c r="P57493" s="2498"/>
    </row>
    <row r="57494" spans="16:16">
      <c r="P57494" s="2498"/>
    </row>
    <row r="57495" spans="16:16">
      <c r="P57495" s="2498"/>
    </row>
    <row r="57496" spans="16:16">
      <c r="P57496" s="2498"/>
    </row>
    <row r="57497" spans="16:16">
      <c r="P57497" s="2498"/>
    </row>
    <row r="57498" spans="16:16">
      <c r="P57498" s="2498"/>
    </row>
    <row r="57499" spans="16:16">
      <c r="P57499" s="2498"/>
    </row>
    <row r="57500" spans="16:16">
      <c r="P57500" s="2498"/>
    </row>
    <row r="57501" spans="16:16">
      <c r="P57501" s="2498"/>
    </row>
    <row r="57502" spans="16:16">
      <c r="P57502" s="2498"/>
    </row>
    <row r="57503" spans="16:16">
      <c r="P57503" s="2498"/>
    </row>
    <row r="57504" spans="16:16">
      <c r="P57504" s="2498"/>
    </row>
    <row r="57505" spans="16:16">
      <c r="P57505" s="2498"/>
    </row>
    <row r="57506" spans="16:16">
      <c r="P57506" s="2498"/>
    </row>
    <row r="57507" spans="16:16">
      <c r="P57507" s="2498"/>
    </row>
    <row r="57508" spans="16:16">
      <c r="P57508" s="2498"/>
    </row>
    <row r="57509" spans="16:16">
      <c r="P57509" s="2498"/>
    </row>
    <row r="57510" spans="16:16">
      <c r="P57510" s="2498"/>
    </row>
    <row r="57511" spans="16:16">
      <c r="P57511" s="2498"/>
    </row>
    <row r="57512" spans="16:16">
      <c r="P57512" s="2498"/>
    </row>
    <row r="57513" spans="16:16">
      <c r="P57513" s="2498"/>
    </row>
    <row r="57514" spans="16:16">
      <c r="P57514" s="2498"/>
    </row>
    <row r="57515" spans="16:16">
      <c r="P57515" s="2498"/>
    </row>
    <row r="57516" spans="16:16">
      <c r="P57516" s="2498"/>
    </row>
    <row r="57517" spans="16:16">
      <c r="P57517" s="2498"/>
    </row>
    <row r="57518" spans="16:16">
      <c r="P57518" s="2498"/>
    </row>
    <row r="57519" spans="16:16">
      <c r="P57519" s="2498"/>
    </row>
    <row r="57520" spans="16:16">
      <c r="P57520" s="2498"/>
    </row>
    <row r="57521" spans="16:16">
      <c r="P57521" s="2498"/>
    </row>
    <row r="57522" spans="16:16">
      <c r="P57522" s="2498"/>
    </row>
    <row r="57523" spans="16:16">
      <c r="P57523" s="2498"/>
    </row>
    <row r="57524" spans="16:16">
      <c r="P57524" s="2498"/>
    </row>
    <row r="57525" spans="16:16">
      <c r="P57525" s="2498"/>
    </row>
    <row r="57526" spans="16:16">
      <c r="P57526" s="2498"/>
    </row>
    <row r="57527" spans="16:16">
      <c r="P57527" s="2498"/>
    </row>
    <row r="57528" spans="16:16">
      <c r="P57528" s="2498"/>
    </row>
    <row r="57529" spans="16:16">
      <c r="P57529" s="2498"/>
    </row>
    <row r="57530" spans="16:16">
      <c r="P57530" s="2498"/>
    </row>
    <row r="57531" spans="16:16">
      <c r="P57531" s="2498"/>
    </row>
    <row r="57532" spans="16:16">
      <c r="P57532" s="2498"/>
    </row>
    <row r="57533" spans="16:16">
      <c r="P57533" s="2498"/>
    </row>
    <row r="57534" spans="16:16">
      <c r="P57534" s="2498"/>
    </row>
    <row r="57535" spans="16:16">
      <c r="P57535" s="2498"/>
    </row>
    <row r="57536" spans="16:16">
      <c r="P57536" s="2498"/>
    </row>
    <row r="57537" spans="16:16">
      <c r="P57537" s="2498"/>
    </row>
    <row r="57538" spans="16:16">
      <c r="P57538" s="2498"/>
    </row>
    <row r="57539" spans="16:16">
      <c r="P57539" s="2498"/>
    </row>
    <row r="57540" spans="16:16">
      <c r="P57540" s="2498"/>
    </row>
    <row r="57541" spans="16:16">
      <c r="P57541" s="2498"/>
    </row>
    <row r="57542" spans="16:16">
      <c r="P57542" s="2498"/>
    </row>
    <row r="57543" spans="16:16">
      <c r="P57543" s="2498"/>
    </row>
    <row r="57544" spans="16:16">
      <c r="P57544" s="2498"/>
    </row>
    <row r="57545" spans="16:16">
      <c r="P57545" s="2498"/>
    </row>
    <row r="57546" spans="16:16">
      <c r="P57546" s="2498"/>
    </row>
    <row r="57547" spans="16:16">
      <c r="P57547" s="2498"/>
    </row>
    <row r="57548" spans="16:16">
      <c r="P57548" s="2498"/>
    </row>
    <row r="57549" spans="16:16">
      <c r="P57549" s="2498"/>
    </row>
    <row r="57550" spans="16:16">
      <c r="P57550" s="2498"/>
    </row>
    <row r="57551" spans="16:16">
      <c r="P57551" s="2498"/>
    </row>
    <row r="57552" spans="16:16">
      <c r="P57552" s="2498"/>
    </row>
    <row r="57553" spans="16:16">
      <c r="P57553" s="2498"/>
    </row>
    <row r="57554" spans="16:16">
      <c r="P57554" s="2498"/>
    </row>
    <row r="57555" spans="16:16">
      <c r="P57555" s="2498"/>
    </row>
    <row r="57556" spans="16:16">
      <c r="P57556" s="2498"/>
    </row>
    <row r="57557" spans="16:16">
      <c r="P57557" s="2498"/>
    </row>
    <row r="57558" spans="16:16">
      <c r="P57558" s="2498"/>
    </row>
    <row r="57559" spans="16:16">
      <c r="P57559" s="2498"/>
    </row>
    <row r="57560" spans="16:16">
      <c r="P57560" s="2498"/>
    </row>
    <row r="57561" spans="16:16">
      <c r="P57561" s="2498"/>
    </row>
    <row r="57562" spans="16:16">
      <c r="P57562" s="2498"/>
    </row>
    <row r="57563" spans="16:16">
      <c r="P57563" s="2498"/>
    </row>
    <row r="57564" spans="16:16">
      <c r="P57564" s="2498"/>
    </row>
    <row r="57565" spans="16:16">
      <c r="P57565" s="2498"/>
    </row>
    <row r="57566" spans="16:16">
      <c r="P57566" s="2498"/>
    </row>
    <row r="57567" spans="16:16">
      <c r="P57567" s="2498"/>
    </row>
    <row r="57568" spans="16:16">
      <c r="P57568" s="2498"/>
    </row>
    <row r="57569" spans="16:16">
      <c r="P57569" s="2498"/>
    </row>
    <row r="57570" spans="16:16">
      <c r="P57570" s="2498"/>
    </row>
    <row r="57571" spans="16:16">
      <c r="P57571" s="2498"/>
    </row>
    <row r="57572" spans="16:16">
      <c r="P57572" s="2498"/>
    </row>
    <row r="57573" spans="16:16">
      <c r="P57573" s="2498"/>
    </row>
    <row r="57574" spans="16:16">
      <c r="P57574" s="2498"/>
    </row>
    <row r="57575" spans="16:16">
      <c r="P57575" s="2498"/>
    </row>
    <row r="57576" spans="16:16">
      <c r="P57576" s="2498"/>
    </row>
    <row r="57577" spans="16:16">
      <c r="P57577" s="2498"/>
    </row>
    <row r="57578" spans="16:16">
      <c r="P57578" s="2498"/>
    </row>
    <row r="57579" spans="16:16">
      <c r="P57579" s="2498"/>
    </row>
    <row r="57580" spans="16:16">
      <c r="P57580" s="2498"/>
    </row>
    <row r="57581" spans="16:16">
      <c r="P57581" s="2498"/>
    </row>
    <row r="57582" spans="16:16">
      <c r="P57582" s="2498"/>
    </row>
    <row r="57583" spans="16:16">
      <c r="P57583" s="2498"/>
    </row>
    <row r="57584" spans="16:16">
      <c r="P57584" s="2498"/>
    </row>
    <row r="57585" spans="16:16">
      <c r="P57585" s="2498"/>
    </row>
    <row r="57586" spans="16:16">
      <c r="P57586" s="2498"/>
    </row>
    <row r="57587" spans="16:16">
      <c r="P57587" s="2498"/>
    </row>
    <row r="57588" spans="16:16">
      <c r="P57588" s="2498"/>
    </row>
    <row r="57589" spans="16:16">
      <c r="P57589" s="2498"/>
    </row>
    <row r="57590" spans="16:16">
      <c r="P57590" s="2498"/>
    </row>
    <row r="57591" spans="16:16">
      <c r="P57591" s="2498"/>
    </row>
    <row r="57592" spans="16:16">
      <c r="P57592" s="2498"/>
    </row>
    <row r="57593" spans="16:16">
      <c r="P57593" s="2498"/>
    </row>
    <row r="57594" spans="16:16">
      <c r="P57594" s="2498"/>
    </row>
    <row r="57595" spans="16:16">
      <c r="P57595" s="2498"/>
    </row>
    <row r="57596" spans="16:16">
      <c r="P57596" s="2498"/>
    </row>
    <row r="57597" spans="16:16">
      <c r="P57597" s="2498"/>
    </row>
    <row r="57598" spans="16:16">
      <c r="P57598" s="2498"/>
    </row>
    <row r="57599" spans="16:16">
      <c r="P57599" s="2498"/>
    </row>
    <row r="57600" spans="16:16">
      <c r="P57600" s="2498"/>
    </row>
    <row r="57601" spans="16:16">
      <c r="P57601" s="2498"/>
    </row>
    <row r="57602" spans="16:16">
      <c r="P57602" s="2498"/>
    </row>
    <row r="57603" spans="16:16">
      <c r="P57603" s="2498"/>
    </row>
    <row r="57604" spans="16:16">
      <c r="P57604" s="2498"/>
    </row>
    <row r="57605" spans="16:16">
      <c r="P57605" s="2498"/>
    </row>
    <row r="57606" spans="16:16">
      <c r="P57606" s="2498"/>
    </row>
    <row r="57607" spans="16:16">
      <c r="P57607" s="2498"/>
    </row>
    <row r="57608" spans="16:16">
      <c r="P57608" s="2498"/>
    </row>
    <row r="57609" spans="16:16">
      <c r="P57609" s="2498"/>
    </row>
    <row r="57610" spans="16:16">
      <c r="P57610" s="2498"/>
    </row>
    <row r="57611" spans="16:16">
      <c r="P57611" s="2498"/>
    </row>
    <row r="57612" spans="16:16">
      <c r="P57612" s="2498"/>
    </row>
    <row r="57613" spans="16:16">
      <c r="P57613" s="2498"/>
    </row>
    <row r="57614" spans="16:16">
      <c r="P57614" s="2498"/>
    </row>
    <row r="57615" spans="16:16">
      <c r="P57615" s="2498"/>
    </row>
    <row r="57616" spans="16:16">
      <c r="P57616" s="2498"/>
    </row>
    <row r="57617" spans="16:16">
      <c r="P57617" s="2498"/>
    </row>
    <row r="57618" spans="16:16">
      <c r="P57618" s="2498"/>
    </row>
    <row r="57619" spans="16:16">
      <c r="P57619" s="2498"/>
    </row>
    <row r="57620" spans="16:16">
      <c r="P57620" s="2498"/>
    </row>
    <row r="57621" spans="16:16">
      <c r="P57621" s="2498"/>
    </row>
    <row r="57622" spans="16:16">
      <c r="P57622" s="2498"/>
    </row>
    <row r="57623" spans="16:16">
      <c r="P57623" s="2498"/>
    </row>
    <row r="57624" spans="16:16">
      <c r="P57624" s="2498"/>
    </row>
    <row r="57625" spans="16:16">
      <c r="P57625" s="2498"/>
    </row>
    <row r="57626" spans="16:16">
      <c r="P57626" s="2498"/>
    </row>
    <row r="57627" spans="16:16">
      <c r="P57627" s="2498"/>
    </row>
    <row r="57628" spans="16:16">
      <c r="P57628" s="2498"/>
    </row>
    <row r="57629" spans="16:16">
      <c r="P57629" s="2498"/>
    </row>
    <row r="57630" spans="16:16">
      <c r="P57630" s="2498"/>
    </row>
    <row r="57631" spans="16:16">
      <c r="P57631" s="2498"/>
    </row>
    <row r="57632" spans="16:16">
      <c r="P57632" s="2498"/>
    </row>
    <row r="57633" spans="16:16">
      <c r="P57633" s="2498"/>
    </row>
    <row r="57634" spans="16:16">
      <c r="P57634" s="2498"/>
    </row>
    <row r="57635" spans="16:16">
      <c r="P57635" s="2498"/>
    </row>
    <row r="57636" spans="16:16">
      <c r="P57636" s="2498"/>
    </row>
    <row r="57637" spans="16:16">
      <c r="P57637" s="2498"/>
    </row>
    <row r="57638" spans="16:16">
      <c r="P57638" s="2498"/>
    </row>
    <row r="57639" spans="16:16">
      <c r="P57639" s="2498"/>
    </row>
    <row r="57640" spans="16:16">
      <c r="P57640" s="2498"/>
    </row>
    <row r="57641" spans="16:16">
      <c r="P57641" s="2498"/>
    </row>
    <row r="57642" spans="16:16">
      <c r="P57642" s="2498"/>
    </row>
    <row r="57643" spans="16:16">
      <c r="P57643" s="2498"/>
    </row>
    <row r="57644" spans="16:16">
      <c r="P57644" s="2498"/>
    </row>
    <row r="57645" spans="16:16">
      <c r="P57645" s="2498"/>
    </row>
    <row r="57646" spans="16:16">
      <c r="P57646" s="2498"/>
    </row>
    <row r="57647" spans="16:16">
      <c r="P57647" s="2498"/>
    </row>
    <row r="57648" spans="16:16">
      <c r="P57648" s="2498"/>
    </row>
    <row r="57649" spans="16:16">
      <c r="P57649" s="2498"/>
    </row>
    <row r="57650" spans="16:16">
      <c r="P57650" s="2498"/>
    </row>
    <row r="57651" spans="16:16">
      <c r="P57651" s="2498"/>
    </row>
    <row r="57652" spans="16:16">
      <c r="P57652" s="2498"/>
    </row>
    <row r="57653" spans="16:16">
      <c r="P57653" s="2498"/>
    </row>
    <row r="57654" spans="16:16">
      <c r="P57654" s="2498"/>
    </row>
    <row r="57655" spans="16:16">
      <c r="P57655" s="2498"/>
    </row>
    <row r="57656" spans="16:16">
      <c r="P57656" s="2498"/>
    </row>
    <row r="57657" spans="16:16">
      <c r="P57657" s="2498"/>
    </row>
    <row r="57658" spans="16:16">
      <c r="P57658" s="2498"/>
    </row>
    <row r="57659" spans="16:16">
      <c r="P57659" s="2498"/>
    </row>
    <row r="57660" spans="16:16">
      <c r="P57660" s="2498"/>
    </row>
    <row r="57661" spans="16:16">
      <c r="P57661" s="2498"/>
    </row>
    <row r="57662" spans="16:16">
      <c r="P57662" s="2498"/>
    </row>
    <row r="57663" spans="16:16">
      <c r="P57663" s="2498"/>
    </row>
    <row r="57664" spans="16:16">
      <c r="P57664" s="2498"/>
    </row>
    <row r="57665" spans="16:16">
      <c r="P57665" s="2498"/>
    </row>
    <row r="57666" spans="16:16">
      <c r="P57666" s="2498"/>
    </row>
    <row r="57667" spans="16:16">
      <c r="P57667" s="2498"/>
    </row>
    <row r="57668" spans="16:16">
      <c r="P57668" s="2498"/>
    </row>
    <row r="57669" spans="16:16">
      <c r="P57669" s="2498"/>
    </row>
    <row r="57670" spans="16:16">
      <c r="P57670" s="2498"/>
    </row>
    <row r="57671" spans="16:16">
      <c r="P57671" s="2498"/>
    </row>
    <row r="57672" spans="16:16">
      <c r="P57672" s="2498"/>
    </row>
    <row r="57673" spans="16:16">
      <c r="P57673" s="2498"/>
    </row>
    <row r="57674" spans="16:16">
      <c r="P57674" s="2498"/>
    </row>
    <row r="57675" spans="16:16">
      <c r="P57675" s="2498"/>
    </row>
    <row r="57676" spans="16:16">
      <c r="P57676" s="2498"/>
    </row>
    <row r="57677" spans="16:16">
      <c r="P57677" s="2498"/>
    </row>
    <row r="57678" spans="16:16">
      <c r="P57678" s="2498"/>
    </row>
    <row r="57679" spans="16:16">
      <c r="P57679" s="2498"/>
    </row>
    <row r="57680" spans="16:16">
      <c r="P57680" s="2498"/>
    </row>
    <row r="57681" spans="16:16">
      <c r="P57681" s="2498"/>
    </row>
    <row r="57682" spans="16:16">
      <c r="P57682" s="2498"/>
    </row>
    <row r="57683" spans="16:16">
      <c r="P57683" s="2498"/>
    </row>
    <row r="57684" spans="16:16">
      <c r="P57684" s="2498"/>
    </row>
    <row r="57685" spans="16:16">
      <c r="P57685" s="2498"/>
    </row>
    <row r="57686" spans="16:16">
      <c r="P57686" s="2498"/>
    </row>
    <row r="57687" spans="16:16">
      <c r="P57687" s="2498"/>
    </row>
    <row r="57688" spans="16:16">
      <c r="P57688" s="2498"/>
    </row>
    <row r="57689" spans="16:16">
      <c r="P57689" s="2498"/>
    </row>
    <row r="57690" spans="16:16">
      <c r="P57690" s="2498"/>
    </row>
    <row r="57691" spans="16:16">
      <c r="P57691" s="2498"/>
    </row>
    <row r="57692" spans="16:16">
      <c r="P57692" s="2498"/>
    </row>
    <row r="57693" spans="16:16">
      <c r="P57693" s="2498"/>
    </row>
    <row r="57694" spans="16:16">
      <c r="P57694" s="2498"/>
    </row>
    <row r="57695" spans="16:16">
      <c r="P57695" s="2498"/>
    </row>
    <row r="57696" spans="16:16">
      <c r="P57696" s="2498"/>
    </row>
    <row r="57697" spans="16:16">
      <c r="P57697" s="2498"/>
    </row>
    <row r="57698" spans="16:16">
      <c r="P57698" s="2498"/>
    </row>
    <row r="57699" spans="16:16">
      <c r="P57699" s="2498"/>
    </row>
    <row r="57700" spans="16:16">
      <c r="P57700" s="2498"/>
    </row>
    <row r="57701" spans="16:16">
      <c r="P57701" s="2498"/>
    </row>
    <row r="57702" spans="16:16">
      <c r="P57702" s="2498"/>
    </row>
    <row r="57703" spans="16:16">
      <c r="P57703" s="2498"/>
    </row>
    <row r="57704" spans="16:16">
      <c r="P57704" s="2498"/>
    </row>
    <row r="57705" spans="16:16">
      <c r="P57705" s="2498"/>
    </row>
    <row r="57706" spans="16:16">
      <c r="P57706" s="2498"/>
    </row>
    <row r="57707" spans="16:16">
      <c r="P57707" s="2498"/>
    </row>
    <row r="57708" spans="16:16">
      <c r="P57708" s="2498"/>
    </row>
    <row r="57709" spans="16:16">
      <c r="P57709" s="2498"/>
    </row>
    <row r="57710" spans="16:16">
      <c r="P57710" s="2498"/>
    </row>
    <row r="57711" spans="16:16">
      <c r="P57711" s="2498"/>
    </row>
    <row r="57712" spans="16:16">
      <c r="P57712" s="2498"/>
    </row>
    <row r="57713" spans="16:16">
      <c r="P57713" s="2498"/>
    </row>
    <row r="57714" spans="16:16">
      <c r="P57714" s="2498"/>
    </row>
    <row r="57715" spans="16:16">
      <c r="P57715" s="2498"/>
    </row>
    <row r="57716" spans="16:16">
      <c r="P57716" s="2498"/>
    </row>
    <row r="57717" spans="16:16">
      <c r="P57717" s="2498"/>
    </row>
    <row r="57718" spans="16:16">
      <c r="P57718" s="2498"/>
    </row>
    <row r="57719" spans="16:16">
      <c r="P57719" s="2498"/>
    </row>
    <row r="57720" spans="16:16">
      <c r="P57720" s="2498"/>
    </row>
    <row r="57721" spans="16:16">
      <c r="P57721" s="2498"/>
    </row>
    <row r="57722" spans="16:16">
      <c r="P57722" s="2498"/>
    </row>
    <row r="57723" spans="16:16">
      <c r="P57723" s="2498"/>
    </row>
    <row r="57724" spans="16:16">
      <c r="P57724" s="2498"/>
    </row>
    <row r="57725" spans="16:16">
      <c r="P57725" s="2498"/>
    </row>
    <row r="57726" spans="16:16">
      <c r="P57726" s="2498"/>
    </row>
    <row r="57727" spans="16:16">
      <c r="P57727" s="2498"/>
    </row>
    <row r="57728" spans="16:16">
      <c r="P57728" s="2498"/>
    </row>
    <row r="57729" spans="16:16">
      <c r="P57729" s="2498"/>
    </row>
    <row r="57730" spans="16:16">
      <c r="P57730" s="2498"/>
    </row>
    <row r="57731" spans="16:16">
      <c r="P57731" s="2498"/>
    </row>
    <row r="57732" spans="16:16">
      <c r="P57732" s="2498"/>
    </row>
    <row r="57733" spans="16:16">
      <c r="P57733" s="2498"/>
    </row>
    <row r="57734" spans="16:16">
      <c r="P57734" s="2498"/>
    </row>
    <row r="57735" spans="16:16">
      <c r="P57735" s="2498"/>
    </row>
    <row r="57736" spans="16:16">
      <c r="P57736" s="2498"/>
    </row>
    <row r="57737" spans="16:16">
      <c r="P57737" s="2498"/>
    </row>
    <row r="57738" spans="16:16">
      <c r="P57738" s="2498"/>
    </row>
    <row r="57739" spans="16:16">
      <c r="P57739" s="2498"/>
    </row>
    <row r="57740" spans="16:16">
      <c r="P57740" s="2498"/>
    </row>
    <row r="57741" spans="16:16">
      <c r="P57741" s="2498"/>
    </row>
    <row r="57742" spans="16:16">
      <c r="P57742" s="2498"/>
    </row>
    <row r="57743" spans="16:16">
      <c r="P57743" s="2498"/>
    </row>
    <row r="57744" spans="16:16">
      <c r="P57744" s="2498"/>
    </row>
    <row r="57745" spans="16:16">
      <c r="P57745" s="2498"/>
    </row>
    <row r="57746" spans="16:16">
      <c r="P57746" s="2498"/>
    </row>
    <row r="57747" spans="16:16">
      <c r="P57747" s="2498"/>
    </row>
    <row r="57748" spans="16:16">
      <c r="P57748" s="2498"/>
    </row>
    <row r="57749" spans="16:16">
      <c r="P57749" s="2498"/>
    </row>
    <row r="57750" spans="16:16">
      <c r="P57750" s="2498"/>
    </row>
    <row r="57751" spans="16:16">
      <c r="P57751" s="2498"/>
    </row>
    <row r="57752" spans="16:16">
      <c r="P57752" s="2498"/>
    </row>
    <row r="57753" spans="16:16">
      <c r="P57753" s="2498"/>
    </row>
    <row r="57754" spans="16:16">
      <c r="P57754" s="2498"/>
    </row>
    <row r="57755" spans="16:16">
      <c r="P57755" s="2498"/>
    </row>
    <row r="57756" spans="16:16">
      <c r="P57756" s="2498"/>
    </row>
    <row r="57757" spans="16:16">
      <c r="P57757" s="2498"/>
    </row>
    <row r="57758" spans="16:16">
      <c r="P57758" s="2498"/>
    </row>
    <row r="57759" spans="16:16">
      <c r="P57759" s="2498"/>
    </row>
    <row r="57760" spans="16:16">
      <c r="P57760" s="2498"/>
    </row>
    <row r="57761" spans="16:16">
      <c r="P57761" s="2498"/>
    </row>
    <row r="57762" spans="16:16">
      <c r="P57762" s="2498"/>
    </row>
    <row r="57763" spans="16:16">
      <c r="P57763" s="2498"/>
    </row>
    <row r="57764" spans="16:16">
      <c r="P57764" s="2498"/>
    </row>
    <row r="57765" spans="16:16">
      <c r="P57765" s="2498"/>
    </row>
    <row r="57766" spans="16:16">
      <c r="P57766" s="2498"/>
    </row>
    <row r="57767" spans="16:16">
      <c r="P57767" s="2498"/>
    </row>
    <row r="57768" spans="16:16">
      <c r="P57768" s="2498"/>
    </row>
    <row r="57769" spans="16:16">
      <c r="P57769" s="2498"/>
    </row>
    <row r="57770" spans="16:16">
      <c r="P57770" s="2498"/>
    </row>
    <row r="57771" spans="16:16">
      <c r="P57771" s="2498"/>
    </row>
    <row r="57772" spans="16:16">
      <c r="P57772" s="2498"/>
    </row>
    <row r="57773" spans="16:16">
      <c r="P57773" s="2498"/>
    </row>
    <row r="57774" spans="16:16">
      <c r="P57774" s="2498"/>
    </row>
    <row r="57775" spans="16:16">
      <c r="P57775" s="2498"/>
    </row>
    <row r="57776" spans="16:16">
      <c r="P57776" s="2498"/>
    </row>
    <row r="57777" spans="16:16">
      <c r="P57777" s="2498"/>
    </row>
    <row r="57778" spans="16:16">
      <c r="P57778" s="2498"/>
    </row>
    <row r="57779" spans="16:16">
      <c r="P57779" s="2498"/>
    </row>
    <row r="57780" spans="16:16">
      <c r="P57780" s="2498"/>
    </row>
    <row r="57781" spans="16:16">
      <c r="P57781" s="2498"/>
    </row>
    <row r="57782" spans="16:16">
      <c r="P57782" s="2498"/>
    </row>
    <row r="57783" spans="16:16">
      <c r="P57783" s="2498"/>
    </row>
    <row r="57784" spans="16:16">
      <c r="P57784" s="2498"/>
    </row>
    <row r="57785" spans="16:16">
      <c r="P57785" s="2498"/>
    </row>
    <row r="57786" spans="16:16">
      <c r="P57786" s="2498"/>
    </row>
    <row r="57787" spans="16:16">
      <c r="P57787" s="2498"/>
    </row>
    <row r="57788" spans="16:16">
      <c r="P57788" s="2498"/>
    </row>
    <row r="57789" spans="16:16">
      <c r="P57789" s="2498"/>
    </row>
    <row r="57790" spans="16:16">
      <c r="P57790" s="2498"/>
    </row>
    <row r="57791" spans="16:16">
      <c r="P57791" s="2498"/>
    </row>
    <row r="57792" spans="16:16">
      <c r="P57792" s="2498"/>
    </row>
    <row r="57793" spans="16:16">
      <c r="P57793" s="2498"/>
    </row>
    <row r="57794" spans="16:16">
      <c r="P57794" s="2498"/>
    </row>
    <row r="57795" spans="16:16">
      <c r="P57795" s="2498"/>
    </row>
    <row r="57796" spans="16:16">
      <c r="P57796" s="2498"/>
    </row>
    <row r="57797" spans="16:16">
      <c r="P57797" s="2498"/>
    </row>
    <row r="57798" spans="16:16">
      <c r="P57798" s="2498"/>
    </row>
    <row r="57799" spans="16:16">
      <c r="P57799" s="2498"/>
    </row>
    <row r="57800" spans="16:16">
      <c r="P57800" s="2498"/>
    </row>
    <row r="57801" spans="16:16">
      <c r="P57801" s="2498"/>
    </row>
    <row r="57802" spans="16:16">
      <c r="P57802" s="2498"/>
    </row>
    <row r="57803" spans="16:16">
      <c r="P57803" s="2498"/>
    </row>
    <row r="57804" spans="16:16">
      <c r="P57804" s="2498"/>
    </row>
    <row r="57805" spans="16:16">
      <c r="P57805" s="2498"/>
    </row>
    <row r="57806" spans="16:16">
      <c r="P57806" s="2498"/>
    </row>
    <row r="57807" spans="16:16">
      <c r="P57807" s="2498"/>
    </row>
    <row r="57808" spans="16:16">
      <c r="P57808" s="2498"/>
    </row>
    <row r="57809" spans="16:16">
      <c r="P57809" s="2498"/>
    </row>
    <row r="57810" spans="16:16">
      <c r="P57810" s="2498"/>
    </row>
    <row r="57811" spans="16:16">
      <c r="P57811" s="2498"/>
    </row>
    <row r="57812" spans="16:16">
      <c r="P57812" s="2498"/>
    </row>
    <row r="57813" spans="16:16">
      <c r="P57813" s="2498"/>
    </row>
    <row r="57814" spans="16:16">
      <c r="P57814" s="2498"/>
    </row>
    <row r="57815" spans="16:16">
      <c r="P57815" s="2498"/>
    </row>
    <row r="57816" spans="16:16">
      <c r="P57816" s="2498"/>
    </row>
    <row r="57817" spans="16:16">
      <c r="P57817" s="2498"/>
    </row>
    <row r="57818" spans="16:16">
      <c r="P57818" s="2498"/>
    </row>
    <row r="57819" spans="16:16">
      <c r="P57819" s="2498"/>
    </row>
    <row r="57820" spans="16:16">
      <c r="P57820" s="2498"/>
    </row>
    <row r="57821" spans="16:16">
      <c r="P57821" s="2498"/>
    </row>
    <row r="57822" spans="16:16">
      <c r="P57822" s="2498"/>
    </row>
    <row r="57823" spans="16:16">
      <c r="P57823" s="2498"/>
    </row>
    <row r="57824" spans="16:16">
      <c r="P57824" s="2498"/>
    </row>
    <row r="57825" spans="16:16">
      <c r="P57825" s="2498"/>
    </row>
    <row r="57826" spans="16:16">
      <c r="P57826" s="2498"/>
    </row>
    <row r="57827" spans="16:16">
      <c r="P57827" s="2498"/>
    </row>
    <row r="57828" spans="16:16">
      <c r="P57828" s="2498"/>
    </row>
    <row r="57829" spans="16:16">
      <c r="P57829" s="2498"/>
    </row>
    <row r="57830" spans="16:16">
      <c r="P57830" s="2498"/>
    </row>
    <row r="57831" spans="16:16">
      <c r="P57831" s="2498"/>
    </row>
    <row r="57832" spans="16:16">
      <c r="P57832" s="2498"/>
    </row>
    <row r="57833" spans="16:16">
      <c r="P57833" s="2498"/>
    </row>
    <row r="57834" spans="16:16">
      <c r="P57834" s="2498"/>
    </row>
    <row r="57835" spans="16:16">
      <c r="P57835" s="2498"/>
    </row>
    <row r="57836" spans="16:16">
      <c r="P57836" s="2498"/>
    </row>
    <row r="57837" spans="16:16">
      <c r="P57837" s="2498"/>
    </row>
    <row r="57838" spans="16:16">
      <c r="P57838" s="2498"/>
    </row>
    <row r="57839" spans="16:16">
      <c r="P57839" s="2498"/>
    </row>
    <row r="57840" spans="16:16">
      <c r="P57840" s="2498"/>
    </row>
    <row r="57841" spans="16:16">
      <c r="P57841" s="2498"/>
    </row>
    <row r="57842" spans="16:16">
      <c r="P57842" s="2498"/>
    </row>
    <row r="57843" spans="16:16">
      <c r="P57843" s="2498"/>
    </row>
    <row r="57844" spans="16:16">
      <c r="P57844" s="2498"/>
    </row>
    <row r="57845" spans="16:16">
      <c r="P57845" s="2498"/>
    </row>
    <row r="57846" spans="16:16">
      <c r="P57846" s="2498"/>
    </row>
    <row r="57847" spans="16:16">
      <c r="P57847" s="2498"/>
    </row>
    <row r="57848" spans="16:16">
      <c r="P57848" s="2498"/>
    </row>
    <row r="57849" spans="16:16">
      <c r="P57849" s="2498"/>
    </row>
    <row r="57850" spans="16:16">
      <c r="P57850" s="2498"/>
    </row>
    <row r="57851" spans="16:16">
      <c r="P57851" s="2498"/>
    </row>
    <row r="57852" spans="16:16">
      <c r="P57852" s="2498"/>
    </row>
    <row r="57853" spans="16:16">
      <c r="P57853" s="2498"/>
    </row>
    <row r="57854" spans="16:16">
      <c r="P57854" s="2498"/>
    </row>
    <row r="57855" spans="16:16">
      <c r="P57855" s="2498"/>
    </row>
    <row r="57856" spans="16:16">
      <c r="P57856" s="2498"/>
    </row>
    <row r="57857" spans="16:16">
      <c r="P57857" s="2498"/>
    </row>
    <row r="57858" spans="16:16">
      <c r="P57858" s="2498"/>
    </row>
    <row r="57859" spans="16:16">
      <c r="P57859" s="2498"/>
    </row>
    <row r="57860" spans="16:16">
      <c r="P57860" s="2498"/>
    </row>
    <row r="57861" spans="16:16">
      <c r="P57861" s="2498"/>
    </row>
    <row r="57862" spans="16:16">
      <c r="P57862" s="2498"/>
    </row>
    <row r="57863" spans="16:16">
      <c r="P57863" s="2498"/>
    </row>
    <row r="57864" spans="16:16">
      <c r="P57864" s="2498"/>
    </row>
    <row r="57865" spans="16:16">
      <c r="P57865" s="2498"/>
    </row>
    <row r="57866" spans="16:16">
      <c r="P57866" s="2498"/>
    </row>
    <row r="57867" spans="16:16">
      <c r="P57867" s="2498"/>
    </row>
    <row r="57868" spans="16:16">
      <c r="P57868" s="2498"/>
    </row>
    <row r="57869" spans="16:16">
      <c r="P57869" s="2498"/>
    </row>
    <row r="57870" spans="16:16">
      <c r="P57870" s="2498"/>
    </row>
    <row r="57871" spans="16:16">
      <c r="P57871" s="2498"/>
    </row>
    <row r="57872" spans="16:16">
      <c r="P57872" s="2498"/>
    </row>
    <row r="57873" spans="16:16">
      <c r="P57873" s="2498"/>
    </row>
    <row r="57874" spans="16:16">
      <c r="P57874" s="2498"/>
    </row>
    <row r="57875" spans="16:16">
      <c r="P57875" s="2498"/>
    </row>
    <row r="57876" spans="16:16">
      <c r="P57876" s="2498"/>
    </row>
    <row r="57877" spans="16:16">
      <c r="P57877" s="2498"/>
    </row>
    <row r="57878" spans="16:16">
      <c r="P57878" s="2498"/>
    </row>
    <row r="57879" spans="16:16">
      <c r="P57879" s="2498"/>
    </row>
    <row r="57880" spans="16:16">
      <c r="P57880" s="2498"/>
    </row>
    <row r="57881" spans="16:16">
      <c r="P57881" s="2498"/>
    </row>
    <row r="57882" spans="16:16">
      <c r="P57882" s="2498"/>
    </row>
    <row r="57883" spans="16:16">
      <c r="P57883" s="2498"/>
    </row>
    <row r="57884" spans="16:16">
      <c r="P57884" s="2498"/>
    </row>
    <row r="57885" spans="16:16">
      <c r="P57885" s="2498"/>
    </row>
    <row r="57886" spans="16:16">
      <c r="P57886" s="2498"/>
    </row>
    <row r="57887" spans="16:16">
      <c r="P57887" s="2498"/>
    </row>
    <row r="57888" spans="16:16">
      <c r="P57888" s="2498"/>
    </row>
    <row r="57889" spans="16:16">
      <c r="P57889" s="2498"/>
    </row>
    <row r="57890" spans="16:16">
      <c r="P57890" s="2498"/>
    </row>
    <row r="57891" spans="16:16">
      <c r="P57891" s="2498"/>
    </row>
    <row r="57892" spans="16:16">
      <c r="P57892" s="2498"/>
    </row>
    <row r="57893" spans="16:16">
      <c r="P57893" s="2498"/>
    </row>
    <row r="57894" spans="16:16">
      <c r="P57894" s="2498"/>
    </row>
    <row r="57895" spans="16:16">
      <c r="P57895" s="2498"/>
    </row>
    <row r="57896" spans="16:16">
      <c r="P57896" s="2498"/>
    </row>
    <row r="57897" spans="16:16">
      <c r="P57897" s="2498"/>
    </row>
    <row r="57898" spans="16:16">
      <c r="P57898" s="2498"/>
    </row>
    <row r="57899" spans="16:16">
      <c r="P57899" s="2498"/>
    </row>
    <row r="57900" spans="16:16">
      <c r="P57900" s="2498"/>
    </row>
    <row r="57901" spans="16:16">
      <c r="P57901" s="2498"/>
    </row>
    <row r="57902" spans="16:16">
      <c r="P57902" s="2498"/>
    </row>
    <row r="57903" spans="16:16">
      <c r="P57903" s="2498"/>
    </row>
    <row r="57904" spans="16:16">
      <c r="P57904" s="2498"/>
    </row>
    <row r="57905" spans="16:16">
      <c r="P57905" s="2498"/>
    </row>
    <row r="57906" spans="16:16">
      <c r="P57906" s="2498"/>
    </row>
    <row r="57907" spans="16:16">
      <c r="P57907" s="2498"/>
    </row>
    <row r="57908" spans="16:16">
      <c r="P57908" s="2498"/>
    </row>
    <row r="57909" spans="16:16">
      <c r="P57909" s="2498"/>
    </row>
    <row r="57910" spans="16:16">
      <c r="P57910" s="2498"/>
    </row>
    <row r="57911" spans="16:16">
      <c r="P57911" s="2498"/>
    </row>
    <row r="57912" spans="16:16">
      <c r="P57912" s="2498"/>
    </row>
    <row r="57913" spans="16:16">
      <c r="P57913" s="2498"/>
    </row>
    <row r="57914" spans="16:16">
      <c r="P57914" s="2498"/>
    </row>
    <row r="57915" spans="16:16">
      <c r="P57915" s="2498"/>
    </row>
    <row r="57916" spans="16:16">
      <c r="P57916" s="2498"/>
    </row>
    <row r="57917" spans="16:16">
      <c r="P57917" s="2498"/>
    </row>
    <row r="57918" spans="16:16">
      <c r="P57918" s="2498"/>
    </row>
    <row r="57919" spans="16:16">
      <c r="P57919" s="2498"/>
    </row>
    <row r="57920" spans="16:16">
      <c r="P57920" s="2498"/>
    </row>
    <row r="57921" spans="16:16">
      <c r="P57921" s="2498"/>
    </row>
    <row r="57922" spans="16:16">
      <c r="P57922" s="2498"/>
    </row>
    <row r="57923" spans="16:16">
      <c r="P57923" s="2498"/>
    </row>
    <row r="57924" spans="16:16">
      <c r="P57924" s="2498"/>
    </row>
    <row r="57925" spans="16:16">
      <c r="P57925" s="2498"/>
    </row>
    <row r="57926" spans="16:16">
      <c r="P57926" s="2498"/>
    </row>
    <row r="57927" spans="16:16">
      <c r="P57927" s="2498"/>
    </row>
    <row r="57928" spans="16:16">
      <c r="P57928" s="2498"/>
    </row>
    <row r="57929" spans="16:16">
      <c r="P57929" s="2498"/>
    </row>
    <row r="57930" spans="16:16">
      <c r="P57930" s="2498"/>
    </row>
    <row r="57931" spans="16:16">
      <c r="P57931" s="2498"/>
    </row>
    <row r="57932" spans="16:16">
      <c r="P57932" s="2498"/>
    </row>
    <row r="57933" spans="16:16">
      <c r="P57933" s="2498"/>
    </row>
    <row r="57934" spans="16:16">
      <c r="P57934" s="2498"/>
    </row>
    <row r="57935" spans="16:16">
      <c r="P57935" s="2498"/>
    </row>
    <row r="57936" spans="16:16">
      <c r="P57936" s="2498"/>
    </row>
    <row r="57937" spans="16:16">
      <c r="P57937" s="2498"/>
    </row>
    <row r="57938" spans="16:16">
      <c r="P57938" s="2498"/>
    </row>
    <row r="57939" spans="16:16">
      <c r="P57939" s="2498"/>
    </row>
    <row r="57940" spans="16:16">
      <c r="P57940" s="2498"/>
    </row>
    <row r="57941" spans="16:16">
      <c r="P57941" s="2498"/>
    </row>
    <row r="57942" spans="16:16">
      <c r="P57942" s="2498"/>
    </row>
    <row r="57943" spans="16:16">
      <c r="P57943" s="2498"/>
    </row>
    <row r="57944" spans="16:16">
      <c r="P57944" s="2498"/>
    </row>
    <row r="57945" spans="16:16">
      <c r="P57945" s="2498"/>
    </row>
    <row r="57946" spans="16:16">
      <c r="P57946" s="2498"/>
    </row>
    <row r="57947" spans="16:16">
      <c r="P57947" s="2498"/>
    </row>
    <row r="57948" spans="16:16">
      <c r="P57948" s="2498"/>
    </row>
    <row r="57949" spans="16:16">
      <c r="P57949" s="2498"/>
    </row>
    <row r="57950" spans="16:16">
      <c r="P57950" s="2498"/>
    </row>
    <row r="57951" spans="16:16">
      <c r="P57951" s="2498"/>
    </row>
    <row r="57952" spans="16:16">
      <c r="P57952" s="2498"/>
    </row>
    <row r="57953" spans="16:16">
      <c r="P57953" s="2498"/>
    </row>
    <row r="57954" spans="16:16">
      <c r="P57954" s="2498"/>
    </row>
    <row r="57955" spans="16:16">
      <c r="P57955" s="2498"/>
    </row>
    <row r="57956" spans="16:16">
      <c r="P57956" s="2498"/>
    </row>
    <row r="57957" spans="16:16">
      <c r="P57957" s="2498"/>
    </row>
    <row r="57958" spans="16:16">
      <c r="P57958" s="2498"/>
    </row>
    <row r="57959" spans="16:16">
      <c r="P57959" s="2498"/>
    </row>
    <row r="57960" spans="16:16">
      <c r="P57960" s="2498"/>
    </row>
    <row r="57961" spans="16:16">
      <c r="P57961" s="2498"/>
    </row>
    <row r="57962" spans="16:16">
      <c r="P57962" s="2498"/>
    </row>
    <row r="57963" spans="16:16">
      <c r="P57963" s="2498"/>
    </row>
    <row r="57964" spans="16:16">
      <c r="P57964" s="2498"/>
    </row>
    <row r="57965" spans="16:16">
      <c r="P57965" s="2498"/>
    </row>
    <row r="57966" spans="16:16">
      <c r="P57966" s="2498"/>
    </row>
    <row r="57967" spans="16:16">
      <c r="P57967" s="2498"/>
    </row>
    <row r="57968" spans="16:16">
      <c r="P57968" s="2498"/>
    </row>
    <row r="57969" spans="16:16">
      <c r="P57969" s="2498"/>
    </row>
    <row r="57970" spans="16:16">
      <c r="P57970" s="2498"/>
    </row>
    <row r="57971" spans="16:16">
      <c r="P57971" s="2498"/>
    </row>
    <row r="57972" spans="16:16">
      <c r="P57972" s="2498"/>
    </row>
    <row r="57973" spans="16:16">
      <c r="P57973" s="2498"/>
    </row>
    <row r="57974" spans="16:16">
      <c r="P57974" s="2498"/>
    </row>
    <row r="57975" spans="16:16">
      <c r="P57975" s="2498"/>
    </row>
    <row r="57976" spans="16:16">
      <c r="P57976" s="2498"/>
    </row>
    <row r="57977" spans="16:16">
      <c r="P57977" s="2498"/>
    </row>
    <row r="57978" spans="16:16">
      <c r="P57978" s="2498"/>
    </row>
    <row r="57979" spans="16:16">
      <c r="P57979" s="2498"/>
    </row>
    <row r="57980" spans="16:16">
      <c r="P57980" s="2498"/>
    </row>
    <row r="57981" spans="16:16">
      <c r="P57981" s="2498"/>
    </row>
    <row r="57982" spans="16:16">
      <c r="P57982" s="2498"/>
    </row>
    <row r="57983" spans="16:16">
      <c r="P57983" s="2498"/>
    </row>
    <row r="57984" spans="16:16">
      <c r="P57984" s="2498"/>
    </row>
    <row r="57985" spans="16:16">
      <c r="P57985" s="2498"/>
    </row>
    <row r="57986" spans="16:16">
      <c r="P57986" s="2498"/>
    </row>
    <row r="57987" spans="16:16">
      <c r="P57987" s="2498"/>
    </row>
    <row r="57988" spans="16:16">
      <c r="P57988" s="2498"/>
    </row>
    <row r="57989" spans="16:16">
      <c r="P57989" s="2498"/>
    </row>
    <row r="57990" spans="16:16">
      <c r="P57990" s="2498"/>
    </row>
    <row r="57991" spans="16:16">
      <c r="P57991" s="2498"/>
    </row>
    <row r="57992" spans="16:16">
      <c r="P57992" s="2498"/>
    </row>
    <row r="57993" spans="16:16">
      <c r="P57993" s="2498"/>
    </row>
    <row r="57994" spans="16:16">
      <c r="P57994" s="2498"/>
    </row>
    <row r="57995" spans="16:16">
      <c r="P57995" s="2498"/>
    </row>
    <row r="57996" spans="16:16">
      <c r="P57996" s="2498"/>
    </row>
    <row r="57997" spans="16:16">
      <c r="P57997" s="2498"/>
    </row>
    <row r="57998" spans="16:16">
      <c r="P57998" s="2498"/>
    </row>
    <row r="57999" spans="16:16">
      <c r="P57999" s="2498"/>
    </row>
    <row r="58000" spans="16:16">
      <c r="P58000" s="2498"/>
    </row>
    <row r="58001" spans="16:16">
      <c r="P58001" s="2498"/>
    </row>
    <row r="58002" spans="16:16">
      <c r="P58002" s="2498"/>
    </row>
    <row r="58003" spans="16:16">
      <c r="P58003" s="2498"/>
    </row>
    <row r="58004" spans="16:16">
      <c r="P58004" s="2498"/>
    </row>
    <row r="58005" spans="16:16">
      <c r="P58005" s="2498"/>
    </row>
    <row r="58006" spans="16:16">
      <c r="P58006" s="2498"/>
    </row>
    <row r="58007" spans="16:16">
      <c r="P58007" s="2498"/>
    </row>
    <row r="58008" spans="16:16">
      <c r="P58008" s="2498"/>
    </row>
    <row r="58009" spans="16:16">
      <c r="P58009" s="2498"/>
    </row>
    <row r="58010" spans="16:16">
      <c r="P58010" s="2498"/>
    </row>
    <row r="58011" spans="16:16">
      <c r="P58011" s="2498"/>
    </row>
    <row r="58012" spans="16:16">
      <c r="P58012" s="2498"/>
    </row>
    <row r="58013" spans="16:16">
      <c r="P58013" s="2498"/>
    </row>
    <row r="58014" spans="16:16">
      <c r="P58014" s="2498"/>
    </row>
    <row r="58015" spans="16:16">
      <c r="P58015" s="2498"/>
    </row>
    <row r="58016" spans="16:16">
      <c r="P58016" s="2498"/>
    </row>
    <row r="58017" spans="16:16">
      <c r="P58017" s="2498"/>
    </row>
    <row r="58018" spans="16:16">
      <c r="P58018" s="2498"/>
    </row>
    <row r="58019" spans="16:16">
      <c r="P58019" s="2498"/>
    </row>
    <row r="58020" spans="16:16">
      <c r="P58020" s="2498"/>
    </row>
    <row r="58021" spans="16:16">
      <c r="P58021" s="2498"/>
    </row>
    <row r="58022" spans="16:16">
      <c r="P58022" s="2498"/>
    </row>
    <row r="58023" spans="16:16">
      <c r="P58023" s="2498"/>
    </row>
    <row r="58024" spans="16:16">
      <c r="P58024" s="2498"/>
    </row>
    <row r="58025" spans="16:16">
      <c r="P58025" s="2498"/>
    </row>
    <row r="58026" spans="16:16">
      <c r="P58026" s="2498"/>
    </row>
    <row r="58027" spans="16:16">
      <c r="P58027" s="2498"/>
    </row>
    <row r="58028" spans="16:16">
      <c r="P58028" s="2498"/>
    </row>
    <row r="58029" spans="16:16">
      <c r="P58029" s="2498"/>
    </row>
    <row r="58030" spans="16:16">
      <c r="P58030" s="2498"/>
    </row>
    <row r="58031" spans="16:16">
      <c r="P58031" s="2498"/>
    </row>
    <row r="58032" spans="16:16">
      <c r="P58032" s="2498"/>
    </row>
    <row r="58033" spans="16:16">
      <c r="P58033" s="2498"/>
    </row>
    <row r="58034" spans="16:16">
      <c r="P58034" s="2498"/>
    </row>
    <row r="58035" spans="16:16">
      <c r="P58035" s="2498"/>
    </row>
    <row r="58036" spans="16:16">
      <c r="P58036" s="2498"/>
    </row>
    <row r="58037" spans="16:16">
      <c r="P58037" s="2498"/>
    </row>
    <row r="58038" spans="16:16">
      <c r="P58038" s="2498"/>
    </row>
    <row r="58039" spans="16:16">
      <c r="P58039" s="2498"/>
    </row>
    <row r="58040" spans="16:16">
      <c r="P58040" s="2498"/>
    </row>
    <row r="58041" spans="16:16">
      <c r="P58041" s="2498"/>
    </row>
    <row r="58042" spans="16:16">
      <c r="P58042" s="2498"/>
    </row>
    <row r="58043" spans="16:16">
      <c r="P58043" s="2498"/>
    </row>
    <row r="58044" spans="16:16">
      <c r="P58044" s="2498"/>
    </row>
    <row r="58045" spans="16:16">
      <c r="P58045" s="2498"/>
    </row>
    <row r="58046" spans="16:16">
      <c r="P58046" s="2498"/>
    </row>
    <row r="58047" spans="16:16">
      <c r="P58047" s="2498"/>
    </row>
    <row r="58048" spans="16:16">
      <c r="P58048" s="2498"/>
    </row>
    <row r="58049" spans="16:16">
      <c r="P58049" s="2498"/>
    </row>
    <row r="58050" spans="16:16">
      <c r="P58050" s="2498"/>
    </row>
    <row r="58051" spans="16:16">
      <c r="P58051" s="2498"/>
    </row>
    <row r="58052" spans="16:16">
      <c r="P58052" s="2498"/>
    </row>
    <row r="58053" spans="16:16">
      <c r="P58053" s="2498"/>
    </row>
    <row r="58054" spans="16:16">
      <c r="P58054" s="2498"/>
    </row>
    <row r="58055" spans="16:16">
      <c r="P58055" s="2498"/>
    </row>
    <row r="58056" spans="16:16">
      <c r="P58056" s="2498"/>
    </row>
    <row r="58057" spans="16:16">
      <c r="P58057" s="2498"/>
    </row>
    <row r="58058" spans="16:16">
      <c r="P58058" s="2498"/>
    </row>
    <row r="58059" spans="16:16">
      <c r="P58059" s="2498"/>
    </row>
    <row r="58060" spans="16:16">
      <c r="P58060" s="2498"/>
    </row>
    <row r="58061" spans="16:16">
      <c r="P58061" s="2498"/>
    </row>
    <row r="58062" spans="16:16">
      <c r="P58062" s="2498"/>
    </row>
    <row r="58063" spans="16:16">
      <c r="P58063" s="2498"/>
    </row>
    <row r="58064" spans="16:16">
      <c r="P58064" s="2498"/>
    </row>
    <row r="58065" spans="16:16">
      <c r="P58065" s="2498"/>
    </row>
    <row r="58066" spans="16:16">
      <c r="P58066" s="2498"/>
    </row>
    <row r="58067" spans="16:16">
      <c r="P58067" s="2498"/>
    </row>
    <row r="58068" spans="16:16">
      <c r="P58068" s="2498"/>
    </row>
    <row r="58069" spans="16:16">
      <c r="P58069" s="2498"/>
    </row>
    <row r="58070" spans="16:16">
      <c r="P58070" s="2498"/>
    </row>
    <row r="58071" spans="16:16">
      <c r="P58071" s="2498"/>
    </row>
    <row r="58072" spans="16:16">
      <c r="P58072" s="2498"/>
    </row>
    <row r="58073" spans="16:16">
      <c r="P58073" s="2498"/>
    </row>
    <row r="58074" spans="16:16">
      <c r="P58074" s="2498"/>
    </row>
    <row r="58075" spans="16:16">
      <c r="P58075" s="2498"/>
    </row>
    <row r="58076" spans="16:16">
      <c r="P58076" s="2498"/>
    </row>
    <row r="58077" spans="16:16">
      <c r="P58077" s="2498"/>
    </row>
    <row r="58078" spans="16:16">
      <c r="P58078" s="2498"/>
    </row>
    <row r="58079" spans="16:16">
      <c r="P58079" s="2498"/>
    </row>
    <row r="58080" spans="16:16">
      <c r="P58080" s="2498"/>
    </row>
    <row r="58081" spans="16:16">
      <c r="P58081" s="2498"/>
    </row>
    <row r="58082" spans="16:16">
      <c r="P58082" s="2498"/>
    </row>
    <row r="58083" spans="16:16">
      <c r="P58083" s="2498"/>
    </row>
    <row r="58084" spans="16:16">
      <c r="P58084" s="2498"/>
    </row>
    <row r="58085" spans="16:16">
      <c r="P58085" s="2498"/>
    </row>
    <row r="58086" spans="16:16">
      <c r="P58086" s="2498"/>
    </row>
    <row r="58087" spans="16:16">
      <c r="P58087" s="2498"/>
    </row>
    <row r="58088" spans="16:16">
      <c r="P58088" s="2498"/>
    </row>
    <row r="58089" spans="16:16">
      <c r="P58089" s="2498"/>
    </row>
    <row r="58090" spans="16:16">
      <c r="P58090" s="2498"/>
    </row>
    <row r="58091" spans="16:16">
      <c r="P58091" s="2498"/>
    </row>
    <row r="58092" spans="16:16">
      <c r="P58092" s="2498"/>
    </row>
    <row r="58093" spans="16:16">
      <c r="P58093" s="2498"/>
    </row>
    <row r="58094" spans="16:16">
      <c r="P58094" s="2498"/>
    </row>
    <row r="58095" spans="16:16">
      <c r="P58095" s="2498"/>
    </row>
    <row r="58096" spans="16:16">
      <c r="P58096" s="2498"/>
    </row>
    <row r="58097" spans="16:16">
      <c r="P58097" s="2498"/>
    </row>
    <row r="58098" spans="16:16">
      <c r="P58098" s="2498"/>
    </row>
    <row r="58099" spans="16:16">
      <c r="P58099" s="2498"/>
    </row>
    <row r="58100" spans="16:16">
      <c r="P58100" s="2498"/>
    </row>
    <row r="58101" spans="16:16">
      <c r="P58101" s="2498"/>
    </row>
    <row r="58102" spans="16:16">
      <c r="P58102" s="2498"/>
    </row>
    <row r="58103" spans="16:16">
      <c r="P58103" s="2498"/>
    </row>
    <row r="58104" spans="16:16">
      <c r="P58104" s="2498"/>
    </row>
    <row r="58105" spans="16:16">
      <c r="P58105" s="2498"/>
    </row>
    <row r="58106" spans="16:16">
      <c r="P58106" s="2498"/>
    </row>
    <row r="58107" spans="16:16">
      <c r="P58107" s="2498"/>
    </row>
    <row r="58108" spans="16:16">
      <c r="P58108" s="2498"/>
    </row>
    <row r="58109" spans="16:16">
      <c r="P58109" s="2498"/>
    </row>
    <row r="58110" spans="16:16">
      <c r="P58110" s="2498"/>
    </row>
    <row r="58111" spans="16:16">
      <c r="P58111" s="2498"/>
    </row>
    <row r="58112" spans="16:16">
      <c r="P58112" s="2498"/>
    </row>
    <row r="58113" spans="16:16">
      <c r="P58113" s="2498"/>
    </row>
    <row r="58114" spans="16:16">
      <c r="P58114" s="2498"/>
    </row>
    <row r="58115" spans="16:16">
      <c r="P58115" s="2498"/>
    </row>
    <row r="58116" spans="16:16">
      <c r="P58116" s="2498"/>
    </row>
    <row r="58117" spans="16:16">
      <c r="P58117" s="2498"/>
    </row>
    <row r="58118" spans="16:16">
      <c r="P58118" s="2498"/>
    </row>
    <row r="58119" spans="16:16">
      <c r="P58119" s="2498"/>
    </row>
    <row r="58120" spans="16:16">
      <c r="P58120" s="2498"/>
    </row>
    <row r="58121" spans="16:16">
      <c r="P58121" s="2498"/>
    </row>
    <row r="58122" spans="16:16">
      <c r="P58122" s="2498"/>
    </row>
    <row r="58123" spans="16:16">
      <c r="P58123" s="2498"/>
    </row>
    <row r="58124" spans="16:16">
      <c r="P58124" s="2498"/>
    </row>
    <row r="58125" spans="16:16">
      <c r="P58125" s="2498"/>
    </row>
    <row r="58126" spans="16:16">
      <c r="P58126" s="2498"/>
    </row>
    <row r="58127" spans="16:16">
      <c r="P58127" s="2498"/>
    </row>
    <row r="58128" spans="16:16">
      <c r="P58128" s="2498"/>
    </row>
    <row r="58129" spans="16:16">
      <c r="P58129" s="2498"/>
    </row>
    <row r="58130" spans="16:16">
      <c r="P58130" s="2498"/>
    </row>
    <row r="58131" spans="16:16">
      <c r="P58131" s="2498"/>
    </row>
    <row r="58132" spans="16:16">
      <c r="P58132" s="2498"/>
    </row>
    <row r="58133" spans="16:16">
      <c r="P58133" s="2498"/>
    </row>
    <row r="58134" spans="16:16">
      <c r="P58134" s="2498"/>
    </row>
    <row r="58135" spans="16:16">
      <c r="P58135" s="2498"/>
    </row>
    <row r="58136" spans="16:16">
      <c r="P58136" s="2498"/>
    </row>
    <row r="58137" spans="16:16">
      <c r="P58137" s="2498"/>
    </row>
    <row r="58138" spans="16:16">
      <c r="P58138" s="2498"/>
    </row>
    <row r="58139" spans="16:16">
      <c r="P58139" s="2498"/>
    </row>
    <row r="58140" spans="16:16">
      <c r="P58140" s="2498"/>
    </row>
    <row r="58141" spans="16:16">
      <c r="P58141" s="2498"/>
    </row>
    <row r="58142" spans="16:16">
      <c r="P58142" s="2498"/>
    </row>
    <row r="58143" spans="16:16">
      <c r="P58143" s="2498"/>
    </row>
    <row r="58144" spans="16:16">
      <c r="P58144" s="2498"/>
    </row>
    <row r="58145" spans="16:16">
      <c r="P58145" s="2498"/>
    </row>
    <row r="58146" spans="16:16">
      <c r="P58146" s="2498"/>
    </row>
    <row r="58147" spans="16:16">
      <c r="P58147" s="2498"/>
    </row>
    <row r="58148" spans="16:16">
      <c r="P58148" s="2498"/>
    </row>
    <row r="58149" spans="16:16">
      <c r="P58149" s="2498"/>
    </row>
    <row r="58150" spans="16:16">
      <c r="P58150" s="2498"/>
    </row>
    <row r="58151" spans="16:16">
      <c r="P58151" s="2498"/>
    </row>
    <row r="58152" spans="16:16">
      <c r="P58152" s="2498"/>
    </row>
    <row r="58153" spans="16:16">
      <c r="P58153" s="2498"/>
    </row>
    <row r="58154" spans="16:16">
      <c r="P58154" s="2498"/>
    </row>
    <row r="58155" spans="16:16">
      <c r="P58155" s="2498"/>
    </row>
    <row r="58156" spans="16:16">
      <c r="P58156" s="2498"/>
    </row>
    <row r="58157" spans="16:16">
      <c r="P58157" s="2498"/>
    </row>
    <row r="58158" spans="16:16">
      <c r="P58158" s="2498"/>
    </row>
    <row r="58159" spans="16:16">
      <c r="P58159" s="2498"/>
    </row>
    <row r="58160" spans="16:16">
      <c r="P58160" s="2498"/>
    </row>
    <row r="58161" spans="16:16">
      <c r="P58161" s="2498"/>
    </row>
    <row r="58162" spans="16:16">
      <c r="P58162" s="2498"/>
    </row>
    <row r="58163" spans="16:16">
      <c r="P58163" s="2498"/>
    </row>
    <row r="58164" spans="16:16">
      <c r="P58164" s="2498"/>
    </row>
    <row r="58165" spans="16:16">
      <c r="P58165" s="2498"/>
    </row>
    <row r="58166" spans="16:16">
      <c r="P58166" s="2498"/>
    </row>
    <row r="58167" spans="16:16">
      <c r="P58167" s="2498"/>
    </row>
    <row r="58168" spans="16:16">
      <c r="P58168" s="2498"/>
    </row>
    <row r="58169" spans="16:16">
      <c r="P58169" s="2498"/>
    </row>
    <row r="58170" spans="16:16">
      <c r="P58170" s="2498"/>
    </row>
    <row r="58171" spans="16:16">
      <c r="P58171" s="2498"/>
    </row>
    <row r="58172" spans="16:16">
      <c r="P58172" s="2498"/>
    </row>
    <row r="58173" spans="16:16">
      <c r="P58173" s="2498"/>
    </row>
    <row r="58174" spans="16:16">
      <c r="P58174" s="2498"/>
    </row>
    <row r="58175" spans="16:16">
      <c r="P58175" s="2498"/>
    </row>
    <row r="58176" spans="16:16">
      <c r="P58176" s="2498"/>
    </row>
    <row r="58177" spans="16:16">
      <c r="P58177" s="2498"/>
    </row>
    <row r="58178" spans="16:16">
      <c r="P58178" s="2498"/>
    </row>
    <row r="58179" spans="16:16">
      <c r="P58179" s="2498"/>
    </row>
    <row r="58180" spans="16:16">
      <c r="P58180" s="2498"/>
    </row>
    <row r="58181" spans="16:16">
      <c r="P58181" s="2498"/>
    </row>
    <row r="58182" spans="16:16">
      <c r="P58182" s="2498"/>
    </row>
    <row r="58183" spans="16:16">
      <c r="P58183" s="2498"/>
    </row>
    <row r="58184" spans="16:16">
      <c r="P58184" s="2498"/>
    </row>
    <row r="58185" spans="16:16">
      <c r="P58185" s="2498"/>
    </row>
    <row r="58186" spans="16:16">
      <c r="P58186" s="2498"/>
    </row>
    <row r="58187" spans="16:16">
      <c r="P58187" s="2498"/>
    </row>
    <row r="58188" spans="16:16">
      <c r="P58188" s="2498"/>
    </row>
    <row r="58189" spans="16:16">
      <c r="P58189" s="2498"/>
    </row>
    <row r="58190" spans="16:16">
      <c r="P58190" s="2498"/>
    </row>
    <row r="58191" spans="16:16">
      <c r="P58191" s="2498"/>
    </row>
    <row r="58192" spans="16:16">
      <c r="P58192" s="2498"/>
    </row>
    <row r="58193" spans="16:16">
      <c r="P58193" s="2498"/>
    </row>
    <row r="58194" spans="16:16">
      <c r="P58194" s="2498"/>
    </row>
    <row r="58195" spans="16:16">
      <c r="P58195" s="2498"/>
    </row>
    <row r="58196" spans="16:16">
      <c r="P58196" s="2498"/>
    </row>
    <row r="58197" spans="16:16">
      <c r="P58197" s="2498"/>
    </row>
    <row r="58198" spans="16:16">
      <c r="P58198" s="2498"/>
    </row>
    <row r="58199" spans="16:16">
      <c r="P58199" s="2498"/>
    </row>
    <row r="58200" spans="16:16">
      <c r="P58200" s="2498"/>
    </row>
    <row r="58201" spans="16:16">
      <c r="P58201" s="2498"/>
    </row>
    <row r="58202" spans="16:16">
      <c r="P58202" s="2498"/>
    </row>
    <row r="58203" spans="16:16">
      <c r="P58203" s="2498"/>
    </row>
    <row r="58204" spans="16:16">
      <c r="P58204" s="2498"/>
    </row>
    <row r="58205" spans="16:16">
      <c r="P58205" s="2498"/>
    </row>
    <row r="58206" spans="16:16">
      <c r="P58206" s="2498"/>
    </row>
    <row r="58207" spans="16:16">
      <c r="P58207" s="2498"/>
    </row>
    <row r="58208" spans="16:16">
      <c r="P58208" s="2498"/>
    </row>
    <row r="58209" spans="16:16">
      <c r="P58209" s="2498"/>
    </row>
    <row r="58210" spans="16:16">
      <c r="P58210" s="2498"/>
    </row>
    <row r="58211" spans="16:16">
      <c r="P58211" s="2498"/>
    </row>
    <row r="58212" spans="16:16">
      <c r="P58212" s="2498"/>
    </row>
    <row r="58213" spans="16:16">
      <c r="P58213" s="2498"/>
    </row>
    <row r="58214" spans="16:16">
      <c r="P58214" s="2498"/>
    </row>
    <row r="58215" spans="16:16">
      <c r="P58215" s="2498"/>
    </row>
    <row r="58216" spans="16:16">
      <c r="P58216" s="2498"/>
    </row>
    <row r="58217" spans="16:16">
      <c r="P58217" s="2498"/>
    </row>
    <row r="58218" spans="16:16">
      <c r="P58218" s="2498"/>
    </row>
    <row r="58219" spans="16:16">
      <c r="P58219" s="2498"/>
    </row>
    <row r="58220" spans="16:16">
      <c r="P58220" s="2498"/>
    </row>
    <row r="58221" spans="16:16">
      <c r="P58221" s="2498"/>
    </row>
    <row r="58222" spans="16:16">
      <c r="P58222" s="2498"/>
    </row>
    <row r="58223" spans="16:16">
      <c r="P58223" s="2498"/>
    </row>
    <row r="58224" spans="16:16">
      <c r="P58224" s="2498"/>
    </row>
    <row r="58225" spans="16:16">
      <c r="P58225" s="2498"/>
    </row>
    <row r="58226" spans="16:16">
      <c r="P58226" s="2498"/>
    </row>
    <row r="58227" spans="16:16">
      <c r="P58227" s="2498"/>
    </row>
    <row r="58228" spans="16:16">
      <c r="P58228" s="2498"/>
    </row>
    <row r="58229" spans="16:16">
      <c r="P58229" s="2498"/>
    </row>
    <row r="58230" spans="16:16">
      <c r="P58230" s="2498"/>
    </row>
    <row r="58231" spans="16:16">
      <c r="P58231" s="2498"/>
    </row>
    <row r="58232" spans="16:16">
      <c r="P58232" s="2498"/>
    </row>
    <row r="58233" spans="16:16">
      <c r="P58233" s="2498"/>
    </row>
    <row r="58234" spans="16:16">
      <c r="P58234" s="2498"/>
    </row>
    <row r="58235" spans="16:16">
      <c r="P58235" s="2498"/>
    </row>
    <row r="58236" spans="16:16">
      <c r="P58236" s="2498"/>
    </row>
    <row r="58237" spans="16:16">
      <c r="P58237" s="2498"/>
    </row>
    <row r="58238" spans="16:16">
      <c r="P58238" s="2498"/>
    </row>
    <row r="58239" spans="16:16">
      <c r="P58239" s="2498"/>
    </row>
    <row r="58240" spans="16:16">
      <c r="P58240" s="2498"/>
    </row>
    <row r="58241" spans="16:16">
      <c r="P58241" s="2498"/>
    </row>
    <row r="58242" spans="16:16">
      <c r="P58242" s="2498"/>
    </row>
    <row r="58243" spans="16:16">
      <c r="P58243" s="2498"/>
    </row>
    <row r="58244" spans="16:16">
      <c r="P58244" s="2498"/>
    </row>
    <row r="58245" spans="16:16">
      <c r="P58245" s="2498"/>
    </row>
    <row r="58246" spans="16:16">
      <c r="P58246" s="2498"/>
    </row>
    <row r="58247" spans="16:16">
      <c r="P58247" s="2498"/>
    </row>
    <row r="58248" spans="16:16">
      <c r="P58248" s="2498"/>
    </row>
    <row r="58249" spans="16:16">
      <c r="P58249" s="2498"/>
    </row>
    <row r="58250" spans="16:16">
      <c r="P58250" s="2498"/>
    </row>
    <row r="58251" spans="16:16">
      <c r="P58251" s="2498"/>
    </row>
    <row r="58252" spans="16:16">
      <c r="P58252" s="2498"/>
    </row>
    <row r="58253" spans="16:16">
      <c r="P58253" s="2498"/>
    </row>
    <row r="58254" spans="16:16">
      <c r="P58254" s="2498"/>
    </row>
    <row r="58255" spans="16:16">
      <c r="P58255" s="2498"/>
    </row>
    <row r="58256" spans="16:16">
      <c r="P58256" s="2498"/>
    </row>
    <row r="58257" spans="16:16">
      <c r="P58257" s="2498"/>
    </row>
    <row r="58258" spans="16:16">
      <c r="P58258" s="2498"/>
    </row>
    <row r="58259" spans="16:16">
      <c r="P58259" s="2498"/>
    </row>
    <row r="58260" spans="16:16">
      <c r="P58260" s="2498"/>
    </row>
    <row r="58261" spans="16:16">
      <c r="P58261" s="2498"/>
    </row>
    <row r="58262" spans="16:16">
      <c r="P58262" s="2498"/>
    </row>
    <row r="58263" spans="16:16">
      <c r="P58263" s="2498"/>
    </row>
    <row r="58264" spans="16:16">
      <c r="P58264" s="2498"/>
    </row>
    <row r="58265" spans="16:16">
      <c r="P58265" s="2498"/>
    </row>
    <row r="58266" spans="16:16">
      <c r="P58266" s="2498"/>
    </row>
    <row r="58267" spans="16:16">
      <c r="P58267" s="2498"/>
    </row>
    <row r="58268" spans="16:16">
      <c r="P58268" s="2498"/>
    </row>
    <row r="58269" spans="16:16">
      <c r="P58269" s="2498"/>
    </row>
    <row r="58270" spans="16:16">
      <c r="P58270" s="2498"/>
    </row>
    <row r="58271" spans="16:16">
      <c r="P58271" s="2498"/>
    </row>
    <row r="58272" spans="16:16">
      <c r="P58272" s="2498"/>
    </row>
    <row r="58273" spans="16:16">
      <c r="P58273" s="2498"/>
    </row>
    <row r="58274" spans="16:16">
      <c r="P58274" s="2498"/>
    </row>
    <row r="58275" spans="16:16">
      <c r="P58275" s="2498"/>
    </row>
    <row r="58276" spans="16:16">
      <c r="P58276" s="2498"/>
    </row>
    <row r="58277" spans="16:16">
      <c r="P58277" s="2498"/>
    </row>
    <row r="58278" spans="16:16">
      <c r="P58278" s="2498"/>
    </row>
    <row r="58279" spans="16:16">
      <c r="P58279" s="2498"/>
    </row>
    <row r="58280" spans="16:16">
      <c r="P58280" s="2498"/>
    </row>
    <row r="58281" spans="16:16">
      <c r="P58281" s="2498"/>
    </row>
    <row r="58282" spans="16:16">
      <c r="P58282" s="2498"/>
    </row>
    <row r="58283" spans="16:16">
      <c r="P58283" s="2498"/>
    </row>
    <row r="58284" spans="16:16">
      <c r="P58284" s="2498"/>
    </row>
    <row r="58285" spans="16:16">
      <c r="P58285" s="2498"/>
    </row>
    <row r="58286" spans="16:16">
      <c r="P58286" s="2498"/>
    </row>
    <row r="58287" spans="16:16">
      <c r="P58287" s="2498"/>
    </row>
    <row r="58288" spans="16:16">
      <c r="P58288" s="2498"/>
    </row>
    <row r="58289" spans="16:16">
      <c r="P58289" s="2498"/>
    </row>
    <row r="58290" spans="16:16">
      <c r="P58290" s="2498"/>
    </row>
    <row r="58291" spans="16:16">
      <c r="P58291" s="2498"/>
    </row>
    <row r="58292" spans="16:16">
      <c r="P58292" s="2498"/>
    </row>
    <row r="58293" spans="16:16">
      <c r="P58293" s="2498"/>
    </row>
    <row r="58294" spans="16:16">
      <c r="P58294" s="2498"/>
    </row>
    <row r="58295" spans="16:16">
      <c r="P58295" s="2498"/>
    </row>
    <row r="58296" spans="16:16">
      <c r="P58296" s="2498"/>
    </row>
    <row r="58297" spans="16:16">
      <c r="P58297" s="2498"/>
    </row>
    <row r="58298" spans="16:16">
      <c r="P58298" s="2498"/>
    </row>
    <row r="58299" spans="16:16">
      <c r="P58299" s="2498"/>
    </row>
    <row r="58300" spans="16:16">
      <c r="P58300" s="2498"/>
    </row>
    <row r="58301" spans="16:16">
      <c r="P58301" s="2498"/>
    </row>
    <row r="58302" spans="16:16">
      <c r="P58302" s="2498"/>
    </row>
    <row r="58303" spans="16:16">
      <c r="P58303" s="2498"/>
    </row>
    <row r="58304" spans="16:16">
      <c r="P58304" s="2498"/>
    </row>
    <row r="58305" spans="16:16">
      <c r="P58305" s="2498"/>
    </row>
    <row r="58306" spans="16:16">
      <c r="P58306" s="2498"/>
    </row>
    <row r="58307" spans="16:16">
      <c r="P58307" s="2498"/>
    </row>
    <row r="58308" spans="16:16">
      <c r="P58308" s="2498"/>
    </row>
    <row r="58309" spans="16:16">
      <c r="P58309" s="2498"/>
    </row>
    <row r="58310" spans="16:16">
      <c r="P58310" s="2498"/>
    </row>
    <row r="58311" spans="16:16">
      <c r="P58311" s="2498"/>
    </row>
    <row r="58312" spans="16:16">
      <c r="P58312" s="2498"/>
    </row>
    <row r="58313" spans="16:16">
      <c r="P58313" s="2498"/>
    </row>
    <row r="58314" spans="16:16">
      <c r="P58314" s="2498"/>
    </row>
    <row r="58315" spans="16:16">
      <c r="P58315" s="2498"/>
    </row>
    <row r="58316" spans="16:16">
      <c r="P58316" s="2498"/>
    </row>
    <row r="58317" spans="16:16">
      <c r="P58317" s="2498"/>
    </row>
    <row r="58318" spans="16:16">
      <c r="P58318" s="2498"/>
    </row>
    <row r="58319" spans="16:16">
      <c r="P58319" s="2498"/>
    </row>
    <row r="58320" spans="16:16">
      <c r="P58320" s="2498"/>
    </row>
    <row r="58321" spans="16:16">
      <c r="P58321" s="2498"/>
    </row>
    <row r="58322" spans="16:16">
      <c r="P58322" s="2498"/>
    </row>
    <row r="58323" spans="16:16">
      <c r="P58323" s="2498"/>
    </row>
    <row r="58324" spans="16:16">
      <c r="P58324" s="2498"/>
    </row>
    <row r="58325" spans="16:16">
      <c r="P58325" s="2498"/>
    </row>
    <row r="58326" spans="16:16">
      <c r="P58326" s="2498"/>
    </row>
    <row r="58327" spans="16:16">
      <c r="P58327" s="2498"/>
    </row>
    <row r="58328" spans="16:16">
      <c r="P58328" s="2498"/>
    </row>
    <row r="58329" spans="16:16">
      <c r="P58329" s="2498"/>
    </row>
    <row r="58330" spans="16:16">
      <c r="P58330" s="2498"/>
    </row>
    <row r="58331" spans="16:16">
      <c r="P58331" s="2498"/>
    </row>
    <row r="58332" spans="16:16">
      <c r="P58332" s="2498"/>
    </row>
    <row r="58333" spans="16:16">
      <c r="P58333" s="2498"/>
    </row>
    <row r="58334" spans="16:16">
      <c r="P58334" s="2498"/>
    </row>
    <row r="58335" spans="16:16">
      <c r="P58335" s="2498"/>
    </row>
    <row r="58336" spans="16:16">
      <c r="P58336" s="2498"/>
    </row>
    <row r="58337" spans="16:16">
      <c r="P58337" s="2498"/>
    </row>
    <row r="58338" spans="16:16">
      <c r="P58338" s="2498"/>
    </row>
    <row r="58339" spans="16:16">
      <c r="P58339" s="2498"/>
    </row>
    <row r="58340" spans="16:16">
      <c r="P58340" s="2498"/>
    </row>
    <row r="58341" spans="16:16">
      <c r="P58341" s="2498"/>
    </row>
    <row r="58342" spans="16:16">
      <c r="P58342" s="2498"/>
    </row>
    <row r="58343" spans="16:16">
      <c r="P58343" s="2498"/>
    </row>
    <row r="58344" spans="16:16">
      <c r="P58344" s="2498"/>
    </row>
    <row r="58345" spans="16:16">
      <c r="P58345" s="2498"/>
    </row>
    <row r="58346" spans="16:16">
      <c r="P58346" s="2498"/>
    </row>
    <row r="58347" spans="16:16">
      <c r="P58347" s="2498"/>
    </row>
    <row r="58348" spans="16:16">
      <c r="P58348" s="2498"/>
    </row>
    <row r="58349" spans="16:16">
      <c r="P58349" s="2498"/>
    </row>
    <row r="58350" spans="16:16">
      <c r="P58350" s="2498"/>
    </row>
    <row r="58351" spans="16:16">
      <c r="P58351" s="2498"/>
    </row>
    <row r="58352" spans="16:16">
      <c r="P58352" s="2498"/>
    </row>
    <row r="58353" spans="16:16">
      <c r="P58353" s="2498"/>
    </row>
    <row r="58354" spans="16:16">
      <c r="P58354" s="2498"/>
    </row>
    <row r="58355" spans="16:16">
      <c r="P58355" s="2498"/>
    </row>
    <row r="58356" spans="16:16">
      <c r="P58356" s="2498"/>
    </row>
    <row r="58357" spans="16:16">
      <c r="P58357" s="2498"/>
    </row>
    <row r="58358" spans="16:16">
      <c r="P58358" s="2498"/>
    </row>
    <row r="58359" spans="16:16">
      <c r="P58359" s="2498"/>
    </row>
    <row r="58360" spans="16:16">
      <c r="P58360" s="2498"/>
    </row>
    <row r="58361" spans="16:16">
      <c r="P58361" s="2498"/>
    </row>
    <row r="58362" spans="16:16">
      <c r="P58362" s="2498"/>
    </row>
    <row r="58363" spans="16:16">
      <c r="P58363" s="2498"/>
    </row>
    <row r="58364" spans="16:16">
      <c r="P58364" s="2498"/>
    </row>
    <row r="58365" spans="16:16">
      <c r="P58365" s="2498"/>
    </row>
    <row r="58366" spans="16:16">
      <c r="P58366" s="2498"/>
    </row>
    <row r="58367" spans="16:16">
      <c r="P58367" s="2498"/>
    </row>
    <row r="58368" spans="16:16">
      <c r="P58368" s="2498"/>
    </row>
    <row r="58369" spans="16:16">
      <c r="P58369" s="2498"/>
    </row>
    <row r="58370" spans="16:16">
      <c r="P58370" s="2498"/>
    </row>
    <row r="58371" spans="16:16">
      <c r="P58371" s="2498"/>
    </row>
    <row r="58372" spans="16:16">
      <c r="P58372" s="2498"/>
    </row>
    <row r="58373" spans="16:16">
      <c r="P58373" s="2498"/>
    </row>
    <row r="58374" spans="16:16">
      <c r="P58374" s="2498"/>
    </row>
    <row r="58375" spans="16:16">
      <c r="P58375" s="2498"/>
    </row>
    <row r="58376" spans="16:16">
      <c r="P58376" s="2498"/>
    </row>
    <row r="58377" spans="16:16">
      <c r="P58377" s="2498"/>
    </row>
    <row r="58378" spans="16:16">
      <c r="P58378" s="2498"/>
    </row>
    <row r="58379" spans="16:16">
      <c r="P58379" s="2498"/>
    </row>
    <row r="58380" spans="16:16">
      <c r="P58380" s="2498"/>
    </row>
    <row r="58381" spans="16:16">
      <c r="P58381" s="2498"/>
    </row>
    <row r="58382" spans="16:16">
      <c r="P58382" s="2498"/>
    </row>
    <row r="58383" spans="16:16">
      <c r="P58383" s="2498"/>
    </row>
    <row r="58384" spans="16:16">
      <c r="P58384" s="2498"/>
    </row>
    <row r="58385" spans="16:16">
      <c r="P58385" s="2498"/>
    </row>
    <row r="58386" spans="16:16">
      <c r="P58386" s="2498"/>
    </row>
    <row r="58387" spans="16:16">
      <c r="P58387" s="2498"/>
    </row>
    <row r="58388" spans="16:16">
      <c r="P58388" s="2498"/>
    </row>
    <row r="58389" spans="16:16">
      <c r="P58389" s="2498"/>
    </row>
    <row r="58390" spans="16:16">
      <c r="P58390" s="2498"/>
    </row>
    <row r="58391" spans="16:16">
      <c r="P58391" s="2498"/>
    </row>
    <row r="58392" spans="16:16">
      <c r="P58392" s="2498"/>
    </row>
    <row r="58393" spans="16:16">
      <c r="P58393" s="2498"/>
    </row>
    <row r="58394" spans="16:16">
      <c r="P58394" s="2498"/>
    </row>
    <row r="58395" spans="16:16">
      <c r="P58395" s="2498"/>
    </row>
    <row r="58396" spans="16:16">
      <c r="P58396" s="2498"/>
    </row>
    <row r="58397" spans="16:16">
      <c r="P58397" s="2498"/>
    </row>
    <row r="58398" spans="16:16">
      <c r="P58398" s="2498"/>
    </row>
    <row r="58399" spans="16:16">
      <c r="P58399" s="2498"/>
    </row>
    <row r="58400" spans="16:16">
      <c r="P58400" s="2498"/>
    </row>
    <row r="58401" spans="16:16">
      <c r="P58401" s="2498"/>
    </row>
    <row r="58402" spans="16:16">
      <c r="P58402" s="2498"/>
    </row>
    <row r="58403" spans="16:16">
      <c r="P58403" s="2498"/>
    </row>
    <row r="58404" spans="16:16">
      <c r="P58404" s="2498"/>
    </row>
    <row r="58405" spans="16:16">
      <c r="P58405" s="2498"/>
    </row>
    <row r="58406" spans="16:16">
      <c r="P58406" s="2498"/>
    </row>
    <row r="58407" spans="16:16">
      <c r="P58407" s="2498"/>
    </row>
    <row r="58408" spans="16:16">
      <c r="P58408" s="2498"/>
    </row>
    <row r="58409" spans="16:16">
      <c r="P58409" s="2498"/>
    </row>
    <row r="58410" spans="16:16">
      <c r="P58410" s="2498"/>
    </row>
    <row r="58411" spans="16:16">
      <c r="P58411" s="2498"/>
    </row>
    <row r="58412" spans="16:16">
      <c r="P58412" s="2498"/>
    </row>
    <row r="58413" spans="16:16">
      <c r="P58413" s="2498"/>
    </row>
    <row r="58414" spans="16:16">
      <c r="P58414" s="2498"/>
    </row>
    <row r="58415" spans="16:16">
      <c r="P58415" s="2498"/>
    </row>
    <row r="58416" spans="16:16">
      <c r="P58416" s="2498"/>
    </row>
    <row r="58417" spans="16:16">
      <c r="P58417" s="2498"/>
    </row>
    <row r="58418" spans="16:16">
      <c r="P58418" s="2498"/>
    </row>
    <row r="58419" spans="16:16">
      <c r="P58419" s="2498"/>
    </row>
    <row r="58420" spans="16:16">
      <c r="P58420" s="2498"/>
    </row>
    <row r="58421" spans="16:16">
      <c r="P58421" s="2498"/>
    </row>
    <row r="58422" spans="16:16">
      <c r="P58422" s="2498"/>
    </row>
    <row r="58423" spans="16:16">
      <c r="P58423" s="2498"/>
    </row>
    <row r="58424" spans="16:16">
      <c r="P58424" s="2498"/>
    </row>
    <row r="58425" spans="16:16">
      <c r="P58425" s="2498"/>
    </row>
    <row r="58426" spans="16:16">
      <c r="P58426" s="2498"/>
    </row>
    <row r="58427" spans="16:16">
      <c r="P58427" s="2498"/>
    </row>
    <row r="58428" spans="16:16">
      <c r="P58428" s="2498"/>
    </row>
    <row r="58429" spans="16:16">
      <c r="P58429" s="2498"/>
    </row>
    <row r="58430" spans="16:16">
      <c r="P58430" s="2498"/>
    </row>
    <row r="58431" spans="16:16">
      <c r="P58431" s="2498"/>
    </row>
    <row r="58432" spans="16:16">
      <c r="P58432" s="2498"/>
    </row>
    <row r="58433" spans="16:16">
      <c r="P58433" s="2498"/>
    </row>
    <row r="58434" spans="16:16">
      <c r="P58434" s="2498"/>
    </row>
    <row r="58435" spans="16:16">
      <c r="P58435" s="2498"/>
    </row>
    <row r="58436" spans="16:16">
      <c r="P58436" s="2498"/>
    </row>
    <row r="58437" spans="16:16">
      <c r="P58437" s="2498"/>
    </row>
    <row r="58438" spans="16:16">
      <c r="P58438" s="2498"/>
    </row>
    <row r="58439" spans="16:16">
      <c r="P58439" s="2498"/>
    </row>
    <row r="58440" spans="16:16">
      <c r="P58440" s="2498"/>
    </row>
    <row r="58441" spans="16:16">
      <c r="P58441" s="2498"/>
    </row>
    <row r="58442" spans="16:16">
      <c r="P58442" s="2498"/>
    </row>
    <row r="58443" spans="16:16">
      <c r="P58443" s="2498"/>
    </row>
    <row r="58444" spans="16:16">
      <c r="P58444" s="2498"/>
    </row>
    <row r="58445" spans="16:16">
      <c r="P58445" s="2498"/>
    </row>
    <row r="58446" spans="16:16">
      <c r="P58446" s="2498"/>
    </row>
    <row r="58447" spans="16:16">
      <c r="P58447" s="2498"/>
    </row>
    <row r="58448" spans="16:16">
      <c r="P58448" s="2498"/>
    </row>
    <row r="58449" spans="16:16">
      <c r="P58449" s="2498"/>
    </row>
    <row r="58450" spans="16:16">
      <c r="P58450" s="2498"/>
    </row>
    <row r="58451" spans="16:16">
      <c r="P58451" s="2498"/>
    </row>
    <row r="58452" spans="16:16">
      <c r="P58452" s="2498"/>
    </row>
    <row r="58453" spans="16:16">
      <c r="P58453" s="2498"/>
    </row>
    <row r="58454" spans="16:16">
      <c r="P58454" s="2498"/>
    </row>
    <row r="58455" spans="16:16">
      <c r="P58455" s="2498"/>
    </row>
    <row r="58456" spans="16:16">
      <c r="P58456" s="2498"/>
    </row>
    <row r="58457" spans="16:16">
      <c r="P58457" s="2498"/>
    </row>
    <row r="58458" spans="16:16">
      <c r="P58458" s="2498"/>
    </row>
    <row r="58459" spans="16:16">
      <c r="P58459" s="2498"/>
    </row>
    <row r="58460" spans="16:16">
      <c r="P58460" s="2498"/>
    </row>
    <row r="58461" spans="16:16">
      <c r="P58461" s="2498"/>
    </row>
    <row r="58462" spans="16:16">
      <c r="P58462" s="2498"/>
    </row>
    <row r="58463" spans="16:16">
      <c r="P58463" s="2498"/>
    </row>
    <row r="58464" spans="16:16">
      <c r="P58464" s="2498"/>
    </row>
    <row r="58465" spans="16:16">
      <c r="P58465" s="2498"/>
    </row>
    <row r="58466" spans="16:16">
      <c r="P58466" s="2498"/>
    </row>
    <row r="58467" spans="16:16">
      <c r="P58467" s="2498"/>
    </row>
    <row r="58468" spans="16:16">
      <c r="P58468" s="2498"/>
    </row>
    <row r="58469" spans="16:16">
      <c r="P58469" s="2498"/>
    </row>
    <row r="58470" spans="16:16">
      <c r="P58470" s="2498"/>
    </row>
    <row r="58471" spans="16:16">
      <c r="P58471" s="2498"/>
    </row>
    <row r="58472" spans="16:16">
      <c r="P58472" s="2498"/>
    </row>
    <row r="58473" spans="16:16">
      <c r="P58473" s="2498"/>
    </row>
    <row r="58474" spans="16:16">
      <c r="P58474" s="2498"/>
    </row>
    <row r="58475" spans="16:16">
      <c r="P58475" s="2498"/>
    </row>
    <row r="58476" spans="16:16">
      <c r="P58476" s="2498"/>
    </row>
    <row r="58477" spans="16:16">
      <c r="P58477" s="2498"/>
    </row>
    <row r="58478" spans="16:16">
      <c r="P58478" s="2498"/>
    </row>
    <row r="58479" spans="16:16">
      <c r="P58479" s="2498"/>
    </row>
    <row r="58480" spans="16:16">
      <c r="P58480" s="2498"/>
    </row>
    <row r="58481" spans="16:16">
      <c r="P58481" s="2498"/>
    </row>
    <row r="58482" spans="16:16">
      <c r="P58482" s="2498"/>
    </row>
    <row r="58483" spans="16:16">
      <c r="P58483" s="2498"/>
    </row>
    <row r="58484" spans="16:16">
      <c r="P58484" s="2498"/>
    </row>
    <row r="58485" spans="16:16">
      <c r="P58485" s="2498"/>
    </row>
    <row r="58486" spans="16:16">
      <c r="P58486" s="2498"/>
    </row>
    <row r="58487" spans="16:16">
      <c r="P58487" s="2498"/>
    </row>
    <row r="58488" spans="16:16">
      <c r="P58488" s="2498"/>
    </row>
    <row r="58489" spans="16:16">
      <c r="P58489" s="2498"/>
    </row>
    <row r="58490" spans="16:16">
      <c r="P58490" s="2498"/>
    </row>
    <row r="58491" spans="16:16">
      <c r="P58491" s="2498"/>
    </row>
    <row r="58492" spans="16:16">
      <c r="P58492" s="2498"/>
    </row>
    <row r="58493" spans="16:16">
      <c r="P58493" s="2498"/>
    </row>
    <row r="58494" spans="16:16">
      <c r="P58494" s="2498"/>
    </row>
    <row r="58495" spans="16:16">
      <c r="P58495" s="2498"/>
    </row>
    <row r="58496" spans="16:16">
      <c r="P58496" s="2498"/>
    </row>
    <row r="58497" spans="16:16">
      <c r="P58497" s="2498"/>
    </row>
    <row r="58498" spans="16:16">
      <c r="P58498" s="2498"/>
    </row>
    <row r="58499" spans="16:16">
      <c r="P58499" s="2498"/>
    </row>
    <row r="58500" spans="16:16">
      <c r="P58500" s="2498"/>
    </row>
    <row r="58501" spans="16:16">
      <c r="P58501" s="2498"/>
    </row>
    <row r="58502" spans="16:16">
      <c r="P58502" s="2498"/>
    </row>
    <row r="58503" spans="16:16">
      <c r="P58503" s="2498"/>
    </row>
    <row r="58504" spans="16:16">
      <c r="P58504" s="2498"/>
    </row>
    <row r="58505" spans="16:16">
      <c r="P58505" s="2498"/>
    </row>
    <row r="58506" spans="16:16">
      <c r="P58506" s="2498"/>
    </row>
    <row r="58507" spans="16:16">
      <c r="P58507" s="2498"/>
    </row>
    <row r="58508" spans="16:16">
      <c r="P58508" s="2498"/>
    </row>
    <row r="58509" spans="16:16">
      <c r="P58509" s="2498"/>
    </row>
    <row r="58510" spans="16:16">
      <c r="P58510" s="2498"/>
    </row>
    <row r="58511" spans="16:16">
      <c r="P58511" s="2498"/>
    </row>
    <row r="58512" spans="16:16">
      <c r="P58512" s="2498"/>
    </row>
    <row r="58513" spans="16:16">
      <c r="P58513" s="2498"/>
    </row>
    <row r="58514" spans="16:16">
      <c r="P58514" s="2498"/>
    </row>
    <row r="58515" spans="16:16">
      <c r="P58515" s="2498"/>
    </row>
    <row r="58516" spans="16:16">
      <c r="P58516" s="2498"/>
    </row>
    <row r="58517" spans="16:16">
      <c r="P58517" s="2498"/>
    </row>
    <row r="58518" spans="16:16">
      <c r="P58518" s="2498"/>
    </row>
    <row r="58519" spans="16:16">
      <c r="P58519" s="2498"/>
    </row>
    <row r="58520" spans="16:16">
      <c r="P58520" s="2498"/>
    </row>
    <row r="58521" spans="16:16">
      <c r="P58521" s="2498"/>
    </row>
    <row r="58522" spans="16:16">
      <c r="P58522" s="2498"/>
    </row>
    <row r="58523" spans="16:16">
      <c r="P58523" s="2498"/>
    </row>
    <row r="58524" spans="16:16">
      <c r="P58524" s="2498"/>
    </row>
    <row r="58525" spans="16:16">
      <c r="P58525" s="2498"/>
    </row>
    <row r="58526" spans="16:16">
      <c r="P58526" s="2498"/>
    </row>
    <row r="58527" spans="16:16">
      <c r="P58527" s="2498"/>
    </row>
    <row r="58528" spans="16:16">
      <c r="P58528" s="2498"/>
    </row>
    <row r="58529" spans="16:16">
      <c r="P58529" s="2498"/>
    </row>
    <row r="58530" spans="16:16">
      <c r="P58530" s="2498"/>
    </row>
    <row r="58531" spans="16:16">
      <c r="P58531" s="2498"/>
    </row>
    <row r="58532" spans="16:16">
      <c r="P58532" s="2498"/>
    </row>
    <row r="58533" spans="16:16">
      <c r="P58533" s="2498"/>
    </row>
    <row r="58534" spans="16:16">
      <c r="P58534" s="2498"/>
    </row>
    <row r="58535" spans="16:16">
      <c r="P58535" s="2498"/>
    </row>
    <row r="58536" spans="16:16">
      <c r="P58536" s="2498"/>
    </row>
    <row r="58537" spans="16:16">
      <c r="P58537" s="2498"/>
    </row>
    <row r="58538" spans="16:16">
      <c r="P58538" s="2498"/>
    </row>
    <row r="58539" spans="16:16">
      <c r="P58539" s="2498"/>
    </row>
    <row r="58540" spans="16:16">
      <c r="P58540" s="2498"/>
    </row>
    <row r="58541" spans="16:16">
      <c r="P58541" s="2498"/>
    </row>
    <row r="58542" spans="16:16">
      <c r="P58542" s="2498"/>
    </row>
    <row r="58543" spans="16:16">
      <c r="P58543" s="2498"/>
    </row>
    <row r="58544" spans="16:16">
      <c r="P58544" s="2498"/>
    </row>
    <row r="58545" spans="16:16">
      <c r="P58545" s="2498"/>
    </row>
    <row r="58546" spans="16:16">
      <c r="P58546" s="2498"/>
    </row>
    <row r="58547" spans="16:16">
      <c r="P58547" s="2498"/>
    </row>
    <row r="58548" spans="16:16">
      <c r="P58548" s="2498"/>
    </row>
    <row r="58549" spans="16:16">
      <c r="P58549" s="2498"/>
    </row>
    <row r="58550" spans="16:16">
      <c r="P58550" s="2498"/>
    </row>
    <row r="58551" spans="16:16">
      <c r="P58551" s="2498"/>
    </row>
    <row r="58552" spans="16:16">
      <c r="P58552" s="2498"/>
    </row>
    <row r="58553" spans="16:16">
      <c r="P58553" s="2498"/>
    </row>
    <row r="58554" spans="16:16">
      <c r="P58554" s="2498"/>
    </row>
    <row r="58555" spans="16:16">
      <c r="P58555" s="2498"/>
    </row>
    <row r="58556" spans="16:16">
      <c r="P58556" s="2498"/>
    </row>
    <row r="58557" spans="16:16">
      <c r="P58557" s="2498"/>
    </row>
    <row r="58558" spans="16:16">
      <c r="P58558" s="2498"/>
    </row>
    <row r="58559" spans="16:16">
      <c r="P58559" s="2498"/>
    </row>
    <row r="58560" spans="16:16">
      <c r="P58560" s="2498"/>
    </row>
    <row r="58561" spans="16:16">
      <c r="P58561" s="2498"/>
    </row>
    <row r="58562" spans="16:16">
      <c r="P58562" s="2498"/>
    </row>
    <row r="58563" spans="16:16">
      <c r="P58563" s="2498"/>
    </row>
    <row r="58564" spans="16:16">
      <c r="P58564" s="2498"/>
    </row>
    <row r="58565" spans="16:16">
      <c r="P58565" s="2498"/>
    </row>
    <row r="58566" spans="16:16">
      <c r="P58566" s="2498"/>
    </row>
    <row r="58567" spans="16:16">
      <c r="P58567" s="2498"/>
    </row>
    <row r="58568" spans="16:16">
      <c r="P58568" s="2498"/>
    </row>
    <row r="58569" spans="16:16">
      <c r="P58569" s="2498"/>
    </row>
    <row r="58570" spans="16:16">
      <c r="P58570" s="2498"/>
    </row>
    <row r="58571" spans="16:16">
      <c r="P58571" s="2498"/>
    </row>
    <row r="58572" spans="16:16">
      <c r="P58572" s="2498"/>
    </row>
    <row r="58573" spans="16:16">
      <c r="P58573" s="2498"/>
    </row>
    <row r="58574" spans="16:16">
      <c r="P58574" s="2498"/>
    </row>
    <row r="58575" spans="16:16">
      <c r="P58575" s="2498"/>
    </row>
    <row r="58576" spans="16:16">
      <c r="P58576" s="2498"/>
    </row>
    <row r="58577" spans="16:16">
      <c r="P58577" s="2498"/>
    </row>
    <row r="58578" spans="16:16">
      <c r="P58578" s="2498"/>
    </row>
    <row r="58579" spans="16:16">
      <c r="P58579" s="2498"/>
    </row>
    <row r="58580" spans="16:16">
      <c r="P58580" s="2498"/>
    </row>
    <row r="58581" spans="16:16">
      <c r="P58581" s="2498"/>
    </row>
    <row r="58582" spans="16:16">
      <c r="P58582" s="2498"/>
    </row>
    <row r="58583" spans="16:16">
      <c r="P58583" s="2498"/>
    </row>
    <row r="58584" spans="16:16">
      <c r="P58584" s="2498"/>
    </row>
    <row r="58585" spans="16:16">
      <c r="P58585" s="2498"/>
    </row>
    <row r="58586" spans="16:16">
      <c r="P58586" s="2498"/>
    </row>
    <row r="58587" spans="16:16">
      <c r="P58587" s="2498"/>
    </row>
    <row r="58588" spans="16:16">
      <c r="P58588" s="2498"/>
    </row>
    <row r="58589" spans="16:16">
      <c r="P58589" s="2498"/>
    </row>
    <row r="58590" spans="16:16">
      <c r="P58590" s="2498"/>
    </row>
    <row r="58591" spans="16:16">
      <c r="P58591" s="2498"/>
    </row>
    <row r="58592" spans="16:16">
      <c r="P58592" s="2498"/>
    </row>
    <row r="58593" spans="16:16">
      <c r="P58593" s="2498"/>
    </row>
    <row r="58594" spans="16:16">
      <c r="P58594" s="2498"/>
    </row>
    <row r="58595" spans="16:16">
      <c r="P58595" s="2498"/>
    </row>
    <row r="58596" spans="16:16">
      <c r="P58596" s="2498"/>
    </row>
    <row r="58597" spans="16:16">
      <c r="P58597" s="2498"/>
    </row>
    <row r="58598" spans="16:16">
      <c r="P58598" s="2498"/>
    </row>
    <row r="58599" spans="16:16">
      <c r="P58599" s="2498"/>
    </row>
    <row r="58600" spans="16:16">
      <c r="P58600" s="2498"/>
    </row>
    <row r="58601" spans="16:16">
      <c r="P58601" s="2498"/>
    </row>
    <row r="58602" spans="16:16">
      <c r="P58602" s="2498"/>
    </row>
    <row r="58603" spans="16:16">
      <c r="P58603" s="2498"/>
    </row>
    <row r="58604" spans="16:16">
      <c r="P58604" s="2498"/>
    </row>
    <row r="58605" spans="16:16">
      <c r="P58605" s="2498"/>
    </row>
    <row r="58606" spans="16:16">
      <c r="P58606" s="2498"/>
    </row>
    <row r="58607" spans="16:16">
      <c r="P58607" s="2498"/>
    </row>
    <row r="58608" spans="16:16">
      <c r="P58608" s="2498"/>
    </row>
    <row r="58609" spans="16:16">
      <c r="P58609" s="2498"/>
    </row>
    <row r="58610" spans="16:16">
      <c r="P58610" s="2498"/>
    </row>
    <row r="58611" spans="16:16">
      <c r="P58611" s="2498"/>
    </row>
    <row r="58612" spans="16:16">
      <c r="P58612" s="2498"/>
    </row>
    <row r="58613" spans="16:16">
      <c r="P58613" s="2498"/>
    </row>
    <row r="58614" spans="16:16">
      <c r="P58614" s="2498"/>
    </row>
    <row r="58615" spans="16:16">
      <c r="P58615" s="2498"/>
    </row>
    <row r="58616" spans="16:16">
      <c r="P58616" s="2498"/>
    </row>
    <row r="58617" spans="16:16">
      <c r="P58617" s="2498"/>
    </row>
    <row r="58618" spans="16:16">
      <c r="P58618" s="2498"/>
    </row>
    <row r="58619" spans="16:16">
      <c r="P58619" s="2498"/>
    </row>
    <row r="58620" spans="16:16">
      <c r="P58620" s="2498"/>
    </row>
    <row r="58621" spans="16:16">
      <c r="P58621" s="2498"/>
    </row>
    <row r="58622" spans="16:16">
      <c r="P58622" s="2498"/>
    </row>
    <row r="58623" spans="16:16">
      <c r="P58623" s="2498"/>
    </row>
    <row r="58624" spans="16:16">
      <c r="P58624" s="2498"/>
    </row>
    <row r="58625" spans="16:16">
      <c r="P58625" s="2498"/>
    </row>
    <row r="58626" spans="16:16">
      <c r="P58626" s="2498"/>
    </row>
    <row r="58627" spans="16:16">
      <c r="P58627" s="2498"/>
    </row>
    <row r="58628" spans="16:16">
      <c r="P58628" s="2498"/>
    </row>
    <row r="58629" spans="16:16">
      <c r="P58629" s="2498"/>
    </row>
    <row r="58630" spans="16:16">
      <c r="P58630" s="2498"/>
    </row>
    <row r="58631" spans="16:16">
      <c r="P58631" s="2498"/>
    </row>
    <row r="58632" spans="16:16">
      <c r="P58632" s="2498"/>
    </row>
    <row r="58633" spans="16:16">
      <c r="P58633" s="2498"/>
    </row>
    <row r="58634" spans="16:16">
      <c r="P58634" s="2498"/>
    </row>
    <row r="58635" spans="16:16">
      <c r="P58635" s="2498"/>
    </row>
    <row r="58636" spans="16:16">
      <c r="P58636" s="2498"/>
    </row>
    <row r="58637" spans="16:16">
      <c r="P58637" s="2498"/>
    </row>
    <row r="58638" spans="16:16">
      <c r="P58638" s="2498"/>
    </row>
    <row r="58639" spans="16:16">
      <c r="P58639" s="2498"/>
    </row>
    <row r="58640" spans="16:16">
      <c r="P58640" s="2498"/>
    </row>
    <row r="58641" spans="16:16">
      <c r="P58641" s="2498"/>
    </row>
    <row r="58642" spans="16:16">
      <c r="P58642" s="2498"/>
    </row>
    <row r="58643" spans="16:16">
      <c r="P58643" s="2498"/>
    </row>
    <row r="58644" spans="16:16">
      <c r="P58644" s="2498"/>
    </row>
    <row r="58645" spans="16:16">
      <c r="P58645" s="2498"/>
    </row>
    <row r="58646" spans="16:16">
      <c r="P58646" s="2498"/>
    </row>
    <row r="58647" spans="16:16">
      <c r="P58647" s="2498"/>
    </row>
    <row r="58648" spans="16:16">
      <c r="P58648" s="2498"/>
    </row>
    <row r="58649" spans="16:16">
      <c r="P58649" s="2498"/>
    </row>
    <row r="58650" spans="16:16">
      <c r="P58650" s="2498"/>
    </row>
    <row r="58651" spans="16:16">
      <c r="P58651" s="2498"/>
    </row>
    <row r="58652" spans="16:16">
      <c r="P58652" s="2498"/>
    </row>
    <row r="58653" spans="16:16">
      <c r="P58653" s="2498"/>
    </row>
    <row r="58654" spans="16:16">
      <c r="P58654" s="2498"/>
    </row>
    <row r="58655" spans="16:16">
      <c r="P58655" s="2498"/>
    </row>
    <row r="58656" spans="16:16">
      <c r="P58656" s="2498"/>
    </row>
    <row r="58657" spans="16:16">
      <c r="P58657" s="2498"/>
    </row>
    <row r="58658" spans="16:16">
      <c r="P58658" s="2498"/>
    </row>
    <row r="58659" spans="16:16">
      <c r="P58659" s="2498"/>
    </row>
    <row r="58660" spans="16:16">
      <c r="P58660" s="2498"/>
    </row>
    <row r="58661" spans="16:16">
      <c r="P58661" s="2498"/>
    </row>
    <row r="58662" spans="16:16">
      <c r="P58662" s="2498"/>
    </row>
    <row r="58663" spans="16:16">
      <c r="P58663" s="2498"/>
    </row>
    <row r="58664" spans="16:16">
      <c r="P58664" s="2498"/>
    </row>
    <row r="58665" spans="16:16">
      <c r="P58665" s="2498"/>
    </row>
    <row r="58666" spans="16:16">
      <c r="P58666" s="2498"/>
    </row>
    <row r="58667" spans="16:16">
      <c r="P58667" s="2498"/>
    </row>
    <row r="58668" spans="16:16">
      <c r="P58668" s="2498"/>
    </row>
    <row r="58669" spans="16:16">
      <c r="P58669" s="2498"/>
    </row>
    <row r="58670" spans="16:16">
      <c r="P58670" s="2498"/>
    </row>
    <row r="58671" spans="16:16">
      <c r="P58671" s="2498"/>
    </row>
    <row r="58672" spans="16:16">
      <c r="P58672" s="2498"/>
    </row>
    <row r="58673" spans="16:16">
      <c r="P58673" s="2498"/>
    </row>
    <row r="58674" spans="16:16">
      <c r="P58674" s="2498"/>
    </row>
    <row r="58675" spans="16:16">
      <c r="P58675" s="2498"/>
    </row>
    <row r="58676" spans="16:16">
      <c r="P58676" s="2498"/>
    </row>
    <row r="58677" spans="16:16">
      <c r="P58677" s="2498"/>
    </row>
    <row r="58678" spans="16:16">
      <c r="P58678" s="2498"/>
    </row>
    <row r="58679" spans="16:16">
      <c r="P58679" s="2498"/>
    </row>
    <row r="58680" spans="16:16">
      <c r="P58680" s="2498"/>
    </row>
    <row r="58681" spans="16:16">
      <c r="P58681" s="2498"/>
    </row>
    <row r="58682" spans="16:16">
      <c r="P58682" s="2498"/>
    </row>
    <row r="58683" spans="16:16">
      <c r="P58683" s="2498"/>
    </row>
    <row r="58684" spans="16:16">
      <c r="P58684" s="2498"/>
    </row>
    <row r="58685" spans="16:16">
      <c r="P58685" s="2498"/>
    </row>
    <row r="58686" spans="16:16">
      <c r="P58686" s="2498"/>
    </row>
    <row r="58687" spans="16:16">
      <c r="P58687" s="2498"/>
    </row>
    <row r="58688" spans="16:16">
      <c r="P58688" s="2498"/>
    </row>
    <row r="58689" spans="16:16">
      <c r="P58689" s="2498"/>
    </row>
    <row r="58690" spans="16:16">
      <c r="P58690" s="2498"/>
    </row>
    <row r="58691" spans="16:16">
      <c r="P58691" s="2498"/>
    </row>
    <row r="58692" spans="16:16">
      <c r="P58692" s="2498"/>
    </row>
    <row r="58693" spans="16:16">
      <c r="P58693" s="2498"/>
    </row>
    <row r="58694" spans="16:16">
      <c r="P58694" s="2498"/>
    </row>
    <row r="58695" spans="16:16">
      <c r="P58695" s="2498"/>
    </row>
    <row r="58696" spans="16:16">
      <c r="P58696" s="2498"/>
    </row>
    <row r="58697" spans="16:16">
      <c r="P58697" s="2498"/>
    </row>
    <row r="58698" spans="16:16">
      <c r="P58698" s="2498"/>
    </row>
    <row r="58699" spans="16:16">
      <c r="P58699" s="2498"/>
    </row>
    <row r="58700" spans="16:16">
      <c r="P58700" s="2498"/>
    </row>
    <row r="58701" spans="16:16">
      <c r="P58701" s="2498"/>
    </row>
    <row r="58702" spans="16:16">
      <c r="P58702" s="2498"/>
    </row>
    <row r="58703" spans="16:16">
      <c r="P58703" s="2498"/>
    </row>
    <row r="58704" spans="16:16">
      <c r="P58704" s="2498"/>
    </row>
    <row r="58705" spans="16:16">
      <c r="P58705" s="2498"/>
    </row>
    <row r="58706" spans="16:16">
      <c r="P58706" s="2498"/>
    </row>
    <row r="58707" spans="16:16">
      <c r="P58707" s="2498"/>
    </row>
    <row r="58708" spans="16:16">
      <c r="P58708" s="2498"/>
    </row>
    <row r="58709" spans="16:16">
      <c r="P58709" s="2498"/>
    </row>
    <row r="58710" spans="16:16">
      <c r="P58710" s="2498"/>
    </row>
    <row r="58711" spans="16:16">
      <c r="P58711" s="2498"/>
    </row>
    <row r="58712" spans="16:16">
      <c r="P58712" s="2498"/>
    </row>
    <row r="58713" spans="16:16">
      <c r="P58713" s="2498"/>
    </row>
    <row r="58714" spans="16:16">
      <c r="P58714" s="2498"/>
    </row>
    <row r="58715" spans="16:16">
      <c r="P58715" s="2498"/>
    </row>
    <row r="58716" spans="16:16">
      <c r="P58716" s="2498"/>
    </row>
    <row r="58717" spans="16:16">
      <c r="P58717" s="2498"/>
    </row>
    <row r="58718" spans="16:16">
      <c r="P58718" s="2498"/>
    </row>
    <row r="58719" spans="16:16">
      <c r="P58719" s="2498"/>
    </row>
    <row r="58720" spans="16:16">
      <c r="P58720" s="2498"/>
    </row>
    <row r="58721" spans="16:16">
      <c r="P58721" s="2498"/>
    </row>
    <row r="58722" spans="16:16">
      <c r="P58722" s="2498"/>
    </row>
    <row r="58723" spans="16:16">
      <c r="P58723" s="2498"/>
    </row>
    <row r="58724" spans="16:16">
      <c r="P58724" s="2498"/>
    </row>
    <row r="58725" spans="16:16">
      <c r="P58725" s="2498"/>
    </row>
    <row r="58726" spans="16:16">
      <c r="P58726" s="2498"/>
    </row>
    <row r="58727" spans="16:16">
      <c r="P58727" s="2498"/>
    </row>
    <row r="58728" spans="16:16">
      <c r="P58728" s="2498"/>
    </row>
    <row r="58729" spans="16:16">
      <c r="P58729" s="2498"/>
    </row>
    <row r="58730" spans="16:16">
      <c r="P58730" s="2498"/>
    </row>
    <row r="58731" spans="16:16">
      <c r="P58731" s="2498"/>
    </row>
    <row r="58732" spans="16:16">
      <c r="P58732" s="2498"/>
    </row>
    <row r="58733" spans="16:16">
      <c r="P58733" s="2498"/>
    </row>
    <row r="58734" spans="16:16">
      <c r="P58734" s="2498"/>
    </row>
    <row r="58735" spans="16:16">
      <c r="P58735" s="2498"/>
    </row>
    <row r="58736" spans="16:16">
      <c r="P58736" s="2498"/>
    </row>
    <row r="58737" spans="16:16">
      <c r="P58737" s="2498"/>
    </row>
    <row r="58738" spans="16:16">
      <c r="P58738" s="2498"/>
    </row>
    <row r="58739" spans="16:16">
      <c r="P58739" s="2498"/>
    </row>
    <row r="58740" spans="16:16">
      <c r="P58740" s="2498"/>
    </row>
    <row r="58741" spans="16:16">
      <c r="P58741" s="2498"/>
    </row>
    <row r="58742" spans="16:16">
      <c r="P58742" s="2498"/>
    </row>
    <row r="58743" spans="16:16">
      <c r="P58743" s="2498"/>
    </row>
    <row r="58744" spans="16:16">
      <c r="P58744" s="2498"/>
    </row>
    <row r="58745" spans="16:16">
      <c r="P58745" s="2498"/>
    </row>
    <row r="58746" spans="16:16">
      <c r="P58746" s="2498"/>
    </row>
    <row r="58747" spans="16:16">
      <c r="P58747" s="2498"/>
    </row>
    <row r="58748" spans="16:16">
      <c r="P58748" s="2498"/>
    </row>
    <row r="58749" spans="16:16">
      <c r="P58749" s="2498"/>
    </row>
    <row r="58750" spans="16:16">
      <c r="P58750" s="2498"/>
    </row>
    <row r="58751" spans="16:16">
      <c r="P58751" s="2498"/>
    </row>
    <row r="58752" spans="16:16">
      <c r="P58752" s="2498"/>
    </row>
    <row r="58753" spans="16:16">
      <c r="P58753" s="2498"/>
    </row>
    <row r="58754" spans="16:16">
      <c r="P58754" s="2498"/>
    </row>
    <row r="58755" spans="16:16">
      <c r="P58755" s="2498"/>
    </row>
    <row r="58756" spans="16:16">
      <c r="P58756" s="2498"/>
    </row>
    <row r="58757" spans="16:16">
      <c r="P58757" s="2498"/>
    </row>
    <row r="58758" spans="16:16">
      <c r="P58758" s="2498"/>
    </row>
    <row r="58759" spans="16:16">
      <c r="P58759" s="2498"/>
    </row>
    <row r="58760" spans="16:16">
      <c r="P58760" s="2498"/>
    </row>
    <row r="58761" spans="16:16">
      <c r="P58761" s="2498"/>
    </row>
    <row r="58762" spans="16:16">
      <c r="P58762" s="2498"/>
    </row>
    <row r="58763" spans="16:16">
      <c r="P58763" s="2498"/>
    </row>
    <row r="58764" spans="16:16">
      <c r="P58764" s="2498"/>
    </row>
    <row r="58765" spans="16:16">
      <c r="P58765" s="2498"/>
    </row>
    <row r="58766" spans="16:16">
      <c r="P58766" s="2498"/>
    </row>
    <row r="58767" spans="16:16">
      <c r="P58767" s="2498"/>
    </row>
    <row r="58768" spans="16:16">
      <c r="P58768" s="2498"/>
    </row>
    <row r="58769" spans="16:16">
      <c r="P58769" s="2498"/>
    </row>
    <row r="58770" spans="16:16">
      <c r="P58770" s="2498"/>
    </row>
    <row r="58771" spans="16:16">
      <c r="P58771" s="2498"/>
    </row>
    <row r="58772" spans="16:16">
      <c r="P58772" s="2498"/>
    </row>
    <row r="58773" spans="16:16">
      <c r="P58773" s="2498"/>
    </row>
    <row r="58774" spans="16:16">
      <c r="P58774" s="2498"/>
    </row>
    <row r="58775" spans="16:16">
      <c r="P58775" s="2498"/>
    </row>
    <row r="58776" spans="16:16">
      <c r="P58776" s="2498"/>
    </row>
    <row r="58777" spans="16:16">
      <c r="P58777" s="2498"/>
    </row>
    <row r="58778" spans="16:16">
      <c r="P58778" s="2498"/>
    </row>
    <row r="58779" spans="16:16">
      <c r="P58779" s="2498"/>
    </row>
    <row r="58780" spans="16:16">
      <c r="P58780" s="2498"/>
    </row>
    <row r="58781" spans="16:16">
      <c r="P58781" s="2498"/>
    </row>
    <row r="58782" spans="16:16">
      <c r="P58782" s="2498"/>
    </row>
    <row r="58783" spans="16:16">
      <c r="P58783" s="2498"/>
    </row>
    <row r="58784" spans="16:16">
      <c r="P58784" s="2498"/>
    </row>
    <row r="58785" spans="16:16">
      <c r="P58785" s="2498"/>
    </row>
    <row r="58786" spans="16:16">
      <c r="P58786" s="2498"/>
    </row>
    <row r="58787" spans="16:16">
      <c r="P58787" s="2498"/>
    </row>
    <row r="58788" spans="16:16">
      <c r="P58788" s="2498"/>
    </row>
    <row r="58789" spans="16:16">
      <c r="P58789" s="2498"/>
    </row>
    <row r="58790" spans="16:16">
      <c r="P58790" s="2498"/>
    </row>
    <row r="58791" spans="16:16">
      <c r="P58791" s="2498"/>
    </row>
    <row r="58792" spans="16:16">
      <c r="P58792" s="2498"/>
    </row>
    <row r="58793" spans="16:16">
      <c r="P58793" s="2498"/>
    </row>
    <row r="58794" spans="16:16">
      <c r="P58794" s="2498"/>
    </row>
    <row r="58795" spans="16:16">
      <c r="P58795" s="2498"/>
    </row>
    <row r="58796" spans="16:16">
      <c r="P58796" s="2498"/>
    </row>
    <row r="58797" spans="16:16">
      <c r="P58797" s="2498"/>
    </row>
    <row r="58798" spans="16:16">
      <c r="P58798" s="2498"/>
    </row>
    <row r="58799" spans="16:16">
      <c r="P58799" s="2498"/>
    </row>
    <row r="58800" spans="16:16">
      <c r="P58800" s="2498"/>
    </row>
    <row r="58801" spans="16:16">
      <c r="P58801" s="2498"/>
    </row>
    <row r="58802" spans="16:16">
      <c r="P58802" s="2498"/>
    </row>
    <row r="58803" spans="16:16">
      <c r="P58803" s="2498"/>
    </row>
    <row r="58804" spans="16:16">
      <c r="P58804" s="2498"/>
    </row>
    <row r="58805" spans="16:16">
      <c r="P58805" s="2498"/>
    </row>
    <row r="58806" spans="16:16">
      <c r="P58806" s="2498"/>
    </row>
    <row r="58807" spans="16:16">
      <c r="P58807" s="2498"/>
    </row>
    <row r="58808" spans="16:16">
      <c r="P58808" s="2498"/>
    </row>
    <row r="58809" spans="16:16">
      <c r="P58809" s="2498"/>
    </row>
    <row r="58810" spans="16:16">
      <c r="P58810" s="2498"/>
    </row>
    <row r="58811" spans="16:16">
      <c r="P58811" s="2498"/>
    </row>
    <row r="58812" spans="16:16">
      <c r="P58812" s="2498"/>
    </row>
    <row r="58813" spans="16:16">
      <c r="P58813" s="2498"/>
    </row>
    <row r="58814" spans="16:16">
      <c r="P58814" s="2498"/>
    </row>
    <row r="58815" spans="16:16">
      <c r="P58815" s="2498"/>
    </row>
    <row r="58816" spans="16:16">
      <c r="P58816" s="2498"/>
    </row>
    <row r="58817" spans="16:16">
      <c r="P58817" s="2498"/>
    </row>
    <row r="58818" spans="16:16">
      <c r="P58818" s="2498"/>
    </row>
    <row r="58819" spans="16:16">
      <c r="P58819" s="2498"/>
    </row>
    <row r="58820" spans="16:16">
      <c r="P58820" s="2498"/>
    </row>
    <row r="58821" spans="16:16">
      <c r="P58821" s="2498"/>
    </row>
    <row r="58822" spans="16:16">
      <c r="P58822" s="2498"/>
    </row>
    <row r="58823" spans="16:16">
      <c r="P58823" s="2498"/>
    </row>
    <row r="58824" spans="16:16">
      <c r="P58824" s="2498"/>
    </row>
    <row r="58825" spans="16:16">
      <c r="P58825" s="2498"/>
    </row>
    <row r="58826" spans="16:16">
      <c r="P58826" s="2498"/>
    </row>
    <row r="58827" spans="16:16">
      <c r="P58827" s="2498"/>
    </row>
    <row r="58828" spans="16:16">
      <c r="P58828" s="2498"/>
    </row>
    <row r="58829" spans="16:16">
      <c r="P58829" s="2498"/>
    </row>
    <row r="58830" spans="16:16">
      <c r="P58830" s="2498"/>
    </row>
    <row r="58831" spans="16:16">
      <c r="P58831" s="2498"/>
    </row>
    <row r="58832" spans="16:16">
      <c r="P58832" s="2498"/>
    </row>
    <row r="58833" spans="16:16">
      <c r="P58833" s="2498"/>
    </row>
    <row r="58834" spans="16:16">
      <c r="P58834" s="2498"/>
    </row>
    <row r="58835" spans="16:16">
      <c r="P58835" s="2498"/>
    </row>
    <row r="58836" spans="16:16">
      <c r="P58836" s="2498"/>
    </row>
    <row r="58837" spans="16:16">
      <c r="P58837" s="2498"/>
    </row>
    <row r="58838" spans="16:16">
      <c r="P58838" s="2498"/>
    </row>
    <row r="58839" spans="16:16">
      <c r="P58839" s="2498"/>
    </row>
    <row r="58840" spans="16:16">
      <c r="P58840" s="2498"/>
    </row>
    <row r="58841" spans="16:16">
      <c r="P58841" s="2498"/>
    </row>
    <row r="58842" spans="16:16">
      <c r="P58842" s="2498"/>
    </row>
    <row r="58843" spans="16:16">
      <c r="P58843" s="2498"/>
    </row>
    <row r="58844" spans="16:16">
      <c r="P58844" s="2498"/>
    </row>
    <row r="58845" spans="16:16">
      <c r="P58845" s="2498"/>
    </row>
    <row r="58846" spans="16:16">
      <c r="P58846" s="2498"/>
    </row>
    <row r="58847" spans="16:16">
      <c r="P58847" s="2498"/>
    </row>
    <row r="58848" spans="16:16">
      <c r="P58848" s="2498"/>
    </row>
    <row r="58849" spans="16:16">
      <c r="P58849" s="2498"/>
    </row>
    <row r="58850" spans="16:16">
      <c r="P58850" s="2498"/>
    </row>
    <row r="58851" spans="16:16">
      <c r="P58851" s="2498"/>
    </row>
    <row r="58852" spans="16:16">
      <c r="P58852" s="2498"/>
    </row>
    <row r="58853" spans="16:16">
      <c r="P58853" s="2498"/>
    </row>
    <row r="58854" spans="16:16">
      <c r="P58854" s="2498"/>
    </row>
    <row r="58855" spans="16:16">
      <c r="P58855" s="2498"/>
    </row>
    <row r="58856" spans="16:16">
      <c r="P58856" s="2498"/>
    </row>
    <row r="58857" spans="16:16">
      <c r="P58857" s="2498"/>
    </row>
    <row r="58858" spans="16:16">
      <c r="P58858" s="2498"/>
    </row>
    <row r="58859" spans="16:16">
      <c r="P58859" s="2498"/>
    </row>
    <row r="58860" spans="16:16">
      <c r="P58860" s="2498"/>
    </row>
    <row r="58861" spans="16:16">
      <c r="P58861" s="2498"/>
    </row>
    <row r="58862" spans="16:16">
      <c r="P58862" s="2498"/>
    </row>
    <row r="58863" spans="16:16">
      <c r="P58863" s="2498"/>
    </row>
    <row r="58864" spans="16:16">
      <c r="P58864" s="2498"/>
    </row>
    <row r="58865" spans="16:16">
      <c r="P58865" s="2498"/>
    </row>
    <row r="58866" spans="16:16">
      <c r="P58866" s="2498"/>
    </row>
    <row r="58867" spans="16:16">
      <c r="P58867" s="2498"/>
    </row>
    <row r="58868" spans="16:16">
      <c r="P58868" s="2498"/>
    </row>
    <row r="58869" spans="16:16">
      <c r="P58869" s="2498"/>
    </row>
    <row r="58870" spans="16:16">
      <c r="P58870" s="2498"/>
    </row>
    <row r="58871" spans="16:16">
      <c r="P58871" s="2498"/>
    </row>
    <row r="58872" spans="16:16">
      <c r="P58872" s="2498"/>
    </row>
    <row r="58873" spans="16:16">
      <c r="P58873" s="2498"/>
    </row>
    <row r="58874" spans="16:16">
      <c r="P58874" s="2498"/>
    </row>
    <row r="58875" spans="16:16">
      <c r="P58875" s="2498"/>
    </row>
    <row r="58876" spans="16:16">
      <c r="P58876" s="2498"/>
    </row>
    <row r="58877" spans="16:16">
      <c r="P58877" s="2498"/>
    </row>
    <row r="58878" spans="16:16">
      <c r="P58878" s="2498"/>
    </row>
    <row r="58879" spans="16:16">
      <c r="P58879" s="2498"/>
    </row>
    <row r="58880" spans="16:16">
      <c r="P58880" s="2498"/>
    </row>
    <row r="58881" spans="16:16">
      <c r="P58881" s="2498"/>
    </row>
    <row r="58882" spans="16:16">
      <c r="P58882" s="2498"/>
    </row>
    <row r="58883" spans="16:16">
      <c r="P58883" s="2498"/>
    </row>
    <row r="58884" spans="16:16">
      <c r="P58884" s="2498"/>
    </row>
    <row r="58885" spans="16:16">
      <c r="P58885" s="2498"/>
    </row>
    <row r="58886" spans="16:16">
      <c r="P58886" s="2498"/>
    </row>
    <row r="58887" spans="16:16">
      <c r="P58887" s="2498"/>
    </row>
    <row r="58888" spans="16:16">
      <c r="P58888" s="2498"/>
    </row>
    <row r="58889" spans="16:16">
      <c r="P58889" s="2498"/>
    </row>
    <row r="58890" spans="16:16">
      <c r="P58890" s="2498"/>
    </row>
    <row r="58891" spans="16:16">
      <c r="P58891" s="2498"/>
    </row>
    <row r="58892" spans="16:16">
      <c r="P58892" s="2498"/>
    </row>
    <row r="58893" spans="16:16">
      <c r="P58893" s="2498"/>
    </row>
    <row r="58894" spans="16:16">
      <c r="P58894" s="2498"/>
    </row>
    <row r="58895" spans="16:16">
      <c r="P58895" s="2498"/>
    </row>
    <row r="58896" spans="16:16">
      <c r="P58896" s="2498"/>
    </row>
    <row r="58897" spans="16:16">
      <c r="P58897" s="2498"/>
    </row>
    <row r="58898" spans="16:16">
      <c r="P58898" s="2498"/>
    </row>
    <row r="58899" spans="16:16">
      <c r="P58899" s="2498"/>
    </row>
    <row r="58900" spans="16:16">
      <c r="P58900" s="2498"/>
    </row>
    <row r="58901" spans="16:16">
      <c r="P58901" s="2498"/>
    </row>
    <row r="58902" spans="16:16">
      <c r="P58902" s="2498"/>
    </row>
    <row r="58903" spans="16:16">
      <c r="P58903" s="2498"/>
    </row>
    <row r="58904" spans="16:16">
      <c r="P58904" s="2498"/>
    </row>
    <row r="58905" spans="16:16">
      <c r="P58905" s="2498"/>
    </row>
    <row r="58906" spans="16:16">
      <c r="P58906" s="2498"/>
    </row>
    <row r="58907" spans="16:16">
      <c r="P58907" s="2498"/>
    </row>
    <row r="58908" spans="16:16">
      <c r="P58908" s="2498"/>
    </row>
    <row r="58909" spans="16:16">
      <c r="P58909" s="2498"/>
    </row>
    <row r="58910" spans="16:16">
      <c r="P58910" s="2498"/>
    </row>
    <row r="58911" spans="16:16">
      <c r="P58911" s="2498"/>
    </row>
    <row r="58912" spans="16:16">
      <c r="P58912" s="2498"/>
    </row>
    <row r="58913" spans="16:16">
      <c r="P58913" s="2498"/>
    </row>
    <row r="58914" spans="16:16">
      <c r="P58914" s="2498"/>
    </row>
    <row r="58915" spans="16:16">
      <c r="P58915" s="2498"/>
    </row>
    <row r="58916" spans="16:16">
      <c r="P58916" s="2498"/>
    </row>
    <row r="58917" spans="16:16">
      <c r="P58917" s="2498"/>
    </row>
    <row r="58918" spans="16:16">
      <c r="P58918" s="2498"/>
    </row>
    <row r="58919" spans="16:16">
      <c r="P58919" s="2498"/>
    </row>
    <row r="58920" spans="16:16">
      <c r="P58920" s="2498"/>
    </row>
    <row r="58921" spans="16:16">
      <c r="P58921" s="2498"/>
    </row>
    <row r="58922" spans="16:16">
      <c r="P58922" s="2498"/>
    </row>
    <row r="58923" spans="16:16">
      <c r="P58923" s="2498"/>
    </row>
    <row r="58924" spans="16:16">
      <c r="P58924" s="2498"/>
    </row>
    <row r="58925" spans="16:16">
      <c r="P58925" s="2498"/>
    </row>
    <row r="58926" spans="16:16">
      <c r="P58926" s="2498"/>
    </row>
    <row r="58927" spans="16:16">
      <c r="P58927" s="2498"/>
    </row>
    <row r="58928" spans="16:16">
      <c r="P58928" s="2498"/>
    </row>
    <row r="58929" spans="16:16">
      <c r="P58929" s="2498"/>
    </row>
    <row r="58930" spans="16:16">
      <c r="P58930" s="2498"/>
    </row>
    <row r="58931" spans="16:16">
      <c r="P58931" s="2498"/>
    </row>
    <row r="58932" spans="16:16">
      <c r="P58932" s="2498"/>
    </row>
    <row r="58933" spans="16:16">
      <c r="P58933" s="2498"/>
    </row>
    <row r="58934" spans="16:16">
      <c r="P58934" s="2498"/>
    </row>
    <row r="58935" spans="16:16">
      <c r="P58935" s="2498"/>
    </row>
    <row r="58936" spans="16:16">
      <c r="P58936" s="2498"/>
    </row>
    <row r="58937" spans="16:16">
      <c r="P58937" s="2498"/>
    </row>
    <row r="58938" spans="16:16">
      <c r="P58938" s="2498"/>
    </row>
    <row r="58939" spans="16:16">
      <c r="P58939" s="2498"/>
    </row>
    <row r="58940" spans="16:16">
      <c r="P58940" s="2498"/>
    </row>
    <row r="58941" spans="16:16">
      <c r="P58941" s="2498"/>
    </row>
    <row r="58942" spans="16:16">
      <c r="P58942" s="2498"/>
    </row>
    <row r="58943" spans="16:16">
      <c r="P58943" s="2498"/>
    </row>
    <row r="58944" spans="16:16">
      <c r="P58944" s="2498"/>
    </row>
    <row r="58945" spans="16:16">
      <c r="P58945" s="2498"/>
    </row>
    <row r="58946" spans="16:16">
      <c r="P58946" s="2498"/>
    </row>
    <row r="58947" spans="16:16">
      <c r="P58947" s="2498"/>
    </row>
    <row r="58948" spans="16:16">
      <c r="P58948" s="2498"/>
    </row>
    <row r="58949" spans="16:16">
      <c r="P58949" s="2498"/>
    </row>
    <row r="58950" spans="16:16">
      <c r="P58950" s="2498"/>
    </row>
    <row r="58951" spans="16:16">
      <c r="P58951" s="2498"/>
    </row>
    <row r="58952" spans="16:16">
      <c r="P58952" s="2498"/>
    </row>
    <row r="58953" spans="16:16">
      <c r="P58953" s="2498"/>
    </row>
    <row r="58954" spans="16:16">
      <c r="P58954" s="2498"/>
    </row>
    <row r="58955" spans="16:16">
      <c r="P58955" s="2498"/>
    </row>
    <row r="58956" spans="16:16">
      <c r="P58956" s="2498"/>
    </row>
    <row r="58957" spans="16:16">
      <c r="P58957" s="2498"/>
    </row>
    <row r="58958" spans="16:16">
      <c r="P58958" s="2498"/>
    </row>
    <row r="58959" spans="16:16">
      <c r="P58959" s="2498"/>
    </row>
    <row r="58960" spans="16:16">
      <c r="P58960" s="2498"/>
    </row>
    <row r="58961" spans="16:16">
      <c r="P58961" s="2498"/>
    </row>
    <row r="58962" spans="16:16">
      <c r="P58962" s="2498"/>
    </row>
    <row r="58963" spans="16:16">
      <c r="P58963" s="2498"/>
    </row>
    <row r="58964" spans="16:16">
      <c r="P58964" s="2498"/>
    </row>
    <row r="58965" spans="16:16">
      <c r="P58965" s="2498"/>
    </row>
    <row r="58966" spans="16:16">
      <c r="P58966" s="2498"/>
    </row>
    <row r="58967" spans="16:16">
      <c r="P58967" s="2498"/>
    </row>
    <row r="58968" spans="16:16">
      <c r="P58968" s="2498"/>
    </row>
    <row r="58969" spans="16:16">
      <c r="P58969" s="2498"/>
    </row>
    <row r="58970" spans="16:16">
      <c r="P58970" s="2498"/>
    </row>
    <row r="58971" spans="16:16">
      <c r="P58971" s="2498"/>
    </row>
    <row r="58972" spans="16:16">
      <c r="P58972" s="2498"/>
    </row>
    <row r="58973" spans="16:16">
      <c r="P58973" s="2498"/>
    </row>
    <row r="58974" spans="16:16">
      <c r="P58974" s="2498"/>
    </row>
    <row r="58975" spans="16:16">
      <c r="P58975" s="2498"/>
    </row>
    <row r="58976" spans="16:16">
      <c r="P58976" s="2498"/>
    </row>
    <row r="58977" spans="16:16">
      <c r="P58977" s="2498"/>
    </row>
    <row r="58978" spans="16:16">
      <c r="P58978" s="2498"/>
    </row>
    <row r="58979" spans="16:16">
      <c r="P58979" s="2498"/>
    </row>
    <row r="58980" spans="16:16">
      <c r="P58980" s="2498"/>
    </row>
    <row r="58981" spans="16:16">
      <c r="P58981" s="2498"/>
    </row>
    <row r="58982" spans="16:16">
      <c r="P58982" s="2498"/>
    </row>
    <row r="58983" spans="16:16">
      <c r="P58983" s="2498"/>
    </row>
    <row r="58984" spans="16:16">
      <c r="P58984" s="2498"/>
    </row>
    <row r="58985" spans="16:16">
      <c r="P58985" s="2498"/>
    </row>
    <row r="58986" spans="16:16">
      <c r="P58986" s="2498"/>
    </row>
    <row r="58987" spans="16:16">
      <c r="P58987" s="2498"/>
    </row>
    <row r="58988" spans="16:16">
      <c r="P58988" s="2498"/>
    </row>
    <row r="58989" spans="16:16">
      <c r="P58989" s="2498"/>
    </row>
    <row r="58990" spans="16:16">
      <c r="P58990" s="2498"/>
    </row>
    <row r="58991" spans="16:16">
      <c r="P58991" s="2498"/>
    </row>
    <row r="58992" spans="16:16">
      <c r="P58992" s="2498"/>
    </row>
    <row r="58993" spans="16:16">
      <c r="P58993" s="2498"/>
    </row>
    <row r="58994" spans="16:16">
      <c r="P58994" s="2498"/>
    </row>
    <row r="58995" spans="16:16">
      <c r="P58995" s="2498"/>
    </row>
    <row r="58996" spans="16:16">
      <c r="P58996" s="2498"/>
    </row>
    <row r="58997" spans="16:16">
      <c r="P58997" s="2498"/>
    </row>
    <row r="58998" spans="16:16">
      <c r="P58998" s="2498"/>
    </row>
    <row r="58999" spans="16:16">
      <c r="P58999" s="2498"/>
    </row>
    <row r="59000" spans="16:16">
      <c r="P59000" s="2498"/>
    </row>
    <row r="59001" spans="16:16">
      <c r="P59001" s="2498"/>
    </row>
    <row r="59002" spans="16:16">
      <c r="P59002" s="2498"/>
    </row>
    <row r="59003" spans="16:16">
      <c r="P59003" s="2498"/>
    </row>
    <row r="59004" spans="16:16">
      <c r="P59004" s="2498"/>
    </row>
    <row r="59005" spans="16:16">
      <c r="P59005" s="2498"/>
    </row>
    <row r="59006" spans="16:16">
      <c r="P59006" s="2498"/>
    </row>
    <row r="59007" spans="16:16">
      <c r="P59007" s="2498"/>
    </row>
    <row r="59008" spans="16:16">
      <c r="P59008" s="2498"/>
    </row>
    <row r="59009" spans="16:16">
      <c r="P59009" s="2498"/>
    </row>
    <row r="59010" spans="16:16">
      <c r="P59010" s="2498"/>
    </row>
    <row r="59011" spans="16:16">
      <c r="P59011" s="2498"/>
    </row>
    <row r="59012" spans="16:16">
      <c r="P59012" s="2498"/>
    </row>
    <row r="59013" spans="16:16">
      <c r="P59013" s="2498"/>
    </row>
    <row r="59014" spans="16:16">
      <c r="P59014" s="2498"/>
    </row>
    <row r="59015" spans="16:16">
      <c r="P59015" s="2498"/>
    </row>
    <row r="59016" spans="16:16">
      <c r="P59016" s="2498"/>
    </row>
    <row r="59017" spans="16:16">
      <c r="P59017" s="2498"/>
    </row>
    <row r="59018" spans="16:16">
      <c r="P59018" s="2498"/>
    </row>
    <row r="59019" spans="16:16">
      <c r="P59019" s="2498"/>
    </row>
    <row r="59020" spans="16:16">
      <c r="P59020" s="2498"/>
    </row>
    <row r="59021" spans="16:16">
      <c r="P59021" s="2498"/>
    </row>
    <row r="59022" spans="16:16">
      <c r="P59022" s="2498"/>
    </row>
    <row r="59023" spans="16:16">
      <c r="P59023" s="2498"/>
    </row>
    <row r="59024" spans="16:16">
      <c r="P59024" s="2498"/>
    </row>
    <row r="59025" spans="16:16">
      <c r="P59025" s="2498"/>
    </row>
    <row r="59026" spans="16:16">
      <c r="P59026" s="2498"/>
    </row>
    <row r="59027" spans="16:16">
      <c r="P59027" s="2498"/>
    </row>
    <row r="59028" spans="16:16">
      <c r="P59028" s="2498"/>
    </row>
    <row r="59029" spans="16:16">
      <c r="P59029" s="2498"/>
    </row>
    <row r="59030" spans="16:16">
      <c r="P59030" s="2498"/>
    </row>
    <row r="59031" spans="16:16">
      <c r="P59031" s="2498"/>
    </row>
    <row r="59032" spans="16:16">
      <c r="P59032" s="2498"/>
    </row>
    <row r="59033" spans="16:16">
      <c r="P59033" s="2498"/>
    </row>
    <row r="59034" spans="16:16">
      <c r="P59034" s="2498"/>
    </row>
    <row r="59035" spans="16:16">
      <c r="P59035" s="2498"/>
    </row>
    <row r="59036" spans="16:16">
      <c r="P59036" s="2498"/>
    </row>
    <row r="59037" spans="16:16">
      <c r="P59037" s="2498"/>
    </row>
    <row r="59038" spans="16:16">
      <c r="P59038" s="2498"/>
    </row>
    <row r="59039" spans="16:16">
      <c r="P59039" s="2498"/>
    </row>
    <row r="59040" spans="16:16">
      <c r="P59040" s="2498"/>
    </row>
    <row r="59041" spans="16:16">
      <c r="P59041" s="2498"/>
    </row>
    <row r="59042" spans="16:16">
      <c r="P59042" s="2498"/>
    </row>
    <row r="59043" spans="16:16">
      <c r="P59043" s="2498"/>
    </row>
    <row r="59044" spans="16:16">
      <c r="P59044" s="2498"/>
    </row>
    <row r="59045" spans="16:16">
      <c r="P59045" s="2498"/>
    </row>
    <row r="59046" spans="16:16">
      <c r="P59046" s="2498"/>
    </row>
    <row r="59047" spans="16:16">
      <c r="P59047" s="2498"/>
    </row>
    <row r="59048" spans="16:16">
      <c r="P59048" s="2498"/>
    </row>
    <row r="59049" spans="16:16">
      <c r="P59049" s="2498"/>
    </row>
    <row r="59050" spans="16:16">
      <c r="P59050" s="2498"/>
    </row>
    <row r="59051" spans="16:16">
      <c r="P59051" s="2498"/>
    </row>
    <row r="59052" spans="16:16">
      <c r="P59052" s="2498"/>
    </row>
    <row r="59053" spans="16:16">
      <c r="P59053" s="2498"/>
    </row>
    <row r="59054" spans="16:16">
      <c r="P59054" s="2498"/>
    </row>
    <row r="59055" spans="16:16">
      <c r="P59055" s="2498"/>
    </row>
    <row r="59056" spans="16:16">
      <c r="P59056" s="2498"/>
    </row>
    <row r="59057" spans="16:16">
      <c r="P59057" s="2498"/>
    </row>
    <row r="59058" spans="16:16">
      <c r="P59058" s="2498"/>
    </row>
    <row r="59059" spans="16:16">
      <c r="P59059" s="2498"/>
    </row>
    <row r="59060" spans="16:16">
      <c r="P59060" s="2498"/>
    </row>
    <row r="59061" spans="16:16">
      <c r="P59061" s="2498"/>
    </row>
    <row r="59062" spans="16:16">
      <c r="P59062" s="2498"/>
    </row>
    <row r="59063" spans="16:16">
      <c r="P59063" s="2498"/>
    </row>
    <row r="59064" spans="16:16">
      <c r="P59064" s="2498"/>
    </row>
    <row r="59065" spans="16:16">
      <c r="P59065" s="2498"/>
    </row>
    <row r="59066" spans="16:16">
      <c r="P59066" s="2498"/>
    </row>
    <row r="59067" spans="16:16">
      <c r="P59067" s="2498"/>
    </row>
    <row r="59068" spans="16:16">
      <c r="P59068" s="2498"/>
    </row>
    <row r="59069" spans="16:16">
      <c r="P59069" s="2498"/>
    </row>
    <row r="59070" spans="16:16">
      <c r="P59070" s="2498"/>
    </row>
    <row r="59071" spans="16:16">
      <c r="P59071" s="2498"/>
    </row>
    <row r="59072" spans="16:16">
      <c r="P59072" s="2498"/>
    </row>
    <row r="59073" spans="16:16">
      <c r="P59073" s="2498"/>
    </row>
    <row r="59074" spans="16:16">
      <c r="P59074" s="2498"/>
    </row>
    <row r="59075" spans="16:16">
      <c r="P59075" s="2498"/>
    </row>
    <row r="59076" spans="16:16">
      <c r="P59076" s="2498"/>
    </row>
    <row r="59077" spans="16:16">
      <c r="P59077" s="2498"/>
    </row>
    <row r="59078" spans="16:16">
      <c r="P59078" s="2498"/>
    </row>
    <row r="59079" spans="16:16">
      <c r="P59079" s="2498"/>
    </row>
    <row r="59080" spans="16:16">
      <c r="P59080" s="2498"/>
    </row>
    <row r="59081" spans="16:16">
      <c r="P59081" s="2498"/>
    </row>
    <row r="59082" spans="16:16">
      <c r="P59082" s="2498"/>
    </row>
    <row r="59083" spans="16:16">
      <c r="P59083" s="2498"/>
    </row>
    <row r="59084" spans="16:16">
      <c r="P59084" s="2498"/>
    </row>
    <row r="59085" spans="16:16">
      <c r="P59085" s="2498"/>
    </row>
    <row r="59086" spans="16:16">
      <c r="P59086" s="2498"/>
    </row>
    <row r="59087" spans="16:16">
      <c r="P59087" s="2498"/>
    </row>
    <row r="59088" spans="16:16">
      <c r="P59088" s="2498"/>
    </row>
    <row r="59089" spans="16:16">
      <c r="P59089" s="2498"/>
    </row>
    <row r="59090" spans="16:16">
      <c r="P59090" s="2498"/>
    </row>
    <row r="59091" spans="16:16">
      <c r="P59091" s="2498"/>
    </row>
    <row r="59092" spans="16:16">
      <c r="P59092" s="2498"/>
    </row>
    <row r="59093" spans="16:16">
      <c r="P59093" s="2498"/>
    </row>
    <row r="59094" spans="16:16">
      <c r="P59094" s="2498"/>
    </row>
    <row r="59095" spans="16:16">
      <c r="P59095" s="2498"/>
    </row>
    <row r="59096" spans="16:16">
      <c r="P59096" s="2498"/>
    </row>
    <row r="59097" spans="16:16">
      <c r="P59097" s="2498"/>
    </row>
    <row r="59098" spans="16:16">
      <c r="P59098" s="2498"/>
    </row>
    <row r="59099" spans="16:16">
      <c r="P59099" s="2498"/>
    </row>
    <row r="59100" spans="16:16">
      <c r="P59100" s="2498"/>
    </row>
    <row r="59101" spans="16:16">
      <c r="P59101" s="2498"/>
    </row>
    <row r="59102" spans="16:16">
      <c r="P59102" s="2498"/>
    </row>
    <row r="59103" spans="16:16">
      <c r="P59103" s="2498"/>
    </row>
    <row r="59104" spans="16:16">
      <c r="P59104" s="2498"/>
    </row>
    <row r="59105" spans="16:16">
      <c r="P59105" s="2498"/>
    </row>
    <row r="59106" spans="16:16">
      <c r="P59106" s="2498"/>
    </row>
    <row r="59107" spans="16:16">
      <c r="P59107" s="2498"/>
    </row>
    <row r="59108" spans="16:16">
      <c r="P59108" s="2498"/>
    </row>
    <row r="59109" spans="16:16">
      <c r="P59109" s="2498"/>
    </row>
    <row r="59110" spans="16:16">
      <c r="P59110" s="2498"/>
    </row>
    <row r="59111" spans="16:16">
      <c r="P59111" s="2498"/>
    </row>
    <row r="59112" spans="16:16">
      <c r="P59112" s="2498"/>
    </row>
    <row r="59113" spans="16:16">
      <c r="P59113" s="2498"/>
    </row>
    <row r="59114" spans="16:16">
      <c r="P59114" s="2498"/>
    </row>
    <row r="59115" spans="16:16">
      <c r="P59115" s="2498"/>
    </row>
    <row r="59116" spans="16:16">
      <c r="P59116" s="2498"/>
    </row>
    <row r="59117" spans="16:16">
      <c r="P59117" s="2498"/>
    </row>
    <row r="59118" spans="16:16">
      <c r="P59118" s="2498"/>
    </row>
    <row r="59119" spans="16:16">
      <c r="P59119" s="2498"/>
    </row>
    <row r="59120" spans="16:16">
      <c r="P59120" s="2498"/>
    </row>
    <row r="59121" spans="16:16">
      <c r="P59121" s="2498"/>
    </row>
    <row r="59122" spans="16:16">
      <c r="P59122" s="2498"/>
    </row>
    <row r="59123" spans="16:16">
      <c r="P59123" s="2498"/>
    </row>
    <row r="59124" spans="16:16">
      <c r="P59124" s="2498"/>
    </row>
    <row r="59125" spans="16:16">
      <c r="P59125" s="2498"/>
    </row>
    <row r="59126" spans="16:16">
      <c r="P59126" s="2498"/>
    </row>
    <row r="59127" spans="16:16">
      <c r="P59127" s="2498"/>
    </row>
    <row r="59128" spans="16:16">
      <c r="P59128" s="2498"/>
    </row>
    <row r="59129" spans="16:16">
      <c r="P59129" s="2498"/>
    </row>
    <row r="59130" spans="16:16">
      <c r="P59130" s="2498"/>
    </row>
    <row r="59131" spans="16:16">
      <c r="P59131" s="2498"/>
    </row>
    <row r="59132" spans="16:16">
      <c r="P59132" s="2498"/>
    </row>
    <row r="59133" spans="16:16">
      <c r="P59133" s="2498"/>
    </row>
    <row r="59134" spans="16:16">
      <c r="P59134" s="2498"/>
    </row>
    <row r="59135" spans="16:16">
      <c r="P59135" s="2498"/>
    </row>
    <row r="59136" spans="16:16">
      <c r="P59136" s="2498"/>
    </row>
    <row r="59137" spans="16:16">
      <c r="P59137" s="2498"/>
    </row>
    <row r="59138" spans="16:16">
      <c r="P59138" s="2498"/>
    </row>
    <row r="59139" spans="16:16">
      <c r="P59139" s="2498"/>
    </row>
    <row r="59140" spans="16:16">
      <c r="P59140" s="2498"/>
    </row>
    <row r="59141" spans="16:16">
      <c r="P59141" s="2498"/>
    </row>
    <row r="59142" spans="16:16">
      <c r="P59142" s="2498"/>
    </row>
    <row r="59143" spans="16:16">
      <c r="P59143" s="2498"/>
    </row>
    <row r="59144" spans="16:16">
      <c r="P59144" s="2498"/>
    </row>
    <row r="59145" spans="16:16">
      <c r="P59145" s="2498"/>
    </row>
    <row r="59146" spans="16:16">
      <c r="P59146" s="2498"/>
    </row>
    <row r="59147" spans="16:16">
      <c r="P59147" s="2498"/>
    </row>
    <row r="59148" spans="16:16">
      <c r="P59148" s="2498"/>
    </row>
    <row r="59149" spans="16:16">
      <c r="P59149" s="2498"/>
    </row>
    <row r="59150" spans="16:16">
      <c r="P59150" s="2498"/>
    </row>
    <row r="59151" spans="16:16">
      <c r="P59151" s="2498"/>
    </row>
    <row r="59152" spans="16:16">
      <c r="P59152" s="2498"/>
    </row>
    <row r="59153" spans="16:16">
      <c r="P59153" s="2498"/>
    </row>
    <row r="59154" spans="16:16">
      <c r="P59154" s="2498"/>
    </row>
    <row r="59155" spans="16:16">
      <c r="P59155" s="2498"/>
    </row>
    <row r="59156" spans="16:16">
      <c r="P59156" s="2498"/>
    </row>
    <row r="59157" spans="16:16">
      <c r="P59157" s="2498"/>
    </row>
    <row r="59158" spans="16:16">
      <c r="P59158" s="2498"/>
    </row>
    <row r="59159" spans="16:16">
      <c r="P59159" s="2498"/>
    </row>
    <row r="59160" spans="16:16">
      <c r="P59160" s="2498"/>
    </row>
    <row r="59161" spans="16:16">
      <c r="P59161" s="2498"/>
    </row>
    <row r="59162" spans="16:16">
      <c r="P59162" s="2498"/>
    </row>
    <row r="59163" spans="16:16">
      <c r="P59163" s="2498"/>
    </row>
    <row r="59164" spans="16:16">
      <c r="P59164" s="2498"/>
    </row>
    <row r="59165" spans="16:16">
      <c r="P59165" s="2498"/>
    </row>
    <row r="59166" spans="16:16">
      <c r="P59166" s="2498"/>
    </row>
    <row r="59167" spans="16:16">
      <c r="P59167" s="2498"/>
    </row>
    <row r="59168" spans="16:16">
      <c r="P59168" s="2498"/>
    </row>
    <row r="59169" spans="16:16">
      <c r="P59169" s="2498"/>
    </row>
    <row r="59170" spans="16:16">
      <c r="P59170" s="2498"/>
    </row>
    <row r="59171" spans="16:16">
      <c r="P59171" s="2498"/>
    </row>
    <row r="59172" spans="16:16">
      <c r="P59172" s="2498"/>
    </row>
    <row r="59173" spans="16:16">
      <c r="P59173" s="2498"/>
    </row>
    <row r="59174" spans="16:16">
      <c r="P59174" s="2498"/>
    </row>
    <row r="59175" spans="16:16">
      <c r="P59175" s="2498"/>
    </row>
    <row r="59176" spans="16:16">
      <c r="P59176" s="2498"/>
    </row>
    <row r="59177" spans="16:16">
      <c r="P59177" s="2498"/>
    </row>
    <row r="59178" spans="16:16">
      <c r="P59178" s="2498"/>
    </row>
    <row r="59179" spans="16:16">
      <c r="P59179" s="2498"/>
    </row>
    <row r="59180" spans="16:16">
      <c r="P59180" s="2498"/>
    </row>
    <row r="59181" spans="16:16">
      <c r="P59181" s="2498"/>
    </row>
    <row r="59182" spans="16:16">
      <c r="P59182" s="2498"/>
    </row>
    <row r="59183" spans="16:16">
      <c r="P59183" s="2498"/>
    </row>
    <row r="59184" spans="16:16">
      <c r="P59184" s="2498"/>
    </row>
    <row r="59185" spans="16:16">
      <c r="P59185" s="2498"/>
    </row>
    <row r="59186" spans="16:16">
      <c r="P59186" s="2498"/>
    </row>
    <row r="59187" spans="16:16">
      <c r="P59187" s="2498"/>
    </row>
    <row r="59188" spans="16:16">
      <c r="P59188" s="2498"/>
    </row>
    <row r="59189" spans="16:16">
      <c r="P59189" s="2498"/>
    </row>
    <row r="59190" spans="16:16">
      <c r="P59190" s="2498"/>
    </row>
    <row r="59191" spans="16:16">
      <c r="P59191" s="2498"/>
    </row>
    <row r="59192" spans="16:16">
      <c r="P59192" s="2498"/>
    </row>
    <row r="59193" spans="16:16">
      <c r="P59193" s="2498"/>
    </row>
    <row r="59194" spans="16:16">
      <c r="P59194" s="2498"/>
    </row>
    <row r="59195" spans="16:16">
      <c r="P59195" s="2498"/>
    </row>
    <row r="59196" spans="16:16">
      <c r="P59196" s="2498"/>
    </row>
    <row r="59197" spans="16:16">
      <c r="P59197" s="2498"/>
    </row>
    <row r="59198" spans="16:16">
      <c r="P59198" s="2498"/>
    </row>
    <row r="59199" spans="16:16">
      <c r="P59199" s="2498"/>
    </row>
    <row r="59200" spans="16:16">
      <c r="P59200" s="2498"/>
    </row>
    <row r="59201" spans="16:16">
      <c r="P59201" s="2498"/>
    </row>
    <row r="59202" spans="16:16">
      <c r="P59202" s="2498"/>
    </row>
    <row r="59203" spans="16:16">
      <c r="P59203" s="2498"/>
    </row>
    <row r="59204" spans="16:16">
      <c r="P59204" s="2498"/>
    </row>
    <row r="59205" spans="16:16">
      <c r="P59205" s="2498"/>
    </row>
    <row r="59206" spans="16:16">
      <c r="P59206" s="2498"/>
    </row>
    <row r="59207" spans="16:16">
      <c r="P59207" s="2498"/>
    </row>
    <row r="59208" spans="16:16">
      <c r="P59208" s="2498"/>
    </row>
    <row r="59209" spans="16:16">
      <c r="P59209" s="2498"/>
    </row>
    <row r="59210" spans="16:16">
      <c r="P59210" s="2498"/>
    </row>
    <row r="59211" spans="16:16">
      <c r="P59211" s="2498"/>
    </row>
    <row r="59212" spans="16:16">
      <c r="P59212" s="2498"/>
    </row>
    <row r="59213" spans="16:16">
      <c r="P59213" s="2498"/>
    </row>
    <row r="59214" spans="16:16">
      <c r="P59214" s="2498"/>
    </row>
    <row r="59215" spans="16:16">
      <c r="P59215" s="2498"/>
    </row>
    <row r="59216" spans="16:16">
      <c r="P59216" s="2498"/>
    </row>
    <row r="59217" spans="16:16">
      <c r="P59217" s="2498"/>
    </row>
    <row r="59218" spans="16:16">
      <c r="P59218" s="2498"/>
    </row>
    <row r="59219" spans="16:16">
      <c r="P59219" s="2498"/>
    </row>
    <row r="59220" spans="16:16">
      <c r="P59220" s="2498"/>
    </row>
    <row r="59221" spans="16:16">
      <c r="P59221" s="2498"/>
    </row>
    <row r="59222" spans="16:16">
      <c r="P59222" s="2498"/>
    </row>
    <row r="59223" spans="16:16">
      <c r="P59223" s="2498"/>
    </row>
    <row r="59224" spans="16:16">
      <c r="P59224" s="2498"/>
    </row>
    <row r="59225" spans="16:16">
      <c r="P59225" s="2498"/>
    </row>
    <row r="59226" spans="16:16">
      <c r="P59226" s="2498"/>
    </row>
    <row r="59227" spans="16:16">
      <c r="P59227" s="2498"/>
    </row>
    <row r="59228" spans="16:16">
      <c r="P59228" s="2498"/>
    </row>
    <row r="59229" spans="16:16">
      <c r="P59229" s="2498"/>
    </row>
    <row r="59230" spans="16:16">
      <c r="P59230" s="2498"/>
    </row>
    <row r="59231" spans="16:16">
      <c r="P59231" s="2498"/>
    </row>
    <row r="59232" spans="16:16">
      <c r="P59232" s="2498"/>
    </row>
    <row r="59233" spans="16:16">
      <c r="P59233" s="2498"/>
    </row>
    <row r="59234" spans="16:16">
      <c r="P59234" s="2498"/>
    </row>
    <row r="59235" spans="16:16">
      <c r="P59235" s="2498"/>
    </row>
    <row r="59236" spans="16:16">
      <c r="P59236" s="2498"/>
    </row>
    <row r="59237" spans="16:16">
      <c r="P59237" s="2498"/>
    </row>
    <row r="59238" spans="16:16">
      <c r="P59238" s="2498"/>
    </row>
    <row r="59239" spans="16:16">
      <c r="P59239" s="2498"/>
    </row>
    <row r="59240" spans="16:16">
      <c r="P59240" s="2498"/>
    </row>
    <row r="59241" spans="16:16">
      <c r="P59241" s="2498"/>
    </row>
    <row r="59242" spans="16:16">
      <c r="P59242" s="2498"/>
    </row>
    <row r="59243" spans="16:16">
      <c r="P59243" s="2498"/>
    </row>
    <row r="59244" spans="16:16">
      <c r="P59244" s="2498"/>
    </row>
    <row r="59245" spans="16:16">
      <c r="P59245" s="2498"/>
    </row>
    <row r="59246" spans="16:16">
      <c r="P59246" s="2498"/>
    </row>
    <row r="59247" spans="16:16">
      <c r="P59247" s="2498"/>
    </row>
    <row r="59248" spans="16:16">
      <c r="P59248" s="2498"/>
    </row>
    <row r="59249" spans="16:16">
      <c r="P59249" s="2498"/>
    </row>
    <row r="59250" spans="16:16">
      <c r="P59250" s="2498"/>
    </row>
    <row r="59251" spans="16:16">
      <c r="P59251" s="2498"/>
    </row>
    <row r="59252" spans="16:16">
      <c r="P59252" s="2498"/>
    </row>
    <row r="59253" spans="16:16">
      <c r="P59253" s="2498"/>
    </row>
    <row r="59254" spans="16:16">
      <c r="P59254" s="2498"/>
    </row>
    <row r="59255" spans="16:16">
      <c r="P59255" s="2498"/>
    </row>
    <row r="59256" spans="16:16">
      <c r="P59256" s="2498"/>
    </row>
    <row r="59257" spans="16:16">
      <c r="P59257" s="2498"/>
    </row>
    <row r="59258" spans="16:16">
      <c r="P59258" s="2498"/>
    </row>
    <row r="59259" spans="16:16">
      <c r="P59259" s="2498"/>
    </row>
    <row r="59260" spans="16:16">
      <c r="P59260" s="2498"/>
    </row>
    <row r="59261" spans="16:16">
      <c r="P59261" s="2498"/>
    </row>
    <row r="59262" spans="16:16">
      <c r="P59262" s="2498"/>
    </row>
    <row r="59263" spans="16:16">
      <c r="P59263" s="2498"/>
    </row>
    <row r="59264" spans="16:16">
      <c r="P59264" s="2498"/>
    </row>
    <row r="59265" spans="16:16">
      <c r="P59265" s="2498"/>
    </row>
    <row r="59266" spans="16:16">
      <c r="P59266" s="2498"/>
    </row>
    <row r="59267" spans="16:16">
      <c r="P59267" s="2498"/>
    </row>
    <row r="59268" spans="16:16">
      <c r="P59268" s="2498"/>
    </row>
    <row r="59269" spans="16:16">
      <c r="P59269" s="2498"/>
    </row>
    <row r="59270" spans="16:16">
      <c r="P59270" s="2498"/>
    </row>
    <row r="59271" spans="16:16">
      <c r="P59271" s="2498"/>
    </row>
    <row r="59272" spans="16:16">
      <c r="P59272" s="2498"/>
    </row>
    <row r="59273" spans="16:16">
      <c r="P59273" s="2498"/>
    </row>
    <row r="59274" spans="16:16">
      <c r="P59274" s="2498"/>
    </row>
    <row r="59275" spans="16:16">
      <c r="P59275" s="2498"/>
    </row>
    <row r="59276" spans="16:16">
      <c r="P59276" s="2498"/>
    </row>
    <row r="59277" spans="16:16">
      <c r="P59277" s="2498"/>
    </row>
    <row r="59278" spans="16:16">
      <c r="P59278" s="2498"/>
    </row>
    <row r="59279" spans="16:16">
      <c r="P59279" s="2498"/>
    </row>
    <row r="59280" spans="16:16">
      <c r="P59280" s="2498"/>
    </row>
    <row r="59281" spans="16:16">
      <c r="P59281" s="2498"/>
    </row>
    <row r="59282" spans="16:16">
      <c r="P59282" s="2498"/>
    </row>
    <row r="59283" spans="16:16">
      <c r="P59283" s="2498"/>
    </row>
    <row r="59284" spans="16:16">
      <c r="P59284" s="2498"/>
    </row>
    <row r="59285" spans="16:16">
      <c r="P59285" s="2498"/>
    </row>
    <row r="59286" spans="16:16">
      <c r="P59286" s="2498"/>
    </row>
    <row r="59287" spans="16:16">
      <c r="P59287" s="2498"/>
    </row>
    <row r="59288" spans="16:16">
      <c r="P59288" s="2498"/>
    </row>
    <row r="59289" spans="16:16">
      <c r="P59289" s="2498"/>
    </row>
    <row r="59290" spans="16:16">
      <c r="P59290" s="2498"/>
    </row>
    <row r="59291" spans="16:16">
      <c r="P59291" s="2498"/>
    </row>
    <row r="59292" spans="16:16">
      <c r="P59292" s="2498"/>
    </row>
    <row r="59293" spans="16:16">
      <c r="P59293" s="2498"/>
    </row>
    <row r="59294" spans="16:16">
      <c r="P59294" s="2498"/>
    </row>
    <row r="59295" spans="16:16">
      <c r="P59295" s="2498"/>
    </row>
    <row r="59296" spans="16:16">
      <c r="P59296" s="2498"/>
    </row>
    <row r="59297" spans="16:16">
      <c r="P59297" s="2498"/>
    </row>
    <row r="59298" spans="16:16">
      <c r="P59298" s="2498"/>
    </row>
    <row r="59299" spans="16:16">
      <c r="P59299" s="2498"/>
    </row>
    <row r="59300" spans="16:16">
      <c r="P59300" s="2498"/>
    </row>
    <row r="59301" spans="16:16">
      <c r="P59301" s="2498"/>
    </row>
    <row r="59302" spans="16:16">
      <c r="P59302" s="2498"/>
    </row>
    <row r="59303" spans="16:16">
      <c r="P59303" s="2498"/>
    </row>
    <row r="59304" spans="16:16">
      <c r="P59304" s="2498"/>
    </row>
    <row r="59305" spans="16:16">
      <c r="P59305" s="2498"/>
    </row>
    <row r="59306" spans="16:16">
      <c r="P59306" s="2498"/>
    </row>
    <row r="59307" spans="16:16">
      <c r="P59307" s="2498"/>
    </row>
    <row r="59308" spans="16:16">
      <c r="P59308" s="2498"/>
    </row>
    <row r="59309" spans="16:16">
      <c r="P59309" s="2498"/>
    </row>
    <row r="59310" spans="16:16">
      <c r="P59310" s="2498"/>
    </row>
    <row r="59311" spans="16:16">
      <c r="P59311" s="2498"/>
    </row>
    <row r="59312" spans="16:16">
      <c r="P59312" s="2498"/>
    </row>
    <row r="59313" spans="16:16">
      <c r="P59313" s="2498"/>
    </row>
    <row r="59314" spans="16:16">
      <c r="P59314" s="2498"/>
    </row>
    <row r="59315" spans="16:16">
      <c r="P59315" s="2498"/>
    </row>
    <row r="59316" spans="16:16">
      <c r="P59316" s="2498"/>
    </row>
    <row r="59317" spans="16:16">
      <c r="P59317" s="2498"/>
    </row>
    <row r="59318" spans="16:16">
      <c r="P59318" s="2498"/>
    </row>
    <row r="59319" spans="16:16">
      <c r="P59319" s="2498"/>
    </row>
    <row r="59320" spans="16:16">
      <c r="P59320" s="2498"/>
    </row>
    <row r="59321" spans="16:16">
      <c r="P59321" s="2498"/>
    </row>
    <row r="59322" spans="16:16">
      <c r="P59322" s="2498"/>
    </row>
    <row r="59323" spans="16:16">
      <c r="P59323" s="2498"/>
    </row>
    <row r="59324" spans="16:16">
      <c r="P59324" s="2498"/>
    </row>
    <row r="59325" spans="16:16">
      <c r="P59325" s="2498"/>
    </row>
    <row r="59326" spans="16:16">
      <c r="P59326" s="2498"/>
    </row>
    <row r="59327" spans="16:16">
      <c r="P59327" s="2498"/>
    </row>
    <row r="59328" spans="16:16">
      <c r="P59328" s="2498"/>
    </row>
    <row r="59329" spans="16:16">
      <c r="P59329" s="2498"/>
    </row>
    <row r="59330" spans="16:16">
      <c r="P59330" s="2498"/>
    </row>
    <row r="59331" spans="16:16">
      <c r="P59331" s="2498"/>
    </row>
    <row r="59332" spans="16:16">
      <c r="P59332" s="2498"/>
    </row>
    <row r="59333" spans="16:16">
      <c r="P59333" s="2498"/>
    </row>
    <row r="59334" spans="16:16">
      <c r="P59334" s="2498"/>
    </row>
    <row r="59335" spans="16:16">
      <c r="P59335" s="2498"/>
    </row>
    <row r="59336" spans="16:16">
      <c r="P59336" s="2498"/>
    </row>
    <row r="59337" spans="16:16">
      <c r="P59337" s="2498"/>
    </row>
    <row r="59338" spans="16:16">
      <c r="P59338" s="2498"/>
    </row>
    <row r="59339" spans="16:16">
      <c r="P59339" s="2498"/>
    </row>
    <row r="59340" spans="16:16">
      <c r="P59340" s="2498"/>
    </row>
    <row r="59341" spans="16:16">
      <c r="P59341" s="2498"/>
    </row>
    <row r="59342" spans="16:16">
      <c r="P59342" s="2498"/>
    </row>
    <row r="59343" spans="16:16">
      <c r="P59343" s="2498"/>
    </row>
    <row r="59344" spans="16:16">
      <c r="P59344" s="2498"/>
    </row>
    <row r="59345" spans="16:16">
      <c r="P59345" s="2498"/>
    </row>
    <row r="59346" spans="16:16">
      <c r="P59346" s="2498"/>
    </row>
    <row r="59347" spans="16:16">
      <c r="P59347" s="2498"/>
    </row>
    <row r="59348" spans="16:16">
      <c r="P59348" s="2498"/>
    </row>
    <row r="59349" spans="16:16">
      <c r="P59349" s="2498"/>
    </row>
    <row r="59350" spans="16:16">
      <c r="P59350" s="2498"/>
    </row>
    <row r="59351" spans="16:16">
      <c r="P59351" s="2498"/>
    </row>
    <row r="59352" spans="16:16">
      <c r="P59352" s="2498"/>
    </row>
    <row r="59353" spans="16:16">
      <c r="P59353" s="2498"/>
    </row>
    <row r="59354" spans="16:16">
      <c r="P59354" s="2498"/>
    </row>
    <row r="59355" spans="16:16">
      <c r="P59355" s="2498"/>
    </row>
    <row r="59356" spans="16:16">
      <c r="P59356" s="2498"/>
    </row>
    <row r="59357" spans="16:16">
      <c r="P59357" s="2498"/>
    </row>
    <row r="59358" spans="16:16">
      <c r="P59358" s="2498"/>
    </row>
    <row r="59359" spans="16:16">
      <c r="P59359" s="2498"/>
    </row>
    <row r="59360" spans="16:16">
      <c r="P59360" s="2498"/>
    </row>
    <row r="59361" spans="16:16">
      <c r="P59361" s="2498"/>
    </row>
    <row r="59362" spans="16:16">
      <c r="P59362" s="2498"/>
    </row>
    <row r="59363" spans="16:16">
      <c r="P59363" s="2498"/>
    </row>
    <row r="59364" spans="16:16">
      <c r="P59364" s="2498"/>
    </row>
    <row r="59365" spans="16:16">
      <c r="P59365" s="2498"/>
    </row>
    <row r="59366" spans="16:16">
      <c r="P59366" s="2498"/>
    </row>
    <row r="59367" spans="16:16">
      <c r="P59367" s="2498"/>
    </row>
    <row r="59368" spans="16:16">
      <c r="P59368" s="2498"/>
    </row>
    <row r="59369" spans="16:16">
      <c r="P59369" s="2498"/>
    </row>
    <row r="59370" spans="16:16">
      <c r="P59370" s="2498"/>
    </row>
    <row r="59371" spans="16:16">
      <c r="P59371" s="2498"/>
    </row>
    <row r="59372" spans="16:16">
      <c r="P59372" s="2498"/>
    </row>
    <row r="59373" spans="16:16">
      <c r="P59373" s="2498"/>
    </row>
    <row r="59374" spans="16:16">
      <c r="P59374" s="2498"/>
    </row>
    <row r="59375" spans="16:16">
      <c r="P59375" s="2498"/>
    </row>
    <row r="59376" spans="16:16">
      <c r="P59376" s="2498"/>
    </row>
    <row r="59377" spans="16:16">
      <c r="P59377" s="2498"/>
    </row>
    <row r="59378" spans="16:16">
      <c r="P59378" s="2498"/>
    </row>
    <row r="59379" spans="16:16">
      <c r="P59379" s="2498"/>
    </row>
    <row r="59380" spans="16:16">
      <c r="P59380" s="2498"/>
    </row>
    <row r="59381" spans="16:16">
      <c r="P59381" s="2498"/>
    </row>
    <row r="59382" spans="16:16">
      <c r="P59382" s="2498"/>
    </row>
    <row r="59383" spans="16:16">
      <c r="P59383" s="2498"/>
    </row>
    <row r="59384" spans="16:16">
      <c r="P59384" s="2498"/>
    </row>
    <row r="59385" spans="16:16">
      <c r="P59385" s="2498"/>
    </row>
    <row r="59386" spans="16:16">
      <c r="P59386" s="2498"/>
    </row>
    <row r="59387" spans="16:16">
      <c r="P59387" s="2498"/>
    </row>
    <row r="59388" spans="16:16">
      <c r="P59388" s="2498"/>
    </row>
    <row r="59389" spans="16:16">
      <c r="P59389" s="2498"/>
    </row>
    <row r="59390" spans="16:16">
      <c r="P59390" s="2498"/>
    </row>
    <row r="59391" spans="16:16">
      <c r="P59391" s="2498"/>
    </row>
    <row r="59392" spans="16:16">
      <c r="P59392" s="2498"/>
    </row>
    <row r="59393" spans="16:16">
      <c r="P59393" s="2498"/>
    </row>
    <row r="59394" spans="16:16">
      <c r="P59394" s="2498"/>
    </row>
    <row r="59395" spans="16:16">
      <c r="P59395" s="2498"/>
    </row>
    <row r="59396" spans="16:16">
      <c r="P59396" s="2498"/>
    </row>
    <row r="59397" spans="16:16">
      <c r="P59397" s="2498"/>
    </row>
    <row r="59398" spans="16:16">
      <c r="P59398" s="2498"/>
    </row>
    <row r="59399" spans="16:16">
      <c r="P59399" s="2498"/>
    </row>
    <row r="59400" spans="16:16">
      <c r="P59400" s="2498"/>
    </row>
    <row r="59401" spans="16:16">
      <c r="P59401" s="2498"/>
    </row>
    <row r="59402" spans="16:16">
      <c r="P59402" s="2498"/>
    </row>
    <row r="59403" spans="16:16">
      <c r="P59403" s="2498"/>
    </row>
    <row r="59404" spans="16:16">
      <c r="P59404" s="2498"/>
    </row>
    <row r="59405" spans="16:16">
      <c r="P59405" s="2498"/>
    </row>
    <row r="59406" spans="16:16">
      <c r="P59406" s="2498"/>
    </row>
    <row r="59407" spans="16:16">
      <c r="P59407" s="2498"/>
    </row>
    <row r="59408" spans="16:16">
      <c r="P59408" s="2498"/>
    </row>
    <row r="59409" spans="16:16">
      <c r="P59409" s="2498"/>
    </row>
    <row r="59410" spans="16:16">
      <c r="P59410" s="2498"/>
    </row>
    <row r="59411" spans="16:16">
      <c r="P59411" s="2498"/>
    </row>
    <row r="59412" spans="16:16">
      <c r="P59412" s="2498"/>
    </row>
    <row r="59413" spans="16:16">
      <c r="P59413" s="2498"/>
    </row>
    <row r="59414" spans="16:16">
      <c r="P59414" s="2498"/>
    </row>
    <row r="59415" spans="16:16">
      <c r="P59415" s="2498"/>
    </row>
    <row r="59416" spans="16:16">
      <c r="P59416" s="2498"/>
    </row>
    <row r="59417" spans="16:16">
      <c r="P59417" s="2498"/>
    </row>
    <row r="59418" spans="16:16">
      <c r="P59418" s="2498"/>
    </row>
    <row r="59419" spans="16:16">
      <c r="P59419" s="2498"/>
    </row>
    <row r="59420" spans="16:16">
      <c r="P59420" s="2498"/>
    </row>
    <row r="59421" spans="16:16">
      <c r="P59421" s="2498"/>
    </row>
    <row r="59422" spans="16:16">
      <c r="P59422" s="2498"/>
    </row>
    <row r="59423" spans="16:16">
      <c r="P59423" s="2498"/>
    </row>
    <row r="59424" spans="16:16">
      <c r="P59424" s="2498"/>
    </row>
    <row r="59425" spans="16:16">
      <c r="P59425" s="2498"/>
    </row>
    <row r="59426" spans="16:16">
      <c r="P59426" s="2498"/>
    </row>
    <row r="59427" spans="16:16">
      <c r="P59427" s="2498"/>
    </row>
    <row r="59428" spans="16:16">
      <c r="P59428" s="2498"/>
    </row>
    <row r="59429" spans="16:16">
      <c r="P59429" s="2498"/>
    </row>
    <row r="59430" spans="16:16">
      <c r="P59430" s="2498"/>
    </row>
    <row r="59431" spans="16:16">
      <c r="P59431" s="2498"/>
    </row>
    <row r="59432" spans="16:16">
      <c r="P59432" s="2498"/>
    </row>
    <row r="59433" spans="16:16">
      <c r="P59433" s="2498"/>
    </row>
    <row r="59434" spans="16:16">
      <c r="P59434" s="2498"/>
    </row>
    <row r="59435" spans="16:16">
      <c r="P59435" s="2498"/>
    </row>
    <row r="59436" spans="16:16">
      <c r="P59436" s="2498"/>
    </row>
    <row r="59437" spans="16:16">
      <c r="P59437" s="2498"/>
    </row>
    <row r="59438" spans="16:16">
      <c r="P59438" s="2498"/>
    </row>
    <row r="59439" spans="16:16">
      <c r="P59439" s="2498"/>
    </row>
    <row r="59440" spans="16:16">
      <c r="P59440" s="2498"/>
    </row>
    <row r="59441" spans="16:16">
      <c r="P59441" s="2498"/>
    </row>
    <row r="59442" spans="16:16">
      <c r="P59442" s="2498"/>
    </row>
    <row r="59443" spans="16:16">
      <c r="P59443" s="2498"/>
    </row>
    <row r="59444" spans="16:16">
      <c r="P59444" s="2498"/>
    </row>
    <row r="59445" spans="16:16">
      <c r="P59445" s="2498"/>
    </row>
    <row r="59446" spans="16:16">
      <c r="P59446" s="2498"/>
    </row>
    <row r="59447" spans="16:16">
      <c r="P59447" s="2498"/>
    </row>
    <row r="59448" spans="16:16">
      <c r="P59448" s="2498"/>
    </row>
    <row r="59449" spans="16:16">
      <c r="P59449" s="2498"/>
    </row>
    <row r="59450" spans="16:16">
      <c r="P59450" s="2498"/>
    </row>
    <row r="59451" spans="16:16">
      <c r="P59451" s="2498"/>
    </row>
    <row r="59452" spans="16:16">
      <c r="P59452" s="2498"/>
    </row>
    <row r="59453" spans="16:16">
      <c r="P59453" s="2498"/>
    </row>
    <row r="59454" spans="16:16">
      <c r="P59454" s="2498"/>
    </row>
    <row r="59455" spans="16:16">
      <c r="P59455" s="2498"/>
    </row>
    <row r="59456" spans="16:16">
      <c r="P59456" s="2498"/>
    </row>
    <row r="59457" spans="16:16">
      <c r="P59457" s="2498"/>
    </row>
    <row r="59458" spans="16:16">
      <c r="P59458" s="2498"/>
    </row>
    <row r="59459" spans="16:16">
      <c r="P59459" s="2498"/>
    </row>
    <row r="59460" spans="16:16">
      <c r="P59460" s="2498"/>
    </row>
    <row r="59461" spans="16:16">
      <c r="P59461" s="2498"/>
    </row>
    <row r="59462" spans="16:16">
      <c r="P59462" s="2498"/>
    </row>
    <row r="59463" spans="16:16">
      <c r="P59463" s="2498"/>
    </row>
    <row r="59464" spans="16:16">
      <c r="P59464" s="2498"/>
    </row>
    <row r="59465" spans="16:16">
      <c r="P59465" s="2498"/>
    </row>
    <row r="59466" spans="16:16">
      <c r="P59466" s="2498"/>
    </row>
    <row r="59467" spans="16:16">
      <c r="P59467" s="2498"/>
    </row>
    <row r="59468" spans="16:16">
      <c r="P59468" s="2498"/>
    </row>
    <row r="59469" spans="16:16">
      <c r="P59469" s="2498"/>
    </row>
    <row r="59470" spans="16:16">
      <c r="P59470" s="2498"/>
    </row>
    <row r="59471" spans="16:16">
      <c r="P59471" s="2498"/>
    </row>
    <row r="59472" spans="16:16">
      <c r="P59472" s="2498"/>
    </row>
    <row r="59473" spans="16:16">
      <c r="P59473" s="2498"/>
    </row>
    <row r="59474" spans="16:16">
      <c r="P59474" s="2498"/>
    </row>
    <row r="59475" spans="16:16">
      <c r="P59475" s="2498"/>
    </row>
    <row r="59476" spans="16:16">
      <c r="P59476" s="2498"/>
    </row>
    <row r="59477" spans="16:16">
      <c r="P59477" s="2498"/>
    </row>
    <row r="59478" spans="16:16">
      <c r="P59478" s="2498"/>
    </row>
    <row r="59479" spans="16:16">
      <c r="P59479" s="2498"/>
    </row>
    <row r="59480" spans="16:16">
      <c r="P59480" s="2498"/>
    </row>
    <row r="59481" spans="16:16">
      <c r="P59481" s="2498"/>
    </row>
    <row r="59482" spans="16:16">
      <c r="P59482" s="2498"/>
    </row>
    <row r="59483" spans="16:16">
      <c r="P59483" s="2498"/>
    </row>
    <row r="59484" spans="16:16">
      <c r="P59484" s="2498"/>
    </row>
    <row r="59485" spans="16:16">
      <c r="P59485" s="2498"/>
    </row>
    <row r="59486" spans="16:16">
      <c r="P59486" s="2498"/>
    </row>
    <row r="59487" spans="16:16">
      <c r="P59487" s="2498"/>
    </row>
    <row r="59488" spans="16:16">
      <c r="P59488" s="2498"/>
    </row>
    <row r="59489" spans="16:16">
      <c r="P59489" s="2498"/>
    </row>
    <row r="59490" spans="16:16">
      <c r="P59490" s="2498"/>
    </row>
    <row r="59491" spans="16:16">
      <c r="P59491" s="2498"/>
    </row>
    <row r="59492" spans="16:16">
      <c r="P59492" s="2498"/>
    </row>
    <row r="59493" spans="16:16">
      <c r="P59493" s="2498"/>
    </row>
    <row r="59494" spans="16:16">
      <c r="P59494" s="2498"/>
    </row>
    <row r="59495" spans="16:16">
      <c r="P59495" s="2498"/>
    </row>
    <row r="59496" spans="16:16">
      <c r="P59496" s="2498"/>
    </row>
    <row r="59497" spans="16:16">
      <c r="P59497" s="2498"/>
    </row>
    <row r="59498" spans="16:16">
      <c r="P59498" s="2498"/>
    </row>
    <row r="59499" spans="16:16">
      <c r="P59499" s="2498"/>
    </row>
    <row r="59500" spans="16:16">
      <c r="P59500" s="2498"/>
    </row>
    <row r="59501" spans="16:16">
      <c r="P59501" s="2498"/>
    </row>
    <row r="59502" spans="16:16">
      <c r="P59502" s="2498"/>
    </row>
    <row r="59503" spans="16:16">
      <c r="P59503" s="2498"/>
    </row>
    <row r="59504" spans="16:16">
      <c r="P59504" s="2498"/>
    </row>
    <row r="59505" spans="16:16">
      <c r="P59505" s="2498"/>
    </row>
    <row r="59506" spans="16:16">
      <c r="P59506" s="2498"/>
    </row>
    <row r="59507" spans="16:16">
      <c r="P59507" s="2498"/>
    </row>
    <row r="59508" spans="16:16">
      <c r="P59508" s="2498"/>
    </row>
    <row r="59509" spans="16:16">
      <c r="P59509" s="2498"/>
    </row>
    <row r="59510" spans="16:16">
      <c r="P59510" s="2498"/>
    </row>
    <row r="59511" spans="16:16">
      <c r="P59511" s="2498"/>
    </row>
    <row r="59512" spans="16:16">
      <c r="P59512" s="2498"/>
    </row>
    <row r="59513" spans="16:16">
      <c r="P59513" s="2498"/>
    </row>
    <row r="59514" spans="16:16">
      <c r="P59514" s="2498"/>
    </row>
    <row r="59515" spans="16:16">
      <c r="P59515" s="2498"/>
    </row>
    <row r="59516" spans="16:16">
      <c r="P59516" s="2498"/>
    </row>
    <row r="59517" spans="16:16">
      <c r="P59517" s="2498"/>
    </row>
    <row r="59518" spans="16:16">
      <c r="P59518" s="2498"/>
    </row>
    <row r="59519" spans="16:16">
      <c r="P59519" s="2498"/>
    </row>
    <row r="59520" spans="16:16">
      <c r="P59520" s="2498"/>
    </row>
    <row r="59521" spans="16:16">
      <c r="P59521" s="2498"/>
    </row>
    <row r="59522" spans="16:16">
      <c r="P59522" s="2498"/>
    </row>
    <row r="59523" spans="16:16">
      <c r="P59523" s="2498"/>
    </row>
    <row r="59524" spans="16:16">
      <c r="P59524" s="2498"/>
    </row>
    <row r="59525" spans="16:16">
      <c r="P59525" s="2498"/>
    </row>
    <row r="59526" spans="16:16">
      <c r="P59526" s="2498"/>
    </row>
    <row r="59527" spans="16:16">
      <c r="P59527" s="2498"/>
    </row>
    <row r="59528" spans="16:16">
      <c r="P59528" s="2498"/>
    </row>
    <row r="59529" spans="16:16">
      <c r="P59529" s="2498"/>
    </row>
    <row r="59530" spans="16:16">
      <c r="P59530" s="2498"/>
    </row>
    <row r="59531" spans="16:16">
      <c r="P59531" s="2498"/>
    </row>
    <row r="59532" spans="16:16">
      <c r="P59532" s="2498"/>
    </row>
    <row r="59533" spans="16:16">
      <c r="P59533" s="2498"/>
    </row>
    <row r="59534" spans="16:16">
      <c r="P59534" s="2498"/>
    </row>
    <row r="59535" spans="16:16">
      <c r="P59535" s="2498"/>
    </row>
    <row r="59536" spans="16:16">
      <c r="P59536" s="2498"/>
    </row>
    <row r="59537" spans="16:16">
      <c r="P59537" s="2498"/>
    </row>
    <row r="59538" spans="16:16">
      <c r="P59538" s="2498"/>
    </row>
    <row r="59539" spans="16:16">
      <c r="P59539" s="2498"/>
    </row>
    <row r="59540" spans="16:16">
      <c r="P59540" s="2498"/>
    </row>
    <row r="59541" spans="16:16">
      <c r="P59541" s="2498"/>
    </row>
    <row r="59542" spans="16:16">
      <c r="P59542" s="2498"/>
    </row>
    <row r="59543" spans="16:16">
      <c r="P59543" s="2498"/>
    </row>
    <row r="59544" spans="16:16">
      <c r="P59544" s="2498"/>
    </row>
    <row r="59545" spans="16:16">
      <c r="P59545" s="2498"/>
    </row>
    <row r="59546" spans="16:16">
      <c r="P59546" s="2498"/>
    </row>
    <row r="59547" spans="16:16">
      <c r="P59547" s="2498"/>
    </row>
    <row r="59548" spans="16:16">
      <c r="P59548" s="2498"/>
    </row>
    <row r="59549" spans="16:16">
      <c r="P59549" s="2498"/>
    </row>
    <row r="59550" spans="16:16">
      <c r="P59550" s="2498"/>
    </row>
    <row r="59551" spans="16:16">
      <c r="P59551" s="2498"/>
    </row>
    <row r="59552" spans="16:16">
      <c r="P59552" s="2498"/>
    </row>
    <row r="59553" spans="16:16">
      <c r="P59553" s="2498"/>
    </row>
    <row r="59554" spans="16:16">
      <c r="P59554" s="2498"/>
    </row>
    <row r="59555" spans="16:16">
      <c r="P59555" s="2498"/>
    </row>
    <row r="59556" spans="16:16">
      <c r="P59556" s="2498"/>
    </row>
    <row r="59557" spans="16:16">
      <c r="P59557" s="2498"/>
    </row>
    <row r="59558" spans="16:16">
      <c r="P59558" s="2498"/>
    </row>
    <row r="59559" spans="16:16">
      <c r="P59559" s="2498"/>
    </row>
    <row r="59560" spans="16:16">
      <c r="P59560" s="2498"/>
    </row>
    <row r="59561" spans="16:16">
      <c r="P59561" s="2498"/>
    </row>
    <row r="59562" spans="16:16">
      <c r="P59562" s="2498"/>
    </row>
    <row r="59563" spans="16:16">
      <c r="P59563" s="2498"/>
    </row>
    <row r="59564" spans="16:16">
      <c r="P59564" s="2498"/>
    </row>
    <row r="59565" spans="16:16">
      <c r="P59565" s="2498"/>
    </row>
    <row r="59566" spans="16:16">
      <c r="P59566" s="2498"/>
    </row>
    <row r="59567" spans="16:16">
      <c r="P59567" s="2498"/>
    </row>
    <row r="59568" spans="16:16">
      <c r="P59568" s="2498"/>
    </row>
    <row r="59569" spans="16:16">
      <c r="P59569" s="2498"/>
    </row>
    <row r="59570" spans="16:16">
      <c r="P59570" s="2498"/>
    </row>
    <row r="59571" spans="16:16">
      <c r="P59571" s="2498"/>
    </row>
    <row r="59572" spans="16:16">
      <c r="P59572" s="2498"/>
    </row>
    <row r="59573" spans="16:16">
      <c r="P59573" s="2498"/>
    </row>
    <row r="59574" spans="16:16">
      <c r="P59574" s="2498"/>
    </row>
    <row r="59575" spans="16:16">
      <c r="P59575" s="2498"/>
    </row>
    <row r="59576" spans="16:16">
      <c r="P59576" s="2498"/>
    </row>
    <row r="59577" spans="16:16">
      <c r="P59577" s="2498"/>
    </row>
    <row r="59578" spans="16:16">
      <c r="P59578" s="2498"/>
    </row>
    <row r="59579" spans="16:16">
      <c r="P59579" s="2498"/>
    </row>
    <row r="59580" spans="16:16">
      <c r="P59580" s="2498"/>
    </row>
    <row r="59581" spans="16:16">
      <c r="P59581" s="2498"/>
    </row>
    <row r="59582" spans="16:16">
      <c r="P59582" s="2498"/>
    </row>
    <row r="59583" spans="16:16">
      <c r="P59583" s="2498"/>
    </row>
    <row r="59584" spans="16:16">
      <c r="P59584" s="2498"/>
    </row>
    <row r="59585" spans="16:16">
      <c r="P59585" s="2498"/>
    </row>
    <row r="59586" spans="16:16">
      <c r="P59586" s="2498"/>
    </row>
    <row r="59587" spans="16:16">
      <c r="P59587" s="2498"/>
    </row>
    <row r="59588" spans="16:16">
      <c r="P59588" s="2498"/>
    </row>
    <row r="59589" spans="16:16">
      <c r="P59589" s="2498"/>
    </row>
    <row r="59590" spans="16:16">
      <c r="P59590" s="2498"/>
    </row>
    <row r="59591" spans="16:16">
      <c r="P59591" s="2498"/>
    </row>
    <row r="59592" spans="16:16">
      <c r="P59592" s="2498"/>
    </row>
    <row r="59593" spans="16:16">
      <c r="P59593" s="2498"/>
    </row>
    <row r="59594" spans="16:16">
      <c r="P59594" s="2498"/>
    </row>
    <row r="59595" spans="16:16">
      <c r="P59595" s="2498"/>
    </row>
    <row r="59596" spans="16:16">
      <c r="P59596" s="2498"/>
    </row>
    <row r="59597" spans="16:16">
      <c r="P59597" s="2498"/>
    </row>
    <row r="59598" spans="16:16">
      <c r="P59598" s="2498"/>
    </row>
    <row r="59599" spans="16:16">
      <c r="P59599" s="2498"/>
    </row>
    <row r="59600" spans="16:16">
      <c r="P59600" s="2498"/>
    </row>
    <row r="59601" spans="16:16">
      <c r="P59601" s="2498"/>
    </row>
    <row r="59602" spans="16:16">
      <c r="P59602" s="2498"/>
    </row>
    <row r="59603" spans="16:16">
      <c r="P59603" s="2498"/>
    </row>
    <row r="59604" spans="16:16">
      <c r="P59604" s="2498"/>
    </row>
    <row r="59605" spans="16:16">
      <c r="P59605" s="2498"/>
    </row>
    <row r="59606" spans="16:16">
      <c r="P59606" s="2498"/>
    </row>
    <row r="59607" spans="16:16">
      <c r="P59607" s="2498"/>
    </row>
    <row r="59608" spans="16:16">
      <c r="P59608" s="2498"/>
    </row>
    <row r="59609" spans="16:16">
      <c r="P59609" s="2498"/>
    </row>
    <row r="59610" spans="16:16">
      <c r="P59610" s="2498"/>
    </row>
    <row r="59611" spans="16:16">
      <c r="P59611" s="2498"/>
    </row>
    <row r="59612" spans="16:16">
      <c r="P59612" s="2498"/>
    </row>
    <row r="59613" spans="16:16">
      <c r="P59613" s="2498"/>
    </row>
    <row r="59614" spans="16:16">
      <c r="P59614" s="2498"/>
    </row>
    <row r="59615" spans="16:16">
      <c r="P59615" s="2498"/>
    </row>
    <row r="59616" spans="16:16">
      <c r="P59616" s="2498"/>
    </row>
    <row r="59617" spans="16:16">
      <c r="P59617" s="2498"/>
    </row>
    <row r="59618" spans="16:16">
      <c r="P59618" s="2498"/>
    </row>
    <row r="59619" spans="16:16">
      <c r="P59619" s="2498"/>
    </row>
    <row r="59620" spans="16:16">
      <c r="P59620" s="2498"/>
    </row>
    <row r="59621" spans="16:16">
      <c r="P59621" s="2498"/>
    </row>
    <row r="59622" spans="16:16">
      <c r="P59622" s="2498"/>
    </row>
    <row r="59623" spans="16:16">
      <c r="P59623" s="2498"/>
    </row>
    <row r="59624" spans="16:16">
      <c r="P59624" s="2498"/>
    </row>
    <row r="59625" spans="16:16">
      <c r="P59625" s="2498"/>
    </row>
    <row r="59626" spans="16:16">
      <c r="P59626" s="2498"/>
    </row>
    <row r="59627" spans="16:16">
      <c r="P59627" s="2498"/>
    </row>
    <row r="59628" spans="16:16">
      <c r="P59628" s="2498"/>
    </row>
    <row r="59629" spans="16:16">
      <c r="P59629" s="2498"/>
    </row>
    <row r="59630" spans="16:16">
      <c r="P59630" s="2498"/>
    </row>
    <row r="59631" spans="16:16">
      <c r="P59631" s="2498"/>
    </row>
    <row r="59632" spans="16:16">
      <c r="P59632" s="2498"/>
    </row>
    <row r="59633" spans="16:16">
      <c r="P59633" s="2498"/>
    </row>
    <row r="59634" spans="16:16">
      <c r="P59634" s="2498"/>
    </row>
    <row r="59635" spans="16:16">
      <c r="P59635" s="2498"/>
    </row>
    <row r="59636" spans="16:16">
      <c r="P59636" s="2498"/>
    </row>
    <row r="59637" spans="16:16">
      <c r="P59637" s="2498"/>
    </row>
    <row r="59638" spans="16:16">
      <c r="P59638" s="2498"/>
    </row>
    <row r="59639" spans="16:16">
      <c r="P59639" s="2498"/>
    </row>
    <row r="59640" spans="16:16">
      <c r="P59640" s="2498"/>
    </row>
    <row r="59641" spans="16:16">
      <c r="P59641" s="2498"/>
    </row>
    <row r="59642" spans="16:16">
      <c r="P59642" s="2498"/>
    </row>
    <row r="59643" spans="16:16">
      <c r="P59643" s="2498"/>
    </row>
    <row r="59644" spans="16:16">
      <c r="P59644" s="2498"/>
    </row>
    <row r="59645" spans="16:16">
      <c r="P59645" s="2498"/>
    </row>
    <row r="59646" spans="16:16">
      <c r="P59646" s="2498"/>
    </row>
    <row r="59647" spans="16:16">
      <c r="P59647" s="2498"/>
    </row>
    <row r="59648" spans="16:16">
      <c r="P59648" s="2498"/>
    </row>
    <row r="59649" spans="16:16">
      <c r="P59649" s="2498"/>
    </row>
    <row r="59650" spans="16:16">
      <c r="P59650" s="2498"/>
    </row>
    <row r="59651" spans="16:16">
      <c r="P59651" s="2498"/>
    </row>
    <row r="59652" spans="16:16">
      <c r="P59652" s="2498"/>
    </row>
    <row r="59653" spans="16:16">
      <c r="P59653" s="2498"/>
    </row>
    <row r="59654" spans="16:16">
      <c r="P59654" s="2498"/>
    </row>
    <row r="59655" spans="16:16">
      <c r="P59655" s="2498"/>
    </row>
    <row r="59656" spans="16:16">
      <c r="P59656" s="2498"/>
    </row>
    <row r="59657" spans="16:16">
      <c r="P59657" s="2498"/>
    </row>
    <row r="59658" spans="16:16">
      <c r="P59658" s="2498"/>
    </row>
    <row r="59659" spans="16:16">
      <c r="P59659" s="2498"/>
    </row>
    <row r="59660" spans="16:16">
      <c r="P59660" s="2498"/>
    </row>
    <row r="59661" spans="16:16">
      <c r="P59661" s="2498"/>
    </row>
    <row r="59662" spans="16:16">
      <c r="P59662" s="2498"/>
    </row>
    <row r="59663" spans="16:16">
      <c r="P59663" s="2498"/>
    </row>
    <row r="59664" spans="16:16">
      <c r="P59664" s="2498"/>
    </row>
    <row r="59665" spans="16:16">
      <c r="P59665" s="2498"/>
    </row>
    <row r="59666" spans="16:16">
      <c r="P59666" s="2498"/>
    </row>
    <row r="59667" spans="16:16">
      <c r="P59667" s="2498"/>
    </row>
    <row r="59668" spans="16:16">
      <c r="P59668" s="2498"/>
    </row>
    <row r="59669" spans="16:16">
      <c r="P59669" s="2498"/>
    </row>
    <row r="59670" spans="16:16">
      <c r="P59670" s="2498"/>
    </row>
    <row r="59671" spans="16:16">
      <c r="P59671" s="2498"/>
    </row>
    <row r="59672" spans="16:16">
      <c r="P59672" s="2498"/>
    </row>
    <row r="59673" spans="16:16">
      <c r="P59673" s="2498"/>
    </row>
    <row r="59674" spans="16:16">
      <c r="P59674" s="2498"/>
    </row>
    <row r="59675" spans="16:16">
      <c r="P59675" s="2498"/>
    </row>
    <row r="59676" spans="16:16">
      <c r="P59676" s="2498"/>
    </row>
    <row r="59677" spans="16:16">
      <c r="P59677" s="2498"/>
    </row>
    <row r="59678" spans="16:16">
      <c r="P59678" s="2498"/>
    </row>
    <row r="59679" spans="16:16">
      <c r="P59679" s="2498"/>
    </row>
    <row r="59680" spans="16:16">
      <c r="P59680" s="2498"/>
    </row>
    <row r="59681" spans="16:16">
      <c r="P59681" s="2498"/>
    </row>
    <row r="59682" spans="16:16">
      <c r="P59682" s="2498"/>
    </row>
    <row r="59683" spans="16:16">
      <c r="P59683" s="2498"/>
    </row>
    <row r="59684" spans="16:16">
      <c r="P59684" s="2498"/>
    </row>
    <row r="59685" spans="16:16">
      <c r="P59685" s="2498"/>
    </row>
    <row r="59686" spans="16:16">
      <c r="P59686" s="2498"/>
    </row>
    <row r="59687" spans="16:16">
      <c r="P59687" s="2498"/>
    </row>
    <row r="59688" spans="16:16">
      <c r="P59688" s="2498"/>
    </row>
    <row r="59689" spans="16:16">
      <c r="P59689" s="2498"/>
    </row>
    <row r="59690" spans="16:16">
      <c r="P59690" s="2498"/>
    </row>
    <row r="59691" spans="16:16">
      <c r="P59691" s="2498"/>
    </row>
    <row r="59692" spans="16:16">
      <c r="P59692" s="2498"/>
    </row>
    <row r="59693" spans="16:16">
      <c r="P59693" s="2498"/>
    </row>
    <row r="59694" spans="16:16">
      <c r="P59694" s="2498"/>
    </row>
    <row r="59695" spans="16:16">
      <c r="P59695" s="2498"/>
    </row>
    <row r="59696" spans="16:16">
      <c r="P59696" s="2498"/>
    </row>
    <row r="59697" spans="16:16">
      <c r="P59697" s="2498"/>
    </row>
    <row r="59698" spans="16:16">
      <c r="P59698" s="2498"/>
    </row>
    <row r="59699" spans="16:16">
      <c r="P59699" s="2498"/>
    </row>
    <row r="59700" spans="16:16">
      <c r="P59700" s="2498"/>
    </row>
    <row r="59701" spans="16:16">
      <c r="P59701" s="2498"/>
    </row>
    <row r="59702" spans="16:16">
      <c r="P59702" s="2498"/>
    </row>
    <row r="59703" spans="16:16">
      <c r="P59703" s="2498"/>
    </row>
    <row r="59704" spans="16:16">
      <c r="P59704" s="2498"/>
    </row>
    <row r="59705" spans="16:16">
      <c r="P59705" s="2498"/>
    </row>
    <row r="59706" spans="16:16">
      <c r="P59706" s="2498"/>
    </row>
    <row r="59707" spans="16:16">
      <c r="P59707" s="2498"/>
    </row>
    <row r="59708" spans="16:16">
      <c r="P59708" s="2498"/>
    </row>
    <row r="59709" spans="16:16">
      <c r="P59709" s="2498"/>
    </row>
    <row r="59710" spans="16:16">
      <c r="P59710" s="2498"/>
    </row>
    <row r="59711" spans="16:16">
      <c r="P59711" s="2498"/>
    </row>
    <row r="59712" spans="16:16">
      <c r="P59712" s="2498"/>
    </row>
    <row r="59713" spans="16:16">
      <c r="P59713" s="2498"/>
    </row>
    <row r="59714" spans="16:16">
      <c r="P59714" s="2498"/>
    </row>
    <row r="59715" spans="16:16">
      <c r="P59715" s="2498"/>
    </row>
    <row r="59716" spans="16:16">
      <c r="P59716" s="2498"/>
    </row>
    <row r="59717" spans="16:16">
      <c r="P59717" s="2498"/>
    </row>
    <row r="59718" spans="16:16">
      <c r="P59718" s="2498"/>
    </row>
    <row r="59719" spans="16:16">
      <c r="P59719" s="2498"/>
    </row>
    <row r="59720" spans="16:16">
      <c r="P59720" s="2498"/>
    </row>
    <row r="59721" spans="16:16">
      <c r="P59721" s="2498"/>
    </row>
    <row r="59722" spans="16:16">
      <c r="P59722" s="2498"/>
    </row>
    <row r="59723" spans="16:16">
      <c r="P59723" s="2498"/>
    </row>
    <row r="59724" spans="16:16">
      <c r="P59724" s="2498"/>
    </row>
    <row r="59725" spans="16:16">
      <c r="P59725" s="2498"/>
    </row>
    <row r="59726" spans="16:16">
      <c r="P59726" s="2498"/>
    </row>
    <row r="59727" spans="16:16">
      <c r="P59727" s="2498"/>
    </row>
    <row r="59728" spans="16:16">
      <c r="P59728" s="2498"/>
    </row>
    <row r="59729" spans="16:16">
      <c r="P59729" s="2498"/>
    </row>
    <row r="59730" spans="16:16">
      <c r="P59730" s="2498"/>
    </row>
    <row r="59731" spans="16:16">
      <c r="P59731" s="2498"/>
    </row>
    <row r="59732" spans="16:16">
      <c r="P59732" s="2498"/>
    </row>
    <row r="59733" spans="16:16">
      <c r="P59733" s="2498"/>
    </row>
    <row r="59734" spans="16:16">
      <c r="P59734" s="2498"/>
    </row>
    <row r="59735" spans="16:16">
      <c r="P59735" s="2498"/>
    </row>
    <row r="59736" spans="16:16">
      <c r="P59736" s="2498"/>
    </row>
    <row r="59737" spans="16:16">
      <c r="P59737" s="2498"/>
    </row>
    <row r="59738" spans="16:16">
      <c r="P59738" s="2498"/>
    </row>
    <row r="59739" spans="16:16">
      <c r="P59739" s="2498"/>
    </row>
    <row r="59740" spans="16:16">
      <c r="P59740" s="2498"/>
    </row>
    <row r="59741" spans="16:16">
      <c r="P59741" s="2498"/>
    </row>
    <row r="59742" spans="16:16">
      <c r="P59742" s="2498"/>
    </row>
    <row r="59743" spans="16:16">
      <c r="P59743" s="2498"/>
    </row>
    <row r="59744" spans="16:16">
      <c r="P59744" s="2498"/>
    </row>
    <row r="59745" spans="16:16">
      <c r="P59745" s="2498"/>
    </row>
    <row r="59746" spans="16:16">
      <c r="P59746" s="2498"/>
    </row>
    <row r="59747" spans="16:16">
      <c r="P59747" s="2498"/>
    </row>
    <row r="59748" spans="16:16">
      <c r="P59748" s="2498"/>
    </row>
    <row r="59749" spans="16:16">
      <c r="P59749" s="2498"/>
    </row>
    <row r="59750" spans="16:16">
      <c r="P59750" s="2498"/>
    </row>
    <row r="59751" spans="16:16">
      <c r="P59751" s="2498"/>
    </row>
    <row r="59752" spans="16:16">
      <c r="P59752" s="2498"/>
    </row>
    <row r="59753" spans="16:16">
      <c r="P59753" s="2498"/>
    </row>
    <row r="59754" spans="16:16">
      <c r="P59754" s="2498"/>
    </row>
    <row r="59755" spans="16:16">
      <c r="P59755" s="2498"/>
    </row>
    <row r="59756" spans="16:16">
      <c r="P59756" s="2498"/>
    </row>
    <row r="59757" spans="16:16">
      <c r="P59757" s="2498"/>
    </row>
    <row r="59758" spans="16:16">
      <c r="P59758" s="2498"/>
    </row>
    <row r="59759" spans="16:16">
      <c r="P59759" s="2498"/>
    </row>
    <row r="59760" spans="16:16">
      <c r="P59760" s="2498"/>
    </row>
    <row r="59761" spans="16:16">
      <c r="P59761" s="2498"/>
    </row>
    <row r="59762" spans="16:16">
      <c r="P59762" s="2498"/>
    </row>
    <row r="59763" spans="16:16">
      <c r="P59763" s="2498"/>
    </row>
    <row r="59764" spans="16:16">
      <c r="P59764" s="2498"/>
    </row>
    <row r="59765" spans="16:16">
      <c r="P59765" s="2498"/>
    </row>
    <row r="59766" spans="16:16">
      <c r="P59766" s="2498"/>
    </row>
    <row r="59767" spans="16:16">
      <c r="P59767" s="2498"/>
    </row>
    <row r="59768" spans="16:16">
      <c r="P59768" s="2498"/>
    </row>
    <row r="59769" spans="16:16">
      <c r="P59769" s="2498"/>
    </row>
    <row r="59770" spans="16:16">
      <c r="P59770" s="2498"/>
    </row>
    <row r="59771" spans="16:16">
      <c r="P59771" s="2498"/>
    </row>
    <row r="59772" spans="16:16">
      <c r="P59772" s="2498"/>
    </row>
    <row r="59773" spans="16:16">
      <c r="P59773" s="2498"/>
    </row>
    <row r="59774" spans="16:16">
      <c r="P59774" s="2498"/>
    </row>
    <row r="59775" spans="16:16">
      <c r="P59775" s="2498"/>
    </row>
    <row r="59776" spans="16:16">
      <c r="P59776" s="2498"/>
    </row>
    <row r="59777" spans="16:16">
      <c r="P59777" s="2498"/>
    </row>
    <row r="59778" spans="16:16">
      <c r="P59778" s="2498"/>
    </row>
    <row r="59779" spans="16:16">
      <c r="P59779" s="2498"/>
    </row>
    <row r="59780" spans="16:16">
      <c r="P59780" s="2498"/>
    </row>
    <row r="59781" spans="16:16">
      <c r="P59781" s="2498"/>
    </row>
    <row r="59782" spans="16:16">
      <c r="P59782" s="2498"/>
    </row>
    <row r="59783" spans="16:16">
      <c r="P59783" s="2498"/>
    </row>
    <row r="59784" spans="16:16">
      <c r="P59784" s="2498"/>
    </row>
    <row r="59785" spans="16:16">
      <c r="P59785" s="2498"/>
    </row>
    <row r="59786" spans="16:16">
      <c r="P59786" s="2498"/>
    </row>
    <row r="59787" spans="16:16">
      <c r="P59787" s="2498"/>
    </row>
    <row r="59788" spans="16:16">
      <c r="P59788" s="2498"/>
    </row>
    <row r="59789" spans="16:16">
      <c r="P59789" s="2498"/>
    </row>
    <row r="59790" spans="16:16">
      <c r="P59790" s="2498"/>
    </row>
    <row r="59791" spans="16:16">
      <c r="P59791" s="2498"/>
    </row>
    <row r="59792" spans="16:16">
      <c r="P59792" s="2498"/>
    </row>
    <row r="59793" spans="16:16">
      <c r="P59793" s="2498"/>
    </row>
    <row r="59794" spans="16:16">
      <c r="P59794" s="2498"/>
    </row>
    <row r="59795" spans="16:16">
      <c r="P59795" s="2498"/>
    </row>
    <row r="59796" spans="16:16">
      <c r="P59796" s="2498"/>
    </row>
    <row r="59797" spans="16:16">
      <c r="P59797" s="2498"/>
    </row>
    <row r="59798" spans="16:16">
      <c r="P59798" s="2498"/>
    </row>
    <row r="59799" spans="16:16">
      <c r="P59799" s="2498"/>
    </row>
    <row r="59800" spans="16:16">
      <c r="P59800" s="2498"/>
    </row>
    <row r="59801" spans="16:16">
      <c r="P59801" s="2498"/>
    </row>
    <row r="59802" spans="16:16">
      <c r="P59802" s="2498"/>
    </row>
    <row r="59803" spans="16:16">
      <c r="P59803" s="2498"/>
    </row>
    <row r="59804" spans="16:16">
      <c r="P59804" s="2498"/>
    </row>
    <row r="59805" spans="16:16">
      <c r="P59805" s="2498"/>
    </row>
    <row r="59806" spans="16:16">
      <c r="P59806" s="2498"/>
    </row>
    <row r="59807" spans="16:16">
      <c r="P59807" s="2498"/>
    </row>
    <row r="59808" spans="16:16">
      <c r="P59808" s="2498"/>
    </row>
    <row r="59809" spans="16:16">
      <c r="P59809" s="2498"/>
    </row>
    <row r="59810" spans="16:16">
      <c r="P59810" s="2498"/>
    </row>
    <row r="59811" spans="16:16">
      <c r="P59811" s="2498"/>
    </row>
    <row r="59812" spans="16:16">
      <c r="P59812" s="2498"/>
    </row>
    <row r="59813" spans="16:16">
      <c r="P59813" s="2498"/>
    </row>
    <row r="59814" spans="16:16">
      <c r="P59814" s="2498"/>
    </row>
    <row r="59815" spans="16:16">
      <c r="P59815" s="2498"/>
    </row>
    <row r="59816" spans="16:16">
      <c r="P59816" s="2498"/>
    </row>
    <row r="59817" spans="16:16">
      <c r="P59817" s="2498"/>
    </row>
    <row r="59818" spans="16:16">
      <c r="P59818" s="2498"/>
    </row>
    <row r="59819" spans="16:16">
      <c r="P59819" s="2498"/>
    </row>
    <row r="59820" spans="16:16">
      <c r="P59820" s="2498"/>
    </row>
    <row r="59821" spans="16:16">
      <c r="P59821" s="2498"/>
    </row>
    <row r="59822" spans="16:16">
      <c r="P59822" s="2498"/>
    </row>
    <row r="59823" spans="16:16">
      <c r="P59823" s="2498"/>
    </row>
    <row r="59824" spans="16:16">
      <c r="P59824" s="2498"/>
    </row>
    <row r="59825" spans="16:16">
      <c r="P59825" s="2498"/>
    </row>
    <row r="59826" spans="16:16">
      <c r="P59826" s="2498"/>
    </row>
    <row r="59827" spans="16:16">
      <c r="P59827" s="2498"/>
    </row>
    <row r="59828" spans="16:16">
      <c r="P59828" s="2498"/>
    </row>
    <row r="59829" spans="16:16">
      <c r="P59829" s="2498"/>
    </row>
    <row r="59830" spans="16:16">
      <c r="P59830" s="2498"/>
    </row>
    <row r="59831" spans="16:16">
      <c r="P59831" s="2498"/>
    </row>
    <row r="59832" spans="16:16">
      <c r="P59832" s="2498"/>
    </row>
    <row r="59833" spans="16:16">
      <c r="P59833" s="2498"/>
    </row>
    <row r="59834" spans="16:16">
      <c r="P59834" s="2498"/>
    </row>
    <row r="59835" spans="16:16">
      <c r="P59835" s="2498"/>
    </row>
    <row r="59836" spans="16:16">
      <c r="P59836" s="2498"/>
    </row>
    <row r="59837" spans="16:16">
      <c r="P59837" s="2498"/>
    </row>
    <row r="59838" spans="16:16">
      <c r="P59838" s="2498"/>
    </row>
    <row r="59839" spans="16:16">
      <c r="P59839" s="2498"/>
    </row>
    <row r="59840" spans="16:16">
      <c r="P59840" s="2498"/>
    </row>
    <row r="59841" spans="16:16">
      <c r="P59841" s="2498"/>
    </row>
    <row r="59842" spans="16:16">
      <c r="P59842" s="2498"/>
    </row>
    <row r="59843" spans="16:16">
      <c r="P59843" s="2498"/>
    </row>
    <row r="59844" spans="16:16">
      <c r="P59844" s="2498"/>
    </row>
    <row r="59845" spans="16:16">
      <c r="P59845" s="2498"/>
    </row>
    <row r="59846" spans="16:16">
      <c r="P59846" s="2498"/>
    </row>
    <row r="59847" spans="16:16">
      <c r="P59847" s="2498"/>
    </row>
    <row r="59848" spans="16:16">
      <c r="P59848" s="2498"/>
    </row>
    <row r="59849" spans="16:16">
      <c r="P59849" s="2498"/>
    </row>
    <row r="59850" spans="16:16">
      <c r="P59850" s="2498"/>
    </row>
    <row r="59851" spans="16:16">
      <c r="P59851" s="2498"/>
    </row>
    <row r="59852" spans="16:16">
      <c r="P59852" s="2498"/>
    </row>
    <row r="59853" spans="16:16">
      <c r="P59853" s="2498"/>
    </row>
    <row r="59854" spans="16:16">
      <c r="P59854" s="2498"/>
    </row>
    <row r="59855" spans="16:16">
      <c r="P59855" s="2498"/>
    </row>
    <row r="59856" spans="16:16">
      <c r="P59856" s="2498"/>
    </row>
    <row r="59857" spans="16:16">
      <c r="P59857" s="2498"/>
    </row>
    <row r="59858" spans="16:16">
      <c r="P59858" s="2498"/>
    </row>
    <row r="59859" spans="16:16">
      <c r="P59859" s="2498"/>
    </row>
    <row r="59860" spans="16:16">
      <c r="P59860" s="2498"/>
    </row>
    <row r="59861" spans="16:16">
      <c r="P59861" s="2498"/>
    </row>
    <row r="59862" spans="16:16">
      <c r="P59862" s="2498"/>
    </row>
    <row r="59863" spans="16:16">
      <c r="P59863" s="2498"/>
    </row>
    <row r="59864" spans="16:16">
      <c r="P59864" s="2498"/>
    </row>
    <row r="59865" spans="16:16">
      <c r="P59865" s="2498"/>
    </row>
    <row r="59866" spans="16:16">
      <c r="P59866" s="2498"/>
    </row>
    <row r="59867" spans="16:16">
      <c r="P59867" s="2498"/>
    </row>
    <row r="59868" spans="16:16">
      <c r="P59868" s="2498"/>
    </row>
    <row r="59869" spans="16:16">
      <c r="P59869" s="2498"/>
    </row>
    <row r="59870" spans="16:16">
      <c r="P59870" s="2498"/>
    </row>
    <row r="59871" spans="16:16">
      <c r="P59871" s="2498"/>
    </row>
    <row r="59872" spans="16:16">
      <c r="P59872" s="2498"/>
    </row>
    <row r="59873" spans="16:16">
      <c r="P59873" s="2498"/>
    </row>
    <row r="59874" spans="16:16">
      <c r="P59874" s="2498"/>
    </row>
    <row r="59875" spans="16:16">
      <c r="P59875" s="2498"/>
    </row>
    <row r="59876" spans="16:16">
      <c r="P59876" s="2498"/>
    </row>
    <row r="59877" spans="16:16">
      <c r="P59877" s="2498"/>
    </row>
    <row r="59878" spans="16:16">
      <c r="P59878" s="2498"/>
    </row>
    <row r="59879" spans="16:16">
      <c r="P59879" s="2498"/>
    </row>
    <row r="59880" spans="16:16">
      <c r="P59880" s="2498"/>
    </row>
    <row r="59881" spans="16:16">
      <c r="P59881" s="2498"/>
    </row>
    <row r="59882" spans="16:16">
      <c r="P59882" s="2498"/>
    </row>
    <row r="59883" spans="16:16">
      <c r="P59883" s="2498"/>
    </row>
    <row r="59884" spans="16:16">
      <c r="P59884" s="2498"/>
    </row>
    <row r="59885" spans="16:16">
      <c r="P59885" s="2498"/>
    </row>
    <row r="59886" spans="16:16">
      <c r="P59886" s="2498"/>
    </row>
    <row r="59887" spans="16:16">
      <c r="P59887" s="2498"/>
    </row>
    <row r="59888" spans="16:16">
      <c r="P59888" s="2498"/>
    </row>
    <row r="59889" spans="16:16">
      <c r="P59889" s="2498"/>
    </row>
    <row r="59890" spans="16:16">
      <c r="P59890" s="2498"/>
    </row>
    <row r="59891" spans="16:16">
      <c r="P59891" s="2498"/>
    </row>
    <row r="59892" spans="16:16">
      <c r="P59892" s="2498"/>
    </row>
    <row r="59893" spans="16:16">
      <c r="P59893" s="2498"/>
    </row>
    <row r="59894" spans="16:16">
      <c r="P59894" s="2498"/>
    </row>
    <row r="59895" spans="16:16">
      <c r="P59895" s="2498"/>
    </row>
    <row r="59896" spans="16:16">
      <c r="P59896" s="2498"/>
    </row>
    <row r="59897" spans="16:16">
      <c r="P59897" s="2498"/>
    </row>
    <row r="59898" spans="16:16">
      <c r="P59898" s="2498"/>
    </row>
    <row r="59899" spans="16:16">
      <c r="P59899" s="2498"/>
    </row>
    <row r="59900" spans="16:16">
      <c r="P59900" s="2498"/>
    </row>
    <row r="59901" spans="16:16">
      <c r="P59901" s="2498"/>
    </row>
    <row r="59902" spans="16:16">
      <c r="P59902" s="2498"/>
    </row>
    <row r="59903" spans="16:16">
      <c r="P59903" s="2498"/>
    </row>
    <row r="59904" spans="16:16">
      <c r="P59904" s="2498"/>
    </row>
    <row r="59905" spans="16:16">
      <c r="P59905" s="2498"/>
    </row>
    <row r="59906" spans="16:16">
      <c r="P59906" s="2498"/>
    </row>
    <row r="59907" spans="16:16">
      <c r="P59907" s="2498"/>
    </row>
    <row r="59908" spans="16:16">
      <c r="P59908" s="2498"/>
    </row>
    <row r="59909" spans="16:16">
      <c r="P59909" s="2498"/>
    </row>
    <row r="59910" spans="16:16">
      <c r="P59910" s="2498"/>
    </row>
    <row r="59911" spans="16:16">
      <c r="P59911" s="2498"/>
    </row>
    <row r="59912" spans="16:16">
      <c r="P59912" s="2498"/>
    </row>
    <row r="59913" spans="16:16">
      <c r="P59913" s="2498"/>
    </row>
    <row r="59914" spans="16:16">
      <c r="P59914" s="2498"/>
    </row>
    <row r="59915" spans="16:16">
      <c r="P59915" s="2498"/>
    </row>
    <row r="59916" spans="16:16">
      <c r="P59916" s="2498"/>
    </row>
    <row r="59917" spans="16:16">
      <c r="P59917" s="2498"/>
    </row>
    <row r="59918" spans="16:16">
      <c r="P59918" s="2498"/>
    </row>
    <row r="59919" spans="16:16">
      <c r="P59919" s="2498"/>
    </row>
    <row r="59920" spans="16:16">
      <c r="P59920" s="2498"/>
    </row>
    <row r="59921" spans="16:16">
      <c r="P59921" s="2498"/>
    </row>
    <row r="59922" spans="16:16">
      <c r="P59922" s="2498"/>
    </row>
    <row r="59923" spans="16:16">
      <c r="P59923" s="2498"/>
    </row>
    <row r="59924" spans="16:16">
      <c r="P59924" s="2498"/>
    </row>
    <row r="59925" spans="16:16">
      <c r="P59925" s="2498"/>
    </row>
    <row r="59926" spans="16:16">
      <c r="P59926" s="2498"/>
    </row>
    <row r="59927" spans="16:16">
      <c r="P59927" s="2498"/>
    </row>
    <row r="59928" spans="16:16">
      <c r="P59928" s="2498"/>
    </row>
    <row r="59929" spans="16:16">
      <c r="P59929" s="2498"/>
    </row>
    <row r="59930" spans="16:16">
      <c r="P59930" s="2498"/>
    </row>
    <row r="59931" spans="16:16">
      <c r="P59931" s="2498"/>
    </row>
    <row r="59932" spans="16:16">
      <c r="P59932" s="2498"/>
    </row>
    <row r="59933" spans="16:16">
      <c r="P59933" s="2498"/>
    </row>
    <row r="59934" spans="16:16">
      <c r="P59934" s="2498"/>
    </row>
    <row r="59935" spans="16:16">
      <c r="P59935" s="2498"/>
    </row>
    <row r="59936" spans="16:16">
      <c r="P59936" s="2498"/>
    </row>
    <row r="59937" spans="16:16">
      <c r="P59937" s="2498"/>
    </row>
    <row r="59938" spans="16:16">
      <c r="P59938" s="2498"/>
    </row>
    <row r="59939" spans="16:16">
      <c r="P59939" s="2498"/>
    </row>
    <row r="59940" spans="16:16">
      <c r="P59940" s="2498"/>
    </row>
    <row r="59941" spans="16:16">
      <c r="P59941" s="2498"/>
    </row>
    <row r="59942" spans="16:16">
      <c r="P59942" s="2498"/>
    </row>
    <row r="59943" spans="16:16">
      <c r="P59943" s="2498"/>
    </row>
    <row r="59944" spans="16:16">
      <c r="P59944" s="2498"/>
    </row>
    <row r="59945" spans="16:16">
      <c r="P59945" s="2498"/>
    </row>
    <row r="59946" spans="16:16">
      <c r="P59946" s="2498"/>
    </row>
    <row r="59947" spans="16:16">
      <c r="P59947" s="2498"/>
    </row>
    <row r="59948" spans="16:16">
      <c r="P59948" s="2498"/>
    </row>
    <row r="59949" spans="16:16">
      <c r="P59949" s="2498"/>
    </row>
    <row r="59950" spans="16:16">
      <c r="P59950" s="2498"/>
    </row>
    <row r="59951" spans="16:16">
      <c r="P59951" s="2498"/>
    </row>
    <row r="59952" spans="16:16">
      <c r="P59952" s="2498"/>
    </row>
    <row r="59953" spans="16:16">
      <c r="P59953" s="2498"/>
    </row>
    <row r="59954" spans="16:16">
      <c r="P59954" s="2498"/>
    </row>
    <row r="59955" spans="16:16">
      <c r="P59955" s="2498"/>
    </row>
    <row r="59956" spans="16:16">
      <c r="P59956" s="2498"/>
    </row>
    <row r="59957" spans="16:16">
      <c r="P59957" s="2498"/>
    </row>
    <row r="59958" spans="16:16">
      <c r="P59958" s="2498"/>
    </row>
    <row r="59959" spans="16:16">
      <c r="P59959" s="2498"/>
    </row>
    <row r="59960" spans="16:16">
      <c r="P59960" s="2498"/>
    </row>
    <row r="59961" spans="16:16">
      <c r="P59961" s="2498"/>
    </row>
    <row r="59962" spans="16:16">
      <c r="P59962" s="2498"/>
    </row>
    <row r="59963" spans="16:16">
      <c r="P59963" s="2498"/>
    </row>
    <row r="59964" spans="16:16">
      <c r="P59964" s="2498"/>
    </row>
    <row r="59965" spans="16:16">
      <c r="P59965" s="2498"/>
    </row>
    <row r="59966" spans="16:16">
      <c r="P59966" s="2498"/>
    </row>
    <row r="59967" spans="16:16">
      <c r="P59967" s="2498"/>
    </row>
    <row r="59968" spans="16:16">
      <c r="P59968" s="2498"/>
    </row>
    <row r="59969" spans="16:16">
      <c r="P59969" s="2498"/>
    </row>
    <row r="59970" spans="16:16">
      <c r="P59970" s="2498"/>
    </row>
    <row r="59971" spans="16:16">
      <c r="P59971" s="2498"/>
    </row>
    <row r="59972" spans="16:16">
      <c r="P59972" s="2498"/>
    </row>
    <row r="59973" spans="16:16">
      <c r="P59973" s="2498"/>
    </row>
    <row r="59974" spans="16:16">
      <c r="P59974" s="2498"/>
    </row>
    <row r="59975" spans="16:16">
      <c r="P59975" s="2498"/>
    </row>
    <row r="59976" spans="16:16">
      <c r="P59976" s="2498"/>
    </row>
    <row r="59977" spans="16:16">
      <c r="P59977" s="2498"/>
    </row>
    <row r="59978" spans="16:16">
      <c r="P59978" s="2498"/>
    </row>
    <row r="59979" spans="16:16">
      <c r="P59979" s="2498"/>
    </row>
    <row r="59980" spans="16:16">
      <c r="P59980" s="2498"/>
    </row>
    <row r="59981" spans="16:16">
      <c r="P59981" s="2498"/>
    </row>
    <row r="59982" spans="16:16">
      <c r="P59982" s="2498"/>
    </row>
    <row r="59983" spans="16:16">
      <c r="P59983" s="2498"/>
    </row>
    <row r="59984" spans="16:16">
      <c r="P59984" s="2498"/>
    </row>
    <row r="59985" spans="16:16">
      <c r="P59985" s="2498"/>
    </row>
    <row r="59986" spans="16:16">
      <c r="P59986" s="2498"/>
    </row>
    <row r="59987" spans="16:16">
      <c r="P59987" s="2498"/>
    </row>
    <row r="59988" spans="16:16">
      <c r="P59988" s="2498"/>
    </row>
    <row r="59989" spans="16:16">
      <c r="P59989" s="2498"/>
    </row>
    <row r="59990" spans="16:16">
      <c r="P59990" s="2498"/>
    </row>
    <row r="59991" spans="16:16">
      <c r="P59991" s="2498"/>
    </row>
    <row r="59992" spans="16:16">
      <c r="P59992" s="2498"/>
    </row>
    <row r="59993" spans="16:16">
      <c r="P59993" s="2498"/>
    </row>
    <row r="59994" spans="16:16">
      <c r="P59994" s="2498"/>
    </row>
    <row r="59995" spans="16:16">
      <c r="P59995" s="2498"/>
    </row>
    <row r="59996" spans="16:16">
      <c r="P59996" s="2498"/>
    </row>
    <row r="59997" spans="16:16">
      <c r="P59997" s="2498"/>
    </row>
    <row r="59998" spans="16:16">
      <c r="P59998" s="2498"/>
    </row>
    <row r="59999" spans="16:16">
      <c r="P59999" s="2498"/>
    </row>
    <row r="60000" spans="16:16">
      <c r="P60000" s="2498"/>
    </row>
    <row r="60001" spans="16:16">
      <c r="P60001" s="2498"/>
    </row>
    <row r="60002" spans="16:16">
      <c r="P60002" s="2498"/>
    </row>
    <row r="60003" spans="16:16">
      <c r="P60003" s="2498"/>
    </row>
    <row r="60004" spans="16:16">
      <c r="P60004" s="2498"/>
    </row>
    <row r="60005" spans="16:16">
      <c r="P60005" s="2498"/>
    </row>
    <row r="60006" spans="16:16">
      <c r="P60006" s="2498"/>
    </row>
    <row r="60007" spans="16:16">
      <c r="P60007" s="2498"/>
    </row>
    <row r="60008" spans="16:16">
      <c r="P60008" s="2498"/>
    </row>
    <row r="60009" spans="16:16">
      <c r="P60009" s="2498"/>
    </row>
    <row r="60010" spans="16:16">
      <c r="P60010" s="2498"/>
    </row>
    <row r="60011" spans="16:16">
      <c r="P60011" s="2498"/>
    </row>
    <row r="60012" spans="16:16">
      <c r="P60012" s="2498"/>
    </row>
    <row r="60013" spans="16:16">
      <c r="P60013" s="2498"/>
    </row>
    <row r="60014" spans="16:16">
      <c r="P60014" s="2498"/>
    </row>
    <row r="60015" spans="16:16">
      <c r="P60015" s="2498"/>
    </row>
    <row r="60016" spans="16:16">
      <c r="P60016" s="2498"/>
    </row>
    <row r="60017" spans="16:16">
      <c r="P60017" s="2498"/>
    </row>
    <row r="60018" spans="16:16">
      <c r="P60018" s="2498"/>
    </row>
    <row r="60019" spans="16:16">
      <c r="P60019" s="2498"/>
    </row>
    <row r="60020" spans="16:16">
      <c r="P60020" s="2498"/>
    </row>
    <row r="60021" spans="16:16">
      <c r="P60021" s="2498"/>
    </row>
    <row r="60022" spans="16:16">
      <c r="P60022" s="2498"/>
    </row>
    <row r="60023" spans="16:16">
      <c r="P60023" s="2498"/>
    </row>
    <row r="60024" spans="16:16">
      <c r="P60024" s="2498"/>
    </row>
    <row r="60025" spans="16:16">
      <c r="P60025" s="2498"/>
    </row>
    <row r="60026" spans="16:16">
      <c r="P60026" s="2498"/>
    </row>
    <row r="60027" spans="16:16">
      <c r="P60027" s="2498"/>
    </row>
    <row r="60028" spans="16:16">
      <c r="P60028" s="2498"/>
    </row>
    <row r="60029" spans="16:16">
      <c r="P60029" s="2498"/>
    </row>
    <row r="60030" spans="16:16">
      <c r="P60030" s="2498"/>
    </row>
    <row r="60031" spans="16:16">
      <c r="P60031" s="2498"/>
    </row>
    <row r="60032" spans="16:16">
      <c r="P60032" s="2498"/>
    </row>
    <row r="60033" spans="16:16">
      <c r="P60033" s="2498"/>
    </row>
    <row r="60034" spans="16:16">
      <c r="P60034" s="2498"/>
    </row>
    <row r="60035" spans="16:16">
      <c r="P60035" s="2498"/>
    </row>
    <row r="60036" spans="16:16">
      <c r="P60036" s="2498"/>
    </row>
    <row r="60037" spans="16:16">
      <c r="P60037" s="2498"/>
    </row>
    <row r="60038" spans="16:16">
      <c r="P60038" s="2498"/>
    </row>
    <row r="60039" spans="16:16">
      <c r="P60039" s="2498"/>
    </row>
    <row r="60040" spans="16:16">
      <c r="P60040" s="2498"/>
    </row>
    <row r="60041" spans="16:16">
      <c r="P60041" s="2498"/>
    </row>
    <row r="60042" spans="16:16">
      <c r="P60042" s="2498"/>
    </row>
    <row r="60043" spans="16:16">
      <c r="P60043" s="2498"/>
    </row>
    <row r="60044" spans="16:16">
      <c r="P60044" s="2498"/>
    </row>
    <row r="60045" spans="16:16">
      <c r="P60045" s="2498"/>
    </row>
    <row r="60046" spans="16:16">
      <c r="P60046" s="2498"/>
    </row>
    <row r="60047" spans="16:16">
      <c r="P60047" s="2498"/>
    </row>
    <row r="60048" spans="16:16">
      <c r="P60048" s="2498"/>
    </row>
    <row r="60049" spans="16:16">
      <c r="P60049" s="2498"/>
    </row>
    <row r="60050" spans="16:16">
      <c r="P60050" s="2498"/>
    </row>
    <row r="60051" spans="16:16">
      <c r="P60051" s="2498"/>
    </row>
    <row r="60052" spans="16:16">
      <c r="P60052" s="2498"/>
    </row>
    <row r="60053" spans="16:16">
      <c r="P60053" s="2498"/>
    </row>
    <row r="60054" spans="16:16">
      <c r="P60054" s="2498"/>
    </row>
    <row r="60055" spans="16:16">
      <c r="P60055" s="2498"/>
    </row>
    <row r="60056" spans="16:16">
      <c r="P60056" s="2498"/>
    </row>
    <row r="60057" spans="16:16">
      <c r="P60057" s="2498"/>
    </row>
    <row r="60058" spans="16:16">
      <c r="P60058" s="2498"/>
    </row>
    <row r="60059" spans="16:16">
      <c r="P60059" s="2498"/>
    </row>
    <row r="60060" spans="16:16">
      <c r="P60060" s="2498"/>
    </row>
    <row r="60061" spans="16:16">
      <c r="P60061" s="2498"/>
    </row>
    <row r="60062" spans="16:16">
      <c r="P60062" s="2498"/>
    </row>
    <row r="60063" spans="16:16">
      <c r="P60063" s="2498"/>
    </row>
    <row r="60064" spans="16:16">
      <c r="P60064" s="2498"/>
    </row>
    <row r="60065" spans="16:16">
      <c r="P60065" s="2498"/>
    </row>
    <row r="60066" spans="16:16">
      <c r="P60066" s="2498"/>
    </row>
    <row r="60067" spans="16:16">
      <c r="P60067" s="2498"/>
    </row>
    <row r="60068" spans="16:16">
      <c r="P60068" s="2498"/>
    </row>
    <row r="60069" spans="16:16">
      <c r="P60069" s="2498"/>
    </row>
    <row r="60070" spans="16:16">
      <c r="P60070" s="2498"/>
    </row>
    <row r="60071" spans="16:16">
      <c r="P60071" s="2498"/>
    </row>
    <row r="60072" spans="16:16">
      <c r="P60072" s="2498"/>
    </row>
    <row r="60073" spans="16:16">
      <c r="P60073" s="2498"/>
    </row>
    <row r="60074" spans="16:16">
      <c r="P60074" s="2498"/>
    </row>
    <row r="60075" spans="16:16">
      <c r="P60075" s="2498"/>
    </row>
    <row r="60076" spans="16:16">
      <c r="P60076" s="2498"/>
    </row>
    <row r="60077" spans="16:16">
      <c r="P60077" s="2498"/>
    </row>
    <row r="60078" spans="16:16">
      <c r="P60078" s="2498"/>
    </row>
    <row r="60079" spans="16:16">
      <c r="P60079" s="2498"/>
    </row>
    <row r="60080" spans="16:16">
      <c r="P60080" s="2498"/>
    </row>
    <row r="60081" spans="16:16">
      <c r="P60081" s="2498"/>
    </row>
    <row r="60082" spans="16:16">
      <c r="P60082" s="2498"/>
    </row>
    <row r="60083" spans="16:16">
      <c r="P60083" s="2498"/>
    </row>
    <row r="60084" spans="16:16">
      <c r="P60084" s="2498"/>
    </row>
    <row r="60085" spans="16:16">
      <c r="P60085" s="2498"/>
    </row>
    <row r="60086" spans="16:16">
      <c r="P60086" s="2498"/>
    </row>
    <row r="60087" spans="16:16">
      <c r="P60087" s="2498"/>
    </row>
    <row r="60088" spans="16:16">
      <c r="P60088" s="2498"/>
    </row>
    <row r="60089" spans="16:16">
      <c r="P60089" s="2498"/>
    </row>
    <row r="60090" spans="16:16">
      <c r="P60090" s="2498"/>
    </row>
    <row r="60091" spans="16:16">
      <c r="P60091" s="2498"/>
    </row>
    <row r="60092" spans="16:16">
      <c r="P60092" s="2498"/>
    </row>
    <row r="60093" spans="16:16">
      <c r="P60093" s="2498"/>
    </row>
    <row r="60094" spans="16:16">
      <c r="P60094" s="2498"/>
    </row>
    <row r="60095" spans="16:16">
      <c r="P60095" s="2498"/>
    </row>
    <row r="60096" spans="16:16">
      <c r="P60096" s="2498"/>
    </row>
    <row r="60097" spans="16:16">
      <c r="P60097" s="2498"/>
    </row>
    <row r="60098" spans="16:16">
      <c r="P60098" s="2498"/>
    </row>
    <row r="60099" spans="16:16">
      <c r="P60099" s="2498"/>
    </row>
    <row r="60100" spans="16:16">
      <c r="P60100" s="2498"/>
    </row>
    <row r="60101" spans="16:16">
      <c r="P60101" s="2498"/>
    </row>
    <row r="60102" spans="16:16">
      <c r="P60102" s="2498"/>
    </row>
    <row r="60103" spans="16:16">
      <c r="P60103" s="2498"/>
    </row>
    <row r="60104" spans="16:16">
      <c r="P60104" s="2498"/>
    </row>
    <row r="60105" spans="16:16">
      <c r="P60105" s="2498"/>
    </row>
    <row r="60106" spans="16:16">
      <c r="P60106" s="2498"/>
    </row>
    <row r="60107" spans="16:16">
      <c r="P60107" s="2498"/>
    </row>
    <row r="60108" spans="16:16">
      <c r="P60108" s="2498"/>
    </row>
    <row r="60109" spans="16:16">
      <c r="P60109" s="2498"/>
    </row>
    <row r="60110" spans="16:16">
      <c r="P60110" s="2498"/>
    </row>
    <row r="60111" spans="16:16">
      <c r="P60111" s="2498"/>
    </row>
    <row r="60112" spans="16:16">
      <c r="P60112" s="2498"/>
    </row>
    <row r="60113" spans="16:16">
      <c r="P60113" s="2498"/>
    </row>
    <row r="60114" spans="16:16">
      <c r="P60114" s="2498"/>
    </row>
    <row r="60115" spans="16:16">
      <c r="P60115" s="2498"/>
    </row>
    <row r="60116" spans="16:16">
      <c r="P60116" s="2498"/>
    </row>
    <row r="60117" spans="16:16">
      <c r="P60117" s="2498"/>
    </row>
    <row r="60118" spans="16:16">
      <c r="P60118" s="2498"/>
    </row>
    <row r="60119" spans="16:16">
      <c r="P60119" s="2498"/>
    </row>
    <row r="60120" spans="16:16">
      <c r="P60120" s="2498"/>
    </row>
    <row r="60121" spans="16:16">
      <c r="P60121" s="2498"/>
    </row>
    <row r="60122" spans="16:16">
      <c r="P60122" s="2498"/>
    </row>
    <row r="60123" spans="16:16">
      <c r="P60123" s="2498"/>
    </row>
    <row r="60124" spans="16:16">
      <c r="P60124" s="2498"/>
    </row>
    <row r="60125" spans="16:16">
      <c r="P60125" s="2498"/>
    </row>
    <row r="60126" spans="16:16">
      <c r="P60126" s="2498"/>
    </row>
    <row r="60127" spans="16:16">
      <c r="P60127" s="2498"/>
    </row>
    <row r="60128" spans="16:16">
      <c r="P60128" s="2498"/>
    </row>
    <row r="60129" spans="16:16">
      <c r="P60129" s="2498"/>
    </row>
    <row r="60130" spans="16:16">
      <c r="P60130" s="2498"/>
    </row>
    <row r="60131" spans="16:16">
      <c r="P60131" s="2498"/>
    </row>
    <row r="60132" spans="16:16">
      <c r="P60132" s="2498"/>
    </row>
    <row r="60133" spans="16:16">
      <c r="P60133" s="2498"/>
    </row>
    <row r="60134" spans="16:16">
      <c r="P60134" s="2498"/>
    </row>
    <row r="60135" spans="16:16">
      <c r="P60135" s="2498"/>
    </row>
    <row r="60136" spans="16:16">
      <c r="P60136" s="2498"/>
    </row>
    <row r="60137" spans="16:16">
      <c r="P60137" s="2498"/>
    </row>
    <row r="60138" spans="16:16">
      <c r="P60138" s="2498"/>
    </row>
    <row r="60139" spans="16:16">
      <c r="P60139" s="2498"/>
    </row>
    <row r="60140" spans="16:16">
      <c r="P60140" s="2498"/>
    </row>
    <row r="60141" spans="16:16">
      <c r="P60141" s="2498"/>
    </row>
    <row r="60142" spans="16:16">
      <c r="P60142" s="2498"/>
    </row>
    <row r="60143" spans="16:16">
      <c r="P60143" s="2498"/>
    </row>
    <row r="60144" spans="16:16">
      <c r="P60144" s="2498"/>
    </row>
    <row r="60145" spans="16:16">
      <c r="P60145" s="2498"/>
    </row>
    <row r="60146" spans="16:16">
      <c r="P60146" s="2498"/>
    </row>
    <row r="60147" spans="16:16">
      <c r="P60147" s="2498"/>
    </row>
    <row r="60148" spans="16:16">
      <c r="P60148" s="2498"/>
    </row>
    <row r="60149" spans="16:16">
      <c r="P60149" s="2498"/>
    </row>
    <row r="60150" spans="16:16">
      <c r="P60150" s="2498"/>
    </row>
    <row r="60151" spans="16:16">
      <c r="P60151" s="2498"/>
    </row>
    <row r="60152" spans="16:16">
      <c r="P60152" s="2498"/>
    </row>
    <row r="60153" spans="16:16">
      <c r="P60153" s="2498"/>
    </row>
    <row r="60154" spans="16:16">
      <c r="P60154" s="2498"/>
    </row>
    <row r="60155" spans="16:16">
      <c r="P60155" s="2498"/>
    </row>
    <row r="60156" spans="16:16">
      <c r="P60156" s="2498"/>
    </row>
    <row r="60157" spans="16:16">
      <c r="P60157" s="2498"/>
    </row>
    <row r="60158" spans="16:16">
      <c r="P60158" s="2498"/>
    </row>
    <row r="60159" spans="16:16">
      <c r="P60159" s="2498"/>
    </row>
    <row r="60160" spans="16:16">
      <c r="P60160" s="2498"/>
    </row>
    <row r="60161" spans="16:16">
      <c r="P60161" s="2498"/>
    </row>
    <row r="60162" spans="16:16">
      <c r="P60162" s="2498"/>
    </row>
    <row r="60163" spans="16:16">
      <c r="P60163" s="2498"/>
    </row>
    <row r="60164" spans="16:16">
      <c r="P60164" s="2498"/>
    </row>
    <row r="60165" spans="16:16">
      <c r="P60165" s="2498"/>
    </row>
    <row r="60166" spans="16:16">
      <c r="P60166" s="2498"/>
    </row>
    <row r="60167" spans="16:16">
      <c r="P60167" s="2498"/>
    </row>
    <row r="60168" spans="16:16">
      <c r="P60168" s="2498"/>
    </row>
    <row r="60169" spans="16:16">
      <c r="P60169" s="2498"/>
    </row>
    <row r="60170" spans="16:16">
      <c r="P60170" s="2498"/>
    </row>
    <row r="60171" spans="16:16">
      <c r="P60171" s="2498"/>
    </row>
    <row r="60172" spans="16:16">
      <c r="P60172" s="2498"/>
    </row>
    <row r="60173" spans="16:16">
      <c r="P60173" s="2498"/>
    </row>
    <row r="60174" spans="16:16">
      <c r="P60174" s="2498"/>
    </row>
    <row r="60175" spans="16:16">
      <c r="P60175" s="2498"/>
    </row>
    <row r="60176" spans="16:16">
      <c r="P60176" s="2498"/>
    </row>
    <row r="60177" spans="16:16">
      <c r="P60177" s="2498"/>
    </row>
    <row r="60178" spans="16:16">
      <c r="P60178" s="2498"/>
    </row>
    <row r="60179" spans="16:16">
      <c r="P60179" s="2498"/>
    </row>
    <row r="60180" spans="16:16">
      <c r="P60180" s="2498"/>
    </row>
    <row r="60181" spans="16:16">
      <c r="P60181" s="2498"/>
    </row>
    <row r="60182" spans="16:16">
      <c r="P60182" s="2498"/>
    </row>
    <row r="60183" spans="16:16">
      <c r="P60183" s="2498"/>
    </row>
    <row r="60184" spans="16:16">
      <c r="P60184" s="2498"/>
    </row>
    <row r="60185" spans="16:16">
      <c r="P60185" s="2498"/>
    </row>
    <row r="60186" spans="16:16">
      <c r="P60186" s="2498"/>
    </row>
    <row r="60187" spans="16:16">
      <c r="P60187" s="2498"/>
    </row>
    <row r="60188" spans="16:16">
      <c r="P60188" s="2498"/>
    </row>
    <row r="60189" spans="16:16">
      <c r="P60189" s="2498"/>
    </row>
    <row r="60190" spans="16:16">
      <c r="P60190" s="2498"/>
    </row>
    <row r="60191" spans="16:16">
      <c r="P60191" s="2498"/>
    </row>
    <row r="60192" spans="16:16">
      <c r="P60192" s="2498"/>
    </row>
    <row r="60193" spans="16:16">
      <c r="P60193" s="2498"/>
    </row>
    <row r="60194" spans="16:16">
      <c r="P60194" s="2498"/>
    </row>
    <row r="60195" spans="16:16">
      <c r="P60195" s="2498"/>
    </row>
    <row r="60196" spans="16:16">
      <c r="P60196" s="2498"/>
    </row>
    <row r="60197" spans="16:16">
      <c r="P60197" s="2498"/>
    </row>
    <row r="60198" spans="16:16">
      <c r="P60198" s="2498"/>
    </row>
    <row r="60199" spans="16:16">
      <c r="P60199" s="2498"/>
    </row>
    <row r="60200" spans="16:16">
      <c r="P60200" s="2498"/>
    </row>
    <row r="60201" spans="16:16">
      <c r="P60201" s="2498"/>
    </row>
    <row r="60202" spans="16:16">
      <c r="P60202" s="2498"/>
    </row>
    <row r="60203" spans="16:16">
      <c r="P60203" s="2498"/>
    </row>
    <row r="60204" spans="16:16">
      <c r="P60204" s="2498"/>
    </row>
    <row r="60205" spans="16:16">
      <c r="P60205" s="2498"/>
    </row>
    <row r="60206" spans="16:16">
      <c r="P60206" s="2498"/>
    </row>
    <row r="60207" spans="16:16">
      <c r="P60207" s="2498"/>
    </row>
    <row r="60208" spans="16:16">
      <c r="P60208" s="2498"/>
    </row>
    <row r="60209" spans="16:16">
      <c r="P60209" s="2498"/>
    </row>
    <row r="60210" spans="16:16">
      <c r="P60210" s="2498"/>
    </row>
    <row r="60211" spans="16:16">
      <c r="P60211" s="2498"/>
    </row>
    <row r="60212" spans="16:16">
      <c r="P60212" s="2498"/>
    </row>
    <row r="60213" spans="16:16">
      <c r="P60213" s="2498"/>
    </row>
    <row r="60214" spans="16:16">
      <c r="P60214" s="2498"/>
    </row>
    <row r="60215" spans="16:16">
      <c r="P60215" s="2498"/>
    </row>
    <row r="60216" spans="16:16">
      <c r="P60216" s="2498"/>
    </row>
    <row r="60217" spans="16:16">
      <c r="P60217" s="2498"/>
    </row>
    <row r="60218" spans="16:16">
      <c r="P60218" s="2498"/>
    </row>
    <row r="60219" spans="16:16">
      <c r="P60219" s="2498"/>
    </row>
    <row r="60220" spans="16:16">
      <c r="P60220" s="2498"/>
    </row>
    <row r="60221" spans="16:16">
      <c r="P60221" s="2498"/>
    </row>
    <row r="60222" spans="16:16">
      <c r="P60222" s="2498"/>
    </row>
    <row r="60223" spans="16:16">
      <c r="P60223" s="2498"/>
    </row>
    <row r="60224" spans="16:16">
      <c r="P60224" s="2498"/>
    </row>
    <row r="60225" spans="16:16">
      <c r="P60225" s="2498"/>
    </row>
    <row r="60226" spans="16:16">
      <c r="P60226" s="2498"/>
    </row>
    <row r="60227" spans="16:16">
      <c r="P60227" s="2498"/>
    </row>
    <row r="60228" spans="16:16">
      <c r="P60228" s="2498"/>
    </row>
    <row r="60229" spans="16:16">
      <c r="P60229" s="2498"/>
    </row>
    <row r="60230" spans="16:16">
      <c r="P60230" s="2498"/>
    </row>
    <row r="60231" spans="16:16">
      <c r="P60231" s="2498"/>
    </row>
    <row r="60232" spans="16:16">
      <c r="P60232" s="2498"/>
    </row>
    <row r="60233" spans="16:16">
      <c r="P60233" s="2498"/>
    </row>
    <row r="60234" spans="16:16">
      <c r="P60234" s="2498"/>
    </row>
    <row r="60235" spans="16:16">
      <c r="P60235" s="2498"/>
    </row>
    <row r="60236" spans="16:16">
      <c r="P60236" s="2498"/>
    </row>
    <row r="60237" spans="16:16">
      <c r="P60237" s="2498"/>
    </row>
    <row r="60238" spans="16:16">
      <c r="P60238" s="2498"/>
    </row>
    <row r="60239" spans="16:16">
      <c r="P60239" s="2498"/>
    </row>
    <row r="60240" spans="16:16">
      <c r="P60240" s="2498"/>
    </row>
    <row r="60241" spans="16:16">
      <c r="P60241" s="2498"/>
    </row>
    <row r="60242" spans="16:16">
      <c r="P60242" s="2498"/>
    </row>
    <row r="60243" spans="16:16">
      <c r="P60243" s="2498"/>
    </row>
    <row r="60244" spans="16:16">
      <c r="P60244" s="2498"/>
    </row>
    <row r="60245" spans="16:16">
      <c r="P60245" s="2498"/>
    </row>
    <row r="60246" spans="16:16">
      <c r="P60246" s="2498"/>
    </row>
    <row r="60247" spans="16:16">
      <c r="P60247" s="2498"/>
    </row>
    <row r="60248" spans="16:16">
      <c r="P60248" s="2498"/>
    </row>
    <row r="60249" spans="16:16">
      <c r="P60249" s="2498"/>
    </row>
    <row r="60250" spans="16:16">
      <c r="P60250" s="2498"/>
    </row>
    <row r="60251" spans="16:16">
      <c r="P60251" s="2498"/>
    </row>
    <row r="60252" spans="16:16">
      <c r="P60252" s="2498"/>
    </row>
    <row r="60253" spans="16:16">
      <c r="P60253" s="2498"/>
    </row>
    <row r="60254" spans="16:16">
      <c r="P60254" s="2498"/>
    </row>
    <row r="60255" spans="16:16">
      <c r="P60255" s="2498"/>
    </row>
    <row r="60256" spans="16:16">
      <c r="P60256" s="2498"/>
    </row>
    <row r="60257" spans="16:16">
      <c r="P60257" s="2498"/>
    </row>
    <row r="60258" spans="16:16">
      <c r="P60258" s="2498"/>
    </row>
    <row r="60259" spans="16:16">
      <c r="P60259" s="2498"/>
    </row>
    <row r="60260" spans="16:16">
      <c r="P60260" s="2498"/>
    </row>
    <row r="60261" spans="16:16">
      <c r="P60261" s="2498"/>
    </row>
    <row r="60262" spans="16:16">
      <c r="P60262" s="2498"/>
    </row>
    <row r="60263" spans="16:16">
      <c r="P60263" s="2498"/>
    </row>
    <row r="60264" spans="16:16">
      <c r="P60264" s="2498"/>
    </row>
    <row r="60265" spans="16:16">
      <c r="P60265" s="2498"/>
    </row>
    <row r="60266" spans="16:16">
      <c r="P60266" s="2498"/>
    </row>
    <row r="60267" spans="16:16">
      <c r="P60267" s="2498"/>
    </row>
    <row r="60268" spans="16:16">
      <c r="P60268" s="2498"/>
    </row>
    <row r="60269" spans="16:16">
      <c r="P60269" s="2498"/>
    </row>
    <row r="60270" spans="16:16">
      <c r="P60270" s="2498"/>
    </row>
    <row r="60271" spans="16:16">
      <c r="P60271" s="2498"/>
    </row>
    <row r="60272" spans="16:16">
      <c r="P60272" s="2498"/>
    </row>
    <row r="60273" spans="16:16">
      <c r="P60273" s="2498"/>
    </row>
    <row r="60274" spans="16:16">
      <c r="P60274" s="2498"/>
    </row>
    <row r="60275" spans="16:16">
      <c r="P60275" s="2498"/>
    </row>
    <row r="60276" spans="16:16">
      <c r="P60276" s="2498"/>
    </row>
    <row r="60277" spans="16:16">
      <c r="P60277" s="2498"/>
    </row>
    <row r="60278" spans="16:16">
      <c r="P60278" s="2498"/>
    </row>
    <row r="60279" spans="16:16">
      <c r="P60279" s="2498"/>
    </row>
    <row r="60280" spans="16:16">
      <c r="P60280" s="2498"/>
    </row>
    <row r="60281" spans="16:16">
      <c r="P60281" s="2498"/>
    </row>
    <row r="60282" spans="16:16">
      <c r="P60282" s="2498"/>
    </row>
    <row r="60283" spans="16:16">
      <c r="P60283" s="2498"/>
    </row>
    <row r="60284" spans="16:16">
      <c r="P60284" s="2498"/>
    </row>
    <row r="60285" spans="16:16">
      <c r="P60285" s="2498"/>
    </row>
    <row r="60286" spans="16:16">
      <c r="P60286" s="2498"/>
    </row>
    <row r="60287" spans="16:16">
      <c r="P60287" s="2498"/>
    </row>
    <row r="60288" spans="16:16">
      <c r="P60288" s="2498"/>
    </row>
    <row r="60289" spans="16:16">
      <c r="P60289" s="2498"/>
    </row>
    <row r="60290" spans="16:16">
      <c r="P60290" s="2498"/>
    </row>
    <row r="60291" spans="16:16">
      <c r="P60291" s="2498"/>
    </row>
    <row r="60292" spans="16:16">
      <c r="P60292" s="2498"/>
    </row>
    <row r="60293" spans="16:16">
      <c r="P60293" s="2498"/>
    </row>
    <row r="60294" spans="16:16">
      <c r="P60294" s="2498"/>
    </row>
    <row r="60295" spans="16:16">
      <c r="P60295" s="2498"/>
    </row>
    <row r="60296" spans="16:16">
      <c r="P60296" s="2498"/>
    </row>
    <row r="60297" spans="16:16">
      <c r="P60297" s="2498"/>
    </row>
    <row r="60298" spans="16:16">
      <c r="P60298" s="2498"/>
    </row>
    <row r="60299" spans="16:16">
      <c r="P60299" s="2498"/>
    </row>
    <row r="60300" spans="16:16">
      <c r="P60300" s="2498"/>
    </row>
    <row r="60301" spans="16:16">
      <c r="P60301" s="2498"/>
    </row>
    <row r="60302" spans="16:16">
      <c r="P60302" s="2498"/>
    </row>
    <row r="60303" spans="16:16">
      <c r="P60303" s="2498"/>
    </row>
    <row r="60304" spans="16:16">
      <c r="P60304" s="2498"/>
    </row>
    <row r="60305" spans="16:16">
      <c r="P60305" s="2498"/>
    </row>
    <row r="60306" spans="16:16">
      <c r="P60306" s="2498"/>
    </row>
    <row r="60307" spans="16:16">
      <c r="P60307" s="2498"/>
    </row>
    <row r="60308" spans="16:16">
      <c r="P60308" s="2498"/>
    </row>
    <row r="60309" spans="16:16">
      <c r="P60309" s="2498"/>
    </row>
    <row r="60310" spans="16:16">
      <c r="P60310" s="2498"/>
    </row>
    <row r="60311" spans="16:16">
      <c r="P60311" s="2498"/>
    </row>
    <row r="60312" spans="16:16">
      <c r="P60312" s="2498"/>
    </row>
    <row r="60313" spans="16:16">
      <c r="P60313" s="2498"/>
    </row>
    <row r="60314" spans="16:16">
      <c r="P60314" s="2498"/>
    </row>
    <row r="60315" spans="16:16">
      <c r="P60315" s="2498"/>
    </row>
    <row r="60316" spans="16:16">
      <c r="P60316" s="2498"/>
    </row>
    <row r="60317" spans="16:16">
      <c r="P60317" s="2498"/>
    </row>
    <row r="60318" spans="16:16">
      <c r="P60318" s="2498"/>
    </row>
    <row r="60319" spans="16:16">
      <c r="P60319" s="2498"/>
    </row>
    <row r="60320" spans="16:16">
      <c r="P60320" s="2498"/>
    </row>
    <row r="60321" spans="16:16">
      <c r="P60321" s="2498"/>
    </row>
    <row r="60322" spans="16:16">
      <c r="P60322" s="2498"/>
    </row>
    <row r="60323" spans="16:16">
      <c r="P60323" s="2498"/>
    </row>
    <row r="60324" spans="16:16">
      <c r="P60324" s="2498"/>
    </row>
    <row r="60325" spans="16:16">
      <c r="P60325" s="2498"/>
    </row>
    <row r="60326" spans="16:16">
      <c r="P60326" s="2498"/>
    </row>
    <row r="60327" spans="16:16">
      <c r="P60327" s="2498"/>
    </row>
    <row r="60328" spans="16:16">
      <c r="P60328" s="2498"/>
    </row>
    <row r="60329" spans="16:16">
      <c r="P60329" s="2498"/>
    </row>
    <row r="60330" spans="16:16">
      <c r="P60330" s="2498"/>
    </row>
    <row r="60331" spans="16:16">
      <c r="P60331" s="2498"/>
    </row>
    <row r="60332" spans="16:16">
      <c r="P60332" s="2498"/>
    </row>
    <row r="60333" spans="16:16">
      <c r="P60333" s="2498"/>
    </row>
    <row r="60334" spans="16:16">
      <c r="P60334" s="2498"/>
    </row>
    <row r="60335" spans="16:16">
      <c r="P60335" s="2498"/>
    </row>
    <row r="60336" spans="16:16">
      <c r="P60336" s="2498"/>
    </row>
    <row r="60337" spans="16:16">
      <c r="P60337" s="2498"/>
    </row>
    <row r="60338" spans="16:16">
      <c r="P60338" s="2498"/>
    </row>
    <row r="60339" spans="16:16">
      <c r="P60339" s="2498"/>
    </row>
    <row r="60340" spans="16:16">
      <c r="P60340" s="2498"/>
    </row>
    <row r="60341" spans="16:16">
      <c r="P60341" s="2498"/>
    </row>
    <row r="60342" spans="16:16">
      <c r="P60342" s="2498"/>
    </row>
    <row r="60343" spans="16:16">
      <c r="P60343" s="2498"/>
    </row>
    <row r="60344" spans="16:16">
      <c r="P60344" s="2498"/>
    </row>
    <row r="60345" spans="16:16">
      <c r="P60345" s="2498"/>
    </row>
    <row r="60346" spans="16:16">
      <c r="P60346" s="2498"/>
    </row>
    <row r="60347" spans="16:16">
      <c r="P60347" s="2498"/>
    </row>
    <row r="60348" spans="16:16">
      <c r="P60348" s="2498"/>
    </row>
    <row r="60349" spans="16:16">
      <c r="P60349" s="2498"/>
    </row>
    <row r="60350" spans="16:16">
      <c r="P60350" s="2498"/>
    </row>
    <row r="60351" spans="16:16">
      <c r="P60351" s="2498"/>
    </row>
    <row r="60352" spans="16:16">
      <c r="P60352" s="2498"/>
    </row>
    <row r="60353" spans="16:16">
      <c r="P60353" s="2498"/>
    </row>
    <row r="60354" spans="16:16">
      <c r="P60354" s="2498"/>
    </row>
    <row r="60355" spans="16:16">
      <c r="P60355" s="2498"/>
    </row>
    <row r="60356" spans="16:16">
      <c r="P60356" s="2498"/>
    </row>
    <row r="60357" spans="16:16">
      <c r="P60357" s="2498"/>
    </row>
    <row r="60358" spans="16:16">
      <c r="P60358" s="2498"/>
    </row>
    <row r="60359" spans="16:16">
      <c r="P60359" s="2498"/>
    </row>
    <row r="60360" spans="16:16">
      <c r="P60360" s="2498"/>
    </row>
    <row r="60361" spans="16:16">
      <c r="P60361" s="2498"/>
    </row>
    <row r="60362" spans="16:16">
      <c r="P60362" s="2498"/>
    </row>
    <row r="60363" spans="16:16">
      <c r="P60363" s="2498"/>
    </row>
    <row r="60364" spans="16:16">
      <c r="P60364" s="2498"/>
    </row>
    <row r="60365" spans="16:16">
      <c r="P60365" s="2498"/>
    </row>
    <row r="60366" spans="16:16">
      <c r="P60366" s="2498"/>
    </row>
    <row r="60367" spans="16:16">
      <c r="P60367" s="2498"/>
    </row>
    <row r="60368" spans="16:16">
      <c r="P60368" s="2498"/>
    </row>
    <row r="60369" spans="16:16">
      <c r="P60369" s="2498"/>
    </row>
    <row r="60370" spans="16:16">
      <c r="P60370" s="2498"/>
    </row>
    <row r="60371" spans="16:16">
      <c r="P60371" s="2498"/>
    </row>
    <row r="60372" spans="16:16">
      <c r="P60372" s="2498"/>
    </row>
    <row r="60373" spans="16:16">
      <c r="P60373" s="2498"/>
    </row>
    <row r="60374" spans="16:16">
      <c r="P60374" s="2498"/>
    </row>
    <row r="60375" spans="16:16">
      <c r="P60375" s="2498"/>
    </row>
    <row r="60376" spans="16:16">
      <c r="P60376" s="2498"/>
    </row>
    <row r="60377" spans="16:16">
      <c r="P60377" s="2498"/>
    </row>
    <row r="60378" spans="16:16">
      <c r="P60378" s="2498"/>
    </row>
    <row r="60379" spans="16:16">
      <c r="P60379" s="2498"/>
    </row>
    <row r="60380" spans="16:16">
      <c r="P60380" s="2498"/>
    </row>
    <row r="60381" spans="16:16">
      <c r="P60381" s="2498"/>
    </row>
    <row r="60382" spans="16:16">
      <c r="P60382" s="2498"/>
    </row>
    <row r="60383" spans="16:16">
      <c r="P60383" s="2498"/>
    </row>
    <row r="60384" spans="16:16">
      <c r="P60384" s="2498"/>
    </row>
    <row r="60385" spans="16:16">
      <c r="P60385" s="2498"/>
    </row>
    <row r="60386" spans="16:16">
      <c r="P60386" s="2498"/>
    </row>
    <row r="60387" spans="16:16">
      <c r="P60387" s="2498"/>
    </row>
    <row r="60388" spans="16:16">
      <c r="P60388" s="2498"/>
    </row>
    <row r="60389" spans="16:16">
      <c r="P60389" s="2498"/>
    </row>
    <row r="60390" spans="16:16">
      <c r="P60390" s="2498"/>
    </row>
    <row r="60391" spans="16:16">
      <c r="P60391" s="2498"/>
    </row>
    <row r="60392" spans="16:16">
      <c r="P60392" s="2498"/>
    </row>
    <row r="60393" spans="16:16">
      <c r="P60393" s="2498"/>
    </row>
    <row r="60394" spans="16:16">
      <c r="P60394" s="2498"/>
    </row>
    <row r="60395" spans="16:16">
      <c r="P60395" s="2498"/>
    </row>
    <row r="60396" spans="16:16">
      <c r="P60396" s="2498"/>
    </row>
    <row r="60397" spans="16:16">
      <c r="P60397" s="2498"/>
    </row>
    <row r="60398" spans="16:16">
      <c r="P60398" s="2498"/>
    </row>
    <row r="60399" spans="16:16">
      <c r="P60399" s="2498"/>
    </row>
    <row r="60400" spans="16:16">
      <c r="P60400" s="2498"/>
    </row>
    <row r="60401" spans="16:16">
      <c r="P60401" s="2498"/>
    </row>
    <row r="60402" spans="16:16">
      <c r="P60402" s="2498"/>
    </row>
    <row r="60403" spans="16:16">
      <c r="P60403" s="2498"/>
    </row>
    <row r="60404" spans="16:16">
      <c r="P60404" s="2498"/>
    </row>
    <row r="60405" spans="16:16">
      <c r="P60405" s="2498"/>
    </row>
    <row r="60406" spans="16:16">
      <c r="P60406" s="2498"/>
    </row>
    <row r="60407" spans="16:16">
      <c r="P60407" s="2498"/>
    </row>
    <row r="60408" spans="16:16">
      <c r="P60408" s="2498"/>
    </row>
    <row r="60409" spans="16:16">
      <c r="P60409" s="2498"/>
    </row>
    <row r="60410" spans="16:16">
      <c r="P60410" s="2498"/>
    </row>
    <row r="60411" spans="16:16">
      <c r="P60411" s="2498"/>
    </row>
    <row r="60412" spans="16:16">
      <c r="P60412" s="2498"/>
    </row>
    <row r="60413" spans="16:16">
      <c r="P60413" s="2498"/>
    </row>
    <row r="60414" spans="16:16">
      <c r="P60414" s="2498"/>
    </row>
    <row r="60415" spans="16:16">
      <c r="P60415" s="2498"/>
    </row>
    <row r="60416" spans="16:16">
      <c r="P60416" s="2498"/>
    </row>
    <row r="60417" spans="16:16">
      <c r="P60417" s="2498"/>
    </row>
    <row r="60418" spans="16:16">
      <c r="P60418" s="2498"/>
    </row>
    <row r="60419" spans="16:16">
      <c r="P60419" s="2498"/>
    </row>
    <row r="60420" spans="16:16">
      <c r="P60420" s="2498"/>
    </row>
    <row r="60421" spans="16:16">
      <c r="P60421" s="2498"/>
    </row>
    <row r="60422" spans="16:16">
      <c r="P60422" s="2498"/>
    </row>
    <row r="60423" spans="16:16">
      <c r="P60423" s="2498"/>
    </row>
    <row r="60424" spans="16:16">
      <c r="P60424" s="2498"/>
    </row>
    <row r="60425" spans="16:16">
      <c r="P60425" s="2498"/>
    </row>
    <row r="60426" spans="16:16">
      <c r="P60426" s="2498"/>
    </row>
    <row r="60427" spans="16:16">
      <c r="P60427" s="2498"/>
    </row>
    <row r="60428" spans="16:16">
      <c r="P60428" s="2498"/>
    </row>
    <row r="60429" spans="16:16">
      <c r="P60429" s="2498"/>
    </row>
    <row r="60430" spans="16:16">
      <c r="P60430" s="2498"/>
    </row>
    <row r="60431" spans="16:16">
      <c r="P60431" s="2498"/>
    </row>
    <row r="60432" spans="16:16">
      <c r="P60432" s="2498"/>
    </row>
    <row r="60433" spans="16:16">
      <c r="P60433" s="2498"/>
    </row>
    <row r="60434" spans="16:16">
      <c r="P60434" s="2498"/>
    </row>
    <row r="60435" spans="16:16">
      <c r="P60435" s="2498"/>
    </row>
    <row r="60436" spans="16:16">
      <c r="P60436" s="2498"/>
    </row>
    <row r="60437" spans="16:16">
      <c r="P60437" s="2498"/>
    </row>
    <row r="60438" spans="16:16">
      <c r="P60438" s="2498"/>
    </row>
    <row r="60439" spans="16:16">
      <c r="P60439" s="2498"/>
    </row>
    <row r="60440" spans="16:16">
      <c r="P60440" s="2498"/>
    </row>
    <row r="60441" spans="16:16">
      <c r="P60441" s="2498"/>
    </row>
    <row r="60442" spans="16:16">
      <c r="P60442" s="2498"/>
    </row>
    <row r="60443" spans="16:16">
      <c r="P60443" s="2498"/>
    </row>
    <row r="60444" spans="16:16">
      <c r="P60444" s="2498"/>
    </row>
    <row r="60445" spans="16:16">
      <c r="P60445" s="2498"/>
    </row>
    <row r="60446" spans="16:16">
      <c r="P60446" s="2498"/>
    </row>
    <row r="60447" spans="16:16">
      <c r="P60447" s="2498"/>
    </row>
    <row r="60448" spans="16:16">
      <c r="P60448" s="2498"/>
    </row>
    <row r="60449" spans="16:16">
      <c r="P60449" s="2498"/>
    </row>
    <row r="60450" spans="16:16">
      <c r="P60450" s="2498"/>
    </row>
    <row r="60451" spans="16:16">
      <c r="P60451" s="2498"/>
    </row>
    <row r="60452" spans="16:16">
      <c r="P60452" s="2498"/>
    </row>
    <row r="60453" spans="16:16">
      <c r="P60453" s="2498"/>
    </row>
    <row r="60454" spans="16:16">
      <c r="P60454" s="2498"/>
    </row>
    <row r="60455" spans="16:16">
      <c r="P60455" s="2498"/>
    </row>
    <row r="60456" spans="16:16">
      <c r="P60456" s="2498"/>
    </row>
    <row r="60457" spans="16:16">
      <c r="P60457" s="2498"/>
    </row>
    <row r="60458" spans="16:16">
      <c r="P60458" s="2498"/>
    </row>
    <row r="60459" spans="16:16">
      <c r="P60459" s="2498"/>
    </row>
    <row r="60460" spans="16:16">
      <c r="P60460" s="2498"/>
    </row>
    <row r="60461" spans="16:16">
      <c r="P60461" s="2498"/>
    </row>
    <row r="60462" spans="16:16">
      <c r="P60462" s="2498"/>
    </row>
    <row r="60463" spans="16:16">
      <c r="P60463" s="2498"/>
    </row>
    <row r="60464" spans="16:16">
      <c r="P60464" s="2498"/>
    </row>
    <row r="60465" spans="16:16">
      <c r="P60465" s="2498"/>
    </row>
    <row r="60466" spans="16:16">
      <c r="P60466" s="2498"/>
    </row>
    <row r="60467" spans="16:16">
      <c r="P60467" s="2498"/>
    </row>
    <row r="60468" spans="16:16">
      <c r="P60468" s="2498"/>
    </row>
    <row r="60469" spans="16:16">
      <c r="P60469" s="2498"/>
    </row>
    <row r="60470" spans="16:16">
      <c r="P60470" s="2498"/>
    </row>
    <row r="60471" spans="16:16">
      <c r="P60471" s="2498"/>
    </row>
    <row r="60472" spans="16:16">
      <c r="P60472" s="2498"/>
    </row>
    <row r="60473" spans="16:16">
      <c r="P60473" s="2498"/>
    </row>
    <row r="60474" spans="16:16">
      <c r="P60474" s="2498"/>
    </row>
    <row r="60475" spans="16:16">
      <c r="P60475" s="2498"/>
    </row>
    <row r="60476" spans="16:16">
      <c r="P60476" s="2498"/>
    </row>
    <row r="60477" spans="16:16">
      <c r="P60477" s="2498"/>
    </row>
    <row r="60478" spans="16:16">
      <c r="P60478" s="2498"/>
    </row>
    <row r="60479" spans="16:16">
      <c r="P60479" s="2498"/>
    </row>
    <row r="60480" spans="16:16">
      <c r="P60480" s="2498"/>
    </row>
    <row r="60481" spans="16:16">
      <c r="P60481" s="2498"/>
    </row>
    <row r="60482" spans="16:16">
      <c r="P60482" s="2498"/>
    </row>
    <row r="60483" spans="16:16">
      <c r="P60483" s="2498"/>
    </row>
    <row r="60484" spans="16:16">
      <c r="P60484" s="2498"/>
    </row>
    <row r="60485" spans="16:16">
      <c r="P60485" s="2498"/>
    </row>
    <row r="60486" spans="16:16">
      <c r="P60486" s="2498"/>
    </row>
    <row r="60487" spans="16:16">
      <c r="P60487" s="2498"/>
    </row>
    <row r="60488" spans="16:16">
      <c r="P60488" s="2498"/>
    </row>
    <row r="60489" spans="16:16">
      <c r="P60489" s="2498"/>
    </row>
    <row r="60490" spans="16:16">
      <c r="P60490" s="2498"/>
    </row>
    <row r="60491" spans="16:16">
      <c r="P60491" s="2498"/>
    </row>
    <row r="60492" spans="16:16">
      <c r="P60492" s="2498"/>
    </row>
    <row r="60493" spans="16:16">
      <c r="P60493" s="2498"/>
    </row>
    <row r="60494" spans="16:16">
      <c r="P60494" s="2498"/>
    </row>
    <row r="60495" spans="16:16">
      <c r="P60495" s="2498"/>
    </row>
    <row r="60496" spans="16:16">
      <c r="P60496" s="2498"/>
    </row>
    <row r="60497" spans="16:16">
      <c r="P60497" s="2498"/>
    </row>
    <row r="60498" spans="16:16">
      <c r="P60498" s="2498"/>
    </row>
    <row r="60499" spans="16:16">
      <c r="P60499" s="2498"/>
    </row>
    <row r="60500" spans="16:16">
      <c r="P60500" s="2498"/>
    </row>
    <row r="60501" spans="16:16">
      <c r="P60501" s="2498"/>
    </row>
    <row r="60502" spans="16:16">
      <c r="P60502" s="2498"/>
    </row>
    <row r="60503" spans="16:16">
      <c r="P60503" s="2498"/>
    </row>
    <row r="60504" spans="16:16">
      <c r="P60504" s="2498"/>
    </row>
    <row r="60505" spans="16:16">
      <c r="P60505" s="2498"/>
    </row>
    <row r="60506" spans="16:16">
      <c r="P60506" s="2498"/>
    </row>
    <row r="60507" spans="16:16">
      <c r="P60507" s="2498"/>
    </row>
    <row r="60508" spans="16:16">
      <c r="P60508" s="2498"/>
    </row>
    <row r="60509" spans="16:16">
      <c r="P60509" s="2498"/>
    </row>
    <row r="60510" spans="16:16">
      <c r="P60510" s="2498"/>
    </row>
    <row r="60511" spans="16:16">
      <c r="P60511" s="2498"/>
    </row>
    <row r="60512" spans="16:16">
      <c r="P60512" s="2498"/>
    </row>
    <row r="60513" spans="16:16">
      <c r="P60513" s="2498"/>
    </row>
    <row r="60514" spans="16:16">
      <c r="P60514" s="2498"/>
    </row>
    <row r="60515" spans="16:16">
      <c r="P60515" s="2498"/>
    </row>
    <row r="60516" spans="16:16">
      <c r="P60516" s="2498"/>
    </row>
    <row r="60517" spans="16:16">
      <c r="P60517" s="2498"/>
    </row>
    <row r="60518" spans="16:16">
      <c r="P60518" s="2498"/>
    </row>
    <row r="60519" spans="16:16">
      <c r="P60519" s="2498"/>
    </row>
    <row r="60520" spans="16:16">
      <c r="P60520" s="2498"/>
    </row>
    <row r="60521" spans="16:16">
      <c r="P60521" s="2498"/>
    </row>
    <row r="60522" spans="16:16">
      <c r="P60522" s="2498"/>
    </row>
    <row r="60523" spans="16:16">
      <c r="P60523" s="2498"/>
    </row>
    <row r="60524" spans="16:16">
      <c r="P60524" s="2498"/>
    </row>
    <row r="60525" spans="16:16">
      <c r="P60525" s="2498"/>
    </row>
    <row r="60526" spans="16:16">
      <c r="P60526" s="2498"/>
    </row>
    <row r="60527" spans="16:16">
      <c r="P60527" s="2498"/>
    </row>
    <row r="60528" spans="16:16">
      <c r="P60528" s="2498"/>
    </row>
    <row r="60529" spans="16:16">
      <c r="P60529" s="2498"/>
    </row>
    <row r="60530" spans="16:16">
      <c r="P60530" s="2498"/>
    </row>
    <row r="60531" spans="16:16">
      <c r="P60531" s="2498"/>
    </row>
    <row r="60532" spans="16:16">
      <c r="P60532" s="2498"/>
    </row>
    <row r="60533" spans="16:16">
      <c r="P60533" s="2498"/>
    </row>
    <row r="60534" spans="16:16">
      <c r="P60534" s="2498"/>
    </row>
    <row r="60535" spans="16:16">
      <c r="P60535" s="2498"/>
    </row>
    <row r="60536" spans="16:16">
      <c r="P60536" s="2498"/>
    </row>
    <row r="60537" spans="16:16">
      <c r="P60537" s="2498"/>
    </row>
    <row r="60538" spans="16:16">
      <c r="P60538" s="2498"/>
    </row>
    <row r="60539" spans="16:16">
      <c r="P60539" s="2498"/>
    </row>
    <row r="60540" spans="16:16">
      <c r="P60540" s="2498"/>
    </row>
    <row r="60541" spans="16:16">
      <c r="P60541" s="2498"/>
    </row>
    <row r="60542" spans="16:16">
      <c r="P60542" s="2498"/>
    </row>
    <row r="60543" spans="16:16">
      <c r="P60543" s="2498"/>
    </row>
    <row r="60544" spans="16:16">
      <c r="P60544" s="2498"/>
    </row>
    <row r="60545" spans="16:16">
      <c r="P60545" s="2498"/>
    </row>
    <row r="60546" spans="16:16">
      <c r="P60546" s="2498"/>
    </row>
    <row r="60547" spans="16:16">
      <c r="P60547" s="2498"/>
    </row>
    <row r="60548" spans="16:16">
      <c r="P60548" s="2498"/>
    </row>
    <row r="60549" spans="16:16">
      <c r="P60549" s="2498"/>
    </row>
    <row r="60550" spans="16:16">
      <c r="P60550" s="2498"/>
    </row>
    <row r="60551" spans="16:16">
      <c r="P60551" s="2498"/>
    </row>
    <row r="60552" spans="16:16">
      <c r="P60552" s="2498"/>
    </row>
    <row r="60553" spans="16:16">
      <c r="P60553" s="2498"/>
    </row>
    <row r="60554" spans="16:16">
      <c r="P60554" s="2498"/>
    </row>
    <row r="60555" spans="16:16">
      <c r="P60555" s="2498"/>
    </row>
    <row r="60556" spans="16:16">
      <c r="P60556" s="2498"/>
    </row>
    <row r="60557" spans="16:16">
      <c r="P60557" s="2498"/>
    </row>
    <row r="60558" spans="16:16">
      <c r="P60558" s="2498"/>
    </row>
    <row r="60559" spans="16:16">
      <c r="P60559" s="2498"/>
    </row>
    <row r="60560" spans="16:16">
      <c r="P60560" s="2498"/>
    </row>
    <row r="60561" spans="16:16">
      <c r="P60561" s="2498"/>
    </row>
    <row r="60562" spans="16:16">
      <c r="P60562" s="2498"/>
    </row>
    <row r="60563" spans="16:16">
      <c r="P60563" s="2498"/>
    </row>
    <row r="60564" spans="16:16">
      <c r="P60564" s="2498"/>
    </row>
    <row r="60565" spans="16:16">
      <c r="P60565" s="2498"/>
    </row>
    <row r="60566" spans="16:16">
      <c r="P60566" s="2498"/>
    </row>
    <row r="60567" spans="16:16">
      <c r="P60567" s="2498"/>
    </row>
    <row r="60568" spans="16:16">
      <c r="P60568" s="2498"/>
    </row>
    <row r="60569" spans="16:16">
      <c r="P60569" s="2498"/>
    </row>
    <row r="60570" spans="16:16">
      <c r="P60570" s="2498"/>
    </row>
    <row r="60571" spans="16:16">
      <c r="P60571" s="2498"/>
    </row>
    <row r="60572" spans="16:16">
      <c r="P60572" s="2498"/>
    </row>
    <row r="60573" spans="16:16">
      <c r="P60573" s="2498"/>
    </row>
    <row r="60574" spans="16:16">
      <c r="P60574" s="2498"/>
    </row>
    <row r="60575" spans="16:16">
      <c r="P60575" s="2498"/>
    </row>
    <row r="60576" spans="16:16">
      <c r="P60576" s="2498"/>
    </row>
    <row r="60577" spans="16:16">
      <c r="P60577" s="2498"/>
    </row>
    <row r="60578" spans="16:16">
      <c r="P60578" s="2498"/>
    </row>
    <row r="60579" spans="16:16">
      <c r="P60579" s="2498"/>
    </row>
    <row r="60580" spans="16:16">
      <c r="P60580" s="2498"/>
    </row>
    <row r="60581" spans="16:16">
      <c r="P60581" s="2498"/>
    </row>
    <row r="60582" spans="16:16">
      <c r="P60582" s="2498"/>
    </row>
    <row r="60583" spans="16:16">
      <c r="P60583" s="2498"/>
    </row>
    <row r="60584" spans="16:16">
      <c r="P60584" s="2498"/>
    </row>
    <row r="60585" spans="16:16">
      <c r="P60585" s="2498"/>
    </row>
    <row r="60586" spans="16:16">
      <c r="P60586" s="2498"/>
    </row>
    <row r="60587" spans="16:16">
      <c r="P60587" s="2498"/>
    </row>
    <row r="60588" spans="16:16">
      <c r="P60588" s="2498"/>
    </row>
    <row r="60589" spans="16:16">
      <c r="P60589" s="2498"/>
    </row>
    <row r="60590" spans="16:16">
      <c r="P60590" s="2498"/>
    </row>
    <row r="60591" spans="16:16">
      <c r="P60591" s="2498"/>
    </row>
    <row r="60592" spans="16:16">
      <c r="P60592" s="2498"/>
    </row>
    <row r="60593" spans="16:16">
      <c r="P60593" s="2498"/>
    </row>
    <row r="60594" spans="16:16">
      <c r="P60594" s="2498"/>
    </row>
    <row r="60595" spans="16:16">
      <c r="P60595" s="2498"/>
    </row>
    <row r="60596" spans="16:16">
      <c r="P60596" s="2498"/>
    </row>
    <row r="60597" spans="16:16">
      <c r="P60597" s="2498"/>
    </row>
    <row r="60598" spans="16:16">
      <c r="P60598" s="2498"/>
    </row>
    <row r="60599" spans="16:16">
      <c r="P60599" s="2498"/>
    </row>
    <row r="60600" spans="16:16">
      <c r="P60600" s="2498"/>
    </row>
    <row r="60601" spans="16:16">
      <c r="P60601" s="2498"/>
    </row>
    <row r="60602" spans="16:16">
      <c r="P60602" s="2498"/>
    </row>
    <row r="60603" spans="16:16">
      <c r="P60603" s="2498"/>
    </row>
    <row r="60604" spans="16:16">
      <c r="P60604" s="2498"/>
    </row>
    <row r="60605" spans="16:16">
      <c r="P60605" s="2498"/>
    </row>
    <row r="60606" spans="16:16">
      <c r="P60606" s="2498"/>
    </row>
    <row r="60607" spans="16:16">
      <c r="P60607" s="2498"/>
    </row>
    <row r="60608" spans="16:16">
      <c r="P60608" s="2498"/>
    </row>
    <row r="60609" spans="16:16">
      <c r="P60609" s="2498"/>
    </row>
    <row r="60610" spans="16:16">
      <c r="P60610" s="2498"/>
    </row>
    <row r="60611" spans="16:16">
      <c r="P60611" s="2498"/>
    </row>
    <row r="60612" spans="16:16">
      <c r="P60612" s="2498"/>
    </row>
    <row r="60613" spans="16:16">
      <c r="P60613" s="2498"/>
    </row>
    <row r="60614" spans="16:16">
      <c r="P60614" s="2498"/>
    </row>
    <row r="60615" spans="16:16">
      <c r="P60615" s="2498"/>
    </row>
    <row r="60616" spans="16:16">
      <c r="P60616" s="2498"/>
    </row>
    <row r="60617" spans="16:16">
      <c r="P60617" s="2498"/>
    </row>
    <row r="60618" spans="16:16">
      <c r="P60618" s="2498"/>
    </row>
    <row r="60619" spans="16:16">
      <c r="P60619" s="2498"/>
    </row>
    <row r="60620" spans="16:16">
      <c r="P60620" s="2498"/>
    </row>
    <row r="60621" spans="16:16">
      <c r="P60621" s="2498"/>
    </row>
    <row r="60622" spans="16:16">
      <c r="P60622" s="2498"/>
    </row>
    <row r="60623" spans="16:16">
      <c r="P60623" s="2498"/>
    </row>
    <row r="60624" spans="16:16">
      <c r="P60624" s="2498"/>
    </row>
    <row r="60625" spans="16:16">
      <c r="P60625" s="2498"/>
    </row>
    <row r="60626" spans="16:16">
      <c r="P60626" s="2498"/>
    </row>
    <row r="60627" spans="16:16">
      <c r="P60627" s="2498"/>
    </row>
    <row r="60628" spans="16:16">
      <c r="P60628" s="2498"/>
    </row>
    <row r="60629" spans="16:16">
      <c r="P60629" s="2498"/>
    </row>
    <row r="60630" spans="16:16">
      <c r="P60630" s="2498"/>
    </row>
    <row r="60631" spans="16:16">
      <c r="P60631" s="2498"/>
    </row>
    <row r="60632" spans="16:16">
      <c r="P60632" s="2498"/>
    </row>
    <row r="60633" spans="16:16">
      <c r="P60633" s="2498"/>
    </row>
    <row r="60634" spans="16:16">
      <c r="P60634" s="2498"/>
    </row>
    <row r="60635" spans="16:16">
      <c r="P60635" s="2498"/>
    </row>
    <row r="60636" spans="16:16">
      <c r="P60636" s="2498"/>
    </row>
    <row r="60637" spans="16:16">
      <c r="P60637" s="2498"/>
    </row>
    <row r="60638" spans="16:16">
      <c r="P60638" s="2498"/>
    </row>
    <row r="60639" spans="16:16">
      <c r="P60639" s="2498"/>
    </row>
    <row r="60640" spans="16:16">
      <c r="P60640" s="2498"/>
    </row>
    <row r="60641" spans="16:16">
      <c r="P60641" s="2498"/>
    </row>
    <row r="60642" spans="16:16">
      <c r="P60642" s="2498"/>
    </row>
    <row r="60643" spans="16:16">
      <c r="P60643" s="2498"/>
    </row>
    <row r="60644" spans="16:16">
      <c r="P60644" s="2498"/>
    </row>
    <row r="60645" spans="16:16">
      <c r="P60645" s="2498"/>
    </row>
    <row r="60646" spans="16:16">
      <c r="P60646" s="2498"/>
    </row>
    <row r="60647" spans="16:16">
      <c r="P60647" s="2498"/>
    </row>
    <row r="60648" spans="16:16">
      <c r="P60648" s="2498"/>
    </row>
    <row r="60649" spans="16:16">
      <c r="P60649" s="2498"/>
    </row>
    <row r="60650" spans="16:16">
      <c r="P60650" s="2498"/>
    </row>
    <row r="60651" spans="16:16">
      <c r="P60651" s="2498"/>
    </row>
    <row r="60652" spans="16:16">
      <c r="P60652" s="2498"/>
    </row>
    <row r="60653" spans="16:16">
      <c r="P60653" s="2498"/>
    </row>
    <row r="60654" spans="16:16">
      <c r="P60654" s="2498"/>
    </row>
    <row r="60655" spans="16:16">
      <c r="P60655" s="2498"/>
    </row>
    <row r="60656" spans="16:16">
      <c r="P60656" s="2498"/>
    </row>
    <row r="60657" spans="16:16">
      <c r="P60657" s="2498"/>
    </row>
    <row r="60658" spans="16:16">
      <c r="P60658" s="2498"/>
    </row>
    <row r="60659" spans="16:16">
      <c r="P60659" s="2498"/>
    </row>
    <row r="60660" spans="16:16">
      <c r="P60660" s="2498"/>
    </row>
    <row r="60661" spans="16:16">
      <c r="P60661" s="2498"/>
    </row>
    <row r="60662" spans="16:16">
      <c r="P60662" s="2498"/>
    </row>
    <row r="60663" spans="16:16">
      <c r="P60663" s="2498"/>
    </row>
    <row r="60664" spans="16:16">
      <c r="P60664" s="2498"/>
    </row>
    <row r="60665" spans="16:16">
      <c r="P60665" s="2498"/>
    </row>
    <row r="60666" spans="16:16">
      <c r="P60666" s="2498"/>
    </row>
    <row r="60667" spans="16:16">
      <c r="P60667" s="2498"/>
    </row>
    <row r="60668" spans="16:16">
      <c r="P60668" s="2498"/>
    </row>
    <row r="60669" spans="16:16">
      <c r="P60669" s="2498"/>
    </row>
    <row r="60670" spans="16:16">
      <c r="P60670" s="2498"/>
    </row>
    <row r="60671" spans="16:16">
      <c r="P60671" s="2498"/>
    </row>
    <row r="60672" spans="16:16">
      <c r="P60672" s="2498"/>
    </row>
    <row r="60673" spans="16:16">
      <c r="P60673" s="2498"/>
    </row>
    <row r="60674" spans="16:16">
      <c r="P60674" s="2498"/>
    </row>
    <row r="60675" spans="16:16">
      <c r="P60675" s="2498"/>
    </row>
    <row r="60676" spans="16:16">
      <c r="P60676" s="2498"/>
    </row>
    <row r="60677" spans="16:16">
      <c r="P60677" s="2498"/>
    </row>
    <row r="60678" spans="16:16">
      <c r="P60678" s="2498"/>
    </row>
    <row r="60679" spans="16:16">
      <c r="P60679" s="2498"/>
    </row>
    <row r="60680" spans="16:16">
      <c r="P60680" s="2498"/>
    </row>
    <row r="60681" spans="16:16">
      <c r="P60681" s="2498"/>
    </row>
    <row r="60682" spans="16:16">
      <c r="P60682" s="2498"/>
    </row>
    <row r="60683" spans="16:16">
      <c r="P60683" s="2498"/>
    </row>
    <row r="60684" spans="16:16">
      <c r="P60684" s="2498"/>
    </row>
    <row r="60685" spans="16:16">
      <c r="P60685" s="2498"/>
    </row>
    <row r="60686" spans="16:16">
      <c r="P60686" s="2498"/>
    </row>
    <row r="60687" spans="16:16">
      <c r="P60687" s="2498"/>
    </row>
    <row r="60688" spans="16:16">
      <c r="P60688" s="2498"/>
    </row>
    <row r="60689" spans="16:16">
      <c r="P60689" s="2498"/>
    </row>
    <row r="60690" spans="16:16">
      <c r="P60690" s="2498"/>
    </row>
    <row r="60691" spans="16:16">
      <c r="P60691" s="2498"/>
    </row>
    <row r="60692" spans="16:16">
      <c r="P60692" s="2498"/>
    </row>
    <row r="60693" spans="16:16">
      <c r="P60693" s="2498"/>
    </row>
    <row r="60694" spans="16:16">
      <c r="P60694" s="2498"/>
    </row>
    <row r="60695" spans="16:16">
      <c r="P60695" s="2498"/>
    </row>
    <row r="60696" spans="16:16">
      <c r="P60696" s="2498"/>
    </row>
    <row r="60697" spans="16:16">
      <c r="P60697" s="2498"/>
    </row>
    <row r="60698" spans="16:16">
      <c r="P60698" s="2498"/>
    </row>
    <row r="60699" spans="16:16">
      <c r="P60699" s="2498"/>
    </row>
    <row r="60700" spans="16:16">
      <c r="P60700" s="2498"/>
    </row>
    <row r="60701" spans="16:16">
      <c r="P60701" s="2498"/>
    </row>
    <row r="60702" spans="16:16">
      <c r="P60702" s="2498"/>
    </row>
    <row r="60703" spans="16:16">
      <c r="P60703" s="2498"/>
    </row>
    <row r="60704" spans="16:16">
      <c r="P60704" s="2498"/>
    </row>
    <row r="60705" spans="16:16">
      <c r="P60705" s="2498"/>
    </row>
    <row r="60706" spans="16:16">
      <c r="P60706" s="2498"/>
    </row>
    <row r="60707" spans="16:16">
      <c r="P60707" s="2498"/>
    </row>
    <row r="60708" spans="16:16">
      <c r="P60708" s="2498"/>
    </row>
    <row r="60709" spans="16:16">
      <c r="P60709" s="2498"/>
    </row>
    <row r="60710" spans="16:16">
      <c r="P60710" s="2498"/>
    </row>
    <row r="60711" spans="16:16">
      <c r="P60711" s="2498"/>
    </row>
    <row r="60712" spans="16:16">
      <c r="P60712" s="2498"/>
    </row>
    <row r="60713" spans="16:16">
      <c r="P60713" s="2498"/>
    </row>
    <row r="60714" spans="16:16">
      <c r="P60714" s="2498"/>
    </row>
    <row r="60715" spans="16:16">
      <c r="P60715" s="2498"/>
    </row>
    <row r="60716" spans="16:16">
      <c r="P60716" s="2498"/>
    </row>
    <row r="60717" spans="16:16">
      <c r="P60717" s="2498"/>
    </row>
    <row r="60718" spans="16:16">
      <c r="P60718" s="2498"/>
    </row>
    <row r="60719" spans="16:16">
      <c r="P60719" s="2498"/>
    </row>
    <row r="60720" spans="16:16">
      <c r="P60720" s="2498"/>
    </row>
    <row r="60721" spans="16:16">
      <c r="P60721" s="2498"/>
    </row>
    <row r="60722" spans="16:16">
      <c r="P60722" s="2498"/>
    </row>
    <row r="60723" spans="16:16">
      <c r="P60723" s="2498"/>
    </row>
    <row r="60724" spans="16:16">
      <c r="P60724" s="2498"/>
    </row>
    <row r="60725" spans="16:16">
      <c r="P60725" s="2498"/>
    </row>
    <row r="60726" spans="16:16">
      <c r="P60726" s="2498"/>
    </row>
    <row r="60727" spans="16:16">
      <c r="P60727" s="2498"/>
    </row>
    <row r="60728" spans="16:16">
      <c r="P60728" s="2498"/>
    </row>
    <row r="60729" spans="16:16">
      <c r="P60729" s="2498"/>
    </row>
    <row r="60730" spans="16:16">
      <c r="P60730" s="2498"/>
    </row>
    <row r="60731" spans="16:16">
      <c r="P60731" s="2498"/>
    </row>
    <row r="60732" spans="16:16">
      <c r="P60732" s="2498"/>
    </row>
    <row r="60733" spans="16:16">
      <c r="P60733" s="2498"/>
    </row>
    <row r="60734" spans="16:16">
      <c r="P60734" s="2498"/>
    </row>
    <row r="60735" spans="16:16">
      <c r="P60735" s="2498"/>
    </row>
    <row r="60736" spans="16:16">
      <c r="P60736" s="2498"/>
    </row>
    <row r="60737" spans="16:16">
      <c r="P60737" s="2498"/>
    </row>
    <row r="60738" spans="16:16">
      <c r="P60738" s="2498"/>
    </row>
    <row r="60739" spans="16:16">
      <c r="P60739" s="2498"/>
    </row>
    <row r="60740" spans="16:16">
      <c r="P60740" s="2498"/>
    </row>
    <row r="60741" spans="16:16">
      <c r="P60741" s="2498"/>
    </row>
    <row r="60742" spans="16:16">
      <c r="P60742" s="2498"/>
    </row>
    <row r="60743" spans="16:16">
      <c r="P60743" s="2498"/>
    </row>
    <row r="60744" spans="16:16">
      <c r="P60744" s="2498"/>
    </row>
    <row r="60745" spans="16:16">
      <c r="P60745" s="2498"/>
    </row>
    <row r="60746" spans="16:16">
      <c r="P60746" s="2498"/>
    </row>
    <row r="60747" spans="16:16">
      <c r="P60747" s="2498"/>
    </row>
    <row r="60748" spans="16:16">
      <c r="P60748" s="2498"/>
    </row>
    <row r="60749" spans="16:16">
      <c r="P60749" s="2498"/>
    </row>
    <row r="60750" spans="16:16">
      <c r="P60750" s="2498"/>
    </row>
    <row r="60751" spans="16:16">
      <c r="P60751" s="2498"/>
    </row>
    <row r="60752" spans="16:16">
      <c r="P60752" s="2498"/>
    </row>
    <row r="60753" spans="16:16">
      <c r="P60753" s="2498"/>
    </row>
    <row r="60754" spans="16:16">
      <c r="P60754" s="2498"/>
    </row>
    <row r="60755" spans="16:16">
      <c r="P60755" s="2498"/>
    </row>
    <row r="60756" spans="16:16">
      <c r="P60756" s="2498"/>
    </row>
    <row r="60757" spans="16:16">
      <c r="P60757" s="2498"/>
    </row>
    <row r="60758" spans="16:16">
      <c r="P60758" s="2498"/>
    </row>
    <row r="60759" spans="16:16">
      <c r="P60759" s="2498"/>
    </row>
    <row r="60760" spans="16:16">
      <c r="P60760" s="2498"/>
    </row>
    <row r="60761" spans="16:16">
      <c r="P60761" s="2498"/>
    </row>
    <row r="60762" spans="16:16">
      <c r="P60762" s="2498"/>
    </row>
    <row r="60763" spans="16:16">
      <c r="P60763" s="2498"/>
    </row>
    <row r="60764" spans="16:16">
      <c r="P60764" s="2498"/>
    </row>
    <row r="60765" spans="16:16">
      <c r="P60765" s="2498"/>
    </row>
    <row r="60766" spans="16:16">
      <c r="P60766" s="2498"/>
    </row>
    <row r="60767" spans="16:16">
      <c r="P60767" s="2498"/>
    </row>
    <row r="60768" spans="16:16">
      <c r="P60768" s="2498"/>
    </row>
    <row r="60769" spans="16:16">
      <c r="P60769" s="2498"/>
    </row>
    <row r="60770" spans="16:16">
      <c r="P60770" s="2498"/>
    </row>
    <row r="60771" spans="16:16">
      <c r="P60771" s="2498"/>
    </row>
    <row r="60772" spans="16:16">
      <c r="P60772" s="2498"/>
    </row>
    <row r="60773" spans="16:16">
      <c r="P60773" s="2498"/>
    </row>
    <row r="60774" spans="16:16">
      <c r="P60774" s="2498"/>
    </row>
    <row r="60775" spans="16:16">
      <c r="P60775" s="2498"/>
    </row>
    <row r="60776" spans="16:16">
      <c r="P60776" s="2498"/>
    </row>
    <row r="60777" spans="16:16">
      <c r="P60777" s="2498"/>
    </row>
    <row r="60778" spans="16:16">
      <c r="P60778" s="2498"/>
    </row>
    <row r="60779" spans="16:16">
      <c r="P60779" s="2498"/>
    </row>
    <row r="60780" spans="16:16">
      <c r="P60780" s="2498"/>
    </row>
    <row r="60781" spans="16:16">
      <c r="P60781" s="2498"/>
    </row>
    <row r="60782" spans="16:16">
      <c r="P60782" s="2498"/>
    </row>
    <row r="60783" spans="16:16">
      <c r="P60783" s="2498"/>
    </row>
    <row r="60784" spans="16:16">
      <c r="P60784" s="2498"/>
    </row>
    <row r="60785" spans="16:16">
      <c r="P60785" s="2498"/>
    </row>
    <row r="60786" spans="16:16">
      <c r="P60786" s="2498"/>
    </row>
    <row r="60787" spans="16:16">
      <c r="P60787" s="2498"/>
    </row>
    <row r="60788" spans="16:16">
      <c r="P60788" s="2498"/>
    </row>
    <row r="60789" spans="16:16">
      <c r="P60789" s="2498"/>
    </row>
    <row r="60790" spans="16:16">
      <c r="P60790" s="2498"/>
    </row>
    <row r="60791" spans="16:16">
      <c r="P60791" s="2498"/>
    </row>
    <row r="60792" spans="16:16">
      <c r="P60792" s="2498"/>
    </row>
    <row r="60793" spans="16:16">
      <c r="P60793" s="2498"/>
    </row>
    <row r="60794" spans="16:16">
      <c r="P60794" s="2498"/>
    </row>
    <row r="60795" spans="16:16">
      <c r="P60795" s="2498"/>
    </row>
    <row r="60796" spans="16:16">
      <c r="P60796" s="2498"/>
    </row>
    <row r="60797" spans="16:16">
      <c r="P60797" s="2498"/>
    </row>
    <row r="60798" spans="16:16">
      <c r="P60798" s="2498"/>
    </row>
    <row r="60799" spans="16:16">
      <c r="P60799" s="2498"/>
    </row>
    <row r="60800" spans="16:16">
      <c r="P60800" s="2498"/>
    </row>
    <row r="60801" spans="16:16">
      <c r="P60801" s="2498"/>
    </row>
    <row r="60802" spans="16:16">
      <c r="P60802" s="2498"/>
    </row>
    <row r="60803" spans="16:16">
      <c r="P60803" s="2498"/>
    </row>
    <row r="60804" spans="16:16">
      <c r="P60804" s="2498"/>
    </row>
    <row r="60805" spans="16:16">
      <c r="P60805" s="2498"/>
    </row>
    <row r="60806" spans="16:16">
      <c r="P60806" s="2498"/>
    </row>
    <row r="60807" spans="16:16">
      <c r="P60807" s="2498"/>
    </row>
    <row r="60808" spans="16:16">
      <c r="P60808" s="2498"/>
    </row>
    <row r="60809" spans="16:16">
      <c r="P60809" s="2498"/>
    </row>
    <row r="60810" spans="16:16">
      <c r="P60810" s="2498"/>
    </row>
    <row r="60811" spans="16:16">
      <c r="P60811" s="2498"/>
    </row>
    <row r="60812" spans="16:16">
      <c r="P60812" s="2498"/>
    </row>
    <row r="60813" spans="16:16">
      <c r="P60813" s="2498"/>
    </row>
    <row r="60814" spans="16:16">
      <c r="P60814" s="2498"/>
    </row>
    <row r="60815" spans="16:16">
      <c r="P60815" s="2498"/>
    </row>
    <row r="60816" spans="16:16">
      <c r="P60816" s="2498"/>
    </row>
    <row r="60817" spans="16:16">
      <c r="P60817" s="2498"/>
    </row>
    <row r="60818" spans="16:16">
      <c r="P60818" s="2498"/>
    </row>
    <row r="60819" spans="16:16">
      <c r="P60819" s="2498"/>
    </row>
    <row r="60820" spans="16:16">
      <c r="P60820" s="2498"/>
    </row>
    <row r="60821" spans="16:16">
      <c r="P60821" s="2498"/>
    </row>
    <row r="60822" spans="16:16">
      <c r="P60822" s="2498"/>
    </row>
    <row r="60823" spans="16:16">
      <c r="P60823" s="2498"/>
    </row>
    <row r="60824" spans="16:16">
      <c r="P60824" s="2498"/>
    </row>
    <row r="60825" spans="16:16">
      <c r="P60825" s="2498"/>
    </row>
    <row r="60826" spans="16:16">
      <c r="P60826" s="2498"/>
    </row>
    <row r="60827" spans="16:16">
      <c r="P60827" s="2498"/>
    </row>
    <row r="60828" spans="16:16">
      <c r="P60828" s="2498"/>
    </row>
    <row r="60829" spans="16:16">
      <c r="P60829" s="2498"/>
    </row>
    <row r="60830" spans="16:16">
      <c r="P60830" s="2498"/>
    </row>
    <row r="60831" spans="16:16">
      <c r="P60831" s="2498"/>
    </row>
    <row r="60832" spans="16:16">
      <c r="P60832" s="2498"/>
    </row>
    <row r="60833" spans="16:16">
      <c r="P60833" s="2498"/>
    </row>
    <row r="60834" spans="16:16">
      <c r="P60834" s="2498"/>
    </row>
    <row r="60835" spans="16:16">
      <c r="P60835" s="2498"/>
    </row>
    <row r="60836" spans="16:16">
      <c r="P60836" s="2498"/>
    </row>
    <row r="60837" spans="16:16">
      <c r="P60837" s="2498"/>
    </row>
    <row r="60838" spans="16:16">
      <c r="P60838" s="2498"/>
    </row>
    <row r="60839" spans="16:16">
      <c r="P60839" s="2498"/>
    </row>
    <row r="60840" spans="16:16">
      <c r="P60840" s="2498"/>
    </row>
    <row r="60841" spans="16:16">
      <c r="P60841" s="2498"/>
    </row>
    <row r="60842" spans="16:16">
      <c r="P60842" s="2498"/>
    </row>
    <row r="60843" spans="16:16">
      <c r="P60843" s="2498"/>
    </row>
    <row r="60844" spans="16:16">
      <c r="P60844" s="2498"/>
    </row>
    <row r="60845" spans="16:16">
      <c r="P60845" s="2498"/>
    </row>
    <row r="60846" spans="16:16">
      <c r="P60846" s="2498"/>
    </row>
    <row r="60847" spans="16:16">
      <c r="P60847" s="2498"/>
    </row>
    <row r="60848" spans="16:16">
      <c r="P60848" s="2498"/>
    </row>
    <row r="60849" spans="16:16">
      <c r="P60849" s="2498"/>
    </row>
    <row r="60850" spans="16:16">
      <c r="P60850" s="2498"/>
    </row>
    <row r="60851" spans="16:16">
      <c r="P60851" s="2498"/>
    </row>
    <row r="60852" spans="16:16">
      <c r="P60852" s="2498"/>
    </row>
    <row r="60853" spans="16:16">
      <c r="P60853" s="2498"/>
    </row>
    <row r="60854" spans="16:16">
      <c r="P60854" s="2498"/>
    </row>
    <row r="60855" spans="16:16">
      <c r="P60855" s="2498"/>
    </row>
    <row r="60856" spans="16:16">
      <c r="P60856" s="2498"/>
    </row>
    <row r="60857" spans="16:16">
      <c r="P60857" s="2498"/>
    </row>
    <row r="60858" spans="16:16">
      <c r="P60858" s="2498"/>
    </row>
    <row r="60859" spans="16:16">
      <c r="P60859" s="2498"/>
    </row>
    <row r="60860" spans="16:16">
      <c r="P60860" s="2498"/>
    </row>
    <row r="60861" spans="16:16">
      <c r="P60861" s="2498"/>
    </row>
    <row r="60862" spans="16:16">
      <c r="P60862" s="2498"/>
    </row>
    <row r="60863" spans="16:16">
      <c r="P60863" s="2498"/>
    </row>
    <row r="60864" spans="16:16">
      <c r="P60864" s="2498"/>
    </row>
    <row r="60865" spans="16:16">
      <c r="P60865" s="2498"/>
    </row>
    <row r="60866" spans="16:16">
      <c r="P60866" s="2498"/>
    </row>
    <row r="60867" spans="16:16">
      <c r="P60867" s="2498"/>
    </row>
    <row r="60868" spans="16:16">
      <c r="P60868" s="2498"/>
    </row>
    <row r="60869" spans="16:16">
      <c r="P60869" s="2498"/>
    </row>
    <row r="60870" spans="16:16">
      <c r="P60870" s="2498"/>
    </row>
    <row r="60871" spans="16:16">
      <c r="P60871" s="2498"/>
    </row>
    <row r="60872" spans="16:16">
      <c r="P60872" s="2498"/>
    </row>
    <row r="60873" spans="16:16">
      <c r="P60873" s="2498"/>
    </row>
    <row r="60874" spans="16:16">
      <c r="P60874" s="2498"/>
    </row>
    <row r="60875" spans="16:16">
      <c r="P60875" s="2498"/>
    </row>
    <row r="60876" spans="16:16">
      <c r="P60876" s="2498"/>
    </row>
    <row r="60877" spans="16:16">
      <c r="P60877" s="2498"/>
    </row>
    <row r="60878" spans="16:16">
      <c r="P60878" s="2498"/>
    </row>
    <row r="60879" spans="16:16">
      <c r="P60879" s="2498"/>
    </row>
    <row r="60880" spans="16:16">
      <c r="P60880" s="2498"/>
    </row>
    <row r="60881" spans="16:16">
      <c r="P60881" s="2498"/>
    </row>
    <row r="60882" spans="16:16">
      <c r="P60882" s="2498"/>
    </row>
    <row r="60883" spans="16:16">
      <c r="P60883" s="2498"/>
    </row>
    <row r="60884" spans="16:16">
      <c r="P60884" s="2498"/>
    </row>
    <row r="60885" spans="16:16">
      <c r="P60885" s="2498"/>
    </row>
    <row r="60886" spans="16:16">
      <c r="P60886" s="2498"/>
    </row>
    <row r="60887" spans="16:16">
      <c r="P60887" s="2498"/>
    </row>
    <row r="60888" spans="16:16">
      <c r="P60888" s="2498"/>
    </row>
    <row r="60889" spans="16:16">
      <c r="P60889" s="2498"/>
    </row>
    <row r="60890" spans="16:16">
      <c r="P60890" s="2498"/>
    </row>
    <row r="60891" spans="16:16">
      <c r="P60891" s="2498"/>
    </row>
    <row r="60892" spans="16:16">
      <c r="P60892" s="2498"/>
    </row>
    <row r="60893" spans="16:16">
      <c r="P60893" s="2498"/>
    </row>
    <row r="60894" spans="16:16">
      <c r="P60894" s="2498"/>
    </row>
    <row r="60895" spans="16:16">
      <c r="P60895" s="2498"/>
    </row>
    <row r="60896" spans="16:16">
      <c r="P60896" s="2498"/>
    </row>
    <row r="60897" spans="16:16">
      <c r="P60897" s="2498"/>
    </row>
    <row r="60898" spans="16:16">
      <c r="P60898" s="2498"/>
    </row>
    <row r="60899" spans="16:16">
      <c r="P60899" s="2498"/>
    </row>
    <row r="60900" spans="16:16">
      <c r="P60900" s="2498"/>
    </row>
    <row r="60901" spans="16:16">
      <c r="P60901" s="2498"/>
    </row>
    <row r="60902" spans="16:16">
      <c r="P60902" s="2498"/>
    </row>
    <row r="60903" spans="16:16">
      <c r="P60903" s="2498"/>
    </row>
    <row r="60904" spans="16:16">
      <c r="P60904" s="2498"/>
    </row>
    <row r="60905" spans="16:16">
      <c r="P60905" s="2498"/>
    </row>
    <row r="60906" spans="16:16">
      <c r="P60906" s="2498"/>
    </row>
    <row r="60907" spans="16:16">
      <c r="P60907" s="2498"/>
    </row>
    <row r="60908" spans="16:16">
      <c r="P60908" s="2498"/>
    </row>
    <row r="60909" spans="16:16">
      <c r="P60909" s="2498"/>
    </row>
    <row r="60910" spans="16:16">
      <c r="P60910" s="2498"/>
    </row>
    <row r="60911" spans="16:16">
      <c r="P60911" s="2498"/>
    </row>
    <row r="60912" spans="16:16">
      <c r="P60912" s="2498"/>
    </row>
    <row r="60913" spans="16:16">
      <c r="P60913" s="2498"/>
    </row>
    <row r="60914" spans="16:16">
      <c r="P60914" s="2498"/>
    </row>
    <row r="60915" spans="16:16">
      <c r="P60915" s="2498"/>
    </row>
    <row r="60916" spans="16:16">
      <c r="P60916" s="2498"/>
    </row>
    <row r="60917" spans="16:16">
      <c r="P60917" s="2498"/>
    </row>
    <row r="60918" spans="16:16">
      <c r="P60918" s="2498"/>
    </row>
    <row r="60919" spans="16:16">
      <c r="P60919" s="2498"/>
    </row>
    <row r="60920" spans="16:16">
      <c r="P60920" s="2498"/>
    </row>
    <row r="60921" spans="16:16">
      <c r="P60921" s="2498"/>
    </row>
    <row r="60922" spans="16:16">
      <c r="P60922" s="2498"/>
    </row>
    <row r="60923" spans="16:16">
      <c r="P60923" s="2498"/>
    </row>
    <row r="60924" spans="16:16">
      <c r="P60924" s="2498"/>
    </row>
    <row r="60925" spans="16:16">
      <c r="P60925" s="2498"/>
    </row>
    <row r="60926" spans="16:16">
      <c r="P60926" s="2498"/>
    </row>
    <row r="60927" spans="16:16">
      <c r="P60927" s="2498"/>
    </row>
    <row r="60928" spans="16:16">
      <c r="P60928" s="2498"/>
    </row>
    <row r="60929" spans="16:16">
      <c r="P60929" s="2498"/>
    </row>
    <row r="60930" spans="16:16">
      <c r="P60930" s="2498"/>
    </row>
    <row r="60931" spans="16:16">
      <c r="P60931" s="2498"/>
    </row>
    <row r="60932" spans="16:16">
      <c r="P60932" s="2498"/>
    </row>
    <row r="60933" spans="16:16">
      <c r="P60933" s="2498"/>
    </row>
    <row r="60934" spans="16:16">
      <c r="P60934" s="2498"/>
    </row>
    <row r="60935" spans="16:16">
      <c r="P60935" s="2498"/>
    </row>
    <row r="60936" spans="16:16">
      <c r="P60936" s="2498"/>
    </row>
    <row r="60937" spans="16:16">
      <c r="P60937" s="2498"/>
    </row>
    <row r="60938" spans="16:16">
      <c r="P60938" s="2498"/>
    </row>
    <row r="60939" spans="16:16">
      <c r="P60939" s="2498"/>
    </row>
    <row r="60940" spans="16:16">
      <c r="P60940" s="2498"/>
    </row>
    <row r="60941" spans="16:16">
      <c r="P60941" s="2498"/>
    </row>
    <row r="60942" spans="16:16">
      <c r="P60942" s="2498"/>
    </row>
    <row r="60943" spans="16:16">
      <c r="P60943" s="2498"/>
    </row>
    <row r="60944" spans="16:16">
      <c r="P60944" s="2498"/>
    </row>
    <row r="60945" spans="16:16">
      <c r="P60945" s="2498"/>
    </row>
    <row r="60946" spans="16:16">
      <c r="P60946" s="2498"/>
    </row>
    <row r="60947" spans="16:16">
      <c r="P60947" s="2498"/>
    </row>
    <row r="60948" spans="16:16">
      <c r="P60948" s="2498"/>
    </row>
    <row r="60949" spans="16:16">
      <c r="P60949" s="2498"/>
    </row>
    <row r="60950" spans="16:16">
      <c r="P60950" s="2498"/>
    </row>
    <row r="60951" spans="16:16">
      <c r="P60951" s="2498"/>
    </row>
    <row r="60952" spans="16:16">
      <c r="P60952" s="2498"/>
    </row>
    <row r="60953" spans="16:16">
      <c r="P60953" s="2498"/>
    </row>
    <row r="60954" spans="16:16">
      <c r="P60954" s="2498"/>
    </row>
    <row r="60955" spans="16:16">
      <c r="P60955" s="2498"/>
    </row>
    <row r="60956" spans="16:16">
      <c r="P60956" s="2498"/>
    </row>
    <row r="60957" spans="16:16">
      <c r="P60957" s="2498"/>
    </row>
    <row r="60958" spans="16:16">
      <c r="P60958" s="2498"/>
    </row>
    <row r="60959" spans="16:16">
      <c r="P60959" s="2498"/>
    </row>
    <row r="60960" spans="16:16">
      <c r="P60960" s="2498"/>
    </row>
    <row r="60961" spans="16:16">
      <c r="P60961" s="2498"/>
    </row>
    <row r="60962" spans="16:16">
      <c r="P60962" s="2498"/>
    </row>
    <row r="60963" spans="16:16">
      <c r="P60963" s="2498"/>
    </row>
    <row r="60964" spans="16:16">
      <c r="P60964" s="2498"/>
    </row>
    <row r="60965" spans="16:16">
      <c r="P60965" s="2498"/>
    </row>
    <row r="60966" spans="16:16">
      <c r="P60966" s="2498"/>
    </row>
    <row r="60967" spans="16:16">
      <c r="P60967" s="2498"/>
    </row>
    <row r="60968" spans="16:16">
      <c r="P60968" s="2498"/>
    </row>
    <row r="60969" spans="16:16">
      <c r="P60969" s="2498"/>
    </row>
    <row r="60970" spans="16:16">
      <c r="P60970" s="2498"/>
    </row>
    <row r="60971" spans="16:16">
      <c r="P60971" s="2498"/>
    </row>
    <row r="60972" spans="16:16">
      <c r="P60972" s="2498"/>
    </row>
    <row r="60973" spans="16:16">
      <c r="P60973" s="2498"/>
    </row>
    <row r="60974" spans="16:16">
      <c r="P60974" s="2498"/>
    </row>
    <row r="60975" spans="16:16">
      <c r="P60975" s="2498"/>
    </row>
    <row r="60976" spans="16:16">
      <c r="P60976" s="2498"/>
    </row>
    <row r="60977" spans="16:16">
      <c r="P60977" s="2498"/>
    </row>
    <row r="60978" spans="16:16">
      <c r="P60978" s="2498"/>
    </row>
    <row r="60979" spans="16:16">
      <c r="P60979" s="2498"/>
    </row>
    <row r="60980" spans="16:16">
      <c r="P60980" s="2498"/>
    </row>
    <row r="60981" spans="16:16">
      <c r="P60981" s="2498"/>
    </row>
    <row r="60982" spans="16:16">
      <c r="P60982" s="2498"/>
    </row>
    <row r="60983" spans="16:16">
      <c r="P60983" s="2498"/>
    </row>
    <row r="60984" spans="16:16">
      <c r="P60984" s="2498"/>
    </row>
    <row r="60985" spans="16:16">
      <c r="P60985" s="2498"/>
    </row>
    <row r="60986" spans="16:16">
      <c r="P60986" s="2498"/>
    </row>
    <row r="60987" spans="16:16">
      <c r="P60987" s="2498"/>
    </row>
    <row r="60988" spans="16:16">
      <c r="P60988" s="2498"/>
    </row>
    <row r="60989" spans="16:16">
      <c r="P60989" s="2498"/>
    </row>
    <row r="60990" spans="16:16">
      <c r="P60990" s="2498"/>
    </row>
    <row r="60991" spans="16:16">
      <c r="P60991" s="2498"/>
    </row>
    <row r="60992" spans="16:16">
      <c r="P60992" s="2498"/>
    </row>
    <row r="60993" spans="16:16">
      <c r="P60993" s="2498"/>
    </row>
    <row r="60994" spans="16:16">
      <c r="P60994" s="2498"/>
    </row>
    <row r="60995" spans="16:16">
      <c r="P60995" s="2498"/>
    </row>
    <row r="60996" spans="16:16">
      <c r="P60996" s="2498"/>
    </row>
    <row r="60997" spans="16:16">
      <c r="P60997" s="2498"/>
    </row>
    <row r="60998" spans="16:16">
      <c r="P60998" s="2498"/>
    </row>
    <row r="60999" spans="16:16">
      <c r="P60999" s="2498"/>
    </row>
    <row r="61000" spans="16:16">
      <c r="P61000" s="2498"/>
    </row>
    <row r="61001" spans="16:16">
      <c r="P61001" s="2498"/>
    </row>
    <row r="61002" spans="16:16">
      <c r="P61002" s="2498"/>
    </row>
    <row r="61003" spans="16:16">
      <c r="P61003" s="2498"/>
    </row>
    <row r="61004" spans="16:16">
      <c r="P61004" s="2498"/>
    </row>
    <row r="61005" spans="16:16">
      <c r="P61005" s="2498"/>
    </row>
    <row r="61006" spans="16:16">
      <c r="P61006" s="2498"/>
    </row>
    <row r="61007" spans="16:16">
      <c r="P61007" s="2498"/>
    </row>
    <row r="61008" spans="16:16">
      <c r="P61008" s="2498"/>
    </row>
    <row r="61009" spans="16:16">
      <c r="P61009" s="2498"/>
    </row>
    <row r="61010" spans="16:16">
      <c r="P61010" s="2498"/>
    </row>
    <row r="61011" spans="16:16">
      <c r="P61011" s="2498"/>
    </row>
    <row r="61012" spans="16:16">
      <c r="P61012" s="2498"/>
    </row>
    <row r="61013" spans="16:16">
      <c r="P61013" s="2498"/>
    </row>
    <row r="61014" spans="16:16">
      <c r="P61014" s="2498"/>
    </row>
    <row r="61015" spans="16:16">
      <c r="P61015" s="2498"/>
    </row>
    <row r="61016" spans="16:16">
      <c r="P61016" s="2498"/>
    </row>
    <row r="61017" spans="16:16">
      <c r="P61017" s="2498"/>
    </row>
    <row r="61018" spans="16:16">
      <c r="P61018" s="2498"/>
    </row>
    <row r="61019" spans="16:16">
      <c r="P61019" s="2498"/>
    </row>
    <row r="61020" spans="16:16">
      <c r="P61020" s="2498"/>
    </row>
    <row r="61021" spans="16:16">
      <c r="P61021" s="2498"/>
    </row>
    <row r="61022" spans="16:16">
      <c r="P61022" s="2498"/>
    </row>
    <row r="61023" spans="16:16">
      <c r="P61023" s="2498"/>
    </row>
    <row r="61024" spans="16:16">
      <c r="P61024" s="2498"/>
    </row>
    <row r="61025" spans="16:16">
      <c r="P61025" s="2498"/>
    </row>
    <row r="61026" spans="16:16">
      <c r="P61026" s="2498"/>
    </row>
    <row r="61027" spans="16:16">
      <c r="P61027" s="2498"/>
    </row>
    <row r="61028" spans="16:16">
      <c r="P61028" s="2498"/>
    </row>
    <row r="61029" spans="16:16">
      <c r="P61029" s="2498"/>
    </row>
    <row r="61030" spans="16:16">
      <c r="P61030" s="2498"/>
    </row>
    <row r="61031" spans="16:16">
      <c r="P61031" s="2498"/>
    </row>
    <row r="61032" spans="16:16">
      <c r="P61032" s="2498"/>
    </row>
    <row r="61033" spans="16:16">
      <c r="P61033" s="2498"/>
    </row>
    <row r="61034" spans="16:16">
      <c r="P61034" s="2498"/>
    </row>
    <row r="61035" spans="16:16">
      <c r="P61035" s="2498"/>
    </row>
    <row r="61036" spans="16:16">
      <c r="P61036" s="2498"/>
    </row>
    <row r="61037" spans="16:16">
      <c r="P61037" s="2498"/>
    </row>
    <row r="61038" spans="16:16">
      <c r="P61038" s="2498"/>
    </row>
    <row r="61039" spans="16:16">
      <c r="P61039" s="2498"/>
    </row>
    <row r="61040" spans="16:16">
      <c r="P61040" s="2498"/>
    </row>
    <row r="61041" spans="16:16">
      <c r="P61041" s="2498"/>
    </row>
    <row r="61042" spans="16:16">
      <c r="P61042" s="2498"/>
    </row>
    <row r="61043" spans="16:16">
      <c r="P61043" s="2498"/>
    </row>
    <row r="61044" spans="16:16">
      <c r="P61044" s="2498"/>
    </row>
    <row r="61045" spans="16:16">
      <c r="P61045" s="2498"/>
    </row>
    <row r="61046" spans="16:16">
      <c r="P61046" s="2498"/>
    </row>
    <row r="61047" spans="16:16">
      <c r="P61047" s="2498"/>
    </row>
    <row r="61048" spans="16:16">
      <c r="P61048" s="2498"/>
    </row>
    <row r="61049" spans="16:16">
      <c r="P61049" s="2498"/>
    </row>
    <row r="61050" spans="16:16">
      <c r="P61050" s="2498"/>
    </row>
    <row r="61051" spans="16:16">
      <c r="P61051" s="2498"/>
    </row>
    <row r="61052" spans="16:16">
      <c r="P61052" s="2498"/>
    </row>
    <row r="61053" spans="16:16">
      <c r="P61053" s="2498"/>
    </row>
    <row r="61054" spans="16:16">
      <c r="P61054" s="2498"/>
    </row>
    <row r="61055" spans="16:16">
      <c r="P61055" s="2498"/>
    </row>
    <row r="61056" spans="16:16">
      <c r="P61056" s="2498"/>
    </row>
    <row r="61057" spans="16:16">
      <c r="P61057" s="2498"/>
    </row>
    <row r="61058" spans="16:16">
      <c r="P61058" s="2498"/>
    </row>
    <row r="61059" spans="16:16">
      <c r="P61059" s="2498"/>
    </row>
    <row r="61060" spans="16:16">
      <c r="P61060" s="2498"/>
    </row>
    <row r="61061" spans="16:16">
      <c r="P61061" s="2498"/>
    </row>
    <row r="61062" spans="16:16">
      <c r="P61062" s="2498"/>
    </row>
    <row r="61063" spans="16:16">
      <c r="P61063" s="2498"/>
    </row>
    <row r="61064" spans="16:16">
      <c r="P61064" s="2498"/>
    </row>
    <row r="61065" spans="16:16">
      <c r="P61065" s="2498"/>
    </row>
    <row r="61066" spans="16:16">
      <c r="P61066" s="2498"/>
    </row>
    <row r="61067" spans="16:16">
      <c r="P61067" s="2498"/>
    </row>
    <row r="61068" spans="16:16">
      <c r="P61068" s="2498"/>
    </row>
    <row r="61069" spans="16:16">
      <c r="P61069" s="2498"/>
    </row>
    <row r="61070" spans="16:16">
      <c r="P61070" s="2498"/>
    </row>
    <row r="61071" spans="16:16">
      <c r="P61071" s="2498"/>
    </row>
    <row r="61072" spans="16:16">
      <c r="P61072" s="2498"/>
    </row>
    <row r="61073" spans="16:16">
      <c r="P61073" s="2498"/>
    </row>
    <row r="61074" spans="16:16">
      <c r="P61074" s="2498"/>
    </row>
    <row r="61075" spans="16:16">
      <c r="P61075" s="2498"/>
    </row>
    <row r="61076" spans="16:16">
      <c r="P61076" s="2498"/>
    </row>
    <row r="61077" spans="16:16">
      <c r="P61077" s="2498"/>
    </row>
    <row r="61078" spans="16:16">
      <c r="P61078" s="2498"/>
    </row>
    <row r="61079" spans="16:16">
      <c r="P61079" s="2498"/>
    </row>
    <row r="61080" spans="16:16">
      <c r="P61080" s="2498"/>
    </row>
    <row r="61081" spans="16:16">
      <c r="P61081" s="2498"/>
    </row>
    <row r="61082" spans="16:16">
      <c r="P61082" s="2498"/>
    </row>
    <row r="61083" spans="16:16">
      <c r="P61083" s="2498"/>
    </row>
    <row r="61084" spans="16:16">
      <c r="P61084" s="2498"/>
    </row>
    <row r="61085" spans="16:16">
      <c r="P61085" s="2498"/>
    </row>
    <row r="61086" spans="16:16">
      <c r="P61086" s="2498"/>
    </row>
    <row r="61087" spans="16:16">
      <c r="P61087" s="2498"/>
    </row>
    <row r="61088" spans="16:16">
      <c r="P61088" s="2498"/>
    </row>
    <row r="61089" spans="16:16">
      <c r="P61089" s="2498"/>
    </row>
    <row r="61090" spans="16:16">
      <c r="P61090" s="2498"/>
    </row>
    <row r="61091" spans="16:16">
      <c r="P61091" s="2498"/>
    </row>
    <row r="61092" spans="16:16">
      <c r="P61092" s="2498"/>
    </row>
    <row r="61093" spans="16:16">
      <c r="P61093" s="2498"/>
    </row>
    <row r="61094" spans="16:16">
      <c r="P61094" s="2498"/>
    </row>
    <row r="61095" spans="16:16">
      <c r="P61095" s="2498"/>
    </row>
    <row r="61096" spans="16:16">
      <c r="P61096" s="2498"/>
    </row>
    <row r="61097" spans="16:16">
      <c r="P61097" s="2498"/>
    </row>
    <row r="61098" spans="16:16">
      <c r="P61098" s="2498"/>
    </row>
    <row r="61099" spans="16:16">
      <c r="P61099" s="2498"/>
    </row>
    <row r="61100" spans="16:16">
      <c r="P61100" s="2498"/>
    </row>
    <row r="61101" spans="16:16">
      <c r="P61101" s="2498"/>
    </row>
    <row r="61102" spans="16:16">
      <c r="P61102" s="2498"/>
    </row>
    <row r="61103" spans="16:16">
      <c r="P61103" s="2498"/>
    </row>
    <row r="61104" spans="16:16">
      <c r="P61104" s="2498"/>
    </row>
    <row r="61105" spans="16:16">
      <c r="P61105" s="2498"/>
    </row>
    <row r="61106" spans="16:16">
      <c r="P61106" s="2498"/>
    </row>
    <row r="61107" spans="16:16">
      <c r="P61107" s="2498"/>
    </row>
    <row r="61108" spans="16:16">
      <c r="P61108" s="2498"/>
    </row>
    <row r="61109" spans="16:16">
      <c r="P61109" s="2498"/>
    </row>
    <row r="61110" spans="16:16">
      <c r="P61110" s="2498"/>
    </row>
    <row r="61111" spans="16:16">
      <c r="P61111" s="2498"/>
    </row>
    <row r="61112" spans="16:16">
      <c r="P61112" s="2498"/>
    </row>
    <row r="61113" spans="16:16">
      <c r="P61113" s="2498"/>
    </row>
    <row r="61114" spans="16:16">
      <c r="P61114" s="2498"/>
    </row>
    <row r="61115" spans="16:16">
      <c r="P61115" s="2498"/>
    </row>
    <row r="61116" spans="16:16">
      <c r="P61116" s="2498"/>
    </row>
    <row r="61117" spans="16:16">
      <c r="P61117" s="2498"/>
    </row>
    <row r="61118" spans="16:16">
      <c r="P61118" s="2498"/>
    </row>
    <row r="61119" spans="16:16">
      <c r="P61119" s="2498"/>
    </row>
    <row r="61120" spans="16:16">
      <c r="P61120" s="2498"/>
    </row>
    <row r="61121" spans="16:16">
      <c r="P61121" s="2498"/>
    </row>
    <row r="61122" spans="16:16">
      <c r="P61122" s="2498"/>
    </row>
    <row r="61123" spans="16:16">
      <c r="P61123" s="2498"/>
    </row>
    <row r="61124" spans="16:16">
      <c r="P61124" s="2498"/>
    </row>
    <row r="61125" spans="16:16">
      <c r="P61125" s="2498"/>
    </row>
    <row r="61126" spans="16:16">
      <c r="P61126" s="2498"/>
    </row>
    <row r="61127" spans="16:16">
      <c r="P61127" s="2498"/>
    </row>
    <row r="61128" spans="16:16">
      <c r="P61128" s="2498"/>
    </row>
    <row r="61129" spans="16:16">
      <c r="P61129" s="2498"/>
    </row>
    <row r="61130" spans="16:16">
      <c r="P61130" s="2498"/>
    </row>
    <row r="61131" spans="16:16">
      <c r="P61131" s="2498"/>
    </row>
    <row r="61132" spans="16:16">
      <c r="P61132" s="2498"/>
    </row>
    <row r="61133" spans="16:16">
      <c r="P61133" s="2498"/>
    </row>
    <row r="61134" spans="16:16">
      <c r="P61134" s="2498"/>
    </row>
    <row r="61135" spans="16:16">
      <c r="P61135" s="2498"/>
    </row>
    <row r="61136" spans="16:16">
      <c r="P61136" s="2498"/>
    </row>
    <row r="61137" spans="16:16">
      <c r="P61137" s="2498"/>
    </row>
    <row r="61138" spans="16:16">
      <c r="P61138" s="2498"/>
    </row>
    <row r="61139" spans="16:16">
      <c r="P61139" s="2498"/>
    </row>
    <row r="61140" spans="16:16">
      <c r="P61140" s="2498"/>
    </row>
    <row r="61141" spans="16:16">
      <c r="P61141" s="2498"/>
    </row>
    <row r="61142" spans="16:16">
      <c r="P61142" s="2498"/>
    </row>
    <row r="61143" spans="16:16">
      <c r="P61143" s="2498"/>
    </row>
    <row r="61144" spans="16:16">
      <c r="P61144" s="2498"/>
    </row>
    <row r="61145" spans="16:16">
      <c r="P61145" s="2498"/>
    </row>
    <row r="61146" spans="16:16">
      <c r="P61146" s="2498"/>
    </row>
    <row r="61147" spans="16:16">
      <c r="P61147" s="2498"/>
    </row>
    <row r="61148" spans="16:16">
      <c r="P61148" s="2498"/>
    </row>
    <row r="61149" spans="16:16">
      <c r="P61149" s="2498"/>
    </row>
    <row r="61150" spans="16:16">
      <c r="P61150" s="2498"/>
    </row>
    <row r="61151" spans="16:16">
      <c r="P61151" s="2498"/>
    </row>
    <row r="61152" spans="16:16">
      <c r="P61152" s="2498"/>
    </row>
    <row r="61153" spans="16:16">
      <c r="P61153" s="2498"/>
    </row>
    <row r="61154" spans="16:16">
      <c r="P61154" s="2498"/>
    </row>
    <row r="61155" spans="16:16">
      <c r="P61155" s="2498"/>
    </row>
    <row r="61156" spans="16:16">
      <c r="P61156" s="2498"/>
    </row>
    <row r="61157" spans="16:16">
      <c r="P61157" s="2498"/>
    </row>
    <row r="61158" spans="16:16">
      <c r="P61158" s="2498"/>
    </row>
    <row r="61159" spans="16:16">
      <c r="P61159" s="2498"/>
    </row>
    <row r="61160" spans="16:16">
      <c r="P61160" s="2498"/>
    </row>
    <row r="61161" spans="16:16">
      <c r="P61161" s="2498"/>
    </row>
    <row r="61162" spans="16:16">
      <c r="P61162" s="2498"/>
    </row>
    <row r="61163" spans="16:16">
      <c r="P61163" s="2498"/>
    </row>
    <row r="61164" spans="16:16">
      <c r="P61164" s="2498"/>
    </row>
    <row r="61165" spans="16:16">
      <c r="P61165" s="2498"/>
    </row>
    <row r="61166" spans="16:16">
      <c r="P61166" s="2498"/>
    </row>
    <row r="61167" spans="16:16">
      <c r="P61167" s="2498"/>
    </row>
    <row r="61168" spans="16:16">
      <c r="P61168" s="2498"/>
    </row>
    <row r="61169" spans="16:16">
      <c r="P61169" s="2498"/>
    </row>
    <row r="61170" spans="16:16">
      <c r="P61170" s="2498"/>
    </row>
    <row r="61171" spans="16:16">
      <c r="P61171" s="2498"/>
    </row>
    <row r="61172" spans="16:16">
      <c r="P61172" s="2498"/>
    </row>
    <row r="61173" spans="16:16">
      <c r="P61173" s="2498"/>
    </row>
    <row r="61174" spans="16:16">
      <c r="P61174" s="2498"/>
    </row>
    <row r="61175" spans="16:16">
      <c r="P61175" s="2498"/>
    </row>
    <row r="61176" spans="16:16">
      <c r="P61176" s="2498"/>
    </row>
    <row r="61177" spans="16:16">
      <c r="P61177" s="2498"/>
    </row>
    <row r="61178" spans="16:16">
      <c r="P61178" s="2498"/>
    </row>
    <row r="61179" spans="16:16">
      <c r="P61179" s="2498"/>
    </row>
    <row r="61180" spans="16:16">
      <c r="P61180" s="2498"/>
    </row>
    <row r="61181" spans="16:16">
      <c r="P61181" s="2498"/>
    </row>
    <row r="61182" spans="16:16">
      <c r="P61182" s="2498"/>
    </row>
    <row r="61183" spans="16:16">
      <c r="P61183" s="2498"/>
    </row>
    <row r="61184" spans="16:16">
      <c r="P61184" s="2498"/>
    </row>
    <row r="61185" spans="16:16">
      <c r="P61185" s="2498"/>
    </row>
    <row r="61186" spans="16:16">
      <c r="P61186" s="2498"/>
    </row>
    <row r="61187" spans="16:16">
      <c r="P61187" s="2498"/>
    </row>
    <row r="61188" spans="16:16">
      <c r="P61188" s="2498"/>
    </row>
    <row r="61189" spans="16:16">
      <c r="P61189" s="2498"/>
    </row>
    <row r="61190" spans="16:16">
      <c r="P61190" s="2498"/>
    </row>
    <row r="61191" spans="16:16">
      <c r="P61191" s="2498"/>
    </row>
    <row r="61192" spans="16:16">
      <c r="P61192" s="2498"/>
    </row>
    <row r="61193" spans="16:16">
      <c r="P61193" s="2498"/>
    </row>
    <row r="61194" spans="16:16">
      <c r="P61194" s="2498"/>
    </row>
    <row r="61195" spans="16:16">
      <c r="P61195" s="2498"/>
    </row>
    <row r="61196" spans="16:16">
      <c r="P61196" s="2498"/>
    </row>
    <row r="61197" spans="16:16">
      <c r="P61197" s="2498"/>
    </row>
    <row r="61198" spans="16:16">
      <c r="P61198" s="2498"/>
    </row>
    <row r="61199" spans="16:16">
      <c r="P61199" s="2498"/>
    </row>
    <row r="61200" spans="16:16">
      <c r="P61200" s="2498"/>
    </row>
    <row r="61201" spans="16:16">
      <c r="P61201" s="2498"/>
    </row>
    <row r="61202" spans="16:16">
      <c r="P61202" s="2498"/>
    </row>
    <row r="61203" spans="16:16">
      <c r="P61203" s="2498"/>
    </row>
    <row r="61204" spans="16:16">
      <c r="P61204" s="2498"/>
    </row>
    <row r="61205" spans="16:16">
      <c r="P61205" s="2498"/>
    </row>
    <row r="61206" spans="16:16">
      <c r="P61206" s="2498"/>
    </row>
    <row r="61207" spans="16:16">
      <c r="P61207" s="2498"/>
    </row>
    <row r="61208" spans="16:16">
      <c r="P61208" s="2498"/>
    </row>
    <row r="61209" spans="16:16">
      <c r="P61209" s="2498"/>
    </row>
    <row r="61210" spans="16:16">
      <c r="P61210" s="2498"/>
    </row>
    <row r="61211" spans="16:16">
      <c r="P61211" s="2498"/>
    </row>
    <row r="61212" spans="16:16">
      <c r="P61212" s="2498"/>
    </row>
    <row r="61213" spans="16:16">
      <c r="P61213" s="2498"/>
    </row>
    <row r="61214" spans="16:16">
      <c r="P61214" s="2498"/>
    </row>
    <row r="61215" spans="16:16">
      <c r="P61215" s="2498"/>
    </row>
    <row r="61216" spans="16:16">
      <c r="P61216" s="2498"/>
    </row>
    <row r="61217" spans="16:16">
      <c r="P61217" s="2498"/>
    </row>
    <row r="61218" spans="16:16">
      <c r="P61218" s="2498"/>
    </row>
    <row r="61219" spans="16:16">
      <c r="P61219" s="2498"/>
    </row>
    <row r="61220" spans="16:16">
      <c r="P61220" s="2498"/>
    </row>
    <row r="61221" spans="16:16">
      <c r="P61221" s="2498"/>
    </row>
    <row r="61222" spans="16:16">
      <c r="P61222" s="2498"/>
    </row>
    <row r="61223" spans="16:16">
      <c r="P61223" s="2498"/>
    </row>
    <row r="61224" spans="16:16">
      <c r="P61224" s="2498"/>
    </row>
    <row r="61225" spans="16:16">
      <c r="P61225" s="2498"/>
    </row>
    <row r="61226" spans="16:16">
      <c r="P61226" s="2498"/>
    </row>
    <row r="61227" spans="16:16">
      <c r="P61227" s="2498"/>
    </row>
    <row r="61228" spans="16:16">
      <c r="P61228" s="2498"/>
    </row>
    <row r="61229" spans="16:16">
      <c r="P61229" s="2498"/>
    </row>
    <row r="61230" spans="16:16">
      <c r="P61230" s="2498"/>
    </row>
    <row r="61231" spans="16:16">
      <c r="P61231" s="2498"/>
    </row>
    <row r="61232" spans="16:16">
      <c r="P61232" s="2498"/>
    </row>
    <row r="61233" spans="16:16">
      <c r="P61233" s="2498"/>
    </row>
    <row r="61234" spans="16:16">
      <c r="P61234" s="2498"/>
    </row>
    <row r="61235" spans="16:16">
      <c r="P61235" s="2498"/>
    </row>
    <row r="61236" spans="16:16">
      <c r="P61236" s="2498"/>
    </row>
    <row r="61237" spans="16:16">
      <c r="P61237" s="2498"/>
    </row>
    <row r="61238" spans="16:16">
      <c r="P61238" s="2498"/>
    </row>
    <row r="61239" spans="16:16">
      <c r="P61239" s="2498"/>
    </row>
    <row r="61240" spans="16:16">
      <c r="P61240" s="2498"/>
    </row>
    <row r="61241" spans="16:16">
      <c r="P61241" s="2498"/>
    </row>
    <row r="61242" spans="16:16">
      <c r="P61242" s="2498"/>
    </row>
    <row r="61243" spans="16:16">
      <c r="P61243" s="2498"/>
    </row>
    <row r="61244" spans="16:16">
      <c r="P61244" s="2498"/>
    </row>
    <row r="61245" spans="16:16">
      <c r="P61245" s="2498"/>
    </row>
    <row r="61246" spans="16:16">
      <c r="P61246" s="2498"/>
    </row>
    <row r="61247" spans="16:16">
      <c r="P61247" s="2498"/>
    </row>
    <row r="61248" spans="16:16">
      <c r="P61248" s="2498"/>
    </row>
    <row r="61249" spans="16:16">
      <c r="P61249" s="2498"/>
    </row>
    <row r="61250" spans="16:16">
      <c r="P61250" s="2498"/>
    </row>
    <row r="61251" spans="16:16">
      <c r="P61251" s="2498"/>
    </row>
    <row r="61252" spans="16:16">
      <c r="P61252" s="2498"/>
    </row>
    <row r="61253" spans="16:16">
      <c r="P61253" s="2498"/>
    </row>
    <row r="61254" spans="16:16">
      <c r="P61254" s="2498"/>
    </row>
    <row r="61255" spans="16:16">
      <c r="P61255" s="2498"/>
    </row>
    <row r="61256" spans="16:16">
      <c r="P61256" s="2498"/>
    </row>
    <row r="61257" spans="16:16">
      <c r="P61257" s="2498"/>
    </row>
    <row r="61258" spans="16:16">
      <c r="P61258" s="2498"/>
    </row>
    <row r="61259" spans="16:16">
      <c r="P61259" s="2498"/>
    </row>
    <row r="61260" spans="16:16">
      <c r="P61260" s="2498"/>
    </row>
    <row r="61261" spans="16:16">
      <c r="P61261" s="2498"/>
    </row>
    <row r="61262" spans="16:16">
      <c r="P61262" s="2498"/>
    </row>
    <row r="61263" spans="16:16">
      <c r="P61263" s="2498"/>
    </row>
    <row r="61264" spans="16:16">
      <c r="P61264" s="2498"/>
    </row>
    <row r="61265" spans="16:16">
      <c r="P61265" s="2498"/>
    </row>
    <row r="61266" spans="16:16">
      <c r="P61266" s="2498"/>
    </row>
    <row r="61267" spans="16:16">
      <c r="P61267" s="2498"/>
    </row>
    <row r="61268" spans="16:16">
      <c r="P61268" s="2498"/>
    </row>
    <row r="61269" spans="16:16">
      <c r="P61269" s="2498"/>
    </row>
    <row r="61270" spans="16:16">
      <c r="P61270" s="2498"/>
    </row>
    <row r="61271" spans="16:16">
      <c r="P61271" s="2498"/>
    </row>
    <row r="61272" spans="16:16">
      <c r="P61272" s="2498"/>
    </row>
    <row r="61273" spans="16:16">
      <c r="P61273" s="2498"/>
    </row>
    <row r="61274" spans="16:16">
      <c r="P61274" s="2498"/>
    </row>
    <row r="61275" spans="16:16">
      <c r="P61275" s="2498"/>
    </row>
    <row r="61276" spans="16:16">
      <c r="P61276" s="2498"/>
    </row>
    <row r="61277" spans="16:16">
      <c r="P61277" s="2498"/>
    </row>
    <row r="61278" spans="16:16">
      <c r="P61278" s="2498"/>
    </row>
    <row r="61279" spans="16:16">
      <c r="P61279" s="2498"/>
    </row>
    <row r="61280" spans="16:16">
      <c r="P61280" s="2498"/>
    </row>
    <row r="61281" spans="16:16">
      <c r="P61281" s="2498"/>
    </row>
    <row r="61282" spans="16:16">
      <c r="P61282" s="2498"/>
    </row>
    <row r="61283" spans="16:16">
      <c r="P61283" s="2498"/>
    </row>
    <row r="61284" spans="16:16">
      <c r="P61284" s="2498"/>
    </row>
    <row r="61285" spans="16:16">
      <c r="P61285" s="2498"/>
    </row>
    <row r="61286" spans="16:16">
      <c r="P61286" s="2498"/>
    </row>
    <row r="61287" spans="16:16">
      <c r="P61287" s="2498"/>
    </row>
    <row r="61288" spans="16:16">
      <c r="P61288" s="2498"/>
    </row>
    <row r="61289" spans="16:16">
      <c r="P61289" s="2498"/>
    </row>
    <row r="61290" spans="16:16">
      <c r="P61290" s="2498"/>
    </row>
    <row r="61291" spans="16:16">
      <c r="P61291" s="2498"/>
    </row>
    <row r="61292" spans="16:16">
      <c r="P61292" s="2498"/>
    </row>
    <row r="61293" spans="16:16">
      <c r="P61293" s="2498"/>
    </row>
    <row r="61294" spans="16:16">
      <c r="P61294" s="2498"/>
    </row>
    <row r="61295" spans="16:16">
      <c r="P61295" s="2498"/>
    </row>
    <row r="61296" spans="16:16">
      <c r="P61296" s="2498"/>
    </row>
    <row r="61297" spans="16:16">
      <c r="P61297" s="2498"/>
    </row>
    <row r="61298" spans="16:16">
      <c r="P61298" s="2498"/>
    </row>
    <row r="61299" spans="16:16">
      <c r="P61299" s="2498"/>
    </row>
    <row r="61300" spans="16:16">
      <c r="P61300" s="2498"/>
    </row>
    <row r="61301" spans="16:16">
      <c r="P61301" s="2498"/>
    </row>
    <row r="61302" spans="16:16">
      <c r="P61302" s="2498"/>
    </row>
    <row r="61303" spans="16:16">
      <c r="P61303" s="2498"/>
    </row>
    <row r="61304" spans="16:16">
      <c r="P61304" s="2498"/>
    </row>
    <row r="61305" spans="16:16">
      <c r="P61305" s="2498"/>
    </row>
    <row r="61306" spans="16:16">
      <c r="P61306" s="2498"/>
    </row>
    <row r="61307" spans="16:16">
      <c r="P61307" s="2498"/>
    </row>
    <row r="61308" spans="16:16">
      <c r="P61308" s="2498"/>
    </row>
    <row r="61309" spans="16:16">
      <c r="P61309" s="2498"/>
    </row>
    <row r="61310" spans="16:16">
      <c r="P61310" s="2498"/>
    </row>
    <row r="61311" spans="16:16">
      <c r="P61311" s="2498"/>
    </row>
    <row r="61312" spans="16:16">
      <c r="P61312" s="2498"/>
    </row>
    <row r="61313" spans="16:16">
      <c r="P61313" s="2498"/>
    </row>
    <row r="61314" spans="16:16">
      <c r="P61314" s="2498"/>
    </row>
    <row r="61315" spans="16:16">
      <c r="P61315" s="2498"/>
    </row>
    <row r="61316" spans="16:16">
      <c r="P61316" s="2498"/>
    </row>
    <row r="61317" spans="16:16">
      <c r="P61317" s="2498"/>
    </row>
    <row r="61318" spans="16:16">
      <c r="P61318" s="2498"/>
    </row>
    <row r="61319" spans="16:16">
      <c r="P61319" s="2498"/>
    </row>
    <row r="61320" spans="16:16">
      <c r="P61320" s="2498"/>
    </row>
    <row r="61321" spans="16:16">
      <c r="P61321" s="2498"/>
    </row>
    <row r="61322" spans="16:16">
      <c r="P61322" s="2498"/>
    </row>
    <row r="61323" spans="16:16">
      <c r="P61323" s="2498"/>
    </row>
    <row r="61324" spans="16:16">
      <c r="P61324" s="2498"/>
    </row>
    <row r="61325" spans="16:16">
      <c r="P61325" s="2498"/>
    </row>
    <row r="61326" spans="16:16">
      <c r="P61326" s="2498"/>
    </row>
    <row r="61327" spans="16:16">
      <c r="P61327" s="2498"/>
    </row>
    <row r="61328" spans="16:16">
      <c r="P61328" s="2498"/>
    </row>
    <row r="61329" spans="16:16">
      <c r="P61329" s="2498"/>
    </row>
    <row r="61330" spans="16:16">
      <c r="P61330" s="2498"/>
    </row>
    <row r="61331" spans="16:16">
      <c r="P61331" s="2498"/>
    </row>
    <row r="61332" spans="16:16">
      <c r="P61332" s="2498"/>
    </row>
    <row r="61333" spans="16:16">
      <c r="P61333" s="2498"/>
    </row>
    <row r="61334" spans="16:16">
      <c r="P61334" s="2498"/>
    </row>
    <row r="61335" spans="16:16">
      <c r="P61335" s="2498"/>
    </row>
    <row r="61336" spans="16:16">
      <c r="P61336" s="2498"/>
    </row>
    <row r="61337" spans="16:16">
      <c r="P61337" s="2498"/>
    </row>
    <row r="61338" spans="16:16">
      <c r="P61338" s="2498"/>
    </row>
    <row r="61339" spans="16:16">
      <c r="P61339" s="2498"/>
    </row>
    <row r="61340" spans="16:16">
      <c r="P61340" s="2498"/>
    </row>
    <row r="61341" spans="16:16">
      <c r="P61341" s="2498"/>
    </row>
    <row r="61342" spans="16:16">
      <c r="P61342" s="2498"/>
    </row>
    <row r="61343" spans="16:16">
      <c r="P61343" s="2498"/>
    </row>
    <row r="61344" spans="16:16">
      <c r="P61344" s="2498"/>
    </row>
    <row r="61345" spans="16:16">
      <c r="P61345" s="2498"/>
    </row>
    <row r="61346" spans="16:16">
      <c r="P61346" s="2498"/>
    </row>
    <row r="61347" spans="16:16">
      <c r="P61347" s="2498"/>
    </row>
    <row r="61348" spans="16:16">
      <c r="P61348" s="2498"/>
    </row>
    <row r="61349" spans="16:16">
      <c r="P61349" s="2498"/>
    </row>
    <row r="61350" spans="16:16">
      <c r="P61350" s="2498"/>
    </row>
    <row r="61351" spans="16:16">
      <c r="P61351" s="2498"/>
    </row>
    <row r="61352" spans="16:16">
      <c r="P61352" s="2498"/>
    </row>
    <row r="61353" spans="16:16">
      <c r="P61353" s="2498"/>
    </row>
    <row r="61354" spans="16:16">
      <c r="P61354" s="2498"/>
    </row>
    <row r="61355" spans="16:16">
      <c r="P61355" s="2498"/>
    </row>
    <row r="61356" spans="16:16">
      <c r="P61356" s="2498"/>
    </row>
    <row r="61357" spans="16:16">
      <c r="P61357" s="2498"/>
    </row>
    <row r="61358" spans="16:16">
      <c r="P61358" s="2498"/>
    </row>
    <row r="61359" spans="16:16">
      <c r="P61359" s="2498"/>
    </row>
    <row r="61360" spans="16:16">
      <c r="P61360" s="2498"/>
    </row>
    <row r="61361" spans="16:16">
      <c r="P61361" s="2498"/>
    </row>
    <row r="61362" spans="16:16">
      <c r="P61362" s="2498"/>
    </row>
    <row r="61363" spans="16:16">
      <c r="P61363" s="2498"/>
    </row>
    <row r="61364" spans="16:16">
      <c r="P61364" s="2498"/>
    </row>
    <row r="61365" spans="16:16">
      <c r="P61365" s="2498"/>
    </row>
    <row r="61366" spans="16:16">
      <c r="P61366" s="2498"/>
    </row>
    <row r="61367" spans="16:16">
      <c r="P61367" s="2498"/>
    </row>
    <row r="61368" spans="16:16">
      <c r="P61368" s="2498"/>
    </row>
    <row r="61369" spans="16:16">
      <c r="P61369" s="2498"/>
    </row>
    <row r="61370" spans="16:16">
      <c r="P61370" s="2498"/>
    </row>
    <row r="61371" spans="16:16">
      <c r="P61371" s="2498"/>
    </row>
    <row r="61372" spans="16:16">
      <c r="P61372" s="2498"/>
    </row>
    <row r="61373" spans="16:16">
      <c r="P61373" s="2498"/>
    </row>
    <row r="61374" spans="16:16">
      <c r="P61374" s="2498"/>
    </row>
    <row r="61375" spans="16:16">
      <c r="P61375" s="2498"/>
    </row>
    <row r="61376" spans="16:16">
      <c r="P61376" s="2498"/>
    </row>
    <row r="61377" spans="16:16">
      <c r="P61377" s="2498"/>
    </row>
    <row r="61378" spans="16:16">
      <c r="P61378" s="2498"/>
    </row>
    <row r="61379" spans="16:16">
      <c r="P61379" s="2498"/>
    </row>
    <row r="61380" spans="16:16">
      <c r="P61380" s="2498"/>
    </row>
    <row r="61381" spans="16:16">
      <c r="P61381" s="2498"/>
    </row>
    <row r="61382" spans="16:16">
      <c r="P61382" s="2498"/>
    </row>
    <row r="61383" spans="16:16">
      <c r="P61383" s="2498"/>
    </row>
    <row r="61384" spans="16:16">
      <c r="P61384" s="2498"/>
    </row>
    <row r="61385" spans="16:16">
      <c r="P61385" s="2498"/>
    </row>
    <row r="61386" spans="16:16">
      <c r="P61386" s="2498"/>
    </row>
    <row r="61387" spans="16:16">
      <c r="P61387" s="2498"/>
    </row>
    <row r="61388" spans="16:16">
      <c r="P61388" s="2498"/>
    </row>
    <row r="61389" spans="16:16">
      <c r="P61389" s="2498"/>
    </row>
    <row r="61390" spans="16:16">
      <c r="P61390" s="2498"/>
    </row>
    <row r="61391" spans="16:16">
      <c r="P61391" s="2498"/>
    </row>
    <row r="61392" spans="16:16">
      <c r="P61392" s="2498"/>
    </row>
    <row r="61393" spans="16:16">
      <c r="P61393" s="2498"/>
    </row>
    <row r="61394" spans="16:16">
      <c r="P61394" s="2498"/>
    </row>
    <row r="61395" spans="16:16">
      <c r="P61395" s="2498"/>
    </row>
    <row r="61396" spans="16:16">
      <c r="P61396" s="2498"/>
    </row>
    <row r="61397" spans="16:16">
      <c r="P61397" s="2498"/>
    </row>
    <row r="61398" spans="16:16">
      <c r="P61398" s="2498"/>
    </row>
    <row r="61399" spans="16:16">
      <c r="P61399" s="2498"/>
    </row>
    <row r="61400" spans="16:16">
      <c r="P61400" s="2498"/>
    </row>
    <row r="61401" spans="16:16">
      <c r="P61401" s="2498"/>
    </row>
    <row r="61402" spans="16:16">
      <c r="P61402" s="2498"/>
    </row>
    <row r="61403" spans="16:16">
      <c r="P61403" s="2498"/>
    </row>
    <row r="61404" spans="16:16">
      <c r="P61404" s="2498"/>
    </row>
    <row r="61405" spans="16:16">
      <c r="P61405" s="2498"/>
    </row>
    <row r="61406" spans="16:16">
      <c r="P61406" s="2498"/>
    </row>
    <row r="61407" spans="16:16">
      <c r="P61407" s="2498"/>
    </row>
    <row r="61408" spans="16:16">
      <c r="P61408" s="2498"/>
    </row>
    <row r="61409" spans="16:16">
      <c r="P61409" s="2498"/>
    </row>
    <row r="61410" spans="16:16">
      <c r="P61410" s="2498"/>
    </row>
    <row r="61411" spans="16:16">
      <c r="P61411" s="2498"/>
    </row>
    <row r="61412" spans="16:16">
      <c r="P61412" s="2498"/>
    </row>
    <row r="61413" spans="16:16">
      <c r="P61413" s="2498"/>
    </row>
    <row r="61414" spans="16:16">
      <c r="P61414" s="2498"/>
    </row>
    <row r="61415" spans="16:16">
      <c r="P61415" s="2498"/>
    </row>
    <row r="61416" spans="16:16">
      <c r="P61416" s="2498"/>
    </row>
    <row r="61417" spans="16:16">
      <c r="P61417" s="2498"/>
    </row>
    <row r="61418" spans="16:16">
      <c r="P61418" s="2498"/>
    </row>
    <row r="61419" spans="16:16">
      <c r="P61419" s="2498"/>
    </row>
    <row r="61420" spans="16:16">
      <c r="P61420" s="2498"/>
    </row>
    <row r="61421" spans="16:16">
      <c r="P61421" s="2498"/>
    </row>
    <row r="61422" spans="16:16">
      <c r="P61422" s="2498"/>
    </row>
    <row r="61423" spans="16:16">
      <c r="P61423" s="2498"/>
    </row>
    <row r="61424" spans="16:16">
      <c r="P61424" s="2498"/>
    </row>
    <row r="61425" spans="16:16">
      <c r="P61425" s="2498"/>
    </row>
    <row r="61426" spans="16:16">
      <c r="P61426" s="2498"/>
    </row>
    <row r="61427" spans="16:16">
      <c r="P61427" s="2498"/>
    </row>
    <row r="61428" spans="16:16">
      <c r="P61428" s="2498"/>
    </row>
    <row r="61429" spans="16:16">
      <c r="P61429" s="2498"/>
    </row>
    <row r="61430" spans="16:16">
      <c r="P61430" s="2498"/>
    </row>
    <row r="61431" spans="16:16">
      <c r="P61431" s="2498"/>
    </row>
    <row r="61432" spans="16:16">
      <c r="P61432" s="2498"/>
    </row>
    <row r="61433" spans="16:16">
      <c r="P61433" s="2498"/>
    </row>
    <row r="61434" spans="16:16">
      <c r="P61434" s="2498"/>
    </row>
    <row r="61435" spans="16:16">
      <c r="P61435" s="2498"/>
    </row>
    <row r="61436" spans="16:16">
      <c r="P61436" s="2498"/>
    </row>
    <row r="61437" spans="16:16">
      <c r="P61437" s="2498"/>
    </row>
    <row r="61438" spans="16:16">
      <c r="P61438" s="2498"/>
    </row>
    <row r="61439" spans="16:16">
      <c r="P61439" s="2498"/>
    </row>
    <row r="61440" spans="16:16">
      <c r="P61440" s="2498"/>
    </row>
    <row r="61441" spans="16:16">
      <c r="P61441" s="2498"/>
    </row>
    <row r="61442" spans="16:16">
      <c r="P61442" s="2498"/>
    </row>
    <row r="61443" spans="16:16">
      <c r="P61443" s="2498"/>
    </row>
    <row r="61444" spans="16:16">
      <c r="P61444" s="2498"/>
    </row>
    <row r="61445" spans="16:16">
      <c r="P61445" s="2498"/>
    </row>
    <row r="61446" spans="16:16">
      <c r="P61446" s="2498"/>
    </row>
    <row r="61447" spans="16:16">
      <c r="P61447" s="2498"/>
    </row>
    <row r="61448" spans="16:16">
      <c r="P61448" s="2498"/>
    </row>
    <row r="61449" spans="16:16">
      <c r="P61449" s="2498"/>
    </row>
    <row r="61450" spans="16:16">
      <c r="P61450" s="2498"/>
    </row>
    <row r="61451" spans="16:16">
      <c r="P61451" s="2498"/>
    </row>
    <row r="61452" spans="16:16">
      <c r="P61452" s="2498"/>
    </row>
    <row r="61453" spans="16:16">
      <c r="P61453" s="2498"/>
    </row>
    <row r="61454" spans="16:16">
      <c r="P61454" s="2498"/>
    </row>
    <row r="61455" spans="16:16">
      <c r="P61455" s="2498"/>
    </row>
    <row r="61456" spans="16:16">
      <c r="P61456" s="2498"/>
    </row>
    <row r="61457" spans="16:16">
      <c r="P61457" s="2498"/>
    </row>
    <row r="61458" spans="16:16">
      <c r="P61458" s="2498"/>
    </row>
    <row r="61459" spans="16:16">
      <c r="P61459" s="2498"/>
    </row>
    <row r="61460" spans="16:16">
      <c r="P61460" s="2498"/>
    </row>
    <row r="61461" spans="16:16">
      <c r="P61461" s="2498"/>
    </row>
    <row r="61462" spans="16:16">
      <c r="P61462" s="2498"/>
    </row>
    <row r="61463" spans="16:16">
      <c r="P61463" s="2498"/>
    </row>
    <row r="61464" spans="16:16">
      <c r="P61464" s="2498"/>
    </row>
    <row r="61465" spans="16:16">
      <c r="P61465" s="2498"/>
    </row>
    <row r="61466" spans="16:16">
      <c r="P61466" s="2498"/>
    </row>
    <row r="61467" spans="16:16">
      <c r="P61467" s="2498"/>
    </row>
    <row r="61468" spans="16:16">
      <c r="P61468" s="2498"/>
    </row>
    <row r="61469" spans="16:16">
      <c r="P61469" s="2498"/>
    </row>
    <row r="61470" spans="16:16">
      <c r="P61470" s="2498"/>
    </row>
    <row r="61471" spans="16:16">
      <c r="P61471" s="2498"/>
    </row>
    <row r="61472" spans="16:16">
      <c r="P61472" s="2498"/>
    </row>
    <row r="61473" spans="16:16">
      <c r="P61473" s="2498"/>
    </row>
    <row r="61474" spans="16:16">
      <c r="P61474" s="2498"/>
    </row>
    <row r="61475" spans="16:16">
      <c r="P61475" s="2498"/>
    </row>
    <row r="61476" spans="16:16">
      <c r="P61476" s="2498"/>
    </row>
    <row r="61477" spans="16:16">
      <c r="P61477" s="2498"/>
    </row>
    <row r="61478" spans="16:16">
      <c r="P61478" s="2498"/>
    </row>
    <row r="61479" spans="16:16">
      <c r="P61479" s="2498"/>
    </row>
    <row r="61480" spans="16:16">
      <c r="P61480" s="2498"/>
    </row>
    <row r="61481" spans="16:16">
      <c r="P61481" s="2498"/>
    </row>
    <row r="61482" spans="16:16">
      <c r="P61482" s="2498"/>
    </row>
    <row r="61483" spans="16:16">
      <c r="P61483" s="2498"/>
    </row>
    <row r="61484" spans="16:16">
      <c r="P61484" s="2498"/>
    </row>
    <row r="61485" spans="16:16">
      <c r="P61485" s="2498"/>
    </row>
    <row r="61486" spans="16:16">
      <c r="P61486" s="2498"/>
    </row>
    <row r="61487" spans="16:16">
      <c r="P61487" s="2498"/>
    </row>
    <row r="61488" spans="16:16">
      <c r="P61488" s="2498"/>
    </row>
    <row r="61489" spans="16:16">
      <c r="P61489" s="2498"/>
    </row>
    <row r="61490" spans="16:16">
      <c r="P61490" s="2498"/>
    </row>
    <row r="61491" spans="16:16">
      <c r="P61491" s="2498"/>
    </row>
    <row r="61492" spans="16:16">
      <c r="P61492" s="2498"/>
    </row>
    <row r="61493" spans="16:16">
      <c r="P61493" s="2498"/>
    </row>
    <row r="61494" spans="16:16">
      <c r="P61494" s="2498"/>
    </row>
    <row r="61495" spans="16:16">
      <c r="P61495" s="2498"/>
    </row>
    <row r="61496" spans="16:16">
      <c r="P61496" s="2498"/>
    </row>
    <row r="61497" spans="16:16">
      <c r="P61497" s="2498"/>
    </row>
    <row r="61498" spans="16:16">
      <c r="P61498" s="2498"/>
    </row>
    <row r="61499" spans="16:16">
      <c r="P61499" s="2498"/>
    </row>
    <row r="61500" spans="16:16">
      <c r="P61500" s="2498"/>
    </row>
    <row r="61501" spans="16:16">
      <c r="P61501" s="2498"/>
    </row>
    <row r="61502" spans="16:16">
      <c r="P61502" s="2498"/>
    </row>
    <row r="61503" spans="16:16">
      <c r="P61503" s="2498"/>
    </row>
    <row r="61504" spans="16:16">
      <c r="P61504" s="2498"/>
    </row>
    <row r="61505" spans="16:16">
      <c r="P61505" s="2498"/>
    </row>
    <row r="61506" spans="16:16">
      <c r="P61506" s="2498"/>
    </row>
    <row r="61507" spans="16:16">
      <c r="P61507" s="2498"/>
    </row>
    <row r="61508" spans="16:16">
      <c r="P61508" s="2498"/>
    </row>
    <row r="61509" spans="16:16">
      <c r="P61509" s="2498"/>
    </row>
    <row r="61510" spans="16:16">
      <c r="P61510" s="2498"/>
    </row>
    <row r="61511" spans="16:16">
      <c r="P61511" s="2498"/>
    </row>
    <row r="61512" spans="16:16">
      <c r="P61512" s="2498"/>
    </row>
    <row r="61513" spans="16:16">
      <c r="P61513" s="2498"/>
    </row>
    <row r="61514" spans="16:16">
      <c r="P61514" s="2498"/>
    </row>
    <row r="61515" spans="16:16">
      <c r="P61515" s="2498"/>
    </row>
    <row r="61516" spans="16:16">
      <c r="P61516" s="2498"/>
    </row>
    <row r="61517" spans="16:16">
      <c r="P61517" s="2498"/>
    </row>
    <row r="61518" spans="16:16">
      <c r="P61518" s="2498"/>
    </row>
    <row r="61519" spans="16:16">
      <c r="P61519" s="2498"/>
    </row>
    <row r="61520" spans="16:16">
      <c r="P61520" s="2498"/>
    </row>
    <row r="61521" spans="16:16">
      <c r="P61521" s="2498"/>
    </row>
    <row r="61522" spans="16:16">
      <c r="P61522" s="2498"/>
    </row>
    <row r="61523" spans="16:16">
      <c r="P61523" s="2498"/>
    </row>
    <row r="61524" spans="16:16">
      <c r="P61524" s="2498"/>
    </row>
    <row r="61525" spans="16:16">
      <c r="P61525" s="2498"/>
    </row>
    <row r="61526" spans="16:16">
      <c r="P61526" s="2498"/>
    </row>
    <row r="61527" spans="16:16">
      <c r="P61527" s="2498"/>
    </row>
    <row r="61528" spans="16:16">
      <c r="P61528" s="2498"/>
    </row>
    <row r="61529" spans="16:16">
      <c r="P61529" s="2498"/>
    </row>
    <row r="61530" spans="16:16">
      <c r="P61530" s="2498"/>
    </row>
    <row r="61531" spans="16:16">
      <c r="P61531" s="2498"/>
    </row>
    <row r="61532" spans="16:16">
      <c r="P61532" s="2498"/>
    </row>
    <row r="61533" spans="16:16">
      <c r="P61533" s="2498"/>
    </row>
    <row r="61534" spans="16:16">
      <c r="P61534" s="2498"/>
    </row>
    <row r="61535" spans="16:16">
      <c r="P61535" s="2498"/>
    </row>
    <row r="61536" spans="16:16">
      <c r="P61536" s="2498"/>
    </row>
    <row r="61537" spans="16:16">
      <c r="P61537" s="2498"/>
    </row>
    <row r="61538" spans="16:16">
      <c r="P61538" s="2498"/>
    </row>
    <row r="61539" spans="16:16">
      <c r="P61539" s="2498"/>
    </row>
    <row r="61540" spans="16:16">
      <c r="P61540" s="2498"/>
    </row>
    <row r="61541" spans="16:16">
      <c r="P61541" s="2498"/>
    </row>
    <row r="61542" spans="16:16">
      <c r="P61542" s="2498"/>
    </row>
    <row r="61543" spans="16:16">
      <c r="P61543" s="2498"/>
    </row>
    <row r="61544" spans="16:16">
      <c r="P61544" s="2498"/>
    </row>
    <row r="61545" spans="16:16">
      <c r="P61545" s="2498"/>
    </row>
    <row r="61546" spans="16:16">
      <c r="P61546" s="2498"/>
    </row>
    <row r="61547" spans="16:16">
      <c r="P61547" s="2498"/>
    </row>
    <row r="61548" spans="16:16">
      <c r="P61548" s="2498"/>
    </row>
    <row r="61549" spans="16:16">
      <c r="P61549" s="2498"/>
    </row>
    <row r="61550" spans="16:16">
      <c r="P61550" s="2498"/>
    </row>
    <row r="61551" spans="16:16">
      <c r="P61551" s="2498"/>
    </row>
    <row r="61552" spans="16:16">
      <c r="P61552" s="2498"/>
    </row>
    <row r="61553" spans="16:16">
      <c r="P61553" s="2498"/>
    </row>
    <row r="61554" spans="16:16">
      <c r="P61554" s="2498"/>
    </row>
    <row r="61555" spans="16:16">
      <c r="P61555" s="2498"/>
    </row>
    <row r="61556" spans="16:16">
      <c r="P61556" s="2498"/>
    </row>
    <row r="61557" spans="16:16">
      <c r="P61557" s="2498"/>
    </row>
    <row r="61558" spans="16:16">
      <c r="P61558" s="2498"/>
    </row>
    <row r="61559" spans="16:16">
      <c r="P61559" s="2498"/>
    </row>
    <row r="61560" spans="16:16">
      <c r="P61560" s="2498"/>
    </row>
    <row r="61561" spans="16:16">
      <c r="P61561" s="2498"/>
    </row>
    <row r="61562" spans="16:16">
      <c r="P61562" s="2498"/>
    </row>
    <row r="61563" spans="16:16">
      <c r="P61563" s="2498"/>
    </row>
    <row r="61564" spans="16:16">
      <c r="P61564" s="2498"/>
    </row>
    <row r="61565" spans="16:16">
      <c r="P61565" s="2498"/>
    </row>
    <row r="61566" spans="16:16">
      <c r="P61566" s="2498"/>
    </row>
    <row r="61567" spans="16:16">
      <c r="P61567" s="2498"/>
    </row>
    <row r="61568" spans="16:16">
      <c r="P61568" s="2498"/>
    </row>
    <row r="61569" spans="16:16">
      <c r="P61569" s="2498"/>
    </row>
    <row r="61570" spans="16:16">
      <c r="P61570" s="2498"/>
    </row>
    <row r="61571" spans="16:16">
      <c r="P61571" s="2498"/>
    </row>
    <row r="61572" spans="16:16">
      <c r="P61572" s="2498"/>
    </row>
    <row r="61573" spans="16:16">
      <c r="P61573" s="2498"/>
    </row>
    <row r="61574" spans="16:16">
      <c r="P61574" s="2498"/>
    </row>
    <row r="61575" spans="16:16">
      <c r="P61575" s="2498"/>
    </row>
    <row r="61576" spans="16:16">
      <c r="P61576" s="2498"/>
    </row>
    <row r="61577" spans="16:16">
      <c r="P61577" s="2498"/>
    </row>
    <row r="61578" spans="16:16">
      <c r="P61578" s="2498"/>
    </row>
    <row r="61579" spans="16:16">
      <c r="P61579" s="2498"/>
    </row>
    <row r="61580" spans="16:16">
      <c r="P61580" s="2498"/>
    </row>
    <row r="61581" spans="16:16">
      <c r="P61581" s="2498"/>
    </row>
    <row r="61582" spans="16:16">
      <c r="P61582" s="2498"/>
    </row>
    <row r="61583" spans="16:16">
      <c r="P61583" s="2498"/>
    </row>
    <row r="61584" spans="16:16">
      <c r="P61584" s="2498"/>
    </row>
    <row r="61585" spans="16:16">
      <c r="P61585" s="2498"/>
    </row>
    <row r="61586" spans="16:16">
      <c r="P61586" s="2498"/>
    </row>
    <row r="61587" spans="16:16">
      <c r="P61587" s="2498"/>
    </row>
    <row r="61588" spans="16:16">
      <c r="P61588" s="2498"/>
    </row>
    <row r="61589" spans="16:16">
      <c r="P61589" s="2498"/>
    </row>
    <row r="61590" spans="16:16">
      <c r="P61590" s="2498"/>
    </row>
    <row r="61591" spans="16:16">
      <c r="P61591" s="2498"/>
    </row>
    <row r="61592" spans="16:16">
      <c r="P61592" s="2498"/>
    </row>
    <row r="61593" spans="16:16">
      <c r="P61593" s="2498"/>
    </row>
    <row r="61594" spans="16:16">
      <c r="P61594" s="2498"/>
    </row>
    <row r="61595" spans="16:16">
      <c r="P61595" s="2498"/>
    </row>
    <row r="61596" spans="16:16">
      <c r="P61596" s="2498"/>
    </row>
    <row r="61597" spans="16:16">
      <c r="P61597" s="2498"/>
    </row>
    <row r="61598" spans="16:16">
      <c r="P61598" s="2498"/>
    </row>
    <row r="61599" spans="16:16">
      <c r="P61599" s="2498"/>
    </row>
    <row r="61600" spans="16:16">
      <c r="P61600" s="2498"/>
    </row>
    <row r="61601" spans="16:16">
      <c r="P61601" s="2498"/>
    </row>
    <row r="61602" spans="16:16">
      <c r="P61602" s="2498"/>
    </row>
    <row r="61603" spans="16:16">
      <c r="P61603" s="2498"/>
    </row>
    <row r="61604" spans="16:16">
      <c r="P61604" s="2498"/>
    </row>
    <row r="61605" spans="16:16">
      <c r="P61605" s="2498"/>
    </row>
    <row r="61606" spans="16:16">
      <c r="P61606" s="2498"/>
    </row>
    <row r="61607" spans="16:16">
      <c r="P61607" s="2498"/>
    </row>
    <row r="61608" spans="16:16">
      <c r="P61608" s="2498"/>
    </row>
    <row r="61609" spans="16:16">
      <c r="P61609" s="2498"/>
    </row>
    <row r="61610" spans="16:16">
      <c r="P61610" s="2498"/>
    </row>
    <row r="61611" spans="16:16">
      <c r="P61611" s="2498"/>
    </row>
    <row r="61612" spans="16:16">
      <c r="P61612" s="2498"/>
    </row>
    <row r="61613" spans="16:16">
      <c r="P61613" s="2498"/>
    </row>
    <row r="61614" spans="16:16">
      <c r="P61614" s="2498"/>
    </row>
    <row r="61615" spans="16:16">
      <c r="P61615" s="2498"/>
    </row>
    <row r="61616" spans="16:16">
      <c r="P61616" s="2498"/>
    </row>
    <row r="61617" spans="16:16">
      <c r="P61617" s="2498"/>
    </row>
    <row r="61618" spans="16:16">
      <c r="P61618" s="2498"/>
    </row>
    <row r="61619" spans="16:16">
      <c r="P61619" s="2498"/>
    </row>
    <row r="61620" spans="16:16">
      <c r="P61620" s="2498"/>
    </row>
    <row r="61621" spans="16:16">
      <c r="P61621" s="2498"/>
    </row>
    <row r="61622" spans="16:16">
      <c r="P61622" s="2498"/>
    </row>
    <row r="61623" spans="16:16">
      <c r="P61623" s="2498"/>
    </row>
    <row r="61624" spans="16:16">
      <c r="P61624" s="2498"/>
    </row>
    <row r="61625" spans="16:16">
      <c r="P61625" s="2498"/>
    </row>
    <row r="61626" spans="16:16">
      <c r="P61626" s="2498"/>
    </row>
    <row r="61627" spans="16:16">
      <c r="P61627" s="2498"/>
    </row>
    <row r="61628" spans="16:16">
      <c r="P61628" s="2498"/>
    </row>
    <row r="61629" spans="16:16">
      <c r="P61629" s="2498"/>
    </row>
    <row r="61630" spans="16:16">
      <c r="P61630" s="2498"/>
    </row>
    <row r="61631" spans="16:16">
      <c r="P61631" s="2498"/>
    </row>
    <row r="61632" spans="16:16">
      <c r="P61632" s="2498"/>
    </row>
    <row r="61633" spans="16:16">
      <c r="P61633" s="2498"/>
    </row>
    <row r="61634" spans="16:16">
      <c r="P61634" s="2498"/>
    </row>
    <row r="61635" spans="16:16">
      <c r="P61635" s="2498"/>
    </row>
    <row r="61636" spans="16:16">
      <c r="P61636" s="2498"/>
    </row>
    <row r="61637" spans="16:16">
      <c r="P61637" s="2498"/>
    </row>
    <row r="61638" spans="16:16">
      <c r="P61638" s="2498"/>
    </row>
    <row r="61639" spans="16:16">
      <c r="P61639" s="2498"/>
    </row>
    <row r="61640" spans="16:16">
      <c r="P61640" s="2498"/>
    </row>
    <row r="61641" spans="16:16">
      <c r="P61641" s="2498"/>
    </row>
    <row r="61642" spans="16:16">
      <c r="P61642" s="2498"/>
    </row>
    <row r="61643" spans="16:16">
      <c r="P61643" s="2498"/>
    </row>
    <row r="61644" spans="16:16">
      <c r="P61644" s="2498"/>
    </row>
    <row r="61645" spans="16:16">
      <c r="P61645" s="2498"/>
    </row>
    <row r="61646" spans="16:16">
      <c r="P61646" s="2498"/>
    </row>
    <row r="61647" spans="16:16">
      <c r="P61647" s="2498"/>
    </row>
    <row r="61648" spans="16:16">
      <c r="P61648" s="2498"/>
    </row>
    <row r="61649" spans="16:16">
      <c r="P61649" s="2498"/>
    </row>
    <row r="61650" spans="16:16">
      <c r="P61650" s="2498"/>
    </row>
    <row r="61651" spans="16:16">
      <c r="P61651" s="2498"/>
    </row>
    <row r="61652" spans="16:16">
      <c r="P61652" s="2498"/>
    </row>
    <row r="61653" spans="16:16">
      <c r="P61653" s="2498"/>
    </row>
    <row r="61654" spans="16:16">
      <c r="P61654" s="2498"/>
    </row>
    <row r="61655" spans="16:16">
      <c r="P61655" s="2498"/>
    </row>
    <row r="61656" spans="16:16">
      <c r="P61656" s="2498"/>
    </row>
    <row r="61657" spans="16:16">
      <c r="P61657" s="2498"/>
    </row>
    <row r="61658" spans="16:16">
      <c r="P61658" s="2498"/>
    </row>
    <row r="61659" spans="16:16">
      <c r="P61659" s="2498"/>
    </row>
    <row r="61660" spans="16:16">
      <c r="P61660" s="2498"/>
    </row>
    <row r="61661" spans="16:16">
      <c r="P61661" s="2498"/>
    </row>
    <row r="61662" spans="16:16">
      <c r="P61662" s="2498"/>
    </row>
    <row r="61663" spans="16:16">
      <c r="P61663" s="2498"/>
    </row>
    <row r="61664" spans="16:16">
      <c r="P61664" s="2498"/>
    </row>
    <row r="61665" spans="16:16">
      <c r="P61665" s="2498"/>
    </row>
    <row r="61666" spans="16:16">
      <c r="P61666" s="2498"/>
    </row>
    <row r="61667" spans="16:16">
      <c r="P61667" s="2498"/>
    </row>
    <row r="61668" spans="16:16">
      <c r="P61668" s="2498"/>
    </row>
    <row r="61669" spans="16:16">
      <c r="P61669" s="2498"/>
    </row>
    <row r="61670" spans="16:16">
      <c r="P61670" s="2498"/>
    </row>
    <row r="61671" spans="16:16">
      <c r="P61671" s="2498"/>
    </row>
    <row r="61672" spans="16:16">
      <c r="P61672" s="2498"/>
    </row>
    <row r="61673" spans="16:16">
      <c r="P61673" s="2498"/>
    </row>
    <row r="61674" spans="16:16">
      <c r="P61674" s="2498"/>
    </row>
    <row r="61675" spans="16:16">
      <c r="P61675" s="2498"/>
    </row>
    <row r="61676" spans="16:16">
      <c r="P61676" s="2498"/>
    </row>
    <row r="61677" spans="16:16">
      <c r="P61677" s="2498"/>
    </row>
    <row r="61678" spans="16:16">
      <c r="P61678" s="2498"/>
    </row>
    <row r="61679" spans="16:16">
      <c r="P61679" s="2498"/>
    </row>
    <row r="61680" spans="16:16">
      <c r="P61680" s="2498"/>
    </row>
    <row r="61681" spans="16:16">
      <c r="P61681" s="2498"/>
    </row>
    <row r="61682" spans="16:16">
      <c r="P61682" s="2498"/>
    </row>
    <row r="61683" spans="16:16">
      <c r="P61683" s="2498"/>
    </row>
    <row r="61684" spans="16:16">
      <c r="P61684" s="2498"/>
    </row>
    <row r="61685" spans="16:16">
      <c r="P61685" s="2498"/>
    </row>
    <row r="61686" spans="16:16">
      <c r="P61686" s="2498"/>
    </row>
    <row r="61687" spans="16:16">
      <c r="P61687" s="2498"/>
    </row>
    <row r="61688" spans="16:16">
      <c r="P61688" s="2498"/>
    </row>
    <row r="61689" spans="16:16">
      <c r="P61689" s="2498"/>
    </row>
    <row r="61690" spans="16:16">
      <c r="P61690" s="2498"/>
    </row>
    <row r="61691" spans="16:16">
      <c r="P61691" s="2498"/>
    </row>
    <row r="61692" spans="16:16">
      <c r="P61692" s="2498"/>
    </row>
    <row r="61693" spans="16:16">
      <c r="P61693" s="2498"/>
    </row>
    <row r="61694" spans="16:16">
      <c r="P61694" s="2498"/>
    </row>
    <row r="61695" spans="16:16">
      <c r="P61695" s="2498"/>
    </row>
    <row r="61696" spans="16:16">
      <c r="P61696" s="2498"/>
    </row>
    <row r="61697" spans="16:16">
      <c r="P61697" s="2498"/>
    </row>
    <row r="61698" spans="16:16">
      <c r="P61698" s="2498"/>
    </row>
    <row r="61699" spans="16:16">
      <c r="P61699" s="2498"/>
    </row>
    <row r="61700" spans="16:16">
      <c r="P61700" s="2498"/>
    </row>
    <row r="61701" spans="16:16">
      <c r="P61701" s="2498"/>
    </row>
    <row r="61702" spans="16:16">
      <c r="P61702" s="2498"/>
    </row>
    <row r="61703" spans="16:16">
      <c r="P61703" s="2498"/>
    </row>
    <row r="61704" spans="16:16">
      <c r="P61704" s="2498"/>
    </row>
    <row r="61705" spans="16:16">
      <c r="P61705" s="2498"/>
    </row>
    <row r="61706" spans="16:16">
      <c r="P61706" s="2498"/>
    </row>
    <row r="61707" spans="16:16">
      <c r="P61707" s="2498"/>
    </row>
    <row r="61708" spans="16:16">
      <c r="P61708" s="2498"/>
    </row>
    <row r="61709" spans="16:16">
      <c r="P61709" s="2498"/>
    </row>
    <row r="61710" spans="16:16">
      <c r="P61710" s="2498"/>
    </row>
    <row r="61711" spans="16:16">
      <c r="P61711" s="2498"/>
    </row>
    <row r="61712" spans="16:16">
      <c r="P61712" s="2498"/>
    </row>
    <row r="61713" spans="16:16">
      <c r="P61713" s="2498"/>
    </row>
    <row r="61714" spans="16:16">
      <c r="P61714" s="2498"/>
    </row>
    <row r="61715" spans="16:16">
      <c r="P61715" s="2498"/>
    </row>
    <row r="61716" spans="16:16">
      <c r="P61716" s="2498"/>
    </row>
    <row r="61717" spans="16:16">
      <c r="P61717" s="2498"/>
    </row>
    <row r="61718" spans="16:16">
      <c r="P61718" s="2498"/>
    </row>
    <row r="61719" spans="16:16">
      <c r="P61719" s="2498"/>
    </row>
    <row r="61720" spans="16:16">
      <c r="P61720" s="2498"/>
    </row>
    <row r="61721" spans="16:16">
      <c r="P61721" s="2498"/>
    </row>
    <row r="61722" spans="16:16">
      <c r="P61722" s="2498"/>
    </row>
    <row r="61723" spans="16:16">
      <c r="P61723" s="2498"/>
    </row>
    <row r="61724" spans="16:16">
      <c r="P61724" s="2498"/>
    </row>
    <row r="61725" spans="16:16">
      <c r="P61725" s="2498"/>
    </row>
    <row r="61726" spans="16:16">
      <c r="P61726" s="2498"/>
    </row>
    <row r="61727" spans="16:16">
      <c r="P61727" s="2498"/>
    </row>
    <row r="61728" spans="16:16">
      <c r="P61728" s="2498"/>
    </row>
    <row r="61729" spans="16:16">
      <c r="P61729" s="2498"/>
    </row>
    <row r="61730" spans="16:16">
      <c r="P61730" s="2498"/>
    </row>
    <row r="61731" spans="16:16">
      <c r="P61731" s="2498"/>
    </row>
    <row r="61732" spans="16:16">
      <c r="P61732" s="2498"/>
    </row>
    <row r="61733" spans="16:16">
      <c r="P61733" s="2498"/>
    </row>
    <row r="61734" spans="16:16">
      <c r="P61734" s="2498"/>
    </row>
    <row r="61735" spans="16:16">
      <c r="P61735" s="2498"/>
    </row>
    <row r="61736" spans="16:16">
      <c r="P61736" s="2498"/>
    </row>
    <row r="61737" spans="16:16">
      <c r="P61737" s="2498"/>
    </row>
    <row r="61738" spans="16:16">
      <c r="P61738" s="2498"/>
    </row>
    <row r="61739" spans="16:16">
      <c r="P61739" s="2498"/>
    </row>
    <row r="61740" spans="16:16">
      <c r="P61740" s="2498"/>
    </row>
    <row r="61741" spans="16:16">
      <c r="P61741" s="2498"/>
    </row>
    <row r="61742" spans="16:16">
      <c r="P61742" s="2498"/>
    </row>
    <row r="61743" spans="16:16">
      <c r="P61743" s="2498"/>
    </row>
    <row r="61744" spans="16:16">
      <c r="P61744" s="2498"/>
    </row>
    <row r="61745" spans="16:16">
      <c r="P61745" s="2498"/>
    </row>
    <row r="61746" spans="16:16">
      <c r="P61746" s="2498"/>
    </row>
    <row r="61747" spans="16:16">
      <c r="P61747" s="2498"/>
    </row>
    <row r="61748" spans="16:16">
      <c r="P61748" s="2498"/>
    </row>
    <row r="61749" spans="16:16">
      <c r="P61749" s="2498"/>
    </row>
    <row r="61750" spans="16:16">
      <c r="P61750" s="2498"/>
    </row>
    <row r="61751" spans="16:16">
      <c r="P61751" s="2498"/>
    </row>
    <row r="61752" spans="16:16">
      <c r="P61752" s="2498"/>
    </row>
    <row r="61753" spans="16:16">
      <c r="P61753" s="2498"/>
    </row>
    <row r="61754" spans="16:16">
      <c r="P61754" s="2498"/>
    </row>
    <row r="61755" spans="16:16">
      <c r="P61755" s="2498"/>
    </row>
    <row r="61756" spans="16:16">
      <c r="P61756" s="2498"/>
    </row>
    <row r="61757" spans="16:16">
      <c r="P61757" s="2498"/>
    </row>
    <row r="61758" spans="16:16">
      <c r="P61758" s="2498"/>
    </row>
    <row r="61759" spans="16:16">
      <c r="P61759" s="2498"/>
    </row>
    <row r="61760" spans="16:16">
      <c r="P61760" s="2498"/>
    </row>
    <row r="61761" spans="16:16">
      <c r="P61761" s="2498"/>
    </row>
    <row r="61762" spans="16:16">
      <c r="P61762" s="2498"/>
    </row>
    <row r="61763" spans="16:16">
      <c r="P61763" s="2498"/>
    </row>
    <row r="61764" spans="16:16">
      <c r="P61764" s="2498"/>
    </row>
    <row r="61765" spans="16:16">
      <c r="P61765" s="2498"/>
    </row>
    <row r="61766" spans="16:16">
      <c r="P61766" s="2498"/>
    </row>
    <row r="61767" spans="16:16">
      <c r="P61767" s="2498"/>
    </row>
    <row r="61768" spans="16:16">
      <c r="P61768" s="2498"/>
    </row>
    <row r="61769" spans="16:16">
      <c r="P61769" s="2498"/>
    </row>
    <row r="61770" spans="16:16">
      <c r="P61770" s="2498"/>
    </row>
    <row r="61771" spans="16:16">
      <c r="P61771" s="2498"/>
    </row>
    <row r="61772" spans="16:16">
      <c r="P61772" s="2498"/>
    </row>
    <row r="61773" spans="16:16">
      <c r="P61773" s="2498"/>
    </row>
    <row r="61774" spans="16:16">
      <c r="P61774" s="2498"/>
    </row>
    <row r="61775" spans="16:16">
      <c r="P61775" s="2498"/>
    </row>
    <row r="61776" spans="16:16">
      <c r="P61776" s="2498"/>
    </row>
    <row r="61777" spans="16:16">
      <c r="P61777" s="2498"/>
    </row>
    <row r="61778" spans="16:16">
      <c r="P61778" s="2498"/>
    </row>
    <row r="61779" spans="16:16">
      <c r="P61779" s="2498"/>
    </row>
    <row r="61780" spans="16:16">
      <c r="P61780" s="2498"/>
    </row>
    <row r="61781" spans="16:16">
      <c r="P61781" s="2498"/>
    </row>
    <row r="61782" spans="16:16">
      <c r="P61782" s="2498"/>
    </row>
    <row r="61783" spans="16:16">
      <c r="P61783" s="2498"/>
    </row>
    <row r="61784" spans="16:16">
      <c r="P61784" s="2498"/>
    </row>
    <row r="61785" spans="16:16">
      <c r="P61785" s="2498"/>
    </row>
    <row r="61786" spans="16:16">
      <c r="P61786" s="2498"/>
    </row>
    <row r="61787" spans="16:16">
      <c r="P61787" s="2498"/>
    </row>
    <row r="61788" spans="16:16">
      <c r="P61788" s="2498"/>
    </row>
    <row r="61789" spans="16:16">
      <c r="P61789" s="2498"/>
    </row>
    <row r="61790" spans="16:16">
      <c r="P61790" s="2498"/>
    </row>
    <row r="61791" spans="16:16">
      <c r="P61791" s="2498"/>
    </row>
    <row r="61792" spans="16:16">
      <c r="P61792" s="2498"/>
    </row>
    <row r="61793" spans="16:16">
      <c r="P61793" s="2498"/>
    </row>
    <row r="61794" spans="16:16">
      <c r="P61794" s="2498"/>
    </row>
    <row r="61795" spans="16:16">
      <c r="P61795" s="2498"/>
    </row>
    <row r="61796" spans="16:16">
      <c r="P61796" s="2498"/>
    </row>
    <row r="61797" spans="16:16">
      <c r="P61797" s="2498"/>
    </row>
    <row r="61798" spans="16:16">
      <c r="P61798" s="2498"/>
    </row>
    <row r="61799" spans="16:16">
      <c r="P61799" s="2498"/>
    </row>
    <row r="61800" spans="16:16">
      <c r="P61800" s="2498"/>
    </row>
    <row r="61801" spans="16:16">
      <c r="P61801" s="2498"/>
    </row>
    <row r="61802" spans="16:16">
      <c r="P61802" s="2498"/>
    </row>
    <row r="61803" spans="16:16">
      <c r="P61803" s="2498"/>
    </row>
    <row r="61804" spans="16:16">
      <c r="P61804" s="2498"/>
    </row>
    <row r="61805" spans="16:16">
      <c r="P61805" s="2498"/>
    </row>
    <row r="61806" spans="16:16">
      <c r="P61806" s="2498"/>
    </row>
    <row r="61807" spans="16:16">
      <c r="P61807" s="2498"/>
    </row>
    <row r="61808" spans="16:16">
      <c r="P61808" s="2498"/>
    </row>
    <row r="61809" spans="16:16">
      <c r="P61809" s="2498"/>
    </row>
    <row r="61810" spans="16:16">
      <c r="P61810" s="2498"/>
    </row>
    <row r="61811" spans="16:16">
      <c r="P61811" s="2498"/>
    </row>
    <row r="61812" spans="16:16">
      <c r="P61812" s="2498"/>
    </row>
    <row r="61813" spans="16:16">
      <c r="P61813" s="2498"/>
    </row>
    <row r="61814" spans="16:16">
      <c r="P61814" s="2498"/>
    </row>
    <row r="61815" spans="16:16">
      <c r="P61815" s="2498"/>
    </row>
    <row r="61816" spans="16:16">
      <c r="P61816" s="2498"/>
    </row>
    <row r="61817" spans="16:16">
      <c r="P61817" s="2498"/>
    </row>
    <row r="61818" spans="16:16">
      <c r="P61818" s="2498"/>
    </row>
    <row r="61819" spans="16:16">
      <c r="P61819" s="2498"/>
    </row>
    <row r="61820" spans="16:16">
      <c r="P61820" s="2498"/>
    </row>
    <row r="61821" spans="16:16">
      <c r="P61821" s="2498"/>
    </row>
    <row r="61822" spans="16:16">
      <c r="P61822" s="2498"/>
    </row>
    <row r="61823" spans="16:16">
      <c r="P61823" s="2498"/>
    </row>
    <row r="61824" spans="16:16">
      <c r="P61824" s="2498"/>
    </row>
    <row r="61825" spans="16:16">
      <c r="P61825" s="2498"/>
    </row>
    <row r="61826" spans="16:16">
      <c r="P61826" s="2498"/>
    </row>
    <row r="61827" spans="16:16">
      <c r="P61827" s="2498"/>
    </row>
    <row r="61828" spans="16:16">
      <c r="P61828" s="2498"/>
    </row>
    <row r="61829" spans="16:16">
      <c r="P61829" s="2498"/>
    </row>
    <row r="61830" spans="16:16">
      <c r="P61830" s="2498"/>
    </row>
    <row r="61831" spans="16:16">
      <c r="P61831" s="2498"/>
    </row>
    <row r="61832" spans="16:16">
      <c r="P61832" s="2498"/>
    </row>
    <row r="61833" spans="16:16">
      <c r="P61833" s="2498"/>
    </row>
    <row r="61834" spans="16:16">
      <c r="P61834" s="2498"/>
    </row>
    <row r="61835" spans="16:16">
      <c r="P61835" s="2498"/>
    </row>
    <row r="61836" spans="16:16">
      <c r="P61836" s="2498"/>
    </row>
    <row r="61837" spans="16:16">
      <c r="P61837" s="2498"/>
    </row>
    <row r="61838" spans="16:16">
      <c r="P61838" s="2498"/>
    </row>
    <row r="61839" spans="16:16">
      <c r="P61839" s="2498"/>
    </row>
    <row r="61840" spans="16:16">
      <c r="P61840" s="2498"/>
    </row>
    <row r="61841" spans="16:16">
      <c r="P61841" s="2498"/>
    </row>
    <row r="61842" spans="16:16">
      <c r="P61842" s="2498"/>
    </row>
    <row r="61843" spans="16:16">
      <c r="P61843" s="2498"/>
    </row>
    <row r="61844" spans="16:16">
      <c r="P61844" s="2498"/>
    </row>
    <row r="61845" spans="16:16">
      <c r="P61845" s="2498"/>
    </row>
    <row r="61846" spans="16:16">
      <c r="P61846" s="2498"/>
    </row>
    <row r="61847" spans="16:16">
      <c r="P61847" s="2498"/>
    </row>
    <row r="61848" spans="16:16">
      <c r="P61848" s="2498"/>
    </row>
    <row r="61849" spans="16:16">
      <c r="P61849" s="2498"/>
    </row>
    <row r="61850" spans="16:16">
      <c r="P61850" s="2498"/>
    </row>
    <row r="61851" spans="16:16">
      <c r="P61851" s="2498"/>
    </row>
    <row r="61852" spans="16:16">
      <c r="P61852" s="2498"/>
    </row>
    <row r="61853" spans="16:16">
      <c r="P61853" s="2498"/>
    </row>
    <row r="61854" spans="16:16">
      <c r="P61854" s="2498"/>
    </row>
    <row r="61855" spans="16:16">
      <c r="P61855" s="2498"/>
    </row>
    <row r="61856" spans="16:16">
      <c r="P61856" s="2498"/>
    </row>
    <row r="61857" spans="16:16">
      <c r="P61857" s="2498"/>
    </row>
    <row r="61858" spans="16:16">
      <c r="P61858" s="2498"/>
    </row>
    <row r="61859" spans="16:16">
      <c r="P61859" s="2498"/>
    </row>
    <row r="61860" spans="16:16">
      <c r="P61860" s="2498"/>
    </row>
    <row r="61861" spans="16:16">
      <c r="P61861" s="2498"/>
    </row>
    <row r="61862" spans="16:16">
      <c r="P61862" s="2498"/>
    </row>
    <row r="61863" spans="16:16">
      <c r="P61863" s="2498"/>
    </row>
    <row r="61864" spans="16:16">
      <c r="P61864" s="2498"/>
    </row>
    <row r="61865" spans="16:16">
      <c r="P61865" s="2498"/>
    </row>
    <row r="61866" spans="16:16">
      <c r="P61866" s="2498"/>
    </row>
    <row r="61867" spans="16:16">
      <c r="P61867" s="2498"/>
    </row>
    <row r="61868" spans="16:16">
      <c r="P61868" s="2498"/>
    </row>
    <row r="61869" spans="16:16">
      <c r="P61869" s="2498"/>
    </row>
    <row r="61870" spans="16:16">
      <c r="P61870" s="2498"/>
    </row>
    <row r="61871" spans="16:16">
      <c r="P61871" s="2498"/>
    </row>
    <row r="61872" spans="16:16">
      <c r="P61872" s="2498"/>
    </row>
    <row r="61873" spans="16:16">
      <c r="P61873" s="2498"/>
    </row>
    <row r="61874" spans="16:16">
      <c r="P61874" s="2498"/>
    </row>
    <row r="61875" spans="16:16">
      <c r="P61875" s="2498"/>
    </row>
    <row r="61876" spans="16:16">
      <c r="P61876" s="2498"/>
    </row>
    <row r="61877" spans="16:16">
      <c r="P61877" s="2498"/>
    </row>
    <row r="61878" spans="16:16">
      <c r="P61878" s="2498"/>
    </row>
    <row r="61879" spans="16:16">
      <c r="P61879" s="2498"/>
    </row>
    <row r="61880" spans="16:16">
      <c r="P61880" s="2498"/>
    </row>
    <row r="61881" spans="16:16">
      <c r="P61881" s="2498"/>
    </row>
    <row r="61882" spans="16:16">
      <c r="P61882" s="2498"/>
    </row>
    <row r="61883" spans="16:16">
      <c r="P61883" s="2498"/>
    </row>
    <row r="61884" spans="16:16">
      <c r="P61884" s="2498"/>
    </row>
    <row r="61885" spans="16:16">
      <c r="P61885" s="2498"/>
    </row>
    <row r="61886" spans="16:16">
      <c r="P61886" s="2498"/>
    </row>
    <row r="61887" spans="16:16">
      <c r="P61887" s="2498"/>
    </row>
    <row r="61888" spans="16:16">
      <c r="P61888" s="2498"/>
    </row>
    <row r="61889" spans="16:16">
      <c r="P61889" s="2498"/>
    </row>
    <row r="61890" spans="16:16">
      <c r="P61890" s="2498"/>
    </row>
    <row r="61891" spans="16:16">
      <c r="P61891" s="2498"/>
    </row>
    <row r="61892" spans="16:16">
      <c r="P61892" s="2498"/>
    </row>
    <row r="61893" spans="16:16">
      <c r="P61893" s="2498"/>
    </row>
    <row r="61894" spans="16:16">
      <c r="P61894" s="2498"/>
    </row>
    <row r="61895" spans="16:16">
      <c r="P61895" s="2498"/>
    </row>
    <row r="61896" spans="16:16">
      <c r="P61896" s="2498"/>
    </row>
    <row r="61897" spans="16:16">
      <c r="P61897" s="2498"/>
    </row>
    <row r="61898" spans="16:16">
      <c r="P61898" s="2498"/>
    </row>
    <row r="61899" spans="16:16">
      <c r="P61899" s="2498"/>
    </row>
    <row r="61900" spans="16:16">
      <c r="P61900" s="2498"/>
    </row>
    <row r="61901" spans="16:16">
      <c r="P61901" s="2498"/>
    </row>
    <row r="61902" spans="16:16">
      <c r="P61902" s="2498"/>
    </row>
    <row r="61903" spans="16:16">
      <c r="P61903" s="2498"/>
    </row>
    <row r="61904" spans="16:16">
      <c r="P61904" s="2498"/>
    </row>
    <row r="61905" spans="16:16">
      <c r="P61905" s="2498"/>
    </row>
    <row r="61906" spans="16:16">
      <c r="P61906" s="2498"/>
    </row>
    <row r="61907" spans="16:16">
      <c r="P61907" s="2498"/>
    </row>
    <row r="61908" spans="16:16">
      <c r="P61908" s="2498"/>
    </row>
    <row r="61909" spans="16:16">
      <c r="P61909" s="2498"/>
    </row>
    <row r="61910" spans="16:16">
      <c r="P61910" s="2498"/>
    </row>
    <row r="61911" spans="16:16">
      <c r="P61911" s="2498"/>
    </row>
    <row r="61912" spans="16:16">
      <c r="P61912" s="2498"/>
    </row>
    <row r="61913" spans="16:16">
      <c r="P61913" s="2498"/>
    </row>
    <row r="61914" spans="16:16">
      <c r="P61914" s="2498"/>
    </row>
    <row r="61915" spans="16:16">
      <c r="P61915" s="2498"/>
    </row>
    <row r="61916" spans="16:16">
      <c r="P61916" s="2498"/>
    </row>
    <row r="61917" spans="16:16">
      <c r="P61917" s="2498"/>
    </row>
    <row r="61918" spans="16:16">
      <c r="P61918" s="2498"/>
    </row>
    <row r="61919" spans="16:16">
      <c r="P61919" s="2498"/>
    </row>
    <row r="61920" spans="16:16">
      <c r="P61920" s="2498"/>
    </row>
    <row r="61921" spans="16:16">
      <c r="P61921" s="2498"/>
    </row>
    <row r="61922" spans="16:16">
      <c r="P61922" s="2498"/>
    </row>
    <row r="61923" spans="16:16">
      <c r="P61923" s="2498"/>
    </row>
    <row r="61924" spans="16:16">
      <c r="P61924" s="2498"/>
    </row>
    <row r="61925" spans="16:16">
      <c r="P61925" s="2498"/>
    </row>
    <row r="61926" spans="16:16">
      <c r="P61926" s="2498"/>
    </row>
    <row r="61927" spans="16:16">
      <c r="P61927" s="2498"/>
    </row>
    <row r="61928" spans="16:16">
      <c r="P61928" s="2498"/>
    </row>
    <row r="61929" spans="16:16">
      <c r="P61929" s="2498"/>
    </row>
    <row r="61930" spans="16:16">
      <c r="P61930" s="2498"/>
    </row>
    <row r="61931" spans="16:16">
      <c r="P61931" s="2498"/>
    </row>
    <row r="61932" spans="16:16">
      <c r="P61932" s="2498"/>
    </row>
    <row r="61933" spans="16:16">
      <c r="P61933" s="2498"/>
    </row>
    <row r="61934" spans="16:16">
      <c r="P61934" s="2498"/>
    </row>
    <row r="61935" spans="16:16">
      <c r="P61935" s="2498"/>
    </row>
    <row r="61936" spans="16:16">
      <c r="P61936" s="2498"/>
    </row>
    <row r="61937" spans="16:16">
      <c r="P61937" s="2498"/>
    </row>
    <row r="61938" spans="16:16">
      <c r="P61938" s="2498"/>
    </row>
    <row r="61939" spans="16:16">
      <c r="P61939" s="2498"/>
    </row>
    <row r="61940" spans="16:16">
      <c r="P61940" s="2498"/>
    </row>
    <row r="61941" spans="16:16">
      <c r="P61941" s="2498"/>
    </row>
    <row r="61942" spans="16:16">
      <c r="P61942" s="2498"/>
    </row>
    <row r="61943" spans="16:16">
      <c r="P61943" s="2498"/>
    </row>
    <row r="61944" spans="16:16">
      <c r="P61944" s="2498"/>
    </row>
    <row r="61945" spans="16:16">
      <c r="P61945" s="2498"/>
    </row>
    <row r="61946" spans="16:16">
      <c r="P61946" s="2498"/>
    </row>
    <row r="61947" spans="16:16">
      <c r="P61947" s="2498"/>
    </row>
    <row r="61948" spans="16:16">
      <c r="P61948" s="2498"/>
    </row>
    <row r="61949" spans="16:16">
      <c r="P61949" s="2498"/>
    </row>
    <row r="61950" spans="16:16">
      <c r="P61950" s="2498"/>
    </row>
    <row r="61951" spans="16:16">
      <c r="P61951" s="2498"/>
    </row>
    <row r="61952" spans="16:16">
      <c r="P61952" s="2498"/>
    </row>
    <row r="61953" spans="16:16">
      <c r="P61953" s="2498"/>
    </row>
    <row r="61954" spans="16:16">
      <c r="P61954" s="2498"/>
    </row>
    <row r="61955" spans="16:16">
      <c r="P61955" s="2498"/>
    </row>
    <row r="61956" spans="16:16">
      <c r="P61956" s="2498"/>
    </row>
    <row r="61957" spans="16:16">
      <c r="P61957" s="2498"/>
    </row>
    <row r="61958" spans="16:16">
      <c r="P61958" s="2498"/>
    </row>
    <row r="61959" spans="16:16">
      <c r="P61959" s="2498"/>
    </row>
    <row r="61960" spans="16:16">
      <c r="P61960" s="2498"/>
    </row>
    <row r="61961" spans="16:16">
      <c r="P61961" s="2498"/>
    </row>
    <row r="61962" spans="16:16">
      <c r="P61962" s="2498"/>
    </row>
    <row r="61963" spans="16:16">
      <c r="P61963" s="2498"/>
    </row>
    <row r="61964" spans="16:16">
      <c r="P61964" s="2498"/>
    </row>
    <row r="61965" spans="16:16">
      <c r="P61965" s="2498"/>
    </row>
    <row r="61966" spans="16:16">
      <c r="P61966" s="2498"/>
    </row>
    <row r="61967" spans="16:16">
      <c r="P61967" s="2498"/>
    </row>
    <row r="61968" spans="16:16">
      <c r="P61968" s="2498"/>
    </row>
    <row r="61969" spans="16:16">
      <c r="P61969" s="2498"/>
    </row>
    <row r="61970" spans="16:16">
      <c r="P61970" s="2498"/>
    </row>
    <row r="61971" spans="16:16">
      <c r="P61971" s="2498"/>
    </row>
    <row r="61972" spans="16:16">
      <c r="P61972" s="2498"/>
    </row>
    <row r="61973" spans="16:16">
      <c r="P61973" s="2498"/>
    </row>
    <row r="61974" spans="16:16">
      <c r="P61974" s="2498"/>
    </row>
    <row r="61975" spans="16:16">
      <c r="P61975" s="2498"/>
    </row>
    <row r="61976" spans="16:16">
      <c r="P61976" s="2498"/>
    </row>
    <row r="61977" spans="16:16">
      <c r="P61977" s="2498"/>
    </row>
    <row r="61978" spans="16:16">
      <c r="P61978" s="2498"/>
    </row>
    <row r="61979" spans="16:16">
      <c r="P61979" s="2498"/>
    </row>
    <row r="61980" spans="16:16">
      <c r="P61980" s="2498"/>
    </row>
    <row r="61981" spans="16:16">
      <c r="P61981" s="2498"/>
    </row>
    <row r="61982" spans="16:16">
      <c r="P61982" s="2498"/>
    </row>
    <row r="61983" spans="16:16">
      <c r="P61983" s="2498"/>
    </row>
    <row r="61984" spans="16:16">
      <c r="P61984" s="2498"/>
    </row>
    <row r="61985" spans="16:16">
      <c r="P61985" s="2498"/>
    </row>
    <row r="61986" spans="16:16">
      <c r="P61986" s="2498"/>
    </row>
    <row r="61987" spans="16:16">
      <c r="P61987" s="2498"/>
    </row>
    <row r="61988" spans="16:16">
      <c r="P61988" s="2498"/>
    </row>
    <row r="61989" spans="16:16">
      <c r="P61989" s="2498"/>
    </row>
    <row r="61990" spans="16:16">
      <c r="P61990" s="2498"/>
    </row>
    <row r="61991" spans="16:16">
      <c r="P61991" s="2498"/>
    </row>
    <row r="61992" spans="16:16">
      <c r="P61992" s="2498"/>
    </row>
    <row r="61993" spans="16:16">
      <c r="P61993" s="2498"/>
    </row>
    <row r="61994" spans="16:16">
      <c r="P61994" s="2498"/>
    </row>
    <row r="61995" spans="16:16">
      <c r="P61995" s="2498"/>
    </row>
    <row r="61996" spans="16:16">
      <c r="P61996" s="2498"/>
    </row>
    <row r="61997" spans="16:16">
      <c r="P61997" s="2498"/>
    </row>
    <row r="61998" spans="16:16">
      <c r="P61998" s="2498"/>
    </row>
    <row r="61999" spans="16:16">
      <c r="P61999" s="2498"/>
    </row>
    <row r="62000" spans="16:16">
      <c r="P62000" s="2498"/>
    </row>
    <row r="62001" spans="16:16">
      <c r="P62001" s="2498"/>
    </row>
    <row r="62002" spans="16:16">
      <c r="P62002" s="2498"/>
    </row>
    <row r="62003" spans="16:16">
      <c r="P62003" s="2498"/>
    </row>
    <row r="62004" spans="16:16">
      <c r="P62004" s="2498"/>
    </row>
    <row r="62005" spans="16:16">
      <c r="P62005" s="2498"/>
    </row>
    <row r="62006" spans="16:16">
      <c r="P62006" s="2498"/>
    </row>
    <row r="62007" spans="16:16">
      <c r="P62007" s="2498"/>
    </row>
    <row r="62008" spans="16:16">
      <c r="P62008" s="2498"/>
    </row>
    <row r="62009" spans="16:16">
      <c r="P62009" s="2498"/>
    </row>
    <row r="62010" spans="16:16">
      <c r="P62010" s="2498"/>
    </row>
    <row r="62011" spans="16:16">
      <c r="P62011" s="2498"/>
    </row>
    <row r="62012" spans="16:16">
      <c r="P62012" s="2498"/>
    </row>
    <row r="62013" spans="16:16">
      <c r="P62013" s="2498"/>
    </row>
    <row r="62014" spans="16:16">
      <c r="P62014" s="2498"/>
    </row>
    <row r="62015" spans="16:16">
      <c r="P62015" s="2498"/>
    </row>
    <row r="62016" spans="16:16">
      <c r="P62016" s="2498"/>
    </row>
    <row r="62017" spans="16:16">
      <c r="P62017" s="2498"/>
    </row>
    <row r="62018" spans="16:16">
      <c r="P62018" s="2498"/>
    </row>
    <row r="62019" spans="16:16">
      <c r="P62019" s="2498"/>
    </row>
    <row r="62020" spans="16:16">
      <c r="P62020" s="2498"/>
    </row>
    <row r="62021" spans="16:16">
      <c r="P62021" s="2498"/>
    </row>
    <row r="62022" spans="16:16">
      <c r="P62022" s="2498"/>
    </row>
    <row r="62023" spans="16:16">
      <c r="P62023" s="2498"/>
    </row>
    <row r="62024" spans="16:16">
      <c r="P62024" s="2498"/>
    </row>
    <row r="62025" spans="16:16">
      <c r="P62025" s="2498"/>
    </row>
    <row r="62026" spans="16:16">
      <c r="P62026" s="2498"/>
    </row>
    <row r="62027" spans="16:16">
      <c r="P62027" s="2498"/>
    </row>
    <row r="62028" spans="16:16">
      <c r="P62028" s="2498"/>
    </row>
    <row r="62029" spans="16:16">
      <c r="P62029" s="2498"/>
    </row>
    <row r="62030" spans="16:16">
      <c r="P62030" s="2498"/>
    </row>
    <row r="62031" spans="16:16">
      <c r="P62031" s="2498"/>
    </row>
    <row r="62032" spans="16:16">
      <c r="P62032" s="2498"/>
    </row>
    <row r="62033" spans="16:16">
      <c r="P62033" s="2498"/>
    </row>
    <row r="62034" spans="16:16">
      <c r="P62034" s="2498"/>
    </row>
    <row r="62035" spans="16:16">
      <c r="P62035" s="2498"/>
    </row>
    <row r="62036" spans="16:16">
      <c r="P62036" s="2498"/>
    </row>
    <row r="62037" spans="16:16">
      <c r="P62037" s="2498"/>
    </row>
    <row r="62038" spans="16:16">
      <c r="P62038" s="2498"/>
    </row>
    <row r="62039" spans="16:16">
      <c r="P62039" s="2498"/>
    </row>
    <row r="62040" spans="16:16">
      <c r="P62040" s="2498"/>
    </row>
    <row r="62041" spans="16:16">
      <c r="P62041" s="2498"/>
    </row>
    <row r="62042" spans="16:16">
      <c r="P62042" s="2498"/>
    </row>
    <row r="62043" spans="16:16">
      <c r="P62043" s="2498"/>
    </row>
    <row r="62044" spans="16:16">
      <c r="P62044" s="2498"/>
    </row>
    <row r="62045" spans="16:16">
      <c r="P62045" s="2498"/>
    </row>
    <row r="62046" spans="16:16">
      <c r="P62046" s="2498"/>
    </row>
    <row r="62047" spans="16:16">
      <c r="P62047" s="2498"/>
    </row>
    <row r="62048" spans="16:16">
      <c r="P62048" s="2498"/>
    </row>
    <row r="62049" spans="16:16">
      <c r="P62049" s="2498"/>
    </row>
    <row r="62050" spans="16:16">
      <c r="P62050" s="2498"/>
    </row>
    <row r="62051" spans="16:16">
      <c r="P62051" s="2498"/>
    </row>
    <row r="62052" spans="16:16">
      <c r="P62052" s="2498"/>
    </row>
    <row r="62053" spans="16:16">
      <c r="P62053" s="2498"/>
    </row>
    <row r="62054" spans="16:16">
      <c r="P62054" s="2498"/>
    </row>
    <row r="62055" spans="16:16">
      <c r="P62055" s="2498"/>
    </row>
    <row r="62056" spans="16:16">
      <c r="P62056" s="2498"/>
    </row>
    <row r="62057" spans="16:16">
      <c r="P62057" s="2498"/>
    </row>
    <row r="62058" spans="16:16">
      <c r="P62058" s="2498"/>
    </row>
    <row r="62059" spans="16:16">
      <c r="P62059" s="2498"/>
    </row>
    <row r="62060" spans="16:16">
      <c r="P62060" s="2498"/>
    </row>
    <row r="62061" spans="16:16">
      <c r="P62061" s="2498"/>
    </row>
    <row r="62062" spans="16:16">
      <c r="P62062" s="2498"/>
    </row>
    <row r="62063" spans="16:16">
      <c r="P62063" s="2498"/>
    </row>
    <row r="62064" spans="16:16">
      <c r="P62064" s="2498"/>
    </row>
    <row r="62065" spans="16:16">
      <c r="P62065" s="2498"/>
    </row>
    <row r="62066" spans="16:16">
      <c r="P62066" s="2498"/>
    </row>
    <row r="62067" spans="16:16">
      <c r="P62067" s="2498"/>
    </row>
    <row r="62068" spans="16:16">
      <c r="P62068" s="2498"/>
    </row>
    <row r="62069" spans="16:16">
      <c r="P62069" s="2498"/>
    </row>
    <row r="62070" spans="16:16">
      <c r="P62070" s="2498"/>
    </row>
    <row r="62071" spans="16:16">
      <c r="P62071" s="2498"/>
    </row>
    <row r="62072" spans="16:16">
      <c r="P62072" s="2498"/>
    </row>
    <row r="62073" spans="16:16">
      <c r="P62073" s="2498"/>
    </row>
    <row r="62074" spans="16:16">
      <c r="P62074" s="2498"/>
    </row>
    <row r="62075" spans="16:16">
      <c r="P62075" s="2498"/>
    </row>
    <row r="62076" spans="16:16">
      <c r="P62076" s="2498"/>
    </row>
    <row r="62077" spans="16:16">
      <c r="P62077" s="2498"/>
    </row>
    <row r="62078" spans="16:16">
      <c r="P62078" s="2498"/>
    </row>
    <row r="62079" spans="16:16">
      <c r="P62079" s="2498"/>
    </row>
    <row r="62080" spans="16:16">
      <c r="P62080" s="2498"/>
    </row>
    <row r="62081" spans="16:16">
      <c r="P62081" s="2498"/>
    </row>
    <row r="62082" spans="16:16">
      <c r="P62082" s="2498"/>
    </row>
    <row r="62083" spans="16:16">
      <c r="P62083" s="2498"/>
    </row>
    <row r="62084" spans="16:16">
      <c r="P62084" s="2498"/>
    </row>
    <row r="62085" spans="16:16">
      <c r="P62085" s="2498"/>
    </row>
    <row r="62086" spans="16:16">
      <c r="P62086" s="2498"/>
    </row>
    <row r="62087" spans="16:16">
      <c r="P62087" s="2498"/>
    </row>
    <row r="62088" spans="16:16">
      <c r="P62088" s="2498"/>
    </row>
    <row r="62089" spans="16:16">
      <c r="P62089" s="2498"/>
    </row>
    <row r="62090" spans="16:16">
      <c r="P62090" s="2498"/>
    </row>
    <row r="62091" spans="16:16">
      <c r="P62091" s="2498"/>
    </row>
    <row r="62092" spans="16:16">
      <c r="P62092" s="2498"/>
    </row>
    <row r="62093" spans="16:16">
      <c r="P62093" s="2498"/>
    </row>
    <row r="62094" spans="16:16">
      <c r="P62094" s="2498"/>
    </row>
    <row r="62095" spans="16:16">
      <c r="P62095" s="2498"/>
    </row>
    <row r="62096" spans="16:16">
      <c r="P62096" s="2498"/>
    </row>
    <row r="62097" spans="16:16">
      <c r="P62097" s="2498"/>
    </row>
    <row r="62098" spans="16:16">
      <c r="P62098" s="2498"/>
    </row>
    <row r="62099" spans="16:16">
      <c r="P62099" s="2498"/>
    </row>
    <row r="62100" spans="16:16">
      <c r="P62100" s="2498"/>
    </row>
    <row r="62101" spans="16:16">
      <c r="P62101" s="2498"/>
    </row>
    <row r="62102" spans="16:16">
      <c r="P62102" s="2498"/>
    </row>
    <row r="62103" spans="16:16">
      <c r="P62103" s="2498"/>
    </row>
    <row r="62104" spans="16:16">
      <c r="P62104" s="2498"/>
    </row>
    <row r="62105" spans="16:16">
      <c r="P62105" s="2498"/>
    </row>
    <row r="62106" spans="16:16">
      <c r="P62106" s="2498"/>
    </row>
    <row r="62107" spans="16:16">
      <c r="P62107" s="2498"/>
    </row>
    <row r="62108" spans="16:16">
      <c r="P62108" s="2498"/>
    </row>
    <row r="62109" spans="16:16">
      <c r="P62109" s="2498"/>
    </row>
    <row r="62110" spans="16:16">
      <c r="P62110" s="2498"/>
    </row>
    <row r="62111" spans="16:16">
      <c r="P62111" s="2498"/>
    </row>
    <row r="62112" spans="16:16">
      <c r="P62112" s="2498"/>
    </row>
    <row r="62113" spans="16:16">
      <c r="P62113" s="2498"/>
    </row>
    <row r="62114" spans="16:16">
      <c r="P62114" s="2498"/>
    </row>
    <row r="62115" spans="16:16">
      <c r="P62115" s="2498"/>
    </row>
    <row r="62116" spans="16:16">
      <c r="P62116" s="2498"/>
    </row>
    <row r="62117" spans="16:16">
      <c r="P62117" s="2498"/>
    </row>
    <row r="62118" spans="16:16">
      <c r="P62118" s="2498"/>
    </row>
    <row r="62119" spans="16:16">
      <c r="P62119" s="2498"/>
    </row>
    <row r="62120" spans="16:16">
      <c r="P62120" s="2498"/>
    </row>
    <row r="62121" spans="16:16">
      <c r="P62121" s="2498"/>
    </row>
    <row r="62122" spans="16:16">
      <c r="P62122" s="2498"/>
    </row>
    <row r="62123" spans="16:16">
      <c r="P62123" s="2498"/>
    </row>
    <row r="62124" spans="16:16">
      <c r="P62124" s="2498"/>
    </row>
    <row r="62125" spans="16:16">
      <c r="P62125" s="2498"/>
    </row>
    <row r="62126" spans="16:16">
      <c r="P62126" s="2498"/>
    </row>
    <row r="62127" spans="16:16">
      <c r="P62127" s="2498"/>
    </row>
    <row r="62128" spans="16:16">
      <c r="P62128" s="2498"/>
    </row>
    <row r="62129" spans="16:16">
      <c r="P62129" s="2498"/>
    </row>
    <row r="62130" spans="16:16">
      <c r="P62130" s="2498"/>
    </row>
    <row r="62131" spans="16:16">
      <c r="P62131" s="2498"/>
    </row>
    <row r="62132" spans="16:16">
      <c r="P62132" s="2498"/>
    </row>
    <row r="62133" spans="16:16">
      <c r="P62133" s="2498"/>
    </row>
    <row r="62134" spans="16:16">
      <c r="P62134" s="2498"/>
    </row>
    <row r="62135" spans="16:16">
      <c r="P62135" s="2498"/>
    </row>
    <row r="62136" spans="16:16">
      <c r="P62136" s="2498"/>
    </row>
    <row r="62137" spans="16:16">
      <c r="P62137" s="2498"/>
    </row>
    <row r="62138" spans="16:16">
      <c r="P62138" s="2498"/>
    </row>
    <row r="62139" spans="16:16">
      <c r="P62139" s="2498"/>
    </row>
    <row r="62140" spans="16:16">
      <c r="P62140" s="2498"/>
    </row>
    <row r="62141" spans="16:16">
      <c r="P62141" s="2498"/>
    </row>
    <row r="62142" spans="16:16">
      <c r="P62142" s="2498"/>
    </row>
    <row r="62143" spans="16:16">
      <c r="P62143" s="2498"/>
    </row>
    <row r="62144" spans="16:16">
      <c r="P62144" s="2498"/>
    </row>
    <row r="62145" spans="16:16">
      <c r="P62145" s="2498"/>
    </row>
    <row r="62146" spans="16:16">
      <c r="P62146" s="2498"/>
    </row>
    <row r="62147" spans="16:16">
      <c r="P62147" s="2498"/>
    </row>
    <row r="62148" spans="16:16">
      <c r="P62148" s="2498"/>
    </row>
    <row r="62149" spans="16:16">
      <c r="P62149" s="2498"/>
    </row>
    <row r="62150" spans="16:16">
      <c r="P62150" s="2498"/>
    </row>
    <row r="62151" spans="16:16">
      <c r="P62151" s="2498"/>
    </row>
    <row r="62152" spans="16:16">
      <c r="P62152" s="2498"/>
    </row>
    <row r="62153" spans="16:16">
      <c r="P62153" s="2498"/>
    </row>
    <row r="62154" spans="16:16">
      <c r="P62154" s="2498"/>
    </row>
    <row r="62155" spans="16:16">
      <c r="P62155" s="2498"/>
    </row>
    <row r="62156" spans="16:16">
      <c r="P62156" s="2498"/>
    </row>
    <row r="62157" spans="16:16">
      <c r="P62157" s="2498"/>
    </row>
    <row r="62158" spans="16:16">
      <c r="P62158" s="2498"/>
    </row>
    <row r="62159" spans="16:16">
      <c r="P62159" s="2498"/>
    </row>
    <row r="62160" spans="16:16">
      <c r="P62160" s="2498"/>
    </row>
    <row r="62161" spans="16:16">
      <c r="P62161" s="2498"/>
    </row>
    <row r="62162" spans="16:16">
      <c r="P62162" s="2498"/>
    </row>
    <row r="62163" spans="16:16">
      <c r="P62163" s="2498"/>
    </row>
    <row r="62164" spans="16:16">
      <c r="P62164" s="2498"/>
    </row>
    <row r="62165" spans="16:16">
      <c r="P62165" s="2498"/>
    </row>
    <row r="62166" spans="16:16">
      <c r="P62166" s="2498"/>
    </row>
    <row r="62167" spans="16:16">
      <c r="P62167" s="2498"/>
    </row>
    <row r="62168" spans="16:16">
      <c r="P62168" s="2498"/>
    </row>
    <row r="62169" spans="16:16">
      <c r="P62169" s="2498"/>
    </row>
    <row r="62170" spans="16:16">
      <c r="P62170" s="2498"/>
    </row>
    <row r="62171" spans="16:16">
      <c r="P62171" s="2498"/>
    </row>
    <row r="62172" spans="16:16">
      <c r="P62172" s="2498"/>
    </row>
    <row r="62173" spans="16:16">
      <c r="P62173" s="2498"/>
    </row>
    <row r="62174" spans="16:16">
      <c r="P62174" s="2498"/>
    </row>
    <row r="62175" spans="16:16">
      <c r="P62175" s="2498"/>
    </row>
    <row r="62176" spans="16:16">
      <c r="P62176" s="2498"/>
    </row>
    <row r="62177" spans="16:16">
      <c r="P62177" s="2498"/>
    </row>
    <row r="62178" spans="16:16">
      <c r="P62178" s="2498"/>
    </row>
    <row r="62179" spans="16:16">
      <c r="P62179" s="2498"/>
    </row>
    <row r="62180" spans="16:16">
      <c r="P62180" s="2498"/>
    </row>
    <row r="62181" spans="16:16">
      <c r="P62181" s="2498"/>
    </row>
    <row r="62182" spans="16:16">
      <c r="P62182" s="2498"/>
    </row>
    <row r="62183" spans="16:16">
      <c r="P62183" s="2498"/>
    </row>
    <row r="62184" spans="16:16">
      <c r="P62184" s="2498"/>
    </row>
    <row r="62185" spans="16:16">
      <c r="P62185" s="2498"/>
    </row>
    <row r="62186" spans="16:16">
      <c r="P62186" s="2498"/>
    </row>
    <row r="62187" spans="16:16">
      <c r="P62187" s="2498"/>
    </row>
    <row r="62188" spans="16:16">
      <c r="P62188" s="2498"/>
    </row>
    <row r="62189" spans="16:16">
      <c r="P62189" s="2498"/>
    </row>
    <row r="62190" spans="16:16">
      <c r="P62190" s="2498"/>
    </row>
    <row r="62191" spans="16:16">
      <c r="P62191" s="2498"/>
    </row>
    <row r="62192" spans="16:16">
      <c r="P62192" s="2498"/>
    </row>
    <row r="62193" spans="16:16">
      <c r="P62193" s="2498"/>
    </row>
    <row r="62194" spans="16:16">
      <c r="P62194" s="2498"/>
    </row>
    <row r="62195" spans="16:16">
      <c r="P62195" s="2498"/>
    </row>
    <row r="62196" spans="16:16">
      <c r="P62196" s="2498"/>
    </row>
    <row r="62197" spans="16:16">
      <c r="P62197" s="2498"/>
    </row>
    <row r="62198" spans="16:16">
      <c r="P62198" s="2498"/>
    </row>
    <row r="62199" spans="16:16">
      <c r="P62199" s="2498"/>
    </row>
    <row r="62200" spans="16:16">
      <c r="P62200" s="2498"/>
    </row>
    <row r="62201" spans="16:16">
      <c r="P62201" s="2498"/>
    </row>
    <row r="62202" spans="16:16">
      <c r="P62202" s="2498"/>
    </row>
    <row r="62203" spans="16:16">
      <c r="P62203" s="2498"/>
    </row>
    <row r="62204" spans="16:16">
      <c r="P62204" s="2498"/>
    </row>
    <row r="62205" spans="16:16">
      <c r="P62205" s="2498"/>
    </row>
    <row r="62206" spans="16:16">
      <c r="P62206" s="2498"/>
    </row>
    <row r="62207" spans="16:16">
      <c r="P62207" s="2498"/>
    </row>
    <row r="62208" spans="16:16">
      <c r="P62208" s="2498"/>
    </row>
    <row r="62209" spans="16:16">
      <c r="P62209" s="2498"/>
    </row>
    <row r="62210" spans="16:16">
      <c r="P62210" s="2498"/>
    </row>
    <row r="62211" spans="16:16">
      <c r="P62211" s="2498"/>
    </row>
    <row r="62212" spans="16:16">
      <c r="P62212" s="2498"/>
    </row>
    <row r="62213" spans="16:16">
      <c r="P62213" s="2498"/>
    </row>
    <row r="62214" spans="16:16">
      <c r="P62214" s="2498"/>
    </row>
    <row r="62215" spans="16:16">
      <c r="P62215" s="2498"/>
    </row>
    <row r="62216" spans="16:16">
      <c r="P62216" s="2498"/>
    </row>
    <row r="62217" spans="16:16">
      <c r="P62217" s="2498"/>
    </row>
    <row r="62218" spans="16:16">
      <c r="P62218" s="2498"/>
    </row>
    <row r="62219" spans="16:16">
      <c r="P62219" s="2498"/>
    </row>
    <row r="62220" spans="16:16">
      <c r="P62220" s="2498"/>
    </row>
    <row r="62221" spans="16:16">
      <c r="P62221" s="2498"/>
    </row>
    <row r="62222" spans="16:16">
      <c r="P62222" s="2498"/>
    </row>
    <row r="62223" spans="16:16">
      <c r="P62223" s="2498"/>
    </row>
    <row r="62224" spans="16:16">
      <c r="P62224" s="2498"/>
    </row>
    <row r="62225" spans="16:16">
      <c r="P62225" s="2498"/>
    </row>
    <row r="62226" spans="16:16">
      <c r="P62226" s="2498"/>
    </row>
    <row r="62227" spans="16:16">
      <c r="P62227" s="2498"/>
    </row>
    <row r="62228" spans="16:16">
      <c r="P62228" s="2498"/>
    </row>
    <row r="62229" spans="16:16">
      <c r="P62229" s="2498"/>
    </row>
    <row r="62230" spans="16:16">
      <c r="P62230" s="2498"/>
    </row>
    <row r="62231" spans="16:16">
      <c r="P62231" s="2498"/>
    </row>
    <row r="62232" spans="16:16">
      <c r="P62232" s="2498"/>
    </row>
    <row r="62233" spans="16:16">
      <c r="P62233" s="2498"/>
    </row>
    <row r="62234" spans="16:16">
      <c r="P62234" s="2498"/>
    </row>
    <row r="62235" spans="16:16">
      <c r="P62235" s="2498"/>
    </row>
    <row r="62236" spans="16:16">
      <c r="P62236" s="2498"/>
    </row>
    <row r="62237" spans="16:16">
      <c r="P62237" s="2498"/>
    </row>
    <row r="62238" spans="16:16">
      <c r="P62238" s="2498"/>
    </row>
    <row r="62239" spans="16:16">
      <c r="P62239" s="2498"/>
    </row>
    <row r="62240" spans="16:16">
      <c r="P62240" s="2498"/>
    </row>
    <row r="62241" spans="16:16">
      <c r="P62241" s="2498"/>
    </row>
    <row r="62242" spans="16:16">
      <c r="P62242" s="2498"/>
    </row>
    <row r="62243" spans="16:16">
      <c r="P62243" s="2498"/>
    </row>
    <row r="62244" spans="16:16">
      <c r="P62244" s="2498"/>
    </row>
    <row r="62245" spans="16:16">
      <c r="P62245" s="2498"/>
    </row>
    <row r="62246" spans="16:16">
      <c r="P62246" s="2498"/>
    </row>
    <row r="62247" spans="16:16">
      <c r="P62247" s="2498"/>
    </row>
    <row r="62248" spans="16:16">
      <c r="P62248" s="2498"/>
    </row>
    <row r="62249" spans="16:16">
      <c r="P62249" s="2498"/>
    </row>
    <row r="62250" spans="16:16">
      <c r="P62250" s="2498"/>
    </row>
    <row r="62251" spans="16:16">
      <c r="P62251" s="2498"/>
    </row>
    <row r="62252" spans="16:16">
      <c r="P62252" s="2498"/>
    </row>
    <row r="62253" spans="16:16">
      <c r="P62253" s="2498"/>
    </row>
    <row r="62254" spans="16:16">
      <c r="P62254" s="2498"/>
    </row>
    <row r="62255" spans="16:16">
      <c r="P62255" s="2498"/>
    </row>
    <row r="62256" spans="16:16">
      <c r="P62256" s="2498"/>
    </row>
    <row r="62257" spans="16:16">
      <c r="P62257" s="2498"/>
    </row>
    <row r="62258" spans="16:16">
      <c r="P62258" s="2498"/>
    </row>
    <row r="62259" spans="16:16">
      <c r="P62259" s="2498"/>
    </row>
    <row r="62260" spans="16:16">
      <c r="P62260" s="2498"/>
    </row>
    <row r="62261" spans="16:16">
      <c r="P62261" s="2498"/>
    </row>
    <row r="62262" spans="16:16">
      <c r="P62262" s="2498"/>
    </row>
    <row r="62263" spans="16:16">
      <c r="P62263" s="2498"/>
    </row>
    <row r="62264" spans="16:16">
      <c r="P62264" s="2498"/>
    </row>
    <row r="62265" spans="16:16">
      <c r="P62265" s="2498"/>
    </row>
    <row r="62266" spans="16:16">
      <c r="P62266" s="2498"/>
    </row>
    <row r="62267" spans="16:16">
      <c r="P62267" s="2498"/>
    </row>
    <row r="62268" spans="16:16">
      <c r="P62268" s="2498"/>
    </row>
    <row r="62269" spans="16:16">
      <c r="P62269" s="2498"/>
    </row>
    <row r="62270" spans="16:16">
      <c r="P62270" s="2498"/>
    </row>
    <row r="62271" spans="16:16">
      <c r="P62271" s="2498"/>
    </row>
    <row r="62272" spans="16:16">
      <c r="P62272" s="2498"/>
    </row>
    <row r="62273" spans="16:16">
      <c r="P62273" s="2498"/>
    </row>
    <row r="62274" spans="16:16">
      <c r="P62274" s="2498"/>
    </row>
    <row r="62275" spans="16:16">
      <c r="P62275" s="2498"/>
    </row>
    <row r="62276" spans="16:16">
      <c r="P62276" s="2498"/>
    </row>
    <row r="62277" spans="16:16">
      <c r="P62277" s="2498"/>
    </row>
    <row r="62278" spans="16:16">
      <c r="P62278" s="2498"/>
    </row>
    <row r="62279" spans="16:16">
      <c r="P62279" s="2498"/>
    </row>
    <row r="62280" spans="16:16">
      <c r="P62280" s="2498"/>
    </row>
    <row r="62281" spans="16:16">
      <c r="P62281" s="2498"/>
    </row>
    <row r="62282" spans="16:16">
      <c r="P62282" s="2498"/>
    </row>
    <row r="62283" spans="16:16">
      <c r="P62283" s="2498"/>
    </row>
    <row r="62284" spans="16:16">
      <c r="P62284" s="2498"/>
    </row>
    <row r="62285" spans="16:16">
      <c r="P62285" s="2498"/>
    </row>
    <row r="62286" spans="16:16">
      <c r="P62286" s="2498"/>
    </row>
    <row r="62287" spans="16:16">
      <c r="P62287" s="2498"/>
    </row>
    <row r="62288" spans="16:16">
      <c r="P62288" s="2498"/>
    </row>
    <row r="62289" spans="16:16">
      <c r="P62289" s="2498"/>
    </row>
    <row r="62290" spans="16:16">
      <c r="P62290" s="2498"/>
    </row>
    <row r="62291" spans="16:16">
      <c r="P62291" s="2498"/>
    </row>
    <row r="62292" spans="16:16">
      <c r="P62292" s="2498"/>
    </row>
    <row r="62293" spans="16:16">
      <c r="P62293" s="2498"/>
    </row>
    <row r="62294" spans="16:16">
      <c r="P62294" s="2498"/>
    </row>
    <row r="62295" spans="16:16">
      <c r="P62295" s="2498"/>
    </row>
    <row r="62296" spans="16:16">
      <c r="P62296" s="2498"/>
    </row>
    <row r="62297" spans="16:16">
      <c r="P62297" s="2498"/>
    </row>
    <row r="62298" spans="16:16">
      <c r="P62298" s="2498"/>
    </row>
    <row r="62299" spans="16:16">
      <c r="P62299" s="2498"/>
    </row>
    <row r="62300" spans="16:16">
      <c r="P62300" s="2498"/>
    </row>
    <row r="62301" spans="16:16">
      <c r="P62301" s="2498"/>
    </row>
    <row r="62302" spans="16:16">
      <c r="P62302" s="2498"/>
    </row>
    <row r="62303" spans="16:16">
      <c r="P62303" s="2498"/>
    </row>
    <row r="62304" spans="16:16">
      <c r="P62304" s="2498"/>
    </row>
    <row r="62305" spans="16:16">
      <c r="P62305" s="2498"/>
    </row>
    <row r="62306" spans="16:16">
      <c r="P62306" s="2498"/>
    </row>
    <row r="62307" spans="16:16">
      <c r="P62307" s="2498"/>
    </row>
    <row r="62308" spans="16:16">
      <c r="P62308" s="2498"/>
    </row>
    <row r="62309" spans="16:16">
      <c r="P62309" s="2498"/>
    </row>
    <row r="62310" spans="16:16">
      <c r="P62310" s="2498"/>
    </row>
    <row r="62311" spans="16:16">
      <c r="P62311" s="2498"/>
    </row>
    <row r="62312" spans="16:16">
      <c r="P62312" s="2498"/>
    </row>
    <row r="62313" spans="16:16">
      <c r="P62313" s="2498"/>
    </row>
    <row r="62314" spans="16:16">
      <c r="P62314" s="2498"/>
    </row>
    <row r="62315" spans="16:16">
      <c r="P62315" s="2498"/>
    </row>
    <row r="62316" spans="16:16">
      <c r="P62316" s="2498"/>
    </row>
    <row r="62317" spans="16:16">
      <c r="P62317" s="2498"/>
    </row>
    <row r="62318" spans="16:16">
      <c r="P62318" s="2498"/>
    </row>
    <row r="62319" spans="16:16">
      <c r="P62319" s="2498"/>
    </row>
    <row r="62320" spans="16:16">
      <c r="P62320" s="2498"/>
    </row>
    <row r="62321" spans="16:16">
      <c r="P62321" s="2498"/>
    </row>
    <row r="62322" spans="16:16">
      <c r="P62322" s="2498"/>
    </row>
    <row r="62323" spans="16:16">
      <c r="P62323" s="2498"/>
    </row>
    <row r="62324" spans="16:16">
      <c r="P62324" s="2498"/>
    </row>
    <row r="62325" spans="16:16">
      <c r="P62325" s="2498"/>
    </row>
    <row r="62326" spans="16:16">
      <c r="P62326" s="2498"/>
    </row>
    <row r="62327" spans="16:16">
      <c r="P62327" s="2498"/>
    </row>
    <row r="62328" spans="16:16">
      <c r="P62328" s="2498"/>
    </row>
    <row r="62329" spans="16:16">
      <c r="P62329" s="2498"/>
    </row>
    <row r="62330" spans="16:16">
      <c r="P62330" s="2498"/>
    </row>
    <row r="62331" spans="16:16">
      <c r="P62331" s="2498"/>
    </row>
    <row r="62332" spans="16:16">
      <c r="P62332" s="2498"/>
    </row>
    <row r="62333" spans="16:16">
      <c r="P62333" s="2498"/>
    </row>
    <row r="62334" spans="16:16">
      <c r="P62334" s="2498"/>
    </row>
    <row r="62335" spans="16:16">
      <c r="P62335" s="2498"/>
    </row>
    <row r="62336" spans="16:16">
      <c r="P62336" s="2498"/>
    </row>
    <row r="62337" spans="16:16">
      <c r="P62337" s="2498"/>
    </row>
    <row r="62338" spans="16:16">
      <c r="P62338" s="2498"/>
    </row>
    <row r="62339" spans="16:16">
      <c r="P62339" s="2498"/>
    </row>
    <row r="62340" spans="16:16">
      <c r="P62340" s="2498"/>
    </row>
    <row r="62341" spans="16:16">
      <c r="P62341" s="2498"/>
    </row>
    <row r="62342" spans="16:16">
      <c r="P62342" s="2498"/>
    </row>
    <row r="62343" spans="16:16">
      <c r="P62343" s="2498"/>
    </row>
    <row r="62344" spans="16:16">
      <c r="P62344" s="2498"/>
    </row>
    <row r="62345" spans="16:16">
      <c r="P62345" s="2498"/>
    </row>
    <row r="62346" spans="16:16">
      <c r="P62346" s="2498"/>
    </row>
    <row r="62347" spans="16:16">
      <c r="P62347" s="2498"/>
    </row>
    <row r="62348" spans="16:16">
      <c r="P62348" s="2498"/>
    </row>
    <row r="62349" spans="16:16">
      <c r="P62349" s="2498"/>
    </row>
    <row r="62350" spans="16:16">
      <c r="P62350" s="2498"/>
    </row>
    <row r="62351" spans="16:16">
      <c r="P62351" s="2498"/>
    </row>
    <row r="62352" spans="16:16">
      <c r="P62352" s="2498"/>
    </row>
    <row r="62353" spans="16:16">
      <c r="P62353" s="2498"/>
    </row>
    <row r="62354" spans="16:16">
      <c r="P62354" s="2498"/>
    </row>
    <row r="62355" spans="16:16">
      <c r="P62355" s="2498"/>
    </row>
    <row r="62356" spans="16:16">
      <c r="P62356" s="2498"/>
    </row>
    <row r="62357" spans="16:16">
      <c r="P62357" s="2498"/>
    </row>
    <row r="62358" spans="16:16">
      <c r="P62358" s="2498"/>
    </row>
    <row r="62359" spans="16:16">
      <c r="P62359" s="2498"/>
    </row>
    <row r="62360" spans="16:16">
      <c r="P62360" s="2498"/>
    </row>
    <row r="62361" spans="16:16">
      <c r="P62361" s="2498"/>
    </row>
    <row r="62362" spans="16:16">
      <c r="P62362" s="2498"/>
    </row>
    <row r="62363" spans="16:16">
      <c r="P62363" s="2498"/>
    </row>
    <row r="62364" spans="16:16">
      <c r="P62364" s="2498"/>
    </row>
    <row r="62365" spans="16:16">
      <c r="P62365" s="2498"/>
    </row>
    <row r="62366" spans="16:16">
      <c r="P62366" s="2498"/>
    </row>
    <row r="62367" spans="16:16">
      <c r="P62367" s="2498"/>
    </row>
    <row r="62368" spans="16:16">
      <c r="P62368" s="2498"/>
    </row>
    <row r="62369" spans="16:16">
      <c r="P62369" s="2498"/>
    </row>
    <row r="62370" spans="16:16">
      <c r="P62370" s="2498"/>
    </row>
    <row r="62371" spans="16:16">
      <c r="P62371" s="2498"/>
    </row>
    <row r="62372" spans="16:16">
      <c r="P62372" s="2498"/>
    </row>
    <row r="62373" spans="16:16">
      <c r="P62373" s="2498"/>
    </row>
    <row r="62374" spans="16:16">
      <c r="P62374" s="2498"/>
    </row>
    <row r="62375" spans="16:16">
      <c r="P62375" s="2498"/>
    </row>
    <row r="62376" spans="16:16">
      <c r="P62376" s="2498"/>
    </row>
    <row r="62377" spans="16:16">
      <c r="P62377" s="2498"/>
    </row>
    <row r="62378" spans="16:16">
      <c r="P62378" s="2498"/>
    </row>
    <row r="62379" spans="16:16">
      <c r="P62379" s="2498"/>
    </row>
    <row r="62380" spans="16:16">
      <c r="P62380" s="2498"/>
    </row>
    <row r="62381" spans="16:16">
      <c r="P62381" s="2498"/>
    </row>
    <row r="62382" spans="16:16">
      <c r="P62382" s="2498"/>
    </row>
    <row r="62383" spans="16:16">
      <c r="P62383" s="2498"/>
    </row>
    <row r="62384" spans="16:16">
      <c r="P62384" s="2498"/>
    </row>
    <row r="62385" spans="16:16">
      <c r="P62385" s="2498"/>
    </row>
    <row r="62386" spans="16:16">
      <c r="P62386" s="2498"/>
    </row>
    <row r="62387" spans="16:16">
      <c r="P62387" s="2498"/>
    </row>
    <row r="62388" spans="16:16">
      <c r="P62388" s="2498"/>
    </row>
    <row r="62389" spans="16:16">
      <c r="P62389" s="2498"/>
    </row>
    <row r="62390" spans="16:16">
      <c r="P62390" s="2498"/>
    </row>
    <row r="62391" spans="16:16">
      <c r="P62391" s="2498"/>
    </row>
    <row r="62392" spans="16:16">
      <c r="P62392" s="2498"/>
    </row>
    <row r="62393" spans="16:16">
      <c r="P62393" s="2498"/>
    </row>
    <row r="62394" spans="16:16">
      <c r="P62394" s="2498"/>
    </row>
    <row r="62395" spans="16:16">
      <c r="P62395" s="2498"/>
    </row>
    <row r="62396" spans="16:16">
      <c r="P62396" s="2498"/>
    </row>
    <row r="62397" spans="16:16">
      <c r="P62397" s="2498"/>
    </row>
    <row r="62398" spans="16:16">
      <c r="P62398" s="2498"/>
    </row>
    <row r="62399" spans="16:16">
      <c r="P62399" s="2498"/>
    </row>
    <row r="62400" spans="16:16">
      <c r="P62400" s="2498"/>
    </row>
    <row r="62401" spans="16:16">
      <c r="P62401" s="2498"/>
    </row>
    <row r="62402" spans="16:16">
      <c r="P62402" s="2498"/>
    </row>
    <row r="62403" spans="16:16">
      <c r="P62403" s="2498"/>
    </row>
    <row r="62404" spans="16:16">
      <c r="P62404" s="2498"/>
    </row>
    <row r="62405" spans="16:16">
      <c r="P62405" s="2498"/>
    </row>
    <row r="62406" spans="16:16">
      <c r="P62406" s="2498"/>
    </row>
    <row r="62407" spans="16:16">
      <c r="P62407" s="2498"/>
    </row>
    <row r="62408" spans="16:16">
      <c r="P62408" s="2498"/>
    </row>
    <row r="62409" spans="16:16">
      <c r="P62409" s="2498"/>
    </row>
    <row r="62410" spans="16:16">
      <c r="P62410" s="2498"/>
    </row>
    <row r="62411" spans="16:16">
      <c r="P62411" s="2498"/>
    </row>
    <row r="62412" spans="16:16">
      <c r="P62412" s="2498"/>
    </row>
    <row r="62413" spans="16:16">
      <c r="P62413" s="2498"/>
    </row>
    <row r="62414" spans="16:16">
      <c r="P62414" s="2498"/>
    </row>
    <row r="62415" spans="16:16">
      <c r="P62415" s="2498"/>
    </row>
    <row r="62416" spans="16:16">
      <c r="P62416" s="2498"/>
    </row>
    <row r="62417" spans="16:16">
      <c r="P62417" s="2498"/>
    </row>
    <row r="62418" spans="16:16">
      <c r="P62418" s="2498"/>
    </row>
    <row r="62419" spans="16:16">
      <c r="P62419" s="2498"/>
    </row>
    <row r="62420" spans="16:16">
      <c r="P62420" s="2498"/>
    </row>
    <row r="62421" spans="16:16">
      <c r="P62421" s="2498"/>
    </row>
    <row r="62422" spans="16:16">
      <c r="P62422" s="2498"/>
    </row>
    <row r="62423" spans="16:16">
      <c r="P62423" s="2498"/>
    </row>
    <row r="62424" spans="16:16">
      <c r="P62424" s="2498"/>
    </row>
    <row r="62425" spans="16:16">
      <c r="P62425" s="2498"/>
    </row>
    <row r="62426" spans="16:16">
      <c r="P62426" s="2498"/>
    </row>
    <row r="62427" spans="16:16">
      <c r="P62427" s="2498"/>
    </row>
    <row r="62428" spans="16:16">
      <c r="P62428" s="2498"/>
    </row>
    <row r="62429" spans="16:16">
      <c r="P62429" s="2498"/>
    </row>
    <row r="62430" spans="16:16">
      <c r="P62430" s="2498"/>
    </row>
    <row r="62431" spans="16:16">
      <c r="P62431" s="2498"/>
    </row>
    <row r="62432" spans="16:16">
      <c r="P62432" s="2498"/>
    </row>
    <row r="62433" spans="16:16">
      <c r="P62433" s="2498"/>
    </row>
    <row r="62434" spans="16:16">
      <c r="P62434" s="2498"/>
    </row>
    <row r="62435" spans="16:16">
      <c r="P62435" s="2498"/>
    </row>
    <row r="62436" spans="16:16">
      <c r="P62436" s="2498"/>
    </row>
    <row r="62437" spans="16:16">
      <c r="P62437" s="2498"/>
    </row>
    <row r="62438" spans="16:16">
      <c r="P62438" s="2498"/>
    </row>
    <row r="62439" spans="16:16">
      <c r="P62439" s="2498"/>
    </row>
    <row r="62440" spans="16:16">
      <c r="P62440" s="2498"/>
    </row>
    <row r="62441" spans="16:16">
      <c r="P62441" s="2498"/>
    </row>
    <row r="62442" spans="16:16">
      <c r="P62442" s="2498"/>
    </row>
    <row r="62443" spans="16:16">
      <c r="P62443" s="2498"/>
    </row>
    <row r="62444" spans="16:16">
      <c r="P62444" s="2498"/>
    </row>
    <row r="62445" spans="16:16">
      <c r="P62445" s="2498"/>
    </row>
    <row r="62446" spans="16:16">
      <c r="P62446" s="2498"/>
    </row>
    <row r="62447" spans="16:16">
      <c r="P62447" s="2498"/>
    </row>
    <row r="62448" spans="16:16">
      <c r="P62448" s="2498"/>
    </row>
    <row r="62449" spans="16:16">
      <c r="P62449" s="2498"/>
    </row>
    <row r="62450" spans="16:16">
      <c r="P62450" s="2498"/>
    </row>
    <row r="62451" spans="16:16">
      <c r="P62451" s="2498"/>
    </row>
    <row r="62452" spans="16:16">
      <c r="P62452" s="2498"/>
    </row>
    <row r="62453" spans="16:16">
      <c r="P62453" s="2498"/>
    </row>
    <row r="62454" spans="16:16">
      <c r="P62454" s="2498"/>
    </row>
    <row r="62455" spans="16:16">
      <c r="P62455" s="2498"/>
    </row>
    <row r="62456" spans="16:16">
      <c r="P62456" s="2498"/>
    </row>
    <row r="62457" spans="16:16">
      <c r="P62457" s="2498"/>
    </row>
    <row r="62458" spans="16:16">
      <c r="P62458" s="2498"/>
    </row>
    <row r="62459" spans="16:16">
      <c r="P62459" s="2498"/>
    </row>
    <row r="62460" spans="16:16">
      <c r="P62460" s="2498"/>
    </row>
    <row r="62461" spans="16:16">
      <c r="P62461" s="2498"/>
    </row>
    <row r="62462" spans="16:16">
      <c r="P62462" s="2498"/>
    </row>
    <row r="62463" spans="16:16">
      <c r="P62463" s="2498"/>
    </row>
    <row r="62464" spans="16:16">
      <c r="P62464" s="2498"/>
    </row>
    <row r="62465" spans="16:16">
      <c r="P62465" s="2498"/>
    </row>
    <row r="62466" spans="16:16">
      <c r="P62466" s="2498"/>
    </row>
    <row r="62467" spans="16:16">
      <c r="P62467" s="2498"/>
    </row>
    <row r="62468" spans="16:16">
      <c r="P62468" s="2498"/>
    </row>
    <row r="62469" spans="16:16">
      <c r="P62469" s="2498"/>
    </row>
    <row r="62470" spans="16:16">
      <c r="P62470" s="2498"/>
    </row>
    <row r="62471" spans="16:16">
      <c r="P62471" s="2498"/>
    </row>
    <row r="62472" spans="16:16">
      <c r="P62472" s="2498"/>
    </row>
    <row r="62473" spans="16:16">
      <c r="P62473" s="2498"/>
    </row>
    <row r="62474" spans="16:16">
      <c r="P62474" s="2498"/>
    </row>
    <row r="62475" spans="16:16">
      <c r="P62475" s="2498"/>
    </row>
    <row r="62476" spans="16:16">
      <c r="P62476" s="2498"/>
    </row>
    <row r="62477" spans="16:16">
      <c r="P62477" s="2498"/>
    </row>
    <row r="62478" spans="16:16">
      <c r="P62478" s="2498"/>
    </row>
    <row r="62479" spans="16:16">
      <c r="P62479" s="2498"/>
    </row>
    <row r="62480" spans="16:16">
      <c r="P62480" s="2498"/>
    </row>
    <row r="62481" spans="16:16">
      <c r="P62481" s="2498"/>
    </row>
    <row r="62482" spans="16:16">
      <c r="P62482" s="2498"/>
    </row>
    <row r="62483" spans="16:16">
      <c r="P62483" s="2498"/>
    </row>
    <row r="62484" spans="16:16">
      <c r="P62484" s="2498"/>
    </row>
    <row r="62485" spans="16:16">
      <c r="P62485" s="2498"/>
    </row>
    <row r="62486" spans="16:16">
      <c r="P62486" s="2498"/>
    </row>
    <row r="62487" spans="16:16">
      <c r="P62487" s="2498"/>
    </row>
    <row r="62488" spans="16:16">
      <c r="P62488" s="2498"/>
    </row>
    <row r="62489" spans="16:16">
      <c r="P62489" s="2498"/>
    </row>
    <row r="62490" spans="16:16">
      <c r="P62490" s="2498"/>
    </row>
    <row r="62491" spans="16:16">
      <c r="P62491" s="2498"/>
    </row>
    <row r="62492" spans="16:16">
      <c r="P62492" s="2498"/>
    </row>
    <row r="62493" spans="16:16">
      <c r="P62493" s="2498"/>
    </row>
    <row r="62494" spans="16:16">
      <c r="P62494" s="2498"/>
    </row>
    <row r="62495" spans="16:16">
      <c r="P62495" s="2498"/>
    </row>
    <row r="62496" spans="16:16">
      <c r="P62496" s="2498"/>
    </row>
    <row r="62497" spans="16:16">
      <c r="P62497" s="2498"/>
    </row>
    <row r="62498" spans="16:16">
      <c r="P62498" s="2498"/>
    </row>
    <row r="62499" spans="16:16">
      <c r="P62499" s="2498"/>
    </row>
    <row r="62500" spans="16:16">
      <c r="P62500" s="2498"/>
    </row>
    <row r="62501" spans="16:16">
      <c r="P62501" s="2498"/>
    </row>
    <row r="62502" spans="16:16">
      <c r="P62502" s="2498"/>
    </row>
    <row r="62503" spans="16:16">
      <c r="P62503" s="2498"/>
    </row>
    <row r="62504" spans="16:16">
      <c r="P62504" s="2498"/>
    </row>
    <row r="62505" spans="16:16">
      <c r="P62505" s="2498"/>
    </row>
    <row r="62506" spans="16:16">
      <c r="P62506" s="2498"/>
    </row>
    <row r="62507" spans="16:16">
      <c r="P62507" s="2498"/>
    </row>
    <row r="62508" spans="16:16">
      <c r="P62508" s="2498"/>
    </row>
    <row r="62509" spans="16:16">
      <c r="P62509" s="2498"/>
    </row>
    <row r="62510" spans="16:16">
      <c r="P62510" s="2498"/>
    </row>
    <row r="62511" spans="16:16">
      <c r="P62511" s="2498"/>
    </row>
    <row r="62512" spans="16:16">
      <c r="P62512" s="2498"/>
    </row>
    <row r="62513" spans="16:16">
      <c r="P62513" s="2498"/>
    </row>
    <row r="62514" spans="16:16">
      <c r="P62514" s="2498"/>
    </row>
    <row r="62515" spans="16:16">
      <c r="P62515" s="2498"/>
    </row>
    <row r="62516" spans="16:16">
      <c r="P62516" s="2498"/>
    </row>
    <row r="62517" spans="16:16">
      <c r="P62517" s="2498"/>
    </row>
    <row r="62518" spans="16:16">
      <c r="P62518" s="2498"/>
    </row>
    <row r="62519" spans="16:16">
      <c r="P62519" s="2498"/>
    </row>
    <row r="62520" spans="16:16">
      <c r="P62520" s="2498"/>
    </row>
    <row r="62521" spans="16:16">
      <c r="P62521" s="2498"/>
    </row>
    <row r="62522" spans="16:16">
      <c r="P62522" s="2498"/>
    </row>
    <row r="62523" spans="16:16">
      <c r="P62523" s="2498"/>
    </row>
    <row r="62524" spans="16:16">
      <c r="P62524" s="2498"/>
    </row>
    <row r="62525" spans="16:16">
      <c r="P62525" s="2498"/>
    </row>
    <row r="62526" spans="16:16">
      <c r="P62526" s="2498"/>
    </row>
    <row r="62527" spans="16:16">
      <c r="P62527" s="2498"/>
    </row>
    <row r="62528" spans="16:16">
      <c r="P62528" s="2498"/>
    </row>
    <row r="62529" spans="16:16">
      <c r="P62529" s="2498"/>
    </row>
    <row r="62530" spans="16:16">
      <c r="P62530" s="2498"/>
    </row>
    <row r="62531" spans="16:16">
      <c r="P62531" s="2498"/>
    </row>
    <row r="62532" spans="16:16">
      <c r="P62532" s="2498"/>
    </row>
    <row r="62533" spans="16:16">
      <c r="P62533" s="2498"/>
    </row>
    <row r="62534" spans="16:16">
      <c r="P62534" s="2498"/>
    </row>
    <row r="62535" spans="16:16">
      <c r="P62535" s="2498"/>
    </row>
    <row r="62536" spans="16:16">
      <c r="P62536" s="2498"/>
    </row>
    <row r="62537" spans="16:16">
      <c r="P62537" s="2498"/>
    </row>
    <row r="62538" spans="16:16">
      <c r="P62538" s="2498"/>
    </row>
    <row r="62539" spans="16:16">
      <c r="P62539" s="2498"/>
    </row>
    <row r="62540" spans="16:16">
      <c r="P62540" s="2498"/>
    </row>
    <row r="62541" spans="16:16">
      <c r="P62541" s="2498"/>
    </row>
    <row r="62542" spans="16:16">
      <c r="P62542" s="2498"/>
    </row>
    <row r="62543" spans="16:16">
      <c r="P62543" s="2498"/>
    </row>
    <row r="62544" spans="16:16">
      <c r="P62544" s="2498"/>
    </row>
    <row r="62545" spans="16:16">
      <c r="P62545" s="2498"/>
    </row>
    <row r="62546" spans="16:16">
      <c r="P62546" s="2498"/>
    </row>
    <row r="62547" spans="16:16">
      <c r="P62547" s="2498"/>
    </row>
    <row r="62548" spans="16:16">
      <c r="P62548" s="2498"/>
    </row>
    <row r="62549" spans="16:16">
      <c r="P62549" s="2498"/>
    </row>
    <row r="62550" spans="16:16">
      <c r="P62550" s="2498"/>
    </row>
    <row r="62551" spans="16:16">
      <c r="P62551" s="2498"/>
    </row>
    <row r="62552" spans="16:16">
      <c r="P62552" s="2498"/>
    </row>
    <row r="62553" spans="16:16">
      <c r="P62553" s="2498"/>
    </row>
    <row r="62554" spans="16:16">
      <c r="P62554" s="2498"/>
    </row>
    <row r="62555" spans="16:16">
      <c r="P62555" s="2498"/>
    </row>
    <row r="62556" spans="16:16">
      <c r="P62556" s="2498"/>
    </row>
    <row r="62557" spans="16:16">
      <c r="P62557" s="2498"/>
    </row>
    <row r="62558" spans="16:16">
      <c r="P62558" s="2498"/>
    </row>
    <row r="62559" spans="16:16">
      <c r="P62559" s="2498"/>
    </row>
    <row r="62560" spans="16:16">
      <c r="P62560" s="2498"/>
    </row>
    <row r="62561" spans="16:16">
      <c r="P62561" s="2498"/>
    </row>
    <row r="62562" spans="16:16">
      <c r="P62562" s="2498"/>
    </row>
    <row r="62563" spans="16:16">
      <c r="P62563" s="2498"/>
    </row>
    <row r="62564" spans="16:16">
      <c r="P62564" s="2498"/>
    </row>
    <row r="62565" spans="16:16">
      <c r="P62565" s="2498"/>
    </row>
    <row r="62566" spans="16:16">
      <c r="P62566" s="2498"/>
    </row>
    <row r="62567" spans="16:16">
      <c r="P62567" s="2498"/>
    </row>
    <row r="62568" spans="16:16">
      <c r="P62568" s="2498"/>
    </row>
    <row r="62569" spans="16:16">
      <c r="P62569" s="2498"/>
    </row>
    <row r="62570" spans="16:16">
      <c r="P62570" s="2498"/>
    </row>
    <row r="62571" spans="16:16">
      <c r="P62571" s="2498"/>
    </row>
    <row r="62572" spans="16:16">
      <c r="P62572" s="2498"/>
    </row>
    <row r="62573" spans="16:16">
      <c r="P62573" s="2498"/>
    </row>
    <row r="62574" spans="16:16">
      <c r="P62574" s="2498"/>
    </row>
    <row r="62575" spans="16:16">
      <c r="P62575" s="2498"/>
    </row>
    <row r="62576" spans="16:16">
      <c r="P62576" s="2498"/>
    </row>
    <row r="62577" spans="16:16">
      <c r="P62577" s="2498"/>
    </row>
    <row r="62578" spans="16:16">
      <c r="P62578" s="2498"/>
    </row>
    <row r="62579" spans="16:16">
      <c r="P62579" s="2498"/>
    </row>
    <row r="62580" spans="16:16">
      <c r="P62580" s="2498"/>
    </row>
    <row r="62581" spans="16:16">
      <c r="P62581" s="2498"/>
    </row>
    <row r="62582" spans="16:16">
      <c r="P62582" s="2498"/>
    </row>
    <row r="62583" spans="16:16">
      <c r="P62583" s="2498"/>
    </row>
    <row r="62584" spans="16:16">
      <c r="P62584" s="2498"/>
    </row>
    <row r="62585" spans="16:16">
      <c r="P62585" s="2498"/>
    </row>
    <row r="62586" spans="16:16">
      <c r="P62586" s="2498"/>
    </row>
    <row r="62587" spans="16:16">
      <c r="P62587" s="2498"/>
    </row>
    <row r="62588" spans="16:16">
      <c r="P62588" s="2498"/>
    </row>
    <row r="62589" spans="16:16">
      <c r="P62589" s="2498"/>
    </row>
    <row r="62590" spans="16:16">
      <c r="P62590" s="2498"/>
    </row>
    <row r="62591" spans="16:16">
      <c r="P62591" s="2498"/>
    </row>
    <row r="62592" spans="16:16">
      <c r="P62592" s="2498"/>
    </row>
    <row r="62593" spans="16:16">
      <c r="P62593" s="2498"/>
    </row>
    <row r="62594" spans="16:16">
      <c r="P62594" s="2498"/>
    </row>
    <row r="62595" spans="16:16">
      <c r="P62595" s="2498"/>
    </row>
    <row r="62596" spans="16:16">
      <c r="P62596" s="2498"/>
    </row>
    <row r="62597" spans="16:16">
      <c r="P62597" s="2498"/>
    </row>
    <row r="62598" spans="16:16">
      <c r="P62598" s="2498"/>
    </row>
    <row r="62599" spans="16:16">
      <c r="P62599" s="2498"/>
    </row>
    <row r="62600" spans="16:16">
      <c r="P62600" s="2498"/>
    </row>
    <row r="62601" spans="16:16">
      <c r="P62601" s="2498"/>
    </row>
    <row r="62602" spans="16:16">
      <c r="P62602" s="2498"/>
    </row>
    <row r="62603" spans="16:16">
      <c r="P62603" s="2498"/>
    </row>
    <row r="62604" spans="16:16">
      <c r="P62604" s="2498"/>
    </row>
    <row r="62605" spans="16:16">
      <c r="P62605" s="2498"/>
    </row>
    <row r="62606" spans="16:16">
      <c r="P62606" s="2498"/>
    </row>
    <row r="62607" spans="16:16">
      <c r="P62607" s="2498"/>
    </row>
    <row r="62608" spans="16:16">
      <c r="P62608" s="2498"/>
    </row>
    <row r="62609" spans="16:16">
      <c r="P62609" s="2498"/>
    </row>
    <row r="62610" spans="16:16">
      <c r="P62610" s="2498"/>
    </row>
    <row r="62611" spans="16:16">
      <c r="P62611" s="2498"/>
    </row>
    <row r="62612" spans="16:16">
      <c r="P62612" s="2498"/>
    </row>
    <row r="62613" spans="16:16">
      <c r="P62613" s="2498"/>
    </row>
    <row r="62614" spans="16:16">
      <c r="P62614" s="2498"/>
    </row>
    <row r="62615" spans="16:16">
      <c r="P62615" s="2498"/>
    </row>
    <row r="62616" spans="16:16">
      <c r="P62616" s="2498"/>
    </row>
    <row r="62617" spans="16:16">
      <c r="P62617" s="2498"/>
    </row>
    <row r="62618" spans="16:16">
      <c r="P62618" s="2498"/>
    </row>
    <row r="62619" spans="16:16">
      <c r="P62619" s="2498"/>
    </row>
    <row r="62620" spans="16:16">
      <c r="P62620" s="2498"/>
    </row>
    <row r="62621" spans="16:16">
      <c r="P62621" s="2498"/>
    </row>
    <row r="62622" spans="16:16">
      <c r="P62622" s="2498"/>
    </row>
    <row r="62623" spans="16:16">
      <c r="P62623" s="2498"/>
    </row>
    <row r="62624" spans="16:16">
      <c r="P62624" s="2498"/>
    </row>
    <row r="62625" spans="16:16">
      <c r="P62625" s="2498"/>
    </row>
    <row r="62626" spans="16:16">
      <c r="P62626" s="2498"/>
    </row>
    <row r="62627" spans="16:16">
      <c r="P62627" s="2498"/>
    </row>
    <row r="62628" spans="16:16">
      <c r="P62628" s="2498"/>
    </row>
    <row r="62629" spans="16:16">
      <c r="P62629" s="2498"/>
    </row>
    <row r="62630" spans="16:16">
      <c r="P62630" s="2498"/>
    </row>
    <row r="62631" spans="16:16">
      <c r="P62631" s="2498"/>
    </row>
    <row r="62632" spans="16:16">
      <c r="P62632" s="2498"/>
    </row>
    <row r="62633" spans="16:16">
      <c r="P62633" s="2498"/>
    </row>
    <row r="62634" spans="16:16">
      <c r="P62634" s="2498"/>
    </row>
    <row r="62635" spans="16:16">
      <c r="P62635" s="2498"/>
    </row>
    <row r="62636" spans="16:16">
      <c r="P62636" s="2498"/>
    </row>
    <row r="62637" spans="16:16">
      <c r="P62637" s="2498"/>
    </row>
    <row r="62638" spans="16:16">
      <c r="P62638" s="2498"/>
    </row>
    <row r="62639" spans="16:16">
      <c r="P62639" s="2498"/>
    </row>
    <row r="62640" spans="16:16">
      <c r="P62640" s="2498"/>
    </row>
    <row r="62641" spans="16:16">
      <c r="P62641" s="2498"/>
    </row>
    <row r="62642" spans="16:16">
      <c r="P62642" s="2498"/>
    </row>
    <row r="62643" spans="16:16">
      <c r="P62643" s="2498"/>
    </row>
    <row r="62644" spans="16:16">
      <c r="P62644" s="2498"/>
    </row>
    <row r="62645" spans="16:16">
      <c r="P62645" s="2498"/>
    </row>
    <row r="62646" spans="16:16">
      <c r="P62646" s="2498"/>
    </row>
    <row r="62647" spans="16:16">
      <c r="P62647" s="2498"/>
    </row>
    <row r="62648" spans="16:16">
      <c r="P62648" s="2498"/>
    </row>
    <row r="62649" spans="16:16">
      <c r="P62649" s="2498"/>
    </row>
    <row r="62650" spans="16:16">
      <c r="P62650" s="2498"/>
    </row>
    <row r="62651" spans="16:16">
      <c r="P62651" s="2498"/>
    </row>
    <row r="62652" spans="16:16">
      <c r="P62652" s="2498"/>
    </row>
    <row r="62653" spans="16:16">
      <c r="P62653" s="2498"/>
    </row>
    <row r="62654" spans="16:16">
      <c r="P62654" s="2498"/>
    </row>
    <row r="62655" spans="16:16">
      <c r="P62655" s="2498"/>
    </row>
    <row r="62656" spans="16:16">
      <c r="P62656" s="2498"/>
    </row>
    <row r="62657" spans="16:16">
      <c r="P62657" s="2498"/>
    </row>
    <row r="62658" spans="16:16">
      <c r="P62658" s="2498"/>
    </row>
    <row r="62659" spans="16:16">
      <c r="P62659" s="2498"/>
    </row>
    <row r="62660" spans="16:16">
      <c r="P62660" s="2498"/>
    </row>
    <row r="62661" spans="16:16">
      <c r="P62661" s="2498"/>
    </row>
    <row r="62662" spans="16:16">
      <c r="P62662" s="2498"/>
    </row>
    <row r="62663" spans="16:16">
      <c r="P62663" s="2498"/>
    </row>
    <row r="62664" spans="16:16">
      <c r="P62664" s="2498"/>
    </row>
    <row r="62665" spans="16:16">
      <c r="P62665" s="2498"/>
    </row>
    <row r="62666" spans="16:16">
      <c r="P62666" s="2498"/>
    </row>
    <row r="62667" spans="16:16">
      <c r="P62667" s="2498"/>
    </row>
    <row r="62668" spans="16:16">
      <c r="P62668" s="2498"/>
    </row>
    <row r="62669" spans="16:16">
      <c r="P62669" s="2498"/>
    </row>
    <row r="62670" spans="16:16">
      <c r="P62670" s="2498"/>
    </row>
    <row r="62671" spans="16:16">
      <c r="P62671" s="2498"/>
    </row>
    <row r="62672" spans="16:16">
      <c r="P62672" s="2498"/>
    </row>
    <row r="62673" spans="16:16">
      <c r="P62673" s="2498"/>
    </row>
    <row r="62674" spans="16:16">
      <c r="P62674" s="2498"/>
    </row>
    <row r="62675" spans="16:16">
      <c r="P62675" s="2498"/>
    </row>
    <row r="62676" spans="16:16">
      <c r="P62676" s="2498"/>
    </row>
    <row r="62677" spans="16:16">
      <c r="P62677" s="2498"/>
    </row>
    <row r="62678" spans="16:16">
      <c r="P62678" s="2498"/>
    </row>
    <row r="62679" spans="16:16">
      <c r="P62679" s="2498"/>
    </row>
    <row r="62680" spans="16:16">
      <c r="P62680" s="2498"/>
    </row>
    <row r="62681" spans="16:16">
      <c r="P62681" s="2498"/>
    </row>
    <row r="62682" spans="16:16">
      <c r="P62682" s="2498"/>
    </row>
    <row r="62683" spans="16:16">
      <c r="P62683" s="2498"/>
    </row>
    <row r="62684" spans="16:16">
      <c r="P62684" s="2498"/>
    </row>
    <row r="62685" spans="16:16">
      <c r="P62685" s="2498"/>
    </row>
    <row r="62686" spans="16:16">
      <c r="P62686" s="2498"/>
    </row>
    <row r="62687" spans="16:16">
      <c r="P62687" s="2498"/>
    </row>
    <row r="62688" spans="16:16">
      <c r="P62688" s="2498"/>
    </row>
    <row r="62689" spans="16:16">
      <c r="P62689" s="2498"/>
    </row>
    <row r="62690" spans="16:16">
      <c r="P62690" s="2498"/>
    </row>
    <row r="62691" spans="16:16">
      <c r="P62691" s="2498"/>
    </row>
    <row r="62692" spans="16:16">
      <c r="P62692" s="2498"/>
    </row>
    <row r="62693" spans="16:16">
      <c r="P62693" s="2498"/>
    </row>
    <row r="62694" spans="16:16">
      <c r="P62694" s="2498"/>
    </row>
    <row r="62695" spans="16:16">
      <c r="P62695" s="2498"/>
    </row>
    <row r="62696" spans="16:16">
      <c r="P62696" s="2498"/>
    </row>
    <row r="62697" spans="16:16">
      <c r="P62697" s="2498"/>
    </row>
    <row r="62698" spans="16:16">
      <c r="P62698" s="2498"/>
    </row>
    <row r="62699" spans="16:16">
      <c r="P62699" s="2498"/>
    </row>
    <row r="62700" spans="16:16">
      <c r="P62700" s="2498"/>
    </row>
    <row r="62701" spans="16:16">
      <c r="P62701" s="2498"/>
    </row>
    <row r="62702" spans="16:16">
      <c r="P62702" s="2498"/>
    </row>
    <row r="62703" spans="16:16">
      <c r="P62703" s="2498"/>
    </row>
    <row r="62704" spans="16:16">
      <c r="P62704" s="2498"/>
    </row>
    <row r="62705" spans="16:16">
      <c r="P62705" s="2498"/>
    </row>
    <row r="62706" spans="16:16">
      <c r="P62706" s="2498"/>
    </row>
    <row r="62707" spans="16:16">
      <c r="P62707" s="2498"/>
    </row>
    <row r="62708" spans="16:16">
      <c r="P62708" s="2498"/>
    </row>
    <row r="62709" spans="16:16">
      <c r="P62709" s="2498"/>
    </row>
    <row r="62710" spans="16:16">
      <c r="P62710" s="2498"/>
    </row>
    <row r="62711" spans="16:16">
      <c r="P62711" s="2498"/>
    </row>
    <row r="62712" spans="16:16">
      <c r="P62712" s="2498"/>
    </row>
    <row r="62713" spans="16:16">
      <c r="P62713" s="2498"/>
    </row>
    <row r="62714" spans="16:16">
      <c r="P62714" s="2498"/>
    </row>
    <row r="62715" spans="16:16">
      <c r="P62715" s="2498"/>
    </row>
    <row r="62716" spans="16:16">
      <c r="P62716" s="2498"/>
    </row>
    <row r="62717" spans="16:16">
      <c r="P62717" s="2498"/>
    </row>
    <row r="62718" spans="16:16">
      <c r="P62718" s="2498"/>
    </row>
    <row r="62719" spans="16:16">
      <c r="P62719" s="2498"/>
    </row>
    <row r="62720" spans="16:16">
      <c r="P62720" s="2498"/>
    </row>
    <row r="62721" spans="16:16">
      <c r="P62721" s="2498"/>
    </row>
    <row r="62722" spans="16:16">
      <c r="P62722" s="2498"/>
    </row>
    <row r="62723" spans="16:16">
      <c r="P62723" s="2498"/>
    </row>
    <row r="62724" spans="16:16">
      <c r="P62724" s="2498"/>
    </row>
    <row r="62725" spans="16:16">
      <c r="P62725" s="2498"/>
    </row>
    <row r="62726" spans="16:16">
      <c r="P62726" s="2498"/>
    </row>
    <row r="62727" spans="16:16">
      <c r="P62727" s="2498"/>
    </row>
    <row r="62728" spans="16:16">
      <c r="P62728" s="2498"/>
    </row>
    <row r="62729" spans="16:16">
      <c r="P62729" s="2498"/>
    </row>
    <row r="62730" spans="16:16">
      <c r="P62730" s="2498"/>
    </row>
    <row r="62731" spans="16:16">
      <c r="P62731" s="2498"/>
    </row>
    <row r="62732" spans="16:16">
      <c r="P62732" s="2498"/>
    </row>
    <row r="62733" spans="16:16">
      <c r="P62733" s="2498"/>
    </row>
    <row r="62734" spans="16:16">
      <c r="P62734" s="2498"/>
    </row>
    <row r="62735" spans="16:16">
      <c r="P62735" s="2498"/>
    </row>
    <row r="62736" spans="16:16">
      <c r="P62736" s="2498"/>
    </row>
    <row r="62737" spans="16:16">
      <c r="P62737" s="2498"/>
    </row>
    <row r="62738" spans="16:16">
      <c r="P62738" s="2498"/>
    </row>
    <row r="62739" spans="16:16">
      <c r="P62739" s="2498"/>
    </row>
    <row r="62740" spans="16:16">
      <c r="P62740" s="2498"/>
    </row>
    <row r="62741" spans="16:16">
      <c r="P62741" s="2498"/>
    </row>
    <row r="62742" spans="16:16">
      <c r="P62742" s="2498"/>
    </row>
    <row r="62743" spans="16:16">
      <c r="P62743" s="2498"/>
    </row>
    <row r="62744" spans="16:16">
      <c r="P62744" s="2498"/>
    </row>
    <row r="62745" spans="16:16">
      <c r="P62745" s="2498"/>
    </row>
    <row r="62746" spans="16:16">
      <c r="P62746" s="2498"/>
    </row>
    <row r="62747" spans="16:16">
      <c r="P62747" s="2498"/>
    </row>
    <row r="62748" spans="16:16">
      <c r="P62748" s="2498"/>
    </row>
    <row r="62749" spans="16:16">
      <c r="P62749" s="2498"/>
    </row>
    <row r="62750" spans="16:16">
      <c r="P62750" s="2498"/>
    </row>
    <row r="62751" spans="16:16">
      <c r="P62751" s="2498"/>
    </row>
    <row r="62752" spans="16:16">
      <c r="P62752" s="2498"/>
    </row>
    <row r="62753" spans="16:16">
      <c r="P62753" s="2498"/>
    </row>
    <row r="62754" spans="16:16">
      <c r="P62754" s="2498"/>
    </row>
    <row r="62755" spans="16:16">
      <c r="P62755" s="2498"/>
    </row>
    <row r="62756" spans="16:16">
      <c r="P62756" s="2498"/>
    </row>
    <row r="62757" spans="16:16">
      <c r="P62757" s="2498"/>
    </row>
    <row r="62758" spans="16:16">
      <c r="P62758" s="2498"/>
    </row>
    <row r="62759" spans="16:16">
      <c r="P62759" s="2498"/>
    </row>
    <row r="62760" spans="16:16">
      <c r="P62760" s="2498"/>
    </row>
    <row r="62761" spans="16:16">
      <c r="P62761" s="2498"/>
    </row>
    <row r="62762" spans="16:16">
      <c r="P62762" s="2498"/>
    </row>
    <row r="62763" spans="16:16">
      <c r="P62763" s="2498"/>
    </row>
    <row r="62764" spans="16:16">
      <c r="P62764" s="2498"/>
    </row>
    <row r="62765" spans="16:16">
      <c r="P62765" s="2498"/>
    </row>
    <row r="62766" spans="16:16">
      <c r="P62766" s="2498"/>
    </row>
    <row r="62767" spans="16:16">
      <c r="P62767" s="2498"/>
    </row>
    <row r="62768" spans="16:16">
      <c r="P62768" s="2498"/>
    </row>
    <row r="62769" spans="16:16">
      <c r="P62769" s="2498"/>
    </row>
    <row r="62770" spans="16:16">
      <c r="P62770" s="2498"/>
    </row>
    <row r="62771" spans="16:16">
      <c r="P62771" s="2498"/>
    </row>
    <row r="62772" spans="16:16">
      <c r="P62772" s="2498"/>
    </row>
    <row r="62773" spans="16:16">
      <c r="P62773" s="2498"/>
    </row>
    <row r="62774" spans="16:16">
      <c r="P62774" s="2498"/>
    </row>
    <row r="62775" spans="16:16">
      <c r="P62775" s="2498"/>
    </row>
    <row r="62776" spans="16:16">
      <c r="P62776" s="2498"/>
    </row>
    <row r="62777" spans="16:16">
      <c r="P62777" s="2498"/>
    </row>
    <row r="62778" spans="16:16">
      <c r="P62778" s="2498"/>
    </row>
    <row r="62779" spans="16:16">
      <c r="P62779" s="2498"/>
    </row>
    <row r="62780" spans="16:16">
      <c r="P62780" s="2498"/>
    </row>
    <row r="62781" spans="16:16">
      <c r="P62781" s="2498"/>
    </row>
    <row r="62782" spans="16:16">
      <c r="P62782" s="2498"/>
    </row>
    <row r="62783" spans="16:16">
      <c r="P62783" s="2498"/>
    </row>
    <row r="62784" spans="16:16">
      <c r="P62784" s="2498"/>
    </row>
    <row r="62785" spans="16:16">
      <c r="P62785" s="2498"/>
    </row>
    <row r="62786" spans="16:16">
      <c r="P62786" s="2498"/>
    </row>
    <row r="62787" spans="16:16">
      <c r="P62787" s="2498"/>
    </row>
    <row r="62788" spans="16:16">
      <c r="P62788" s="2498"/>
    </row>
    <row r="62789" spans="16:16">
      <c r="P62789" s="2498"/>
    </row>
    <row r="62790" spans="16:16">
      <c r="P62790" s="2498"/>
    </row>
    <row r="62791" spans="16:16">
      <c r="P62791" s="2498"/>
    </row>
    <row r="62792" spans="16:16">
      <c r="P62792" s="2498"/>
    </row>
    <row r="62793" spans="16:16">
      <c r="P62793" s="2498"/>
    </row>
    <row r="62794" spans="16:16">
      <c r="P62794" s="2498"/>
    </row>
    <row r="62795" spans="16:16">
      <c r="P62795" s="2498"/>
    </row>
    <row r="62796" spans="16:16">
      <c r="P62796" s="2498"/>
    </row>
    <row r="62797" spans="16:16">
      <c r="P62797" s="2498"/>
    </row>
    <row r="62798" spans="16:16">
      <c r="P62798" s="2498"/>
    </row>
    <row r="62799" spans="16:16">
      <c r="P62799" s="2498"/>
    </row>
    <row r="62800" spans="16:16">
      <c r="P62800" s="2498"/>
    </row>
    <row r="62801" spans="16:16">
      <c r="P62801" s="2498"/>
    </row>
    <row r="62802" spans="16:16">
      <c r="P62802" s="2498"/>
    </row>
    <row r="62803" spans="16:16">
      <c r="P62803" s="2498"/>
    </row>
    <row r="62804" spans="16:16">
      <c r="P62804" s="2498"/>
    </row>
    <row r="62805" spans="16:16">
      <c r="P62805" s="2498"/>
    </row>
    <row r="62806" spans="16:16">
      <c r="P62806" s="2498"/>
    </row>
    <row r="62807" spans="16:16">
      <c r="P62807" s="2498"/>
    </row>
    <row r="62808" spans="16:16">
      <c r="P62808" s="2498"/>
    </row>
    <row r="62809" spans="16:16">
      <c r="P62809" s="2498"/>
    </row>
    <row r="62810" spans="16:16">
      <c r="P62810" s="2498"/>
    </row>
    <row r="62811" spans="16:16">
      <c r="P62811" s="2498"/>
    </row>
    <row r="62812" spans="16:16">
      <c r="P62812" s="2498"/>
    </row>
    <row r="62813" spans="16:16">
      <c r="P62813" s="2498"/>
    </row>
    <row r="62814" spans="16:16">
      <c r="P62814" s="2498"/>
    </row>
    <row r="62815" spans="16:16">
      <c r="P62815" s="2498"/>
    </row>
    <row r="62816" spans="16:16">
      <c r="P62816" s="2498"/>
    </row>
    <row r="62817" spans="16:16">
      <c r="P62817" s="2498"/>
    </row>
    <row r="62818" spans="16:16">
      <c r="P62818" s="2498"/>
    </row>
    <row r="62819" spans="16:16">
      <c r="P62819" s="2498"/>
    </row>
    <row r="62820" spans="16:16">
      <c r="P62820" s="2498"/>
    </row>
    <row r="62821" spans="16:16">
      <c r="P62821" s="2498"/>
    </row>
    <row r="62822" spans="16:16">
      <c r="P62822" s="2498"/>
    </row>
    <row r="62823" spans="16:16">
      <c r="P62823" s="2498"/>
    </row>
    <row r="62824" spans="16:16">
      <c r="P62824" s="2498"/>
    </row>
    <row r="62825" spans="16:16">
      <c r="P62825" s="2498"/>
    </row>
    <row r="62826" spans="16:16">
      <c r="P62826" s="2498"/>
    </row>
    <row r="62827" spans="16:16">
      <c r="P62827" s="2498"/>
    </row>
    <row r="62828" spans="16:16">
      <c r="P62828" s="2498"/>
    </row>
    <row r="62829" spans="16:16">
      <c r="P62829" s="2498"/>
    </row>
    <row r="62830" spans="16:16">
      <c r="P62830" s="2498"/>
    </row>
    <row r="62831" spans="16:16">
      <c r="P62831" s="2498"/>
    </row>
    <row r="62832" spans="16:16">
      <c r="P62832" s="2498"/>
    </row>
    <row r="62833" spans="16:16">
      <c r="P62833" s="2498"/>
    </row>
    <row r="62834" spans="16:16">
      <c r="P62834" s="2498"/>
    </row>
    <row r="62835" spans="16:16">
      <c r="P62835" s="2498"/>
    </row>
    <row r="62836" spans="16:16">
      <c r="P62836" s="2498"/>
    </row>
    <row r="62837" spans="16:16">
      <c r="P62837" s="2498"/>
    </row>
    <row r="62838" spans="16:16">
      <c r="P62838" s="2498"/>
    </row>
    <row r="62839" spans="16:16">
      <c r="P62839" s="2498"/>
    </row>
    <row r="62840" spans="16:16">
      <c r="P62840" s="2498"/>
    </row>
    <row r="62841" spans="16:16">
      <c r="P62841" s="2498"/>
    </row>
    <row r="62842" spans="16:16">
      <c r="P62842" s="2498"/>
    </row>
    <row r="62843" spans="16:16">
      <c r="P62843" s="2498"/>
    </row>
    <row r="62844" spans="16:16">
      <c r="P62844" s="2498"/>
    </row>
    <row r="62845" spans="16:16">
      <c r="P62845" s="2498"/>
    </row>
    <row r="62846" spans="16:16">
      <c r="P62846" s="2498"/>
    </row>
    <row r="62847" spans="16:16">
      <c r="P62847" s="2498"/>
    </row>
    <row r="62848" spans="16:16">
      <c r="P62848" s="2498"/>
    </row>
    <row r="62849" spans="16:16">
      <c r="P62849" s="2498"/>
    </row>
    <row r="62850" spans="16:16">
      <c r="P62850" s="2498"/>
    </row>
    <row r="62851" spans="16:16">
      <c r="P62851" s="2498"/>
    </row>
    <row r="62852" spans="16:16">
      <c r="P62852" s="2498"/>
    </row>
    <row r="62853" spans="16:16">
      <c r="P62853" s="2498"/>
    </row>
    <row r="62854" spans="16:16">
      <c r="P62854" s="2498"/>
    </row>
    <row r="62855" spans="16:16">
      <c r="P62855" s="2498"/>
    </row>
    <row r="62856" spans="16:16">
      <c r="P62856" s="2498"/>
    </row>
    <row r="62857" spans="16:16">
      <c r="P62857" s="2498"/>
    </row>
    <row r="62858" spans="16:16">
      <c r="P62858" s="2498"/>
    </row>
    <row r="62859" spans="16:16">
      <c r="P62859" s="2498"/>
    </row>
    <row r="62860" spans="16:16">
      <c r="P62860" s="2498"/>
    </row>
    <row r="62861" spans="16:16">
      <c r="P62861" s="2498"/>
    </row>
    <row r="62862" spans="16:16">
      <c r="P62862" s="2498"/>
    </row>
    <row r="62863" spans="16:16">
      <c r="P62863" s="2498"/>
    </row>
    <row r="62864" spans="16:16">
      <c r="P62864" s="2498"/>
    </row>
    <row r="62865" spans="16:16">
      <c r="P62865" s="2498"/>
    </row>
    <row r="62866" spans="16:16">
      <c r="P62866" s="2498"/>
    </row>
    <row r="62867" spans="16:16">
      <c r="P62867" s="2498"/>
    </row>
    <row r="62868" spans="16:16">
      <c r="P62868" s="2498"/>
    </row>
    <row r="62869" spans="16:16">
      <c r="P62869" s="2498"/>
    </row>
    <row r="62870" spans="16:16">
      <c r="P62870" s="2498"/>
    </row>
    <row r="62871" spans="16:16">
      <c r="P62871" s="2498"/>
    </row>
    <row r="62872" spans="16:16">
      <c r="P62872" s="2498"/>
    </row>
    <row r="62873" spans="16:16">
      <c r="P62873" s="2498"/>
    </row>
    <row r="62874" spans="16:16">
      <c r="P62874" s="2498"/>
    </row>
    <row r="62875" spans="16:16">
      <c r="P62875" s="2498"/>
    </row>
    <row r="62876" spans="16:16">
      <c r="P62876" s="2498"/>
    </row>
    <row r="62877" spans="16:16">
      <c r="P62877" s="2498"/>
    </row>
    <row r="62878" spans="16:16">
      <c r="P62878" s="2498"/>
    </row>
    <row r="62879" spans="16:16">
      <c r="P62879" s="2498"/>
    </row>
    <row r="62880" spans="16:16">
      <c r="P62880" s="2498"/>
    </row>
    <row r="62881" spans="16:16">
      <c r="P62881" s="2498"/>
    </row>
    <row r="62882" spans="16:16">
      <c r="P62882" s="2498"/>
    </row>
    <row r="62883" spans="16:16">
      <c r="P62883" s="2498"/>
    </row>
    <row r="62884" spans="16:16">
      <c r="P62884" s="2498"/>
    </row>
    <row r="62885" spans="16:16">
      <c r="P62885" s="2498"/>
    </row>
    <row r="62886" spans="16:16">
      <c r="P62886" s="2498"/>
    </row>
    <row r="62887" spans="16:16">
      <c r="P62887" s="2498"/>
    </row>
    <row r="62888" spans="16:16">
      <c r="P62888" s="2498"/>
    </row>
    <row r="62889" spans="16:16">
      <c r="P62889" s="2498"/>
    </row>
    <row r="62890" spans="16:16">
      <c r="P62890" s="2498"/>
    </row>
    <row r="62891" spans="16:16">
      <c r="P62891" s="2498"/>
    </row>
    <row r="62892" spans="16:16">
      <c r="P62892" s="2498"/>
    </row>
    <row r="62893" spans="16:16">
      <c r="P62893" s="2498"/>
    </row>
    <row r="62894" spans="16:16">
      <c r="P62894" s="2498"/>
    </row>
    <row r="62895" spans="16:16">
      <c r="P62895" s="2498"/>
    </row>
    <row r="62896" spans="16:16">
      <c r="P62896" s="2498"/>
    </row>
    <row r="62897" spans="16:16">
      <c r="P62897" s="2498"/>
    </row>
    <row r="62898" spans="16:16">
      <c r="P62898" s="2498"/>
    </row>
    <row r="62899" spans="16:16">
      <c r="P62899" s="2498"/>
    </row>
    <row r="62900" spans="16:16">
      <c r="P62900" s="2498"/>
    </row>
    <row r="62901" spans="16:16">
      <c r="P62901" s="2498"/>
    </row>
    <row r="62902" spans="16:16">
      <c r="P62902" s="2498"/>
    </row>
    <row r="62903" spans="16:16">
      <c r="P62903" s="2498"/>
    </row>
    <row r="62904" spans="16:16">
      <c r="P62904" s="2498"/>
    </row>
    <row r="62905" spans="16:16">
      <c r="P62905" s="2498"/>
    </row>
    <row r="62906" spans="16:16">
      <c r="P62906" s="2498"/>
    </row>
    <row r="62907" spans="16:16">
      <c r="P62907" s="2498"/>
    </row>
    <row r="62908" spans="16:16">
      <c r="P62908" s="2498"/>
    </row>
    <row r="62909" spans="16:16">
      <c r="P62909" s="2498"/>
    </row>
    <row r="62910" spans="16:16">
      <c r="P62910" s="2498"/>
    </row>
    <row r="62911" spans="16:16">
      <c r="P62911" s="2498"/>
    </row>
    <row r="62912" spans="16:16">
      <c r="P62912" s="2498"/>
    </row>
    <row r="62913" spans="16:16">
      <c r="P62913" s="2498"/>
    </row>
    <row r="62914" spans="16:16">
      <c r="P62914" s="2498"/>
    </row>
    <row r="62915" spans="16:16">
      <c r="P62915" s="2498"/>
    </row>
    <row r="62916" spans="16:16">
      <c r="P62916" s="2498"/>
    </row>
    <row r="62917" spans="16:16">
      <c r="P62917" s="2498"/>
    </row>
    <row r="62918" spans="16:16">
      <c r="P62918" s="2498"/>
    </row>
    <row r="62919" spans="16:16">
      <c r="P62919" s="2498"/>
    </row>
    <row r="62920" spans="16:16">
      <c r="P62920" s="2498"/>
    </row>
    <row r="62921" spans="16:16">
      <c r="P62921" s="2498"/>
    </row>
    <row r="62922" spans="16:16">
      <c r="P62922" s="2498"/>
    </row>
    <row r="62923" spans="16:16">
      <c r="P62923" s="2498"/>
    </row>
    <row r="62924" spans="16:16">
      <c r="P62924" s="2498"/>
    </row>
    <row r="62925" spans="16:16">
      <c r="P62925" s="2498"/>
    </row>
    <row r="62926" spans="16:16">
      <c r="P62926" s="2498"/>
    </row>
    <row r="62927" spans="16:16">
      <c r="P62927" s="2498"/>
    </row>
    <row r="62928" spans="16:16">
      <c r="P62928" s="2498"/>
    </row>
    <row r="62929" spans="16:16">
      <c r="P62929" s="2498"/>
    </row>
    <row r="62930" spans="16:16">
      <c r="P62930" s="2498"/>
    </row>
    <row r="62931" spans="16:16">
      <c r="P62931" s="2498"/>
    </row>
    <row r="62932" spans="16:16">
      <c r="P62932" s="2498"/>
    </row>
    <row r="62933" spans="16:16">
      <c r="P62933" s="2498"/>
    </row>
    <row r="62934" spans="16:16">
      <c r="P62934" s="2498"/>
    </row>
    <row r="62935" spans="16:16">
      <c r="P62935" s="2498"/>
    </row>
    <row r="62936" spans="16:16">
      <c r="P62936" s="2498"/>
    </row>
    <row r="62937" spans="16:16">
      <c r="P62937" s="2498"/>
    </row>
    <row r="62938" spans="16:16">
      <c r="P62938" s="2498"/>
    </row>
    <row r="62939" spans="16:16">
      <c r="P62939" s="2498"/>
    </row>
    <row r="62940" spans="16:16">
      <c r="P62940" s="2498"/>
    </row>
    <row r="62941" spans="16:16">
      <c r="P62941" s="2498"/>
    </row>
    <row r="62942" spans="16:16">
      <c r="P62942" s="2498"/>
    </row>
    <row r="62943" spans="16:16">
      <c r="P62943" s="2498"/>
    </row>
    <row r="62944" spans="16:16">
      <c r="P62944" s="2498"/>
    </row>
    <row r="62945" spans="16:16">
      <c r="P62945" s="2498"/>
    </row>
    <row r="62946" spans="16:16">
      <c r="P62946" s="2498"/>
    </row>
    <row r="62947" spans="16:16">
      <c r="P62947" s="2498"/>
    </row>
    <row r="62948" spans="16:16">
      <c r="P62948" s="2498"/>
    </row>
    <row r="62949" spans="16:16">
      <c r="P62949" s="2498"/>
    </row>
    <row r="62950" spans="16:16">
      <c r="P62950" s="2498"/>
    </row>
    <row r="62951" spans="16:16">
      <c r="P62951" s="2498"/>
    </row>
    <row r="62952" spans="16:16">
      <c r="P62952" s="2498"/>
    </row>
    <row r="62953" spans="16:16">
      <c r="P62953" s="2498"/>
    </row>
    <row r="62954" spans="16:16">
      <c r="P62954" s="2498"/>
    </row>
    <row r="62955" spans="16:16">
      <c r="P62955" s="2498"/>
    </row>
    <row r="62956" spans="16:16">
      <c r="P62956" s="2498"/>
    </row>
    <row r="62957" spans="16:16">
      <c r="P62957" s="2498"/>
    </row>
    <row r="62958" spans="16:16">
      <c r="P62958" s="2498"/>
    </row>
    <row r="62959" spans="16:16">
      <c r="P62959" s="2498"/>
    </row>
    <row r="62960" spans="16:16">
      <c r="P62960" s="2498"/>
    </row>
    <row r="62961" spans="16:16">
      <c r="P62961" s="2498"/>
    </row>
    <row r="62962" spans="16:16">
      <c r="P62962" s="2498"/>
    </row>
    <row r="62963" spans="16:16">
      <c r="P62963" s="2498"/>
    </row>
    <row r="62964" spans="16:16">
      <c r="P62964" s="2498"/>
    </row>
    <row r="62965" spans="16:16">
      <c r="P62965" s="2498"/>
    </row>
    <row r="62966" spans="16:16">
      <c r="P62966" s="2498"/>
    </row>
    <row r="62967" spans="16:16">
      <c r="P62967" s="2498"/>
    </row>
    <row r="62968" spans="16:16">
      <c r="P62968" s="2498"/>
    </row>
    <row r="62969" spans="16:16">
      <c r="P62969" s="2498"/>
    </row>
    <row r="62970" spans="16:16">
      <c r="P62970" s="2498"/>
    </row>
    <row r="62971" spans="16:16">
      <c r="P62971" s="2498"/>
    </row>
    <row r="62972" spans="16:16">
      <c r="P62972" s="2498"/>
    </row>
    <row r="62973" spans="16:16">
      <c r="P62973" s="2498"/>
    </row>
    <row r="62974" spans="16:16">
      <c r="P62974" s="2498"/>
    </row>
    <row r="62975" spans="16:16">
      <c r="P62975" s="2498"/>
    </row>
    <row r="62976" spans="16:16">
      <c r="P62976" s="2498"/>
    </row>
    <row r="62977" spans="16:16">
      <c r="P62977" s="2498"/>
    </row>
    <row r="62978" spans="16:16">
      <c r="P62978" s="2498"/>
    </row>
    <row r="62979" spans="16:16">
      <c r="P62979" s="2498"/>
    </row>
    <row r="62980" spans="16:16">
      <c r="P62980" s="2498"/>
    </row>
    <row r="62981" spans="16:16">
      <c r="P62981" s="2498"/>
    </row>
    <row r="62982" spans="16:16">
      <c r="P62982" s="2498"/>
    </row>
    <row r="62983" spans="16:16">
      <c r="P62983" s="2498"/>
    </row>
    <row r="62984" spans="16:16">
      <c r="P62984" s="2498"/>
    </row>
    <row r="62985" spans="16:16">
      <c r="P62985" s="2498"/>
    </row>
    <row r="62986" spans="16:16">
      <c r="P62986" s="2498"/>
    </row>
    <row r="62987" spans="16:16">
      <c r="P62987" s="2498"/>
    </row>
    <row r="62988" spans="16:16">
      <c r="P62988" s="2498"/>
    </row>
    <row r="62989" spans="16:16">
      <c r="P62989" s="2498"/>
    </row>
    <row r="62990" spans="16:16">
      <c r="P62990" s="2498"/>
    </row>
    <row r="62991" spans="16:16">
      <c r="P62991" s="2498"/>
    </row>
    <row r="62992" spans="16:16">
      <c r="P62992" s="2498"/>
    </row>
    <row r="62993" spans="16:16">
      <c r="P62993" s="2498"/>
    </row>
    <row r="62994" spans="16:16">
      <c r="P62994" s="2498"/>
    </row>
    <row r="62995" spans="16:16">
      <c r="P62995" s="2498"/>
    </row>
    <row r="62996" spans="16:16">
      <c r="P62996" s="2498"/>
    </row>
    <row r="62997" spans="16:16">
      <c r="P62997" s="2498"/>
    </row>
    <row r="62998" spans="16:16">
      <c r="P62998" s="2498"/>
    </row>
    <row r="62999" spans="16:16">
      <c r="P62999" s="2498"/>
    </row>
    <row r="63000" spans="16:16">
      <c r="P63000" s="2498"/>
    </row>
    <row r="63001" spans="16:16">
      <c r="P63001" s="2498"/>
    </row>
    <row r="63002" spans="16:16">
      <c r="P63002" s="2498"/>
    </row>
    <row r="63003" spans="16:16">
      <c r="P63003" s="2498"/>
    </row>
    <row r="63004" spans="16:16">
      <c r="P63004" s="2498"/>
    </row>
    <row r="63005" spans="16:16">
      <c r="P63005" s="2498"/>
    </row>
    <row r="63006" spans="16:16">
      <c r="P63006" s="2498"/>
    </row>
    <row r="63007" spans="16:16">
      <c r="P63007" s="2498"/>
    </row>
    <row r="63008" spans="16:16">
      <c r="P63008" s="2498"/>
    </row>
    <row r="63009" spans="16:16">
      <c r="P63009" s="2498"/>
    </row>
    <row r="63010" spans="16:16">
      <c r="P63010" s="2498"/>
    </row>
    <row r="63011" spans="16:16">
      <c r="P63011" s="2498"/>
    </row>
    <row r="63012" spans="16:16">
      <c r="P63012" s="2498"/>
    </row>
    <row r="63013" spans="16:16">
      <c r="P63013" s="2498"/>
    </row>
    <row r="63014" spans="16:16">
      <c r="P63014" s="2498"/>
    </row>
    <row r="63015" spans="16:16">
      <c r="P63015" s="2498"/>
    </row>
    <row r="63016" spans="16:16">
      <c r="P63016" s="2498"/>
    </row>
    <row r="63017" spans="16:16">
      <c r="P63017" s="2498"/>
    </row>
    <row r="63018" spans="16:16">
      <c r="P63018" s="2498"/>
    </row>
    <row r="63019" spans="16:16">
      <c r="P63019" s="2498"/>
    </row>
    <row r="63020" spans="16:16">
      <c r="P63020" s="2498"/>
    </row>
    <row r="63021" spans="16:16">
      <c r="P63021" s="2498"/>
    </row>
    <row r="63022" spans="16:16">
      <c r="P63022" s="2498"/>
    </row>
    <row r="63023" spans="16:16">
      <c r="P63023" s="2498"/>
    </row>
    <row r="63024" spans="16:16">
      <c r="P63024" s="2498"/>
    </row>
    <row r="63025" spans="16:16">
      <c r="P63025" s="2498"/>
    </row>
    <row r="63026" spans="16:16">
      <c r="P63026" s="2498"/>
    </row>
    <row r="63027" spans="16:16">
      <c r="P63027" s="2498"/>
    </row>
    <row r="63028" spans="16:16">
      <c r="P63028" s="2498"/>
    </row>
    <row r="63029" spans="16:16">
      <c r="P63029" s="2498"/>
    </row>
    <row r="63030" spans="16:16">
      <c r="P63030" s="2498"/>
    </row>
    <row r="63031" spans="16:16">
      <c r="P63031" s="2498"/>
    </row>
    <row r="63032" spans="16:16">
      <c r="P63032" s="2498"/>
    </row>
    <row r="63033" spans="16:16">
      <c r="P63033" s="2498"/>
    </row>
    <row r="63034" spans="16:16">
      <c r="P63034" s="2498"/>
    </row>
    <row r="63035" spans="16:16">
      <c r="P63035" s="2498"/>
    </row>
    <row r="63036" spans="16:16">
      <c r="P63036" s="2498"/>
    </row>
    <row r="63037" spans="16:16">
      <c r="P63037" s="2498"/>
    </row>
    <row r="63038" spans="16:16">
      <c r="P63038" s="2498"/>
    </row>
    <row r="63039" spans="16:16">
      <c r="P63039" s="2498"/>
    </row>
    <row r="63040" spans="16:16">
      <c r="P63040" s="2498"/>
    </row>
    <row r="63041" spans="16:16">
      <c r="P63041" s="2498"/>
    </row>
    <row r="63042" spans="16:16">
      <c r="P63042" s="2498"/>
    </row>
    <row r="63043" spans="16:16">
      <c r="P63043" s="2498"/>
    </row>
    <row r="63044" spans="16:16">
      <c r="P63044" s="2498"/>
    </row>
    <row r="63045" spans="16:16">
      <c r="P63045" s="2498"/>
    </row>
    <row r="63046" spans="16:16">
      <c r="P63046" s="2498"/>
    </row>
    <row r="63047" spans="16:16">
      <c r="P63047" s="2498"/>
    </row>
    <row r="63048" spans="16:16">
      <c r="P63048" s="2498"/>
    </row>
    <row r="63049" spans="16:16">
      <c r="P63049" s="2498"/>
    </row>
    <row r="63050" spans="16:16">
      <c r="P63050" s="2498"/>
    </row>
    <row r="63051" spans="16:16">
      <c r="P63051" s="2498"/>
    </row>
    <row r="63052" spans="16:16">
      <c r="P63052" s="2498"/>
    </row>
    <row r="63053" spans="16:16">
      <c r="P63053" s="2498"/>
    </row>
    <row r="63054" spans="16:16">
      <c r="P63054" s="2498"/>
    </row>
    <row r="63055" spans="16:16">
      <c r="P63055" s="2498"/>
    </row>
    <row r="63056" spans="16:16">
      <c r="P63056" s="2498"/>
    </row>
    <row r="63057" spans="16:16">
      <c r="P63057" s="2498"/>
    </row>
    <row r="63058" spans="16:16">
      <c r="P63058" s="2498"/>
    </row>
    <row r="63059" spans="16:16">
      <c r="P63059" s="2498"/>
    </row>
    <row r="63060" spans="16:16">
      <c r="P63060" s="2498"/>
    </row>
    <row r="63061" spans="16:16">
      <c r="P63061" s="2498"/>
    </row>
    <row r="63062" spans="16:16">
      <c r="P63062" s="2498"/>
    </row>
    <row r="63063" spans="16:16">
      <c r="P63063" s="2498"/>
    </row>
    <row r="63064" spans="16:16">
      <c r="P63064" s="2498"/>
    </row>
    <row r="63065" spans="16:16">
      <c r="P63065" s="2498"/>
    </row>
    <row r="63066" spans="16:16">
      <c r="P63066" s="2498"/>
    </row>
    <row r="63067" spans="16:16">
      <c r="P63067" s="2498"/>
    </row>
    <row r="63068" spans="16:16">
      <c r="P63068" s="2498"/>
    </row>
    <row r="63069" spans="16:16">
      <c r="P63069" s="2498"/>
    </row>
    <row r="63070" spans="16:16">
      <c r="P63070" s="2498"/>
    </row>
    <row r="63071" spans="16:16">
      <c r="P63071" s="2498"/>
    </row>
    <row r="63072" spans="16:16">
      <c r="P63072" s="2498"/>
    </row>
    <row r="63073" spans="16:16">
      <c r="P63073" s="2498"/>
    </row>
    <row r="63074" spans="16:16">
      <c r="P63074" s="2498"/>
    </row>
    <row r="63075" spans="16:16">
      <c r="P63075" s="2498"/>
    </row>
    <row r="63076" spans="16:16">
      <c r="P63076" s="2498"/>
    </row>
    <row r="63077" spans="16:16">
      <c r="P63077" s="2498"/>
    </row>
    <row r="63078" spans="16:16">
      <c r="P63078" s="2498"/>
    </row>
    <row r="63079" spans="16:16">
      <c r="P63079" s="2498"/>
    </row>
    <row r="63080" spans="16:16">
      <c r="P63080" s="2498"/>
    </row>
    <row r="63081" spans="16:16">
      <c r="P63081" s="2498"/>
    </row>
    <row r="63082" spans="16:16">
      <c r="P63082" s="2498"/>
    </row>
    <row r="63083" spans="16:16">
      <c r="P63083" s="2498"/>
    </row>
    <row r="63084" spans="16:16">
      <c r="P63084" s="2498"/>
    </row>
    <row r="63085" spans="16:16">
      <c r="P63085" s="2498"/>
    </row>
    <row r="63086" spans="16:16">
      <c r="P63086" s="2498"/>
    </row>
    <row r="63087" spans="16:16">
      <c r="P63087" s="2498"/>
    </row>
    <row r="63088" spans="16:16">
      <c r="P63088" s="2498"/>
    </row>
    <row r="63089" spans="16:16">
      <c r="P63089" s="2498"/>
    </row>
    <row r="63090" spans="16:16">
      <c r="P63090" s="2498"/>
    </row>
    <row r="63091" spans="16:16">
      <c r="P63091" s="2498"/>
    </row>
    <row r="63092" spans="16:16">
      <c r="P63092" s="2498"/>
    </row>
    <row r="63093" spans="16:16">
      <c r="P63093" s="2498"/>
    </row>
    <row r="63094" spans="16:16">
      <c r="P63094" s="2498"/>
    </row>
    <row r="63095" spans="16:16">
      <c r="P63095" s="2498"/>
    </row>
    <row r="63096" spans="16:16">
      <c r="P63096" s="2498"/>
    </row>
    <row r="63097" spans="16:16">
      <c r="P63097" s="2498"/>
    </row>
    <row r="63098" spans="16:16">
      <c r="P63098" s="2498"/>
    </row>
    <row r="63099" spans="16:16">
      <c r="P63099" s="2498"/>
    </row>
    <row r="63100" spans="16:16">
      <c r="P63100" s="2498"/>
    </row>
    <row r="63101" spans="16:16">
      <c r="P63101" s="2498"/>
    </row>
    <row r="63102" spans="16:16">
      <c r="P63102" s="2498"/>
    </row>
    <row r="63103" spans="16:16">
      <c r="P63103" s="2498"/>
    </row>
    <row r="63104" spans="16:16">
      <c r="P63104" s="2498"/>
    </row>
    <row r="63105" spans="16:16">
      <c r="P63105" s="2498"/>
    </row>
    <row r="63106" spans="16:16">
      <c r="P63106" s="2498"/>
    </row>
    <row r="63107" spans="16:16">
      <c r="P63107" s="2498"/>
    </row>
    <row r="63108" spans="16:16">
      <c r="P63108" s="2498"/>
    </row>
    <row r="63109" spans="16:16">
      <c r="P63109" s="2498"/>
    </row>
    <row r="63110" spans="16:16">
      <c r="P63110" s="2498"/>
    </row>
    <row r="63111" spans="16:16">
      <c r="P63111" s="2498"/>
    </row>
    <row r="63112" spans="16:16">
      <c r="P63112" s="2498"/>
    </row>
    <row r="63113" spans="16:16">
      <c r="P63113" s="2498"/>
    </row>
    <row r="63114" spans="16:16">
      <c r="P63114" s="2498"/>
    </row>
    <row r="63115" spans="16:16">
      <c r="P63115" s="2498"/>
    </row>
    <row r="63116" spans="16:16">
      <c r="P63116" s="2498"/>
    </row>
    <row r="63117" spans="16:16">
      <c r="P63117" s="2498"/>
    </row>
    <row r="63118" spans="16:16">
      <c r="P63118" s="2498"/>
    </row>
    <row r="63119" spans="16:16">
      <c r="P63119" s="2498"/>
    </row>
    <row r="63120" spans="16:16">
      <c r="P63120" s="2498"/>
    </row>
    <row r="63121" spans="16:16">
      <c r="P63121" s="2498"/>
    </row>
    <row r="63122" spans="16:16">
      <c r="P63122" s="2498"/>
    </row>
    <row r="63123" spans="16:16">
      <c r="P63123" s="2498"/>
    </row>
    <row r="63124" spans="16:16">
      <c r="P63124" s="2498"/>
    </row>
    <row r="63125" spans="16:16">
      <c r="P63125" s="2498"/>
    </row>
    <row r="63126" spans="16:16">
      <c r="P63126" s="2498"/>
    </row>
    <row r="63127" spans="16:16">
      <c r="P63127" s="2498"/>
    </row>
    <row r="63128" spans="16:16">
      <c r="P63128" s="2498"/>
    </row>
    <row r="63129" spans="16:16">
      <c r="P63129" s="2498"/>
    </row>
    <row r="63130" spans="16:16">
      <c r="P63130" s="2498"/>
    </row>
    <row r="63131" spans="16:16">
      <c r="P63131" s="2498"/>
    </row>
    <row r="63132" spans="16:16">
      <c r="P63132" s="2498"/>
    </row>
    <row r="63133" spans="16:16">
      <c r="P63133" s="2498"/>
    </row>
    <row r="63134" spans="16:16">
      <c r="P63134" s="2498"/>
    </row>
    <row r="63135" spans="16:16">
      <c r="P63135" s="2498"/>
    </row>
    <row r="63136" spans="16:16">
      <c r="P63136" s="2498"/>
    </row>
    <row r="63137" spans="16:16">
      <c r="P63137" s="2498"/>
    </row>
    <row r="63138" spans="16:16">
      <c r="P63138" s="2498"/>
    </row>
    <row r="63139" spans="16:16">
      <c r="P63139" s="2498"/>
    </row>
    <row r="63140" spans="16:16">
      <c r="P63140" s="2498"/>
    </row>
    <row r="63141" spans="16:16">
      <c r="P63141" s="2498"/>
    </row>
    <row r="63142" spans="16:16">
      <c r="P63142" s="2498"/>
    </row>
    <row r="63143" spans="16:16">
      <c r="P63143" s="2498"/>
    </row>
    <row r="63144" spans="16:16">
      <c r="P63144" s="2498"/>
    </row>
    <row r="63145" spans="16:16">
      <c r="P63145" s="2498"/>
    </row>
    <row r="63146" spans="16:16">
      <c r="P63146" s="2498"/>
    </row>
    <row r="63147" spans="16:16">
      <c r="P63147" s="2498"/>
    </row>
    <row r="63148" spans="16:16">
      <c r="P63148" s="2498"/>
    </row>
    <row r="63149" spans="16:16">
      <c r="P63149" s="2498"/>
    </row>
    <row r="63150" spans="16:16">
      <c r="P63150" s="2498"/>
    </row>
    <row r="63151" spans="16:16">
      <c r="P63151" s="2498"/>
    </row>
    <row r="63152" spans="16:16">
      <c r="P63152" s="2498"/>
    </row>
    <row r="63153" spans="16:16">
      <c r="P63153" s="2498"/>
    </row>
    <row r="63154" spans="16:16">
      <c r="P63154" s="2498"/>
    </row>
    <row r="63155" spans="16:16">
      <c r="P63155" s="2498"/>
    </row>
    <row r="63156" spans="16:16">
      <c r="P63156" s="2498"/>
    </row>
    <row r="63157" spans="16:16">
      <c r="P63157" s="2498"/>
    </row>
    <row r="63158" spans="16:16">
      <c r="P63158" s="2498"/>
    </row>
    <row r="63159" spans="16:16">
      <c r="P63159" s="2498"/>
    </row>
    <row r="63160" spans="16:16">
      <c r="P63160" s="2498"/>
    </row>
    <row r="63161" spans="16:16">
      <c r="P63161" s="2498"/>
    </row>
    <row r="63162" spans="16:16">
      <c r="P63162" s="2498"/>
    </row>
    <row r="63163" spans="16:16">
      <c r="P63163" s="2498"/>
    </row>
    <row r="63164" spans="16:16">
      <c r="P63164" s="2498"/>
    </row>
    <row r="63165" spans="16:16">
      <c r="P63165" s="2498"/>
    </row>
    <row r="63166" spans="16:16">
      <c r="P63166" s="2498"/>
    </row>
    <row r="63167" spans="16:16">
      <c r="P63167" s="2498"/>
    </row>
    <row r="63168" spans="16:16">
      <c r="P63168" s="2498"/>
    </row>
    <row r="63169" spans="16:16">
      <c r="P63169" s="2498"/>
    </row>
    <row r="63170" spans="16:16">
      <c r="P63170" s="2498"/>
    </row>
    <row r="63171" spans="16:16">
      <c r="P63171" s="2498"/>
    </row>
    <row r="63172" spans="16:16">
      <c r="P63172" s="2498"/>
    </row>
    <row r="63173" spans="16:16">
      <c r="P63173" s="2498"/>
    </row>
    <row r="63174" spans="16:16">
      <c r="P63174" s="2498"/>
    </row>
    <row r="63175" spans="16:16">
      <c r="P63175" s="2498"/>
    </row>
    <row r="63176" spans="16:16">
      <c r="P63176" s="2498"/>
    </row>
    <row r="63177" spans="16:16">
      <c r="P63177" s="2498"/>
    </row>
    <row r="63178" spans="16:16">
      <c r="P63178" s="2498"/>
    </row>
    <row r="63179" spans="16:16">
      <c r="P63179" s="2498"/>
    </row>
    <row r="63180" spans="16:16">
      <c r="P63180" s="2498"/>
    </row>
    <row r="63181" spans="16:16">
      <c r="P63181" s="2498"/>
    </row>
    <row r="63182" spans="16:16">
      <c r="P63182" s="2498"/>
    </row>
    <row r="63183" spans="16:16">
      <c r="P63183" s="2498"/>
    </row>
    <row r="63184" spans="16:16">
      <c r="P63184" s="2498"/>
    </row>
    <row r="63185" spans="16:16">
      <c r="P63185" s="2498"/>
    </row>
    <row r="63186" spans="16:16">
      <c r="P63186" s="2498"/>
    </row>
    <row r="63187" spans="16:16">
      <c r="P63187" s="2498"/>
    </row>
    <row r="63188" spans="16:16">
      <c r="P63188" s="2498"/>
    </row>
    <row r="63189" spans="16:16">
      <c r="P63189" s="2498"/>
    </row>
    <row r="63190" spans="16:16">
      <c r="P63190" s="2498"/>
    </row>
    <row r="63191" spans="16:16">
      <c r="P63191" s="2498"/>
    </row>
    <row r="63192" spans="16:16">
      <c r="P63192" s="2498"/>
    </row>
    <row r="63193" spans="16:16">
      <c r="P63193" s="2498"/>
    </row>
    <row r="63194" spans="16:16">
      <c r="P63194" s="2498"/>
    </row>
    <row r="63195" spans="16:16">
      <c r="P63195" s="2498"/>
    </row>
    <row r="63196" spans="16:16">
      <c r="P63196" s="2498"/>
    </row>
    <row r="63197" spans="16:16">
      <c r="P63197" s="2498"/>
    </row>
    <row r="63198" spans="16:16">
      <c r="P63198" s="2498"/>
    </row>
    <row r="63199" spans="16:16">
      <c r="P63199" s="2498"/>
    </row>
    <row r="63200" spans="16:16">
      <c r="P63200" s="2498"/>
    </row>
    <row r="63201" spans="16:16">
      <c r="P63201" s="2498"/>
    </row>
    <row r="63202" spans="16:16">
      <c r="P63202" s="2498"/>
    </row>
    <row r="63203" spans="16:16">
      <c r="P63203" s="2498"/>
    </row>
    <row r="63204" spans="16:16">
      <c r="P63204" s="2498"/>
    </row>
    <row r="63205" spans="16:16">
      <c r="P63205" s="2498"/>
    </row>
    <row r="63206" spans="16:16">
      <c r="P63206" s="2498"/>
    </row>
    <row r="63207" spans="16:16">
      <c r="P63207" s="2498"/>
    </row>
    <row r="63208" spans="16:16">
      <c r="P63208" s="2498"/>
    </row>
    <row r="63209" spans="16:16">
      <c r="P63209" s="2498"/>
    </row>
    <row r="63210" spans="16:16">
      <c r="P63210" s="2498"/>
    </row>
    <row r="63211" spans="16:16">
      <c r="P63211" s="2498"/>
    </row>
    <row r="63212" spans="16:16">
      <c r="P63212" s="2498"/>
    </row>
    <row r="63213" spans="16:16">
      <c r="P63213" s="2498"/>
    </row>
    <row r="63214" spans="16:16">
      <c r="P63214" s="2498"/>
    </row>
    <row r="63215" spans="16:16">
      <c r="P63215" s="2498"/>
    </row>
    <row r="63216" spans="16:16">
      <c r="P63216" s="2498"/>
    </row>
    <row r="63217" spans="16:16">
      <c r="P63217" s="2498"/>
    </row>
    <row r="63218" spans="16:16">
      <c r="P63218" s="2498"/>
    </row>
    <row r="63219" spans="16:16">
      <c r="P63219" s="2498"/>
    </row>
    <row r="63220" spans="16:16">
      <c r="P63220" s="2498"/>
    </row>
    <row r="63221" spans="16:16">
      <c r="P63221" s="2498"/>
    </row>
    <row r="63222" spans="16:16">
      <c r="P63222" s="2498"/>
    </row>
    <row r="63223" spans="16:16">
      <c r="P63223" s="2498"/>
    </row>
    <row r="63224" spans="16:16">
      <c r="P63224" s="2498"/>
    </row>
    <row r="63225" spans="16:16">
      <c r="P63225" s="2498"/>
    </row>
    <row r="63226" spans="16:16">
      <c r="P63226" s="2498"/>
    </row>
    <row r="63227" spans="16:16">
      <c r="P63227" s="2498"/>
    </row>
    <row r="63228" spans="16:16">
      <c r="P63228" s="2498"/>
    </row>
    <row r="63229" spans="16:16">
      <c r="P63229" s="2498"/>
    </row>
    <row r="63230" spans="16:16">
      <c r="P63230" s="2498"/>
    </row>
    <row r="63231" spans="16:16">
      <c r="P63231" s="2498"/>
    </row>
    <row r="63232" spans="16:16">
      <c r="P63232" s="2498"/>
    </row>
    <row r="63233" spans="16:16">
      <c r="P63233" s="2498"/>
    </row>
    <row r="63234" spans="16:16">
      <c r="P63234" s="2498"/>
    </row>
    <row r="63235" spans="16:16">
      <c r="P63235" s="2498"/>
    </row>
    <row r="63236" spans="16:16">
      <c r="P63236" s="2498"/>
    </row>
    <row r="63237" spans="16:16">
      <c r="P63237" s="2498"/>
    </row>
    <row r="63238" spans="16:16">
      <c r="P63238" s="2498"/>
    </row>
    <row r="63239" spans="16:16">
      <c r="P63239" s="2498"/>
    </row>
    <row r="63240" spans="16:16">
      <c r="P63240" s="2498"/>
    </row>
    <row r="63241" spans="16:16">
      <c r="P63241" s="2498"/>
    </row>
    <row r="63242" spans="16:16">
      <c r="P63242" s="2498"/>
    </row>
    <row r="63243" spans="16:16">
      <c r="P63243" s="2498"/>
    </row>
    <row r="63244" spans="16:16">
      <c r="P63244" s="2498"/>
    </row>
    <row r="63245" spans="16:16">
      <c r="P63245" s="2498"/>
    </row>
    <row r="63246" spans="16:16">
      <c r="P63246" s="2498"/>
    </row>
    <row r="63247" spans="16:16">
      <c r="P63247" s="2498"/>
    </row>
    <row r="63248" spans="16:16">
      <c r="P63248" s="2498"/>
    </row>
    <row r="63249" spans="16:16">
      <c r="P63249" s="2498"/>
    </row>
    <row r="63250" spans="16:16">
      <c r="P63250" s="2498"/>
    </row>
    <row r="63251" spans="16:16">
      <c r="P63251" s="2498"/>
    </row>
    <row r="63252" spans="16:16">
      <c r="P63252" s="2498"/>
    </row>
    <row r="63253" spans="16:16">
      <c r="P63253" s="2498"/>
    </row>
    <row r="63254" spans="16:16">
      <c r="P63254" s="2498"/>
    </row>
    <row r="63255" spans="16:16">
      <c r="P63255" s="2498"/>
    </row>
    <row r="63256" spans="16:16">
      <c r="P63256" s="2498"/>
    </row>
    <row r="63257" spans="16:16">
      <c r="P63257" s="2498"/>
    </row>
    <row r="63258" spans="16:16">
      <c r="P63258" s="2498"/>
    </row>
    <row r="63259" spans="16:16">
      <c r="P63259" s="2498"/>
    </row>
    <row r="63260" spans="16:16">
      <c r="P63260" s="2498"/>
    </row>
    <row r="63261" spans="16:16">
      <c r="P63261" s="2498"/>
    </row>
    <row r="63262" spans="16:16">
      <c r="P63262" s="2498"/>
    </row>
    <row r="63263" spans="16:16">
      <c r="P63263" s="2498"/>
    </row>
    <row r="63264" spans="16:16">
      <c r="P63264" s="2498"/>
    </row>
    <row r="63265" spans="16:16">
      <c r="P63265" s="2498"/>
    </row>
    <row r="63266" spans="16:16">
      <c r="P63266" s="2498"/>
    </row>
    <row r="63267" spans="16:16">
      <c r="P63267" s="2498"/>
    </row>
    <row r="63268" spans="16:16">
      <c r="P63268" s="2498"/>
    </row>
    <row r="63269" spans="16:16">
      <c r="P63269" s="2498"/>
    </row>
    <row r="63270" spans="16:16">
      <c r="P63270" s="2498"/>
    </row>
    <row r="63271" spans="16:16">
      <c r="P63271" s="2498"/>
    </row>
    <row r="63272" spans="16:16">
      <c r="P63272" s="2498"/>
    </row>
    <row r="63273" spans="16:16">
      <c r="P63273" s="2498"/>
    </row>
    <row r="63274" spans="16:16">
      <c r="P63274" s="2498"/>
    </row>
    <row r="63275" spans="16:16">
      <c r="P63275" s="2498"/>
    </row>
    <row r="63276" spans="16:16">
      <c r="P63276" s="2498"/>
    </row>
    <row r="63277" spans="16:16">
      <c r="P63277" s="2498"/>
    </row>
    <row r="63278" spans="16:16">
      <c r="P63278" s="2498"/>
    </row>
    <row r="63279" spans="16:16">
      <c r="P63279" s="2498"/>
    </row>
    <row r="63280" spans="16:16">
      <c r="P63280" s="2498"/>
    </row>
    <row r="63281" spans="16:16">
      <c r="P63281" s="2498"/>
    </row>
    <row r="63282" spans="16:16">
      <c r="P63282" s="2498"/>
    </row>
    <row r="63283" spans="16:16">
      <c r="P63283" s="2498"/>
    </row>
    <row r="63284" spans="16:16">
      <c r="P63284" s="2498"/>
    </row>
    <row r="63285" spans="16:16">
      <c r="P63285" s="2498"/>
    </row>
    <row r="63286" spans="16:16">
      <c r="P63286" s="2498"/>
    </row>
    <row r="63287" spans="16:16">
      <c r="P63287" s="2498"/>
    </row>
    <row r="63288" spans="16:16">
      <c r="P63288" s="2498"/>
    </row>
    <row r="63289" spans="16:16">
      <c r="P63289" s="2498"/>
    </row>
    <row r="63290" spans="16:16">
      <c r="P63290" s="2498"/>
    </row>
    <row r="63291" spans="16:16">
      <c r="P63291" s="2498"/>
    </row>
    <row r="63292" spans="16:16">
      <c r="P63292" s="2498"/>
    </row>
    <row r="63293" spans="16:16">
      <c r="P63293" s="2498"/>
    </row>
    <row r="63294" spans="16:16">
      <c r="P63294" s="2498"/>
    </row>
    <row r="63295" spans="16:16">
      <c r="P63295" s="2498"/>
    </row>
    <row r="63296" spans="16:16">
      <c r="P63296" s="2498"/>
    </row>
    <row r="63297" spans="16:16">
      <c r="P63297" s="2498"/>
    </row>
    <row r="63298" spans="16:16">
      <c r="P63298" s="2498"/>
    </row>
    <row r="63299" spans="16:16">
      <c r="P63299" s="2498"/>
    </row>
    <row r="63300" spans="16:16">
      <c r="P63300" s="2498"/>
    </row>
    <row r="63301" spans="16:16">
      <c r="P63301" s="2498"/>
    </row>
    <row r="63302" spans="16:16">
      <c r="P63302" s="2498"/>
    </row>
    <row r="63303" spans="16:16">
      <c r="P63303" s="2498"/>
    </row>
    <row r="63304" spans="16:16">
      <c r="P63304" s="2498"/>
    </row>
    <row r="63305" spans="16:16">
      <c r="P63305" s="2498"/>
    </row>
    <row r="63306" spans="16:16">
      <c r="P63306" s="2498"/>
    </row>
    <row r="63307" spans="16:16">
      <c r="P63307" s="2498"/>
    </row>
    <row r="63308" spans="16:16">
      <c r="P63308" s="2498"/>
    </row>
    <row r="63309" spans="16:16">
      <c r="P63309" s="2498"/>
    </row>
    <row r="63310" spans="16:16">
      <c r="P63310" s="2498"/>
    </row>
    <row r="63311" spans="16:16">
      <c r="P63311" s="2498"/>
    </row>
    <row r="63312" spans="16:16">
      <c r="P63312" s="2498"/>
    </row>
    <row r="63313" spans="16:16">
      <c r="P63313" s="2498"/>
    </row>
    <row r="63314" spans="16:16">
      <c r="P63314" s="2498"/>
    </row>
    <row r="63315" spans="16:16">
      <c r="P63315" s="2498"/>
    </row>
    <row r="63316" spans="16:16">
      <c r="P63316" s="2498"/>
    </row>
    <row r="63317" spans="16:16">
      <c r="P63317" s="2498"/>
    </row>
    <row r="63318" spans="16:16">
      <c r="P63318" s="2498"/>
    </row>
    <row r="63319" spans="16:16">
      <c r="P63319" s="2498"/>
    </row>
    <row r="63320" spans="16:16">
      <c r="P63320" s="2498"/>
    </row>
    <row r="63321" spans="16:16">
      <c r="P63321" s="2498"/>
    </row>
    <row r="63322" spans="16:16">
      <c r="P63322" s="2498"/>
    </row>
    <row r="63323" spans="16:16">
      <c r="P63323" s="2498"/>
    </row>
    <row r="63324" spans="16:16">
      <c r="P63324" s="2498"/>
    </row>
    <row r="63325" spans="16:16">
      <c r="P63325" s="2498"/>
    </row>
    <row r="63326" spans="16:16">
      <c r="P63326" s="2498"/>
    </row>
    <row r="63327" spans="16:16">
      <c r="P63327" s="2498"/>
    </row>
    <row r="63328" spans="16:16">
      <c r="P63328" s="2498"/>
    </row>
    <row r="63329" spans="16:16">
      <c r="P63329" s="2498"/>
    </row>
    <row r="63330" spans="16:16">
      <c r="P63330" s="2498"/>
    </row>
    <row r="63331" spans="16:16">
      <c r="P63331" s="2498"/>
    </row>
    <row r="63332" spans="16:16">
      <c r="P63332" s="2498"/>
    </row>
    <row r="63333" spans="16:16">
      <c r="P63333" s="2498"/>
    </row>
    <row r="63334" spans="16:16">
      <c r="P63334" s="2498"/>
    </row>
    <row r="63335" spans="16:16">
      <c r="P63335" s="2498"/>
    </row>
    <row r="63336" spans="16:16">
      <c r="P63336" s="2498"/>
    </row>
    <row r="63337" spans="16:16">
      <c r="P63337" s="2498"/>
    </row>
    <row r="63338" spans="16:16">
      <c r="P63338" s="2498"/>
    </row>
    <row r="63339" spans="16:16">
      <c r="P63339" s="2498"/>
    </row>
    <row r="63340" spans="16:16">
      <c r="P63340" s="2498"/>
    </row>
    <row r="63341" spans="16:16">
      <c r="P63341" s="2498"/>
    </row>
    <row r="63342" spans="16:16">
      <c r="P63342" s="2498"/>
    </row>
    <row r="63343" spans="16:16">
      <c r="P63343" s="2498"/>
    </row>
    <row r="63344" spans="16:16">
      <c r="P63344" s="2498"/>
    </row>
    <row r="63345" spans="16:16">
      <c r="P63345" s="2498"/>
    </row>
    <row r="63346" spans="16:16">
      <c r="P63346" s="2498"/>
    </row>
    <row r="63347" spans="16:16">
      <c r="P63347" s="2498"/>
    </row>
    <row r="63348" spans="16:16">
      <c r="P63348" s="2498"/>
    </row>
    <row r="63349" spans="16:16">
      <c r="P63349" s="2498"/>
    </row>
    <row r="63350" spans="16:16">
      <c r="P63350" s="2498"/>
    </row>
    <row r="63351" spans="16:16">
      <c r="P63351" s="2498"/>
    </row>
    <row r="63352" spans="16:16">
      <c r="P63352" s="2498"/>
    </row>
    <row r="63353" spans="16:16">
      <c r="P63353" s="2498"/>
    </row>
    <row r="63354" spans="16:16">
      <c r="P63354" s="2498"/>
    </row>
    <row r="63355" spans="16:16">
      <c r="P63355" s="2498"/>
    </row>
    <row r="63356" spans="16:16">
      <c r="P63356" s="2498"/>
    </row>
    <row r="63357" spans="16:16">
      <c r="P63357" s="2498"/>
    </row>
    <row r="63358" spans="16:16">
      <c r="P63358" s="2498"/>
    </row>
    <row r="63359" spans="16:16">
      <c r="P63359" s="2498"/>
    </row>
    <row r="63360" spans="16:16">
      <c r="P63360" s="2498"/>
    </row>
    <row r="63361" spans="16:16">
      <c r="P63361" s="2498"/>
    </row>
    <row r="63362" spans="16:16">
      <c r="P63362" s="2498"/>
    </row>
    <row r="63363" spans="16:16">
      <c r="P63363" s="2498"/>
    </row>
    <row r="63364" spans="16:16">
      <c r="P63364" s="2498"/>
    </row>
    <row r="63365" spans="16:16">
      <c r="P63365" s="2498"/>
    </row>
    <row r="63366" spans="16:16">
      <c r="P63366" s="2498"/>
    </row>
    <row r="63367" spans="16:16">
      <c r="P63367" s="2498"/>
    </row>
    <row r="63368" spans="16:16">
      <c r="P63368" s="2498"/>
    </row>
    <row r="63369" spans="16:16">
      <c r="P63369" s="2498"/>
    </row>
    <row r="63370" spans="16:16">
      <c r="P63370" s="2498"/>
    </row>
    <row r="63371" spans="16:16">
      <c r="P63371" s="2498"/>
    </row>
    <row r="63372" spans="16:16">
      <c r="P63372" s="2498"/>
    </row>
    <row r="63373" spans="16:16">
      <c r="P63373" s="2498"/>
    </row>
    <row r="63374" spans="16:16">
      <c r="P63374" s="2498"/>
    </row>
    <row r="63375" spans="16:16">
      <c r="P63375" s="2498"/>
    </row>
    <row r="63376" spans="16:16">
      <c r="P63376" s="2498"/>
    </row>
    <row r="63377" spans="16:16">
      <c r="P63377" s="2498"/>
    </row>
    <row r="63378" spans="16:16">
      <c r="P63378" s="2498"/>
    </row>
    <row r="63379" spans="16:16">
      <c r="P63379" s="2498"/>
    </row>
    <row r="63380" spans="16:16">
      <c r="P63380" s="2498"/>
    </row>
    <row r="63381" spans="16:16">
      <c r="P63381" s="2498"/>
    </row>
    <row r="63382" spans="16:16">
      <c r="P63382" s="2498"/>
    </row>
    <row r="63383" spans="16:16">
      <c r="P63383" s="2498"/>
    </row>
    <row r="63384" spans="16:16">
      <c r="P63384" s="2498"/>
    </row>
    <row r="63385" spans="16:16">
      <c r="P63385" s="2498"/>
    </row>
    <row r="63386" spans="16:16">
      <c r="P63386" s="2498"/>
    </row>
    <row r="63387" spans="16:16">
      <c r="P63387" s="2498"/>
    </row>
    <row r="63388" spans="16:16">
      <c r="P63388" s="2498"/>
    </row>
    <row r="63389" spans="16:16">
      <c r="P63389" s="2498"/>
    </row>
    <row r="63390" spans="16:16">
      <c r="P63390" s="2498"/>
    </row>
    <row r="63391" spans="16:16">
      <c r="P63391" s="2498"/>
    </row>
    <row r="63392" spans="16:16">
      <c r="P63392" s="2498"/>
    </row>
    <row r="63393" spans="16:16">
      <c r="P63393" s="2498"/>
    </row>
    <row r="63394" spans="16:16">
      <c r="P63394" s="2498"/>
    </row>
    <row r="63395" spans="16:16">
      <c r="P63395" s="2498"/>
    </row>
    <row r="63396" spans="16:16">
      <c r="P63396" s="2498"/>
    </row>
    <row r="63397" spans="16:16">
      <c r="P63397" s="2498"/>
    </row>
    <row r="63398" spans="16:16">
      <c r="P63398" s="2498"/>
    </row>
    <row r="63399" spans="16:16">
      <c r="P63399" s="2498"/>
    </row>
    <row r="63400" spans="16:16">
      <c r="P63400" s="2498"/>
    </row>
    <row r="63401" spans="16:16">
      <c r="P63401" s="2498"/>
    </row>
    <row r="63402" spans="16:16">
      <c r="P63402" s="2498"/>
    </row>
    <row r="63403" spans="16:16">
      <c r="P63403" s="2498"/>
    </row>
    <row r="63404" spans="16:16">
      <c r="P63404" s="2498"/>
    </row>
    <row r="63405" spans="16:16">
      <c r="P63405" s="2498"/>
    </row>
    <row r="63406" spans="16:16">
      <c r="P63406" s="2498"/>
    </row>
    <row r="63407" spans="16:16">
      <c r="P63407" s="2498"/>
    </row>
    <row r="63408" spans="16:16">
      <c r="P63408" s="2498"/>
    </row>
    <row r="63409" spans="16:16">
      <c r="P63409" s="2498"/>
    </row>
    <row r="63410" spans="16:16">
      <c r="P63410" s="2498"/>
    </row>
    <row r="63411" spans="16:16">
      <c r="P63411" s="2498"/>
    </row>
    <row r="63412" spans="16:16">
      <c r="P63412" s="2498"/>
    </row>
    <row r="63413" spans="16:16">
      <c r="P63413" s="2498"/>
    </row>
    <row r="63414" spans="16:16">
      <c r="P63414" s="2498"/>
    </row>
    <row r="63415" spans="16:16">
      <c r="P63415" s="2498"/>
    </row>
    <row r="63416" spans="16:16">
      <c r="P63416" s="2498"/>
    </row>
    <row r="63417" spans="16:16">
      <c r="P63417" s="2498"/>
    </row>
    <row r="63418" spans="16:16">
      <c r="P63418" s="2498"/>
    </row>
    <row r="63419" spans="16:16">
      <c r="P63419" s="2498"/>
    </row>
    <row r="63420" spans="16:16">
      <c r="P63420" s="2498"/>
    </row>
    <row r="63421" spans="16:16">
      <c r="P63421" s="2498"/>
    </row>
    <row r="63422" spans="16:16">
      <c r="P63422" s="2498"/>
    </row>
    <row r="63423" spans="16:16">
      <c r="P63423" s="2498"/>
    </row>
    <row r="63424" spans="16:16">
      <c r="P63424" s="2498"/>
    </row>
    <row r="63425" spans="16:16">
      <c r="P63425" s="2498"/>
    </row>
    <row r="63426" spans="16:16">
      <c r="P63426" s="2498"/>
    </row>
    <row r="63427" spans="16:16">
      <c r="P63427" s="2498"/>
    </row>
    <row r="63428" spans="16:16">
      <c r="P63428" s="2498"/>
    </row>
    <row r="63429" spans="16:16">
      <c r="P63429" s="2498"/>
    </row>
    <row r="63430" spans="16:16">
      <c r="P63430" s="2498"/>
    </row>
    <row r="63431" spans="16:16">
      <c r="P63431" s="2498"/>
    </row>
    <row r="63432" spans="16:16">
      <c r="P63432" s="2498"/>
    </row>
    <row r="63433" spans="16:16">
      <c r="P63433" s="2498"/>
    </row>
    <row r="63434" spans="16:16">
      <c r="P63434" s="2498"/>
    </row>
    <row r="63435" spans="16:16">
      <c r="P63435" s="2498"/>
    </row>
    <row r="63436" spans="16:16">
      <c r="P63436" s="2498"/>
    </row>
    <row r="63437" spans="16:16">
      <c r="P63437" s="2498"/>
    </row>
    <row r="63438" spans="16:16">
      <c r="P63438" s="2498"/>
    </row>
    <row r="63439" spans="16:16">
      <c r="P63439" s="2498"/>
    </row>
    <row r="63440" spans="16:16">
      <c r="P63440" s="2498"/>
    </row>
    <row r="63441" spans="16:16">
      <c r="P63441" s="2498"/>
    </row>
    <row r="63442" spans="16:16">
      <c r="P63442" s="2498"/>
    </row>
    <row r="63443" spans="16:16">
      <c r="P63443" s="2498"/>
    </row>
    <row r="63444" spans="16:16">
      <c r="P63444" s="2498"/>
    </row>
    <row r="63445" spans="16:16">
      <c r="P63445" s="2498"/>
    </row>
    <row r="63446" spans="16:16">
      <c r="P63446" s="2498"/>
    </row>
    <row r="63447" spans="16:16">
      <c r="P63447" s="2498"/>
    </row>
    <row r="63448" spans="16:16">
      <c r="P63448" s="2498"/>
    </row>
    <row r="63449" spans="16:16">
      <c r="P63449" s="2498"/>
    </row>
    <row r="63450" spans="16:16">
      <c r="P63450" s="2498"/>
    </row>
    <row r="63451" spans="16:16">
      <c r="P63451" s="2498"/>
    </row>
    <row r="63452" spans="16:16">
      <c r="P63452" s="2498"/>
    </row>
    <row r="63453" spans="16:16">
      <c r="P63453" s="2498"/>
    </row>
    <row r="63454" spans="16:16">
      <c r="P63454" s="2498"/>
    </row>
    <row r="63455" spans="16:16">
      <c r="P63455" s="2498"/>
    </row>
    <row r="63456" spans="16:16">
      <c r="P63456" s="2498"/>
    </row>
    <row r="63457" spans="16:16">
      <c r="P63457" s="2498"/>
    </row>
    <row r="63458" spans="16:16">
      <c r="P63458" s="2498"/>
    </row>
    <row r="63459" spans="16:16">
      <c r="P63459" s="2498"/>
    </row>
    <row r="63460" spans="16:16">
      <c r="P63460" s="2498"/>
    </row>
    <row r="63461" spans="16:16">
      <c r="P63461" s="2498"/>
    </row>
    <row r="63462" spans="16:16">
      <c r="P63462" s="2498"/>
    </row>
    <row r="63463" spans="16:16">
      <c r="P63463" s="2498"/>
    </row>
    <row r="63464" spans="16:16">
      <c r="P63464" s="2498"/>
    </row>
    <row r="63465" spans="16:16">
      <c r="P63465" s="2498"/>
    </row>
    <row r="63466" spans="16:16">
      <c r="P63466" s="2498"/>
    </row>
    <row r="63467" spans="16:16">
      <c r="P63467" s="2498"/>
    </row>
    <row r="63468" spans="16:16">
      <c r="P63468" s="2498"/>
    </row>
    <row r="63469" spans="16:16">
      <c r="P63469" s="2498"/>
    </row>
    <row r="63470" spans="16:16">
      <c r="P63470" s="2498"/>
    </row>
    <row r="63471" spans="16:16">
      <c r="P63471" s="2498"/>
    </row>
    <row r="63472" spans="16:16">
      <c r="P63472" s="2498"/>
    </row>
    <row r="63473" spans="16:16">
      <c r="P63473" s="2498"/>
    </row>
    <row r="63474" spans="16:16">
      <c r="P63474" s="2498"/>
    </row>
    <row r="63475" spans="16:16">
      <c r="P63475" s="2498"/>
    </row>
    <row r="63476" spans="16:16">
      <c r="P63476" s="2498"/>
    </row>
    <row r="63477" spans="16:16">
      <c r="P63477" s="2498"/>
    </row>
    <row r="63478" spans="16:16">
      <c r="P63478" s="2498"/>
    </row>
    <row r="63479" spans="16:16">
      <c r="P63479" s="2498"/>
    </row>
    <row r="63480" spans="16:16">
      <c r="P63480" s="2498"/>
    </row>
    <row r="63481" spans="16:16">
      <c r="P63481" s="2498"/>
    </row>
    <row r="63482" spans="16:16">
      <c r="P63482" s="2498"/>
    </row>
    <row r="63483" spans="16:16">
      <c r="P63483" s="2498"/>
    </row>
    <row r="63484" spans="16:16">
      <c r="P63484" s="2498"/>
    </row>
    <row r="63485" spans="16:16">
      <c r="P63485" s="2498"/>
    </row>
    <row r="63486" spans="16:16">
      <c r="P63486" s="2498"/>
    </row>
    <row r="63487" spans="16:16">
      <c r="P63487" s="2498"/>
    </row>
    <row r="63488" spans="16:16">
      <c r="P63488" s="2498"/>
    </row>
    <row r="63489" spans="16:16">
      <c r="P63489" s="2498"/>
    </row>
    <row r="63490" spans="16:16">
      <c r="P63490" s="2498"/>
    </row>
    <row r="63491" spans="16:16">
      <c r="P63491" s="2498"/>
    </row>
    <row r="63492" spans="16:16">
      <c r="P63492" s="2498"/>
    </row>
    <row r="63493" spans="16:16">
      <c r="P63493" s="2498"/>
    </row>
    <row r="63494" spans="16:16">
      <c r="P63494" s="2498"/>
    </row>
    <row r="63495" spans="16:16">
      <c r="P63495" s="2498"/>
    </row>
    <row r="63496" spans="16:16">
      <c r="P63496" s="2498"/>
    </row>
    <row r="63497" spans="16:16">
      <c r="P63497" s="2498"/>
    </row>
    <row r="63498" spans="16:16">
      <c r="P63498" s="2498"/>
    </row>
    <row r="63499" spans="16:16">
      <c r="P63499" s="2498"/>
    </row>
    <row r="63500" spans="16:16">
      <c r="P63500" s="2498"/>
    </row>
    <row r="63501" spans="16:16">
      <c r="P63501" s="2498"/>
    </row>
    <row r="63502" spans="16:16">
      <c r="P63502" s="2498"/>
    </row>
    <row r="63503" spans="16:16">
      <c r="P63503" s="2498"/>
    </row>
    <row r="63504" spans="16:16">
      <c r="P63504" s="2498"/>
    </row>
    <row r="63505" spans="16:16">
      <c r="P63505" s="2498"/>
    </row>
    <row r="63506" spans="16:16">
      <c r="P63506" s="2498"/>
    </row>
    <row r="63507" spans="16:16">
      <c r="P63507" s="2498"/>
    </row>
    <row r="63508" spans="16:16">
      <c r="P63508" s="2498"/>
    </row>
    <row r="63509" spans="16:16">
      <c r="P63509" s="2498"/>
    </row>
    <row r="63510" spans="16:16">
      <c r="P63510" s="2498"/>
    </row>
    <row r="63511" spans="16:16">
      <c r="P63511" s="2498"/>
    </row>
    <row r="63512" spans="16:16">
      <c r="P63512" s="2498"/>
    </row>
    <row r="63513" spans="16:16">
      <c r="P63513" s="2498"/>
    </row>
    <row r="63514" spans="16:16">
      <c r="P63514" s="2498"/>
    </row>
    <row r="63515" spans="16:16">
      <c r="P63515" s="2498"/>
    </row>
    <row r="63516" spans="16:16">
      <c r="P63516" s="2498"/>
    </row>
    <row r="63517" spans="16:16">
      <c r="P63517" s="2498"/>
    </row>
    <row r="63518" spans="16:16">
      <c r="P63518" s="2498"/>
    </row>
    <row r="63519" spans="16:16">
      <c r="P63519" s="2498"/>
    </row>
    <row r="63520" spans="16:16">
      <c r="P63520" s="2498"/>
    </row>
    <row r="63521" spans="16:16">
      <c r="P63521" s="2498"/>
    </row>
    <row r="63522" spans="16:16">
      <c r="P63522" s="2498"/>
    </row>
    <row r="63523" spans="16:16">
      <c r="P63523" s="2498"/>
    </row>
    <row r="63524" spans="16:16">
      <c r="P63524" s="2498"/>
    </row>
    <row r="63525" spans="16:16">
      <c r="P63525" s="2498"/>
    </row>
    <row r="63526" spans="16:16">
      <c r="P63526" s="2498"/>
    </row>
    <row r="63527" spans="16:16">
      <c r="P63527" s="2498"/>
    </row>
    <row r="63528" spans="16:16">
      <c r="P63528" s="2498"/>
    </row>
    <row r="63529" spans="16:16">
      <c r="P63529" s="2498"/>
    </row>
    <row r="63530" spans="16:16">
      <c r="P63530" s="2498"/>
    </row>
    <row r="63531" spans="16:16">
      <c r="P63531" s="2498"/>
    </row>
    <row r="63532" spans="16:16">
      <c r="P63532" s="2498"/>
    </row>
    <row r="63533" spans="16:16">
      <c r="P63533" s="2498"/>
    </row>
    <row r="63534" spans="16:16">
      <c r="P63534" s="2498"/>
    </row>
    <row r="63535" spans="16:16">
      <c r="P63535" s="2498"/>
    </row>
    <row r="63536" spans="16:16">
      <c r="P63536" s="2498"/>
    </row>
    <row r="63537" spans="16:16">
      <c r="P63537" s="2498"/>
    </row>
    <row r="63538" spans="16:16">
      <c r="P63538" s="2498"/>
    </row>
    <row r="63539" spans="16:16">
      <c r="P63539" s="2498"/>
    </row>
    <row r="63540" spans="16:16">
      <c r="P63540" s="2498"/>
    </row>
    <row r="63541" spans="16:16">
      <c r="P63541" s="2498"/>
    </row>
    <row r="63542" spans="16:16">
      <c r="P63542" s="2498"/>
    </row>
    <row r="63543" spans="16:16">
      <c r="P63543" s="2498"/>
    </row>
    <row r="63544" spans="16:16">
      <c r="P63544" s="2498"/>
    </row>
    <row r="63545" spans="16:16">
      <c r="P63545" s="2498"/>
    </row>
    <row r="63546" spans="16:16">
      <c r="P63546" s="2498"/>
    </row>
    <row r="63547" spans="16:16">
      <c r="P63547" s="2498"/>
    </row>
    <row r="63548" spans="16:16">
      <c r="P63548" s="2498"/>
    </row>
    <row r="63549" spans="16:16">
      <c r="P63549" s="2498"/>
    </row>
    <row r="63550" spans="16:16">
      <c r="P63550" s="2498"/>
    </row>
    <row r="63551" spans="16:16">
      <c r="P63551" s="2498"/>
    </row>
    <row r="63552" spans="16:16">
      <c r="P63552" s="2498"/>
    </row>
    <row r="63553" spans="16:16">
      <c r="P63553" s="2498"/>
    </row>
    <row r="63554" spans="16:16">
      <c r="P63554" s="2498"/>
    </row>
    <row r="63555" spans="16:16">
      <c r="P63555" s="2498"/>
    </row>
    <row r="63556" spans="16:16">
      <c r="P63556" s="2498"/>
    </row>
    <row r="63557" spans="16:16">
      <c r="P63557" s="2498"/>
    </row>
    <row r="63558" spans="16:16">
      <c r="P63558" s="2498"/>
    </row>
    <row r="63559" spans="16:16">
      <c r="P63559" s="2498"/>
    </row>
    <row r="63560" spans="16:16">
      <c r="P63560" s="2498"/>
    </row>
    <row r="63561" spans="16:16">
      <c r="P63561" s="2498"/>
    </row>
    <row r="63562" spans="16:16">
      <c r="P63562" s="2498"/>
    </row>
    <row r="63563" spans="16:16">
      <c r="P63563" s="2498"/>
    </row>
    <row r="63564" spans="16:16">
      <c r="P63564" s="2498"/>
    </row>
    <row r="63565" spans="16:16">
      <c r="P63565" s="2498"/>
    </row>
    <row r="63566" spans="16:16">
      <c r="P63566" s="2498"/>
    </row>
    <row r="63567" spans="16:16">
      <c r="P63567" s="2498"/>
    </row>
    <row r="63568" spans="16:16">
      <c r="P63568" s="2498"/>
    </row>
    <row r="63569" spans="16:16">
      <c r="P63569" s="2498"/>
    </row>
    <row r="63570" spans="16:16">
      <c r="P63570" s="2498"/>
    </row>
    <row r="63571" spans="16:16">
      <c r="P63571" s="2498"/>
    </row>
    <row r="63572" spans="16:16">
      <c r="P63572" s="2498"/>
    </row>
    <row r="63573" spans="16:16">
      <c r="P63573" s="2498"/>
    </row>
    <row r="63574" spans="16:16">
      <c r="P63574" s="2498"/>
    </row>
    <row r="63575" spans="16:16">
      <c r="P63575" s="2498"/>
    </row>
    <row r="63576" spans="16:16">
      <c r="P63576" s="2498"/>
    </row>
    <row r="63577" spans="16:16">
      <c r="P63577" s="2498"/>
    </row>
    <row r="63578" spans="16:16">
      <c r="P63578" s="2498"/>
    </row>
    <row r="63579" spans="16:16">
      <c r="P63579" s="2498"/>
    </row>
    <row r="63580" spans="16:16">
      <c r="P63580" s="2498"/>
    </row>
    <row r="63581" spans="16:16">
      <c r="P63581" s="2498"/>
    </row>
    <row r="63582" spans="16:16">
      <c r="P63582" s="2498"/>
    </row>
    <row r="63583" spans="16:16">
      <c r="P63583" s="2498"/>
    </row>
    <row r="63584" spans="16:16">
      <c r="P63584" s="2498"/>
    </row>
    <row r="63585" spans="16:16">
      <c r="P63585" s="2498"/>
    </row>
    <row r="63586" spans="16:16">
      <c r="P63586" s="2498"/>
    </row>
    <row r="63587" spans="16:16">
      <c r="P63587" s="2498"/>
    </row>
    <row r="63588" spans="16:16">
      <c r="P63588" s="2498"/>
    </row>
    <row r="63589" spans="16:16">
      <c r="P63589" s="2498"/>
    </row>
    <row r="63590" spans="16:16">
      <c r="P63590" s="2498"/>
    </row>
    <row r="63591" spans="16:16">
      <c r="P63591" s="2498"/>
    </row>
    <row r="63592" spans="16:16">
      <c r="P63592" s="2498"/>
    </row>
    <row r="63593" spans="16:16">
      <c r="P63593" s="2498"/>
    </row>
    <row r="63594" spans="16:16">
      <c r="P63594" s="2498"/>
    </row>
    <row r="63595" spans="16:16">
      <c r="P63595" s="2498"/>
    </row>
    <row r="63596" spans="16:16">
      <c r="P63596" s="2498"/>
    </row>
    <row r="63597" spans="16:16">
      <c r="P63597" s="2498"/>
    </row>
    <row r="63598" spans="16:16">
      <c r="P63598" s="2498"/>
    </row>
    <row r="63599" spans="16:16">
      <c r="P63599" s="2498"/>
    </row>
    <row r="63600" spans="16:16">
      <c r="P63600" s="2498"/>
    </row>
    <row r="63601" spans="16:16">
      <c r="P63601" s="2498"/>
    </row>
    <row r="63602" spans="16:16">
      <c r="P63602" s="2498"/>
    </row>
    <row r="63603" spans="16:16">
      <c r="P63603" s="2498"/>
    </row>
    <row r="63604" spans="16:16">
      <c r="P63604" s="2498"/>
    </row>
    <row r="63605" spans="16:16">
      <c r="P63605" s="2498"/>
    </row>
    <row r="63606" spans="16:16">
      <c r="P63606" s="2498"/>
    </row>
    <row r="63607" spans="16:16">
      <c r="P63607" s="2498"/>
    </row>
    <row r="63608" spans="16:16">
      <c r="P63608" s="2498"/>
    </row>
    <row r="63609" spans="16:16">
      <c r="P63609" s="2498"/>
    </row>
    <row r="63610" spans="16:16">
      <c r="P63610" s="2498"/>
    </row>
    <row r="63611" spans="16:16">
      <c r="P63611" s="2498"/>
    </row>
    <row r="63612" spans="16:16">
      <c r="P63612" s="2498"/>
    </row>
    <row r="63613" spans="16:16">
      <c r="P63613" s="2498"/>
    </row>
    <row r="63614" spans="16:16">
      <c r="P63614" s="2498"/>
    </row>
    <row r="63615" spans="16:16">
      <c r="P63615" s="2498"/>
    </row>
    <row r="63616" spans="16:16">
      <c r="P63616" s="2498"/>
    </row>
    <row r="63617" spans="16:16">
      <c r="P63617" s="2498"/>
    </row>
    <row r="63618" spans="16:16">
      <c r="P63618" s="2498"/>
    </row>
    <row r="63619" spans="16:16">
      <c r="P63619" s="2498"/>
    </row>
    <row r="63620" spans="16:16">
      <c r="P63620" s="2498"/>
    </row>
    <row r="63621" spans="16:16">
      <c r="P63621" s="2498"/>
    </row>
    <row r="63622" spans="16:16">
      <c r="P63622" s="2498"/>
    </row>
    <row r="63623" spans="16:16">
      <c r="P63623" s="2498"/>
    </row>
    <row r="63624" spans="16:16">
      <c r="P63624" s="2498"/>
    </row>
    <row r="63625" spans="16:16">
      <c r="P63625" s="2498"/>
    </row>
    <row r="63626" spans="16:16">
      <c r="P63626" s="2498"/>
    </row>
    <row r="63627" spans="16:16">
      <c r="P63627" s="2498"/>
    </row>
    <row r="63628" spans="16:16">
      <c r="P63628" s="2498"/>
    </row>
    <row r="63629" spans="16:16">
      <c r="P63629" s="2498"/>
    </row>
    <row r="63630" spans="16:16">
      <c r="P63630" s="2498"/>
    </row>
    <row r="63631" spans="16:16">
      <c r="P63631" s="2498"/>
    </row>
    <row r="63632" spans="16:16">
      <c r="P63632" s="2498"/>
    </row>
    <row r="63633" spans="16:16">
      <c r="P63633" s="2498"/>
    </row>
    <row r="63634" spans="16:16">
      <c r="P63634" s="2498"/>
    </row>
    <row r="63635" spans="16:16">
      <c r="P63635" s="2498"/>
    </row>
    <row r="63636" spans="16:16">
      <c r="P63636" s="2498"/>
    </row>
    <row r="63637" spans="16:16">
      <c r="P63637" s="2498"/>
    </row>
    <row r="63638" spans="16:16">
      <c r="P63638" s="2498"/>
    </row>
    <row r="63639" spans="16:16">
      <c r="P63639" s="2498"/>
    </row>
    <row r="63640" spans="16:16">
      <c r="P63640" s="2498"/>
    </row>
    <row r="63641" spans="16:16">
      <c r="P63641" s="2498"/>
    </row>
    <row r="63642" spans="16:16">
      <c r="P63642" s="2498"/>
    </row>
    <row r="63643" spans="16:16">
      <c r="P63643" s="2498"/>
    </row>
    <row r="63644" spans="16:16">
      <c r="P63644" s="2498"/>
    </row>
    <row r="63645" spans="16:16">
      <c r="P63645" s="2498"/>
    </row>
    <row r="63646" spans="16:16">
      <c r="P63646" s="2498"/>
    </row>
    <row r="63647" spans="16:16">
      <c r="P63647" s="2498"/>
    </row>
    <row r="63648" spans="16:16">
      <c r="P63648" s="2498"/>
    </row>
    <row r="63649" spans="16:16">
      <c r="P63649" s="2498"/>
    </row>
    <row r="63650" spans="16:16">
      <c r="P63650" s="2498"/>
    </row>
    <row r="63651" spans="16:16">
      <c r="P63651" s="2498"/>
    </row>
    <row r="63652" spans="16:16">
      <c r="P63652" s="2498"/>
    </row>
    <row r="63653" spans="16:16">
      <c r="P63653" s="2498"/>
    </row>
    <row r="63654" spans="16:16">
      <c r="P63654" s="2498"/>
    </row>
    <row r="63655" spans="16:16">
      <c r="P63655" s="2498"/>
    </row>
    <row r="63656" spans="16:16">
      <c r="P63656" s="2498"/>
    </row>
    <row r="63657" spans="16:16">
      <c r="P63657" s="2498"/>
    </row>
    <row r="63658" spans="16:16">
      <c r="P63658" s="2498"/>
    </row>
    <row r="63659" spans="16:16">
      <c r="P63659" s="2498"/>
    </row>
    <row r="63660" spans="16:16">
      <c r="P63660" s="2498"/>
    </row>
    <row r="63661" spans="16:16">
      <c r="P63661" s="2498"/>
    </row>
    <row r="63662" spans="16:16">
      <c r="P63662" s="2498"/>
    </row>
    <row r="63663" spans="16:16">
      <c r="P63663" s="2498"/>
    </row>
    <row r="63664" spans="16:16">
      <c r="P63664" s="2498"/>
    </row>
    <row r="63665" spans="16:16">
      <c r="P63665" s="2498"/>
    </row>
    <row r="63666" spans="16:16">
      <c r="P63666" s="2498"/>
    </row>
    <row r="63667" spans="16:16">
      <c r="P63667" s="2498"/>
    </row>
    <row r="63668" spans="16:16">
      <c r="P63668" s="2498"/>
    </row>
    <row r="63669" spans="16:16">
      <c r="P63669" s="2498"/>
    </row>
    <row r="63670" spans="16:16">
      <c r="P63670" s="2498"/>
    </row>
    <row r="63671" spans="16:16">
      <c r="P63671" s="2498"/>
    </row>
    <row r="63672" spans="16:16">
      <c r="P63672" s="2498"/>
    </row>
    <row r="63673" spans="16:16">
      <c r="P63673" s="2498"/>
    </row>
    <row r="63674" spans="16:16">
      <c r="P63674" s="2498"/>
    </row>
    <row r="63675" spans="16:16">
      <c r="P63675" s="2498"/>
    </row>
    <row r="63676" spans="16:16">
      <c r="P63676" s="2498"/>
    </row>
    <row r="63677" spans="16:16">
      <c r="P63677" s="2498"/>
    </row>
    <row r="63678" spans="16:16">
      <c r="P63678" s="2498"/>
    </row>
    <row r="63679" spans="16:16">
      <c r="P63679" s="2498"/>
    </row>
    <row r="63680" spans="16:16">
      <c r="P63680" s="2498"/>
    </row>
    <row r="63681" spans="16:16">
      <c r="P63681" s="2498"/>
    </row>
    <row r="63682" spans="16:16">
      <c r="P63682" s="2498"/>
    </row>
    <row r="63683" spans="16:16">
      <c r="P63683" s="2498"/>
    </row>
    <row r="63684" spans="16:16">
      <c r="P63684" s="2498"/>
    </row>
    <row r="63685" spans="16:16">
      <c r="P63685" s="2498"/>
    </row>
    <row r="63686" spans="16:16">
      <c r="P63686" s="2498"/>
    </row>
    <row r="63687" spans="16:16">
      <c r="P63687" s="2498"/>
    </row>
    <row r="63688" spans="16:16">
      <c r="P63688" s="2498"/>
    </row>
    <row r="63689" spans="16:16">
      <c r="P63689" s="2498"/>
    </row>
    <row r="63690" spans="16:16">
      <c r="P63690" s="2498"/>
    </row>
    <row r="63691" spans="16:16">
      <c r="P63691" s="2498"/>
    </row>
    <row r="63692" spans="16:16">
      <c r="P63692" s="2498"/>
    </row>
    <row r="63693" spans="16:16">
      <c r="P63693" s="2498"/>
    </row>
    <row r="63694" spans="16:16">
      <c r="P63694" s="2498"/>
    </row>
    <row r="63695" spans="16:16">
      <c r="P63695" s="2498"/>
    </row>
    <row r="63696" spans="16:16">
      <c r="P63696" s="2498"/>
    </row>
    <row r="63697" spans="16:16">
      <c r="P63697" s="2498"/>
    </row>
    <row r="63698" spans="16:16">
      <c r="P63698" s="2498"/>
    </row>
    <row r="63699" spans="16:16">
      <c r="P63699" s="2498"/>
    </row>
    <row r="63700" spans="16:16">
      <c r="P63700" s="2498"/>
    </row>
    <row r="63701" spans="16:16">
      <c r="P63701" s="2498"/>
    </row>
    <row r="63702" spans="16:16">
      <c r="P63702" s="2498"/>
    </row>
    <row r="63703" spans="16:16">
      <c r="P63703" s="2498"/>
    </row>
    <row r="63704" spans="16:16">
      <c r="P63704" s="2498"/>
    </row>
    <row r="63705" spans="16:16">
      <c r="P63705" s="2498"/>
    </row>
    <row r="63706" spans="16:16">
      <c r="P63706" s="2498"/>
    </row>
    <row r="63707" spans="16:16">
      <c r="P63707" s="2498"/>
    </row>
    <row r="63708" spans="16:16">
      <c r="P63708" s="2498"/>
    </row>
    <row r="63709" spans="16:16">
      <c r="P63709" s="2498"/>
    </row>
    <row r="63710" spans="16:16">
      <c r="P63710" s="2498"/>
    </row>
    <row r="63711" spans="16:16">
      <c r="P63711" s="2498"/>
    </row>
    <row r="63712" spans="16:16">
      <c r="P63712" s="2498"/>
    </row>
    <row r="63713" spans="16:16">
      <c r="P63713" s="2498"/>
    </row>
    <row r="63714" spans="16:16">
      <c r="P63714" s="2498"/>
    </row>
    <row r="63715" spans="16:16">
      <c r="P63715" s="2498"/>
    </row>
    <row r="63716" spans="16:16">
      <c r="P63716" s="2498"/>
    </row>
    <row r="63717" spans="16:16">
      <c r="P63717" s="2498"/>
    </row>
    <row r="63718" spans="16:16">
      <c r="P63718" s="2498"/>
    </row>
    <row r="63719" spans="16:16">
      <c r="P63719" s="2498"/>
    </row>
    <row r="63720" spans="16:16">
      <c r="P63720" s="2498"/>
    </row>
    <row r="63721" spans="16:16">
      <c r="P63721" s="2498"/>
    </row>
    <row r="63722" spans="16:16">
      <c r="P63722" s="2498"/>
    </row>
    <row r="63723" spans="16:16">
      <c r="P63723" s="2498"/>
    </row>
    <row r="63724" spans="16:16">
      <c r="P63724" s="2498"/>
    </row>
    <row r="63725" spans="16:16">
      <c r="P63725" s="2498"/>
    </row>
    <row r="63726" spans="16:16">
      <c r="P63726" s="2498"/>
    </row>
    <row r="63727" spans="16:16">
      <c r="P63727" s="2498"/>
    </row>
    <row r="63728" spans="16:16">
      <c r="P63728" s="2498"/>
    </row>
    <row r="63729" spans="16:16">
      <c r="P63729" s="2498"/>
    </row>
    <row r="63730" spans="16:16">
      <c r="P63730" s="2498"/>
    </row>
    <row r="63731" spans="16:16">
      <c r="P63731" s="2498"/>
    </row>
    <row r="63732" spans="16:16">
      <c r="P63732" s="2498"/>
    </row>
    <row r="63733" spans="16:16">
      <c r="P63733" s="2498"/>
    </row>
    <row r="63734" spans="16:16">
      <c r="P63734" s="2498"/>
    </row>
    <row r="63735" spans="16:16">
      <c r="P63735" s="2498"/>
    </row>
    <row r="63736" spans="16:16">
      <c r="P63736" s="2498"/>
    </row>
    <row r="63737" spans="16:16">
      <c r="P63737" s="2498"/>
    </row>
    <row r="63738" spans="16:16">
      <c r="P63738" s="2498"/>
    </row>
    <row r="63739" spans="16:16">
      <c r="P63739" s="2498"/>
    </row>
    <row r="63740" spans="16:16">
      <c r="P63740" s="2498"/>
    </row>
    <row r="63741" spans="16:16">
      <c r="P63741" s="2498"/>
    </row>
    <row r="63742" spans="16:16">
      <c r="P63742" s="2498"/>
    </row>
    <row r="63743" spans="16:16">
      <c r="P63743" s="2498"/>
    </row>
    <row r="63744" spans="16:16">
      <c r="P63744" s="2498"/>
    </row>
    <row r="63745" spans="16:16">
      <c r="P63745" s="2498"/>
    </row>
    <row r="63746" spans="16:16">
      <c r="P63746" s="2498"/>
    </row>
    <row r="63747" spans="16:16">
      <c r="P63747" s="2498"/>
    </row>
    <row r="63748" spans="16:16">
      <c r="P63748" s="2498"/>
    </row>
    <row r="63749" spans="16:16">
      <c r="P63749" s="2498"/>
    </row>
    <row r="63750" spans="16:16">
      <c r="P63750" s="2498"/>
    </row>
    <row r="63751" spans="16:16">
      <c r="P63751" s="2498"/>
    </row>
    <row r="63752" spans="16:16">
      <c r="P63752" s="2498"/>
    </row>
    <row r="63753" spans="16:16">
      <c r="P63753" s="2498"/>
    </row>
    <row r="63754" spans="16:16">
      <c r="P63754" s="2498"/>
    </row>
    <row r="63755" spans="16:16">
      <c r="P63755" s="2498"/>
    </row>
    <row r="63756" spans="16:16">
      <c r="P63756" s="2498"/>
    </row>
    <row r="63757" spans="16:16">
      <c r="P63757" s="2498"/>
    </row>
    <row r="63758" spans="16:16">
      <c r="P63758" s="2498"/>
    </row>
    <row r="63759" spans="16:16">
      <c r="P63759" s="2498"/>
    </row>
    <row r="63760" spans="16:16">
      <c r="P63760" s="2498"/>
    </row>
    <row r="63761" spans="16:16">
      <c r="P63761" s="2498"/>
    </row>
    <row r="63762" spans="16:16">
      <c r="P63762" s="2498"/>
    </row>
    <row r="63763" spans="16:16">
      <c r="P63763" s="2498"/>
    </row>
    <row r="63764" spans="16:16">
      <c r="P63764" s="2498"/>
    </row>
    <row r="63765" spans="16:16">
      <c r="P63765" s="2498"/>
    </row>
    <row r="63766" spans="16:16">
      <c r="P63766" s="2498"/>
    </row>
    <row r="63767" spans="16:16">
      <c r="P63767" s="2498"/>
    </row>
    <row r="63768" spans="16:16">
      <c r="P63768" s="2498"/>
    </row>
    <row r="63769" spans="16:16">
      <c r="P63769" s="2498"/>
    </row>
    <row r="63770" spans="16:16">
      <c r="P63770" s="2498"/>
    </row>
    <row r="63771" spans="16:16">
      <c r="P63771" s="2498"/>
    </row>
    <row r="63772" spans="16:16">
      <c r="P63772" s="2498"/>
    </row>
    <row r="63773" spans="16:16">
      <c r="P63773" s="2498"/>
    </row>
    <row r="63774" spans="16:16">
      <c r="P63774" s="2498"/>
    </row>
    <row r="63775" spans="16:16">
      <c r="P63775" s="2498"/>
    </row>
    <row r="63776" spans="16:16">
      <c r="P63776" s="2498"/>
    </row>
    <row r="63777" spans="16:16">
      <c r="P63777" s="2498"/>
    </row>
    <row r="63778" spans="16:16">
      <c r="P63778" s="2498"/>
    </row>
    <row r="63779" spans="16:16">
      <c r="P63779" s="2498"/>
    </row>
    <row r="63780" spans="16:16">
      <c r="P63780" s="2498"/>
    </row>
    <row r="63781" spans="16:16">
      <c r="P63781" s="2498"/>
    </row>
    <row r="63782" spans="16:16">
      <c r="P63782" s="2498"/>
    </row>
    <row r="63783" spans="16:16">
      <c r="P63783" s="2498"/>
    </row>
    <row r="63784" spans="16:16">
      <c r="P63784" s="2498"/>
    </row>
    <row r="63785" spans="16:16">
      <c r="P63785" s="2498"/>
    </row>
    <row r="63786" spans="16:16">
      <c r="P63786" s="2498"/>
    </row>
    <row r="63787" spans="16:16">
      <c r="P63787" s="2498"/>
    </row>
    <row r="63788" spans="16:16">
      <c r="P63788" s="2498"/>
    </row>
    <row r="63789" spans="16:16">
      <c r="P63789" s="2498"/>
    </row>
    <row r="63790" spans="16:16">
      <c r="P63790" s="2498"/>
    </row>
    <row r="63791" spans="16:16">
      <c r="P63791" s="2498"/>
    </row>
    <row r="63792" spans="16:16">
      <c r="P63792" s="2498"/>
    </row>
    <row r="63793" spans="16:16">
      <c r="P63793" s="2498"/>
    </row>
    <row r="63794" spans="16:16">
      <c r="P63794" s="2498"/>
    </row>
    <row r="63795" spans="16:16">
      <c r="P63795" s="2498"/>
    </row>
    <row r="63796" spans="16:16">
      <c r="P63796" s="2498"/>
    </row>
    <row r="63797" spans="16:16">
      <c r="P63797" s="2498"/>
    </row>
    <row r="63798" spans="16:16">
      <c r="P63798" s="2498"/>
    </row>
    <row r="63799" spans="16:16">
      <c r="P63799" s="2498"/>
    </row>
    <row r="63800" spans="16:16">
      <c r="P63800" s="2498"/>
    </row>
    <row r="63801" spans="16:16">
      <c r="P63801" s="2498"/>
    </row>
    <row r="63802" spans="16:16">
      <c r="P63802" s="2498"/>
    </row>
    <row r="63803" spans="16:16">
      <c r="P63803" s="2498"/>
    </row>
    <row r="63804" spans="16:16">
      <c r="P63804" s="2498"/>
    </row>
    <row r="63805" spans="16:16">
      <c r="P63805" s="2498"/>
    </row>
    <row r="63806" spans="16:16">
      <c r="P63806" s="2498"/>
    </row>
    <row r="63807" spans="16:16">
      <c r="P63807" s="2498"/>
    </row>
    <row r="63808" spans="16:16">
      <c r="P63808" s="2498"/>
    </row>
    <row r="63809" spans="16:16">
      <c r="P63809" s="2498"/>
    </row>
    <row r="63810" spans="16:16">
      <c r="P63810" s="2498"/>
    </row>
    <row r="63811" spans="16:16">
      <c r="P63811" s="2498"/>
    </row>
    <row r="63812" spans="16:16">
      <c r="P63812" s="2498"/>
    </row>
    <row r="63813" spans="16:16">
      <c r="P63813" s="2498"/>
    </row>
    <row r="63814" spans="16:16">
      <c r="P63814" s="2498"/>
    </row>
    <row r="63815" spans="16:16">
      <c r="P63815" s="2498"/>
    </row>
    <row r="63816" spans="16:16">
      <c r="P63816" s="2498"/>
    </row>
    <row r="63817" spans="16:16">
      <c r="P63817" s="2498"/>
    </row>
    <row r="63818" spans="16:16">
      <c r="P63818" s="2498"/>
    </row>
    <row r="63819" spans="16:16">
      <c r="P63819" s="2498"/>
    </row>
    <row r="63820" spans="16:16">
      <c r="P63820" s="2498"/>
    </row>
    <row r="63821" spans="16:16">
      <c r="P63821" s="2498"/>
    </row>
    <row r="63822" spans="16:16">
      <c r="P63822" s="2498"/>
    </row>
    <row r="63823" spans="16:16">
      <c r="P63823" s="2498"/>
    </row>
    <row r="63824" spans="16:16">
      <c r="P63824" s="2498"/>
    </row>
    <row r="63825" spans="16:16">
      <c r="P63825" s="2498"/>
    </row>
    <row r="63826" spans="16:16">
      <c r="P63826" s="2498"/>
    </row>
    <row r="63827" spans="16:16">
      <c r="P63827" s="2498"/>
    </row>
    <row r="63828" spans="16:16">
      <c r="P63828" s="2498"/>
    </row>
    <row r="63829" spans="16:16">
      <c r="P63829" s="2498"/>
    </row>
    <row r="63830" spans="16:16">
      <c r="P63830" s="2498"/>
    </row>
    <row r="63831" spans="16:16">
      <c r="P63831" s="2498"/>
    </row>
    <row r="63832" spans="16:16">
      <c r="P63832" s="2498"/>
    </row>
    <row r="63833" spans="16:16">
      <c r="P63833" s="2498"/>
    </row>
    <row r="63834" spans="16:16">
      <c r="P63834" s="2498"/>
    </row>
    <row r="63835" spans="16:16">
      <c r="P63835" s="2498"/>
    </row>
    <row r="63836" spans="16:16">
      <c r="P63836" s="2498"/>
    </row>
    <row r="63837" spans="16:16">
      <c r="P63837" s="2498"/>
    </row>
    <row r="63838" spans="16:16">
      <c r="P63838" s="2498"/>
    </row>
    <row r="63839" spans="16:16">
      <c r="P63839" s="2498"/>
    </row>
    <row r="63840" spans="16:16">
      <c r="P63840" s="2498"/>
    </row>
    <row r="63841" spans="16:16">
      <c r="P63841" s="2498"/>
    </row>
    <row r="63842" spans="16:16">
      <c r="P63842" s="2498"/>
    </row>
    <row r="63843" spans="16:16">
      <c r="P63843" s="2498"/>
    </row>
    <row r="63844" spans="16:16">
      <c r="P63844" s="2498"/>
    </row>
    <row r="63845" spans="16:16">
      <c r="P63845" s="2498"/>
    </row>
    <row r="63846" spans="16:16">
      <c r="P63846" s="2498"/>
    </row>
    <row r="63847" spans="16:16">
      <c r="P63847" s="2498"/>
    </row>
    <row r="63848" spans="16:16">
      <c r="P63848" s="2498"/>
    </row>
    <row r="63849" spans="16:16">
      <c r="P63849" s="2498"/>
    </row>
    <row r="63850" spans="16:16">
      <c r="P63850" s="2498"/>
    </row>
    <row r="63851" spans="16:16">
      <c r="P63851" s="2498"/>
    </row>
    <row r="63852" spans="16:16">
      <c r="P63852" s="2498"/>
    </row>
    <row r="63853" spans="16:16">
      <c r="P63853" s="2498"/>
    </row>
    <row r="63854" spans="16:16">
      <c r="P63854" s="2498"/>
    </row>
    <row r="63855" spans="16:16">
      <c r="P63855" s="2498"/>
    </row>
    <row r="63856" spans="16:16">
      <c r="P63856" s="2498"/>
    </row>
    <row r="63857" spans="16:16">
      <c r="P63857" s="2498"/>
    </row>
    <row r="63858" spans="16:16">
      <c r="P63858" s="2498"/>
    </row>
    <row r="63859" spans="16:16">
      <c r="P63859" s="2498"/>
    </row>
    <row r="63860" spans="16:16">
      <c r="P63860" s="2498"/>
    </row>
    <row r="63861" spans="16:16">
      <c r="P63861" s="2498"/>
    </row>
    <row r="63862" spans="16:16">
      <c r="P63862" s="2498"/>
    </row>
    <row r="63863" spans="16:16">
      <c r="P63863" s="2498"/>
    </row>
    <row r="63864" spans="16:16">
      <c r="P63864" s="2498"/>
    </row>
    <row r="63865" spans="16:16">
      <c r="P63865" s="2498"/>
    </row>
    <row r="63866" spans="16:16">
      <c r="P63866" s="2498"/>
    </row>
    <row r="63867" spans="16:16">
      <c r="P63867" s="2498"/>
    </row>
    <row r="63868" spans="16:16">
      <c r="P63868" s="2498"/>
    </row>
    <row r="63869" spans="16:16">
      <c r="P63869" s="2498"/>
    </row>
    <row r="63870" spans="16:16">
      <c r="P63870" s="2498"/>
    </row>
    <row r="63871" spans="16:16">
      <c r="P63871" s="2498"/>
    </row>
    <row r="63872" spans="16:16">
      <c r="P63872" s="2498"/>
    </row>
    <row r="63873" spans="16:16">
      <c r="P63873" s="2498"/>
    </row>
    <row r="63874" spans="16:16">
      <c r="P63874" s="2498"/>
    </row>
    <row r="63875" spans="16:16">
      <c r="P63875" s="2498"/>
    </row>
    <row r="63876" spans="16:16">
      <c r="P63876" s="2498"/>
    </row>
    <row r="63877" spans="16:16">
      <c r="P63877" s="2498"/>
    </row>
    <row r="63878" spans="16:16">
      <c r="P63878" s="2498"/>
    </row>
    <row r="63879" spans="16:16">
      <c r="P63879" s="2498"/>
    </row>
    <row r="63880" spans="16:16">
      <c r="P63880" s="2498"/>
    </row>
    <row r="63881" spans="16:16">
      <c r="P63881" s="2498"/>
    </row>
    <row r="63882" spans="16:16">
      <c r="P63882" s="2498"/>
    </row>
    <row r="63883" spans="16:16">
      <c r="P63883" s="2498"/>
    </row>
    <row r="63884" spans="16:16">
      <c r="P63884" s="2498"/>
    </row>
    <row r="63885" spans="16:16">
      <c r="P63885" s="2498"/>
    </row>
    <row r="63886" spans="16:16">
      <c r="P63886" s="2498"/>
    </row>
    <row r="63887" spans="16:16">
      <c r="P63887" s="2498"/>
    </row>
    <row r="63888" spans="16:16">
      <c r="P63888" s="2498"/>
    </row>
    <row r="63889" spans="16:16">
      <c r="P63889" s="2498"/>
    </row>
    <row r="63890" spans="16:16">
      <c r="P63890" s="2498"/>
    </row>
    <row r="63891" spans="16:16">
      <c r="P63891" s="2498"/>
    </row>
    <row r="63892" spans="16:16">
      <c r="P63892" s="2498"/>
    </row>
    <row r="63893" spans="16:16">
      <c r="P63893" s="2498"/>
    </row>
    <row r="63894" spans="16:16">
      <c r="P63894" s="2498"/>
    </row>
    <row r="63895" spans="16:16">
      <c r="P63895" s="2498"/>
    </row>
    <row r="63896" spans="16:16">
      <c r="P63896" s="2498"/>
    </row>
    <row r="63897" spans="16:16">
      <c r="P63897" s="2498"/>
    </row>
    <row r="63898" spans="16:16">
      <c r="P63898" s="2498"/>
    </row>
    <row r="63899" spans="16:16">
      <c r="P63899" s="2498"/>
    </row>
    <row r="63900" spans="16:16">
      <c r="P63900" s="2498"/>
    </row>
    <row r="63901" spans="16:16">
      <c r="P63901" s="2498"/>
    </row>
    <row r="63902" spans="16:16">
      <c r="P63902" s="2498"/>
    </row>
    <row r="63903" spans="16:16">
      <c r="P63903" s="2498"/>
    </row>
    <row r="63904" spans="16:16">
      <c r="P63904" s="2498"/>
    </row>
    <row r="63905" spans="16:16">
      <c r="P63905" s="2498"/>
    </row>
    <row r="63906" spans="16:16">
      <c r="P63906" s="2498"/>
    </row>
    <row r="63907" spans="16:16">
      <c r="P63907" s="2498"/>
    </row>
    <row r="63908" spans="16:16">
      <c r="P63908" s="2498"/>
    </row>
    <row r="63909" spans="16:16">
      <c r="P63909" s="2498"/>
    </row>
    <row r="63910" spans="16:16">
      <c r="P63910" s="2498"/>
    </row>
    <row r="63911" spans="16:16">
      <c r="P63911" s="2498"/>
    </row>
    <row r="63912" spans="16:16">
      <c r="P63912" s="2498"/>
    </row>
    <row r="63913" spans="16:16">
      <c r="P63913" s="2498"/>
    </row>
    <row r="63914" spans="16:16">
      <c r="P63914" s="2498"/>
    </row>
    <row r="63915" spans="16:16">
      <c r="P63915" s="2498"/>
    </row>
    <row r="63916" spans="16:16">
      <c r="P63916" s="2498"/>
    </row>
    <row r="63917" spans="16:16">
      <c r="P63917" s="2498"/>
    </row>
    <row r="63918" spans="16:16">
      <c r="P63918" s="2498"/>
    </row>
    <row r="63919" spans="16:16">
      <c r="P63919" s="2498"/>
    </row>
    <row r="63920" spans="16:16">
      <c r="P63920" s="2498"/>
    </row>
    <row r="63921" spans="16:16">
      <c r="P63921" s="2498"/>
    </row>
    <row r="63922" spans="16:16">
      <c r="P63922" s="2498"/>
    </row>
    <row r="63923" spans="16:16">
      <c r="P63923" s="2498"/>
    </row>
    <row r="63924" spans="16:16">
      <c r="P63924" s="2498"/>
    </row>
    <row r="63925" spans="16:16">
      <c r="P63925" s="2498"/>
    </row>
    <row r="63926" spans="16:16">
      <c r="P63926" s="2498"/>
    </row>
    <row r="63927" spans="16:16">
      <c r="P63927" s="2498"/>
    </row>
    <row r="63928" spans="16:16">
      <c r="P63928" s="2498"/>
    </row>
    <row r="63929" spans="16:16">
      <c r="P63929" s="2498"/>
    </row>
    <row r="63930" spans="16:16">
      <c r="P63930" s="2498"/>
    </row>
    <row r="63931" spans="16:16">
      <c r="P63931" s="2498"/>
    </row>
    <row r="63932" spans="16:16">
      <c r="P63932" s="2498"/>
    </row>
    <row r="63933" spans="16:16">
      <c r="P63933" s="2498"/>
    </row>
    <row r="63934" spans="16:16">
      <c r="P63934" s="2498"/>
    </row>
    <row r="63935" spans="16:16">
      <c r="P63935" s="2498"/>
    </row>
    <row r="63936" spans="16:16">
      <c r="P63936" s="2498"/>
    </row>
    <row r="63937" spans="16:16">
      <c r="P63937" s="2498"/>
    </row>
    <row r="63938" spans="16:16">
      <c r="P63938" s="2498"/>
    </row>
    <row r="63939" spans="16:16">
      <c r="P63939" s="2498"/>
    </row>
    <row r="63940" spans="16:16">
      <c r="P63940" s="2498"/>
    </row>
    <row r="63941" spans="16:16">
      <c r="P63941" s="2498"/>
    </row>
    <row r="63942" spans="16:16">
      <c r="P63942" s="2498"/>
    </row>
    <row r="63943" spans="16:16">
      <c r="P63943" s="2498"/>
    </row>
    <row r="63944" spans="16:16">
      <c r="P63944" s="2498"/>
    </row>
    <row r="63945" spans="16:16">
      <c r="P63945" s="2498"/>
    </row>
    <row r="63946" spans="16:16">
      <c r="P63946" s="2498"/>
    </row>
    <row r="63947" spans="16:16">
      <c r="P63947" s="2498"/>
    </row>
    <row r="63948" spans="16:16">
      <c r="P63948" s="2498"/>
    </row>
    <row r="63949" spans="16:16">
      <c r="P63949" s="2498"/>
    </row>
    <row r="63950" spans="16:16">
      <c r="P63950" s="2498"/>
    </row>
    <row r="63951" spans="16:16">
      <c r="P63951" s="2498"/>
    </row>
    <row r="63952" spans="16:16">
      <c r="P63952" s="2498"/>
    </row>
    <row r="63953" spans="16:16">
      <c r="P63953" s="2498"/>
    </row>
    <row r="63954" spans="16:16">
      <c r="P63954" s="2498"/>
    </row>
    <row r="63955" spans="16:16">
      <c r="P63955" s="2498"/>
    </row>
    <row r="63956" spans="16:16">
      <c r="P63956" s="2498"/>
    </row>
    <row r="63957" spans="16:16">
      <c r="P63957" s="2498"/>
    </row>
    <row r="63958" spans="16:16">
      <c r="P63958" s="2498"/>
    </row>
    <row r="63959" spans="16:16">
      <c r="P63959" s="2498"/>
    </row>
    <row r="63960" spans="16:16">
      <c r="P63960" s="2498"/>
    </row>
    <row r="63961" spans="16:16">
      <c r="P63961" s="2498"/>
    </row>
    <row r="63962" spans="16:16">
      <c r="P63962" s="2498"/>
    </row>
    <row r="63963" spans="16:16">
      <c r="P63963" s="2498"/>
    </row>
    <row r="63964" spans="16:16">
      <c r="P63964" s="2498"/>
    </row>
    <row r="63965" spans="16:16">
      <c r="P63965" s="2498"/>
    </row>
    <row r="63966" spans="16:16">
      <c r="P63966" s="2498"/>
    </row>
    <row r="63967" spans="16:16">
      <c r="P63967" s="2498"/>
    </row>
    <row r="63968" spans="16:16">
      <c r="P63968" s="2498"/>
    </row>
    <row r="63969" spans="16:16">
      <c r="P63969" s="2498"/>
    </row>
    <row r="63970" spans="16:16">
      <c r="P63970" s="2498"/>
    </row>
    <row r="63971" spans="16:16">
      <c r="P63971" s="2498"/>
    </row>
    <row r="63972" spans="16:16">
      <c r="P63972" s="2498"/>
    </row>
    <row r="63973" spans="16:16">
      <c r="P63973" s="2498"/>
    </row>
    <row r="63974" spans="16:16">
      <c r="P63974" s="2498"/>
    </row>
    <row r="63975" spans="16:16">
      <c r="P63975" s="2498"/>
    </row>
    <row r="63976" spans="16:16">
      <c r="P63976" s="2498"/>
    </row>
    <row r="63977" spans="16:16">
      <c r="P63977" s="2498"/>
    </row>
    <row r="63978" spans="16:16">
      <c r="P63978" s="2498"/>
    </row>
    <row r="63979" spans="16:16">
      <c r="P63979" s="2498"/>
    </row>
    <row r="63980" spans="16:16">
      <c r="P63980" s="2498"/>
    </row>
    <row r="63981" spans="16:16">
      <c r="P63981" s="2498"/>
    </row>
    <row r="63982" spans="16:16">
      <c r="P63982" s="2498"/>
    </row>
    <row r="63983" spans="16:16">
      <c r="P63983" s="2498"/>
    </row>
    <row r="63984" spans="16:16">
      <c r="P63984" s="2498"/>
    </row>
    <row r="63985" spans="16:16">
      <c r="P63985" s="2498"/>
    </row>
    <row r="63986" spans="16:16">
      <c r="P63986" s="2498"/>
    </row>
    <row r="63987" spans="16:16">
      <c r="P63987" s="2498"/>
    </row>
    <row r="63988" spans="16:16">
      <c r="P63988" s="2498"/>
    </row>
    <row r="63989" spans="16:16">
      <c r="P63989" s="2498"/>
    </row>
    <row r="63990" spans="16:16">
      <c r="P63990" s="2498"/>
    </row>
    <row r="63991" spans="16:16">
      <c r="P63991" s="2498"/>
    </row>
    <row r="63992" spans="16:16">
      <c r="P63992" s="2498"/>
    </row>
    <row r="63993" spans="16:16">
      <c r="P63993" s="2498"/>
    </row>
    <row r="63994" spans="16:16">
      <c r="P63994" s="2498"/>
    </row>
    <row r="63995" spans="16:16">
      <c r="P63995" s="2498"/>
    </row>
    <row r="63996" spans="16:16">
      <c r="P63996" s="2498"/>
    </row>
    <row r="63997" spans="16:16">
      <c r="P63997" s="2498"/>
    </row>
    <row r="63998" spans="16:16">
      <c r="P63998" s="2498"/>
    </row>
    <row r="63999" spans="16:16">
      <c r="P63999" s="2498"/>
    </row>
    <row r="64000" spans="16:16">
      <c r="P64000" s="2498"/>
    </row>
    <row r="64001" spans="16:16">
      <c r="P64001" s="2498"/>
    </row>
    <row r="64002" spans="16:16">
      <c r="P64002" s="2498"/>
    </row>
    <row r="64003" spans="16:16">
      <c r="P64003" s="2498"/>
    </row>
    <row r="64004" spans="16:16">
      <c r="P64004" s="2498"/>
    </row>
    <row r="64005" spans="16:16">
      <c r="P64005" s="2498"/>
    </row>
    <row r="64006" spans="16:16">
      <c r="P64006" s="2498"/>
    </row>
    <row r="64007" spans="16:16">
      <c r="P64007" s="2498"/>
    </row>
    <row r="64008" spans="16:16">
      <c r="P64008" s="2498"/>
    </row>
    <row r="64009" spans="16:16">
      <c r="P64009" s="2498"/>
    </row>
    <row r="64010" spans="16:16">
      <c r="P64010" s="2498"/>
    </row>
    <row r="64011" spans="16:16">
      <c r="P64011" s="2498"/>
    </row>
    <row r="64012" spans="16:16">
      <c r="P64012" s="2498"/>
    </row>
    <row r="64013" spans="16:16">
      <c r="P64013" s="2498"/>
    </row>
    <row r="64014" spans="16:16">
      <c r="P64014" s="2498"/>
    </row>
    <row r="64015" spans="16:16">
      <c r="P64015" s="2498"/>
    </row>
    <row r="64016" spans="16:16">
      <c r="P64016" s="2498"/>
    </row>
    <row r="64017" spans="16:16">
      <c r="P64017" s="2498"/>
    </row>
    <row r="64018" spans="16:16">
      <c r="P64018" s="2498"/>
    </row>
    <row r="64019" spans="16:16">
      <c r="P64019" s="2498"/>
    </row>
    <row r="64020" spans="16:16">
      <c r="P64020" s="2498"/>
    </row>
    <row r="64021" spans="16:16">
      <c r="P64021" s="2498"/>
    </row>
    <row r="64022" spans="16:16">
      <c r="P64022" s="2498"/>
    </row>
    <row r="64023" spans="16:16">
      <c r="P64023" s="2498"/>
    </row>
    <row r="64024" spans="16:16">
      <c r="P64024" s="2498"/>
    </row>
    <row r="64025" spans="16:16">
      <c r="P64025" s="2498"/>
    </row>
    <row r="64026" spans="16:16">
      <c r="P64026" s="2498"/>
    </row>
    <row r="64027" spans="16:16">
      <c r="P64027" s="2498"/>
    </row>
    <row r="64028" spans="16:16">
      <c r="P64028" s="2498"/>
    </row>
    <row r="64029" spans="16:16">
      <c r="P64029" s="2498"/>
    </row>
    <row r="64030" spans="16:16">
      <c r="P64030" s="2498"/>
    </row>
    <row r="64031" spans="16:16">
      <c r="P64031" s="2498"/>
    </row>
    <row r="64032" spans="16:16">
      <c r="P64032" s="2498"/>
    </row>
    <row r="64033" spans="16:16">
      <c r="P64033" s="2498"/>
    </row>
    <row r="64034" spans="16:16">
      <c r="P64034" s="2498"/>
    </row>
    <row r="64035" spans="16:16">
      <c r="P64035" s="2498"/>
    </row>
    <row r="64036" spans="16:16">
      <c r="P64036" s="2498"/>
    </row>
    <row r="64037" spans="16:16">
      <c r="P64037" s="2498"/>
    </row>
    <row r="64038" spans="16:16">
      <c r="P64038" s="2498"/>
    </row>
    <row r="64039" spans="16:16">
      <c r="P64039" s="2498"/>
    </row>
    <row r="64040" spans="16:16">
      <c r="P64040" s="2498"/>
    </row>
    <row r="64041" spans="16:16">
      <c r="P64041" s="2498"/>
    </row>
    <row r="64042" spans="16:16">
      <c r="P64042" s="2498"/>
    </row>
    <row r="64043" spans="16:16">
      <c r="P64043" s="2498"/>
    </row>
    <row r="64044" spans="16:16">
      <c r="P64044" s="2498"/>
    </row>
    <row r="64045" spans="16:16">
      <c r="P64045" s="2498"/>
    </row>
    <row r="64046" spans="16:16">
      <c r="P64046" s="2498"/>
    </row>
    <row r="64047" spans="16:16">
      <c r="P64047" s="2498"/>
    </row>
    <row r="64048" spans="16:16">
      <c r="P64048" s="2498"/>
    </row>
    <row r="64049" spans="16:16">
      <c r="P64049" s="2498"/>
    </row>
    <row r="64050" spans="16:16">
      <c r="P64050" s="2498"/>
    </row>
    <row r="64051" spans="16:16">
      <c r="P64051" s="2498"/>
    </row>
    <row r="64052" spans="16:16">
      <c r="P64052" s="2498"/>
    </row>
    <row r="64053" spans="16:16">
      <c r="P64053" s="2498"/>
    </row>
    <row r="64054" spans="16:16">
      <c r="P64054" s="2498"/>
    </row>
    <row r="64055" spans="16:16">
      <c r="P64055" s="2498"/>
    </row>
    <row r="64056" spans="16:16">
      <c r="P64056" s="2498"/>
    </row>
    <row r="64057" spans="16:16">
      <c r="P64057" s="2498"/>
    </row>
    <row r="64058" spans="16:16">
      <c r="P64058" s="2498"/>
    </row>
    <row r="64059" spans="16:16">
      <c r="P64059" s="2498"/>
    </row>
    <row r="64060" spans="16:16">
      <c r="P64060" s="2498"/>
    </row>
    <row r="64061" spans="16:16">
      <c r="P64061" s="2498"/>
    </row>
    <row r="64062" spans="16:16">
      <c r="P64062" s="2498"/>
    </row>
    <row r="64063" spans="16:16">
      <c r="P64063" s="2498"/>
    </row>
    <row r="64064" spans="16:16">
      <c r="P64064" s="2498"/>
    </row>
    <row r="64065" spans="16:16">
      <c r="P64065" s="2498"/>
    </row>
    <row r="64066" spans="16:16">
      <c r="P64066" s="2498"/>
    </row>
    <row r="64067" spans="16:16">
      <c r="P64067" s="2498"/>
    </row>
    <row r="64068" spans="16:16">
      <c r="P64068" s="2498"/>
    </row>
    <row r="64069" spans="16:16">
      <c r="P64069" s="2498"/>
    </row>
    <row r="64070" spans="16:16">
      <c r="P64070" s="2498"/>
    </row>
    <row r="64071" spans="16:16">
      <c r="P64071" s="2498"/>
    </row>
    <row r="64072" spans="16:16">
      <c r="P64072" s="2498"/>
    </row>
    <row r="64073" spans="16:16">
      <c r="P64073" s="2498"/>
    </row>
    <row r="64074" spans="16:16">
      <c r="P64074" s="2498"/>
    </row>
    <row r="64075" spans="16:16">
      <c r="P64075" s="2498"/>
    </row>
    <row r="64076" spans="16:16">
      <c r="P64076" s="2498"/>
    </row>
    <row r="64077" spans="16:16">
      <c r="P64077" s="2498"/>
    </row>
    <row r="64078" spans="16:16">
      <c r="P64078" s="2498"/>
    </row>
    <row r="64079" spans="16:16">
      <c r="P64079" s="2498"/>
    </row>
    <row r="64080" spans="16:16">
      <c r="P64080" s="2498"/>
    </row>
    <row r="64081" spans="16:16">
      <c r="P64081" s="2498"/>
    </row>
    <row r="64082" spans="16:16">
      <c r="P64082" s="2498"/>
    </row>
    <row r="64083" spans="16:16">
      <c r="P64083" s="2498"/>
    </row>
    <row r="64084" spans="16:16">
      <c r="P64084" s="2498"/>
    </row>
    <row r="64085" spans="16:16">
      <c r="P64085" s="2498"/>
    </row>
    <row r="64086" spans="16:16">
      <c r="P64086" s="2498"/>
    </row>
    <row r="64087" spans="16:16">
      <c r="P64087" s="2498"/>
    </row>
    <row r="64088" spans="16:16">
      <c r="P64088" s="2498"/>
    </row>
    <row r="64089" spans="16:16">
      <c r="P64089" s="2498"/>
    </row>
    <row r="64090" spans="16:16">
      <c r="P64090" s="2498"/>
    </row>
    <row r="64091" spans="16:16">
      <c r="P64091" s="2498"/>
    </row>
    <row r="64092" spans="16:16">
      <c r="P64092" s="2498"/>
    </row>
    <row r="64093" spans="16:16">
      <c r="P64093" s="2498"/>
    </row>
    <row r="64094" spans="16:16">
      <c r="P64094" s="2498"/>
    </row>
    <row r="64095" spans="16:16">
      <c r="P64095" s="2498"/>
    </row>
    <row r="64096" spans="16:16">
      <c r="P64096" s="2498"/>
    </row>
    <row r="64097" spans="16:16">
      <c r="P64097" s="2498"/>
    </row>
    <row r="64098" spans="16:16">
      <c r="P64098" s="2498"/>
    </row>
    <row r="64099" spans="16:16">
      <c r="P64099" s="2498"/>
    </row>
    <row r="64100" spans="16:16">
      <c r="P64100" s="2498"/>
    </row>
    <row r="64101" spans="16:16">
      <c r="P64101" s="2498"/>
    </row>
    <row r="64102" spans="16:16">
      <c r="P64102" s="2498"/>
    </row>
    <row r="64103" spans="16:16">
      <c r="P64103" s="2498"/>
    </row>
    <row r="64104" spans="16:16">
      <c r="P64104" s="2498"/>
    </row>
    <row r="64105" spans="16:16">
      <c r="P64105" s="2498"/>
    </row>
    <row r="64106" spans="16:16">
      <c r="P64106" s="2498"/>
    </row>
    <row r="64107" spans="16:16">
      <c r="P64107" s="2498"/>
    </row>
    <row r="64108" spans="16:16">
      <c r="P64108" s="2498"/>
    </row>
    <row r="64109" spans="16:16">
      <c r="P64109" s="2498"/>
    </row>
    <row r="64110" spans="16:16">
      <c r="P64110" s="2498"/>
    </row>
    <row r="64111" spans="16:16">
      <c r="P64111" s="2498"/>
    </row>
    <row r="64112" spans="16:16">
      <c r="P64112" s="2498"/>
    </row>
    <row r="64113" spans="16:16">
      <c r="P64113" s="2498"/>
    </row>
    <row r="64114" spans="16:16">
      <c r="P64114" s="2498"/>
    </row>
    <row r="64115" spans="16:16">
      <c r="P64115" s="2498"/>
    </row>
    <row r="64116" spans="16:16">
      <c r="P64116" s="2498"/>
    </row>
    <row r="64117" spans="16:16">
      <c r="P64117" s="2498"/>
    </row>
    <row r="64118" spans="16:16">
      <c r="P64118" s="2498"/>
    </row>
    <row r="64119" spans="16:16">
      <c r="P64119" s="2498"/>
    </row>
    <row r="64120" spans="16:16">
      <c r="P64120" s="2498"/>
    </row>
    <row r="64121" spans="16:16">
      <c r="P64121" s="2498"/>
    </row>
    <row r="64122" spans="16:16">
      <c r="P64122" s="2498"/>
    </row>
    <row r="64123" spans="16:16">
      <c r="P64123" s="2498"/>
    </row>
    <row r="64124" spans="16:16">
      <c r="P64124" s="2498"/>
    </row>
    <row r="64125" spans="16:16">
      <c r="P64125" s="2498"/>
    </row>
    <row r="64126" spans="16:16">
      <c r="P64126" s="2498"/>
    </row>
    <row r="64127" spans="16:16">
      <c r="P64127" s="2498"/>
    </row>
    <row r="64128" spans="16:16">
      <c r="P64128" s="2498"/>
    </row>
    <row r="64129" spans="16:16">
      <c r="P64129" s="2498"/>
    </row>
    <row r="64130" spans="16:16">
      <c r="P64130" s="2498"/>
    </row>
    <row r="64131" spans="16:16">
      <c r="P64131" s="2498"/>
    </row>
    <row r="64132" spans="16:16">
      <c r="P64132" s="2498"/>
    </row>
    <row r="64133" spans="16:16">
      <c r="P64133" s="2498"/>
    </row>
    <row r="64134" spans="16:16">
      <c r="P64134" s="2498"/>
    </row>
    <row r="64135" spans="16:16">
      <c r="P64135" s="2498"/>
    </row>
    <row r="64136" spans="16:16">
      <c r="P64136" s="2498"/>
    </row>
    <row r="64137" spans="16:16">
      <c r="P64137" s="2498"/>
    </row>
    <row r="64138" spans="16:16">
      <c r="P64138" s="2498"/>
    </row>
    <row r="64139" spans="16:16">
      <c r="P64139" s="2498"/>
    </row>
    <row r="64140" spans="16:16">
      <c r="P64140" s="2498"/>
    </row>
    <row r="64141" spans="16:16">
      <c r="P64141" s="2498"/>
    </row>
    <row r="64142" spans="16:16">
      <c r="P64142" s="2498"/>
    </row>
    <row r="64143" spans="16:16">
      <c r="P64143" s="2498"/>
    </row>
    <row r="64144" spans="16:16">
      <c r="P64144" s="2498"/>
    </row>
    <row r="64145" spans="16:16">
      <c r="P64145" s="2498"/>
    </row>
    <row r="64146" spans="16:16">
      <c r="P64146" s="2498"/>
    </row>
    <row r="64147" spans="16:16">
      <c r="P64147" s="2498"/>
    </row>
    <row r="64148" spans="16:16">
      <c r="P64148" s="2498"/>
    </row>
    <row r="64149" spans="16:16">
      <c r="P64149" s="2498"/>
    </row>
    <row r="64150" spans="16:16">
      <c r="P64150" s="2498"/>
    </row>
    <row r="64151" spans="16:16">
      <c r="P64151" s="2498"/>
    </row>
    <row r="64152" spans="16:16">
      <c r="P64152" s="2498"/>
    </row>
    <row r="64153" spans="16:16">
      <c r="P64153" s="2498"/>
    </row>
    <row r="64154" spans="16:16">
      <c r="P64154" s="2498"/>
    </row>
    <row r="64155" spans="16:16">
      <c r="P64155" s="2498"/>
    </row>
    <row r="64156" spans="16:16">
      <c r="P64156" s="2498"/>
    </row>
    <row r="64157" spans="16:16">
      <c r="P64157" s="2498"/>
    </row>
    <row r="64158" spans="16:16">
      <c r="P64158" s="2498"/>
    </row>
    <row r="64159" spans="16:16">
      <c r="P64159" s="2498"/>
    </row>
    <row r="64160" spans="16:16">
      <c r="P64160" s="2498"/>
    </row>
    <row r="64161" spans="16:16">
      <c r="P64161" s="2498"/>
    </row>
    <row r="64162" spans="16:16">
      <c r="P64162" s="2498"/>
    </row>
    <row r="64163" spans="16:16">
      <c r="P64163" s="2498"/>
    </row>
    <row r="64164" spans="16:16">
      <c r="P64164" s="2498"/>
    </row>
    <row r="64165" spans="16:16">
      <c r="P64165" s="2498"/>
    </row>
    <row r="64166" spans="16:16">
      <c r="P64166" s="2498"/>
    </row>
    <row r="64167" spans="16:16">
      <c r="P64167" s="2498"/>
    </row>
    <row r="64168" spans="16:16">
      <c r="P64168" s="2498"/>
    </row>
    <row r="64169" spans="16:16">
      <c r="P64169" s="2498"/>
    </row>
    <row r="64170" spans="16:16">
      <c r="P64170" s="2498"/>
    </row>
    <row r="64171" spans="16:16">
      <c r="P64171" s="2498"/>
    </row>
    <row r="64172" spans="16:16">
      <c r="P64172" s="2498"/>
    </row>
    <row r="64173" spans="16:16">
      <c r="P64173" s="2498"/>
    </row>
    <row r="64174" spans="16:16">
      <c r="P64174" s="2498"/>
    </row>
    <row r="64175" spans="16:16">
      <c r="P64175" s="2498"/>
    </row>
    <row r="64176" spans="16:16">
      <c r="P64176" s="2498"/>
    </row>
    <row r="64177" spans="16:16">
      <c r="P64177" s="2498"/>
    </row>
    <row r="64178" spans="16:16">
      <c r="P64178" s="2498"/>
    </row>
    <row r="64179" spans="16:16">
      <c r="P64179" s="2498"/>
    </row>
    <row r="64180" spans="16:16">
      <c r="P64180" s="2498"/>
    </row>
    <row r="64181" spans="16:16">
      <c r="P64181" s="2498"/>
    </row>
    <row r="64182" spans="16:16">
      <c r="P64182" s="2498"/>
    </row>
    <row r="64183" spans="16:16">
      <c r="P64183" s="2498"/>
    </row>
    <row r="64184" spans="16:16">
      <c r="P64184" s="2498"/>
    </row>
    <row r="64185" spans="16:16">
      <c r="P64185" s="2498"/>
    </row>
    <row r="64186" spans="16:16">
      <c r="P64186" s="2498"/>
    </row>
    <row r="64187" spans="16:16">
      <c r="P64187" s="2498"/>
    </row>
    <row r="64188" spans="16:16">
      <c r="P64188" s="2498"/>
    </row>
    <row r="64189" spans="16:16">
      <c r="P64189" s="2498"/>
    </row>
    <row r="64190" spans="16:16">
      <c r="P64190" s="2498"/>
    </row>
    <row r="64191" spans="16:16">
      <c r="P64191" s="2498"/>
    </row>
    <row r="64192" spans="16:16">
      <c r="P64192" s="2498"/>
    </row>
    <row r="64193" spans="16:16">
      <c r="P64193" s="2498"/>
    </row>
    <row r="64194" spans="16:16">
      <c r="P64194" s="2498"/>
    </row>
    <row r="64195" spans="16:16">
      <c r="P64195" s="2498"/>
    </row>
    <row r="64196" spans="16:16">
      <c r="P64196" s="2498"/>
    </row>
    <row r="64197" spans="16:16">
      <c r="P64197" s="2498"/>
    </row>
    <row r="64198" spans="16:16">
      <c r="P64198" s="2498"/>
    </row>
    <row r="64199" spans="16:16">
      <c r="P64199" s="2498"/>
    </row>
    <row r="64200" spans="16:16">
      <c r="P64200" s="2498"/>
    </row>
    <row r="64201" spans="16:16">
      <c r="P64201" s="2498"/>
    </row>
    <row r="64202" spans="16:16">
      <c r="P64202" s="2498"/>
    </row>
    <row r="64203" spans="16:16">
      <c r="P64203" s="2498"/>
    </row>
    <row r="64204" spans="16:16">
      <c r="P64204" s="2498"/>
    </row>
    <row r="64205" spans="16:16">
      <c r="P64205" s="2498"/>
    </row>
    <row r="64206" spans="16:16">
      <c r="P64206" s="2498"/>
    </row>
    <row r="64207" spans="16:16">
      <c r="P64207" s="2498"/>
    </row>
    <row r="64208" spans="16:16">
      <c r="P64208" s="2498"/>
    </row>
    <row r="64209" spans="16:16">
      <c r="P64209" s="2498"/>
    </row>
    <row r="64210" spans="16:16">
      <c r="P64210" s="2498"/>
    </row>
    <row r="64211" spans="16:16">
      <c r="P64211" s="2498"/>
    </row>
    <row r="64212" spans="16:16">
      <c r="P64212" s="2498"/>
    </row>
    <row r="64213" spans="16:16">
      <c r="P64213" s="2498"/>
    </row>
    <row r="64214" spans="16:16">
      <c r="P64214" s="2498"/>
    </row>
    <row r="64215" spans="16:16">
      <c r="P64215" s="2498"/>
    </row>
    <row r="64216" spans="16:16">
      <c r="P64216" s="2498"/>
    </row>
    <row r="64217" spans="16:16">
      <c r="P64217" s="2498"/>
    </row>
    <row r="64218" spans="16:16">
      <c r="P64218" s="2498"/>
    </row>
    <row r="64219" spans="16:16">
      <c r="P64219" s="2498"/>
    </row>
    <row r="64220" spans="16:16">
      <c r="P64220" s="2498"/>
    </row>
    <row r="64221" spans="16:16">
      <c r="P64221" s="2498"/>
    </row>
    <row r="64222" spans="16:16">
      <c r="P64222" s="2498"/>
    </row>
    <row r="64223" spans="16:16">
      <c r="P64223" s="2498"/>
    </row>
    <row r="64224" spans="16:16">
      <c r="P64224" s="2498"/>
    </row>
    <row r="64225" spans="16:16">
      <c r="P64225" s="2498"/>
    </row>
    <row r="64226" spans="16:16">
      <c r="P64226" s="2498"/>
    </row>
    <row r="64227" spans="16:16">
      <c r="P64227" s="2498"/>
    </row>
    <row r="64228" spans="16:16">
      <c r="P64228" s="2498"/>
    </row>
    <row r="64229" spans="16:16">
      <c r="P64229" s="2498"/>
    </row>
    <row r="64230" spans="16:16">
      <c r="P64230" s="2498"/>
    </row>
    <row r="64231" spans="16:16">
      <c r="P64231" s="2498"/>
    </row>
    <row r="64232" spans="16:16">
      <c r="P64232" s="2498"/>
    </row>
    <row r="64233" spans="16:16">
      <c r="P64233" s="2498"/>
    </row>
    <row r="64234" spans="16:16">
      <c r="P64234" s="2498"/>
    </row>
    <row r="64235" spans="16:16">
      <c r="P64235" s="2498"/>
    </row>
    <row r="64236" spans="16:16">
      <c r="P64236" s="2498"/>
    </row>
    <row r="64237" spans="16:16">
      <c r="P64237" s="2498"/>
    </row>
    <row r="64238" spans="16:16">
      <c r="P64238" s="2498"/>
    </row>
    <row r="64239" spans="16:16">
      <c r="P64239" s="2498"/>
    </row>
    <row r="64240" spans="16:16">
      <c r="P64240" s="2498"/>
    </row>
    <row r="64241" spans="16:16">
      <c r="P64241" s="2498"/>
    </row>
    <row r="64242" spans="16:16">
      <c r="P64242" s="2498"/>
    </row>
    <row r="64243" spans="16:16">
      <c r="P64243" s="2498"/>
    </row>
    <row r="64244" spans="16:16">
      <c r="P64244" s="2498"/>
    </row>
    <row r="64245" spans="16:16">
      <c r="P64245" s="2498"/>
    </row>
    <row r="64246" spans="16:16">
      <c r="P64246" s="2498"/>
    </row>
    <row r="64247" spans="16:16">
      <c r="P64247" s="2498"/>
    </row>
    <row r="64248" spans="16:16">
      <c r="P64248" s="2498"/>
    </row>
    <row r="64249" spans="16:16">
      <c r="P64249" s="2498"/>
    </row>
    <row r="64250" spans="16:16">
      <c r="P64250" s="2498"/>
    </row>
    <row r="64251" spans="16:16">
      <c r="P64251" s="2498"/>
    </row>
    <row r="64252" spans="16:16">
      <c r="P64252" s="2498"/>
    </row>
    <row r="64253" spans="16:16">
      <c r="P64253" s="2498"/>
    </row>
    <row r="64254" spans="16:16">
      <c r="P64254" s="2498"/>
    </row>
    <row r="64255" spans="16:16">
      <c r="P64255" s="2498"/>
    </row>
    <row r="64256" spans="16:16">
      <c r="P64256" s="2498"/>
    </row>
    <row r="64257" spans="16:16">
      <c r="P64257" s="2498"/>
    </row>
    <row r="64258" spans="16:16">
      <c r="P64258" s="2498"/>
    </row>
    <row r="64259" spans="16:16">
      <c r="P64259" s="2498"/>
    </row>
    <row r="64260" spans="16:16">
      <c r="P64260" s="2498"/>
    </row>
    <row r="64261" spans="16:16">
      <c r="P64261" s="2498"/>
    </row>
    <row r="64262" spans="16:16">
      <c r="P64262" s="2498"/>
    </row>
    <row r="64263" spans="16:16">
      <c r="P64263" s="2498"/>
    </row>
    <row r="64264" spans="16:16">
      <c r="P64264" s="2498"/>
    </row>
    <row r="64265" spans="16:16">
      <c r="P64265" s="2498"/>
    </row>
    <row r="64266" spans="16:16">
      <c r="P64266" s="2498"/>
    </row>
    <row r="64267" spans="16:16">
      <c r="P64267" s="2498"/>
    </row>
    <row r="64268" spans="16:16">
      <c r="P64268" s="2498"/>
    </row>
    <row r="64269" spans="16:16">
      <c r="P64269" s="2498"/>
    </row>
    <row r="64270" spans="16:16">
      <c r="P64270" s="2498"/>
    </row>
    <row r="64271" spans="16:16">
      <c r="P64271" s="2498"/>
    </row>
    <row r="64272" spans="16:16">
      <c r="P64272" s="2498"/>
    </row>
    <row r="64273" spans="16:16">
      <c r="P64273" s="2498"/>
    </row>
    <row r="64274" spans="16:16">
      <c r="P64274" s="2498"/>
    </row>
    <row r="64275" spans="16:16">
      <c r="P64275" s="2498"/>
    </row>
    <row r="64276" spans="16:16">
      <c r="P64276" s="2498"/>
    </row>
    <row r="64277" spans="16:16">
      <c r="P64277" s="2498"/>
    </row>
    <row r="64278" spans="16:16">
      <c r="P64278" s="2498"/>
    </row>
    <row r="64279" spans="16:16">
      <c r="P64279" s="2498"/>
    </row>
    <row r="64280" spans="16:16">
      <c r="P64280" s="2498"/>
    </row>
    <row r="64281" spans="16:16">
      <c r="P64281" s="2498"/>
    </row>
    <row r="64282" spans="16:16">
      <c r="P64282" s="2498"/>
    </row>
    <row r="64283" spans="16:16">
      <c r="P64283" s="2498"/>
    </row>
    <row r="64284" spans="16:16">
      <c r="P64284" s="2498"/>
    </row>
    <row r="64285" spans="16:16">
      <c r="P64285" s="2498"/>
    </row>
    <row r="64286" spans="16:16">
      <c r="P64286" s="2498"/>
    </row>
    <row r="64287" spans="16:16">
      <c r="P64287" s="2498"/>
    </row>
    <row r="64288" spans="16:16">
      <c r="P64288" s="2498"/>
    </row>
    <row r="64289" spans="16:16">
      <c r="P64289" s="2498"/>
    </row>
    <row r="64290" spans="16:16">
      <c r="P64290" s="2498"/>
    </row>
    <row r="64291" spans="16:16">
      <c r="P64291" s="2498"/>
    </row>
    <row r="64292" spans="16:16">
      <c r="P64292" s="2498"/>
    </row>
    <row r="64293" spans="16:16">
      <c r="P64293" s="2498"/>
    </row>
    <row r="64294" spans="16:16">
      <c r="P64294" s="2498"/>
    </row>
    <row r="64295" spans="16:16">
      <c r="P64295" s="2498"/>
    </row>
    <row r="64296" spans="16:16">
      <c r="P64296" s="2498"/>
    </row>
    <row r="64297" spans="16:16">
      <c r="P64297" s="2498"/>
    </row>
    <row r="64298" spans="16:16">
      <c r="P64298" s="2498"/>
    </row>
    <row r="64299" spans="16:16">
      <c r="P64299" s="2498"/>
    </row>
    <row r="64300" spans="16:16">
      <c r="P64300" s="2498"/>
    </row>
    <row r="64301" spans="16:16">
      <c r="P64301" s="2498"/>
    </row>
    <row r="64302" spans="16:16">
      <c r="P64302" s="2498"/>
    </row>
    <row r="64303" spans="16:16">
      <c r="P64303" s="2498"/>
    </row>
    <row r="64304" spans="16:16">
      <c r="P64304" s="2498"/>
    </row>
    <row r="64305" spans="16:16">
      <c r="P64305" s="2498"/>
    </row>
    <row r="64306" spans="16:16">
      <c r="P64306" s="2498"/>
    </row>
    <row r="64307" spans="16:16">
      <c r="P64307" s="2498"/>
    </row>
    <row r="64308" spans="16:16">
      <c r="P64308" s="2498"/>
    </row>
    <row r="64309" spans="16:16">
      <c r="P64309" s="2498"/>
    </row>
    <row r="64310" spans="16:16">
      <c r="P64310" s="2498"/>
    </row>
    <row r="64311" spans="16:16">
      <c r="P64311" s="2498"/>
    </row>
    <row r="64312" spans="16:16">
      <c r="P64312" s="2498"/>
    </row>
    <row r="64313" spans="16:16">
      <c r="P64313" s="2498"/>
    </row>
    <row r="64314" spans="16:16">
      <c r="P64314" s="2498"/>
    </row>
    <row r="64315" spans="16:16">
      <c r="P64315" s="2498"/>
    </row>
    <row r="64316" spans="16:16">
      <c r="P64316" s="2498"/>
    </row>
    <row r="64317" spans="16:16">
      <c r="P64317" s="2498"/>
    </row>
    <row r="64318" spans="16:16">
      <c r="P64318" s="2498"/>
    </row>
    <row r="64319" spans="16:16">
      <c r="P64319" s="2498"/>
    </row>
    <row r="64320" spans="16:16">
      <c r="P64320" s="2498"/>
    </row>
    <row r="64321" spans="16:16">
      <c r="P64321" s="2498"/>
    </row>
    <row r="64322" spans="16:16">
      <c r="P64322" s="2498"/>
    </row>
    <row r="64323" spans="16:16">
      <c r="P64323" s="2498"/>
    </row>
    <row r="64324" spans="16:16">
      <c r="P64324" s="2498"/>
    </row>
    <row r="64325" spans="16:16">
      <c r="P64325" s="2498"/>
    </row>
    <row r="64326" spans="16:16">
      <c r="P64326" s="2498"/>
    </row>
    <row r="64327" spans="16:16">
      <c r="P64327" s="2498"/>
    </row>
    <row r="64328" spans="16:16">
      <c r="P64328" s="2498"/>
    </row>
    <row r="64329" spans="16:16">
      <c r="P64329" s="2498"/>
    </row>
    <row r="64330" spans="16:16">
      <c r="P64330" s="2498"/>
    </row>
    <row r="64331" spans="16:16">
      <c r="P64331" s="2498"/>
    </row>
    <row r="64332" spans="16:16">
      <c r="P64332" s="2498"/>
    </row>
    <row r="64333" spans="16:16">
      <c r="P64333" s="2498"/>
    </row>
    <row r="64334" spans="16:16">
      <c r="P64334" s="2498"/>
    </row>
    <row r="64335" spans="16:16">
      <c r="P64335" s="2498"/>
    </row>
    <row r="64336" spans="16:16">
      <c r="P64336" s="2498"/>
    </row>
    <row r="64337" spans="16:16">
      <c r="P64337" s="2498"/>
    </row>
    <row r="64338" spans="16:16">
      <c r="P64338" s="2498"/>
    </row>
    <row r="64339" spans="16:16">
      <c r="P64339" s="2498"/>
    </row>
    <row r="64340" spans="16:16">
      <c r="P64340" s="2498"/>
    </row>
    <row r="64341" spans="16:16">
      <c r="P64341" s="2498"/>
    </row>
    <row r="64342" spans="16:16">
      <c r="P64342" s="2498"/>
    </row>
    <row r="64343" spans="16:16">
      <c r="P64343" s="2498"/>
    </row>
    <row r="64344" spans="16:16">
      <c r="P64344" s="2498"/>
    </row>
    <row r="64345" spans="16:16">
      <c r="P64345" s="2498"/>
    </row>
    <row r="64346" spans="16:16">
      <c r="P64346" s="2498"/>
    </row>
    <row r="64347" spans="16:16">
      <c r="P64347" s="2498"/>
    </row>
    <row r="64348" spans="16:16">
      <c r="P64348" s="2498"/>
    </row>
    <row r="64349" spans="16:16">
      <c r="P64349" s="2498"/>
    </row>
    <row r="64350" spans="16:16">
      <c r="P64350" s="2498"/>
    </row>
    <row r="64351" spans="16:16">
      <c r="P64351" s="2498"/>
    </row>
    <row r="64352" spans="16:16">
      <c r="P64352" s="2498"/>
    </row>
    <row r="64353" spans="16:16">
      <c r="P64353" s="2498"/>
    </row>
    <row r="64354" spans="16:16">
      <c r="P64354" s="2498"/>
    </row>
    <row r="64355" spans="16:16">
      <c r="P64355" s="2498"/>
    </row>
    <row r="64356" spans="16:16">
      <c r="P64356" s="2498"/>
    </row>
    <row r="64357" spans="16:16">
      <c r="P64357" s="2498"/>
    </row>
    <row r="64358" spans="16:16">
      <c r="P64358" s="2498"/>
    </row>
    <row r="64359" spans="16:16">
      <c r="P64359" s="2498"/>
    </row>
    <row r="64360" spans="16:16">
      <c r="P64360" s="2498"/>
    </row>
    <row r="64361" spans="16:16">
      <c r="P64361" s="2498"/>
    </row>
    <row r="64362" spans="16:16">
      <c r="P64362" s="2498"/>
    </row>
    <row r="64363" spans="16:16">
      <c r="P64363" s="2498"/>
    </row>
    <row r="64364" spans="16:16">
      <c r="P64364" s="2498"/>
    </row>
    <row r="64365" spans="16:16">
      <c r="P64365" s="2498"/>
    </row>
    <row r="64366" spans="16:16">
      <c r="P64366" s="2498"/>
    </row>
    <row r="64367" spans="16:16">
      <c r="P64367" s="2498"/>
    </row>
    <row r="64368" spans="16:16">
      <c r="P64368" s="2498"/>
    </row>
    <row r="64369" spans="16:16">
      <c r="P64369" s="2498"/>
    </row>
    <row r="64370" spans="16:16">
      <c r="P64370" s="2498"/>
    </row>
    <row r="64371" spans="16:16">
      <c r="P64371" s="2498"/>
    </row>
    <row r="64372" spans="16:16">
      <c r="P64372" s="2498"/>
    </row>
    <row r="64373" spans="16:16">
      <c r="P64373" s="2498"/>
    </row>
    <row r="64374" spans="16:16">
      <c r="P64374" s="2498"/>
    </row>
    <row r="64375" spans="16:16">
      <c r="P64375" s="2498"/>
    </row>
    <row r="64376" spans="16:16">
      <c r="P64376" s="2498"/>
    </row>
    <row r="64377" spans="16:16">
      <c r="P64377" s="2498"/>
    </row>
    <row r="64378" spans="16:16">
      <c r="P64378" s="2498"/>
    </row>
    <row r="64379" spans="16:16">
      <c r="P64379" s="2498"/>
    </row>
    <row r="64380" spans="16:16">
      <c r="P64380" s="2498"/>
    </row>
    <row r="64381" spans="16:16">
      <c r="P64381" s="2498"/>
    </row>
    <row r="64382" spans="16:16">
      <c r="P64382" s="2498"/>
    </row>
    <row r="64383" spans="16:16">
      <c r="P64383" s="2498"/>
    </row>
    <row r="64384" spans="16:16">
      <c r="P64384" s="2498"/>
    </row>
    <row r="64385" spans="16:16">
      <c r="P64385" s="2498"/>
    </row>
    <row r="64386" spans="16:16">
      <c r="P64386" s="2498"/>
    </row>
    <row r="64387" spans="16:16">
      <c r="P64387" s="2498"/>
    </row>
    <row r="64388" spans="16:16">
      <c r="P64388" s="2498"/>
    </row>
    <row r="64389" spans="16:16">
      <c r="P64389" s="2498"/>
    </row>
    <row r="64390" spans="16:16">
      <c r="P64390" s="2498"/>
    </row>
    <row r="64391" spans="16:16">
      <c r="P64391" s="2498"/>
    </row>
    <row r="64392" spans="16:16">
      <c r="P64392" s="2498"/>
    </row>
    <row r="64393" spans="16:16">
      <c r="P64393" s="2498"/>
    </row>
    <row r="64394" spans="16:16">
      <c r="P64394" s="2498"/>
    </row>
    <row r="64395" spans="16:16">
      <c r="P64395" s="2498"/>
    </row>
    <row r="64396" spans="16:16">
      <c r="P64396" s="2498"/>
    </row>
    <row r="64397" spans="16:16">
      <c r="P64397" s="2498"/>
    </row>
    <row r="64398" spans="16:16">
      <c r="P64398" s="2498"/>
    </row>
    <row r="64399" spans="16:16">
      <c r="P64399" s="2498"/>
    </row>
    <row r="64400" spans="16:16">
      <c r="P64400" s="2498"/>
    </row>
    <row r="64401" spans="16:16">
      <c r="P64401" s="2498"/>
    </row>
    <row r="64402" spans="16:16">
      <c r="P64402" s="2498"/>
    </row>
    <row r="64403" spans="16:16">
      <c r="P64403" s="2498"/>
    </row>
    <row r="64404" spans="16:16">
      <c r="P64404" s="2498"/>
    </row>
    <row r="64405" spans="16:16">
      <c r="P64405" s="2498"/>
    </row>
    <row r="64406" spans="16:16">
      <c r="P64406" s="2498"/>
    </row>
    <row r="64407" spans="16:16">
      <c r="P64407" s="2498"/>
    </row>
    <row r="64408" spans="16:16">
      <c r="P64408" s="2498"/>
    </row>
    <row r="64409" spans="16:16">
      <c r="P64409" s="2498"/>
    </row>
    <row r="64410" spans="16:16">
      <c r="P64410" s="2498"/>
    </row>
    <row r="64411" spans="16:16">
      <c r="P64411" s="2498"/>
    </row>
    <row r="64412" spans="16:16">
      <c r="P64412" s="2498"/>
    </row>
    <row r="64413" spans="16:16">
      <c r="P64413" s="2498"/>
    </row>
    <row r="64414" spans="16:16">
      <c r="P64414" s="2498"/>
    </row>
    <row r="64415" spans="16:16">
      <c r="P64415" s="2498"/>
    </row>
    <row r="64416" spans="16:16">
      <c r="P64416" s="2498"/>
    </row>
    <row r="64417" spans="16:16">
      <c r="P64417" s="2498"/>
    </row>
    <row r="64418" spans="16:16">
      <c r="P64418" s="2498"/>
    </row>
    <row r="64419" spans="16:16">
      <c r="P64419" s="2498"/>
    </row>
    <row r="64420" spans="16:16">
      <c r="P64420" s="2498"/>
    </row>
    <row r="64421" spans="16:16">
      <c r="P64421" s="2498"/>
    </row>
    <row r="64422" spans="16:16">
      <c r="P64422" s="2498"/>
    </row>
    <row r="64423" spans="16:16">
      <c r="P64423" s="2498"/>
    </row>
    <row r="64424" spans="16:16">
      <c r="P64424" s="2498"/>
    </row>
    <row r="64425" spans="16:16">
      <c r="P64425" s="2498"/>
    </row>
    <row r="64426" spans="16:16">
      <c r="P64426" s="2498"/>
    </row>
    <row r="64427" spans="16:16">
      <c r="P64427" s="2498"/>
    </row>
    <row r="64428" spans="16:16">
      <c r="P64428" s="2498"/>
    </row>
    <row r="64429" spans="16:16">
      <c r="P64429" s="2498"/>
    </row>
    <row r="64430" spans="16:16">
      <c r="P64430" s="2498"/>
    </row>
    <row r="64431" spans="16:16">
      <c r="P64431" s="2498"/>
    </row>
    <row r="64432" spans="16:16">
      <c r="P64432" s="2498"/>
    </row>
    <row r="64433" spans="16:16">
      <c r="P64433" s="2498"/>
    </row>
    <row r="64434" spans="16:16">
      <c r="P64434" s="2498"/>
    </row>
    <row r="64435" spans="16:16">
      <c r="P64435" s="2498"/>
    </row>
    <row r="64436" spans="16:16">
      <c r="P64436" s="2498"/>
    </row>
    <row r="64437" spans="16:16">
      <c r="P64437" s="2498"/>
    </row>
    <row r="64438" spans="16:16">
      <c r="P64438" s="2498"/>
    </row>
    <row r="64439" spans="16:16">
      <c r="P64439" s="2498"/>
    </row>
    <row r="64440" spans="16:16">
      <c r="P64440" s="2498"/>
    </row>
    <row r="64441" spans="16:16">
      <c r="P64441" s="2498"/>
    </row>
    <row r="64442" spans="16:16">
      <c r="P64442" s="2498"/>
    </row>
    <row r="64443" spans="16:16">
      <c r="P64443" s="2498"/>
    </row>
    <row r="64444" spans="16:16">
      <c r="P64444" s="2498"/>
    </row>
    <row r="64445" spans="16:16">
      <c r="P64445" s="2498"/>
    </row>
    <row r="64446" spans="16:16">
      <c r="P64446" s="2498"/>
    </row>
    <row r="64447" spans="16:16">
      <c r="P64447" s="2498"/>
    </row>
    <row r="64448" spans="16:16">
      <c r="P64448" s="2498"/>
    </row>
    <row r="64449" spans="16:16">
      <c r="P64449" s="2498"/>
    </row>
    <row r="64450" spans="16:16">
      <c r="P64450" s="2498"/>
    </row>
    <row r="64451" spans="16:16">
      <c r="P64451" s="2498"/>
    </row>
    <row r="64452" spans="16:16">
      <c r="P64452" s="2498"/>
    </row>
    <row r="64453" spans="16:16">
      <c r="P64453" s="2498"/>
    </row>
    <row r="64454" spans="16:16">
      <c r="P64454" s="2498"/>
    </row>
    <row r="64455" spans="16:16">
      <c r="P64455" s="2498"/>
    </row>
    <row r="64456" spans="16:16">
      <c r="P64456" s="2498"/>
    </row>
    <row r="64457" spans="16:16">
      <c r="P64457" s="2498"/>
    </row>
    <row r="64458" spans="16:16">
      <c r="P64458" s="2498"/>
    </row>
    <row r="64459" spans="16:16">
      <c r="P64459" s="2498"/>
    </row>
    <row r="64460" spans="16:16">
      <c r="P64460" s="2498"/>
    </row>
    <row r="64461" spans="16:16">
      <c r="P64461" s="2498"/>
    </row>
    <row r="64462" spans="16:16">
      <c r="P64462" s="2498"/>
    </row>
    <row r="64463" spans="16:16">
      <c r="P64463" s="2498"/>
    </row>
    <row r="64464" spans="16:16">
      <c r="P64464" s="2498"/>
    </row>
    <row r="64465" spans="16:16">
      <c r="P64465" s="2498"/>
    </row>
    <row r="64466" spans="16:16">
      <c r="P64466" s="2498"/>
    </row>
    <row r="64467" spans="16:16">
      <c r="P64467" s="2498"/>
    </row>
    <row r="64468" spans="16:16">
      <c r="P64468" s="2498"/>
    </row>
    <row r="64469" spans="16:16">
      <c r="P64469" s="2498"/>
    </row>
    <row r="64470" spans="16:16">
      <c r="P64470" s="2498"/>
    </row>
    <row r="64471" spans="16:16">
      <c r="P64471" s="2498"/>
    </row>
    <row r="64472" spans="16:16">
      <c r="P64472" s="2498"/>
    </row>
    <row r="64473" spans="16:16">
      <c r="P64473" s="2498"/>
    </row>
    <row r="64474" spans="16:16">
      <c r="P64474" s="2498"/>
    </row>
    <row r="64475" spans="16:16">
      <c r="P64475" s="2498"/>
    </row>
    <row r="64476" spans="16:16">
      <c r="P64476" s="2498"/>
    </row>
    <row r="64477" spans="16:16">
      <c r="P64477" s="2498"/>
    </row>
    <row r="64478" spans="16:16">
      <c r="P64478" s="2498"/>
    </row>
    <row r="64479" spans="16:16">
      <c r="P64479" s="2498"/>
    </row>
    <row r="64480" spans="16:16">
      <c r="P64480" s="2498"/>
    </row>
    <row r="64481" spans="16:16">
      <c r="P64481" s="2498"/>
    </row>
    <row r="64482" spans="16:16">
      <c r="P64482" s="2498"/>
    </row>
    <row r="64483" spans="16:16">
      <c r="P64483" s="2498"/>
    </row>
    <row r="64484" spans="16:16">
      <c r="P64484" s="2498"/>
    </row>
    <row r="64485" spans="16:16">
      <c r="P64485" s="2498"/>
    </row>
    <row r="64486" spans="16:16">
      <c r="P64486" s="2498"/>
    </row>
    <row r="64487" spans="16:16">
      <c r="P64487" s="2498"/>
    </row>
    <row r="64488" spans="16:16">
      <c r="P64488" s="2498"/>
    </row>
    <row r="64489" spans="16:16">
      <c r="P64489" s="2498"/>
    </row>
    <row r="64490" spans="16:16">
      <c r="P64490" s="2498"/>
    </row>
    <row r="64491" spans="16:16">
      <c r="P64491" s="2498"/>
    </row>
    <row r="64492" spans="16:16">
      <c r="P64492" s="2498"/>
    </row>
    <row r="64493" spans="16:16">
      <c r="P64493" s="2498"/>
    </row>
    <row r="64494" spans="16:16">
      <c r="P64494" s="2498"/>
    </row>
    <row r="64495" spans="16:16">
      <c r="P64495" s="2498"/>
    </row>
    <row r="64496" spans="16:16">
      <c r="P64496" s="2498"/>
    </row>
    <row r="64497" spans="16:16">
      <c r="P64497" s="2498"/>
    </row>
    <row r="64498" spans="16:16">
      <c r="P64498" s="2498"/>
    </row>
    <row r="64499" spans="16:16">
      <c r="P64499" s="2498"/>
    </row>
    <row r="64500" spans="16:16">
      <c r="P64500" s="2498"/>
    </row>
    <row r="64501" spans="16:16">
      <c r="P64501" s="2498"/>
    </row>
    <row r="64502" spans="16:16">
      <c r="P64502" s="2498"/>
    </row>
    <row r="64503" spans="16:16">
      <c r="P64503" s="2498"/>
    </row>
    <row r="64504" spans="16:16">
      <c r="P64504" s="2498"/>
    </row>
    <row r="64505" spans="16:16">
      <c r="P64505" s="2498"/>
    </row>
    <row r="64506" spans="16:16">
      <c r="P64506" s="2498"/>
    </row>
    <row r="64507" spans="16:16">
      <c r="P64507" s="2498"/>
    </row>
    <row r="64508" spans="16:16">
      <c r="P64508" s="2498"/>
    </row>
    <row r="64509" spans="16:16">
      <c r="P64509" s="2498"/>
    </row>
    <row r="64510" spans="16:16">
      <c r="P64510" s="2498"/>
    </row>
    <row r="64511" spans="16:16">
      <c r="P64511" s="2498"/>
    </row>
    <row r="64512" spans="16:16">
      <c r="P64512" s="2498"/>
    </row>
    <row r="64513" spans="16:16">
      <c r="P64513" s="2498"/>
    </row>
    <row r="64514" spans="16:16">
      <c r="P64514" s="2498"/>
    </row>
    <row r="64515" spans="16:16">
      <c r="P64515" s="2498"/>
    </row>
    <row r="64516" spans="16:16">
      <c r="P64516" s="2498"/>
    </row>
    <row r="64517" spans="16:16">
      <c r="P64517" s="2498"/>
    </row>
    <row r="64518" spans="16:16">
      <c r="P64518" s="2498"/>
    </row>
    <row r="64519" spans="16:16">
      <c r="P64519" s="2498"/>
    </row>
    <row r="64520" spans="16:16">
      <c r="P64520" s="2498"/>
    </row>
    <row r="64521" spans="16:16">
      <c r="P64521" s="2498"/>
    </row>
    <row r="64522" spans="16:16">
      <c r="P64522" s="2498"/>
    </row>
    <row r="64523" spans="16:16">
      <c r="P64523" s="2498"/>
    </row>
    <row r="64524" spans="16:16">
      <c r="P64524" s="2498"/>
    </row>
    <row r="64525" spans="16:16">
      <c r="P64525" s="2498"/>
    </row>
    <row r="64526" spans="16:16">
      <c r="P64526" s="2498"/>
    </row>
    <row r="64527" spans="16:16">
      <c r="P64527" s="2498"/>
    </row>
    <row r="64528" spans="16:16">
      <c r="P64528" s="2498"/>
    </row>
    <row r="64529" spans="16:16">
      <c r="P64529" s="2498"/>
    </row>
    <row r="64530" spans="16:16">
      <c r="P64530" s="2498"/>
    </row>
    <row r="64531" spans="16:16">
      <c r="P64531" s="2498"/>
    </row>
    <row r="64532" spans="16:16">
      <c r="P64532" s="2498"/>
    </row>
    <row r="64533" spans="16:16">
      <c r="P64533" s="2498"/>
    </row>
    <row r="64534" spans="16:16">
      <c r="P64534" s="2498"/>
    </row>
    <row r="64535" spans="16:16">
      <c r="P64535" s="2498"/>
    </row>
    <row r="64536" spans="16:16">
      <c r="P64536" s="2498"/>
    </row>
    <row r="64537" spans="16:16">
      <c r="P64537" s="2498"/>
    </row>
    <row r="64538" spans="16:16">
      <c r="P64538" s="2498"/>
    </row>
    <row r="64539" spans="16:16">
      <c r="P64539" s="2498"/>
    </row>
    <row r="64540" spans="16:16">
      <c r="P64540" s="2498"/>
    </row>
    <row r="64541" spans="16:16">
      <c r="P64541" s="2498"/>
    </row>
    <row r="64542" spans="16:16">
      <c r="P64542" s="2498"/>
    </row>
    <row r="64543" spans="16:16">
      <c r="P64543" s="2498"/>
    </row>
    <row r="64544" spans="16:16">
      <c r="P64544" s="2498"/>
    </row>
    <row r="64545" spans="16:16">
      <c r="P64545" s="2498"/>
    </row>
    <row r="64546" spans="16:16">
      <c r="P64546" s="2498"/>
    </row>
    <row r="64547" spans="16:16">
      <c r="P64547" s="2498"/>
    </row>
    <row r="64548" spans="16:16">
      <c r="P64548" s="2498"/>
    </row>
    <row r="64549" spans="16:16">
      <c r="P64549" s="2498"/>
    </row>
    <row r="64550" spans="16:16">
      <c r="P64550" s="2498"/>
    </row>
    <row r="64551" spans="16:16">
      <c r="P64551" s="2498"/>
    </row>
    <row r="64552" spans="16:16">
      <c r="P64552" s="2498"/>
    </row>
    <row r="64553" spans="16:16">
      <c r="P64553" s="2498"/>
    </row>
    <row r="64554" spans="16:16">
      <c r="P64554" s="2498"/>
    </row>
    <row r="64555" spans="16:16">
      <c r="P64555" s="2498"/>
    </row>
    <row r="64556" spans="16:16">
      <c r="P64556" s="2498"/>
    </row>
    <row r="64557" spans="16:16">
      <c r="P64557" s="2498"/>
    </row>
    <row r="64558" spans="16:16">
      <c r="P64558" s="2498"/>
    </row>
    <row r="64559" spans="16:16">
      <c r="P64559" s="2498"/>
    </row>
    <row r="64560" spans="16:16">
      <c r="P64560" s="2498"/>
    </row>
    <row r="64561" spans="16:16">
      <c r="P64561" s="2498"/>
    </row>
    <row r="64562" spans="16:16">
      <c r="P64562" s="2498"/>
    </row>
    <row r="64563" spans="16:16">
      <c r="P64563" s="2498"/>
    </row>
    <row r="64564" spans="16:16">
      <c r="P64564" s="2498"/>
    </row>
    <row r="64565" spans="16:16">
      <c r="P64565" s="2498"/>
    </row>
    <row r="64566" spans="16:16">
      <c r="P64566" s="2498"/>
    </row>
    <row r="64567" spans="16:16">
      <c r="P64567" s="2498"/>
    </row>
    <row r="64568" spans="16:16">
      <c r="P64568" s="2498"/>
    </row>
    <row r="64569" spans="16:16">
      <c r="P64569" s="2498"/>
    </row>
    <row r="64570" spans="16:16">
      <c r="P64570" s="2498"/>
    </row>
    <row r="64571" spans="16:16">
      <c r="P64571" s="2498"/>
    </row>
    <row r="64572" spans="16:16">
      <c r="P64572" s="2498"/>
    </row>
    <row r="64573" spans="16:16">
      <c r="P64573" s="2498"/>
    </row>
    <row r="64574" spans="16:16">
      <c r="P64574" s="2498"/>
    </row>
    <row r="64575" spans="16:16">
      <c r="P64575" s="2498"/>
    </row>
    <row r="64576" spans="16:16">
      <c r="P64576" s="2498"/>
    </row>
    <row r="64577" spans="16:16">
      <c r="P64577" s="2498"/>
    </row>
    <row r="64578" spans="16:16">
      <c r="P64578" s="2498"/>
    </row>
    <row r="64579" spans="16:16">
      <c r="P64579" s="2498"/>
    </row>
    <row r="64580" spans="16:16">
      <c r="P64580" s="2498"/>
    </row>
    <row r="64581" spans="16:16">
      <c r="P64581" s="2498"/>
    </row>
    <row r="64582" spans="16:16">
      <c r="P64582" s="2498"/>
    </row>
    <row r="64583" spans="16:16">
      <c r="P64583" s="2498"/>
    </row>
    <row r="64584" spans="16:16">
      <c r="P64584" s="2498"/>
    </row>
    <row r="64585" spans="16:16">
      <c r="P64585" s="2498"/>
    </row>
    <row r="64586" spans="16:16">
      <c r="P64586" s="2498"/>
    </row>
    <row r="64587" spans="16:16">
      <c r="P64587" s="2498"/>
    </row>
    <row r="64588" spans="16:16">
      <c r="P64588" s="2498"/>
    </row>
    <row r="64589" spans="16:16">
      <c r="P64589" s="2498"/>
    </row>
    <row r="64590" spans="16:16">
      <c r="P64590" s="2498"/>
    </row>
    <row r="64591" spans="16:16">
      <c r="P64591" s="2498"/>
    </row>
    <row r="64592" spans="16:16">
      <c r="P64592" s="2498"/>
    </row>
    <row r="64593" spans="16:16">
      <c r="P64593" s="2498"/>
    </row>
    <row r="64594" spans="16:16">
      <c r="P64594" s="2498"/>
    </row>
    <row r="64595" spans="16:16">
      <c r="P64595" s="2498"/>
    </row>
    <row r="64596" spans="16:16">
      <c r="P64596" s="2498"/>
    </row>
    <row r="64597" spans="16:16">
      <c r="P64597" s="2498"/>
    </row>
    <row r="64598" spans="16:16">
      <c r="P64598" s="2498"/>
    </row>
    <row r="64599" spans="16:16">
      <c r="P64599" s="2498"/>
    </row>
    <row r="64600" spans="16:16">
      <c r="P64600" s="2498"/>
    </row>
    <row r="64601" spans="16:16">
      <c r="P64601" s="2498"/>
    </row>
    <row r="64602" spans="16:16">
      <c r="P64602" s="2498"/>
    </row>
    <row r="64603" spans="16:16">
      <c r="P64603" s="2498"/>
    </row>
    <row r="64604" spans="16:16">
      <c r="P64604" s="2498"/>
    </row>
    <row r="64605" spans="16:16">
      <c r="P64605" s="2498"/>
    </row>
    <row r="64606" spans="16:16">
      <c r="P64606" s="2498"/>
    </row>
    <row r="64607" spans="16:16">
      <c r="P64607" s="2498"/>
    </row>
    <row r="64608" spans="16:16">
      <c r="P64608" s="2498"/>
    </row>
    <row r="64609" spans="16:16">
      <c r="P64609" s="2498"/>
    </row>
    <row r="64610" spans="16:16">
      <c r="P64610" s="2498"/>
    </row>
    <row r="64611" spans="16:16">
      <c r="P64611" s="2498"/>
    </row>
    <row r="64612" spans="16:16">
      <c r="P64612" s="2498"/>
    </row>
    <row r="64613" spans="16:16">
      <c r="P64613" s="2498"/>
    </row>
    <row r="64614" spans="16:16">
      <c r="P64614" s="2498"/>
    </row>
    <row r="64615" spans="16:16">
      <c r="P64615" s="2498"/>
    </row>
    <row r="64616" spans="16:16">
      <c r="P64616" s="2498"/>
    </row>
    <row r="64617" spans="16:16">
      <c r="P64617" s="2498"/>
    </row>
    <row r="64618" spans="16:16">
      <c r="P64618" s="2498"/>
    </row>
    <row r="64619" spans="16:16">
      <c r="P64619" s="2498"/>
    </row>
    <row r="64620" spans="16:16">
      <c r="P64620" s="2498"/>
    </row>
    <row r="64621" spans="16:16">
      <c r="P64621" s="2498"/>
    </row>
    <row r="64622" spans="16:16">
      <c r="P64622" s="2498"/>
    </row>
    <row r="64623" spans="16:16">
      <c r="P64623" s="2498"/>
    </row>
    <row r="64624" spans="16:16">
      <c r="P64624" s="2498"/>
    </row>
    <row r="64625" spans="16:16">
      <c r="P64625" s="2498"/>
    </row>
    <row r="64626" spans="16:16">
      <c r="P64626" s="2498"/>
    </row>
    <row r="64627" spans="16:16">
      <c r="P64627" s="2498"/>
    </row>
    <row r="64628" spans="16:16">
      <c r="P64628" s="2498"/>
    </row>
    <row r="64629" spans="16:16">
      <c r="P64629" s="2498"/>
    </row>
    <row r="64630" spans="16:16">
      <c r="P64630" s="2498"/>
    </row>
    <row r="64631" spans="16:16">
      <c r="P64631" s="2498"/>
    </row>
    <row r="64632" spans="16:16">
      <c r="P64632" s="2498"/>
    </row>
    <row r="64633" spans="16:16">
      <c r="P64633" s="2498"/>
    </row>
    <row r="64634" spans="16:16">
      <c r="P64634" s="2498"/>
    </row>
    <row r="64635" spans="16:16">
      <c r="P64635" s="2498"/>
    </row>
    <row r="64636" spans="16:16">
      <c r="P64636" s="2498"/>
    </row>
    <row r="64637" spans="16:16">
      <c r="P64637" s="2498"/>
    </row>
    <row r="64638" spans="16:16">
      <c r="P64638" s="2498"/>
    </row>
    <row r="64639" spans="16:16">
      <c r="P64639" s="2498"/>
    </row>
    <row r="64640" spans="16:16">
      <c r="P64640" s="2498"/>
    </row>
    <row r="64641" spans="16:16">
      <c r="P64641" s="2498"/>
    </row>
    <row r="64642" spans="16:16">
      <c r="P64642" s="2498"/>
    </row>
    <row r="64643" spans="16:16">
      <c r="P64643" s="2498"/>
    </row>
    <row r="64644" spans="16:16">
      <c r="P64644" s="2498"/>
    </row>
    <row r="64645" spans="16:16">
      <c r="P64645" s="2498"/>
    </row>
    <row r="64646" spans="16:16">
      <c r="P64646" s="2498"/>
    </row>
    <row r="64647" spans="16:16">
      <c r="P64647" s="2498"/>
    </row>
    <row r="64648" spans="16:16">
      <c r="P64648" s="2498"/>
    </row>
    <row r="64649" spans="16:16">
      <c r="P64649" s="2498"/>
    </row>
    <row r="64650" spans="16:16">
      <c r="P64650" s="2498"/>
    </row>
    <row r="64651" spans="16:16">
      <c r="P64651" s="2498"/>
    </row>
    <row r="64652" spans="16:16">
      <c r="P64652" s="2498"/>
    </row>
    <row r="64653" spans="16:16">
      <c r="P64653" s="2498"/>
    </row>
    <row r="64654" spans="16:16">
      <c r="P64654" s="2498"/>
    </row>
    <row r="64655" spans="16:16">
      <c r="P64655" s="2498"/>
    </row>
    <row r="64656" spans="16:16">
      <c r="P64656" s="2498"/>
    </row>
    <row r="64657" spans="16:16">
      <c r="P64657" s="2498"/>
    </row>
    <row r="64658" spans="16:16">
      <c r="P64658" s="2498"/>
    </row>
    <row r="64659" spans="16:16">
      <c r="P64659" s="2498"/>
    </row>
    <row r="64660" spans="16:16">
      <c r="P64660" s="2498"/>
    </row>
    <row r="64661" spans="16:16">
      <c r="P64661" s="2498"/>
    </row>
    <row r="64662" spans="16:16">
      <c r="P64662" s="2498"/>
    </row>
    <row r="64663" spans="16:16">
      <c r="P64663" s="2498"/>
    </row>
    <row r="64664" spans="16:16">
      <c r="P64664" s="2498"/>
    </row>
    <row r="64665" spans="16:16">
      <c r="P64665" s="2498"/>
    </row>
    <row r="64666" spans="16:16">
      <c r="P64666" s="2498"/>
    </row>
    <row r="64667" spans="16:16">
      <c r="P64667" s="2498"/>
    </row>
    <row r="64668" spans="16:16">
      <c r="P64668" s="2498"/>
    </row>
    <row r="64669" spans="16:16">
      <c r="P64669" s="2498"/>
    </row>
    <row r="64670" spans="16:16">
      <c r="P64670" s="2498"/>
    </row>
    <row r="64671" spans="16:16">
      <c r="P64671" s="2498"/>
    </row>
    <row r="64672" spans="16:16">
      <c r="P64672" s="2498"/>
    </row>
    <row r="64673" spans="16:16">
      <c r="P64673" s="2498"/>
    </row>
    <row r="64674" spans="16:16">
      <c r="P64674" s="2498"/>
    </row>
    <row r="64675" spans="16:16">
      <c r="P64675" s="2498"/>
    </row>
    <row r="64676" spans="16:16">
      <c r="P64676" s="2498"/>
    </row>
    <row r="64677" spans="16:16">
      <c r="P64677" s="2498"/>
    </row>
    <row r="64678" spans="16:16">
      <c r="P64678" s="2498"/>
    </row>
    <row r="64679" spans="16:16">
      <c r="P64679" s="2498"/>
    </row>
    <row r="64680" spans="16:16">
      <c r="P64680" s="2498"/>
    </row>
    <row r="64681" spans="16:16">
      <c r="P64681" s="2498"/>
    </row>
    <row r="64682" spans="16:16">
      <c r="P64682" s="2498"/>
    </row>
    <row r="64683" spans="16:16">
      <c r="P64683" s="2498"/>
    </row>
    <row r="64684" spans="16:16">
      <c r="P64684" s="2498"/>
    </row>
    <row r="64685" spans="16:16">
      <c r="P64685" s="2498"/>
    </row>
    <row r="64686" spans="16:16">
      <c r="P64686" s="2498"/>
    </row>
    <row r="64687" spans="16:16">
      <c r="P64687" s="2498"/>
    </row>
    <row r="64688" spans="16:16">
      <c r="P64688" s="2498"/>
    </row>
    <row r="64689" spans="16:16">
      <c r="P64689" s="2498"/>
    </row>
    <row r="64690" spans="16:16">
      <c r="P64690" s="2498"/>
    </row>
    <row r="64691" spans="16:16">
      <c r="P64691" s="2498"/>
    </row>
    <row r="64692" spans="16:16">
      <c r="P64692" s="2498"/>
    </row>
    <row r="64693" spans="16:16">
      <c r="P64693" s="2498"/>
    </row>
    <row r="64694" spans="16:16">
      <c r="P64694" s="2498"/>
    </row>
    <row r="64695" spans="16:16">
      <c r="P64695" s="2498"/>
    </row>
    <row r="64696" spans="16:16">
      <c r="P64696" s="2498"/>
    </row>
    <row r="64697" spans="16:16">
      <c r="P64697" s="2498"/>
    </row>
    <row r="64698" spans="16:16">
      <c r="P64698" s="2498"/>
    </row>
    <row r="64699" spans="16:16">
      <c r="P64699" s="2498"/>
    </row>
    <row r="64700" spans="16:16">
      <c r="P64700" s="2498"/>
    </row>
    <row r="64701" spans="16:16">
      <c r="P64701" s="2498"/>
    </row>
    <row r="64702" spans="16:16">
      <c r="P64702" s="2498"/>
    </row>
    <row r="64703" spans="16:16">
      <c r="P64703" s="2498"/>
    </row>
    <row r="64704" spans="16:16">
      <c r="P64704" s="2498"/>
    </row>
    <row r="64705" spans="16:16">
      <c r="P64705" s="2498"/>
    </row>
    <row r="64706" spans="16:16">
      <c r="P64706" s="2498"/>
    </row>
    <row r="64707" spans="16:16">
      <c r="P64707" s="2498"/>
    </row>
    <row r="64708" spans="16:16">
      <c r="P64708" s="2498"/>
    </row>
    <row r="64709" spans="16:16">
      <c r="P64709" s="2498"/>
    </row>
    <row r="64710" spans="16:16">
      <c r="P64710" s="2498"/>
    </row>
    <row r="64711" spans="16:16">
      <c r="P64711" s="2498"/>
    </row>
    <row r="64712" spans="16:16">
      <c r="P64712" s="2498"/>
    </row>
    <row r="64713" spans="16:16">
      <c r="P64713" s="2498"/>
    </row>
    <row r="64714" spans="16:16">
      <c r="P64714" s="2498"/>
    </row>
    <row r="64715" spans="16:16">
      <c r="P64715" s="2498"/>
    </row>
    <row r="64716" spans="16:16">
      <c r="P64716" s="2498"/>
    </row>
    <row r="64717" spans="16:16">
      <c r="P64717" s="2498"/>
    </row>
    <row r="64718" spans="16:16">
      <c r="P64718" s="2498"/>
    </row>
    <row r="64719" spans="16:16">
      <c r="P64719" s="2498"/>
    </row>
    <row r="64720" spans="16:16">
      <c r="P64720" s="2498"/>
    </row>
    <row r="64721" spans="16:16">
      <c r="P64721" s="2498"/>
    </row>
    <row r="64722" spans="16:16">
      <c r="P64722" s="2498"/>
    </row>
    <row r="64723" spans="16:16">
      <c r="P64723" s="2498"/>
    </row>
    <row r="64724" spans="16:16">
      <c r="P64724" s="2498"/>
    </row>
    <row r="64725" spans="16:16">
      <c r="P64725" s="2498"/>
    </row>
    <row r="64726" spans="16:16">
      <c r="P64726" s="2498"/>
    </row>
    <row r="64727" spans="16:16">
      <c r="P64727" s="2498"/>
    </row>
    <row r="64728" spans="16:16">
      <c r="P64728" s="2498"/>
    </row>
    <row r="64729" spans="16:16">
      <c r="P64729" s="2498"/>
    </row>
    <row r="64730" spans="16:16">
      <c r="P64730" s="2498"/>
    </row>
    <row r="64731" spans="16:16">
      <c r="P64731" s="2498"/>
    </row>
    <row r="64732" spans="16:16">
      <c r="P64732" s="2498"/>
    </row>
    <row r="64733" spans="16:16">
      <c r="P64733" s="2498"/>
    </row>
    <row r="64734" spans="16:16">
      <c r="P64734" s="2498"/>
    </row>
    <row r="64735" spans="16:16">
      <c r="P64735" s="2498"/>
    </row>
    <row r="64736" spans="16:16">
      <c r="P64736" s="2498"/>
    </row>
    <row r="64737" spans="16:16">
      <c r="P64737" s="2498"/>
    </row>
    <row r="64738" spans="16:16">
      <c r="P64738" s="2498"/>
    </row>
    <row r="64739" spans="16:16">
      <c r="P64739" s="2498"/>
    </row>
    <row r="64740" spans="16:16">
      <c r="P64740" s="2498"/>
    </row>
    <row r="64741" spans="16:16">
      <c r="P64741" s="2498"/>
    </row>
    <row r="64742" spans="16:16">
      <c r="P64742" s="2498"/>
    </row>
    <row r="64743" spans="16:16">
      <c r="P64743" s="2498"/>
    </row>
    <row r="64744" spans="16:16">
      <c r="P64744" s="2498"/>
    </row>
    <row r="64745" spans="16:16">
      <c r="P64745" s="2498"/>
    </row>
    <row r="64746" spans="16:16">
      <c r="P64746" s="2498"/>
    </row>
    <row r="64747" spans="16:16">
      <c r="P64747" s="2498"/>
    </row>
    <row r="64748" spans="16:16">
      <c r="P64748" s="2498"/>
    </row>
    <row r="64749" spans="16:16">
      <c r="P64749" s="2498"/>
    </row>
    <row r="64750" spans="16:16">
      <c r="P64750" s="2498"/>
    </row>
    <row r="64751" spans="16:16">
      <c r="P64751" s="2498"/>
    </row>
    <row r="64752" spans="16:16">
      <c r="P64752" s="2498"/>
    </row>
    <row r="64753" spans="16:16">
      <c r="P64753" s="2498"/>
    </row>
    <row r="64754" spans="16:16">
      <c r="P64754" s="2498"/>
    </row>
    <row r="64755" spans="16:16">
      <c r="P64755" s="2498"/>
    </row>
    <row r="64756" spans="16:16">
      <c r="P64756" s="2498"/>
    </row>
    <row r="64757" spans="16:16">
      <c r="P64757" s="2498"/>
    </row>
    <row r="64758" spans="16:16">
      <c r="P64758" s="2498"/>
    </row>
    <row r="64759" spans="16:16">
      <c r="P64759" s="2498"/>
    </row>
    <row r="64760" spans="16:16">
      <c r="P64760" s="2498"/>
    </row>
    <row r="64761" spans="16:16">
      <c r="P64761" s="2498"/>
    </row>
    <row r="64762" spans="16:16">
      <c r="P64762" s="2498"/>
    </row>
    <row r="64763" spans="16:16">
      <c r="P64763" s="2498"/>
    </row>
    <row r="64764" spans="16:16">
      <c r="P64764" s="2498"/>
    </row>
    <row r="64765" spans="16:16">
      <c r="P64765" s="2498"/>
    </row>
    <row r="64766" spans="16:16">
      <c r="P64766" s="2498"/>
    </row>
    <row r="64767" spans="16:16">
      <c r="P64767" s="2498"/>
    </row>
    <row r="64768" spans="16:16">
      <c r="P64768" s="2498"/>
    </row>
    <row r="64769" spans="16:16">
      <c r="P64769" s="2498"/>
    </row>
    <row r="64770" spans="16:16">
      <c r="P64770" s="2498"/>
    </row>
    <row r="64771" spans="16:16">
      <c r="P64771" s="2498"/>
    </row>
    <row r="64772" spans="16:16">
      <c r="P64772" s="2498"/>
    </row>
    <row r="64773" spans="16:16">
      <c r="P64773" s="2498"/>
    </row>
    <row r="64774" spans="16:16">
      <c r="P64774" s="2498"/>
    </row>
    <row r="64775" spans="16:16">
      <c r="P64775" s="2498"/>
    </row>
    <row r="64776" spans="16:16">
      <c r="P64776" s="2498"/>
    </row>
    <row r="64777" spans="16:16">
      <c r="P64777" s="2498"/>
    </row>
    <row r="64778" spans="16:16">
      <c r="P64778" s="2498"/>
    </row>
    <row r="64779" spans="16:16">
      <c r="P64779" s="2498"/>
    </row>
    <row r="64780" spans="16:16">
      <c r="P64780" s="2498"/>
    </row>
    <row r="64781" spans="16:16">
      <c r="P64781" s="2498"/>
    </row>
    <row r="64782" spans="16:16">
      <c r="P64782" s="2498"/>
    </row>
    <row r="64783" spans="16:16">
      <c r="P64783" s="2498"/>
    </row>
    <row r="64784" spans="16:16">
      <c r="P64784" s="2498"/>
    </row>
    <row r="64785" spans="16:16">
      <c r="P64785" s="2498"/>
    </row>
    <row r="64786" spans="16:16">
      <c r="P64786" s="2498"/>
    </row>
    <row r="64787" spans="16:16">
      <c r="P64787" s="2498"/>
    </row>
    <row r="64788" spans="16:16">
      <c r="P64788" s="2498"/>
    </row>
    <row r="64789" spans="16:16">
      <c r="P64789" s="2498"/>
    </row>
    <row r="64790" spans="16:16">
      <c r="P64790" s="2498"/>
    </row>
    <row r="64791" spans="16:16">
      <c r="P64791" s="2498"/>
    </row>
    <row r="64792" spans="16:16">
      <c r="P64792" s="2498"/>
    </row>
    <row r="64793" spans="16:16">
      <c r="P64793" s="2498"/>
    </row>
    <row r="64794" spans="16:16">
      <c r="P64794" s="2498"/>
    </row>
    <row r="64795" spans="16:16">
      <c r="P64795" s="2498"/>
    </row>
    <row r="64796" spans="16:16">
      <c r="P64796" s="2498"/>
    </row>
    <row r="64797" spans="16:16">
      <c r="P64797" s="2498"/>
    </row>
    <row r="64798" spans="16:16">
      <c r="P64798" s="2498"/>
    </row>
    <row r="64799" spans="16:16">
      <c r="P64799" s="2498"/>
    </row>
    <row r="64800" spans="16:16">
      <c r="P64800" s="2498"/>
    </row>
    <row r="64801" spans="16:16">
      <c r="P64801" s="2498"/>
    </row>
    <row r="64802" spans="16:16">
      <c r="P64802" s="2498"/>
    </row>
    <row r="64803" spans="16:16">
      <c r="P64803" s="2498"/>
    </row>
    <row r="64804" spans="16:16">
      <c r="P64804" s="2498"/>
    </row>
    <row r="64805" spans="16:16">
      <c r="P64805" s="2498"/>
    </row>
    <row r="64806" spans="16:16">
      <c r="P64806" s="2498"/>
    </row>
    <row r="64807" spans="16:16">
      <c r="P64807" s="2498"/>
    </row>
    <row r="64808" spans="16:16">
      <c r="P64808" s="2498"/>
    </row>
    <row r="64809" spans="16:16">
      <c r="P64809" s="2498"/>
    </row>
    <row r="64810" spans="16:16">
      <c r="P64810" s="2498"/>
    </row>
    <row r="64811" spans="16:16">
      <c r="P64811" s="2498"/>
    </row>
    <row r="64812" spans="16:16">
      <c r="P64812" s="2498"/>
    </row>
    <row r="64813" spans="16:16">
      <c r="P64813" s="2498"/>
    </row>
    <row r="64814" spans="16:16">
      <c r="P64814" s="2498"/>
    </row>
    <row r="64815" spans="16:16">
      <c r="P64815" s="2498"/>
    </row>
    <row r="64816" spans="16:16">
      <c r="P64816" s="2498"/>
    </row>
    <row r="64817" spans="16:16">
      <c r="P64817" s="2498"/>
    </row>
    <row r="64818" spans="16:16">
      <c r="P64818" s="2498"/>
    </row>
    <row r="64819" spans="16:16">
      <c r="P64819" s="2498"/>
    </row>
    <row r="64820" spans="16:16">
      <c r="P64820" s="2498"/>
    </row>
    <row r="64821" spans="16:16">
      <c r="P64821" s="2498"/>
    </row>
    <row r="64822" spans="16:16">
      <c r="P64822" s="2498"/>
    </row>
    <row r="64823" spans="16:16">
      <c r="P64823" s="2498"/>
    </row>
    <row r="64824" spans="16:16">
      <c r="P64824" s="2498"/>
    </row>
    <row r="64825" spans="16:16">
      <c r="P64825" s="2498"/>
    </row>
    <row r="64826" spans="16:16">
      <c r="P64826" s="2498"/>
    </row>
    <row r="64827" spans="16:16">
      <c r="P64827" s="2498"/>
    </row>
    <row r="64828" spans="16:16">
      <c r="P64828" s="2498"/>
    </row>
    <row r="64829" spans="16:16">
      <c r="P64829" s="2498"/>
    </row>
    <row r="64830" spans="16:16">
      <c r="P64830" s="2498"/>
    </row>
    <row r="64831" spans="16:16">
      <c r="P64831" s="2498"/>
    </row>
    <row r="64832" spans="16:16">
      <c r="P64832" s="2498"/>
    </row>
    <row r="64833" spans="16:16">
      <c r="P64833" s="2498"/>
    </row>
    <row r="64834" spans="16:16">
      <c r="P64834" s="2498"/>
    </row>
    <row r="64835" spans="16:16">
      <c r="P64835" s="2498"/>
    </row>
    <row r="64836" spans="16:16">
      <c r="P64836" s="2498"/>
    </row>
    <row r="64837" spans="16:16">
      <c r="P64837" s="2498"/>
    </row>
    <row r="64838" spans="16:16">
      <c r="P64838" s="2498"/>
    </row>
    <row r="64839" spans="16:16">
      <c r="P64839" s="2498"/>
    </row>
    <row r="64840" spans="16:16">
      <c r="P64840" s="2498"/>
    </row>
    <row r="64841" spans="16:16">
      <c r="P64841" s="2498"/>
    </row>
    <row r="64842" spans="16:16">
      <c r="P64842" s="2498"/>
    </row>
    <row r="64843" spans="16:16">
      <c r="P64843" s="2498"/>
    </row>
    <row r="64844" spans="16:16">
      <c r="P64844" s="2498"/>
    </row>
    <row r="64845" spans="16:16">
      <c r="P64845" s="2498"/>
    </row>
    <row r="64846" spans="16:16">
      <c r="P64846" s="2498"/>
    </row>
    <row r="64847" spans="16:16">
      <c r="P64847" s="2498"/>
    </row>
    <row r="64848" spans="16:16">
      <c r="P64848" s="2498"/>
    </row>
    <row r="64849" spans="16:16">
      <c r="P64849" s="2498"/>
    </row>
    <row r="64850" spans="16:16">
      <c r="P64850" s="2498"/>
    </row>
    <row r="64851" spans="16:16">
      <c r="P64851" s="2498"/>
    </row>
    <row r="64852" spans="16:16">
      <c r="P64852" s="2498"/>
    </row>
    <row r="64853" spans="16:16">
      <c r="P64853" s="2498"/>
    </row>
    <row r="64854" spans="16:16">
      <c r="P64854" s="2498"/>
    </row>
    <row r="64855" spans="16:16">
      <c r="P64855" s="2498"/>
    </row>
    <row r="64856" spans="16:16">
      <c r="P64856" s="2498"/>
    </row>
    <row r="64857" spans="16:16">
      <c r="P64857" s="2498"/>
    </row>
    <row r="64858" spans="16:16">
      <c r="P64858" s="2498"/>
    </row>
    <row r="64859" spans="16:16">
      <c r="P64859" s="2498"/>
    </row>
    <row r="64860" spans="16:16">
      <c r="P64860" s="2498"/>
    </row>
    <row r="64861" spans="16:16">
      <c r="P64861" s="2498"/>
    </row>
    <row r="64862" spans="16:16">
      <c r="P64862" s="2498"/>
    </row>
    <row r="64863" spans="16:16">
      <c r="P64863" s="2498"/>
    </row>
    <row r="64864" spans="16:16">
      <c r="P64864" s="2498"/>
    </row>
    <row r="64865" spans="16:16">
      <c r="P64865" s="2498"/>
    </row>
    <row r="64866" spans="16:16">
      <c r="P64866" s="2498"/>
    </row>
    <row r="64867" spans="16:16">
      <c r="P64867" s="2498"/>
    </row>
    <row r="64868" spans="16:16">
      <c r="P64868" s="2498"/>
    </row>
    <row r="64869" spans="16:16">
      <c r="P64869" s="2498"/>
    </row>
    <row r="64870" spans="16:16">
      <c r="P64870" s="2498"/>
    </row>
    <row r="64871" spans="16:16">
      <c r="P64871" s="2498"/>
    </row>
    <row r="64872" spans="16:16">
      <c r="P64872" s="2498"/>
    </row>
    <row r="64873" spans="16:16">
      <c r="P64873" s="2498"/>
    </row>
    <row r="64874" spans="16:16">
      <c r="P64874" s="2498"/>
    </row>
    <row r="64875" spans="16:16">
      <c r="P64875" s="2498"/>
    </row>
    <row r="64876" spans="16:16">
      <c r="P64876" s="2498"/>
    </row>
    <row r="64877" spans="16:16">
      <c r="P64877" s="2498"/>
    </row>
    <row r="64878" spans="16:16">
      <c r="P64878" s="2498"/>
    </row>
    <row r="64879" spans="16:16">
      <c r="P64879" s="2498"/>
    </row>
    <row r="64880" spans="16:16">
      <c r="P64880" s="2498"/>
    </row>
    <row r="64881" spans="16:16">
      <c r="P64881" s="2498"/>
    </row>
    <row r="64882" spans="16:16">
      <c r="P64882" s="2498"/>
    </row>
    <row r="64883" spans="16:16">
      <c r="P64883" s="2498"/>
    </row>
    <row r="64884" spans="16:16">
      <c r="P64884" s="2498"/>
    </row>
    <row r="64885" spans="16:16">
      <c r="P64885" s="2498"/>
    </row>
    <row r="64886" spans="16:16">
      <c r="P64886" s="2498"/>
    </row>
    <row r="64887" spans="16:16">
      <c r="P64887" s="2498"/>
    </row>
    <row r="64888" spans="16:16">
      <c r="P64888" s="2498"/>
    </row>
    <row r="64889" spans="16:16">
      <c r="P64889" s="2498"/>
    </row>
    <row r="64890" spans="16:16">
      <c r="P64890" s="2498"/>
    </row>
    <row r="64891" spans="16:16">
      <c r="P64891" s="2498"/>
    </row>
    <row r="64892" spans="16:16">
      <c r="P64892" s="2498"/>
    </row>
    <row r="64893" spans="16:16">
      <c r="P64893" s="2498"/>
    </row>
    <row r="64894" spans="16:16">
      <c r="P64894" s="2498"/>
    </row>
    <row r="64895" spans="16:16">
      <c r="P64895" s="2498"/>
    </row>
    <row r="64896" spans="16:16">
      <c r="P64896" s="2498"/>
    </row>
    <row r="64897" spans="16:16">
      <c r="P64897" s="2498"/>
    </row>
    <row r="64898" spans="16:16">
      <c r="P64898" s="2498"/>
    </row>
    <row r="64899" spans="16:16">
      <c r="P64899" s="2498"/>
    </row>
    <row r="64900" spans="16:16">
      <c r="P64900" s="2498"/>
    </row>
    <row r="64901" spans="16:16">
      <c r="P64901" s="2498"/>
    </row>
    <row r="64902" spans="16:16">
      <c r="P64902" s="2498"/>
    </row>
    <row r="64903" spans="16:16">
      <c r="P64903" s="2498"/>
    </row>
    <row r="64904" spans="16:16">
      <c r="P64904" s="2498"/>
    </row>
    <row r="64905" spans="16:16">
      <c r="P64905" s="2498"/>
    </row>
    <row r="64906" spans="16:16">
      <c r="P64906" s="2498"/>
    </row>
    <row r="64907" spans="16:16">
      <c r="P64907" s="2498"/>
    </row>
    <row r="64908" spans="16:16">
      <c r="P64908" s="2498"/>
    </row>
    <row r="64909" spans="16:16">
      <c r="P64909" s="2498"/>
    </row>
    <row r="64910" spans="16:16">
      <c r="P64910" s="2498"/>
    </row>
    <row r="64911" spans="16:16">
      <c r="P64911" s="2498"/>
    </row>
    <row r="64912" spans="16:16">
      <c r="P64912" s="2498"/>
    </row>
    <row r="64913" spans="16:16">
      <c r="P64913" s="2498"/>
    </row>
    <row r="64914" spans="16:16">
      <c r="P64914" s="2498"/>
    </row>
    <row r="64915" spans="16:16">
      <c r="P64915" s="2498"/>
    </row>
    <row r="64916" spans="16:16">
      <c r="P64916" s="2498"/>
    </row>
    <row r="64917" spans="16:16">
      <c r="P64917" s="2498"/>
    </row>
    <row r="64918" spans="16:16">
      <c r="P64918" s="2498"/>
    </row>
    <row r="64919" spans="16:16">
      <c r="P64919" s="2498"/>
    </row>
    <row r="64920" spans="16:16">
      <c r="P64920" s="2498"/>
    </row>
    <row r="64921" spans="16:16">
      <c r="P64921" s="2498"/>
    </row>
    <row r="64922" spans="16:16">
      <c r="P64922" s="2498"/>
    </row>
    <row r="64923" spans="16:16">
      <c r="P64923" s="2498"/>
    </row>
    <row r="64924" spans="16:16">
      <c r="P64924" s="2498"/>
    </row>
    <row r="64925" spans="16:16">
      <c r="P64925" s="2498"/>
    </row>
    <row r="64926" spans="16:16">
      <c r="P64926" s="2498"/>
    </row>
    <row r="64927" spans="16:16">
      <c r="P64927" s="2498"/>
    </row>
    <row r="64928" spans="16:16">
      <c r="P64928" s="2498"/>
    </row>
    <row r="64929" spans="16:16">
      <c r="P64929" s="2498"/>
    </row>
    <row r="64930" spans="16:16">
      <c r="P64930" s="2498"/>
    </row>
    <row r="64931" spans="16:16">
      <c r="P64931" s="2498"/>
    </row>
    <row r="64932" spans="16:16">
      <c r="P64932" s="2498"/>
    </row>
    <row r="64933" spans="16:16">
      <c r="P64933" s="2498"/>
    </row>
    <row r="64934" spans="16:16">
      <c r="P64934" s="2498"/>
    </row>
    <row r="64935" spans="16:16">
      <c r="P64935" s="2498"/>
    </row>
    <row r="64936" spans="16:16">
      <c r="P64936" s="2498"/>
    </row>
    <row r="64937" spans="16:16">
      <c r="P64937" s="2498"/>
    </row>
    <row r="64938" spans="16:16">
      <c r="P64938" s="2498"/>
    </row>
    <row r="64939" spans="16:16">
      <c r="P64939" s="2498"/>
    </row>
    <row r="64940" spans="16:16">
      <c r="P64940" s="2498"/>
    </row>
    <row r="64941" spans="16:16">
      <c r="P64941" s="2498"/>
    </row>
    <row r="64942" spans="16:16">
      <c r="P64942" s="2498"/>
    </row>
    <row r="64943" spans="16:16">
      <c r="P64943" s="2498"/>
    </row>
    <row r="64944" spans="16:16">
      <c r="P64944" s="2498"/>
    </row>
    <row r="64945" spans="16:16">
      <c r="P64945" s="2498"/>
    </row>
    <row r="64946" spans="16:16">
      <c r="P64946" s="2498"/>
    </row>
    <row r="64947" spans="16:16">
      <c r="P64947" s="2498"/>
    </row>
    <row r="64948" spans="16:16">
      <c r="P64948" s="2498"/>
    </row>
    <row r="64949" spans="16:16">
      <c r="P64949" s="2498"/>
    </row>
    <row r="64950" spans="16:16">
      <c r="P64950" s="2498"/>
    </row>
    <row r="64951" spans="16:16">
      <c r="P64951" s="2498"/>
    </row>
    <row r="64952" spans="16:16">
      <c r="P64952" s="2498"/>
    </row>
    <row r="64953" spans="16:16">
      <c r="P64953" s="2498"/>
    </row>
    <row r="64954" spans="16:16">
      <c r="P64954" s="2498"/>
    </row>
    <row r="64955" spans="16:16">
      <c r="P64955" s="2498"/>
    </row>
    <row r="64956" spans="16:16">
      <c r="P64956" s="2498"/>
    </row>
    <row r="64957" spans="16:16">
      <c r="P64957" s="2498"/>
    </row>
    <row r="64958" spans="16:16">
      <c r="P64958" s="2498"/>
    </row>
    <row r="64959" spans="16:16">
      <c r="P64959" s="2498"/>
    </row>
    <row r="64960" spans="16:16">
      <c r="P64960" s="2498"/>
    </row>
    <row r="64961" spans="16:16">
      <c r="P64961" s="2498"/>
    </row>
    <row r="64962" spans="16:16">
      <c r="P64962" s="2498"/>
    </row>
    <row r="64963" spans="16:16">
      <c r="P64963" s="2498"/>
    </row>
    <row r="64964" spans="16:16">
      <c r="P64964" s="2498"/>
    </row>
    <row r="64965" spans="16:16">
      <c r="P64965" s="2498"/>
    </row>
    <row r="64966" spans="16:16">
      <c r="P64966" s="2498"/>
    </row>
    <row r="64967" spans="16:16">
      <c r="P64967" s="2498"/>
    </row>
    <row r="64968" spans="16:16">
      <c r="P64968" s="2498"/>
    </row>
    <row r="64969" spans="16:16">
      <c r="P64969" s="2498"/>
    </row>
    <row r="64970" spans="16:16">
      <c r="P64970" s="2498"/>
    </row>
    <row r="64971" spans="16:16">
      <c r="P64971" s="2498"/>
    </row>
    <row r="64972" spans="16:16">
      <c r="P64972" s="2498"/>
    </row>
    <row r="64973" spans="16:16">
      <c r="P64973" s="2498"/>
    </row>
    <row r="64974" spans="16:16">
      <c r="P64974" s="2498"/>
    </row>
    <row r="64975" spans="16:16">
      <c r="P64975" s="2498"/>
    </row>
    <row r="64976" spans="16:16">
      <c r="P64976" s="2498"/>
    </row>
    <row r="64977" spans="16:16">
      <c r="P64977" s="2498"/>
    </row>
    <row r="64978" spans="16:16">
      <c r="P64978" s="2498"/>
    </row>
    <row r="64979" spans="16:16">
      <c r="P64979" s="2498"/>
    </row>
    <row r="64980" spans="16:16">
      <c r="P64980" s="2498"/>
    </row>
    <row r="64981" spans="16:16">
      <c r="P64981" s="2498"/>
    </row>
    <row r="64982" spans="16:16">
      <c r="P64982" s="2498"/>
    </row>
    <row r="64983" spans="16:16">
      <c r="P64983" s="2498"/>
    </row>
    <row r="64984" spans="16:16">
      <c r="P64984" s="2498"/>
    </row>
    <row r="64985" spans="16:16">
      <c r="P64985" s="2498"/>
    </row>
    <row r="64986" spans="16:16">
      <c r="P64986" s="2498"/>
    </row>
    <row r="64987" spans="16:16">
      <c r="P64987" s="2498"/>
    </row>
    <row r="64988" spans="16:16">
      <c r="P64988" s="2498"/>
    </row>
    <row r="64989" spans="16:16">
      <c r="P64989" s="2498"/>
    </row>
    <row r="64990" spans="16:16">
      <c r="P64990" s="2498"/>
    </row>
    <row r="64991" spans="16:16">
      <c r="P64991" s="2498"/>
    </row>
    <row r="64992" spans="16:16">
      <c r="P64992" s="2498"/>
    </row>
    <row r="64993" spans="16:16">
      <c r="P64993" s="2498"/>
    </row>
    <row r="64994" spans="16:16">
      <c r="P64994" s="2498"/>
    </row>
    <row r="64995" spans="16:16">
      <c r="P64995" s="2498"/>
    </row>
    <row r="64996" spans="16:16">
      <c r="P64996" s="2498"/>
    </row>
    <row r="64997" spans="16:16">
      <c r="P64997" s="2498"/>
    </row>
    <row r="64998" spans="16:16">
      <c r="P64998" s="2498"/>
    </row>
    <row r="64999" spans="16:16">
      <c r="P64999" s="2498"/>
    </row>
    <row r="65000" spans="16:16">
      <c r="P65000" s="2498"/>
    </row>
    <row r="65001" spans="16:16">
      <c r="P65001" s="2498"/>
    </row>
    <row r="65002" spans="16:16">
      <c r="P65002" s="2498"/>
    </row>
    <row r="65003" spans="16:16">
      <c r="P65003" s="2498"/>
    </row>
    <row r="65004" spans="16:16">
      <c r="P65004" s="2498"/>
    </row>
    <row r="65005" spans="16:16">
      <c r="P65005" s="2498"/>
    </row>
    <row r="65006" spans="16:16">
      <c r="P65006" s="2498"/>
    </row>
    <row r="65007" spans="16:16">
      <c r="P65007" s="2498"/>
    </row>
    <row r="65008" spans="16:16">
      <c r="P65008" s="2498"/>
    </row>
    <row r="65009" spans="16:16">
      <c r="P65009" s="2498"/>
    </row>
    <row r="65010" spans="16:16">
      <c r="P65010" s="2498"/>
    </row>
    <row r="65011" spans="16:16">
      <c r="P65011" s="2498"/>
    </row>
    <row r="65012" spans="16:16">
      <c r="P65012" s="2498"/>
    </row>
    <row r="65013" spans="16:16">
      <c r="P65013" s="2498"/>
    </row>
    <row r="65014" spans="16:16">
      <c r="P65014" s="2498"/>
    </row>
    <row r="65015" spans="16:16">
      <c r="P65015" s="2498"/>
    </row>
    <row r="65016" spans="16:16">
      <c r="P65016" s="2498"/>
    </row>
    <row r="65017" spans="16:16">
      <c r="P65017" s="2498"/>
    </row>
    <row r="65018" spans="16:16">
      <c r="P65018" s="2498"/>
    </row>
    <row r="65019" spans="16:16">
      <c r="P65019" s="2498"/>
    </row>
    <row r="65020" spans="16:16">
      <c r="P65020" s="2498"/>
    </row>
    <row r="65021" spans="16:16">
      <c r="P65021" s="2498"/>
    </row>
    <row r="65022" spans="16:16">
      <c r="P65022" s="2498"/>
    </row>
    <row r="65023" spans="16:16">
      <c r="P65023" s="2498"/>
    </row>
    <row r="65024" spans="16:16">
      <c r="P65024" s="2498"/>
    </row>
    <row r="65025" spans="16:16">
      <c r="P65025" s="2498"/>
    </row>
    <row r="65026" spans="16:16">
      <c r="P65026" s="2498"/>
    </row>
    <row r="65027" spans="16:16">
      <c r="P65027" s="2498"/>
    </row>
    <row r="65028" spans="16:16">
      <c r="P65028" s="2498"/>
    </row>
    <row r="65029" spans="16:16">
      <c r="P65029" s="2498"/>
    </row>
    <row r="65030" spans="16:16">
      <c r="P65030" s="2498"/>
    </row>
    <row r="65031" spans="16:16">
      <c r="P65031" s="2498"/>
    </row>
    <row r="65032" spans="16:16">
      <c r="P65032" s="2498"/>
    </row>
    <row r="65033" spans="16:16">
      <c r="P65033" s="2498"/>
    </row>
    <row r="65034" spans="16:16">
      <c r="P65034" s="2498"/>
    </row>
    <row r="65035" spans="16:16">
      <c r="P65035" s="2498"/>
    </row>
    <row r="65036" spans="16:16">
      <c r="P65036" s="2498"/>
    </row>
    <row r="65037" spans="16:16">
      <c r="P65037" s="2498"/>
    </row>
    <row r="65038" spans="16:16">
      <c r="P65038" s="2498"/>
    </row>
    <row r="65039" spans="16:16">
      <c r="P65039" s="2498"/>
    </row>
    <row r="65040" spans="16:16">
      <c r="P65040" s="2498"/>
    </row>
    <row r="65041" spans="16:16">
      <c r="P65041" s="2498"/>
    </row>
    <row r="65042" spans="16:16">
      <c r="P65042" s="2498"/>
    </row>
    <row r="65043" spans="16:16">
      <c r="P65043" s="2498"/>
    </row>
    <row r="65044" spans="16:16">
      <c r="P65044" s="2498"/>
    </row>
    <row r="65045" spans="16:16">
      <c r="P65045" s="2498"/>
    </row>
    <row r="65046" spans="16:16">
      <c r="P65046" s="2498"/>
    </row>
    <row r="65047" spans="16:16">
      <c r="P65047" s="2498"/>
    </row>
    <row r="65048" spans="16:16">
      <c r="P65048" s="2498"/>
    </row>
    <row r="65049" spans="16:16">
      <c r="P65049" s="2498"/>
    </row>
    <row r="65050" spans="16:16">
      <c r="P65050" s="2498"/>
    </row>
    <row r="65051" spans="16:16">
      <c r="P65051" s="2498"/>
    </row>
    <row r="65052" spans="16:16">
      <c r="P65052" s="2498"/>
    </row>
    <row r="65053" spans="16:16">
      <c r="P65053" s="2498"/>
    </row>
    <row r="65054" spans="16:16">
      <c r="P65054" s="2498"/>
    </row>
    <row r="65055" spans="16:16">
      <c r="P65055" s="2498"/>
    </row>
    <row r="65056" spans="16:16">
      <c r="P65056" s="2498"/>
    </row>
    <row r="65057" spans="16:16">
      <c r="P65057" s="2498"/>
    </row>
    <row r="65058" spans="16:16">
      <c r="P65058" s="2498"/>
    </row>
    <row r="65059" spans="16:16">
      <c r="P65059" s="2498"/>
    </row>
    <row r="65060" spans="16:16">
      <c r="P65060" s="2498"/>
    </row>
    <row r="65061" spans="16:16">
      <c r="P65061" s="2498"/>
    </row>
    <row r="65062" spans="16:16">
      <c r="P65062" s="2498"/>
    </row>
    <row r="65063" spans="16:16">
      <c r="P65063" s="2498"/>
    </row>
    <row r="65064" spans="16:16">
      <c r="P65064" s="2498"/>
    </row>
    <row r="65065" spans="16:16">
      <c r="P65065" s="2498"/>
    </row>
    <row r="65066" spans="16:16">
      <c r="P65066" s="2498"/>
    </row>
    <row r="65067" spans="16:16">
      <c r="P65067" s="2498"/>
    </row>
    <row r="65068" spans="16:16">
      <c r="P65068" s="2498"/>
    </row>
    <row r="65069" spans="16:16">
      <c r="P65069" s="2498"/>
    </row>
    <row r="65070" spans="16:16">
      <c r="P65070" s="2498"/>
    </row>
    <row r="65071" spans="16:16">
      <c r="P65071" s="2498"/>
    </row>
    <row r="65072" spans="16:16">
      <c r="P65072" s="2498"/>
    </row>
    <row r="65073" spans="16:16">
      <c r="P65073" s="2498"/>
    </row>
    <row r="65074" spans="16:16">
      <c r="P65074" s="2498"/>
    </row>
    <row r="65075" spans="16:16">
      <c r="P65075" s="2498"/>
    </row>
    <row r="65076" spans="16:16">
      <c r="P65076" s="2498"/>
    </row>
    <row r="65077" spans="16:16">
      <c r="P65077" s="2498"/>
    </row>
    <row r="65078" spans="16:16">
      <c r="P65078" s="2498"/>
    </row>
    <row r="65079" spans="16:16">
      <c r="P65079" s="2498"/>
    </row>
    <row r="65080" spans="16:16">
      <c r="P65080" s="2498"/>
    </row>
    <row r="65081" spans="16:16">
      <c r="P65081" s="2498"/>
    </row>
    <row r="65082" spans="16:16">
      <c r="P65082" s="2498"/>
    </row>
    <row r="65083" spans="16:16">
      <c r="P65083" s="2498"/>
    </row>
    <row r="65084" spans="16:16">
      <c r="P65084" s="2498"/>
    </row>
    <row r="65085" spans="16:16">
      <c r="P65085" s="2498"/>
    </row>
    <row r="65086" spans="16:16">
      <c r="P65086" s="2498"/>
    </row>
    <row r="65087" spans="16:16">
      <c r="P65087" s="2498"/>
    </row>
    <row r="65088" spans="16:16">
      <c r="P65088" s="2498"/>
    </row>
    <row r="65089" spans="16:16">
      <c r="P65089" s="2498"/>
    </row>
    <row r="65090" spans="16:16">
      <c r="P65090" s="2498"/>
    </row>
    <row r="65091" spans="16:16">
      <c r="P65091" s="2498"/>
    </row>
    <row r="65092" spans="16:16">
      <c r="P65092" s="2498"/>
    </row>
    <row r="65093" spans="16:16">
      <c r="P65093" s="2498"/>
    </row>
    <row r="65094" spans="16:16">
      <c r="P65094" s="2498"/>
    </row>
    <row r="65095" spans="16:16">
      <c r="P65095" s="2498"/>
    </row>
    <row r="65096" spans="16:16">
      <c r="P65096" s="2498"/>
    </row>
    <row r="65097" spans="16:16">
      <c r="P65097" s="2498"/>
    </row>
    <row r="65098" spans="16:16">
      <c r="P65098" s="2498"/>
    </row>
    <row r="65099" spans="16:16">
      <c r="P65099" s="2498"/>
    </row>
    <row r="65100" spans="16:16">
      <c r="P65100" s="2498"/>
    </row>
    <row r="65101" spans="16:16">
      <c r="P65101" s="2498"/>
    </row>
    <row r="65102" spans="16:16">
      <c r="P65102" s="2498"/>
    </row>
    <row r="65103" spans="16:16">
      <c r="P65103" s="2498"/>
    </row>
    <row r="65104" spans="16:16">
      <c r="P65104" s="2498"/>
    </row>
    <row r="65105" spans="16:16">
      <c r="P65105" s="2498"/>
    </row>
    <row r="65106" spans="16:16">
      <c r="P65106" s="2498"/>
    </row>
    <row r="65107" spans="16:16">
      <c r="P65107" s="2498"/>
    </row>
    <row r="65108" spans="16:16">
      <c r="P65108" s="2498"/>
    </row>
    <row r="65109" spans="16:16">
      <c r="P65109" s="2498"/>
    </row>
    <row r="65110" spans="16:16">
      <c r="P65110" s="2498"/>
    </row>
    <row r="65111" spans="16:16">
      <c r="P65111" s="2498"/>
    </row>
    <row r="65112" spans="16:16">
      <c r="P65112" s="2498"/>
    </row>
    <row r="65113" spans="16:16">
      <c r="P65113" s="2498"/>
    </row>
    <row r="65114" spans="16:16">
      <c r="P65114" s="2498"/>
    </row>
    <row r="65115" spans="16:16">
      <c r="P65115" s="2498"/>
    </row>
    <row r="65116" spans="16:16">
      <c r="P65116" s="2498"/>
    </row>
    <row r="65117" spans="16:16">
      <c r="P65117" s="2498"/>
    </row>
    <row r="65118" spans="16:16">
      <c r="P65118" s="2498"/>
    </row>
    <row r="65119" spans="16:16">
      <c r="P65119" s="2498"/>
    </row>
    <row r="65120" spans="16:16">
      <c r="P65120" s="2498"/>
    </row>
    <row r="65121" spans="16:16">
      <c r="P65121" s="2498"/>
    </row>
    <row r="65122" spans="16:16">
      <c r="P65122" s="2498"/>
    </row>
    <row r="65123" spans="16:16">
      <c r="P65123" s="2498"/>
    </row>
    <row r="65124" spans="16:16">
      <c r="P65124" s="2498"/>
    </row>
    <row r="65125" spans="16:16">
      <c r="P65125" s="2498"/>
    </row>
    <row r="65126" spans="16:16">
      <c r="P65126" s="2498"/>
    </row>
    <row r="65127" spans="16:16">
      <c r="P65127" s="2498"/>
    </row>
    <row r="65128" spans="16:16">
      <c r="P65128" s="2498"/>
    </row>
    <row r="65129" spans="16:16">
      <c r="P65129" s="2498"/>
    </row>
    <row r="65130" spans="16:16">
      <c r="P65130" s="2498"/>
    </row>
    <row r="65131" spans="16:16">
      <c r="P65131" s="2498"/>
    </row>
    <row r="65132" spans="16:16">
      <c r="P65132" s="2498"/>
    </row>
    <row r="65133" spans="16:16">
      <c r="P65133" s="2498"/>
    </row>
    <row r="65134" spans="16:16">
      <c r="P65134" s="2498"/>
    </row>
    <row r="65135" spans="16:16">
      <c r="P65135" s="2498"/>
    </row>
    <row r="65136" spans="16:16">
      <c r="P65136" s="2498"/>
    </row>
    <row r="65137" spans="16:16">
      <c r="P65137" s="2498"/>
    </row>
    <row r="65138" spans="16:16">
      <c r="P65138" s="2498"/>
    </row>
    <row r="65139" spans="16:16">
      <c r="P65139" s="2498"/>
    </row>
    <row r="65140" spans="16:16">
      <c r="P65140" s="2498"/>
    </row>
    <row r="65141" spans="16:16">
      <c r="P65141" s="2498"/>
    </row>
    <row r="65142" spans="16:16">
      <c r="P65142" s="2498"/>
    </row>
    <row r="65143" spans="16:16">
      <c r="P65143" s="2498"/>
    </row>
    <row r="65144" spans="16:16">
      <c r="P65144" s="2498"/>
    </row>
    <row r="65145" spans="16:16">
      <c r="P65145" s="2498"/>
    </row>
    <row r="65146" spans="16:16">
      <c r="P65146" s="2498"/>
    </row>
    <row r="65147" spans="16:16">
      <c r="P65147" s="2498"/>
    </row>
    <row r="65148" spans="16:16">
      <c r="P65148" s="2498"/>
    </row>
    <row r="65149" spans="16:16">
      <c r="P65149" s="2498"/>
    </row>
    <row r="65150" spans="16:16">
      <c r="P65150" s="2498"/>
    </row>
    <row r="65151" spans="16:16">
      <c r="P65151" s="2498"/>
    </row>
    <row r="65152" spans="16:16">
      <c r="P65152" s="2498"/>
    </row>
    <row r="65153" spans="16:16">
      <c r="P65153" s="2498"/>
    </row>
    <row r="65154" spans="16:16">
      <c r="P65154" s="2498"/>
    </row>
    <row r="65155" spans="16:16">
      <c r="P65155" s="2498"/>
    </row>
    <row r="65156" spans="16:16">
      <c r="P65156" s="2498"/>
    </row>
    <row r="65157" spans="16:16">
      <c r="P65157" s="2498"/>
    </row>
    <row r="65158" spans="16:16">
      <c r="P65158" s="2498"/>
    </row>
    <row r="65159" spans="16:16">
      <c r="P65159" s="2498"/>
    </row>
    <row r="65160" spans="16:16">
      <c r="P65160" s="2498"/>
    </row>
    <row r="65161" spans="16:16">
      <c r="P65161" s="2498"/>
    </row>
    <row r="65162" spans="16:16">
      <c r="P65162" s="2498"/>
    </row>
    <row r="65163" spans="16:16">
      <c r="P65163" s="2498"/>
    </row>
    <row r="65164" spans="16:16">
      <c r="P65164" s="2498"/>
    </row>
    <row r="65165" spans="16:16">
      <c r="P65165" s="2498"/>
    </row>
    <row r="65166" spans="16:16">
      <c r="P65166" s="2498"/>
    </row>
    <row r="65167" spans="16:16">
      <c r="P65167" s="2498"/>
    </row>
    <row r="65168" spans="16:16">
      <c r="P65168" s="2498"/>
    </row>
    <row r="65169" spans="16:16">
      <c r="P65169" s="2498"/>
    </row>
    <row r="65170" spans="16:16">
      <c r="P65170" s="2498"/>
    </row>
    <row r="65171" spans="16:16">
      <c r="P65171" s="2498"/>
    </row>
    <row r="65172" spans="16:16">
      <c r="P65172" s="2498"/>
    </row>
    <row r="65173" spans="16:16">
      <c r="P65173" s="2498"/>
    </row>
    <row r="65174" spans="16:16">
      <c r="P65174" s="2498"/>
    </row>
    <row r="65175" spans="16:16">
      <c r="P65175" s="2498"/>
    </row>
    <row r="65176" spans="16:16">
      <c r="P65176" s="2498"/>
    </row>
    <row r="65177" spans="16:16">
      <c r="P65177" s="2498"/>
    </row>
    <row r="65178" spans="16:16">
      <c r="P65178" s="2498"/>
    </row>
    <row r="65179" spans="16:16">
      <c r="P65179" s="2498"/>
    </row>
    <row r="65180" spans="16:16">
      <c r="P65180" s="2498"/>
    </row>
    <row r="65181" spans="16:16">
      <c r="P65181" s="2498"/>
    </row>
    <row r="65182" spans="16:16">
      <c r="P65182" s="2498"/>
    </row>
    <row r="65183" spans="16:16">
      <c r="P65183" s="2498"/>
    </row>
    <row r="65184" spans="16:16">
      <c r="P65184" s="2498"/>
    </row>
    <row r="65185" spans="16:16">
      <c r="P65185" s="2498"/>
    </row>
    <row r="65186" spans="16:16">
      <c r="P65186" s="2498"/>
    </row>
    <row r="65187" spans="16:16">
      <c r="P65187" s="2498"/>
    </row>
    <row r="65188" spans="16:16">
      <c r="P65188" s="2498"/>
    </row>
    <row r="65189" spans="16:16">
      <c r="P65189" s="2498"/>
    </row>
    <row r="65190" spans="16:16">
      <c r="P65190" s="2498"/>
    </row>
    <row r="65191" spans="16:16">
      <c r="P65191" s="2498"/>
    </row>
    <row r="65192" spans="16:16">
      <c r="P65192" s="2498"/>
    </row>
    <row r="65193" spans="16:16">
      <c r="P65193" s="2498"/>
    </row>
    <row r="65194" spans="16:16">
      <c r="P65194" s="2498"/>
    </row>
    <row r="65195" spans="16:16">
      <c r="P65195" s="2498"/>
    </row>
    <row r="65196" spans="16:16">
      <c r="P65196" s="2498"/>
    </row>
    <row r="65197" spans="16:16">
      <c r="P65197" s="2498"/>
    </row>
    <row r="65198" spans="16:16">
      <c r="P65198" s="2498"/>
    </row>
    <row r="65199" spans="16:16">
      <c r="P65199" s="2498"/>
    </row>
    <row r="65200" spans="16:16">
      <c r="P65200" s="2498"/>
    </row>
    <row r="65201" spans="16:16">
      <c r="P65201" s="2498"/>
    </row>
    <row r="65202" spans="16:16">
      <c r="P65202" s="2498"/>
    </row>
    <row r="65203" spans="16:16">
      <c r="P65203" s="2498"/>
    </row>
    <row r="65204" spans="16:16">
      <c r="P65204" s="2498"/>
    </row>
    <row r="65205" spans="16:16">
      <c r="P65205" s="2498"/>
    </row>
    <row r="65206" spans="16:16">
      <c r="P65206" s="2498"/>
    </row>
    <row r="65207" spans="16:16">
      <c r="P65207" s="2498"/>
    </row>
    <row r="65208" spans="16:16">
      <c r="P65208" s="2498"/>
    </row>
    <row r="65209" spans="16:16">
      <c r="P65209" s="2498"/>
    </row>
    <row r="65210" spans="16:16">
      <c r="P65210" s="2498"/>
    </row>
    <row r="65211" spans="16:16">
      <c r="P65211" s="2498"/>
    </row>
    <row r="65212" spans="16:16">
      <c r="P65212" s="2498"/>
    </row>
    <row r="65213" spans="16:16">
      <c r="P65213" s="2498"/>
    </row>
    <row r="65214" spans="16:16">
      <c r="P65214" s="2498"/>
    </row>
    <row r="65215" spans="16:16">
      <c r="P65215" s="2498"/>
    </row>
    <row r="65216" spans="16:16">
      <c r="P65216" s="2498"/>
    </row>
    <row r="65217" spans="16:16">
      <c r="P65217" s="2498"/>
    </row>
    <row r="65218" spans="16:16">
      <c r="P65218" s="2498"/>
    </row>
    <row r="65219" spans="16:16">
      <c r="P65219" s="2498"/>
    </row>
    <row r="65220" spans="16:16">
      <c r="P65220" s="2498"/>
    </row>
    <row r="65221" spans="16:16">
      <c r="P65221" s="2498"/>
    </row>
    <row r="65222" spans="16:16">
      <c r="P65222" s="2498"/>
    </row>
    <row r="65223" spans="16:16">
      <c r="P65223" s="2498"/>
    </row>
    <row r="65224" spans="16:16">
      <c r="P65224" s="2498"/>
    </row>
    <row r="65225" spans="16:16">
      <c r="P65225" s="2498"/>
    </row>
    <row r="65226" spans="16:16">
      <c r="P65226" s="2498"/>
    </row>
    <row r="65227" spans="16:16">
      <c r="P65227" s="2498"/>
    </row>
    <row r="65228" spans="16:16">
      <c r="P65228" s="2498"/>
    </row>
    <row r="65229" spans="16:16">
      <c r="P65229" s="2498"/>
    </row>
    <row r="65230" spans="16:16">
      <c r="P65230" s="2498"/>
    </row>
    <row r="65231" spans="16:16">
      <c r="P65231" s="2498"/>
    </row>
    <row r="65232" spans="16:16">
      <c r="P65232" s="2498"/>
    </row>
    <row r="65233" spans="16:16">
      <c r="P65233" s="2498"/>
    </row>
    <row r="65234" spans="16:16">
      <c r="P65234" s="2498"/>
    </row>
    <row r="65235" spans="16:16">
      <c r="P65235" s="2498"/>
    </row>
    <row r="65236" spans="16:16">
      <c r="P65236" s="2498"/>
    </row>
    <row r="65237" spans="16:16">
      <c r="P65237" s="2498"/>
    </row>
    <row r="65238" spans="16:16">
      <c r="P65238" s="2498"/>
    </row>
    <row r="65239" spans="16:16">
      <c r="P65239" s="2498"/>
    </row>
    <row r="65240" spans="16:16">
      <c r="P65240" s="2498"/>
    </row>
    <row r="65241" spans="16:16">
      <c r="P65241" s="2498"/>
    </row>
    <row r="65242" spans="16:16">
      <c r="P65242" s="2498"/>
    </row>
    <row r="65243" spans="16:16">
      <c r="P65243" s="2498"/>
    </row>
    <row r="65244" spans="16:16">
      <c r="P65244" s="2498"/>
    </row>
    <row r="65245" spans="16:16">
      <c r="P65245" s="2498"/>
    </row>
    <row r="65246" spans="16:16">
      <c r="P65246" s="2498"/>
    </row>
    <row r="65247" spans="16:16">
      <c r="P65247" s="2498"/>
    </row>
    <row r="65248" spans="16:16">
      <c r="P65248" s="2498"/>
    </row>
    <row r="65249" spans="16:16">
      <c r="P65249" s="2498"/>
    </row>
    <row r="65250" spans="16:16">
      <c r="P65250" s="2498"/>
    </row>
    <row r="65251" spans="16:16">
      <c r="P65251" s="2498"/>
    </row>
    <row r="65252" spans="16:16">
      <c r="P65252" s="2498"/>
    </row>
    <row r="65253" spans="16:16">
      <c r="P65253" s="2498"/>
    </row>
    <row r="65254" spans="16:16">
      <c r="P65254" s="2498"/>
    </row>
    <row r="65255" spans="16:16">
      <c r="P65255" s="2498"/>
    </row>
    <row r="65256" spans="16:16">
      <c r="P65256" s="2498"/>
    </row>
    <row r="65257" spans="16:16">
      <c r="P65257" s="2498"/>
    </row>
    <row r="65258" spans="16:16">
      <c r="P65258" s="2498"/>
    </row>
    <row r="65259" spans="16:16">
      <c r="P65259" s="2498"/>
    </row>
    <row r="65260" spans="16:16">
      <c r="P65260" s="2498"/>
    </row>
    <row r="65261" spans="16:16">
      <c r="P65261" s="2498"/>
    </row>
    <row r="65262" spans="16:16">
      <c r="P65262" s="2498"/>
    </row>
    <row r="65263" spans="16:16">
      <c r="P65263" s="2498"/>
    </row>
    <row r="65264" spans="16:16">
      <c r="P65264" s="2498"/>
    </row>
    <row r="65265" spans="16:16">
      <c r="P65265" s="2498"/>
    </row>
    <row r="65266" spans="16:16">
      <c r="P65266" s="2498"/>
    </row>
    <row r="65267" spans="16:16">
      <c r="P65267" s="2498"/>
    </row>
    <row r="65268" spans="16:16">
      <c r="P65268" s="2498"/>
    </row>
    <row r="65269" spans="16:16">
      <c r="P65269" s="2498"/>
    </row>
    <row r="65270" spans="16:16">
      <c r="P65270" s="2498"/>
    </row>
    <row r="65271" spans="16:16">
      <c r="P65271" s="2498"/>
    </row>
    <row r="65272" spans="16:16">
      <c r="P65272" s="2498"/>
    </row>
    <row r="65273" spans="16:16">
      <c r="P65273" s="2498"/>
    </row>
    <row r="65274" spans="16:16">
      <c r="P65274" s="2498"/>
    </row>
    <row r="65275" spans="16:16">
      <c r="P65275" s="2498"/>
    </row>
    <row r="65276" spans="16:16">
      <c r="P65276" s="2498"/>
    </row>
    <row r="65277" spans="16:16">
      <c r="P65277" s="2498"/>
    </row>
    <row r="65278" spans="16:16">
      <c r="P65278" s="2498"/>
    </row>
    <row r="65279" spans="16:16">
      <c r="P65279" s="2498"/>
    </row>
    <row r="65280" spans="16:16">
      <c r="P65280" s="2498"/>
    </row>
    <row r="65281" spans="16:16">
      <c r="P65281" s="2498"/>
    </row>
    <row r="65282" spans="16:16">
      <c r="P65282" s="2498"/>
    </row>
    <row r="65283" spans="16:16">
      <c r="P65283" s="2498"/>
    </row>
    <row r="65284" spans="16:16">
      <c r="P65284" s="2498"/>
    </row>
    <row r="65285" spans="16:16">
      <c r="P65285" s="2498"/>
    </row>
    <row r="65286" spans="16:16">
      <c r="P65286" s="2498"/>
    </row>
    <row r="65287" spans="16:16">
      <c r="P65287" s="2498"/>
    </row>
    <row r="65288" spans="16:16">
      <c r="P65288" s="2498"/>
    </row>
    <row r="65289" spans="16:16">
      <c r="P65289" s="2498"/>
    </row>
    <row r="65290" spans="16:16">
      <c r="P65290" s="2498"/>
    </row>
    <row r="65291" spans="16:16">
      <c r="P65291" s="2498"/>
    </row>
    <row r="65292" spans="16:16">
      <c r="P65292" s="2498"/>
    </row>
    <row r="65293" spans="16:16">
      <c r="P65293" s="2498"/>
    </row>
    <row r="65294" spans="16:16">
      <c r="P65294" s="2498"/>
    </row>
    <row r="65295" spans="16:16">
      <c r="P65295" s="2498"/>
    </row>
    <row r="65296" spans="16:16">
      <c r="P65296" s="2498"/>
    </row>
    <row r="65297" spans="16:16">
      <c r="P65297" s="2498"/>
    </row>
    <row r="65298" spans="16:16">
      <c r="P65298" s="2498"/>
    </row>
    <row r="65299" spans="16:16">
      <c r="P65299" s="2498"/>
    </row>
    <row r="65300" spans="16:16">
      <c r="P65300" s="2498"/>
    </row>
    <row r="65301" spans="16:16">
      <c r="P65301" s="2498"/>
    </row>
    <row r="65302" spans="16:16">
      <c r="P65302" s="2498"/>
    </row>
    <row r="65303" spans="16:16">
      <c r="P65303" s="2498"/>
    </row>
    <row r="65304" spans="16:16">
      <c r="P65304" s="2498"/>
    </row>
    <row r="65305" spans="16:16">
      <c r="P65305" s="2498"/>
    </row>
    <row r="65306" spans="16:16">
      <c r="P65306" s="2498"/>
    </row>
    <row r="65307" spans="16:16">
      <c r="P65307" s="2498"/>
    </row>
    <row r="65308" spans="16:16">
      <c r="P65308" s="2498"/>
    </row>
    <row r="65309" spans="16:16">
      <c r="P65309" s="2498"/>
    </row>
    <row r="65310" spans="16:16">
      <c r="P65310" s="2498"/>
    </row>
    <row r="65311" spans="16:16">
      <c r="P65311" s="2498"/>
    </row>
    <row r="65312" spans="16:16">
      <c r="P65312" s="2498"/>
    </row>
    <row r="65313" spans="16:16">
      <c r="P65313" s="2498"/>
    </row>
    <row r="65314" spans="16:16">
      <c r="P65314" s="2498"/>
    </row>
    <row r="65315" spans="16:16">
      <c r="P65315" s="2498"/>
    </row>
    <row r="65316" spans="16:16">
      <c r="P65316" s="2498"/>
    </row>
    <row r="65317" spans="16:16">
      <c r="P65317" s="2498"/>
    </row>
    <row r="65318" spans="16:16">
      <c r="P65318" s="2498"/>
    </row>
    <row r="65319" spans="16:16">
      <c r="P65319" s="2498"/>
    </row>
    <row r="65320" spans="16:16">
      <c r="P65320" s="2498"/>
    </row>
    <row r="65321" spans="16:16">
      <c r="P65321" s="2498"/>
    </row>
    <row r="65322" spans="16:16">
      <c r="P65322" s="2498"/>
    </row>
    <row r="65323" spans="16:16">
      <c r="P65323" s="2498"/>
    </row>
    <row r="65324" spans="16:16">
      <c r="P65324" s="2498"/>
    </row>
    <row r="65325" spans="16:16">
      <c r="P65325" s="2498"/>
    </row>
    <row r="65326" spans="16:16">
      <c r="P65326" s="2498"/>
    </row>
    <row r="65327" spans="16:16">
      <c r="P65327" s="2498"/>
    </row>
    <row r="65328" spans="16:16">
      <c r="P65328" s="2498"/>
    </row>
    <row r="65329" spans="16:16">
      <c r="P65329" s="2498"/>
    </row>
    <row r="65330" spans="16:16">
      <c r="P65330" s="2498"/>
    </row>
    <row r="65331" spans="16:16">
      <c r="P65331" s="2498"/>
    </row>
    <row r="65332" spans="16:16">
      <c r="P65332" s="2498"/>
    </row>
    <row r="65333" spans="16:16">
      <c r="P65333" s="2498"/>
    </row>
    <row r="65334" spans="16:16">
      <c r="P65334" s="2498"/>
    </row>
    <row r="65335" spans="16:16">
      <c r="P65335" s="2498"/>
    </row>
    <row r="65336" spans="16:16">
      <c r="P65336" s="2498"/>
    </row>
    <row r="65337" spans="16:16">
      <c r="P65337" s="2498"/>
    </row>
    <row r="65338" spans="16:16">
      <c r="P65338" s="2498"/>
    </row>
    <row r="65339" spans="16:16">
      <c r="P65339" s="2498"/>
    </row>
    <row r="65340" spans="16:16">
      <c r="P65340" s="2498"/>
    </row>
    <row r="65341" spans="16:16">
      <c r="P65341" s="2498"/>
    </row>
    <row r="65342" spans="16:16">
      <c r="P65342" s="2498"/>
    </row>
    <row r="65343" spans="16:16">
      <c r="P65343" s="2498"/>
    </row>
    <row r="65344" spans="16:16">
      <c r="P65344" s="2498"/>
    </row>
    <row r="65345" spans="16:16">
      <c r="P65345" s="2498"/>
    </row>
    <row r="65346" spans="16:16">
      <c r="P65346" s="2498"/>
    </row>
    <row r="65347" spans="16:16">
      <c r="P65347" s="2498"/>
    </row>
    <row r="65348" spans="16:16">
      <c r="P65348" s="2498"/>
    </row>
    <row r="65349" spans="16:16">
      <c r="P65349" s="2498"/>
    </row>
    <row r="65350" spans="16:16">
      <c r="P65350" s="2498"/>
    </row>
    <row r="65351" spans="16:16">
      <c r="P65351" s="2498"/>
    </row>
    <row r="65352" spans="16:16">
      <c r="P65352" s="2498"/>
    </row>
    <row r="65353" spans="16:16">
      <c r="P65353" s="2498"/>
    </row>
    <row r="65354" spans="16:16">
      <c r="P65354" s="2498"/>
    </row>
    <row r="65355" spans="16:16">
      <c r="P65355" s="2498"/>
    </row>
    <row r="65356" spans="16:16">
      <c r="P65356" s="2498"/>
    </row>
    <row r="65357" spans="16:16">
      <c r="P65357" s="2498"/>
    </row>
    <row r="65358" spans="16:16">
      <c r="P65358" s="2498"/>
    </row>
    <row r="65359" spans="16:16">
      <c r="P65359" s="2498"/>
    </row>
    <row r="65360" spans="16:16">
      <c r="P65360" s="2498"/>
    </row>
    <row r="65361" spans="16:16">
      <c r="P65361" s="2498"/>
    </row>
    <row r="65362" spans="16:16">
      <c r="P65362" s="2498"/>
    </row>
    <row r="65363" spans="16:16">
      <c r="P65363" s="2498"/>
    </row>
    <row r="65364" spans="16:16">
      <c r="P65364" s="2498"/>
    </row>
    <row r="65365" spans="16:16">
      <c r="P65365" s="2498"/>
    </row>
    <row r="65366" spans="16:16">
      <c r="P65366" s="2498"/>
    </row>
    <row r="65367" spans="16:16">
      <c r="P65367" s="2498"/>
    </row>
    <row r="65368" spans="16:16">
      <c r="P65368" s="2498"/>
    </row>
    <row r="65369" spans="16:16">
      <c r="P65369" s="2498"/>
    </row>
    <row r="65370" spans="16:16">
      <c r="P65370" s="2498"/>
    </row>
    <row r="65371" spans="16:16">
      <c r="P65371" s="2498"/>
    </row>
    <row r="65372" spans="16:16">
      <c r="P65372" s="2498"/>
    </row>
    <row r="65373" spans="16:16">
      <c r="P65373" s="2498"/>
    </row>
    <row r="65374" spans="16:16">
      <c r="P65374" s="2498"/>
    </row>
    <row r="65375" spans="16:16">
      <c r="P65375" s="2498"/>
    </row>
    <row r="65376" spans="16:16">
      <c r="P65376" s="2498"/>
    </row>
    <row r="65377" spans="16:16">
      <c r="P65377" s="2498"/>
    </row>
    <row r="65378" spans="16:16">
      <c r="P65378" s="2498"/>
    </row>
    <row r="65379" spans="16:16">
      <c r="P65379" s="2498"/>
    </row>
    <row r="65380" spans="16:16">
      <c r="P65380" s="2498"/>
    </row>
    <row r="65381" spans="16:16">
      <c r="P65381" s="2498"/>
    </row>
    <row r="65382" spans="16:16">
      <c r="P65382" s="2498"/>
    </row>
    <row r="65383" spans="16:16">
      <c r="P65383" s="2498"/>
    </row>
    <row r="65384" spans="16:16">
      <c r="P65384" s="2498"/>
    </row>
    <row r="65385" spans="16:16">
      <c r="P65385" s="2498"/>
    </row>
    <row r="65386" spans="16:16">
      <c r="P65386" s="2498"/>
    </row>
    <row r="65387" spans="16:16">
      <c r="P65387" s="2498"/>
    </row>
    <row r="65388" spans="16:16">
      <c r="P65388" s="2498"/>
    </row>
    <row r="65389" spans="16:16">
      <c r="P65389" s="2498"/>
    </row>
    <row r="65390" spans="16:16">
      <c r="P65390" s="2498"/>
    </row>
    <row r="65391" spans="16:16">
      <c r="P65391" s="2498"/>
    </row>
    <row r="65392" spans="16:16">
      <c r="P65392" s="2498"/>
    </row>
    <row r="65393" spans="16:16">
      <c r="P65393" s="2498"/>
    </row>
    <row r="65394" spans="16:16">
      <c r="P65394" s="2498"/>
    </row>
    <row r="65395" spans="16:16">
      <c r="P65395" s="2498"/>
    </row>
    <row r="65396" spans="16:16">
      <c r="P65396" s="2498"/>
    </row>
    <row r="65397" spans="16:16">
      <c r="P65397" s="2498"/>
    </row>
    <row r="65398" spans="16:16">
      <c r="P65398" s="2498"/>
    </row>
    <row r="65399" spans="16:16">
      <c r="P65399" s="2498"/>
    </row>
    <row r="65400" spans="16:16">
      <c r="P65400" s="2498"/>
    </row>
    <row r="65401" spans="16:16">
      <c r="P65401" s="2498"/>
    </row>
    <row r="65402" spans="16:16">
      <c r="P65402" s="2498"/>
    </row>
    <row r="65403" spans="16:16">
      <c r="P65403" s="2498"/>
    </row>
    <row r="65404" spans="16:16">
      <c r="P65404" s="2498"/>
    </row>
    <row r="65405" spans="16:16">
      <c r="P65405" s="2498"/>
    </row>
    <row r="65406" spans="16:16">
      <c r="P65406" s="2498"/>
    </row>
    <row r="65407" spans="16:16">
      <c r="P65407" s="2498"/>
    </row>
    <row r="65408" spans="16:16">
      <c r="P65408" s="2498"/>
    </row>
    <row r="65409" spans="16:16">
      <c r="P65409" s="2498"/>
    </row>
    <row r="65410" spans="16:16">
      <c r="P65410" s="2498"/>
    </row>
    <row r="65411" spans="16:16">
      <c r="P65411" s="2498"/>
    </row>
    <row r="65412" spans="16:16">
      <c r="P65412" s="2498"/>
    </row>
    <row r="65413" spans="16:16">
      <c r="P65413" s="2498"/>
    </row>
    <row r="65414" spans="16:16">
      <c r="P65414" s="2498"/>
    </row>
    <row r="65415" spans="16:16">
      <c r="P65415" s="2498"/>
    </row>
    <row r="65416" spans="16:16">
      <c r="P65416" s="2498"/>
    </row>
    <row r="65417" spans="16:16">
      <c r="P65417" s="2498"/>
    </row>
    <row r="65418" spans="16:16">
      <c r="P65418" s="2498"/>
    </row>
    <row r="65419" spans="16:16">
      <c r="P65419" s="2498"/>
    </row>
    <row r="65420" spans="16:16">
      <c r="P65420" s="2498"/>
    </row>
    <row r="65421" spans="16:16">
      <c r="P65421" s="2498"/>
    </row>
    <row r="65422" spans="16:16">
      <c r="P65422" s="2498"/>
    </row>
    <row r="65423" spans="16:16">
      <c r="P65423" s="2498"/>
    </row>
    <row r="65424" spans="16:16">
      <c r="P65424" s="2498"/>
    </row>
    <row r="65425" spans="16:16">
      <c r="P65425" s="2498"/>
    </row>
    <row r="65426" spans="16:16">
      <c r="P65426" s="2498"/>
    </row>
    <row r="65427" spans="16:16">
      <c r="P65427" s="2498"/>
    </row>
    <row r="65428" spans="16:16">
      <c r="P65428" s="2498"/>
    </row>
    <row r="65429" spans="16:16">
      <c r="P65429" s="2498"/>
    </row>
    <row r="65430" spans="16:16">
      <c r="P65430" s="2498"/>
    </row>
    <row r="65431" spans="16:16">
      <c r="P65431" s="2498"/>
    </row>
    <row r="65432" spans="16:16">
      <c r="P65432" s="2498"/>
    </row>
    <row r="65433" spans="16:16">
      <c r="P65433" s="2498"/>
    </row>
    <row r="65434" spans="16:16">
      <c r="P65434" s="2498"/>
    </row>
    <row r="65435" spans="16:16">
      <c r="P65435" s="2498"/>
    </row>
    <row r="65436" spans="16:16">
      <c r="P65436" s="2498"/>
    </row>
    <row r="65437" spans="16:16">
      <c r="P65437" s="2498"/>
    </row>
    <row r="65438" spans="16:16">
      <c r="P65438" s="2498"/>
    </row>
    <row r="65439" spans="16:16">
      <c r="P65439" s="2498"/>
    </row>
    <row r="65440" spans="16:16">
      <c r="P65440" s="2498"/>
    </row>
    <row r="65441" spans="16:16">
      <c r="P65441" s="2498"/>
    </row>
    <row r="65442" spans="16:16">
      <c r="P65442" s="2498"/>
    </row>
    <row r="65443" spans="16:16">
      <c r="P65443" s="2498"/>
    </row>
    <row r="65444" spans="16:16">
      <c r="P65444" s="2498"/>
    </row>
    <row r="65445" spans="16:16">
      <c r="P65445" s="2498"/>
    </row>
    <row r="65446" spans="16:16">
      <c r="P65446" s="2498"/>
    </row>
    <row r="65447" spans="16:16">
      <c r="P65447" s="2498"/>
    </row>
    <row r="65448" spans="16:16">
      <c r="P65448" s="2498"/>
    </row>
    <row r="65449" spans="16:16">
      <c r="P65449" s="2498"/>
    </row>
    <row r="65450" spans="16:16">
      <c r="P65450" s="2498"/>
    </row>
    <row r="65451" spans="16:16">
      <c r="P65451" s="2498"/>
    </row>
    <row r="65452" spans="16:16">
      <c r="P65452" s="2498"/>
    </row>
    <row r="65453" spans="16:16">
      <c r="P65453" s="2498"/>
    </row>
    <row r="65454" spans="16:16">
      <c r="P65454" s="2498"/>
    </row>
    <row r="65455" spans="16:16">
      <c r="P65455" s="2498"/>
    </row>
    <row r="65456" spans="16:16">
      <c r="P65456" s="2498"/>
    </row>
    <row r="65457" spans="16:16">
      <c r="P65457" s="2498"/>
    </row>
    <row r="65458" spans="16:16">
      <c r="P65458" s="2498"/>
    </row>
    <row r="65459" spans="16:16">
      <c r="P65459" s="2498"/>
    </row>
    <row r="65460" spans="16:16">
      <c r="P65460" s="2498"/>
    </row>
    <row r="65461" spans="16:16">
      <c r="P65461" s="2498"/>
    </row>
    <row r="65462" spans="16:16">
      <c r="P65462" s="2498"/>
    </row>
    <row r="65463" spans="16:16">
      <c r="P65463" s="2498"/>
    </row>
    <row r="65464" spans="16:16">
      <c r="P65464" s="2498"/>
    </row>
    <row r="65465" spans="16:16">
      <c r="P65465" s="2498"/>
    </row>
    <row r="65466" spans="16:16">
      <c r="P65466" s="2498"/>
    </row>
    <row r="65467" spans="16:16">
      <c r="P65467" s="2498"/>
    </row>
    <row r="65468" spans="16:16">
      <c r="P65468" s="2498"/>
    </row>
    <row r="65469" spans="16:16">
      <c r="P65469" s="2498"/>
    </row>
    <row r="65470" spans="16:16">
      <c r="P65470" s="2498"/>
    </row>
    <row r="65471" spans="16:16">
      <c r="P65471" s="2498"/>
    </row>
    <row r="65472" spans="16:16">
      <c r="P65472" s="2498"/>
    </row>
    <row r="65473" spans="16:16">
      <c r="P65473" s="2498"/>
    </row>
    <row r="65474" spans="16:16">
      <c r="P65474" s="2498"/>
    </row>
    <row r="65475" spans="16:16">
      <c r="P65475" s="2498"/>
    </row>
    <row r="65476" spans="16:16">
      <c r="P65476" s="2498"/>
    </row>
    <row r="65477" spans="16:16">
      <c r="P65477" s="2498"/>
    </row>
    <row r="65478" spans="16:16">
      <c r="P65478" s="2498"/>
    </row>
    <row r="65479" spans="16:16">
      <c r="P65479" s="2498"/>
    </row>
    <row r="65480" spans="16:16">
      <c r="P65480" s="2498"/>
    </row>
    <row r="65481" spans="16:16">
      <c r="P65481" s="2498"/>
    </row>
    <row r="65482" spans="16:16">
      <c r="P65482" s="2498"/>
    </row>
    <row r="65483" spans="16:16">
      <c r="P65483" s="2498"/>
    </row>
    <row r="65484" spans="16:16">
      <c r="P65484" s="2498"/>
    </row>
    <row r="65485" spans="16:16">
      <c r="P65485" s="2498"/>
    </row>
    <row r="65486" spans="16:16">
      <c r="P65486" s="2498"/>
    </row>
    <row r="65487" spans="16:16">
      <c r="P65487" s="2498"/>
    </row>
    <row r="65488" spans="16:16">
      <c r="P65488" s="2498"/>
    </row>
    <row r="65489" spans="16:16">
      <c r="P65489" s="2498"/>
    </row>
    <row r="65490" spans="16:16">
      <c r="P65490" s="2498"/>
    </row>
    <row r="65491" spans="16:16">
      <c r="P65491" s="2498"/>
    </row>
    <row r="65492" spans="16:16">
      <c r="P65492" s="2498"/>
    </row>
    <row r="65493" spans="16:16">
      <c r="P65493" s="2498"/>
    </row>
    <row r="65494" spans="16:16">
      <c r="P65494" s="2498"/>
    </row>
    <row r="65495" spans="16:16">
      <c r="P65495" s="2498"/>
    </row>
    <row r="65496" spans="16:16">
      <c r="P65496" s="2498"/>
    </row>
    <row r="65497" spans="16:16">
      <c r="P65497" s="2498"/>
    </row>
    <row r="65498" spans="16:16">
      <c r="P65498" s="2498"/>
    </row>
    <row r="65499" spans="16:16">
      <c r="P65499" s="2498"/>
    </row>
    <row r="65500" spans="16:16">
      <c r="P65500" s="2498"/>
    </row>
    <row r="65501" spans="16:16">
      <c r="P65501" s="2498"/>
    </row>
    <row r="65502" spans="16:16">
      <c r="P65502" s="2498"/>
    </row>
    <row r="65503" spans="16:16">
      <c r="P65503" s="2498"/>
    </row>
    <row r="65504" spans="16:16">
      <c r="P65504" s="2498"/>
    </row>
    <row r="65505" spans="16:16">
      <c r="P65505" s="2498"/>
    </row>
    <row r="65506" spans="16:16">
      <c r="P65506" s="2498"/>
    </row>
    <row r="65507" spans="16:16">
      <c r="P65507" s="2498"/>
    </row>
    <row r="65508" spans="16:16">
      <c r="P65508" s="2498"/>
    </row>
    <row r="65509" spans="16:16">
      <c r="P65509" s="2498"/>
    </row>
    <row r="65510" spans="16:16">
      <c r="P65510" s="2498"/>
    </row>
    <row r="65511" spans="16:16">
      <c r="P65511" s="2498"/>
    </row>
    <row r="65512" spans="16:16">
      <c r="P65512" s="2498"/>
    </row>
    <row r="65513" spans="16:16">
      <c r="P65513" s="2498"/>
    </row>
    <row r="65514" spans="16:16">
      <c r="P65514" s="2498"/>
    </row>
    <row r="65515" spans="16:16">
      <c r="P65515" s="2498"/>
    </row>
    <row r="65516" spans="16:16">
      <c r="P65516" s="2498"/>
    </row>
    <row r="65517" spans="16:16">
      <c r="P65517" s="2498"/>
    </row>
    <row r="65518" spans="16:16">
      <c r="P65518" s="2498"/>
    </row>
    <row r="65519" spans="16:16">
      <c r="P65519" s="2498"/>
    </row>
    <row r="65520" spans="16:16">
      <c r="P65520" s="2498"/>
    </row>
    <row r="65521" spans="16:16">
      <c r="P65521" s="2498"/>
    </row>
    <row r="65522" spans="16:16">
      <c r="P65522" s="2498"/>
    </row>
    <row r="65523" spans="16:16">
      <c r="P65523" s="2498"/>
    </row>
    <row r="65524" spans="16:16">
      <c r="P65524" s="2498"/>
    </row>
    <row r="65525" spans="16:16">
      <c r="P65525" s="2498"/>
    </row>
    <row r="65526" spans="16:16">
      <c r="P65526" s="2498"/>
    </row>
    <row r="65527" spans="16:16">
      <c r="P65527" s="2498"/>
    </row>
    <row r="65528" spans="16:16">
      <c r="P65528" s="2498"/>
    </row>
    <row r="65529" spans="16:16">
      <c r="P65529" s="2498"/>
    </row>
    <row r="65530" spans="16:16">
      <c r="P65530" s="2498"/>
    </row>
    <row r="65531" spans="16:16">
      <c r="P65531" s="2498"/>
    </row>
    <row r="65532" spans="16:16">
      <c r="P65532" s="2498"/>
    </row>
    <row r="65533" spans="16:16">
      <c r="P65533" s="2498"/>
    </row>
    <row r="65534" spans="16:16">
      <c r="P65534" s="2498"/>
    </row>
    <row r="65535" spans="16:16">
      <c r="P65535" s="2498"/>
    </row>
    <row r="65536" spans="16:16">
      <c r="P65536" s="2498"/>
    </row>
  </sheetData>
  <mergeCells count="7">
    <mergeCell ref="Q9:S9"/>
    <mergeCell ref="D9:E9"/>
    <mergeCell ref="G9:H9"/>
    <mergeCell ref="B4:I4"/>
    <mergeCell ref="B5:I5"/>
    <mergeCell ref="J9:K9"/>
    <mergeCell ref="M9:O9"/>
  </mergeCells>
  <hyperlinks>
    <hyperlink ref="A2" r:id="rId1" xr:uid="{00000000-0004-0000-1B00-000000000000}"/>
  </hyperlinks>
  <pageMargins left="0.7" right="0.7" top="0.75" bottom="0.75" header="0.3" footer="0.3"/>
</worksheet>
</file>

<file path=xl/worksheets/sheet2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C00-000000000000}">
  <sheetPr>
    <tabColor rgb="FF00B0F0"/>
  </sheetPr>
  <dimension ref="A1:AV98"/>
  <sheetViews>
    <sheetView topLeftCell="A65" zoomScale="90" zoomScaleNormal="90" workbookViewId="0">
      <selection activeCell="I106" sqref="I106"/>
    </sheetView>
  </sheetViews>
  <sheetFormatPr defaultRowHeight="13.2"/>
  <cols>
    <col min="1" max="1" width="13" customWidth="1"/>
    <col min="16" max="16" width="13.109375" customWidth="1"/>
    <col min="21" max="22" width="16.6640625" customWidth="1"/>
    <col min="24" max="24" width="15.44140625" customWidth="1"/>
    <col min="26" max="26" width="11.44140625" bestFit="1" customWidth="1"/>
    <col min="30" max="30" width="16.109375" customWidth="1"/>
    <col min="31" max="31" width="16.44140625" customWidth="1"/>
    <col min="32" max="32" width="10.6640625" customWidth="1"/>
    <col min="33" max="33" width="22.44140625" customWidth="1"/>
    <col min="34" max="34" width="20.6640625" customWidth="1"/>
    <col min="35" max="35" width="14.44140625" customWidth="1"/>
    <col min="36" max="36" width="19.44140625" customWidth="1"/>
    <col min="37" max="37" width="9.6640625" bestFit="1" customWidth="1"/>
    <col min="39" max="39" width="18.44140625" customWidth="1"/>
    <col min="40" max="40" width="17.5546875" customWidth="1"/>
    <col min="41" max="42" width="17.5546875" style="754" customWidth="1"/>
    <col min="43" max="43" width="17.5546875" customWidth="1"/>
    <col min="45" max="45" width="54.5546875" bestFit="1" customWidth="1"/>
    <col min="46" max="46" width="14.88671875" customWidth="1"/>
  </cols>
  <sheetData>
    <row r="1" spans="1:48" ht="27.75" customHeight="1">
      <c r="T1" s="754"/>
      <c r="U1" s="754"/>
      <c r="V1" s="754"/>
      <c r="W1" s="754"/>
      <c r="X1" s="754"/>
      <c r="Y1" s="754"/>
      <c r="Z1" s="754"/>
    </row>
    <row r="2" spans="1:48">
      <c r="A2" s="603" t="s">
        <v>1337</v>
      </c>
    </row>
    <row r="5" spans="1:48" ht="15.6">
      <c r="A5" s="1047" t="s">
        <v>1454</v>
      </c>
      <c r="B5" s="1048"/>
      <c r="C5" s="1048"/>
      <c r="D5" s="1048"/>
      <c r="E5" s="1048"/>
      <c r="F5" s="1049"/>
      <c r="G5" s="1049"/>
      <c r="H5" s="1048"/>
      <c r="I5" s="1048"/>
      <c r="J5" s="1048"/>
      <c r="K5" s="1048"/>
      <c r="L5" s="1050"/>
      <c r="M5" s="1050"/>
      <c r="N5" s="1048"/>
      <c r="O5" s="1048"/>
      <c r="P5" s="1048"/>
    </row>
    <row r="6" spans="1:48" ht="13.8" thickBot="1">
      <c r="A6" s="1051" t="s">
        <v>1455</v>
      </c>
      <c r="B6" s="1048"/>
      <c r="C6" s="1048"/>
      <c r="D6" s="1048"/>
      <c r="E6" s="1048"/>
      <c r="F6" s="1049"/>
      <c r="G6" s="1049"/>
      <c r="H6" s="1048"/>
      <c r="I6" s="1048"/>
      <c r="J6" s="1048"/>
      <c r="K6" s="1048"/>
      <c r="L6" s="1050"/>
      <c r="M6" s="1050"/>
      <c r="N6" s="1048"/>
      <c r="O6" s="1048"/>
      <c r="P6" s="1048"/>
    </row>
    <row r="7" spans="1:48" ht="42" thickBot="1">
      <c r="A7" s="1052"/>
      <c r="B7" s="1053" t="s">
        <v>1456</v>
      </c>
      <c r="C7" s="1054"/>
      <c r="D7" s="1053" t="s">
        <v>1457</v>
      </c>
      <c r="E7" s="1055"/>
      <c r="F7" s="1053" t="s">
        <v>1458</v>
      </c>
      <c r="G7" s="1056"/>
      <c r="H7" s="1053" t="s">
        <v>1459</v>
      </c>
      <c r="I7" s="1057"/>
      <c r="J7" s="1058" t="s">
        <v>1460</v>
      </c>
      <c r="K7" s="1055"/>
      <c r="L7" s="1053" t="s">
        <v>1461</v>
      </c>
      <c r="M7" s="1059"/>
      <c r="N7" s="1053" t="s">
        <v>1462</v>
      </c>
      <c r="O7" s="1055"/>
      <c r="P7" s="1053" t="s">
        <v>1463</v>
      </c>
      <c r="S7" s="31" t="s">
        <v>1508</v>
      </c>
      <c r="T7" s="31"/>
      <c r="U7" s="31" t="s">
        <v>1509</v>
      </c>
      <c r="V7" s="765" t="s">
        <v>2091</v>
      </c>
      <c r="W7" s="754"/>
      <c r="X7" s="1116" t="s">
        <v>1834</v>
      </c>
      <c r="Y7" s="1114"/>
      <c r="Z7" s="1114"/>
      <c r="AA7" s="1114"/>
      <c r="AB7" s="1114"/>
      <c r="AC7" s="1114"/>
      <c r="AD7" s="1114"/>
      <c r="AE7" s="1114"/>
      <c r="AF7" s="1114"/>
      <c r="AG7" s="1114"/>
      <c r="AH7" s="1115"/>
    </row>
    <row r="8" spans="1:48">
      <c r="A8" s="1060" t="s">
        <v>1464</v>
      </c>
      <c r="B8" s="1061" t="s">
        <v>1465</v>
      </c>
      <c r="C8" s="1061"/>
      <c r="D8" s="1061" t="s">
        <v>1465</v>
      </c>
      <c r="E8" s="1062"/>
      <c r="F8" s="1061" t="s">
        <v>1465</v>
      </c>
      <c r="G8" s="1061"/>
      <c r="H8" s="1061" t="s">
        <v>1465</v>
      </c>
      <c r="I8" s="1063"/>
      <c r="J8" s="1063"/>
      <c r="K8" s="1063"/>
      <c r="L8" s="1064"/>
      <c r="M8" s="1064"/>
      <c r="N8" s="1065"/>
      <c r="O8" s="1063"/>
      <c r="P8" s="1063"/>
      <c r="S8" s="765" t="s">
        <v>1512</v>
      </c>
      <c r="W8" s="754"/>
      <c r="X8" s="1106" t="s">
        <v>1514</v>
      </c>
      <c r="Y8" s="69"/>
      <c r="Z8" s="69"/>
      <c r="AA8" s="69"/>
      <c r="AB8" s="69"/>
      <c r="AC8" s="69"/>
      <c r="AD8" s="1107" t="s">
        <v>1517</v>
      </c>
      <c r="AE8" s="95"/>
      <c r="AF8" s="1122"/>
      <c r="AG8" s="1123"/>
      <c r="AH8" s="1131" t="s">
        <v>1517</v>
      </c>
    </row>
    <row r="9" spans="1:48">
      <c r="A9" s="1066"/>
      <c r="B9" s="1066"/>
      <c r="C9" s="1066"/>
      <c r="D9" s="1066"/>
      <c r="E9" s="1066"/>
      <c r="F9" s="1066"/>
      <c r="G9" s="1066"/>
      <c r="H9" s="1066"/>
      <c r="I9" s="1048"/>
      <c r="J9" s="1048"/>
      <c r="K9" s="1048"/>
      <c r="L9" s="1050"/>
      <c r="M9" s="1050"/>
      <c r="N9" s="1048"/>
      <c r="O9" s="1048"/>
      <c r="P9" s="1048"/>
      <c r="W9" s="754"/>
      <c r="X9" s="308"/>
      <c r="Y9" s="543"/>
      <c r="Z9" s="543"/>
      <c r="AA9" s="543"/>
      <c r="AB9" s="543"/>
      <c r="AC9" s="543"/>
      <c r="AD9" s="543"/>
      <c r="AE9" s="547"/>
      <c r="AF9" s="1132"/>
      <c r="AG9" s="873"/>
      <c r="AH9" s="1126"/>
    </row>
    <row r="10" spans="1:48">
      <c r="A10" s="1048" t="s">
        <v>1318</v>
      </c>
      <c r="B10" s="1049">
        <v>680892</v>
      </c>
      <c r="C10" s="1049" t="s">
        <v>392</v>
      </c>
      <c r="D10" s="1049">
        <v>551132</v>
      </c>
      <c r="E10" s="1049" t="s">
        <v>392</v>
      </c>
      <c r="F10" s="1049">
        <v>2454.3317000000002</v>
      </c>
      <c r="G10" s="1049" t="s">
        <v>392</v>
      </c>
      <c r="H10" s="1049">
        <v>6308512</v>
      </c>
      <c r="I10" s="1049" t="s">
        <v>392</v>
      </c>
      <c r="J10" s="1050">
        <v>9.2651000000000003</v>
      </c>
      <c r="K10" s="1050" t="s">
        <v>392</v>
      </c>
      <c r="L10" s="1050">
        <v>41.763199999999998</v>
      </c>
      <c r="M10" s="1050" t="s">
        <v>392</v>
      </c>
      <c r="N10" s="1050">
        <v>1.2354000000000001</v>
      </c>
      <c r="O10" s="1050" t="s">
        <v>392</v>
      </c>
      <c r="P10" s="2441">
        <v>11.4465</v>
      </c>
      <c r="S10">
        <f>L10*D10</f>
        <v>23017035.942399997</v>
      </c>
      <c r="U10" s="250">
        <f>H10/S10</f>
        <v>0.27408012116707886</v>
      </c>
      <c r="V10">
        <f>U10*L10</f>
        <v>11.446462916324947</v>
      </c>
      <c r="W10" s="754"/>
      <c r="X10" s="1108"/>
      <c r="Y10" s="543"/>
      <c r="Z10" s="543"/>
      <c r="AA10" s="543"/>
      <c r="AB10" s="543"/>
      <c r="AC10" s="543"/>
      <c r="AD10" s="543"/>
      <c r="AE10" s="547"/>
      <c r="AF10" s="1132"/>
      <c r="AG10" s="873"/>
      <c r="AH10" s="1126"/>
    </row>
    <row r="11" spans="1:48" ht="15" customHeight="1">
      <c r="A11" s="1091" t="s">
        <v>1466</v>
      </c>
      <c r="B11" s="1092">
        <v>310000</v>
      </c>
      <c r="C11" s="1092" t="s">
        <v>392</v>
      </c>
      <c r="D11" s="1092">
        <v>88540</v>
      </c>
      <c r="E11" s="1092" t="s">
        <v>392</v>
      </c>
      <c r="F11" s="1092">
        <v>440.49349999999998</v>
      </c>
      <c r="G11" s="1092" t="s">
        <v>392</v>
      </c>
      <c r="H11" s="1092">
        <v>1731000</v>
      </c>
      <c r="I11" s="1092" t="s">
        <v>392</v>
      </c>
      <c r="J11" s="1093">
        <v>5.5838999999999999</v>
      </c>
      <c r="K11" s="1093" t="s">
        <v>392</v>
      </c>
      <c r="L11" s="1093">
        <v>46.6569</v>
      </c>
      <c r="M11" s="1093" t="s">
        <v>392</v>
      </c>
      <c r="N11" s="1093">
        <v>3.5011999999999999</v>
      </c>
      <c r="O11" s="1093" t="s">
        <v>392</v>
      </c>
      <c r="P11" s="1093">
        <v>19.5505</v>
      </c>
      <c r="S11" s="304">
        <f>L11*D11</f>
        <v>4131001.926</v>
      </c>
      <c r="T11" s="304"/>
      <c r="U11" s="1101">
        <f>H11/S11</f>
        <v>0.41902667464406307</v>
      </c>
      <c r="W11" s="765"/>
      <c r="X11" s="1108" t="s">
        <v>1466</v>
      </c>
      <c r="Y11" s="467" t="s">
        <v>1515</v>
      </c>
      <c r="Z11" s="543">
        <v>1</v>
      </c>
      <c r="AA11" s="543">
        <f>Z11*H11</f>
        <v>1731000</v>
      </c>
      <c r="AB11" s="561" t="s">
        <v>1515</v>
      </c>
      <c r="AC11" s="543">
        <f>AA11+AA13+AA15+AA17</f>
        <v>7368406.9999999991</v>
      </c>
      <c r="AD11" s="1109">
        <f>AC11/1000</f>
        <v>7368.4069999999992</v>
      </c>
      <c r="AE11" s="547"/>
      <c r="AF11" s="1125" t="s">
        <v>601</v>
      </c>
      <c r="AG11" s="1127" t="s">
        <v>1351</v>
      </c>
      <c r="AH11" s="1133">
        <f>AD11*AE52</f>
        <v>144.19355507409387</v>
      </c>
      <c r="AI11" s="250">
        <f>AH11/AH$19</f>
        <v>1.0699433526488472E-2</v>
      </c>
    </row>
    <row r="12" spans="1:48" ht="15" customHeight="1">
      <c r="A12" s="1091" t="s">
        <v>1401</v>
      </c>
      <c r="B12" s="1092">
        <v>131469</v>
      </c>
      <c r="C12" s="1092" t="s">
        <v>392</v>
      </c>
      <c r="D12" s="1092">
        <v>17184</v>
      </c>
      <c r="E12" s="1092" t="s">
        <v>392</v>
      </c>
      <c r="F12" s="1092">
        <v>128.17959999999999</v>
      </c>
      <c r="G12" s="1092" t="s">
        <v>392</v>
      </c>
      <c r="H12" s="1092">
        <v>590327</v>
      </c>
      <c r="I12" s="1092" t="s">
        <v>392</v>
      </c>
      <c r="J12" s="1093">
        <v>4.4901999999999997</v>
      </c>
      <c r="K12" s="1093" t="s">
        <v>392</v>
      </c>
      <c r="L12" s="1093">
        <v>69.953699999999998</v>
      </c>
      <c r="M12" s="1093" t="s">
        <v>392</v>
      </c>
      <c r="N12" s="1093">
        <v>7.6506999999999996</v>
      </c>
      <c r="O12" s="1093" t="s">
        <v>392</v>
      </c>
      <c r="P12" s="1093">
        <v>34.353299999999997</v>
      </c>
      <c r="S12" s="304">
        <f>L12*D12</f>
        <v>1202084.3807999999</v>
      </c>
      <c r="T12" s="304"/>
      <c r="U12" s="1101">
        <f>H12/S12</f>
        <v>0.49108615786782878</v>
      </c>
      <c r="W12" s="765"/>
      <c r="X12" s="1108"/>
      <c r="Y12" s="467" t="s">
        <v>1516</v>
      </c>
      <c r="Z12" s="543">
        <v>0</v>
      </c>
      <c r="AA12" s="543">
        <f>Z12*H11</f>
        <v>0</v>
      </c>
      <c r="AB12" s="561" t="s">
        <v>1516</v>
      </c>
      <c r="AC12" s="543">
        <f>AA12+AA14+AA16+AA18</f>
        <v>6108339.6630000016</v>
      </c>
      <c r="AD12" s="1109">
        <f>AC12/1000</f>
        <v>6108.3396630000016</v>
      </c>
      <c r="AE12" s="547"/>
      <c r="AF12" s="1125"/>
      <c r="AG12" s="1127" t="s">
        <v>1395</v>
      </c>
      <c r="AH12" s="1133">
        <f>AD12*AE52</f>
        <v>119.53509240302044</v>
      </c>
      <c r="AI12" s="250">
        <f t="shared" ref="AI12:AI19" si="0">AH12/AH$19</f>
        <v>8.8697291261844672E-3</v>
      </c>
    </row>
    <row r="13" spans="1:48" ht="15" customHeight="1">
      <c r="A13" s="1091" t="s">
        <v>1467</v>
      </c>
      <c r="B13" s="1092">
        <v>156454</v>
      </c>
      <c r="C13" s="1092" t="s">
        <v>392</v>
      </c>
      <c r="D13" s="1092">
        <v>82679</v>
      </c>
      <c r="E13" s="1092" t="s">
        <v>392</v>
      </c>
      <c r="F13" s="1092">
        <v>1056.3762999999999</v>
      </c>
      <c r="G13" s="1092" t="s">
        <v>392</v>
      </c>
      <c r="H13" s="1092">
        <v>4291000</v>
      </c>
      <c r="I13" s="1092" t="s">
        <v>392</v>
      </c>
      <c r="J13" s="1093">
        <v>27.426600000000001</v>
      </c>
      <c r="K13" s="1093" t="s">
        <v>392</v>
      </c>
      <c r="L13" s="1093">
        <v>119.8228</v>
      </c>
      <c r="M13" s="1093" t="s">
        <v>392</v>
      </c>
      <c r="N13" s="1093">
        <v>1.8923000000000001</v>
      </c>
      <c r="O13" s="1093" t="s">
        <v>392</v>
      </c>
      <c r="P13" s="1093">
        <v>51.899500000000003</v>
      </c>
      <c r="S13" s="304">
        <f>L13*D13</f>
        <v>9906829.2811999992</v>
      </c>
      <c r="T13" s="304"/>
      <c r="U13" s="1101">
        <f>H13/S13</f>
        <v>0.43313555510065654</v>
      </c>
      <c r="W13" s="754"/>
      <c r="X13" s="1108" t="s">
        <v>1401</v>
      </c>
      <c r="Y13" s="467" t="s">
        <v>1515</v>
      </c>
      <c r="Z13" s="543">
        <v>1</v>
      </c>
      <c r="AA13" s="543">
        <f>Z13*H12</f>
        <v>590327</v>
      </c>
      <c r="AB13" s="543"/>
      <c r="AC13" s="543">
        <f>SUM(AC11:AC12)</f>
        <v>13476746.663000001</v>
      </c>
      <c r="AD13" s="1110">
        <f>SUM(AD11:AD12)</f>
        <v>13476.746663000002</v>
      </c>
      <c r="AE13" s="547"/>
      <c r="AF13" s="1125" t="s">
        <v>602</v>
      </c>
      <c r="AG13" s="1127" t="s">
        <v>1351</v>
      </c>
      <c r="AH13" s="1133">
        <f>AD11*AE53</f>
        <v>347.94871452295007</v>
      </c>
      <c r="AI13" s="250">
        <f t="shared" si="0"/>
        <v>2.581845034441678E-2</v>
      </c>
    </row>
    <row r="14" spans="1:48" ht="15" customHeight="1">
      <c r="A14" s="1048" t="s">
        <v>1468</v>
      </c>
      <c r="B14" s="1049">
        <v>8683</v>
      </c>
      <c r="C14" s="1049" t="s">
        <v>392</v>
      </c>
      <c r="D14" s="1067" t="s">
        <v>390</v>
      </c>
      <c r="E14" s="1049" t="s">
        <v>392</v>
      </c>
      <c r="F14" s="1067" t="s">
        <v>390</v>
      </c>
      <c r="G14" s="1049" t="s">
        <v>392</v>
      </c>
      <c r="H14" s="1067" t="s">
        <v>390</v>
      </c>
      <c r="I14" s="1068" t="s">
        <v>392</v>
      </c>
      <c r="J14" s="1069" t="s">
        <v>390</v>
      </c>
      <c r="K14" s="1069" t="s">
        <v>392</v>
      </c>
      <c r="L14" s="1070" t="s">
        <v>390</v>
      </c>
      <c r="M14" s="1050" t="s">
        <v>392</v>
      </c>
      <c r="N14" s="1069" t="s">
        <v>390</v>
      </c>
      <c r="O14" s="1071" t="s">
        <v>392</v>
      </c>
      <c r="P14" s="1069" t="s">
        <v>390</v>
      </c>
      <c r="S14" s="754"/>
      <c r="U14" s="250"/>
      <c r="W14" s="754"/>
      <c r="X14" s="1108"/>
      <c r="Y14" s="467" t="s">
        <v>1516</v>
      </c>
      <c r="Z14" s="543">
        <v>0</v>
      </c>
      <c r="AA14" s="543">
        <f>Z14*H12</f>
        <v>0</v>
      </c>
      <c r="AB14" s="543"/>
      <c r="AC14" s="543"/>
      <c r="AD14" s="543"/>
      <c r="AE14" s="547"/>
      <c r="AF14" s="1125"/>
      <c r="AG14" s="1127" t="s">
        <v>1395</v>
      </c>
      <c r="AH14" s="1133">
        <f>AD12*AE53</f>
        <v>288.44619109807599</v>
      </c>
      <c r="AI14" s="250">
        <f t="shared" si="0"/>
        <v>2.1403250970799668E-2</v>
      </c>
      <c r="AR14" s="754"/>
      <c r="AS14" s="754"/>
      <c r="AT14" s="754"/>
      <c r="AU14" s="754"/>
      <c r="AV14" s="754"/>
    </row>
    <row r="15" spans="1:48" ht="15" customHeight="1">
      <c r="A15" s="1063" t="s">
        <v>1469</v>
      </c>
      <c r="B15" s="1072">
        <v>1287498</v>
      </c>
      <c r="C15" s="1072" t="s">
        <v>392</v>
      </c>
      <c r="D15" s="1072">
        <v>739535</v>
      </c>
      <c r="E15" s="1072" t="s">
        <v>392</v>
      </c>
      <c r="F15" s="1049">
        <v>4079.3811000000001</v>
      </c>
      <c r="G15" s="1049" t="s">
        <v>392</v>
      </c>
      <c r="H15" s="1072">
        <v>12920839</v>
      </c>
      <c r="I15" s="1072" t="s">
        <v>392</v>
      </c>
      <c r="J15" s="1073">
        <v>10.035600000000001</v>
      </c>
      <c r="K15" s="1073" t="s">
        <v>392</v>
      </c>
      <c r="L15" s="1073">
        <v>51.731099999999998</v>
      </c>
      <c r="M15" s="1073" t="s">
        <v>392</v>
      </c>
      <c r="N15" s="1073">
        <v>1.7410000000000001</v>
      </c>
      <c r="O15" s="1073" t="s">
        <v>392</v>
      </c>
      <c r="P15" s="1073">
        <v>17.471599999999999</v>
      </c>
      <c r="S15" s="32">
        <f>SUM(S10:S14)</f>
        <v>38256951.530399993</v>
      </c>
      <c r="U15" s="250">
        <f>H15/S15</f>
        <v>0.3377383320710422</v>
      </c>
      <c r="W15" s="754"/>
      <c r="X15" s="1108" t="s">
        <v>1832</v>
      </c>
      <c r="Y15" s="467" t="s">
        <v>1515</v>
      </c>
      <c r="Z15" s="543">
        <v>1</v>
      </c>
      <c r="AA15" s="543">
        <f>'SE Rail data'!H51*1000*Z15</f>
        <v>5047079.9999999991</v>
      </c>
      <c r="AB15" s="543"/>
      <c r="AC15" s="543"/>
      <c r="AD15" s="543"/>
      <c r="AE15" s="547"/>
      <c r="AF15" s="1125" t="s">
        <v>603</v>
      </c>
      <c r="AG15" s="1127" t="s">
        <v>1351</v>
      </c>
      <c r="AH15" s="1133">
        <f>AD11*AE54</f>
        <v>5428.9161473315316</v>
      </c>
      <c r="AI15" s="250">
        <f t="shared" si="0"/>
        <v>0.40283580919692258</v>
      </c>
      <c r="AR15" s="754"/>
      <c r="AS15" s="754"/>
      <c r="AT15" s="754"/>
      <c r="AU15" s="754"/>
      <c r="AV15" s="754"/>
    </row>
    <row r="16" spans="1:48" ht="15" customHeight="1">
      <c r="A16" s="3152" t="s">
        <v>1470</v>
      </c>
      <c r="B16" s="3152"/>
      <c r="C16" s="3152"/>
      <c r="D16" s="3152"/>
      <c r="E16" s="3152"/>
      <c r="F16" s="3152"/>
      <c r="G16" s="3152"/>
      <c r="H16" s="3152"/>
      <c r="I16" s="3152"/>
      <c r="J16" s="3152"/>
      <c r="K16" s="1066"/>
      <c r="L16" s="1050"/>
      <c r="M16" s="1050"/>
      <c r="N16" s="1066"/>
      <c r="O16" s="1066"/>
      <c r="P16" s="1066"/>
      <c r="U16" s="1101">
        <f>H15/U15</f>
        <v>38256951.530399993</v>
      </c>
      <c r="W16" s="754"/>
      <c r="X16" s="1108"/>
      <c r="Y16" s="467" t="s">
        <v>1516</v>
      </c>
      <c r="Z16" s="543">
        <v>0</v>
      </c>
      <c r="AA16" s="543">
        <f>'SE Rail data'!H51*1000*Z16</f>
        <v>0</v>
      </c>
      <c r="AB16" s="543"/>
      <c r="AC16" s="543"/>
      <c r="AD16" s="543"/>
      <c r="AE16" s="547"/>
      <c r="AF16" s="1125"/>
      <c r="AG16" s="1127" t="s">
        <v>1395</v>
      </c>
      <c r="AH16" s="1133">
        <f>AD12*AE54</f>
        <v>4500.5201028996307</v>
      </c>
      <c r="AI16" s="250">
        <f t="shared" si="0"/>
        <v>0.33394707309113941</v>
      </c>
      <c r="AR16" s="754"/>
      <c r="AS16" s="754"/>
      <c r="AT16" s="754"/>
      <c r="AU16" s="754"/>
      <c r="AV16" s="754"/>
    </row>
    <row r="17" spans="1:48" ht="15" customHeight="1">
      <c r="H17" s="170">
        <f>SUM(H11:H13)</f>
        <v>6612327</v>
      </c>
      <c r="W17" s="754"/>
      <c r="X17" s="308" t="s">
        <v>1833</v>
      </c>
      <c r="Y17" s="467" t="s">
        <v>1515</v>
      </c>
      <c r="Z17" s="543">
        <v>0</v>
      </c>
      <c r="AA17" s="543">
        <f>'SE Rail data'!K51*1000*Z17</f>
        <v>0</v>
      </c>
      <c r="AB17" s="543"/>
      <c r="AC17" s="543"/>
      <c r="AD17" s="543"/>
      <c r="AE17" s="547"/>
      <c r="AF17" s="1125" t="s">
        <v>604</v>
      </c>
      <c r="AG17" s="1127" t="s">
        <v>1351</v>
      </c>
      <c r="AH17" s="1133">
        <f>AD11*AE55</f>
        <v>1447.3485830714242</v>
      </c>
      <c r="AI17" s="250">
        <f t="shared" si="0"/>
        <v>0.10739599246493782</v>
      </c>
      <c r="AR17" s="754"/>
      <c r="AS17" s="754"/>
      <c r="AT17" s="754"/>
      <c r="AU17" s="754"/>
      <c r="AV17" s="754"/>
    </row>
    <row r="18" spans="1:48" ht="15" customHeight="1">
      <c r="W18" s="754"/>
      <c r="X18" s="308"/>
      <c r="Y18" s="467" t="s">
        <v>1516</v>
      </c>
      <c r="Z18" s="543">
        <v>1</v>
      </c>
      <c r="AA18" s="543">
        <f>'SE Rail data'!K51*1000*Z18</f>
        <v>6108339.6630000016</v>
      </c>
      <c r="AB18" s="543"/>
      <c r="AC18" s="543"/>
      <c r="AD18" s="543"/>
      <c r="AE18" s="547"/>
      <c r="AF18" s="1125"/>
      <c r="AG18" s="1127" t="s">
        <v>1395</v>
      </c>
      <c r="AH18" s="1133">
        <f>AD12*AE55</f>
        <v>1199.8382765992749</v>
      </c>
      <c r="AI18" s="250">
        <f t="shared" si="0"/>
        <v>8.9030261279110817E-2</v>
      </c>
      <c r="AR18" s="754"/>
      <c r="AS18" s="754"/>
      <c r="AT18" s="754"/>
      <c r="AU18" s="754"/>
      <c r="AV18" s="754"/>
    </row>
    <row r="19" spans="1:48" ht="13.8" thickBot="1">
      <c r="X19" s="427"/>
      <c r="Y19" s="390"/>
      <c r="Z19" s="390"/>
      <c r="AA19" s="390">
        <f>SUM(AA11:AA18)</f>
        <v>13476746.663000001</v>
      </c>
      <c r="AB19" s="390"/>
      <c r="AC19" s="390"/>
      <c r="AD19" s="390"/>
      <c r="AE19" s="428"/>
      <c r="AF19" s="1128"/>
      <c r="AG19" s="874"/>
      <c r="AH19" s="1134">
        <f>SUM(AH11:AH18)</f>
        <v>13476.746663000002</v>
      </c>
      <c r="AI19" s="754">
        <f t="shared" si="0"/>
        <v>1</v>
      </c>
      <c r="AR19" s="754"/>
      <c r="AS19" s="754"/>
      <c r="AT19" s="754"/>
      <c r="AU19" s="754"/>
      <c r="AV19" s="754"/>
    </row>
    <row r="20" spans="1:48">
      <c r="AR20" s="754"/>
      <c r="AS20" s="754"/>
      <c r="AT20" s="754"/>
      <c r="AU20" s="754"/>
      <c r="AV20" s="754"/>
    </row>
    <row r="21" spans="1:48">
      <c r="Q21" s="754"/>
      <c r="R21" s="754"/>
      <c r="S21" s="754"/>
      <c r="T21" s="754"/>
      <c r="AR21" s="754"/>
      <c r="AS21" s="754"/>
      <c r="AT21" s="754"/>
      <c r="AU21" s="754"/>
      <c r="AV21" s="754"/>
    </row>
    <row r="22" spans="1:48" ht="15.6">
      <c r="A22" s="1047" t="s">
        <v>1471</v>
      </c>
      <c r="B22" s="1048"/>
      <c r="C22" s="1074"/>
      <c r="D22" s="1048"/>
      <c r="E22" s="1074"/>
      <c r="F22" s="1048"/>
      <c r="G22" s="1074"/>
      <c r="H22" s="1048"/>
      <c r="I22" s="1074"/>
      <c r="J22" s="1048"/>
      <c r="Q22" s="754"/>
      <c r="R22" s="754"/>
      <c r="S22" s="754"/>
      <c r="T22" s="754"/>
      <c r="AR22" s="754"/>
      <c r="AS22" s="754"/>
      <c r="AT22" s="754"/>
      <c r="AU22" s="754"/>
      <c r="AV22" s="754"/>
    </row>
    <row r="23" spans="1:48" ht="29.25" customHeight="1">
      <c r="A23" s="1075" t="s">
        <v>1472</v>
      </c>
      <c r="B23" s="1048"/>
      <c r="C23" s="1074"/>
      <c r="D23" s="1048"/>
      <c r="E23" s="1074"/>
      <c r="F23" s="1048"/>
      <c r="G23" s="1074"/>
      <c r="H23" s="1048"/>
      <c r="I23" s="1074"/>
      <c r="J23" s="1048"/>
      <c r="Q23" s="754"/>
      <c r="R23" s="754"/>
      <c r="S23" s="754"/>
      <c r="T23" s="754"/>
      <c r="AR23" s="754"/>
      <c r="AS23" s="754"/>
      <c r="AT23" s="754"/>
      <c r="AU23" s="754"/>
      <c r="AV23" s="754"/>
    </row>
    <row r="24" spans="1:48">
      <c r="A24" s="1076"/>
      <c r="B24" s="1077" t="s">
        <v>1464</v>
      </c>
      <c r="C24" s="1078"/>
      <c r="D24" s="1065"/>
      <c r="E24" s="1078"/>
      <c r="F24" s="1065"/>
      <c r="G24" s="1078"/>
      <c r="H24" s="1065"/>
      <c r="I24" s="1078"/>
      <c r="J24" s="1065"/>
      <c r="Q24" s="754"/>
      <c r="R24" s="754"/>
      <c r="S24" s="754"/>
      <c r="T24" s="754"/>
      <c r="AR24" s="754"/>
      <c r="AS24" s="754"/>
      <c r="AT24" s="754"/>
      <c r="AU24" s="754"/>
      <c r="AV24" s="754"/>
    </row>
    <row r="25" spans="1:48" ht="21">
      <c r="A25" s="1063" t="s">
        <v>353</v>
      </c>
      <c r="B25" s="1079" t="s">
        <v>1318</v>
      </c>
      <c r="C25" s="1080"/>
      <c r="D25" s="1079" t="s">
        <v>1466</v>
      </c>
      <c r="E25" s="1080"/>
      <c r="F25" s="1079" t="s">
        <v>1401</v>
      </c>
      <c r="G25" s="1080"/>
      <c r="H25" s="1079" t="s">
        <v>1467</v>
      </c>
      <c r="I25" s="1080"/>
      <c r="J25" s="1081" t="s">
        <v>1469</v>
      </c>
      <c r="Q25" s="754"/>
      <c r="R25" s="754"/>
      <c r="S25" s="754"/>
      <c r="T25" s="754"/>
      <c r="AR25" s="754"/>
      <c r="AS25" s="754"/>
      <c r="AT25" s="754"/>
      <c r="AU25" s="754"/>
      <c r="AV25" s="754"/>
    </row>
    <row r="26" spans="1:48">
      <c r="A26" s="1082"/>
      <c r="B26" s="1082"/>
      <c r="C26" s="1074"/>
      <c r="D26" s="1082"/>
      <c r="E26" s="1074"/>
      <c r="F26" s="1082"/>
      <c r="G26" s="1074"/>
      <c r="H26" s="1082"/>
      <c r="I26" s="1074"/>
      <c r="J26" s="1066"/>
      <c r="O26" s="467"/>
      <c r="P26" s="543"/>
      <c r="Q26" s="543"/>
      <c r="R26" s="317"/>
      <c r="S26" s="754"/>
      <c r="T26" s="754"/>
      <c r="AR26" s="754"/>
      <c r="AS26" s="754"/>
      <c r="AT26" s="754"/>
      <c r="AU26" s="754"/>
      <c r="AV26" s="754"/>
    </row>
    <row r="27" spans="1:48">
      <c r="A27" s="1083">
        <v>1999</v>
      </c>
      <c r="B27" s="1048">
        <v>473</v>
      </c>
      <c r="C27" s="1074"/>
      <c r="D27" s="1048">
        <v>88</v>
      </c>
      <c r="E27" s="1074"/>
      <c r="F27" s="1048">
        <v>26</v>
      </c>
      <c r="G27" s="1074"/>
      <c r="H27" s="1048">
        <v>75</v>
      </c>
      <c r="I27" s="1074"/>
      <c r="J27" s="1048">
        <v>661</v>
      </c>
      <c r="O27" s="543"/>
      <c r="P27" s="543"/>
      <c r="Q27" s="543"/>
      <c r="R27" s="317"/>
      <c r="S27" s="754"/>
      <c r="T27" s="754"/>
      <c r="AR27" s="754"/>
      <c r="AS27" s="754"/>
      <c r="AT27" s="754"/>
      <c r="AU27" s="754"/>
      <c r="AV27" s="754"/>
    </row>
    <row r="28" spans="1:48">
      <c r="A28" s="1083">
        <v>2000</v>
      </c>
      <c r="B28" s="1048">
        <v>487</v>
      </c>
      <c r="C28" s="1074"/>
      <c r="D28" s="1048">
        <v>87</v>
      </c>
      <c r="E28" s="1074"/>
      <c r="F28" s="1048">
        <v>26</v>
      </c>
      <c r="G28" s="1074"/>
      <c r="H28" s="1048">
        <v>76</v>
      </c>
      <c r="I28" s="1074"/>
      <c r="J28" s="1048">
        <v>676</v>
      </c>
      <c r="Q28" s="754"/>
      <c r="R28" s="784"/>
      <c r="S28" s="754"/>
      <c r="T28" s="754"/>
      <c r="AR28" s="754"/>
      <c r="AS28" s="754"/>
      <c r="AT28" s="754"/>
      <c r="AU28" s="754"/>
      <c r="AV28" s="754"/>
    </row>
    <row r="29" spans="1:48">
      <c r="A29" s="1083">
        <v>2001</v>
      </c>
      <c r="B29" s="1048">
        <v>489</v>
      </c>
      <c r="C29" s="1074"/>
      <c r="D29" s="1048">
        <v>88</v>
      </c>
      <c r="E29" s="1074"/>
      <c r="F29" s="1048">
        <v>25</v>
      </c>
      <c r="G29" s="1074"/>
      <c r="H29" s="1048">
        <v>77</v>
      </c>
      <c r="I29" s="1074"/>
      <c r="J29" s="1048">
        <v>697</v>
      </c>
      <c r="AR29" s="754"/>
      <c r="AS29" s="754"/>
      <c r="AT29" s="754"/>
      <c r="AU29" s="754"/>
      <c r="AV29" s="754"/>
    </row>
    <row r="30" spans="1:48">
      <c r="A30" s="1083">
        <v>2002</v>
      </c>
      <c r="B30" s="1084">
        <v>493</v>
      </c>
      <c r="C30" s="1074"/>
      <c r="D30" s="1048">
        <v>89</v>
      </c>
      <c r="E30" s="1074"/>
      <c r="F30" s="1048">
        <v>27</v>
      </c>
      <c r="G30" s="1074"/>
      <c r="H30" s="1048">
        <v>83</v>
      </c>
      <c r="I30" s="1074"/>
      <c r="J30" s="1048">
        <v>692</v>
      </c>
      <c r="AR30" s="754"/>
      <c r="AS30" s="754"/>
      <c r="AT30" s="754"/>
      <c r="AU30" s="754"/>
      <c r="AV30" s="754"/>
    </row>
    <row r="31" spans="1:48">
      <c r="A31" s="1083">
        <v>2003</v>
      </c>
      <c r="B31" s="1048">
        <v>502</v>
      </c>
      <c r="C31" s="1074"/>
      <c r="D31" s="1085" t="s">
        <v>390</v>
      </c>
      <c r="E31" s="1074"/>
      <c r="F31" s="1085" t="s">
        <v>390</v>
      </c>
      <c r="G31" s="1074"/>
      <c r="H31" s="1085" t="s">
        <v>390</v>
      </c>
      <c r="I31" s="1074"/>
      <c r="J31" s="1048">
        <v>700</v>
      </c>
      <c r="AR31" s="754"/>
      <c r="AS31" s="754"/>
      <c r="AT31" s="754"/>
      <c r="AU31" s="754"/>
      <c r="AV31" s="754"/>
    </row>
    <row r="32" spans="1:48">
      <c r="A32" s="1086">
        <v>2004</v>
      </c>
      <c r="B32" s="1048">
        <v>495</v>
      </c>
      <c r="C32" s="1074"/>
      <c r="D32" s="1048">
        <v>90</v>
      </c>
      <c r="E32" s="1074"/>
      <c r="F32" s="1048">
        <v>17</v>
      </c>
      <c r="G32" s="1074"/>
      <c r="H32" s="1048">
        <v>74</v>
      </c>
      <c r="I32" s="1074"/>
      <c r="J32" s="1048">
        <v>676</v>
      </c>
      <c r="AR32" s="754"/>
      <c r="AS32" s="754"/>
      <c r="AT32" s="754"/>
      <c r="AU32" s="754"/>
      <c r="AV32" s="754"/>
    </row>
    <row r="33" spans="1:48">
      <c r="A33" s="1086">
        <v>2005</v>
      </c>
      <c r="B33" s="1048">
        <v>499</v>
      </c>
      <c r="C33" s="1087" t="s">
        <v>392</v>
      </c>
      <c r="D33" s="1048">
        <v>91</v>
      </c>
      <c r="E33" s="1087" t="s">
        <v>392</v>
      </c>
      <c r="F33" s="1048">
        <v>17</v>
      </c>
      <c r="G33" s="1087" t="s">
        <v>392</v>
      </c>
      <c r="H33" s="1048">
        <v>72</v>
      </c>
      <c r="I33" s="1087" t="s">
        <v>392</v>
      </c>
      <c r="J33" s="1048">
        <v>679</v>
      </c>
      <c r="AR33" s="754"/>
      <c r="AS33" s="754"/>
      <c r="AT33" s="754"/>
      <c r="AU33" s="754"/>
      <c r="AV33" s="754"/>
    </row>
    <row r="34" spans="1:48">
      <c r="A34" s="1086">
        <v>2006</v>
      </c>
      <c r="B34" s="1068">
        <v>503</v>
      </c>
      <c r="C34" s="1087" t="s">
        <v>392</v>
      </c>
      <c r="D34" s="1068">
        <v>94</v>
      </c>
      <c r="E34" s="1087" t="s">
        <v>392</v>
      </c>
      <c r="F34" s="1068">
        <v>18</v>
      </c>
      <c r="G34" s="1087" t="s">
        <v>392</v>
      </c>
      <c r="H34" s="1068">
        <v>68</v>
      </c>
      <c r="I34" s="1087" t="s">
        <v>392</v>
      </c>
      <c r="J34" s="1048">
        <v>683</v>
      </c>
      <c r="AR34" s="754"/>
      <c r="AS34" s="754"/>
      <c r="AT34" s="754"/>
      <c r="AU34" s="754"/>
      <c r="AV34" s="754"/>
    </row>
    <row r="35" spans="1:48">
      <c r="A35" s="1086">
        <v>2007</v>
      </c>
      <c r="B35" s="1068">
        <v>506</v>
      </c>
      <c r="C35" s="1087" t="s">
        <v>392</v>
      </c>
      <c r="D35" s="1068">
        <v>91</v>
      </c>
      <c r="E35" s="1087" t="s">
        <v>392</v>
      </c>
      <c r="F35" s="1068">
        <v>18</v>
      </c>
      <c r="G35" s="1087" t="s">
        <v>392</v>
      </c>
      <c r="H35" s="1068">
        <v>77</v>
      </c>
      <c r="I35" s="1087" t="s">
        <v>392</v>
      </c>
      <c r="J35" s="1068">
        <v>693</v>
      </c>
      <c r="AR35" s="754"/>
      <c r="AS35" s="754"/>
      <c r="AT35" s="754"/>
      <c r="AU35" s="754"/>
      <c r="AV35" s="754"/>
    </row>
    <row r="36" spans="1:48">
      <c r="A36" s="1086">
        <v>2008</v>
      </c>
      <c r="B36" s="1068">
        <v>529</v>
      </c>
      <c r="C36" s="1087" t="s">
        <v>203</v>
      </c>
      <c r="D36" s="1068">
        <v>89</v>
      </c>
      <c r="E36" s="1087" t="s">
        <v>392</v>
      </c>
      <c r="F36" s="1068">
        <v>19</v>
      </c>
      <c r="G36" s="1087" t="s">
        <v>392</v>
      </c>
      <c r="H36" s="1068">
        <v>72</v>
      </c>
      <c r="I36" s="1087" t="s">
        <v>392</v>
      </c>
      <c r="J36" s="1068">
        <v>709</v>
      </c>
      <c r="AR36" s="754"/>
      <c r="AS36" s="754"/>
      <c r="AT36" s="754"/>
      <c r="AU36" s="754"/>
      <c r="AV36" s="754"/>
    </row>
    <row r="37" spans="1:48">
      <c r="A37" s="1086">
        <v>2009</v>
      </c>
      <c r="B37" s="1068">
        <v>534</v>
      </c>
      <c r="C37" s="1087" t="s">
        <v>392</v>
      </c>
      <c r="D37" s="1068">
        <v>92</v>
      </c>
      <c r="E37" s="1087" t="s">
        <v>392</v>
      </c>
      <c r="F37" s="1068">
        <v>17</v>
      </c>
      <c r="G37" s="1087" t="s">
        <v>392</v>
      </c>
      <c r="H37" s="1068">
        <v>79</v>
      </c>
      <c r="I37" s="1087" t="s">
        <v>392</v>
      </c>
      <c r="J37" s="1068">
        <v>722</v>
      </c>
      <c r="AR37" s="754"/>
      <c r="AS37" s="754"/>
      <c r="AT37" s="754"/>
      <c r="AU37" s="754"/>
      <c r="AV37" s="754"/>
    </row>
    <row r="38" spans="1:48">
      <c r="A38" s="1094">
        <v>2010</v>
      </c>
      <c r="B38" s="1095">
        <v>551</v>
      </c>
      <c r="C38" s="1096" t="s">
        <v>392</v>
      </c>
      <c r="D38" s="1095">
        <v>89</v>
      </c>
      <c r="E38" s="1096" t="s">
        <v>392</v>
      </c>
      <c r="F38" s="1095">
        <v>17</v>
      </c>
      <c r="G38" s="1096" t="s">
        <v>392</v>
      </c>
      <c r="H38" s="1095">
        <v>83</v>
      </c>
      <c r="I38" s="1096" t="s">
        <v>392</v>
      </c>
      <c r="J38" s="1095">
        <v>740</v>
      </c>
      <c r="L38" s="32">
        <f>J38*L15</f>
        <v>38281.013999999996</v>
      </c>
      <c r="AR38" s="754"/>
      <c r="AS38" s="754"/>
      <c r="AT38" s="754"/>
      <c r="AU38" s="754"/>
      <c r="AV38" s="754"/>
    </row>
    <row r="39" spans="1:48">
      <c r="A39" s="3153" t="s">
        <v>1470</v>
      </c>
      <c r="B39" s="3153"/>
      <c r="C39" s="3153"/>
      <c r="D39" s="3153"/>
      <c r="E39" s="3153"/>
      <c r="F39" s="3153"/>
      <c r="G39" s="3153"/>
      <c r="H39" s="3153"/>
      <c r="I39" s="1089"/>
      <c r="J39" s="1090"/>
      <c r="O39" s="754"/>
      <c r="P39" s="754"/>
      <c r="Q39" s="754"/>
      <c r="R39" s="754"/>
      <c r="AR39" s="754"/>
      <c r="AS39" s="754"/>
      <c r="AT39" s="754"/>
      <c r="AU39" s="754"/>
      <c r="AV39" s="754"/>
    </row>
    <row r="40" spans="1:48">
      <c r="O40" s="754"/>
      <c r="P40" s="754"/>
      <c r="Q40" s="754"/>
      <c r="R40" s="754"/>
      <c r="AR40" s="754"/>
      <c r="AS40" s="754"/>
      <c r="AT40" s="754"/>
      <c r="AU40" s="754"/>
      <c r="AV40" s="754"/>
    </row>
    <row r="41" spans="1:48">
      <c r="O41" s="754"/>
      <c r="P41" s="754"/>
      <c r="Q41" s="754"/>
      <c r="R41" s="754"/>
    </row>
    <row r="42" spans="1:48">
      <c r="O42" s="754"/>
      <c r="P42" s="754"/>
      <c r="Q42" s="754"/>
      <c r="R42" s="754"/>
    </row>
    <row r="43" spans="1:48">
      <c r="O43" s="754"/>
      <c r="P43" s="754"/>
      <c r="Q43" s="754"/>
      <c r="R43" s="754"/>
    </row>
    <row r="44" spans="1:48">
      <c r="A44" s="765" t="s">
        <v>1507</v>
      </c>
      <c r="O44" s="754"/>
      <c r="P44" s="754"/>
      <c r="Q44" s="754"/>
      <c r="R44" s="754"/>
    </row>
    <row r="45" spans="1:48">
      <c r="O45" s="754"/>
      <c r="P45" s="754"/>
      <c r="Q45" s="754"/>
      <c r="R45" s="754"/>
    </row>
    <row r="46" spans="1:48" ht="13.8" thickBot="1"/>
    <row r="47" spans="1:48" ht="15.6">
      <c r="A47" s="1047" t="s">
        <v>1473</v>
      </c>
      <c r="B47" s="1048"/>
      <c r="C47" s="1048"/>
      <c r="D47" s="1048"/>
      <c r="E47" s="1048"/>
      <c r="F47" s="1048"/>
      <c r="G47" s="1048"/>
      <c r="H47" s="1048"/>
      <c r="I47" s="1048"/>
      <c r="J47" s="1048"/>
      <c r="K47" s="1048"/>
      <c r="L47" s="1048"/>
      <c r="M47" s="1048"/>
      <c r="N47" s="1048"/>
      <c r="O47" s="1048"/>
      <c r="P47" s="1048"/>
      <c r="Q47" s="1048"/>
      <c r="R47" s="1048"/>
      <c r="S47" s="1048"/>
      <c r="T47" s="1048"/>
      <c r="U47" s="1048"/>
      <c r="V47" s="1048"/>
      <c r="W47" s="1048"/>
      <c r="AH47" s="429"/>
      <c r="AI47" s="1118" t="s">
        <v>1522</v>
      </c>
      <c r="AJ47" s="95"/>
    </row>
    <row r="48" spans="1:48">
      <c r="A48" s="1097" t="s">
        <v>1474</v>
      </c>
      <c r="B48" s="1048"/>
      <c r="C48" s="1048"/>
      <c r="D48" s="1048"/>
      <c r="E48" s="1048"/>
      <c r="F48" s="1048"/>
      <c r="G48" s="1048"/>
      <c r="H48" s="1048"/>
      <c r="I48" s="1048"/>
      <c r="J48" s="1048"/>
      <c r="K48" s="1048"/>
      <c r="L48" s="1048"/>
      <c r="M48" s="1048"/>
      <c r="N48" s="1048"/>
      <c r="O48" s="1048"/>
      <c r="P48" s="1048"/>
      <c r="Q48" s="1048"/>
      <c r="R48" s="1048"/>
      <c r="S48" s="1048"/>
      <c r="T48" s="1048"/>
      <c r="U48" s="1048"/>
      <c r="V48" s="1048"/>
      <c r="W48" s="1048"/>
      <c r="AH48" s="1011"/>
      <c r="AI48" s="935" t="s">
        <v>657</v>
      </c>
      <c r="AJ48" s="547"/>
    </row>
    <row r="49" spans="1:36" ht="21">
      <c r="A49" s="1052"/>
      <c r="B49" s="1053" t="s">
        <v>1456</v>
      </c>
      <c r="C49" s="1055"/>
      <c r="D49" s="1053" t="s">
        <v>1457</v>
      </c>
      <c r="E49" s="1055"/>
      <c r="F49" s="1053" t="s">
        <v>1459</v>
      </c>
      <c r="G49" s="1054"/>
      <c r="H49" s="1053" t="s">
        <v>1475</v>
      </c>
      <c r="I49" s="1098"/>
      <c r="J49" s="3154" t="s">
        <v>1476</v>
      </c>
      <c r="K49" s="3154"/>
      <c r="L49" s="3154"/>
      <c r="M49" s="3154"/>
      <c r="N49" s="3154"/>
      <c r="O49" s="3154"/>
      <c r="P49" s="3154"/>
      <c r="Q49" s="3154"/>
      <c r="R49" s="1076"/>
      <c r="S49" s="1052"/>
      <c r="T49" s="1099" t="s">
        <v>1477</v>
      </c>
      <c r="U49" s="1065"/>
      <c r="V49" s="1065"/>
      <c r="W49" s="1065"/>
      <c r="AH49" s="1011"/>
      <c r="AI49" s="940"/>
      <c r="AJ49" s="547"/>
    </row>
    <row r="50" spans="1:36" ht="41.4">
      <c r="A50" s="1060" t="s">
        <v>1478</v>
      </c>
      <c r="B50" s="1061" t="s">
        <v>1465</v>
      </c>
      <c r="C50" s="1062"/>
      <c r="D50" s="1061" t="s">
        <v>1465</v>
      </c>
      <c r="E50" s="1062"/>
      <c r="F50" s="1061" t="s">
        <v>1465</v>
      </c>
      <c r="G50" s="1061"/>
      <c r="H50" s="1061" t="s">
        <v>1465</v>
      </c>
      <c r="I50" s="1060"/>
      <c r="J50" s="1062" t="s">
        <v>1479</v>
      </c>
      <c r="K50" s="1062" t="s">
        <v>1480</v>
      </c>
      <c r="L50" s="1062" t="s">
        <v>1481</v>
      </c>
      <c r="M50" s="1062" t="s">
        <v>1482</v>
      </c>
      <c r="N50" s="1062" t="s">
        <v>1483</v>
      </c>
      <c r="O50" s="1062" t="s">
        <v>1484</v>
      </c>
      <c r="P50" s="1081" t="s">
        <v>1485</v>
      </c>
      <c r="Q50" s="1081" t="s">
        <v>1486</v>
      </c>
      <c r="R50" s="1063"/>
      <c r="S50" s="1060" t="s">
        <v>1478</v>
      </c>
      <c r="T50" s="1062" t="s">
        <v>1487</v>
      </c>
      <c r="U50" s="1062" t="s">
        <v>1488</v>
      </c>
      <c r="V50" s="1062" t="s">
        <v>1489</v>
      </c>
      <c r="W50" s="1062" t="s">
        <v>1490</v>
      </c>
      <c r="AH50" s="1011"/>
      <c r="AI50" s="943"/>
      <c r="AJ50" s="547"/>
    </row>
    <row r="51" spans="1:36" ht="13.8" thickBot="1">
      <c r="A51" s="1646"/>
      <c r="B51" s="1646"/>
      <c r="C51" s="1646"/>
      <c r="D51" s="1646"/>
      <c r="E51" s="1646"/>
      <c r="F51" s="1646"/>
      <c r="G51" s="1646"/>
      <c r="H51" s="1646"/>
      <c r="I51" s="1646"/>
      <c r="J51" s="1646"/>
      <c r="K51" s="1646"/>
      <c r="L51" s="1646"/>
      <c r="M51" s="1646"/>
      <c r="N51" s="1646"/>
      <c r="O51" s="1646"/>
      <c r="P51" s="1646"/>
      <c r="Q51" s="1646"/>
      <c r="R51" s="1647"/>
      <c r="S51" s="1646"/>
      <c r="T51" s="1647"/>
      <c r="U51" s="1647"/>
      <c r="V51" s="1647"/>
      <c r="W51" s="1647"/>
      <c r="X51" s="545"/>
      <c r="Y51" s="545"/>
      <c r="Z51" s="545"/>
      <c r="AA51" s="545"/>
      <c r="AH51" s="1012"/>
      <c r="AI51" s="992"/>
      <c r="AJ51" s="547"/>
    </row>
    <row r="52" spans="1:36">
      <c r="A52" s="1647" t="s">
        <v>1036</v>
      </c>
      <c r="B52" s="1648">
        <v>705981</v>
      </c>
      <c r="C52" s="1648" t="s">
        <v>392</v>
      </c>
      <c r="D52" s="1648">
        <v>229243</v>
      </c>
      <c r="E52" s="1648" t="s">
        <v>392</v>
      </c>
      <c r="F52" s="1648">
        <v>4966000</v>
      </c>
      <c r="G52" s="1648" t="s">
        <v>392</v>
      </c>
      <c r="H52" s="1648">
        <v>15809562</v>
      </c>
      <c r="I52" s="1648" t="s">
        <v>392</v>
      </c>
      <c r="J52" s="1648">
        <v>5526557</v>
      </c>
      <c r="K52" s="1648">
        <v>715456</v>
      </c>
      <c r="L52" s="1648" t="s">
        <v>390</v>
      </c>
      <c r="M52" s="1648">
        <v>6260700</v>
      </c>
      <c r="N52" s="1648" t="s">
        <v>390</v>
      </c>
      <c r="O52" s="1648">
        <v>6242013</v>
      </c>
      <c r="P52" s="1648">
        <v>6260700</v>
      </c>
      <c r="Q52" s="1648">
        <v>12502713</v>
      </c>
      <c r="R52" s="1648"/>
      <c r="S52" s="1647" t="s">
        <v>1036</v>
      </c>
      <c r="T52" s="1648">
        <v>10650366</v>
      </c>
      <c r="U52" s="1648">
        <v>807377</v>
      </c>
      <c r="V52" s="1648">
        <v>935813</v>
      </c>
      <c r="W52" s="1648">
        <v>12393556</v>
      </c>
      <c r="X52" s="545"/>
      <c r="Y52" s="545"/>
      <c r="Z52" s="1649" t="s">
        <v>697</v>
      </c>
      <c r="AA52" s="772">
        <v>3</v>
      </c>
      <c r="AC52" s="1106" t="s">
        <v>601</v>
      </c>
      <c r="AD52" s="1107">
        <f>F72+0.5*F71</f>
        <v>252850</v>
      </c>
      <c r="AE52" s="1111">
        <f>AD52/AD$56</f>
        <v>1.9569162652672941E-2</v>
      </c>
      <c r="AF52">
        <v>3.351923351923352E-2</v>
      </c>
      <c r="AH52" s="1013" t="s">
        <v>601</v>
      </c>
      <c r="AI52" s="888">
        <v>744.49292452830196</v>
      </c>
      <c r="AJ52" s="1119">
        <f>AI52/AI$56</f>
        <v>4.3898219563180282E-2</v>
      </c>
    </row>
    <row r="53" spans="1:36">
      <c r="A53" s="1647" t="s">
        <v>1051</v>
      </c>
      <c r="B53" s="1648">
        <v>28400</v>
      </c>
      <c r="C53" s="1648" t="s">
        <v>392</v>
      </c>
      <c r="D53" s="1648">
        <v>38148</v>
      </c>
      <c r="E53" s="1648" t="s">
        <v>392</v>
      </c>
      <c r="F53" s="1648">
        <v>567800</v>
      </c>
      <c r="G53" s="1648" t="s">
        <v>392</v>
      </c>
      <c r="H53" s="1648">
        <v>2300681</v>
      </c>
      <c r="I53" s="1648" t="s">
        <v>392</v>
      </c>
      <c r="J53" s="1648">
        <v>607000</v>
      </c>
      <c r="K53" s="1648">
        <v>32117</v>
      </c>
      <c r="L53" s="1648">
        <v>252684</v>
      </c>
      <c r="M53" s="1648">
        <v>175968</v>
      </c>
      <c r="N53" s="1648" t="s">
        <v>390</v>
      </c>
      <c r="O53" s="1648">
        <v>639117</v>
      </c>
      <c r="P53" s="1648">
        <v>428652</v>
      </c>
      <c r="Q53" s="1648">
        <v>1067769</v>
      </c>
      <c r="R53" s="1648"/>
      <c r="S53" s="1647" t="s">
        <v>1051</v>
      </c>
      <c r="T53" s="1648">
        <v>946663</v>
      </c>
      <c r="U53" s="1648" t="s">
        <v>390</v>
      </c>
      <c r="V53" s="1648">
        <v>95000</v>
      </c>
      <c r="W53" s="1648">
        <v>1041663</v>
      </c>
      <c r="X53" s="545"/>
      <c r="Y53" s="545"/>
      <c r="Z53" s="772" t="s">
        <v>706</v>
      </c>
      <c r="AA53" s="772">
        <v>3</v>
      </c>
      <c r="AC53" s="1105" t="s">
        <v>602</v>
      </c>
      <c r="AD53" s="561">
        <f>F68+F69+F70+0.5*F71</f>
        <v>610144</v>
      </c>
      <c r="AE53" s="1112">
        <f>AD53/AD$56</f>
        <v>4.7221701315216448E-2</v>
      </c>
      <c r="AF53">
        <v>0.10105820105820107</v>
      </c>
      <c r="AH53" s="1014" t="s">
        <v>602</v>
      </c>
      <c r="AI53" s="888">
        <v>1726.1477987421385</v>
      </c>
      <c r="AJ53" s="1119">
        <f>AI53/AI$56</f>
        <v>0.10178043681972176</v>
      </c>
    </row>
    <row r="54" spans="1:36">
      <c r="A54" s="1647" t="s">
        <v>1491</v>
      </c>
      <c r="B54" s="1648">
        <v>9263</v>
      </c>
      <c r="C54" s="1648" t="s">
        <v>392</v>
      </c>
      <c r="D54" s="1648">
        <v>13115</v>
      </c>
      <c r="E54" s="1648" t="s">
        <v>392</v>
      </c>
      <c r="F54" s="1648">
        <v>185260</v>
      </c>
      <c r="G54" s="1648" t="s">
        <v>392</v>
      </c>
      <c r="H54" s="1648">
        <v>150062</v>
      </c>
      <c r="I54" s="1648" t="s">
        <v>392</v>
      </c>
      <c r="J54" s="1648">
        <v>156542</v>
      </c>
      <c r="K54" s="1648">
        <v>439</v>
      </c>
      <c r="L54" s="1648">
        <v>156773</v>
      </c>
      <c r="M54" s="1648">
        <v>135948</v>
      </c>
      <c r="N54" s="1648" t="s">
        <v>390</v>
      </c>
      <c r="O54" s="1648">
        <v>156981</v>
      </c>
      <c r="P54" s="1648">
        <v>292721</v>
      </c>
      <c r="Q54" s="1648">
        <v>449702</v>
      </c>
      <c r="R54" s="1648"/>
      <c r="S54" s="1647" t="s">
        <v>1491</v>
      </c>
      <c r="T54" s="1648">
        <v>429609</v>
      </c>
      <c r="U54" s="1648">
        <v>1148</v>
      </c>
      <c r="V54" s="1648">
        <v>26755</v>
      </c>
      <c r="W54" s="1648">
        <v>457512</v>
      </c>
      <c r="X54" s="545"/>
      <c r="Y54" s="545"/>
      <c r="Z54" s="772" t="s">
        <v>717</v>
      </c>
      <c r="AA54" s="772">
        <v>3</v>
      </c>
      <c r="AC54" s="1105" t="s">
        <v>603</v>
      </c>
      <c r="AD54" s="1113">
        <f>F62+F63+F64+F65+F66+F67+F59+F52+F53+F54+F55+F56</f>
        <v>9519853</v>
      </c>
      <c r="AE54" s="1112">
        <f>AD54/AD$56</f>
        <v>0.73678288228806199</v>
      </c>
      <c r="AF54">
        <v>0.67908622908622895</v>
      </c>
      <c r="AH54" s="1014" t="s">
        <v>603</v>
      </c>
      <c r="AI54" s="888">
        <v>11094.044811320755</v>
      </c>
      <c r="AJ54" s="1119">
        <f>AI54/AI$56</f>
        <v>0.65414834570748936</v>
      </c>
    </row>
    <row r="55" spans="1:36">
      <c r="A55" s="1647" t="s">
        <v>1492</v>
      </c>
      <c r="B55" s="1648">
        <v>26183</v>
      </c>
      <c r="C55" s="1648" t="s">
        <v>392</v>
      </c>
      <c r="D55" s="1648">
        <v>29319</v>
      </c>
      <c r="E55" s="1648" t="s">
        <v>392</v>
      </c>
      <c r="F55" s="1648">
        <v>335805</v>
      </c>
      <c r="G55" s="1648" t="s">
        <v>392</v>
      </c>
      <c r="H55" s="1648">
        <v>1744978</v>
      </c>
      <c r="I55" s="1648" t="s">
        <v>392</v>
      </c>
      <c r="J55" s="1648">
        <v>357913</v>
      </c>
      <c r="K55" s="1648">
        <v>17169</v>
      </c>
      <c r="L55" s="1648">
        <v>337890</v>
      </c>
      <c r="M55" s="1648">
        <v>272309</v>
      </c>
      <c r="N55" s="1648" t="s">
        <v>390</v>
      </c>
      <c r="O55" s="1648">
        <v>375082</v>
      </c>
      <c r="P55" s="1648">
        <v>610199</v>
      </c>
      <c r="Q55" s="1648">
        <v>985281</v>
      </c>
      <c r="R55" s="1648"/>
      <c r="S55" s="1647" t="s">
        <v>1492</v>
      </c>
      <c r="T55" s="1648">
        <v>865356</v>
      </c>
      <c r="U55" s="1648" t="s">
        <v>390</v>
      </c>
      <c r="V55" s="1648">
        <v>114827</v>
      </c>
      <c r="W55" s="1648">
        <v>980183</v>
      </c>
      <c r="X55" s="545"/>
      <c r="Y55" s="545"/>
      <c r="Z55" s="1649" t="s">
        <v>732</v>
      </c>
      <c r="AA55" s="772">
        <v>3</v>
      </c>
      <c r="AC55" s="1105" t="s">
        <v>604</v>
      </c>
      <c r="AD55" s="1113">
        <f>F57+F58+F60+F61</f>
        <v>2537992</v>
      </c>
      <c r="AE55" s="1112">
        <f>AD55/AD$56</f>
        <v>0.19642625374404865</v>
      </c>
      <c r="AF55">
        <v>0.18633633633633634</v>
      </c>
      <c r="AH55" s="1014" t="s">
        <v>604</v>
      </c>
      <c r="AI55" s="888">
        <v>3394.8388364779876</v>
      </c>
      <c r="AJ55" s="1119">
        <f>AI55/AI$56</f>
        <v>0.2001729979096086</v>
      </c>
    </row>
    <row r="56" spans="1:36">
      <c r="A56" s="1647" t="s">
        <v>1082</v>
      </c>
      <c r="B56" s="1648">
        <v>16191</v>
      </c>
      <c r="C56" s="1648" t="s">
        <v>392</v>
      </c>
      <c r="D56" s="1648">
        <v>22634</v>
      </c>
      <c r="E56" s="1648" t="s">
        <v>392</v>
      </c>
      <c r="F56" s="1648">
        <v>197877</v>
      </c>
      <c r="G56" s="1648" t="s">
        <v>392</v>
      </c>
      <c r="H56" s="1648">
        <v>172008</v>
      </c>
      <c r="I56" s="1648" t="s">
        <v>392</v>
      </c>
      <c r="J56" s="1648">
        <v>233062</v>
      </c>
      <c r="K56" s="1648">
        <v>64075</v>
      </c>
      <c r="L56" s="1648">
        <v>145173</v>
      </c>
      <c r="M56" s="1648">
        <v>145173</v>
      </c>
      <c r="N56" s="1648">
        <v>28967</v>
      </c>
      <c r="O56" s="1648">
        <v>297137</v>
      </c>
      <c r="P56" s="1648">
        <v>319313</v>
      </c>
      <c r="Q56" s="1648">
        <v>616450</v>
      </c>
      <c r="R56" s="1648"/>
      <c r="S56" s="1647" t="s">
        <v>1082</v>
      </c>
      <c r="T56" s="1648">
        <v>555974</v>
      </c>
      <c r="U56" s="1648">
        <v>2644</v>
      </c>
      <c r="V56" s="1648">
        <v>57832</v>
      </c>
      <c r="W56" s="1648">
        <v>616450</v>
      </c>
      <c r="X56" s="545"/>
      <c r="Y56" s="545"/>
      <c r="Z56" s="1649" t="s">
        <v>747</v>
      </c>
      <c r="AA56" s="772">
        <v>3</v>
      </c>
      <c r="AC56" s="308"/>
      <c r="AD56" s="543">
        <f>SUM(AD52:AD55)</f>
        <v>12920839</v>
      </c>
      <c r="AE56" s="547">
        <f>SUM(AE52:AE55)</f>
        <v>1</v>
      </c>
      <c r="AH56" s="1013"/>
      <c r="AI56" s="893">
        <v>16959.524371069183</v>
      </c>
      <c r="AJ56" s="547"/>
    </row>
    <row r="57" spans="1:36" ht="13.8" thickBot="1">
      <c r="A57" s="1647" t="s">
        <v>1493</v>
      </c>
      <c r="B57" s="1648">
        <v>7005</v>
      </c>
      <c r="C57" s="1648" t="s">
        <v>392</v>
      </c>
      <c r="D57" s="1648">
        <v>10698</v>
      </c>
      <c r="E57" s="1648" t="s">
        <v>392</v>
      </c>
      <c r="F57" s="1648">
        <v>133000</v>
      </c>
      <c r="G57" s="1648" t="s">
        <v>392</v>
      </c>
      <c r="H57" s="1648" t="s">
        <v>390</v>
      </c>
      <c r="I57" s="1648" t="s">
        <v>392</v>
      </c>
      <c r="J57" s="1648">
        <v>166201</v>
      </c>
      <c r="K57" s="1648">
        <v>69</v>
      </c>
      <c r="L57" s="1648">
        <v>89504</v>
      </c>
      <c r="M57" s="1648">
        <v>73374</v>
      </c>
      <c r="N57" s="1648" t="s">
        <v>390</v>
      </c>
      <c r="O57" s="1648">
        <v>166270</v>
      </c>
      <c r="P57" s="1648">
        <v>162878</v>
      </c>
      <c r="Q57" s="1648">
        <v>329148</v>
      </c>
      <c r="R57" s="1648"/>
      <c r="S57" s="1647" t="s">
        <v>1493</v>
      </c>
      <c r="T57" s="1648">
        <v>274005</v>
      </c>
      <c r="U57" s="1648" t="s">
        <v>390</v>
      </c>
      <c r="V57" s="1648">
        <v>36719</v>
      </c>
      <c r="W57" s="1648">
        <v>310724</v>
      </c>
      <c r="X57" s="545"/>
      <c r="Y57" s="545"/>
      <c r="Z57" s="1649" t="s">
        <v>756</v>
      </c>
      <c r="AA57" s="772">
        <v>4</v>
      </c>
      <c r="AC57" s="427"/>
      <c r="AD57" s="390"/>
      <c r="AE57" s="428"/>
      <c r="AH57" s="1120"/>
      <c r="AI57" s="1121"/>
      <c r="AJ57" s="428"/>
    </row>
    <row r="58" spans="1:36">
      <c r="A58" s="1647" t="s">
        <v>1103</v>
      </c>
      <c r="B58" s="1648">
        <v>6826</v>
      </c>
      <c r="C58" s="1648" t="s">
        <v>392</v>
      </c>
      <c r="D58" s="1648">
        <v>15979</v>
      </c>
      <c r="E58" s="1648" t="s">
        <v>392</v>
      </c>
      <c r="F58" s="1648">
        <v>170660</v>
      </c>
      <c r="G58" s="1648" t="s">
        <v>392</v>
      </c>
      <c r="H58" s="1648">
        <v>300093</v>
      </c>
      <c r="I58" s="1648" t="s">
        <v>392</v>
      </c>
      <c r="J58" s="1648">
        <v>173672</v>
      </c>
      <c r="K58" s="1648">
        <v>1371</v>
      </c>
      <c r="L58" s="1648">
        <v>180316</v>
      </c>
      <c r="M58" s="1648">
        <v>138509</v>
      </c>
      <c r="N58" s="1648">
        <v>19843</v>
      </c>
      <c r="O58" s="1648">
        <v>175043</v>
      </c>
      <c r="P58" s="1648">
        <v>338668</v>
      </c>
      <c r="Q58" s="1648">
        <v>513711</v>
      </c>
      <c r="R58" s="1648"/>
      <c r="S58" s="1647" t="s">
        <v>1103</v>
      </c>
      <c r="T58" s="1648">
        <v>477486</v>
      </c>
      <c r="U58" s="1648">
        <v>1042</v>
      </c>
      <c r="V58" s="1648">
        <v>50725</v>
      </c>
      <c r="W58" s="1648">
        <v>529253</v>
      </c>
      <c r="X58" s="545"/>
      <c r="Y58" s="545"/>
      <c r="Z58" s="1649" t="s">
        <v>769</v>
      </c>
      <c r="AA58" s="772">
        <v>4</v>
      </c>
    </row>
    <row r="59" spans="1:36">
      <c r="A59" s="1647" t="s">
        <v>1109</v>
      </c>
      <c r="B59" s="1648">
        <v>1165</v>
      </c>
      <c r="C59" s="1648" t="s">
        <v>392</v>
      </c>
      <c r="D59" s="1648">
        <v>2521</v>
      </c>
      <c r="E59" s="1648" t="s">
        <v>392</v>
      </c>
      <c r="F59" s="1648">
        <v>29125</v>
      </c>
      <c r="G59" s="1648" t="s">
        <v>392</v>
      </c>
      <c r="H59" s="1648">
        <v>126200</v>
      </c>
      <c r="I59" s="1648" t="s">
        <v>392</v>
      </c>
      <c r="J59" s="1648">
        <v>12990</v>
      </c>
      <c r="K59" s="1648" t="s">
        <v>390</v>
      </c>
      <c r="L59" s="1648">
        <v>37883</v>
      </c>
      <c r="M59" s="1648" t="s">
        <v>390</v>
      </c>
      <c r="N59" s="1648" t="s">
        <v>390</v>
      </c>
      <c r="O59" s="1648">
        <v>12990</v>
      </c>
      <c r="P59" s="1648">
        <v>37883</v>
      </c>
      <c r="Q59" s="1648">
        <v>50873</v>
      </c>
      <c r="R59" s="1648"/>
      <c r="S59" s="1647" t="s">
        <v>1109</v>
      </c>
      <c r="T59" s="1648">
        <v>50872</v>
      </c>
      <c r="U59" s="1648" t="s">
        <v>390</v>
      </c>
      <c r="V59" s="1648" t="s">
        <v>390</v>
      </c>
      <c r="W59" s="1648">
        <v>50872</v>
      </c>
      <c r="X59" s="545"/>
      <c r="Y59" s="545"/>
      <c r="Z59" s="1649" t="s">
        <v>771</v>
      </c>
      <c r="AA59" s="772">
        <v>3</v>
      </c>
    </row>
    <row r="60" spans="1:36">
      <c r="A60" s="1647" t="s">
        <v>1494</v>
      </c>
      <c r="B60" s="1648">
        <v>7928</v>
      </c>
      <c r="C60" s="1648" t="s">
        <v>392</v>
      </c>
      <c r="D60" s="1648">
        <v>12554</v>
      </c>
      <c r="E60" s="1648" t="s">
        <v>392</v>
      </c>
      <c r="F60" s="1648">
        <v>146792</v>
      </c>
      <c r="G60" s="1648" t="s">
        <v>392</v>
      </c>
      <c r="H60" s="1648">
        <v>780165</v>
      </c>
      <c r="I60" s="1648" t="s">
        <v>392</v>
      </c>
      <c r="J60" s="1648">
        <v>134037</v>
      </c>
      <c r="K60" s="1648">
        <v>1627</v>
      </c>
      <c r="L60" s="1648">
        <v>58904</v>
      </c>
      <c r="M60" s="1648">
        <v>49187</v>
      </c>
      <c r="N60" s="1648">
        <v>16589</v>
      </c>
      <c r="O60" s="1648">
        <v>135664</v>
      </c>
      <c r="P60" s="1648">
        <v>124680</v>
      </c>
      <c r="Q60" s="1648">
        <v>260344</v>
      </c>
      <c r="R60" s="1648"/>
      <c r="S60" s="1647" t="s">
        <v>1494</v>
      </c>
      <c r="T60" s="1648">
        <v>249343</v>
      </c>
      <c r="U60" s="1648">
        <v>3929</v>
      </c>
      <c r="V60" s="1648">
        <v>8262</v>
      </c>
      <c r="W60" s="1648">
        <v>261534</v>
      </c>
      <c r="X60" s="545"/>
      <c r="Y60" s="545"/>
      <c r="Z60" s="1649" t="s">
        <v>777</v>
      </c>
      <c r="AA60" s="772">
        <v>4</v>
      </c>
    </row>
    <row r="61" spans="1:36">
      <c r="A61" s="1647" t="s">
        <v>1495</v>
      </c>
      <c r="B61" s="1648">
        <v>144027</v>
      </c>
      <c r="C61" s="1648" t="s">
        <v>392</v>
      </c>
      <c r="D61" s="1648">
        <v>85833</v>
      </c>
      <c r="E61" s="1648" t="s">
        <v>392</v>
      </c>
      <c r="F61" s="1648">
        <v>2087540</v>
      </c>
      <c r="G61" s="1648" t="s">
        <v>392</v>
      </c>
      <c r="H61" s="1648">
        <v>2979602</v>
      </c>
      <c r="I61" s="1648" t="s">
        <v>392</v>
      </c>
      <c r="J61" s="1648">
        <v>2130984</v>
      </c>
      <c r="K61" s="1648">
        <v>93562</v>
      </c>
      <c r="L61" s="1648">
        <v>12755</v>
      </c>
      <c r="M61" s="1648">
        <v>1250116</v>
      </c>
      <c r="N61" s="1648">
        <v>9321</v>
      </c>
      <c r="O61" s="1648">
        <v>2224546</v>
      </c>
      <c r="P61" s="1648">
        <v>1272192</v>
      </c>
      <c r="Q61" s="1648">
        <v>3496738</v>
      </c>
      <c r="R61" s="1648"/>
      <c r="S61" s="1647" t="s">
        <v>1495</v>
      </c>
      <c r="T61" s="1648">
        <v>3511773</v>
      </c>
      <c r="U61" s="1648">
        <v>62202</v>
      </c>
      <c r="V61" s="1648">
        <v>8309</v>
      </c>
      <c r="W61" s="1648">
        <v>3582284</v>
      </c>
      <c r="X61" s="545"/>
      <c r="Y61" s="545"/>
      <c r="Z61" s="1649" t="s">
        <v>812</v>
      </c>
      <c r="AA61" s="772">
        <v>4</v>
      </c>
    </row>
    <row r="62" spans="1:36">
      <c r="A62" s="1647" t="s">
        <v>1496</v>
      </c>
      <c r="B62" s="1648">
        <v>13518</v>
      </c>
      <c r="C62" s="1648" t="s">
        <v>392</v>
      </c>
      <c r="D62" s="1648">
        <v>13148</v>
      </c>
      <c r="E62" s="1648" t="s">
        <v>392</v>
      </c>
      <c r="F62" s="1648">
        <v>307276</v>
      </c>
      <c r="G62" s="1648" t="s">
        <v>392</v>
      </c>
      <c r="H62" s="1648" t="s">
        <v>390</v>
      </c>
      <c r="I62" s="1648" t="s">
        <v>392</v>
      </c>
      <c r="J62" s="1648">
        <v>304727</v>
      </c>
      <c r="K62" s="1648">
        <v>5601</v>
      </c>
      <c r="L62" s="1648">
        <v>133138</v>
      </c>
      <c r="M62" s="1648">
        <v>100979</v>
      </c>
      <c r="N62" s="1648">
        <v>2258</v>
      </c>
      <c r="O62" s="1648">
        <v>310328</v>
      </c>
      <c r="P62" s="1648">
        <v>236375</v>
      </c>
      <c r="Q62" s="1648">
        <v>546703</v>
      </c>
      <c r="R62" s="1648"/>
      <c r="S62" s="1647" t="s">
        <v>1496</v>
      </c>
      <c r="T62" s="1648">
        <v>467575</v>
      </c>
      <c r="U62" s="1648">
        <v>1173</v>
      </c>
      <c r="V62" s="1648">
        <v>45064</v>
      </c>
      <c r="W62" s="1648">
        <v>513812</v>
      </c>
      <c r="X62" s="545"/>
      <c r="Y62" s="545"/>
      <c r="Z62" s="1649" t="s">
        <v>819</v>
      </c>
      <c r="AA62" s="772">
        <v>3</v>
      </c>
    </row>
    <row r="63" spans="1:36">
      <c r="A63" s="1647" t="s">
        <v>1497</v>
      </c>
      <c r="B63" s="1648">
        <v>226750</v>
      </c>
      <c r="C63" s="1648" t="s">
        <v>392</v>
      </c>
      <c r="D63" s="1648">
        <v>126333</v>
      </c>
      <c r="E63" s="1648" t="s">
        <v>392</v>
      </c>
      <c r="F63" s="1648">
        <v>2079805</v>
      </c>
      <c r="G63" s="1648" t="s">
        <v>392</v>
      </c>
      <c r="H63" s="1648">
        <v>7534082</v>
      </c>
      <c r="I63" s="1648" t="s">
        <v>392</v>
      </c>
      <c r="J63" s="1648">
        <v>2395638</v>
      </c>
      <c r="K63" s="1648">
        <v>27117</v>
      </c>
      <c r="L63" s="1648">
        <v>1488068</v>
      </c>
      <c r="M63" s="1648">
        <v>1267589</v>
      </c>
      <c r="N63" s="1648">
        <v>44775</v>
      </c>
      <c r="O63" s="1648">
        <v>2422755</v>
      </c>
      <c r="P63" s="1648">
        <v>2800432</v>
      </c>
      <c r="Q63" s="1648">
        <v>5223187</v>
      </c>
      <c r="R63" s="1648"/>
      <c r="S63" s="1647" t="s">
        <v>1497</v>
      </c>
      <c r="T63" s="1648">
        <v>4567687</v>
      </c>
      <c r="U63" s="1648">
        <v>113905</v>
      </c>
      <c r="V63" s="1648">
        <v>546566</v>
      </c>
      <c r="W63" s="1648">
        <v>5228158</v>
      </c>
      <c r="X63" s="545"/>
      <c r="Y63" s="545"/>
      <c r="Z63" s="1649" t="s">
        <v>870</v>
      </c>
      <c r="AA63" s="772">
        <v>3</v>
      </c>
    </row>
    <row r="64" spans="1:36">
      <c r="A64" s="1647" t="s">
        <v>1498</v>
      </c>
      <c r="B64" s="1648">
        <v>12424</v>
      </c>
      <c r="C64" s="1648" t="s">
        <v>392</v>
      </c>
      <c r="D64" s="1648">
        <v>18766</v>
      </c>
      <c r="E64" s="1648" t="s">
        <v>392</v>
      </c>
      <c r="F64" s="1648">
        <v>283986</v>
      </c>
      <c r="G64" s="1648" t="s">
        <v>392</v>
      </c>
      <c r="H64" s="1648">
        <v>944323.39500000002</v>
      </c>
      <c r="I64" s="1648" t="s">
        <v>392</v>
      </c>
      <c r="J64" s="1648">
        <v>228403</v>
      </c>
      <c r="K64" s="1648">
        <v>988</v>
      </c>
      <c r="L64" s="1648">
        <v>120000</v>
      </c>
      <c r="M64" s="1648">
        <v>120000</v>
      </c>
      <c r="N64" s="1648">
        <v>4164</v>
      </c>
      <c r="O64" s="1648">
        <v>229391</v>
      </c>
      <c r="P64" s="1648">
        <v>244164</v>
      </c>
      <c r="Q64" s="1648">
        <v>473555</v>
      </c>
      <c r="R64" s="1648"/>
      <c r="S64" s="1647" t="s">
        <v>1498</v>
      </c>
      <c r="T64" s="1648">
        <v>467916</v>
      </c>
      <c r="U64" s="1648">
        <v>8105</v>
      </c>
      <c r="V64" s="1648">
        <v>39207</v>
      </c>
      <c r="W64" s="1648">
        <v>515228</v>
      </c>
      <c r="X64" s="545"/>
      <c r="Y64" s="545"/>
      <c r="Z64" s="1649" t="s">
        <v>888</v>
      </c>
      <c r="AA64" s="772">
        <v>3</v>
      </c>
    </row>
    <row r="65" spans="1:27">
      <c r="A65" s="1647" t="s">
        <v>1225</v>
      </c>
      <c r="B65" s="1648">
        <v>12216</v>
      </c>
      <c r="C65" s="1648" t="s">
        <v>392</v>
      </c>
      <c r="D65" s="1648">
        <v>13398</v>
      </c>
      <c r="E65" s="1648" t="s">
        <v>392</v>
      </c>
      <c r="F65" s="1648">
        <v>119282</v>
      </c>
      <c r="G65" s="1648" t="s">
        <v>392</v>
      </c>
      <c r="H65" s="1648">
        <v>694000</v>
      </c>
      <c r="I65" s="1648" t="s">
        <v>392</v>
      </c>
      <c r="J65" s="1648">
        <v>171529</v>
      </c>
      <c r="K65" s="1648">
        <v>851</v>
      </c>
      <c r="L65" s="1648">
        <v>187647</v>
      </c>
      <c r="M65" s="1648">
        <v>113983</v>
      </c>
      <c r="N65" s="1648">
        <v>551</v>
      </c>
      <c r="O65" s="1648">
        <v>172380</v>
      </c>
      <c r="P65" s="1648">
        <v>302181</v>
      </c>
      <c r="Q65" s="1648">
        <v>474561</v>
      </c>
      <c r="R65" s="1648"/>
      <c r="S65" s="1647" t="s">
        <v>1225</v>
      </c>
      <c r="T65" s="1648">
        <v>438059</v>
      </c>
      <c r="U65" s="1648">
        <v>3753</v>
      </c>
      <c r="V65" s="1648">
        <v>31436</v>
      </c>
      <c r="W65" s="1648">
        <v>473248</v>
      </c>
      <c r="X65" s="545"/>
      <c r="Y65" s="545"/>
      <c r="Z65" s="1649" t="s">
        <v>901</v>
      </c>
      <c r="AA65" s="772">
        <v>3</v>
      </c>
    </row>
    <row r="66" spans="1:27">
      <c r="A66" s="1647" t="s">
        <v>1499</v>
      </c>
      <c r="B66" s="1648">
        <v>9286</v>
      </c>
      <c r="C66" s="1648" t="s">
        <v>392</v>
      </c>
      <c r="D66" s="1648">
        <v>7764</v>
      </c>
      <c r="E66" s="1648" t="s">
        <v>392</v>
      </c>
      <c r="F66" s="1648">
        <v>120718</v>
      </c>
      <c r="G66" s="1648" t="s">
        <v>392</v>
      </c>
      <c r="H66" s="1648">
        <v>388200</v>
      </c>
      <c r="I66" s="1648" t="s">
        <v>392</v>
      </c>
      <c r="J66" s="1648">
        <v>137281</v>
      </c>
      <c r="K66" s="1648">
        <v>6642</v>
      </c>
      <c r="L66" s="1648">
        <v>106159</v>
      </c>
      <c r="M66" s="1648">
        <v>75348</v>
      </c>
      <c r="N66" s="1648">
        <v>668</v>
      </c>
      <c r="O66" s="1648">
        <v>143923</v>
      </c>
      <c r="P66" s="1648">
        <v>182175</v>
      </c>
      <c r="Q66" s="1648">
        <v>326098</v>
      </c>
      <c r="R66" s="1648"/>
      <c r="S66" s="1647" t="s">
        <v>1499</v>
      </c>
      <c r="T66" s="1648">
        <v>290609</v>
      </c>
      <c r="U66" s="1648">
        <v>5350</v>
      </c>
      <c r="V66" s="1648">
        <v>24792</v>
      </c>
      <c r="W66" s="1648">
        <v>320751</v>
      </c>
      <c r="X66" s="545"/>
      <c r="Y66" s="545"/>
      <c r="Z66" s="1649" t="s">
        <v>913</v>
      </c>
      <c r="AA66" s="772">
        <v>3</v>
      </c>
    </row>
    <row r="67" spans="1:27">
      <c r="A67" s="1647" t="s">
        <v>1500</v>
      </c>
      <c r="B67" s="1648">
        <v>13253</v>
      </c>
      <c r="C67" s="1648" t="s">
        <v>392</v>
      </c>
      <c r="D67" s="1648">
        <v>14900</v>
      </c>
      <c r="E67" s="1648" t="s">
        <v>392</v>
      </c>
      <c r="F67" s="1648">
        <v>326919</v>
      </c>
      <c r="G67" s="1648" t="s">
        <v>392</v>
      </c>
      <c r="H67" s="1648">
        <v>745000</v>
      </c>
      <c r="I67" s="1648" t="s">
        <v>392</v>
      </c>
      <c r="J67" s="1648">
        <v>234694</v>
      </c>
      <c r="K67" s="1648">
        <v>10493</v>
      </c>
      <c r="L67" s="1648">
        <v>126338</v>
      </c>
      <c r="M67" s="1648">
        <v>124978</v>
      </c>
      <c r="N67" s="1648">
        <v>23542</v>
      </c>
      <c r="O67" s="1648">
        <v>245187</v>
      </c>
      <c r="P67" s="1648">
        <v>274858</v>
      </c>
      <c r="Q67" s="1648">
        <v>520045</v>
      </c>
      <c r="R67" s="1648"/>
      <c r="S67" s="1647" t="s">
        <v>1500</v>
      </c>
      <c r="T67" s="1648">
        <v>413739</v>
      </c>
      <c r="U67" s="1648">
        <v>1823</v>
      </c>
      <c r="V67" s="1648">
        <v>29453</v>
      </c>
      <c r="W67" s="1648">
        <v>445015</v>
      </c>
      <c r="X67" s="545"/>
      <c r="Y67" s="545"/>
      <c r="Z67" s="1649" t="s">
        <v>929</v>
      </c>
      <c r="AA67" s="772">
        <v>3</v>
      </c>
    </row>
    <row r="68" spans="1:27">
      <c r="A68" s="1647" t="s">
        <v>1501</v>
      </c>
      <c r="B68" s="1648">
        <v>12721</v>
      </c>
      <c r="C68" s="1648" t="s">
        <v>392</v>
      </c>
      <c r="D68" s="1648">
        <v>21310</v>
      </c>
      <c r="E68" s="1648" t="s">
        <v>392</v>
      </c>
      <c r="F68" s="1648">
        <v>254615</v>
      </c>
      <c r="G68" s="1648" t="s">
        <v>392</v>
      </c>
      <c r="H68" s="1648">
        <v>1213659</v>
      </c>
      <c r="I68" s="1648" t="s">
        <v>392</v>
      </c>
      <c r="J68" s="1648">
        <v>234423</v>
      </c>
      <c r="K68" s="1648">
        <v>1590</v>
      </c>
      <c r="L68" s="1648">
        <v>142844</v>
      </c>
      <c r="M68" s="1648">
        <v>112230</v>
      </c>
      <c r="N68" s="1648">
        <v>3734</v>
      </c>
      <c r="O68" s="1648">
        <v>236013</v>
      </c>
      <c r="P68" s="1648">
        <v>258808</v>
      </c>
      <c r="Q68" s="1648">
        <v>494821</v>
      </c>
      <c r="R68" s="1585"/>
      <c r="S68" s="1647" t="s">
        <v>1501</v>
      </c>
      <c r="T68" s="1585">
        <v>465978</v>
      </c>
      <c r="U68" s="1585">
        <v>5670</v>
      </c>
      <c r="V68" s="1585">
        <v>23173</v>
      </c>
      <c r="W68" s="1585">
        <v>494821</v>
      </c>
      <c r="X68" s="545"/>
      <c r="Y68" s="545"/>
      <c r="Z68" s="1649" t="s">
        <v>940</v>
      </c>
      <c r="AA68" s="772">
        <v>2</v>
      </c>
    </row>
    <row r="69" spans="1:27">
      <c r="A69" s="1647" t="s">
        <v>1502</v>
      </c>
      <c r="B69" s="1648">
        <v>10126</v>
      </c>
      <c r="C69" s="1648" t="s">
        <v>392</v>
      </c>
      <c r="D69" s="1648">
        <v>15339</v>
      </c>
      <c r="E69" s="1648" t="s">
        <v>392</v>
      </c>
      <c r="F69" s="1648">
        <v>157110</v>
      </c>
      <c r="G69" s="1648" t="s">
        <v>392</v>
      </c>
      <c r="H69" s="1648">
        <v>715841</v>
      </c>
      <c r="I69" s="1648" t="s">
        <v>392</v>
      </c>
      <c r="J69" s="1648">
        <v>136717</v>
      </c>
      <c r="K69" s="1648">
        <v>180</v>
      </c>
      <c r="L69" s="1648">
        <v>131921</v>
      </c>
      <c r="M69" s="1648">
        <v>59111</v>
      </c>
      <c r="N69" s="1648">
        <v>15242</v>
      </c>
      <c r="O69" s="1648">
        <v>136897</v>
      </c>
      <c r="P69" s="1648">
        <v>206274</v>
      </c>
      <c r="Q69" s="1648">
        <v>343171</v>
      </c>
      <c r="R69" s="1585"/>
      <c r="S69" s="1647" t="s">
        <v>1502</v>
      </c>
      <c r="T69" s="1585">
        <v>319088</v>
      </c>
      <c r="U69" s="1585" t="s">
        <v>390</v>
      </c>
      <c r="V69" s="1585">
        <v>24083</v>
      </c>
      <c r="W69" s="1585">
        <v>343171</v>
      </c>
      <c r="X69" s="545"/>
      <c r="Y69" s="545"/>
      <c r="Z69" s="1649" t="s">
        <v>948</v>
      </c>
      <c r="AA69" s="772">
        <v>2</v>
      </c>
    </row>
    <row r="70" spans="1:27">
      <c r="A70" s="1647" t="s">
        <v>1503</v>
      </c>
      <c r="B70" s="1648">
        <v>5817</v>
      </c>
      <c r="C70" s="1648" t="s">
        <v>392</v>
      </c>
      <c r="D70" s="1648">
        <v>11138</v>
      </c>
      <c r="E70" s="1648" t="s">
        <v>392</v>
      </c>
      <c r="F70" s="1648">
        <v>98889</v>
      </c>
      <c r="G70" s="1648" t="s">
        <v>392</v>
      </c>
      <c r="H70" s="1648" t="s">
        <v>390</v>
      </c>
      <c r="I70" s="1648" t="s">
        <v>392</v>
      </c>
      <c r="J70" s="1648">
        <v>126158</v>
      </c>
      <c r="K70" s="1648">
        <v>1013</v>
      </c>
      <c r="L70" s="1648">
        <v>68970</v>
      </c>
      <c r="M70" s="1648">
        <v>64105</v>
      </c>
      <c r="N70" s="1648">
        <v>11858</v>
      </c>
      <c r="O70" s="1648">
        <v>127171</v>
      </c>
      <c r="P70" s="1648">
        <v>144933</v>
      </c>
      <c r="Q70" s="1648">
        <v>272104</v>
      </c>
      <c r="R70" s="1585"/>
      <c r="S70" s="1647" t="s">
        <v>1503</v>
      </c>
      <c r="T70" s="1585">
        <v>250598</v>
      </c>
      <c r="U70" s="1585" t="s">
        <v>390</v>
      </c>
      <c r="V70" s="1585">
        <v>22807</v>
      </c>
      <c r="W70" s="1585">
        <v>273405</v>
      </c>
      <c r="X70" s="545"/>
      <c r="Y70" s="545"/>
      <c r="Z70" s="1649" t="s">
        <v>957</v>
      </c>
      <c r="AA70" s="772">
        <v>2</v>
      </c>
    </row>
    <row r="71" spans="1:27">
      <c r="A71" s="1650" t="s">
        <v>1504</v>
      </c>
      <c r="B71" s="1585">
        <v>9954</v>
      </c>
      <c r="C71" s="1585" t="s">
        <v>392</v>
      </c>
      <c r="D71" s="1585">
        <v>20116</v>
      </c>
      <c r="E71" s="1585" t="s">
        <v>392</v>
      </c>
      <c r="F71" s="1585">
        <v>199060</v>
      </c>
      <c r="G71" s="1585" t="s">
        <v>392</v>
      </c>
      <c r="H71" s="1585">
        <v>1005794</v>
      </c>
      <c r="I71" s="1585" t="s">
        <v>392</v>
      </c>
      <c r="J71" s="1585">
        <v>275417</v>
      </c>
      <c r="K71" s="1585">
        <v>1221</v>
      </c>
      <c r="L71" s="1585">
        <v>164477</v>
      </c>
      <c r="M71" s="1585">
        <v>81559</v>
      </c>
      <c r="N71" s="1585">
        <v>20213</v>
      </c>
      <c r="O71" s="1585">
        <v>276638</v>
      </c>
      <c r="P71" s="1585">
        <v>266249</v>
      </c>
      <c r="Q71" s="1648">
        <v>542887</v>
      </c>
      <c r="R71" s="1585"/>
      <c r="S71" s="1650" t="s">
        <v>1504</v>
      </c>
      <c r="T71" s="1585">
        <v>507364</v>
      </c>
      <c r="U71" s="1585" t="s">
        <v>390</v>
      </c>
      <c r="V71" s="1585">
        <v>35523</v>
      </c>
      <c r="W71" s="1585">
        <v>542887</v>
      </c>
      <c r="X71" s="545"/>
      <c r="Y71" s="545"/>
      <c r="Z71" s="1649" t="s">
        <v>973</v>
      </c>
      <c r="AA71" s="772" t="s">
        <v>1513</v>
      </c>
    </row>
    <row r="72" spans="1:27">
      <c r="A72" s="1650" t="s">
        <v>1505</v>
      </c>
      <c r="B72" s="1585">
        <v>8464</v>
      </c>
      <c r="C72" s="1585" t="s">
        <v>392</v>
      </c>
      <c r="D72" s="1585">
        <v>17279</v>
      </c>
      <c r="E72" s="1585" t="s">
        <v>392</v>
      </c>
      <c r="F72" s="1585">
        <v>153320</v>
      </c>
      <c r="G72" s="1585" t="s">
        <v>392</v>
      </c>
      <c r="H72" s="1585">
        <v>652700</v>
      </c>
      <c r="I72" s="1585" t="s">
        <v>392</v>
      </c>
      <c r="J72" s="1585">
        <v>230226</v>
      </c>
      <c r="K72" s="1585">
        <v>11969</v>
      </c>
      <c r="L72" s="1585">
        <v>154190</v>
      </c>
      <c r="M72" s="1585">
        <v>52376</v>
      </c>
      <c r="N72" s="1585">
        <v>22535</v>
      </c>
      <c r="O72" s="1585">
        <v>242195</v>
      </c>
      <c r="P72" s="1585">
        <v>229101</v>
      </c>
      <c r="Q72" s="1648">
        <v>471296</v>
      </c>
      <c r="R72" s="1585"/>
      <c r="S72" s="1650" t="s">
        <v>1505</v>
      </c>
      <c r="T72" s="1585">
        <v>428688</v>
      </c>
      <c r="U72" s="1585" t="s">
        <v>390</v>
      </c>
      <c r="V72" s="1585">
        <v>42635</v>
      </c>
      <c r="W72" s="1585">
        <v>471323</v>
      </c>
      <c r="X72" s="545"/>
      <c r="Y72" s="545"/>
      <c r="Z72" s="1649" t="s">
        <v>989</v>
      </c>
      <c r="AA72" s="772">
        <v>1</v>
      </c>
    </row>
    <row r="73" spans="1:27">
      <c r="A73" s="1063" t="s">
        <v>1506</v>
      </c>
      <c r="B73" s="1072">
        <v>1287498</v>
      </c>
      <c r="C73" s="1072" t="s">
        <v>392</v>
      </c>
      <c r="D73" s="1072">
        <v>739535</v>
      </c>
      <c r="E73" s="1072" t="s">
        <v>392</v>
      </c>
      <c r="F73" s="1072">
        <v>12920839</v>
      </c>
      <c r="G73" s="1072" t="s">
        <v>392</v>
      </c>
      <c r="H73" s="1590">
        <v>38256950.399999999</v>
      </c>
      <c r="I73" s="1072" t="s">
        <v>392</v>
      </c>
      <c r="J73" s="1072">
        <v>13974171</v>
      </c>
      <c r="K73" s="1072">
        <v>993550</v>
      </c>
      <c r="L73" s="1072">
        <v>4095634</v>
      </c>
      <c r="M73" s="1072">
        <v>10673542</v>
      </c>
      <c r="N73" s="1072">
        <v>224260</v>
      </c>
      <c r="O73" s="1072">
        <v>14967721</v>
      </c>
      <c r="P73" s="1072">
        <v>14993436</v>
      </c>
      <c r="Q73" s="1072">
        <v>29961157</v>
      </c>
      <c r="R73" s="1072"/>
      <c r="S73" s="1063" t="s">
        <v>1506</v>
      </c>
      <c r="T73" s="1072">
        <v>26628748</v>
      </c>
      <c r="U73" s="1072">
        <v>1018121</v>
      </c>
      <c r="V73" s="1072">
        <v>2198981</v>
      </c>
      <c r="W73" s="1072">
        <v>29845850</v>
      </c>
    </row>
    <row r="74" spans="1:27">
      <c r="A74" s="1100" t="s">
        <v>1470</v>
      </c>
      <c r="B74" s="1048"/>
      <c r="C74" s="1048"/>
      <c r="D74" s="1048"/>
      <c r="E74" s="1048"/>
      <c r="F74" s="1048"/>
      <c r="G74" s="1048"/>
      <c r="H74" s="1048"/>
      <c r="I74" s="1048"/>
      <c r="J74" s="1048"/>
      <c r="K74" s="1048"/>
      <c r="L74" s="1048"/>
      <c r="M74" s="1048"/>
      <c r="N74" s="1048"/>
      <c r="O74" s="1048"/>
      <c r="P74" s="1048"/>
      <c r="Q74" s="1048"/>
      <c r="R74" s="1048"/>
      <c r="S74" s="3152" t="s">
        <v>1470</v>
      </c>
      <c r="T74" s="3152"/>
      <c r="U74" s="3152"/>
      <c r="V74" s="3152"/>
      <c r="W74" s="3152"/>
    </row>
    <row r="75" spans="1:27">
      <c r="A75" s="1048"/>
      <c r="B75" s="1048"/>
      <c r="C75" s="1048"/>
      <c r="D75" s="1048"/>
      <c r="E75" s="1048"/>
      <c r="F75" s="1048"/>
      <c r="G75" s="1048"/>
      <c r="H75" s="1048"/>
      <c r="I75" s="1048"/>
      <c r="J75" s="1048"/>
      <c r="K75" s="1048"/>
      <c r="L75" s="1048"/>
      <c r="M75" s="1048"/>
      <c r="N75" s="1048"/>
      <c r="O75" s="1048"/>
      <c r="P75" s="1048"/>
      <c r="Q75" s="1048"/>
      <c r="R75" s="1048"/>
      <c r="S75" s="1048"/>
      <c r="T75" s="1048"/>
      <c r="U75" s="1048"/>
      <c r="V75" s="1048"/>
      <c r="W75" s="1048"/>
    </row>
    <row r="80" spans="1:27" ht="15.6">
      <c r="A80" s="1047" t="s">
        <v>1510</v>
      </c>
      <c r="B80" s="1048"/>
      <c r="C80" s="1074"/>
      <c r="D80" s="1048"/>
      <c r="E80" s="1074"/>
      <c r="F80" s="1048"/>
      <c r="G80" s="1074"/>
      <c r="H80" s="1048"/>
      <c r="I80" s="1074"/>
      <c r="J80" s="1048"/>
      <c r="K80" s="1074"/>
      <c r="L80" s="1048"/>
    </row>
    <row r="81" spans="1:12">
      <c r="A81" s="1075" t="s">
        <v>1511</v>
      </c>
      <c r="B81" s="1048"/>
      <c r="C81" s="1074"/>
      <c r="D81" s="1048"/>
      <c r="E81" s="1074"/>
      <c r="F81" s="1048"/>
      <c r="G81" s="1074"/>
      <c r="H81" s="1048"/>
      <c r="I81" s="1074"/>
      <c r="J81" s="1048"/>
      <c r="K81" s="1074"/>
      <c r="L81" s="1048"/>
    </row>
    <row r="82" spans="1:12">
      <c r="A82" s="1076"/>
      <c r="B82" s="1077" t="s">
        <v>1464</v>
      </c>
      <c r="C82" s="1078"/>
      <c r="D82" s="1065"/>
      <c r="E82" s="1078"/>
      <c r="F82" s="1065"/>
      <c r="G82" s="1078"/>
      <c r="H82" s="1065"/>
      <c r="I82" s="1078"/>
      <c r="J82" s="1065"/>
      <c r="K82" s="1078"/>
      <c r="L82" s="1065"/>
    </row>
    <row r="83" spans="1:12" ht="21">
      <c r="A83" s="1063" t="s">
        <v>353</v>
      </c>
      <c r="B83" s="1079" t="s">
        <v>1318</v>
      </c>
      <c r="C83" s="1080"/>
      <c r="D83" s="1079" t="s">
        <v>1466</v>
      </c>
      <c r="E83" s="1080"/>
      <c r="F83" s="1079" t="s">
        <v>1401</v>
      </c>
      <c r="G83" s="1080"/>
      <c r="H83" s="1079" t="s">
        <v>1467</v>
      </c>
      <c r="I83" s="1080"/>
      <c r="J83" s="1079" t="s">
        <v>1468</v>
      </c>
      <c r="K83" s="1080"/>
      <c r="L83" s="1081" t="s">
        <v>1469</v>
      </c>
    </row>
    <row r="84" spans="1:12">
      <c r="A84" s="1082"/>
      <c r="B84" s="1082"/>
      <c r="C84" s="1074"/>
      <c r="D84" s="1082"/>
      <c r="E84" s="1074"/>
      <c r="F84" s="1082"/>
      <c r="G84" s="1074"/>
      <c r="H84" s="1082"/>
      <c r="I84" s="1074"/>
      <c r="J84" s="1082"/>
      <c r="K84" s="1074"/>
      <c r="L84" s="1066"/>
    </row>
    <row r="85" spans="1:12">
      <c r="A85" s="1083">
        <v>1999</v>
      </c>
      <c r="B85" s="1048">
        <v>580</v>
      </c>
      <c r="C85" s="1074"/>
      <c r="D85" s="1048">
        <v>273</v>
      </c>
      <c r="E85" s="1074"/>
      <c r="F85" s="1048">
        <v>88</v>
      </c>
      <c r="G85" s="1074"/>
      <c r="H85" s="1048">
        <v>105</v>
      </c>
      <c r="I85" s="1074"/>
      <c r="J85" s="1085" t="s">
        <v>390</v>
      </c>
      <c r="K85" s="1074"/>
      <c r="L85" s="1084">
        <v>1053</v>
      </c>
    </row>
    <row r="86" spans="1:12">
      <c r="A86" s="1083">
        <v>2000</v>
      </c>
      <c r="B86" s="1048">
        <v>592</v>
      </c>
      <c r="C86" s="1074"/>
      <c r="D86" s="1048">
        <v>284</v>
      </c>
      <c r="E86" s="1074"/>
      <c r="F86" s="1048">
        <v>91</v>
      </c>
      <c r="G86" s="1074"/>
      <c r="H86" s="1048">
        <v>103</v>
      </c>
      <c r="I86" s="1074"/>
      <c r="J86" s="1085" t="s">
        <v>390</v>
      </c>
      <c r="K86" s="1074"/>
      <c r="L86" s="1084">
        <v>1078</v>
      </c>
    </row>
    <row r="87" spans="1:12">
      <c r="A87" s="1083">
        <v>2001</v>
      </c>
      <c r="B87" s="1048">
        <v>601</v>
      </c>
      <c r="C87" s="1074"/>
      <c r="D87" s="1048">
        <v>283</v>
      </c>
      <c r="E87" s="1074"/>
      <c r="F87" s="1048">
        <v>95</v>
      </c>
      <c r="G87" s="1074"/>
      <c r="H87" s="1048">
        <v>111</v>
      </c>
      <c r="I87" s="1074"/>
      <c r="J87" s="1085" t="s">
        <v>390</v>
      </c>
      <c r="K87" s="1074"/>
      <c r="L87" s="1084">
        <v>1098</v>
      </c>
    </row>
    <row r="88" spans="1:12">
      <c r="A88" s="1083">
        <v>2002</v>
      </c>
      <c r="B88" s="1084">
        <v>601</v>
      </c>
      <c r="C88" s="1074"/>
      <c r="D88" s="1048">
        <v>283</v>
      </c>
      <c r="E88" s="1074"/>
      <c r="F88" s="1048">
        <v>96</v>
      </c>
      <c r="G88" s="1074"/>
      <c r="H88" s="1048">
        <v>115</v>
      </c>
      <c r="I88" s="1074"/>
      <c r="J88" s="1048">
        <v>8</v>
      </c>
      <c r="K88" s="1074"/>
      <c r="L88" s="1084">
        <v>1103</v>
      </c>
    </row>
    <row r="89" spans="1:12">
      <c r="A89" s="1083">
        <v>2003</v>
      </c>
      <c r="B89" s="1048">
        <v>610</v>
      </c>
      <c r="C89" s="1074"/>
      <c r="D89" s="1048">
        <v>279</v>
      </c>
      <c r="E89" s="1074"/>
      <c r="F89" s="1048">
        <v>101</v>
      </c>
      <c r="G89" s="1074"/>
      <c r="H89" s="1048">
        <v>120</v>
      </c>
      <c r="I89" s="1074"/>
      <c r="J89" s="1048">
        <v>8</v>
      </c>
      <c r="K89" s="1074"/>
      <c r="L89" s="1084">
        <v>1117</v>
      </c>
    </row>
    <row r="90" spans="1:12">
      <c r="A90" s="1083">
        <v>2004</v>
      </c>
      <c r="B90" s="1048">
        <v>609</v>
      </c>
      <c r="C90" s="1074"/>
      <c r="D90" s="1048">
        <v>278</v>
      </c>
      <c r="E90" s="1074"/>
      <c r="F90" s="1048">
        <v>108</v>
      </c>
      <c r="G90" s="1074"/>
      <c r="H90" s="1048">
        <v>118</v>
      </c>
      <c r="I90" s="1074"/>
      <c r="J90" s="1048">
        <v>7</v>
      </c>
      <c r="K90" s="1074"/>
      <c r="L90" s="1084">
        <v>1121</v>
      </c>
    </row>
    <row r="91" spans="1:12">
      <c r="A91" s="1083">
        <v>2005</v>
      </c>
      <c r="B91" s="1048">
        <v>608</v>
      </c>
      <c r="C91" s="1087" t="s">
        <v>392</v>
      </c>
      <c r="D91" s="1048">
        <v>276</v>
      </c>
      <c r="E91" s="1087" t="s">
        <v>392</v>
      </c>
      <c r="F91" s="1048">
        <v>110</v>
      </c>
      <c r="G91" s="1087" t="s">
        <v>392</v>
      </c>
      <c r="H91" s="1048">
        <v>124</v>
      </c>
      <c r="I91" s="1087" t="s">
        <v>392</v>
      </c>
      <c r="J91" s="1048">
        <v>8</v>
      </c>
      <c r="K91" s="1087" t="s">
        <v>392</v>
      </c>
      <c r="L91" s="1084">
        <v>1126</v>
      </c>
    </row>
    <row r="92" spans="1:12">
      <c r="A92" s="1086">
        <v>2006</v>
      </c>
      <c r="B92" s="1068">
        <v>635</v>
      </c>
      <c r="C92" s="1087" t="s">
        <v>392</v>
      </c>
      <c r="D92" s="1068">
        <v>297</v>
      </c>
      <c r="E92" s="1087" t="s">
        <v>392</v>
      </c>
      <c r="F92" s="1068">
        <v>114</v>
      </c>
      <c r="G92" s="1087" t="s">
        <v>392</v>
      </c>
      <c r="H92" s="1068">
        <v>131</v>
      </c>
      <c r="I92" s="1087" t="s">
        <v>392</v>
      </c>
      <c r="J92" s="1068">
        <v>8</v>
      </c>
      <c r="K92" s="1087" t="s">
        <v>392</v>
      </c>
      <c r="L92" s="1068">
        <v>1185</v>
      </c>
    </row>
    <row r="93" spans="1:12">
      <c r="A93" s="1086">
        <v>2007</v>
      </c>
      <c r="B93" s="1068">
        <v>640</v>
      </c>
      <c r="C93" s="1087" t="s">
        <v>203</v>
      </c>
      <c r="D93" s="1068">
        <v>303</v>
      </c>
      <c r="E93" s="1087" t="s">
        <v>392</v>
      </c>
      <c r="F93" s="1068">
        <v>122</v>
      </c>
      <c r="G93" s="1087" t="s">
        <v>392</v>
      </c>
      <c r="H93" s="1068">
        <v>142</v>
      </c>
      <c r="I93" s="1087" t="s">
        <v>392</v>
      </c>
      <c r="J93" s="1068">
        <v>7</v>
      </c>
      <c r="K93" s="1087" t="s">
        <v>392</v>
      </c>
      <c r="L93" s="1068">
        <v>1214</v>
      </c>
    </row>
    <row r="94" spans="1:12">
      <c r="A94" s="1086">
        <v>2008</v>
      </c>
      <c r="B94" s="1068">
        <v>658</v>
      </c>
      <c r="C94" s="1087" t="s">
        <v>203</v>
      </c>
      <c r="D94" s="1068">
        <v>306</v>
      </c>
      <c r="E94" s="1087" t="s">
        <v>392</v>
      </c>
      <c r="F94" s="1068">
        <v>123</v>
      </c>
      <c r="G94" s="1087" t="s">
        <v>392</v>
      </c>
      <c r="H94" s="1068">
        <v>150</v>
      </c>
      <c r="I94" s="1087" t="s">
        <v>203</v>
      </c>
      <c r="J94" s="1068">
        <v>8</v>
      </c>
      <c r="K94" s="1087" t="s">
        <v>392</v>
      </c>
      <c r="L94" s="1068">
        <v>1245</v>
      </c>
    </row>
    <row r="95" spans="1:12">
      <c r="A95" s="1086">
        <v>2009</v>
      </c>
      <c r="B95" s="1068">
        <v>660</v>
      </c>
      <c r="C95" s="1087" t="s">
        <v>392</v>
      </c>
      <c r="D95" s="1068">
        <v>307</v>
      </c>
      <c r="E95" s="1087" t="s">
        <v>392</v>
      </c>
      <c r="F95" s="1068">
        <v>124</v>
      </c>
      <c r="G95" s="1087" t="s">
        <v>392</v>
      </c>
      <c r="H95" s="1068">
        <v>151</v>
      </c>
      <c r="I95" s="1087" t="s">
        <v>392</v>
      </c>
      <c r="J95" s="1068">
        <v>9</v>
      </c>
      <c r="K95" s="1087" t="s">
        <v>392</v>
      </c>
      <c r="L95" s="1068">
        <v>1251</v>
      </c>
    </row>
    <row r="96" spans="1:12">
      <c r="A96" s="1086">
        <v>2010</v>
      </c>
      <c r="B96" s="1068">
        <v>681</v>
      </c>
      <c r="C96" s="1088" t="s">
        <v>392</v>
      </c>
      <c r="D96" s="1068">
        <v>310</v>
      </c>
      <c r="E96" s="1088" t="s">
        <v>392</v>
      </c>
      <c r="F96" s="1068">
        <v>131</v>
      </c>
      <c r="G96" s="1088" t="s">
        <v>392</v>
      </c>
      <c r="H96" s="1068">
        <v>156</v>
      </c>
      <c r="I96" s="1088" t="s">
        <v>392</v>
      </c>
      <c r="J96" s="1068">
        <v>9</v>
      </c>
      <c r="K96" s="1088" t="s">
        <v>392</v>
      </c>
      <c r="L96" s="1068">
        <v>1287</v>
      </c>
    </row>
    <row r="97" spans="1:12">
      <c r="A97" s="3152" t="s">
        <v>1470</v>
      </c>
      <c r="B97" s="3152"/>
      <c r="C97" s="3152"/>
      <c r="D97" s="3152"/>
      <c r="E97" s="3152"/>
      <c r="F97" s="3152"/>
      <c r="G97" s="3152"/>
      <c r="H97" s="3152"/>
      <c r="I97" s="3152"/>
      <c r="J97" s="3152"/>
      <c r="K97" s="1102"/>
      <c r="L97" s="1103"/>
    </row>
    <row r="98" spans="1:12">
      <c r="A98" s="1048"/>
      <c r="B98" s="1048"/>
      <c r="C98" s="1074"/>
      <c r="D98" s="1048"/>
      <c r="E98" s="1074"/>
      <c r="F98" s="1048"/>
      <c r="G98" s="1074"/>
      <c r="H98" s="1048"/>
      <c r="I98" s="1074"/>
      <c r="J98" s="1048"/>
      <c r="K98" s="1074"/>
      <c r="L98" s="1048"/>
    </row>
  </sheetData>
  <mergeCells count="5">
    <mergeCell ref="A16:J16"/>
    <mergeCell ref="A39:H39"/>
    <mergeCell ref="J49:Q49"/>
    <mergeCell ref="S74:W74"/>
    <mergeCell ref="A97:J97"/>
  </mergeCells>
  <hyperlinks>
    <hyperlink ref="A2" r:id="rId1" xr:uid="{00000000-0004-0000-1C00-000000000000}"/>
  </hyperlinks>
  <pageMargins left="0.7" right="0.7" top="0.75" bottom="0.75" header="0.3" footer="0.3"/>
  <pageSetup paperSize="9" orientation="portrait"/>
  <drawing r:id="rId2"/>
  <legacyDrawing r:id="rId3"/>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D00-000000000000}">
  <sheetPr>
    <tabColor rgb="FF00B0F0"/>
  </sheetPr>
  <dimension ref="D1:U61"/>
  <sheetViews>
    <sheetView topLeftCell="C1" workbookViewId="0">
      <selection activeCell="K72" sqref="K72"/>
    </sheetView>
  </sheetViews>
  <sheetFormatPr defaultRowHeight="13.2"/>
  <cols>
    <col min="5" max="6" width="13" customWidth="1"/>
    <col min="10" max="10" width="21" customWidth="1"/>
    <col min="11" max="12" width="18.109375" customWidth="1"/>
    <col min="13" max="13" width="21.33203125" customWidth="1"/>
    <col min="14" max="14" width="15.6640625" customWidth="1"/>
    <col min="15" max="15" width="23.88671875" customWidth="1"/>
  </cols>
  <sheetData>
    <row r="1" spans="4:17">
      <c r="D1" t="s">
        <v>606</v>
      </c>
    </row>
    <row r="3" spans="4:17">
      <c r="D3">
        <v>2010</v>
      </c>
      <c r="E3" t="s">
        <v>655</v>
      </c>
      <c r="F3" t="s">
        <v>656</v>
      </c>
      <c r="J3" t="s">
        <v>657</v>
      </c>
      <c r="K3" t="s">
        <v>658</v>
      </c>
      <c r="L3" t="s">
        <v>659</v>
      </c>
      <c r="M3" t="s">
        <v>660</v>
      </c>
      <c r="N3" t="s">
        <v>2553</v>
      </c>
      <c r="O3" t="s">
        <v>2554</v>
      </c>
      <c r="P3" t="s">
        <v>2555</v>
      </c>
      <c r="Q3" t="s">
        <v>662</v>
      </c>
    </row>
    <row r="4" spans="4:17">
      <c r="F4" t="s">
        <v>664</v>
      </c>
      <c r="I4" t="s">
        <v>665</v>
      </c>
      <c r="L4" t="s">
        <v>666</v>
      </c>
    </row>
    <row r="5" spans="4:17">
      <c r="F5">
        <v>-3500</v>
      </c>
      <c r="G5" t="s">
        <v>667</v>
      </c>
      <c r="H5" t="s">
        <v>625</v>
      </c>
      <c r="I5" t="s">
        <v>2070</v>
      </c>
    </row>
    <row r="6" spans="4:17">
      <c r="D6" t="s">
        <v>697</v>
      </c>
      <c r="E6">
        <v>800534</v>
      </c>
      <c r="F6">
        <v>97722</v>
      </c>
      <c r="G6">
        <v>12126</v>
      </c>
      <c r="H6">
        <v>109848</v>
      </c>
      <c r="I6">
        <v>679</v>
      </c>
      <c r="J6">
        <v>2814</v>
      </c>
      <c r="K6">
        <v>39266</v>
      </c>
      <c r="L6">
        <v>12415</v>
      </c>
      <c r="M6">
        <v>12555</v>
      </c>
      <c r="N6">
        <v>10891</v>
      </c>
      <c r="O6">
        <v>98054</v>
      </c>
    </row>
    <row r="7" spans="4:17">
      <c r="D7" t="s">
        <v>706</v>
      </c>
      <c r="E7">
        <v>145307</v>
      </c>
      <c r="F7">
        <v>13869</v>
      </c>
      <c r="G7">
        <v>2257</v>
      </c>
      <c r="H7">
        <v>16126</v>
      </c>
      <c r="I7">
        <v>80</v>
      </c>
      <c r="J7">
        <v>490</v>
      </c>
      <c r="K7">
        <v>9319</v>
      </c>
      <c r="L7">
        <v>2175</v>
      </c>
      <c r="M7">
        <v>12504</v>
      </c>
      <c r="N7">
        <v>4490</v>
      </c>
      <c r="O7">
        <v>33742</v>
      </c>
    </row>
    <row r="8" spans="4:17">
      <c r="D8" t="s">
        <v>717</v>
      </c>
      <c r="E8">
        <v>128531</v>
      </c>
      <c r="F8">
        <v>12709</v>
      </c>
      <c r="G8">
        <v>1722</v>
      </c>
      <c r="H8">
        <v>14431</v>
      </c>
      <c r="I8">
        <v>198</v>
      </c>
      <c r="J8">
        <v>327</v>
      </c>
      <c r="K8">
        <v>9155</v>
      </c>
      <c r="L8">
        <v>2155</v>
      </c>
      <c r="M8">
        <v>8495</v>
      </c>
      <c r="N8">
        <v>2413</v>
      </c>
      <c r="O8">
        <v>28303</v>
      </c>
    </row>
    <row r="9" spans="4:17">
      <c r="D9" t="s">
        <v>732</v>
      </c>
      <c r="E9">
        <v>195813</v>
      </c>
      <c r="F9">
        <v>19501</v>
      </c>
      <c r="G9">
        <v>3614</v>
      </c>
      <c r="H9">
        <v>23115</v>
      </c>
      <c r="I9">
        <v>224</v>
      </c>
      <c r="J9">
        <v>639</v>
      </c>
      <c r="K9">
        <v>13781</v>
      </c>
      <c r="L9">
        <v>3447</v>
      </c>
      <c r="M9">
        <v>15374</v>
      </c>
      <c r="N9">
        <v>2479</v>
      </c>
      <c r="O9">
        <v>43033</v>
      </c>
    </row>
    <row r="10" spans="4:17">
      <c r="D10" t="s">
        <v>747</v>
      </c>
      <c r="E10">
        <v>165865</v>
      </c>
      <c r="F10">
        <v>16459</v>
      </c>
      <c r="G10">
        <v>3410</v>
      </c>
      <c r="H10">
        <v>19869</v>
      </c>
      <c r="I10">
        <v>366</v>
      </c>
      <c r="J10">
        <v>525</v>
      </c>
      <c r="K10">
        <v>11781</v>
      </c>
      <c r="L10">
        <v>2975</v>
      </c>
      <c r="M10">
        <v>17332</v>
      </c>
      <c r="N10">
        <v>2837</v>
      </c>
      <c r="O10">
        <v>43716</v>
      </c>
    </row>
    <row r="11" spans="4:17">
      <c r="D11" t="s">
        <v>756</v>
      </c>
      <c r="E11">
        <v>91820</v>
      </c>
      <c r="F11">
        <v>8924</v>
      </c>
      <c r="G11">
        <v>1971</v>
      </c>
      <c r="H11">
        <v>10895</v>
      </c>
      <c r="I11">
        <v>224</v>
      </c>
      <c r="J11">
        <v>295</v>
      </c>
      <c r="K11">
        <v>6372</v>
      </c>
      <c r="L11">
        <v>1795</v>
      </c>
      <c r="M11">
        <v>11420</v>
      </c>
      <c r="N11">
        <v>1590</v>
      </c>
      <c r="O11">
        <v>25573</v>
      </c>
    </row>
    <row r="12" spans="4:17">
      <c r="D12" t="s">
        <v>769</v>
      </c>
      <c r="E12">
        <v>120546</v>
      </c>
      <c r="F12">
        <v>12129</v>
      </c>
      <c r="G12">
        <v>2134</v>
      </c>
      <c r="H12">
        <v>14263</v>
      </c>
      <c r="I12">
        <v>175</v>
      </c>
      <c r="J12">
        <v>885</v>
      </c>
      <c r="K12">
        <v>9010</v>
      </c>
      <c r="L12">
        <v>2349</v>
      </c>
      <c r="M12">
        <v>14935</v>
      </c>
      <c r="N12">
        <v>1620</v>
      </c>
      <c r="O12">
        <v>30821</v>
      </c>
    </row>
    <row r="13" spans="4:17">
      <c r="D13" t="s">
        <v>771</v>
      </c>
      <c r="E13">
        <v>32425</v>
      </c>
      <c r="F13">
        <v>4323</v>
      </c>
      <c r="G13">
        <v>604</v>
      </c>
      <c r="H13">
        <v>4927</v>
      </c>
      <c r="I13">
        <v>62</v>
      </c>
      <c r="J13">
        <v>69</v>
      </c>
      <c r="K13">
        <v>2442</v>
      </c>
      <c r="L13">
        <v>880</v>
      </c>
      <c r="M13">
        <v>5820</v>
      </c>
      <c r="N13">
        <v>385</v>
      </c>
      <c r="O13">
        <v>8595</v>
      </c>
    </row>
    <row r="14" spans="4:17">
      <c r="D14" t="s">
        <v>777</v>
      </c>
      <c r="E14">
        <v>77931</v>
      </c>
      <c r="F14">
        <v>6427</v>
      </c>
      <c r="G14">
        <v>988</v>
      </c>
      <c r="H14">
        <v>7415</v>
      </c>
      <c r="I14">
        <v>108</v>
      </c>
      <c r="J14">
        <v>72</v>
      </c>
      <c r="K14">
        <v>5954</v>
      </c>
      <c r="L14">
        <v>1948</v>
      </c>
      <c r="M14">
        <v>6890</v>
      </c>
      <c r="N14">
        <v>553</v>
      </c>
      <c r="O14">
        <v>17624</v>
      </c>
    </row>
    <row r="15" spans="4:17">
      <c r="D15" t="s">
        <v>812</v>
      </c>
      <c r="E15">
        <v>574107</v>
      </c>
      <c r="F15">
        <v>53275</v>
      </c>
      <c r="G15">
        <v>11791</v>
      </c>
      <c r="H15">
        <v>65066</v>
      </c>
      <c r="I15">
        <v>1962</v>
      </c>
      <c r="J15">
        <v>1525</v>
      </c>
      <c r="K15">
        <v>37133</v>
      </c>
      <c r="L15">
        <v>10607</v>
      </c>
      <c r="M15">
        <v>36174</v>
      </c>
      <c r="N15">
        <v>2523</v>
      </c>
      <c r="O15">
        <v>103081</v>
      </c>
    </row>
    <row r="16" spans="4:17">
      <c r="D16" t="s">
        <v>819</v>
      </c>
      <c r="E16">
        <v>152586</v>
      </c>
      <c r="F16">
        <v>15714</v>
      </c>
      <c r="G16">
        <v>2969</v>
      </c>
      <c r="H16">
        <v>18683</v>
      </c>
      <c r="I16">
        <v>619</v>
      </c>
      <c r="J16">
        <v>226</v>
      </c>
      <c r="K16">
        <v>11449</v>
      </c>
      <c r="L16">
        <v>4659</v>
      </c>
      <c r="M16">
        <v>13317</v>
      </c>
      <c r="N16">
        <v>1613</v>
      </c>
      <c r="O16">
        <v>29618</v>
      </c>
    </row>
    <row r="17" spans="4:15">
      <c r="D17" t="s">
        <v>870</v>
      </c>
      <c r="E17">
        <v>711309</v>
      </c>
      <c r="F17">
        <v>67309</v>
      </c>
      <c r="G17">
        <v>13112</v>
      </c>
      <c r="H17">
        <v>80421</v>
      </c>
      <c r="I17">
        <v>1877</v>
      </c>
      <c r="J17">
        <v>2413</v>
      </c>
      <c r="K17">
        <v>47396</v>
      </c>
      <c r="L17">
        <v>15079</v>
      </c>
      <c r="M17">
        <v>57666</v>
      </c>
      <c r="N17">
        <v>9351</v>
      </c>
      <c r="O17">
        <v>146290</v>
      </c>
    </row>
    <row r="18" spans="4:15">
      <c r="D18" t="s">
        <v>888</v>
      </c>
      <c r="E18">
        <v>143651</v>
      </c>
      <c r="F18">
        <v>13353</v>
      </c>
      <c r="G18">
        <v>2503</v>
      </c>
      <c r="H18">
        <v>15856</v>
      </c>
      <c r="I18">
        <v>233</v>
      </c>
      <c r="J18">
        <v>488</v>
      </c>
      <c r="K18">
        <v>10255</v>
      </c>
      <c r="L18">
        <v>2360</v>
      </c>
      <c r="M18">
        <v>16573</v>
      </c>
      <c r="N18">
        <v>7617</v>
      </c>
      <c r="O18">
        <v>38686</v>
      </c>
    </row>
    <row r="19" spans="4:15">
      <c r="D19" t="s">
        <v>901</v>
      </c>
      <c r="E19">
        <v>134871</v>
      </c>
      <c r="F19">
        <v>13596</v>
      </c>
      <c r="G19">
        <v>2709</v>
      </c>
      <c r="H19">
        <v>16305</v>
      </c>
      <c r="I19">
        <v>249</v>
      </c>
      <c r="J19">
        <v>307</v>
      </c>
      <c r="K19">
        <v>9175</v>
      </c>
      <c r="L19">
        <v>2337</v>
      </c>
      <c r="M19">
        <v>11292</v>
      </c>
      <c r="N19">
        <v>3362</v>
      </c>
      <c r="O19">
        <v>34773</v>
      </c>
    </row>
    <row r="20" spans="4:15">
      <c r="D20" t="s">
        <v>913</v>
      </c>
      <c r="E20">
        <v>119836</v>
      </c>
      <c r="F20">
        <v>10523</v>
      </c>
      <c r="G20">
        <v>1793</v>
      </c>
      <c r="H20">
        <v>12316</v>
      </c>
      <c r="I20">
        <v>165</v>
      </c>
      <c r="J20">
        <v>333</v>
      </c>
      <c r="K20">
        <v>7671</v>
      </c>
      <c r="L20">
        <v>1131</v>
      </c>
      <c r="M20">
        <v>6972</v>
      </c>
      <c r="N20">
        <v>2716</v>
      </c>
      <c r="O20">
        <v>27363</v>
      </c>
    </row>
    <row r="21" spans="4:15">
      <c r="D21" t="s">
        <v>929</v>
      </c>
      <c r="E21">
        <v>150271</v>
      </c>
      <c r="F21">
        <v>16705</v>
      </c>
      <c r="G21">
        <v>2956</v>
      </c>
      <c r="H21">
        <v>19661</v>
      </c>
      <c r="I21">
        <v>171</v>
      </c>
      <c r="J21">
        <v>444</v>
      </c>
      <c r="K21">
        <v>11448</v>
      </c>
      <c r="L21">
        <v>2464</v>
      </c>
      <c r="M21">
        <v>14690</v>
      </c>
      <c r="N21">
        <v>19700</v>
      </c>
      <c r="O21">
        <v>50250</v>
      </c>
    </row>
    <row r="22" spans="4:15">
      <c r="D22" t="s">
        <v>940</v>
      </c>
      <c r="E22">
        <v>139992</v>
      </c>
      <c r="F22">
        <v>15458</v>
      </c>
      <c r="G22">
        <v>2628</v>
      </c>
      <c r="H22">
        <v>18086</v>
      </c>
      <c r="I22">
        <v>204</v>
      </c>
      <c r="J22">
        <v>239</v>
      </c>
      <c r="K22">
        <v>10508</v>
      </c>
      <c r="L22">
        <v>2842</v>
      </c>
      <c r="M22">
        <v>12680</v>
      </c>
      <c r="N22">
        <v>15205</v>
      </c>
      <c r="O22">
        <v>42357</v>
      </c>
    </row>
    <row r="23" spans="4:15">
      <c r="D23" t="s">
        <v>948</v>
      </c>
      <c r="E23">
        <v>125833</v>
      </c>
      <c r="F23">
        <v>12341</v>
      </c>
      <c r="G23">
        <v>2430</v>
      </c>
      <c r="H23">
        <v>14771</v>
      </c>
      <c r="I23">
        <v>203</v>
      </c>
      <c r="J23">
        <v>350</v>
      </c>
      <c r="K23">
        <v>8004</v>
      </c>
      <c r="L23">
        <v>1985</v>
      </c>
      <c r="M23">
        <v>12401</v>
      </c>
      <c r="N23">
        <v>20627</v>
      </c>
      <c r="O23">
        <v>40068</v>
      </c>
    </row>
    <row r="24" spans="4:15">
      <c r="D24" t="s">
        <v>957</v>
      </c>
      <c r="E24">
        <v>67702</v>
      </c>
      <c r="F24">
        <v>9008</v>
      </c>
      <c r="G24">
        <v>1732</v>
      </c>
      <c r="H24">
        <v>10740</v>
      </c>
      <c r="I24">
        <v>95</v>
      </c>
      <c r="J24">
        <v>579</v>
      </c>
      <c r="K24">
        <v>4022</v>
      </c>
      <c r="L24">
        <v>831</v>
      </c>
      <c r="M24">
        <v>8885</v>
      </c>
      <c r="N24">
        <v>25763</v>
      </c>
      <c r="O24">
        <v>26659</v>
      </c>
    </row>
    <row r="25" spans="4:15">
      <c r="D25" t="s">
        <v>973</v>
      </c>
      <c r="E25">
        <v>123083</v>
      </c>
      <c r="F25">
        <v>12331</v>
      </c>
      <c r="G25">
        <v>2545</v>
      </c>
      <c r="H25">
        <v>14876</v>
      </c>
      <c r="I25">
        <v>174</v>
      </c>
      <c r="J25">
        <v>462</v>
      </c>
      <c r="K25">
        <v>7760</v>
      </c>
      <c r="L25">
        <v>2256</v>
      </c>
      <c r="M25">
        <v>14298</v>
      </c>
      <c r="N25">
        <v>35792</v>
      </c>
      <c r="O25">
        <v>45375</v>
      </c>
    </row>
    <row r="26" spans="4:15">
      <c r="D26" t="s">
        <v>989</v>
      </c>
      <c r="E26">
        <v>133139</v>
      </c>
      <c r="F26">
        <v>15836</v>
      </c>
      <c r="G26">
        <v>2926</v>
      </c>
      <c r="H26">
        <v>18762</v>
      </c>
      <c r="I26">
        <v>221</v>
      </c>
      <c r="J26">
        <v>391</v>
      </c>
      <c r="K26">
        <v>5844</v>
      </c>
      <c r="L26">
        <v>1658</v>
      </c>
      <c r="M26">
        <v>9612</v>
      </c>
      <c r="N26">
        <v>42616</v>
      </c>
      <c r="O26">
        <v>51699</v>
      </c>
    </row>
    <row r="27" spans="4:15">
      <c r="E27">
        <v>4335152</v>
      </c>
      <c r="F27">
        <v>447512</v>
      </c>
      <c r="G27">
        <v>78920</v>
      </c>
      <c r="H27">
        <v>526432</v>
      </c>
      <c r="I27">
        <v>8289</v>
      </c>
      <c r="J27">
        <v>13873</v>
      </c>
      <c r="K27">
        <v>277745</v>
      </c>
      <c r="L27">
        <v>78348</v>
      </c>
      <c r="M27">
        <v>319885</v>
      </c>
      <c r="N27">
        <v>214143</v>
      </c>
      <c r="O27">
        <v>965680</v>
      </c>
    </row>
    <row r="29" spans="4:15">
      <c r="E29">
        <v>4335152</v>
      </c>
    </row>
    <row r="34" spans="4:21">
      <c r="E34" t="s">
        <v>601</v>
      </c>
      <c r="F34" t="s">
        <v>602</v>
      </c>
      <c r="G34" t="s">
        <v>603</v>
      </c>
      <c r="H34" t="s">
        <v>604</v>
      </c>
      <c r="K34" t="s">
        <v>658</v>
      </c>
      <c r="L34" t="s">
        <v>601</v>
      </c>
      <c r="M34" t="s">
        <v>602</v>
      </c>
      <c r="N34" t="s">
        <v>603</v>
      </c>
      <c r="O34" t="s">
        <v>604</v>
      </c>
      <c r="Q34" t="s">
        <v>2556</v>
      </c>
      <c r="R34" t="s">
        <v>601</v>
      </c>
      <c r="S34" t="s">
        <v>602</v>
      </c>
      <c r="T34" t="s">
        <v>603</v>
      </c>
      <c r="U34" t="s">
        <v>604</v>
      </c>
    </row>
    <row r="35" spans="4:21">
      <c r="D35" t="s">
        <v>2557</v>
      </c>
      <c r="G35">
        <v>1</v>
      </c>
      <c r="I35">
        <v>1</v>
      </c>
      <c r="L35">
        <v>0</v>
      </c>
      <c r="M35">
        <v>0</v>
      </c>
      <c r="N35">
        <v>39266</v>
      </c>
      <c r="O35">
        <v>0</v>
      </c>
      <c r="R35">
        <v>0</v>
      </c>
      <c r="S35">
        <v>0</v>
      </c>
      <c r="T35">
        <v>12415</v>
      </c>
      <c r="U35">
        <v>0</v>
      </c>
    </row>
    <row r="36" spans="4:21">
      <c r="D36" t="s">
        <v>2558</v>
      </c>
      <c r="G36">
        <v>1</v>
      </c>
      <c r="I36">
        <v>1</v>
      </c>
      <c r="L36">
        <v>0</v>
      </c>
      <c r="M36">
        <v>0</v>
      </c>
      <c r="N36">
        <v>9319</v>
      </c>
      <c r="O36">
        <v>0</v>
      </c>
      <c r="R36">
        <v>0</v>
      </c>
      <c r="S36">
        <v>0</v>
      </c>
      <c r="T36">
        <v>2175</v>
      </c>
      <c r="U36">
        <v>0</v>
      </c>
    </row>
    <row r="37" spans="4:21">
      <c r="D37" t="s">
        <v>2559</v>
      </c>
      <c r="G37">
        <v>1</v>
      </c>
      <c r="I37">
        <v>1</v>
      </c>
      <c r="L37">
        <v>0</v>
      </c>
      <c r="M37">
        <v>0</v>
      </c>
      <c r="N37">
        <v>9155</v>
      </c>
      <c r="O37">
        <v>0</v>
      </c>
      <c r="R37">
        <v>0</v>
      </c>
      <c r="S37">
        <v>0</v>
      </c>
      <c r="T37">
        <v>2155</v>
      </c>
      <c r="U37">
        <v>0</v>
      </c>
    </row>
    <row r="38" spans="4:21">
      <c r="D38" t="s">
        <v>2560</v>
      </c>
      <c r="G38">
        <v>1</v>
      </c>
      <c r="I38">
        <v>1</v>
      </c>
      <c r="L38">
        <v>0</v>
      </c>
      <c r="M38">
        <v>0</v>
      </c>
      <c r="N38">
        <v>13781</v>
      </c>
      <c r="O38">
        <v>0</v>
      </c>
      <c r="R38">
        <v>0</v>
      </c>
      <c r="S38">
        <v>0</v>
      </c>
      <c r="T38">
        <v>3447</v>
      </c>
      <c r="U38">
        <v>0</v>
      </c>
    </row>
    <row r="39" spans="4:21">
      <c r="D39" t="s">
        <v>2561</v>
      </c>
      <c r="G39">
        <v>0.5</v>
      </c>
      <c r="H39">
        <v>0.5</v>
      </c>
      <c r="I39">
        <v>1</v>
      </c>
      <c r="L39">
        <v>0</v>
      </c>
      <c r="M39">
        <v>0</v>
      </c>
      <c r="N39">
        <v>5890.5</v>
      </c>
      <c r="O39">
        <v>5890.5</v>
      </c>
      <c r="R39">
        <v>0</v>
      </c>
      <c r="S39">
        <v>0</v>
      </c>
      <c r="T39">
        <v>1487.5</v>
      </c>
      <c r="U39">
        <v>1487.5</v>
      </c>
    </row>
    <row r="40" spans="4:21">
      <c r="D40" t="s">
        <v>2562</v>
      </c>
      <c r="H40">
        <v>1</v>
      </c>
      <c r="I40">
        <v>1</v>
      </c>
      <c r="L40">
        <v>0</v>
      </c>
      <c r="M40">
        <v>0</v>
      </c>
      <c r="N40">
        <v>0</v>
      </c>
      <c r="O40">
        <v>6372</v>
      </c>
      <c r="R40">
        <v>0</v>
      </c>
      <c r="S40">
        <v>0</v>
      </c>
      <c r="T40">
        <v>0</v>
      </c>
      <c r="U40">
        <v>1795</v>
      </c>
    </row>
    <row r="41" spans="4:21">
      <c r="D41" t="s">
        <v>2563</v>
      </c>
      <c r="G41">
        <v>0.2</v>
      </c>
      <c r="H41">
        <v>0.8</v>
      </c>
      <c r="I41">
        <v>1</v>
      </c>
      <c r="L41">
        <v>0</v>
      </c>
      <c r="M41">
        <v>0</v>
      </c>
      <c r="N41">
        <v>1802</v>
      </c>
      <c r="O41">
        <v>7208</v>
      </c>
      <c r="R41">
        <v>0</v>
      </c>
      <c r="S41">
        <v>0</v>
      </c>
      <c r="T41">
        <v>469.8</v>
      </c>
      <c r="U41">
        <v>1879.2</v>
      </c>
    </row>
    <row r="42" spans="4:21">
      <c r="D42" t="s">
        <v>2564</v>
      </c>
      <c r="G42">
        <v>1</v>
      </c>
      <c r="I42">
        <v>1</v>
      </c>
      <c r="L42">
        <v>0</v>
      </c>
      <c r="M42">
        <v>0</v>
      </c>
      <c r="N42">
        <v>2442</v>
      </c>
      <c r="O42">
        <v>0</v>
      </c>
      <c r="R42">
        <v>0</v>
      </c>
      <c r="S42">
        <v>0</v>
      </c>
      <c r="T42">
        <v>880</v>
      </c>
      <c r="U42">
        <v>0</v>
      </c>
    </row>
    <row r="43" spans="4:21">
      <c r="D43" t="s">
        <v>2565</v>
      </c>
      <c r="H43">
        <v>1</v>
      </c>
      <c r="I43">
        <v>1</v>
      </c>
      <c r="L43">
        <v>0</v>
      </c>
      <c r="M43">
        <v>0</v>
      </c>
      <c r="N43">
        <v>0</v>
      </c>
      <c r="O43">
        <v>5954</v>
      </c>
      <c r="R43">
        <v>0</v>
      </c>
      <c r="S43">
        <v>0</v>
      </c>
      <c r="T43">
        <v>0</v>
      </c>
      <c r="U43">
        <v>1948</v>
      </c>
    </row>
    <row r="44" spans="4:21">
      <c r="D44" t="s">
        <v>2566</v>
      </c>
      <c r="H44">
        <v>1</v>
      </c>
      <c r="I44">
        <v>1</v>
      </c>
      <c r="L44">
        <v>0</v>
      </c>
      <c r="M44">
        <v>0</v>
      </c>
      <c r="N44">
        <v>0</v>
      </c>
      <c r="O44">
        <v>37133</v>
      </c>
      <c r="R44">
        <v>0</v>
      </c>
      <c r="S44">
        <v>0</v>
      </c>
      <c r="T44">
        <v>0</v>
      </c>
      <c r="U44">
        <v>10607</v>
      </c>
    </row>
    <row r="45" spans="4:21">
      <c r="D45" t="s">
        <v>2567</v>
      </c>
      <c r="G45">
        <v>1</v>
      </c>
      <c r="I45">
        <v>1</v>
      </c>
      <c r="L45">
        <v>0</v>
      </c>
      <c r="M45">
        <v>0</v>
      </c>
      <c r="N45">
        <v>11449</v>
      </c>
      <c r="O45">
        <v>0</v>
      </c>
      <c r="R45">
        <v>0</v>
      </c>
      <c r="S45">
        <v>0</v>
      </c>
      <c r="T45">
        <v>4659</v>
      </c>
      <c r="U45">
        <v>0</v>
      </c>
    </row>
    <row r="46" spans="4:21">
      <c r="D46" t="s">
        <v>2568</v>
      </c>
      <c r="G46">
        <v>1</v>
      </c>
      <c r="I46">
        <v>1</v>
      </c>
      <c r="L46">
        <v>0</v>
      </c>
      <c r="M46">
        <v>0</v>
      </c>
      <c r="N46">
        <v>47396</v>
      </c>
      <c r="O46">
        <v>0</v>
      </c>
      <c r="R46">
        <v>0</v>
      </c>
      <c r="S46">
        <v>0</v>
      </c>
      <c r="T46">
        <v>15079</v>
      </c>
      <c r="U46">
        <v>0</v>
      </c>
    </row>
    <row r="47" spans="4:21">
      <c r="D47" t="s">
        <v>2569</v>
      </c>
      <c r="G47">
        <v>1</v>
      </c>
      <c r="I47">
        <v>1</v>
      </c>
      <c r="L47">
        <v>0</v>
      </c>
      <c r="M47">
        <v>0</v>
      </c>
      <c r="N47">
        <v>10255</v>
      </c>
      <c r="O47">
        <v>0</v>
      </c>
      <c r="R47">
        <v>0</v>
      </c>
      <c r="S47">
        <v>0</v>
      </c>
      <c r="T47">
        <v>2360</v>
      </c>
      <c r="U47">
        <v>0</v>
      </c>
    </row>
    <row r="48" spans="4:21">
      <c r="D48" t="s">
        <v>2570</v>
      </c>
      <c r="G48">
        <v>1</v>
      </c>
      <c r="I48">
        <v>1</v>
      </c>
      <c r="L48">
        <v>0</v>
      </c>
      <c r="M48">
        <v>0</v>
      </c>
      <c r="N48">
        <v>9175</v>
      </c>
      <c r="O48">
        <v>0</v>
      </c>
      <c r="R48">
        <v>0</v>
      </c>
      <c r="S48">
        <v>0</v>
      </c>
      <c r="T48">
        <v>2337</v>
      </c>
      <c r="U48">
        <v>0</v>
      </c>
    </row>
    <row r="49" spans="4:21">
      <c r="D49" t="s">
        <v>2571</v>
      </c>
      <c r="G49">
        <v>1</v>
      </c>
      <c r="I49">
        <v>1</v>
      </c>
      <c r="L49">
        <v>0</v>
      </c>
      <c r="M49">
        <v>0</v>
      </c>
      <c r="N49">
        <v>7671</v>
      </c>
      <c r="O49">
        <v>0</v>
      </c>
      <c r="R49">
        <v>0</v>
      </c>
      <c r="S49">
        <v>0</v>
      </c>
      <c r="T49">
        <v>1131</v>
      </c>
      <c r="U49">
        <v>0</v>
      </c>
    </row>
    <row r="50" spans="4:21">
      <c r="D50" t="s">
        <v>2572</v>
      </c>
      <c r="G50">
        <v>1</v>
      </c>
      <c r="I50">
        <v>1</v>
      </c>
      <c r="L50">
        <v>0</v>
      </c>
      <c r="M50">
        <v>0</v>
      </c>
      <c r="N50">
        <v>11448</v>
      </c>
      <c r="O50">
        <v>0</v>
      </c>
      <c r="R50">
        <v>0</v>
      </c>
      <c r="S50">
        <v>0</v>
      </c>
      <c r="T50">
        <v>2464</v>
      </c>
      <c r="U50">
        <v>0</v>
      </c>
    </row>
    <row r="51" spans="4:21">
      <c r="D51" t="s">
        <v>2573</v>
      </c>
      <c r="F51">
        <v>0.6</v>
      </c>
      <c r="G51">
        <v>0.4</v>
      </c>
      <c r="I51">
        <v>1</v>
      </c>
      <c r="L51">
        <v>0</v>
      </c>
      <c r="M51">
        <v>6304.8</v>
      </c>
      <c r="N51">
        <v>4203.2</v>
      </c>
      <c r="O51">
        <v>0</v>
      </c>
      <c r="R51">
        <v>0</v>
      </c>
      <c r="S51">
        <v>1705.2</v>
      </c>
      <c r="T51">
        <v>1136.8</v>
      </c>
      <c r="U51">
        <v>0</v>
      </c>
    </row>
    <row r="52" spans="4:21">
      <c r="D52" t="s">
        <v>2574</v>
      </c>
      <c r="F52">
        <v>1</v>
      </c>
      <c r="I52">
        <v>1</v>
      </c>
      <c r="L52">
        <v>0</v>
      </c>
      <c r="M52">
        <v>8004</v>
      </c>
      <c r="N52">
        <v>0</v>
      </c>
      <c r="O52">
        <v>0</v>
      </c>
      <c r="R52">
        <v>0</v>
      </c>
      <c r="S52">
        <v>1985</v>
      </c>
      <c r="T52">
        <v>0</v>
      </c>
      <c r="U52">
        <v>0</v>
      </c>
    </row>
    <row r="53" spans="4:21">
      <c r="D53" t="s">
        <v>2575</v>
      </c>
      <c r="F53">
        <v>1</v>
      </c>
      <c r="I53">
        <v>1</v>
      </c>
      <c r="L53">
        <v>0</v>
      </c>
      <c r="M53">
        <v>4022</v>
      </c>
      <c r="N53">
        <v>0</v>
      </c>
      <c r="O53">
        <v>0</v>
      </c>
      <c r="R53">
        <v>0</v>
      </c>
      <c r="S53">
        <v>831</v>
      </c>
      <c r="T53">
        <v>0</v>
      </c>
      <c r="U53">
        <v>0</v>
      </c>
    </row>
    <row r="54" spans="4:21">
      <c r="D54" t="s">
        <v>2576</v>
      </c>
      <c r="E54">
        <v>0.2</v>
      </c>
      <c r="F54">
        <v>0.8</v>
      </c>
      <c r="I54">
        <v>1</v>
      </c>
      <c r="L54">
        <v>1552</v>
      </c>
      <c r="M54">
        <v>6208</v>
      </c>
      <c r="N54">
        <v>0</v>
      </c>
      <c r="O54">
        <v>0</v>
      </c>
      <c r="R54">
        <v>451.2</v>
      </c>
      <c r="S54">
        <v>1804.8000000000002</v>
      </c>
      <c r="T54">
        <v>0</v>
      </c>
      <c r="U54">
        <v>0</v>
      </c>
    </row>
    <row r="55" spans="4:21">
      <c r="D55" t="s">
        <v>2577</v>
      </c>
      <c r="E55">
        <v>1</v>
      </c>
      <c r="I55">
        <v>1</v>
      </c>
      <c r="L55">
        <v>5844</v>
      </c>
      <c r="M55">
        <v>0</v>
      </c>
      <c r="N55">
        <v>0</v>
      </c>
      <c r="O55">
        <v>0</v>
      </c>
      <c r="R55">
        <v>1658</v>
      </c>
      <c r="S55">
        <v>0</v>
      </c>
      <c r="T55">
        <v>0</v>
      </c>
      <c r="U55">
        <v>0</v>
      </c>
    </row>
    <row r="56" spans="4:21">
      <c r="L56">
        <v>0</v>
      </c>
      <c r="M56">
        <v>0</v>
      </c>
      <c r="N56">
        <v>0</v>
      </c>
      <c r="O56">
        <v>0</v>
      </c>
      <c r="R56">
        <v>0</v>
      </c>
      <c r="S56">
        <v>0</v>
      </c>
      <c r="T56">
        <v>0</v>
      </c>
      <c r="U56">
        <v>0</v>
      </c>
    </row>
    <row r="57" spans="4:21">
      <c r="J57" s="31"/>
      <c r="K57" s="31" t="s">
        <v>107</v>
      </c>
      <c r="L57" s="31">
        <v>7396</v>
      </c>
      <c r="M57" s="31">
        <v>24538.799999999999</v>
      </c>
      <c r="N57" s="31">
        <v>183252.7</v>
      </c>
      <c r="O57" s="31">
        <v>62557.5</v>
      </c>
      <c r="P57" s="31"/>
      <c r="Q57" s="31" t="s">
        <v>382</v>
      </c>
      <c r="R57" s="31">
        <v>2109.1999999999998</v>
      </c>
      <c r="S57" s="31">
        <v>6326</v>
      </c>
      <c r="T57" s="31">
        <v>52196.100000000006</v>
      </c>
      <c r="U57" s="31">
        <v>17716.7</v>
      </c>
    </row>
    <row r="59" spans="4:21">
      <c r="K59" s="765" t="s">
        <v>601</v>
      </c>
      <c r="L59" s="765" t="s">
        <v>602</v>
      </c>
      <c r="M59" s="765" t="s">
        <v>603</v>
      </c>
      <c r="N59" s="765" t="s">
        <v>604</v>
      </c>
      <c r="O59" s="765"/>
    </row>
    <row r="60" spans="4:21">
      <c r="J60" s="754" t="s">
        <v>658</v>
      </c>
      <c r="K60">
        <v>7396</v>
      </c>
      <c r="L60">
        <v>24538.799999999999</v>
      </c>
      <c r="M60">
        <v>183252.7</v>
      </c>
      <c r="N60">
        <v>62557.5</v>
      </c>
    </row>
    <row r="61" spans="4:21">
      <c r="J61" s="754" t="s">
        <v>2556</v>
      </c>
      <c r="K61">
        <v>2109.1999999999998</v>
      </c>
      <c r="L61">
        <v>6326</v>
      </c>
      <c r="M61">
        <v>52196.100000000006</v>
      </c>
      <c r="N61">
        <v>17716.7</v>
      </c>
    </row>
  </sheetData>
  <pageMargins left="0.7" right="0.7" top="0.75" bottom="0.75" header="0.3" footer="0.3"/>
</worksheet>
</file>

<file path=xl/worksheets/sheet3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E00-000000000000}">
  <sheetPr>
    <tabColor rgb="FF00B0F0"/>
  </sheetPr>
  <dimension ref="A1:AQ118"/>
  <sheetViews>
    <sheetView topLeftCell="A105" workbookViewId="0">
      <selection activeCell="K47" sqref="K47"/>
    </sheetView>
  </sheetViews>
  <sheetFormatPr defaultColWidth="9.109375" defaultRowHeight="13.2"/>
  <cols>
    <col min="1" max="2" width="9.109375" style="754"/>
    <col min="3" max="3" width="15.6640625" style="754" customWidth="1"/>
    <col min="4" max="4" width="18.88671875" style="754" customWidth="1"/>
    <col min="5" max="5" width="18.33203125" style="754" customWidth="1"/>
    <col min="6" max="8" width="9.109375" style="754"/>
    <col min="9" max="9" width="16.33203125" style="754" bestFit="1" customWidth="1"/>
    <col min="10" max="10" width="10.88671875" style="545" bestFit="1" customWidth="1"/>
    <col min="11" max="11" width="17.6640625" style="754" customWidth="1"/>
    <col min="12" max="15" width="9.109375" style="754"/>
    <col min="16" max="16" width="11.44140625" style="754" customWidth="1"/>
    <col min="17" max="17" width="12.6640625" style="754" bestFit="1" customWidth="1"/>
    <col min="18" max="18" width="14.5546875" style="754" customWidth="1"/>
    <col min="19" max="19" width="19.88671875" style="754" customWidth="1"/>
    <col min="20" max="26" width="9.109375" style="754"/>
    <col min="27" max="27" width="21.44140625" style="754" bestFit="1" customWidth="1"/>
    <col min="28" max="28" width="12.33203125" style="754" bestFit="1" customWidth="1"/>
    <col min="29" max="16384" width="9.109375" style="754"/>
  </cols>
  <sheetData>
    <row r="1" spans="1:43" ht="14.4">
      <c r="A1" s="2038"/>
      <c r="B1" s="2038"/>
    </row>
    <row r="2" spans="1:43" ht="14.4">
      <c r="A2" s="2038"/>
      <c r="B2" t="s">
        <v>2606</v>
      </c>
      <c r="C2"/>
      <c r="D2"/>
      <c r="E2"/>
      <c r="F2"/>
      <c r="G2"/>
      <c r="H2"/>
      <c r="I2"/>
      <c r="J2" s="249"/>
      <c r="Q2" s="2042"/>
      <c r="R2" s="2043" t="s">
        <v>2349</v>
      </c>
      <c r="S2" s="2043"/>
      <c r="T2" s="2063"/>
      <c r="U2" s="2047"/>
    </row>
    <row r="3" spans="1:43" ht="14.4">
      <c r="A3" s="2038"/>
      <c r="B3" s="765" t="s">
        <v>2607</v>
      </c>
      <c r="C3"/>
      <c r="D3"/>
      <c r="E3"/>
      <c r="F3"/>
      <c r="G3"/>
      <c r="H3"/>
      <c r="I3"/>
      <c r="K3" s="250"/>
      <c r="Q3" s="2046"/>
      <c r="R3" s="2047"/>
      <c r="S3" s="2047">
        <v>2010</v>
      </c>
      <c r="T3" s="2317"/>
      <c r="U3" s="2315"/>
      <c r="AB3" s="765" t="s">
        <v>2638</v>
      </c>
      <c r="AH3" s="754" t="s">
        <v>601</v>
      </c>
      <c r="AI3" s="754" t="s">
        <v>602</v>
      </c>
      <c r="AJ3" s="754" t="s">
        <v>603</v>
      </c>
      <c r="AK3" s="754" t="s">
        <v>604</v>
      </c>
    </row>
    <row r="4" spans="1:43" ht="14.4">
      <c r="A4" s="2038"/>
      <c r="B4" t="s">
        <v>2608</v>
      </c>
      <c r="C4"/>
      <c r="D4"/>
      <c r="E4"/>
      <c r="F4"/>
      <c r="G4"/>
      <c r="H4"/>
      <c r="I4"/>
      <c r="J4" s="1658"/>
      <c r="K4" s="12"/>
      <c r="Q4" s="3155" t="s">
        <v>601</v>
      </c>
      <c r="R4" s="2314" t="s">
        <v>2308</v>
      </c>
      <c r="S4" s="2052">
        <f>$K$16*K22*$L$12</f>
        <v>31.66383575576647</v>
      </c>
      <c r="T4" s="2318"/>
      <c r="U4" s="2316"/>
      <c r="AA4" s="754" t="s">
        <v>2637</v>
      </c>
      <c r="AB4" s="170">
        <v>2054343</v>
      </c>
      <c r="AG4" s="754" t="s">
        <v>2557</v>
      </c>
      <c r="AJ4" s="754">
        <v>1</v>
      </c>
      <c r="AL4" s="754">
        <v>1</v>
      </c>
      <c r="AN4" s="754">
        <f>AH4*$AB4</f>
        <v>0</v>
      </c>
      <c r="AO4" s="754">
        <f t="shared" ref="AO4:AQ19" si="0">AI4*$AB4</f>
        <v>0</v>
      </c>
      <c r="AP4" s="754">
        <f t="shared" si="0"/>
        <v>2054343</v>
      </c>
      <c r="AQ4" s="754">
        <f t="shared" si="0"/>
        <v>0</v>
      </c>
    </row>
    <row r="5" spans="1:43" ht="14.4">
      <c r="A5" s="2038"/>
      <c r="B5" t="s">
        <v>2609</v>
      </c>
      <c r="C5" t="s">
        <v>2610</v>
      </c>
      <c r="D5"/>
      <c r="E5"/>
      <c r="F5"/>
      <c r="G5" t="s">
        <v>2611</v>
      </c>
      <c r="H5"/>
      <c r="I5"/>
      <c r="J5" s="1658"/>
      <c r="K5" s="12"/>
      <c r="Q5" s="3156"/>
      <c r="R5" s="2314" t="s">
        <v>399</v>
      </c>
      <c r="S5" s="2052">
        <f>$K$16*K23*$L$12</f>
        <v>27.212581236608411</v>
      </c>
      <c r="T5" s="2318"/>
      <c r="U5" s="2316"/>
      <c r="AA5" s="754" t="s">
        <v>2558</v>
      </c>
      <c r="AB5" s="170">
        <v>335882</v>
      </c>
      <c r="AG5" s="754" t="s">
        <v>2558</v>
      </c>
      <c r="AJ5" s="754">
        <v>1</v>
      </c>
      <c r="AL5" s="754">
        <v>1</v>
      </c>
      <c r="AN5" s="754">
        <f t="shared" ref="AN5:AN24" si="1">AH5*$AB5</f>
        <v>0</v>
      </c>
      <c r="AO5" s="754">
        <f t="shared" si="0"/>
        <v>0</v>
      </c>
      <c r="AP5" s="754">
        <f t="shared" si="0"/>
        <v>335882</v>
      </c>
      <c r="AQ5" s="754">
        <f t="shared" si="0"/>
        <v>0</v>
      </c>
    </row>
    <row r="6" spans="1:43" ht="14.4">
      <c r="A6" s="2038"/>
      <c r="B6" t="s">
        <v>2612</v>
      </c>
      <c r="C6" t="s">
        <v>2613</v>
      </c>
      <c r="D6"/>
      <c r="E6"/>
      <c r="F6"/>
      <c r="G6" t="s">
        <v>2614</v>
      </c>
      <c r="H6"/>
      <c r="I6"/>
      <c r="J6"/>
      <c r="Q6" s="3156"/>
      <c r="R6" s="2063" t="s">
        <v>2309</v>
      </c>
      <c r="S6" s="2052">
        <f>$K$16*K24*$L$12</f>
        <v>0</v>
      </c>
      <c r="T6" s="2318"/>
      <c r="U6" s="2316"/>
      <c r="AA6" s="754" t="s">
        <v>2559</v>
      </c>
      <c r="AB6" s="170">
        <v>270738</v>
      </c>
      <c r="AG6" s="754" t="s">
        <v>2559</v>
      </c>
      <c r="AJ6" s="754">
        <v>1</v>
      </c>
      <c r="AL6" s="754">
        <v>1</v>
      </c>
      <c r="AN6" s="754">
        <f t="shared" si="1"/>
        <v>0</v>
      </c>
      <c r="AO6" s="754">
        <f t="shared" si="0"/>
        <v>0</v>
      </c>
      <c r="AP6" s="754">
        <f t="shared" si="0"/>
        <v>270738</v>
      </c>
      <c r="AQ6" s="754">
        <f t="shared" si="0"/>
        <v>0</v>
      </c>
    </row>
    <row r="7" spans="1:43" ht="14.4">
      <c r="A7" s="2038"/>
      <c r="B7"/>
      <c r="C7" t="s">
        <v>2615</v>
      </c>
      <c r="D7" t="s">
        <v>2616</v>
      </c>
      <c r="E7" t="s">
        <v>2617</v>
      </c>
      <c r="F7" t="s">
        <v>2618</v>
      </c>
      <c r="G7"/>
      <c r="H7"/>
      <c r="I7"/>
      <c r="J7"/>
      <c r="Q7" s="3157" t="s">
        <v>602</v>
      </c>
      <c r="R7" s="2314" t="s">
        <v>2308</v>
      </c>
      <c r="S7" s="2061">
        <f>$K$17*L22*$L$12</f>
        <v>78.262163792418818</v>
      </c>
      <c r="T7" s="2318"/>
      <c r="U7" s="2316"/>
      <c r="AA7" s="754" t="s">
        <v>2560</v>
      </c>
      <c r="AB7" s="170">
        <v>429642</v>
      </c>
      <c r="AG7" s="754" t="s">
        <v>2560</v>
      </c>
      <c r="AJ7" s="754">
        <v>1</v>
      </c>
      <c r="AL7" s="754">
        <v>1</v>
      </c>
      <c r="AN7" s="754">
        <f t="shared" si="1"/>
        <v>0</v>
      </c>
      <c r="AO7" s="754">
        <f t="shared" si="0"/>
        <v>0</v>
      </c>
      <c r="AP7" s="754">
        <f t="shared" si="0"/>
        <v>429642</v>
      </c>
      <c r="AQ7" s="754">
        <f t="shared" si="0"/>
        <v>0</v>
      </c>
    </row>
    <row r="8" spans="1:43" ht="14.4">
      <c r="A8" s="2038"/>
      <c r="B8"/>
      <c r="C8" t="s">
        <v>2619</v>
      </c>
      <c r="D8" t="s">
        <v>315</v>
      </c>
      <c r="E8" t="s">
        <v>2620</v>
      </c>
      <c r="F8" t="s">
        <v>2621</v>
      </c>
      <c r="G8"/>
      <c r="H8"/>
      <c r="I8"/>
      <c r="J8"/>
      <c r="K8" s="1037" t="s">
        <v>3208</v>
      </c>
      <c r="Q8" s="3158"/>
      <c r="R8" s="2314" t="s">
        <v>399</v>
      </c>
      <c r="S8" s="2052">
        <f>$K$17*L23*$L$12</f>
        <v>67.260186238368064</v>
      </c>
      <c r="T8" s="2318"/>
      <c r="U8" s="2316"/>
      <c r="AA8" s="754" t="s">
        <v>2561</v>
      </c>
      <c r="AB8" s="170">
        <v>336866</v>
      </c>
      <c r="AG8" s="754" t="s">
        <v>2561</v>
      </c>
      <c r="AJ8" s="754">
        <v>0.5</v>
      </c>
      <c r="AK8" s="754">
        <v>0.5</v>
      </c>
      <c r="AL8" s="754">
        <v>1</v>
      </c>
      <c r="AN8" s="754">
        <f t="shared" si="1"/>
        <v>0</v>
      </c>
      <c r="AO8" s="754">
        <f t="shared" si="0"/>
        <v>0</v>
      </c>
      <c r="AP8" s="754">
        <f t="shared" si="0"/>
        <v>168433</v>
      </c>
      <c r="AQ8" s="754">
        <f t="shared" si="0"/>
        <v>168433</v>
      </c>
    </row>
    <row r="9" spans="1:43" ht="14.4">
      <c r="A9" s="2038"/>
      <c r="B9" t="s">
        <v>2622</v>
      </c>
      <c r="C9">
        <v>1832.66</v>
      </c>
      <c r="D9">
        <v>29697.190999999999</v>
      </c>
      <c r="E9">
        <v>8870.2039999999997</v>
      </c>
      <c r="F9">
        <v>3203.2840000000001</v>
      </c>
      <c r="G9">
        <v>43603.968000000001</v>
      </c>
      <c r="H9"/>
      <c r="I9"/>
      <c r="J9"/>
      <c r="Q9" s="3159"/>
      <c r="R9" s="2063" t="s">
        <v>2309</v>
      </c>
      <c r="S9" s="2065">
        <f>$K$17*L24*$L$12</f>
        <v>0</v>
      </c>
      <c r="T9" s="2318"/>
      <c r="U9" s="2316"/>
      <c r="AA9" s="754" t="s">
        <v>2562</v>
      </c>
      <c r="AB9" s="170">
        <v>183940</v>
      </c>
      <c r="AG9" s="754" t="s">
        <v>2562</v>
      </c>
      <c r="AK9" s="754">
        <v>1</v>
      </c>
      <c r="AL9" s="754">
        <v>1</v>
      </c>
      <c r="AN9" s="754">
        <f t="shared" si="1"/>
        <v>0</v>
      </c>
      <c r="AO9" s="754">
        <f t="shared" si="0"/>
        <v>0</v>
      </c>
      <c r="AP9" s="754">
        <f t="shared" si="0"/>
        <v>0</v>
      </c>
      <c r="AQ9" s="754">
        <f t="shared" si="0"/>
        <v>183940</v>
      </c>
    </row>
    <row r="10" spans="1:43" ht="14.4">
      <c r="A10" s="2038"/>
      <c r="B10" t="s">
        <v>2623</v>
      </c>
      <c r="C10"/>
      <c r="D10"/>
      <c r="E10"/>
      <c r="F10"/>
      <c r="G10"/>
      <c r="H10"/>
      <c r="I10"/>
      <c r="J10"/>
      <c r="K10" s="765" t="s">
        <v>94</v>
      </c>
      <c r="L10" s="765" t="s">
        <v>2636</v>
      </c>
      <c r="M10" s="765"/>
      <c r="O10" s="765"/>
      <c r="Q10" s="3155" t="s">
        <v>603</v>
      </c>
      <c r="R10" s="2314" t="s">
        <v>2308</v>
      </c>
      <c r="S10" s="2052">
        <f>$K$18*M22*$L$12</f>
        <v>589.89383956147833</v>
      </c>
      <c r="T10" s="2318"/>
      <c r="U10" s="2316"/>
      <c r="AA10" s="754" t="s">
        <v>2563</v>
      </c>
      <c r="AB10" s="170">
        <v>233536</v>
      </c>
      <c r="AG10" s="754" t="s">
        <v>2563</v>
      </c>
      <c r="AJ10" s="754">
        <v>0.2</v>
      </c>
      <c r="AK10" s="754">
        <v>0.8</v>
      </c>
      <c r="AL10" s="754">
        <v>1</v>
      </c>
      <c r="AN10" s="754">
        <f t="shared" si="1"/>
        <v>0</v>
      </c>
      <c r="AO10" s="754">
        <f t="shared" si="0"/>
        <v>0</v>
      </c>
      <c r="AP10" s="754">
        <f t="shared" si="0"/>
        <v>46707.200000000004</v>
      </c>
      <c r="AQ10" s="754">
        <f t="shared" si="0"/>
        <v>186828.80000000002</v>
      </c>
    </row>
    <row r="11" spans="1:43" ht="14.4">
      <c r="A11" s="2038"/>
      <c r="B11" t="s">
        <v>2624</v>
      </c>
      <c r="C11">
        <v>561.98800000000006</v>
      </c>
      <c r="D11">
        <v>12777.41</v>
      </c>
      <c r="E11">
        <v>890.91099999999994</v>
      </c>
      <c r="F11">
        <v>541.65200000000004</v>
      </c>
      <c r="G11">
        <v>14771.998</v>
      </c>
      <c r="H11"/>
      <c r="J11" s="2703" t="s">
        <v>2354</v>
      </c>
      <c r="K11" s="2744">
        <v>0.62110786107270799</v>
      </c>
      <c r="L11" s="754">
        <f>K11*'SE km&amp;fuel data'!M110*1000</f>
        <v>3231.3304171430123</v>
      </c>
      <c r="N11" s="784">
        <f>L11/AB25*1000000</f>
        <v>343.19010077382592</v>
      </c>
      <c r="O11" s="765" t="s">
        <v>3183</v>
      </c>
      <c r="Q11" s="3156"/>
      <c r="R11" s="2314" t="s">
        <v>399</v>
      </c>
      <c r="S11" s="2052">
        <f>$K$18*M23*$L$12</f>
        <v>671.37821466531386</v>
      </c>
      <c r="T11" s="2318"/>
      <c r="U11" s="2316"/>
      <c r="AA11" s="754" t="s">
        <v>2564</v>
      </c>
      <c r="AB11" s="170">
        <v>57269</v>
      </c>
      <c r="AG11" s="754" t="s">
        <v>2564</v>
      </c>
      <c r="AJ11" s="754">
        <v>1</v>
      </c>
      <c r="AL11" s="754">
        <v>1</v>
      </c>
      <c r="AN11" s="754">
        <f t="shared" si="1"/>
        <v>0</v>
      </c>
      <c r="AO11" s="754">
        <f t="shared" si="0"/>
        <v>0</v>
      </c>
      <c r="AP11" s="754">
        <f t="shared" si="0"/>
        <v>57269</v>
      </c>
      <c r="AQ11" s="754">
        <f t="shared" si="0"/>
        <v>0</v>
      </c>
    </row>
    <row r="12" spans="1:43" ht="14.4">
      <c r="A12" s="2038"/>
      <c r="B12" t="s">
        <v>2625</v>
      </c>
      <c r="C12"/>
      <c r="D12"/>
      <c r="E12"/>
      <c r="F12"/>
      <c r="G12"/>
      <c r="H12"/>
      <c r="J12" s="2703" t="s">
        <v>2347</v>
      </c>
      <c r="K12" s="2744">
        <v>0.35463208198303198</v>
      </c>
      <c r="L12" s="754">
        <f>K12*'SE km&amp;fuel data'!M110*1000</f>
        <v>1844.9829815829373</v>
      </c>
      <c r="N12" s="784">
        <f>L12/AB25*1000000</f>
        <v>195.9502166712092</v>
      </c>
      <c r="O12" s="765" t="s">
        <v>3183</v>
      </c>
      <c r="Q12" s="3156"/>
      <c r="R12" s="2063" t="s">
        <v>2309</v>
      </c>
      <c r="S12" s="2052">
        <f>$K$18*M24*$L$12</f>
        <v>0</v>
      </c>
      <c r="T12" s="2318"/>
      <c r="U12" s="2316"/>
      <c r="AA12" s="754" t="s">
        <v>2565</v>
      </c>
      <c r="AB12" s="170">
        <v>153227</v>
      </c>
      <c r="AG12" s="754" t="s">
        <v>2565</v>
      </c>
      <c r="AK12" s="754">
        <v>1</v>
      </c>
      <c r="AL12" s="754">
        <v>1</v>
      </c>
      <c r="AN12" s="754">
        <f t="shared" si="1"/>
        <v>0</v>
      </c>
      <c r="AO12" s="754">
        <f t="shared" si="0"/>
        <v>0</v>
      </c>
      <c r="AP12" s="754">
        <f t="shared" si="0"/>
        <v>0</v>
      </c>
      <c r="AQ12" s="754">
        <f t="shared" si="0"/>
        <v>153227</v>
      </c>
    </row>
    <row r="13" spans="1:43" ht="14.4">
      <c r="A13" s="2038"/>
      <c r="B13" t="s">
        <v>104</v>
      </c>
      <c r="C13">
        <v>2712.3910000000001</v>
      </c>
      <c r="D13">
        <v>35384.423000000003</v>
      </c>
      <c r="E13">
        <v>6538.5730000000003</v>
      </c>
      <c r="F13">
        <v>11372.402</v>
      </c>
      <c r="G13">
        <v>56007.788</v>
      </c>
      <c r="H13"/>
      <c r="I13"/>
      <c r="J13" s="2756" t="s">
        <v>3169</v>
      </c>
      <c r="K13" s="2753">
        <v>2.4260056944259201E-2</v>
      </c>
      <c r="L13" s="754">
        <f>K13*'SE km&amp;fuel data'!M110*1000</f>
        <v>126.21360127404598</v>
      </c>
      <c r="N13" s="784">
        <f>N12/0.9/0.5</f>
        <v>435.44492593602047</v>
      </c>
      <c r="O13" s="765" t="s">
        <v>3207</v>
      </c>
      <c r="Q13" s="3160" t="s">
        <v>604</v>
      </c>
      <c r="R13" s="2314" t="s">
        <v>2308</v>
      </c>
      <c r="S13" s="2061">
        <f>$K$19*N22*$L$12</f>
        <v>223.2865321520263</v>
      </c>
      <c r="T13" s="2318"/>
      <c r="U13" s="2316"/>
      <c r="AA13" s="754" t="s">
        <v>2566</v>
      </c>
      <c r="AB13" s="170">
        <v>1243329</v>
      </c>
      <c r="AG13" s="754" t="s">
        <v>2566</v>
      </c>
      <c r="AK13" s="754">
        <v>1</v>
      </c>
      <c r="AL13" s="754">
        <v>1</v>
      </c>
      <c r="AN13" s="754">
        <f t="shared" si="1"/>
        <v>0</v>
      </c>
      <c r="AO13" s="754">
        <f t="shared" si="0"/>
        <v>0</v>
      </c>
      <c r="AP13" s="754">
        <f t="shared" si="0"/>
        <v>0</v>
      </c>
      <c r="AQ13" s="754">
        <f t="shared" si="0"/>
        <v>1243329</v>
      </c>
    </row>
    <row r="14" spans="1:43" ht="14.4">
      <c r="A14" s="2038"/>
      <c r="B14" t="s">
        <v>2626</v>
      </c>
      <c r="C14"/>
      <c r="D14"/>
      <c r="E14"/>
      <c r="F14"/>
      <c r="G14"/>
      <c r="H14"/>
      <c r="I14"/>
      <c r="L14" s="754">
        <f>SUM(L11:L13)</f>
        <v>5202.5269999999955</v>
      </c>
      <c r="Q14" s="3156"/>
      <c r="R14" s="2314" t="s">
        <v>399</v>
      </c>
      <c r="S14" s="2052">
        <f>$K$19*N23*$L$12</f>
        <v>156.02562818095697</v>
      </c>
      <c r="T14" s="2318"/>
      <c r="U14" s="2316"/>
      <c r="AA14" s="754" t="s">
        <v>2567</v>
      </c>
      <c r="AB14" s="170">
        <v>299484</v>
      </c>
      <c r="AG14" s="754" t="s">
        <v>2567</v>
      </c>
      <c r="AJ14" s="754">
        <v>1</v>
      </c>
      <c r="AL14" s="754">
        <v>1</v>
      </c>
      <c r="AN14" s="754">
        <f t="shared" si="1"/>
        <v>0</v>
      </c>
      <c r="AO14" s="754">
        <f t="shared" si="0"/>
        <v>0</v>
      </c>
      <c r="AP14" s="754">
        <f t="shared" si="0"/>
        <v>299484</v>
      </c>
      <c r="AQ14" s="754">
        <f t="shared" si="0"/>
        <v>0</v>
      </c>
    </row>
    <row r="15" spans="1:43" ht="14.4">
      <c r="B15" t="s">
        <v>2627</v>
      </c>
      <c r="C15">
        <v>316.125</v>
      </c>
      <c r="D15">
        <v>13539.677</v>
      </c>
      <c r="E15">
        <v>1863.248</v>
      </c>
      <c r="F15">
        <v>2600.8440000000001</v>
      </c>
      <c r="G15">
        <v>18319.894</v>
      </c>
      <c r="H15"/>
      <c r="I15"/>
      <c r="J15"/>
      <c r="Q15" s="3161"/>
      <c r="R15" s="2047" t="s">
        <v>2309</v>
      </c>
      <c r="S15" s="2065">
        <f>$K$19*N24*$L$12</f>
        <v>0</v>
      </c>
      <c r="T15" s="2318"/>
      <c r="U15" s="2316"/>
      <c r="AA15" s="754" t="s">
        <v>2568</v>
      </c>
      <c r="AB15" s="170">
        <v>1580297</v>
      </c>
      <c r="AG15" s="754" t="s">
        <v>2568</v>
      </c>
      <c r="AJ15" s="754">
        <v>1</v>
      </c>
      <c r="AL15" s="754">
        <v>1</v>
      </c>
      <c r="AN15" s="754">
        <f t="shared" si="1"/>
        <v>0</v>
      </c>
      <c r="AO15" s="754">
        <f t="shared" si="0"/>
        <v>0</v>
      </c>
      <c r="AP15" s="754">
        <f t="shared" si="0"/>
        <v>1580297</v>
      </c>
      <c r="AQ15" s="754">
        <f t="shared" si="0"/>
        <v>0</v>
      </c>
    </row>
    <row r="16" spans="1:43" ht="14.4">
      <c r="B16" t="s">
        <v>2628</v>
      </c>
      <c r="C16"/>
      <c r="D16"/>
      <c r="E16"/>
      <c r="F16"/>
      <c r="G16"/>
      <c r="H16"/>
      <c r="I16"/>
      <c r="J16" s="2694" t="s">
        <v>601</v>
      </c>
      <c r="K16" s="2692">
        <f>AN26</f>
        <v>3.1911631478497848E-2</v>
      </c>
      <c r="R16" s="2312" t="s">
        <v>2632</v>
      </c>
      <c r="S16" s="2061">
        <f>SUM(S4:S6)</f>
        <v>58.876416992374885</v>
      </c>
      <c r="T16" s="2318"/>
      <c r="U16" s="2316"/>
      <c r="AA16" s="754" t="s">
        <v>2569</v>
      </c>
      <c r="AB16" s="170">
        <v>273265</v>
      </c>
      <c r="AG16" s="754" t="s">
        <v>2569</v>
      </c>
      <c r="AJ16" s="754">
        <v>1</v>
      </c>
      <c r="AL16" s="754">
        <v>1</v>
      </c>
      <c r="AN16" s="754">
        <f t="shared" si="1"/>
        <v>0</v>
      </c>
      <c r="AO16" s="754">
        <f t="shared" si="0"/>
        <v>0</v>
      </c>
      <c r="AP16" s="754">
        <f t="shared" si="0"/>
        <v>273265</v>
      </c>
      <c r="AQ16" s="754">
        <f t="shared" si="0"/>
        <v>0</v>
      </c>
    </row>
    <row r="17" spans="2:43" ht="14.4">
      <c r="B17" t="s">
        <v>2629</v>
      </c>
      <c r="C17">
        <v>46.625999999999998</v>
      </c>
      <c r="D17">
        <v>1275.0540000000001</v>
      </c>
      <c r="E17">
        <v>217.49600000000001</v>
      </c>
      <c r="F17">
        <v>445.90499999999997</v>
      </c>
      <c r="G17">
        <v>1985.08</v>
      </c>
      <c r="H17"/>
      <c r="I17"/>
      <c r="J17" s="2694" t="s">
        <v>602</v>
      </c>
      <c r="K17" s="2692">
        <f>AO26</f>
        <v>7.8874630001157672E-2</v>
      </c>
      <c r="R17" s="2313" t="s">
        <v>2633</v>
      </c>
      <c r="S17" s="2065">
        <f>SUM(S7:S9)</f>
        <v>145.52235003078687</v>
      </c>
      <c r="T17" s="2318"/>
      <c r="U17" s="2316"/>
      <c r="AA17" s="754" t="s">
        <v>2570</v>
      </c>
      <c r="AB17" s="170">
        <v>280230</v>
      </c>
      <c r="AG17" s="754" t="s">
        <v>2570</v>
      </c>
      <c r="AJ17" s="754">
        <v>1</v>
      </c>
      <c r="AL17" s="754">
        <v>1</v>
      </c>
      <c r="AN17" s="754">
        <f t="shared" si="1"/>
        <v>0</v>
      </c>
      <c r="AO17" s="754">
        <f t="shared" si="0"/>
        <v>0</v>
      </c>
      <c r="AP17" s="754">
        <f t="shared" si="0"/>
        <v>280230</v>
      </c>
      <c r="AQ17" s="754">
        <f t="shared" si="0"/>
        <v>0</v>
      </c>
    </row>
    <row r="18" spans="2:43" ht="14.4">
      <c r="B18" t="s">
        <v>2630</v>
      </c>
      <c r="C18"/>
      <c r="D18"/>
      <c r="E18"/>
      <c r="F18"/>
      <c r="G18"/>
      <c r="H18"/>
      <c r="I18"/>
      <c r="J18" s="2694" t="s">
        <v>603</v>
      </c>
      <c r="K18" s="2692">
        <f>AP26</f>
        <v>0.68362259533942182</v>
      </c>
      <c r="R18" s="2312" t="s">
        <v>2634</v>
      </c>
      <c r="S18" s="2061">
        <f>SUM(S10:S12)</f>
        <v>1261.2720542267921</v>
      </c>
      <c r="T18" s="2318"/>
      <c r="U18" s="2316"/>
      <c r="AA18" s="754" t="s">
        <v>2571</v>
      </c>
      <c r="AB18" s="170">
        <v>252756</v>
      </c>
      <c r="AG18" s="754" t="s">
        <v>2571</v>
      </c>
      <c r="AJ18" s="754">
        <v>1</v>
      </c>
      <c r="AL18" s="754">
        <v>1</v>
      </c>
      <c r="AN18" s="754">
        <f t="shared" si="1"/>
        <v>0</v>
      </c>
      <c r="AO18" s="754">
        <f t="shared" si="0"/>
        <v>0</v>
      </c>
      <c r="AP18" s="754">
        <f t="shared" si="0"/>
        <v>252756</v>
      </c>
      <c r="AQ18" s="754">
        <f t="shared" si="0"/>
        <v>0</v>
      </c>
    </row>
    <row r="19" spans="2:43" ht="14.4">
      <c r="B19" t="s">
        <v>2611</v>
      </c>
      <c r="C19" s="545">
        <v>5469.79</v>
      </c>
      <c r="D19">
        <v>92673.755000000005</v>
      </c>
      <c r="E19">
        <v>18380.432000000001</v>
      </c>
      <c r="F19">
        <v>18164.087</v>
      </c>
      <c r="G19">
        <v>134688.73000000001</v>
      </c>
      <c r="H19"/>
      <c r="I19"/>
      <c r="J19" s="2694" t="s">
        <v>604</v>
      </c>
      <c r="K19" s="2692">
        <f>AQ26</f>
        <v>0.20559114318092267</v>
      </c>
      <c r="R19" s="2313" t="s">
        <v>2635</v>
      </c>
      <c r="S19" s="2065">
        <f>SUM(S13:S15)</f>
        <v>379.31216033298324</v>
      </c>
      <c r="T19" s="2318"/>
      <c r="U19" s="2316"/>
      <c r="AA19" s="754" t="s">
        <v>2572</v>
      </c>
      <c r="AB19" s="170">
        <v>277047</v>
      </c>
      <c r="AG19" s="754" t="s">
        <v>2572</v>
      </c>
      <c r="AJ19" s="754">
        <v>1</v>
      </c>
      <c r="AL19" s="754">
        <v>1</v>
      </c>
      <c r="AN19" s="754">
        <f t="shared" si="1"/>
        <v>0</v>
      </c>
      <c r="AO19" s="754">
        <f t="shared" si="0"/>
        <v>0</v>
      </c>
      <c r="AP19" s="754">
        <f t="shared" si="0"/>
        <v>277047</v>
      </c>
      <c r="AQ19" s="754">
        <f t="shared" si="0"/>
        <v>0</v>
      </c>
    </row>
    <row r="20" spans="2:43">
      <c r="B20" t="s">
        <v>2614</v>
      </c>
      <c r="C20"/>
      <c r="D20"/>
      <c r="E20"/>
      <c r="F20"/>
      <c r="G20"/>
      <c r="H20"/>
      <c r="I20"/>
      <c r="J20"/>
      <c r="Q20" s="12"/>
      <c r="S20" s="170">
        <f>SUM(S16:S19)</f>
        <v>1844.9829815829371</v>
      </c>
      <c r="T20" s="2319"/>
      <c r="U20" s="436"/>
      <c r="AA20" s="754" t="s">
        <v>2573</v>
      </c>
      <c r="AB20" s="170">
        <v>276508</v>
      </c>
      <c r="AG20" s="754" t="s">
        <v>2573</v>
      </c>
      <c r="AI20" s="754">
        <v>0.6</v>
      </c>
      <c r="AJ20" s="754">
        <v>0.4</v>
      </c>
      <c r="AL20" s="754">
        <v>1</v>
      </c>
      <c r="AN20" s="754">
        <f t="shared" si="1"/>
        <v>0</v>
      </c>
      <c r="AO20" s="754">
        <f t="shared" ref="AO20:AQ24" si="2">AI20*$AB20</f>
        <v>165904.79999999999</v>
      </c>
      <c r="AP20" s="754">
        <f t="shared" si="2"/>
        <v>110603.20000000001</v>
      </c>
      <c r="AQ20" s="754">
        <f t="shared" si="2"/>
        <v>0</v>
      </c>
    </row>
    <row r="21" spans="2:43" ht="14.4">
      <c r="B21"/>
      <c r="C21"/>
      <c r="D21"/>
      <c r="E21"/>
      <c r="F21"/>
      <c r="G21"/>
      <c r="H21"/>
      <c r="I21"/>
      <c r="J21" s="31" t="s">
        <v>2640</v>
      </c>
      <c r="K21" s="2694" t="s">
        <v>601</v>
      </c>
      <c r="L21" s="2694" t="s">
        <v>602</v>
      </c>
      <c r="M21" s="2694" t="s">
        <v>603</v>
      </c>
      <c r="N21" s="2694" t="s">
        <v>604</v>
      </c>
      <c r="Q21" s="2042"/>
      <c r="R21" s="2060" t="s">
        <v>2372</v>
      </c>
      <c r="S21" s="2043"/>
      <c r="T21" s="2317"/>
      <c r="U21" s="2315"/>
      <c r="AA21" s="754" t="s">
        <v>2574</v>
      </c>
      <c r="AB21" s="170">
        <v>242625</v>
      </c>
      <c r="AG21" s="754" t="s">
        <v>2574</v>
      </c>
      <c r="AI21" s="754">
        <v>1</v>
      </c>
      <c r="AL21" s="754">
        <v>1</v>
      </c>
      <c r="AN21" s="754">
        <f t="shared" si="1"/>
        <v>0</v>
      </c>
      <c r="AO21" s="754">
        <f t="shared" si="2"/>
        <v>242625</v>
      </c>
      <c r="AP21" s="754">
        <f t="shared" si="2"/>
        <v>0</v>
      </c>
      <c r="AQ21" s="754">
        <f t="shared" si="2"/>
        <v>0</v>
      </c>
    </row>
    <row r="22" spans="2:43" ht="14.4">
      <c r="B22"/>
      <c r="C22"/>
      <c r="D22"/>
      <c r="E22"/>
      <c r="F22"/>
      <c r="G22"/>
      <c r="H22"/>
      <c r="I22"/>
      <c r="J22" s="2314" t="s">
        <v>2308</v>
      </c>
      <c r="K22" s="2699">
        <f>'SE Driving patterns'!C10</f>
        <v>0.537801676346359</v>
      </c>
      <c r="L22" s="2699">
        <f>'SE Driving patterns'!C25</f>
        <v>0.537801676346359</v>
      </c>
      <c r="M22" s="2699">
        <f>'SE Driving patterns'!C40</f>
        <v>0.4676975420050084</v>
      </c>
      <c r="N22" s="2699">
        <f>'SE Driving patterns'!C55</f>
        <v>0.58866167632488187</v>
      </c>
      <c r="Q22" s="2046"/>
      <c r="R22" s="2063"/>
      <c r="S22" s="2047">
        <v>2010</v>
      </c>
      <c r="T22" s="2317"/>
      <c r="U22" s="2315"/>
      <c r="AA22" s="754" t="s">
        <v>2575</v>
      </c>
      <c r="AB22" s="170">
        <v>126691</v>
      </c>
      <c r="AG22" s="754" t="s">
        <v>2575</v>
      </c>
      <c r="AI22" s="754">
        <v>1</v>
      </c>
      <c r="AL22" s="754">
        <v>1</v>
      </c>
      <c r="AN22" s="754">
        <f t="shared" si="1"/>
        <v>0</v>
      </c>
      <c r="AO22" s="754">
        <f t="shared" si="2"/>
        <v>126691</v>
      </c>
      <c r="AP22" s="754">
        <f t="shared" si="2"/>
        <v>0</v>
      </c>
      <c r="AQ22" s="754">
        <f t="shared" si="2"/>
        <v>0</v>
      </c>
    </row>
    <row r="23" spans="2:43" ht="14.4">
      <c r="B23" s="754" t="s">
        <v>2631</v>
      </c>
      <c r="C23"/>
      <c r="D23"/>
      <c r="E23"/>
      <c r="F23"/>
      <c r="G23"/>
      <c r="H23"/>
      <c r="I23"/>
      <c r="J23" s="2314" t="s">
        <v>399</v>
      </c>
      <c r="K23" s="2699">
        <f>'SE Driving patterns'!D10+'SE Driving patterns'!E10</f>
        <v>0.462198323653641</v>
      </c>
      <c r="L23" s="2699">
        <f>'SE Driving patterns'!D25+'SE Driving patterns'!E25</f>
        <v>0.462198323653641</v>
      </c>
      <c r="M23" s="2699">
        <f>'SE Driving patterns'!E40+'SE Driving patterns'!D40</f>
        <v>0.53230245799499154</v>
      </c>
      <c r="N23" s="2699">
        <f>'SE Driving patterns'!D55+'SE Driving patterns'!E55</f>
        <v>0.41133832367511813</v>
      </c>
      <c r="Q23" s="3155" t="s">
        <v>601</v>
      </c>
      <c r="R23" s="2321" t="s">
        <v>2308</v>
      </c>
      <c r="S23" s="2062">
        <f>L11*K16*$K$28</f>
        <v>60.560026968347493</v>
      </c>
      <c r="T23" s="2318"/>
      <c r="U23" s="2316"/>
      <c r="AA23" s="754" t="s">
        <v>2576</v>
      </c>
      <c r="AB23" s="170">
        <v>259286</v>
      </c>
      <c r="AG23" s="754" t="s">
        <v>2576</v>
      </c>
      <c r="AH23" s="754">
        <v>0.2</v>
      </c>
      <c r="AI23" s="754">
        <v>0.8</v>
      </c>
      <c r="AL23" s="754">
        <v>1</v>
      </c>
      <c r="AN23" s="754">
        <f t="shared" si="1"/>
        <v>51857.200000000004</v>
      </c>
      <c r="AO23" s="754">
        <f t="shared" si="2"/>
        <v>207428.80000000002</v>
      </c>
      <c r="AP23" s="754">
        <f t="shared" si="2"/>
        <v>0</v>
      </c>
      <c r="AQ23" s="754">
        <f t="shared" si="2"/>
        <v>0</v>
      </c>
    </row>
    <row r="24" spans="2:43" ht="14.4">
      <c r="B24"/>
      <c r="C24"/>
      <c r="D24"/>
      <c r="E24"/>
      <c r="F24"/>
      <c r="G24"/>
      <c r="H24"/>
      <c r="I24"/>
      <c r="J24" s="2707" t="s">
        <v>2309</v>
      </c>
      <c r="K24" s="2699"/>
      <c r="L24" s="2699"/>
      <c r="M24" s="2699"/>
      <c r="N24" s="2699"/>
      <c r="Q24" s="3156"/>
      <c r="R24" s="2322" t="s">
        <v>399</v>
      </c>
      <c r="S24" s="2052">
        <f>L11*K16*$K$29</f>
        <v>42.556998488781041</v>
      </c>
      <c r="T24" s="2318"/>
      <c r="U24" s="2316"/>
      <c r="AA24" s="754" t="s">
        <v>2577</v>
      </c>
      <c r="AB24" s="170">
        <v>248609</v>
      </c>
      <c r="AG24" s="754" t="s">
        <v>2577</v>
      </c>
      <c r="AH24" s="754">
        <v>1</v>
      </c>
      <c r="AL24" s="754">
        <v>1</v>
      </c>
      <c r="AN24" s="754">
        <f t="shared" si="1"/>
        <v>248609</v>
      </c>
      <c r="AO24" s="754">
        <f t="shared" si="2"/>
        <v>0</v>
      </c>
      <c r="AP24" s="754">
        <f t="shared" si="2"/>
        <v>0</v>
      </c>
      <c r="AQ24" s="754">
        <f t="shared" si="2"/>
        <v>0</v>
      </c>
    </row>
    <row r="25" spans="2:43" ht="14.4">
      <c r="J25" s="38"/>
      <c r="K25" s="250">
        <f>SUM(K22:K24)</f>
        <v>1</v>
      </c>
      <c r="L25" s="250">
        <f>SUM(L22:L24)</f>
        <v>1</v>
      </c>
      <c r="M25" s="250">
        <f>SUM(M22:M24)</f>
        <v>1</v>
      </c>
      <c r="N25" s="250">
        <f>SUM(N22:N24)</f>
        <v>1</v>
      </c>
      <c r="Q25" s="3156"/>
      <c r="R25" s="2064" t="s">
        <v>2309</v>
      </c>
      <c r="S25" s="2052">
        <v>0</v>
      </c>
      <c r="T25" s="2318"/>
      <c r="U25" s="2316"/>
      <c r="AB25" s="170">
        <f>SUM(AB4:AB24)</f>
        <v>9415570</v>
      </c>
      <c r="AM25" s="765" t="s">
        <v>2639</v>
      </c>
      <c r="AN25" s="754">
        <f>SUM(AN4:AN24)</f>
        <v>300466.2</v>
      </c>
      <c r="AO25" s="754">
        <f>SUM(AO4:AO24)</f>
        <v>742649.60000000009</v>
      </c>
      <c r="AP25" s="754">
        <f>SUM(AP4:AP24)</f>
        <v>6436696.4000000004</v>
      </c>
      <c r="AQ25" s="754">
        <f>SUM(AQ4:AQ24)</f>
        <v>1935757.8</v>
      </c>
    </row>
    <row r="26" spans="2:43" ht="14.4">
      <c r="J26"/>
      <c r="Q26" s="3157" t="s">
        <v>602</v>
      </c>
      <c r="R26" s="2321" t="s">
        <v>2308</v>
      </c>
      <c r="S26" s="2062">
        <f>$L$11*K17*L28</f>
        <v>158.34445723204135</v>
      </c>
      <c r="T26" s="2318"/>
      <c r="U26" s="2316"/>
      <c r="AN26" s="754">
        <f>AN25/SUM($AN$25:$AQ$25)</f>
        <v>3.1911631478497848E-2</v>
      </c>
      <c r="AO26" s="754">
        <f>AO25/SUM($AN$25:$AQ$25)</f>
        <v>7.8874630001157672E-2</v>
      </c>
      <c r="AP26" s="754">
        <f>AP25/SUM($AN$25:$AQ$25)</f>
        <v>0.68362259533942182</v>
      </c>
      <c r="AQ26" s="754">
        <f>AQ25/SUM($AN$25:$AQ$25)</f>
        <v>0.20559114318092267</v>
      </c>
    </row>
    <row r="27" spans="2:43" ht="14.4">
      <c r="J27" s="2702" t="s">
        <v>2645</v>
      </c>
      <c r="K27" s="2694" t="s">
        <v>601</v>
      </c>
      <c r="L27" s="2694" t="s">
        <v>602</v>
      </c>
      <c r="M27" s="2694" t="s">
        <v>603</v>
      </c>
      <c r="N27" s="2694" t="s">
        <v>604</v>
      </c>
      <c r="Q27" s="3158"/>
      <c r="R27" s="2322" t="s">
        <v>399</v>
      </c>
      <c r="S27" s="2052">
        <f>$L$11*K17*L29</f>
        <v>96.525533831600242</v>
      </c>
      <c r="T27" s="2318"/>
      <c r="U27" s="2316"/>
    </row>
    <row r="28" spans="2:43" ht="14.4">
      <c r="J28" s="2321" t="s">
        <v>2308</v>
      </c>
      <c r="K28" s="2699">
        <f>'SE Driving patterns'!C11</f>
        <v>0.58729416117152888</v>
      </c>
      <c r="L28" s="2699">
        <f>'SE Driving patterns'!C26</f>
        <v>0.62127540622270594</v>
      </c>
      <c r="M28" s="2699">
        <f>'SE Driving patterns'!C41</f>
        <v>0.67479483015296249</v>
      </c>
      <c r="N28" s="2699">
        <f>'SE Driving patterns'!C56</f>
        <v>0.66024360362895063</v>
      </c>
      <c r="Q28" s="3159"/>
      <c r="R28" s="2064" t="s">
        <v>2309</v>
      </c>
      <c r="S28" s="2052">
        <v>0</v>
      </c>
      <c r="T28" s="2318"/>
      <c r="U28" s="2316"/>
    </row>
    <row r="29" spans="2:43" ht="14.4">
      <c r="J29" s="2322" t="s">
        <v>399</v>
      </c>
      <c r="K29" s="2699">
        <f>'SE Driving patterns'!D11</f>
        <v>0.41270583882847112</v>
      </c>
      <c r="L29" s="2699">
        <f>'SE Driving patterns'!D26</f>
        <v>0.37872459377729412</v>
      </c>
      <c r="M29" s="2699">
        <f>'SE Driving patterns'!D41</f>
        <v>0.32520516984703751</v>
      </c>
      <c r="N29" s="2699">
        <f>'SE Driving patterns'!D56</f>
        <v>0.33975639637104932</v>
      </c>
      <c r="Q29" s="3155" t="s">
        <v>603</v>
      </c>
      <c r="R29" s="2321" t="s">
        <v>2308</v>
      </c>
      <c r="S29" s="2062">
        <f>$L$11*K18*M28</f>
        <v>1490.6288558188517</v>
      </c>
      <c r="T29" s="2318"/>
      <c r="U29" s="2316"/>
    </row>
    <row r="30" spans="2:43" ht="14.4">
      <c r="J30" s="2064" t="s">
        <v>2309</v>
      </c>
      <c r="K30" s="2703" t="str">
        <f>'SE Driving patterns'!E11</f>
        <v>n/a</v>
      </c>
      <c r="L30" s="2699" t="str">
        <f>'SE Driving patterns'!E26</f>
        <v>n/a</v>
      </c>
      <c r="M30" s="2699" t="str">
        <f>'SE Driving patterns'!E41</f>
        <v>n/a</v>
      </c>
      <c r="N30" s="2699" t="str">
        <f>'SE Driving patterns'!E56</f>
        <v>n/a</v>
      </c>
      <c r="Q30" s="3156"/>
      <c r="R30" s="2322" t="s">
        <v>399</v>
      </c>
      <c r="S30" s="2052">
        <f>$L$11*K18*M29</f>
        <v>718.38163034767092</v>
      </c>
      <c r="T30" s="2318"/>
      <c r="U30" s="2316"/>
    </row>
    <row r="31" spans="2:43" ht="14.4">
      <c r="J31" s="38"/>
      <c r="K31" s="12">
        <f>SUM(K28:K30)</f>
        <v>1</v>
      </c>
      <c r="L31" s="12">
        <f>SUM(L28:L30)</f>
        <v>1</v>
      </c>
      <c r="M31" s="12">
        <f>SUM(M28:M30)</f>
        <v>1</v>
      </c>
      <c r="N31" s="12">
        <f>SUM(N28:N30)</f>
        <v>1</v>
      </c>
      <c r="Q31" s="3156"/>
      <c r="R31" s="2064" t="s">
        <v>2309</v>
      </c>
      <c r="S31" s="2052">
        <v>0</v>
      </c>
      <c r="T31" s="2318"/>
      <c r="U31" s="2316"/>
    </row>
    <row r="32" spans="2:43" ht="14.4">
      <c r="Q32" s="3157" t="s">
        <v>604</v>
      </c>
      <c r="R32" s="2321" t="s">
        <v>2308</v>
      </c>
      <c r="S32" s="2062">
        <f>$L$11*K19*N28</f>
        <v>438.62155744956766</v>
      </c>
      <c r="T32" s="2318"/>
      <c r="U32" s="2316"/>
    </row>
    <row r="33" spans="17:21" ht="14.4">
      <c r="Q33" s="3158"/>
      <c r="R33" s="2322" t="s">
        <v>399</v>
      </c>
      <c r="S33" s="2052">
        <f>$L$11*K19*N29</f>
        <v>225.71135700615184</v>
      </c>
      <c r="T33" s="2318"/>
      <c r="U33" s="2316"/>
    </row>
    <row r="34" spans="17:21" ht="14.4">
      <c r="Q34" s="3159"/>
      <c r="R34" s="2064" t="s">
        <v>2309</v>
      </c>
      <c r="S34" s="2052">
        <v>0</v>
      </c>
      <c r="T34" s="2318"/>
      <c r="U34" s="2316"/>
    </row>
    <row r="35" spans="17:21" ht="14.4">
      <c r="R35" s="2312" t="s">
        <v>2632</v>
      </c>
      <c r="S35" s="2061">
        <f>SUM(S23:S25)</f>
        <v>103.11702545712853</v>
      </c>
      <c r="T35" s="2318"/>
      <c r="U35" s="2316"/>
    </row>
    <row r="36" spans="17:21" ht="14.4">
      <c r="R36" s="2313" t="s">
        <v>2633</v>
      </c>
      <c r="S36" s="2065">
        <f>SUM(S26:S28)</f>
        <v>254.86999106364158</v>
      </c>
      <c r="T36" s="2318"/>
      <c r="U36" s="2316"/>
    </row>
    <row r="37" spans="17:21" ht="14.4">
      <c r="R37" s="2312" t="s">
        <v>2634</v>
      </c>
      <c r="S37" s="2061">
        <f>SUM(S29:S31)</f>
        <v>2209.0104861665227</v>
      </c>
      <c r="T37" s="2318"/>
      <c r="U37" s="2316"/>
    </row>
    <row r="38" spans="17:21" ht="14.4">
      <c r="R38" s="2313" t="s">
        <v>2635</v>
      </c>
      <c r="S38" s="2065">
        <f>SUM(S32:S34)</f>
        <v>664.33291445571945</v>
      </c>
      <c r="T38" s="2318"/>
      <c r="U38" s="2316"/>
    </row>
    <row r="39" spans="17:21">
      <c r="S39" s="170">
        <f>SUM(S35:S38)</f>
        <v>3231.3304171430118</v>
      </c>
    </row>
    <row r="40" spans="17:21">
      <c r="S40" s="170">
        <f>S39+S20</f>
        <v>5076.3133987259489</v>
      </c>
    </row>
    <row r="53" spans="1:41">
      <c r="A53" s="3164" t="s">
        <v>2334</v>
      </c>
      <c r="B53" s="3164"/>
      <c r="C53" s="3164"/>
      <c r="D53" s="3164"/>
      <c r="E53" s="3164"/>
      <c r="F53" s="3164"/>
      <c r="G53" s="3164"/>
      <c r="H53" s="3164"/>
      <c r="I53" s="3164"/>
      <c r="J53" s="3164"/>
      <c r="K53" s="3164"/>
      <c r="L53" s="3164"/>
      <c r="M53" s="3164"/>
      <c r="N53" s="3164"/>
      <c r="O53" s="3164"/>
      <c r="P53" s="3164"/>
    </row>
    <row r="54" spans="1:41" ht="14.4">
      <c r="A54" s="2035" t="s">
        <v>2335</v>
      </c>
      <c r="B54" s="2035" t="s">
        <v>2336</v>
      </c>
      <c r="C54" s="2036" t="s">
        <v>2337</v>
      </c>
      <c r="D54" s="2036" t="s">
        <v>2338</v>
      </c>
      <c r="E54" s="2036" t="s">
        <v>2339</v>
      </c>
      <c r="F54" s="2036" t="s">
        <v>2340</v>
      </c>
      <c r="G54" s="2036" t="s">
        <v>2341</v>
      </c>
      <c r="H54" s="2036" t="s">
        <v>2342</v>
      </c>
      <c r="I54" s="2036" t="s">
        <v>2343</v>
      </c>
      <c r="J54" s="2037" t="s">
        <v>2344</v>
      </c>
      <c r="K54" s="2036" t="s">
        <v>2345</v>
      </c>
      <c r="L54" s="2036" t="s">
        <v>2346</v>
      </c>
      <c r="M54" s="2036"/>
      <c r="N54" s="2036"/>
      <c r="O54" s="2036"/>
      <c r="P54" s="2036"/>
      <c r="Q54" s="2036"/>
      <c r="R54" s="2036"/>
      <c r="S54" s="2036"/>
      <c r="T54" s="2036"/>
      <c r="U54" s="2036"/>
      <c r="V54" s="2036"/>
      <c r="W54" s="2036"/>
      <c r="X54" s="2036"/>
      <c r="Y54" s="2036"/>
      <c r="Z54" s="2036"/>
      <c r="AA54" s="2036"/>
      <c r="AB54" s="2036"/>
      <c r="AF54" s="754">
        <f>SUM(AF57:AF61)</f>
        <v>4787330</v>
      </c>
    </row>
    <row r="55" spans="1:41" ht="15" thickBot="1">
      <c r="A55" s="2038">
        <v>2010</v>
      </c>
      <c r="B55" s="2038" t="s">
        <v>2347</v>
      </c>
      <c r="C55" s="2039" t="s">
        <v>2348</v>
      </c>
      <c r="D55" s="2039" t="s">
        <v>2320</v>
      </c>
      <c r="E55" s="2039" t="s">
        <v>399</v>
      </c>
      <c r="F55" s="2040">
        <v>739084.44836875203</v>
      </c>
      <c r="G55" s="2040">
        <v>1657604.56132127</v>
      </c>
      <c r="H55" s="2040">
        <v>8058899.9691493604</v>
      </c>
      <c r="I55" s="2040">
        <v>243772399.78763199</v>
      </c>
      <c r="J55" s="2041">
        <v>528298733.530797</v>
      </c>
      <c r="K55" s="2040">
        <v>2596913416.5664501</v>
      </c>
      <c r="L55" s="2040">
        <v>20.137805102636101</v>
      </c>
      <c r="M55" s="2040"/>
      <c r="N55" s="2040"/>
      <c r="O55" s="2040"/>
      <c r="P55" s="2039"/>
      <c r="Q55" s="2039"/>
      <c r="R55" s="2042"/>
      <c r="S55" s="2043" t="s">
        <v>2349</v>
      </c>
      <c r="T55" s="2043"/>
      <c r="U55" s="2043"/>
      <c r="V55" s="2044"/>
      <c r="W55" s="2039"/>
      <c r="X55" s="2042"/>
      <c r="Y55" s="2043" t="s">
        <v>2349</v>
      </c>
      <c r="Z55" s="2043"/>
      <c r="AA55" s="2043"/>
      <c r="AB55" s="2044"/>
      <c r="AE55" s="3162" t="s">
        <v>2350</v>
      </c>
      <c r="AF55" s="3162"/>
      <c r="AG55" s="3162"/>
      <c r="AH55" s="3162"/>
      <c r="AI55" s="3162"/>
      <c r="AJ55" s="3162"/>
      <c r="AK55" s="3162"/>
      <c r="AL55" s="3162"/>
      <c r="AM55" s="3162"/>
      <c r="AN55" s="3162"/>
      <c r="AO55" s="3162"/>
    </row>
    <row r="56" spans="1:41" ht="19.8" thickBot="1">
      <c r="A56" s="2038">
        <v>2010</v>
      </c>
      <c r="B56" s="2038" t="s">
        <v>2347</v>
      </c>
      <c r="C56" s="2039" t="s">
        <v>2348</v>
      </c>
      <c r="D56" s="2039" t="s">
        <v>2320</v>
      </c>
      <c r="E56" s="2039" t="s">
        <v>2309</v>
      </c>
      <c r="F56" s="2040">
        <v>1.47070824296769E-6</v>
      </c>
      <c r="G56" s="2040">
        <v>3.7100554969191899E-5</v>
      </c>
      <c r="H56" s="2040">
        <v>8.5391381662744495E-5</v>
      </c>
      <c r="I56" s="2040">
        <v>4.8230195699261501E-4</v>
      </c>
      <c r="J56" s="2045">
        <v>1.2168186673213999E-2</v>
      </c>
      <c r="K56" s="2040">
        <v>2.8005321473325601E-2</v>
      </c>
      <c r="L56" s="2040">
        <v>26.072351744550701</v>
      </c>
      <c r="M56" s="2040"/>
      <c r="N56" s="2040"/>
      <c r="O56" s="2040"/>
      <c r="P56" s="2039"/>
      <c r="Q56" s="2039"/>
      <c r="R56" s="2046"/>
      <c r="S56" s="2047"/>
      <c r="T56" s="2047">
        <v>2010</v>
      </c>
      <c r="U56" s="2047">
        <v>2020</v>
      </c>
      <c r="V56" s="2048">
        <v>2030</v>
      </c>
      <c r="W56" s="2039"/>
      <c r="X56" s="2046"/>
      <c r="Y56" s="2047"/>
      <c r="Z56" s="2047">
        <v>2010</v>
      </c>
      <c r="AA56" s="2047">
        <v>2020</v>
      </c>
      <c r="AB56" s="2048">
        <v>2030</v>
      </c>
      <c r="AE56" s="2049" t="s">
        <v>198</v>
      </c>
      <c r="AF56" s="2049" t="s">
        <v>2351</v>
      </c>
      <c r="AG56" s="2049" t="s">
        <v>2352</v>
      </c>
      <c r="AH56" s="2050" t="s">
        <v>1613</v>
      </c>
      <c r="AI56" s="2050" t="s">
        <v>2353</v>
      </c>
      <c r="AJ56" s="2050" t="s">
        <v>2354</v>
      </c>
      <c r="AK56" s="2050" t="s">
        <v>2355</v>
      </c>
      <c r="AL56" s="2050" t="s">
        <v>2356</v>
      </c>
      <c r="AM56" s="2050" t="s">
        <v>2357</v>
      </c>
      <c r="AN56" s="2050" t="s">
        <v>220</v>
      </c>
      <c r="AO56" s="2051" t="s">
        <v>124</v>
      </c>
    </row>
    <row r="57" spans="1:41" ht="15" thickBot="1">
      <c r="A57" s="2038">
        <v>2010</v>
      </c>
      <c r="B57" s="2038" t="s">
        <v>2347</v>
      </c>
      <c r="C57" s="2039" t="s">
        <v>2348</v>
      </c>
      <c r="D57" s="2039" t="s">
        <v>2358</v>
      </c>
      <c r="E57" s="2039" t="s">
        <v>399</v>
      </c>
      <c r="F57" s="2040">
        <v>335905.64093609602</v>
      </c>
      <c r="G57" s="2040">
        <v>901979.57984697795</v>
      </c>
      <c r="H57" s="2040">
        <v>4381359.6997859301</v>
      </c>
      <c r="I57" s="2040">
        <v>109702924.649738</v>
      </c>
      <c r="J57" s="2041">
        <v>291531598.55382401</v>
      </c>
      <c r="K57" s="2040">
        <v>1421990935.74228</v>
      </c>
      <c r="L57" s="2040">
        <v>22.601227666969098</v>
      </c>
      <c r="M57" s="2040"/>
      <c r="N57" s="2040"/>
      <c r="O57" s="2040"/>
      <c r="P57" s="2039"/>
      <c r="Q57" s="2039">
        <f>T57/SUM($T$57:$T$59)</f>
        <v>0.98298013680442353</v>
      </c>
      <c r="R57" s="3156" t="s">
        <v>149</v>
      </c>
      <c r="S57" s="2047" t="s">
        <v>399</v>
      </c>
      <c r="T57" s="2052">
        <v>1052.791995072341</v>
      </c>
      <c r="U57" s="2052">
        <v>1071.2858810985599</v>
      </c>
      <c r="V57" s="2052">
        <v>1115.574768093127</v>
      </c>
      <c r="W57" s="2039"/>
      <c r="X57" s="3156" t="s">
        <v>149</v>
      </c>
      <c r="Y57" s="2047" t="s">
        <v>399</v>
      </c>
      <c r="Z57" s="2052">
        <v>1052791995.072341</v>
      </c>
      <c r="AA57" s="2052">
        <v>1071285881.09856</v>
      </c>
      <c r="AB57" s="2053">
        <v>1115574768.093127</v>
      </c>
      <c r="AE57" s="2054" t="s">
        <v>2359</v>
      </c>
      <c r="AF57" s="2054">
        <v>559569</v>
      </c>
      <c r="AG57" s="2054">
        <f>AF57/SUM($AF$57:$AF$61)</f>
        <v>0.11688540376368456</v>
      </c>
      <c r="AH57" s="2055">
        <v>1.67</v>
      </c>
      <c r="AI57" s="2055">
        <v>1.94</v>
      </c>
      <c r="AJ57" s="2055">
        <v>0.82</v>
      </c>
      <c r="AK57" s="2055">
        <v>2.4500000000000002</v>
      </c>
      <c r="AL57" s="2055">
        <v>15.02</v>
      </c>
      <c r="AM57" s="2055">
        <v>0.11</v>
      </c>
      <c r="AN57" s="2055">
        <v>2.23</v>
      </c>
      <c r="AO57" s="2056">
        <v>24.24</v>
      </c>
    </row>
    <row r="58" spans="1:41" ht="15" thickBot="1">
      <c r="A58" s="2038">
        <v>2010</v>
      </c>
      <c r="B58" s="2038" t="s">
        <v>2347</v>
      </c>
      <c r="C58" s="2039" t="s">
        <v>2348</v>
      </c>
      <c r="D58" s="2039" t="s">
        <v>2358</v>
      </c>
      <c r="E58" s="2039" t="s">
        <v>2309</v>
      </c>
      <c r="F58" s="2040">
        <v>4.8501455599314597E-5</v>
      </c>
      <c r="G58" s="2040">
        <v>2.22782631698907E-3</v>
      </c>
      <c r="H58" s="2040">
        <v>4.4791719640922302E-3</v>
      </c>
      <c r="I58" s="2040">
        <v>1.5946938223919498E-2</v>
      </c>
      <c r="J58" s="2045">
        <v>0.73203733282345695</v>
      </c>
      <c r="K58" s="2040">
        <v>1.47182070221142</v>
      </c>
      <c r="L58" s="2040">
        <v>28.653928481319699</v>
      </c>
      <c r="M58" s="2040"/>
      <c r="N58" s="2040"/>
      <c r="O58" s="2040"/>
      <c r="P58" s="2039"/>
      <c r="Q58" s="2039">
        <f>T58/SUM($T$57:$T$59)</f>
        <v>5.182148713089341E-4</v>
      </c>
      <c r="R58" s="3156"/>
      <c r="S58" s="2047" t="s">
        <v>2309</v>
      </c>
      <c r="T58" s="2052">
        <v>0.55501881250123142</v>
      </c>
      <c r="U58" s="2052">
        <v>0.50294294529074457</v>
      </c>
      <c r="V58" s="2052">
        <v>0.48023838358118531</v>
      </c>
      <c r="W58" s="2039"/>
      <c r="X58" s="3156"/>
      <c r="Y58" s="2047" t="s">
        <v>2309</v>
      </c>
      <c r="Z58" s="2052">
        <v>555018.81250123144</v>
      </c>
      <c r="AA58" s="2052">
        <v>502942.94529074454</v>
      </c>
      <c r="AB58" s="2053">
        <v>480238.38358118531</v>
      </c>
      <c r="AE58" s="2057" t="s">
        <v>2360</v>
      </c>
      <c r="AF58" s="2057">
        <v>774241</v>
      </c>
      <c r="AG58" s="2057">
        <f>AF58/SUM($AF$57:$AF$61)</f>
        <v>0.16172710049234124</v>
      </c>
      <c r="AH58" s="2058">
        <v>2.58</v>
      </c>
      <c r="AI58" s="2058">
        <v>2.1</v>
      </c>
      <c r="AJ58" s="2058">
        <v>1.1200000000000001</v>
      </c>
      <c r="AK58" s="2058">
        <v>2.57</v>
      </c>
      <c r="AL58" s="2058">
        <v>8.18</v>
      </c>
      <c r="AM58" s="2058">
        <v>19.07</v>
      </c>
      <c r="AN58" s="2058">
        <v>6.49</v>
      </c>
      <c r="AO58" s="2059">
        <v>42.11</v>
      </c>
    </row>
    <row r="59" spans="1:41" ht="15" thickBot="1">
      <c r="A59" s="2038">
        <v>2010</v>
      </c>
      <c r="B59" s="2038" t="s">
        <v>2347</v>
      </c>
      <c r="C59" s="2039" t="s">
        <v>2348</v>
      </c>
      <c r="D59" s="2039" t="s">
        <v>2358</v>
      </c>
      <c r="E59" s="2039" t="s">
        <v>397</v>
      </c>
      <c r="F59" s="2040">
        <v>504.11921186823002</v>
      </c>
      <c r="G59" s="2040">
        <v>28977.5916739516</v>
      </c>
      <c r="H59" s="2040">
        <v>57955.183347903097</v>
      </c>
      <c r="I59" s="2040">
        <v>151824.157249346</v>
      </c>
      <c r="J59" s="2041">
        <v>8743422.8629185297</v>
      </c>
      <c r="K59" s="2040">
        <v>17486845.7258371</v>
      </c>
      <c r="L59" s="2040">
        <v>30</v>
      </c>
      <c r="M59" s="2040"/>
      <c r="N59" s="2040"/>
      <c r="O59" s="2040"/>
      <c r="P59" s="2039"/>
      <c r="Q59" s="2039">
        <f>T59/SUM($T$57:$T$59)</f>
        <v>1.6501648324267586E-2</v>
      </c>
      <c r="R59" s="3156"/>
      <c r="S59" s="2047" t="s">
        <v>397</v>
      </c>
      <c r="T59" s="2052">
        <v>17.673605610958919</v>
      </c>
      <c r="U59" s="2052">
        <v>17.347028753334598</v>
      </c>
      <c r="V59" s="2052">
        <v>17.114418619330788</v>
      </c>
      <c r="W59" s="2039"/>
      <c r="X59" s="3156"/>
      <c r="Y59" s="2047" t="s">
        <v>397</v>
      </c>
      <c r="Z59" s="2052">
        <v>17673605.610958919</v>
      </c>
      <c r="AA59" s="2052">
        <v>17347028.753334597</v>
      </c>
      <c r="AB59" s="2053">
        <v>17114418.61933079</v>
      </c>
      <c r="AE59" s="2054" t="s">
        <v>2361</v>
      </c>
      <c r="AF59" s="2054">
        <v>2269471</v>
      </c>
      <c r="AG59" s="2054">
        <f>AF59/SUM($AF$57:$AF$61)</f>
        <v>0.47405777333085458</v>
      </c>
      <c r="AH59" s="2055">
        <v>3.92</v>
      </c>
      <c r="AI59" s="2055">
        <v>1.82</v>
      </c>
      <c r="AJ59" s="2055">
        <v>0.75</v>
      </c>
      <c r="AK59" s="2055">
        <v>0.75</v>
      </c>
      <c r="AL59" s="2055">
        <v>5.62</v>
      </c>
      <c r="AM59" s="2055">
        <v>34.049999999999997</v>
      </c>
      <c r="AN59" s="2055">
        <v>2.8</v>
      </c>
      <c r="AO59" s="2056">
        <v>49.71</v>
      </c>
    </row>
    <row r="60" spans="1:41" ht="15" thickBot="1">
      <c r="A60" s="2038">
        <v>2010</v>
      </c>
      <c r="B60" s="2038" t="s">
        <v>2347</v>
      </c>
      <c r="C60" s="2039" t="s">
        <v>2348</v>
      </c>
      <c r="D60" s="2039" t="s">
        <v>2321</v>
      </c>
      <c r="E60" s="2039" t="s">
        <v>399</v>
      </c>
      <c r="F60" s="2040">
        <v>138865.79060517601</v>
      </c>
      <c r="G60" s="2040">
        <v>722421.74763641902</v>
      </c>
      <c r="H60" s="2040">
        <v>2833834.09150148</v>
      </c>
      <c r="I60" s="2040">
        <v>45071627.5688584</v>
      </c>
      <c r="J60" s="2041">
        <v>232961662.98772001</v>
      </c>
      <c r="K60" s="2040">
        <v>916121744.71939695</v>
      </c>
      <c r="L60" s="2040">
        <v>22.4127177526738</v>
      </c>
      <c r="M60" s="2040"/>
      <c r="N60" s="2040"/>
      <c r="O60" s="2040"/>
      <c r="P60" s="2039"/>
      <c r="Q60" s="2039">
        <f>T60/SUM($T$60:$T$62)</f>
        <v>0.99892462860349618</v>
      </c>
      <c r="R60" s="3163" t="s">
        <v>150</v>
      </c>
      <c r="S60" s="2060" t="s">
        <v>399</v>
      </c>
      <c r="T60" s="2061">
        <v>1383.4937733828301</v>
      </c>
      <c r="U60" s="2061">
        <v>1309.5652206003617</v>
      </c>
      <c r="V60" s="2062">
        <v>1319.4998939082059</v>
      </c>
      <c r="W60" s="2039"/>
      <c r="X60" s="3163" t="s">
        <v>150</v>
      </c>
      <c r="Y60" s="2060" t="s">
        <v>399</v>
      </c>
      <c r="Z60" s="2061">
        <v>1383493773.3828301</v>
      </c>
      <c r="AA60" s="2061">
        <v>1309565220.6003618</v>
      </c>
      <c r="AB60" s="2062">
        <v>1319499893.908206</v>
      </c>
      <c r="AE60" s="2057" t="s">
        <v>2362</v>
      </c>
      <c r="AF60" s="2057">
        <v>671498</v>
      </c>
      <c r="AG60" s="2057">
        <f>AF60/SUM($AF$57:$AF$61)</f>
        <v>0.14026565956389053</v>
      </c>
      <c r="AH60" s="2058">
        <v>3.55</v>
      </c>
      <c r="AI60" s="2058">
        <v>1.29</v>
      </c>
      <c r="AJ60" s="2058">
        <v>0.84</v>
      </c>
      <c r="AK60" s="2058">
        <v>0.59</v>
      </c>
      <c r="AL60" s="2058">
        <v>5.6</v>
      </c>
      <c r="AM60" s="2058">
        <v>21.76</v>
      </c>
      <c r="AN60" s="2058">
        <v>1.38</v>
      </c>
      <c r="AO60" s="2059">
        <v>35.01</v>
      </c>
    </row>
    <row r="61" spans="1:41" ht="15" thickBot="1">
      <c r="A61" s="2038">
        <v>2010</v>
      </c>
      <c r="B61" s="2038" t="s">
        <v>2347</v>
      </c>
      <c r="C61" s="2039" t="s">
        <v>2348</v>
      </c>
      <c r="D61" s="2039" t="s">
        <v>2321</v>
      </c>
      <c r="E61" s="2039" t="s">
        <v>2309</v>
      </c>
      <c r="F61" s="2040">
        <v>44.093008855139203</v>
      </c>
      <c r="G61" s="2040">
        <v>1687.5723820252699</v>
      </c>
      <c r="H61" s="2040">
        <v>3481.6396285721198</v>
      </c>
      <c r="I61" s="2040">
        <v>14538.355382628601</v>
      </c>
      <c r="J61" s="2041">
        <v>555018.068295712</v>
      </c>
      <c r="K61" s="2040">
        <v>1145466.8970742601</v>
      </c>
      <c r="L61" s="2040">
        <v>28.443719984351699</v>
      </c>
      <c r="M61" s="2040"/>
      <c r="N61" s="2040"/>
      <c r="O61" s="2040"/>
      <c r="P61" s="2039"/>
      <c r="Q61" s="2039">
        <f>T61/SUM($T$60:$T$62)</f>
        <v>2.4490220873021933E-4</v>
      </c>
      <c r="R61" s="3158"/>
      <c r="S61" s="2063" t="s">
        <v>2309</v>
      </c>
      <c r="T61" s="2052">
        <v>0.33918543117675892</v>
      </c>
      <c r="U61" s="2052">
        <v>0.31228909994676934</v>
      </c>
      <c r="V61" s="2053">
        <v>0.31792980599640847</v>
      </c>
      <c r="W61" s="2039"/>
      <c r="X61" s="3158"/>
      <c r="Y61" s="2063" t="s">
        <v>2309</v>
      </c>
      <c r="Z61" s="2052">
        <v>339185.4311767589</v>
      </c>
      <c r="AA61" s="2052">
        <v>312289.09994676936</v>
      </c>
      <c r="AB61" s="2053">
        <v>317929.80599640845</v>
      </c>
      <c r="AE61" s="2054" t="s">
        <v>2363</v>
      </c>
      <c r="AF61" s="2054">
        <v>512551</v>
      </c>
      <c r="AG61" s="2054">
        <f>AF61/SUM($AF$57:$AF$61)</f>
        <v>0.10706406284922911</v>
      </c>
      <c r="AH61" s="2055">
        <v>1.19</v>
      </c>
      <c r="AI61" s="2055">
        <v>0.77</v>
      </c>
      <c r="AJ61" s="2055">
        <v>0.69</v>
      </c>
      <c r="AK61" s="2055">
        <v>0.61</v>
      </c>
      <c r="AL61" s="2055">
        <v>5.24</v>
      </c>
      <c r="AM61" s="2055">
        <v>12.08</v>
      </c>
      <c r="AN61" s="2055">
        <v>0.97</v>
      </c>
      <c r="AO61" s="2056">
        <v>21.54</v>
      </c>
    </row>
    <row r="62" spans="1:41" ht="14.4">
      <c r="A62" s="2038">
        <v>2010</v>
      </c>
      <c r="B62" s="2038" t="s">
        <v>2347</v>
      </c>
      <c r="C62" s="2039" t="s">
        <v>2348</v>
      </c>
      <c r="D62" s="2039" t="s">
        <v>2321</v>
      </c>
      <c r="E62" s="2039" t="s">
        <v>397</v>
      </c>
      <c r="F62" s="2040">
        <v>513.81275516967003</v>
      </c>
      <c r="G62" s="2040">
        <v>29542.841987435299</v>
      </c>
      <c r="H62" s="2040">
        <v>59085.683974870699</v>
      </c>
      <c r="I62" s="2040">
        <v>154997.015830177</v>
      </c>
      <c r="J62" s="2041">
        <v>8930182.7480403893</v>
      </c>
      <c r="K62" s="2040">
        <v>17860365.496080801</v>
      </c>
      <c r="L62" s="2040">
        <v>30</v>
      </c>
      <c r="M62" s="2040"/>
      <c r="N62" s="2040"/>
      <c r="O62" s="2040"/>
      <c r="P62" s="2039"/>
      <c r="Q62" s="2039">
        <f>T62/SUM($T$60:$T$62)</f>
        <v>8.3046918777365916E-4</v>
      </c>
      <c r="R62" s="3159"/>
      <c r="S62" s="2064" t="s">
        <v>397</v>
      </c>
      <c r="T62" s="2065">
        <v>1.1501858272104</v>
      </c>
      <c r="U62" s="2065">
        <v>1.1367479631553801</v>
      </c>
      <c r="V62" s="2066">
        <v>1.13312397410482</v>
      </c>
      <c r="W62" s="2039"/>
      <c r="X62" s="3159"/>
      <c r="Y62" s="2064" t="s">
        <v>397</v>
      </c>
      <c r="Z62" s="2065">
        <v>1150185.8272104</v>
      </c>
      <c r="AA62" s="2065">
        <v>1136747.96315538</v>
      </c>
      <c r="AB62" s="2066">
        <v>1133123.9741048201</v>
      </c>
    </row>
    <row r="63" spans="1:41" ht="14.4">
      <c r="A63" s="2038">
        <v>2010</v>
      </c>
      <c r="B63" s="2038" t="s">
        <v>2347</v>
      </c>
      <c r="C63" s="2039" t="s">
        <v>2364</v>
      </c>
      <c r="D63" s="2039" t="s">
        <v>2320</v>
      </c>
      <c r="E63" s="2039" t="s">
        <v>399</v>
      </c>
      <c r="F63" s="2040">
        <v>337161.76898956299</v>
      </c>
      <c r="G63" s="2040">
        <v>953877.21483213501</v>
      </c>
      <c r="H63" s="2040">
        <v>4492219.5307670198</v>
      </c>
      <c r="I63" s="2040">
        <v>109528735.642655</v>
      </c>
      <c r="J63" s="2041">
        <v>306077631.16933298</v>
      </c>
      <c r="K63" s="2040">
        <v>1447576191.92647</v>
      </c>
      <c r="L63" s="2040">
        <v>20.324557141558799</v>
      </c>
      <c r="M63" s="2040"/>
      <c r="N63" s="2040"/>
      <c r="O63" s="2040"/>
      <c r="P63" s="2039"/>
      <c r="Q63" s="2039"/>
      <c r="R63" s="2039"/>
      <c r="S63" s="2067" t="s">
        <v>2365</v>
      </c>
      <c r="T63" s="2061">
        <f>SUM(T57:T59)</f>
        <v>1071.0206194958012</v>
      </c>
      <c r="U63" s="2061">
        <f>SUM(U57:U59)</f>
        <v>1089.1358527971852</v>
      </c>
      <c r="V63" s="2061">
        <f>SUM(V57:V59)</f>
        <v>1133.1694250960388</v>
      </c>
      <c r="W63" s="2039"/>
      <c r="X63" s="2039"/>
      <c r="Y63" s="2039"/>
      <c r="Z63" s="2039"/>
      <c r="AA63" s="2039"/>
      <c r="AB63" s="2039"/>
      <c r="AE63" s="765" t="s">
        <v>2366</v>
      </c>
      <c r="AI63" s="2068">
        <f>AI57*AG57+AI58*AG58+AI59*AG59+AI60*AG60+AI61*AG61</f>
        <v>1.6925517710289453</v>
      </c>
      <c r="AJ63" s="765" t="s">
        <v>2367</v>
      </c>
      <c r="AL63" s="2069">
        <f>AI63*365</f>
        <v>617.78139642556505</v>
      </c>
      <c r="AM63" s="2070"/>
      <c r="AN63" s="2070"/>
    </row>
    <row r="64" spans="1:41" ht="14.4">
      <c r="A64" s="2038">
        <v>2010</v>
      </c>
      <c r="B64" s="2038" t="s">
        <v>2347</v>
      </c>
      <c r="C64" s="2039" t="s">
        <v>2364</v>
      </c>
      <c r="D64" s="2039" t="s">
        <v>2320</v>
      </c>
      <c r="E64" s="2039" t="s">
        <v>2309</v>
      </c>
      <c r="F64" s="2040">
        <v>8.2381565665201606E-5</v>
      </c>
      <c r="G64" s="2040">
        <v>2.15561018551607E-3</v>
      </c>
      <c r="H64" s="2040">
        <v>4.8957140099065901E-3</v>
      </c>
      <c r="I64" s="2040">
        <v>2.4998556661785201E-2</v>
      </c>
      <c r="J64" s="2041">
        <v>0.65673553656628103</v>
      </c>
      <c r="K64" s="2040">
        <v>1.4894061279594499</v>
      </c>
      <c r="L64" s="2040">
        <v>26.645140203320999</v>
      </c>
      <c r="M64" s="2040"/>
      <c r="N64" s="2040"/>
      <c r="O64" s="2040"/>
      <c r="P64" s="2039"/>
      <c r="Q64" s="2039"/>
      <c r="R64" s="2039"/>
      <c r="S64" s="2071" t="s">
        <v>2368</v>
      </c>
      <c r="T64" s="2065">
        <f>SUM(T60:T62)</f>
        <v>1384.9831446412172</v>
      </c>
      <c r="U64" s="2065">
        <f>SUM(U60:U62)</f>
        <v>1311.0142576634639</v>
      </c>
      <c r="V64" s="2065">
        <f>SUM(V60:V62)</f>
        <v>1320.950947688307</v>
      </c>
      <c r="W64" s="2039"/>
      <c r="X64" s="2039"/>
      <c r="Y64" s="2039"/>
      <c r="Z64" s="2039"/>
      <c r="AA64" s="2039"/>
      <c r="AB64" s="2039"/>
      <c r="AE64" s="765" t="s">
        <v>2369</v>
      </c>
      <c r="AI64" s="2068">
        <f>AJ57*AG57+AJ58*AG58+AJ59*AG59+AJ60*AG60+AJ61*AG61</f>
        <v>0.82422107103542053</v>
      </c>
      <c r="AJ64" s="765" t="s">
        <v>2370</v>
      </c>
      <c r="AK64" s="2072"/>
      <c r="AL64" s="2069">
        <f>AI64*365</f>
        <v>300.84069092792851</v>
      </c>
      <c r="AM64" s="2072"/>
      <c r="AN64" s="2072"/>
    </row>
    <row r="65" spans="1:42" ht="14.4">
      <c r="A65" s="2038">
        <v>2010</v>
      </c>
      <c r="B65" s="2038" t="s">
        <v>2347</v>
      </c>
      <c r="C65" s="2039" t="s">
        <v>2364</v>
      </c>
      <c r="D65" s="2039" t="s">
        <v>2358</v>
      </c>
      <c r="E65" s="2039" t="s">
        <v>399</v>
      </c>
      <c r="F65" s="2040">
        <v>425951.477316859</v>
      </c>
      <c r="G65" s="2040">
        <v>1385862.1328896901</v>
      </c>
      <c r="H65" s="2040">
        <v>6302805.5118608596</v>
      </c>
      <c r="I65" s="2040">
        <v>138841770.86277899</v>
      </c>
      <c r="J65" s="2041">
        <v>447422538.34166402</v>
      </c>
      <c r="K65" s="2040">
        <v>2042637000.80495</v>
      </c>
      <c r="L65" s="2040">
        <v>21.940743475643998</v>
      </c>
      <c r="M65" s="2040"/>
      <c r="N65" s="2040"/>
      <c r="O65" s="2040"/>
      <c r="P65" s="2039"/>
      <c r="Q65" s="2039"/>
      <c r="R65" s="2039"/>
      <c r="S65" s="2039"/>
      <c r="T65" s="2040">
        <f>SUM(T63:T64)</f>
        <v>2456.0037641370182</v>
      </c>
      <c r="U65" s="2040">
        <f>SUM(U63:U64)</f>
        <v>2400.1501104606491</v>
      </c>
      <c r="V65" s="2040">
        <f>SUM(V63:V64)</f>
        <v>2454.1203727843458</v>
      </c>
      <c r="W65" s="2039"/>
      <c r="X65" s="2039"/>
      <c r="Y65" s="2039"/>
      <c r="Z65" s="2039"/>
      <c r="AA65" s="2039"/>
      <c r="AB65" s="2039"/>
      <c r="AF65" s="2073"/>
      <c r="AG65" s="2073"/>
    </row>
    <row r="66" spans="1:42" ht="14.4">
      <c r="A66" s="2038">
        <v>2010</v>
      </c>
      <c r="B66" s="2038" t="s">
        <v>2347</v>
      </c>
      <c r="C66" s="2039" t="s">
        <v>2364</v>
      </c>
      <c r="D66" s="2039" t="s">
        <v>2358</v>
      </c>
      <c r="E66" s="2039" t="s">
        <v>2309</v>
      </c>
      <c r="F66" s="2040">
        <v>1.3196216905431201E-4</v>
      </c>
      <c r="G66" s="2040">
        <v>3.56590439217837E-3</v>
      </c>
      <c r="H66" s="2040">
        <v>8.0045852794391192E-3</v>
      </c>
      <c r="I66" s="2040">
        <v>4.3402040011187602E-2</v>
      </c>
      <c r="J66" s="2041">
        <v>1.1729849973527799</v>
      </c>
      <c r="K66" s="2040">
        <v>2.6329264129055399</v>
      </c>
      <c r="L66" s="2040">
        <v>26.784859102171101</v>
      </c>
      <c r="M66" s="2040"/>
      <c r="N66" s="2040"/>
      <c r="O66" s="2040"/>
      <c r="P66" s="2039"/>
      <c r="Q66" s="2039"/>
      <c r="R66" s="2039"/>
      <c r="S66" s="2039"/>
      <c r="T66" s="2039"/>
      <c r="U66" s="2039"/>
      <c r="V66" s="2039"/>
      <c r="W66" s="2039"/>
      <c r="X66" s="2039"/>
      <c r="Y66" s="2039"/>
      <c r="Z66" s="2039"/>
      <c r="AA66" s="2039"/>
      <c r="AB66" s="2039"/>
      <c r="AE66" s="754" t="s">
        <v>2371</v>
      </c>
      <c r="AF66" s="765"/>
      <c r="AG66" s="765"/>
      <c r="AK66" s="754">
        <v>4308597</v>
      </c>
    </row>
    <row r="67" spans="1:42" ht="14.4">
      <c r="A67" s="2038">
        <v>2010</v>
      </c>
      <c r="B67" s="2038" t="s">
        <v>2347</v>
      </c>
      <c r="C67" s="2039" t="s">
        <v>2364</v>
      </c>
      <c r="D67" s="2039" t="s">
        <v>2321</v>
      </c>
      <c r="E67" s="2039" t="s">
        <v>399</v>
      </c>
      <c r="F67" s="2040">
        <v>312187.06280050898</v>
      </c>
      <c r="G67" s="2040">
        <v>1961554.55593334</v>
      </c>
      <c r="H67" s="2040">
        <v>7248839.7378467601</v>
      </c>
      <c r="I67" s="2040">
        <v>100736579.233585</v>
      </c>
      <c r="J67" s="2041">
        <v>629993603.87183297</v>
      </c>
      <c r="K67" s="2040">
        <v>2332019574.8252802</v>
      </c>
      <c r="L67" s="2040">
        <v>22.218430703606298</v>
      </c>
      <c r="M67" s="2040"/>
      <c r="N67" s="2040"/>
      <c r="O67" s="2040"/>
      <c r="P67" s="2039"/>
      <c r="Q67" s="2039"/>
      <c r="R67" s="2042"/>
      <c r="S67" s="2043" t="s">
        <v>2372</v>
      </c>
      <c r="T67" s="2043"/>
      <c r="U67" s="2043"/>
      <c r="V67" s="2044"/>
      <c r="W67" s="2039"/>
      <c r="X67" s="2042"/>
      <c r="Y67" s="2043" t="s">
        <v>2372</v>
      </c>
      <c r="Z67" s="2043"/>
      <c r="AA67" s="2043"/>
      <c r="AB67" s="2044"/>
      <c r="AE67" s="754" t="s">
        <v>2373</v>
      </c>
      <c r="AF67" s="765"/>
      <c r="AG67" s="765"/>
      <c r="AH67" s="921"/>
    </row>
    <row r="68" spans="1:42" ht="14.4">
      <c r="A68" s="2038">
        <v>2010</v>
      </c>
      <c r="B68" s="2038" t="s">
        <v>2347</v>
      </c>
      <c r="C68" s="2039" t="s">
        <v>2364</v>
      </c>
      <c r="D68" s="2039" t="s">
        <v>2321</v>
      </c>
      <c r="E68" s="2039" t="s">
        <v>2309</v>
      </c>
      <c r="F68" s="2040">
        <v>28.249094540942799</v>
      </c>
      <c r="G68" s="2040">
        <v>986.04516677987101</v>
      </c>
      <c r="H68" s="2040">
        <v>2021.3513366449299</v>
      </c>
      <c r="I68" s="2040">
        <v>9717.22984156436</v>
      </c>
      <c r="J68" s="2041">
        <v>339183.60145622498</v>
      </c>
      <c r="K68" s="2040">
        <v>695312.14121858205</v>
      </c>
      <c r="L68" s="2040">
        <v>27.018692270515999</v>
      </c>
      <c r="M68" s="2040"/>
      <c r="N68" s="2040"/>
      <c r="O68" s="2040"/>
      <c r="P68" s="2039"/>
      <c r="Q68" s="2039"/>
      <c r="R68" s="2046"/>
      <c r="S68" s="2047"/>
      <c r="T68" s="2047">
        <v>2010</v>
      </c>
      <c r="U68" s="2047">
        <v>2020</v>
      </c>
      <c r="V68" s="2048">
        <v>2030</v>
      </c>
      <c r="W68" s="2039"/>
      <c r="X68" s="2046"/>
      <c r="Y68" s="2047"/>
      <c r="Z68" s="2047">
        <v>2010</v>
      </c>
      <c r="AA68" s="2047">
        <v>2020</v>
      </c>
      <c r="AB68" s="2048">
        <v>2030</v>
      </c>
      <c r="AF68" s="2070"/>
      <c r="AG68" s="2070"/>
      <c r="AH68" s="921"/>
    </row>
    <row r="69" spans="1:42" ht="14.4">
      <c r="A69" s="2038">
        <v>2010</v>
      </c>
      <c r="B69" s="2038" t="s">
        <v>2347</v>
      </c>
      <c r="C69" s="2039" t="s">
        <v>2364</v>
      </c>
      <c r="D69" s="2039" t="s">
        <v>2321</v>
      </c>
      <c r="E69" s="2039" t="s">
        <v>397</v>
      </c>
      <c r="F69" s="2040">
        <v>56.215635772380402</v>
      </c>
      <c r="G69" s="2040">
        <v>3295.5639970923498</v>
      </c>
      <c r="H69" s="2040">
        <v>6591.1279941847097</v>
      </c>
      <c r="I69" s="2040">
        <v>19534.9772068192</v>
      </c>
      <c r="J69" s="2041">
        <v>1150185.8272104</v>
      </c>
      <c r="K69" s="2040">
        <v>2300371.6544207898</v>
      </c>
      <c r="L69" s="2040">
        <v>30</v>
      </c>
      <c r="M69" s="2040"/>
      <c r="N69" s="2040"/>
      <c r="O69" s="2040"/>
      <c r="P69" s="2039"/>
      <c r="Q69" s="2039"/>
      <c r="R69" s="3156" t="s">
        <v>149</v>
      </c>
      <c r="S69" s="2047" t="s">
        <v>399</v>
      </c>
      <c r="T69" s="2052">
        <v>659.17271377790098</v>
      </c>
      <c r="U69" s="2052">
        <v>672.27279088119008</v>
      </c>
      <c r="V69" s="2052">
        <v>706.37925882497507</v>
      </c>
      <c r="W69" s="2039"/>
      <c r="X69" s="3156" t="s">
        <v>149</v>
      </c>
      <c r="Y69" s="2047" t="s">
        <v>399</v>
      </c>
      <c r="Z69" s="2052">
        <v>659172713.77790093</v>
      </c>
      <c r="AA69" s="2052">
        <v>672272790.88119006</v>
      </c>
      <c r="AB69" s="2053">
        <v>706379258.82497501</v>
      </c>
      <c r="AF69" s="2070"/>
      <c r="AG69" s="2070"/>
      <c r="AH69" s="921"/>
    </row>
    <row r="70" spans="1:42" ht="14.4">
      <c r="A70" s="2038">
        <v>2020</v>
      </c>
      <c r="B70" s="2038" t="s">
        <v>2347</v>
      </c>
      <c r="C70" s="2039" t="s">
        <v>2348</v>
      </c>
      <c r="D70" s="2039" t="s">
        <v>2320</v>
      </c>
      <c r="E70" s="2039" t="s">
        <v>399</v>
      </c>
      <c r="F70" s="2040">
        <v>839580.22272176703</v>
      </c>
      <c r="G70" s="2040">
        <v>1876734.5925319099</v>
      </c>
      <c r="H70" s="2040">
        <v>9125919.1415612008</v>
      </c>
      <c r="I70" s="2040">
        <v>277425454.19872802</v>
      </c>
      <c r="J70" s="2041">
        <v>599125399.38920701</v>
      </c>
      <c r="K70" s="2040">
        <v>2945587393.06809</v>
      </c>
      <c r="L70" s="2040">
        <v>20.137805102636001</v>
      </c>
      <c r="M70" s="2040"/>
      <c r="N70" s="2040"/>
      <c r="O70" s="2040"/>
      <c r="P70" s="2039"/>
      <c r="Q70" s="2039"/>
      <c r="R70" s="3156"/>
      <c r="S70" s="2047" t="s">
        <v>2309</v>
      </c>
      <c r="T70" s="2052">
        <v>0</v>
      </c>
      <c r="U70" s="2052">
        <v>0</v>
      </c>
      <c r="V70" s="2052">
        <v>0</v>
      </c>
      <c r="W70" s="2039"/>
      <c r="X70" s="3156"/>
      <c r="Y70" s="2047" t="s">
        <v>2309</v>
      </c>
      <c r="Z70" s="2052"/>
      <c r="AA70" s="2052"/>
      <c r="AB70" s="2053"/>
      <c r="AE70" s="754" t="s">
        <v>2374</v>
      </c>
      <c r="AF70" s="2070"/>
      <c r="AG70" s="2070"/>
      <c r="AH70" s="2072"/>
    </row>
    <row r="71" spans="1:42" ht="14.4">
      <c r="A71" s="2038">
        <v>2020</v>
      </c>
      <c r="B71" s="2038" t="s">
        <v>2347</v>
      </c>
      <c r="C71" s="2039" t="s">
        <v>2348</v>
      </c>
      <c r="D71" s="2039" t="s">
        <v>2320</v>
      </c>
      <c r="E71" s="2039" t="s">
        <v>2309</v>
      </c>
      <c r="F71" s="2040">
        <v>1.5388047114317501E-6</v>
      </c>
      <c r="G71" s="2040">
        <v>3.88150054955447E-5</v>
      </c>
      <c r="H71" s="2040">
        <v>8.9340168700072299E-5</v>
      </c>
      <c r="I71" s="2040">
        <v>5.0856544771704605E-4</v>
      </c>
      <c r="J71" s="2041">
        <v>1.28294078121091E-2</v>
      </c>
      <c r="K71" s="2040">
        <v>2.9528278639465399E-2</v>
      </c>
      <c r="L71" s="2040">
        <v>26.072351744550701</v>
      </c>
      <c r="M71" s="2040"/>
      <c r="N71" s="2040"/>
      <c r="O71" s="2040"/>
      <c r="P71" s="2039"/>
      <c r="Q71" s="2039"/>
      <c r="R71" s="3156"/>
      <c r="S71" s="2047" t="s">
        <v>397</v>
      </c>
      <c r="T71" s="2052">
        <v>0</v>
      </c>
      <c r="U71" s="2052">
        <v>0</v>
      </c>
      <c r="V71" s="2052">
        <v>0</v>
      </c>
      <c r="W71" s="2039"/>
      <c r="X71" s="3156"/>
      <c r="Y71" s="2047" t="s">
        <v>397</v>
      </c>
      <c r="Z71" s="2052"/>
      <c r="AA71" s="2052"/>
      <c r="AB71" s="2053"/>
      <c r="AE71" s="754" t="s">
        <v>2375</v>
      </c>
      <c r="AF71" s="2070"/>
      <c r="AG71" s="2070"/>
      <c r="AH71" s="2072"/>
    </row>
    <row r="72" spans="1:42" ht="14.4">
      <c r="A72" s="2038">
        <v>2020</v>
      </c>
      <c r="B72" s="2038" t="s">
        <v>2347</v>
      </c>
      <c r="C72" s="2039" t="s">
        <v>2348</v>
      </c>
      <c r="D72" s="2039" t="s">
        <v>2358</v>
      </c>
      <c r="E72" s="2039" t="s">
        <v>399</v>
      </c>
      <c r="F72" s="2040">
        <v>311046.76518980903</v>
      </c>
      <c r="G72" s="2040">
        <v>828223.52559793403</v>
      </c>
      <c r="H72" s="2040">
        <v>4035407.2908191001</v>
      </c>
      <c r="I72" s="2040">
        <v>102598632.855736</v>
      </c>
      <c r="J72" s="2041">
        <v>270192826.33100599</v>
      </c>
      <c r="K72" s="2040">
        <v>1322290509.8956599</v>
      </c>
      <c r="L72" s="2040">
        <v>22.601227666968999</v>
      </c>
      <c r="M72" s="2040"/>
      <c r="N72" s="2040"/>
      <c r="O72" s="2040"/>
      <c r="P72" s="2039"/>
      <c r="Q72" s="2039"/>
      <c r="R72" s="3163" t="s">
        <v>150</v>
      </c>
      <c r="S72" s="2060" t="s">
        <v>399</v>
      </c>
      <c r="T72" s="2061">
        <v>955.66623779438203</v>
      </c>
      <c r="U72" s="2061">
        <v>909.23244828358202</v>
      </c>
      <c r="V72" s="2062">
        <v>927.43674708639696</v>
      </c>
      <c r="W72" s="2039"/>
      <c r="X72" s="3163" t="s">
        <v>150</v>
      </c>
      <c r="Y72" s="2060" t="s">
        <v>399</v>
      </c>
      <c r="Z72" s="2061">
        <v>955666237.79438198</v>
      </c>
      <c r="AA72" s="2061">
        <v>909232448.28358197</v>
      </c>
      <c r="AB72" s="2062">
        <v>927436747.08639693</v>
      </c>
      <c r="AE72" s="754" t="s">
        <v>2376</v>
      </c>
      <c r="AF72" s="2070"/>
      <c r="AG72" s="2070"/>
      <c r="AH72" s="2072"/>
    </row>
    <row r="73" spans="1:42" ht="14.4">
      <c r="A73" s="2038">
        <v>2020</v>
      </c>
      <c r="B73" s="2038" t="s">
        <v>2347</v>
      </c>
      <c r="C73" s="2039" t="s">
        <v>2348</v>
      </c>
      <c r="D73" s="2039" t="s">
        <v>2358</v>
      </c>
      <c r="E73" s="2039" t="s">
        <v>2309</v>
      </c>
      <c r="F73" s="2040">
        <v>4.8074379038531797E-5</v>
      </c>
      <c r="G73" s="2040">
        <v>2.21360401092866E-3</v>
      </c>
      <c r="H73" s="2040">
        <v>4.44886322352588E-3</v>
      </c>
      <c r="I73" s="2040">
        <v>1.5821658824677301E-2</v>
      </c>
      <c r="J73" s="2041">
        <v>0.72792748170025301</v>
      </c>
      <c r="K73" s="2040">
        <v>1.4630398338781101</v>
      </c>
      <c r="L73" s="2040">
        <v>28.653928481319699</v>
      </c>
      <c r="M73" s="2040"/>
      <c r="N73" s="2040"/>
      <c r="O73" s="2040"/>
      <c r="P73" s="2039"/>
      <c r="Q73" s="2039"/>
      <c r="R73" s="3158"/>
      <c r="S73" s="2063" t="s">
        <v>2309</v>
      </c>
      <c r="T73" s="2052">
        <v>0</v>
      </c>
      <c r="U73" s="2052">
        <v>0</v>
      </c>
      <c r="V73" s="2053">
        <v>0</v>
      </c>
      <c r="W73" s="2039"/>
      <c r="X73" s="3158"/>
      <c r="Y73" s="2063" t="s">
        <v>2309</v>
      </c>
      <c r="Z73" s="2052"/>
      <c r="AA73" s="2052"/>
      <c r="AB73" s="2053"/>
      <c r="AF73" s="2070"/>
      <c r="AG73" s="2070"/>
      <c r="AH73" s="2072"/>
    </row>
    <row r="74" spans="1:42" ht="14.4">
      <c r="A74" s="2038">
        <v>2020</v>
      </c>
      <c r="B74" s="2038" t="s">
        <v>2347</v>
      </c>
      <c r="C74" s="2039" t="s">
        <v>2348</v>
      </c>
      <c r="D74" s="2039" t="s">
        <v>2358</v>
      </c>
      <c r="E74" s="2039" t="s">
        <v>397</v>
      </c>
      <c r="F74" s="2040">
        <v>501.14553626664002</v>
      </c>
      <c r="G74" s="2040">
        <v>28806.764266317499</v>
      </c>
      <c r="H74" s="2040">
        <v>57613.528532634999</v>
      </c>
      <c r="I74" s="2040">
        <v>151070.90192127399</v>
      </c>
      <c r="J74" s="2041">
        <v>8700023.6025293395</v>
      </c>
      <c r="K74" s="2040">
        <v>17400047.205058701</v>
      </c>
      <c r="L74" s="2040">
        <v>30</v>
      </c>
      <c r="M74" s="2040"/>
      <c r="N74" s="2040"/>
      <c r="O74" s="2040"/>
      <c r="P74" s="2039"/>
      <c r="Q74" s="2039"/>
      <c r="R74" s="3159"/>
      <c r="S74" s="2064" t="s">
        <v>397</v>
      </c>
      <c r="T74" s="2065">
        <v>0</v>
      </c>
      <c r="U74" s="2065">
        <v>0</v>
      </c>
      <c r="V74" s="2066">
        <v>0</v>
      </c>
      <c r="W74" s="2039"/>
      <c r="X74" s="3159"/>
      <c r="Y74" s="2064" t="s">
        <v>397</v>
      </c>
      <c r="Z74" s="2065"/>
      <c r="AA74" s="2065"/>
      <c r="AB74" s="2066"/>
      <c r="AE74" s="754" t="s">
        <v>2377</v>
      </c>
      <c r="AF74" s="2070"/>
      <c r="AG74" s="2070"/>
      <c r="AH74" s="2072"/>
      <c r="AO74" s="548">
        <f>2.913425*2</f>
        <v>5.8268500000000003</v>
      </c>
      <c r="AP74" s="754" t="s">
        <v>314</v>
      </c>
    </row>
    <row r="75" spans="1:42" ht="14.4">
      <c r="A75" s="2038">
        <v>2020</v>
      </c>
      <c r="B75" s="2038" t="s">
        <v>2347</v>
      </c>
      <c r="C75" s="2039" t="s">
        <v>2348</v>
      </c>
      <c r="D75" s="2039" t="s">
        <v>2321</v>
      </c>
      <c r="E75" s="2039" t="s">
        <v>399</v>
      </c>
      <c r="F75" s="2040">
        <v>120571.664282631</v>
      </c>
      <c r="G75" s="2040">
        <v>621060.72670756199</v>
      </c>
      <c r="H75" s="2040">
        <v>2443520.8107939698</v>
      </c>
      <c r="I75" s="2040">
        <v>39484227.524390303</v>
      </c>
      <c r="J75" s="2041">
        <v>201967655.37834701</v>
      </c>
      <c r="K75" s="2040">
        <v>796754770.29956198</v>
      </c>
      <c r="L75" s="2040">
        <v>22.4127177526738</v>
      </c>
      <c r="M75" s="2040"/>
      <c r="N75" s="2040"/>
      <c r="O75" s="2040"/>
      <c r="P75" s="2039"/>
      <c r="Q75" s="2039"/>
      <c r="R75" s="2039"/>
      <c r="S75" s="2067" t="s">
        <v>2365</v>
      </c>
      <c r="T75" s="2061">
        <f>SUM(T69:T71)</f>
        <v>659.17271377790098</v>
      </c>
      <c r="U75" s="2061">
        <f>SUM(U69:U71)</f>
        <v>672.27279088119008</v>
      </c>
      <c r="V75" s="2061">
        <f>SUM(V69:V71)</f>
        <v>706.37925882497507</v>
      </c>
      <c r="W75" s="2039"/>
      <c r="X75" s="2039"/>
      <c r="Y75" s="2039"/>
      <c r="Z75" s="2039"/>
      <c r="AA75" s="2039"/>
      <c r="AB75" s="2039"/>
      <c r="AE75" s="754" t="s">
        <v>2378</v>
      </c>
      <c r="AF75" s="2070"/>
      <c r="AG75" s="2070"/>
      <c r="AH75" s="2072"/>
      <c r="AO75" s="548">
        <v>0.96902600000000005</v>
      </c>
      <c r="AP75" s="754" t="s">
        <v>314</v>
      </c>
    </row>
    <row r="76" spans="1:42" ht="14.4">
      <c r="A76" s="2038">
        <v>2020</v>
      </c>
      <c r="B76" s="2038" t="s">
        <v>2347</v>
      </c>
      <c r="C76" s="2039" t="s">
        <v>2348</v>
      </c>
      <c r="D76" s="2039" t="s">
        <v>2321</v>
      </c>
      <c r="E76" s="2039" t="s">
        <v>2309</v>
      </c>
      <c r="F76" s="2040">
        <v>39.096575502503597</v>
      </c>
      <c r="G76" s="2040">
        <v>1524.47734250441</v>
      </c>
      <c r="H76" s="2040">
        <v>3137.0456826412501</v>
      </c>
      <c r="I76" s="2040">
        <v>12941.7471737214</v>
      </c>
      <c r="J76" s="2041">
        <v>502942.20453385502</v>
      </c>
      <c r="K76" s="2040">
        <v>1035424.96758023</v>
      </c>
      <c r="L76" s="2040">
        <v>28.443719984351699</v>
      </c>
      <c r="M76" s="2040"/>
      <c r="N76" s="2040"/>
      <c r="O76" s="2040"/>
      <c r="P76" s="2039"/>
      <c r="Q76" s="2039"/>
      <c r="R76" s="2039"/>
      <c r="S76" s="2071" t="s">
        <v>2368</v>
      </c>
      <c r="T76" s="2065">
        <f>SUM(T72:T74)</f>
        <v>955.66623779438203</v>
      </c>
      <c r="U76" s="2065">
        <f>SUM(U72:U74)</f>
        <v>909.23244828358202</v>
      </c>
      <c r="V76" s="2065">
        <f>SUM(V72:V74)</f>
        <v>927.43674708639696</v>
      </c>
      <c r="W76" s="2039"/>
      <c r="X76" s="2039"/>
      <c r="Y76" s="2039"/>
      <c r="Z76" s="2039"/>
      <c r="AA76" s="2039"/>
      <c r="AB76" s="2039"/>
      <c r="AF76" s="2070"/>
      <c r="AG76" s="2070"/>
      <c r="AH76" s="2072"/>
    </row>
    <row r="77" spans="1:42" ht="14.4">
      <c r="A77" s="2038">
        <v>2020</v>
      </c>
      <c r="B77" s="2038" t="s">
        <v>2347</v>
      </c>
      <c r="C77" s="2039" t="s">
        <v>2348</v>
      </c>
      <c r="D77" s="2039" t="s">
        <v>2321</v>
      </c>
      <c r="E77" s="2039" t="s">
        <v>397</v>
      </c>
      <c r="F77" s="2040">
        <v>495.47815044886602</v>
      </c>
      <c r="G77" s="2040">
        <v>28498.9491754767</v>
      </c>
      <c r="H77" s="2040">
        <v>56997.898350953299</v>
      </c>
      <c r="I77" s="2040">
        <v>150012.53123378701</v>
      </c>
      <c r="J77" s="2041">
        <v>8647005.1508052591</v>
      </c>
      <c r="K77" s="2040">
        <v>17294010.3016105</v>
      </c>
      <c r="L77" s="2040">
        <v>30</v>
      </c>
      <c r="M77" s="2040"/>
      <c r="N77" s="2040"/>
      <c r="O77" s="2040"/>
      <c r="P77" s="2039"/>
      <c r="Q77" s="2039"/>
      <c r="R77" s="2039"/>
      <c r="S77" s="2039"/>
      <c r="T77" s="2040">
        <f>SUM(T75:T76)</f>
        <v>1614.8389515722829</v>
      </c>
      <c r="U77" s="2040">
        <f>SUM(U75:U76)</f>
        <v>1581.5052391647721</v>
      </c>
      <c r="V77" s="2040">
        <f>SUM(V75:V76)</f>
        <v>1633.816005911372</v>
      </c>
      <c r="W77" s="2039"/>
      <c r="X77" s="2039"/>
      <c r="Y77" s="2039"/>
      <c r="Z77" s="2039"/>
      <c r="AA77" s="2039"/>
      <c r="AB77" s="2039"/>
      <c r="AE77" s="754" t="s">
        <v>2379</v>
      </c>
      <c r="AF77" s="2070"/>
      <c r="AG77" s="2070"/>
      <c r="AH77" s="2072"/>
    </row>
    <row r="78" spans="1:42" ht="14.4">
      <c r="A78" s="2038">
        <v>2020</v>
      </c>
      <c r="B78" s="2038" t="s">
        <v>2347</v>
      </c>
      <c r="C78" s="2039" t="s">
        <v>2364</v>
      </c>
      <c r="D78" s="2039" t="s">
        <v>2320</v>
      </c>
      <c r="E78" s="2039" t="s">
        <v>399</v>
      </c>
      <c r="F78" s="2040">
        <v>358864.99152101699</v>
      </c>
      <c r="G78" s="2040">
        <v>1004593.98528707</v>
      </c>
      <c r="H78" s="2040">
        <v>4748034.68451453</v>
      </c>
      <c r="I78" s="2040">
        <v>117154388.549593</v>
      </c>
      <c r="J78" s="2041">
        <v>324016052.07356298</v>
      </c>
      <c r="K78" s="2040">
        <v>1537827204.3643701</v>
      </c>
      <c r="L78" s="2040">
        <v>20.324557141558898</v>
      </c>
      <c r="M78" s="2040"/>
      <c r="N78" s="2040"/>
      <c r="O78" s="2040"/>
      <c r="P78" s="2039"/>
      <c r="Q78" s="2039"/>
      <c r="R78" s="2039"/>
      <c r="S78" s="2039"/>
      <c r="T78" s="2039"/>
      <c r="U78" s="2039"/>
      <c r="V78" s="2039"/>
      <c r="W78" s="2074">
        <v>1000000</v>
      </c>
      <c r="X78" s="2039"/>
      <c r="Y78" s="2039"/>
      <c r="Z78" s="2039"/>
      <c r="AA78" s="2039"/>
      <c r="AB78" s="2039"/>
      <c r="AE78" s="754" t="s">
        <v>2380</v>
      </c>
      <c r="AF78" s="2070" t="s">
        <v>2381</v>
      </c>
      <c r="AG78" s="2070">
        <v>5</v>
      </c>
      <c r="AH78" s="2070">
        <v>5</v>
      </c>
      <c r="AI78" s="2070">
        <v>5</v>
      </c>
      <c r="AJ78" s="2070">
        <v>5</v>
      </c>
      <c r="AK78" s="2070">
        <v>5</v>
      </c>
      <c r="AL78" s="2070">
        <v>5</v>
      </c>
    </row>
    <row r="79" spans="1:42" ht="14.4">
      <c r="A79" s="2038">
        <v>2020</v>
      </c>
      <c r="B79" s="2038" t="s">
        <v>2347</v>
      </c>
      <c r="C79" s="2039" t="s">
        <v>2364</v>
      </c>
      <c r="D79" s="2039" t="s">
        <v>2320</v>
      </c>
      <c r="E79" s="2039" t="s">
        <v>2309</v>
      </c>
      <c r="F79" s="2040">
        <v>7.2340493636247101E-5</v>
      </c>
      <c r="G79" s="2040">
        <v>1.89531912025855E-3</v>
      </c>
      <c r="H79" s="2040">
        <v>4.3025603073563899E-3</v>
      </c>
      <c r="I79" s="2040">
        <v>2.22210109766365E-2</v>
      </c>
      <c r="J79" s="2041">
        <v>0.58449261555239096</v>
      </c>
      <c r="K79" s="2040">
        <v>1.32497752954902</v>
      </c>
      <c r="L79" s="2040">
        <v>26.645140203320999</v>
      </c>
      <c r="M79" s="2040"/>
      <c r="N79" s="2040"/>
      <c r="O79" s="2040"/>
      <c r="P79" s="2039"/>
      <c r="Q79" s="2039"/>
      <c r="R79" s="2039"/>
      <c r="S79" s="2039"/>
      <c r="T79" s="2040"/>
      <c r="U79" s="2039"/>
      <c r="V79" s="2039"/>
      <c r="W79" s="2039"/>
      <c r="X79" s="2039"/>
      <c r="Y79" s="2039"/>
      <c r="Z79" s="2039"/>
      <c r="AA79" s="2039"/>
      <c r="AB79" s="2039"/>
      <c r="AE79" s="754" t="s">
        <v>2382</v>
      </c>
      <c r="AF79" s="2070" t="s">
        <v>2383</v>
      </c>
      <c r="AG79" s="2070">
        <v>1.0000000000000001E-5</v>
      </c>
      <c r="AH79" s="2070">
        <v>1.0000000000000001E-5</v>
      </c>
      <c r="AI79" s="2070">
        <v>1.0000000000000001E-5</v>
      </c>
      <c r="AJ79" s="2070">
        <v>1.0000000000000001E-5</v>
      </c>
      <c r="AK79" s="2070">
        <v>1.0000000000000001E-5</v>
      </c>
      <c r="AL79" s="2070">
        <v>1.0000000000000001E-5</v>
      </c>
    </row>
    <row r="80" spans="1:42" ht="14.4">
      <c r="A80" s="2038">
        <v>2020</v>
      </c>
      <c r="B80" s="2038" t="s">
        <v>2347</v>
      </c>
      <c r="C80" s="2039" t="s">
        <v>2364</v>
      </c>
      <c r="D80" s="2039" t="s">
        <v>2358</v>
      </c>
      <c r="E80" s="2039" t="s">
        <v>399</v>
      </c>
      <c r="F80" s="2040">
        <v>399463.72303582297</v>
      </c>
      <c r="G80" s="2040">
        <v>1287007.8197236201</v>
      </c>
      <c r="H80" s="2040">
        <v>5875674.9522652104</v>
      </c>
      <c r="I80" s="2040">
        <v>131319034.640044</v>
      </c>
      <c r="J80" s="2041">
        <v>419093055.85157001</v>
      </c>
      <c r="K80" s="2040">
        <v>1920646715.5727899</v>
      </c>
      <c r="L80" s="2040">
        <v>21.940743475643998</v>
      </c>
      <c r="M80" s="2040"/>
      <c r="N80" s="2040"/>
      <c r="O80" s="2040"/>
      <c r="P80" s="2039"/>
      <c r="Q80" s="2039"/>
      <c r="R80" s="2039"/>
      <c r="S80" s="2039"/>
      <c r="T80" s="2039"/>
      <c r="U80" s="2039"/>
      <c r="V80" s="2039"/>
      <c r="W80" s="2039"/>
      <c r="X80" s="2039"/>
      <c r="Y80" s="2039"/>
      <c r="Z80" s="2039"/>
      <c r="AA80" s="2039"/>
      <c r="AB80" s="2039"/>
      <c r="AE80" s="754" t="s">
        <v>2384</v>
      </c>
      <c r="AF80" s="754" t="s">
        <v>2385</v>
      </c>
      <c r="AG80" s="754">
        <v>8</v>
      </c>
      <c r="AH80" s="754">
        <v>8</v>
      </c>
      <c r="AI80" s="754">
        <v>8</v>
      </c>
      <c r="AJ80" s="754">
        <v>8</v>
      </c>
      <c r="AK80" s="754">
        <v>8</v>
      </c>
      <c r="AL80" s="754">
        <v>8</v>
      </c>
    </row>
    <row r="81" spans="1:38" ht="14.4">
      <c r="A81" s="2038">
        <v>2020</v>
      </c>
      <c r="B81" s="2038" t="s">
        <v>2347</v>
      </c>
      <c r="C81" s="2039" t="s">
        <v>2364</v>
      </c>
      <c r="D81" s="2039" t="s">
        <v>2358</v>
      </c>
      <c r="E81" s="2039" t="s">
        <v>2309</v>
      </c>
      <c r="F81" s="2040">
        <v>1.1585716426676399E-4</v>
      </c>
      <c r="G81" s="2040">
        <v>3.1236812770650498E-3</v>
      </c>
      <c r="H81" s="2040">
        <v>7.0182984471127002E-3</v>
      </c>
      <c r="I81" s="2040">
        <v>3.8428690080308997E-2</v>
      </c>
      <c r="J81" s="2041">
        <v>1.0362533128232201</v>
      </c>
      <c r="K81" s="2040">
        <v>2.3281234774038801</v>
      </c>
      <c r="L81" s="2040">
        <v>26.784859102171101</v>
      </c>
      <c r="M81" s="2040"/>
      <c r="N81" s="2040"/>
      <c r="O81" s="2040"/>
      <c r="P81" s="2039"/>
      <c r="Q81" s="2039"/>
      <c r="R81" s="2039"/>
      <c r="S81" s="2039"/>
      <c r="T81" s="2039"/>
      <c r="U81" s="2039"/>
      <c r="V81" s="2039"/>
      <c r="W81" s="2039"/>
      <c r="X81" s="2039"/>
      <c r="Y81" s="2039"/>
      <c r="Z81" s="2039"/>
      <c r="AA81" s="2039"/>
      <c r="AB81" s="2039"/>
      <c r="AE81" s="754" t="s">
        <v>533</v>
      </c>
      <c r="AF81" s="2070" t="s">
        <v>314</v>
      </c>
      <c r="AG81" s="754">
        <v>618</v>
      </c>
      <c r="AH81" s="754">
        <f>618/0.9</f>
        <v>686.66666666666663</v>
      </c>
      <c r="AI81" s="754">
        <f>618/0.9/0.7</f>
        <v>980.95238095238096</v>
      </c>
      <c r="AJ81" s="304">
        <f>618/0.9/0.5</f>
        <v>1373.3333333333333</v>
      </c>
      <c r="AK81" s="754">
        <f>618/0.9/0.3</f>
        <v>2288.8888888888887</v>
      </c>
      <c r="AL81" s="754">
        <v>2127</v>
      </c>
    </row>
    <row r="82" spans="1:38" ht="14.4">
      <c r="A82" s="2038">
        <v>2020</v>
      </c>
      <c r="B82" s="2038" t="s">
        <v>2347</v>
      </c>
      <c r="C82" s="2039" t="s">
        <v>2364</v>
      </c>
      <c r="D82" s="2039" t="s">
        <v>2321</v>
      </c>
      <c r="E82" s="2039" t="s">
        <v>399</v>
      </c>
      <c r="F82" s="2040">
        <v>281183.20701954002</v>
      </c>
      <c r="G82" s="2040">
        <v>1751823.05882607</v>
      </c>
      <c r="H82" s="2040">
        <v>6490758.8488055198</v>
      </c>
      <c r="I82" s="2040">
        <v>91367226.011902198</v>
      </c>
      <c r="J82" s="2041">
        <v>566456112.67522895</v>
      </c>
      <c r="K82" s="2040">
        <v>2102434034.68678</v>
      </c>
      <c r="L82" s="2040">
        <v>22.218430703606298</v>
      </c>
      <c r="M82" s="2040"/>
      <c r="N82" s="2040"/>
      <c r="O82" s="2040"/>
      <c r="P82" s="2039"/>
      <c r="Q82" s="2039"/>
      <c r="R82" s="2039"/>
      <c r="S82" s="2039"/>
      <c r="T82" s="2039"/>
      <c r="U82" s="2039"/>
      <c r="V82" s="2039"/>
      <c r="W82" s="2039"/>
      <c r="X82" s="2039"/>
      <c r="Y82" s="2039"/>
      <c r="Z82" s="2039"/>
      <c r="AA82" s="2039"/>
      <c r="AB82" s="2039"/>
      <c r="AE82" s="754" t="s">
        <v>2386</v>
      </c>
      <c r="AF82" s="2070" t="s">
        <v>2387</v>
      </c>
      <c r="AG82" s="754">
        <v>1</v>
      </c>
      <c r="AH82" s="754">
        <v>1</v>
      </c>
      <c r="AI82" s="754">
        <v>1</v>
      </c>
      <c r="AJ82" s="754">
        <v>1</v>
      </c>
      <c r="AK82" s="754">
        <v>1</v>
      </c>
      <c r="AL82" s="754">
        <v>1</v>
      </c>
    </row>
    <row r="83" spans="1:38" ht="14.4">
      <c r="A83" s="2038">
        <v>2020</v>
      </c>
      <c r="B83" s="2038" t="s">
        <v>2347</v>
      </c>
      <c r="C83" s="2039" t="s">
        <v>2364</v>
      </c>
      <c r="D83" s="2039" t="s">
        <v>2321</v>
      </c>
      <c r="E83" s="2039" t="s">
        <v>2309</v>
      </c>
      <c r="F83" s="2040">
        <v>25.698333146090899</v>
      </c>
      <c r="G83" s="2040">
        <v>897.01001657596998</v>
      </c>
      <c r="H83" s="2040">
        <v>1838.8329200308499</v>
      </c>
      <c r="I83" s="2040">
        <v>8946.6848505504695</v>
      </c>
      <c r="J83" s="2041">
        <v>312287.47920084099</v>
      </c>
      <c r="K83" s="2040">
        <v>640176.19082055998</v>
      </c>
      <c r="L83" s="2040">
        <v>27.018692270515999</v>
      </c>
      <c r="M83" s="2040"/>
      <c r="N83" s="2040"/>
      <c r="O83" s="2040"/>
      <c r="P83" s="2039"/>
      <c r="Q83" s="2039"/>
      <c r="R83" s="2039"/>
      <c r="S83" s="2039"/>
      <c r="T83" s="2039"/>
      <c r="U83" s="2039"/>
      <c r="V83" s="2039"/>
      <c r="W83" s="2039"/>
      <c r="X83" s="2039"/>
      <c r="Y83" s="2039"/>
      <c r="Z83" s="2039"/>
      <c r="AA83" s="2039"/>
      <c r="AB83" s="2039"/>
      <c r="AF83" s="2070" t="s">
        <v>2388</v>
      </c>
      <c r="AG83" s="2075">
        <f t="shared" ref="AG83:AL83" si="3">(PMT(0.04,AG80,AG78)/(-AG81*AG82)+(AG79/AG82))*1000</f>
        <v>1.2116814890510752</v>
      </c>
      <c r="AH83" s="2075">
        <f t="shared" si="3"/>
        <v>1.091513340145968</v>
      </c>
      <c r="AI83" s="2075">
        <f t="shared" si="3"/>
        <v>0.76705933810217752</v>
      </c>
      <c r="AJ83" s="2075">
        <f t="shared" si="3"/>
        <v>0.55075667007298401</v>
      </c>
      <c r="AK83" s="2075">
        <f t="shared" si="3"/>
        <v>0.33445400204379039</v>
      </c>
      <c r="AL83" s="2075">
        <f t="shared" si="3"/>
        <v>0.35914864138860586</v>
      </c>
    </row>
    <row r="84" spans="1:38" ht="14.4">
      <c r="A84" s="2038">
        <v>2020</v>
      </c>
      <c r="B84" s="2038" t="s">
        <v>2347</v>
      </c>
      <c r="C84" s="2039" t="s">
        <v>2364</v>
      </c>
      <c r="D84" s="2039" t="s">
        <v>2321</v>
      </c>
      <c r="E84" s="2039" t="s">
        <v>397</v>
      </c>
      <c r="F84" s="2040">
        <v>55.580472288371602</v>
      </c>
      <c r="G84" s="2040">
        <v>3257.298245982</v>
      </c>
      <c r="H84" s="2040">
        <v>6514.5964919640101</v>
      </c>
      <c r="I84" s="2040">
        <v>19312.382659837702</v>
      </c>
      <c r="J84" s="2041">
        <v>1136747.96315538</v>
      </c>
      <c r="K84" s="2040">
        <v>2273495.92631076</v>
      </c>
      <c r="L84" s="2040">
        <v>30</v>
      </c>
      <c r="M84" s="2040"/>
      <c r="N84" s="2040"/>
      <c r="O84" s="2040"/>
      <c r="P84" s="2039"/>
      <c r="Q84" s="2039"/>
      <c r="R84" s="2039"/>
      <c r="S84" s="2039"/>
      <c r="T84" s="2039"/>
      <c r="U84" s="2039"/>
      <c r="V84" s="2039"/>
      <c r="W84" s="2039"/>
      <c r="X84" s="2039"/>
      <c r="Y84" s="2039"/>
      <c r="Z84" s="2039"/>
      <c r="AA84" s="2039"/>
      <c r="AB84" s="2039"/>
      <c r="AF84" s="2070" t="s">
        <v>1452</v>
      </c>
      <c r="AG84" s="12">
        <f t="shared" ref="AG84:AL84" si="4">AG81/365</f>
        <v>1.6931506849315068</v>
      </c>
      <c r="AH84" s="12">
        <f t="shared" si="4"/>
        <v>1.8812785388127853</v>
      </c>
      <c r="AI84" s="12">
        <f t="shared" si="4"/>
        <v>2.6875407697325504</v>
      </c>
      <c r="AJ84" s="12">
        <f t="shared" si="4"/>
        <v>3.7625570776255706</v>
      </c>
      <c r="AK84" s="12">
        <f t="shared" si="4"/>
        <v>6.2709284627092838</v>
      </c>
      <c r="AL84" s="12">
        <f t="shared" si="4"/>
        <v>5.8273972602739725</v>
      </c>
    </row>
    <row r="85" spans="1:38" ht="14.4">
      <c r="A85" s="2038">
        <v>2030</v>
      </c>
      <c r="B85" s="2038" t="s">
        <v>2347</v>
      </c>
      <c r="C85" s="2039" t="s">
        <v>2348</v>
      </c>
      <c r="D85" s="2039" t="s">
        <v>2320</v>
      </c>
      <c r="E85" s="2039" t="s">
        <v>399</v>
      </c>
      <c r="F85" s="2040">
        <v>927844.03498112306</v>
      </c>
      <c r="G85" s="2040">
        <v>2057821.4984909999</v>
      </c>
      <c r="H85" s="2040">
        <v>10028677.208187601</v>
      </c>
      <c r="I85" s="2040">
        <v>307268167.14813799</v>
      </c>
      <c r="J85" s="2041">
        <v>659373281.804021</v>
      </c>
      <c r="K85" s="2040">
        <v>3247481205.7458501</v>
      </c>
      <c r="L85" s="2040">
        <v>20.137805102636101</v>
      </c>
      <c r="M85" s="2040"/>
      <c r="N85" s="2040"/>
      <c r="O85" s="2040"/>
      <c r="P85" s="2039"/>
      <c r="Q85" s="2039"/>
      <c r="R85" s="2039"/>
      <c r="S85" s="2039"/>
      <c r="T85" s="2039"/>
      <c r="U85" s="2039"/>
      <c r="V85" s="2039"/>
      <c r="W85" s="2039"/>
      <c r="X85" s="2039"/>
      <c r="Y85" s="2039"/>
      <c r="Z85" s="2039"/>
      <c r="AA85" s="2039"/>
      <c r="AB85" s="2039"/>
    </row>
    <row r="86" spans="1:38" ht="14.4">
      <c r="A86" s="2038">
        <v>2030</v>
      </c>
      <c r="B86" s="2038" t="s">
        <v>2347</v>
      </c>
      <c r="C86" s="2039" t="s">
        <v>2348</v>
      </c>
      <c r="D86" s="2039" t="s">
        <v>2320</v>
      </c>
      <c r="E86" s="2039" t="s">
        <v>2309</v>
      </c>
      <c r="F86" s="2040">
        <v>1.6242166416269299E-6</v>
      </c>
      <c r="G86" s="2040">
        <v>4.0970276816277497E-5</v>
      </c>
      <c r="H86" s="2040">
        <v>9.4300253874934694E-5</v>
      </c>
      <c r="I86" s="2040">
        <v>5.4054289086025197E-4</v>
      </c>
      <c r="J86" s="2041">
        <v>1.36362044369114E-2</v>
      </c>
      <c r="K86" s="2040">
        <v>3.1385116003796197E-2</v>
      </c>
      <c r="L86" s="2040">
        <v>26.072351744550701</v>
      </c>
      <c r="M86" s="2040"/>
      <c r="N86" s="2040"/>
      <c r="O86" s="2040"/>
    </row>
    <row r="87" spans="1:38" ht="14.4">
      <c r="A87" s="2038">
        <v>2030</v>
      </c>
      <c r="B87" s="2038" t="s">
        <v>2347</v>
      </c>
      <c r="C87" s="2039" t="s">
        <v>2348</v>
      </c>
      <c r="D87" s="2039" t="s">
        <v>2358</v>
      </c>
      <c r="E87" s="2039" t="s">
        <v>399</v>
      </c>
      <c r="F87" s="2040">
        <v>305383.56160175899</v>
      </c>
      <c r="G87" s="2040">
        <v>807529.44560131698</v>
      </c>
      <c r="H87" s="2040">
        <v>3945557.3315554601</v>
      </c>
      <c r="I87" s="2040">
        <v>101364884.234349</v>
      </c>
      <c r="J87" s="2041">
        <v>265278911.84987801</v>
      </c>
      <c r="K87" s="2040">
        <v>1301504246.3657401</v>
      </c>
      <c r="L87" s="2040">
        <v>22.601227666969098</v>
      </c>
      <c r="M87" s="2040"/>
      <c r="N87" s="2040"/>
      <c r="O87" s="2040"/>
      <c r="Q87" s="170"/>
    </row>
    <row r="88" spans="1:38" ht="14.4">
      <c r="A88" s="2038">
        <v>2030</v>
      </c>
      <c r="B88" s="2038" t="s">
        <v>2347</v>
      </c>
      <c r="C88" s="2039" t="s">
        <v>2348</v>
      </c>
      <c r="D88" s="2039" t="s">
        <v>2358</v>
      </c>
      <c r="E88" s="2039" t="s">
        <v>2309</v>
      </c>
      <c r="F88" s="2040">
        <v>4.7872851470565101E-5</v>
      </c>
      <c r="G88" s="2040">
        <v>2.2064084958494001E-3</v>
      </c>
      <c r="H88" s="2040">
        <v>4.4336661403563899E-3</v>
      </c>
      <c r="I88" s="2040">
        <v>1.5772888330673099E-2</v>
      </c>
      <c r="J88" s="2041">
        <v>0.726184477887589</v>
      </c>
      <c r="K88" s="2040">
        <v>1.45935928542213</v>
      </c>
      <c r="L88" s="2040">
        <v>28.653928481319699</v>
      </c>
      <c r="M88" s="2040"/>
      <c r="N88" s="2040"/>
      <c r="O88" s="2040"/>
    </row>
    <row r="89" spans="1:38" ht="14.4">
      <c r="A89" s="2038">
        <v>2030</v>
      </c>
      <c r="B89" s="2038" t="s">
        <v>2347</v>
      </c>
      <c r="C89" s="2039" t="s">
        <v>2348</v>
      </c>
      <c r="D89" s="2039" t="s">
        <v>2358</v>
      </c>
      <c r="E89" s="2039" t="s">
        <v>397</v>
      </c>
      <c r="F89" s="2040">
        <v>497.62746954595002</v>
      </c>
      <c r="G89" s="2040">
        <v>28605.084240350199</v>
      </c>
      <c r="H89" s="2040">
        <v>57210.1684807005</v>
      </c>
      <c r="I89" s="2040">
        <v>150210.33299827401</v>
      </c>
      <c r="J89" s="2041">
        <v>8650572.9429873191</v>
      </c>
      <c r="K89" s="2040">
        <v>17301145.885974601</v>
      </c>
      <c r="L89" s="2040">
        <v>30</v>
      </c>
      <c r="M89" s="2040"/>
      <c r="N89" s="2040"/>
      <c r="O89" s="2040"/>
    </row>
    <row r="90" spans="1:38" ht="14.4">
      <c r="A90" s="2038">
        <v>2030</v>
      </c>
      <c r="B90" s="2038" t="s">
        <v>2347</v>
      </c>
      <c r="C90" s="2039" t="s">
        <v>2348</v>
      </c>
      <c r="D90" s="2039" t="s">
        <v>2321</v>
      </c>
      <c r="E90" s="2039" t="s">
        <v>399</v>
      </c>
      <c r="F90" s="2040">
        <v>114305.02649489501</v>
      </c>
      <c r="G90" s="2040">
        <v>582819.90145992697</v>
      </c>
      <c r="H90" s="2040">
        <v>2300542.42223224</v>
      </c>
      <c r="I90" s="2040">
        <v>37678507.0709261</v>
      </c>
      <c r="J90" s="2041">
        <v>190922574.439228</v>
      </c>
      <c r="K90" s="2040">
        <v>755462348.49221897</v>
      </c>
      <c r="L90" s="2040">
        <v>22.4127177526738</v>
      </c>
      <c r="M90" s="2040"/>
      <c r="N90" s="2040"/>
      <c r="O90" s="2040"/>
    </row>
    <row r="91" spans="1:38" ht="14.4">
      <c r="A91" s="2038">
        <v>2030</v>
      </c>
      <c r="B91" s="2038" t="s">
        <v>2347</v>
      </c>
      <c r="C91" s="2039" t="s">
        <v>2348</v>
      </c>
      <c r="D91" s="2039" t="s">
        <v>2321</v>
      </c>
      <c r="E91" s="2039" t="s">
        <v>2309</v>
      </c>
      <c r="F91" s="2040">
        <v>36.930440651343297</v>
      </c>
      <c r="G91" s="2040">
        <v>1452.06189727787</v>
      </c>
      <c r="H91" s="2040">
        <v>2984.6206932432001</v>
      </c>
      <c r="I91" s="2040">
        <v>12261.542854806399</v>
      </c>
      <c r="J91" s="2041">
        <v>480237.64376050298</v>
      </c>
      <c r="K91" s="2040">
        <v>987623.24740170105</v>
      </c>
      <c r="L91" s="2040">
        <v>28.443719984351699</v>
      </c>
      <c r="M91" s="2040"/>
      <c r="N91" s="2040"/>
      <c r="O91" s="2040"/>
    </row>
    <row r="92" spans="1:38" ht="14.4">
      <c r="A92" s="2038">
        <v>2030</v>
      </c>
      <c r="B92" s="2038" t="s">
        <v>2347</v>
      </c>
      <c r="C92" s="2039" t="s">
        <v>2348</v>
      </c>
      <c r="D92" s="2039" t="s">
        <v>2321</v>
      </c>
      <c r="E92" s="2039" t="s">
        <v>397</v>
      </c>
      <c r="F92" s="2040">
        <v>483.29712262550402</v>
      </c>
      <c r="G92" s="2040">
        <v>27808.283642394599</v>
      </c>
      <c r="H92" s="2040">
        <v>55616.567284789096</v>
      </c>
      <c r="I92" s="2040">
        <v>146772.90727547201</v>
      </c>
      <c r="J92" s="2041">
        <v>8463845.6763434708</v>
      </c>
      <c r="K92" s="2040">
        <v>16927691.352686901</v>
      </c>
      <c r="L92" s="2040">
        <v>30</v>
      </c>
      <c r="M92" s="2040"/>
      <c r="N92" s="2040"/>
      <c r="O92" s="2040"/>
    </row>
    <row r="93" spans="1:38" ht="14.4">
      <c r="A93" s="2038">
        <v>2030</v>
      </c>
      <c r="B93" s="2038" t="s">
        <v>2347</v>
      </c>
      <c r="C93" s="2039" t="s">
        <v>2364</v>
      </c>
      <c r="D93" s="2039" t="s">
        <v>2320</v>
      </c>
      <c r="E93" s="2039" t="s">
        <v>399</v>
      </c>
      <c r="F93" s="2040">
        <v>378053.37686274399</v>
      </c>
      <c r="G93" s="2040">
        <v>1057969.7920934199</v>
      </c>
      <c r="H93" s="2040">
        <v>5003539.0038863001</v>
      </c>
      <c r="I93" s="2040">
        <v>123802773.965114</v>
      </c>
      <c r="J93" s="2041">
        <v>342767098.76448202</v>
      </c>
      <c r="K93" s="2040">
        <v>1627067125.9687901</v>
      </c>
      <c r="L93" s="2040">
        <v>20.324557141558898</v>
      </c>
      <c r="M93" s="2040"/>
      <c r="N93" s="2040"/>
      <c r="O93" s="2040"/>
    </row>
    <row r="94" spans="1:38" ht="14.4">
      <c r="A94" s="2038">
        <v>2030</v>
      </c>
      <c r="B94" s="2038" t="s">
        <v>2347</v>
      </c>
      <c r="C94" s="2039" t="s">
        <v>2364</v>
      </c>
      <c r="D94" s="2039" t="s">
        <v>2320</v>
      </c>
      <c r="E94" s="2039" t="s">
        <v>2309</v>
      </c>
      <c r="F94" s="2040">
        <v>1.48287484722509E-4</v>
      </c>
      <c r="G94" s="2040">
        <v>4.5319429434929701E-3</v>
      </c>
      <c r="H94" s="2040">
        <v>9.7319130021602494E-3</v>
      </c>
      <c r="I94" s="2040">
        <v>4.1698246105625003E-2</v>
      </c>
      <c r="J94" s="2041">
        <v>1.2597730662568301</v>
      </c>
      <c r="K94" s="2040">
        <v>2.7161072025359498</v>
      </c>
      <c r="L94" s="2040">
        <v>27.375186057845301</v>
      </c>
      <c r="M94" s="2040"/>
      <c r="N94" s="2040"/>
      <c r="O94" s="2040"/>
    </row>
    <row r="95" spans="1:38" ht="14.4">
      <c r="A95" s="2038">
        <v>2030</v>
      </c>
      <c r="B95" s="2038" t="s">
        <v>2347</v>
      </c>
      <c r="C95" s="2039" t="s">
        <v>2364</v>
      </c>
      <c r="D95" s="2039" t="s">
        <v>2358</v>
      </c>
      <c r="E95" s="2039" t="s">
        <v>399</v>
      </c>
      <c r="F95" s="2040">
        <v>398952.59559573099</v>
      </c>
      <c r="G95" s="2040">
        <v>1278096.00688455</v>
      </c>
      <c r="H95" s="2040">
        <v>5848848.2989727696</v>
      </c>
      <c r="I95" s="2040">
        <v>131944756.467526</v>
      </c>
      <c r="J95" s="2041">
        <v>419192996.37979501</v>
      </c>
      <c r="K95" s="2040">
        <v>1924839326.8942101</v>
      </c>
      <c r="L95" s="2040">
        <v>21.9451416047267</v>
      </c>
      <c r="M95" s="2040"/>
      <c r="N95" s="2040"/>
      <c r="O95" s="2040"/>
    </row>
    <row r="96" spans="1:38" ht="14.4">
      <c r="A96" s="2038">
        <v>2030</v>
      </c>
      <c r="B96" s="2038" t="s">
        <v>2347</v>
      </c>
      <c r="C96" s="2039" t="s">
        <v>2364</v>
      </c>
      <c r="D96" s="2039" t="s">
        <v>2358</v>
      </c>
      <c r="E96" s="2039" t="s">
        <v>2309</v>
      </c>
      <c r="F96" s="2040">
        <v>1.20294417248701E-4</v>
      </c>
      <c r="G96" s="2040">
        <v>3.2765426865121799E-3</v>
      </c>
      <c r="H96" s="2040">
        <v>7.33398867815074E-3</v>
      </c>
      <c r="I96" s="2040">
        <v>3.9530692976313703E-2</v>
      </c>
      <c r="J96" s="2041">
        <v>1.0739742522369</v>
      </c>
      <c r="K96" s="2040">
        <v>2.4061852217096402</v>
      </c>
      <c r="L96" s="2040">
        <v>26.827724877352502</v>
      </c>
      <c r="M96" s="2040"/>
      <c r="N96" s="2040"/>
      <c r="O96" s="2040"/>
    </row>
    <row r="97" spans="1:15" ht="14.4">
      <c r="A97" s="2038">
        <v>2030</v>
      </c>
      <c r="B97" s="2038" t="s">
        <v>2347</v>
      </c>
      <c r="C97" s="2039" t="s">
        <v>2364</v>
      </c>
      <c r="D97" s="2039" t="s">
        <v>2321</v>
      </c>
      <c r="E97" s="2039" t="s">
        <v>399</v>
      </c>
      <c r="F97" s="2040">
        <v>277090.49853953102</v>
      </c>
      <c r="G97" s="2040">
        <v>1712329.56952585</v>
      </c>
      <c r="H97" s="2040">
        <v>6361039.6051181396</v>
      </c>
      <c r="I97" s="2040">
        <v>90603640.474229306</v>
      </c>
      <c r="J97" s="2041">
        <v>557539798.76392901</v>
      </c>
      <c r="K97" s="2040">
        <v>2074273863.4419899</v>
      </c>
      <c r="L97" s="2040">
        <v>22.222237803978299</v>
      </c>
      <c r="M97" s="2040"/>
      <c r="N97" s="2040"/>
      <c r="O97" s="2040"/>
    </row>
    <row r="98" spans="1:15" ht="14.4">
      <c r="A98" s="2038">
        <v>2030</v>
      </c>
      <c r="B98" s="2038" t="s">
        <v>2347</v>
      </c>
      <c r="C98" s="2039" t="s">
        <v>2364</v>
      </c>
      <c r="D98" s="2039" t="s">
        <v>2321</v>
      </c>
      <c r="E98" s="2039" t="s">
        <v>2309</v>
      </c>
      <c r="F98" s="2040">
        <v>25.9533083891518</v>
      </c>
      <c r="G98" s="2040">
        <v>905.90427764822095</v>
      </c>
      <c r="H98" s="2040">
        <v>1857.06961756736</v>
      </c>
      <c r="I98" s="2040">
        <v>9108.3060558274101</v>
      </c>
      <c r="J98" s="2041">
        <v>317927.47224908997</v>
      </c>
      <c r="K98" s="2040">
        <v>651738.91174342297</v>
      </c>
      <c r="L98" s="2040">
        <v>27.442967182687699</v>
      </c>
      <c r="M98" s="2040"/>
      <c r="N98" s="2040"/>
      <c r="O98" s="2040"/>
    </row>
    <row r="99" spans="1:15" ht="14.4">
      <c r="A99" s="2076">
        <v>2030</v>
      </c>
      <c r="B99" s="2076" t="s">
        <v>2347</v>
      </c>
      <c r="C99" s="2077" t="s">
        <v>2364</v>
      </c>
      <c r="D99" s="2077" t="s">
        <v>2321</v>
      </c>
      <c r="E99" s="2077" t="s">
        <v>397</v>
      </c>
      <c r="F99" s="2065">
        <v>55.420162153752202</v>
      </c>
      <c r="G99" s="2065">
        <v>3247.6439508870399</v>
      </c>
      <c r="H99" s="2065">
        <v>6495.2879017740797</v>
      </c>
      <c r="I99" s="2065">
        <v>19252.438523586199</v>
      </c>
      <c r="J99" s="2078">
        <v>1133123.9741048201</v>
      </c>
      <c r="K99" s="2065">
        <v>2266247.9482096401</v>
      </c>
      <c r="L99" s="2065">
        <v>30</v>
      </c>
      <c r="M99" s="2052"/>
      <c r="N99" s="2052"/>
      <c r="O99" s="2052"/>
    </row>
    <row r="100" spans="1:15" ht="14.4">
      <c r="A100" s="2038">
        <v>2010</v>
      </c>
      <c r="B100" s="2038" t="s">
        <v>2354</v>
      </c>
      <c r="C100" s="2039" t="s">
        <v>2348</v>
      </c>
      <c r="D100" s="2039" t="s">
        <v>2320</v>
      </c>
      <c r="E100" s="2039" t="s">
        <v>399</v>
      </c>
      <c r="F100" s="2040">
        <v>951589.46567343303</v>
      </c>
      <c r="G100" s="2040">
        <v>845737.136830676</v>
      </c>
      <c r="H100" s="2040">
        <v>14556594.0742018</v>
      </c>
      <c r="I100" s="2040">
        <v>358242458.73897099</v>
      </c>
      <c r="J100" s="2041">
        <v>319137388.32489699</v>
      </c>
      <c r="K100" s="2040">
        <v>5485826254.8172102</v>
      </c>
      <c r="L100" s="2040">
        <v>6.0190505760248501</v>
      </c>
      <c r="M100" s="2040"/>
      <c r="N100" s="2040"/>
      <c r="O100" s="2040"/>
    </row>
    <row r="101" spans="1:15" ht="14.4">
      <c r="A101" s="2038">
        <v>2010</v>
      </c>
      <c r="B101" s="2038" t="s">
        <v>2354</v>
      </c>
      <c r="C101" s="2039" t="s">
        <v>2348</v>
      </c>
      <c r="D101" s="2039" t="s">
        <v>2358</v>
      </c>
      <c r="E101" s="2039" t="s">
        <v>399</v>
      </c>
      <c r="F101" s="2040">
        <v>220865.957278446</v>
      </c>
      <c r="G101" s="2040">
        <v>406203.32075277797</v>
      </c>
      <c r="H101" s="2040">
        <v>5070165.2763356203</v>
      </c>
      <c r="I101" s="2040">
        <v>83885544.277288198</v>
      </c>
      <c r="J101" s="2041">
        <v>154409099.38821301</v>
      </c>
      <c r="K101" s="2040">
        <v>1926638976.7947199</v>
      </c>
      <c r="L101" s="2040">
        <v>5.8724148852749298</v>
      </c>
      <c r="M101" s="2040"/>
      <c r="N101" s="2040"/>
      <c r="O101" s="2040"/>
    </row>
    <row r="102" spans="1:15" ht="14.4">
      <c r="A102" s="2038">
        <v>2010</v>
      </c>
      <c r="B102" s="2038" t="s">
        <v>2354</v>
      </c>
      <c r="C102" s="2039" t="s">
        <v>2348</v>
      </c>
      <c r="D102" s="2039" t="s">
        <v>2321</v>
      </c>
      <c r="E102" s="2039" t="s">
        <v>399</v>
      </c>
      <c r="F102" s="2040">
        <v>105514.738980765</v>
      </c>
      <c r="G102" s="2040">
        <v>489237.76390261698</v>
      </c>
      <c r="H102" s="2040">
        <v>3752037.6163011799</v>
      </c>
      <c r="I102" s="2040">
        <v>40033688.306940898</v>
      </c>
      <c r="J102" s="2041">
        <v>185626226.06479099</v>
      </c>
      <c r="K102" s="2040">
        <v>1423600428.98908</v>
      </c>
      <c r="L102" s="2040">
        <v>7.1228716658017301</v>
      </c>
      <c r="M102" s="2040"/>
      <c r="N102" s="2040"/>
      <c r="O102" s="2040"/>
    </row>
    <row r="103" spans="1:15" ht="14.4">
      <c r="A103" s="2038">
        <v>2010</v>
      </c>
      <c r="B103" s="2038" t="s">
        <v>2354</v>
      </c>
      <c r="C103" s="2039" t="s">
        <v>2364</v>
      </c>
      <c r="D103" s="2039" t="s">
        <v>2320</v>
      </c>
      <c r="E103" s="2039" t="s">
        <v>399</v>
      </c>
      <c r="F103" s="2040">
        <v>269460.261660647</v>
      </c>
      <c r="G103" s="2040">
        <v>413073.88793317502</v>
      </c>
      <c r="H103" s="2040">
        <v>5603553.5581686702</v>
      </c>
      <c r="I103" s="2040">
        <v>101846107.330659</v>
      </c>
      <c r="J103" s="2041">
        <v>156397814.501142</v>
      </c>
      <c r="K103" s="2040">
        <v>2119854052.6963799</v>
      </c>
      <c r="L103" s="2040">
        <v>6.0499855518516297</v>
      </c>
      <c r="M103" s="2040"/>
      <c r="N103" s="2040"/>
      <c r="O103" s="2040"/>
    </row>
    <row r="104" spans="1:15" ht="14.4">
      <c r="A104" s="2038">
        <v>2010</v>
      </c>
      <c r="B104" s="2038" t="s">
        <v>2354</v>
      </c>
      <c r="C104" s="2039" t="s">
        <v>2364</v>
      </c>
      <c r="D104" s="2039" t="s">
        <v>2358</v>
      </c>
      <c r="E104" s="2039" t="s">
        <v>399</v>
      </c>
      <c r="F104" s="2040">
        <v>278029.65334457898</v>
      </c>
      <c r="G104" s="2040">
        <v>624487.43010605394</v>
      </c>
      <c r="H104" s="2040">
        <v>6941243.78363021</v>
      </c>
      <c r="I104" s="2040">
        <v>104824617.32062399</v>
      </c>
      <c r="J104" s="2041">
        <v>236135400.388004</v>
      </c>
      <c r="K104" s="2040">
        <v>2621194616.1335602</v>
      </c>
      <c r="L104" s="2040">
        <v>6.1137123313900199</v>
      </c>
      <c r="M104" s="2040"/>
      <c r="N104" s="2040"/>
      <c r="O104" s="2040"/>
    </row>
    <row r="105" spans="1:15" ht="14.4">
      <c r="A105" s="2038">
        <v>2010</v>
      </c>
      <c r="B105" s="2038" t="s">
        <v>2354</v>
      </c>
      <c r="C105" s="2039" t="s">
        <v>2364</v>
      </c>
      <c r="D105" s="2039" t="s">
        <v>2321</v>
      </c>
      <c r="E105" s="2039" t="s">
        <v>399</v>
      </c>
      <c r="F105" s="2040">
        <v>253781.44876856299</v>
      </c>
      <c r="G105" s="2040">
        <v>1488033.7430684499</v>
      </c>
      <c r="H105" s="2040">
        <v>10241014.868509</v>
      </c>
      <c r="I105" s="2040">
        <v>96079230.181253299</v>
      </c>
      <c r="J105" s="2041">
        <v>563133022.90523601</v>
      </c>
      <c r="K105" s="2040">
        <v>3876350888.0884099</v>
      </c>
      <c r="L105" s="2040">
        <v>8.1414244876584103</v>
      </c>
      <c r="M105" s="2040"/>
      <c r="N105" s="2040"/>
      <c r="O105" s="2040"/>
    </row>
    <row r="106" spans="1:15" ht="14.4">
      <c r="A106" s="2038">
        <v>2020</v>
      </c>
      <c r="B106" s="2038" t="s">
        <v>2354</v>
      </c>
      <c r="C106" s="2039" t="s">
        <v>2348</v>
      </c>
      <c r="D106" s="2039" t="s">
        <v>2320</v>
      </c>
      <c r="E106" s="2039" t="s">
        <v>399</v>
      </c>
      <c r="F106" s="2040">
        <v>1091442.22414154</v>
      </c>
      <c r="G106" s="2040">
        <v>960006.89846262406</v>
      </c>
      <c r="H106" s="2040">
        <v>16566094.342399999</v>
      </c>
      <c r="I106" s="2040">
        <v>410970491.39579803</v>
      </c>
      <c r="J106" s="2041">
        <v>362404234.15318501</v>
      </c>
      <c r="K106" s="2040">
        <v>6245097471.1121101</v>
      </c>
      <c r="L106" s="2040">
        <v>6.0190505760248598</v>
      </c>
      <c r="M106" s="2040"/>
      <c r="N106" s="2040"/>
      <c r="O106" s="2040"/>
    </row>
    <row r="107" spans="1:15" ht="14.4">
      <c r="A107" s="2038">
        <v>2020</v>
      </c>
      <c r="B107" s="2038" t="s">
        <v>2354</v>
      </c>
      <c r="C107" s="2039" t="s">
        <v>2348</v>
      </c>
      <c r="D107" s="2039" t="s">
        <v>2358</v>
      </c>
      <c r="E107" s="2039" t="s">
        <v>399</v>
      </c>
      <c r="F107" s="2040">
        <v>211267.966016091</v>
      </c>
      <c r="G107" s="2040">
        <v>385743.74716229702</v>
      </c>
      <c r="H107" s="2040">
        <v>4833597.6264761202</v>
      </c>
      <c r="I107" s="2040">
        <v>80552172.758486897</v>
      </c>
      <c r="J107" s="2041">
        <v>147184613.87667501</v>
      </c>
      <c r="K107" s="2040">
        <v>1843754567.9623301</v>
      </c>
      <c r="L107" s="2040">
        <v>5.8724148852749298</v>
      </c>
      <c r="M107" s="2040"/>
      <c r="N107" s="2040"/>
      <c r="O107" s="2040"/>
    </row>
    <row r="108" spans="1:15" ht="14.4">
      <c r="A108" s="2038">
        <v>2020</v>
      </c>
      <c r="B108" s="2038" t="s">
        <v>2354</v>
      </c>
      <c r="C108" s="2039" t="s">
        <v>2348</v>
      </c>
      <c r="D108" s="2039" t="s">
        <v>2321</v>
      </c>
      <c r="E108" s="2039" t="s">
        <v>399</v>
      </c>
      <c r="F108" s="2040">
        <v>93495.933116667802</v>
      </c>
      <c r="G108" s="2040">
        <v>427317.14686630201</v>
      </c>
      <c r="H108" s="2040">
        <v>3299860.04481347</v>
      </c>
      <c r="I108" s="2040">
        <v>35602545.7895694</v>
      </c>
      <c r="J108" s="2041">
        <v>162683942.85133001</v>
      </c>
      <c r="K108" s="2040">
        <v>1256442225.4570999</v>
      </c>
      <c r="L108" s="2040">
        <v>7.1228716658017301</v>
      </c>
      <c r="M108" s="2040"/>
      <c r="N108" s="2040"/>
      <c r="O108" s="2040"/>
    </row>
    <row r="109" spans="1:15" ht="14.4">
      <c r="A109" s="2038">
        <v>2020</v>
      </c>
      <c r="B109" s="2038" t="s">
        <v>2354</v>
      </c>
      <c r="C109" s="2039" t="s">
        <v>2364</v>
      </c>
      <c r="D109" s="2039" t="s">
        <v>2320</v>
      </c>
      <c r="E109" s="2039" t="s">
        <v>399</v>
      </c>
      <c r="F109" s="2040">
        <v>292298.36818183999</v>
      </c>
      <c r="G109" s="2040">
        <v>444741.71408464899</v>
      </c>
      <c r="H109" s="2040">
        <v>6055220.1002426902</v>
      </c>
      <c r="I109" s="2040">
        <v>110652281.14071</v>
      </c>
      <c r="J109" s="2041">
        <v>168678458.822698</v>
      </c>
      <c r="K109" s="2040">
        <v>2294533133.4491301</v>
      </c>
      <c r="L109" s="2040">
        <v>6.0499855518516297</v>
      </c>
      <c r="M109" s="2040"/>
      <c r="N109" s="2040"/>
      <c r="O109" s="2040"/>
    </row>
    <row r="110" spans="1:15" ht="14.4">
      <c r="A110" s="2038">
        <v>2020</v>
      </c>
      <c r="B110" s="2038" t="s">
        <v>2354</v>
      </c>
      <c r="C110" s="2039" t="s">
        <v>2364</v>
      </c>
      <c r="D110" s="2039" t="s">
        <v>2358</v>
      </c>
      <c r="E110" s="2039" t="s">
        <v>399</v>
      </c>
      <c r="F110" s="2040">
        <v>269922.768275026</v>
      </c>
      <c r="G110" s="2040">
        <v>600694.08701206394</v>
      </c>
      <c r="H110" s="2040">
        <v>6710732.2221098403</v>
      </c>
      <c r="I110" s="2040">
        <v>102074528.195401</v>
      </c>
      <c r="J110" s="2041">
        <v>227840517.14114001</v>
      </c>
      <c r="K110" s="2040">
        <v>2541908504.62288</v>
      </c>
      <c r="L110" s="2040">
        <v>6.1137123313900199</v>
      </c>
      <c r="M110" s="2040"/>
      <c r="N110" s="2040"/>
      <c r="O110" s="2040"/>
    </row>
    <row r="111" spans="1:15" ht="14.4">
      <c r="A111" s="2038">
        <v>2020</v>
      </c>
      <c r="B111" s="2038" t="s">
        <v>2354</v>
      </c>
      <c r="C111" s="2039" t="s">
        <v>2364</v>
      </c>
      <c r="D111" s="2039" t="s">
        <v>2321</v>
      </c>
      <c r="E111" s="2039" t="s">
        <v>399</v>
      </c>
      <c r="F111" s="2040">
        <v>232683.780673981</v>
      </c>
      <c r="G111" s="2040">
        <v>1351835.90751436</v>
      </c>
      <c r="H111" s="2040">
        <v>9341164.3138703909</v>
      </c>
      <c r="I111" s="2040">
        <v>88291960.053410798</v>
      </c>
      <c r="J111" s="2041">
        <v>512713472.31974399</v>
      </c>
      <c r="K111" s="2040">
        <v>3543623314.5936098</v>
      </c>
      <c r="L111" s="2040">
        <v>8.1414244876584103</v>
      </c>
      <c r="M111" s="2040"/>
      <c r="N111" s="2040"/>
      <c r="O111" s="2040"/>
    </row>
    <row r="112" spans="1:15" ht="14.4">
      <c r="A112" s="2038">
        <v>2030</v>
      </c>
      <c r="B112" s="2038" t="s">
        <v>2354</v>
      </c>
      <c r="C112" s="2039" t="s">
        <v>2348</v>
      </c>
      <c r="D112" s="2039" t="s">
        <v>2320</v>
      </c>
      <c r="E112" s="2039" t="s">
        <v>399</v>
      </c>
      <c r="F112" s="2040">
        <v>1217132.8035564099</v>
      </c>
      <c r="G112" s="2040">
        <v>1067296.15159844</v>
      </c>
      <c r="H112" s="2040">
        <v>18433608.008513801</v>
      </c>
      <c r="I112" s="2040">
        <v>458288138.31540102</v>
      </c>
      <c r="J112" s="2041">
        <v>403020179.17410398</v>
      </c>
      <c r="K112" s="2040">
        <v>6950224795.0423002</v>
      </c>
      <c r="L112" s="2040">
        <v>6.0190505760248403</v>
      </c>
      <c r="M112" s="2040"/>
      <c r="N112" s="2040"/>
      <c r="O112" s="2040"/>
    </row>
    <row r="113" spans="1:15" ht="14.4">
      <c r="A113" s="2038">
        <v>2030</v>
      </c>
      <c r="B113" s="2038" t="s">
        <v>2354</v>
      </c>
      <c r="C113" s="2039" t="s">
        <v>2348</v>
      </c>
      <c r="D113" s="2039" t="s">
        <v>2358</v>
      </c>
      <c r="E113" s="2039" t="s">
        <v>399</v>
      </c>
      <c r="F113" s="2040">
        <v>211746.80775026101</v>
      </c>
      <c r="G113" s="2040">
        <v>385720.68924116099</v>
      </c>
      <c r="H113" s="2040">
        <v>4840175.8952466501</v>
      </c>
      <c r="I113" s="2040">
        <v>80918697.227412805</v>
      </c>
      <c r="J113" s="2041">
        <v>147514647.74136201</v>
      </c>
      <c r="K113" s="2040">
        <v>1850477382.7311699</v>
      </c>
      <c r="L113" s="2040">
        <v>5.8724148852749396</v>
      </c>
      <c r="M113" s="2040"/>
      <c r="N113" s="2040"/>
      <c r="O113" s="2040"/>
    </row>
    <row r="114" spans="1:15" ht="14.4">
      <c r="A114" s="2038">
        <v>2030</v>
      </c>
      <c r="B114" s="2038" t="s">
        <v>2354</v>
      </c>
      <c r="C114" s="2039" t="s">
        <v>2348</v>
      </c>
      <c r="D114" s="2039" t="s">
        <v>2321</v>
      </c>
      <c r="E114" s="2039" t="s">
        <v>399</v>
      </c>
      <c r="F114" s="2040">
        <v>90219.066421455704</v>
      </c>
      <c r="G114" s="2040">
        <v>408473.60969317198</v>
      </c>
      <c r="H114" s="2040">
        <v>3168863.6441821</v>
      </c>
      <c r="I114" s="2040">
        <v>34433327.325136803</v>
      </c>
      <c r="J114" s="2041">
        <v>155844431.909509</v>
      </c>
      <c r="K114" s="2040">
        <v>1209251283.2569101</v>
      </c>
      <c r="L114" s="2040">
        <v>7.1228716658017301</v>
      </c>
      <c r="M114" s="2040"/>
      <c r="N114" s="2040"/>
      <c r="O114" s="2040"/>
    </row>
    <row r="115" spans="1:15" ht="14.4">
      <c r="A115" s="2038">
        <v>2030</v>
      </c>
      <c r="B115" s="2038" t="s">
        <v>2354</v>
      </c>
      <c r="C115" s="2039" t="s">
        <v>2364</v>
      </c>
      <c r="D115" s="2039" t="s">
        <v>2320</v>
      </c>
      <c r="E115" s="2039" t="s">
        <v>399</v>
      </c>
      <c r="F115" s="2040">
        <v>309251.328467677</v>
      </c>
      <c r="G115" s="2040">
        <v>474621.776855445</v>
      </c>
      <c r="H115" s="2040">
        <v>6435348.0575283999</v>
      </c>
      <c r="I115" s="2040">
        <v>117187710.955429</v>
      </c>
      <c r="J115" s="2041">
        <v>180207563.97303599</v>
      </c>
      <c r="K115" s="2040">
        <v>2441111366.7090602</v>
      </c>
      <c r="L115" s="2040">
        <v>6.0499855518516199</v>
      </c>
      <c r="M115" s="2040"/>
      <c r="N115" s="2040"/>
      <c r="O115" s="2040"/>
    </row>
    <row r="116" spans="1:15" ht="14.4">
      <c r="A116" s="2038">
        <v>2030</v>
      </c>
      <c r="B116" s="2038" t="s">
        <v>2354</v>
      </c>
      <c r="C116" s="2039" t="s">
        <v>2364</v>
      </c>
      <c r="D116" s="2039" t="s">
        <v>2358</v>
      </c>
      <c r="E116" s="2039" t="s">
        <v>399</v>
      </c>
      <c r="F116" s="2040">
        <v>275675.77945559501</v>
      </c>
      <c r="G116" s="2040">
        <v>613894.34334129596</v>
      </c>
      <c r="H116" s="2040">
        <v>6856601.3878753502</v>
      </c>
      <c r="I116" s="2040">
        <v>104460722.53474601</v>
      </c>
      <c r="J116" s="2041">
        <v>233317076.06539601</v>
      </c>
      <c r="K116" s="2040">
        <v>2602412062.1623702</v>
      </c>
      <c r="L116" s="2040">
        <v>6.1137123313900199</v>
      </c>
      <c r="M116" s="2040"/>
      <c r="N116" s="2040"/>
      <c r="O116" s="2040"/>
    </row>
    <row r="117" spans="1:15" ht="14.4">
      <c r="A117" s="2038">
        <v>2030</v>
      </c>
      <c r="B117" s="2038" t="s">
        <v>2354</v>
      </c>
      <c r="C117" s="2039" t="s">
        <v>2364</v>
      </c>
      <c r="D117" s="2039" t="s">
        <v>2321</v>
      </c>
      <c r="E117" s="2039" t="s">
        <v>399</v>
      </c>
      <c r="F117" s="2040">
        <v>234178.809819541</v>
      </c>
      <c r="G117" s="2040">
        <v>1352889.5644220901</v>
      </c>
      <c r="H117" s="2040">
        <v>9371716.0490117706</v>
      </c>
      <c r="I117" s="2040">
        <v>88998216.935798705</v>
      </c>
      <c r="J117" s="2041">
        <v>513912107.04796499</v>
      </c>
      <c r="K117" s="2040">
        <v>3560758311.75383</v>
      </c>
      <c r="L117" s="2040">
        <v>8.1522346419836502</v>
      </c>
      <c r="M117" s="2040"/>
      <c r="N117" s="2040"/>
      <c r="O117" s="2040"/>
    </row>
    <row r="118" spans="1:15" ht="14.4">
      <c r="A118" s="2038"/>
      <c r="B118" s="2038"/>
    </row>
  </sheetData>
  <mergeCells count="18">
    <mergeCell ref="R69:R71"/>
    <mergeCell ref="X69:X71"/>
    <mergeCell ref="R72:R74"/>
    <mergeCell ref="X72:X74"/>
    <mergeCell ref="A53:P53"/>
    <mergeCell ref="AE55:AO55"/>
    <mergeCell ref="R57:R59"/>
    <mergeCell ref="X57:X59"/>
    <mergeCell ref="R60:R62"/>
    <mergeCell ref="X60:X62"/>
    <mergeCell ref="Q29:Q31"/>
    <mergeCell ref="Q32:Q34"/>
    <mergeCell ref="Q4:Q6"/>
    <mergeCell ref="Q7:Q9"/>
    <mergeCell ref="Q23:Q25"/>
    <mergeCell ref="Q26:Q28"/>
    <mergeCell ref="Q10:Q12"/>
    <mergeCell ref="Q13:Q15"/>
  </mergeCells>
  <pageMargins left="0.7" right="0.7" top="0.75" bottom="0.75" header="0.3" footer="0.3"/>
  <pageSetup paperSize="9" orientation="portrait"/>
  <drawing r:id="rId1"/>
  <legacyDrawing r:id="rId2"/>
</worksheet>
</file>

<file path=xl/worksheets/sheet3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F00-000000000000}">
  <sheetPr>
    <tabColor rgb="FF00B0F0"/>
  </sheetPr>
  <dimension ref="A3:Z116"/>
  <sheetViews>
    <sheetView topLeftCell="A58" zoomScale="85" zoomScaleNormal="85" workbookViewId="0">
      <selection activeCell="E78" sqref="E78"/>
    </sheetView>
  </sheetViews>
  <sheetFormatPr defaultColWidth="9.109375" defaultRowHeight="13.2"/>
  <cols>
    <col min="1" max="1" width="10.44140625" style="903" customWidth="1"/>
    <col min="2" max="2" width="18.6640625" style="757" customWidth="1"/>
    <col min="3" max="3" width="11.6640625" style="757" customWidth="1"/>
    <col min="4" max="4" width="11" style="757" customWidth="1"/>
    <col min="5" max="5" width="10" style="757" customWidth="1"/>
    <col min="6" max="6" width="1.6640625" style="757" customWidth="1"/>
    <col min="7" max="7" width="23.88671875" style="757" customWidth="1"/>
    <col min="8" max="8" width="18.44140625" style="545" customWidth="1"/>
    <col min="9" max="9" width="14" style="545" customWidth="1"/>
    <col min="10" max="10" width="17.109375" style="758" customWidth="1"/>
    <col min="11" max="11" width="15.109375" style="758" customWidth="1"/>
    <col min="12" max="12" width="15.33203125" style="757" customWidth="1"/>
    <col min="13" max="13" width="21.88671875" style="757" customWidth="1"/>
    <col min="14" max="14" width="9.109375" style="757"/>
    <col min="15" max="15" width="8.109375" style="757" customWidth="1"/>
    <col min="16" max="16" width="15" style="757" customWidth="1"/>
    <col min="17" max="17" width="23.44140625" style="757" customWidth="1"/>
    <col min="18" max="16384" width="9.109375" style="757"/>
  </cols>
  <sheetData>
    <row r="3" spans="1:23">
      <c r="A3" s="917" t="s">
        <v>1017</v>
      </c>
    </row>
    <row r="7" spans="1:23" s="759" customFormat="1" ht="12.75" customHeight="1">
      <c r="A7" s="757"/>
      <c r="D7" s="917"/>
      <c r="E7" s="918"/>
      <c r="F7" s="757"/>
      <c r="H7" s="545"/>
      <c r="I7" s="545"/>
    </row>
    <row r="8" spans="1:23" s="901" customFormat="1" ht="12.75" customHeight="1">
      <c r="A8" s="1896" t="s">
        <v>992</v>
      </c>
      <c r="B8" s="1897"/>
      <c r="C8" s="1897"/>
      <c r="D8" s="1897"/>
      <c r="E8" s="1897"/>
      <c r="F8" s="1897"/>
      <c r="G8" s="1897"/>
      <c r="H8" s="400"/>
      <c r="I8" s="401"/>
      <c r="K8" s="754"/>
      <c r="L8" s="754"/>
      <c r="M8" s="754"/>
      <c r="N8" s="754"/>
      <c r="O8" s="754"/>
      <c r="P8" s="754"/>
    </row>
    <row r="9" spans="1:23" s="902" customFormat="1" ht="12.75" customHeight="1">
      <c r="A9" s="1898" t="s">
        <v>993</v>
      </c>
      <c r="B9" s="1899"/>
      <c r="C9" s="1899"/>
      <c r="D9" s="1899"/>
      <c r="E9" s="1899"/>
      <c r="F9" s="1899"/>
      <c r="G9" s="1899"/>
      <c r="H9" s="234"/>
      <c r="I9" s="235"/>
      <c r="K9" s="754"/>
      <c r="L9" s="754"/>
      <c r="M9" s="754"/>
      <c r="N9" s="754"/>
      <c r="O9" s="754"/>
      <c r="P9" s="754"/>
    </row>
    <row r="10" spans="1:23" s="903" customFormat="1" ht="12.75" customHeight="1">
      <c r="A10" s="1900" t="s">
        <v>994</v>
      </c>
      <c r="B10" s="1883"/>
      <c r="C10" s="1883"/>
      <c r="D10" s="1883"/>
      <c r="E10" s="1883"/>
      <c r="F10" s="1883"/>
      <c r="G10" s="1883"/>
      <c r="H10" s="234"/>
      <c r="I10" s="235"/>
      <c r="K10" s="754"/>
      <c r="L10" s="754"/>
      <c r="M10" s="754"/>
      <c r="N10" s="754"/>
      <c r="O10" s="754"/>
      <c r="P10" s="754"/>
      <c r="Q10" s="754"/>
      <c r="R10" s="754"/>
      <c r="S10" s="754"/>
    </row>
    <row r="11" spans="1:23" s="903" customFormat="1" ht="12.75" customHeight="1">
      <c r="A11" s="1885"/>
      <c r="B11" s="1886"/>
      <c r="C11" s="1886"/>
      <c r="D11" s="1886"/>
      <c r="E11" s="1886"/>
      <c r="F11" s="1883"/>
      <c r="G11" s="1886"/>
      <c r="H11" s="234"/>
      <c r="I11" s="235"/>
      <c r="J11" s="545"/>
      <c r="K11" s="754"/>
      <c r="L11" s="754"/>
      <c r="M11" s="754"/>
      <c r="N11" s="754"/>
      <c r="O11" s="754"/>
      <c r="P11" s="754"/>
      <c r="Q11" s="754"/>
      <c r="R11" s="754"/>
      <c r="S11" s="754"/>
      <c r="T11" s="904"/>
    </row>
    <row r="12" spans="1:23" s="903" customFormat="1" ht="21">
      <c r="A12" s="1884" t="s">
        <v>995</v>
      </c>
      <c r="B12" s="3165" t="s">
        <v>996</v>
      </c>
      <c r="C12" s="3165"/>
      <c r="D12" s="1887"/>
      <c r="E12" s="1888" t="s">
        <v>997</v>
      </c>
      <c r="F12" s="1889"/>
      <c r="G12" s="3165" t="s">
        <v>998</v>
      </c>
      <c r="H12" s="3165"/>
      <c r="I12" s="1901" t="s">
        <v>997</v>
      </c>
      <c r="J12" s="545"/>
      <c r="K12" s="754"/>
      <c r="L12" s="754"/>
      <c r="M12" s="754"/>
      <c r="N12" s="754"/>
      <c r="O12" s="754"/>
      <c r="P12" s="754"/>
      <c r="Q12" s="754"/>
      <c r="R12" s="754"/>
      <c r="S12" s="754"/>
      <c r="T12" s="904"/>
    </row>
    <row r="13" spans="1:23" s="903" customFormat="1" ht="12.75" customHeight="1">
      <c r="A13" s="1884" t="s">
        <v>999</v>
      </c>
      <c r="B13" s="1751" t="s">
        <v>1000</v>
      </c>
      <c r="C13" s="1751" t="s">
        <v>1001</v>
      </c>
      <c r="D13" s="1751"/>
      <c r="E13" s="1751"/>
      <c r="F13" s="1751"/>
      <c r="G13" s="1751" t="s">
        <v>1000</v>
      </c>
      <c r="H13" s="1751" t="s">
        <v>1001</v>
      </c>
      <c r="I13" s="1849"/>
      <c r="J13" s="545"/>
      <c r="K13" s="754"/>
      <c r="L13" s="754"/>
      <c r="M13" s="754"/>
      <c r="N13" s="754"/>
      <c r="O13" s="754"/>
      <c r="P13" s="754"/>
      <c r="Q13" s="754"/>
      <c r="R13" s="754"/>
      <c r="S13" s="754"/>
      <c r="T13" s="904"/>
    </row>
    <row r="14" spans="1:23" s="907" customFormat="1" ht="12.75" customHeight="1">
      <c r="A14" s="1885" t="s">
        <v>1002</v>
      </c>
      <c r="B14" s="1859" t="s">
        <v>1003</v>
      </c>
      <c r="C14" s="1859" t="s">
        <v>1003</v>
      </c>
      <c r="D14" s="1859"/>
      <c r="E14" s="1859"/>
      <c r="F14" s="1859"/>
      <c r="G14" s="1859" t="s">
        <v>1003</v>
      </c>
      <c r="H14" s="1859" t="s">
        <v>1003</v>
      </c>
      <c r="I14" s="1902"/>
      <c r="J14" s="545"/>
      <c r="K14" s="754"/>
      <c r="R14" s="754"/>
      <c r="S14" s="754"/>
      <c r="T14" s="906"/>
    </row>
    <row r="15" spans="1:23" ht="12.75" customHeight="1">
      <c r="A15" s="1903">
        <v>2005</v>
      </c>
      <c r="B15" s="1890">
        <v>12362</v>
      </c>
      <c r="C15" s="1890">
        <v>1001</v>
      </c>
      <c r="D15" s="1890"/>
      <c r="E15" s="1891">
        <v>114</v>
      </c>
      <c r="F15" s="1891"/>
      <c r="G15" s="1890">
        <v>1187</v>
      </c>
      <c r="H15" s="1890">
        <v>3343</v>
      </c>
      <c r="I15" s="1904">
        <v>1201</v>
      </c>
      <c r="J15" s="908"/>
      <c r="K15" s="754"/>
      <c r="R15" s="754"/>
      <c r="S15" s="754"/>
      <c r="T15" s="909"/>
      <c r="U15" s="910"/>
      <c r="V15" s="910"/>
      <c r="W15" s="910"/>
    </row>
    <row r="16" spans="1:23" ht="12.75" customHeight="1">
      <c r="A16" s="1903">
        <v>2006</v>
      </c>
      <c r="B16" s="1890">
        <v>12445</v>
      </c>
      <c r="C16" s="1890">
        <v>1078</v>
      </c>
      <c r="D16" s="1890"/>
      <c r="E16" s="1891">
        <v>120</v>
      </c>
      <c r="F16" s="1891"/>
      <c r="G16" s="1890">
        <v>1207</v>
      </c>
      <c r="H16" s="1890">
        <v>3257</v>
      </c>
      <c r="I16" s="1904">
        <v>1222</v>
      </c>
      <c r="J16" s="911"/>
      <c r="K16" s="754"/>
      <c r="R16" s="754"/>
      <c r="S16" s="754"/>
      <c r="T16" s="909"/>
      <c r="U16" s="910"/>
      <c r="V16" s="910"/>
      <c r="W16" s="910"/>
    </row>
    <row r="17" spans="1:26" ht="12.75" customHeight="1">
      <c r="A17" s="1903">
        <v>2007</v>
      </c>
      <c r="B17" s="1890">
        <v>12273</v>
      </c>
      <c r="C17" s="1890">
        <v>948</v>
      </c>
      <c r="D17" s="1890"/>
      <c r="E17" s="1891">
        <v>94</v>
      </c>
      <c r="F17" s="1891"/>
      <c r="G17" s="1890">
        <v>1145</v>
      </c>
      <c r="H17" s="1890">
        <v>3033</v>
      </c>
      <c r="I17" s="1904">
        <v>1193</v>
      </c>
      <c r="J17" s="545"/>
      <c r="K17" s="754"/>
      <c r="R17" s="754"/>
      <c r="S17" s="754"/>
      <c r="T17" s="909"/>
      <c r="U17" s="910"/>
      <c r="V17" s="910"/>
      <c r="W17" s="910"/>
    </row>
    <row r="18" spans="1:26" ht="12.75" customHeight="1">
      <c r="A18" s="1903">
        <v>2008</v>
      </c>
      <c r="B18" s="1890">
        <v>12411</v>
      </c>
      <c r="C18" s="1890">
        <v>976</v>
      </c>
      <c r="D18" s="1890"/>
      <c r="E18" s="1891">
        <v>87</v>
      </c>
      <c r="F18" s="1891"/>
      <c r="G18" s="1890">
        <v>1105</v>
      </c>
      <c r="H18" s="1890">
        <v>3079</v>
      </c>
      <c r="I18" s="1904">
        <v>1201</v>
      </c>
      <c r="J18" s="545"/>
      <c r="K18" s="754"/>
      <c r="R18" s="754"/>
      <c r="S18" s="754"/>
      <c r="T18" s="909"/>
      <c r="U18" s="910"/>
      <c r="V18" s="910"/>
      <c r="W18" s="910"/>
    </row>
    <row r="19" spans="1:26" ht="12.75" customHeight="1">
      <c r="A19" s="1903">
        <v>2009</v>
      </c>
      <c r="B19" s="1890">
        <v>12349</v>
      </c>
      <c r="C19" s="1890">
        <v>975</v>
      </c>
      <c r="D19" s="1890"/>
      <c r="E19" s="1891">
        <v>83</v>
      </c>
      <c r="F19" s="1891"/>
      <c r="G19" s="1890">
        <v>1149</v>
      </c>
      <c r="H19" s="1890">
        <v>3253</v>
      </c>
      <c r="I19" s="1904">
        <v>1202</v>
      </c>
      <c r="J19" s="545"/>
      <c r="K19" s="754"/>
      <c r="R19" s="754"/>
      <c r="S19" s="754"/>
      <c r="T19" s="909"/>
      <c r="U19" s="910"/>
      <c r="V19" s="910"/>
      <c r="W19" s="910"/>
    </row>
    <row r="20" spans="1:26" ht="12.75" customHeight="1">
      <c r="A20" s="1905">
        <v>2010</v>
      </c>
      <c r="B20" s="1892">
        <v>12617</v>
      </c>
      <c r="C20" s="1892">
        <v>1173</v>
      </c>
      <c r="D20" s="1892"/>
      <c r="E20" s="1893">
        <v>83</v>
      </c>
      <c r="F20" s="1893"/>
      <c r="G20" s="1892">
        <v>1144</v>
      </c>
      <c r="H20" s="1892">
        <v>3342</v>
      </c>
      <c r="I20" s="1906">
        <v>1179</v>
      </c>
      <c r="K20" s="754"/>
      <c r="R20" s="754"/>
      <c r="S20" s="754"/>
      <c r="T20" s="909"/>
      <c r="U20" s="910"/>
      <c r="V20" s="910"/>
      <c r="W20" s="910"/>
    </row>
    <row r="21" spans="1:26" ht="12.75" customHeight="1">
      <c r="A21" s="1905">
        <v>2011</v>
      </c>
      <c r="B21" s="1892">
        <v>12681</v>
      </c>
      <c r="C21" s="1892">
        <v>1202</v>
      </c>
      <c r="D21" s="1892"/>
      <c r="E21" s="1893">
        <v>64</v>
      </c>
      <c r="F21" s="1893"/>
      <c r="G21" s="1892">
        <v>1196</v>
      </c>
      <c r="H21" s="1892">
        <v>3915</v>
      </c>
      <c r="I21" s="1906">
        <v>1118</v>
      </c>
      <c r="J21" s="545"/>
      <c r="K21" s="754"/>
      <c r="R21" s="754"/>
      <c r="S21" s="754"/>
      <c r="T21" s="909"/>
      <c r="U21" s="910"/>
      <c r="V21" s="910"/>
      <c r="W21" s="910"/>
    </row>
    <row r="22" spans="1:26" ht="12.75" customHeight="1">
      <c r="A22" s="1903">
        <v>2012</v>
      </c>
      <c r="B22" s="1890">
        <v>12889</v>
      </c>
      <c r="C22" s="1890">
        <v>1252</v>
      </c>
      <c r="D22" s="1890"/>
      <c r="E22" s="1891">
        <v>62</v>
      </c>
      <c r="F22" s="1891"/>
      <c r="G22" s="1890">
        <v>1148</v>
      </c>
      <c r="H22" s="1890">
        <v>3944</v>
      </c>
      <c r="I22" s="1904">
        <v>1123</v>
      </c>
      <c r="J22" s="545"/>
      <c r="K22" s="754"/>
      <c r="L22" s="754"/>
      <c r="M22" s="754"/>
      <c r="N22" s="754"/>
      <c r="O22" s="754"/>
      <c r="P22" s="754"/>
      <c r="Q22" s="754"/>
      <c r="R22" s="754"/>
      <c r="S22" s="754"/>
      <c r="T22" s="909"/>
      <c r="U22" s="910"/>
      <c r="V22" s="910"/>
      <c r="W22" s="910"/>
    </row>
    <row r="23" spans="1:26" ht="12.75" customHeight="1">
      <c r="A23" s="1903">
        <v>2013</v>
      </c>
      <c r="B23" s="1890">
        <v>12868</v>
      </c>
      <c r="C23" s="1890">
        <v>1051</v>
      </c>
      <c r="D23" s="1890"/>
      <c r="E23" s="1891">
        <v>67</v>
      </c>
      <c r="F23" s="1891"/>
      <c r="G23" s="1890">
        <v>1162</v>
      </c>
      <c r="H23" s="1890">
        <v>3585</v>
      </c>
      <c r="I23" s="1904">
        <v>938</v>
      </c>
      <c r="J23" s="754"/>
      <c r="K23" s="754"/>
      <c r="L23" s="754"/>
      <c r="M23" s="754"/>
      <c r="N23" s="754"/>
      <c r="O23" s="754"/>
      <c r="P23" s="754"/>
      <c r="Q23" s="754"/>
      <c r="R23" s="754"/>
      <c r="S23" s="754"/>
      <c r="T23" s="909"/>
      <c r="U23" s="910"/>
      <c r="V23" s="910"/>
      <c r="W23" s="910"/>
    </row>
    <row r="24" spans="1:26" ht="12.75" customHeight="1">
      <c r="A24" s="1907">
        <v>2014</v>
      </c>
      <c r="B24" s="1894">
        <v>12960</v>
      </c>
      <c r="C24" s="1894">
        <v>968</v>
      </c>
      <c r="D24" s="1894"/>
      <c r="E24" s="1895">
        <v>64</v>
      </c>
      <c r="F24" s="1894"/>
      <c r="G24" s="1894">
        <v>1174</v>
      </c>
      <c r="H24" s="1894">
        <v>3735</v>
      </c>
      <c r="I24" s="1908">
        <v>961</v>
      </c>
      <c r="J24" s="754"/>
      <c r="K24" s="754"/>
      <c r="L24" s="754"/>
      <c r="M24" s="754"/>
      <c r="N24" s="754"/>
      <c r="O24" s="754"/>
      <c r="P24" s="754"/>
      <c r="Q24" s="754"/>
      <c r="R24" s="754"/>
      <c r="S24" s="754"/>
      <c r="T24" s="754"/>
      <c r="U24" s="754"/>
      <c r="V24" s="909"/>
      <c r="W24" s="910"/>
      <c r="X24" s="910"/>
      <c r="Y24" s="910"/>
      <c r="Z24" s="910"/>
    </row>
    <row r="25" spans="1:26" s="903" customFormat="1" ht="12.75" customHeight="1">
      <c r="A25" s="1884"/>
      <c r="B25" s="1751"/>
      <c r="C25" s="1751"/>
      <c r="D25" s="1751"/>
      <c r="E25" s="1751"/>
      <c r="F25" s="1751"/>
      <c r="G25" s="1883"/>
      <c r="H25" s="234"/>
      <c r="I25" s="235"/>
      <c r="J25" s="754"/>
      <c r="K25" s="754"/>
      <c r="L25" s="754"/>
      <c r="M25" s="754"/>
      <c r="N25" s="754"/>
      <c r="O25" s="754"/>
      <c r="P25" s="754"/>
      <c r="Q25" s="754"/>
      <c r="R25" s="754"/>
      <c r="S25" s="754"/>
      <c r="T25" s="904"/>
    </row>
    <row r="26" spans="1:26" s="903" customFormat="1" ht="12.75" customHeight="1">
      <c r="A26" s="1885"/>
      <c r="B26" s="1859"/>
      <c r="C26" s="1859"/>
      <c r="D26" s="1859"/>
      <c r="E26" s="1859"/>
      <c r="F26" s="1859"/>
      <c r="G26" s="1886"/>
      <c r="H26" s="404"/>
      <c r="I26" s="405"/>
      <c r="J26" s="754"/>
      <c r="K26" s="754"/>
      <c r="L26" s="754"/>
      <c r="M26" s="754"/>
      <c r="N26" s="754"/>
      <c r="O26" s="754"/>
      <c r="P26" s="754"/>
    </row>
    <row r="27" spans="1:26" s="903" customFormat="1" ht="12.75" customHeight="1">
      <c r="A27" s="755"/>
      <c r="B27" s="905"/>
      <c r="H27" s="545"/>
      <c r="I27" s="545"/>
      <c r="J27" s="754"/>
      <c r="K27" s="754"/>
      <c r="L27" s="754"/>
      <c r="M27" s="763"/>
    </row>
    <row r="28" spans="1:26" s="903" customFormat="1" ht="12.75" customHeight="1">
      <c r="A28" s="755"/>
      <c r="B28" s="905"/>
      <c r="C28" s="905"/>
      <c r="D28" s="905"/>
      <c r="E28" s="905"/>
      <c r="F28" s="905"/>
      <c r="H28" s="545"/>
      <c r="I28" s="545"/>
      <c r="J28" s="754"/>
      <c r="K28" s="754"/>
      <c r="L28" s="754"/>
    </row>
    <row r="29" spans="1:26" ht="10.199999999999999">
      <c r="A29" s="757"/>
      <c r="B29" s="903"/>
      <c r="C29" s="903"/>
      <c r="G29" s="912"/>
      <c r="H29" s="758"/>
      <c r="I29" s="758"/>
      <c r="K29" s="757"/>
      <c r="N29" s="759"/>
    </row>
    <row r="30" spans="1:26">
      <c r="A30" s="1909" t="s">
        <v>1004</v>
      </c>
      <c r="B30" s="729"/>
      <c r="C30" s="729"/>
      <c r="D30" s="729"/>
      <c r="E30" s="729"/>
      <c r="F30" s="729"/>
      <c r="G30" s="729"/>
      <c r="H30" s="729"/>
      <c r="I30" s="729"/>
      <c r="J30" s="729"/>
      <c r="K30" s="611"/>
    </row>
    <row r="31" spans="1:26">
      <c r="A31" s="320" t="s">
        <v>1005</v>
      </c>
      <c r="B31" s="697"/>
      <c r="C31" s="697"/>
      <c r="D31" s="697"/>
      <c r="E31" s="697"/>
      <c r="F31" s="697"/>
      <c r="G31" s="697"/>
      <c r="H31" s="697"/>
      <c r="I31" s="697"/>
      <c r="J31" s="697"/>
      <c r="K31" s="612"/>
    </row>
    <row r="32" spans="1:26">
      <c r="A32" s="471" t="s">
        <v>1006</v>
      </c>
      <c r="B32" s="697"/>
      <c r="C32" s="697"/>
      <c r="D32" s="697"/>
      <c r="E32" s="697"/>
      <c r="F32" s="697"/>
      <c r="G32" s="697"/>
      <c r="H32" s="697"/>
      <c r="I32" s="697"/>
      <c r="J32" s="697"/>
      <c r="K32" s="612"/>
    </row>
    <row r="33" spans="1:13">
      <c r="A33" s="471"/>
      <c r="B33" s="736"/>
      <c r="C33" s="736"/>
      <c r="D33" s="736"/>
      <c r="E33" s="736"/>
      <c r="F33" s="736"/>
      <c r="G33" s="736"/>
      <c r="H33" s="736"/>
      <c r="I33" s="736"/>
      <c r="J33" s="736"/>
      <c r="K33" s="613"/>
    </row>
    <row r="34" spans="1:13" ht="39.6">
      <c r="A34" s="1910" t="s">
        <v>1007</v>
      </c>
      <c r="B34" s="1911" t="s">
        <v>626</v>
      </c>
      <c r="C34" s="1911" t="s">
        <v>61</v>
      </c>
      <c r="D34" s="1911" t="s">
        <v>627</v>
      </c>
      <c r="E34" s="1911" t="s">
        <v>628</v>
      </c>
      <c r="F34" s="1911"/>
      <c r="G34" s="1911" t="s">
        <v>630</v>
      </c>
      <c r="H34" s="1911" t="s">
        <v>631</v>
      </c>
      <c r="I34" s="1911" t="s">
        <v>1008</v>
      </c>
      <c r="J34" s="1911" t="s">
        <v>632</v>
      </c>
      <c r="K34" s="612" t="s">
        <v>625</v>
      </c>
    </row>
    <row r="35" spans="1:13">
      <c r="A35" s="471" t="s">
        <v>1002</v>
      </c>
      <c r="B35" s="703"/>
      <c r="C35" s="1912"/>
      <c r="D35" s="703"/>
      <c r="E35" s="1691"/>
      <c r="F35" s="1691"/>
      <c r="G35" s="1691"/>
      <c r="H35" s="703"/>
      <c r="I35" s="703"/>
      <c r="J35" s="1912"/>
      <c r="K35" s="612"/>
    </row>
    <row r="36" spans="1:13">
      <c r="A36" s="1918">
        <v>2005</v>
      </c>
      <c r="B36" s="1913">
        <v>140</v>
      </c>
      <c r="C36" s="1913">
        <v>12310</v>
      </c>
      <c r="D36" s="1913">
        <v>13</v>
      </c>
      <c r="E36" s="1913">
        <v>0</v>
      </c>
      <c r="F36" s="1913"/>
      <c r="G36" s="1913">
        <v>366</v>
      </c>
      <c r="H36" s="1913">
        <v>589</v>
      </c>
      <c r="I36" s="1913" t="s">
        <v>390</v>
      </c>
      <c r="J36" s="1913">
        <v>59</v>
      </c>
      <c r="K36" s="1919">
        <v>13477</v>
      </c>
      <c r="L36" s="760"/>
    </row>
    <row r="37" spans="1:13">
      <c r="A37" s="1920">
        <v>2006</v>
      </c>
      <c r="B37" s="1914">
        <v>113</v>
      </c>
      <c r="C37" s="1914">
        <v>12228</v>
      </c>
      <c r="D37" s="1914">
        <v>9</v>
      </c>
      <c r="E37" s="1914">
        <v>0</v>
      </c>
      <c r="F37" s="1914"/>
      <c r="G37" s="1914">
        <v>490</v>
      </c>
      <c r="H37" s="1914">
        <v>727</v>
      </c>
      <c r="I37" s="1914" t="s">
        <v>390</v>
      </c>
      <c r="J37" s="1914">
        <v>76</v>
      </c>
      <c r="K37" s="1921">
        <v>13643</v>
      </c>
      <c r="L37" s="760"/>
      <c r="M37" s="914"/>
    </row>
    <row r="38" spans="1:13">
      <c r="A38" s="1920">
        <v>2007</v>
      </c>
      <c r="B38" s="1914">
        <v>96</v>
      </c>
      <c r="C38" s="1914">
        <v>11913</v>
      </c>
      <c r="D38" s="1914">
        <v>9</v>
      </c>
      <c r="E38" s="1914">
        <v>0</v>
      </c>
      <c r="F38" s="1914"/>
      <c r="G38" s="1914">
        <v>491</v>
      </c>
      <c r="H38" s="1914">
        <v>709</v>
      </c>
      <c r="I38" s="1914" t="s">
        <v>390</v>
      </c>
      <c r="J38" s="1914">
        <v>97</v>
      </c>
      <c r="K38" s="1921">
        <v>13315</v>
      </c>
      <c r="L38" s="760"/>
    </row>
    <row r="39" spans="1:13">
      <c r="A39" s="1920">
        <v>2008</v>
      </c>
      <c r="B39" s="1914">
        <v>79</v>
      </c>
      <c r="C39" s="1914">
        <v>11990</v>
      </c>
      <c r="D39" s="1914">
        <v>8</v>
      </c>
      <c r="E39" s="1914">
        <v>0</v>
      </c>
      <c r="F39" s="1914"/>
      <c r="G39" s="1914">
        <v>514</v>
      </c>
      <c r="H39" s="1914">
        <v>786</v>
      </c>
      <c r="I39" s="1914" t="s">
        <v>390</v>
      </c>
      <c r="J39" s="1914">
        <v>97</v>
      </c>
      <c r="K39" s="1921">
        <v>13474</v>
      </c>
      <c r="L39" s="760"/>
    </row>
    <row r="40" spans="1:13">
      <c r="A40" s="1920">
        <v>2009</v>
      </c>
      <c r="B40" s="1914">
        <v>69</v>
      </c>
      <c r="C40" s="1914">
        <v>11717</v>
      </c>
      <c r="D40" s="1914">
        <v>8</v>
      </c>
      <c r="E40" s="1914">
        <v>2</v>
      </c>
      <c r="F40" s="1914"/>
      <c r="G40" s="1914">
        <v>552</v>
      </c>
      <c r="H40" s="1914">
        <v>967</v>
      </c>
      <c r="I40" s="1914" t="s">
        <v>390</v>
      </c>
      <c r="J40" s="1914">
        <v>92</v>
      </c>
      <c r="K40" s="1921">
        <v>13407</v>
      </c>
      <c r="L40" s="760"/>
    </row>
    <row r="41" spans="1:13">
      <c r="A41" s="1920">
        <v>2010</v>
      </c>
      <c r="B41" s="1914">
        <v>57</v>
      </c>
      <c r="C41" s="1914">
        <v>11804</v>
      </c>
      <c r="D41" s="1914">
        <v>4</v>
      </c>
      <c r="E41" s="1914">
        <v>2</v>
      </c>
      <c r="F41" s="1914"/>
      <c r="G41" s="1914">
        <v>611</v>
      </c>
      <c r="H41" s="1914">
        <v>1308</v>
      </c>
      <c r="I41" s="1914" t="s">
        <v>390</v>
      </c>
      <c r="J41" s="1914">
        <v>87</v>
      </c>
      <c r="K41" s="1921">
        <v>13873</v>
      </c>
      <c r="L41" s="2087">
        <f>(SUM(B41:G41)+J41)/K41</f>
        <v>0.90571613926331729</v>
      </c>
      <c r="M41" s="2087">
        <f>H41/K41</f>
        <v>9.4283860736682767E-2</v>
      </c>
    </row>
    <row r="42" spans="1:13">
      <c r="A42" s="1920">
        <v>2011</v>
      </c>
      <c r="B42" s="1914">
        <v>52</v>
      </c>
      <c r="C42" s="1914">
        <v>11385</v>
      </c>
      <c r="D42" s="1914">
        <v>4</v>
      </c>
      <c r="E42" s="1914">
        <v>2</v>
      </c>
      <c r="F42" s="1914"/>
      <c r="G42" s="1914">
        <v>850</v>
      </c>
      <c r="H42" s="1914">
        <v>1569</v>
      </c>
      <c r="I42" s="1914">
        <v>5</v>
      </c>
      <c r="J42" s="1914">
        <v>80</v>
      </c>
      <c r="K42" s="1921">
        <v>13947</v>
      </c>
      <c r="L42" s="760"/>
    </row>
    <row r="43" spans="1:13">
      <c r="A43" s="1920">
        <v>2012</v>
      </c>
      <c r="B43" s="1914">
        <v>48</v>
      </c>
      <c r="C43" s="1914">
        <v>11456</v>
      </c>
      <c r="D43" s="1914">
        <v>6</v>
      </c>
      <c r="E43" s="1914">
        <v>36</v>
      </c>
      <c r="F43" s="1914"/>
      <c r="G43" s="1914">
        <v>788</v>
      </c>
      <c r="H43" s="1914">
        <v>1795</v>
      </c>
      <c r="I43" s="1914">
        <v>5</v>
      </c>
      <c r="J43" s="1914">
        <v>69</v>
      </c>
      <c r="K43" s="1921">
        <f>SUM(B43:J43)</f>
        <v>14203</v>
      </c>
      <c r="L43" s="760"/>
    </row>
    <row r="44" spans="1:13">
      <c r="A44" s="1920">
        <v>2013</v>
      </c>
      <c r="B44" s="1914">
        <v>53</v>
      </c>
      <c r="C44" s="1914">
        <v>10861</v>
      </c>
      <c r="D44" s="1914">
        <v>8</v>
      </c>
      <c r="E44" s="1914">
        <v>42</v>
      </c>
      <c r="F44" s="1914"/>
      <c r="G44" s="1914">
        <v>795</v>
      </c>
      <c r="H44" s="1914">
        <v>2163</v>
      </c>
      <c r="I44" s="1914">
        <v>6</v>
      </c>
      <c r="J44" s="1914">
        <v>58</v>
      </c>
      <c r="K44" s="1921">
        <f>SUM(B44:J44)</f>
        <v>13986</v>
      </c>
      <c r="L44" s="760"/>
    </row>
    <row r="45" spans="1:13">
      <c r="A45" s="1922">
        <v>2014</v>
      </c>
      <c r="B45" s="1915">
        <v>48</v>
      </c>
      <c r="C45" s="1915">
        <v>10614</v>
      </c>
      <c r="D45" s="1915">
        <v>11</v>
      </c>
      <c r="E45" s="1915">
        <v>60</v>
      </c>
      <c r="F45" s="1915"/>
      <c r="G45" s="1915">
        <v>654</v>
      </c>
      <c r="H45" s="1915">
        <v>2300</v>
      </c>
      <c r="I45" s="1915">
        <v>277</v>
      </c>
      <c r="J45" s="1915">
        <v>28</v>
      </c>
      <c r="K45" s="1923">
        <f>SUM(B45:J45)</f>
        <v>13992</v>
      </c>
      <c r="L45" s="760"/>
    </row>
    <row r="46" spans="1:13">
      <c r="A46" s="1828" t="s">
        <v>1009</v>
      </c>
      <c r="B46" s="697"/>
      <c r="C46" s="697"/>
      <c r="D46" s="697"/>
      <c r="E46" s="697"/>
      <c r="F46" s="697"/>
      <c r="G46" s="697"/>
      <c r="H46" s="697"/>
      <c r="I46" s="697"/>
      <c r="J46" s="697"/>
      <c r="K46" s="612"/>
    </row>
    <row r="47" spans="1:13">
      <c r="A47" s="1696" t="s">
        <v>1010</v>
      </c>
      <c r="B47" s="697"/>
      <c r="C47" s="697"/>
      <c r="D47" s="697"/>
      <c r="E47" s="697"/>
      <c r="F47" s="697"/>
      <c r="G47" s="697"/>
      <c r="H47" s="697"/>
      <c r="I47" s="697"/>
      <c r="J47" s="697"/>
      <c r="K47" s="612"/>
    </row>
    <row r="48" spans="1:13">
      <c r="A48" s="1696" t="s">
        <v>1011</v>
      </c>
      <c r="B48" s="697"/>
      <c r="C48" s="697"/>
      <c r="D48" s="697"/>
      <c r="E48" s="697"/>
      <c r="F48" s="697"/>
      <c r="G48" s="697"/>
      <c r="H48" s="697"/>
      <c r="I48" s="697"/>
      <c r="J48" s="697"/>
      <c r="K48" s="612"/>
    </row>
    <row r="49" spans="1:21">
      <c r="A49" s="1696" t="s">
        <v>1012</v>
      </c>
      <c r="B49" s="697"/>
      <c r="C49" s="697"/>
      <c r="D49" s="697"/>
      <c r="E49" s="697"/>
      <c r="F49" s="697"/>
      <c r="G49" s="697"/>
      <c r="H49" s="697"/>
      <c r="I49" s="697"/>
      <c r="J49" s="697"/>
      <c r="K49" s="612"/>
      <c r="N49" s="915"/>
      <c r="O49" s="916"/>
      <c r="P49" s="916"/>
    </row>
    <row r="50" spans="1:21">
      <c r="A50" s="1696" t="s">
        <v>1013</v>
      </c>
      <c r="B50" s="697"/>
      <c r="C50" s="697"/>
      <c r="D50" s="697"/>
      <c r="E50" s="697"/>
      <c r="F50" s="697"/>
      <c r="G50" s="697"/>
      <c r="H50" s="697"/>
      <c r="I50" s="697"/>
      <c r="J50" s="697"/>
      <c r="K50" s="612"/>
      <c r="N50" s="915"/>
      <c r="O50" s="916"/>
      <c r="P50" s="916"/>
    </row>
    <row r="51" spans="1:21">
      <c r="A51" s="1696" t="s">
        <v>1014</v>
      </c>
      <c r="B51" s="697"/>
      <c r="C51" s="697"/>
      <c r="D51" s="697"/>
      <c r="E51" s="697"/>
      <c r="F51" s="697"/>
      <c r="G51" s="697"/>
      <c r="H51" s="697"/>
      <c r="I51" s="697"/>
      <c r="J51" s="697"/>
      <c r="K51" s="612"/>
    </row>
    <row r="52" spans="1:21">
      <c r="A52" s="1696" t="s">
        <v>1015</v>
      </c>
      <c r="B52" s="697"/>
      <c r="C52" s="697"/>
      <c r="D52" s="697"/>
      <c r="E52" s="697"/>
      <c r="F52" s="697"/>
      <c r="G52" s="697"/>
      <c r="H52" s="697"/>
      <c r="I52" s="697"/>
      <c r="J52" s="697"/>
      <c r="K52" s="612"/>
    </row>
    <row r="53" spans="1:21">
      <c r="A53" s="1916" t="s">
        <v>1016</v>
      </c>
      <c r="B53" s="697"/>
      <c r="C53" s="697"/>
      <c r="D53" s="697"/>
      <c r="E53" s="697"/>
      <c r="F53" s="697"/>
      <c r="G53" s="697"/>
      <c r="H53" s="697"/>
      <c r="I53" s="697"/>
      <c r="J53" s="697"/>
      <c r="K53" s="612"/>
    </row>
    <row r="54" spans="1:21">
      <c r="A54" s="1696"/>
      <c r="B54" s="697"/>
      <c r="C54" s="697"/>
      <c r="D54" s="697"/>
      <c r="E54" s="697"/>
      <c r="F54" s="697"/>
      <c r="G54" s="697"/>
      <c r="H54" s="697"/>
      <c r="I54" s="697"/>
      <c r="J54" s="697"/>
      <c r="K54" s="612"/>
    </row>
    <row r="55" spans="1:21">
      <c r="A55" s="1696"/>
      <c r="B55" s="697"/>
      <c r="C55" s="697"/>
      <c r="D55" s="697"/>
      <c r="E55" s="697"/>
      <c r="F55" s="697"/>
      <c r="G55" s="697"/>
      <c r="H55" s="697"/>
      <c r="I55" s="697"/>
      <c r="J55" s="697"/>
      <c r="K55" s="612"/>
    </row>
    <row r="56" spans="1:21">
      <c r="A56" s="1917"/>
      <c r="B56" s="736"/>
      <c r="C56" s="736"/>
      <c r="D56" s="736"/>
      <c r="E56" s="736"/>
      <c r="F56" s="736"/>
      <c r="G56" s="736"/>
      <c r="H56" s="736"/>
      <c r="I56" s="736"/>
      <c r="J56" s="736"/>
      <c r="K56" s="613"/>
    </row>
    <row r="62" spans="1:21" ht="13.8" thickBot="1"/>
    <row r="63" spans="1:21" ht="13.8" thickBot="1">
      <c r="A63" s="1116" t="s">
        <v>1519</v>
      </c>
      <c r="B63" s="1114"/>
      <c r="C63" s="1114"/>
      <c r="D63" s="1114"/>
      <c r="E63" s="1114"/>
      <c r="F63" s="1114"/>
      <c r="G63" s="1114"/>
      <c r="H63" s="1114"/>
      <c r="I63" s="1114"/>
      <c r="J63" s="1114"/>
      <c r="K63" s="1114"/>
      <c r="L63" s="1114"/>
      <c r="M63" s="1114"/>
      <c r="N63" s="1114"/>
      <c r="O63" s="1114"/>
      <c r="P63" s="1114"/>
      <c r="Q63" s="1114"/>
      <c r="R63" s="1114"/>
      <c r="S63" s="1115"/>
    </row>
    <row r="64" spans="1:21">
      <c r="A64" s="429"/>
      <c r="B64" s="69"/>
      <c r="C64" s="69"/>
      <c r="D64" s="95"/>
      <c r="E64" s="429"/>
      <c r="F64" s="69"/>
      <c r="G64" s="69"/>
      <c r="H64" s="95"/>
      <c r="I64" s="429"/>
      <c r="J64" s="69"/>
      <c r="K64" s="95"/>
      <c r="L64" s="430"/>
      <c r="M64" s="387"/>
      <c r="N64" s="387"/>
      <c r="O64" s="431"/>
      <c r="P64" s="1123"/>
      <c r="Q64" s="1123"/>
      <c r="R64" s="1123"/>
      <c r="S64" s="1124"/>
      <c r="U64" s="757" t="s">
        <v>3187</v>
      </c>
    </row>
    <row r="65" spans="1:22">
      <c r="A65" s="308"/>
      <c r="B65" s="543"/>
      <c r="C65" s="543"/>
      <c r="D65" s="547"/>
      <c r="E65" s="308"/>
      <c r="F65" s="543"/>
      <c r="G65" s="543"/>
      <c r="H65" s="547"/>
      <c r="I65" s="308"/>
      <c r="J65" s="543"/>
      <c r="K65" s="547"/>
      <c r="L65" s="433"/>
      <c r="M65" s="3"/>
      <c r="N65" s="444"/>
      <c r="O65" s="432"/>
      <c r="P65" s="1125" t="s">
        <v>1521</v>
      </c>
      <c r="Q65" s="873"/>
      <c r="R65" s="873" t="s">
        <v>1517</v>
      </c>
      <c r="S65" s="1126"/>
      <c r="U65" s="918" t="str">
        <f>'SE stock data'!AE29</f>
        <v>Bussar</v>
      </c>
    </row>
    <row r="66" spans="1:22">
      <c r="A66" s="308"/>
      <c r="B66" s="543" t="s">
        <v>1520</v>
      </c>
      <c r="C66" s="543"/>
      <c r="D66" s="547"/>
      <c r="E66" s="308"/>
      <c r="F66" s="561" t="s">
        <v>1518</v>
      </c>
      <c r="G66" s="543"/>
      <c r="H66" s="547"/>
      <c r="I66" s="308"/>
      <c r="J66" s="543"/>
      <c r="K66" s="547" t="s">
        <v>1520</v>
      </c>
      <c r="L66" s="433"/>
      <c r="M66" s="444"/>
      <c r="N66" s="1329"/>
      <c r="O66" s="432"/>
      <c r="P66" s="1125" t="s">
        <v>601</v>
      </c>
      <c r="Q66" s="3" t="s">
        <v>3185</v>
      </c>
      <c r="R66" s="1328">
        <f>$K$68*V66</f>
        <v>276.93244489295756</v>
      </c>
      <c r="S66" s="1126"/>
      <c r="U66" s="918">
        <f>'SE stock data'!AE33</f>
        <v>744.49292452830196</v>
      </c>
      <c r="V66" s="2086">
        <f>U66/U$74</f>
        <v>4.3898219563180282E-2</v>
      </c>
    </row>
    <row r="67" spans="1:22">
      <c r="A67" s="308"/>
      <c r="B67" s="543"/>
      <c r="C67" s="543"/>
      <c r="D67" s="547"/>
      <c r="E67" s="308"/>
      <c r="F67" s="543"/>
      <c r="G67" s="543"/>
      <c r="H67" s="547"/>
      <c r="I67" s="308"/>
      <c r="J67" s="543"/>
      <c r="K67" s="547"/>
      <c r="L67" s="433"/>
      <c r="M67" s="444"/>
      <c r="N67" s="1329"/>
      <c r="O67" s="432"/>
      <c r="P67" s="1125"/>
      <c r="Q67" s="3" t="s">
        <v>3186</v>
      </c>
      <c r="R67" s="1328">
        <f>$K$69*V66</f>
        <v>98.874121310123357</v>
      </c>
      <c r="S67" s="1126"/>
      <c r="U67" s="918"/>
      <c r="V67" s="2086"/>
    </row>
    <row r="68" spans="1:22">
      <c r="A68" s="1108" t="s">
        <v>1318</v>
      </c>
      <c r="B68" s="165">
        <f>'SE km&amp;fuel data'!E110*1000</f>
        <v>8560.8612363470293</v>
      </c>
      <c r="C68" s="543"/>
      <c r="D68" s="547"/>
      <c r="E68" s="308"/>
      <c r="F68" s="3" t="s">
        <v>3185</v>
      </c>
      <c r="G68" s="543"/>
      <c r="H68" s="2711">
        <f>C71</f>
        <v>0.73690155999910578</v>
      </c>
      <c r="I68" s="308"/>
      <c r="J68" s="3" t="s">
        <v>3185</v>
      </c>
      <c r="K68" s="1112">
        <f>B68*H68</f>
        <v>6308.5119999999997</v>
      </c>
      <c r="L68" s="433"/>
      <c r="M68" s="444"/>
      <c r="N68" s="1329"/>
      <c r="O68" s="432"/>
      <c r="P68" s="1125" t="s">
        <v>602</v>
      </c>
      <c r="Q68" s="3" t="s">
        <v>3185</v>
      </c>
      <c r="R68" s="1328">
        <f>$K$68*V68</f>
        <v>642.0831070424565</v>
      </c>
      <c r="S68" s="1126"/>
      <c r="U68" s="918">
        <f>'SE stock data'!AE34</f>
        <v>1726.1477987421385</v>
      </c>
      <c r="V68" s="2086">
        <f t="shared" ref="V68:V74" si="0">U68/U$74</f>
        <v>0.10178043681972176</v>
      </c>
    </row>
    <row r="69" spans="1:22">
      <c r="A69" s="308"/>
      <c r="B69" s="543"/>
      <c r="C69" s="543"/>
      <c r="D69" s="547"/>
      <c r="E69" s="308"/>
      <c r="F69" s="3" t="s">
        <v>3186</v>
      </c>
      <c r="G69" s="543"/>
      <c r="H69" s="2711">
        <f>1-H68</f>
        <v>0.26309844000089422</v>
      </c>
      <c r="I69" s="308"/>
      <c r="J69" s="3" t="s">
        <v>3186</v>
      </c>
      <c r="K69" s="1112">
        <f>B68*H69</f>
        <v>2252.34923634703</v>
      </c>
      <c r="L69" s="433"/>
      <c r="M69" s="444"/>
      <c r="N69" s="1329"/>
      <c r="O69" s="432"/>
      <c r="P69" s="1125"/>
      <c r="Q69" s="3" t="s">
        <v>3186</v>
      </c>
      <c r="R69" s="1328">
        <f>$K$69*V68</f>
        <v>229.24508914596746</v>
      </c>
      <c r="S69" s="1126"/>
      <c r="U69" s="918"/>
      <c r="V69" s="2086"/>
    </row>
    <row r="70" spans="1:22" ht="13.8">
      <c r="A70" s="308"/>
      <c r="B70" s="543"/>
      <c r="C70" s="543"/>
      <c r="D70" s="547"/>
      <c r="E70" s="308"/>
      <c r="F70" s="543"/>
      <c r="G70" s="543"/>
      <c r="H70" s="1117"/>
      <c r="I70" s="308"/>
      <c r="J70" s="543"/>
      <c r="K70" s="1112"/>
      <c r="L70" s="433"/>
      <c r="M70" s="444"/>
      <c r="N70" s="1329"/>
      <c r="O70" s="432"/>
      <c r="P70" s="1125" t="s">
        <v>603</v>
      </c>
      <c r="Q70" s="3" t="s">
        <v>3185</v>
      </c>
      <c r="R70" s="1328">
        <f>$K$68*V70</f>
        <v>4126.7026886758449</v>
      </c>
      <c r="S70" s="1126"/>
      <c r="U70" s="918">
        <f>'SE stock data'!AE35</f>
        <v>11094.044811320755</v>
      </c>
      <c r="V70" s="2086">
        <f t="shared" si="0"/>
        <v>0.65414834570748936</v>
      </c>
    </row>
    <row r="71" spans="1:22">
      <c r="A71" s="308" t="s">
        <v>3188</v>
      </c>
      <c r="B71" s="543">
        <f>'SE Public transp data'!H10/1000</f>
        <v>6308.5119999999997</v>
      </c>
      <c r="C71" s="543">
        <f>B71/B68</f>
        <v>0.73690155999910578</v>
      </c>
      <c r="D71" s="547"/>
      <c r="E71" s="308"/>
      <c r="F71" s="543"/>
      <c r="G71" s="543"/>
      <c r="H71" s="547"/>
      <c r="I71" s="308"/>
      <c r="J71" s="543"/>
      <c r="K71" s="547"/>
      <c r="L71" s="433"/>
      <c r="M71" s="444"/>
      <c r="N71" s="1329"/>
      <c r="O71" s="432"/>
      <c r="P71" s="1125"/>
      <c r="Q71" s="3" t="s">
        <v>3186</v>
      </c>
      <c r="R71" s="1328">
        <f>$K$69*V70</f>
        <v>1473.3705269119366</v>
      </c>
      <c r="S71" s="1126"/>
      <c r="U71" s="918"/>
      <c r="V71" s="2086"/>
    </row>
    <row r="72" spans="1:22">
      <c r="A72" s="308"/>
      <c r="B72" s="543"/>
      <c r="C72" s="543"/>
      <c r="D72" s="547"/>
      <c r="E72" s="308"/>
      <c r="F72" s="543"/>
      <c r="G72" s="543"/>
      <c r="H72" s="547"/>
      <c r="I72" s="308"/>
      <c r="J72" s="543"/>
      <c r="K72" s="547"/>
      <c r="L72" s="433"/>
      <c r="M72" s="444"/>
      <c r="N72" s="1329"/>
      <c r="O72" s="432"/>
      <c r="P72" s="1125" t="s">
        <v>604</v>
      </c>
      <c r="Q72" s="3" t="s">
        <v>3185</v>
      </c>
      <c r="R72" s="1328">
        <f>$K$68*V72</f>
        <v>1262.7937593887407</v>
      </c>
      <c r="S72" s="1126"/>
      <c r="U72" s="918">
        <f>'SE stock data'!AE36</f>
        <v>3394.8388364779876</v>
      </c>
      <c r="V72" s="2086">
        <f t="shared" si="0"/>
        <v>0.2001729979096086</v>
      </c>
    </row>
    <row r="73" spans="1:22">
      <c r="A73" s="308"/>
      <c r="B73" s="543"/>
      <c r="C73" s="543"/>
      <c r="D73" s="547"/>
      <c r="E73" s="308"/>
      <c r="F73" s="543"/>
      <c r="G73" s="543"/>
      <c r="H73" s="547"/>
      <c r="I73" s="308"/>
      <c r="J73" s="543"/>
      <c r="K73" s="547"/>
      <c r="L73" s="433"/>
      <c r="M73" s="444"/>
      <c r="N73" s="1329"/>
      <c r="O73" s="432"/>
      <c r="P73" s="1125"/>
      <c r="Q73" s="3" t="s">
        <v>3186</v>
      </c>
      <c r="R73" s="1328">
        <f>$K$69*V72</f>
        <v>450.85949897900258</v>
      </c>
      <c r="S73" s="1126"/>
      <c r="U73" s="918"/>
      <c r="V73" s="2086"/>
    </row>
    <row r="74" spans="1:22" ht="13.8" thickBot="1">
      <c r="A74" s="427"/>
      <c r="B74" s="390"/>
      <c r="C74" s="390"/>
      <c r="D74" s="428"/>
      <c r="E74" s="427"/>
      <c r="F74" s="390"/>
      <c r="G74" s="390"/>
      <c r="H74" s="428"/>
      <c r="I74" s="427"/>
      <c r="J74" s="390"/>
      <c r="K74" s="428"/>
      <c r="L74" s="434"/>
      <c r="M74" s="583"/>
      <c r="N74" s="1330"/>
      <c r="O74" s="435"/>
      <c r="P74" s="1128"/>
      <c r="Q74" s="874"/>
      <c r="R74" s="1129">
        <f>SUM(R66:R73)</f>
        <v>8560.8612363470293</v>
      </c>
      <c r="S74" s="1130"/>
      <c r="U74" s="918">
        <f>'SE stock data'!AE37</f>
        <v>16959.524371069183</v>
      </c>
      <c r="V74" s="2086">
        <f t="shared" si="0"/>
        <v>1</v>
      </c>
    </row>
    <row r="75" spans="1:22">
      <c r="A75"/>
      <c r="B75"/>
      <c r="C75"/>
      <c r="D75"/>
      <c r="E75"/>
      <c r="F75"/>
      <c r="G75"/>
      <c r="H75"/>
      <c r="I75"/>
      <c r="J75"/>
      <c r="K75"/>
      <c r="L75"/>
      <c r="M75"/>
      <c r="N75"/>
      <c r="O75"/>
      <c r="P75"/>
      <c r="Q75"/>
      <c r="R75" s="754"/>
      <c r="S75" s="754"/>
    </row>
    <row r="76" spans="1:22">
      <c r="A76"/>
      <c r="B76"/>
      <c r="C76"/>
      <c r="D76"/>
      <c r="E76"/>
      <c r="F76"/>
      <c r="G76"/>
      <c r="H76"/>
      <c r="I76"/>
      <c r="J76"/>
      <c r="K76"/>
      <c r="L76"/>
      <c r="M76"/>
      <c r="N76"/>
      <c r="O76"/>
      <c r="P76"/>
      <c r="Q76"/>
      <c r="R76" s="754"/>
      <c r="S76" s="754"/>
    </row>
    <row r="77" spans="1:22">
      <c r="J77" s="758">
        <f>K68*BUS!J6</f>
        <v>435.97560080338701</v>
      </c>
    </row>
    <row r="79" spans="1:22">
      <c r="A79" s="754"/>
      <c r="B79" s="754"/>
      <c r="C79" s="754"/>
      <c r="D79" s="754"/>
      <c r="F79" s="754"/>
    </row>
    <row r="80" spans="1:22">
      <c r="A80" s="754"/>
      <c r="B80" s="754"/>
      <c r="C80" s="754"/>
      <c r="D80" s="754"/>
      <c r="E80" s="754"/>
      <c r="F80" s="754"/>
    </row>
    <row r="81" spans="1:12">
      <c r="A81" s="754"/>
      <c r="B81" s="754"/>
      <c r="C81" s="754"/>
      <c r="D81" s="754"/>
      <c r="E81" s="754"/>
      <c r="F81" s="754"/>
    </row>
    <row r="82" spans="1:12">
      <c r="A82" s="754"/>
      <c r="B82" s="754"/>
      <c r="C82" s="754"/>
      <c r="D82" s="754"/>
      <c r="E82" s="754"/>
      <c r="F82" s="754"/>
    </row>
    <row r="83" spans="1:12">
      <c r="A83" s="1651"/>
      <c r="B83" s="1651"/>
      <c r="C83" s="1651" t="s">
        <v>188</v>
      </c>
      <c r="D83" s="1651"/>
      <c r="E83" s="754"/>
      <c r="F83" s="765"/>
      <c r="G83" s="2553"/>
      <c r="H83" s="2554"/>
      <c r="I83" s="2554" t="s">
        <v>188</v>
      </c>
      <c r="J83" s="2555"/>
    </row>
    <row r="84" spans="1:12">
      <c r="A84" s="754"/>
      <c r="B84" s="754"/>
      <c r="C84" s="754" t="s">
        <v>2088</v>
      </c>
      <c r="D84" s="754" t="s">
        <v>2089</v>
      </c>
      <c r="E84" s="765"/>
      <c r="F84" s="1643"/>
      <c r="G84" s="2556"/>
      <c r="H84" s="3"/>
      <c r="I84" s="3"/>
      <c r="J84" s="35"/>
    </row>
    <row r="85" spans="1:12">
      <c r="A85" s="754"/>
      <c r="B85" s="754" t="s">
        <v>1353</v>
      </c>
      <c r="C85" s="170">
        <f>'SE stock data'!AE37</f>
        <v>16959.524371069183</v>
      </c>
      <c r="D85" s="754">
        <f>C85/1000</f>
        <v>16.959524371069183</v>
      </c>
      <c r="E85" s="754"/>
      <c r="F85" s="754"/>
      <c r="G85" s="2556"/>
      <c r="H85" s="3"/>
      <c r="I85" s="165"/>
      <c r="J85" s="35"/>
    </row>
    <row r="86" spans="1:12">
      <c r="A86" s="754"/>
      <c r="B86" s="754"/>
      <c r="C86" s="754"/>
      <c r="D86" s="754"/>
      <c r="E86" s="754"/>
      <c r="F86" s="754"/>
      <c r="G86" s="2556"/>
      <c r="H86" s="3"/>
      <c r="I86" s="543" t="s">
        <v>2089</v>
      </c>
      <c r="J86" s="35" t="s">
        <v>2089</v>
      </c>
    </row>
    <row r="87" spans="1:12">
      <c r="G87" s="2556"/>
      <c r="H87" s="3"/>
      <c r="I87" s="543" t="s">
        <v>2401</v>
      </c>
      <c r="J87" s="2557" t="s">
        <v>2402</v>
      </c>
    </row>
    <row r="88" spans="1:12">
      <c r="A88" s="754" t="s">
        <v>2090</v>
      </c>
      <c r="B88" s="3" t="s">
        <v>3185</v>
      </c>
      <c r="C88" s="548">
        <f>C$85*R66/R$74</f>
        <v>548.61799749320232</v>
      </c>
      <c r="D88" s="12">
        <f>C88/1000</f>
        <v>0.54861799749320228</v>
      </c>
      <c r="G88" s="22" t="s">
        <v>2090</v>
      </c>
      <c r="H88" s="3" t="s">
        <v>3185</v>
      </c>
      <c r="I88" s="2108">
        <f>D88-J88</f>
        <v>0.47842433027753017</v>
      </c>
      <c r="J88" s="425">
        <f>($H$41*V66*'SE stock data'!$AE$25)/1000</f>
        <v>7.0193667215672106E-2</v>
      </c>
      <c r="L88" s="2552">
        <f>D88/(D$88+D$90+D$92+D$94)</f>
        <v>4.3898219563180282E-2</v>
      </c>
    </row>
    <row r="89" spans="1:12">
      <c r="A89" s="754"/>
      <c r="B89" s="3" t="s">
        <v>3186</v>
      </c>
      <c r="C89" s="548">
        <f t="shared" ref="C89:C95" si="1">C$85*R67/R$74</f>
        <v>195.87492703509972</v>
      </c>
      <c r="D89" s="12">
        <f t="shared" ref="D89:D96" si="2">C89/1000</f>
        <v>0.19587492703509971</v>
      </c>
      <c r="G89" s="22"/>
      <c r="H89" s="3" t="s">
        <v>3186</v>
      </c>
      <c r="I89" s="2108">
        <f>D89</f>
        <v>0.19587492703509971</v>
      </c>
      <c r="J89" s="425">
        <v>0</v>
      </c>
      <c r="L89" s="1644"/>
    </row>
    <row r="90" spans="1:12">
      <c r="A90" s="754" t="s">
        <v>602</v>
      </c>
      <c r="B90" s="3" t="s">
        <v>3185</v>
      </c>
      <c r="C90" s="548">
        <f t="shared" si="1"/>
        <v>1272.0010056821043</v>
      </c>
      <c r="D90" s="12">
        <f t="shared" si="2"/>
        <v>1.2720010056821043</v>
      </c>
      <c r="G90" s="22" t="s">
        <v>602</v>
      </c>
      <c r="H90" s="3" t="s">
        <v>3185</v>
      </c>
      <c r="I90" s="2108">
        <f>D90-J90</f>
        <v>1.1092531270145689</v>
      </c>
      <c r="J90" s="425">
        <f>($H$41*V68*'SE stock data'!$AE$25)/1000</f>
        <v>0.16274787866753532</v>
      </c>
      <c r="L90" s="2552">
        <f>D90/(D$88+D$90+D$92+D$94)</f>
        <v>0.10178043681972175</v>
      </c>
    </row>
    <row r="91" spans="1:12">
      <c r="A91" s="754"/>
      <c r="B91" s="3" t="s">
        <v>3186</v>
      </c>
      <c r="C91" s="548">
        <f t="shared" si="1"/>
        <v>454.14679306003416</v>
      </c>
      <c r="D91" s="12">
        <f>C91/1000</f>
        <v>0.45414679306003414</v>
      </c>
      <c r="G91" s="22"/>
      <c r="H91" s="3" t="s">
        <v>3186</v>
      </c>
      <c r="I91" s="2108">
        <f>D91</f>
        <v>0.45414679306003414</v>
      </c>
      <c r="J91" s="425">
        <v>0</v>
      </c>
      <c r="L91" s="1644"/>
    </row>
    <row r="92" spans="1:12">
      <c r="A92" s="754" t="s">
        <v>603</v>
      </c>
      <c r="B92" s="3" t="s">
        <v>3185</v>
      </c>
      <c r="C92" s="548">
        <f t="shared" si="1"/>
        <v>8175.2189281622504</v>
      </c>
      <c r="D92" s="12">
        <f t="shared" si="2"/>
        <v>8.1752189281622503</v>
      </c>
      <c r="G92" s="22" t="s">
        <v>603</v>
      </c>
      <c r="H92" s="3" t="s">
        <v>3185</v>
      </c>
      <c r="I92" s="2108">
        <f>D92-J92</f>
        <v>7.1292295521651656</v>
      </c>
      <c r="J92" s="425">
        <f>($H$41*V70*'SE stock data'!$AE$25)/1000</f>
        <v>1.0459893759970842</v>
      </c>
      <c r="L92" s="2552">
        <f>D92/(D$88+D$90+D$92+D$94)</f>
        <v>0.65414834570748936</v>
      </c>
    </row>
    <row r="93" spans="1:12">
      <c r="A93" s="754"/>
      <c r="B93" s="3" t="s">
        <v>3186</v>
      </c>
      <c r="C93" s="548">
        <f t="shared" si="1"/>
        <v>2918.8258831585053</v>
      </c>
      <c r="D93" s="12">
        <f t="shared" si="2"/>
        <v>2.9188258831585054</v>
      </c>
      <c r="G93" s="22"/>
      <c r="H93" s="3" t="s">
        <v>3186</v>
      </c>
      <c r="I93" s="2108">
        <f>D93</f>
        <v>2.9188258831585054</v>
      </c>
      <c r="J93" s="425">
        <v>0</v>
      </c>
      <c r="L93" s="1644"/>
    </row>
    <row r="94" spans="1:12">
      <c r="A94" s="754" t="s">
        <v>604</v>
      </c>
      <c r="B94" s="3" t="s">
        <v>3185</v>
      </c>
      <c r="C94" s="548">
        <f t="shared" si="1"/>
        <v>2501.6620345461783</v>
      </c>
      <c r="D94" s="12">
        <f t="shared" si="2"/>
        <v>2.5016620345461784</v>
      </c>
      <c r="G94" s="22" t="s">
        <v>604</v>
      </c>
      <c r="H94" s="3" t="s">
        <v>3185</v>
      </c>
      <c r="I94" s="2108">
        <f>D94-J94</f>
        <v>2.1815835224642055</v>
      </c>
      <c r="J94" s="425">
        <f>($H$41*V72*'SE stock data'!$AE$25)/1000</f>
        <v>0.32007851208197274</v>
      </c>
      <c r="L94" s="2552">
        <f>D94/(D$88+D$90+D$92+D$94)</f>
        <v>0.2001729979096086</v>
      </c>
    </row>
    <row r="95" spans="1:12">
      <c r="A95" s="754"/>
      <c r="B95" s="3" t="s">
        <v>3186</v>
      </c>
      <c r="C95" s="548">
        <f t="shared" si="1"/>
        <v>893.17680193180945</v>
      </c>
      <c r="D95" s="12">
        <f t="shared" si="2"/>
        <v>0.89317680193180948</v>
      </c>
      <c r="G95" s="461"/>
      <c r="H95" s="3" t="s">
        <v>3186</v>
      </c>
      <c r="I95" s="2373">
        <f>D95</f>
        <v>0.89317680193180948</v>
      </c>
      <c r="J95" s="1558">
        <v>0</v>
      </c>
      <c r="L95" s="1644"/>
    </row>
    <row r="96" spans="1:12">
      <c r="C96" s="1645">
        <f>SUM(C88:C95)</f>
        <v>16959.524371069183</v>
      </c>
      <c r="D96" s="759">
        <f t="shared" si="2"/>
        <v>16.959524371069183</v>
      </c>
      <c r="I96" s="545">
        <f>SUM(I88:I95)</f>
        <v>15.360514937106919</v>
      </c>
    </row>
    <row r="97" spans="1:12">
      <c r="I97" s="545">
        <f>SUM(I88:J95)</f>
        <v>16.959524371069183</v>
      </c>
    </row>
    <row r="98" spans="1:12">
      <c r="H98" s="12"/>
    </row>
    <row r="99" spans="1:12">
      <c r="A99" s="1652"/>
      <c r="B99" s="1145"/>
      <c r="C99" s="1145" t="s">
        <v>1509</v>
      </c>
      <c r="D99" s="1145"/>
      <c r="H99" s="2088"/>
      <c r="J99" s="758">
        <f>SUM(J88:J98)</f>
        <v>1.5990094339622642</v>
      </c>
      <c r="L99" s="2552">
        <f>SUM(L88:L98)</f>
        <v>1</v>
      </c>
    </row>
    <row r="101" spans="1:12">
      <c r="B101" s="757" t="s">
        <v>2092</v>
      </c>
      <c r="C101" s="2716">
        <f>C107</f>
        <v>9.1327129396134676</v>
      </c>
    </row>
    <row r="102" spans="1:12">
      <c r="C102" s="2713">
        <f>'SE Public transp data'!P10</f>
        <v>11.4465</v>
      </c>
    </row>
    <row r="104" spans="1:12">
      <c r="A104" s="1652"/>
      <c r="B104" s="1145"/>
      <c r="C104" s="1145" t="s">
        <v>2093</v>
      </c>
      <c r="D104" s="1145"/>
    </row>
    <row r="105" spans="1:12">
      <c r="B105" s="757" t="s">
        <v>3192</v>
      </c>
      <c r="C105" s="910">
        <f>'SE km&amp;fuel data'!$E$37*1000000</f>
        <v>937384246.38466287</v>
      </c>
      <c r="D105" s="757" t="s">
        <v>3189</v>
      </c>
      <c r="E105" s="757" t="s">
        <v>3190</v>
      </c>
    </row>
    <row r="106" spans="1:12">
      <c r="B106" s="757" t="s">
        <v>3192</v>
      </c>
      <c r="C106" s="910">
        <f>'SE km&amp;fuel data'!E110*1000000000</f>
        <v>8560861236.3470297</v>
      </c>
      <c r="D106" s="757" t="s">
        <v>3191</v>
      </c>
      <c r="E106" s="757" t="s">
        <v>3190</v>
      </c>
    </row>
    <row r="107" spans="1:12">
      <c r="C107" s="2714">
        <f>C106/C105</f>
        <v>9.1327129396134676</v>
      </c>
      <c r="D107" s="757" t="s">
        <v>3193</v>
      </c>
    </row>
    <row r="108" spans="1:12">
      <c r="C108" s="910"/>
    </row>
    <row r="109" spans="1:12">
      <c r="C109" s="910"/>
    </row>
    <row r="110" spans="1:12">
      <c r="C110" s="910"/>
    </row>
    <row r="111" spans="1:12">
      <c r="B111" s="757" t="s">
        <v>2064</v>
      </c>
      <c r="C111" s="757">
        <f>'SE Public transp data'!D10*1000</f>
        <v>551132000</v>
      </c>
      <c r="D111" s="757" t="s">
        <v>2095</v>
      </c>
    </row>
    <row r="112" spans="1:12">
      <c r="B112" s="757" t="s">
        <v>2094</v>
      </c>
      <c r="C112" s="2715">
        <f>C105/C85</f>
        <v>55271.847598728804</v>
      </c>
      <c r="D112" s="757" t="s">
        <v>2096</v>
      </c>
    </row>
    <row r="116" spans="3:3">
      <c r="C116" s="757">
        <f>C111/C85</f>
        <v>32496.901914310871</v>
      </c>
    </row>
  </sheetData>
  <mergeCells count="2">
    <mergeCell ref="B12:C12"/>
    <mergeCell ref="G12:H12"/>
  </mergeCells>
  <pageMargins left="0.7" right="0.7" top="0.75" bottom="0.75" header="0.3" footer="0.3"/>
  <drawing r:id="rId1"/>
  <legacyDrawing r:id="rId2"/>
  <oleObjects>
    <mc:AlternateContent xmlns:mc="http://schemas.openxmlformats.org/markup-compatibility/2006">
      <mc:Choice Requires="x14">
        <oleObject progId="Paint.Picture" shapeId="521217" r:id="rId3">
          <objectPr defaultSize="0" autoLine="0" autoPict="0" r:id="rId4">
            <anchor moveWithCells="1">
              <from>
                <xdr:col>0</xdr:col>
                <xdr:colOff>38100</xdr:colOff>
                <xdr:row>25</xdr:row>
                <xdr:rowOff>22860</xdr:rowOff>
              </from>
              <to>
                <xdr:col>1</xdr:col>
                <xdr:colOff>403860</xdr:colOff>
                <xdr:row>26</xdr:row>
                <xdr:rowOff>99060</xdr:rowOff>
              </to>
            </anchor>
          </objectPr>
        </oleObject>
      </mc:Choice>
      <mc:Fallback>
        <oleObject progId="Paint.Picture" shapeId="521217" r:id="rId3"/>
      </mc:Fallback>
    </mc:AlternateContent>
    <mc:AlternateContent xmlns:mc="http://schemas.openxmlformats.org/markup-compatibility/2006">
      <mc:Choice Requires="x14">
        <oleObject progId="Paint.Picture" shapeId="521218" r:id="rId5">
          <objectPr defaultSize="0" autoLine="0" autoPict="0" r:id="rId4">
            <anchor moveWithCells="1">
              <from>
                <xdr:col>0</xdr:col>
                <xdr:colOff>68580</xdr:colOff>
                <xdr:row>54</xdr:row>
                <xdr:rowOff>22860</xdr:rowOff>
              </from>
              <to>
                <xdr:col>1</xdr:col>
                <xdr:colOff>426720</xdr:colOff>
                <xdr:row>55</xdr:row>
                <xdr:rowOff>99060</xdr:rowOff>
              </to>
            </anchor>
          </objectPr>
        </oleObject>
      </mc:Choice>
      <mc:Fallback>
        <oleObject progId="Paint.Picture" shapeId="521218" r:id="rId5"/>
      </mc:Fallback>
    </mc:AlternateContent>
  </oleObjects>
</worksheet>
</file>

<file path=xl/worksheets/sheet3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000-000000000000}">
  <sheetPr>
    <tabColor rgb="FF00B0F0"/>
  </sheetPr>
  <dimension ref="A1:AL384"/>
  <sheetViews>
    <sheetView zoomScale="85" zoomScaleNormal="85" workbookViewId="0">
      <selection activeCell="F336" sqref="F336"/>
    </sheetView>
  </sheetViews>
  <sheetFormatPr defaultRowHeight="13.2"/>
  <cols>
    <col min="1" max="1" width="8.44140625" style="864" customWidth="1"/>
    <col min="2" max="2" width="23.109375" style="765" customWidth="1"/>
    <col min="3" max="3" width="13" style="754" customWidth="1"/>
    <col min="4" max="4" width="9.33203125" style="754" customWidth="1"/>
    <col min="5" max="5" width="10.88671875" style="754" customWidth="1"/>
    <col min="6" max="6" width="8.6640625" style="754" customWidth="1"/>
    <col min="7" max="7" width="12.5546875" style="754" customWidth="1"/>
    <col min="8" max="8" width="10.33203125" style="754" customWidth="1"/>
    <col min="9" max="9" width="12" style="754" customWidth="1"/>
    <col min="10" max="10" width="10.6640625" style="754" customWidth="1"/>
    <col min="11" max="11" width="9.33203125" style="754" customWidth="1"/>
    <col min="12" max="12" width="13.109375" style="754" customWidth="1"/>
    <col min="13" max="13" width="9.88671875" style="754" customWidth="1"/>
    <col min="14" max="16" width="9.109375" style="754"/>
    <col min="17" max="17" width="16.5546875" style="754" customWidth="1"/>
    <col min="18" max="22" width="9.109375" style="754"/>
    <col min="23" max="23" width="19.6640625" style="754" customWidth="1"/>
    <col min="24" max="25" width="9.109375" style="754"/>
    <col min="26" max="36" width="13.109375" style="754" customWidth="1"/>
    <col min="37" max="256" width="9.109375" style="754"/>
    <col min="257" max="257" width="8.44140625" style="754" customWidth="1"/>
    <col min="258" max="258" width="18.6640625" style="754" customWidth="1"/>
    <col min="259" max="259" width="13" style="754" customWidth="1"/>
    <col min="260" max="260" width="9.33203125" style="754" customWidth="1"/>
    <col min="261" max="261" width="10.88671875" style="754" customWidth="1"/>
    <col min="262" max="262" width="8.6640625" style="754" customWidth="1"/>
    <col min="263" max="263" width="12.5546875" style="754" customWidth="1"/>
    <col min="264" max="264" width="10.33203125" style="754" customWidth="1"/>
    <col min="265" max="265" width="12" style="754" customWidth="1"/>
    <col min="266" max="266" width="10.6640625" style="754" customWidth="1"/>
    <col min="267" max="267" width="9.33203125" style="754" customWidth="1"/>
    <col min="268" max="268" width="13.109375" style="754" customWidth="1"/>
    <col min="269" max="269" width="9.88671875" style="754" customWidth="1"/>
    <col min="270" max="512" width="9.109375" style="754"/>
    <col min="513" max="513" width="8.44140625" style="754" customWidth="1"/>
    <col min="514" max="514" width="18.6640625" style="754" customWidth="1"/>
    <col min="515" max="515" width="13" style="754" customWidth="1"/>
    <col min="516" max="516" width="9.33203125" style="754" customWidth="1"/>
    <col min="517" max="517" width="10.88671875" style="754" customWidth="1"/>
    <col min="518" max="518" width="8.6640625" style="754" customWidth="1"/>
    <col min="519" max="519" width="12.5546875" style="754" customWidth="1"/>
    <col min="520" max="520" width="10.33203125" style="754" customWidth="1"/>
    <col min="521" max="521" width="12" style="754" customWidth="1"/>
    <col min="522" max="522" width="10.6640625" style="754" customWidth="1"/>
    <col min="523" max="523" width="9.33203125" style="754" customWidth="1"/>
    <col min="524" max="524" width="13.109375" style="754" customWidth="1"/>
    <col min="525" max="525" width="9.88671875" style="754" customWidth="1"/>
    <col min="526" max="768" width="9.109375" style="754"/>
    <col min="769" max="769" width="8.44140625" style="754" customWidth="1"/>
    <col min="770" max="770" width="18.6640625" style="754" customWidth="1"/>
    <col min="771" max="771" width="13" style="754" customWidth="1"/>
    <col min="772" max="772" width="9.33203125" style="754" customWidth="1"/>
    <col min="773" max="773" width="10.88671875" style="754" customWidth="1"/>
    <col min="774" max="774" width="8.6640625" style="754" customWidth="1"/>
    <col min="775" max="775" width="12.5546875" style="754" customWidth="1"/>
    <col min="776" max="776" width="10.33203125" style="754" customWidth="1"/>
    <col min="777" max="777" width="12" style="754" customWidth="1"/>
    <col min="778" max="778" width="10.6640625" style="754" customWidth="1"/>
    <col min="779" max="779" width="9.33203125" style="754" customWidth="1"/>
    <col min="780" max="780" width="13.109375" style="754" customWidth="1"/>
    <col min="781" max="781" width="9.88671875" style="754" customWidth="1"/>
    <col min="782" max="1024" width="9.109375" style="754"/>
    <col min="1025" max="1025" width="8.44140625" style="754" customWidth="1"/>
    <col min="1026" max="1026" width="18.6640625" style="754" customWidth="1"/>
    <col min="1027" max="1027" width="13" style="754" customWidth="1"/>
    <col min="1028" max="1028" width="9.33203125" style="754" customWidth="1"/>
    <col min="1029" max="1029" width="10.88671875" style="754" customWidth="1"/>
    <col min="1030" max="1030" width="8.6640625" style="754" customWidth="1"/>
    <col min="1031" max="1031" width="12.5546875" style="754" customWidth="1"/>
    <col min="1032" max="1032" width="10.33203125" style="754" customWidth="1"/>
    <col min="1033" max="1033" width="12" style="754" customWidth="1"/>
    <col min="1034" max="1034" width="10.6640625" style="754" customWidth="1"/>
    <col min="1035" max="1035" width="9.33203125" style="754" customWidth="1"/>
    <col min="1036" max="1036" width="13.109375" style="754" customWidth="1"/>
    <col min="1037" max="1037" width="9.88671875" style="754" customWidth="1"/>
    <col min="1038" max="1280" width="9.109375" style="754"/>
    <col min="1281" max="1281" width="8.44140625" style="754" customWidth="1"/>
    <col min="1282" max="1282" width="18.6640625" style="754" customWidth="1"/>
    <col min="1283" max="1283" width="13" style="754" customWidth="1"/>
    <col min="1284" max="1284" width="9.33203125" style="754" customWidth="1"/>
    <col min="1285" max="1285" width="10.88671875" style="754" customWidth="1"/>
    <col min="1286" max="1286" width="8.6640625" style="754" customWidth="1"/>
    <col min="1287" max="1287" width="12.5546875" style="754" customWidth="1"/>
    <col min="1288" max="1288" width="10.33203125" style="754" customWidth="1"/>
    <col min="1289" max="1289" width="12" style="754" customWidth="1"/>
    <col min="1290" max="1290" width="10.6640625" style="754" customWidth="1"/>
    <col min="1291" max="1291" width="9.33203125" style="754" customWidth="1"/>
    <col min="1292" max="1292" width="13.109375" style="754" customWidth="1"/>
    <col min="1293" max="1293" width="9.88671875" style="754" customWidth="1"/>
    <col min="1294" max="1536" width="9.109375" style="754"/>
    <col min="1537" max="1537" width="8.44140625" style="754" customWidth="1"/>
    <col min="1538" max="1538" width="18.6640625" style="754" customWidth="1"/>
    <col min="1539" max="1539" width="13" style="754" customWidth="1"/>
    <col min="1540" max="1540" width="9.33203125" style="754" customWidth="1"/>
    <col min="1541" max="1541" width="10.88671875" style="754" customWidth="1"/>
    <col min="1542" max="1542" width="8.6640625" style="754" customWidth="1"/>
    <col min="1543" max="1543" width="12.5546875" style="754" customWidth="1"/>
    <col min="1544" max="1544" width="10.33203125" style="754" customWidth="1"/>
    <col min="1545" max="1545" width="12" style="754" customWidth="1"/>
    <col min="1546" max="1546" width="10.6640625" style="754" customWidth="1"/>
    <col min="1547" max="1547" width="9.33203125" style="754" customWidth="1"/>
    <col min="1548" max="1548" width="13.109375" style="754" customWidth="1"/>
    <col min="1549" max="1549" width="9.88671875" style="754" customWidth="1"/>
    <col min="1550" max="1792" width="9.109375" style="754"/>
    <col min="1793" max="1793" width="8.44140625" style="754" customWidth="1"/>
    <col min="1794" max="1794" width="18.6640625" style="754" customWidth="1"/>
    <col min="1795" max="1795" width="13" style="754" customWidth="1"/>
    <col min="1796" max="1796" width="9.33203125" style="754" customWidth="1"/>
    <col min="1797" max="1797" width="10.88671875" style="754" customWidth="1"/>
    <col min="1798" max="1798" width="8.6640625" style="754" customWidth="1"/>
    <col min="1799" max="1799" width="12.5546875" style="754" customWidth="1"/>
    <col min="1800" max="1800" width="10.33203125" style="754" customWidth="1"/>
    <col min="1801" max="1801" width="12" style="754" customWidth="1"/>
    <col min="1802" max="1802" width="10.6640625" style="754" customWidth="1"/>
    <col min="1803" max="1803" width="9.33203125" style="754" customWidth="1"/>
    <col min="1804" max="1804" width="13.109375" style="754" customWidth="1"/>
    <col min="1805" max="1805" width="9.88671875" style="754" customWidth="1"/>
    <col min="1806" max="2048" width="9.109375" style="754"/>
    <col min="2049" max="2049" width="8.44140625" style="754" customWidth="1"/>
    <col min="2050" max="2050" width="18.6640625" style="754" customWidth="1"/>
    <col min="2051" max="2051" width="13" style="754" customWidth="1"/>
    <col min="2052" max="2052" width="9.33203125" style="754" customWidth="1"/>
    <col min="2053" max="2053" width="10.88671875" style="754" customWidth="1"/>
    <col min="2054" max="2054" width="8.6640625" style="754" customWidth="1"/>
    <col min="2055" max="2055" width="12.5546875" style="754" customWidth="1"/>
    <col min="2056" max="2056" width="10.33203125" style="754" customWidth="1"/>
    <col min="2057" max="2057" width="12" style="754" customWidth="1"/>
    <col min="2058" max="2058" width="10.6640625" style="754" customWidth="1"/>
    <col min="2059" max="2059" width="9.33203125" style="754" customWidth="1"/>
    <col min="2060" max="2060" width="13.109375" style="754" customWidth="1"/>
    <col min="2061" max="2061" width="9.88671875" style="754" customWidth="1"/>
    <col min="2062" max="2304" width="9.109375" style="754"/>
    <col min="2305" max="2305" width="8.44140625" style="754" customWidth="1"/>
    <col min="2306" max="2306" width="18.6640625" style="754" customWidth="1"/>
    <col min="2307" max="2307" width="13" style="754" customWidth="1"/>
    <col min="2308" max="2308" width="9.33203125" style="754" customWidth="1"/>
    <col min="2309" max="2309" width="10.88671875" style="754" customWidth="1"/>
    <col min="2310" max="2310" width="8.6640625" style="754" customWidth="1"/>
    <col min="2311" max="2311" width="12.5546875" style="754" customWidth="1"/>
    <col min="2312" max="2312" width="10.33203125" style="754" customWidth="1"/>
    <col min="2313" max="2313" width="12" style="754" customWidth="1"/>
    <col min="2314" max="2314" width="10.6640625" style="754" customWidth="1"/>
    <col min="2315" max="2315" width="9.33203125" style="754" customWidth="1"/>
    <col min="2316" max="2316" width="13.109375" style="754" customWidth="1"/>
    <col min="2317" max="2317" width="9.88671875" style="754" customWidth="1"/>
    <col min="2318" max="2560" width="9.109375" style="754"/>
    <col min="2561" max="2561" width="8.44140625" style="754" customWidth="1"/>
    <col min="2562" max="2562" width="18.6640625" style="754" customWidth="1"/>
    <col min="2563" max="2563" width="13" style="754" customWidth="1"/>
    <col min="2564" max="2564" width="9.33203125" style="754" customWidth="1"/>
    <col min="2565" max="2565" width="10.88671875" style="754" customWidth="1"/>
    <col min="2566" max="2566" width="8.6640625" style="754" customWidth="1"/>
    <col min="2567" max="2567" width="12.5546875" style="754" customWidth="1"/>
    <col min="2568" max="2568" width="10.33203125" style="754" customWidth="1"/>
    <col min="2569" max="2569" width="12" style="754" customWidth="1"/>
    <col min="2570" max="2570" width="10.6640625" style="754" customWidth="1"/>
    <col min="2571" max="2571" width="9.33203125" style="754" customWidth="1"/>
    <col min="2572" max="2572" width="13.109375" style="754" customWidth="1"/>
    <col min="2573" max="2573" width="9.88671875" style="754" customWidth="1"/>
    <col min="2574" max="2816" width="9.109375" style="754"/>
    <col min="2817" max="2817" width="8.44140625" style="754" customWidth="1"/>
    <col min="2818" max="2818" width="18.6640625" style="754" customWidth="1"/>
    <col min="2819" max="2819" width="13" style="754" customWidth="1"/>
    <col min="2820" max="2820" width="9.33203125" style="754" customWidth="1"/>
    <col min="2821" max="2821" width="10.88671875" style="754" customWidth="1"/>
    <col min="2822" max="2822" width="8.6640625" style="754" customWidth="1"/>
    <col min="2823" max="2823" width="12.5546875" style="754" customWidth="1"/>
    <col min="2824" max="2824" width="10.33203125" style="754" customWidth="1"/>
    <col min="2825" max="2825" width="12" style="754" customWidth="1"/>
    <col min="2826" max="2826" width="10.6640625" style="754" customWidth="1"/>
    <col min="2827" max="2827" width="9.33203125" style="754" customWidth="1"/>
    <col min="2828" max="2828" width="13.109375" style="754" customWidth="1"/>
    <col min="2829" max="2829" width="9.88671875" style="754" customWidth="1"/>
    <col min="2830" max="3072" width="9.109375" style="754"/>
    <col min="3073" max="3073" width="8.44140625" style="754" customWidth="1"/>
    <col min="3074" max="3074" width="18.6640625" style="754" customWidth="1"/>
    <col min="3075" max="3075" width="13" style="754" customWidth="1"/>
    <col min="3076" max="3076" width="9.33203125" style="754" customWidth="1"/>
    <col min="3077" max="3077" width="10.88671875" style="754" customWidth="1"/>
    <col min="3078" max="3078" width="8.6640625" style="754" customWidth="1"/>
    <col min="3079" max="3079" width="12.5546875" style="754" customWidth="1"/>
    <col min="3080" max="3080" width="10.33203125" style="754" customWidth="1"/>
    <col min="3081" max="3081" width="12" style="754" customWidth="1"/>
    <col min="3082" max="3082" width="10.6640625" style="754" customWidth="1"/>
    <col min="3083" max="3083" width="9.33203125" style="754" customWidth="1"/>
    <col min="3084" max="3084" width="13.109375" style="754" customWidth="1"/>
    <col min="3085" max="3085" width="9.88671875" style="754" customWidth="1"/>
    <col min="3086" max="3328" width="9.109375" style="754"/>
    <col min="3329" max="3329" width="8.44140625" style="754" customWidth="1"/>
    <col min="3330" max="3330" width="18.6640625" style="754" customWidth="1"/>
    <col min="3331" max="3331" width="13" style="754" customWidth="1"/>
    <col min="3332" max="3332" width="9.33203125" style="754" customWidth="1"/>
    <col min="3333" max="3333" width="10.88671875" style="754" customWidth="1"/>
    <col min="3334" max="3334" width="8.6640625" style="754" customWidth="1"/>
    <col min="3335" max="3335" width="12.5546875" style="754" customWidth="1"/>
    <col min="3336" max="3336" width="10.33203125" style="754" customWidth="1"/>
    <col min="3337" max="3337" width="12" style="754" customWidth="1"/>
    <col min="3338" max="3338" width="10.6640625" style="754" customWidth="1"/>
    <col min="3339" max="3339" width="9.33203125" style="754" customWidth="1"/>
    <col min="3340" max="3340" width="13.109375" style="754" customWidth="1"/>
    <col min="3341" max="3341" width="9.88671875" style="754" customWidth="1"/>
    <col min="3342" max="3584" width="9.109375" style="754"/>
    <col min="3585" max="3585" width="8.44140625" style="754" customWidth="1"/>
    <col min="3586" max="3586" width="18.6640625" style="754" customWidth="1"/>
    <col min="3587" max="3587" width="13" style="754" customWidth="1"/>
    <col min="3588" max="3588" width="9.33203125" style="754" customWidth="1"/>
    <col min="3589" max="3589" width="10.88671875" style="754" customWidth="1"/>
    <col min="3590" max="3590" width="8.6640625" style="754" customWidth="1"/>
    <col min="3591" max="3591" width="12.5546875" style="754" customWidth="1"/>
    <col min="3592" max="3592" width="10.33203125" style="754" customWidth="1"/>
    <col min="3593" max="3593" width="12" style="754" customWidth="1"/>
    <col min="3594" max="3594" width="10.6640625" style="754" customWidth="1"/>
    <col min="3595" max="3595" width="9.33203125" style="754" customWidth="1"/>
    <col min="3596" max="3596" width="13.109375" style="754" customWidth="1"/>
    <col min="3597" max="3597" width="9.88671875" style="754" customWidth="1"/>
    <col min="3598" max="3840" width="9.109375" style="754"/>
    <col min="3841" max="3841" width="8.44140625" style="754" customWidth="1"/>
    <col min="3842" max="3842" width="18.6640625" style="754" customWidth="1"/>
    <col min="3843" max="3843" width="13" style="754" customWidth="1"/>
    <col min="3844" max="3844" width="9.33203125" style="754" customWidth="1"/>
    <col min="3845" max="3845" width="10.88671875" style="754" customWidth="1"/>
    <col min="3846" max="3846" width="8.6640625" style="754" customWidth="1"/>
    <col min="3847" max="3847" width="12.5546875" style="754" customWidth="1"/>
    <col min="3848" max="3848" width="10.33203125" style="754" customWidth="1"/>
    <col min="3849" max="3849" width="12" style="754" customWidth="1"/>
    <col min="3850" max="3850" width="10.6640625" style="754" customWidth="1"/>
    <col min="3851" max="3851" width="9.33203125" style="754" customWidth="1"/>
    <col min="3852" max="3852" width="13.109375" style="754" customWidth="1"/>
    <col min="3853" max="3853" width="9.88671875" style="754" customWidth="1"/>
    <col min="3854" max="4096" width="9.109375" style="754"/>
    <col min="4097" max="4097" width="8.44140625" style="754" customWidth="1"/>
    <col min="4098" max="4098" width="18.6640625" style="754" customWidth="1"/>
    <col min="4099" max="4099" width="13" style="754" customWidth="1"/>
    <col min="4100" max="4100" width="9.33203125" style="754" customWidth="1"/>
    <col min="4101" max="4101" width="10.88671875" style="754" customWidth="1"/>
    <col min="4102" max="4102" width="8.6640625" style="754" customWidth="1"/>
    <col min="4103" max="4103" width="12.5546875" style="754" customWidth="1"/>
    <col min="4104" max="4104" width="10.33203125" style="754" customWidth="1"/>
    <col min="4105" max="4105" width="12" style="754" customWidth="1"/>
    <col min="4106" max="4106" width="10.6640625" style="754" customWidth="1"/>
    <col min="4107" max="4107" width="9.33203125" style="754" customWidth="1"/>
    <col min="4108" max="4108" width="13.109375" style="754" customWidth="1"/>
    <col min="4109" max="4109" width="9.88671875" style="754" customWidth="1"/>
    <col min="4110" max="4352" width="9.109375" style="754"/>
    <col min="4353" max="4353" width="8.44140625" style="754" customWidth="1"/>
    <col min="4354" max="4354" width="18.6640625" style="754" customWidth="1"/>
    <col min="4355" max="4355" width="13" style="754" customWidth="1"/>
    <col min="4356" max="4356" width="9.33203125" style="754" customWidth="1"/>
    <col min="4357" max="4357" width="10.88671875" style="754" customWidth="1"/>
    <col min="4358" max="4358" width="8.6640625" style="754" customWidth="1"/>
    <col min="4359" max="4359" width="12.5546875" style="754" customWidth="1"/>
    <col min="4360" max="4360" width="10.33203125" style="754" customWidth="1"/>
    <col min="4361" max="4361" width="12" style="754" customWidth="1"/>
    <col min="4362" max="4362" width="10.6640625" style="754" customWidth="1"/>
    <col min="4363" max="4363" width="9.33203125" style="754" customWidth="1"/>
    <col min="4364" max="4364" width="13.109375" style="754" customWidth="1"/>
    <col min="4365" max="4365" width="9.88671875" style="754" customWidth="1"/>
    <col min="4366" max="4608" width="9.109375" style="754"/>
    <col min="4609" max="4609" width="8.44140625" style="754" customWidth="1"/>
    <col min="4610" max="4610" width="18.6640625" style="754" customWidth="1"/>
    <col min="4611" max="4611" width="13" style="754" customWidth="1"/>
    <col min="4612" max="4612" width="9.33203125" style="754" customWidth="1"/>
    <col min="4613" max="4613" width="10.88671875" style="754" customWidth="1"/>
    <col min="4614" max="4614" width="8.6640625" style="754" customWidth="1"/>
    <col min="4615" max="4615" width="12.5546875" style="754" customWidth="1"/>
    <col min="4616" max="4616" width="10.33203125" style="754" customWidth="1"/>
    <col min="4617" max="4617" width="12" style="754" customWidth="1"/>
    <col min="4618" max="4618" width="10.6640625" style="754" customWidth="1"/>
    <col min="4619" max="4619" width="9.33203125" style="754" customWidth="1"/>
    <col min="4620" max="4620" width="13.109375" style="754" customWidth="1"/>
    <col min="4621" max="4621" width="9.88671875" style="754" customWidth="1"/>
    <col min="4622" max="4864" width="9.109375" style="754"/>
    <col min="4865" max="4865" width="8.44140625" style="754" customWidth="1"/>
    <col min="4866" max="4866" width="18.6640625" style="754" customWidth="1"/>
    <col min="4867" max="4867" width="13" style="754" customWidth="1"/>
    <col min="4868" max="4868" width="9.33203125" style="754" customWidth="1"/>
    <col min="4869" max="4869" width="10.88671875" style="754" customWidth="1"/>
    <col min="4870" max="4870" width="8.6640625" style="754" customWidth="1"/>
    <col min="4871" max="4871" width="12.5546875" style="754" customWidth="1"/>
    <col min="4872" max="4872" width="10.33203125" style="754" customWidth="1"/>
    <col min="4873" max="4873" width="12" style="754" customWidth="1"/>
    <col min="4874" max="4874" width="10.6640625" style="754" customWidth="1"/>
    <col min="4875" max="4875" width="9.33203125" style="754" customWidth="1"/>
    <col min="4876" max="4876" width="13.109375" style="754" customWidth="1"/>
    <col min="4877" max="4877" width="9.88671875" style="754" customWidth="1"/>
    <col min="4878" max="5120" width="9.109375" style="754"/>
    <col min="5121" max="5121" width="8.44140625" style="754" customWidth="1"/>
    <col min="5122" max="5122" width="18.6640625" style="754" customWidth="1"/>
    <col min="5123" max="5123" width="13" style="754" customWidth="1"/>
    <col min="5124" max="5124" width="9.33203125" style="754" customWidth="1"/>
    <col min="5125" max="5125" width="10.88671875" style="754" customWidth="1"/>
    <col min="5126" max="5126" width="8.6640625" style="754" customWidth="1"/>
    <col min="5127" max="5127" width="12.5546875" style="754" customWidth="1"/>
    <col min="5128" max="5128" width="10.33203125" style="754" customWidth="1"/>
    <col min="5129" max="5129" width="12" style="754" customWidth="1"/>
    <col min="5130" max="5130" width="10.6640625" style="754" customWidth="1"/>
    <col min="5131" max="5131" width="9.33203125" style="754" customWidth="1"/>
    <col min="5132" max="5132" width="13.109375" style="754" customWidth="1"/>
    <col min="5133" max="5133" width="9.88671875" style="754" customWidth="1"/>
    <col min="5134" max="5376" width="9.109375" style="754"/>
    <col min="5377" max="5377" width="8.44140625" style="754" customWidth="1"/>
    <col min="5378" max="5378" width="18.6640625" style="754" customWidth="1"/>
    <col min="5379" max="5379" width="13" style="754" customWidth="1"/>
    <col min="5380" max="5380" width="9.33203125" style="754" customWidth="1"/>
    <col min="5381" max="5381" width="10.88671875" style="754" customWidth="1"/>
    <col min="5382" max="5382" width="8.6640625" style="754" customWidth="1"/>
    <col min="5383" max="5383" width="12.5546875" style="754" customWidth="1"/>
    <col min="5384" max="5384" width="10.33203125" style="754" customWidth="1"/>
    <col min="5385" max="5385" width="12" style="754" customWidth="1"/>
    <col min="5386" max="5386" width="10.6640625" style="754" customWidth="1"/>
    <col min="5387" max="5387" width="9.33203125" style="754" customWidth="1"/>
    <col min="5388" max="5388" width="13.109375" style="754" customWidth="1"/>
    <col min="5389" max="5389" width="9.88671875" style="754" customWidth="1"/>
    <col min="5390" max="5632" width="9.109375" style="754"/>
    <col min="5633" max="5633" width="8.44140625" style="754" customWidth="1"/>
    <col min="5634" max="5634" width="18.6640625" style="754" customWidth="1"/>
    <col min="5635" max="5635" width="13" style="754" customWidth="1"/>
    <col min="5636" max="5636" width="9.33203125" style="754" customWidth="1"/>
    <col min="5637" max="5637" width="10.88671875" style="754" customWidth="1"/>
    <col min="5638" max="5638" width="8.6640625" style="754" customWidth="1"/>
    <col min="5639" max="5639" width="12.5546875" style="754" customWidth="1"/>
    <col min="5640" max="5640" width="10.33203125" style="754" customWidth="1"/>
    <col min="5641" max="5641" width="12" style="754" customWidth="1"/>
    <col min="5642" max="5642" width="10.6640625" style="754" customWidth="1"/>
    <col min="5643" max="5643" width="9.33203125" style="754" customWidth="1"/>
    <col min="5644" max="5644" width="13.109375" style="754" customWidth="1"/>
    <col min="5645" max="5645" width="9.88671875" style="754" customWidth="1"/>
    <col min="5646" max="5888" width="9.109375" style="754"/>
    <col min="5889" max="5889" width="8.44140625" style="754" customWidth="1"/>
    <col min="5890" max="5890" width="18.6640625" style="754" customWidth="1"/>
    <col min="5891" max="5891" width="13" style="754" customWidth="1"/>
    <col min="5892" max="5892" width="9.33203125" style="754" customWidth="1"/>
    <col min="5893" max="5893" width="10.88671875" style="754" customWidth="1"/>
    <col min="5894" max="5894" width="8.6640625" style="754" customWidth="1"/>
    <col min="5895" max="5895" width="12.5546875" style="754" customWidth="1"/>
    <col min="5896" max="5896" width="10.33203125" style="754" customWidth="1"/>
    <col min="5897" max="5897" width="12" style="754" customWidth="1"/>
    <col min="5898" max="5898" width="10.6640625" style="754" customWidth="1"/>
    <col min="5899" max="5899" width="9.33203125" style="754" customWidth="1"/>
    <col min="5900" max="5900" width="13.109375" style="754" customWidth="1"/>
    <col min="5901" max="5901" width="9.88671875" style="754" customWidth="1"/>
    <col min="5902" max="6144" width="9.109375" style="754"/>
    <col min="6145" max="6145" width="8.44140625" style="754" customWidth="1"/>
    <col min="6146" max="6146" width="18.6640625" style="754" customWidth="1"/>
    <col min="6147" max="6147" width="13" style="754" customWidth="1"/>
    <col min="6148" max="6148" width="9.33203125" style="754" customWidth="1"/>
    <col min="6149" max="6149" width="10.88671875" style="754" customWidth="1"/>
    <col min="6150" max="6150" width="8.6640625" style="754" customWidth="1"/>
    <col min="6151" max="6151" width="12.5546875" style="754" customWidth="1"/>
    <col min="6152" max="6152" width="10.33203125" style="754" customWidth="1"/>
    <col min="6153" max="6153" width="12" style="754" customWidth="1"/>
    <col min="6154" max="6154" width="10.6640625" style="754" customWidth="1"/>
    <col min="6155" max="6155" width="9.33203125" style="754" customWidth="1"/>
    <col min="6156" max="6156" width="13.109375" style="754" customWidth="1"/>
    <col min="6157" max="6157" width="9.88671875" style="754" customWidth="1"/>
    <col min="6158" max="6400" width="9.109375" style="754"/>
    <col min="6401" max="6401" width="8.44140625" style="754" customWidth="1"/>
    <col min="6402" max="6402" width="18.6640625" style="754" customWidth="1"/>
    <col min="6403" max="6403" width="13" style="754" customWidth="1"/>
    <col min="6404" max="6404" width="9.33203125" style="754" customWidth="1"/>
    <col min="6405" max="6405" width="10.88671875" style="754" customWidth="1"/>
    <col min="6406" max="6406" width="8.6640625" style="754" customWidth="1"/>
    <col min="6407" max="6407" width="12.5546875" style="754" customWidth="1"/>
    <col min="6408" max="6408" width="10.33203125" style="754" customWidth="1"/>
    <col min="6409" max="6409" width="12" style="754" customWidth="1"/>
    <col min="6410" max="6410" width="10.6640625" style="754" customWidth="1"/>
    <col min="6411" max="6411" width="9.33203125" style="754" customWidth="1"/>
    <col min="6412" max="6412" width="13.109375" style="754" customWidth="1"/>
    <col min="6413" max="6413" width="9.88671875" style="754" customWidth="1"/>
    <col min="6414" max="6656" width="9.109375" style="754"/>
    <col min="6657" max="6657" width="8.44140625" style="754" customWidth="1"/>
    <col min="6658" max="6658" width="18.6640625" style="754" customWidth="1"/>
    <col min="6659" max="6659" width="13" style="754" customWidth="1"/>
    <col min="6660" max="6660" width="9.33203125" style="754" customWidth="1"/>
    <col min="6661" max="6661" width="10.88671875" style="754" customWidth="1"/>
    <col min="6662" max="6662" width="8.6640625" style="754" customWidth="1"/>
    <col min="6663" max="6663" width="12.5546875" style="754" customWidth="1"/>
    <col min="6664" max="6664" width="10.33203125" style="754" customWidth="1"/>
    <col min="6665" max="6665" width="12" style="754" customWidth="1"/>
    <col min="6666" max="6666" width="10.6640625" style="754" customWidth="1"/>
    <col min="6667" max="6667" width="9.33203125" style="754" customWidth="1"/>
    <col min="6668" max="6668" width="13.109375" style="754" customWidth="1"/>
    <col min="6669" max="6669" width="9.88671875" style="754" customWidth="1"/>
    <col min="6670" max="6912" width="9.109375" style="754"/>
    <col min="6913" max="6913" width="8.44140625" style="754" customWidth="1"/>
    <col min="6914" max="6914" width="18.6640625" style="754" customWidth="1"/>
    <col min="6915" max="6915" width="13" style="754" customWidth="1"/>
    <col min="6916" max="6916" width="9.33203125" style="754" customWidth="1"/>
    <col min="6917" max="6917" width="10.88671875" style="754" customWidth="1"/>
    <col min="6918" max="6918" width="8.6640625" style="754" customWidth="1"/>
    <col min="6919" max="6919" width="12.5546875" style="754" customWidth="1"/>
    <col min="6920" max="6920" width="10.33203125" style="754" customWidth="1"/>
    <col min="6921" max="6921" width="12" style="754" customWidth="1"/>
    <col min="6922" max="6922" width="10.6640625" style="754" customWidth="1"/>
    <col min="6923" max="6923" width="9.33203125" style="754" customWidth="1"/>
    <col min="6924" max="6924" width="13.109375" style="754" customWidth="1"/>
    <col min="6925" max="6925" width="9.88671875" style="754" customWidth="1"/>
    <col min="6926" max="7168" width="9.109375" style="754"/>
    <col min="7169" max="7169" width="8.44140625" style="754" customWidth="1"/>
    <col min="7170" max="7170" width="18.6640625" style="754" customWidth="1"/>
    <col min="7171" max="7171" width="13" style="754" customWidth="1"/>
    <col min="7172" max="7172" width="9.33203125" style="754" customWidth="1"/>
    <col min="7173" max="7173" width="10.88671875" style="754" customWidth="1"/>
    <col min="7174" max="7174" width="8.6640625" style="754" customWidth="1"/>
    <col min="7175" max="7175" width="12.5546875" style="754" customWidth="1"/>
    <col min="7176" max="7176" width="10.33203125" style="754" customWidth="1"/>
    <col min="7177" max="7177" width="12" style="754" customWidth="1"/>
    <col min="7178" max="7178" width="10.6640625" style="754" customWidth="1"/>
    <col min="7179" max="7179" width="9.33203125" style="754" customWidth="1"/>
    <col min="7180" max="7180" width="13.109375" style="754" customWidth="1"/>
    <col min="7181" max="7181" width="9.88671875" style="754" customWidth="1"/>
    <col min="7182" max="7424" width="9.109375" style="754"/>
    <col min="7425" max="7425" width="8.44140625" style="754" customWidth="1"/>
    <col min="7426" max="7426" width="18.6640625" style="754" customWidth="1"/>
    <col min="7427" max="7427" width="13" style="754" customWidth="1"/>
    <col min="7428" max="7428" width="9.33203125" style="754" customWidth="1"/>
    <col min="7429" max="7429" width="10.88671875" style="754" customWidth="1"/>
    <col min="7430" max="7430" width="8.6640625" style="754" customWidth="1"/>
    <col min="7431" max="7431" width="12.5546875" style="754" customWidth="1"/>
    <col min="7432" max="7432" width="10.33203125" style="754" customWidth="1"/>
    <col min="7433" max="7433" width="12" style="754" customWidth="1"/>
    <col min="7434" max="7434" width="10.6640625" style="754" customWidth="1"/>
    <col min="7435" max="7435" width="9.33203125" style="754" customWidth="1"/>
    <col min="7436" max="7436" width="13.109375" style="754" customWidth="1"/>
    <col min="7437" max="7437" width="9.88671875" style="754" customWidth="1"/>
    <col min="7438" max="7680" width="9.109375" style="754"/>
    <col min="7681" max="7681" width="8.44140625" style="754" customWidth="1"/>
    <col min="7682" max="7682" width="18.6640625" style="754" customWidth="1"/>
    <col min="7683" max="7683" width="13" style="754" customWidth="1"/>
    <col min="7684" max="7684" width="9.33203125" style="754" customWidth="1"/>
    <col min="7685" max="7685" width="10.88671875" style="754" customWidth="1"/>
    <col min="7686" max="7686" width="8.6640625" style="754" customWidth="1"/>
    <col min="7687" max="7687" width="12.5546875" style="754" customWidth="1"/>
    <col min="7688" max="7688" width="10.33203125" style="754" customWidth="1"/>
    <col min="7689" max="7689" width="12" style="754" customWidth="1"/>
    <col min="7690" max="7690" width="10.6640625" style="754" customWidth="1"/>
    <col min="7691" max="7691" width="9.33203125" style="754" customWidth="1"/>
    <col min="7692" max="7692" width="13.109375" style="754" customWidth="1"/>
    <col min="7693" max="7693" width="9.88671875" style="754" customWidth="1"/>
    <col min="7694" max="7936" width="9.109375" style="754"/>
    <col min="7937" max="7937" width="8.44140625" style="754" customWidth="1"/>
    <col min="7938" max="7938" width="18.6640625" style="754" customWidth="1"/>
    <col min="7939" max="7939" width="13" style="754" customWidth="1"/>
    <col min="7940" max="7940" width="9.33203125" style="754" customWidth="1"/>
    <col min="7941" max="7941" width="10.88671875" style="754" customWidth="1"/>
    <col min="7942" max="7942" width="8.6640625" style="754" customWidth="1"/>
    <col min="7943" max="7943" width="12.5546875" style="754" customWidth="1"/>
    <col min="7944" max="7944" width="10.33203125" style="754" customWidth="1"/>
    <col min="7945" max="7945" width="12" style="754" customWidth="1"/>
    <col min="7946" max="7946" width="10.6640625" style="754" customWidth="1"/>
    <col min="7947" max="7947" width="9.33203125" style="754" customWidth="1"/>
    <col min="7948" max="7948" width="13.109375" style="754" customWidth="1"/>
    <col min="7949" max="7949" width="9.88671875" style="754" customWidth="1"/>
    <col min="7950" max="8192" width="9.109375" style="754"/>
    <col min="8193" max="8193" width="8.44140625" style="754" customWidth="1"/>
    <col min="8194" max="8194" width="18.6640625" style="754" customWidth="1"/>
    <col min="8195" max="8195" width="13" style="754" customWidth="1"/>
    <col min="8196" max="8196" width="9.33203125" style="754" customWidth="1"/>
    <col min="8197" max="8197" width="10.88671875" style="754" customWidth="1"/>
    <col min="8198" max="8198" width="8.6640625" style="754" customWidth="1"/>
    <col min="8199" max="8199" width="12.5546875" style="754" customWidth="1"/>
    <col min="8200" max="8200" width="10.33203125" style="754" customWidth="1"/>
    <col min="8201" max="8201" width="12" style="754" customWidth="1"/>
    <col min="8202" max="8202" width="10.6640625" style="754" customWidth="1"/>
    <col min="8203" max="8203" width="9.33203125" style="754" customWidth="1"/>
    <col min="8204" max="8204" width="13.109375" style="754" customWidth="1"/>
    <col min="8205" max="8205" width="9.88671875" style="754" customWidth="1"/>
    <col min="8206" max="8448" width="9.109375" style="754"/>
    <col min="8449" max="8449" width="8.44140625" style="754" customWidth="1"/>
    <col min="8450" max="8450" width="18.6640625" style="754" customWidth="1"/>
    <col min="8451" max="8451" width="13" style="754" customWidth="1"/>
    <col min="8452" max="8452" width="9.33203125" style="754" customWidth="1"/>
    <col min="8453" max="8453" width="10.88671875" style="754" customWidth="1"/>
    <col min="8454" max="8454" width="8.6640625" style="754" customWidth="1"/>
    <col min="8455" max="8455" width="12.5546875" style="754" customWidth="1"/>
    <col min="8456" max="8456" width="10.33203125" style="754" customWidth="1"/>
    <col min="8457" max="8457" width="12" style="754" customWidth="1"/>
    <col min="8458" max="8458" width="10.6640625" style="754" customWidth="1"/>
    <col min="8459" max="8459" width="9.33203125" style="754" customWidth="1"/>
    <col min="8460" max="8460" width="13.109375" style="754" customWidth="1"/>
    <col min="8461" max="8461" width="9.88671875" style="754" customWidth="1"/>
    <col min="8462" max="8704" width="9.109375" style="754"/>
    <col min="8705" max="8705" width="8.44140625" style="754" customWidth="1"/>
    <col min="8706" max="8706" width="18.6640625" style="754" customWidth="1"/>
    <col min="8707" max="8707" width="13" style="754" customWidth="1"/>
    <col min="8708" max="8708" width="9.33203125" style="754" customWidth="1"/>
    <col min="8709" max="8709" width="10.88671875" style="754" customWidth="1"/>
    <col min="8710" max="8710" width="8.6640625" style="754" customWidth="1"/>
    <col min="8711" max="8711" width="12.5546875" style="754" customWidth="1"/>
    <col min="8712" max="8712" width="10.33203125" style="754" customWidth="1"/>
    <col min="8713" max="8713" width="12" style="754" customWidth="1"/>
    <col min="8714" max="8714" width="10.6640625" style="754" customWidth="1"/>
    <col min="8715" max="8715" width="9.33203125" style="754" customWidth="1"/>
    <col min="8716" max="8716" width="13.109375" style="754" customWidth="1"/>
    <col min="8717" max="8717" width="9.88671875" style="754" customWidth="1"/>
    <col min="8718" max="8960" width="9.109375" style="754"/>
    <col min="8961" max="8961" width="8.44140625" style="754" customWidth="1"/>
    <col min="8962" max="8962" width="18.6640625" style="754" customWidth="1"/>
    <col min="8963" max="8963" width="13" style="754" customWidth="1"/>
    <col min="8964" max="8964" width="9.33203125" style="754" customWidth="1"/>
    <col min="8965" max="8965" width="10.88671875" style="754" customWidth="1"/>
    <col min="8966" max="8966" width="8.6640625" style="754" customWidth="1"/>
    <col min="8967" max="8967" width="12.5546875" style="754" customWidth="1"/>
    <col min="8968" max="8968" width="10.33203125" style="754" customWidth="1"/>
    <col min="8969" max="8969" width="12" style="754" customWidth="1"/>
    <col min="8970" max="8970" width="10.6640625" style="754" customWidth="1"/>
    <col min="8971" max="8971" width="9.33203125" style="754" customWidth="1"/>
    <col min="8972" max="8972" width="13.109375" style="754" customWidth="1"/>
    <col min="8973" max="8973" width="9.88671875" style="754" customWidth="1"/>
    <col min="8974" max="9216" width="9.109375" style="754"/>
    <col min="9217" max="9217" width="8.44140625" style="754" customWidth="1"/>
    <col min="9218" max="9218" width="18.6640625" style="754" customWidth="1"/>
    <col min="9219" max="9219" width="13" style="754" customWidth="1"/>
    <col min="9220" max="9220" width="9.33203125" style="754" customWidth="1"/>
    <col min="9221" max="9221" width="10.88671875" style="754" customWidth="1"/>
    <col min="9222" max="9222" width="8.6640625" style="754" customWidth="1"/>
    <col min="9223" max="9223" width="12.5546875" style="754" customWidth="1"/>
    <col min="9224" max="9224" width="10.33203125" style="754" customWidth="1"/>
    <col min="9225" max="9225" width="12" style="754" customWidth="1"/>
    <col min="9226" max="9226" width="10.6640625" style="754" customWidth="1"/>
    <col min="9227" max="9227" width="9.33203125" style="754" customWidth="1"/>
    <col min="9228" max="9228" width="13.109375" style="754" customWidth="1"/>
    <col min="9229" max="9229" width="9.88671875" style="754" customWidth="1"/>
    <col min="9230" max="9472" width="9.109375" style="754"/>
    <col min="9473" max="9473" width="8.44140625" style="754" customWidth="1"/>
    <col min="9474" max="9474" width="18.6640625" style="754" customWidth="1"/>
    <col min="9475" max="9475" width="13" style="754" customWidth="1"/>
    <col min="9476" max="9476" width="9.33203125" style="754" customWidth="1"/>
    <col min="9477" max="9477" width="10.88671875" style="754" customWidth="1"/>
    <col min="9478" max="9478" width="8.6640625" style="754" customWidth="1"/>
    <col min="9479" max="9479" width="12.5546875" style="754" customWidth="1"/>
    <col min="9480" max="9480" width="10.33203125" style="754" customWidth="1"/>
    <col min="9481" max="9481" width="12" style="754" customWidth="1"/>
    <col min="9482" max="9482" width="10.6640625" style="754" customWidth="1"/>
    <col min="9483" max="9483" width="9.33203125" style="754" customWidth="1"/>
    <col min="9484" max="9484" width="13.109375" style="754" customWidth="1"/>
    <col min="9485" max="9485" width="9.88671875" style="754" customWidth="1"/>
    <col min="9486" max="9728" width="9.109375" style="754"/>
    <col min="9729" max="9729" width="8.44140625" style="754" customWidth="1"/>
    <col min="9730" max="9730" width="18.6640625" style="754" customWidth="1"/>
    <col min="9731" max="9731" width="13" style="754" customWidth="1"/>
    <col min="9732" max="9732" width="9.33203125" style="754" customWidth="1"/>
    <col min="9733" max="9733" width="10.88671875" style="754" customWidth="1"/>
    <col min="9734" max="9734" width="8.6640625" style="754" customWidth="1"/>
    <col min="9735" max="9735" width="12.5546875" style="754" customWidth="1"/>
    <col min="9736" max="9736" width="10.33203125" style="754" customWidth="1"/>
    <col min="9737" max="9737" width="12" style="754" customWidth="1"/>
    <col min="9738" max="9738" width="10.6640625" style="754" customWidth="1"/>
    <col min="9739" max="9739" width="9.33203125" style="754" customWidth="1"/>
    <col min="9740" max="9740" width="13.109375" style="754" customWidth="1"/>
    <col min="9741" max="9741" width="9.88671875" style="754" customWidth="1"/>
    <col min="9742" max="9984" width="9.109375" style="754"/>
    <col min="9985" max="9985" width="8.44140625" style="754" customWidth="1"/>
    <col min="9986" max="9986" width="18.6640625" style="754" customWidth="1"/>
    <col min="9987" max="9987" width="13" style="754" customWidth="1"/>
    <col min="9988" max="9988" width="9.33203125" style="754" customWidth="1"/>
    <col min="9989" max="9989" width="10.88671875" style="754" customWidth="1"/>
    <col min="9990" max="9990" width="8.6640625" style="754" customWidth="1"/>
    <col min="9991" max="9991" width="12.5546875" style="754" customWidth="1"/>
    <col min="9992" max="9992" width="10.33203125" style="754" customWidth="1"/>
    <col min="9993" max="9993" width="12" style="754" customWidth="1"/>
    <col min="9994" max="9994" width="10.6640625" style="754" customWidth="1"/>
    <col min="9995" max="9995" width="9.33203125" style="754" customWidth="1"/>
    <col min="9996" max="9996" width="13.109375" style="754" customWidth="1"/>
    <col min="9997" max="9997" width="9.88671875" style="754" customWidth="1"/>
    <col min="9998" max="10240" width="9.109375" style="754"/>
    <col min="10241" max="10241" width="8.44140625" style="754" customWidth="1"/>
    <col min="10242" max="10242" width="18.6640625" style="754" customWidth="1"/>
    <col min="10243" max="10243" width="13" style="754" customWidth="1"/>
    <col min="10244" max="10244" width="9.33203125" style="754" customWidth="1"/>
    <col min="10245" max="10245" width="10.88671875" style="754" customWidth="1"/>
    <col min="10246" max="10246" width="8.6640625" style="754" customWidth="1"/>
    <col min="10247" max="10247" width="12.5546875" style="754" customWidth="1"/>
    <col min="10248" max="10248" width="10.33203125" style="754" customWidth="1"/>
    <col min="10249" max="10249" width="12" style="754" customWidth="1"/>
    <col min="10250" max="10250" width="10.6640625" style="754" customWidth="1"/>
    <col min="10251" max="10251" width="9.33203125" style="754" customWidth="1"/>
    <col min="10252" max="10252" width="13.109375" style="754" customWidth="1"/>
    <col min="10253" max="10253" width="9.88671875" style="754" customWidth="1"/>
    <col min="10254" max="10496" width="9.109375" style="754"/>
    <col min="10497" max="10497" width="8.44140625" style="754" customWidth="1"/>
    <col min="10498" max="10498" width="18.6640625" style="754" customWidth="1"/>
    <col min="10499" max="10499" width="13" style="754" customWidth="1"/>
    <col min="10500" max="10500" width="9.33203125" style="754" customWidth="1"/>
    <col min="10501" max="10501" width="10.88671875" style="754" customWidth="1"/>
    <col min="10502" max="10502" width="8.6640625" style="754" customWidth="1"/>
    <col min="10503" max="10503" width="12.5546875" style="754" customWidth="1"/>
    <col min="10504" max="10504" width="10.33203125" style="754" customWidth="1"/>
    <col min="10505" max="10505" width="12" style="754" customWidth="1"/>
    <col min="10506" max="10506" width="10.6640625" style="754" customWidth="1"/>
    <col min="10507" max="10507" width="9.33203125" style="754" customWidth="1"/>
    <col min="10508" max="10508" width="13.109375" style="754" customWidth="1"/>
    <col min="10509" max="10509" width="9.88671875" style="754" customWidth="1"/>
    <col min="10510" max="10752" width="9.109375" style="754"/>
    <col min="10753" max="10753" width="8.44140625" style="754" customWidth="1"/>
    <col min="10754" max="10754" width="18.6640625" style="754" customWidth="1"/>
    <col min="10755" max="10755" width="13" style="754" customWidth="1"/>
    <col min="10756" max="10756" width="9.33203125" style="754" customWidth="1"/>
    <col min="10757" max="10757" width="10.88671875" style="754" customWidth="1"/>
    <col min="10758" max="10758" width="8.6640625" style="754" customWidth="1"/>
    <col min="10759" max="10759" width="12.5546875" style="754" customWidth="1"/>
    <col min="10760" max="10760" width="10.33203125" style="754" customWidth="1"/>
    <col min="10761" max="10761" width="12" style="754" customWidth="1"/>
    <col min="10762" max="10762" width="10.6640625" style="754" customWidth="1"/>
    <col min="10763" max="10763" width="9.33203125" style="754" customWidth="1"/>
    <col min="10764" max="10764" width="13.109375" style="754" customWidth="1"/>
    <col min="10765" max="10765" width="9.88671875" style="754" customWidth="1"/>
    <col min="10766" max="11008" width="9.109375" style="754"/>
    <col min="11009" max="11009" width="8.44140625" style="754" customWidth="1"/>
    <col min="11010" max="11010" width="18.6640625" style="754" customWidth="1"/>
    <col min="11011" max="11011" width="13" style="754" customWidth="1"/>
    <col min="11012" max="11012" width="9.33203125" style="754" customWidth="1"/>
    <col min="11013" max="11013" width="10.88671875" style="754" customWidth="1"/>
    <col min="11014" max="11014" width="8.6640625" style="754" customWidth="1"/>
    <col min="11015" max="11015" width="12.5546875" style="754" customWidth="1"/>
    <col min="11016" max="11016" width="10.33203125" style="754" customWidth="1"/>
    <col min="11017" max="11017" width="12" style="754" customWidth="1"/>
    <col min="11018" max="11018" width="10.6640625" style="754" customWidth="1"/>
    <col min="11019" max="11019" width="9.33203125" style="754" customWidth="1"/>
    <col min="11020" max="11020" width="13.109375" style="754" customWidth="1"/>
    <col min="11021" max="11021" width="9.88671875" style="754" customWidth="1"/>
    <col min="11022" max="11264" width="9.109375" style="754"/>
    <col min="11265" max="11265" width="8.44140625" style="754" customWidth="1"/>
    <col min="11266" max="11266" width="18.6640625" style="754" customWidth="1"/>
    <col min="11267" max="11267" width="13" style="754" customWidth="1"/>
    <col min="11268" max="11268" width="9.33203125" style="754" customWidth="1"/>
    <col min="11269" max="11269" width="10.88671875" style="754" customWidth="1"/>
    <col min="11270" max="11270" width="8.6640625" style="754" customWidth="1"/>
    <col min="11271" max="11271" width="12.5546875" style="754" customWidth="1"/>
    <col min="11272" max="11272" width="10.33203125" style="754" customWidth="1"/>
    <col min="11273" max="11273" width="12" style="754" customWidth="1"/>
    <col min="11274" max="11274" width="10.6640625" style="754" customWidth="1"/>
    <col min="11275" max="11275" width="9.33203125" style="754" customWidth="1"/>
    <col min="11276" max="11276" width="13.109375" style="754" customWidth="1"/>
    <col min="11277" max="11277" width="9.88671875" style="754" customWidth="1"/>
    <col min="11278" max="11520" width="9.109375" style="754"/>
    <col min="11521" max="11521" width="8.44140625" style="754" customWidth="1"/>
    <col min="11522" max="11522" width="18.6640625" style="754" customWidth="1"/>
    <col min="11523" max="11523" width="13" style="754" customWidth="1"/>
    <col min="11524" max="11524" width="9.33203125" style="754" customWidth="1"/>
    <col min="11525" max="11525" width="10.88671875" style="754" customWidth="1"/>
    <col min="11526" max="11526" width="8.6640625" style="754" customWidth="1"/>
    <col min="11527" max="11527" width="12.5546875" style="754" customWidth="1"/>
    <col min="11528" max="11528" width="10.33203125" style="754" customWidth="1"/>
    <col min="11529" max="11529" width="12" style="754" customWidth="1"/>
    <col min="11530" max="11530" width="10.6640625" style="754" customWidth="1"/>
    <col min="11531" max="11531" width="9.33203125" style="754" customWidth="1"/>
    <col min="11532" max="11532" width="13.109375" style="754" customWidth="1"/>
    <col min="11533" max="11533" width="9.88671875" style="754" customWidth="1"/>
    <col min="11534" max="11776" width="9.109375" style="754"/>
    <col min="11777" max="11777" width="8.44140625" style="754" customWidth="1"/>
    <col min="11778" max="11778" width="18.6640625" style="754" customWidth="1"/>
    <col min="11779" max="11779" width="13" style="754" customWidth="1"/>
    <col min="11780" max="11780" width="9.33203125" style="754" customWidth="1"/>
    <col min="11781" max="11781" width="10.88671875" style="754" customWidth="1"/>
    <col min="11782" max="11782" width="8.6640625" style="754" customWidth="1"/>
    <col min="11783" max="11783" width="12.5546875" style="754" customWidth="1"/>
    <col min="11784" max="11784" width="10.33203125" style="754" customWidth="1"/>
    <col min="11785" max="11785" width="12" style="754" customWidth="1"/>
    <col min="11786" max="11786" width="10.6640625" style="754" customWidth="1"/>
    <col min="11787" max="11787" width="9.33203125" style="754" customWidth="1"/>
    <col min="11788" max="11788" width="13.109375" style="754" customWidth="1"/>
    <col min="11789" max="11789" width="9.88671875" style="754" customWidth="1"/>
    <col min="11790" max="12032" width="9.109375" style="754"/>
    <col min="12033" max="12033" width="8.44140625" style="754" customWidth="1"/>
    <col min="12034" max="12034" width="18.6640625" style="754" customWidth="1"/>
    <col min="12035" max="12035" width="13" style="754" customWidth="1"/>
    <col min="12036" max="12036" width="9.33203125" style="754" customWidth="1"/>
    <col min="12037" max="12037" width="10.88671875" style="754" customWidth="1"/>
    <col min="12038" max="12038" width="8.6640625" style="754" customWidth="1"/>
    <col min="12039" max="12039" width="12.5546875" style="754" customWidth="1"/>
    <col min="12040" max="12040" width="10.33203125" style="754" customWidth="1"/>
    <col min="12041" max="12041" width="12" style="754" customWidth="1"/>
    <col min="12042" max="12042" width="10.6640625" style="754" customWidth="1"/>
    <col min="12043" max="12043" width="9.33203125" style="754" customWidth="1"/>
    <col min="12044" max="12044" width="13.109375" style="754" customWidth="1"/>
    <col min="12045" max="12045" width="9.88671875" style="754" customWidth="1"/>
    <col min="12046" max="12288" width="9.109375" style="754"/>
    <col min="12289" max="12289" width="8.44140625" style="754" customWidth="1"/>
    <col min="12290" max="12290" width="18.6640625" style="754" customWidth="1"/>
    <col min="12291" max="12291" width="13" style="754" customWidth="1"/>
    <col min="12292" max="12292" width="9.33203125" style="754" customWidth="1"/>
    <col min="12293" max="12293" width="10.88671875" style="754" customWidth="1"/>
    <col min="12294" max="12294" width="8.6640625" style="754" customWidth="1"/>
    <col min="12295" max="12295" width="12.5546875" style="754" customWidth="1"/>
    <col min="12296" max="12296" width="10.33203125" style="754" customWidth="1"/>
    <col min="12297" max="12297" width="12" style="754" customWidth="1"/>
    <col min="12298" max="12298" width="10.6640625" style="754" customWidth="1"/>
    <col min="12299" max="12299" width="9.33203125" style="754" customWidth="1"/>
    <col min="12300" max="12300" width="13.109375" style="754" customWidth="1"/>
    <col min="12301" max="12301" width="9.88671875" style="754" customWidth="1"/>
    <col min="12302" max="12544" width="9.109375" style="754"/>
    <col min="12545" max="12545" width="8.44140625" style="754" customWidth="1"/>
    <col min="12546" max="12546" width="18.6640625" style="754" customWidth="1"/>
    <col min="12547" max="12547" width="13" style="754" customWidth="1"/>
    <col min="12548" max="12548" width="9.33203125" style="754" customWidth="1"/>
    <col min="12549" max="12549" width="10.88671875" style="754" customWidth="1"/>
    <col min="12550" max="12550" width="8.6640625" style="754" customWidth="1"/>
    <col min="12551" max="12551" width="12.5546875" style="754" customWidth="1"/>
    <col min="12552" max="12552" width="10.33203125" style="754" customWidth="1"/>
    <col min="12553" max="12553" width="12" style="754" customWidth="1"/>
    <col min="12554" max="12554" width="10.6640625" style="754" customWidth="1"/>
    <col min="12555" max="12555" width="9.33203125" style="754" customWidth="1"/>
    <col min="12556" max="12556" width="13.109375" style="754" customWidth="1"/>
    <col min="12557" max="12557" width="9.88671875" style="754" customWidth="1"/>
    <col min="12558" max="12800" width="9.109375" style="754"/>
    <col min="12801" max="12801" width="8.44140625" style="754" customWidth="1"/>
    <col min="12802" max="12802" width="18.6640625" style="754" customWidth="1"/>
    <col min="12803" max="12803" width="13" style="754" customWidth="1"/>
    <col min="12804" max="12804" width="9.33203125" style="754" customWidth="1"/>
    <col min="12805" max="12805" width="10.88671875" style="754" customWidth="1"/>
    <col min="12806" max="12806" width="8.6640625" style="754" customWidth="1"/>
    <col min="12807" max="12807" width="12.5546875" style="754" customWidth="1"/>
    <col min="12808" max="12808" width="10.33203125" style="754" customWidth="1"/>
    <col min="12809" max="12809" width="12" style="754" customWidth="1"/>
    <col min="12810" max="12810" width="10.6640625" style="754" customWidth="1"/>
    <col min="12811" max="12811" width="9.33203125" style="754" customWidth="1"/>
    <col min="12812" max="12812" width="13.109375" style="754" customWidth="1"/>
    <col min="12813" max="12813" width="9.88671875" style="754" customWidth="1"/>
    <col min="12814" max="13056" width="9.109375" style="754"/>
    <col min="13057" max="13057" width="8.44140625" style="754" customWidth="1"/>
    <col min="13058" max="13058" width="18.6640625" style="754" customWidth="1"/>
    <col min="13059" max="13059" width="13" style="754" customWidth="1"/>
    <col min="13060" max="13060" width="9.33203125" style="754" customWidth="1"/>
    <col min="13061" max="13061" width="10.88671875" style="754" customWidth="1"/>
    <col min="13062" max="13062" width="8.6640625" style="754" customWidth="1"/>
    <col min="13063" max="13063" width="12.5546875" style="754" customWidth="1"/>
    <col min="13064" max="13064" width="10.33203125" style="754" customWidth="1"/>
    <col min="13065" max="13065" width="12" style="754" customWidth="1"/>
    <col min="13066" max="13066" width="10.6640625" style="754" customWidth="1"/>
    <col min="13067" max="13067" width="9.33203125" style="754" customWidth="1"/>
    <col min="13068" max="13068" width="13.109375" style="754" customWidth="1"/>
    <col min="13069" max="13069" width="9.88671875" style="754" customWidth="1"/>
    <col min="13070" max="13312" width="9.109375" style="754"/>
    <col min="13313" max="13313" width="8.44140625" style="754" customWidth="1"/>
    <col min="13314" max="13314" width="18.6640625" style="754" customWidth="1"/>
    <col min="13315" max="13315" width="13" style="754" customWidth="1"/>
    <col min="13316" max="13316" width="9.33203125" style="754" customWidth="1"/>
    <col min="13317" max="13317" width="10.88671875" style="754" customWidth="1"/>
    <col min="13318" max="13318" width="8.6640625" style="754" customWidth="1"/>
    <col min="13319" max="13319" width="12.5546875" style="754" customWidth="1"/>
    <col min="13320" max="13320" width="10.33203125" style="754" customWidth="1"/>
    <col min="13321" max="13321" width="12" style="754" customWidth="1"/>
    <col min="13322" max="13322" width="10.6640625" style="754" customWidth="1"/>
    <col min="13323" max="13323" width="9.33203125" style="754" customWidth="1"/>
    <col min="13324" max="13324" width="13.109375" style="754" customWidth="1"/>
    <col min="13325" max="13325" width="9.88671875" style="754" customWidth="1"/>
    <col min="13326" max="13568" width="9.109375" style="754"/>
    <col min="13569" max="13569" width="8.44140625" style="754" customWidth="1"/>
    <col min="13570" max="13570" width="18.6640625" style="754" customWidth="1"/>
    <col min="13571" max="13571" width="13" style="754" customWidth="1"/>
    <col min="13572" max="13572" width="9.33203125" style="754" customWidth="1"/>
    <col min="13573" max="13573" width="10.88671875" style="754" customWidth="1"/>
    <col min="13574" max="13574" width="8.6640625" style="754" customWidth="1"/>
    <col min="13575" max="13575" width="12.5546875" style="754" customWidth="1"/>
    <col min="13576" max="13576" width="10.33203125" style="754" customWidth="1"/>
    <col min="13577" max="13577" width="12" style="754" customWidth="1"/>
    <col min="13578" max="13578" width="10.6640625" style="754" customWidth="1"/>
    <col min="13579" max="13579" width="9.33203125" style="754" customWidth="1"/>
    <col min="13580" max="13580" width="13.109375" style="754" customWidth="1"/>
    <col min="13581" max="13581" width="9.88671875" style="754" customWidth="1"/>
    <col min="13582" max="13824" width="9.109375" style="754"/>
    <col min="13825" max="13825" width="8.44140625" style="754" customWidth="1"/>
    <col min="13826" max="13826" width="18.6640625" style="754" customWidth="1"/>
    <col min="13827" max="13827" width="13" style="754" customWidth="1"/>
    <col min="13828" max="13828" width="9.33203125" style="754" customWidth="1"/>
    <col min="13829" max="13829" width="10.88671875" style="754" customWidth="1"/>
    <col min="13830" max="13830" width="8.6640625" style="754" customWidth="1"/>
    <col min="13831" max="13831" width="12.5546875" style="754" customWidth="1"/>
    <col min="13832" max="13832" width="10.33203125" style="754" customWidth="1"/>
    <col min="13833" max="13833" width="12" style="754" customWidth="1"/>
    <col min="13834" max="13834" width="10.6640625" style="754" customWidth="1"/>
    <col min="13835" max="13835" width="9.33203125" style="754" customWidth="1"/>
    <col min="13836" max="13836" width="13.109375" style="754" customWidth="1"/>
    <col min="13837" max="13837" width="9.88671875" style="754" customWidth="1"/>
    <col min="13838" max="14080" width="9.109375" style="754"/>
    <col min="14081" max="14081" width="8.44140625" style="754" customWidth="1"/>
    <col min="14082" max="14082" width="18.6640625" style="754" customWidth="1"/>
    <col min="14083" max="14083" width="13" style="754" customWidth="1"/>
    <col min="14084" max="14084" width="9.33203125" style="754" customWidth="1"/>
    <col min="14085" max="14085" width="10.88671875" style="754" customWidth="1"/>
    <col min="14086" max="14086" width="8.6640625" style="754" customWidth="1"/>
    <col min="14087" max="14087" width="12.5546875" style="754" customWidth="1"/>
    <col min="14088" max="14088" width="10.33203125" style="754" customWidth="1"/>
    <col min="14089" max="14089" width="12" style="754" customWidth="1"/>
    <col min="14090" max="14090" width="10.6640625" style="754" customWidth="1"/>
    <col min="14091" max="14091" width="9.33203125" style="754" customWidth="1"/>
    <col min="14092" max="14092" width="13.109375" style="754" customWidth="1"/>
    <col min="14093" max="14093" width="9.88671875" style="754" customWidth="1"/>
    <col min="14094" max="14336" width="9.109375" style="754"/>
    <col min="14337" max="14337" width="8.44140625" style="754" customWidth="1"/>
    <col min="14338" max="14338" width="18.6640625" style="754" customWidth="1"/>
    <col min="14339" max="14339" width="13" style="754" customWidth="1"/>
    <col min="14340" max="14340" width="9.33203125" style="754" customWidth="1"/>
    <col min="14341" max="14341" width="10.88671875" style="754" customWidth="1"/>
    <col min="14342" max="14342" width="8.6640625" style="754" customWidth="1"/>
    <col min="14343" max="14343" width="12.5546875" style="754" customWidth="1"/>
    <col min="14344" max="14344" width="10.33203125" style="754" customWidth="1"/>
    <col min="14345" max="14345" width="12" style="754" customWidth="1"/>
    <col min="14346" max="14346" width="10.6640625" style="754" customWidth="1"/>
    <col min="14347" max="14347" width="9.33203125" style="754" customWidth="1"/>
    <col min="14348" max="14348" width="13.109375" style="754" customWidth="1"/>
    <col min="14349" max="14349" width="9.88671875" style="754" customWidth="1"/>
    <col min="14350" max="14592" width="9.109375" style="754"/>
    <col min="14593" max="14593" width="8.44140625" style="754" customWidth="1"/>
    <col min="14594" max="14594" width="18.6640625" style="754" customWidth="1"/>
    <col min="14595" max="14595" width="13" style="754" customWidth="1"/>
    <col min="14596" max="14596" width="9.33203125" style="754" customWidth="1"/>
    <col min="14597" max="14597" width="10.88671875" style="754" customWidth="1"/>
    <col min="14598" max="14598" width="8.6640625" style="754" customWidth="1"/>
    <col min="14599" max="14599" width="12.5546875" style="754" customWidth="1"/>
    <col min="14600" max="14600" width="10.33203125" style="754" customWidth="1"/>
    <col min="14601" max="14601" width="12" style="754" customWidth="1"/>
    <col min="14602" max="14602" width="10.6640625" style="754" customWidth="1"/>
    <col min="14603" max="14603" width="9.33203125" style="754" customWidth="1"/>
    <col min="14604" max="14604" width="13.109375" style="754" customWidth="1"/>
    <col min="14605" max="14605" width="9.88671875" style="754" customWidth="1"/>
    <col min="14606" max="14848" width="9.109375" style="754"/>
    <col min="14849" max="14849" width="8.44140625" style="754" customWidth="1"/>
    <col min="14850" max="14850" width="18.6640625" style="754" customWidth="1"/>
    <col min="14851" max="14851" width="13" style="754" customWidth="1"/>
    <col min="14852" max="14852" width="9.33203125" style="754" customWidth="1"/>
    <col min="14853" max="14853" width="10.88671875" style="754" customWidth="1"/>
    <col min="14854" max="14854" width="8.6640625" style="754" customWidth="1"/>
    <col min="14855" max="14855" width="12.5546875" style="754" customWidth="1"/>
    <col min="14856" max="14856" width="10.33203125" style="754" customWidth="1"/>
    <col min="14857" max="14857" width="12" style="754" customWidth="1"/>
    <col min="14858" max="14858" width="10.6640625" style="754" customWidth="1"/>
    <col min="14859" max="14859" width="9.33203125" style="754" customWidth="1"/>
    <col min="14860" max="14860" width="13.109375" style="754" customWidth="1"/>
    <col min="14861" max="14861" width="9.88671875" style="754" customWidth="1"/>
    <col min="14862" max="15104" width="9.109375" style="754"/>
    <col min="15105" max="15105" width="8.44140625" style="754" customWidth="1"/>
    <col min="15106" max="15106" width="18.6640625" style="754" customWidth="1"/>
    <col min="15107" max="15107" width="13" style="754" customWidth="1"/>
    <col min="15108" max="15108" width="9.33203125" style="754" customWidth="1"/>
    <col min="15109" max="15109" width="10.88671875" style="754" customWidth="1"/>
    <col min="15110" max="15110" width="8.6640625" style="754" customWidth="1"/>
    <col min="15111" max="15111" width="12.5546875" style="754" customWidth="1"/>
    <col min="15112" max="15112" width="10.33203125" style="754" customWidth="1"/>
    <col min="15113" max="15113" width="12" style="754" customWidth="1"/>
    <col min="15114" max="15114" width="10.6640625" style="754" customWidth="1"/>
    <col min="15115" max="15115" width="9.33203125" style="754" customWidth="1"/>
    <col min="15116" max="15116" width="13.109375" style="754" customWidth="1"/>
    <col min="15117" max="15117" width="9.88671875" style="754" customWidth="1"/>
    <col min="15118" max="15360" width="9.109375" style="754"/>
    <col min="15361" max="15361" width="8.44140625" style="754" customWidth="1"/>
    <col min="15362" max="15362" width="18.6640625" style="754" customWidth="1"/>
    <col min="15363" max="15363" width="13" style="754" customWidth="1"/>
    <col min="15364" max="15364" width="9.33203125" style="754" customWidth="1"/>
    <col min="15365" max="15365" width="10.88671875" style="754" customWidth="1"/>
    <col min="15366" max="15366" width="8.6640625" style="754" customWidth="1"/>
    <col min="15367" max="15367" width="12.5546875" style="754" customWidth="1"/>
    <col min="15368" max="15368" width="10.33203125" style="754" customWidth="1"/>
    <col min="15369" max="15369" width="12" style="754" customWidth="1"/>
    <col min="15370" max="15370" width="10.6640625" style="754" customWidth="1"/>
    <col min="15371" max="15371" width="9.33203125" style="754" customWidth="1"/>
    <col min="15372" max="15372" width="13.109375" style="754" customWidth="1"/>
    <col min="15373" max="15373" width="9.88671875" style="754" customWidth="1"/>
    <col min="15374" max="15616" width="9.109375" style="754"/>
    <col min="15617" max="15617" width="8.44140625" style="754" customWidth="1"/>
    <col min="15618" max="15618" width="18.6640625" style="754" customWidth="1"/>
    <col min="15619" max="15619" width="13" style="754" customWidth="1"/>
    <col min="15620" max="15620" width="9.33203125" style="754" customWidth="1"/>
    <col min="15621" max="15621" width="10.88671875" style="754" customWidth="1"/>
    <col min="15622" max="15622" width="8.6640625" style="754" customWidth="1"/>
    <col min="15623" max="15623" width="12.5546875" style="754" customWidth="1"/>
    <col min="15624" max="15624" width="10.33203125" style="754" customWidth="1"/>
    <col min="15625" max="15625" width="12" style="754" customWidth="1"/>
    <col min="15626" max="15626" width="10.6640625" style="754" customWidth="1"/>
    <col min="15627" max="15627" width="9.33203125" style="754" customWidth="1"/>
    <col min="15628" max="15628" width="13.109375" style="754" customWidth="1"/>
    <col min="15629" max="15629" width="9.88671875" style="754" customWidth="1"/>
    <col min="15630" max="15872" width="9.109375" style="754"/>
    <col min="15873" max="15873" width="8.44140625" style="754" customWidth="1"/>
    <col min="15874" max="15874" width="18.6640625" style="754" customWidth="1"/>
    <col min="15875" max="15875" width="13" style="754" customWidth="1"/>
    <col min="15876" max="15876" width="9.33203125" style="754" customWidth="1"/>
    <col min="15877" max="15877" width="10.88671875" style="754" customWidth="1"/>
    <col min="15878" max="15878" width="8.6640625" style="754" customWidth="1"/>
    <col min="15879" max="15879" width="12.5546875" style="754" customWidth="1"/>
    <col min="15880" max="15880" width="10.33203125" style="754" customWidth="1"/>
    <col min="15881" max="15881" width="12" style="754" customWidth="1"/>
    <col min="15882" max="15882" width="10.6640625" style="754" customWidth="1"/>
    <col min="15883" max="15883" width="9.33203125" style="754" customWidth="1"/>
    <col min="15884" max="15884" width="13.109375" style="754" customWidth="1"/>
    <col min="15885" max="15885" width="9.88671875" style="754" customWidth="1"/>
    <col min="15886" max="16128" width="9.109375" style="754"/>
    <col min="16129" max="16129" width="8.44140625" style="754" customWidth="1"/>
    <col min="16130" max="16130" width="18.6640625" style="754" customWidth="1"/>
    <col min="16131" max="16131" width="13" style="754" customWidth="1"/>
    <col min="16132" max="16132" width="9.33203125" style="754" customWidth="1"/>
    <col min="16133" max="16133" width="10.88671875" style="754" customWidth="1"/>
    <col min="16134" max="16134" width="8.6640625" style="754" customWidth="1"/>
    <col min="16135" max="16135" width="12.5546875" style="754" customWidth="1"/>
    <col min="16136" max="16136" width="10.33203125" style="754" customWidth="1"/>
    <col min="16137" max="16137" width="12" style="754" customWidth="1"/>
    <col min="16138" max="16138" width="10.6640625" style="754" customWidth="1"/>
    <col min="16139" max="16139" width="9.33203125" style="754" customWidth="1"/>
    <col min="16140" max="16140" width="13.109375" style="754" customWidth="1"/>
    <col min="16141" max="16141" width="9.88671875" style="754" customWidth="1"/>
    <col min="16142" max="16384" width="9.109375" style="754"/>
  </cols>
  <sheetData>
    <row r="1" spans="1:36" ht="15.6">
      <c r="M1" s="875"/>
    </row>
    <row r="2" spans="1:36" s="765" customFormat="1">
      <c r="A2" s="568" t="s">
        <v>650</v>
      </c>
    </row>
    <row r="3" spans="1:36" s="765" customFormat="1" ht="15.6">
      <c r="A3" s="568" t="s">
        <v>651</v>
      </c>
    </row>
    <row r="4" spans="1:36" s="765" customFormat="1" ht="14.25" customHeight="1">
      <c r="A4" s="464" t="s">
        <v>652</v>
      </c>
    </row>
    <row r="5" spans="1:36" ht="6.75" customHeight="1">
      <c r="A5" s="876"/>
      <c r="B5" s="734"/>
      <c r="C5" s="734"/>
      <c r="D5" s="734"/>
      <c r="E5" s="734"/>
      <c r="F5" s="734"/>
      <c r="G5" s="765"/>
      <c r="H5" s="734"/>
      <c r="I5" s="734"/>
      <c r="J5" s="734"/>
      <c r="K5" s="734"/>
      <c r="L5" s="734"/>
      <c r="M5" s="734"/>
    </row>
    <row r="6" spans="1:36" s="878" customFormat="1" ht="11.4">
      <c r="A6" s="934" t="s">
        <v>653</v>
      </c>
      <c r="B6" s="934" t="s">
        <v>654</v>
      </c>
      <c r="C6" s="935" t="s">
        <v>655</v>
      </c>
      <c r="D6" s="936" t="s">
        <v>656</v>
      </c>
      <c r="E6" s="935"/>
      <c r="F6" s="935"/>
      <c r="G6" s="937"/>
      <c r="H6" s="935" t="s">
        <v>657</v>
      </c>
      <c r="I6" s="935" t="s">
        <v>658</v>
      </c>
      <c r="J6" s="935" t="s">
        <v>659</v>
      </c>
      <c r="K6" s="935" t="s">
        <v>660</v>
      </c>
      <c r="L6" s="935" t="s">
        <v>661</v>
      </c>
      <c r="M6" s="935" t="s">
        <v>662</v>
      </c>
      <c r="X6" s="934" t="s">
        <v>653</v>
      </c>
      <c r="Y6" s="934" t="s">
        <v>654</v>
      </c>
      <c r="Z6" s="935" t="s">
        <v>655</v>
      </c>
      <c r="AA6" s="936" t="s">
        <v>656</v>
      </c>
      <c r="AB6" s="935"/>
      <c r="AC6" s="935"/>
      <c r="AD6" s="937"/>
      <c r="AE6" s="935" t="s">
        <v>657</v>
      </c>
      <c r="AF6" s="935" t="s">
        <v>658</v>
      </c>
      <c r="AG6" s="935" t="s">
        <v>659</v>
      </c>
      <c r="AH6" s="935" t="s">
        <v>660</v>
      </c>
      <c r="AI6" s="935" t="s">
        <v>661</v>
      </c>
      <c r="AJ6" s="935" t="s">
        <v>662</v>
      </c>
    </row>
    <row r="7" spans="1:36" s="878" customFormat="1" ht="12.75" customHeight="1">
      <c r="A7" s="938" t="s">
        <v>663</v>
      </c>
      <c r="B7" s="939"/>
      <c r="C7" s="940"/>
      <c r="D7" s="936" t="s">
        <v>664</v>
      </c>
      <c r="E7" s="934"/>
      <c r="F7" s="934"/>
      <c r="G7" s="940" t="s">
        <v>665</v>
      </c>
      <c r="H7" s="940"/>
      <c r="I7" s="940"/>
      <c r="J7" s="940" t="s">
        <v>666</v>
      </c>
      <c r="K7" s="940"/>
      <c r="L7" s="940"/>
      <c r="M7" s="940"/>
      <c r="X7" s="938" t="s">
        <v>663</v>
      </c>
      <c r="Y7" s="939"/>
      <c r="Z7" s="940"/>
      <c r="AA7" s="936" t="s">
        <v>664</v>
      </c>
      <c r="AB7" s="934"/>
      <c r="AC7" s="934"/>
      <c r="AD7" s="940" t="s">
        <v>665</v>
      </c>
      <c r="AE7" s="940"/>
      <c r="AF7" s="940"/>
      <c r="AG7" s="940" t="s">
        <v>666</v>
      </c>
      <c r="AH7" s="940"/>
      <c r="AI7" s="940"/>
      <c r="AJ7" s="940"/>
    </row>
    <row r="8" spans="1:36" s="878" customFormat="1" ht="11.4">
      <c r="A8" s="941"/>
      <c r="B8" s="942"/>
      <c r="C8" s="943"/>
      <c r="D8" s="944">
        <v>-3500</v>
      </c>
      <c r="E8" s="943" t="s">
        <v>667</v>
      </c>
      <c r="F8" s="943" t="s">
        <v>625</v>
      </c>
      <c r="G8" s="943" t="s">
        <v>668</v>
      </c>
      <c r="H8" s="943"/>
      <c r="I8" s="943"/>
      <c r="J8" s="943"/>
      <c r="K8" s="943"/>
      <c r="L8" s="943"/>
      <c r="M8" s="943"/>
      <c r="X8" s="941"/>
      <c r="Y8" s="942"/>
      <c r="Z8" s="943"/>
      <c r="AA8" s="944">
        <v>-3500</v>
      </c>
      <c r="AB8" s="943" t="s">
        <v>667</v>
      </c>
      <c r="AC8" s="943" t="s">
        <v>625</v>
      </c>
      <c r="AD8" s="943" t="s">
        <v>668</v>
      </c>
      <c r="AE8" s="943"/>
      <c r="AF8" s="943"/>
      <c r="AG8" s="943"/>
      <c r="AH8" s="943"/>
      <c r="AI8" s="943"/>
      <c r="AJ8" s="943"/>
    </row>
    <row r="9" spans="1:36" s="878" customFormat="1" ht="35.25" customHeight="1">
      <c r="A9" s="879"/>
      <c r="B9" s="880"/>
      <c r="C9" s="877"/>
      <c r="D9" s="881"/>
      <c r="E9" s="877"/>
      <c r="F9" s="877"/>
      <c r="G9" s="877"/>
      <c r="H9" s="877"/>
      <c r="I9" s="877"/>
      <c r="J9" s="877"/>
      <c r="K9" s="877"/>
      <c r="L9" s="877"/>
      <c r="M9" s="877"/>
      <c r="Q9" s="919" t="s">
        <v>654</v>
      </c>
      <c r="R9" s="919" t="s">
        <v>1018</v>
      </c>
      <c r="S9" s="920" t="s">
        <v>1019</v>
      </c>
    </row>
    <row r="10" spans="1:36" s="878" customFormat="1">
      <c r="A10" s="882">
        <v>114</v>
      </c>
      <c r="B10" s="883" t="s">
        <v>669</v>
      </c>
      <c r="C10" s="884">
        <v>16046</v>
      </c>
      <c r="D10" s="884">
        <v>1413</v>
      </c>
      <c r="E10" s="884">
        <v>243</v>
      </c>
      <c r="F10" s="884">
        <v>1656</v>
      </c>
      <c r="G10" s="884">
        <v>19</v>
      </c>
      <c r="H10" s="884">
        <v>1</v>
      </c>
      <c r="I10" s="884">
        <v>943</v>
      </c>
      <c r="J10" s="884">
        <v>214</v>
      </c>
      <c r="K10" s="884">
        <v>162</v>
      </c>
      <c r="L10" s="884">
        <v>200</v>
      </c>
      <c r="M10" s="884">
        <v>2150</v>
      </c>
      <c r="N10" s="880"/>
      <c r="Q10" s="921" t="s">
        <v>1020</v>
      </c>
      <c r="R10" s="921">
        <v>114</v>
      </c>
      <c r="S10" s="922">
        <v>3</v>
      </c>
      <c r="V10" s="894">
        <v>1</v>
      </c>
      <c r="W10" s="894" t="s">
        <v>601</v>
      </c>
      <c r="Z10" s="878">
        <f>SUMIF($S$10:$S$331,$V10,C$10:C$331)</f>
        <v>183626</v>
      </c>
      <c r="AA10" s="878">
        <f>SUMIF($S$10:$S$331,$V10,D$10:D$331)</f>
        <v>21239</v>
      </c>
      <c r="AB10" s="878">
        <f t="shared" ref="AB10:AJ13" si="0">SUMIF($S$10:$S$331,$V10,E$10:E$331)</f>
        <v>3932</v>
      </c>
      <c r="AC10" s="878">
        <f t="shared" si="0"/>
        <v>25171</v>
      </c>
      <c r="AD10" s="878">
        <f t="shared" si="0"/>
        <v>294</v>
      </c>
      <c r="AE10" s="878">
        <f t="shared" si="0"/>
        <v>609</v>
      </c>
      <c r="AF10" s="878">
        <f t="shared" si="0"/>
        <v>8964</v>
      </c>
      <c r="AG10" s="878">
        <f t="shared" si="0"/>
        <v>2580</v>
      </c>
      <c r="AH10" s="878">
        <f t="shared" si="0"/>
        <v>16485</v>
      </c>
      <c r="AI10" s="878">
        <f t="shared" si="0"/>
        <v>61225</v>
      </c>
      <c r="AJ10" s="878">
        <f t="shared" si="0"/>
        <v>72720</v>
      </c>
    </row>
    <row r="11" spans="1:36" s="884" customFormat="1">
      <c r="A11" s="882">
        <v>115</v>
      </c>
      <c r="B11" s="883" t="s">
        <v>670</v>
      </c>
      <c r="C11" s="884">
        <v>13407</v>
      </c>
      <c r="D11" s="884">
        <v>1340</v>
      </c>
      <c r="E11" s="884">
        <v>287</v>
      </c>
      <c r="F11" s="884">
        <v>1627</v>
      </c>
      <c r="G11" s="884">
        <v>31</v>
      </c>
      <c r="H11" s="884">
        <v>1</v>
      </c>
      <c r="I11" s="884">
        <v>1083</v>
      </c>
      <c r="J11" s="884">
        <v>233</v>
      </c>
      <c r="K11" s="884">
        <v>615</v>
      </c>
      <c r="L11" s="884">
        <v>419</v>
      </c>
      <c r="M11" s="884">
        <v>2639</v>
      </c>
      <c r="Q11" s="921" t="s">
        <v>1021</v>
      </c>
      <c r="R11" s="921">
        <v>115</v>
      </c>
      <c r="S11" s="922">
        <v>3</v>
      </c>
      <c r="V11" s="892">
        <v>2</v>
      </c>
      <c r="W11" s="892" t="s">
        <v>602</v>
      </c>
      <c r="Z11" s="878">
        <f t="shared" ref="Z11:AA13" si="1">SUMIF($S$10:$S$331,$V11,C$10:C$331)</f>
        <v>406123</v>
      </c>
      <c r="AA11" s="878">
        <f t="shared" si="1"/>
        <v>43735</v>
      </c>
      <c r="AB11" s="878">
        <f t="shared" si="0"/>
        <v>8329</v>
      </c>
      <c r="AC11" s="878">
        <f t="shared" si="0"/>
        <v>52064</v>
      </c>
      <c r="AD11" s="878">
        <f t="shared" si="0"/>
        <v>603</v>
      </c>
      <c r="AE11" s="878">
        <f t="shared" si="0"/>
        <v>1412</v>
      </c>
      <c r="AF11" s="878">
        <f t="shared" si="0"/>
        <v>27174</v>
      </c>
      <c r="AG11" s="878">
        <f t="shared" si="0"/>
        <v>6992</v>
      </c>
      <c r="AH11" s="878">
        <f t="shared" si="0"/>
        <v>41391</v>
      </c>
      <c r="AI11" s="878">
        <f t="shared" si="0"/>
        <v>78778</v>
      </c>
      <c r="AJ11" s="878">
        <f t="shared" si="0"/>
        <v>133438</v>
      </c>
    </row>
    <row r="12" spans="1:36" s="884" customFormat="1">
      <c r="A12" s="882">
        <v>117</v>
      </c>
      <c r="B12" s="883" t="s">
        <v>671</v>
      </c>
      <c r="C12" s="884">
        <v>17626</v>
      </c>
      <c r="D12" s="884">
        <v>1521</v>
      </c>
      <c r="E12" s="884">
        <v>210</v>
      </c>
      <c r="F12" s="884">
        <v>1731</v>
      </c>
      <c r="G12" s="884">
        <v>11</v>
      </c>
      <c r="H12" s="884">
        <v>8</v>
      </c>
      <c r="I12" s="884">
        <v>1170</v>
      </c>
      <c r="J12" s="884">
        <v>325</v>
      </c>
      <c r="K12" s="884">
        <v>421</v>
      </c>
      <c r="L12" s="884">
        <v>450</v>
      </c>
      <c r="M12" s="884">
        <v>3288</v>
      </c>
      <c r="Q12" s="921" t="s">
        <v>1022</v>
      </c>
      <c r="R12" s="921">
        <v>117</v>
      </c>
      <c r="S12" s="922">
        <v>3</v>
      </c>
      <c r="V12" s="892">
        <v>3</v>
      </c>
      <c r="W12" s="892" t="s">
        <v>603</v>
      </c>
      <c r="Z12" s="878">
        <f t="shared" si="1"/>
        <v>2880999</v>
      </c>
      <c r="AA12" s="878">
        <f t="shared" si="1"/>
        <v>301783</v>
      </c>
      <c r="AB12" s="878">
        <f t="shared" si="0"/>
        <v>49775</v>
      </c>
      <c r="AC12" s="878">
        <f t="shared" si="0"/>
        <v>351558</v>
      </c>
      <c r="AD12" s="878">
        <f t="shared" si="0"/>
        <v>4923</v>
      </c>
      <c r="AE12" s="878">
        <f t="shared" si="0"/>
        <v>9075</v>
      </c>
      <c r="AF12" s="878">
        <f t="shared" si="0"/>
        <v>183138</v>
      </c>
      <c r="AG12" s="878">
        <f t="shared" si="0"/>
        <v>52077</v>
      </c>
      <c r="AH12" s="878">
        <f t="shared" si="0"/>
        <v>192590</v>
      </c>
      <c r="AI12" s="878">
        <f t="shared" si="0"/>
        <v>67854</v>
      </c>
      <c r="AJ12" s="878">
        <f t="shared" si="0"/>
        <v>582423</v>
      </c>
    </row>
    <row r="13" spans="1:36" s="884" customFormat="1">
      <c r="A13" s="882">
        <v>120</v>
      </c>
      <c r="B13" s="883" t="s">
        <v>672</v>
      </c>
      <c r="C13" s="884">
        <v>16061</v>
      </c>
      <c r="D13" s="884">
        <v>1841</v>
      </c>
      <c r="E13" s="884">
        <v>259</v>
      </c>
      <c r="F13" s="884">
        <v>2100</v>
      </c>
      <c r="G13" s="884">
        <v>10</v>
      </c>
      <c r="H13" s="884">
        <v>2</v>
      </c>
      <c r="I13" s="884">
        <v>1180</v>
      </c>
      <c r="J13" s="884">
        <v>390</v>
      </c>
      <c r="K13" s="884">
        <v>401</v>
      </c>
      <c r="L13" s="884">
        <v>563</v>
      </c>
      <c r="M13" s="884">
        <v>3093</v>
      </c>
      <c r="Q13" s="921" t="s">
        <v>1023</v>
      </c>
      <c r="R13" s="921">
        <v>120</v>
      </c>
      <c r="S13" s="922">
        <v>3</v>
      </c>
      <c r="V13" s="892">
        <v>4</v>
      </c>
      <c r="W13" s="892" t="s">
        <v>604</v>
      </c>
      <c r="Z13" s="878">
        <f t="shared" si="1"/>
        <v>864404</v>
      </c>
      <c r="AA13" s="878">
        <f t="shared" si="1"/>
        <v>80755</v>
      </c>
      <c r="AB13" s="878">
        <f t="shared" si="0"/>
        <v>16884</v>
      </c>
      <c r="AC13" s="878">
        <f t="shared" si="0"/>
        <v>97639</v>
      </c>
      <c r="AD13" s="878">
        <f t="shared" si="0"/>
        <v>2469</v>
      </c>
      <c r="AE13" s="878">
        <f t="shared" si="0"/>
        <v>2777</v>
      </c>
      <c r="AF13" s="878">
        <f t="shared" si="0"/>
        <v>58469</v>
      </c>
      <c r="AG13" s="878">
        <f t="shared" si="0"/>
        <v>16699</v>
      </c>
      <c r="AH13" s="878">
        <f t="shared" si="0"/>
        <v>69419</v>
      </c>
      <c r="AI13" s="878">
        <f t="shared" si="0"/>
        <v>6286</v>
      </c>
      <c r="AJ13" s="878">
        <f t="shared" si="0"/>
        <v>177099</v>
      </c>
    </row>
    <row r="14" spans="1:36" s="884" customFormat="1">
      <c r="A14" s="882">
        <v>123</v>
      </c>
      <c r="B14" s="883" t="s">
        <v>673</v>
      </c>
      <c r="C14" s="884">
        <v>25323</v>
      </c>
      <c r="D14" s="884">
        <v>1791</v>
      </c>
      <c r="E14" s="884">
        <v>493</v>
      </c>
      <c r="F14" s="884">
        <v>2284</v>
      </c>
      <c r="G14" s="884">
        <v>27</v>
      </c>
      <c r="H14" s="884">
        <v>108</v>
      </c>
      <c r="I14" s="884">
        <v>1375</v>
      </c>
      <c r="J14" s="884">
        <v>331</v>
      </c>
      <c r="K14" s="884">
        <v>161</v>
      </c>
      <c r="L14" s="884">
        <v>309</v>
      </c>
      <c r="M14" s="884">
        <v>3122</v>
      </c>
      <c r="Q14" s="921" t="s">
        <v>1024</v>
      </c>
      <c r="R14" s="921">
        <v>123</v>
      </c>
      <c r="S14" s="922">
        <v>3</v>
      </c>
      <c r="Y14" s="892" t="s">
        <v>1310</v>
      </c>
      <c r="Z14" s="892">
        <f>SUM(Z10:Z13)</f>
        <v>4335152</v>
      </c>
      <c r="AA14" s="892">
        <f>SUM(AA10:AA13)</f>
        <v>447512</v>
      </c>
      <c r="AB14" s="892">
        <f t="shared" ref="AB14:AJ14" si="2">SUM(AB10:AB13)</f>
        <v>78920</v>
      </c>
      <c r="AC14" s="892">
        <f t="shared" si="2"/>
        <v>526432</v>
      </c>
      <c r="AD14" s="892">
        <f t="shared" si="2"/>
        <v>8289</v>
      </c>
      <c r="AE14" s="892">
        <f t="shared" si="2"/>
        <v>13873</v>
      </c>
      <c r="AF14" s="892">
        <f t="shared" si="2"/>
        <v>277745</v>
      </c>
      <c r="AG14" s="892">
        <f t="shared" si="2"/>
        <v>78348</v>
      </c>
      <c r="AH14" s="892">
        <f t="shared" si="2"/>
        <v>319885</v>
      </c>
      <c r="AI14" s="892">
        <f t="shared" si="2"/>
        <v>214143</v>
      </c>
      <c r="AJ14" s="892">
        <f t="shared" si="2"/>
        <v>965680</v>
      </c>
    </row>
    <row r="15" spans="1:36" s="884" customFormat="1">
      <c r="A15" s="882">
        <v>125</v>
      </c>
      <c r="B15" s="883" t="s">
        <v>674</v>
      </c>
      <c r="C15" s="884">
        <v>11351</v>
      </c>
      <c r="D15" s="884">
        <v>1105</v>
      </c>
      <c r="E15" s="884">
        <v>139</v>
      </c>
      <c r="F15" s="884">
        <v>1244</v>
      </c>
      <c r="G15" s="884">
        <v>4</v>
      </c>
      <c r="H15" s="884">
        <v>41</v>
      </c>
      <c r="I15" s="884">
        <v>875</v>
      </c>
      <c r="J15" s="884">
        <v>270</v>
      </c>
      <c r="K15" s="884">
        <v>461</v>
      </c>
      <c r="L15" s="884">
        <v>223</v>
      </c>
      <c r="M15" s="884">
        <v>2403</v>
      </c>
      <c r="Q15" s="921" t="s">
        <v>1025</v>
      </c>
      <c r="R15" s="921">
        <v>125</v>
      </c>
      <c r="S15" s="922">
        <v>3</v>
      </c>
      <c r="Y15" s="884" t="s">
        <v>1311</v>
      </c>
      <c r="Z15" s="884">
        <f>Z14-C332</f>
        <v>-30</v>
      </c>
      <c r="AA15" s="884">
        <f>AA14-D332</f>
        <v>-5</v>
      </c>
      <c r="AB15" s="884">
        <f t="shared" ref="AB15:AJ15" si="3">AB14-E332</f>
        <v>-3</v>
      </c>
      <c r="AC15" s="884">
        <f t="shared" si="3"/>
        <v>-9</v>
      </c>
      <c r="AD15" s="884">
        <f t="shared" si="3"/>
        <v>0</v>
      </c>
      <c r="AE15" s="884">
        <f t="shared" si="3"/>
        <v>0</v>
      </c>
      <c r="AF15" s="884">
        <f t="shared" si="3"/>
        <v>0</v>
      </c>
      <c r="AG15" s="884">
        <f t="shared" si="3"/>
        <v>0</v>
      </c>
      <c r="AH15" s="884">
        <f t="shared" si="3"/>
        <v>-3</v>
      </c>
      <c r="AI15" s="884">
        <f t="shared" si="3"/>
        <v>-4</v>
      </c>
      <c r="AJ15" s="884">
        <f t="shared" si="3"/>
        <v>-2</v>
      </c>
    </row>
    <row r="16" spans="1:36" s="884" customFormat="1">
      <c r="A16" s="882">
        <v>126</v>
      </c>
      <c r="B16" s="884" t="s">
        <v>675</v>
      </c>
      <c r="C16" s="884">
        <v>33946</v>
      </c>
      <c r="D16" s="884">
        <v>3279</v>
      </c>
      <c r="E16" s="884">
        <v>637</v>
      </c>
      <c r="F16" s="884">
        <v>3916</v>
      </c>
      <c r="G16" s="884">
        <v>47</v>
      </c>
      <c r="H16" s="884">
        <v>4</v>
      </c>
      <c r="I16" s="884">
        <v>2286</v>
      </c>
      <c r="J16" s="884">
        <v>588</v>
      </c>
      <c r="K16" s="884">
        <v>262</v>
      </c>
      <c r="L16" s="884">
        <v>397</v>
      </c>
      <c r="M16" s="884">
        <v>4753</v>
      </c>
      <c r="Q16" s="921" t="s">
        <v>1026</v>
      </c>
      <c r="R16" s="921">
        <v>126</v>
      </c>
      <c r="S16" s="922">
        <v>3</v>
      </c>
    </row>
    <row r="17" spans="1:38" s="884" customFormat="1">
      <c r="A17" s="882">
        <v>127</v>
      </c>
      <c r="B17" s="884" t="s">
        <v>676</v>
      </c>
      <c r="C17" s="884">
        <v>26277</v>
      </c>
      <c r="D17" s="884">
        <v>2211</v>
      </c>
      <c r="E17" s="884">
        <v>384</v>
      </c>
      <c r="F17" s="884">
        <v>2595</v>
      </c>
      <c r="G17" s="884">
        <v>10</v>
      </c>
      <c r="H17" s="884">
        <v>150</v>
      </c>
      <c r="I17" s="884">
        <v>1473</v>
      </c>
      <c r="J17" s="884">
        <v>276</v>
      </c>
      <c r="K17" s="884">
        <v>267</v>
      </c>
      <c r="L17" s="884">
        <v>215</v>
      </c>
      <c r="M17" s="884">
        <v>3004</v>
      </c>
      <c r="Q17" s="921" t="s">
        <v>1027</v>
      </c>
      <c r="R17" s="921">
        <v>127</v>
      </c>
      <c r="S17" s="922">
        <v>3</v>
      </c>
    </row>
    <row r="18" spans="1:38" s="884" customFormat="1">
      <c r="A18" s="882">
        <v>128</v>
      </c>
      <c r="B18" s="884" t="s">
        <v>677</v>
      </c>
      <c r="C18" s="884">
        <v>5798</v>
      </c>
      <c r="D18" s="884">
        <v>450</v>
      </c>
      <c r="E18" s="884">
        <v>64</v>
      </c>
      <c r="F18" s="884">
        <v>514</v>
      </c>
      <c r="G18" s="884">
        <v>3</v>
      </c>
      <c r="H18" s="884">
        <v>2</v>
      </c>
      <c r="I18" s="884">
        <v>368</v>
      </c>
      <c r="J18" s="884">
        <v>79</v>
      </c>
      <c r="K18" s="884">
        <v>51</v>
      </c>
      <c r="L18" s="884">
        <v>62</v>
      </c>
      <c r="M18" s="884">
        <v>776</v>
      </c>
      <c r="Q18" s="921" t="s">
        <v>1028</v>
      </c>
      <c r="R18" s="921">
        <v>128</v>
      </c>
      <c r="S18" s="922">
        <v>3</v>
      </c>
    </row>
    <row r="19" spans="1:38" s="884" customFormat="1">
      <c r="A19" s="882">
        <v>136</v>
      </c>
      <c r="B19" s="883" t="s">
        <v>678</v>
      </c>
      <c r="C19" s="884">
        <v>27772</v>
      </c>
      <c r="D19" s="884">
        <v>2985</v>
      </c>
      <c r="E19" s="884">
        <v>542</v>
      </c>
      <c r="F19" s="884">
        <v>3527</v>
      </c>
      <c r="G19" s="884">
        <v>27</v>
      </c>
      <c r="H19" s="884">
        <v>147</v>
      </c>
      <c r="I19" s="884">
        <v>1843</v>
      </c>
      <c r="J19" s="884">
        <v>420</v>
      </c>
      <c r="K19" s="884">
        <v>512</v>
      </c>
      <c r="L19" s="884">
        <v>472</v>
      </c>
      <c r="M19" s="884">
        <v>4536</v>
      </c>
      <c r="Q19" s="921" t="s">
        <v>1029</v>
      </c>
      <c r="R19" s="921">
        <v>136</v>
      </c>
      <c r="S19" s="922">
        <v>3</v>
      </c>
    </row>
    <row r="20" spans="1:38" s="884" customFormat="1">
      <c r="A20" s="882">
        <v>138</v>
      </c>
      <c r="B20" s="883" t="s">
        <v>679</v>
      </c>
      <c r="C20" s="884">
        <v>15939</v>
      </c>
      <c r="D20" s="884">
        <v>1540</v>
      </c>
      <c r="E20" s="884">
        <v>179</v>
      </c>
      <c r="F20" s="884">
        <v>1719</v>
      </c>
      <c r="G20" s="884">
        <v>4</v>
      </c>
      <c r="H20" s="884">
        <v>105</v>
      </c>
      <c r="I20" s="884">
        <v>1231</v>
      </c>
      <c r="J20" s="884">
        <v>324</v>
      </c>
      <c r="K20" s="884">
        <v>93</v>
      </c>
      <c r="L20" s="884">
        <v>204</v>
      </c>
      <c r="M20" s="884">
        <v>2283</v>
      </c>
      <c r="Q20" s="921" t="s">
        <v>1030</v>
      </c>
      <c r="R20" s="921">
        <v>138</v>
      </c>
      <c r="S20" s="922">
        <v>3</v>
      </c>
      <c r="W20" s="933" t="s">
        <v>1339</v>
      </c>
      <c r="X20" s="933"/>
      <c r="Y20" s="933"/>
      <c r="Z20" s="933"/>
      <c r="AA20" s="933"/>
      <c r="AB20" s="933"/>
      <c r="AC20" s="933"/>
      <c r="AD20" s="933"/>
      <c r="AE20" s="933"/>
    </row>
    <row r="21" spans="1:38" s="884" customFormat="1">
      <c r="A21" s="882">
        <v>139</v>
      </c>
      <c r="B21" s="884" t="s">
        <v>680</v>
      </c>
      <c r="C21" s="884">
        <v>9378</v>
      </c>
      <c r="D21" s="884">
        <v>853</v>
      </c>
      <c r="E21" s="884">
        <v>139</v>
      </c>
      <c r="F21" s="884">
        <v>992</v>
      </c>
      <c r="G21" s="884">
        <v>9</v>
      </c>
      <c r="H21" s="884">
        <v>0</v>
      </c>
      <c r="I21" s="884">
        <v>598</v>
      </c>
      <c r="J21" s="884">
        <v>135</v>
      </c>
      <c r="K21" s="884">
        <v>240</v>
      </c>
      <c r="L21" s="884">
        <v>180</v>
      </c>
      <c r="M21" s="884">
        <v>1676</v>
      </c>
      <c r="Q21" s="921" t="s">
        <v>1031</v>
      </c>
      <c r="R21" s="921">
        <v>139</v>
      </c>
      <c r="S21" s="922">
        <v>3</v>
      </c>
      <c r="X21" s="945"/>
      <c r="Y21" s="946"/>
      <c r="Z21" s="947" t="s">
        <v>655</v>
      </c>
      <c r="AA21" s="936" t="s">
        <v>656</v>
      </c>
      <c r="AB21" s="935"/>
      <c r="AC21" s="935"/>
      <c r="AD21" s="948"/>
      <c r="AE21" s="935" t="s">
        <v>657</v>
      </c>
      <c r="AF21" s="935" t="s">
        <v>658</v>
      </c>
      <c r="AG21" s="935" t="s">
        <v>659</v>
      </c>
      <c r="AH21" s="935" t="s">
        <v>660</v>
      </c>
      <c r="AI21" s="946"/>
      <c r="AJ21" s="946"/>
    </row>
    <row r="22" spans="1:38" s="884" customFormat="1">
      <c r="A22" s="882">
        <v>140</v>
      </c>
      <c r="B22" s="883" t="s">
        <v>681</v>
      </c>
      <c r="C22" s="884">
        <v>4487</v>
      </c>
      <c r="D22" s="884">
        <v>363</v>
      </c>
      <c r="E22" s="884">
        <v>48</v>
      </c>
      <c r="F22" s="884">
        <v>411</v>
      </c>
      <c r="G22" s="884">
        <v>3</v>
      </c>
      <c r="H22" s="884">
        <v>12</v>
      </c>
      <c r="I22" s="884">
        <v>366</v>
      </c>
      <c r="J22" s="884">
        <v>114</v>
      </c>
      <c r="K22" s="884">
        <v>170</v>
      </c>
      <c r="L22" s="884">
        <v>106</v>
      </c>
      <c r="M22" s="884">
        <v>1041</v>
      </c>
      <c r="Q22" s="921" t="s">
        <v>1032</v>
      </c>
      <c r="R22" s="921">
        <v>140</v>
      </c>
      <c r="S22" s="922">
        <v>3</v>
      </c>
      <c r="X22" s="949"/>
      <c r="Y22" s="950"/>
      <c r="Z22" s="951"/>
      <c r="AA22" s="952" t="s">
        <v>664</v>
      </c>
      <c r="AB22" s="953"/>
      <c r="AC22" s="953"/>
      <c r="AD22" s="940" t="s">
        <v>665</v>
      </c>
      <c r="AE22" s="940"/>
      <c r="AF22" s="940"/>
      <c r="AG22" s="940" t="s">
        <v>666</v>
      </c>
      <c r="AH22" s="940"/>
      <c r="AI22" s="950"/>
      <c r="AJ22" s="950"/>
    </row>
    <row r="23" spans="1:38" s="884" customFormat="1">
      <c r="A23" s="882">
        <v>160</v>
      </c>
      <c r="B23" s="884" t="s">
        <v>682</v>
      </c>
      <c r="C23" s="884">
        <v>27453</v>
      </c>
      <c r="D23" s="884">
        <v>1600</v>
      </c>
      <c r="E23" s="884">
        <v>154</v>
      </c>
      <c r="F23" s="884">
        <v>1754</v>
      </c>
      <c r="G23" s="884">
        <v>10</v>
      </c>
      <c r="H23" s="884">
        <v>224</v>
      </c>
      <c r="I23" s="884">
        <v>1229</v>
      </c>
      <c r="J23" s="884">
        <v>347</v>
      </c>
      <c r="K23" s="884">
        <v>223</v>
      </c>
      <c r="L23" s="884">
        <v>300</v>
      </c>
      <c r="M23" s="884">
        <v>3123</v>
      </c>
      <c r="Q23" s="921" t="s">
        <v>1033</v>
      </c>
      <c r="R23" s="921">
        <v>160</v>
      </c>
      <c r="S23" s="922">
        <v>3</v>
      </c>
      <c r="X23" s="954"/>
      <c r="Y23" s="955"/>
      <c r="Z23" s="956"/>
      <c r="AA23" s="944">
        <v>-3500</v>
      </c>
      <c r="AB23" s="943" t="s">
        <v>667</v>
      </c>
      <c r="AC23" s="943" t="s">
        <v>625</v>
      </c>
      <c r="AD23" s="943" t="s">
        <v>668</v>
      </c>
      <c r="AE23" s="954"/>
      <c r="AF23" s="954"/>
      <c r="AG23" s="954"/>
      <c r="AH23" s="954"/>
      <c r="AI23" s="955"/>
      <c r="AJ23" s="955"/>
    </row>
    <row r="24" spans="1:38" s="884" customFormat="1">
      <c r="A24" s="882">
        <v>162</v>
      </c>
      <c r="B24" s="883" t="s">
        <v>683</v>
      </c>
      <c r="C24" s="884">
        <v>13721</v>
      </c>
      <c r="D24" s="884">
        <v>624</v>
      </c>
      <c r="E24" s="884">
        <v>36</v>
      </c>
      <c r="F24" s="884">
        <v>660</v>
      </c>
      <c r="G24" s="884">
        <v>0</v>
      </c>
      <c r="H24" s="884">
        <v>0</v>
      </c>
      <c r="I24" s="884">
        <v>462</v>
      </c>
      <c r="J24" s="884">
        <v>262</v>
      </c>
      <c r="K24" s="884">
        <v>144</v>
      </c>
      <c r="L24" s="884">
        <v>220</v>
      </c>
      <c r="M24" s="884">
        <v>1612</v>
      </c>
      <c r="Q24" s="921" t="s">
        <v>1034</v>
      </c>
      <c r="R24" s="921">
        <v>162</v>
      </c>
      <c r="S24" s="922">
        <v>3</v>
      </c>
      <c r="X24" s="927"/>
      <c r="Z24" s="928"/>
      <c r="AA24" s="929"/>
      <c r="AB24" s="929"/>
      <c r="AC24" s="927"/>
      <c r="AD24" s="927"/>
      <c r="AE24" s="929"/>
      <c r="AF24" s="929"/>
      <c r="AG24" s="927"/>
      <c r="AH24" s="927"/>
    </row>
    <row r="25" spans="1:38" s="884" customFormat="1">
      <c r="A25" s="882">
        <v>163</v>
      </c>
      <c r="B25" s="884" t="s">
        <v>684</v>
      </c>
      <c r="C25" s="884">
        <v>24711</v>
      </c>
      <c r="D25" s="884">
        <v>1954</v>
      </c>
      <c r="E25" s="884">
        <v>895</v>
      </c>
      <c r="F25" s="884">
        <v>2849</v>
      </c>
      <c r="G25" s="884">
        <v>8</v>
      </c>
      <c r="H25" s="884">
        <v>12</v>
      </c>
      <c r="I25" s="884">
        <v>1309</v>
      </c>
      <c r="J25" s="884">
        <v>346</v>
      </c>
      <c r="K25" s="884">
        <v>226</v>
      </c>
      <c r="L25" s="884">
        <v>390</v>
      </c>
      <c r="M25" s="884">
        <v>4088</v>
      </c>
      <c r="Q25" s="921" t="s">
        <v>1035</v>
      </c>
      <c r="R25" s="921">
        <v>163</v>
      </c>
      <c r="S25" s="922">
        <v>3</v>
      </c>
      <c r="W25" s="932" t="s">
        <v>1338</v>
      </c>
      <c r="Z25" s="930">
        <v>1.1389659188052801</v>
      </c>
      <c r="AA25" s="930">
        <v>1.1717092384912551</v>
      </c>
      <c r="AB25" s="930">
        <v>1.2240269536357236</v>
      </c>
      <c r="AC25" s="931"/>
      <c r="AD25" s="931"/>
      <c r="AE25" s="930">
        <v>1.2224842767295598</v>
      </c>
      <c r="AF25" s="930">
        <v>1.1952645091103111</v>
      </c>
      <c r="AG25" s="927"/>
      <c r="AH25" s="927"/>
      <c r="AI25" s="927"/>
      <c r="AJ25" s="927"/>
      <c r="AK25" s="927"/>
      <c r="AL25" s="927"/>
    </row>
    <row r="26" spans="1:38" s="884" customFormat="1">
      <c r="A26" s="882">
        <v>180</v>
      </c>
      <c r="B26" s="883" t="s">
        <v>685</v>
      </c>
      <c r="C26" s="884">
        <v>303930</v>
      </c>
      <c r="D26" s="884">
        <v>44597</v>
      </c>
      <c r="E26" s="884">
        <v>4733</v>
      </c>
      <c r="F26" s="884">
        <v>49330</v>
      </c>
      <c r="G26" s="884">
        <v>237</v>
      </c>
      <c r="H26" s="884">
        <v>1081</v>
      </c>
      <c r="I26" s="884">
        <v>11335</v>
      </c>
      <c r="J26" s="884">
        <v>4470</v>
      </c>
      <c r="K26" s="884">
        <v>2292</v>
      </c>
      <c r="L26" s="884">
        <v>2881</v>
      </c>
      <c r="M26" s="884">
        <v>25978</v>
      </c>
      <c r="Q26" s="921" t="s">
        <v>1036</v>
      </c>
      <c r="R26" s="921">
        <v>180</v>
      </c>
      <c r="S26" s="922">
        <v>3</v>
      </c>
      <c r="W26" s="892"/>
    </row>
    <row r="27" spans="1:38" s="884" customFormat="1">
      <c r="A27" s="882">
        <v>181</v>
      </c>
      <c r="B27" s="884" t="s">
        <v>686</v>
      </c>
      <c r="C27" s="884">
        <v>32791</v>
      </c>
      <c r="D27" s="884">
        <v>3353</v>
      </c>
      <c r="E27" s="884">
        <v>645</v>
      </c>
      <c r="F27" s="884">
        <v>3998</v>
      </c>
      <c r="G27" s="884">
        <v>95</v>
      </c>
      <c r="H27" s="884">
        <v>102</v>
      </c>
      <c r="I27" s="884">
        <v>1733</v>
      </c>
      <c r="J27" s="884">
        <v>464</v>
      </c>
      <c r="K27" s="884">
        <v>848</v>
      </c>
      <c r="L27" s="884">
        <v>367</v>
      </c>
      <c r="M27" s="884">
        <v>4644</v>
      </c>
      <c r="Q27" s="921" t="s">
        <v>1037</v>
      </c>
      <c r="R27" s="921">
        <v>181</v>
      </c>
      <c r="S27" s="922">
        <v>3</v>
      </c>
    </row>
    <row r="28" spans="1:38" s="884" customFormat="1">
      <c r="A28" s="882">
        <v>182</v>
      </c>
      <c r="B28" s="884" t="s">
        <v>687</v>
      </c>
      <c r="C28" s="884">
        <v>41421</v>
      </c>
      <c r="D28" s="884">
        <v>4510</v>
      </c>
      <c r="E28" s="884">
        <v>439</v>
      </c>
      <c r="F28" s="884">
        <v>4949</v>
      </c>
      <c r="G28" s="884">
        <v>13</v>
      </c>
      <c r="H28" s="884">
        <v>212</v>
      </c>
      <c r="I28" s="884">
        <v>1799</v>
      </c>
      <c r="J28" s="884">
        <v>861</v>
      </c>
      <c r="K28" s="884">
        <v>251</v>
      </c>
      <c r="L28" s="884">
        <v>397</v>
      </c>
      <c r="M28" s="884">
        <v>3592</v>
      </c>
      <c r="Q28" s="921" t="s">
        <v>1038</v>
      </c>
      <c r="R28" s="921">
        <v>182</v>
      </c>
      <c r="S28" s="922">
        <v>3</v>
      </c>
    </row>
    <row r="29" spans="1:38" s="884" customFormat="1">
      <c r="A29" s="882">
        <v>183</v>
      </c>
      <c r="B29" s="883" t="s">
        <v>688</v>
      </c>
      <c r="C29" s="884">
        <v>10958</v>
      </c>
      <c r="D29" s="884">
        <v>1109</v>
      </c>
      <c r="E29" s="884">
        <v>53</v>
      </c>
      <c r="F29" s="884">
        <v>1162</v>
      </c>
      <c r="G29" s="884">
        <v>2</v>
      </c>
      <c r="H29" s="884">
        <v>183</v>
      </c>
      <c r="I29" s="884">
        <v>530</v>
      </c>
      <c r="J29" s="884">
        <v>111</v>
      </c>
      <c r="K29" s="884">
        <v>48</v>
      </c>
      <c r="L29" s="884">
        <v>110</v>
      </c>
      <c r="M29" s="884">
        <v>885</v>
      </c>
      <c r="Q29" s="921" t="s">
        <v>1039</v>
      </c>
      <c r="R29" s="921">
        <v>183</v>
      </c>
      <c r="S29" s="922">
        <v>3</v>
      </c>
      <c r="X29" s="934" t="s">
        <v>653</v>
      </c>
      <c r="Y29" s="934" t="s">
        <v>654</v>
      </c>
      <c r="Z29" s="935" t="s">
        <v>655</v>
      </c>
      <c r="AA29" s="936" t="s">
        <v>656</v>
      </c>
      <c r="AB29" s="935"/>
      <c r="AC29" s="935"/>
      <c r="AD29" s="937"/>
      <c r="AE29" s="935" t="s">
        <v>657</v>
      </c>
      <c r="AF29" s="935" t="s">
        <v>658</v>
      </c>
      <c r="AG29" s="935" t="s">
        <v>659</v>
      </c>
      <c r="AH29" s="935" t="s">
        <v>660</v>
      </c>
      <c r="AI29" s="935" t="s">
        <v>661</v>
      </c>
      <c r="AJ29" s="935" t="s">
        <v>662</v>
      </c>
    </row>
    <row r="30" spans="1:38" s="884" customFormat="1">
      <c r="A30" s="882">
        <v>184</v>
      </c>
      <c r="B30" s="884" t="s">
        <v>689</v>
      </c>
      <c r="C30" s="884">
        <v>45302</v>
      </c>
      <c r="D30" s="884">
        <v>11437</v>
      </c>
      <c r="E30" s="884">
        <v>404</v>
      </c>
      <c r="F30" s="884">
        <v>11841</v>
      </c>
      <c r="G30" s="884">
        <v>15</v>
      </c>
      <c r="H30" s="884">
        <v>11</v>
      </c>
      <c r="I30" s="884">
        <v>1040</v>
      </c>
      <c r="J30" s="884">
        <v>221</v>
      </c>
      <c r="K30" s="884">
        <v>214</v>
      </c>
      <c r="L30" s="884">
        <v>404</v>
      </c>
      <c r="M30" s="884">
        <v>3666</v>
      </c>
      <c r="Q30" s="921" t="s">
        <v>1040</v>
      </c>
      <c r="R30" s="921">
        <v>184</v>
      </c>
      <c r="S30" s="922">
        <v>3</v>
      </c>
      <c r="X30" s="938" t="s">
        <v>663</v>
      </c>
      <c r="Y30" s="939"/>
      <c r="Z30" s="940"/>
      <c r="AA30" s="936" t="s">
        <v>664</v>
      </c>
      <c r="AB30" s="934"/>
      <c r="AC30" s="934"/>
      <c r="AD30" s="940" t="s">
        <v>665</v>
      </c>
      <c r="AE30" s="940"/>
      <c r="AF30" s="940"/>
      <c r="AG30" s="940" t="s">
        <v>666</v>
      </c>
      <c r="AH30" s="940"/>
      <c r="AI30" s="940"/>
      <c r="AJ30" s="940"/>
    </row>
    <row r="31" spans="1:38" s="884" customFormat="1">
      <c r="A31" s="882">
        <v>186</v>
      </c>
      <c r="B31" s="883" t="s">
        <v>690</v>
      </c>
      <c r="C31" s="884">
        <v>16750</v>
      </c>
      <c r="D31" s="884">
        <v>716</v>
      </c>
      <c r="E31" s="884">
        <v>60</v>
      </c>
      <c r="F31" s="884">
        <v>776</v>
      </c>
      <c r="G31" s="884">
        <v>0</v>
      </c>
      <c r="H31" s="884">
        <v>72</v>
      </c>
      <c r="I31" s="884">
        <v>704</v>
      </c>
      <c r="J31" s="884">
        <v>503</v>
      </c>
      <c r="K31" s="884">
        <v>136</v>
      </c>
      <c r="L31" s="884">
        <v>246</v>
      </c>
      <c r="M31" s="884">
        <v>1523</v>
      </c>
      <c r="Q31" s="921" t="s">
        <v>1041</v>
      </c>
      <c r="R31" s="921">
        <v>186</v>
      </c>
      <c r="S31" s="922">
        <v>3</v>
      </c>
      <c r="X31" s="941"/>
      <c r="Y31" s="942"/>
      <c r="Z31" s="943"/>
      <c r="AA31" s="944">
        <v>-3500</v>
      </c>
      <c r="AB31" s="943" t="s">
        <v>667</v>
      </c>
      <c r="AC31" s="943" t="s">
        <v>625</v>
      </c>
      <c r="AD31" s="943" t="s">
        <v>668</v>
      </c>
      <c r="AE31" s="943"/>
      <c r="AF31" s="943"/>
      <c r="AG31" s="943"/>
      <c r="AH31" s="943"/>
      <c r="AI31" s="943"/>
      <c r="AJ31" s="943"/>
    </row>
    <row r="32" spans="1:38" s="887" customFormat="1">
      <c r="A32" s="885">
        <v>187</v>
      </c>
      <c r="B32" s="886" t="s">
        <v>691</v>
      </c>
      <c r="C32" s="884">
        <v>4536</v>
      </c>
      <c r="D32" s="884">
        <v>389</v>
      </c>
      <c r="E32" s="884">
        <v>41</v>
      </c>
      <c r="F32" s="884">
        <v>430</v>
      </c>
      <c r="G32" s="884">
        <v>5</v>
      </c>
      <c r="H32" s="884">
        <v>4</v>
      </c>
      <c r="I32" s="884">
        <v>247</v>
      </c>
      <c r="J32" s="884">
        <v>117</v>
      </c>
      <c r="K32" s="884">
        <v>92</v>
      </c>
      <c r="L32" s="884">
        <v>145</v>
      </c>
      <c r="M32" s="884">
        <v>771</v>
      </c>
      <c r="Q32" s="921" t="s">
        <v>1042</v>
      </c>
      <c r="R32" s="921">
        <v>187</v>
      </c>
      <c r="S32" s="922">
        <v>3</v>
      </c>
    </row>
    <row r="33" spans="1:32" s="884" customFormat="1" ht="13.5" customHeight="1">
      <c r="A33" s="882">
        <v>188</v>
      </c>
      <c r="B33" s="888" t="s">
        <v>692</v>
      </c>
      <c r="C33" s="884">
        <v>28481</v>
      </c>
      <c r="D33" s="884">
        <v>3842</v>
      </c>
      <c r="E33" s="884">
        <v>598</v>
      </c>
      <c r="F33" s="884">
        <v>4440</v>
      </c>
      <c r="G33" s="884">
        <v>43</v>
      </c>
      <c r="H33" s="884">
        <v>160</v>
      </c>
      <c r="I33" s="884">
        <v>2103</v>
      </c>
      <c r="J33" s="884">
        <v>506</v>
      </c>
      <c r="K33" s="884">
        <v>3203</v>
      </c>
      <c r="L33" s="884">
        <v>1128</v>
      </c>
      <c r="M33" s="884">
        <v>8016</v>
      </c>
      <c r="Q33" s="921" t="s">
        <v>1043</v>
      </c>
      <c r="R33" s="921">
        <v>188</v>
      </c>
      <c r="S33" s="922">
        <v>3</v>
      </c>
      <c r="W33" s="894" t="s">
        <v>601</v>
      </c>
      <c r="Z33" s="884">
        <f>Z10*Z$25</f>
        <v>209143.75580653836</v>
      </c>
      <c r="AA33" s="884">
        <f t="shared" ref="AA33:AF33" si="4">AA10*AA$25</f>
        <v>24885.932516315766</v>
      </c>
      <c r="AB33" s="884">
        <f t="shared" si="4"/>
        <v>4812.873981695665</v>
      </c>
      <c r="AE33" s="884">
        <f>AE10*AE$25</f>
        <v>744.49292452830196</v>
      </c>
      <c r="AF33" s="884">
        <f t="shared" si="4"/>
        <v>10714.351059664828</v>
      </c>
    </row>
    <row r="34" spans="1:32" s="880" customFormat="1">
      <c r="A34" s="889">
        <v>191</v>
      </c>
      <c r="B34" s="880" t="s">
        <v>693</v>
      </c>
      <c r="C34" s="884">
        <v>16273</v>
      </c>
      <c r="D34" s="884">
        <v>1595</v>
      </c>
      <c r="E34" s="884">
        <v>285</v>
      </c>
      <c r="F34" s="884">
        <v>1880</v>
      </c>
      <c r="G34" s="884">
        <v>36</v>
      </c>
      <c r="H34" s="884">
        <v>115</v>
      </c>
      <c r="I34" s="884">
        <v>1058</v>
      </c>
      <c r="J34" s="884">
        <v>344</v>
      </c>
      <c r="K34" s="884">
        <v>553</v>
      </c>
      <c r="L34" s="884">
        <v>288</v>
      </c>
      <c r="M34" s="884">
        <v>2894</v>
      </c>
      <c r="N34" s="888"/>
      <c r="Q34" s="921" t="s">
        <v>1044</v>
      </c>
      <c r="R34" s="921">
        <v>191</v>
      </c>
      <c r="S34" s="922">
        <v>3</v>
      </c>
      <c r="W34" s="892" t="s">
        <v>602</v>
      </c>
      <c r="Z34" s="884">
        <f t="shared" ref="Z34:AF36" si="5">Z11*Z$25</f>
        <v>462560.25584295677</v>
      </c>
      <c r="AA34" s="884">
        <f t="shared" si="5"/>
        <v>51244.703545415039</v>
      </c>
      <c r="AB34" s="884">
        <f t="shared" si="5"/>
        <v>10194.920496831941</v>
      </c>
      <c r="AC34" s="884"/>
      <c r="AD34" s="884"/>
      <c r="AE34" s="884">
        <f t="shared" si="5"/>
        <v>1726.1477987421385</v>
      </c>
      <c r="AF34" s="884">
        <f t="shared" si="5"/>
        <v>32480.117770563593</v>
      </c>
    </row>
    <row r="35" spans="1:32" s="878" customFormat="1">
      <c r="A35" s="882">
        <v>192</v>
      </c>
      <c r="B35" s="878" t="s">
        <v>694</v>
      </c>
      <c r="C35" s="884">
        <v>10795</v>
      </c>
      <c r="D35" s="884">
        <v>1304</v>
      </c>
      <c r="E35" s="884">
        <v>159</v>
      </c>
      <c r="F35" s="884">
        <v>1463</v>
      </c>
      <c r="G35" s="884">
        <v>10</v>
      </c>
      <c r="H35" s="884">
        <v>57</v>
      </c>
      <c r="I35" s="884">
        <v>926</v>
      </c>
      <c r="J35" s="884">
        <v>163</v>
      </c>
      <c r="K35" s="884">
        <v>508</v>
      </c>
      <c r="L35" s="884">
        <v>214</v>
      </c>
      <c r="M35" s="884">
        <v>2497</v>
      </c>
      <c r="N35" s="888"/>
      <c r="Q35" s="921" t="s">
        <v>1045</v>
      </c>
      <c r="R35" s="921">
        <v>192</v>
      </c>
      <c r="S35" s="922">
        <v>3</v>
      </c>
      <c r="W35" s="892" t="s">
        <v>603</v>
      </c>
      <c r="Z35" s="884">
        <f t="shared" si="5"/>
        <v>3281359.673112093</v>
      </c>
      <c r="AA35" s="884">
        <f t="shared" si="5"/>
        <v>353601.92911960644</v>
      </c>
      <c r="AB35" s="884">
        <f t="shared" si="5"/>
        <v>60925.941617218137</v>
      </c>
      <c r="AC35" s="884"/>
      <c r="AD35" s="884"/>
      <c r="AE35" s="884">
        <f t="shared" si="5"/>
        <v>11094.044811320755</v>
      </c>
      <c r="AF35" s="884">
        <f t="shared" si="5"/>
        <v>218898.35166944415</v>
      </c>
    </row>
    <row r="36" spans="1:32" s="878" customFormat="1" ht="12">
      <c r="A36" s="882" t="s">
        <v>695</v>
      </c>
      <c r="B36" s="880" t="s">
        <v>696</v>
      </c>
      <c r="C36" s="884">
        <v>1</v>
      </c>
      <c r="D36" s="884">
        <v>0</v>
      </c>
      <c r="E36" s="884">
        <v>0</v>
      </c>
      <c r="F36" s="884">
        <v>0</v>
      </c>
      <c r="G36" s="884">
        <v>0</v>
      </c>
      <c r="H36" s="884">
        <v>0</v>
      </c>
      <c r="I36" s="884">
        <v>0</v>
      </c>
      <c r="J36" s="884">
        <v>1</v>
      </c>
      <c r="K36" s="884">
        <v>1</v>
      </c>
      <c r="L36" s="884">
        <v>1</v>
      </c>
      <c r="M36" s="884">
        <v>1</v>
      </c>
      <c r="N36" s="888"/>
      <c r="S36" s="924">
        <v>3</v>
      </c>
      <c r="W36" s="892" t="s">
        <v>604</v>
      </c>
      <c r="Z36" s="884">
        <f t="shared" si="5"/>
        <v>984526.69607895927</v>
      </c>
      <c r="AA36" s="884">
        <f t="shared" si="5"/>
        <v>94621.379554361309</v>
      </c>
      <c r="AB36" s="884">
        <f t="shared" si="5"/>
        <v>20666.471085185556</v>
      </c>
      <c r="AC36" s="884"/>
      <c r="AD36" s="884"/>
      <c r="AE36" s="884">
        <f t="shared" si="5"/>
        <v>3394.8388364779876</v>
      </c>
      <c r="AF36" s="884">
        <f t="shared" si="5"/>
        <v>69885.92058317078</v>
      </c>
    </row>
    <row r="37" spans="1:32" s="894" customFormat="1" ht="12">
      <c r="A37" s="890"/>
      <c r="B37" s="891" t="s">
        <v>697</v>
      </c>
      <c r="C37" s="892">
        <v>800534</v>
      </c>
      <c r="D37" s="892">
        <v>97722</v>
      </c>
      <c r="E37" s="892">
        <v>12126</v>
      </c>
      <c r="F37" s="892">
        <v>109848</v>
      </c>
      <c r="G37" s="892">
        <v>679</v>
      </c>
      <c r="H37" s="892">
        <v>2814</v>
      </c>
      <c r="I37" s="892">
        <v>39266</v>
      </c>
      <c r="J37" s="892">
        <v>12415</v>
      </c>
      <c r="K37" s="892">
        <v>12555</v>
      </c>
      <c r="L37" s="892">
        <v>10891</v>
      </c>
      <c r="M37" s="892">
        <v>98054</v>
      </c>
      <c r="N37" s="893"/>
      <c r="S37" s="894" t="s">
        <v>1312</v>
      </c>
      <c r="T37" s="1104">
        <v>3</v>
      </c>
      <c r="Y37" s="892" t="s">
        <v>1310</v>
      </c>
      <c r="Z37" s="892">
        <f>SUM(Z33:Z36)</f>
        <v>4937590.3808405474</v>
      </c>
      <c r="AA37" s="892">
        <f t="shared" ref="AA37:AF37" si="6">SUM(AA33:AA36)</f>
        <v>524353.94473569852</v>
      </c>
      <c r="AB37" s="892">
        <f t="shared" si="6"/>
        <v>96600.207180931291</v>
      </c>
      <c r="AC37" s="892"/>
      <c r="AD37" s="892"/>
      <c r="AE37" s="892">
        <f t="shared" si="6"/>
        <v>16959.524371069183</v>
      </c>
      <c r="AF37" s="892">
        <f t="shared" si="6"/>
        <v>331978.74108284333</v>
      </c>
    </row>
    <row r="38" spans="1:32" s="894" customFormat="1">
      <c r="A38" s="882">
        <v>305</v>
      </c>
      <c r="B38" s="895" t="s">
        <v>698</v>
      </c>
      <c r="C38" s="884">
        <v>9548</v>
      </c>
      <c r="D38" s="884">
        <v>1000</v>
      </c>
      <c r="E38" s="884">
        <v>190</v>
      </c>
      <c r="F38" s="884">
        <v>1190</v>
      </c>
      <c r="G38" s="884">
        <v>16</v>
      </c>
      <c r="H38" s="884">
        <v>12</v>
      </c>
      <c r="I38" s="884">
        <v>772</v>
      </c>
      <c r="J38" s="884">
        <v>171</v>
      </c>
      <c r="K38" s="884">
        <v>217</v>
      </c>
      <c r="L38" s="884">
        <v>229</v>
      </c>
      <c r="M38" s="884">
        <v>2231</v>
      </c>
      <c r="N38" s="888"/>
      <c r="Q38" s="921" t="s">
        <v>1046</v>
      </c>
      <c r="R38" s="921">
        <v>305</v>
      </c>
      <c r="S38" s="922">
        <v>3</v>
      </c>
    </row>
    <row r="39" spans="1:32" s="894" customFormat="1">
      <c r="A39" s="882">
        <v>319</v>
      </c>
      <c r="B39" s="895" t="s">
        <v>699</v>
      </c>
      <c r="C39" s="884">
        <v>4487</v>
      </c>
      <c r="D39" s="884">
        <v>349</v>
      </c>
      <c r="E39" s="884">
        <v>73</v>
      </c>
      <c r="F39" s="884">
        <v>422</v>
      </c>
      <c r="G39" s="884">
        <v>9</v>
      </c>
      <c r="H39" s="884">
        <v>1</v>
      </c>
      <c r="I39" s="884">
        <v>372</v>
      </c>
      <c r="J39" s="884">
        <v>127</v>
      </c>
      <c r="K39" s="884">
        <v>169</v>
      </c>
      <c r="L39" s="884">
        <v>239</v>
      </c>
      <c r="M39" s="884">
        <v>1480</v>
      </c>
      <c r="N39" s="888"/>
      <c r="Q39" s="921" t="s">
        <v>1047</v>
      </c>
      <c r="R39" s="921">
        <v>319</v>
      </c>
      <c r="S39" s="922">
        <v>3</v>
      </c>
    </row>
    <row r="40" spans="1:32" s="894" customFormat="1">
      <c r="A40" s="882">
        <v>330</v>
      </c>
      <c r="B40" s="895" t="s">
        <v>700</v>
      </c>
      <c r="C40" s="884">
        <v>7015</v>
      </c>
      <c r="D40" s="884">
        <v>490</v>
      </c>
      <c r="E40" s="884">
        <v>69</v>
      </c>
      <c r="F40" s="884">
        <v>559</v>
      </c>
      <c r="G40" s="884">
        <v>5</v>
      </c>
      <c r="H40" s="884">
        <v>0</v>
      </c>
      <c r="I40" s="884">
        <v>506</v>
      </c>
      <c r="J40" s="884">
        <v>133</v>
      </c>
      <c r="K40" s="884">
        <v>443</v>
      </c>
      <c r="L40" s="884">
        <v>201</v>
      </c>
      <c r="M40" s="884">
        <v>1549</v>
      </c>
      <c r="N40" s="888"/>
      <c r="Q40" s="921" t="s">
        <v>1048</v>
      </c>
      <c r="R40" s="921">
        <v>330</v>
      </c>
      <c r="S40" s="922">
        <v>3</v>
      </c>
    </row>
    <row r="41" spans="1:32" s="894" customFormat="1">
      <c r="A41" s="882">
        <v>331</v>
      </c>
      <c r="B41" s="895" t="s">
        <v>701</v>
      </c>
      <c r="C41" s="884">
        <v>7276</v>
      </c>
      <c r="D41" s="884">
        <v>964</v>
      </c>
      <c r="E41" s="884">
        <v>146</v>
      </c>
      <c r="F41" s="884">
        <v>1110</v>
      </c>
      <c r="G41" s="884">
        <v>6</v>
      </c>
      <c r="H41" s="884">
        <v>22</v>
      </c>
      <c r="I41" s="884">
        <v>523</v>
      </c>
      <c r="J41" s="884">
        <v>120</v>
      </c>
      <c r="K41" s="884">
        <v>1497</v>
      </c>
      <c r="L41" s="884">
        <v>452</v>
      </c>
      <c r="M41" s="884">
        <v>2673</v>
      </c>
      <c r="N41" s="888"/>
      <c r="Q41" s="921" t="s">
        <v>1049</v>
      </c>
      <c r="R41" s="921">
        <v>331</v>
      </c>
      <c r="S41" s="923">
        <v>3</v>
      </c>
    </row>
    <row r="42" spans="1:32" s="878" customFormat="1">
      <c r="A42" s="882">
        <v>360</v>
      </c>
      <c r="B42" s="878" t="s">
        <v>702</v>
      </c>
      <c r="C42" s="884">
        <v>10166</v>
      </c>
      <c r="D42" s="884">
        <v>1203</v>
      </c>
      <c r="E42" s="884">
        <v>214</v>
      </c>
      <c r="F42" s="884">
        <v>1417</v>
      </c>
      <c r="G42" s="884">
        <v>8</v>
      </c>
      <c r="H42" s="884">
        <v>64</v>
      </c>
      <c r="I42" s="884">
        <v>755</v>
      </c>
      <c r="J42" s="884">
        <v>158</v>
      </c>
      <c r="K42" s="884">
        <v>1892</v>
      </c>
      <c r="L42" s="884">
        <v>697</v>
      </c>
      <c r="M42" s="884">
        <v>3487</v>
      </c>
      <c r="N42" s="888"/>
      <c r="Q42" s="921" t="s">
        <v>1050</v>
      </c>
      <c r="R42" s="921">
        <v>360</v>
      </c>
      <c r="S42" s="922">
        <v>3</v>
      </c>
    </row>
    <row r="43" spans="1:32" s="878" customFormat="1">
      <c r="A43" s="882">
        <v>380</v>
      </c>
      <c r="B43" s="878" t="s">
        <v>703</v>
      </c>
      <c r="C43" s="884">
        <v>75649</v>
      </c>
      <c r="D43" s="884">
        <v>6091</v>
      </c>
      <c r="E43" s="884">
        <v>930</v>
      </c>
      <c r="F43" s="884">
        <v>7021</v>
      </c>
      <c r="G43" s="884">
        <v>21</v>
      </c>
      <c r="H43" s="884">
        <v>347</v>
      </c>
      <c r="I43" s="884">
        <v>3859</v>
      </c>
      <c r="J43" s="884">
        <v>875</v>
      </c>
      <c r="K43" s="884">
        <v>3817</v>
      </c>
      <c r="L43" s="884">
        <v>1571</v>
      </c>
      <c r="M43" s="884">
        <v>13626</v>
      </c>
      <c r="N43" s="888"/>
      <c r="Q43" s="921" t="s">
        <v>1051</v>
      </c>
      <c r="R43" s="921">
        <v>380</v>
      </c>
      <c r="S43" s="922">
        <v>3</v>
      </c>
    </row>
    <row r="44" spans="1:32" s="878" customFormat="1">
      <c r="A44" s="882">
        <v>381</v>
      </c>
      <c r="B44" s="878" t="s">
        <v>704</v>
      </c>
      <c r="C44" s="884">
        <v>20068</v>
      </c>
      <c r="D44" s="884">
        <v>2422</v>
      </c>
      <c r="E44" s="884">
        <v>378</v>
      </c>
      <c r="F44" s="884">
        <v>2800</v>
      </c>
      <c r="G44" s="884">
        <v>9</v>
      </c>
      <c r="H44" s="884">
        <v>25</v>
      </c>
      <c r="I44" s="884">
        <v>1562</v>
      </c>
      <c r="J44" s="884">
        <v>333</v>
      </c>
      <c r="K44" s="884">
        <v>2446</v>
      </c>
      <c r="L44" s="884">
        <v>466</v>
      </c>
      <c r="M44" s="884">
        <v>5159</v>
      </c>
      <c r="N44" s="884"/>
      <c r="Q44" s="921" t="s">
        <v>1052</v>
      </c>
      <c r="R44" s="921">
        <v>381</v>
      </c>
      <c r="S44" s="922">
        <v>3</v>
      </c>
    </row>
    <row r="45" spans="1:32" s="878" customFormat="1">
      <c r="A45" s="882">
        <v>382</v>
      </c>
      <c r="B45" s="878" t="s">
        <v>705</v>
      </c>
      <c r="C45" s="884">
        <v>11098</v>
      </c>
      <c r="D45" s="884">
        <v>1350</v>
      </c>
      <c r="E45" s="884">
        <v>257</v>
      </c>
      <c r="F45" s="884">
        <v>1607</v>
      </c>
      <c r="G45" s="884">
        <v>6</v>
      </c>
      <c r="H45" s="884">
        <v>19</v>
      </c>
      <c r="I45" s="884">
        <v>970</v>
      </c>
      <c r="J45" s="884">
        <v>258</v>
      </c>
      <c r="K45" s="884">
        <v>2023</v>
      </c>
      <c r="L45" s="884">
        <v>635</v>
      </c>
      <c r="M45" s="884">
        <v>3537</v>
      </c>
      <c r="N45" s="884"/>
      <c r="Q45" s="921" t="s">
        <v>1053</v>
      </c>
      <c r="R45" s="921">
        <v>382</v>
      </c>
      <c r="S45" s="922">
        <v>3</v>
      </c>
    </row>
    <row r="46" spans="1:32" s="894" customFormat="1">
      <c r="A46" s="890"/>
      <c r="B46" s="894" t="s">
        <v>706</v>
      </c>
      <c r="C46" s="892">
        <v>145307</v>
      </c>
      <c r="D46" s="892">
        <v>13869</v>
      </c>
      <c r="E46" s="892">
        <v>2257</v>
      </c>
      <c r="F46" s="892">
        <v>16126</v>
      </c>
      <c r="G46" s="892">
        <v>80</v>
      </c>
      <c r="H46" s="892">
        <v>490</v>
      </c>
      <c r="I46" s="892">
        <v>9319</v>
      </c>
      <c r="J46" s="892">
        <v>2175</v>
      </c>
      <c r="K46" s="892">
        <v>12504</v>
      </c>
      <c r="L46" s="892">
        <v>4490</v>
      </c>
      <c r="M46" s="892">
        <v>33742</v>
      </c>
      <c r="N46" s="892"/>
      <c r="Q46" s="921"/>
      <c r="R46" s="921"/>
      <c r="S46" s="925" t="s">
        <v>1312</v>
      </c>
      <c r="T46" s="1104">
        <v>3</v>
      </c>
    </row>
    <row r="47" spans="1:32" s="878" customFormat="1">
      <c r="A47" s="882">
        <v>428</v>
      </c>
      <c r="B47" s="878" t="s">
        <v>707</v>
      </c>
      <c r="C47" s="884">
        <v>4752</v>
      </c>
      <c r="D47" s="884">
        <v>643</v>
      </c>
      <c r="E47" s="884">
        <v>79</v>
      </c>
      <c r="F47" s="884">
        <v>722</v>
      </c>
      <c r="G47" s="884">
        <v>6</v>
      </c>
      <c r="H47" s="884">
        <v>6</v>
      </c>
      <c r="I47" s="884">
        <v>377</v>
      </c>
      <c r="J47" s="884">
        <v>160</v>
      </c>
      <c r="K47" s="884">
        <v>647</v>
      </c>
      <c r="L47" s="884">
        <v>169</v>
      </c>
      <c r="M47" s="884">
        <v>1557</v>
      </c>
      <c r="N47" s="884"/>
      <c r="Q47" s="921" t="s">
        <v>1054</v>
      </c>
      <c r="R47" s="921">
        <v>428</v>
      </c>
      <c r="S47" s="922">
        <v>3</v>
      </c>
    </row>
    <row r="48" spans="1:32" s="878" customFormat="1">
      <c r="A48" s="882">
        <v>461</v>
      </c>
      <c r="B48" s="878" t="s">
        <v>708</v>
      </c>
      <c r="C48" s="884">
        <v>5111</v>
      </c>
      <c r="D48" s="884">
        <v>566</v>
      </c>
      <c r="E48" s="884">
        <v>40</v>
      </c>
      <c r="F48" s="884">
        <v>606</v>
      </c>
      <c r="G48" s="884">
        <v>1</v>
      </c>
      <c r="H48" s="884">
        <v>0</v>
      </c>
      <c r="I48" s="884">
        <v>405</v>
      </c>
      <c r="J48" s="884">
        <v>80</v>
      </c>
      <c r="K48" s="884">
        <v>518</v>
      </c>
      <c r="L48" s="884">
        <v>135</v>
      </c>
      <c r="M48" s="884">
        <v>1360</v>
      </c>
      <c r="N48" s="884"/>
      <c r="Q48" s="921" t="s">
        <v>1055</v>
      </c>
      <c r="R48" s="921">
        <v>461</v>
      </c>
      <c r="S48" s="922">
        <v>3</v>
      </c>
    </row>
    <row r="49" spans="1:20" s="894" customFormat="1">
      <c r="A49" s="882">
        <v>480</v>
      </c>
      <c r="B49" s="878" t="s">
        <v>709</v>
      </c>
      <c r="C49" s="884">
        <v>26073</v>
      </c>
      <c r="D49" s="884">
        <v>2453</v>
      </c>
      <c r="E49" s="884">
        <v>369</v>
      </c>
      <c r="F49" s="884">
        <v>2822</v>
      </c>
      <c r="G49" s="884">
        <v>27</v>
      </c>
      <c r="H49" s="884">
        <v>6</v>
      </c>
      <c r="I49" s="884">
        <v>1874</v>
      </c>
      <c r="J49" s="884">
        <v>451</v>
      </c>
      <c r="K49" s="884">
        <v>1800</v>
      </c>
      <c r="L49" s="884">
        <v>454</v>
      </c>
      <c r="M49" s="884">
        <v>5130</v>
      </c>
      <c r="N49" s="884"/>
      <c r="Q49" s="921" t="s">
        <v>1056</v>
      </c>
      <c r="R49" s="921">
        <v>480</v>
      </c>
      <c r="S49" s="922">
        <v>3</v>
      </c>
    </row>
    <row r="50" spans="1:20" s="878" customFormat="1">
      <c r="A50" s="882">
        <v>481</v>
      </c>
      <c r="B50" s="878" t="s">
        <v>710</v>
      </c>
      <c r="C50" s="884">
        <v>5260</v>
      </c>
      <c r="D50" s="884">
        <v>360</v>
      </c>
      <c r="E50" s="884">
        <v>30</v>
      </c>
      <c r="F50" s="884">
        <v>390</v>
      </c>
      <c r="G50" s="884">
        <v>1</v>
      </c>
      <c r="H50" s="884">
        <v>0</v>
      </c>
      <c r="I50" s="884">
        <v>372</v>
      </c>
      <c r="J50" s="884">
        <v>147</v>
      </c>
      <c r="K50" s="884">
        <v>70</v>
      </c>
      <c r="L50" s="884">
        <v>42</v>
      </c>
      <c r="M50" s="884">
        <v>817</v>
      </c>
      <c r="N50" s="884"/>
      <c r="Q50" s="921" t="s">
        <v>1057</v>
      </c>
      <c r="R50" s="921">
        <v>481</v>
      </c>
      <c r="S50" s="922">
        <v>3</v>
      </c>
    </row>
    <row r="51" spans="1:20" s="894" customFormat="1">
      <c r="A51" s="882">
        <v>482</v>
      </c>
      <c r="B51" s="878" t="s">
        <v>711</v>
      </c>
      <c r="C51" s="884">
        <v>8018</v>
      </c>
      <c r="D51" s="884">
        <v>882</v>
      </c>
      <c r="E51" s="884">
        <v>159</v>
      </c>
      <c r="F51" s="884">
        <v>1041</v>
      </c>
      <c r="G51" s="884">
        <v>11</v>
      </c>
      <c r="H51" s="884">
        <v>4</v>
      </c>
      <c r="I51" s="884">
        <v>534</v>
      </c>
      <c r="J51" s="884">
        <v>131</v>
      </c>
      <c r="K51" s="884">
        <v>886</v>
      </c>
      <c r="L51" s="884">
        <v>205</v>
      </c>
      <c r="M51" s="884">
        <v>2235</v>
      </c>
      <c r="N51" s="884"/>
      <c r="Q51" s="921" t="s">
        <v>1058</v>
      </c>
      <c r="R51" s="921">
        <v>482</v>
      </c>
      <c r="S51" s="922">
        <v>3</v>
      </c>
    </row>
    <row r="52" spans="1:20" s="878" customFormat="1">
      <c r="A52" s="882">
        <v>483</v>
      </c>
      <c r="B52" s="878" t="s">
        <v>712</v>
      </c>
      <c r="C52" s="884">
        <v>14946</v>
      </c>
      <c r="D52" s="884">
        <v>1707</v>
      </c>
      <c r="E52" s="884">
        <v>212</v>
      </c>
      <c r="F52" s="884">
        <v>1919</v>
      </c>
      <c r="G52" s="884">
        <v>29</v>
      </c>
      <c r="H52" s="884">
        <v>150</v>
      </c>
      <c r="I52" s="884">
        <v>1161</v>
      </c>
      <c r="J52" s="884">
        <v>205</v>
      </c>
      <c r="K52" s="884">
        <v>1321</v>
      </c>
      <c r="L52" s="884">
        <v>327</v>
      </c>
      <c r="M52" s="884">
        <v>3680</v>
      </c>
      <c r="N52" s="884"/>
      <c r="Q52" s="921" t="s">
        <v>1059</v>
      </c>
      <c r="R52" s="921">
        <v>483</v>
      </c>
      <c r="S52" s="922">
        <v>3</v>
      </c>
    </row>
    <row r="53" spans="1:20" s="894" customFormat="1">
      <c r="A53" s="882">
        <v>484</v>
      </c>
      <c r="B53" s="878" t="s">
        <v>713</v>
      </c>
      <c r="C53" s="884">
        <v>42352</v>
      </c>
      <c r="D53" s="884">
        <v>3798</v>
      </c>
      <c r="E53" s="884">
        <v>567</v>
      </c>
      <c r="F53" s="884">
        <v>4365</v>
      </c>
      <c r="G53" s="884">
        <v>72</v>
      </c>
      <c r="H53" s="884">
        <v>120</v>
      </c>
      <c r="I53" s="884">
        <v>2849</v>
      </c>
      <c r="J53" s="884">
        <v>589</v>
      </c>
      <c r="K53" s="884">
        <v>1994</v>
      </c>
      <c r="L53" s="884">
        <v>603</v>
      </c>
      <c r="M53" s="884">
        <v>8671</v>
      </c>
      <c r="N53" s="884"/>
      <c r="Q53" s="921" t="s">
        <v>1060</v>
      </c>
      <c r="R53" s="921">
        <v>484</v>
      </c>
      <c r="S53" s="922">
        <v>3</v>
      </c>
    </row>
    <row r="54" spans="1:20" s="894" customFormat="1">
      <c r="A54" s="882">
        <v>486</v>
      </c>
      <c r="B54" s="878" t="s">
        <v>714</v>
      </c>
      <c r="C54" s="884">
        <v>16157</v>
      </c>
      <c r="D54" s="884">
        <v>1686</v>
      </c>
      <c r="E54" s="884">
        <v>202</v>
      </c>
      <c r="F54" s="884">
        <v>1888</v>
      </c>
      <c r="G54" s="884">
        <v>39</v>
      </c>
      <c r="H54" s="884">
        <v>40</v>
      </c>
      <c r="I54" s="884">
        <v>1174</v>
      </c>
      <c r="J54" s="884">
        <v>248</v>
      </c>
      <c r="K54" s="884">
        <v>964</v>
      </c>
      <c r="L54" s="884">
        <v>320</v>
      </c>
      <c r="M54" s="884">
        <v>3622</v>
      </c>
      <c r="N54" s="884"/>
      <c r="Q54" s="921" t="s">
        <v>1061</v>
      </c>
      <c r="R54" s="921">
        <v>486</v>
      </c>
      <c r="S54" s="922">
        <v>3</v>
      </c>
    </row>
    <row r="55" spans="1:20" s="878" customFormat="1">
      <c r="A55" s="882">
        <v>488</v>
      </c>
      <c r="B55" s="895" t="s">
        <v>715</v>
      </c>
      <c r="C55" s="884">
        <v>5862</v>
      </c>
      <c r="D55" s="884">
        <v>613</v>
      </c>
      <c r="E55" s="884">
        <v>64</v>
      </c>
      <c r="F55" s="884">
        <v>677</v>
      </c>
      <c r="G55" s="884">
        <v>12</v>
      </c>
      <c r="H55" s="884">
        <v>1</v>
      </c>
      <c r="I55" s="884">
        <v>409</v>
      </c>
      <c r="J55" s="884">
        <v>144</v>
      </c>
      <c r="K55" s="884">
        <v>295</v>
      </c>
      <c r="L55" s="884">
        <v>158</v>
      </c>
      <c r="M55" s="884">
        <v>1231</v>
      </c>
      <c r="N55" s="884"/>
      <c r="Q55" s="921" t="s">
        <v>1062</v>
      </c>
      <c r="R55" s="921">
        <v>488</v>
      </c>
      <c r="S55" s="922">
        <v>3</v>
      </c>
    </row>
    <row r="56" spans="1:20" s="878" customFormat="1" ht="11.4">
      <c r="A56" s="882" t="s">
        <v>716</v>
      </c>
      <c r="B56" s="878" t="s">
        <v>696</v>
      </c>
      <c r="C56" s="884">
        <v>0</v>
      </c>
      <c r="D56" s="884">
        <v>1</v>
      </c>
      <c r="E56" s="884">
        <v>0</v>
      </c>
      <c r="F56" s="884">
        <v>1</v>
      </c>
      <c r="G56" s="884">
        <v>0</v>
      </c>
      <c r="H56" s="884">
        <v>0</v>
      </c>
      <c r="I56" s="884">
        <v>0</v>
      </c>
      <c r="J56" s="884">
        <v>0</v>
      </c>
      <c r="K56" s="884">
        <v>0</v>
      </c>
      <c r="L56" s="884">
        <v>0</v>
      </c>
      <c r="M56" s="884">
        <v>0</v>
      </c>
      <c r="N56" s="884"/>
      <c r="S56" s="924">
        <v>3</v>
      </c>
    </row>
    <row r="57" spans="1:20" s="894" customFormat="1" ht="12">
      <c r="A57" s="890"/>
      <c r="B57" s="894" t="s">
        <v>717</v>
      </c>
      <c r="C57" s="892">
        <v>128531</v>
      </c>
      <c r="D57" s="892">
        <v>12709</v>
      </c>
      <c r="E57" s="892">
        <v>1722</v>
      </c>
      <c r="F57" s="892">
        <v>14431</v>
      </c>
      <c r="G57" s="892">
        <v>198</v>
      </c>
      <c r="H57" s="892">
        <v>327</v>
      </c>
      <c r="I57" s="892">
        <v>9155</v>
      </c>
      <c r="J57" s="892">
        <v>2155</v>
      </c>
      <c r="K57" s="892">
        <v>8495</v>
      </c>
      <c r="L57" s="892">
        <v>2413</v>
      </c>
      <c r="M57" s="892">
        <v>28303</v>
      </c>
      <c r="N57" s="892"/>
      <c r="S57" s="894" t="s">
        <v>1312</v>
      </c>
      <c r="T57" s="1104">
        <v>3</v>
      </c>
    </row>
    <row r="58" spans="1:20" s="878" customFormat="1">
      <c r="A58" s="882">
        <v>509</v>
      </c>
      <c r="B58" s="878" t="s">
        <v>718</v>
      </c>
      <c r="C58" s="884">
        <v>2874</v>
      </c>
      <c r="D58" s="884">
        <v>493</v>
      </c>
      <c r="E58" s="884">
        <v>74</v>
      </c>
      <c r="F58" s="884">
        <v>567</v>
      </c>
      <c r="G58" s="884">
        <v>3</v>
      </c>
      <c r="H58" s="884">
        <v>12</v>
      </c>
      <c r="I58" s="884">
        <v>214</v>
      </c>
      <c r="J58" s="884">
        <v>97</v>
      </c>
      <c r="K58" s="884">
        <v>738</v>
      </c>
      <c r="L58" s="884">
        <v>74</v>
      </c>
      <c r="M58" s="884">
        <v>925</v>
      </c>
      <c r="N58" s="884"/>
      <c r="Q58" s="921" t="s">
        <v>1063</v>
      </c>
      <c r="R58" s="921">
        <v>509</v>
      </c>
      <c r="S58" s="922">
        <v>3</v>
      </c>
    </row>
    <row r="59" spans="1:20" s="878" customFormat="1">
      <c r="A59" s="882">
        <v>512</v>
      </c>
      <c r="B59" s="878" t="s">
        <v>719</v>
      </c>
      <c r="C59" s="884">
        <v>2065</v>
      </c>
      <c r="D59" s="884">
        <v>381</v>
      </c>
      <c r="E59" s="884">
        <v>49</v>
      </c>
      <c r="F59" s="884">
        <v>430</v>
      </c>
      <c r="G59" s="884">
        <v>1</v>
      </c>
      <c r="H59" s="884">
        <v>9</v>
      </c>
      <c r="I59" s="884">
        <v>141</v>
      </c>
      <c r="J59" s="884">
        <v>66</v>
      </c>
      <c r="K59" s="884">
        <v>571</v>
      </c>
      <c r="L59" s="884">
        <v>65</v>
      </c>
      <c r="M59" s="884">
        <v>809</v>
      </c>
      <c r="N59" s="884"/>
      <c r="Q59" s="921" t="s">
        <v>1064</v>
      </c>
      <c r="R59" s="921">
        <v>512</v>
      </c>
      <c r="S59" s="923">
        <v>3</v>
      </c>
    </row>
    <row r="60" spans="1:20" s="894" customFormat="1">
      <c r="A60" s="882">
        <v>513</v>
      </c>
      <c r="B60" s="878" t="s">
        <v>720</v>
      </c>
      <c r="C60" s="884">
        <v>5527</v>
      </c>
      <c r="D60" s="884">
        <v>670</v>
      </c>
      <c r="E60" s="884">
        <v>110</v>
      </c>
      <c r="F60" s="884">
        <v>780</v>
      </c>
      <c r="G60" s="884">
        <v>3</v>
      </c>
      <c r="H60" s="884">
        <v>5</v>
      </c>
      <c r="I60" s="884">
        <v>452</v>
      </c>
      <c r="J60" s="884">
        <v>127</v>
      </c>
      <c r="K60" s="884">
        <v>1079</v>
      </c>
      <c r="L60" s="884">
        <v>172</v>
      </c>
      <c r="M60" s="884">
        <v>1695</v>
      </c>
      <c r="N60" s="884"/>
      <c r="Q60" s="921" t="s">
        <v>1065</v>
      </c>
      <c r="R60" s="921">
        <v>513</v>
      </c>
      <c r="S60" s="923">
        <v>3</v>
      </c>
    </row>
    <row r="61" spans="1:20" s="878" customFormat="1">
      <c r="A61" s="882">
        <v>560</v>
      </c>
      <c r="B61" s="878" t="s">
        <v>721</v>
      </c>
      <c r="C61" s="884">
        <v>2888</v>
      </c>
      <c r="D61" s="884">
        <v>352</v>
      </c>
      <c r="E61" s="884">
        <v>63</v>
      </c>
      <c r="F61" s="884">
        <v>415</v>
      </c>
      <c r="G61" s="884">
        <v>2</v>
      </c>
      <c r="H61" s="884">
        <v>6</v>
      </c>
      <c r="I61" s="884">
        <v>235</v>
      </c>
      <c r="J61" s="884">
        <v>59</v>
      </c>
      <c r="K61" s="884">
        <v>494</v>
      </c>
      <c r="L61" s="884">
        <v>47</v>
      </c>
      <c r="M61" s="884">
        <v>922</v>
      </c>
      <c r="N61" s="884"/>
      <c r="Q61" s="921" t="s">
        <v>1066</v>
      </c>
      <c r="R61" s="921">
        <v>560</v>
      </c>
      <c r="S61" s="922">
        <v>3</v>
      </c>
    </row>
    <row r="62" spans="1:20" s="878" customFormat="1">
      <c r="A62" s="882">
        <v>561</v>
      </c>
      <c r="B62" s="878" t="s">
        <v>722</v>
      </c>
      <c r="C62" s="884">
        <v>5938</v>
      </c>
      <c r="D62" s="884">
        <v>692</v>
      </c>
      <c r="E62" s="884">
        <v>85</v>
      </c>
      <c r="F62" s="884">
        <v>777</v>
      </c>
      <c r="G62" s="884">
        <v>11</v>
      </c>
      <c r="H62" s="884">
        <v>7</v>
      </c>
      <c r="I62" s="884">
        <v>519</v>
      </c>
      <c r="J62" s="884">
        <v>140</v>
      </c>
      <c r="K62" s="884">
        <v>748</v>
      </c>
      <c r="L62" s="884">
        <v>131</v>
      </c>
      <c r="M62" s="884">
        <v>1579</v>
      </c>
      <c r="N62" s="884"/>
      <c r="Q62" s="921" t="s">
        <v>1067</v>
      </c>
      <c r="R62" s="921">
        <v>561</v>
      </c>
      <c r="S62" s="922">
        <v>3</v>
      </c>
    </row>
    <row r="63" spans="1:20" s="894" customFormat="1">
      <c r="A63" s="882">
        <v>562</v>
      </c>
      <c r="B63" s="878" t="s">
        <v>723</v>
      </c>
      <c r="C63" s="884">
        <v>10645</v>
      </c>
      <c r="D63" s="884">
        <v>1006</v>
      </c>
      <c r="E63" s="884">
        <v>156</v>
      </c>
      <c r="F63" s="884">
        <v>1162</v>
      </c>
      <c r="G63" s="884">
        <v>7</v>
      </c>
      <c r="H63" s="884">
        <v>26</v>
      </c>
      <c r="I63" s="884">
        <v>873</v>
      </c>
      <c r="J63" s="884">
        <v>202</v>
      </c>
      <c r="K63" s="884">
        <v>961</v>
      </c>
      <c r="L63" s="884">
        <v>203</v>
      </c>
      <c r="M63" s="884">
        <v>2876</v>
      </c>
      <c r="N63" s="884"/>
      <c r="Q63" s="921" t="s">
        <v>1068</v>
      </c>
      <c r="R63" s="921">
        <v>562</v>
      </c>
      <c r="S63" s="922">
        <v>3</v>
      </c>
    </row>
    <row r="64" spans="1:20" s="878" customFormat="1">
      <c r="A64" s="882">
        <v>563</v>
      </c>
      <c r="B64" s="878" t="s">
        <v>724</v>
      </c>
      <c r="C64" s="884">
        <v>4149</v>
      </c>
      <c r="D64" s="884">
        <v>644</v>
      </c>
      <c r="E64" s="884">
        <v>94</v>
      </c>
      <c r="F64" s="884">
        <v>738</v>
      </c>
      <c r="G64" s="884">
        <v>2</v>
      </c>
      <c r="H64" s="884">
        <v>26</v>
      </c>
      <c r="I64" s="884">
        <v>352</v>
      </c>
      <c r="J64" s="884">
        <v>104</v>
      </c>
      <c r="K64" s="884">
        <v>832</v>
      </c>
      <c r="L64" s="884">
        <v>144</v>
      </c>
      <c r="M64" s="884">
        <v>1190</v>
      </c>
      <c r="N64" s="884"/>
      <c r="Q64" s="921" t="s">
        <v>1069</v>
      </c>
      <c r="R64" s="921">
        <v>563</v>
      </c>
      <c r="S64" s="922">
        <v>3</v>
      </c>
    </row>
    <row r="65" spans="1:20" s="878" customFormat="1">
      <c r="A65" s="882">
        <v>580</v>
      </c>
      <c r="B65" s="878" t="s">
        <v>725</v>
      </c>
      <c r="C65" s="884">
        <v>61056</v>
      </c>
      <c r="D65" s="884">
        <v>5300</v>
      </c>
      <c r="E65" s="884">
        <v>1244</v>
      </c>
      <c r="F65" s="884">
        <v>6544</v>
      </c>
      <c r="G65" s="884">
        <v>42</v>
      </c>
      <c r="H65" s="884">
        <v>205</v>
      </c>
      <c r="I65" s="884">
        <v>3877</v>
      </c>
      <c r="J65" s="884">
        <v>908</v>
      </c>
      <c r="K65" s="884">
        <v>3086</v>
      </c>
      <c r="L65" s="884">
        <v>504</v>
      </c>
      <c r="M65" s="884">
        <v>11160</v>
      </c>
      <c r="N65" s="884"/>
      <c r="Q65" s="921" t="s">
        <v>1070</v>
      </c>
      <c r="R65" s="921">
        <v>580</v>
      </c>
      <c r="S65" s="922">
        <v>3</v>
      </c>
    </row>
    <row r="66" spans="1:20" s="894" customFormat="1">
      <c r="A66" s="882">
        <v>581</v>
      </c>
      <c r="B66" s="878" t="s">
        <v>726</v>
      </c>
      <c r="C66" s="884">
        <v>55585</v>
      </c>
      <c r="D66" s="884">
        <v>5261</v>
      </c>
      <c r="E66" s="884">
        <v>1011</v>
      </c>
      <c r="F66" s="884">
        <v>6272</v>
      </c>
      <c r="G66" s="884">
        <v>103</v>
      </c>
      <c r="H66" s="884">
        <v>218</v>
      </c>
      <c r="I66" s="884">
        <v>3702</v>
      </c>
      <c r="J66" s="884">
        <v>870</v>
      </c>
      <c r="K66" s="884">
        <v>2578</v>
      </c>
      <c r="L66" s="884">
        <v>628</v>
      </c>
      <c r="M66" s="884">
        <v>10733</v>
      </c>
      <c r="N66" s="884"/>
      <c r="Q66" s="921" t="s">
        <v>1071</v>
      </c>
      <c r="R66" s="921">
        <v>581</v>
      </c>
      <c r="S66" s="922">
        <v>3</v>
      </c>
    </row>
    <row r="67" spans="1:20" s="878" customFormat="1">
      <c r="A67" s="882">
        <v>582</v>
      </c>
      <c r="B67" s="878" t="s">
        <v>727</v>
      </c>
      <c r="C67" s="884">
        <v>7418</v>
      </c>
      <c r="D67" s="884">
        <v>899</v>
      </c>
      <c r="E67" s="884">
        <v>133</v>
      </c>
      <c r="F67" s="884">
        <v>1032</v>
      </c>
      <c r="G67" s="884">
        <v>12</v>
      </c>
      <c r="H67" s="884">
        <v>12</v>
      </c>
      <c r="I67" s="884">
        <v>698</v>
      </c>
      <c r="J67" s="884">
        <v>157</v>
      </c>
      <c r="K67" s="884">
        <v>957</v>
      </c>
      <c r="L67" s="884">
        <v>182</v>
      </c>
      <c r="M67" s="884">
        <v>2120</v>
      </c>
      <c r="N67" s="884"/>
      <c r="Q67" s="921" t="s">
        <v>1072</v>
      </c>
      <c r="R67" s="921">
        <v>582</v>
      </c>
      <c r="S67" s="922">
        <v>3</v>
      </c>
    </row>
    <row r="68" spans="1:20" s="894" customFormat="1">
      <c r="A68" s="882">
        <v>583</v>
      </c>
      <c r="B68" s="878" t="s">
        <v>728</v>
      </c>
      <c r="C68" s="884">
        <v>20410</v>
      </c>
      <c r="D68" s="884">
        <v>1962</v>
      </c>
      <c r="E68" s="884">
        <v>351</v>
      </c>
      <c r="F68" s="884">
        <v>2313</v>
      </c>
      <c r="G68" s="884">
        <v>24</v>
      </c>
      <c r="H68" s="884">
        <v>51</v>
      </c>
      <c r="I68" s="884">
        <v>1457</v>
      </c>
      <c r="J68" s="884">
        <v>413</v>
      </c>
      <c r="K68" s="884">
        <v>1492</v>
      </c>
      <c r="L68" s="884">
        <v>161</v>
      </c>
      <c r="M68" s="884">
        <v>4840</v>
      </c>
      <c r="N68" s="884"/>
      <c r="Q68" s="921" t="s">
        <v>1073</v>
      </c>
      <c r="R68" s="921">
        <v>583</v>
      </c>
      <c r="S68" s="922">
        <v>3</v>
      </c>
    </row>
    <row r="69" spans="1:20" s="878" customFormat="1">
      <c r="A69" s="882">
        <v>584</v>
      </c>
      <c r="B69" s="878" t="s">
        <v>729</v>
      </c>
      <c r="C69" s="884">
        <v>3768</v>
      </c>
      <c r="D69" s="884">
        <v>430</v>
      </c>
      <c r="E69" s="884">
        <v>41</v>
      </c>
      <c r="F69" s="884">
        <v>471</v>
      </c>
      <c r="G69" s="884">
        <v>1</v>
      </c>
      <c r="H69" s="884">
        <v>21</v>
      </c>
      <c r="I69" s="884">
        <v>235</v>
      </c>
      <c r="J69" s="884">
        <v>41</v>
      </c>
      <c r="K69" s="884">
        <v>450</v>
      </c>
      <c r="L69" s="884">
        <v>32</v>
      </c>
      <c r="M69" s="884">
        <v>845</v>
      </c>
      <c r="N69" s="884"/>
      <c r="Q69" s="921" t="s">
        <v>1074</v>
      </c>
      <c r="R69" s="921">
        <v>584</v>
      </c>
      <c r="S69" s="922">
        <v>3</v>
      </c>
    </row>
    <row r="70" spans="1:20" s="878" customFormat="1">
      <c r="A70" s="882">
        <v>586</v>
      </c>
      <c r="B70" s="895" t="s">
        <v>730</v>
      </c>
      <c r="C70" s="884">
        <v>13490</v>
      </c>
      <c r="D70" s="884">
        <v>1411</v>
      </c>
      <c r="E70" s="884">
        <v>203</v>
      </c>
      <c r="F70" s="884">
        <v>1614</v>
      </c>
      <c r="G70" s="884">
        <v>13</v>
      </c>
      <c r="H70" s="884">
        <v>41</v>
      </c>
      <c r="I70" s="884">
        <v>1026</v>
      </c>
      <c r="J70" s="884">
        <v>263</v>
      </c>
      <c r="K70" s="884">
        <v>1388</v>
      </c>
      <c r="L70" s="884">
        <v>136</v>
      </c>
      <c r="M70" s="884">
        <v>3336</v>
      </c>
      <c r="N70" s="884"/>
      <c r="Q70" s="921" t="s">
        <v>1075</v>
      </c>
      <c r="R70" s="921">
        <v>586</v>
      </c>
      <c r="S70" s="922">
        <v>3</v>
      </c>
    </row>
    <row r="71" spans="1:20" s="878" customFormat="1" ht="11.4">
      <c r="A71" s="882" t="s">
        <v>731</v>
      </c>
      <c r="B71" s="878" t="s">
        <v>696</v>
      </c>
      <c r="C71" s="884">
        <v>0</v>
      </c>
      <c r="D71" s="884">
        <v>0</v>
      </c>
      <c r="E71" s="884">
        <v>0</v>
      </c>
      <c r="F71" s="884">
        <v>0</v>
      </c>
      <c r="G71" s="884">
        <v>0</v>
      </c>
      <c r="H71" s="884">
        <v>0</v>
      </c>
      <c r="I71" s="884">
        <v>0</v>
      </c>
      <c r="J71" s="884">
        <v>0</v>
      </c>
      <c r="K71" s="884">
        <v>0</v>
      </c>
      <c r="L71" s="884">
        <v>0</v>
      </c>
      <c r="M71" s="884">
        <v>3</v>
      </c>
      <c r="N71" s="884"/>
      <c r="S71" s="924">
        <v>3</v>
      </c>
    </row>
    <row r="72" spans="1:20" s="894" customFormat="1" ht="12">
      <c r="A72" s="890"/>
      <c r="B72" s="891" t="s">
        <v>732</v>
      </c>
      <c r="C72" s="892">
        <v>195813</v>
      </c>
      <c r="D72" s="892">
        <v>19501</v>
      </c>
      <c r="E72" s="892">
        <v>3614</v>
      </c>
      <c r="F72" s="892">
        <v>23115</v>
      </c>
      <c r="G72" s="892">
        <v>224</v>
      </c>
      <c r="H72" s="892">
        <v>639</v>
      </c>
      <c r="I72" s="892">
        <v>13781</v>
      </c>
      <c r="J72" s="892">
        <v>3447</v>
      </c>
      <c r="K72" s="892">
        <v>15374</v>
      </c>
      <c r="L72" s="892">
        <v>2479</v>
      </c>
      <c r="M72" s="892">
        <v>43033</v>
      </c>
      <c r="N72" s="892"/>
      <c r="S72" s="894" t="s">
        <v>1312</v>
      </c>
      <c r="T72" s="1104">
        <v>3</v>
      </c>
    </row>
    <row r="73" spans="1:20" s="878" customFormat="1">
      <c r="A73" s="882">
        <v>604</v>
      </c>
      <c r="B73" s="878" t="s">
        <v>733</v>
      </c>
      <c r="C73" s="884">
        <v>3517</v>
      </c>
      <c r="D73" s="884">
        <v>530</v>
      </c>
      <c r="E73" s="884">
        <v>71</v>
      </c>
      <c r="F73" s="884">
        <v>601</v>
      </c>
      <c r="G73" s="884">
        <v>6</v>
      </c>
      <c r="H73" s="884">
        <v>25</v>
      </c>
      <c r="I73" s="884">
        <v>276</v>
      </c>
      <c r="J73" s="884">
        <v>74</v>
      </c>
      <c r="K73" s="884">
        <v>842</v>
      </c>
      <c r="L73" s="884">
        <v>91</v>
      </c>
      <c r="M73" s="884">
        <v>1221</v>
      </c>
      <c r="N73" s="884"/>
      <c r="Q73" s="921" t="s">
        <v>1076</v>
      </c>
      <c r="R73" s="921">
        <v>604</v>
      </c>
      <c r="S73" s="922">
        <v>3</v>
      </c>
    </row>
    <row r="74" spans="1:20" s="878" customFormat="1">
      <c r="A74" s="882">
        <v>617</v>
      </c>
      <c r="B74" s="878" t="s">
        <v>734</v>
      </c>
      <c r="C74" s="884">
        <v>5057</v>
      </c>
      <c r="D74" s="884">
        <v>607</v>
      </c>
      <c r="E74" s="884">
        <v>80</v>
      </c>
      <c r="F74" s="884">
        <v>687</v>
      </c>
      <c r="G74" s="884">
        <v>6</v>
      </c>
      <c r="H74" s="884">
        <v>25</v>
      </c>
      <c r="I74" s="884">
        <v>445</v>
      </c>
      <c r="J74" s="884">
        <v>143</v>
      </c>
      <c r="K74" s="884">
        <v>566</v>
      </c>
      <c r="L74" s="884">
        <v>172</v>
      </c>
      <c r="M74" s="884">
        <v>1299</v>
      </c>
      <c r="N74" s="884"/>
      <c r="Q74" s="921" t="s">
        <v>1077</v>
      </c>
      <c r="R74" s="921">
        <v>617</v>
      </c>
      <c r="S74" s="922">
        <v>3</v>
      </c>
    </row>
    <row r="75" spans="1:20" s="878" customFormat="1">
      <c r="A75" s="882">
        <v>642</v>
      </c>
      <c r="B75" s="878" t="s">
        <v>735</v>
      </c>
      <c r="C75" s="884">
        <v>3537</v>
      </c>
      <c r="D75" s="884">
        <v>286</v>
      </c>
      <c r="E75" s="884">
        <v>80</v>
      </c>
      <c r="F75" s="884">
        <v>366</v>
      </c>
      <c r="G75" s="884">
        <v>11</v>
      </c>
      <c r="H75" s="884">
        <v>16</v>
      </c>
      <c r="I75" s="884">
        <v>230</v>
      </c>
      <c r="J75" s="884">
        <v>82</v>
      </c>
      <c r="K75" s="884">
        <v>334</v>
      </c>
      <c r="L75" s="884">
        <v>50</v>
      </c>
      <c r="M75" s="884">
        <v>1080</v>
      </c>
      <c r="N75" s="884"/>
      <c r="Q75" s="921" t="s">
        <v>1078</v>
      </c>
      <c r="R75" s="921">
        <v>642</v>
      </c>
      <c r="S75" s="922">
        <v>3</v>
      </c>
    </row>
    <row r="76" spans="1:20" s="878" customFormat="1">
      <c r="A76" s="882">
        <v>643</v>
      </c>
      <c r="B76" s="878" t="s">
        <v>736</v>
      </c>
      <c r="C76" s="884">
        <v>5450</v>
      </c>
      <c r="D76" s="884">
        <v>492</v>
      </c>
      <c r="E76" s="884">
        <v>85</v>
      </c>
      <c r="F76" s="884">
        <v>577</v>
      </c>
      <c r="G76" s="884">
        <v>6</v>
      </c>
      <c r="H76" s="884">
        <v>47</v>
      </c>
      <c r="I76" s="884">
        <v>407</v>
      </c>
      <c r="J76" s="884">
        <v>129</v>
      </c>
      <c r="K76" s="884">
        <v>595</v>
      </c>
      <c r="L76" s="884">
        <v>69</v>
      </c>
      <c r="M76" s="884">
        <v>1606</v>
      </c>
      <c r="N76" s="884"/>
      <c r="Q76" s="921" t="s">
        <v>1079</v>
      </c>
      <c r="R76" s="921">
        <v>643</v>
      </c>
      <c r="S76" s="922">
        <v>3</v>
      </c>
    </row>
    <row r="77" spans="1:20" s="894" customFormat="1">
      <c r="A77" s="882">
        <v>662</v>
      </c>
      <c r="B77" s="878" t="s">
        <v>737</v>
      </c>
      <c r="C77" s="884">
        <v>15090</v>
      </c>
      <c r="D77" s="884">
        <v>1621</v>
      </c>
      <c r="E77" s="884">
        <v>265</v>
      </c>
      <c r="F77" s="884">
        <v>1886</v>
      </c>
      <c r="G77" s="884">
        <v>25</v>
      </c>
      <c r="H77" s="884">
        <v>9</v>
      </c>
      <c r="I77" s="884">
        <v>1223</v>
      </c>
      <c r="J77" s="884">
        <v>300</v>
      </c>
      <c r="K77" s="884">
        <v>1780</v>
      </c>
      <c r="L77" s="884">
        <v>424</v>
      </c>
      <c r="M77" s="884">
        <v>3972</v>
      </c>
      <c r="N77" s="884"/>
      <c r="Q77" s="921" t="s">
        <v>1080</v>
      </c>
      <c r="R77" s="921">
        <v>662</v>
      </c>
      <c r="S77" s="922">
        <v>3</v>
      </c>
    </row>
    <row r="78" spans="1:20" s="878" customFormat="1">
      <c r="A78" s="882">
        <v>665</v>
      </c>
      <c r="B78" s="878" t="s">
        <v>738</v>
      </c>
      <c r="C78" s="884">
        <v>6682</v>
      </c>
      <c r="D78" s="884">
        <v>744</v>
      </c>
      <c r="E78" s="884">
        <v>138</v>
      </c>
      <c r="F78" s="884">
        <v>882</v>
      </c>
      <c r="G78" s="884">
        <v>6</v>
      </c>
      <c r="H78" s="884">
        <v>94</v>
      </c>
      <c r="I78" s="884">
        <v>505</v>
      </c>
      <c r="J78" s="884">
        <v>151</v>
      </c>
      <c r="K78" s="884">
        <v>893</v>
      </c>
      <c r="L78" s="884">
        <v>143</v>
      </c>
      <c r="M78" s="884">
        <v>2075</v>
      </c>
      <c r="N78" s="884"/>
      <c r="Q78" s="921" t="s">
        <v>1081</v>
      </c>
      <c r="R78" s="921">
        <v>665</v>
      </c>
      <c r="S78" s="922">
        <v>3</v>
      </c>
    </row>
    <row r="79" spans="1:20" s="878" customFormat="1">
      <c r="A79" s="882">
        <v>680</v>
      </c>
      <c r="B79" s="878" t="s">
        <v>739</v>
      </c>
      <c r="C79" s="884">
        <v>58592</v>
      </c>
      <c r="D79" s="884">
        <v>5237</v>
      </c>
      <c r="E79" s="884">
        <v>1471</v>
      </c>
      <c r="F79" s="884">
        <v>6708</v>
      </c>
      <c r="G79" s="884">
        <v>215</v>
      </c>
      <c r="H79" s="884">
        <v>170</v>
      </c>
      <c r="I79" s="884">
        <v>3453</v>
      </c>
      <c r="J79" s="884">
        <v>979</v>
      </c>
      <c r="K79" s="884">
        <v>3212</v>
      </c>
      <c r="L79" s="884">
        <v>639</v>
      </c>
      <c r="M79" s="884">
        <v>13569</v>
      </c>
      <c r="N79" s="884"/>
      <c r="Q79" s="921" t="s">
        <v>1082</v>
      </c>
      <c r="R79" s="921">
        <v>680</v>
      </c>
      <c r="S79" s="922">
        <v>3</v>
      </c>
    </row>
    <row r="80" spans="1:20" s="878" customFormat="1">
      <c r="A80" s="882">
        <v>682</v>
      </c>
      <c r="B80" s="878" t="s">
        <v>740</v>
      </c>
      <c r="C80" s="884">
        <v>14375</v>
      </c>
      <c r="D80" s="884">
        <v>1276</v>
      </c>
      <c r="E80" s="884">
        <v>216</v>
      </c>
      <c r="F80" s="884">
        <v>1492</v>
      </c>
      <c r="G80" s="884">
        <v>18</v>
      </c>
      <c r="H80" s="884">
        <v>28</v>
      </c>
      <c r="I80" s="884">
        <v>1309</v>
      </c>
      <c r="J80" s="884">
        <v>231</v>
      </c>
      <c r="K80" s="884">
        <v>1748</v>
      </c>
      <c r="L80" s="884">
        <v>283</v>
      </c>
      <c r="M80" s="884">
        <v>3822</v>
      </c>
      <c r="N80" s="884"/>
      <c r="Q80" s="921" t="s">
        <v>1083</v>
      </c>
      <c r="R80" s="921">
        <v>682</v>
      </c>
      <c r="S80" s="922">
        <v>3</v>
      </c>
    </row>
    <row r="81" spans="1:20" s="894" customFormat="1">
      <c r="A81" s="882">
        <v>683</v>
      </c>
      <c r="B81" s="878" t="s">
        <v>741</v>
      </c>
      <c r="C81" s="884">
        <v>17115</v>
      </c>
      <c r="D81" s="884">
        <v>1543</v>
      </c>
      <c r="E81" s="884">
        <v>312</v>
      </c>
      <c r="F81" s="884">
        <v>1855</v>
      </c>
      <c r="G81" s="884">
        <v>14</v>
      </c>
      <c r="H81" s="884">
        <v>21</v>
      </c>
      <c r="I81" s="884">
        <v>1174</v>
      </c>
      <c r="J81" s="884">
        <v>306</v>
      </c>
      <c r="K81" s="884">
        <v>1905</v>
      </c>
      <c r="L81" s="884">
        <v>313</v>
      </c>
      <c r="M81" s="884">
        <v>4150</v>
      </c>
      <c r="N81" s="884"/>
      <c r="Q81" s="921" t="s">
        <v>1084</v>
      </c>
      <c r="R81" s="921">
        <v>683</v>
      </c>
      <c r="S81" s="922">
        <v>3</v>
      </c>
    </row>
    <row r="82" spans="1:20" s="878" customFormat="1">
      <c r="A82" s="882">
        <v>684</v>
      </c>
      <c r="B82" s="878" t="s">
        <v>742</v>
      </c>
      <c r="C82" s="884">
        <v>5697</v>
      </c>
      <c r="D82" s="884">
        <v>678</v>
      </c>
      <c r="E82" s="884">
        <v>133</v>
      </c>
      <c r="F82" s="884">
        <v>811</v>
      </c>
      <c r="G82" s="884">
        <v>5</v>
      </c>
      <c r="H82" s="884">
        <v>13</v>
      </c>
      <c r="I82" s="884">
        <v>478</v>
      </c>
      <c r="J82" s="884">
        <v>73</v>
      </c>
      <c r="K82" s="884">
        <v>1246</v>
      </c>
      <c r="L82" s="884">
        <v>165</v>
      </c>
      <c r="M82" s="884">
        <v>1888</v>
      </c>
      <c r="N82" s="884"/>
      <c r="Q82" s="921" t="s">
        <v>1085</v>
      </c>
      <c r="R82" s="921">
        <v>684</v>
      </c>
      <c r="S82" s="922">
        <v>3</v>
      </c>
    </row>
    <row r="83" spans="1:20" s="878" customFormat="1">
      <c r="A83" s="882">
        <v>685</v>
      </c>
      <c r="B83" s="878" t="s">
        <v>743</v>
      </c>
      <c r="C83" s="884">
        <v>14030</v>
      </c>
      <c r="D83" s="884">
        <v>1556</v>
      </c>
      <c r="E83" s="884">
        <v>217</v>
      </c>
      <c r="F83" s="884">
        <v>1773</v>
      </c>
      <c r="G83" s="884">
        <v>20</v>
      </c>
      <c r="H83" s="884">
        <v>35</v>
      </c>
      <c r="I83" s="884">
        <v>1118</v>
      </c>
      <c r="J83" s="884">
        <v>184</v>
      </c>
      <c r="K83" s="884">
        <v>2206</v>
      </c>
      <c r="L83" s="884">
        <v>241</v>
      </c>
      <c r="M83" s="884">
        <v>4335</v>
      </c>
      <c r="N83" s="884"/>
      <c r="Q83" s="921" t="s">
        <v>1086</v>
      </c>
      <c r="R83" s="921">
        <v>685</v>
      </c>
      <c r="S83" s="922">
        <v>3</v>
      </c>
    </row>
    <row r="84" spans="1:20" s="878" customFormat="1">
      <c r="A84" s="882">
        <v>686</v>
      </c>
      <c r="B84" s="878" t="s">
        <v>744</v>
      </c>
      <c r="C84" s="884">
        <v>8264</v>
      </c>
      <c r="D84" s="884">
        <v>924</v>
      </c>
      <c r="E84" s="884">
        <v>153</v>
      </c>
      <c r="F84" s="884">
        <v>1077</v>
      </c>
      <c r="G84" s="884">
        <v>26</v>
      </c>
      <c r="H84" s="884">
        <v>35</v>
      </c>
      <c r="I84" s="884">
        <v>635</v>
      </c>
      <c r="J84" s="884">
        <v>142</v>
      </c>
      <c r="K84" s="884">
        <v>1256</v>
      </c>
      <c r="L84" s="884">
        <v>166</v>
      </c>
      <c r="M84" s="884">
        <v>2552</v>
      </c>
      <c r="N84" s="884"/>
      <c r="Q84" s="921" t="s">
        <v>1087</v>
      </c>
      <c r="R84" s="921">
        <v>686</v>
      </c>
      <c r="S84" s="922">
        <v>3</v>
      </c>
    </row>
    <row r="85" spans="1:20" s="894" customFormat="1">
      <c r="A85" s="882">
        <v>687</v>
      </c>
      <c r="B85" s="878" t="s">
        <v>745</v>
      </c>
      <c r="C85" s="884">
        <v>8458</v>
      </c>
      <c r="D85" s="884">
        <v>965</v>
      </c>
      <c r="E85" s="884">
        <v>189</v>
      </c>
      <c r="F85" s="884">
        <v>1154</v>
      </c>
      <c r="G85" s="884">
        <v>8</v>
      </c>
      <c r="H85" s="884">
        <v>7</v>
      </c>
      <c r="I85" s="884">
        <v>528</v>
      </c>
      <c r="J85" s="884">
        <v>181</v>
      </c>
      <c r="K85" s="884">
        <v>749</v>
      </c>
      <c r="L85" s="884">
        <v>81</v>
      </c>
      <c r="M85" s="884">
        <v>2145</v>
      </c>
      <c r="N85" s="884"/>
      <c r="Q85" s="921" t="s">
        <v>1088</v>
      </c>
      <c r="R85" s="921">
        <v>687</v>
      </c>
      <c r="S85" s="922">
        <v>3</v>
      </c>
    </row>
    <row r="86" spans="1:20" s="878" customFormat="1" ht="11.4">
      <c r="A86" s="882" t="s">
        <v>746</v>
      </c>
      <c r="B86" s="878" t="s">
        <v>696</v>
      </c>
      <c r="C86" s="884">
        <v>1</v>
      </c>
      <c r="D86" s="884">
        <v>0</v>
      </c>
      <c r="E86" s="884">
        <v>0</v>
      </c>
      <c r="F86" s="884">
        <v>0</v>
      </c>
      <c r="G86" s="884">
        <v>0</v>
      </c>
      <c r="H86" s="884">
        <v>0</v>
      </c>
      <c r="I86" s="884">
        <v>0</v>
      </c>
      <c r="J86" s="884">
        <v>0</v>
      </c>
      <c r="K86" s="884">
        <v>0</v>
      </c>
      <c r="L86" s="884">
        <v>0</v>
      </c>
      <c r="M86" s="884">
        <v>2</v>
      </c>
      <c r="N86" s="884"/>
      <c r="S86" s="924">
        <v>3</v>
      </c>
    </row>
    <row r="87" spans="1:20" s="894" customFormat="1" ht="12">
      <c r="A87" s="890"/>
      <c r="B87" s="891" t="s">
        <v>747</v>
      </c>
      <c r="C87" s="892">
        <v>165865</v>
      </c>
      <c r="D87" s="892">
        <v>16459</v>
      </c>
      <c r="E87" s="892">
        <v>3410</v>
      </c>
      <c r="F87" s="892">
        <v>19869</v>
      </c>
      <c r="G87" s="892">
        <v>366</v>
      </c>
      <c r="H87" s="892">
        <v>525</v>
      </c>
      <c r="I87" s="892">
        <v>11781</v>
      </c>
      <c r="J87" s="892">
        <v>2975</v>
      </c>
      <c r="K87" s="892">
        <v>17332</v>
      </c>
      <c r="L87" s="892">
        <v>2837</v>
      </c>
      <c r="M87" s="892">
        <v>43716</v>
      </c>
      <c r="N87" s="892"/>
      <c r="S87" s="894" t="s">
        <v>1312</v>
      </c>
      <c r="T87" s="1104">
        <v>3</v>
      </c>
    </row>
    <row r="88" spans="1:20" s="894" customFormat="1">
      <c r="A88" s="882">
        <v>760</v>
      </c>
      <c r="B88" s="878" t="s">
        <v>748</v>
      </c>
      <c r="C88" s="884">
        <v>4860</v>
      </c>
      <c r="D88" s="884">
        <v>707</v>
      </c>
      <c r="E88" s="884">
        <v>114</v>
      </c>
      <c r="F88" s="884">
        <v>821</v>
      </c>
      <c r="G88" s="884">
        <v>2</v>
      </c>
      <c r="H88" s="884">
        <v>13</v>
      </c>
      <c r="I88" s="884">
        <v>471</v>
      </c>
      <c r="J88" s="884">
        <v>107</v>
      </c>
      <c r="K88" s="884">
        <v>790</v>
      </c>
      <c r="L88" s="884">
        <v>138</v>
      </c>
      <c r="M88" s="884">
        <v>1684</v>
      </c>
      <c r="N88" s="884"/>
      <c r="Q88" s="921" t="s">
        <v>1089</v>
      </c>
      <c r="R88" s="921">
        <v>760</v>
      </c>
      <c r="S88" s="922">
        <v>4</v>
      </c>
    </row>
    <row r="89" spans="1:20" s="878" customFormat="1">
      <c r="A89" s="882">
        <v>761</v>
      </c>
      <c r="B89" s="878" t="s">
        <v>749</v>
      </c>
      <c r="C89" s="884">
        <v>3852</v>
      </c>
      <c r="D89" s="884">
        <v>407</v>
      </c>
      <c r="E89" s="884">
        <v>93</v>
      </c>
      <c r="F89" s="884">
        <v>500</v>
      </c>
      <c r="G89" s="884">
        <v>9</v>
      </c>
      <c r="H89" s="884">
        <v>3</v>
      </c>
      <c r="I89" s="884">
        <v>287</v>
      </c>
      <c r="J89" s="884">
        <v>72</v>
      </c>
      <c r="K89" s="884">
        <v>317</v>
      </c>
      <c r="L89" s="884">
        <v>48</v>
      </c>
      <c r="M89" s="884">
        <v>1202</v>
      </c>
      <c r="N89" s="884"/>
      <c r="Q89" s="921" t="s">
        <v>1090</v>
      </c>
      <c r="R89" s="921">
        <v>761</v>
      </c>
      <c r="S89" s="922">
        <v>4</v>
      </c>
    </row>
    <row r="90" spans="1:20" s="878" customFormat="1">
      <c r="A90" s="882">
        <v>763</v>
      </c>
      <c r="B90" s="895" t="s">
        <v>750</v>
      </c>
      <c r="C90" s="884">
        <v>6924</v>
      </c>
      <c r="D90" s="884">
        <v>848</v>
      </c>
      <c r="E90" s="884">
        <v>155</v>
      </c>
      <c r="F90" s="884">
        <v>1003</v>
      </c>
      <c r="G90" s="884">
        <v>15</v>
      </c>
      <c r="H90" s="884">
        <v>23</v>
      </c>
      <c r="I90" s="884">
        <v>456</v>
      </c>
      <c r="J90" s="884">
        <v>114</v>
      </c>
      <c r="K90" s="884">
        <v>1404</v>
      </c>
      <c r="L90" s="884">
        <v>123</v>
      </c>
      <c r="M90" s="884">
        <v>2408</v>
      </c>
      <c r="N90" s="884"/>
      <c r="Q90" s="921" t="s">
        <v>1091</v>
      </c>
      <c r="R90" s="921">
        <v>763</v>
      </c>
      <c r="S90" s="922">
        <v>4</v>
      </c>
    </row>
    <row r="91" spans="1:20" s="878" customFormat="1">
      <c r="A91" s="882">
        <v>764</v>
      </c>
      <c r="B91" s="878" t="s">
        <v>751</v>
      </c>
      <c r="C91" s="884">
        <v>9975</v>
      </c>
      <c r="D91" s="884">
        <v>1037</v>
      </c>
      <c r="E91" s="884">
        <v>192</v>
      </c>
      <c r="F91" s="884">
        <v>1229</v>
      </c>
      <c r="G91" s="884">
        <v>19</v>
      </c>
      <c r="H91" s="884">
        <v>52</v>
      </c>
      <c r="I91" s="884">
        <v>751</v>
      </c>
      <c r="J91" s="884">
        <v>259</v>
      </c>
      <c r="K91" s="884">
        <v>1508</v>
      </c>
      <c r="L91" s="884">
        <v>243</v>
      </c>
      <c r="M91" s="884">
        <v>2918</v>
      </c>
      <c r="N91" s="884"/>
      <c r="Q91" s="921" t="s">
        <v>1092</v>
      </c>
      <c r="R91" s="921">
        <v>764</v>
      </c>
      <c r="S91" s="922">
        <v>4</v>
      </c>
    </row>
    <row r="92" spans="1:20" s="878" customFormat="1">
      <c r="A92" s="882">
        <v>765</v>
      </c>
      <c r="B92" s="878" t="s">
        <v>752</v>
      </c>
      <c r="C92" s="884">
        <v>8157</v>
      </c>
      <c r="D92" s="884">
        <v>718</v>
      </c>
      <c r="E92" s="884">
        <v>170</v>
      </c>
      <c r="F92" s="884">
        <v>888</v>
      </c>
      <c r="G92" s="884">
        <v>14</v>
      </c>
      <c r="H92" s="884">
        <v>22</v>
      </c>
      <c r="I92" s="884">
        <v>520</v>
      </c>
      <c r="J92" s="884">
        <v>204</v>
      </c>
      <c r="K92" s="884">
        <v>1255</v>
      </c>
      <c r="L92" s="884">
        <v>173</v>
      </c>
      <c r="M92" s="884">
        <v>2542</v>
      </c>
      <c r="N92" s="884"/>
      <c r="Q92" s="921" t="s">
        <v>1093</v>
      </c>
      <c r="R92" s="921">
        <v>765</v>
      </c>
      <c r="S92" s="922">
        <v>4</v>
      </c>
    </row>
    <row r="93" spans="1:20" s="894" customFormat="1">
      <c r="A93" s="882">
        <v>767</v>
      </c>
      <c r="B93" s="878" t="s">
        <v>753</v>
      </c>
      <c r="C93" s="884">
        <v>5320</v>
      </c>
      <c r="D93" s="884">
        <v>668</v>
      </c>
      <c r="E93" s="884">
        <v>185</v>
      </c>
      <c r="F93" s="884">
        <v>853</v>
      </c>
      <c r="G93" s="884">
        <v>22</v>
      </c>
      <c r="H93" s="884">
        <v>6</v>
      </c>
      <c r="I93" s="884">
        <v>415</v>
      </c>
      <c r="J93" s="884">
        <v>126</v>
      </c>
      <c r="K93" s="884">
        <v>747</v>
      </c>
      <c r="L93" s="884">
        <v>58</v>
      </c>
      <c r="M93" s="884">
        <v>1856</v>
      </c>
      <c r="N93" s="884"/>
      <c r="Q93" s="921" t="s">
        <v>1094</v>
      </c>
      <c r="R93" s="921">
        <v>767</v>
      </c>
      <c r="S93" s="922">
        <v>4</v>
      </c>
    </row>
    <row r="94" spans="1:20" s="878" customFormat="1">
      <c r="A94" s="882">
        <v>780</v>
      </c>
      <c r="B94" s="878" t="s">
        <v>754</v>
      </c>
      <c r="C94" s="884">
        <v>38167</v>
      </c>
      <c r="D94" s="884">
        <v>3023</v>
      </c>
      <c r="E94" s="884">
        <v>793</v>
      </c>
      <c r="F94" s="884">
        <v>3816</v>
      </c>
      <c r="G94" s="884">
        <v>105</v>
      </c>
      <c r="H94" s="884">
        <v>146</v>
      </c>
      <c r="I94" s="884">
        <v>2249</v>
      </c>
      <c r="J94" s="884">
        <v>596</v>
      </c>
      <c r="K94" s="884">
        <v>2877</v>
      </c>
      <c r="L94" s="884">
        <v>465</v>
      </c>
      <c r="M94" s="884">
        <v>8502</v>
      </c>
      <c r="N94" s="884"/>
      <c r="Q94" s="921" t="s">
        <v>1095</v>
      </c>
      <c r="R94" s="921">
        <v>780</v>
      </c>
      <c r="S94" s="922">
        <v>4</v>
      </c>
    </row>
    <row r="95" spans="1:20" s="878" customFormat="1">
      <c r="A95" s="882">
        <v>781</v>
      </c>
      <c r="B95" s="878" t="s">
        <v>755</v>
      </c>
      <c r="C95" s="884">
        <v>14565</v>
      </c>
      <c r="D95" s="884">
        <v>1516</v>
      </c>
      <c r="E95" s="884">
        <v>269</v>
      </c>
      <c r="F95" s="884">
        <v>1785</v>
      </c>
      <c r="G95" s="884">
        <v>38</v>
      </c>
      <c r="H95" s="884">
        <v>30</v>
      </c>
      <c r="I95" s="884">
        <v>1223</v>
      </c>
      <c r="J95" s="884">
        <v>317</v>
      </c>
      <c r="K95" s="884">
        <v>2522</v>
      </c>
      <c r="L95" s="884">
        <v>342</v>
      </c>
      <c r="M95" s="884">
        <v>4461</v>
      </c>
      <c r="N95" s="884"/>
      <c r="Q95" s="921" t="s">
        <v>1096</v>
      </c>
      <c r="R95" s="921">
        <v>781</v>
      </c>
      <c r="S95" s="922">
        <v>4</v>
      </c>
    </row>
    <row r="96" spans="1:20" s="894" customFormat="1" ht="12">
      <c r="A96" s="890"/>
      <c r="B96" s="891" t="s">
        <v>756</v>
      </c>
      <c r="C96" s="892">
        <v>91820</v>
      </c>
      <c r="D96" s="892">
        <v>8924</v>
      </c>
      <c r="E96" s="892">
        <v>1971</v>
      </c>
      <c r="F96" s="892">
        <v>10895</v>
      </c>
      <c r="G96" s="892">
        <v>224</v>
      </c>
      <c r="H96" s="892">
        <v>295</v>
      </c>
      <c r="I96" s="892">
        <v>6372</v>
      </c>
      <c r="J96" s="892">
        <v>1795</v>
      </c>
      <c r="K96" s="892">
        <v>11420</v>
      </c>
      <c r="L96" s="892">
        <v>1590</v>
      </c>
      <c r="M96" s="892">
        <v>25573</v>
      </c>
      <c r="N96" s="892"/>
      <c r="S96" s="894" t="s">
        <v>1312</v>
      </c>
      <c r="T96" s="1104">
        <v>4</v>
      </c>
    </row>
    <row r="97" spans="1:20" s="878" customFormat="1">
      <c r="A97" s="882">
        <v>821</v>
      </c>
      <c r="B97" s="878" t="s">
        <v>757</v>
      </c>
      <c r="C97" s="884">
        <v>3166</v>
      </c>
      <c r="D97" s="884">
        <v>383</v>
      </c>
      <c r="E97" s="884">
        <v>68</v>
      </c>
      <c r="F97" s="884">
        <v>451</v>
      </c>
      <c r="G97" s="884">
        <v>9</v>
      </c>
      <c r="H97" s="884">
        <v>1</v>
      </c>
      <c r="I97" s="884">
        <v>217</v>
      </c>
      <c r="J97" s="884">
        <v>45</v>
      </c>
      <c r="K97" s="884">
        <v>689</v>
      </c>
      <c r="L97" s="884">
        <v>61</v>
      </c>
      <c r="M97" s="884">
        <v>990</v>
      </c>
      <c r="N97" s="884"/>
      <c r="Q97" s="921" t="s">
        <v>1097</v>
      </c>
      <c r="R97" s="921">
        <v>821</v>
      </c>
      <c r="S97" s="922">
        <v>4</v>
      </c>
    </row>
    <row r="98" spans="1:20" s="878" customFormat="1">
      <c r="A98" s="882">
        <v>834</v>
      </c>
      <c r="B98" s="878" t="s">
        <v>758</v>
      </c>
      <c r="C98" s="884">
        <v>3935</v>
      </c>
      <c r="D98" s="884">
        <v>426</v>
      </c>
      <c r="E98" s="884">
        <v>46</v>
      </c>
      <c r="F98" s="884">
        <v>472</v>
      </c>
      <c r="G98" s="884">
        <v>2</v>
      </c>
      <c r="H98" s="884">
        <v>4</v>
      </c>
      <c r="I98" s="884">
        <v>314</v>
      </c>
      <c r="J98" s="884">
        <v>86</v>
      </c>
      <c r="K98" s="884">
        <v>909</v>
      </c>
      <c r="L98" s="884">
        <v>37</v>
      </c>
      <c r="M98" s="884">
        <v>1237</v>
      </c>
      <c r="N98" s="884"/>
      <c r="Q98" s="921" t="s">
        <v>1098</v>
      </c>
      <c r="R98" s="921">
        <v>834</v>
      </c>
      <c r="S98" s="922">
        <v>4</v>
      </c>
    </row>
    <row r="99" spans="1:20" s="894" customFormat="1">
      <c r="A99" s="882">
        <v>840</v>
      </c>
      <c r="B99" s="878" t="s">
        <v>759</v>
      </c>
      <c r="C99" s="884">
        <v>7813</v>
      </c>
      <c r="D99" s="884">
        <v>819</v>
      </c>
      <c r="E99" s="884">
        <v>122</v>
      </c>
      <c r="F99" s="884">
        <v>941</v>
      </c>
      <c r="G99" s="884">
        <v>7</v>
      </c>
      <c r="H99" s="884">
        <v>3</v>
      </c>
      <c r="I99" s="884">
        <v>582</v>
      </c>
      <c r="J99" s="884">
        <v>181</v>
      </c>
      <c r="K99" s="884">
        <v>1239</v>
      </c>
      <c r="L99" s="884">
        <v>81</v>
      </c>
      <c r="M99" s="884">
        <v>2017</v>
      </c>
      <c r="N99" s="884"/>
      <c r="Q99" s="921" t="s">
        <v>1099</v>
      </c>
      <c r="R99" s="921">
        <v>840</v>
      </c>
      <c r="S99" s="922">
        <v>4</v>
      </c>
    </row>
    <row r="100" spans="1:20" s="878" customFormat="1">
      <c r="A100" s="882">
        <v>860</v>
      </c>
      <c r="B100" s="878" t="s">
        <v>760</v>
      </c>
      <c r="C100" s="884">
        <v>7436</v>
      </c>
      <c r="D100" s="884">
        <v>856</v>
      </c>
      <c r="E100" s="884">
        <v>145</v>
      </c>
      <c r="F100" s="884">
        <v>1001</v>
      </c>
      <c r="G100" s="884">
        <v>13</v>
      </c>
      <c r="H100" s="884">
        <v>15</v>
      </c>
      <c r="I100" s="884">
        <v>708</v>
      </c>
      <c r="J100" s="884">
        <v>107</v>
      </c>
      <c r="K100" s="884">
        <v>1124</v>
      </c>
      <c r="L100" s="884">
        <v>123</v>
      </c>
      <c r="M100" s="884">
        <v>2281</v>
      </c>
      <c r="N100" s="884"/>
      <c r="Q100" s="921" t="s">
        <v>1100</v>
      </c>
      <c r="R100" s="921">
        <v>860</v>
      </c>
      <c r="S100" s="922">
        <v>4</v>
      </c>
    </row>
    <row r="101" spans="1:20" s="878" customFormat="1">
      <c r="A101" s="882">
        <v>861</v>
      </c>
      <c r="B101" s="878" t="s">
        <v>761</v>
      </c>
      <c r="C101" s="884">
        <v>7049</v>
      </c>
      <c r="D101" s="884">
        <v>703</v>
      </c>
      <c r="E101" s="884">
        <v>102</v>
      </c>
      <c r="F101" s="884">
        <v>805</v>
      </c>
      <c r="G101" s="884">
        <v>6</v>
      </c>
      <c r="H101" s="884">
        <v>2</v>
      </c>
      <c r="I101" s="884">
        <v>527</v>
      </c>
      <c r="J101" s="884">
        <v>142</v>
      </c>
      <c r="K101" s="884">
        <v>809</v>
      </c>
      <c r="L101" s="884">
        <v>115</v>
      </c>
      <c r="M101" s="884">
        <v>1955</v>
      </c>
      <c r="N101" s="884"/>
      <c r="Q101" s="921" t="s">
        <v>1101</v>
      </c>
      <c r="R101" s="921">
        <v>861</v>
      </c>
      <c r="S101" s="922">
        <v>4</v>
      </c>
    </row>
    <row r="102" spans="1:20" s="878" customFormat="1">
      <c r="A102" s="882">
        <v>862</v>
      </c>
      <c r="B102" s="878" t="s">
        <v>762</v>
      </c>
      <c r="C102" s="884">
        <v>5185</v>
      </c>
      <c r="D102" s="884">
        <v>481</v>
      </c>
      <c r="E102" s="884">
        <v>78</v>
      </c>
      <c r="F102" s="884">
        <v>559</v>
      </c>
      <c r="G102" s="884">
        <v>1</v>
      </c>
      <c r="H102" s="884">
        <v>33</v>
      </c>
      <c r="I102" s="884">
        <v>451</v>
      </c>
      <c r="J102" s="884">
        <v>97</v>
      </c>
      <c r="K102" s="884">
        <v>841</v>
      </c>
      <c r="L102" s="884">
        <v>95</v>
      </c>
      <c r="M102" s="884">
        <v>1803</v>
      </c>
      <c r="N102" s="884"/>
      <c r="Q102" s="921" t="s">
        <v>1102</v>
      </c>
      <c r="R102" s="921">
        <v>862</v>
      </c>
      <c r="S102" s="922">
        <v>4</v>
      </c>
    </row>
    <row r="103" spans="1:20" s="894" customFormat="1">
      <c r="A103" s="882">
        <v>880</v>
      </c>
      <c r="B103" s="878" t="s">
        <v>763</v>
      </c>
      <c r="C103" s="884">
        <v>29717</v>
      </c>
      <c r="D103" s="884">
        <v>2716</v>
      </c>
      <c r="E103" s="884">
        <v>447</v>
      </c>
      <c r="F103" s="884">
        <v>3163</v>
      </c>
      <c r="G103" s="884">
        <v>23</v>
      </c>
      <c r="H103" s="884">
        <v>618</v>
      </c>
      <c r="I103" s="884">
        <v>1769</v>
      </c>
      <c r="J103" s="884">
        <v>600</v>
      </c>
      <c r="K103" s="884">
        <v>1876</v>
      </c>
      <c r="L103" s="884">
        <v>195</v>
      </c>
      <c r="M103" s="884">
        <v>5908</v>
      </c>
      <c r="N103" s="884"/>
      <c r="Q103" s="921" t="s">
        <v>1103</v>
      </c>
      <c r="R103" s="921">
        <v>880</v>
      </c>
      <c r="S103" s="922">
        <v>4</v>
      </c>
    </row>
    <row r="104" spans="1:20" s="878" customFormat="1">
      <c r="A104" s="882">
        <v>881</v>
      </c>
      <c r="B104" s="878" t="s">
        <v>764</v>
      </c>
      <c r="C104" s="884">
        <v>10259</v>
      </c>
      <c r="D104" s="884">
        <v>988</v>
      </c>
      <c r="E104" s="884">
        <v>287</v>
      </c>
      <c r="F104" s="884">
        <v>1275</v>
      </c>
      <c r="G104" s="884">
        <v>37</v>
      </c>
      <c r="H104" s="884">
        <v>46</v>
      </c>
      <c r="I104" s="884">
        <v>797</v>
      </c>
      <c r="J104" s="884">
        <v>170</v>
      </c>
      <c r="K104" s="884">
        <v>1277</v>
      </c>
      <c r="L104" s="884">
        <v>140</v>
      </c>
      <c r="M104" s="884">
        <v>3135</v>
      </c>
      <c r="N104" s="884"/>
      <c r="Q104" s="921" t="s">
        <v>1104</v>
      </c>
      <c r="R104" s="921">
        <v>881</v>
      </c>
      <c r="S104" s="922">
        <v>4</v>
      </c>
    </row>
    <row r="105" spans="1:20" s="894" customFormat="1">
      <c r="A105" s="882">
        <v>882</v>
      </c>
      <c r="B105" s="878" t="s">
        <v>765</v>
      </c>
      <c r="C105" s="884">
        <v>14065</v>
      </c>
      <c r="D105" s="884">
        <v>1173</v>
      </c>
      <c r="E105" s="884">
        <v>309</v>
      </c>
      <c r="F105" s="884">
        <v>1482</v>
      </c>
      <c r="G105" s="884">
        <v>31</v>
      </c>
      <c r="H105" s="884">
        <v>27</v>
      </c>
      <c r="I105" s="884">
        <v>1003</v>
      </c>
      <c r="J105" s="884">
        <v>242</v>
      </c>
      <c r="K105" s="884">
        <v>1165</v>
      </c>
      <c r="L105" s="884">
        <v>154</v>
      </c>
      <c r="M105" s="884">
        <v>3297</v>
      </c>
      <c r="N105" s="884"/>
      <c r="Q105" s="921" t="s">
        <v>1105</v>
      </c>
      <c r="R105" s="921">
        <v>882</v>
      </c>
      <c r="S105" s="922">
        <v>4</v>
      </c>
    </row>
    <row r="106" spans="1:20" s="878" customFormat="1">
      <c r="A106" s="882">
        <v>883</v>
      </c>
      <c r="B106" s="878" t="s">
        <v>766</v>
      </c>
      <c r="C106" s="884">
        <v>17451</v>
      </c>
      <c r="D106" s="884">
        <v>1713</v>
      </c>
      <c r="E106" s="884">
        <v>284</v>
      </c>
      <c r="F106" s="884">
        <v>1997</v>
      </c>
      <c r="G106" s="884">
        <v>18</v>
      </c>
      <c r="H106" s="884">
        <v>51</v>
      </c>
      <c r="I106" s="884">
        <v>1321</v>
      </c>
      <c r="J106" s="884">
        <v>385</v>
      </c>
      <c r="K106" s="884">
        <v>1837</v>
      </c>
      <c r="L106" s="884">
        <v>338</v>
      </c>
      <c r="M106" s="884">
        <v>3802</v>
      </c>
      <c r="N106" s="884"/>
      <c r="Q106" s="921" t="s">
        <v>1106</v>
      </c>
      <c r="R106" s="921">
        <v>883</v>
      </c>
      <c r="S106" s="922">
        <v>4</v>
      </c>
    </row>
    <row r="107" spans="1:20" s="894" customFormat="1">
      <c r="A107" s="882">
        <v>884</v>
      </c>
      <c r="B107" s="878" t="s">
        <v>767</v>
      </c>
      <c r="C107" s="884">
        <v>8463</v>
      </c>
      <c r="D107" s="884">
        <v>954</v>
      </c>
      <c r="E107" s="884">
        <v>184</v>
      </c>
      <c r="F107" s="884">
        <v>1138</v>
      </c>
      <c r="G107" s="884">
        <v>25</v>
      </c>
      <c r="H107" s="884">
        <v>66</v>
      </c>
      <c r="I107" s="884">
        <v>805</v>
      </c>
      <c r="J107" s="884">
        <v>136</v>
      </c>
      <c r="K107" s="884">
        <v>1529</v>
      </c>
      <c r="L107" s="884">
        <v>185</v>
      </c>
      <c r="M107" s="884">
        <v>2431</v>
      </c>
      <c r="N107" s="884"/>
      <c r="Q107" s="921" t="s">
        <v>1107</v>
      </c>
      <c r="R107" s="921">
        <v>884</v>
      </c>
      <c r="S107" s="922">
        <v>4</v>
      </c>
    </row>
    <row r="108" spans="1:20" s="878" customFormat="1">
      <c r="A108" s="882">
        <v>885</v>
      </c>
      <c r="B108" s="878" t="s">
        <v>768</v>
      </c>
      <c r="C108" s="884">
        <v>6007</v>
      </c>
      <c r="D108" s="884">
        <v>917</v>
      </c>
      <c r="E108" s="884">
        <v>62</v>
      </c>
      <c r="F108" s="884">
        <v>979</v>
      </c>
      <c r="G108" s="884">
        <v>3</v>
      </c>
      <c r="H108" s="884">
        <v>19</v>
      </c>
      <c r="I108" s="884">
        <v>516</v>
      </c>
      <c r="J108" s="884">
        <v>158</v>
      </c>
      <c r="K108" s="884">
        <v>1640</v>
      </c>
      <c r="L108" s="884">
        <v>96</v>
      </c>
      <c r="M108" s="884">
        <v>1965</v>
      </c>
      <c r="N108" s="884"/>
      <c r="Q108" s="921" t="s">
        <v>1108</v>
      </c>
      <c r="R108" s="921">
        <v>885</v>
      </c>
      <c r="S108" s="922">
        <v>4</v>
      </c>
    </row>
    <row r="109" spans="1:20" s="894" customFormat="1" ht="12">
      <c r="A109" s="890"/>
      <c r="B109" s="891" t="s">
        <v>769</v>
      </c>
      <c r="C109" s="892">
        <v>120546</v>
      </c>
      <c r="D109" s="892">
        <v>12129</v>
      </c>
      <c r="E109" s="892">
        <v>2134</v>
      </c>
      <c r="F109" s="892">
        <v>14263</v>
      </c>
      <c r="G109" s="892">
        <v>175</v>
      </c>
      <c r="H109" s="892">
        <v>885</v>
      </c>
      <c r="I109" s="892">
        <v>9010</v>
      </c>
      <c r="J109" s="892">
        <v>2349</v>
      </c>
      <c r="K109" s="892">
        <v>14935</v>
      </c>
      <c r="L109" s="892">
        <v>1620</v>
      </c>
      <c r="M109" s="892">
        <v>30821</v>
      </c>
      <c r="N109" s="892"/>
      <c r="S109" s="894" t="s">
        <v>1312</v>
      </c>
      <c r="T109" s="1104">
        <v>4</v>
      </c>
    </row>
    <row r="110" spans="1:20" s="894" customFormat="1">
      <c r="A110" s="882">
        <v>980</v>
      </c>
      <c r="B110" s="878" t="s">
        <v>770</v>
      </c>
      <c r="C110" s="884">
        <v>32425</v>
      </c>
      <c r="D110" s="884">
        <v>4323</v>
      </c>
      <c r="E110" s="884">
        <v>604</v>
      </c>
      <c r="F110" s="884">
        <v>4927</v>
      </c>
      <c r="G110" s="884">
        <v>62</v>
      </c>
      <c r="H110" s="884">
        <v>69</v>
      </c>
      <c r="I110" s="884">
        <v>2442</v>
      </c>
      <c r="J110" s="884">
        <v>880</v>
      </c>
      <c r="K110" s="884">
        <v>5820</v>
      </c>
      <c r="L110" s="884">
        <v>385</v>
      </c>
      <c r="M110" s="884">
        <v>8595</v>
      </c>
      <c r="N110" s="884"/>
      <c r="Q110" s="921" t="s">
        <v>1109</v>
      </c>
      <c r="R110" s="921">
        <v>980</v>
      </c>
      <c r="S110" s="923">
        <v>3</v>
      </c>
    </row>
    <row r="111" spans="1:20" s="894" customFormat="1" ht="12">
      <c r="A111" s="890"/>
      <c r="B111" s="891" t="s">
        <v>771</v>
      </c>
      <c r="C111" s="892">
        <v>32425</v>
      </c>
      <c r="D111" s="892">
        <v>4323</v>
      </c>
      <c r="E111" s="892">
        <v>604</v>
      </c>
      <c r="F111" s="892">
        <v>4927</v>
      </c>
      <c r="G111" s="892">
        <v>62</v>
      </c>
      <c r="H111" s="892">
        <v>69</v>
      </c>
      <c r="I111" s="892">
        <v>2442</v>
      </c>
      <c r="J111" s="892">
        <v>880</v>
      </c>
      <c r="K111" s="892">
        <v>5820</v>
      </c>
      <c r="L111" s="892">
        <v>385</v>
      </c>
      <c r="M111" s="892">
        <v>8595</v>
      </c>
      <c r="N111" s="892"/>
      <c r="S111" s="894" t="s">
        <v>1312</v>
      </c>
      <c r="T111" s="1104">
        <v>3</v>
      </c>
    </row>
    <row r="112" spans="1:20" s="878" customFormat="1">
      <c r="A112" s="882">
        <v>1060</v>
      </c>
      <c r="B112" s="878" t="s">
        <v>772</v>
      </c>
      <c r="C112" s="884">
        <v>6901</v>
      </c>
      <c r="D112" s="884">
        <v>564</v>
      </c>
      <c r="E112" s="884">
        <v>102</v>
      </c>
      <c r="F112" s="884">
        <v>666</v>
      </c>
      <c r="G112" s="884">
        <v>9</v>
      </c>
      <c r="H112" s="884">
        <v>4</v>
      </c>
      <c r="I112" s="884">
        <v>729</v>
      </c>
      <c r="J112" s="884">
        <v>182</v>
      </c>
      <c r="K112" s="884">
        <v>740</v>
      </c>
      <c r="L112" s="884">
        <v>71</v>
      </c>
      <c r="M112" s="884">
        <v>1677</v>
      </c>
      <c r="N112" s="884"/>
      <c r="Q112" s="921" t="s">
        <v>1110</v>
      </c>
      <c r="R112" s="921">
        <v>1060</v>
      </c>
      <c r="S112" s="922">
        <v>4</v>
      </c>
    </row>
    <row r="113" spans="1:20" s="878" customFormat="1">
      <c r="A113" s="882">
        <v>1080</v>
      </c>
      <c r="B113" s="895" t="s">
        <v>773</v>
      </c>
      <c r="C113" s="884">
        <v>30803</v>
      </c>
      <c r="D113" s="884">
        <v>2224</v>
      </c>
      <c r="E113" s="884">
        <v>273</v>
      </c>
      <c r="F113" s="884">
        <v>2497</v>
      </c>
      <c r="G113" s="884">
        <v>13</v>
      </c>
      <c r="H113" s="884">
        <v>20</v>
      </c>
      <c r="I113" s="884">
        <v>2076</v>
      </c>
      <c r="J113" s="884">
        <v>708</v>
      </c>
      <c r="K113" s="884">
        <v>2694</v>
      </c>
      <c r="L113" s="884">
        <v>170</v>
      </c>
      <c r="M113" s="884">
        <v>6476</v>
      </c>
      <c r="N113" s="884"/>
      <c r="Q113" s="921" t="s">
        <v>1111</v>
      </c>
      <c r="R113" s="921">
        <v>1080</v>
      </c>
      <c r="S113" s="922">
        <v>4</v>
      </c>
    </row>
    <row r="114" spans="1:20" s="878" customFormat="1">
      <c r="A114" s="882">
        <v>1081</v>
      </c>
      <c r="B114" s="878" t="s">
        <v>774</v>
      </c>
      <c r="C114" s="884">
        <v>14975</v>
      </c>
      <c r="D114" s="884">
        <v>1305</v>
      </c>
      <c r="E114" s="884">
        <v>198</v>
      </c>
      <c r="F114" s="884">
        <v>1503</v>
      </c>
      <c r="G114" s="884">
        <v>11</v>
      </c>
      <c r="H114" s="884">
        <v>27</v>
      </c>
      <c r="I114" s="884">
        <v>1114</v>
      </c>
      <c r="J114" s="884">
        <v>413</v>
      </c>
      <c r="K114" s="884">
        <v>1502</v>
      </c>
      <c r="L114" s="884">
        <v>146</v>
      </c>
      <c r="M114" s="884">
        <v>3523</v>
      </c>
      <c r="N114" s="884"/>
      <c r="Q114" s="921" t="s">
        <v>1112</v>
      </c>
      <c r="R114" s="921">
        <v>1081</v>
      </c>
      <c r="S114" s="922">
        <v>4</v>
      </c>
    </row>
    <row r="115" spans="1:20" s="878" customFormat="1">
      <c r="A115" s="882">
        <v>1082</v>
      </c>
      <c r="B115" s="878" t="s">
        <v>775</v>
      </c>
      <c r="C115" s="884">
        <v>16155</v>
      </c>
      <c r="D115" s="884">
        <v>1292</v>
      </c>
      <c r="E115" s="884">
        <v>248</v>
      </c>
      <c r="F115" s="884">
        <v>1540</v>
      </c>
      <c r="G115" s="884">
        <v>58</v>
      </c>
      <c r="H115" s="884">
        <v>12</v>
      </c>
      <c r="I115" s="884">
        <v>1335</v>
      </c>
      <c r="J115" s="884">
        <v>405</v>
      </c>
      <c r="K115" s="884">
        <v>1095</v>
      </c>
      <c r="L115" s="884">
        <v>101</v>
      </c>
      <c r="M115" s="884">
        <v>3604</v>
      </c>
      <c r="N115" s="884"/>
      <c r="Q115" s="921" t="s">
        <v>1113</v>
      </c>
      <c r="R115" s="921">
        <v>1082</v>
      </c>
      <c r="S115" s="922">
        <v>4</v>
      </c>
    </row>
    <row r="116" spans="1:20" s="878" customFormat="1">
      <c r="A116" s="882">
        <v>1083</v>
      </c>
      <c r="B116" s="878" t="s">
        <v>776</v>
      </c>
      <c r="C116" s="884">
        <v>9097</v>
      </c>
      <c r="D116" s="884">
        <v>1042</v>
      </c>
      <c r="E116" s="884">
        <v>167</v>
      </c>
      <c r="F116" s="884">
        <v>1209</v>
      </c>
      <c r="G116" s="884">
        <v>17</v>
      </c>
      <c r="H116" s="884">
        <v>9</v>
      </c>
      <c r="I116" s="884">
        <v>700</v>
      </c>
      <c r="J116" s="884">
        <v>240</v>
      </c>
      <c r="K116" s="884">
        <v>859</v>
      </c>
      <c r="L116" s="884">
        <v>65</v>
      </c>
      <c r="M116" s="884">
        <v>2344</v>
      </c>
      <c r="N116" s="884"/>
      <c r="Q116" s="921" t="s">
        <v>1114</v>
      </c>
      <c r="R116" s="921">
        <v>1083</v>
      </c>
      <c r="S116" s="922">
        <v>4</v>
      </c>
    </row>
    <row r="117" spans="1:20" s="894" customFormat="1" ht="12">
      <c r="A117" s="890"/>
      <c r="B117" s="891" t="s">
        <v>777</v>
      </c>
      <c r="C117" s="892">
        <v>77931</v>
      </c>
      <c r="D117" s="892">
        <v>6427</v>
      </c>
      <c r="E117" s="892">
        <v>988</v>
      </c>
      <c r="F117" s="892">
        <v>7415</v>
      </c>
      <c r="G117" s="892">
        <v>108</v>
      </c>
      <c r="H117" s="892">
        <v>72</v>
      </c>
      <c r="I117" s="892">
        <v>5954</v>
      </c>
      <c r="J117" s="892">
        <v>1948</v>
      </c>
      <c r="K117" s="892">
        <v>6890</v>
      </c>
      <c r="L117" s="892">
        <v>553</v>
      </c>
      <c r="M117" s="892">
        <v>17624</v>
      </c>
      <c r="N117" s="892"/>
      <c r="S117" s="894" t="s">
        <v>1312</v>
      </c>
      <c r="T117" s="1104">
        <v>4</v>
      </c>
    </row>
    <row r="118" spans="1:20" s="894" customFormat="1">
      <c r="A118" s="882">
        <v>1214</v>
      </c>
      <c r="B118" s="878" t="s">
        <v>778</v>
      </c>
      <c r="C118" s="884">
        <v>7166</v>
      </c>
      <c r="D118" s="884">
        <v>813</v>
      </c>
      <c r="E118" s="884">
        <v>126</v>
      </c>
      <c r="F118" s="884">
        <v>939</v>
      </c>
      <c r="G118" s="884">
        <v>19</v>
      </c>
      <c r="H118" s="884">
        <v>1</v>
      </c>
      <c r="I118" s="884">
        <v>570</v>
      </c>
      <c r="J118" s="884">
        <v>172</v>
      </c>
      <c r="K118" s="884">
        <v>1049</v>
      </c>
      <c r="L118" s="884">
        <v>48</v>
      </c>
      <c r="M118" s="884">
        <v>1901</v>
      </c>
      <c r="N118" s="884"/>
      <c r="Q118" s="921" t="s">
        <v>1115</v>
      </c>
      <c r="R118" s="921">
        <v>1214</v>
      </c>
      <c r="S118" s="923">
        <v>4</v>
      </c>
    </row>
    <row r="119" spans="1:20" s="894" customFormat="1">
      <c r="A119" s="882">
        <v>1230</v>
      </c>
      <c r="B119" s="878" t="s">
        <v>779</v>
      </c>
      <c r="C119" s="884">
        <v>11056</v>
      </c>
      <c r="D119" s="884">
        <v>694</v>
      </c>
      <c r="E119" s="884">
        <v>155</v>
      </c>
      <c r="F119" s="884">
        <v>849</v>
      </c>
      <c r="G119" s="884">
        <v>14</v>
      </c>
      <c r="H119" s="884">
        <v>1</v>
      </c>
      <c r="I119" s="884">
        <v>798</v>
      </c>
      <c r="J119" s="884">
        <v>208</v>
      </c>
      <c r="K119" s="884">
        <v>529</v>
      </c>
      <c r="L119" s="884">
        <v>25</v>
      </c>
      <c r="M119" s="884">
        <v>1532</v>
      </c>
      <c r="N119" s="884"/>
      <c r="Q119" s="921" t="s">
        <v>1116</v>
      </c>
      <c r="R119" s="921">
        <v>1230</v>
      </c>
      <c r="S119" s="923">
        <v>4</v>
      </c>
    </row>
    <row r="120" spans="1:20" s="878" customFormat="1">
      <c r="A120" s="882">
        <v>1231</v>
      </c>
      <c r="B120" s="878" t="s">
        <v>780</v>
      </c>
      <c r="C120" s="884">
        <v>7029</v>
      </c>
      <c r="D120" s="884">
        <v>450</v>
      </c>
      <c r="E120" s="884">
        <v>232</v>
      </c>
      <c r="F120" s="884">
        <v>682</v>
      </c>
      <c r="G120" s="884">
        <v>163</v>
      </c>
      <c r="H120" s="884">
        <v>0</v>
      </c>
      <c r="I120" s="884">
        <v>438</v>
      </c>
      <c r="J120" s="884">
        <v>114</v>
      </c>
      <c r="K120" s="884">
        <v>76</v>
      </c>
      <c r="L120" s="884">
        <v>10</v>
      </c>
      <c r="M120" s="884">
        <v>672</v>
      </c>
      <c r="N120" s="884"/>
      <c r="Q120" s="921" t="s">
        <v>1117</v>
      </c>
      <c r="R120" s="921">
        <v>1231</v>
      </c>
      <c r="S120" s="923">
        <v>4</v>
      </c>
    </row>
    <row r="121" spans="1:20" s="894" customFormat="1">
      <c r="A121" s="882">
        <v>1233</v>
      </c>
      <c r="B121" s="878" t="s">
        <v>781</v>
      </c>
      <c r="C121" s="884">
        <v>18301</v>
      </c>
      <c r="D121" s="884">
        <v>1020</v>
      </c>
      <c r="E121" s="884">
        <v>118</v>
      </c>
      <c r="F121" s="884">
        <v>1138</v>
      </c>
      <c r="G121" s="884">
        <v>12</v>
      </c>
      <c r="H121" s="884">
        <v>5</v>
      </c>
      <c r="I121" s="884">
        <v>1092</v>
      </c>
      <c r="J121" s="884">
        <v>393</v>
      </c>
      <c r="K121" s="884">
        <v>605</v>
      </c>
      <c r="L121" s="884">
        <v>58</v>
      </c>
      <c r="M121" s="884">
        <v>1969</v>
      </c>
      <c r="N121" s="884"/>
      <c r="Q121" s="921" t="s">
        <v>1118</v>
      </c>
      <c r="R121" s="921">
        <v>1233</v>
      </c>
      <c r="S121" s="923">
        <v>4</v>
      </c>
    </row>
    <row r="122" spans="1:20" s="878" customFormat="1">
      <c r="A122" s="882">
        <v>1256</v>
      </c>
      <c r="B122" s="878" t="s">
        <v>782</v>
      </c>
      <c r="C122" s="884">
        <v>7224</v>
      </c>
      <c r="D122" s="884">
        <v>708</v>
      </c>
      <c r="E122" s="884">
        <v>132</v>
      </c>
      <c r="F122" s="884">
        <v>840</v>
      </c>
      <c r="G122" s="884">
        <v>11</v>
      </c>
      <c r="H122" s="884">
        <v>74</v>
      </c>
      <c r="I122" s="884">
        <v>595</v>
      </c>
      <c r="J122" s="884">
        <v>145</v>
      </c>
      <c r="K122" s="884">
        <v>847</v>
      </c>
      <c r="L122" s="884">
        <v>65</v>
      </c>
      <c r="M122" s="884">
        <v>2102</v>
      </c>
      <c r="N122" s="884"/>
      <c r="Q122" s="921" t="s">
        <v>1119</v>
      </c>
      <c r="R122" s="921">
        <v>1256</v>
      </c>
      <c r="S122" s="923">
        <v>4</v>
      </c>
    </row>
    <row r="123" spans="1:20" s="894" customFormat="1">
      <c r="A123" s="882">
        <v>1257</v>
      </c>
      <c r="B123" s="878" t="s">
        <v>783</v>
      </c>
      <c r="C123" s="884">
        <v>5422</v>
      </c>
      <c r="D123" s="884">
        <v>556</v>
      </c>
      <c r="E123" s="884">
        <v>175</v>
      </c>
      <c r="F123" s="884">
        <v>731</v>
      </c>
      <c r="G123" s="884">
        <v>14</v>
      </c>
      <c r="H123" s="884">
        <v>13</v>
      </c>
      <c r="I123" s="884">
        <v>474</v>
      </c>
      <c r="J123" s="884">
        <v>119</v>
      </c>
      <c r="K123" s="884">
        <v>828</v>
      </c>
      <c r="L123" s="884">
        <v>89</v>
      </c>
      <c r="M123" s="884">
        <v>1635</v>
      </c>
      <c r="N123" s="884"/>
      <c r="Q123" s="921" t="s">
        <v>1120</v>
      </c>
      <c r="R123" s="921">
        <v>1257</v>
      </c>
      <c r="S123" s="923">
        <v>4</v>
      </c>
    </row>
    <row r="124" spans="1:20" s="878" customFormat="1">
      <c r="A124" s="882">
        <v>1260</v>
      </c>
      <c r="B124" s="878" t="s">
        <v>784</v>
      </c>
      <c r="C124" s="884">
        <v>7644</v>
      </c>
      <c r="D124" s="884">
        <v>756</v>
      </c>
      <c r="E124" s="884">
        <v>130</v>
      </c>
      <c r="F124" s="884">
        <v>886</v>
      </c>
      <c r="G124" s="884">
        <v>23</v>
      </c>
      <c r="H124" s="884">
        <v>8</v>
      </c>
      <c r="I124" s="884">
        <v>644</v>
      </c>
      <c r="J124" s="884">
        <v>215</v>
      </c>
      <c r="K124" s="884">
        <v>390</v>
      </c>
      <c r="L124" s="884">
        <v>34</v>
      </c>
      <c r="M124" s="884">
        <v>1647</v>
      </c>
      <c r="N124" s="884"/>
      <c r="Q124" s="921" t="s">
        <v>1121</v>
      </c>
      <c r="R124" s="921">
        <v>1260</v>
      </c>
      <c r="S124" s="923">
        <v>4</v>
      </c>
    </row>
    <row r="125" spans="1:20" s="878" customFormat="1">
      <c r="A125" s="882">
        <v>1261</v>
      </c>
      <c r="B125" s="878" t="s">
        <v>785</v>
      </c>
      <c r="C125" s="884">
        <v>15464</v>
      </c>
      <c r="D125" s="884">
        <v>1120</v>
      </c>
      <c r="E125" s="884">
        <v>215</v>
      </c>
      <c r="F125" s="884">
        <v>1335</v>
      </c>
      <c r="G125" s="884">
        <v>22</v>
      </c>
      <c r="H125" s="884">
        <v>7</v>
      </c>
      <c r="I125" s="884">
        <v>1273</v>
      </c>
      <c r="J125" s="884">
        <v>335</v>
      </c>
      <c r="K125" s="884">
        <v>638</v>
      </c>
      <c r="L125" s="884">
        <v>66</v>
      </c>
      <c r="M125" s="884">
        <v>2588</v>
      </c>
      <c r="N125" s="884"/>
      <c r="Q125" s="921" t="s">
        <v>1122</v>
      </c>
      <c r="R125" s="921">
        <v>1261</v>
      </c>
      <c r="S125" s="923">
        <v>4</v>
      </c>
    </row>
    <row r="126" spans="1:20" s="878" customFormat="1">
      <c r="A126" s="882">
        <v>1262</v>
      </c>
      <c r="B126" s="895" t="s">
        <v>786</v>
      </c>
      <c r="C126" s="884">
        <v>10719</v>
      </c>
      <c r="D126" s="884">
        <v>475</v>
      </c>
      <c r="E126" s="884">
        <v>100</v>
      </c>
      <c r="F126" s="884">
        <v>575</v>
      </c>
      <c r="G126" s="884">
        <v>26</v>
      </c>
      <c r="H126" s="884">
        <v>0</v>
      </c>
      <c r="I126" s="884">
        <v>710</v>
      </c>
      <c r="J126" s="884">
        <v>157</v>
      </c>
      <c r="K126" s="884">
        <v>286</v>
      </c>
      <c r="L126" s="884">
        <v>34</v>
      </c>
      <c r="M126" s="884">
        <v>1119</v>
      </c>
      <c r="N126" s="884"/>
      <c r="Q126" s="921" t="s">
        <v>1123</v>
      </c>
      <c r="R126" s="921">
        <v>1262</v>
      </c>
      <c r="S126" s="923">
        <v>4</v>
      </c>
    </row>
    <row r="127" spans="1:20" s="894" customFormat="1">
      <c r="A127" s="882">
        <v>1263</v>
      </c>
      <c r="B127" s="878" t="s">
        <v>787</v>
      </c>
      <c r="C127" s="884">
        <v>10533</v>
      </c>
      <c r="D127" s="884">
        <v>796</v>
      </c>
      <c r="E127" s="884">
        <v>107</v>
      </c>
      <c r="F127" s="884">
        <v>903</v>
      </c>
      <c r="G127" s="884">
        <v>18</v>
      </c>
      <c r="H127" s="884">
        <v>1</v>
      </c>
      <c r="I127" s="884">
        <v>896</v>
      </c>
      <c r="J127" s="884">
        <v>241</v>
      </c>
      <c r="K127" s="884">
        <v>561</v>
      </c>
      <c r="L127" s="884">
        <v>56</v>
      </c>
      <c r="M127" s="884">
        <v>1619</v>
      </c>
      <c r="N127" s="884"/>
      <c r="Q127" s="921" t="s">
        <v>1124</v>
      </c>
      <c r="R127" s="921">
        <v>1263</v>
      </c>
      <c r="S127" s="923">
        <v>4</v>
      </c>
    </row>
    <row r="128" spans="1:20" s="894" customFormat="1">
      <c r="A128" s="882">
        <v>1264</v>
      </c>
      <c r="B128" s="878" t="s">
        <v>788</v>
      </c>
      <c r="C128" s="884">
        <v>8157</v>
      </c>
      <c r="D128" s="884">
        <v>856</v>
      </c>
      <c r="E128" s="884">
        <v>497</v>
      </c>
      <c r="F128" s="884">
        <v>1353</v>
      </c>
      <c r="G128" s="884">
        <v>96</v>
      </c>
      <c r="H128" s="884">
        <v>7</v>
      </c>
      <c r="I128" s="884">
        <v>680</v>
      </c>
      <c r="J128" s="884">
        <v>239</v>
      </c>
      <c r="K128" s="884">
        <v>900</v>
      </c>
      <c r="L128" s="884">
        <v>18</v>
      </c>
      <c r="M128" s="884">
        <v>2094</v>
      </c>
      <c r="N128" s="884"/>
      <c r="Q128" s="921" t="s">
        <v>1125</v>
      </c>
      <c r="R128" s="921">
        <v>1264</v>
      </c>
      <c r="S128" s="923">
        <v>4</v>
      </c>
    </row>
    <row r="129" spans="1:19" s="878" customFormat="1">
      <c r="A129" s="882">
        <v>1265</v>
      </c>
      <c r="B129" s="878" t="s">
        <v>789</v>
      </c>
      <c r="C129" s="884">
        <v>10429</v>
      </c>
      <c r="D129" s="884">
        <v>1399</v>
      </c>
      <c r="E129" s="884">
        <v>169</v>
      </c>
      <c r="F129" s="884">
        <v>1568</v>
      </c>
      <c r="G129" s="884">
        <v>11</v>
      </c>
      <c r="H129" s="884">
        <v>4</v>
      </c>
      <c r="I129" s="884">
        <v>949</v>
      </c>
      <c r="J129" s="884">
        <v>216</v>
      </c>
      <c r="K129" s="884">
        <v>1641</v>
      </c>
      <c r="L129" s="884">
        <v>80</v>
      </c>
      <c r="M129" s="884">
        <v>2887</v>
      </c>
      <c r="N129" s="884"/>
      <c r="Q129" s="921" t="s">
        <v>1126</v>
      </c>
      <c r="R129" s="921">
        <v>1265</v>
      </c>
      <c r="S129" s="923">
        <v>4</v>
      </c>
    </row>
    <row r="130" spans="1:19" s="894" customFormat="1">
      <c r="A130" s="882">
        <v>1266</v>
      </c>
      <c r="B130" s="895" t="s">
        <v>790</v>
      </c>
      <c r="C130" s="884">
        <v>8403</v>
      </c>
      <c r="D130" s="884">
        <v>1010</v>
      </c>
      <c r="E130" s="884">
        <v>230</v>
      </c>
      <c r="F130" s="884">
        <v>1240</v>
      </c>
      <c r="G130" s="884">
        <v>23</v>
      </c>
      <c r="H130" s="884">
        <v>4</v>
      </c>
      <c r="I130" s="884">
        <v>735</v>
      </c>
      <c r="J130" s="884">
        <v>182</v>
      </c>
      <c r="K130" s="884">
        <v>1767</v>
      </c>
      <c r="L130" s="884">
        <v>67</v>
      </c>
      <c r="M130" s="884">
        <v>2223</v>
      </c>
      <c r="N130" s="884"/>
      <c r="Q130" s="921" t="s">
        <v>1127</v>
      </c>
      <c r="R130" s="921">
        <v>1266</v>
      </c>
      <c r="S130" s="923">
        <v>4</v>
      </c>
    </row>
    <row r="131" spans="1:19" s="878" customFormat="1">
      <c r="A131" s="882">
        <v>1267</v>
      </c>
      <c r="B131" s="878" t="s">
        <v>791</v>
      </c>
      <c r="C131" s="884">
        <v>8187</v>
      </c>
      <c r="D131" s="884">
        <v>810</v>
      </c>
      <c r="E131" s="884">
        <v>175</v>
      </c>
      <c r="F131" s="884">
        <v>985</v>
      </c>
      <c r="G131" s="884">
        <v>9</v>
      </c>
      <c r="H131" s="884">
        <v>16</v>
      </c>
      <c r="I131" s="884">
        <v>691</v>
      </c>
      <c r="J131" s="884">
        <v>182</v>
      </c>
      <c r="K131" s="884">
        <v>805</v>
      </c>
      <c r="L131" s="884">
        <v>78</v>
      </c>
      <c r="M131" s="884">
        <v>2019</v>
      </c>
      <c r="N131" s="884"/>
      <c r="Q131" s="921" t="s">
        <v>1128</v>
      </c>
      <c r="R131" s="921">
        <v>1267</v>
      </c>
      <c r="S131" s="923">
        <v>4</v>
      </c>
    </row>
    <row r="132" spans="1:19" s="878" customFormat="1">
      <c r="A132" s="882">
        <v>1270</v>
      </c>
      <c r="B132" s="878" t="s">
        <v>792</v>
      </c>
      <c r="C132" s="884">
        <v>7342</v>
      </c>
      <c r="D132" s="884">
        <v>977</v>
      </c>
      <c r="E132" s="884">
        <v>171</v>
      </c>
      <c r="F132" s="884">
        <v>1148</v>
      </c>
      <c r="G132" s="884">
        <v>15</v>
      </c>
      <c r="H132" s="884">
        <v>3</v>
      </c>
      <c r="I132" s="884">
        <v>541</v>
      </c>
      <c r="J132" s="884">
        <v>170</v>
      </c>
      <c r="K132" s="884">
        <v>1544</v>
      </c>
      <c r="L132" s="884">
        <v>36</v>
      </c>
      <c r="M132" s="884">
        <v>1887</v>
      </c>
      <c r="N132" s="884"/>
      <c r="Q132" s="921" t="s">
        <v>1129</v>
      </c>
      <c r="R132" s="921">
        <v>1270</v>
      </c>
      <c r="S132" s="923">
        <v>4</v>
      </c>
    </row>
    <row r="133" spans="1:19" s="878" customFormat="1">
      <c r="A133" s="882">
        <v>1272</v>
      </c>
      <c r="B133" s="878" t="s">
        <v>793</v>
      </c>
      <c r="C133" s="884">
        <v>6282</v>
      </c>
      <c r="D133" s="884">
        <v>561</v>
      </c>
      <c r="E133" s="884">
        <v>54</v>
      </c>
      <c r="F133" s="884">
        <v>615</v>
      </c>
      <c r="G133" s="884">
        <v>3</v>
      </c>
      <c r="H133" s="884">
        <v>5</v>
      </c>
      <c r="I133" s="884">
        <v>574</v>
      </c>
      <c r="J133" s="884">
        <v>161</v>
      </c>
      <c r="K133" s="884">
        <v>495</v>
      </c>
      <c r="L133" s="884">
        <v>39</v>
      </c>
      <c r="M133" s="884">
        <v>1849</v>
      </c>
      <c r="N133" s="884"/>
      <c r="Q133" s="921" t="s">
        <v>1130</v>
      </c>
      <c r="R133" s="921">
        <v>1272</v>
      </c>
      <c r="S133" s="923">
        <v>4</v>
      </c>
    </row>
    <row r="134" spans="1:19" s="878" customFormat="1">
      <c r="A134" s="882">
        <v>1273</v>
      </c>
      <c r="B134" s="878" t="s">
        <v>794</v>
      </c>
      <c r="C134" s="884">
        <v>6794</v>
      </c>
      <c r="D134" s="884">
        <v>636</v>
      </c>
      <c r="E134" s="884">
        <v>100</v>
      </c>
      <c r="F134" s="884">
        <v>736</v>
      </c>
      <c r="G134" s="884">
        <v>8</v>
      </c>
      <c r="H134" s="884">
        <v>8</v>
      </c>
      <c r="I134" s="884">
        <v>556</v>
      </c>
      <c r="J134" s="884">
        <v>126</v>
      </c>
      <c r="K134" s="884">
        <v>1006</v>
      </c>
      <c r="L134" s="884">
        <v>105</v>
      </c>
      <c r="M134" s="884">
        <v>2070</v>
      </c>
      <c r="N134" s="884"/>
      <c r="Q134" s="921" t="s">
        <v>1131</v>
      </c>
      <c r="R134" s="921">
        <v>1273</v>
      </c>
      <c r="S134" s="923">
        <v>4</v>
      </c>
    </row>
    <row r="135" spans="1:19" s="878" customFormat="1" ht="13.5" customHeight="1">
      <c r="A135" s="882">
        <v>1275</v>
      </c>
      <c r="B135" s="895" t="s">
        <v>795</v>
      </c>
      <c r="C135" s="884">
        <v>3230</v>
      </c>
      <c r="D135" s="884">
        <v>347</v>
      </c>
      <c r="E135" s="884">
        <v>56</v>
      </c>
      <c r="F135" s="884">
        <v>403</v>
      </c>
      <c r="G135" s="884">
        <v>1</v>
      </c>
      <c r="H135" s="884">
        <v>0</v>
      </c>
      <c r="I135" s="884">
        <v>252</v>
      </c>
      <c r="J135" s="884">
        <v>49</v>
      </c>
      <c r="K135" s="884">
        <v>374</v>
      </c>
      <c r="L135" s="884">
        <v>35</v>
      </c>
      <c r="M135" s="884">
        <v>861</v>
      </c>
      <c r="N135" s="884"/>
      <c r="Q135" s="921" t="s">
        <v>1132</v>
      </c>
      <c r="R135" s="921">
        <v>1275</v>
      </c>
      <c r="S135" s="923">
        <v>4</v>
      </c>
    </row>
    <row r="136" spans="1:19" s="894" customFormat="1" ht="13.5" customHeight="1">
      <c r="A136" s="882">
        <v>1276</v>
      </c>
      <c r="B136" s="878" t="s">
        <v>796</v>
      </c>
      <c r="C136" s="884">
        <v>8950</v>
      </c>
      <c r="D136" s="884">
        <v>977</v>
      </c>
      <c r="E136" s="884">
        <v>413</v>
      </c>
      <c r="F136" s="884">
        <v>1390</v>
      </c>
      <c r="G136" s="884">
        <v>208</v>
      </c>
      <c r="H136" s="884">
        <v>21</v>
      </c>
      <c r="I136" s="884">
        <v>795</v>
      </c>
      <c r="J136" s="884">
        <v>180</v>
      </c>
      <c r="K136" s="884">
        <v>946</v>
      </c>
      <c r="L136" s="884">
        <v>81</v>
      </c>
      <c r="M136" s="884">
        <v>2986</v>
      </c>
      <c r="N136" s="884"/>
      <c r="Q136" s="921" t="s">
        <v>1133</v>
      </c>
      <c r="R136" s="921">
        <v>1276</v>
      </c>
      <c r="S136" s="923">
        <v>4</v>
      </c>
    </row>
    <row r="137" spans="1:19" s="894" customFormat="1">
      <c r="A137" s="882">
        <v>1277</v>
      </c>
      <c r="B137" s="878" t="s">
        <v>797</v>
      </c>
      <c r="C137" s="884">
        <v>7250</v>
      </c>
      <c r="D137" s="884">
        <v>632</v>
      </c>
      <c r="E137" s="884">
        <v>158</v>
      </c>
      <c r="F137" s="884">
        <v>790</v>
      </c>
      <c r="G137" s="884">
        <v>36</v>
      </c>
      <c r="H137" s="884">
        <v>9</v>
      </c>
      <c r="I137" s="884">
        <v>494</v>
      </c>
      <c r="J137" s="884">
        <v>132</v>
      </c>
      <c r="K137" s="884">
        <v>397</v>
      </c>
      <c r="L137" s="884">
        <v>12</v>
      </c>
      <c r="M137" s="884">
        <v>1392</v>
      </c>
      <c r="N137" s="884"/>
      <c r="Q137" s="921" t="s">
        <v>1134</v>
      </c>
      <c r="R137" s="921">
        <v>1277</v>
      </c>
      <c r="S137" s="923">
        <v>4</v>
      </c>
    </row>
    <row r="138" spans="1:19" s="878" customFormat="1">
      <c r="A138" s="882">
        <v>1278</v>
      </c>
      <c r="B138" s="878" t="s">
        <v>798</v>
      </c>
      <c r="C138" s="884">
        <v>8282</v>
      </c>
      <c r="D138" s="884">
        <v>995</v>
      </c>
      <c r="E138" s="884">
        <v>199</v>
      </c>
      <c r="F138" s="884">
        <v>1194</v>
      </c>
      <c r="G138" s="884">
        <v>24</v>
      </c>
      <c r="H138" s="884">
        <v>10</v>
      </c>
      <c r="I138" s="884">
        <v>551</v>
      </c>
      <c r="J138" s="884">
        <v>316</v>
      </c>
      <c r="K138" s="884">
        <v>1334</v>
      </c>
      <c r="L138" s="884">
        <v>73</v>
      </c>
      <c r="M138" s="884">
        <v>2610</v>
      </c>
      <c r="N138" s="884"/>
      <c r="Q138" s="921" t="s">
        <v>1135</v>
      </c>
      <c r="R138" s="921">
        <v>1278</v>
      </c>
      <c r="S138" s="923">
        <v>4</v>
      </c>
    </row>
    <row r="139" spans="1:19" s="894" customFormat="1">
      <c r="A139" s="882">
        <v>1280</v>
      </c>
      <c r="B139" s="878" t="s">
        <v>799</v>
      </c>
      <c r="C139" s="884">
        <v>117991</v>
      </c>
      <c r="D139" s="884">
        <v>11317</v>
      </c>
      <c r="E139" s="884">
        <v>2160</v>
      </c>
      <c r="F139" s="884">
        <v>13477</v>
      </c>
      <c r="G139" s="884">
        <v>228</v>
      </c>
      <c r="H139" s="884">
        <v>324</v>
      </c>
      <c r="I139" s="884">
        <v>4296</v>
      </c>
      <c r="J139" s="884">
        <v>1235</v>
      </c>
      <c r="K139" s="884">
        <v>1051</v>
      </c>
      <c r="L139" s="884">
        <v>259</v>
      </c>
      <c r="M139" s="884">
        <v>10095</v>
      </c>
      <c r="N139" s="884"/>
      <c r="Q139" s="921" t="s">
        <v>1136</v>
      </c>
      <c r="R139" s="921">
        <v>1280</v>
      </c>
      <c r="S139" s="923">
        <v>4</v>
      </c>
    </row>
    <row r="140" spans="1:19" s="878" customFormat="1">
      <c r="A140" s="882">
        <v>1281</v>
      </c>
      <c r="B140" s="878" t="s">
        <v>800</v>
      </c>
      <c r="C140" s="884">
        <v>40837</v>
      </c>
      <c r="D140" s="884">
        <v>2632</v>
      </c>
      <c r="E140" s="884">
        <v>427</v>
      </c>
      <c r="F140" s="884">
        <v>3059</v>
      </c>
      <c r="G140" s="884">
        <v>38</v>
      </c>
      <c r="H140" s="884">
        <v>209</v>
      </c>
      <c r="I140" s="884">
        <v>2405</v>
      </c>
      <c r="J140" s="884">
        <v>497</v>
      </c>
      <c r="K140" s="884">
        <v>1404</v>
      </c>
      <c r="L140" s="884">
        <v>108</v>
      </c>
      <c r="M140" s="884">
        <v>4634</v>
      </c>
      <c r="N140" s="884"/>
      <c r="Q140" s="921" t="s">
        <v>1137</v>
      </c>
      <c r="R140" s="921">
        <v>1281</v>
      </c>
      <c r="S140" s="923">
        <v>4</v>
      </c>
    </row>
    <row r="141" spans="1:19" s="878" customFormat="1">
      <c r="A141" s="882">
        <v>1282</v>
      </c>
      <c r="B141" s="878" t="s">
        <v>801</v>
      </c>
      <c r="C141" s="884">
        <v>16634</v>
      </c>
      <c r="D141" s="884">
        <v>1413</v>
      </c>
      <c r="E141" s="884">
        <v>215</v>
      </c>
      <c r="F141" s="884">
        <v>1628</v>
      </c>
      <c r="G141" s="884">
        <v>13</v>
      </c>
      <c r="H141" s="884">
        <v>12</v>
      </c>
      <c r="I141" s="884">
        <v>1046</v>
      </c>
      <c r="J141" s="884">
        <v>345</v>
      </c>
      <c r="K141" s="884">
        <v>525</v>
      </c>
      <c r="L141" s="884">
        <v>39</v>
      </c>
      <c r="M141" s="884">
        <v>2249</v>
      </c>
      <c r="N141" s="884"/>
      <c r="Q141" s="921" t="s">
        <v>1138</v>
      </c>
      <c r="R141" s="921">
        <v>1282</v>
      </c>
      <c r="S141" s="923">
        <v>4</v>
      </c>
    </row>
    <row r="142" spans="1:19" s="894" customFormat="1">
      <c r="A142" s="882">
        <v>1283</v>
      </c>
      <c r="B142" s="878" t="s">
        <v>802</v>
      </c>
      <c r="C142" s="884">
        <v>55820</v>
      </c>
      <c r="D142" s="884">
        <v>6219</v>
      </c>
      <c r="E142" s="884">
        <v>1489</v>
      </c>
      <c r="F142" s="884">
        <v>7708</v>
      </c>
      <c r="G142" s="884">
        <v>490</v>
      </c>
      <c r="H142" s="884">
        <v>423</v>
      </c>
      <c r="I142" s="884">
        <v>3123</v>
      </c>
      <c r="J142" s="884">
        <v>1112</v>
      </c>
      <c r="K142" s="884">
        <v>1267</v>
      </c>
      <c r="L142" s="884">
        <v>142</v>
      </c>
      <c r="M142" s="884">
        <v>12666</v>
      </c>
      <c r="N142" s="884"/>
      <c r="Q142" s="921" t="s">
        <v>1139</v>
      </c>
      <c r="R142" s="921">
        <v>1283</v>
      </c>
      <c r="S142" s="923">
        <v>4</v>
      </c>
    </row>
    <row r="143" spans="1:19" s="878" customFormat="1">
      <c r="A143" s="882">
        <v>1284</v>
      </c>
      <c r="B143" s="878" t="s">
        <v>803</v>
      </c>
      <c r="C143" s="884">
        <v>12742</v>
      </c>
      <c r="D143" s="884">
        <v>1006</v>
      </c>
      <c r="E143" s="884">
        <v>143</v>
      </c>
      <c r="F143" s="884">
        <v>1149</v>
      </c>
      <c r="G143" s="884">
        <v>36</v>
      </c>
      <c r="H143" s="884">
        <v>3</v>
      </c>
      <c r="I143" s="884">
        <v>878</v>
      </c>
      <c r="J143" s="884">
        <v>251</v>
      </c>
      <c r="K143" s="884">
        <v>692</v>
      </c>
      <c r="L143" s="884">
        <v>50</v>
      </c>
      <c r="M143" s="884">
        <v>2041</v>
      </c>
      <c r="N143" s="884"/>
      <c r="Q143" s="921" t="s">
        <v>1140</v>
      </c>
      <c r="R143" s="921">
        <v>1284</v>
      </c>
      <c r="S143" s="923">
        <v>4</v>
      </c>
    </row>
    <row r="144" spans="1:19" s="894" customFormat="1">
      <c r="A144" s="882">
        <v>1285</v>
      </c>
      <c r="B144" s="895" t="s">
        <v>804</v>
      </c>
      <c r="C144" s="884">
        <v>15372</v>
      </c>
      <c r="D144" s="884">
        <v>1398</v>
      </c>
      <c r="E144" s="884">
        <v>289</v>
      </c>
      <c r="F144" s="884">
        <v>1687</v>
      </c>
      <c r="G144" s="884">
        <v>56</v>
      </c>
      <c r="H144" s="884">
        <v>33</v>
      </c>
      <c r="I144" s="884">
        <v>1221</v>
      </c>
      <c r="J144" s="884">
        <v>332</v>
      </c>
      <c r="K144" s="884">
        <v>1525</v>
      </c>
      <c r="L144" s="884">
        <v>73</v>
      </c>
      <c r="M144" s="884">
        <v>3182</v>
      </c>
      <c r="N144" s="884"/>
      <c r="Q144" s="921" t="s">
        <v>1141</v>
      </c>
      <c r="R144" s="921">
        <v>1285</v>
      </c>
      <c r="S144" s="923">
        <v>4</v>
      </c>
    </row>
    <row r="145" spans="1:20" s="894" customFormat="1">
      <c r="A145" s="882">
        <v>1286</v>
      </c>
      <c r="B145" s="878" t="s">
        <v>805</v>
      </c>
      <c r="C145" s="884">
        <v>14375</v>
      </c>
      <c r="D145" s="884">
        <v>1410</v>
      </c>
      <c r="E145" s="884">
        <v>220</v>
      </c>
      <c r="F145" s="884">
        <v>1630</v>
      </c>
      <c r="G145" s="884">
        <v>26</v>
      </c>
      <c r="H145" s="884">
        <v>108</v>
      </c>
      <c r="I145" s="884">
        <v>976</v>
      </c>
      <c r="J145" s="884">
        <v>392</v>
      </c>
      <c r="K145" s="884">
        <v>1144</v>
      </c>
      <c r="L145" s="884">
        <v>65</v>
      </c>
      <c r="M145" s="884">
        <v>2446</v>
      </c>
      <c r="N145" s="884"/>
      <c r="Q145" s="921" t="s">
        <v>1142</v>
      </c>
      <c r="R145" s="921">
        <v>1286</v>
      </c>
      <c r="S145" s="923">
        <v>4</v>
      </c>
    </row>
    <row r="146" spans="1:20" s="878" customFormat="1">
      <c r="A146" s="882">
        <v>1287</v>
      </c>
      <c r="B146" s="878" t="s">
        <v>806</v>
      </c>
      <c r="C146" s="884">
        <v>21120</v>
      </c>
      <c r="D146" s="884">
        <v>1808</v>
      </c>
      <c r="E146" s="884">
        <v>339</v>
      </c>
      <c r="F146" s="884">
        <v>2147</v>
      </c>
      <c r="G146" s="884">
        <v>118</v>
      </c>
      <c r="H146" s="884">
        <v>33</v>
      </c>
      <c r="I146" s="884">
        <v>1678</v>
      </c>
      <c r="J146" s="884">
        <v>441</v>
      </c>
      <c r="K146" s="884">
        <v>1297</v>
      </c>
      <c r="L146" s="884">
        <v>42</v>
      </c>
      <c r="M146" s="884">
        <v>3262</v>
      </c>
      <c r="N146" s="884"/>
      <c r="Q146" s="921" t="s">
        <v>1143</v>
      </c>
      <c r="R146" s="921">
        <v>1287</v>
      </c>
      <c r="S146" s="923">
        <v>4</v>
      </c>
    </row>
    <row r="147" spans="1:20" s="878" customFormat="1">
      <c r="A147" s="882">
        <v>1290</v>
      </c>
      <c r="B147" s="878" t="s">
        <v>807</v>
      </c>
      <c r="C147" s="884">
        <v>38231</v>
      </c>
      <c r="D147" s="884">
        <v>3620</v>
      </c>
      <c r="E147" s="884">
        <v>812</v>
      </c>
      <c r="F147" s="884">
        <v>4432</v>
      </c>
      <c r="G147" s="884">
        <v>69</v>
      </c>
      <c r="H147" s="884">
        <v>127</v>
      </c>
      <c r="I147" s="884">
        <v>2850</v>
      </c>
      <c r="J147" s="884">
        <v>747</v>
      </c>
      <c r="K147" s="884">
        <v>3394</v>
      </c>
      <c r="L147" s="884">
        <v>209</v>
      </c>
      <c r="M147" s="884">
        <v>8783</v>
      </c>
      <c r="N147" s="884"/>
      <c r="Q147" s="921" t="s">
        <v>1144</v>
      </c>
      <c r="R147" s="921">
        <v>1290</v>
      </c>
      <c r="S147" s="923">
        <v>4</v>
      </c>
    </row>
    <row r="148" spans="1:20" s="878" customFormat="1">
      <c r="A148" s="882">
        <v>1291</v>
      </c>
      <c r="B148" s="878" t="s">
        <v>808</v>
      </c>
      <c r="C148" s="884">
        <v>10509</v>
      </c>
      <c r="D148" s="884">
        <v>1295</v>
      </c>
      <c r="E148" s="884">
        <v>212</v>
      </c>
      <c r="F148" s="884">
        <v>1507</v>
      </c>
      <c r="G148" s="884">
        <v>23</v>
      </c>
      <c r="H148" s="884">
        <v>15</v>
      </c>
      <c r="I148" s="884">
        <v>806</v>
      </c>
      <c r="J148" s="884">
        <v>330</v>
      </c>
      <c r="K148" s="884">
        <v>1624</v>
      </c>
      <c r="L148" s="884">
        <v>45</v>
      </c>
      <c r="M148" s="884">
        <v>2431</v>
      </c>
      <c r="N148" s="884"/>
      <c r="Q148" s="921" t="s">
        <v>1145</v>
      </c>
      <c r="R148" s="921">
        <v>1291</v>
      </c>
      <c r="S148" s="923">
        <v>4</v>
      </c>
    </row>
    <row r="149" spans="1:20" s="878" customFormat="1">
      <c r="A149" s="882">
        <v>1292</v>
      </c>
      <c r="B149" s="895" t="s">
        <v>809</v>
      </c>
      <c r="C149" s="884">
        <v>20813</v>
      </c>
      <c r="D149" s="884">
        <v>1903</v>
      </c>
      <c r="E149" s="884">
        <v>1103</v>
      </c>
      <c r="F149" s="884">
        <v>3006</v>
      </c>
      <c r="G149" s="884">
        <v>53</v>
      </c>
      <c r="H149" s="884">
        <v>9</v>
      </c>
      <c r="I149" s="884">
        <v>1645</v>
      </c>
      <c r="J149" s="884">
        <v>426</v>
      </c>
      <c r="K149" s="884">
        <v>1691</v>
      </c>
      <c r="L149" s="884">
        <v>131</v>
      </c>
      <c r="M149" s="884">
        <v>4233</v>
      </c>
      <c r="N149" s="884"/>
      <c r="Q149" s="921" t="s">
        <v>1146</v>
      </c>
      <c r="R149" s="921">
        <v>1292</v>
      </c>
      <c r="S149" s="923">
        <v>4</v>
      </c>
    </row>
    <row r="150" spans="1:20" s="878" customFormat="1">
      <c r="A150" s="882">
        <v>1293</v>
      </c>
      <c r="B150" s="895" t="s">
        <v>810</v>
      </c>
      <c r="C150" s="884">
        <v>25799</v>
      </c>
      <c r="D150" s="884">
        <v>2664</v>
      </c>
      <c r="E150" s="884">
        <v>669</v>
      </c>
      <c r="F150" s="884">
        <v>3333</v>
      </c>
      <c r="G150" s="884">
        <v>56</v>
      </c>
      <c r="H150" s="884">
        <v>32</v>
      </c>
      <c r="I150" s="884">
        <v>1901</v>
      </c>
      <c r="J150" s="884">
        <v>447</v>
      </c>
      <c r="K150" s="884">
        <v>3542</v>
      </c>
      <c r="L150" s="884">
        <v>251</v>
      </c>
      <c r="M150" s="884">
        <v>7396</v>
      </c>
      <c r="N150" s="884"/>
      <c r="Q150" s="921" t="s">
        <v>1147</v>
      </c>
      <c r="R150" s="921">
        <v>1293</v>
      </c>
      <c r="S150" s="923">
        <v>4</v>
      </c>
    </row>
    <row r="151" spans="1:20" s="894" customFormat="1" ht="12">
      <c r="A151" s="882" t="s">
        <v>811</v>
      </c>
      <c r="B151" s="878" t="s">
        <v>696</v>
      </c>
      <c r="C151" s="884">
        <v>0</v>
      </c>
      <c r="D151" s="884">
        <v>2</v>
      </c>
      <c r="E151" s="884">
        <v>1</v>
      </c>
      <c r="F151" s="884">
        <v>3</v>
      </c>
      <c r="G151" s="884">
        <v>0</v>
      </c>
      <c r="H151" s="884">
        <v>0</v>
      </c>
      <c r="I151" s="884">
        <v>0</v>
      </c>
      <c r="J151" s="884">
        <v>0</v>
      </c>
      <c r="K151" s="884">
        <v>0</v>
      </c>
      <c r="L151" s="884">
        <v>0</v>
      </c>
      <c r="M151" s="884">
        <v>1</v>
      </c>
      <c r="N151" s="884"/>
      <c r="S151" s="924">
        <v>4</v>
      </c>
    </row>
    <row r="152" spans="1:20" s="894" customFormat="1" ht="12">
      <c r="A152" s="890"/>
      <c r="B152" s="891" t="s">
        <v>812</v>
      </c>
      <c r="C152" s="892">
        <v>574107</v>
      </c>
      <c r="D152" s="892">
        <v>53275</v>
      </c>
      <c r="E152" s="892">
        <v>11791</v>
      </c>
      <c r="F152" s="892">
        <v>65066</v>
      </c>
      <c r="G152" s="892">
        <v>1962</v>
      </c>
      <c r="H152" s="892">
        <v>1525</v>
      </c>
      <c r="I152" s="892">
        <v>37133</v>
      </c>
      <c r="J152" s="892">
        <v>10607</v>
      </c>
      <c r="K152" s="892">
        <v>36174</v>
      </c>
      <c r="L152" s="892">
        <v>2523</v>
      </c>
      <c r="M152" s="892">
        <v>103081</v>
      </c>
      <c r="N152" s="892"/>
      <c r="S152" s="894" t="s">
        <v>1312</v>
      </c>
      <c r="T152" s="1104">
        <v>4</v>
      </c>
    </row>
    <row r="153" spans="1:20" s="878" customFormat="1">
      <c r="A153" s="882">
        <v>1315</v>
      </c>
      <c r="B153" s="895" t="s">
        <v>813</v>
      </c>
      <c r="C153" s="884">
        <v>5415</v>
      </c>
      <c r="D153" s="884">
        <v>668</v>
      </c>
      <c r="E153" s="884">
        <v>104</v>
      </c>
      <c r="F153" s="884">
        <v>772</v>
      </c>
      <c r="G153" s="884">
        <v>8</v>
      </c>
      <c r="H153" s="884">
        <v>14</v>
      </c>
      <c r="I153" s="884">
        <v>466</v>
      </c>
      <c r="J153" s="884">
        <v>204</v>
      </c>
      <c r="K153" s="884">
        <v>1039</v>
      </c>
      <c r="L153" s="884">
        <v>169</v>
      </c>
      <c r="M153" s="884">
        <v>1747</v>
      </c>
      <c r="N153" s="884"/>
      <c r="Q153" s="921" t="s">
        <v>1148</v>
      </c>
      <c r="R153" s="921">
        <v>1315</v>
      </c>
      <c r="S153" s="922">
        <v>3</v>
      </c>
    </row>
    <row r="154" spans="1:20" s="878" customFormat="1">
      <c r="A154" s="882">
        <v>1380</v>
      </c>
      <c r="B154" s="878" t="s">
        <v>814</v>
      </c>
      <c r="C154" s="884">
        <v>43742</v>
      </c>
      <c r="D154" s="884">
        <v>4292</v>
      </c>
      <c r="E154" s="884">
        <v>797</v>
      </c>
      <c r="F154" s="884">
        <v>5089</v>
      </c>
      <c r="G154" s="884">
        <v>105</v>
      </c>
      <c r="H154" s="884">
        <v>29</v>
      </c>
      <c r="I154" s="884">
        <v>3062</v>
      </c>
      <c r="J154" s="884">
        <v>1051</v>
      </c>
      <c r="K154" s="884">
        <v>2106</v>
      </c>
      <c r="L154" s="884">
        <v>328</v>
      </c>
      <c r="M154" s="884">
        <v>7193</v>
      </c>
      <c r="N154" s="884"/>
      <c r="Q154" s="921" t="s">
        <v>1149</v>
      </c>
      <c r="R154" s="921">
        <v>1380</v>
      </c>
      <c r="S154" s="922">
        <v>3</v>
      </c>
    </row>
    <row r="155" spans="1:20" s="878" customFormat="1">
      <c r="A155" s="882">
        <v>1381</v>
      </c>
      <c r="B155" s="878" t="s">
        <v>815</v>
      </c>
      <c r="C155" s="884">
        <v>13881</v>
      </c>
      <c r="D155" s="884">
        <v>1759</v>
      </c>
      <c r="E155" s="884">
        <v>331</v>
      </c>
      <c r="F155" s="884">
        <v>2090</v>
      </c>
      <c r="G155" s="884">
        <v>37</v>
      </c>
      <c r="H155" s="884">
        <v>24</v>
      </c>
      <c r="I155" s="884">
        <v>1166</v>
      </c>
      <c r="J155" s="884">
        <v>459</v>
      </c>
      <c r="K155" s="884">
        <v>2547</v>
      </c>
      <c r="L155" s="884">
        <v>191</v>
      </c>
      <c r="M155" s="884">
        <v>3543</v>
      </c>
      <c r="N155" s="884"/>
      <c r="Q155" s="921" t="s">
        <v>1150</v>
      </c>
      <c r="R155" s="921">
        <v>1381</v>
      </c>
      <c r="S155" s="922">
        <v>3</v>
      </c>
    </row>
    <row r="156" spans="1:20" s="878" customFormat="1">
      <c r="A156" s="882">
        <v>1382</v>
      </c>
      <c r="B156" s="878" t="s">
        <v>816</v>
      </c>
      <c r="C156" s="884">
        <v>21227</v>
      </c>
      <c r="D156" s="884">
        <v>2606</v>
      </c>
      <c r="E156" s="884">
        <v>485</v>
      </c>
      <c r="F156" s="884">
        <v>3091</v>
      </c>
      <c r="G156" s="884">
        <v>135</v>
      </c>
      <c r="H156" s="884">
        <v>21</v>
      </c>
      <c r="I156" s="884">
        <v>1594</v>
      </c>
      <c r="J156" s="884">
        <v>722</v>
      </c>
      <c r="K156" s="884">
        <v>2631</v>
      </c>
      <c r="L156" s="884">
        <v>223</v>
      </c>
      <c r="M156" s="884">
        <v>4714</v>
      </c>
      <c r="N156" s="884"/>
      <c r="Q156" s="921" t="s">
        <v>1151</v>
      </c>
      <c r="R156" s="921">
        <v>1382</v>
      </c>
      <c r="S156" s="922">
        <v>3</v>
      </c>
    </row>
    <row r="157" spans="1:20" s="878" customFormat="1">
      <c r="A157" s="882">
        <v>1383</v>
      </c>
      <c r="B157" s="878" t="s">
        <v>817</v>
      </c>
      <c r="C157" s="884">
        <v>29816</v>
      </c>
      <c r="D157" s="884">
        <v>3228</v>
      </c>
      <c r="E157" s="884">
        <v>750</v>
      </c>
      <c r="F157" s="884">
        <v>3978</v>
      </c>
      <c r="G157" s="884">
        <v>274</v>
      </c>
      <c r="H157" s="884">
        <v>82</v>
      </c>
      <c r="I157" s="884">
        <v>2376</v>
      </c>
      <c r="J157" s="884">
        <v>984</v>
      </c>
      <c r="K157" s="884">
        <v>3124</v>
      </c>
      <c r="L157" s="884">
        <v>291</v>
      </c>
      <c r="M157" s="884">
        <v>5877</v>
      </c>
      <c r="N157" s="884"/>
      <c r="Q157" s="921" t="s">
        <v>1152</v>
      </c>
      <c r="R157" s="921">
        <v>1383</v>
      </c>
      <c r="S157" s="922">
        <v>3</v>
      </c>
    </row>
    <row r="158" spans="1:20" s="878" customFormat="1">
      <c r="A158" s="882">
        <v>1384</v>
      </c>
      <c r="B158" s="878" t="s">
        <v>818</v>
      </c>
      <c r="C158" s="884">
        <v>38505</v>
      </c>
      <c r="D158" s="884">
        <v>3161</v>
      </c>
      <c r="E158" s="884">
        <v>502</v>
      </c>
      <c r="F158" s="884">
        <v>3663</v>
      </c>
      <c r="G158" s="884">
        <v>60</v>
      </c>
      <c r="H158" s="884">
        <v>56</v>
      </c>
      <c r="I158" s="884">
        <v>2785</v>
      </c>
      <c r="J158" s="884">
        <v>1239</v>
      </c>
      <c r="K158" s="884">
        <v>1870</v>
      </c>
      <c r="L158" s="884">
        <v>411</v>
      </c>
      <c r="M158" s="884">
        <v>6544</v>
      </c>
      <c r="N158" s="884"/>
      <c r="Q158" s="921" t="s">
        <v>1153</v>
      </c>
      <c r="R158" s="921">
        <v>1384</v>
      </c>
      <c r="S158" s="922">
        <v>3</v>
      </c>
    </row>
    <row r="159" spans="1:20" s="894" customFormat="1" ht="12">
      <c r="A159" s="890"/>
      <c r="B159" s="891" t="s">
        <v>819</v>
      </c>
      <c r="C159" s="892">
        <v>152586</v>
      </c>
      <c r="D159" s="892">
        <v>15714</v>
      </c>
      <c r="E159" s="892">
        <v>2969</v>
      </c>
      <c r="F159" s="892">
        <v>18683</v>
      </c>
      <c r="G159" s="892">
        <v>619</v>
      </c>
      <c r="H159" s="892">
        <v>226</v>
      </c>
      <c r="I159" s="892">
        <v>11449</v>
      </c>
      <c r="J159" s="892">
        <v>4659</v>
      </c>
      <c r="K159" s="892">
        <v>13317</v>
      </c>
      <c r="L159" s="892">
        <v>1613</v>
      </c>
      <c r="M159" s="892">
        <v>29618</v>
      </c>
      <c r="N159" s="892"/>
      <c r="S159" s="894" t="s">
        <v>1312</v>
      </c>
      <c r="T159" s="1104">
        <v>3</v>
      </c>
    </row>
    <row r="160" spans="1:20" s="878" customFormat="1">
      <c r="A160" s="882">
        <v>1401</v>
      </c>
      <c r="B160" s="895" t="s">
        <v>820</v>
      </c>
      <c r="C160" s="884">
        <v>15977</v>
      </c>
      <c r="D160" s="884">
        <v>1341</v>
      </c>
      <c r="E160" s="884">
        <v>283</v>
      </c>
      <c r="F160" s="884">
        <v>1624</v>
      </c>
      <c r="G160" s="884">
        <v>50</v>
      </c>
      <c r="H160" s="884">
        <v>4</v>
      </c>
      <c r="I160" s="884">
        <v>1382</v>
      </c>
      <c r="J160" s="884">
        <v>402</v>
      </c>
      <c r="K160" s="884">
        <v>626</v>
      </c>
      <c r="L160" s="884">
        <v>223</v>
      </c>
      <c r="M160" s="884">
        <v>3065</v>
      </c>
      <c r="N160" s="884"/>
      <c r="Q160" s="921" t="s">
        <v>1154</v>
      </c>
      <c r="R160" s="921">
        <v>1401</v>
      </c>
      <c r="S160" s="922">
        <v>3</v>
      </c>
    </row>
    <row r="161" spans="1:19" s="878" customFormat="1">
      <c r="A161" s="882">
        <v>1402</v>
      </c>
      <c r="B161" s="878" t="s">
        <v>821</v>
      </c>
      <c r="C161" s="884">
        <v>14508</v>
      </c>
      <c r="D161" s="884">
        <v>861</v>
      </c>
      <c r="E161" s="884">
        <v>79</v>
      </c>
      <c r="F161" s="884">
        <v>940</v>
      </c>
      <c r="G161" s="884">
        <v>15</v>
      </c>
      <c r="H161" s="884">
        <v>39</v>
      </c>
      <c r="I161" s="884">
        <v>844</v>
      </c>
      <c r="J161" s="884">
        <v>236</v>
      </c>
      <c r="K161" s="884">
        <v>124</v>
      </c>
      <c r="L161" s="884">
        <v>72</v>
      </c>
      <c r="M161" s="884">
        <v>1663</v>
      </c>
      <c r="N161" s="884"/>
      <c r="Q161" s="921" t="s">
        <v>1155</v>
      </c>
      <c r="R161" s="921">
        <v>1402</v>
      </c>
      <c r="S161" s="922">
        <v>3</v>
      </c>
    </row>
    <row r="162" spans="1:19" s="878" customFormat="1">
      <c r="A162" s="882">
        <v>1407</v>
      </c>
      <c r="B162" s="878" t="s">
        <v>822</v>
      </c>
      <c r="C162" s="884">
        <v>5377</v>
      </c>
      <c r="D162" s="884">
        <v>517</v>
      </c>
      <c r="E162" s="884">
        <v>51</v>
      </c>
      <c r="F162" s="884">
        <v>568</v>
      </c>
      <c r="G162" s="884">
        <v>6</v>
      </c>
      <c r="H162" s="884">
        <v>2</v>
      </c>
      <c r="I162" s="884">
        <v>475</v>
      </c>
      <c r="J162" s="884">
        <v>380</v>
      </c>
      <c r="K162" s="884">
        <v>55</v>
      </c>
      <c r="L162" s="884">
        <v>54</v>
      </c>
      <c r="M162" s="884">
        <v>879</v>
      </c>
      <c r="N162" s="884"/>
      <c r="Q162" s="921" t="s">
        <v>1156</v>
      </c>
      <c r="R162" s="921">
        <v>1407</v>
      </c>
      <c r="S162" s="923">
        <v>3</v>
      </c>
    </row>
    <row r="163" spans="1:19" s="878" customFormat="1">
      <c r="A163" s="882">
        <v>1415</v>
      </c>
      <c r="B163" s="878" t="s">
        <v>823</v>
      </c>
      <c r="C163" s="884">
        <v>12530</v>
      </c>
      <c r="D163" s="884">
        <v>1317</v>
      </c>
      <c r="E163" s="884">
        <v>304</v>
      </c>
      <c r="F163" s="884">
        <v>1621</v>
      </c>
      <c r="G163" s="884">
        <v>64</v>
      </c>
      <c r="H163" s="884">
        <v>53</v>
      </c>
      <c r="I163" s="884">
        <v>847</v>
      </c>
      <c r="J163" s="884">
        <v>300</v>
      </c>
      <c r="K163" s="884">
        <v>902</v>
      </c>
      <c r="L163" s="884">
        <v>195</v>
      </c>
      <c r="M163" s="884">
        <v>2703</v>
      </c>
      <c r="N163" s="884"/>
      <c r="Q163" s="921" t="s">
        <v>1157</v>
      </c>
      <c r="R163" s="921">
        <v>1415</v>
      </c>
      <c r="S163" s="922">
        <v>3</v>
      </c>
    </row>
    <row r="164" spans="1:19" s="894" customFormat="1">
      <c r="A164" s="882">
        <v>1419</v>
      </c>
      <c r="B164" s="878" t="s">
        <v>824</v>
      </c>
      <c r="C164" s="884">
        <v>8425</v>
      </c>
      <c r="D164" s="884">
        <v>889</v>
      </c>
      <c r="E164" s="884">
        <v>173</v>
      </c>
      <c r="F164" s="884">
        <v>1062</v>
      </c>
      <c r="G164" s="884">
        <v>60</v>
      </c>
      <c r="H164" s="884">
        <v>33</v>
      </c>
      <c r="I164" s="884">
        <v>583</v>
      </c>
      <c r="J164" s="884">
        <v>322</v>
      </c>
      <c r="K164" s="884">
        <v>741</v>
      </c>
      <c r="L164" s="884">
        <v>107</v>
      </c>
      <c r="M164" s="884">
        <v>1907</v>
      </c>
      <c r="N164" s="884"/>
      <c r="Q164" s="921" t="s">
        <v>1158</v>
      </c>
      <c r="R164" s="921">
        <v>1419</v>
      </c>
      <c r="S164" s="922">
        <v>3</v>
      </c>
    </row>
    <row r="165" spans="1:19" s="878" customFormat="1">
      <c r="A165" s="882">
        <v>1421</v>
      </c>
      <c r="B165" s="878" t="s">
        <v>825</v>
      </c>
      <c r="C165" s="884">
        <v>8967</v>
      </c>
      <c r="D165" s="884">
        <v>1057</v>
      </c>
      <c r="E165" s="884">
        <v>221</v>
      </c>
      <c r="F165" s="884">
        <v>1278</v>
      </c>
      <c r="G165" s="884">
        <v>30</v>
      </c>
      <c r="H165" s="884">
        <v>62</v>
      </c>
      <c r="I165" s="884">
        <v>559</v>
      </c>
      <c r="J165" s="884">
        <v>298</v>
      </c>
      <c r="K165" s="884">
        <v>1529</v>
      </c>
      <c r="L165" s="884">
        <v>205</v>
      </c>
      <c r="M165" s="884">
        <v>2390</v>
      </c>
      <c r="N165" s="884"/>
      <c r="Q165" s="921" t="s">
        <v>1159</v>
      </c>
      <c r="R165" s="921">
        <v>1421</v>
      </c>
      <c r="S165" s="922">
        <v>3</v>
      </c>
    </row>
    <row r="166" spans="1:19" s="878" customFormat="1">
      <c r="A166" s="882">
        <v>1427</v>
      </c>
      <c r="B166" s="878" t="s">
        <v>826</v>
      </c>
      <c r="C166" s="884">
        <v>4808</v>
      </c>
      <c r="D166" s="884">
        <v>567</v>
      </c>
      <c r="E166" s="884">
        <v>79</v>
      </c>
      <c r="F166" s="884">
        <v>646</v>
      </c>
      <c r="G166" s="884">
        <v>6</v>
      </c>
      <c r="H166" s="884">
        <v>1</v>
      </c>
      <c r="I166" s="884">
        <v>397</v>
      </c>
      <c r="J166" s="884">
        <v>233</v>
      </c>
      <c r="K166" s="884">
        <v>267</v>
      </c>
      <c r="L166" s="884">
        <v>80</v>
      </c>
      <c r="M166" s="884">
        <v>1082</v>
      </c>
      <c r="N166" s="884"/>
      <c r="Q166" s="921" t="s">
        <v>1160</v>
      </c>
      <c r="R166" s="921">
        <v>1427</v>
      </c>
      <c r="S166" s="922">
        <v>3</v>
      </c>
    </row>
    <row r="167" spans="1:19" s="878" customFormat="1">
      <c r="A167" s="882">
        <v>1430</v>
      </c>
      <c r="B167" s="878" t="s">
        <v>827</v>
      </c>
      <c r="C167" s="884">
        <v>6038</v>
      </c>
      <c r="D167" s="884">
        <v>747</v>
      </c>
      <c r="E167" s="884">
        <v>137</v>
      </c>
      <c r="F167" s="884">
        <v>884</v>
      </c>
      <c r="G167" s="884">
        <v>35</v>
      </c>
      <c r="H167" s="884">
        <v>12</v>
      </c>
      <c r="I167" s="884">
        <v>481</v>
      </c>
      <c r="J167" s="884">
        <v>147</v>
      </c>
      <c r="K167" s="884">
        <v>1253</v>
      </c>
      <c r="L167" s="884">
        <v>194</v>
      </c>
      <c r="M167" s="884">
        <v>1915</v>
      </c>
      <c r="N167" s="884"/>
      <c r="Q167" s="921" t="s">
        <v>1161</v>
      </c>
      <c r="R167" s="921">
        <v>1430</v>
      </c>
      <c r="S167" s="922">
        <v>3</v>
      </c>
    </row>
    <row r="168" spans="1:19" s="878" customFormat="1">
      <c r="A168" s="882">
        <v>1435</v>
      </c>
      <c r="B168" s="878" t="s">
        <v>828</v>
      </c>
      <c r="C168" s="884">
        <v>7275</v>
      </c>
      <c r="D168" s="884">
        <v>989</v>
      </c>
      <c r="E168" s="884">
        <v>145</v>
      </c>
      <c r="F168" s="884">
        <v>1134</v>
      </c>
      <c r="G168" s="884">
        <v>23</v>
      </c>
      <c r="H168" s="884">
        <v>54</v>
      </c>
      <c r="I168" s="884">
        <v>569</v>
      </c>
      <c r="J168" s="884">
        <v>215</v>
      </c>
      <c r="K168" s="884">
        <v>1600</v>
      </c>
      <c r="L168" s="884">
        <v>222</v>
      </c>
      <c r="M168" s="884">
        <v>2074</v>
      </c>
      <c r="N168" s="884"/>
      <c r="Q168" s="921" t="s">
        <v>1162</v>
      </c>
      <c r="R168" s="921">
        <v>1435</v>
      </c>
      <c r="S168" s="922">
        <v>3</v>
      </c>
    </row>
    <row r="169" spans="1:19" s="878" customFormat="1">
      <c r="A169" s="882">
        <v>1438</v>
      </c>
      <c r="B169" s="878" t="s">
        <v>829</v>
      </c>
      <c r="C169" s="884">
        <v>2788</v>
      </c>
      <c r="D169" s="884">
        <v>379</v>
      </c>
      <c r="E169" s="884">
        <v>65</v>
      </c>
      <c r="F169" s="884">
        <v>444</v>
      </c>
      <c r="G169" s="884">
        <v>8</v>
      </c>
      <c r="H169" s="884">
        <v>10</v>
      </c>
      <c r="I169" s="884">
        <v>227</v>
      </c>
      <c r="J169" s="884">
        <v>48</v>
      </c>
      <c r="K169" s="884">
        <v>797</v>
      </c>
      <c r="L169" s="884">
        <v>109</v>
      </c>
      <c r="M169" s="884">
        <v>973</v>
      </c>
      <c r="N169" s="884"/>
      <c r="Q169" s="921" t="s">
        <v>1163</v>
      </c>
      <c r="R169" s="921">
        <v>1438</v>
      </c>
      <c r="S169" s="922">
        <v>3</v>
      </c>
    </row>
    <row r="170" spans="1:19" s="878" customFormat="1">
      <c r="A170" s="882">
        <v>1439</v>
      </c>
      <c r="B170" s="878" t="s">
        <v>830</v>
      </c>
      <c r="C170" s="884">
        <v>3740</v>
      </c>
      <c r="D170" s="884">
        <v>389</v>
      </c>
      <c r="E170" s="884">
        <v>69</v>
      </c>
      <c r="F170" s="884">
        <v>458</v>
      </c>
      <c r="G170" s="884">
        <v>11</v>
      </c>
      <c r="H170" s="884">
        <v>21</v>
      </c>
      <c r="I170" s="884">
        <v>246</v>
      </c>
      <c r="J170" s="884">
        <v>104</v>
      </c>
      <c r="K170" s="884">
        <v>1138</v>
      </c>
      <c r="L170" s="884">
        <v>123</v>
      </c>
      <c r="M170" s="884">
        <v>1187</v>
      </c>
      <c r="N170" s="884"/>
      <c r="Q170" s="921" t="s">
        <v>1164</v>
      </c>
      <c r="R170" s="921">
        <v>1439</v>
      </c>
      <c r="S170" s="922">
        <v>3</v>
      </c>
    </row>
    <row r="171" spans="1:19" s="894" customFormat="1">
      <c r="A171" s="882">
        <v>1440</v>
      </c>
      <c r="B171" s="878" t="s">
        <v>831</v>
      </c>
      <c r="C171" s="884">
        <v>13404</v>
      </c>
      <c r="D171" s="884">
        <v>1127</v>
      </c>
      <c r="E171" s="884">
        <v>216</v>
      </c>
      <c r="F171" s="884">
        <v>1343</v>
      </c>
      <c r="G171" s="884">
        <v>33</v>
      </c>
      <c r="H171" s="884">
        <v>7</v>
      </c>
      <c r="I171" s="884">
        <v>1026</v>
      </c>
      <c r="J171" s="884">
        <v>292</v>
      </c>
      <c r="K171" s="884">
        <v>819</v>
      </c>
      <c r="L171" s="884">
        <v>147</v>
      </c>
      <c r="M171" s="884">
        <v>2981</v>
      </c>
      <c r="N171" s="884"/>
      <c r="Q171" s="921" t="s">
        <v>1165</v>
      </c>
      <c r="R171" s="921">
        <v>1440</v>
      </c>
      <c r="S171" s="922">
        <v>3</v>
      </c>
    </row>
    <row r="172" spans="1:19" s="878" customFormat="1">
      <c r="A172" s="882">
        <v>1441</v>
      </c>
      <c r="B172" s="878" t="s">
        <v>832</v>
      </c>
      <c r="C172" s="884">
        <v>18097</v>
      </c>
      <c r="D172" s="884">
        <v>1394</v>
      </c>
      <c r="E172" s="884">
        <v>207</v>
      </c>
      <c r="F172" s="884">
        <v>1601</v>
      </c>
      <c r="G172" s="884">
        <v>54</v>
      </c>
      <c r="H172" s="884">
        <v>52</v>
      </c>
      <c r="I172" s="884">
        <v>1346</v>
      </c>
      <c r="J172" s="884">
        <v>471</v>
      </c>
      <c r="K172" s="884">
        <v>533</v>
      </c>
      <c r="L172" s="884">
        <v>219</v>
      </c>
      <c r="M172" s="884">
        <v>3387</v>
      </c>
      <c r="N172" s="884"/>
      <c r="Q172" s="921" t="s">
        <v>1166</v>
      </c>
      <c r="R172" s="921">
        <v>1441</v>
      </c>
      <c r="S172" s="922">
        <v>3</v>
      </c>
    </row>
    <row r="173" spans="1:19" s="878" customFormat="1">
      <c r="A173" s="882">
        <v>1442</v>
      </c>
      <c r="B173" s="878" t="s">
        <v>833</v>
      </c>
      <c r="C173" s="884">
        <v>5769</v>
      </c>
      <c r="D173" s="884">
        <v>715</v>
      </c>
      <c r="E173" s="884">
        <v>140</v>
      </c>
      <c r="F173" s="884">
        <v>855</v>
      </c>
      <c r="G173" s="884">
        <v>19</v>
      </c>
      <c r="H173" s="884">
        <v>53</v>
      </c>
      <c r="I173" s="884">
        <v>486</v>
      </c>
      <c r="J173" s="884">
        <v>114</v>
      </c>
      <c r="K173" s="884">
        <v>1251</v>
      </c>
      <c r="L173" s="884">
        <v>183</v>
      </c>
      <c r="M173" s="884">
        <v>1868</v>
      </c>
      <c r="N173" s="884"/>
      <c r="Q173" s="921" t="s">
        <v>1167</v>
      </c>
      <c r="R173" s="921">
        <v>1442</v>
      </c>
      <c r="S173" s="922">
        <v>3</v>
      </c>
    </row>
    <row r="174" spans="1:19" s="878" customFormat="1">
      <c r="A174" s="882">
        <v>1443</v>
      </c>
      <c r="B174" s="878" t="s">
        <v>834</v>
      </c>
      <c r="C174" s="884">
        <v>4519</v>
      </c>
      <c r="D174" s="884">
        <v>431</v>
      </c>
      <c r="E174" s="884">
        <v>65</v>
      </c>
      <c r="F174" s="884">
        <v>496</v>
      </c>
      <c r="G174" s="884">
        <v>3</v>
      </c>
      <c r="H174" s="884">
        <v>2</v>
      </c>
      <c r="I174" s="884">
        <v>463</v>
      </c>
      <c r="J174" s="884">
        <v>115</v>
      </c>
      <c r="K174" s="884">
        <v>528</v>
      </c>
      <c r="L174" s="884">
        <v>120</v>
      </c>
      <c r="M174" s="884">
        <v>1254</v>
      </c>
      <c r="N174" s="884"/>
      <c r="Q174" s="921" t="s">
        <v>1168</v>
      </c>
      <c r="R174" s="921">
        <v>1443</v>
      </c>
      <c r="S174" s="922">
        <v>3</v>
      </c>
    </row>
    <row r="175" spans="1:19" s="894" customFormat="1">
      <c r="A175" s="882">
        <v>1444</v>
      </c>
      <c r="B175" s="878" t="s">
        <v>835</v>
      </c>
      <c r="C175" s="884">
        <v>3217</v>
      </c>
      <c r="D175" s="884">
        <v>386</v>
      </c>
      <c r="E175" s="884">
        <v>35</v>
      </c>
      <c r="F175" s="884">
        <v>421</v>
      </c>
      <c r="G175" s="884">
        <v>9</v>
      </c>
      <c r="H175" s="884">
        <v>7</v>
      </c>
      <c r="I175" s="884">
        <v>225</v>
      </c>
      <c r="J175" s="884">
        <v>67</v>
      </c>
      <c r="K175" s="884">
        <v>891</v>
      </c>
      <c r="L175" s="884">
        <v>61</v>
      </c>
      <c r="M175" s="884">
        <v>958</v>
      </c>
      <c r="N175" s="884"/>
      <c r="Q175" s="921" t="s">
        <v>1169</v>
      </c>
      <c r="R175" s="921">
        <v>1444</v>
      </c>
      <c r="S175" s="922">
        <v>3</v>
      </c>
    </row>
    <row r="176" spans="1:19" s="878" customFormat="1">
      <c r="A176" s="882">
        <v>1445</v>
      </c>
      <c r="B176" s="878" t="s">
        <v>836</v>
      </c>
      <c r="C176" s="884">
        <v>3254</v>
      </c>
      <c r="D176" s="884">
        <v>369</v>
      </c>
      <c r="E176" s="884">
        <v>41</v>
      </c>
      <c r="F176" s="884">
        <v>410</v>
      </c>
      <c r="G176" s="884">
        <v>7</v>
      </c>
      <c r="H176" s="884">
        <v>0</v>
      </c>
      <c r="I176" s="884">
        <v>266</v>
      </c>
      <c r="J176" s="884">
        <v>60</v>
      </c>
      <c r="K176" s="884">
        <v>967</v>
      </c>
      <c r="L176" s="884">
        <v>64</v>
      </c>
      <c r="M176" s="884">
        <v>1106</v>
      </c>
      <c r="N176" s="884"/>
      <c r="Q176" s="921" t="s">
        <v>1170</v>
      </c>
      <c r="R176" s="921">
        <v>1445</v>
      </c>
      <c r="S176" s="922">
        <v>3</v>
      </c>
    </row>
    <row r="177" spans="1:19" s="878" customFormat="1">
      <c r="A177" s="882">
        <v>1446</v>
      </c>
      <c r="B177" s="878" t="s">
        <v>837</v>
      </c>
      <c r="C177" s="884">
        <v>3714</v>
      </c>
      <c r="D177" s="884">
        <v>397</v>
      </c>
      <c r="E177" s="884">
        <v>77</v>
      </c>
      <c r="F177" s="884">
        <v>474</v>
      </c>
      <c r="G177" s="884">
        <v>5</v>
      </c>
      <c r="H177" s="884">
        <v>4</v>
      </c>
      <c r="I177" s="884">
        <v>372</v>
      </c>
      <c r="J177" s="884">
        <v>83</v>
      </c>
      <c r="K177" s="884">
        <v>449</v>
      </c>
      <c r="L177" s="884">
        <v>67</v>
      </c>
      <c r="M177" s="884">
        <v>1095</v>
      </c>
      <c r="N177" s="884"/>
      <c r="Q177" s="921" t="s">
        <v>1171</v>
      </c>
      <c r="R177" s="921">
        <v>1446</v>
      </c>
      <c r="S177" s="922">
        <v>3</v>
      </c>
    </row>
    <row r="178" spans="1:19" s="878" customFormat="1">
      <c r="A178" s="882">
        <v>1447</v>
      </c>
      <c r="B178" s="878" t="s">
        <v>838</v>
      </c>
      <c r="C178" s="884">
        <v>2900</v>
      </c>
      <c r="D178" s="884">
        <v>448</v>
      </c>
      <c r="E178" s="884">
        <v>52</v>
      </c>
      <c r="F178" s="884">
        <v>500</v>
      </c>
      <c r="G178" s="884">
        <v>5</v>
      </c>
      <c r="H178" s="884">
        <v>7</v>
      </c>
      <c r="I178" s="884">
        <v>236</v>
      </c>
      <c r="J178" s="884">
        <v>92</v>
      </c>
      <c r="K178" s="884">
        <v>632</v>
      </c>
      <c r="L178" s="884">
        <v>73</v>
      </c>
      <c r="M178" s="884">
        <v>974</v>
      </c>
      <c r="N178" s="884"/>
      <c r="Q178" s="921" t="s">
        <v>1172</v>
      </c>
      <c r="R178" s="921">
        <v>1447</v>
      </c>
      <c r="S178" s="922">
        <v>3</v>
      </c>
    </row>
    <row r="179" spans="1:19" s="878" customFormat="1">
      <c r="A179" s="882">
        <v>1452</v>
      </c>
      <c r="B179" s="878" t="s">
        <v>839</v>
      </c>
      <c r="C179" s="884">
        <v>6371</v>
      </c>
      <c r="D179" s="884">
        <v>761</v>
      </c>
      <c r="E179" s="884">
        <v>109</v>
      </c>
      <c r="F179" s="884">
        <v>870</v>
      </c>
      <c r="G179" s="884">
        <v>13</v>
      </c>
      <c r="H179" s="884">
        <v>38</v>
      </c>
      <c r="I179" s="884">
        <v>435</v>
      </c>
      <c r="J179" s="884">
        <v>150</v>
      </c>
      <c r="K179" s="884">
        <v>1061</v>
      </c>
      <c r="L179" s="884">
        <v>212</v>
      </c>
      <c r="M179" s="884">
        <v>2020</v>
      </c>
      <c r="N179" s="884"/>
      <c r="Q179" s="921" t="s">
        <v>1173</v>
      </c>
      <c r="R179" s="921">
        <v>1452</v>
      </c>
      <c r="S179" s="922">
        <v>3</v>
      </c>
    </row>
    <row r="180" spans="1:19" s="878" customFormat="1">
      <c r="A180" s="882">
        <v>1460</v>
      </c>
      <c r="B180" s="878" t="s">
        <v>840</v>
      </c>
      <c r="C180" s="884">
        <v>5551</v>
      </c>
      <c r="D180" s="884">
        <v>642</v>
      </c>
      <c r="E180" s="884">
        <v>96</v>
      </c>
      <c r="F180" s="884">
        <v>738</v>
      </c>
      <c r="G180" s="884">
        <v>12</v>
      </c>
      <c r="H180" s="884">
        <v>11</v>
      </c>
      <c r="I180" s="884">
        <v>391</v>
      </c>
      <c r="J180" s="884">
        <v>138</v>
      </c>
      <c r="K180" s="884">
        <v>1136</v>
      </c>
      <c r="L180" s="884">
        <v>281</v>
      </c>
      <c r="M180" s="884">
        <v>1820</v>
      </c>
      <c r="N180" s="884"/>
      <c r="Q180" s="921" t="s">
        <v>1174</v>
      </c>
      <c r="R180" s="921">
        <v>1460</v>
      </c>
      <c r="S180" s="922">
        <v>3</v>
      </c>
    </row>
    <row r="181" spans="1:19" s="878" customFormat="1">
      <c r="A181" s="882">
        <v>1461</v>
      </c>
      <c r="B181" s="878" t="s">
        <v>841</v>
      </c>
      <c r="C181" s="884">
        <v>4892</v>
      </c>
      <c r="D181" s="884">
        <v>604</v>
      </c>
      <c r="E181" s="884">
        <v>79</v>
      </c>
      <c r="F181" s="884">
        <v>683</v>
      </c>
      <c r="G181" s="884">
        <v>7</v>
      </c>
      <c r="H181" s="884">
        <v>10</v>
      </c>
      <c r="I181" s="884">
        <v>363</v>
      </c>
      <c r="J181" s="884">
        <v>119</v>
      </c>
      <c r="K181" s="884">
        <v>1260</v>
      </c>
      <c r="L181" s="884">
        <v>229</v>
      </c>
      <c r="M181" s="884">
        <v>1648</v>
      </c>
      <c r="N181" s="884"/>
      <c r="Q181" s="921" t="s">
        <v>1175</v>
      </c>
      <c r="R181" s="921">
        <v>1461</v>
      </c>
      <c r="S181" s="922">
        <v>3</v>
      </c>
    </row>
    <row r="182" spans="1:19" s="894" customFormat="1">
      <c r="A182" s="882">
        <v>1462</v>
      </c>
      <c r="B182" s="878" t="s">
        <v>842</v>
      </c>
      <c r="C182" s="884">
        <v>6853</v>
      </c>
      <c r="D182" s="884">
        <v>867</v>
      </c>
      <c r="E182" s="884">
        <v>116</v>
      </c>
      <c r="F182" s="884">
        <v>983</v>
      </c>
      <c r="G182" s="884">
        <v>7</v>
      </c>
      <c r="H182" s="884">
        <v>16</v>
      </c>
      <c r="I182" s="884">
        <v>581</v>
      </c>
      <c r="J182" s="884">
        <v>178</v>
      </c>
      <c r="K182" s="884">
        <v>731</v>
      </c>
      <c r="L182" s="884">
        <v>132</v>
      </c>
      <c r="M182" s="884">
        <v>2043</v>
      </c>
      <c r="N182" s="884"/>
      <c r="Q182" s="921" t="s">
        <v>1176</v>
      </c>
      <c r="R182" s="921">
        <v>1462</v>
      </c>
      <c r="S182" s="922">
        <v>3</v>
      </c>
    </row>
    <row r="183" spans="1:19" s="878" customFormat="1">
      <c r="A183" s="882">
        <v>1463</v>
      </c>
      <c r="B183" s="878" t="s">
        <v>843</v>
      </c>
      <c r="C183" s="884">
        <v>17965</v>
      </c>
      <c r="D183" s="884">
        <v>1973</v>
      </c>
      <c r="E183" s="884">
        <v>228</v>
      </c>
      <c r="F183" s="884">
        <v>2201</v>
      </c>
      <c r="G183" s="884">
        <v>32</v>
      </c>
      <c r="H183" s="884">
        <v>40</v>
      </c>
      <c r="I183" s="884">
        <v>1573</v>
      </c>
      <c r="J183" s="884">
        <v>470</v>
      </c>
      <c r="K183" s="884">
        <v>2326</v>
      </c>
      <c r="L183" s="884">
        <v>385</v>
      </c>
      <c r="M183" s="884">
        <v>4789</v>
      </c>
      <c r="N183" s="884"/>
      <c r="Q183" s="921" t="s">
        <v>1177</v>
      </c>
      <c r="R183" s="921">
        <v>1463</v>
      </c>
      <c r="S183" s="922">
        <v>3</v>
      </c>
    </row>
    <row r="184" spans="1:19" s="878" customFormat="1">
      <c r="A184" s="882">
        <v>1465</v>
      </c>
      <c r="B184" s="878" t="s">
        <v>844</v>
      </c>
      <c r="C184" s="884">
        <v>5753</v>
      </c>
      <c r="D184" s="884">
        <v>747</v>
      </c>
      <c r="E184" s="884">
        <v>144</v>
      </c>
      <c r="F184" s="884">
        <v>891</v>
      </c>
      <c r="G184" s="884">
        <v>16</v>
      </c>
      <c r="H184" s="884">
        <v>0</v>
      </c>
      <c r="I184" s="884">
        <v>472</v>
      </c>
      <c r="J184" s="884">
        <v>139</v>
      </c>
      <c r="K184" s="884">
        <v>1063</v>
      </c>
      <c r="L184" s="884">
        <v>156</v>
      </c>
      <c r="M184" s="884">
        <v>2033</v>
      </c>
      <c r="N184" s="884"/>
      <c r="Q184" s="921" t="s">
        <v>1178</v>
      </c>
      <c r="R184" s="921">
        <v>1465</v>
      </c>
      <c r="S184" s="922">
        <v>3</v>
      </c>
    </row>
    <row r="185" spans="1:19" s="878" customFormat="1">
      <c r="A185" s="882">
        <v>1466</v>
      </c>
      <c r="B185" s="878" t="s">
        <v>845</v>
      </c>
      <c r="C185" s="884">
        <v>4986</v>
      </c>
      <c r="D185" s="884">
        <v>661</v>
      </c>
      <c r="E185" s="884">
        <v>155</v>
      </c>
      <c r="F185" s="884">
        <v>816</v>
      </c>
      <c r="G185" s="884">
        <v>18</v>
      </c>
      <c r="H185" s="884">
        <v>14</v>
      </c>
      <c r="I185" s="884">
        <v>402</v>
      </c>
      <c r="J185" s="884">
        <v>104</v>
      </c>
      <c r="K185" s="884">
        <v>1317</v>
      </c>
      <c r="L185" s="884">
        <v>144</v>
      </c>
      <c r="M185" s="884">
        <v>1649</v>
      </c>
      <c r="N185" s="884"/>
      <c r="Q185" s="921" t="s">
        <v>1179</v>
      </c>
      <c r="R185" s="921">
        <v>1466</v>
      </c>
      <c r="S185" s="922">
        <v>3</v>
      </c>
    </row>
    <row r="186" spans="1:19" s="894" customFormat="1">
      <c r="A186" s="882">
        <v>1470</v>
      </c>
      <c r="B186" s="878" t="s">
        <v>846</v>
      </c>
      <c r="C186" s="884">
        <v>9221</v>
      </c>
      <c r="D186" s="884">
        <v>1307</v>
      </c>
      <c r="E186" s="884">
        <v>228</v>
      </c>
      <c r="F186" s="884">
        <v>1535</v>
      </c>
      <c r="G186" s="884">
        <v>37</v>
      </c>
      <c r="H186" s="884">
        <v>16</v>
      </c>
      <c r="I186" s="884">
        <v>727</v>
      </c>
      <c r="J186" s="884">
        <v>197</v>
      </c>
      <c r="K186" s="884">
        <v>2406</v>
      </c>
      <c r="L186" s="884">
        <v>152</v>
      </c>
      <c r="M186" s="884">
        <v>3073</v>
      </c>
      <c r="N186" s="884"/>
      <c r="Q186" s="921" t="s">
        <v>1180</v>
      </c>
      <c r="R186" s="921">
        <v>1470</v>
      </c>
      <c r="S186" s="922">
        <v>3</v>
      </c>
    </row>
    <row r="187" spans="1:19" s="878" customFormat="1">
      <c r="A187" s="882">
        <v>1471</v>
      </c>
      <c r="B187" s="878" t="s">
        <v>847</v>
      </c>
      <c r="C187" s="884">
        <v>7332</v>
      </c>
      <c r="D187" s="884">
        <v>804</v>
      </c>
      <c r="E187" s="884">
        <v>213</v>
      </c>
      <c r="F187" s="884">
        <v>1017</v>
      </c>
      <c r="G187" s="884">
        <v>14</v>
      </c>
      <c r="H187" s="884">
        <v>4</v>
      </c>
      <c r="I187" s="884">
        <v>720</v>
      </c>
      <c r="J187" s="884">
        <v>163</v>
      </c>
      <c r="K187" s="884">
        <v>1091</v>
      </c>
      <c r="L187" s="884">
        <v>92</v>
      </c>
      <c r="M187" s="884">
        <v>2239</v>
      </c>
      <c r="N187" s="884"/>
      <c r="Q187" s="921" t="s">
        <v>1181</v>
      </c>
      <c r="R187" s="921">
        <v>1471</v>
      </c>
      <c r="S187" s="922">
        <v>3</v>
      </c>
    </row>
    <row r="188" spans="1:19" s="878" customFormat="1">
      <c r="A188" s="882">
        <v>1472</v>
      </c>
      <c r="B188" s="878" t="s">
        <v>848</v>
      </c>
      <c r="C188" s="884">
        <v>5448</v>
      </c>
      <c r="D188" s="884">
        <v>595</v>
      </c>
      <c r="E188" s="884">
        <v>117</v>
      </c>
      <c r="F188" s="884">
        <v>712</v>
      </c>
      <c r="G188" s="884">
        <v>6</v>
      </c>
      <c r="H188" s="884">
        <v>4</v>
      </c>
      <c r="I188" s="884">
        <v>491</v>
      </c>
      <c r="J188" s="884">
        <v>103</v>
      </c>
      <c r="K188" s="884">
        <v>581</v>
      </c>
      <c r="L188" s="884">
        <v>92</v>
      </c>
      <c r="M188" s="884">
        <v>1634</v>
      </c>
      <c r="N188" s="884"/>
      <c r="Q188" s="921" t="s">
        <v>1182</v>
      </c>
      <c r="R188" s="921">
        <v>1472</v>
      </c>
      <c r="S188" s="922">
        <v>3</v>
      </c>
    </row>
    <row r="189" spans="1:19" s="878" customFormat="1">
      <c r="A189" s="882">
        <v>1473</v>
      </c>
      <c r="B189" s="878" t="s">
        <v>849</v>
      </c>
      <c r="C189" s="884">
        <v>4785</v>
      </c>
      <c r="D189" s="884">
        <v>630</v>
      </c>
      <c r="E189" s="884">
        <v>82</v>
      </c>
      <c r="F189" s="884">
        <v>712</v>
      </c>
      <c r="G189" s="884">
        <v>6</v>
      </c>
      <c r="H189" s="884">
        <v>3</v>
      </c>
      <c r="I189" s="884">
        <v>381</v>
      </c>
      <c r="J189" s="884">
        <v>110</v>
      </c>
      <c r="K189" s="884">
        <v>1057</v>
      </c>
      <c r="L189" s="884">
        <v>85</v>
      </c>
      <c r="M189" s="884">
        <v>1470</v>
      </c>
      <c r="N189" s="884"/>
      <c r="Q189" s="921" t="s">
        <v>1183</v>
      </c>
      <c r="R189" s="921">
        <v>1473</v>
      </c>
      <c r="S189" s="922">
        <v>3</v>
      </c>
    </row>
    <row r="190" spans="1:19" s="878" customFormat="1">
      <c r="A190" s="882">
        <v>1480</v>
      </c>
      <c r="B190" s="878" t="s">
        <v>850</v>
      </c>
      <c r="C190" s="884">
        <v>175247</v>
      </c>
      <c r="D190" s="884">
        <v>14835</v>
      </c>
      <c r="E190" s="884">
        <v>3417</v>
      </c>
      <c r="F190" s="884">
        <v>18252</v>
      </c>
      <c r="G190" s="884">
        <v>704</v>
      </c>
      <c r="H190" s="884">
        <v>801</v>
      </c>
      <c r="I190" s="884">
        <v>8275</v>
      </c>
      <c r="J190" s="884">
        <v>3135</v>
      </c>
      <c r="K190" s="884">
        <v>1764</v>
      </c>
      <c r="L190" s="884">
        <v>808</v>
      </c>
      <c r="M190" s="884">
        <v>20201</v>
      </c>
      <c r="N190" s="884"/>
      <c r="Q190" s="921" t="s">
        <v>1184</v>
      </c>
      <c r="R190" s="921">
        <v>1480</v>
      </c>
      <c r="S190" s="922">
        <v>3</v>
      </c>
    </row>
    <row r="191" spans="1:19" s="878" customFormat="1">
      <c r="A191" s="882">
        <v>1481</v>
      </c>
      <c r="B191" s="878" t="s">
        <v>851</v>
      </c>
      <c r="C191" s="884">
        <v>26705</v>
      </c>
      <c r="D191" s="884">
        <v>2120</v>
      </c>
      <c r="E191" s="884">
        <v>335</v>
      </c>
      <c r="F191" s="884">
        <v>2455</v>
      </c>
      <c r="G191" s="884">
        <v>40</v>
      </c>
      <c r="H191" s="884">
        <v>75</v>
      </c>
      <c r="I191" s="884">
        <v>1821</v>
      </c>
      <c r="J191" s="884">
        <v>609</v>
      </c>
      <c r="K191" s="884">
        <v>517</v>
      </c>
      <c r="L191" s="884">
        <v>139</v>
      </c>
      <c r="M191" s="884">
        <v>3158</v>
      </c>
      <c r="N191" s="884"/>
      <c r="Q191" s="921" t="s">
        <v>1185</v>
      </c>
      <c r="R191" s="921">
        <v>1481</v>
      </c>
      <c r="S191" s="922">
        <v>3</v>
      </c>
    </row>
    <row r="192" spans="1:19" s="878" customFormat="1">
      <c r="A192" s="882">
        <v>1482</v>
      </c>
      <c r="B192" s="878" t="s">
        <v>852</v>
      </c>
      <c r="C192" s="884">
        <v>21352</v>
      </c>
      <c r="D192" s="884">
        <v>2136</v>
      </c>
      <c r="E192" s="884">
        <v>408</v>
      </c>
      <c r="F192" s="884">
        <v>2544</v>
      </c>
      <c r="G192" s="884">
        <v>34</v>
      </c>
      <c r="H192" s="884">
        <v>67</v>
      </c>
      <c r="I192" s="884">
        <v>1395</v>
      </c>
      <c r="J192" s="884">
        <v>528</v>
      </c>
      <c r="K192" s="884">
        <v>1464</v>
      </c>
      <c r="L192" s="884">
        <v>331</v>
      </c>
      <c r="M192" s="884">
        <v>4266</v>
      </c>
      <c r="N192" s="884"/>
      <c r="Q192" s="921" t="s">
        <v>1186</v>
      </c>
      <c r="R192" s="921">
        <v>1482</v>
      </c>
      <c r="S192" s="922">
        <v>3</v>
      </c>
    </row>
    <row r="193" spans="1:19" s="894" customFormat="1">
      <c r="A193" s="882">
        <v>1484</v>
      </c>
      <c r="B193" s="878" t="s">
        <v>853</v>
      </c>
      <c r="C193" s="884">
        <v>7327</v>
      </c>
      <c r="D193" s="884">
        <v>681</v>
      </c>
      <c r="E193" s="884">
        <v>105</v>
      </c>
      <c r="F193" s="884">
        <v>786</v>
      </c>
      <c r="G193" s="884">
        <v>6</v>
      </c>
      <c r="H193" s="884">
        <v>62</v>
      </c>
      <c r="I193" s="884">
        <v>506</v>
      </c>
      <c r="J193" s="884">
        <v>254</v>
      </c>
      <c r="K193" s="884">
        <v>569</v>
      </c>
      <c r="L193" s="884">
        <v>87</v>
      </c>
      <c r="M193" s="884">
        <v>1510</v>
      </c>
      <c r="N193" s="884"/>
      <c r="Q193" s="921" t="s">
        <v>1187</v>
      </c>
      <c r="R193" s="921">
        <v>1484</v>
      </c>
      <c r="S193" s="922">
        <v>3</v>
      </c>
    </row>
    <row r="194" spans="1:19" s="894" customFormat="1">
      <c r="A194" s="882">
        <v>1485</v>
      </c>
      <c r="B194" s="878" t="s">
        <v>854</v>
      </c>
      <c r="C194" s="884">
        <v>24985</v>
      </c>
      <c r="D194" s="884">
        <v>2453</v>
      </c>
      <c r="E194" s="884">
        <v>507</v>
      </c>
      <c r="F194" s="884">
        <v>2960</v>
      </c>
      <c r="G194" s="884">
        <v>78</v>
      </c>
      <c r="H194" s="884">
        <v>101</v>
      </c>
      <c r="I194" s="884">
        <v>1572</v>
      </c>
      <c r="J194" s="884">
        <v>640</v>
      </c>
      <c r="K194" s="884">
        <v>1840</v>
      </c>
      <c r="L194" s="884">
        <v>354</v>
      </c>
      <c r="M194" s="884">
        <v>5117</v>
      </c>
      <c r="N194" s="884"/>
      <c r="Q194" s="921" t="s">
        <v>1188</v>
      </c>
      <c r="R194" s="921">
        <v>1485</v>
      </c>
      <c r="S194" s="922">
        <v>3</v>
      </c>
    </row>
    <row r="195" spans="1:19" s="878" customFormat="1">
      <c r="A195" s="882">
        <v>1486</v>
      </c>
      <c r="B195" s="878" t="s">
        <v>855</v>
      </c>
      <c r="C195" s="884">
        <v>6308</v>
      </c>
      <c r="D195" s="884">
        <v>760</v>
      </c>
      <c r="E195" s="884">
        <v>104</v>
      </c>
      <c r="F195" s="884">
        <v>864</v>
      </c>
      <c r="G195" s="884">
        <v>14</v>
      </c>
      <c r="H195" s="884">
        <v>20</v>
      </c>
      <c r="I195" s="884">
        <v>500</v>
      </c>
      <c r="J195" s="884">
        <v>215</v>
      </c>
      <c r="K195" s="884">
        <v>706</v>
      </c>
      <c r="L195" s="884">
        <v>168</v>
      </c>
      <c r="M195" s="884">
        <v>1404</v>
      </c>
      <c r="N195" s="884"/>
      <c r="Q195" s="921" t="s">
        <v>1189</v>
      </c>
      <c r="R195" s="921">
        <v>1486</v>
      </c>
      <c r="S195" s="922">
        <v>3</v>
      </c>
    </row>
    <row r="196" spans="1:19" s="878" customFormat="1">
      <c r="A196" s="882">
        <v>1487</v>
      </c>
      <c r="B196" s="878" t="s">
        <v>856</v>
      </c>
      <c r="C196" s="884">
        <v>18169</v>
      </c>
      <c r="D196" s="884">
        <v>1535</v>
      </c>
      <c r="E196" s="884">
        <v>273</v>
      </c>
      <c r="F196" s="884">
        <v>1808</v>
      </c>
      <c r="G196" s="884">
        <v>30</v>
      </c>
      <c r="H196" s="884">
        <v>166</v>
      </c>
      <c r="I196" s="884">
        <v>1174</v>
      </c>
      <c r="J196" s="884">
        <v>269</v>
      </c>
      <c r="K196" s="884">
        <v>1982</v>
      </c>
      <c r="L196" s="884">
        <v>235</v>
      </c>
      <c r="M196" s="884">
        <v>4671</v>
      </c>
      <c r="N196" s="884"/>
      <c r="Q196" s="921" t="s">
        <v>1190</v>
      </c>
      <c r="R196" s="921">
        <v>1487</v>
      </c>
      <c r="S196" s="922">
        <v>3</v>
      </c>
    </row>
    <row r="197" spans="1:19" s="878" customFormat="1">
      <c r="A197" s="882">
        <v>1488</v>
      </c>
      <c r="B197" s="878" t="s">
        <v>857</v>
      </c>
      <c r="C197" s="884">
        <v>27544</v>
      </c>
      <c r="D197" s="884">
        <v>2440</v>
      </c>
      <c r="E197" s="884">
        <v>408</v>
      </c>
      <c r="F197" s="884">
        <v>2848</v>
      </c>
      <c r="G197" s="884">
        <v>34</v>
      </c>
      <c r="H197" s="884">
        <v>13</v>
      </c>
      <c r="I197" s="884">
        <v>1659</v>
      </c>
      <c r="J197" s="884">
        <v>395</v>
      </c>
      <c r="K197" s="884">
        <v>1307</v>
      </c>
      <c r="L197" s="884">
        <v>401</v>
      </c>
      <c r="M197" s="884">
        <v>5447</v>
      </c>
      <c r="N197" s="884"/>
      <c r="Q197" s="921" t="s">
        <v>1191</v>
      </c>
      <c r="R197" s="921">
        <v>1488</v>
      </c>
      <c r="S197" s="922">
        <v>3</v>
      </c>
    </row>
    <row r="198" spans="1:19" s="878" customFormat="1">
      <c r="A198" s="882">
        <v>1489</v>
      </c>
      <c r="B198" s="878" t="s">
        <v>858</v>
      </c>
      <c r="C198" s="884">
        <v>17758</v>
      </c>
      <c r="D198" s="884">
        <v>1547</v>
      </c>
      <c r="E198" s="884">
        <v>219</v>
      </c>
      <c r="F198" s="884">
        <v>1766</v>
      </c>
      <c r="G198" s="884">
        <v>26</v>
      </c>
      <c r="H198" s="884">
        <v>4</v>
      </c>
      <c r="I198" s="884">
        <v>1431</v>
      </c>
      <c r="J198" s="884">
        <v>250</v>
      </c>
      <c r="K198" s="884">
        <v>1504</v>
      </c>
      <c r="L198" s="884">
        <v>345</v>
      </c>
      <c r="M198" s="884">
        <v>3879</v>
      </c>
      <c r="N198" s="884"/>
      <c r="Q198" s="921" t="s">
        <v>1192</v>
      </c>
      <c r="R198" s="921">
        <v>1489</v>
      </c>
      <c r="S198" s="922">
        <v>3</v>
      </c>
    </row>
    <row r="199" spans="1:19" s="878" customFormat="1">
      <c r="A199" s="882">
        <v>1490</v>
      </c>
      <c r="B199" s="878" t="s">
        <v>859</v>
      </c>
      <c r="C199" s="884">
        <v>47688</v>
      </c>
      <c r="D199" s="884">
        <v>3876</v>
      </c>
      <c r="E199" s="884">
        <v>792</v>
      </c>
      <c r="F199" s="884">
        <v>4668</v>
      </c>
      <c r="G199" s="884">
        <v>70</v>
      </c>
      <c r="H199" s="884">
        <v>159</v>
      </c>
      <c r="I199" s="884">
        <v>3111</v>
      </c>
      <c r="J199" s="884">
        <v>663</v>
      </c>
      <c r="K199" s="884">
        <v>2012</v>
      </c>
      <c r="L199" s="884">
        <v>461</v>
      </c>
      <c r="M199" s="884">
        <v>9078</v>
      </c>
      <c r="N199" s="884"/>
      <c r="Q199" s="921" t="s">
        <v>1193</v>
      </c>
      <c r="R199" s="921">
        <v>1490</v>
      </c>
      <c r="S199" s="922">
        <v>3</v>
      </c>
    </row>
    <row r="200" spans="1:19" s="878" customFormat="1">
      <c r="A200" s="882">
        <v>1491</v>
      </c>
      <c r="B200" s="878" t="s">
        <v>860</v>
      </c>
      <c r="C200" s="884">
        <v>12721</v>
      </c>
      <c r="D200" s="884">
        <v>1251</v>
      </c>
      <c r="E200" s="884">
        <v>189</v>
      </c>
      <c r="F200" s="884">
        <v>1440</v>
      </c>
      <c r="G200" s="884">
        <v>28</v>
      </c>
      <c r="H200" s="884">
        <v>64</v>
      </c>
      <c r="I200" s="884">
        <v>1000</v>
      </c>
      <c r="J200" s="884">
        <v>313</v>
      </c>
      <c r="K200" s="884">
        <v>2109</v>
      </c>
      <c r="L200" s="884">
        <v>251</v>
      </c>
      <c r="M200" s="884">
        <v>3432</v>
      </c>
      <c r="N200" s="884"/>
      <c r="Q200" s="921" t="s">
        <v>1194</v>
      </c>
      <c r="R200" s="921">
        <v>1491</v>
      </c>
      <c r="S200" s="922">
        <v>3</v>
      </c>
    </row>
    <row r="201" spans="1:19" s="894" customFormat="1">
      <c r="A201" s="882">
        <v>1492</v>
      </c>
      <c r="B201" s="878" t="s">
        <v>861</v>
      </c>
      <c r="C201" s="884">
        <v>6250</v>
      </c>
      <c r="D201" s="884">
        <v>553</v>
      </c>
      <c r="E201" s="884">
        <v>161</v>
      </c>
      <c r="F201" s="884">
        <v>714</v>
      </c>
      <c r="G201" s="884">
        <v>24</v>
      </c>
      <c r="H201" s="884">
        <v>8</v>
      </c>
      <c r="I201" s="884">
        <v>396</v>
      </c>
      <c r="J201" s="884">
        <v>115</v>
      </c>
      <c r="K201" s="884">
        <v>774</v>
      </c>
      <c r="L201" s="884">
        <v>144</v>
      </c>
      <c r="M201" s="884">
        <v>1827</v>
      </c>
      <c r="N201" s="884"/>
      <c r="Q201" s="921" t="s">
        <v>1195</v>
      </c>
      <c r="R201" s="921">
        <v>1492</v>
      </c>
      <c r="S201" s="922">
        <v>3</v>
      </c>
    </row>
    <row r="202" spans="1:19" s="878" customFormat="1">
      <c r="A202" s="882">
        <v>1493</v>
      </c>
      <c r="B202" s="878" t="s">
        <v>862</v>
      </c>
      <c r="C202" s="884">
        <v>12150</v>
      </c>
      <c r="D202" s="884">
        <v>1090</v>
      </c>
      <c r="E202" s="884">
        <v>157</v>
      </c>
      <c r="F202" s="884">
        <v>1247</v>
      </c>
      <c r="G202" s="884">
        <v>20</v>
      </c>
      <c r="H202" s="884">
        <v>7</v>
      </c>
      <c r="I202" s="884">
        <v>850</v>
      </c>
      <c r="J202" s="884">
        <v>234</v>
      </c>
      <c r="K202" s="884">
        <v>1220</v>
      </c>
      <c r="L202" s="884">
        <v>113</v>
      </c>
      <c r="M202" s="884">
        <v>3015</v>
      </c>
      <c r="N202" s="884"/>
      <c r="Q202" s="921" t="s">
        <v>1196</v>
      </c>
      <c r="R202" s="921">
        <v>1493</v>
      </c>
      <c r="S202" s="922">
        <v>3</v>
      </c>
    </row>
    <row r="203" spans="1:19" s="878" customFormat="1">
      <c r="A203" s="882">
        <v>1494</v>
      </c>
      <c r="B203" s="895" t="s">
        <v>863</v>
      </c>
      <c r="C203" s="884">
        <v>19908</v>
      </c>
      <c r="D203" s="884">
        <v>2030</v>
      </c>
      <c r="E203" s="884">
        <v>678</v>
      </c>
      <c r="F203" s="884">
        <v>2708</v>
      </c>
      <c r="G203" s="884">
        <v>36</v>
      </c>
      <c r="H203" s="884">
        <v>158</v>
      </c>
      <c r="I203" s="884">
        <v>1394</v>
      </c>
      <c r="J203" s="884">
        <v>324</v>
      </c>
      <c r="K203" s="884">
        <v>2333</v>
      </c>
      <c r="L203" s="884">
        <v>220</v>
      </c>
      <c r="M203" s="884">
        <v>4851</v>
      </c>
      <c r="N203" s="884"/>
      <c r="Q203" s="921" t="s">
        <v>1197</v>
      </c>
      <c r="R203" s="921">
        <v>1494</v>
      </c>
      <c r="S203" s="922">
        <v>3</v>
      </c>
    </row>
    <row r="204" spans="1:19" s="878" customFormat="1">
      <c r="A204" s="882">
        <v>1495</v>
      </c>
      <c r="B204" s="878" t="s">
        <v>864</v>
      </c>
      <c r="C204" s="884">
        <v>9205</v>
      </c>
      <c r="D204" s="884">
        <v>913</v>
      </c>
      <c r="E204" s="884">
        <v>246</v>
      </c>
      <c r="F204" s="884">
        <v>1159</v>
      </c>
      <c r="G204" s="884">
        <v>24</v>
      </c>
      <c r="H204" s="884">
        <v>5</v>
      </c>
      <c r="I204" s="884">
        <v>630</v>
      </c>
      <c r="J204" s="884">
        <v>196</v>
      </c>
      <c r="K204" s="884">
        <v>1164</v>
      </c>
      <c r="L204" s="884">
        <v>100</v>
      </c>
      <c r="M204" s="884">
        <v>2628</v>
      </c>
      <c r="N204" s="884"/>
      <c r="Q204" s="921" t="s">
        <v>1198</v>
      </c>
      <c r="R204" s="921">
        <v>1495</v>
      </c>
      <c r="S204" s="922">
        <v>3</v>
      </c>
    </row>
    <row r="205" spans="1:19" s="878" customFormat="1">
      <c r="A205" s="882">
        <v>1496</v>
      </c>
      <c r="B205" s="878" t="s">
        <v>865</v>
      </c>
      <c r="C205" s="884">
        <v>26111</v>
      </c>
      <c r="D205" s="884">
        <v>2111</v>
      </c>
      <c r="E205" s="884">
        <v>476</v>
      </c>
      <c r="F205" s="884">
        <v>2587</v>
      </c>
      <c r="G205" s="884">
        <v>24</v>
      </c>
      <c r="H205" s="884">
        <v>104</v>
      </c>
      <c r="I205" s="884">
        <v>1921</v>
      </c>
      <c r="J205" s="884">
        <v>473</v>
      </c>
      <c r="K205" s="884">
        <v>2093</v>
      </c>
      <c r="L205" s="884">
        <v>310</v>
      </c>
      <c r="M205" s="884">
        <v>5756</v>
      </c>
      <c r="N205" s="884"/>
      <c r="Q205" s="921" t="s">
        <v>1199</v>
      </c>
      <c r="R205" s="921">
        <v>1496</v>
      </c>
      <c r="S205" s="922">
        <v>3</v>
      </c>
    </row>
    <row r="206" spans="1:19" s="878" customFormat="1">
      <c r="A206" s="882">
        <v>1497</v>
      </c>
      <c r="B206" s="878" t="s">
        <v>866</v>
      </c>
      <c r="C206" s="884">
        <v>4638</v>
      </c>
      <c r="D206" s="884">
        <v>598</v>
      </c>
      <c r="E206" s="884">
        <v>107</v>
      </c>
      <c r="F206" s="884">
        <v>705</v>
      </c>
      <c r="G206" s="884">
        <v>33</v>
      </c>
      <c r="H206" s="884">
        <v>1</v>
      </c>
      <c r="I206" s="884">
        <v>345</v>
      </c>
      <c r="J206" s="884">
        <v>102</v>
      </c>
      <c r="K206" s="884">
        <v>674</v>
      </c>
      <c r="L206" s="884">
        <v>101</v>
      </c>
      <c r="M206" s="884">
        <v>1450</v>
      </c>
      <c r="N206" s="884"/>
      <c r="Q206" s="921" t="s">
        <v>1200</v>
      </c>
      <c r="R206" s="921">
        <v>1497</v>
      </c>
      <c r="S206" s="922">
        <v>3</v>
      </c>
    </row>
    <row r="207" spans="1:19" s="878" customFormat="1">
      <c r="A207" s="882">
        <v>1498</v>
      </c>
      <c r="B207" s="878" t="s">
        <v>867</v>
      </c>
      <c r="C207" s="884">
        <v>6630</v>
      </c>
      <c r="D207" s="884">
        <v>713</v>
      </c>
      <c r="E207" s="884">
        <v>101</v>
      </c>
      <c r="F207" s="884">
        <v>814</v>
      </c>
      <c r="G207" s="884">
        <v>4</v>
      </c>
      <c r="H207" s="884">
        <v>4</v>
      </c>
      <c r="I207" s="884">
        <v>629</v>
      </c>
      <c r="J207" s="884">
        <v>143</v>
      </c>
      <c r="K207" s="884">
        <v>1133</v>
      </c>
      <c r="L207" s="884">
        <v>79</v>
      </c>
      <c r="M207" s="884">
        <v>2013</v>
      </c>
      <c r="N207" s="884"/>
      <c r="Q207" s="921" t="s">
        <v>1201</v>
      </c>
      <c r="R207" s="921">
        <v>1498</v>
      </c>
      <c r="S207" s="922">
        <v>3</v>
      </c>
    </row>
    <row r="208" spans="1:19" s="878" customFormat="1">
      <c r="A208" s="882">
        <v>1499</v>
      </c>
      <c r="B208" s="878" t="s">
        <v>868</v>
      </c>
      <c r="C208" s="884">
        <v>16147</v>
      </c>
      <c r="D208" s="884">
        <v>1756</v>
      </c>
      <c r="E208" s="884">
        <v>423</v>
      </c>
      <c r="F208" s="884">
        <v>2179</v>
      </c>
      <c r="G208" s="884">
        <v>37</v>
      </c>
      <c r="H208" s="884">
        <v>15</v>
      </c>
      <c r="I208" s="884">
        <v>1221</v>
      </c>
      <c r="J208" s="884">
        <v>371</v>
      </c>
      <c r="K208" s="884">
        <v>3369</v>
      </c>
      <c r="L208" s="884">
        <v>226</v>
      </c>
      <c r="M208" s="884">
        <v>4707</v>
      </c>
      <c r="N208" s="884"/>
      <c r="Q208" s="921" t="s">
        <v>1202</v>
      </c>
      <c r="R208" s="921">
        <v>1499</v>
      </c>
      <c r="S208" s="922">
        <v>3</v>
      </c>
    </row>
    <row r="209" spans="1:20" s="878" customFormat="1" ht="11.4">
      <c r="A209" s="882" t="s">
        <v>869</v>
      </c>
      <c r="B209" s="878" t="s">
        <v>696</v>
      </c>
      <c r="C209" s="884">
        <v>2</v>
      </c>
      <c r="D209" s="884">
        <v>0</v>
      </c>
      <c r="E209" s="884">
        <v>0</v>
      </c>
      <c r="F209" s="884">
        <v>0</v>
      </c>
      <c r="G209" s="884">
        <v>0</v>
      </c>
      <c r="H209" s="884">
        <v>0</v>
      </c>
      <c r="I209" s="884">
        <v>0</v>
      </c>
      <c r="J209" s="884">
        <v>0</v>
      </c>
      <c r="K209" s="884">
        <v>1</v>
      </c>
      <c r="L209" s="884">
        <v>0</v>
      </c>
      <c r="M209" s="884">
        <v>1</v>
      </c>
      <c r="N209" s="884"/>
      <c r="S209" s="924">
        <v>3</v>
      </c>
    </row>
    <row r="210" spans="1:20" s="894" customFormat="1" ht="12">
      <c r="A210" s="890"/>
      <c r="B210" s="891" t="s">
        <v>870</v>
      </c>
      <c r="C210" s="892">
        <v>711309</v>
      </c>
      <c r="D210" s="892">
        <v>67309</v>
      </c>
      <c r="E210" s="892">
        <v>13112</v>
      </c>
      <c r="F210" s="892">
        <v>80421</v>
      </c>
      <c r="G210" s="892">
        <v>1877</v>
      </c>
      <c r="H210" s="892">
        <v>2413</v>
      </c>
      <c r="I210" s="892">
        <v>47396</v>
      </c>
      <c r="J210" s="892">
        <v>15079</v>
      </c>
      <c r="K210" s="892">
        <v>57666</v>
      </c>
      <c r="L210" s="892">
        <v>9351</v>
      </c>
      <c r="M210" s="892">
        <v>146290</v>
      </c>
      <c r="N210" s="892"/>
      <c r="S210" s="894" t="s">
        <v>1312</v>
      </c>
      <c r="T210" s="1104">
        <v>3</v>
      </c>
    </row>
    <row r="211" spans="1:20" s="878" customFormat="1">
      <c r="A211" s="882">
        <v>1715</v>
      </c>
      <c r="B211" s="895" t="s">
        <v>871</v>
      </c>
      <c r="C211" s="884">
        <v>6298</v>
      </c>
      <c r="D211" s="884">
        <v>622</v>
      </c>
      <c r="E211" s="884">
        <v>128</v>
      </c>
      <c r="F211" s="884">
        <v>750</v>
      </c>
      <c r="G211" s="884">
        <v>9</v>
      </c>
      <c r="H211" s="884">
        <v>17</v>
      </c>
      <c r="I211" s="884">
        <v>505</v>
      </c>
      <c r="J211" s="884">
        <v>106</v>
      </c>
      <c r="K211" s="884">
        <v>702</v>
      </c>
      <c r="L211" s="884">
        <v>286</v>
      </c>
      <c r="M211" s="884">
        <v>1888</v>
      </c>
      <c r="N211" s="884"/>
      <c r="Q211" s="921" t="s">
        <v>1203</v>
      </c>
      <c r="R211" s="921">
        <v>1715</v>
      </c>
      <c r="S211" s="922">
        <v>3</v>
      </c>
    </row>
    <row r="212" spans="1:20" s="878" customFormat="1">
      <c r="A212" s="882">
        <v>1730</v>
      </c>
      <c r="B212" s="878" t="s">
        <v>872</v>
      </c>
      <c r="C212" s="884">
        <v>5198</v>
      </c>
      <c r="D212" s="884">
        <v>567</v>
      </c>
      <c r="E212" s="884">
        <v>98</v>
      </c>
      <c r="F212" s="884">
        <v>665</v>
      </c>
      <c r="G212" s="884">
        <v>10</v>
      </c>
      <c r="H212" s="884">
        <v>4</v>
      </c>
      <c r="I212" s="884">
        <v>397</v>
      </c>
      <c r="J212" s="884">
        <v>90</v>
      </c>
      <c r="K212" s="884">
        <v>1013</v>
      </c>
      <c r="L212" s="884">
        <v>428</v>
      </c>
      <c r="M212" s="884">
        <v>1426</v>
      </c>
      <c r="N212" s="884"/>
      <c r="Q212" s="921" t="s">
        <v>1204</v>
      </c>
      <c r="R212" s="921">
        <v>1730</v>
      </c>
      <c r="S212" s="922">
        <v>3</v>
      </c>
    </row>
    <row r="213" spans="1:20" s="878" customFormat="1">
      <c r="A213" s="882">
        <v>1737</v>
      </c>
      <c r="B213" s="878" t="s">
        <v>873</v>
      </c>
      <c r="C213" s="884">
        <v>7807</v>
      </c>
      <c r="D213" s="884">
        <v>965</v>
      </c>
      <c r="E213" s="884">
        <v>130</v>
      </c>
      <c r="F213" s="884">
        <v>1095</v>
      </c>
      <c r="G213" s="884">
        <v>3</v>
      </c>
      <c r="H213" s="884">
        <v>21</v>
      </c>
      <c r="I213" s="884">
        <v>439</v>
      </c>
      <c r="J213" s="884">
        <v>129</v>
      </c>
      <c r="K213" s="884">
        <v>1444</v>
      </c>
      <c r="L213" s="884">
        <v>1433</v>
      </c>
      <c r="M213" s="884">
        <v>2952</v>
      </c>
      <c r="N213" s="884"/>
      <c r="Q213" s="921" t="s">
        <v>1205</v>
      </c>
      <c r="R213" s="921">
        <v>1737</v>
      </c>
      <c r="S213" s="922">
        <v>3</v>
      </c>
    </row>
    <row r="214" spans="1:20" s="878" customFormat="1">
      <c r="A214" s="882">
        <v>1760</v>
      </c>
      <c r="B214" s="878" t="s">
        <v>874</v>
      </c>
      <c r="C214" s="884">
        <v>2396</v>
      </c>
      <c r="D214" s="884">
        <v>234</v>
      </c>
      <c r="E214" s="884">
        <v>45</v>
      </c>
      <c r="F214" s="884">
        <v>279</v>
      </c>
      <c r="G214" s="884">
        <v>12</v>
      </c>
      <c r="H214" s="884">
        <v>0</v>
      </c>
      <c r="I214" s="884">
        <v>181</v>
      </c>
      <c r="J214" s="884">
        <v>42</v>
      </c>
      <c r="K214" s="884">
        <v>309</v>
      </c>
      <c r="L214" s="884">
        <v>116</v>
      </c>
      <c r="M214" s="884">
        <v>787</v>
      </c>
      <c r="N214" s="884"/>
      <c r="Q214" s="921" t="s">
        <v>1206</v>
      </c>
      <c r="R214" s="921">
        <v>1760</v>
      </c>
      <c r="S214" s="922">
        <v>3</v>
      </c>
    </row>
    <row r="215" spans="1:20" s="878" customFormat="1">
      <c r="A215" s="882">
        <v>1761</v>
      </c>
      <c r="B215" s="878" t="s">
        <v>875</v>
      </c>
      <c r="C215" s="884">
        <v>7663</v>
      </c>
      <c r="D215" s="884">
        <v>394</v>
      </c>
      <c r="E215" s="884">
        <v>56</v>
      </c>
      <c r="F215" s="884">
        <v>450</v>
      </c>
      <c r="G215" s="884">
        <v>3</v>
      </c>
      <c r="H215" s="884">
        <v>0</v>
      </c>
      <c r="I215" s="884">
        <v>580</v>
      </c>
      <c r="J215" s="884">
        <v>148</v>
      </c>
      <c r="K215" s="884">
        <v>157</v>
      </c>
      <c r="L215" s="884">
        <v>94</v>
      </c>
      <c r="M215" s="884">
        <v>1492</v>
      </c>
      <c r="N215" s="884"/>
      <c r="Q215" s="921" t="s">
        <v>1207</v>
      </c>
      <c r="R215" s="921">
        <v>1761</v>
      </c>
      <c r="S215" s="922">
        <v>3</v>
      </c>
    </row>
    <row r="216" spans="1:20" s="878" customFormat="1">
      <c r="A216" s="882">
        <v>1762</v>
      </c>
      <c r="B216" s="878" t="s">
        <v>876</v>
      </c>
      <c r="C216" s="884">
        <v>2131</v>
      </c>
      <c r="D216" s="884">
        <v>219</v>
      </c>
      <c r="E216" s="884">
        <v>25</v>
      </c>
      <c r="F216" s="884">
        <v>244</v>
      </c>
      <c r="G216" s="884">
        <v>1</v>
      </c>
      <c r="H216" s="884">
        <v>1</v>
      </c>
      <c r="I216" s="884">
        <v>150</v>
      </c>
      <c r="J216" s="884">
        <v>41</v>
      </c>
      <c r="K216" s="884">
        <v>189</v>
      </c>
      <c r="L216" s="884">
        <v>104</v>
      </c>
      <c r="M216" s="884">
        <v>634</v>
      </c>
      <c r="N216" s="884"/>
      <c r="Q216" s="921" t="s">
        <v>1208</v>
      </c>
      <c r="R216" s="921">
        <v>1762</v>
      </c>
      <c r="S216" s="922">
        <v>3</v>
      </c>
    </row>
    <row r="217" spans="1:20" s="878" customFormat="1">
      <c r="A217" s="882">
        <v>1763</v>
      </c>
      <c r="B217" s="878" t="s">
        <v>877</v>
      </c>
      <c r="C217" s="884">
        <v>5914</v>
      </c>
      <c r="D217" s="884">
        <v>456</v>
      </c>
      <c r="E217" s="884">
        <v>62</v>
      </c>
      <c r="F217" s="884">
        <v>518</v>
      </c>
      <c r="G217" s="884">
        <v>5</v>
      </c>
      <c r="H217" s="884">
        <v>2</v>
      </c>
      <c r="I217" s="884">
        <v>517</v>
      </c>
      <c r="J217" s="884">
        <v>92</v>
      </c>
      <c r="K217" s="884">
        <v>491</v>
      </c>
      <c r="L217" s="884">
        <v>198</v>
      </c>
      <c r="M217" s="884">
        <v>1645</v>
      </c>
      <c r="N217" s="884"/>
      <c r="Q217" s="921" t="s">
        <v>1209</v>
      </c>
      <c r="R217" s="921">
        <v>1763</v>
      </c>
      <c r="S217" s="922">
        <v>3</v>
      </c>
    </row>
    <row r="218" spans="1:20" s="878" customFormat="1">
      <c r="A218" s="882">
        <v>1764</v>
      </c>
      <c r="B218" s="878" t="s">
        <v>878</v>
      </c>
      <c r="C218" s="884">
        <v>5022</v>
      </c>
      <c r="D218" s="884">
        <v>474</v>
      </c>
      <c r="E218" s="884">
        <v>59</v>
      </c>
      <c r="F218" s="884">
        <v>533</v>
      </c>
      <c r="G218" s="884">
        <v>5</v>
      </c>
      <c r="H218" s="884">
        <v>4</v>
      </c>
      <c r="I218" s="884">
        <v>400</v>
      </c>
      <c r="J218" s="884">
        <v>127</v>
      </c>
      <c r="K218" s="884">
        <v>553</v>
      </c>
      <c r="L218" s="884">
        <v>169</v>
      </c>
      <c r="M218" s="884">
        <v>1390</v>
      </c>
      <c r="N218" s="884"/>
      <c r="Q218" s="921" t="s">
        <v>1210</v>
      </c>
      <c r="R218" s="921">
        <v>1764</v>
      </c>
      <c r="S218" s="922">
        <v>3</v>
      </c>
    </row>
    <row r="219" spans="1:20" s="878" customFormat="1">
      <c r="A219" s="882">
        <v>1765</v>
      </c>
      <c r="B219" s="878" t="s">
        <v>879</v>
      </c>
      <c r="C219" s="884">
        <v>6041</v>
      </c>
      <c r="D219" s="884">
        <v>693</v>
      </c>
      <c r="E219" s="884">
        <v>207</v>
      </c>
      <c r="F219" s="884">
        <v>900</v>
      </c>
      <c r="G219" s="884">
        <v>63</v>
      </c>
      <c r="H219" s="884">
        <v>21</v>
      </c>
      <c r="I219" s="884">
        <v>346</v>
      </c>
      <c r="J219" s="884">
        <v>79</v>
      </c>
      <c r="K219" s="884">
        <v>1493</v>
      </c>
      <c r="L219" s="884">
        <v>757</v>
      </c>
      <c r="M219" s="884">
        <v>1835</v>
      </c>
      <c r="N219" s="884"/>
      <c r="Q219" s="921" t="s">
        <v>1211</v>
      </c>
      <c r="R219" s="921">
        <v>1765</v>
      </c>
      <c r="S219" s="922">
        <v>3</v>
      </c>
    </row>
    <row r="220" spans="1:20" s="878" customFormat="1">
      <c r="A220" s="882">
        <v>1766</v>
      </c>
      <c r="B220" s="878" t="s">
        <v>880</v>
      </c>
      <c r="C220" s="884">
        <v>7977</v>
      </c>
      <c r="D220" s="884">
        <v>869</v>
      </c>
      <c r="E220" s="884">
        <v>154</v>
      </c>
      <c r="F220" s="884">
        <v>1023</v>
      </c>
      <c r="G220" s="884">
        <v>7</v>
      </c>
      <c r="H220" s="884">
        <v>34</v>
      </c>
      <c r="I220" s="884">
        <v>517</v>
      </c>
      <c r="J220" s="884">
        <v>99</v>
      </c>
      <c r="K220" s="884">
        <v>1920</v>
      </c>
      <c r="L220" s="884">
        <v>823</v>
      </c>
      <c r="M220" s="884">
        <v>2612</v>
      </c>
      <c r="N220" s="884"/>
      <c r="Q220" s="921" t="s">
        <v>1212</v>
      </c>
      <c r="R220" s="921">
        <v>1766</v>
      </c>
      <c r="S220" s="922">
        <v>3</v>
      </c>
    </row>
    <row r="221" spans="1:20" s="878" customFormat="1">
      <c r="A221" s="882">
        <v>1780</v>
      </c>
      <c r="B221" s="878" t="s">
        <v>881</v>
      </c>
      <c r="C221" s="884">
        <v>39645</v>
      </c>
      <c r="D221" s="884">
        <v>3370</v>
      </c>
      <c r="E221" s="884">
        <v>704</v>
      </c>
      <c r="F221" s="884">
        <v>4074</v>
      </c>
      <c r="G221" s="884">
        <v>35</v>
      </c>
      <c r="H221" s="884">
        <v>212</v>
      </c>
      <c r="I221" s="884">
        <v>2612</v>
      </c>
      <c r="J221" s="884">
        <v>521</v>
      </c>
      <c r="K221" s="884">
        <v>2023</v>
      </c>
      <c r="L221" s="884">
        <v>862</v>
      </c>
      <c r="M221" s="884">
        <v>8288</v>
      </c>
      <c r="N221" s="884"/>
      <c r="Q221" s="921" t="s">
        <v>1213</v>
      </c>
      <c r="R221" s="921">
        <v>1780</v>
      </c>
      <c r="S221" s="922">
        <v>3</v>
      </c>
    </row>
    <row r="222" spans="1:20" s="878" customFormat="1">
      <c r="A222" s="882">
        <v>1781</v>
      </c>
      <c r="B222" s="878" t="s">
        <v>882</v>
      </c>
      <c r="C222" s="884">
        <v>11977</v>
      </c>
      <c r="D222" s="884">
        <v>1033</v>
      </c>
      <c r="E222" s="884">
        <v>279</v>
      </c>
      <c r="F222" s="884">
        <v>1312</v>
      </c>
      <c r="G222" s="884">
        <v>36</v>
      </c>
      <c r="H222" s="884">
        <v>75</v>
      </c>
      <c r="I222" s="884">
        <v>985</v>
      </c>
      <c r="J222" s="884">
        <v>287</v>
      </c>
      <c r="K222" s="884">
        <v>1041</v>
      </c>
      <c r="L222" s="884">
        <v>233</v>
      </c>
      <c r="M222" s="884">
        <v>3565</v>
      </c>
      <c r="N222" s="884"/>
      <c r="Q222" s="921" t="s">
        <v>1214</v>
      </c>
      <c r="R222" s="921">
        <v>1781</v>
      </c>
      <c r="S222" s="922">
        <v>3</v>
      </c>
    </row>
    <row r="223" spans="1:20" s="894" customFormat="1">
      <c r="A223" s="882">
        <v>1782</v>
      </c>
      <c r="B223" s="878" t="s">
        <v>883</v>
      </c>
      <c r="C223" s="884">
        <v>5618</v>
      </c>
      <c r="D223" s="884">
        <v>549</v>
      </c>
      <c r="E223" s="884">
        <v>100</v>
      </c>
      <c r="F223" s="884">
        <v>649</v>
      </c>
      <c r="G223" s="884">
        <v>13</v>
      </c>
      <c r="H223" s="884">
        <v>9</v>
      </c>
      <c r="I223" s="884">
        <v>453</v>
      </c>
      <c r="J223" s="884">
        <v>109</v>
      </c>
      <c r="K223" s="884">
        <v>447</v>
      </c>
      <c r="L223" s="884">
        <v>505</v>
      </c>
      <c r="M223" s="884">
        <v>1665</v>
      </c>
      <c r="N223" s="884"/>
      <c r="Q223" s="921" t="s">
        <v>1215</v>
      </c>
      <c r="R223" s="921">
        <v>1782</v>
      </c>
      <c r="S223" s="922">
        <v>3</v>
      </c>
    </row>
    <row r="224" spans="1:20" s="878" customFormat="1">
      <c r="A224" s="882">
        <v>1783</v>
      </c>
      <c r="B224" s="878" t="s">
        <v>884</v>
      </c>
      <c r="C224" s="884">
        <v>7220</v>
      </c>
      <c r="D224" s="884">
        <v>705</v>
      </c>
      <c r="E224" s="884">
        <v>96</v>
      </c>
      <c r="F224" s="884">
        <v>801</v>
      </c>
      <c r="G224" s="884">
        <v>4</v>
      </c>
      <c r="H224" s="884">
        <v>13</v>
      </c>
      <c r="I224" s="884">
        <v>575</v>
      </c>
      <c r="J224" s="884">
        <v>114</v>
      </c>
      <c r="K224" s="884">
        <v>1073</v>
      </c>
      <c r="L224" s="884">
        <v>478</v>
      </c>
      <c r="M224" s="884">
        <v>2480</v>
      </c>
      <c r="N224" s="884"/>
      <c r="Q224" s="921" t="s">
        <v>1216</v>
      </c>
      <c r="R224" s="921">
        <v>1783</v>
      </c>
      <c r="S224" s="922">
        <v>3</v>
      </c>
    </row>
    <row r="225" spans="1:20" s="878" customFormat="1">
      <c r="A225" s="882">
        <v>1784</v>
      </c>
      <c r="B225" s="878" t="s">
        <v>885</v>
      </c>
      <c r="C225" s="884">
        <v>14174</v>
      </c>
      <c r="D225" s="884">
        <v>1343</v>
      </c>
      <c r="E225" s="884">
        <v>206</v>
      </c>
      <c r="F225" s="884">
        <v>1549</v>
      </c>
      <c r="G225" s="884">
        <v>12</v>
      </c>
      <c r="H225" s="884">
        <v>22</v>
      </c>
      <c r="I225" s="884">
        <v>1061</v>
      </c>
      <c r="J225" s="884">
        <v>187</v>
      </c>
      <c r="K225" s="884">
        <v>2030</v>
      </c>
      <c r="L225" s="884">
        <v>767</v>
      </c>
      <c r="M225" s="884">
        <v>3321</v>
      </c>
      <c r="N225" s="884"/>
      <c r="Q225" s="921" t="s">
        <v>1217</v>
      </c>
      <c r="R225" s="921">
        <v>1784</v>
      </c>
      <c r="S225" s="922">
        <v>3</v>
      </c>
    </row>
    <row r="226" spans="1:20" s="878" customFormat="1">
      <c r="A226" s="882">
        <v>1785</v>
      </c>
      <c r="B226" s="878" t="s">
        <v>886</v>
      </c>
      <c r="C226" s="884">
        <v>8567</v>
      </c>
      <c r="D226" s="884">
        <v>859</v>
      </c>
      <c r="E226" s="884">
        <v>154</v>
      </c>
      <c r="F226" s="884">
        <v>1013</v>
      </c>
      <c r="G226" s="884">
        <v>15</v>
      </c>
      <c r="H226" s="884">
        <v>53</v>
      </c>
      <c r="I226" s="884">
        <v>537</v>
      </c>
      <c r="J226" s="884">
        <v>189</v>
      </c>
      <c r="K226" s="884">
        <v>1688</v>
      </c>
      <c r="L226" s="884">
        <v>364</v>
      </c>
      <c r="M226" s="884">
        <v>2706</v>
      </c>
      <c r="N226" s="884"/>
      <c r="Q226" s="921" t="s">
        <v>1218</v>
      </c>
      <c r="R226" s="921">
        <v>1785</v>
      </c>
      <c r="S226" s="922">
        <v>3</v>
      </c>
    </row>
    <row r="227" spans="1:20" s="878" customFormat="1" ht="11.4">
      <c r="A227" s="882" t="s">
        <v>887</v>
      </c>
      <c r="B227" s="878" t="s">
        <v>696</v>
      </c>
      <c r="C227" s="884">
        <v>3</v>
      </c>
      <c r="D227" s="884">
        <v>1</v>
      </c>
      <c r="E227" s="884">
        <v>0</v>
      </c>
      <c r="F227" s="884">
        <v>1</v>
      </c>
      <c r="G227" s="884">
        <v>0</v>
      </c>
      <c r="H227" s="884">
        <v>0</v>
      </c>
      <c r="I227" s="884">
        <v>0</v>
      </c>
      <c r="J227" s="884">
        <v>0</v>
      </c>
      <c r="K227" s="884">
        <v>0</v>
      </c>
      <c r="L227" s="884">
        <v>0</v>
      </c>
      <c r="M227" s="884">
        <v>0</v>
      </c>
      <c r="N227" s="884"/>
      <c r="S227" s="924">
        <v>3</v>
      </c>
    </row>
    <row r="228" spans="1:20" s="894" customFormat="1" ht="12">
      <c r="A228" s="890"/>
      <c r="B228" s="891" t="s">
        <v>888</v>
      </c>
      <c r="C228" s="892">
        <v>143651</v>
      </c>
      <c r="D228" s="892">
        <v>13353</v>
      </c>
      <c r="E228" s="892">
        <v>2503</v>
      </c>
      <c r="F228" s="892">
        <v>15856</v>
      </c>
      <c r="G228" s="892">
        <v>233</v>
      </c>
      <c r="H228" s="892">
        <v>488</v>
      </c>
      <c r="I228" s="892">
        <v>10255</v>
      </c>
      <c r="J228" s="892">
        <v>2360</v>
      </c>
      <c r="K228" s="892">
        <v>16573</v>
      </c>
      <c r="L228" s="892">
        <v>7617</v>
      </c>
      <c r="M228" s="892">
        <v>38686</v>
      </c>
      <c r="N228" s="892"/>
      <c r="S228" s="894" t="s">
        <v>1312</v>
      </c>
      <c r="T228" s="1104">
        <v>3</v>
      </c>
    </row>
    <row r="229" spans="1:20" s="878" customFormat="1">
      <c r="A229" s="882">
        <v>1814</v>
      </c>
      <c r="B229" s="878" t="s">
        <v>889</v>
      </c>
      <c r="C229" s="884">
        <v>4082</v>
      </c>
      <c r="D229" s="884">
        <v>517</v>
      </c>
      <c r="E229" s="884">
        <v>104</v>
      </c>
      <c r="F229" s="884">
        <v>621</v>
      </c>
      <c r="G229" s="884">
        <v>12</v>
      </c>
      <c r="H229" s="884">
        <v>5</v>
      </c>
      <c r="I229" s="884">
        <v>324</v>
      </c>
      <c r="J229" s="884">
        <v>63</v>
      </c>
      <c r="K229" s="884">
        <v>947</v>
      </c>
      <c r="L229" s="884">
        <v>133</v>
      </c>
      <c r="M229" s="884">
        <v>1385</v>
      </c>
      <c r="N229" s="884"/>
      <c r="Q229" s="921" t="s">
        <v>1219</v>
      </c>
      <c r="R229" s="921">
        <v>1814</v>
      </c>
      <c r="S229" s="922">
        <v>3</v>
      </c>
    </row>
    <row r="230" spans="1:20" s="878" customFormat="1">
      <c r="A230" s="882">
        <v>1860</v>
      </c>
      <c r="B230" s="878" t="s">
        <v>890</v>
      </c>
      <c r="C230" s="884">
        <v>3288</v>
      </c>
      <c r="D230" s="884">
        <v>407</v>
      </c>
      <c r="E230" s="884">
        <v>74</v>
      </c>
      <c r="F230" s="884">
        <v>481</v>
      </c>
      <c r="G230" s="884">
        <v>16</v>
      </c>
      <c r="H230" s="884">
        <v>0</v>
      </c>
      <c r="I230" s="884">
        <v>254</v>
      </c>
      <c r="J230" s="884">
        <v>77</v>
      </c>
      <c r="K230" s="884">
        <v>411</v>
      </c>
      <c r="L230" s="884">
        <v>83</v>
      </c>
      <c r="M230" s="884">
        <v>1130</v>
      </c>
      <c r="N230" s="884"/>
      <c r="Q230" s="921" t="s">
        <v>1220</v>
      </c>
      <c r="R230" s="921">
        <v>1860</v>
      </c>
      <c r="S230" s="922">
        <v>3</v>
      </c>
    </row>
    <row r="231" spans="1:20" s="878" customFormat="1">
      <c r="A231" s="882">
        <v>1861</v>
      </c>
      <c r="B231" s="878" t="s">
        <v>891</v>
      </c>
      <c r="C231" s="884">
        <v>8106</v>
      </c>
      <c r="D231" s="884">
        <v>989</v>
      </c>
      <c r="E231" s="884">
        <v>150</v>
      </c>
      <c r="F231" s="884">
        <v>1139</v>
      </c>
      <c r="G231" s="884">
        <v>12</v>
      </c>
      <c r="H231" s="884">
        <v>31</v>
      </c>
      <c r="I231" s="884">
        <v>542</v>
      </c>
      <c r="J231" s="884">
        <v>183</v>
      </c>
      <c r="K231" s="884">
        <v>947</v>
      </c>
      <c r="L231" s="884">
        <v>177</v>
      </c>
      <c r="M231" s="884">
        <v>2451</v>
      </c>
      <c r="N231" s="884"/>
      <c r="Q231" s="921" t="s">
        <v>1221</v>
      </c>
      <c r="R231" s="921">
        <v>1861</v>
      </c>
      <c r="S231" s="922">
        <v>3</v>
      </c>
    </row>
    <row r="232" spans="1:20" s="878" customFormat="1">
      <c r="A232" s="882">
        <v>1862</v>
      </c>
      <c r="B232" s="878" t="s">
        <v>892</v>
      </c>
      <c r="C232" s="884">
        <v>5193</v>
      </c>
      <c r="D232" s="884">
        <v>463</v>
      </c>
      <c r="E232" s="884">
        <v>52</v>
      </c>
      <c r="F232" s="884">
        <v>515</v>
      </c>
      <c r="G232" s="884">
        <v>3</v>
      </c>
      <c r="H232" s="884">
        <v>8</v>
      </c>
      <c r="I232" s="884">
        <v>441</v>
      </c>
      <c r="J232" s="884">
        <v>134</v>
      </c>
      <c r="K232" s="884">
        <v>473</v>
      </c>
      <c r="L232" s="884">
        <v>81</v>
      </c>
      <c r="M232" s="884">
        <v>1504</v>
      </c>
      <c r="N232" s="884"/>
      <c r="Q232" s="921" t="s">
        <v>1222</v>
      </c>
      <c r="R232" s="921">
        <v>1862</v>
      </c>
      <c r="S232" s="922">
        <v>3</v>
      </c>
    </row>
    <row r="233" spans="1:20" s="878" customFormat="1">
      <c r="A233" s="882">
        <v>1863</v>
      </c>
      <c r="B233" s="878" t="s">
        <v>893</v>
      </c>
      <c r="C233" s="884">
        <v>3596</v>
      </c>
      <c r="D233" s="884">
        <v>430</v>
      </c>
      <c r="E233" s="884">
        <v>73</v>
      </c>
      <c r="F233" s="884">
        <v>503</v>
      </c>
      <c r="G233" s="884">
        <v>9</v>
      </c>
      <c r="H233" s="884">
        <v>1</v>
      </c>
      <c r="I233" s="884">
        <v>269</v>
      </c>
      <c r="J233" s="884">
        <v>87</v>
      </c>
      <c r="K233" s="884">
        <v>361</v>
      </c>
      <c r="L233" s="884">
        <v>313</v>
      </c>
      <c r="M233" s="884">
        <v>1308</v>
      </c>
      <c r="N233" s="884"/>
      <c r="Q233" s="921" t="s">
        <v>1223</v>
      </c>
      <c r="R233" s="921">
        <v>1863</v>
      </c>
      <c r="S233" s="922">
        <v>3</v>
      </c>
    </row>
    <row r="234" spans="1:20" s="878" customFormat="1">
      <c r="A234" s="882">
        <v>1864</v>
      </c>
      <c r="B234" s="878" t="s">
        <v>894</v>
      </c>
      <c r="C234" s="884">
        <v>2691</v>
      </c>
      <c r="D234" s="884">
        <v>284</v>
      </c>
      <c r="E234" s="884">
        <v>65</v>
      </c>
      <c r="F234" s="884">
        <v>349</v>
      </c>
      <c r="G234" s="884">
        <v>5</v>
      </c>
      <c r="H234" s="884">
        <v>0</v>
      </c>
      <c r="I234" s="884">
        <v>180</v>
      </c>
      <c r="J234" s="884">
        <v>28</v>
      </c>
      <c r="K234" s="884">
        <v>256</v>
      </c>
      <c r="L234" s="884">
        <v>218</v>
      </c>
      <c r="M234" s="884">
        <v>927</v>
      </c>
      <c r="N234" s="884"/>
      <c r="Q234" s="921" t="s">
        <v>1224</v>
      </c>
      <c r="R234" s="921">
        <v>1864</v>
      </c>
      <c r="S234" s="922">
        <v>3</v>
      </c>
    </row>
    <row r="235" spans="1:20" s="878" customFormat="1">
      <c r="A235" s="882">
        <v>1880</v>
      </c>
      <c r="B235" s="878" t="s">
        <v>895</v>
      </c>
      <c r="C235" s="884">
        <v>58796</v>
      </c>
      <c r="D235" s="884">
        <v>5655</v>
      </c>
      <c r="E235" s="884">
        <v>1475</v>
      </c>
      <c r="F235" s="884">
        <v>7130</v>
      </c>
      <c r="G235" s="884">
        <v>145</v>
      </c>
      <c r="H235" s="884">
        <v>169</v>
      </c>
      <c r="I235" s="884">
        <v>3505</v>
      </c>
      <c r="J235" s="884">
        <v>770</v>
      </c>
      <c r="K235" s="884">
        <v>3190</v>
      </c>
      <c r="L235" s="884">
        <v>903</v>
      </c>
      <c r="M235" s="884">
        <v>12332</v>
      </c>
      <c r="N235" s="884"/>
      <c r="Q235" s="921" t="s">
        <v>1225</v>
      </c>
      <c r="R235" s="921">
        <v>1880</v>
      </c>
      <c r="S235" s="922">
        <v>3</v>
      </c>
    </row>
    <row r="236" spans="1:20" s="894" customFormat="1">
      <c r="A236" s="882">
        <v>1881</v>
      </c>
      <c r="B236" s="878" t="s">
        <v>896</v>
      </c>
      <c r="C236" s="884">
        <v>10140</v>
      </c>
      <c r="D236" s="884">
        <v>887</v>
      </c>
      <c r="E236" s="884">
        <v>132</v>
      </c>
      <c r="F236" s="884">
        <v>1019</v>
      </c>
      <c r="G236" s="884">
        <v>10</v>
      </c>
      <c r="H236" s="884">
        <v>33</v>
      </c>
      <c r="I236" s="884">
        <v>732</v>
      </c>
      <c r="J236" s="884">
        <v>223</v>
      </c>
      <c r="K236" s="884">
        <v>678</v>
      </c>
      <c r="L236" s="884">
        <v>167</v>
      </c>
      <c r="M236" s="884">
        <v>2697</v>
      </c>
      <c r="N236" s="884"/>
      <c r="Q236" s="921" t="s">
        <v>1226</v>
      </c>
      <c r="R236" s="921">
        <v>1881</v>
      </c>
      <c r="S236" s="922">
        <v>3</v>
      </c>
    </row>
    <row r="237" spans="1:20" s="878" customFormat="1">
      <c r="A237" s="882">
        <v>1882</v>
      </c>
      <c r="B237" s="878" t="s">
        <v>897</v>
      </c>
      <c r="C237" s="884">
        <v>6462</v>
      </c>
      <c r="D237" s="884">
        <v>842</v>
      </c>
      <c r="E237" s="884">
        <v>114</v>
      </c>
      <c r="F237" s="884">
        <v>956</v>
      </c>
      <c r="G237" s="884">
        <v>6</v>
      </c>
      <c r="H237" s="884">
        <v>11</v>
      </c>
      <c r="I237" s="884">
        <v>485</v>
      </c>
      <c r="J237" s="884">
        <v>142</v>
      </c>
      <c r="K237" s="884">
        <v>1032</v>
      </c>
      <c r="L237" s="884">
        <v>203</v>
      </c>
      <c r="M237" s="884">
        <v>2069</v>
      </c>
      <c r="N237" s="884"/>
      <c r="Q237" s="921" t="s">
        <v>1227</v>
      </c>
      <c r="R237" s="921">
        <v>1882</v>
      </c>
      <c r="S237" s="922">
        <v>3</v>
      </c>
    </row>
    <row r="238" spans="1:20" s="878" customFormat="1">
      <c r="A238" s="882">
        <v>1883</v>
      </c>
      <c r="B238" s="878" t="s">
        <v>898</v>
      </c>
      <c r="C238" s="884">
        <v>14613</v>
      </c>
      <c r="D238" s="884">
        <v>1173</v>
      </c>
      <c r="E238" s="884">
        <v>179</v>
      </c>
      <c r="F238" s="884">
        <v>1352</v>
      </c>
      <c r="G238" s="884">
        <v>16</v>
      </c>
      <c r="H238" s="884">
        <v>12</v>
      </c>
      <c r="I238" s="884">
        <v>1128</v>
      </c>
      <c r="J238" s="884">
        <v>272</v>
      </c>
      <c r="K238" s="884">
        <v>610</v>
      </c>
      <c r="L238" s="884">
        <v>215</v>
      </c>
      <c r="M238" s="884">
        <v>3503</v>
      </c>
      <c r="N238" s="884"/>
      <c r="Q238" s="921" t="s">
        <v>1228</v>
      </c>
      <c r="R238" s="921">
        <v>1883</v>
      </c>
      <c r="S238" s="922">
        <v>3</v>
      </c>
    </row>
    <row r="239" spans="1:20" s="878" customFormat="1">
      <c r="A239" s="882">
        <v>1884</v>
      </c>
      <c r="B239" s="878" t="s">
        <v>899</v>
      </c>
      <c r="C239" s="884">
        <v>5408</v>
      </c>
      <c r="D239" s="884">
        <v>688</v>
      </c>
      <c r="E239" s="884">
        <v>81</v>
      </c>
      <c r="F239" s="884">
        <v>769</v>
      </c>
      <c r="G239" s="884">
        <v>3</v>
      </c>
      <c r="H239" s="884">
        <v>2</v>
      </c>
      <c r="I239" s="884">
        <v>359</v>
      </c>
      <c r="J239" s="884">
        <v>111</v>
      </c>
      <c r="K239" s="884">
        <v>553</v>
      </c>
      <c r="L239" s="884">
        <v>333</v>
      </c>
      <c r="M239" s="884">
        <v>1634</v>
      </c>
      <c r="N239" s="884"/>
      <c r="Q239" s="921" t="s">
        <v>1229</v>
      </c>
      <c r="R239" s="921">
        <v>1884</v>
      </c>
      <c r="S239" s="922">
        <v>3</v>
      </c>
    </row>
    <row r="240" spans="1:20" s="878" customFormat="1">
      <c r="A240" s="882">
        <v>1885</v>
      </c>
      <c r="B240" s="878" t="s">
        <v>900</v>
      </c>
      <c r="C240" s="884">
        <v>12496</v>
      </c>
      <c r="D240" s="884">
        <v>1261</v>
      </c>
      <c r="E240" s="884">
        <v>210</v>
      </c>
      <c r="F240" s="884">
        <v>1471</v>
      </c>
      <c r="G240" s="884">
        <v>12</v>
      </c>
      <c r="H240" s="884">
        <v>35</v>
      </c>
      <c r="I240" s="884">
        <v>956</v>
      </c>
      <c r="J240" s="884">
        <v>247</v>
      </c>
      <c r="K240" s="884">
        <v>1834</v>
      </c>
      <c r="L240" s="884">
        <v>536</v>
      </c>
      <c r="M240" s="884">
        <v>3833</v>
      </c>
      <c r="N240" s="884"/>
      <c r="Q240" s="921" t="s">
        <v>1230</v>
      </c>
      <c r="R240" s="921">
        <v>1885</v>
      </c>
      <c r="S240" s="922">
        <v>3</v>
      </c>
    </row>
    <row r="241" spans="1:20" s="894" customFormat="1" ht="12">
      <c r="A241" s="890"/>
      <c r="B241" s="891" t="s">
        <v>901</v>
      </c>
      <c r="C241" s="892">
        <v>134871</v>
      </c>
      <c r="D241" s="892">
        <v>13596</v>
      </c>
      <c r="E241" s="892">
        <v>2709</v>
      </c>
      <c r="F241" s="892">
        <v>16305</v>
      </c>
      <c r="G241" s="892">
        <v>249</v>
      </c>
      <c r="H241" s="892">
        <v>307</v>
      </c>
      <c r="I241" s="892">
        <v>9175</v>
      </c>
      <c r="J241" s="892">
        <v>2337</v>
      </c>
      <c r="K241" s="892">
        <v>11292</v>
      </c>
      <c r="L241" s="892">
        <v>3362</v>
      </c>
      <c r="M241" s="892">
        <v>34773</v>
      </c>
      <c r="N241" s="892"/>
      <c r="S241" s="894" t="s">
        <v>1312</v>
      </c>
      <c r="T241" s="1104">
        <v>3</v>
      </c>
    </row>
    <row r="242" spans="1:20" s="894" customFormat="1">
      <c r="A242" s="882">
        <v>1904</v>
      </c>
      <c r="B242" s="878" t="s">
        <v>902</v>
      </c>
      <c r="C242" s="884">
        <v>2535</v>
      </c>
      <c r="D242" s="884">
        <v>245</v>
      </c>
      <c r="E242" s="884">
        <v>53</v>
      </c>
      <c r="F242" s="884">
        <v>298</v>
      </c>
      <c r="G242" s="884">
        <v>3</v>
      </c>
      <c r="H242" s="884">
        <v>6</v>
      </c>
      <c r="I242" s="884">
        <v>157</v>
      </c>
      <c r="J242" s="884">
        <v>34</v>
      </c>
      <c r="K242" s="884">
        <v>307</v>
      </c>
      <c r="L242" s="884">
        <v>171</v>
      </c>
      <c r="M242" s="884">
        <v>827</v>
      </c>
      <c r="N242" s="884"/>
      <c r="Q242" s="921" t="s">
        <v>1231</v>
      </c>
      <c r="R242" s="921">
        <v>1904</v>
      </c>
      <c r="S242" s="922">
        <v>3</v>
      </c>
    </row>
    <row r="243" spans="1:20" s="878" customFormat="1">
      <c r="A243" s="882">
        <v>1907</v>
      </c>
      <c r="B243" s="878" t="s">
        <v>903</v>
      </c>
      <c r="C243" s="884">
        <v>5239</v>
      </c>
      <c r="D243" s="884">
        <v>370</v>
      </c>
      <c r="E243" s="884">
        <v>53</v>
      </c>
      <c r="F243" s="884">
        <v>423</v>
      </c>
      <c r="G243" s="884">
        <v>19</v>
      </c>
      <c r="H243" s="884">
        <v>15</v>
      </c>
      <c r="I243" s="884">
        <v>474</v>
      </c>
      <c r="J243" s="884">
        <v>66</v>
      </c>
      <c r="K243" s="884">
        <v>208</v>
      </c>
      <c r="L243" s="884">
        <v>173</v>
      </c>
      <c r="M243" s="884">
        <v>1458</v>
      </c>
      <c r="N243" s="884"/>
      <c r="Q243" s="921" t="s">
        <v>1232</v>
      </c>
      <c r="R243" s="921">
        <v>1907</v>
      </c>
      <c r="S243" s="922">
        <v>3</v>
      </c>
    </row>
    <row r="244" spans="1:20" s="878" customFormat="1">
      <c r="A244" s="882">
        <v>1960</v>
      </c>
      <c r="B244" s="878" t="s">
        <v>904</v>
      </c>
      <c r="C244" s="884">
        <v>4276</v>
      </c>
      <c r="D244" s="884">
        <v>448</v>
      </c>
      <c r="E244" s="884">
        <v>91</v>
      </c>
      <c r="F244" s="884">
        <v>539</v>
      </c>
      <c r="G244" s="884">
        <v>18</v>
      </c>
      <c r="H244" s="884">
        <v>0</v>
      </c>
      <c r="I244" s="884">
        <v>378</v>
      </c>
      <c r="J244" s="884">
        <v>78</v>
      </c>
      <c r="K244" s="884">
        <v>386</v>
      </c>
      <c r="L244" s="884">
        <v>67</v>
      </c>
      <c r="M244" s="884">
        <v>1230</v>
      </c>
      <c r="N244" s="884"/>
      <c r="Q244" s="921" t="s">
        <v>1233</v>
      </c>
      <c r="R244" s="921">
        <v>1960</v>
      </c>
      <c r="S244" s="922">
        <v>3</v>
      </c>
    </row>
    <row r="245" spans="1:20" s="878" customFormat="1">
      <c r="A245" s="882">
        <v>1961</v>
      </c>
      <c r="B245" s="878" t="s">
        <v>905</v>
      </c>
      <c r="C245" s="884">
        <v>7644</v>
      </c>
      <c r="D245" s="884">
        <v>708</v>
      </c>
      <c r="E245" s="884">
        <v>103</v>
      </c>
      <c r="F245" s="884">
        <v>811</v>
      </c>
      <c r="G245" s="884">
        <v>12</v>
      </c>
      <c r="H245" s="884">
        <v>0</v>
      </c>
      <c r="I245" s="884">
        <v>559</v>
      </c>
      <c r="J245" s="884">
        <v>124</v>
      </c>
      <c r="K245" s="884">
        <v>400</v>
      </c>
      <c r="L245" s="884">
        <v>129</v>
      </c>
      <c r="M245" s="884">
        <v>2059</v>
      </c>
      <c r="N245" s="884"/>
      <c r="Q245" s="921" t="s">
        <v>1234</v>
      </c>
      <c r="R245" s="921">
        <v>1961</v>
      </c>
      <c r="S245" s="922">
        <v>3</v>
      </c>
    </row>
    <row r="246" spans="1:20" s="878" customFormat="1">
      <c r="A246" s="882">
        <v>1962</v>
      </c>
      <c r="B246" s="878" t="s">
        <v>906</v>
      </c>
      <c r="C246" s="884">
        <v>3047</v>
      </c>
      <c r="D246" s="884">
        <v>356</v>
      </c>
      <c r="E246" s="884">
        <v>36</v>
      </c>
      <c r="F246" s="884">
        <v>392</v>
      </c>
      <c r="G246" s="884">
        <v>0</v>
      </c>
      <c r="H246" s="884">
        <v>9</v>
      </c>
      <c r="I246" s="884">
        <v>245</v>
      </c>
      <c r="J246" s="884">
        <v>27</v>
      </c>
      <c r="K246" s="884">
        <v>230</v>
      </c>
      <c r="L246" s="884">
        <v>174</v>
      </c>
      <c r="M246" s="884">
        <v>981</v>
      </c>
      <c r="N246" s="884"/>
      <c r="Q246" s="921" t="s">
        <v>1235</v>
      </c>
      <c r="R246" s="921">
        <v>1962</v>
      </c>
      <c r="S246" s="922">
        <v>3</v>
      </c>
    </row>
    <row r="247" spans="1:20" s="878" customFormat="1">
      <c r="A247" s="882">
        <v>1980</v>
      </c>
      <c r="B247" s="878" t="s">
        <v>907</v>
      </c>
      <c r="C247" s="884">
        <v>60681</v>
      </c>
      <c r="D247" s="884">
        <v>4693</v>
      </c>
      <c r="E247" s="884">
        <v>880</v>
      </c>
      <c r="F247" s="884">
        <v>5573</v>
      </c>
      <c r="G247" s="884">
        <v>81</v>
      </c>
      <c r="H247" s="884">
        <v>261</v>
      </c>
      <c r="I247" s="884">
        <v>3259</v>
      </c>
      <c r="J247" s="884">
        <v>355</v>
      </c>
      <c r="K247" s="884">
        <v>1605</v>
      </c>
      <c r="L247" s="884">
        <v>887</v>
      </c>
      <c r="M247" s="884">
        <v>10509</v>
      </c>
      <c r="N247" s="884"/>
      <c r="Q247" s="921" t="s">
        <v>1236</v>
      </c>
      <c r="R247" s="921">
        <v>1980</v>
      </c>
      <c r="S247" s="922">
        <v>3</v>
      </c>
    </row>
    <row r="248" spans="1:20" s="878" customFormat="1">
      <c r="A248" s="882">
        <v>1981</v>
      </c>
      <c r="B248" s="878" t="s">
        <v>908</v>
      </c>
      <c r="C248" s="884">
        <v>11270</v>
      </c>
      <c r="D248" s="884">
        <v>1426</v>
      </c>
      <c r="E248" s="884">
        <v>224</v>
      </c>
      <c r="F248" s="884">
        <v>1650</v>
      </c>
      <c r="G248" s="884">
        <v>8</v>
      </c>
      <c r="H248" s="884">
        <v>6</v>
      </c>
      <c r="I248" s="884">
        <v>883</v>
      </c>
      <c r="J248" s="884">
        <v>145</v>
      </c>
      <c r="K248" s="884">
        <v>1866</v>
      </c>
      <c r="L248" s="884">
        <v>487</v>
      </c>
      <c r="M248" s="884">
        <v>3648</v>
      </c>
      <c r="N248" s="884"/>
      <c r="Q248" s="921" t="s">
        <v>1237</v>
      </c>
      <c r="R248" s="921">
        <v>1981</v>
      </c>
      <c r="S248" s="922">
        <v>3</v>
      </c>
    </row>
    <row r="249" spans="1:20" s="878" customFormat="1" ht="13.5" customHeight="1">
      <c r="A249" s="882">
        <v>1982</v>
      </c>
      <c r="B249" s="878" t="s">
        <v>909</v>
      </c>
      <c r="C249" s="884">
        <v>6162</v>
      </c>
      <c r="D249" s="884">
        <v>599</v>
      </c>
      <c r="E249" s="884">
        <v>79</v>
      </c>
      <c r="F249" s="884">
        <v>678</v>
      </c>
      <c r="G249" s="884">
        <v>4</v>
      </c>
      <c r="H249" s="884">
        <v>1</v>
      </c>
      <c r="I249" s="884">
        <v>366</v>
      </c>
      <c r="J249" s="884">
        <v>54</v>
      </c>
      <c r="K249" s="884">
        <v>216</v>
      </c>
      <c r="L249" s="884">
        <v>232</v>
      </c>
      <c r="M249" s="884">
        <v>1688</v>
      </c>
      <c r="N249" s="884"/>
      <c r="Q249" s="921" t="s">
        <v>1238</v>
      </c>
      <c r="R249" s="921">
        <v>1982</v>
      </c>
      <c r="S249" s="922">
        <v>3</v>
      </c>
    </row>
    <row r="250" spans="1:20" s="894" customFormat="1">
      <c r="A250" s="882">
        <v>1983</v>
      </c>
      <c r="B250" s="878" t="s">
        <v>910</v>
      </c>
      <c r="C250" s="884">
        <v>12299</v>
      </c>
      <c r="D250" s="884">
        <v>1053</v>
      </c>
      <c r="E250" s="884">
        <v>159</v>
      </c>
      <c r="F250" s="884">
        <v>1212</v>
      </c>
      <c r="G250" s="884">
        <v>10</v>
      </c>
      <c r="H250" s="884">
        <v>8</v>
      </c>
      <c r="I250" s="884">
        <v>852</v>
      </c>
      <c r="J250" s="884">
        <v>158</v>
      </c>
      <c r="K250" s="884">
        <v>1086</v>
      </c>
      <c r="L250" s="884">
        <v>251</v>
      </c>
      <c r="M250" s="884">
        <v>3267</v>
      </c>
      <c r="N250" s="884"/>
      <c r="Q250" s="921" t="s">
        <v>1239</v>
      </c>
      <c r="R250" s="921">
        <v>1983</v>
      </c>
      <c r="S250" s="922">
        <v>3</v>
      </c>
    </row>
    <row r="251" spans="1:20" s="878" customFormat="1">
      <c r="A251" s="882">
        <v>1984</v>
      </c>
      <c r="B251" s="878" t="s">
        <v>911</v>
      </c>
      <c r="C251" s="884">
        <v>6681</v>
      </c>
      <c r="D251" s="884">
        <v>624</v>
      </c>
      <c r="E251" s="884">
        <v>115</v>
      </c>
      <c r="F251" s="884">
        <v>739</v>
      </c>
      <c r="G251" s="884">
        <v>10</v>
      </c>
      <c r="H251" s="884">
        <v>27</v>
      </c>
      <c r="I251" s="884">
        <v>498</v>
      </c>
      <c r="J251" s="884">
        <v>90</v>
      </c>
      <c r="K251" s="884">
        <v>668</v>
      </c>
      <c r="L251" s="884">
        <v>145</v>
      </c>
      <c r="M251" s="884">
        <v>1695</v>
      </c>
      <c r="N251" s="884"/>
      <c r="Q251" s="921" t="s">
        <v>1240</v>
      </c>
      <c r="R251" s="921">
        <v>1984</v>
      </c>
      <c r="S251" s="922">
        <v>3</v>
      </c>
    </row>
    <row r="252" spans="1:20" s="878" customFormat="1">
      <c r="A252" s="882" t="s">
        <v>912</v>
      </c>
      <c r="B252" s="878" t="s">
        <v>696</v>
      </c>
      <c r="C252" s="884">
        <v>2</v>
      </c>
      <c r="D252" s="884">
        <v>1</v>
      </c>
      <c r="E252" s="884">
        <v>0</v>
      </c>
      <c r="F252" s="884">
        <v>1</v>
      </c>
      <c r="G252" s="884">
        <v>0</v>
      </c>
      <c r="H252" s="884">
        <v>0</v>
      </c>
      <c r="I252" s="884">
        <v>0</v>
      </c>
      <c r="J252" s="884">
        <v>0</v>
      </c>
      <c r="K252" s="884">
        <v>0</v>
      </c>
      <c r="L252" s="884">
        <v>0</v>
      </c>
      <c r="M252" s="884">
        <v>1</v>
      </c>
      <c r="N252" s="884"/>
      <c r="Q252" s="921"/>
      <c r="R252" s="921"/>
      <c r="S252" s="924">
        <v>3</v>
      </c>
    </row>
    <row r="253" spans="1:20" s="894" customFormat="1" ht="12">
      <c r="A253" s="890"/>
      <c r="B253" s="891" t="s">
        <v>913</v>
      </c>
      <c r="C253" s="892">
        <v>119836</v>
      </c>
      <c r="D253" s="892">
        <v>10523</v>
      </c>
      <c r="E253" s="892">
        <v>1793</v>
      </c>
      <c r="F253" s="892">
        <v>12316</v>
      </c>
      <c r="G253" s="892">
        <v>165</v>
      </c>
      <c r="H253" s="892">
        <v>333</v>
      </c>
      <c r="I253" s="892">
        <v>7671</v>
      </c>
      <c r="J253" s="892">
        <v>1131</v>
      </c>
      <c r="K253" s="892">
        <v>6972</v>
      </c>
      <c r="L253" s="892">
        <v>2716</v>
      </c>
      <c r="M253" s="892">
        <v>27363</v>
      </c>
      <c r="N253" s="892"/>
      <c r="S253" s="894" t="s">
        <v>1312</v>
      </c>
      <c r="T253" s="1104">
        <v>3</v>
      </c>
    </row>
    <row r="254" spans="1:20" s="878" customFormat="1">
      <c r="A254" s="882">
        <v>2021</v>
      </c>
      <c r="B254" s="878" t="s">
        <v>914</v>
      </c>
      <c r="C254" s="884">
        <v>4051</v>
      </c>
      <c r="D254" s="884">
        <v>537</v>
      </c>
      <c r="E254" s="884">
        <v>122</v>
      </c>
      <c r="F254" s="884">
        <v>659</v>
      </c>
      <c r="G254" s="884">
        <v>3</v>
      </c>
      <c r="H254" s="884">
        <v>3</v>
      </c>
      <c r="I254" s="884">
        <v>337</v>
      </c>
      <c r="J254" s="884">
        <v>80</v>
      </c>
      <c r="K254" s="884">
        <v>657</v>
      </c>
      <c r="L254" s="884">
        <v>842</v>
      </c>
      <c r="M254" s="884">
        <v>1824</v>
      </c>
      <c r="N254" s="884"/>
      <c r="Q254" s="921" t="s">
        <v>1241</v>
      </c>
      <c r="R254" s="921">
        <v>2021</v>
      </c>
      <c r="S254" s="922">
        <v>3</v>
      </c>
    </row>
    <row r="255" spans="1:20" s="878" customFormat="1">
      <c r="A255" s="882">
        <v>2023</v>
      </c>
      <c r="B255" s="878" t="s">
        <v>915</v>
      </c>
      <c r="C255" s="884">
        <v>6614</v>
      </c>
      <c r="D255" s="884">
        <v>953</v>
      </c>
      <c r="E255" s="884">
        <v>135</v>
      </c>
      <c r="F255" s="884">
        <v>1088</v>
      </c>
      <c r="G255" s="884">
        <v>11</v>
      </c>
      <c r="H255" s="884">
        <v>13</v>
      </c>
      <c r="I255" s="884">
        <v>454</v>
      </c>
      <c r="J255" s="884">
        <v>123</v>
      </c>
      <c r="K255" s="884">
        <v>826</v>
      </c>
      <c r="L255" s="884">
        <v>2099</v>
      </c>
      <c r="M255" s="884">
        <v>2893</v>
      </c>
      <c r="N255" s="884"/>
      <c r="Q255" s="921" t="s">
        <v>1242</v>
      </c>
      <c r="R255" s="921">
        <v>2023</v>
      </c>
      <c r="S255" s="922">
        <v>3</v>
      </c>
    </row>
    <row r="256" spans="1:20" s="894" customFormat="1">
      <c r="A256" s="882">
        <v>2026</v>
      </c>
      <c r="B256" s="878" t="s">
        <v>916</v>
      </c>
      <c r="C256" s="884">
        <v>6104</v>
      </c>
      <c r="D256" s="884">
        <v>636</v>
      </c>
      <c r="E256" s="884">
        <v>78</v>
      </c>
      <c r="F256" s="884">
        <v>714</v>
      </c>
      <c r="G256" s="884">
        <v>4</v>
      </c>
      <c r="H256" s="884">
        <v>4</v>
      </c>
      <c r="I256" s="884">
        <v>474</v>
      </c>
      <c r="J256" s="884">
        <v>85</v>
      </c>
      <c r="K256" s="884">
        <v>654</v>
      </c>
      <c r="L256" s="884">
        <v>841</v>
      </c>
      <c r="M256" s="884">
        <v>2182</v>
      </c>
      <c r="N256" s="884"/>
      <c r="Q256" s="921" t="s">
        <v>1243</v>
      </c>
      <c r="R256" s="921">
        <v>2026</v>
      </c>
      <c r="S256" s="923">
        <v>3</v>
      </c>
    </row>
    <row r="257" spans="1:20" s="894" customFormat="1">
      <c r="A257" s="882">
        <v>2029</v>
      </c>
      <c r="B257" s="878" t="s">
        <v>917</v>
      </c>
      <c r="C257" s="884">
        <v>8855</v>
      </c>
      <c r="D257" s="884">
        <v>1082</v>
      </c>
      <c r="E257" s="884">
        <v>143</v>
      </c>
      <c r="F257" s="884">
        <v>1225</v>
      </c>
      <c r="G257" s="884">
        <v>2</v>
      </c>
      <c r="H257" s="884">
        <v>0</v>
      </c>
      <c r="I257" s="884">
        <v>545</v>
      </c>
      <c r="J257" s="884">
        <v>171</v>
      </c>
      <c r="K257" s="884">
        <v>1170</v>
      </c>
      <c r="L257" s="884">
        <v>1287</v>
      </c>
      <c r="M257" s="884">
        <v>3167</v>
      </c>
      <c r="N257" s="884"/>
      <c r="Q257" s="921" t="s">
        <v>1244</v>
      </c>
      <c r="R257" s="921">
        <v>2029</v>
      </c>
      <c r="S257" s="922">
        <v>3</v>
      </c>
    </row>
    <row r="258" spans="1:20" s="878" customFormat="1">
      <c r="A258" s="882">
        <v>2031</v>
      </c>
      <c r="B258" s="878" t="s">
        <v>918</v>
      </c>
      <c r="C258" s="884">
        <v>6356</v>
      </c>
      <c r="D258" s="884">
        <v>799</v>
      </c>
      <c r="E258" s="884">
        <v>129</v>
      </c>
      <c r="F258" s="884">
        <v>928</v>
      </c>
      <c r="G258" s="884">
        <v>4</v>
      </c>
      <c r="H258" s="884">
        <v>4</v>
      </c>
      <c r="I258" s="884">
        <v>430</v>
      </c>
      <c r="J258" s="884">
        <v>117</v>
      </c>
      <c r="K258" s="884">
        <v>939</v>
      </c>
      <c r="L258" s="884">
        <v>1057</v>
      </c>
      <c r="M258" s="884">
        <v>2368</v>
      </c>
      <c r="N258" s="884"/>
      <c r="Q258" s="921" t="s">
        <v>1245</v>
      </c>
      <c r="R258" s="921">
        <v>2031</v>
      </c>
      <c r="S258" s="922">
        <v>3</v>
      </c>
    </row>
    <row r="259" spans="1:20" s="878" customFormat="1">
      <c r="A259" s="882">
        <v>2034</v>
      </c>
      <c r="B259" s="878" t="s">
        <v>919</v>
      </c>
      <c r="C259" s="884">
        <v>3876</v>
      </c>
      <c r="D259" s="884">
        <v>501</v>
      </c>
      <c r="E259" s="884">
        <v>47</v>
      </c>
      <c r="F259" s="884">
        <v>548</v>
      </c>
      <c r="G259" s="884">
        <v>3</v>
      </c>
      <c r="H259" s="884">
        <v>12</v>
      </c>
      <c r="I259" s="884">
        <v>253</v>
      </c>
      <c r="J259" s="884">
        <v>55</v>
      </c>
      <c r="K259" s="884">
        <v>561</v>
      </c>
      <c r="L259" s="884">
        <v>857</v>
      </c>
      <c r="M259" s="884">
        <v>1599</v>
      </c>
      <c r="N259" s="884"/>
      <c r="Q259" s="921" t="s">
        <v>1246</v>
      </c>
      <c r="R259" s="921">
        <v>2034</v>
      </c>
      <c r="S259" s="922">
        <v>3</v>
      </c>
    </row>
    <row r="260" spans="1:20" s="878" customFormat="1">
      <c r="A260" s="882">
        <v>2039</v>
      </c>
      <c r="B260" s="878" t="s">
        <v>920</v>
      </c>
      <c r="C260" s="884">
        <v>4666</v>
      </c>
      <c r="D260" s="884">
        <v>680</v>
      </c>
      <c r="E260" s="884">
        <v>111</v>
      </c>
      <c r="F260" s="884">
        <v>791</v>
      </c>
      <c r="G260" s="884">
        <v>6</v>
      </c>
      <c r="H260" s="884">
        <v>7</v>
      </c>
      <c r="I260" s="884">
        <v>222</v>
      </c>
      <c r="J260" s="884">
        <v>47</v>
      </c>
      <c r="K260" s="884">
        <v>693</v>
      </c>
      <c r="L260" s="884">
        <v>2202</v>
      </c>
      <c r="M260" s="884">
        <v>2247</v>
      </c>
      <c r="N260" s="884"/>
      <c r="Q260" s="921" t="s">
        <v>1247</v>
      </c>
      <c r="R260" s="921">
        <v>2039</v>
      </c>
      <c r="S260" s="922">
        <v>3</v>
      </c>
    </row>
    <row r="261" spans="1:20" s="878" customFormat="1">
      <c r="A261" s="882">
        <v>2061</v>
      </c>
      <c r="B261" s="878" t="s">
        <v>921</v>
      </c>
      <c r="C261" s="884">
        <v>6019</v>
      </c>
      <c r="D261" s="884">
        <v>645</v>
      </c>
      <c r="E261" s="884">
        <v>115</v>
      </c>
      <c r="F261" s="884">
        <v>760</v>
      </c>
      <c r="G261" s="884">
        <v>9</v>
      </c>
      <c r="H261" s="884">
        <v>18</v>
      </c>
      <c r="I261" s="884">
        <v>515</v>
      </c>
      <c r="J261" s="884">
        <v>124</v>
      </c>
      <c r="K261" s="884">
        <v>567</v>
      </c>
      <c r="L261" s="884">
        <v>438</v>
      </c>
      <c r="M261" s="884">
        <v>2166</v>
      </c>
      <c r="N261" s="884"/>
      <c r="Q261" s="921" t="s">
        <v>1248</v>
      </c>
      <c r="R261" s="921">
        <v>2061</v>
      </c>
      <c r="S261" s="922">
        <v>3</v>
      </c>
    </row>
    <row r="262" spans="1:20" s="894" customFormat="1">
      <c r="A262" s="882">
        <v>2062</v>
      </c>
      <c r="B262" s="878" t="s">
        <v>922</v>
      </c>
      <c r="C262" s="884">
        <v>11898</v>
      </c>
      <c r="D262" s="884">
        <v>1377</v>
      </c>
      <c r="E262" s="884">
        <v>256</v>
      </c>
      <c r="F262" s="884">
        <v>1633</v>
      </c>
      <c r="G262" s="884">
        <v>16</v>
      </c>
      <c r="H262" s="884">
        <v>4</v>
      </c>
      <c r="I262" s="884">
        <v>741</v>
      </c>
      <c r="J262" s="884">
        <v>109</v>
      </c>
      <c r="K262" s="884">
        <v>1446</v>
      </c>
      <c r="L262" s="884">
        <v>2439</v>
      </c>
      <c r="M262" s="884">
        <v>4570</v>
      </c>
      <c r="N262" s="884"/>
      <c r="Q262" s="921" t="s">
        <v>1249</v>
      </c>
      <c r="R262" s="921">
        <v>2062</v>
      </c>
      <c r="S262" s="922">
        <v>3</v>
      </c>
    </row>
    <row r="263" spans="1:20" s="878" customFormat="1">
      <c r="A263" s="882">
        <v>2080</v>
      </c>
      <c r="B263" s="878" t="s">
        <v>923</v>
      </c>
      <c r="C263" s="884">
        <v>27774</v>
      </c>
      <c r="D263" s="884">
        <v>2619</v>
      </c>
      <c r="E263" s="884">
        <v>513</v>
      </c>
      <c r="F263" s="884">
        <v>3132</v>
      </c>
      <c r="G263" s="884">
        <v>21</v>
      </c>
      <c r="H263" s="884">
        <v>164</v>
      </c>
      <c r="I263" s="884">
        <v>2130</v>
      </c>
      <c r="J263" s="884">
        <v>384</v>
      </c>
      <c r="K263" s="884">
        <v>2114</v>
      </c>
      <c r="L263" s="884">
        <v>2652</v>
      </c>
      <c r="M263" s="884">
        <v>7639</v>
      </c>
      <c r="N263" s="884"/>
      <c r="Q263" s="921" t="s">
        <v>1250</v>
      </c>
      <c r="R263" s="921">
        <v>2080</v>
      </c>
      <c r="S263" s="922">
        <v>3</v>
      </c>
    </row>
    <row r="264" spans="1:20" s="878" customFormat="1">
      <c r="A264" s="882">
        <v>2081</v>
      </c>
      <c r="B264" s="878" t="s">
        <v>924</v>
      </c>
      <c r="C264" s="884">
        <v>23948</v>
      </c>
      <c r="D264" s="884">
        <v>2337</v>
      </c>
      <c r="E264" s="884">
        <v>544</v>
      </c>
      <c r="F264" s="884">
        <v>2881</v>
      </c>
      <c r="G264" s="884">
        <v>38</v>
      </c>
      <c r="H264" s="884">
        <v>154</v>
      </c>
      <c r="I264" s="884">
        <v>1865</v>
      </c>
      <c r="J264" s="884">
        <v>408</v>
      </c>
      <c r="K264" s="884">
        <v>1233</v>
      </c>
      <c r="L264" s="884">
        <v>1745</v>
      </c>
      <c r="M264" s="884">
        <v>6811</v>
      </c>
      <c r="N264" s="884"/>
      <c r="Q264" s="921" t="s">
        <v>1251</v>
      </c>
      <c r="R264" s="921">
        <v>2081</v>
      </c>
      <c r="S264" s="922">
        <v>3</v>
      </c>
    </row>
    <row r="265" spans="1:20" s="878" customFormat="1">
      <c r="A265" s="882">
        <v>2082</v>
      </c>
      <c r="B265" s="878" t="s">
        <v>925</v>
      </c>
      <c r="C265" s="884">
        <v>6286</v>
      </c>
      <c r="D265" s="884">
        <v>777</v>
      </c>
      <c r="E265" s="884">
        <v>122</v>
      </c>
      <c r="F265" s="884">
        <v>899</v>
      </c>
      <c r="G265" s="884">
        <v>8</v>
      </c>
      <c r="H265" s="884">
        <v>8</v>
      </c>
      <c r="I265" s="884">
        <v>564</v>
      </c>
      <c r="J265" s="884">
        <v>118</v>
      </c>
      <c r="K265" s="884">
        <v>996</v>
      </c>
      <c r="L265" s="884">
        <v>729</v>
      </c>
      <c r="M265" s="884">
        <v>2061</v>
      </c>
      <c r="N265" s="884"/>
      <c r="Q265" s="921" t="s">
        <v>1252</v>
      </c>
      <c r="R265" s="921">
        <v>2082</v>
      </c>
      <c r="S265" s="922">
        <v>3</v>
      </c>
    </row>
    <row r="266" spans="1:20" s="878" customFormat="1">
      <c r="A266" s="882">
        <v>2083</v>
      </c>
      <c r="B266" s="878" t="s">
        <v>926</v>
      </c>
      <c r="C266" s="884">
        <v>8481</v>
      </c>
      <c r="D266" s="884">
        <v>1032</v>
      </c>
      <c r="E266" s="884">
        <v>190</v>
      </c>
      <c r="F266" s="884">
        <v>1222</v>
      </c>
      <c r="G266" s="884">
        <v>14</v>
      </c>
      <c r="H266" s="884">
        <v>3</v>
      </c>
      <c r="I266" s="884">
        <v>806</v>
      </c>
      <c r="J266" s="884">
        <v>153</v>
      </c>
      <c r="K266" s="884">
        <v>1077</v>
      </c>
      <c r="L266" s="884">
        <v>666</v>
      </c>
      <c r="M266" s="884">
        <v>2751</v>
      </c>
      <c r="N266" s="884"/>
      <c r="Q266" s="921" t="s">
        <v>1253</v>
      </c>
      <c r="R266" s="921">
        <v>2083</v>
      </c>
      <c r="S266" s="922">
        <v>3</v>
      </c>
    </row>
    <row r="267" spans="1:20" s="878" customFormat="1">
      <c r="A267" s="882">
        <v>2084</v>
      </c>
      <c r="B267" s="878" t="s">
        <v>927</v>
      </c>
      <c r="C267" s="884">
        <v>11984</v>
      </c>
      <c r="D267" s="884">
        <v>1428</v>
      </c>
      <c r="E267" s="884">
        <v>241</v>
      </c>
      <c r="F267" s="884">
        <v>1669</v>
      </c>
      <c r="G267" s="884">
        <v>28</v>
      </c>
      <c r="H267" s="884">
        <v>37</v>
      </c>
      <c r="I267" s="884">
        <v>1128</v>
      </c>
      <c r="J267" s="884">
        <v>271</v>
      </c>
      <c r="K267" s="884">
        <v>979</v>
      </c>
      <c r="L267" s="884">
        <v>748</v>
      </c>
      <c r="M267" s="884">
        <v>3782</v>
      </c>
      <c r="N267" s="884"/>
      <c r="Q267" s="921" t="s">
        <v>1254</v>
      </c>
      <c r="R267" s="921">
        <v>2084</v>
      </c>
      <c r="S267" s="922">
        <v>3</v>
      </c>
    </row>
    <row r="268" spans="1:20" s="878" customFormat="1">
      <c r="A268" s="882">
        <v>2085</v>
      </c>
      <c r="B268" s="878" t="s">
        <v>928</v>
      </c>
      <c r="C268" s="884">
        <v>13359</v>
      </c>
      <c r="D268" s="884">
        <v>1302</v>
      </c>
      <c r="E268" s="884">
        <v>210</v>
      </c>
      <c r="F268" s="884">
        <v>1512</v>
      </c>
      <c r="G268" s="884">
        <v>4</v>
      </c>
      <c r="H268" s="884">
        <v>13</v>
      </c>
      <c r="I268" s="884">
        <v>984</v>
      </c>
      <c r="J268" s="884">
        <v>219</v>
      </c>
      <c r="K268" s="884">
        <v>778</v>
      </c>
      <c r="L268" s="884">
        <v>1098</v>
      </c>
      <c r="M268" s="884">
        <v>4190</v>
      </c>
      <c r="N268" s="884"/>
      <c r="Q268" s="921" t="s">
        <v>1255</v>
      </c>
      <c r="R268" s="921">
        <v>2085</v>
      </c>
      <c r="S268" s="922">
        <v>3</v>
      </c>
    </row>
    <row r="269" spans="1:20" s="894" customFormat="1" ht="12">
      <c r="A269" s="890"/>
      <c r="B269" s="891" t="s">
        <v>929</v>
      </c>
      <c r="C269" s="892">
        <v>150271</v>
      </c>
      <c r="D269" s="892">
        <v>16705</v>
      </c>
      <c r="E269" s="892">
        <v>2956</v>
      </c>
      <c r="F269" s="892">
        <v>19661</v>
      </c>
      <c r="G269" s="892">
        <v>171</v>
      </c>
      <c r="H269" s="892">
        <v>444</v>
      </c>
      <c r="I269" s="892">
        <v>11448</v>
      </c>
      <c r="J269" s="892">
        <v>2464</v>
      </c>
      <c r="K269" s="892">
        <v>14690</v>
      </c>
      <c r="L269" s="892">
        <v>19700</v>
      </c>
      <c r="M269" s="892">
        <v>50250</v>
      </c>
      <c r="N269" s="892"/>
      <c r="T269" s="1104">
        <v>3</v>
      </c>
    </row>
    <row r="270" spans="1:20" s="894" customFormat="1">
      <c r="A270" s="882">
        <v>2101</v>
      </c>
      <c r="B270" s="878" t="s">
        <v>930</v>
      </c>
      <c r="C270" s="884">
        <v>3285</v>
      </c>
      <c r="D270" s="884">
        <v>470</v>
      </c>
      <c r="E270" s="884">
        <v>82</v>
      </c>
      <c r="F270" s="884">
        <v>552</v>
      </c>
      <c r="G270" s="884">
        <v>3</v>
      </c>
      <c r="H270" s="884">
        <v>7</v>
      </c>
      <c r="I270" s="884">
        <v>295</v>
      </c>
      <c r="J270" s="884">
        <v>63</v>
      </c>
      <c r="K270" s="884">
        <v>631</v>
      </c>
      <c r="L270" s="884">
        <v>639</v>
      </c>
      <c r="M270" s="884">
        <v>1272</v>
      </c>
      <c r="N270" s="884"/>
      <c r="Q270" s="921" t="s">
        <v>1256</v>
      </c>
      <c r="R270" s="921">
        <v>2101</v>
      </c>
      <c r="S270" s="922">
        <v>2</v>
      </c>
    </row>
    <row r="271" spans="1:20" s="878" customFormat="1">
      <c r="A271" s="882">
        <v>2104</v>
      </c>
      <c r="B271" s="878" t="s">
        <v>931</v>
      </c>
      <c r="C271" s="884">
        <v>5250</v>
      </c>
      <c r="D271" s="884">
        <v>543</v>
      </c>
      <c r="E271" s="884">
        <v>64</v>
      </c>
      <c r="F271" s="884">
        <v>607</v>
      </c>
      <c r="G271" s="884">
        <v>4</v>
      </c>
      <c r="H271" s="884">
        <v>9</v>
      </c>
      <c r="I271" s="884">
        <v>449</v>
      </c>
      <c r="J271" s="884">
        <v>157</v>
      </c>
      <c r="K271" s="884">
        <v>386</v>
      </c>
      <c r="L271" s="884">
        <v>397</v>
      </c>
      <c r="M271" s="884">
        <v>1655</v>
      </c>
      <c r="N271" s="884"/>
      <c r="Q271" s="921" t="s">
        <v>1257</v>
      </c>
      <c r="R271" s="921">
        <v>2104</v>
      </c>
      <c r="S271" s="922">
        <v>2</v>
      </c>
    </row>
    <row r="272" spans="1:20" s="894" customFormat="1">
      <c r="A272" s="882">
        <v>2121</v>
      </c>
      <c r="B272" s="878" t="s">
        <v>932</v>
      </c>
      <c r="C272" s="884">
        <v>6466</v>
      </c>
      <c r="D272" s="884">
        <v>808</v>
      </c>
      <c r="E272" s="884">
        <v>141</v>
      </c>
      <c r="F272" s="884">
        <v>949</v>
      </c>
      <c r="G272" s="884">
        <v>8</v>
      </c>
      <c r="H272" s="884">
        <v>5</v>
      </c>
      <c r="I272" s="884">
        <v>418</v>
      </c>
      <c r="J272" s="884">
        <v>128</v>
      </c>
      <c r="K272" s="884">
        <v>1091</v>
      </c>
      <c r="L272" s="884">
        <v>1419</v>
      </c>
      <c r="M272" s="884">
        <v>2509</v>
      </c>
      <c r="N272" s="884"/>
      <c r="Q272" s="921" t="s">
        <v>1258</v>
      </c>
      <c r="R272" s="921">
        <v>2121</v>
      </c>
      <c r="S272" s="922">
        <v>2</v>
      </c>
    </row>
    <row r="273" spans="1:20" s="894" customFormat="1">
      <c r="A273" s="882">
        <v>2132</v>
      </c>
      <c r="B273" s="878" t="s">
        <v>933</v>
      </c>
      <c r="C273" s="884">
        <v>5550</v>
      </c>
      <c r="D273" s="884">
        <v>737</v>
      </c>
      <c r="E273" s="884">
        <v>117</v>
      </c>
      <c r="F273" s="884">
        <v>854</v>
      </c>
      <c r="G273" s="884">
        <v>5</v>
      </c>
      <c r="H273" s="884">
        <v>26</v>
      </c>
      <c r="I273" s="884">
        <v>424</v>
      </c>
      <c r="J273" s="884">
        <v>125</v>
      </c>
      <c r="K273" s="884">
        <v>1190</v>
      </c>
      <c r="L273" s="884">
        <v>978</v>
      </c>
      <c r="M273" s="884">
        <v>2013</v>
      </c>
      <c r="N273" s="884"/>
      <c r="Q273" s="921" t="s">
        <v>1259</v>
      </c>
      <c r="R273" s="921">
        <v>2132</v>
      </c>
      <c r="S273" s="922">
        <v>2</v>
      </c>
    </row>
    <row r="274" spans="1:20" s="878" customFormat="1">
      <c r="A274" s="882">
        <v>2161</v>
      </c>
      <c r="B274" s="878" t="s">
        <v>934</v>
      </c>
      <c r="C274" s="884">
        <v>10460</v>
      </c>
      <c r="D274" s="884">
        <v>1523</v>
      </c>
      <c r="E274" s="884">
        <v>331</v>
      </c>
      <c r="F274" s="884">
        <v>1854</v>
      </c>
      <c r="G274" s="884">
        <v>32</v>
      </c>
      <c r="H274" s="884">
        <v>17</v>
      </c>
      <c r="I274" s="884">
        <v>791</v>
      </c>
      <c r="J274" s="884">
        <v>204</v>
      </c>
      <c r="K274" s="884">
        <v>1627</v>
      </c>
      <c r="L274" s="884">
        <v>2428</v>
      </c>
      <c r="M274" s="884">
        <v>4607</v>
      </c>
      <c r="N274" s="884"/>
      <c r="Q274" s="921" t="s">
        <v>1260</v>
      </c>
      <c r="R274" s="921">
        <v>2161</v>
      </c>
      <c r="S274" s="922">
        <v>2</v>
      </c>
    </row>
    <row r="275" spans="1:20" s="878" customFormat="1">
      <c r="A275" s="882">
        <v>2180</v>
      </c>
      <c r="B275" s="878" t="s">
        <v>935</v>
      </c>
      <c r="C275" s="884">
        <v>42399</v>
      </c>
      <c r="D275" s="884">
        <v>4379</v>
      </c>
      <c r="E275" s="884">
        <v>782</v>
      </c>
      <c r="F275" s="884">
        <v>5161</v>
      </c>
      <c r="G275" s="884">
        <v>79</v>
      </c>
      <c r="H275" s="884">
        <v>53</v>
      </c>
      <c r="I275" s="884">
        <v>3198</v>
      </c>
      <c r="J275" s="884">
        <v>801</v>
      </c>
      <c r="K275" s="884">
        <v>1509</v>
      </c>
      <c r="L275" s="884">
        <v>2392</v>
      </c>
      <c r="M275" s="884">
        <v>10414</v>
      </c>
      <c r="N275" s="884"/>
      <c r="Q275" s="921" t="s">
        <v>1261</v>
      </c>
      <c r="R275" s="921">
        <v>2180</v>
      </c>
      <c r="S275" s="922">
        <v>2</v>
      </c>
    </row>
    <row r="276" spans="1:20" s="878" customFormat="1">
      <c r="A276" s="882">
        <v>2181</v>
      </c>
      <c r="B276" s="895" t="s">
        <v>936</v>
      </c>
      <c r="C276" s="884">
        <v>19261</v>
      </c>
      <c r="D276" s="884">
        <v>1968</v>
      </c>
      <c r="E276" s="884">
        <v>260</v>
      </c>
      <c r="F276" s="884">
        <v>2228</v>
      </c>
      <c r="G276" s="884">
        <v>21</v>
      </c>
      <c r="H276" s="884">
        <v>63</v>
      </c>
      <c r="I276" s="884">
        <v>1640</v>
      </c>
      <c r="J276" s="884">
        <v>401</v>
      </c>
      <c r="K276" s="884">
        <v>1409</v>
      </c>
      <c r="L276" s="884">
        <v>1442</v>
      </c>
      <c r="M276" s="884">
        <v>5201</v>
      </c>
      <c r="N276" s="884"/>
      <c r="Q276" s="921" t="s">
        <v>1262</v>
      </c>
      <c r="R276" s="921">
        <v>2181</v>
      </c>
      <c r="S276" s="922">
        <v>2</v>
      </c>
    </row>
    <row r="277" spans="1:20" s="878" customFormat="1">
      <c r="A277" s="882">
        <v>2182</v>
      </c>
      <c r="B277" s="878" t="s">
        <v>937</v>
      </c>
      <c r="C277" s="884">
        <v>13828</v>
      </c>
      <c r="D277" s="884">
        <v>1334</v>
      </c>
      <c r="E277" s="884">
        <v>208</v>
      </c>
      <c r="F277" s="884">
        <v>1542</v>
      </c>
      <c r="G277" s="884">
        <v>15</v>
      </c>
      <c r="H277" s="884">
        <v>18</v>
      </c>
      <c r="I277" s="884">
        <v>846</v>
      </c>
      <c r="J277" s="884">
        <v>280</v>
      </c>
      <c r="K277" s="884">
        <v>1009</v>
      </c>
      <c r="L277" s="884">
        <v>1254</v>
      </c>
      <c r="M277" s="884">
        <v>4015</v>
      </c>
      <c r="N277" s="884"/>
      <c r="Q277" s="921" t="s">
        <v>1263</v>
      </c>
      <c r="R277" s="921">
        <v>2182</v>
      </c>
      <c r="S277" s="922">
        <v>2</v>
      </c>
    </row>
    <row r="278" spans="1:20" s="878" customFormat="1">
      <c r="A278" s="882">
        <v>2183</v>
      </c>
      <c r="B278" s="878" t="s">
        <v>938</v>
      </c>
      <c r="C278" s="884">
        <v>13927</v>
      </c>
      <c r="D278" s="884">
        <v>1522</v>
      </c>
      <c r="E278" s="884">
        <v>313</v>
      </c>
      <c r="F278" s="884">
        <v>1835</v>
      </c>
      <c r="G278" s="884">
        <v>20</v>
      </c>
      <c r="H278" s="884">
        <v>21</v>
      </c>
      <c r="I278" s="884">
        <v>1098</v>
      </c>
      <c r="J278" s="884">
        <v>217</v>
      </c>
      <c r="K278" s="884">
        <v>1709</v>
      </c>
      <c r="L278" s="884">
        <v>2103</v>
      </c>
      <c r="M278" s="884">
        <v>4816</v>
      </c>
      <c r="N278" s="884"/>
      <c r="Q278" s="921" t="s">
        <v>1264</v>
      </c>
      <c r="R278" s="921">
        <v>2183</v>
      </c>
      <c r="S278" s="922">
        <v>2</v>
      </c>
    </row>
    <row r="279" spans="1:20" s="878" customFormat="1">
      <c r="A279" s="882">
        <v>2184</v>
      </c>
      <c r="B279" s="878" t="s">
        <v>939</v>
      </c>
      <c r="C279" s="884">
        <v>19566</v>
      </c>
      <c r="D279" s="884">
        <v>2174</v>
      </c>
      <c r="E279" s="884">
        <v>330</v>
      </c>
      <c r="F279" s="884">
        <v>2504</v>
      </c>
      <c r="G279" s="884">
        <v>17</v>
      </c>
      <c r="H279" s="884">
        <v>20</v>
      </c>
      <c r="I279" s="884">
        <v>1349</v>
      </c>
      <c r="J279" s="884">
        <v>466</v>
      </c>
      <c r="K279" s="884">
        <v>2119</v>
      </c>
      <c r="L279" s="884">
        <v>2153</v>
      </c>
      <c r="M279" s="884">
        <v>5855</v>
      </c>
      <c r="N279" s="884"/>
      <c r="Q279" s="921" t="s">
        <v>1265</v>
      </c>
      <c r="R279" s="921">
        <v>2184</v>
      </c>
      <c r="S279" s="922">
        <v>2</v>
      </c>
    </row>
    <row r="280" spans="1:20" s="894" customFormat="1" ht="12">
      <c r="A280" s="890"/>
      <c r="B280" s="891" t="s">
        <v>940</v>
      </c>
      <c r="C280" s="892">
        <v>139992</v>
      </c>
      <c r="D280" s="892">
        <v>15458</v>
      </c>
      <c r="E280" s="892">
        <v>2628</v>
      </c>
      <c r="F280" s="892">
        <v>18086</v>
      </c>
      <c r="G280" s="892">
        <v>204</v>
      </c>
      <c r="H280" s="892">
        <v>239</v>
      </c>
      <c r="I280" s="892">
        <v>10508</v>
      </c>
      <c r="J280" s="892">
        <v>2842</v>
      </c>
      <c r="K280" s="892">
        <v>12680</v>
      </c>
      <c r="L280" s="892">
        <v>15205</v>
      </c>
      <c r="M280" s="892">
        <v>42357</v>
      </c>
      <c r="N280" s="892"/>
      <c r="T280" s="1104">
        <v>2</v>
      </c>
    </row>
    <row r="281" spans="1:20" s="878" customFormat="1">
      <c r="A281" s="882">
        <v>2260</v>
      </c>
      <c r="B281" s="878" t="s">
        <v>941</v>
      </c>
      <c r="C281" s="884">
        <v>6030</v>
      </c>
      <c r="D281" s="884">
        <v>952</v>
      </c>
      <c r="E281" s="884">
        <v>129</v>
      </c>
      <c r="F281" s="884">
        <v>1081</v>
      </c>
      <c r="G281" s="884">
        <v>11</v>
      </c>
      <c r="H281" s="884">
        <v>11</v>
      </c>
      <c r="I281" s="884">
        <v>387</v>
      </c>
      <c r="J281" s="884">
        <v>80</v>
      </c>
      <c r="K281" s="884">
        <v>1026</v>
      </c>
      <c r="L281" s="884">
        <v>1493</v>
      </c>
      <c r="M281" s="884">
        <v>2508</v>
      </c>
      <c r="N281" s="884"/>
      <c r="Q281" s="921" t="s">
        <v>1266</v>
      </c>
      <c r="R281" s="921">
        <v>2260</v>
      </c>
      <c r="S281" s="922">
        <v>2</v>
      </c>
    </row>
    <row r="282" spans="1:20" s="878" customFormat="1">
      <c r="A282" s="882">
        <v>2262</v>
      </c>
      <c r="B282" s="878" t="s">
        <v>942</v>
      </c>
      <c r="C282" s="884">
        <v>9282</v>
      </c>
      <c r="D282" s="884">
        <v>749</v>
      </c>
      <c r="E282" s="884">
        <v>116</v>
      </c>
      <c r="F282" s="884">
        <v>865</v>
      </c>
      <c r="G282" s="884">
        <v>5</v>
      </c>
      <c r="H282" s="884">
        <v>40</v>
      </c>
      <c r="I282" s="884">
        <v>722</v>
      </c>
      <c r="J282" s="884">
        <v>164</v>
      </c>
      <c r="K282" s="884">
        <v>733</v>
      </c>
      <c r="L282" s="884">
        <v>1306</v>
      </c>
      <c r="M282" s="884">
        <v>2833</v>
      </c>
      <c r="N282" s="884"/>
      <c r="Q282" s="921" t="s">
        <v>1267</v>
      </c>
      <c r="R282" s="921">
        <v>2262</v>
      </c>
      <c r="S282" s="922">
        <v>2</v>
      </c>
    </row>
    <row r="283" spans="1:20" s="878" customFormat="1">
      <c r="A283" s="882">
        <v>2280</v>
      </c>
      <c r="B283" s="878" t="s">
        <v>943</v>
      </c>
      <c r="C283" s="884">
        <v>11877</v>
      </c>
      <c r="D283" s="884">
        <v>908</v>
      </c>
      <c r="E283" s="884">
        <v>142</v>
      </c>
      <c r="F283" s="884">
        <v>1050</v>
      </c>
      <c r="G283" s="884">
        <v>16</v>
      </c>
      <c r="H283" s="884">
        <v>16</v>
      </c>
      <c r="I283" s="884">
        <v>760</v>
      </c>
      <c r="J283" s="884">
        <v>188</v>
      </c>
      <c r="K283" s="884">
        <v>950</v>
      </c>
      <c r="L283" s="884">
        <v>1243</v>
      </c>
      <c r="M283" s="884">
        <v>3182</v>
      </c>
      <c r="N283" s="884"/>
      <c r="Q283" s="921" t="s">
        <v>1268</v>
      </c>
      <c r="R283" s="921">
        <v>2280</v>
      </c>
      <c r="S283" s="922">
        <v>2</v>
      </c>
    </row>
    <row r="284" spans="1:20" s="894" customFormat="1">
      <c r="A284" s="882">
        <v>2281</v>
      </c>
      <c r="B284" s="878" t="s">
        <v>944</v>
      </c>
      <c r="C284" s="884">
        <v>46576</v>
      </c>
      <c r="D284" s="884">
        <v>4205</v>
      </c>
      <c r="E284" s="884">
        <v>934</v>
      </c>
      <c r="F284" s="884">
        <v>5139</v>
      </c>
      <c r="G284" s="884">
        <v>103</v>
      </c>
      <c r="H284" s="884">
        <v>124</v>
      </c>
      <c r="I284" s="884">
        <v>3191</v>
      </c>
      <c r="J284" s="884">
        <v>729</v>
      </c>
      <c r="K284" s="884">
        <v>3022</v>
      </c>
      <c r="L284" s="884">
        <v>5785</v>
      </c>
      <c r="M284" s="884">
        <v>12279</v>
      </c>
      <c r="N284" s="884"/>
      <c r="Q284" s="921" t="s">
        <v>1269</v>
      </c>
      <c r="R284" s="921">
        <v>2281</v>
      </c>
      <c r="S284" s="922">
        <v>2</v>
      </c>
    </row>
    <row r="285" spans="1:20" s="878" customFormat="1">
      <c r="A285" s="882">
        <v>2282</v>
      </c>
      <c r="B285" s="878" t="s">
        <v>945</v>
      </c>
      <c r="C285" s="884">
        <v>10615</v>
      </c>
      <c r="D285" s="884">
        <v>1119</v>
      </c>
      <c r="E285" s="884">
        <v>248</v>
      </c>
      <c r="F285" s="884">
        <v>1367</v>
      </c>
      <c r="G285" s="884">
        <v>9</v>
      </c>
      <c r="H285" s="884">
        <v>89</v>
      </c>
      <c r="I285" s="884">
        <v>559</v>
      </c>
      <c r="J285" s="884">
        <v>147</v>
      </c>
      <c r="K285" s="884">
        <v>1419</v>
      </c>
      <c r="L285" s="884">
        <v>1843</v>
      </c>
      <c r="M285" s="884">
        <v>3894</v>
      </c>
      <c r="N285" s="884"/>
      <c r="Q285" s="921" t="s">
        <v>1270</v>
      </c>
      <c r="R285" s="921">
        <v>2282</v>
      </c>
      <c r="S285" s="922">
        <v>2</v>
      </c>
    </row>
    <row r="286" spans="1:20" s="894" customFormat="1">
      <c r="A286" s="882">
        <v>2283</v>
      </c>
      <c r="B286" s="878" t="s">
        <v>946</v>
      </c>
      <c r="C286" s="884">
        <v>11647</v>
      </c>
      <c r="D286" s="884">
        <v>1459</v>
      </c>
      <c r="E286" s="884">
        <v>266</v>
      </c>
      <c r="F286" s="884">
        <v>1725</v>
      </c>
      <c r="G286" s="884">
        <v>5</v>
      </c>
      <c r="H286" s="884">
        <v>19</v>
      </c>
      <c r="I286" s="884">
        <v>640</v>
      </c>
      <c r="J286" s="884">
        <v>140</v>
      </c>
      <c r="K286" s="884">
        <v>1715</v>
      </c>
      <c r="L286" s="884">
        <v>2675</v>
      </c>
      <c r="M286" s="884">
        <v>4835</v>
      </c>
      <c r="N286" s="884"/>
      <c r="Q286" s="921" t="s">
        <v>1271</v>
      </c>
      <c r="R286" s="921">
        <v>2283</v>
      </c>
      <c r="S286" s="922">
        <v>2</v>
      </c>
    </row>
    <row r="287" spans="1:20" s="894" customFormat="1">
      <c r="A287" s="882">
        <v>2284</v>
      </c>
      <c r="B287" s="878" t="s">
        <v>947</v>
      </c>
      <c r="C287" s="884">
        <v>29806</v>
      </c>
      <c r="D287" s="884">
        <v>2949</v>
      </c>
      <c r="E287" s="884">
        <v>595</v>
      </c>
      <c r="F287" s="884">
        <v>3544</v>
      </c>
      <c r="G287" s="884">
        <v>54</v>
      </c>
      <c r="H287" s="884">
        <v>51</v>
      </c>
      <c r="I287" s="884">
        <v>1745</v>
      </c>
      <c r="J287" s="884">
        <v>537</v>
      </c>
      <c r="K287" s="884">
        <v>3536</v>
      </c>
      <c r="L287" s="884">
        <v>6282</v>
      </c>
      <c r="M287" s="884">
        <v>10537</v>
      </c>
      <c r="N287" s="884"/>
      <c r="Q287" s="921" t="s">
        <v>1272</v>
      </c>
      <c r="R287" s="921">
        <v>2284</v>
      </c>
      <c r="S287" s="922">
        <v>2</v>
      </c>
    </row>
    <row r="288" spans="1:20" s="894" customFormat="1" ht="12">
      <c r="A288" s="890"/>
      <c r="B288" s="891" t="s">
        <v>948</v>
      </c>
      <c r="C288" s="892">
        <v>125833</v>
      </c>
      <c r="D288" s="892">
        <v>12341</v>
      </c>
      <c r="E288" s="892">
        <v>2430</v>
      </c>
      <c r="F288" s="892">
        <v>14771</v>
      </c>
      <c r="G288" s="892">
        <v>203</v>
      </c>
      <c r="H288" s="892">
        <v>350</v>
      </c>
      <c r="I288" s="892">
        <v>8004</v>
      </c>
      <c r="J288" s="892">
        <v>1985</v>
      </c>
      <c r="K288" s="892">
        <v>12401</v>
      </c>
      <c r="L288" s="892">
        <v>20627</v>
      </c>
      <c r="M288" s="892">
        <v>40068</v>
      </c>
      <c r="N288" s="892"/>
      <c r="T288" s="1104">
        <v>2</v>
      </c>
    </row>
    <row r="289" spans="1:20" s="878" customFormat="1">
      <c r="A289" s="882">
        <v>2303</v>
      </c>
      <c r="B289" s="878" t="s">
        <v>949</v>
      </c>
      <c r="C289" s="884">
        <v>3301</v>
      </c>
      <c r="D289" s="884">
        <v>499</v>
      </c>
      <c r="E289" s="884">
        <v>90</v>
      </c>
      <c r="F289" s="884">
        <v>589</v>
      </c>
      <c r="G289" s="884">
        <v>4</v>
      </c>
      <c r="H289" s="884">
        <v>11</v>
      </c>
      <c r="I289" s="884">
        <v>204</v>
      </c>
      <c r="J289" s="884">
        <v>34</v>
      </c>
      <c r="K289" s="884">
        <v>642</v>
      </c>
      <c r="L289" s="884">
        <v>1021</v>
      </c>
      <c r="M289" s="884">
        <v>1444</v>
      </c>
      <c r="N289" s="884"/>
      <c r="Q289" s="921" t="s">
        <v>1273</v>
      </c>
      <c r="R289" s="921">
        <v>2303</v>
      </c>
      <c r="S289" s="922">
        <v>2</v>
      </c>
    </row>
    <row r="290" spans="1:20" s="878" customFormat="1">
      <c r="A290" s="882">
        <v>2305</v>
      </c>
      <c r="B290" s="878" t="s">
        <v>950</v>
      </c>
      <c r="C290" s="884">
        <v>3854</v>
      </c>
      <c r="D290" s="884">
        <v>525</v>
      </c>
      <c r="E290" s="884">
        <v>64</v>
      </c>
      <c r="F290" s="884">
        <v>589</v>
      </c>
      <c r="G290" s="884">
        <v>2</v>
      </c>
      <c r="H290" s="884">
        <v>7</v>
      </c>
      <c r="I290" s="884">
        <v>230</v>
      </c>
      <c r="J290" s="884">
        <v>46</v>
      </c>
      <c r="K290" s="884">
        <v>703</v>
      </c>
      <c r="L290" s="884">
        <v>1441</v>
      </c>
      <c r="M290" s="884">
        <v>1661</v>
      </c>
      <c r="N290" s="884"/>
      <c r="Q290" s="921" t="s">
        <v>1274</v>
      </c>
      <c r="R290" s="921">
        <v>2305</v>
      </c>
      <c r="S290" s="922">
        <v>2</v>
      </c>
    </row>
    <row r="291" spans="1:20" s="894" customFormat="1">
      <c r="A291" s="882">
        <v>2309</v>
      </c>
      <c r="B291" s="878" t="s">
        <v>951</v>
      </c>
      <c r="C291" s="884">
        <v>8162</v>
      </c>
      <c r="D291" s="884">
        <v>1161</v>
      </c>
      <c r="E291" s="884">
        <v>172</v>
      </c>
      <c r="F291" s="884">
        <v>1333</v>
      </c>
      <c r="G291" s="884">
        <v>11</v>
      </c>
      <c r="H291" s="884">
        <v>19</v>
      </c>
      <c r="I291" s="884">
        <v>564</v>
      </c>
      <c r="J291" s="884">
        <v>101</v>
      </c>
      <c r="K291" s="884">
        <v>1388</v>
      </c>
      <c r="L291" s="884">
        <v>3732</v>
      </c>
      <c r="M291" s="884">
        <v>3583</v>
      </c>
      <c r="N291" s="884"/>
      <c r="Q291" s="921" t="s">
        <v>1275</v>
      </c>
      <c r="R291" s="921">
        <v>2309</v>
      </c>
      <c r="S291" s="922">
        <v>2</v>
      </c>
    </row>
    <row r="292" spans="1:20" s="878" customFormat="1">
      <c r="A292" s="882">
        <v>2313</v>
      </c>
      <c r="B292" s="878" t="s">
        <v>952</v>
      </c>
      <c r="C292" s="884">
        <v>6995</v>
      </c>
      <c r="D292" s="884">
        <v>1106</v>
      </c>
      <c r="E292" s="884">
        <v>297</v>
      </c>
      <c r="F292" s="884">
        <v>1403</v>
      </c>
      <c r="G292" s="884">
        <v>22</v>
      </c>
      <c r="H292" s="884">
        <v>10</v>
      </c>
      <c r="I292" s="884">
        <v>349</v>
      </c>
      <c r="J292" s="884">
        <v>90</v>
      </c>
      <c r="K292" s="884">
        <v>1364</v>
      </c>
      <c r="L292" s="884">
        <v>3546</v>
      </c>
      <c r="M292" s="884">
        <v>3638</v>
      </c>
      <c r="N292" s="884"/>
      <c r="Q292" s="921" t="s">
        <v>1276</v>
      </c>
      <c r="R292" s="921">
        <v>2313</v>
      </c>
      <c r="S292" s="922">
        <v>2</v>
      </c>
    </row>
    <row r="293" spans="1:20" s="878" customFormat="1">
      <c r="A293" s="882">
        <v>2321</v>
      </c>
      <c r="B293" s="878" t="s">
        <v>953</v>
      </c>
      <c r="C293" s="884">
        <v>5744</v>
      </c>
      <c r="D293" s="884">
        <v>955</v>
      </c>
      <c r="E293" s="884">
        <v>121</v>
      </c>
      <c r="F293" s="884">
        <v>1076</v>
      </c>
      <c r="G293" s="884">
        <v>3</v>
      </c>
      <c r="H293" s="884">
        <v>26</v>
      </c>
      <c r="I293" s="884">
        <v>367</v>
      </c>
      <c r="J293" s="884">
        <v>94</v>
      </c>
      <c r="K293" s="884">
        <v>806</v>
      </c>
      <c r="L293" s="884">
        <v>3505</v>
      </c>
      <c r="M293" s="884">
        <v>2271</v>
      </c>
      <c r="N293" s="884"/>
      <c r="Q293" s="921" t="s">
        <v>1277</v>
      </c>
      <c r="R293" s="921">
        <v>2321</v>
      </c>
      <c r="S293" s="922">
        <v>2</v>
      </c>
    </row>
    <row r="294" spans="1:20" s="878" customFormat="1">
      <c r="A294" s="882">
        <v>2326</v>
      </c>
      <c r="B294" s="878" t="s">
        <v>954</v>
      </c>
      <c r="C294" s="884">
        <v>4228</v>
      </c>
      <c r="D294" s="884">
        <v>671</v>
      </c>
      <c r="E294" s="884">
        <v>119</v>
      </c>
      <c r="F294" s="884">
        <v>790</v>
      </c>
      <c r="G294" s="884">
        <v>17</v>
      </c>
      <c r="H294" s="884">
        <v>249</v>
      </c>
      <c r="I294" s="884">
        <v>205</v>
      </c>
      <c r="J294" s="884">
        <v>59</v>
      </c>
      <c r="K294" s="884">
        <v>1063</v>
      </c>
      <c r="L294" s="884">
        <v>2051</v>
      </c>
      <c r="M294" s="884">
        <v>1985</v>
      </c>
      <c r="N294" s="884"/>
      <c r="Q294" s="921" t="s">
        <v>1278</v>
      </c>
      <c r="R294" s="921">
        <v>2326</v>
      </c>
      <c r="S294" s="922">
        <v>2</v>
      </c>
    </row>
    <row r="295" spans="1:20" s="878" customFormat="1">
      <c r="A295" s="882">
        <v>2361</v>
      </c>
      <c r="B295" s="878" t="s">
        <v>955</v>
      </c>
      <c r="C295" s="884">
        <v>6393</v>
      </c>
      <c r="D295" s="884">
        <v>1028</v>
      </c>
      <c r="E295" s="884">
        <v>201</v>
      </c>
      <c r="F295" s="884">
        <v>1229</v>
      </c>
      <c r="G295" s="884">
        <v>11</v>
      </c>
      <c r="H295" s="884">
        <v>74</v>
      </c>
      <c r="I295" s="884">
        <v>343</v>
      </c>
      <c r="J295" s="884">
        <v>69</v>
      </c>
      <c r="K295" s="884">
        <v>801</v>
      </c>
      <c r="L295" s="884">
        <v>3542</v>
      </c>
      <c r="M295" s="884">
        <v>3118</v>
      </c>
      <c r="N295" s="884"/>
      <c r="Q295" s="921" t="s">
        <v>1279</v>
      </c>
      <c r="R295" s="921">
        <v>2361</v>
      </c>
      <c r="S295" s="922">
        <v>2</v>
      </c>
    </row>
    <row r="296" spans="1:20" s="878" customFormat="1">
      <c r="A296" s="882">
        <v>2380</v>
      </c>
      <c r="B296" s="878" t="s">
        <v>956</v>
      </c>
      <c r="C296" s="884">
        <v>29025</v>
      </c>
      <c r="D296" s="884">
        <v>3063</v>
      </c>
      <c r="E296" s="884">
        <v>668</v>
      </c>
      <c r="F296" s="884">
        <v>3731</v>
      </c>
      <c r="G296" s="884">
        <v>25</v>
      </c>
      <c r="H296" s="884">
        <v>183</v>
      </c>
      <c r="I296" s="884">
        <v>1760</v>
      </c>
      <c r="J296" s="884">
        <v>338</v>
      </c>
      <c r="K296" s="884">
        <v>2118</v>
      </c>
      <c r="L296" s="884">
        <v>6925</v>
      </c>
      <c r="M296" s="884">
        <v>8959</v>
      </c>
      <c r="N296" s="884"/>
      <c r="Q296" s="921" t="s">
        <v>1280</v>
      </c>
      <c r="R296" s="921">
        <v>2380</v>
      </c>
      <c r="S296" s="922">
        <v>2</v>
      </c>
    </row>
    <row r="297" spans="1:20" s="894" customFormat="1" ht="12">
      <c r="A297" s="890"/>
      <c r="B297" s="891" t="s">
        <v>957</v>
      </c>
      <c r="C297" s="892">
        <v>67702</v>
      </c>
      <c r="D297" s="892">
        <v>9008</v>
      </c>
      <c r="E297" s="892">
        <v>1732</v>
      </c>
      <c r="F297" s="892">
        <v>10740</v>
      </c>
      <c r="G297" s="892">
        <v>95</v>
      </c>
      <c r="H297" s="892">
        <v>579</v>
      </c>
      <c r="I297" s="892">
        <v>4022</v>
      </c>
      <c r="J297" s="892">
        <v>831</v>
      </c>
      <c r="K297" s="892">
        <v>8885</v>
      </c>
      <c r="L297" s="892">
        <v>25763</v>
      </c>
      <c r="M297" s="892">
        <v>26659</v>
      </c>
      <c r="N297" s="892"/>
      <c r="T297" s="1104">
        <v>2</v>
      </c>
    </row>
    <row r="298" spans="1:20" s="878" customFormat="1">
      <c r="A298" s="882">
        <v>2401</v>
      </c>
      <c r="B298" s="878" t="s">
        <v>958</v>
      </c>
      <c r="C298" s="884">
        <v>3818</v>
      </c>
      <c r="D298" s="884">
        <v>447</v>
      </c>
      <c r="E298" s="884">
        <v>87</v>
      </c>
      <c r="F298" s="884">
        <v>534</v>
      </c>
      <c r="G298" s="884">
        <v>3</v>
      </c>
      <c r="H298" s="884">
        <v>19</v>
      </c>
      <c r="I298" s="884">
        <v>230</v>
      </c>
      <c r="J298" s="884">
        <v>79</v>
      </c>
      <c r="K298" s="884">
        <v>783</v>
      </c>
      <c r="L298" s="884">
        <v>1084</v>
      </c>
      <c r="M298" s="884">
        <v>1620</v>
      </c>
      <c r="N298" s="884"/>
      <c r="Q298" s="921" t="s">
        <v>1281</v>
      </c>
      <c r="R298" s="921">
        <v>2401</v>
      </c>
      <c r="S298" s="922">
        <v>2</v>
      </c>
    </row>
    <row r="299" spans="1:20" s="878" customFormat="1">
      <c r="A299" s="882">
        <v>2403</v>
      </c>
      <c r="B299" s="878" t="s">
        <v>959</v>
      </c>
      <c r="C299" s="884">
        <v>1302</v>
      </c>
      <c r="D299" s="884">
        <v>229</v>
      </c>
      <c r="E299" s="884">
        <v>52</v>
      </c>
      <c r="F299" s="884">
        <v>281</v>
      </c>
      <c r="G299" s="884">
        <v>4</v>
      </c>
      <c r="H299" s="884">
        <v>7</v>
      </c>
      <c r="I299" s="884">
        <v>96</v>
      </c>
      <c r="J299" s="884">
        <v>14</v>
      </c>
      <c r="K299" s="884">
        <v>444</v>
      </c>
      <c r="L299" s="884">
        <v>547</v>
      </c>
      <c r="M299" s="884">
        <v>692</v>
      </c>
      <c r="N299" s="884"/>
      <c r="Q299" s="921" t="s">
        <v>1282</v>
      </c>
      <c r="R299" s="921">
        <v>2403</v>
      </c>
      <c r="S299" s="922">
        <v>2</v>
      </c>
    </row>
    <row r="300" spans="1:20" s="894" customFormat="1">
      <c r="A300" s="882">
        <v>2404</v>
      </c>
      <c r="B300" s="878" t="s">
        <v>960</v>
      </c>
      <c r="C300" s="884">
        <v>3026</v>
      </c>
      <c r="D300" s="884">
        <v>421</v>
      </c>
      <c r="E300" s="884">
        <v>73</v>
      </c>
      <c r="F300" s="884">
        <v>494</v>
      </c>
      <c r="G300" s="884">
        <v>3</v>
      </c>
      <c r="H300" s="884">
        <v>8</v>
      </c>
      <c r="I300" s="884">
        <v>203</v>
      </c>
      <c r="J300" s="884">
        <v>54</v>
      </c>
      <c r="K300" s="884">
        <v>688</v>
      </c>
      <c r="L300" s="884">
        <v>1346</v>
      </c>
      <c r="M300" s="884">
        <v>1525</v>
      </c>
      <c r="N300" s="884"/>
      <c r="Q300" s="921" t="s">
        <v>1283</v>
      </c>
      <c r="R300" s="921">
        <v>2404</v>
      </c>
      <c r="S300" s="922">
        <v>2</v>
      </c>
    </row>
    <row r="301" spans="1:20" s="878" customFormat="1">
      <c r="A301" s="882">
        <v>2409</v>
      </c>
      <c r="B301" s="895" t="s">
        <v>961</v>
      </c>
      <c r="C301" s="884">
        <v>3641</v>
      </c>
      <c r="D301" s="884">
        <v>414</v>
      </c>
      <c r="E301" s="884">
        <v>67</v>
      </c>
      <c r="F301" s="884">
        <v>481</v>
      </c>
      <c r="G301" s="884">
        <v>0</v>
      </c>
      <c r="H301" s="884">
        <v>11</v>
      </c>
      <c r="I301" s="884">
        <v>245</v>
      </c>
      <c r="J301" s="884">
        <v>49</v>
      </c>
      <c r="K301" s="884">
        <v>990</v>
      </c>
      <c r="L301" s="884">
        <v>1062</v>
      </c>
      <c r="M301" s="884">
        <v>1531</v>
      </c>
      <c r="N301" s="884"/>
      <c r="Q301" s="921" t="s">
        <v>1284</v>
      </c>
      <c r="R301" s="921">
        <v>2409</v>
      </c>
      <c r="S301" s="922">
        <v>2</v>
      </c>
    </row>
    <row r="302" spans="1:20" s="878" customFormat="1">
      <c r="A302" s="882">
        <v>2417</v>
      </c>
      <c r="B302" s="878" t="s">
        <v>962</v>
      </c>
      <c r="C302" s="884">
        <v>2427</v>
      </c>
      <c r="D302" s="884">
        <v>321</v>
      </c>
      <c r="E302" s="884">
        <v>69</v>
      </c>
      <c r="F302" s="884">
        <v>390</v>
      </c>
      <c r="G302" s="884">
        <v>4</v>
      </c>
      <c r="H302" s="884">
        <v>0</v>
      </c>
      <c r="I302" s="884">
        <v>157</v>
      </c>
      <c r="J302" s="884">
        <v>39</v>
      </c>
      <c r="K302" s="884">
        <v>473</v>
      </c>
      <c r="L302" s="884">
        <v>1114</v>
      </c>
      <c r="M302" s="884">
        <v>1220</v>
      </c>
      <c r="N302" s="884"/>
      <c r="Q302" s="921" t="s">
        <v>1285</v>
      </c>
      <c r="R302" s="921">
        <v>2417</v>
      </c>
      <c r="S302" s="923">
        <v>1</v>
      </c>
    </row>
    <row r="303" spans="1:20" s="878" customFormat="1">
      <c r="A303" s="882">
        <v>2418</v>
      </c>
      <c r="B303" s="878" t="s">
        <v>963</v>
      </c>
      <c r="C303" s="884">
        <v>1826</v>
      </c>
      <c r="D303" s="884">
        <v>225</v>
      </c>
      <c r="E303" s="884">
        <v>36</v>
      </c>
      <c r="F303" s="884">
        <v>261</v>
      </c>
      <c r="G303" s="884">
        <v>5</v>
      </c>
      <c r="H303" s="884">
        <v>20</v>
      </c>
      <c r="I303" s="884">
        <v>83</v>
      </c>
      <c r="J303" s="884">
        <v>25</v>
      </c>
      <c r="K303" s="884">
        <v>281</v>
      </c>
      <c r="L303" s="884">
        <v>1025</v>
      </c>
      <c r="M303" s="884">
        <v>1145</v>
      </c>
      <c r="N303" s="884"/>
      <c r="Q303" s="921" t="s">
        <v>1286</v>
      </c>
      <c r="R303" s="921">
        <v>2418</v>
      </c>
      <c r="S303" s="923">
        <v>1</v>
      </c>
    </row>
    <row r="304" spans="1:20" s="894" customFormat="1">
      <c r="A304" s="882">
        <v>2421</v>
      </c>
      <c r="B304" s="878" t="s">
        <v>964</v>
      </c>
      <c r="C304" s="884">
        <v>3601</v>
      </c>
      <c r="D304" s="884">
        <v>486</v>
      </c>
      <c r="E304" s="884">
        <v>74</v>
      </c>
      <c r="F304" s="884">
        <v>560</v>
      </c>
      <c r="G304" s="884">
        <v>9</v>
      </c>
      <c r="H304" s="884">
        <v>21</v>
      </c>
      <c r="I304" s="884">
        <v>167</v>
      </c>
      <c r="J304" s="884">
        <v>64</v>
      </c>
      <c r="K304" s="884">
        <v>612</v>
      </c>
      <c r="L304" s="884">
        <v>3471</v>
      </c>
      <c r="M304" s="884">
        <v>1989</v>
      </c>
      <c r="N304" s="884"/>
      <c r="Q304" s="921" t="s">
        <v>1287</v>
      </c>
      <c r="R304" s="921">
        <v>2421</v>
      </c>
      <c r="S304" s="923">
        <v>1</v>
      </c>
    </row>
    <row r="305" spans="1:20" s="894" customFormat="1">
      <c r="A305" s="882">
        <v>2422</v>
      </c>
      <c r="B305" s="878" t="s">
        <v>965</v>
      </c>
      <c r="C305" s="884">
        <v>1478</v>
      </c>
      <c r="D305" s="884">
        <v>232</v>
      </c>
      <c r="E305" s="884">
        <v>60</v>
      </c>
      <c r="F305" s="884">
        <v>292</v>
      </c>
      <c r="G305" s="884">
        <v>6</v>
      </c>
      <c r="H305" s="884">
        <v>9</v>
      </c>
      <c r="I305" s="884">
        <v>69</v>
      </c>
      <c r="J305" s="884">
        <v>16</v>
      </c>
      <c r="K305" s="884">
        <v>227</v>
      </c>
      <c r="L305" s="884">
        <v>1361</v>
      </c>
      <c r="M305" s="884">
        <v>944</v>
      </c>
      <c r="N305" s="884"/>
      <c r="Q305" s="921" t="s">
        <v>1288</v>
      </c>
      <c r="R305" s="921">
        <v>2422</v>
      </c>
      <c r="S305" s="923">
        <v>1</v>
      </c>
    </row>
    <row r="306" spans="1:20" s="894" customFormat="1">
      <c r="A306" s="882">
        <v>2425</v>
      </c>
      <c r="B306" s="878" t="s">
        <v>966</v>
      </c>
      <c r="C306" s="884">
        <v>1649</v>
      </c>
      <c r="D306" s="884">
        <v>249</v>
      </c>
      <c r="E306" s="884">
        <v>42</v>
      </c>
      <c r="F306" s="884">
        <v>291</v>
      </c>
      <c r="G306" s="884">
        <v>1</v>
      </c>
      <c r="H306" s="884">
        <v>7</v>
      </c>
      <c r="I306" s="884">
        <v>95</v>
      </c>
      <c r="J306" s="884">
        <v>23</v>
      </c>
      <c r="K306" s="884">
        <v>359</v>
      </c>
      <c r="L306" s="884">
        <v>1051</v>
      </c>
      <c r="M306" s="884">
        <v>930</v>
      </c>
      <c r="N306" s="884"/>
      <c r="Q306" s="921" t="s">
        <v>1289</v>
      </c>
      <c r="R306" s="921">
        <v>2425</v>
      </c>
      <c r="S306" s="922">
        <v>2</v>
      </c>
    </row>
    <row r="307" spans="1:20" s="878" customFormat="1">
      <c r="A307" s="882">
        <v>2460</v>
      </c>
      <c r="B307" s="878" t="s">
        <v>967</v>
      </c>
      <c r="C307" s="884">
        <v>4446</v>
      </c>
      <c r="D307" s="884">
        <v>459</v>
      </c>
      <c r="E307" s="884">
        <v>126</v>
      </c>
      <c r="F307" s="884">
        <v>585</v>
      </c>
      <c r="G307" s="884">
        <v>8</v>
      </c>
      <c r="H307" s="884">
        <v>29</v>
      </c>
      <c r="I307" s="884">
        <v>308</v>
      </c>
      <c r="J307" s="884">
        <v>73</v>
      </c>
      <c r="K307" s="884">
        <v>721</v>
      </c>
      <c r="L307" s="884">
        <v>1205</v>
      </c>
      <c r="M307" s="884">
        <v>1899</v>
      </c>
      <c r="N307" s="884"/>
      <c r="Q307" s="921" t="s">
        <v>1290</v>
      </c>
      <c r="R307" s="921">
        <v>2460</v>
      </c>
      <c r="S307" s="922">
        <v>2</v>
      </c>
    </row>
    <row r="308" spans="1:20" s="894" customFormat="1">
      <c r="A308" s="882">
        <v>2462</v>
      </c>
      <c r="B308" s="878" t="s">
        <v>968</v>
      </c>
      <c r="C308" s="884">
        <v>3954</v>
      </c>
      <c r="D308" s="884">
        <v>562</v>
      </c>
      <c r="E308" s="884">
        <v>100</v>
      </c>
      <c r="F308" s="884">
        <v>662</v>
      </c>
      <c r="G308" s="884">
        <v>13</v>
      </c>
      <c r="H308" s="884">
        <v>42</v>
      </c>
      <c r="I308" s="884">
        <v>256</v>
      </c>
      <c r="J308" s="884">
        <v>63</v>
      </c>
      <c r="K308" s="884">
        <v>707</v>
      </c>
      <c r="L308" s="884">
        <v>2805</v>
      </c>
      <c r="M308" s="884">
        <v>2202</v>
      </c>
      <c r="N308" s="884"/>
      <c r="Q308" s="921" t="s">
        <v>1291</v>
      </c>
      <c r="R308" s="921">
        <v>2462</v>
      </c>
      <c r="S308" s="923">
        <v>1</v>
      </c>
    </row>
    <row r="309" spans="1:20" s="878" customFormat="1">
      <c r="A309" s="882">
        <v>2463</v>
      </c>
      <c r="B309" s="878" t="s">
        <v>969</v>
      </c>
      <c r="C309" s="884">
        <v>1681</v>
      </c>
      <c r="D309" s="884">
        <v>300</v>
      </c>
      <c r="E309" s="884">
        <v>66</v>
      </c>
      <c r="F309" s="884">
        <v>366</v>
      </c>
      <c r="G309" s="884">
        <v>5</v>
      </c>
      <c r="H309" s="884">
        <v>4</v>
      </c>
      <c r="I309" s="884">
        <v>104</v>
      </c>
      <c r="J309" s="884">
        <v>16</v>
      </c>
      <c r="K309" s="884">
        <v>287</v>
      </c>
      <c r="L309" s="884">
        <v>838</v>
      </c>
      <c r="M309" s="884">
        <v>1003</v>
      </c>
      <c r="N309" s="884"/>
      <c r="Q309" s="921" t="s">
        <v>1292</v>
      </c>
      <c r="R309" s="921">
        <v>2463</v>
      </c>
      <c r="S309" s="923">
        <v>1</v>
      </c>
    </row>
    <row r="310" spans="1:20" s="878" customFormat="1">
      <c r="A310" s="882">
        <v>2480</v>
      </c>
      <c r="B310" s="878" t="s">
        <v>970</v>
      </c>
      <c r="C310" s="884">
        <v>47617</v>
      </c>
      <c r="D310" s="884">
        <v>3954</v>
      </c>
      <c r="E310" s="884">
        <v>930</v>
      </c>
      <c r="F310" s="884">
        <v>4884</v>
      </c>
      <c r="G310" s="884">
        <v>76</v>
      </c>
      <c r="H310" s="884">
        <v>162</v>
      </c>
      <c r="I310" s="884">
        <v>3049</v>
      </c>
      <c r="J310" s="884">
        <v>936</v>
      </c>
      <c r="K310" s="884">
        <v>2670</v>
      </c>
      <c r="L310" s="884">
        <v>7749</v>
      </c>
      <c r="M310" s="884">
        <v>12819</v>
      </c>
      <c r="N310" s="884"/>
      <c r="Q310" s="921" t="s">
        <v>1293</v>
      </c>
      <c r="R310" s="921">
        <v>2480</v>
      </c>
      <c r="S310" s="922">
        <v>2</v>
      </c>
    </row>
    <row r="311" spans="1:20" s="878" customFormat="1">
      <c r="A311" s="882">
        <v>2481</v>
      </c>
      <c r="B311" s="878" t="s">
        <v>971</v>
      </c>
      <c r="C311" s="884">
        <v>7097</v>
      </c>
      <c r="D311" s="884">
        <v>755</v>
      </c>
      <c r="E311" s="884">
        <v>162</v>
      </c>
      <c r="F311" s="884">
        <v>917</v>
      </c>
      <c r="G311" s="884">
        <v>6</v>
      </c>
      <c r="H311" s="884">
        <v>1</v>
      </c>
      <c r="I311" s="884">
        <v>414</v>
      </c>
      <c r="J311" s="884">
        <v>106</v>
      </c>
      <c r="K311" s="884">
        <v>770</v>
      </c>
      <c r="L311" s="884">
        <v>3139</v>
      </c>
      <c r="M311" s="884">
        <v>3338</v>
      </c>
      <c r="N311" s="884"/>
      <c r="Q311" s="921" t="s">
        <v>1294</v>
      </c>
      <c r="R311" s="921">
        <v>2481</v>
      </c>
      <c r="S311" s="922">
        <v>2</v>
      </c>
    </row>
    <row r="312" spans="1:20" s="878" customFormat="1">
      <c r="A312" s="882">
        <v>2482</v>
      </c>
      <c r="B312" s="878" t="s">
        <v>972</v>
      </c>
      <c r="C312" s="884">
        <v>35520</v>
      </c>
      <c r="D312" s="884">
        <v>3277</v>
      </c>
      <c r="E312" s="884">
        <v>601</v>
      </c>
      <c r="F312" s="884">
        <v>3878</v>
      </c>
      <c r="G312" s="884">
        <v>31</v>
      </c>
      <c r="H312" s="884">
        <v>122</v>
      </c>
      <c r="I312" s="884">
        <v>2284</v>
      </c>
      <c r="J312" s="884">
        <v>699</v>
      </c>
      <c r="K312" s="884">
        <v>4286</v>
      </c>
      <c r="L312" s="884">
        <v>7995</v>
      </c>
      <c r="M312" s="884">
        <v>12518</v>
      </c>
      <c r="N312" s="884"/>
      <c r="Q312" s="921" t="s">
        <v>1295</v>
      </c>
      <c r="R312" s="921">
        <v>2482</v>
      </c>
      <c r="S312" s="923">
        <v>1</v>
      </c>
    </row>
    <row r="313" spans="1:20" s="894" customFormat="1" ht="12">
      <c r="A313" s="890"/>
      <c r="B313" s="891" t="s">
        <v>973</v>
      </c>
      <c r="C313" s="892">
        <v>123083</v>
      </c>
      <c r="D313" s="892">
        <v>12331</v>
      </c>
      <c r="E313" s="892">
        <v>2545</v>
      </c>
      <c r="F313" s="892">
        <v>14876</v>
      </c>
      <c r="G313" s="892">
        <v>174</v>
      </c>
      <c r="H313" s="892">
        <v>462</v>
      </c>
      <c r="I313" s="892">
        <v>7760</v>
      </c>
      <c r="J313" s="892">
        <v>2256</v>
      </c>
      <c r="K313" s="892">
        <v>14298</v>
      </c>
      <c r="L313" s="892">
        <v>35792</v>
      </c>
      <c r="M313" s="892">
        <v>45375</v>
      </c>
      <c r="N313" s="892"/>
      <c r="T313" s="1104" t="s">
        <v>1513</v>
      </c>
    </row>
    <row r="314" spans="1:20" s="878" customFormat="1">
      <c r="A314" s="882">
        <v>2505</v>
      </c>
      <c r="B314" s="878" t="s">
        <v>974</v>
      </c>
      <c r="C314" s="884">
        <v>3758</v>
      </c>
      <c r="D314" s="884">
        <v>716</v>
      </c>
      <c r="E314" s="884">
        <v>117</v>
      </c>
      <c r="F314" s="884">
        <v>833</v>
      </c>
      <c r="G314" s="884">
        <v>7</v>
      </c>
      <c r="H314" s="884">
        <v>1</v>
      </c>
      <c r="I314" s="884">
        <v>97</v>
      </c>
      <c r="J314" s="884">
        <v>35</v>
      </c>
      <c r="K314" s="884">
        <v>465</v>
      </c>
      <c r="L314" s="884">
        <v>2073</v>
      </c>
      <c r="M314" s="884">
        <v>2399</v>
      </c>
      <c r="N314" s="884"/>
      <c r="Q314" s="921" t="s">
        <v>1296</v>
      </c>
      <c r="R314" s="921">
        <v>2505</v>
      </c>
      <c r="S314" s="922">
        <v>1</v>
      </c>
    </row>
    <row r="315" spans="1:20" s="878" customFormat="1">
      <c r="A315" s="882">
        <v>2506</v>
      </c>
      <c r="B315" s="878" t="s">
        <v>975</v>
      </c>
      <c r="C315" s="884">
        <v>1805</v>
      </c>
      <c r="D315" s="884">
        <v>292</v>
      </c>
      <c r="E315" s="884">
        <v>82</v>
      </c>
      <c r="F315" s="884">
        <v>374</v>
      </c>
      <c r="G315" s="884">
        <v>5</v>
      </c>
      <c r="H315" s="884">
        <v>11</v>
      </c>
      <c r="I315" s="884">
        <v>59</v>
      </c>
      <c r="J315" s="884">
        <v>17</v>
      </c>
      <c r="K315" s="884">
        <v>225</v>
      </c>
      <c r="L315" s="884">
        <v>1733</v>
      </c>
      <c r="M315" s="884">
        <v>1211</v>
      </c>
      <c r="N315" s="884"/>
      <c r="Q315" s="921" t="s">
        <v>1297</v>
      </c>
      <c r="R315" s="921">
        <v>2506</v>
      </c>
      <c r="S315" s="922">
        <v>1</v>
      </c>
    </row>
    <row r="316" spans="1:20" s="878" customFormat="1">
      <c r="A316" s="882">
        <v>2510</v>
      </c>
      <c r="B316" s="878" t="s">
        <v>976</v>
      </c>
      <c r="C316" s="884">
        <v>3012</v>
      </c>
      <c r="D316" s="884">
        <v>554</v>
      </c>
      <c r="E316" s="884">
        <v>86</v>
      </c>
      <c r="F316" s="884">
        <v>640</v>
      </c>
      <c r="G316" s="884">
        <v>4</v>
      </c>
      <c r="H316" s="884">
        <v>0</v>
      </c>
      <c r="I316" s="884">
        <v>102</v>
      </c>
      <c r="J316" s="884">
        <v>29</v>
      </c>
      <c r="K316" s="884">
        <v>229</v>
      </c>
      <c r="L316" s="884">
        <v>2232</v>
      </c>
      <c r="M316" s="884">
        <v>1715</v>
      </c>
      <c r="N316" s="884"/>
      <c r="Q316" s="921" t="s">
        <v>1298</v>
      </c>
      <c r="R316" s="921">
        <v>2510</v>
      </c>
      <c r="S316" s="922">
        <v>1</v>
      </c>
    </row>
    <row r="317" spans="1:20" s="878" customFormat="1">
      <c r="A317" s="882">
        <v>2513</v>
      </c>
      <c r="B317" s="878" t="s">
        <v>977</v>
      </c>
      <c r="C317" s="884">
        <v>2169</v>
      </c>
      <c r="D317" s="884">
        <v>350</v>
      </c>
      <c r="E317" s="884">
        <v>90</v>
      </c>
      <c r="F317" s="884">
        <v>440</v>
      </c>
      <c r="G317" s="884">
        <v>9</v>
      </c>
      <c r="H317" s="884">
        <v>2</v>
      </c>
      <c r="I317" s="884">
        <v>83</v>
      </c>
      <c r="J317" s="884">
        <v>13</v>
      </c>
      <c r="K317" s="884">
        <v>336</v>
      </c>
      <c r="L317" s="884">
        <v>669</v>
      </c>
      <c r="M317" s="884">
        <v>768</v>
      </c>
      <c r="N317" s="884"/>
      <c r="Q317" s="921" t="s">
        <v>1299</v>
      </c>
      <c r="R317" s="921">
        <v>2513</v>
      </c>
      <c r="S317" s="922">
        <v>1</v>
      </c>
    </row>
    <row r="318" spans="1:20" s="894" customFormat="1">
      <c r="A318" s="882">
        <v>2514</v>
      </c>
      <c r="B318" s="878" t="s">
        <v>978</v>
      </c>
      <c r="C318" s="884">
        <v>9262</v>
      </c>
      <c r="D318" s="884">
        <v>1080</v>
      </c>
      <c r="E318" s="884">
        <v>182</v>
      </c>
      <c r="F318" s="884">
        <v>1262</v>
      </c>
      <c r="G318" s="884">
        <v>10</v>
      </c>
      <c r="H318" s="884">
        <v>19</v>
      </c>
      <c r="I318" s="884">
        <v>386</v>
      </c>
      <c r="J318" s="884">
        <v>119</v>
      </c>
      <c r="K318" s="884">
        <v>846</v>
      </c>
      <c r="L318" s="884">
        <v>2552</v>
      </c>
      <c r="M318" s="884">
        <v>3218</v>
      </c>
      <c r="N318" s="884"/>
      <c r="Q318" s="921" t="s">
        <v>1300</v>
      </c>
      <c r="R318" s="921">
        <v>2514</v>
      </c>
      <c r="S318" s="922">
        <v>1</v>
      </c>
    </row>
    <row r="319" spans="1:20" s="878" customFormat="1">
      <c r="A319" s="882">
        <v>2518</v>
      </c>
      <c r="B319" s="878" t="s">
        <v>979</v>
      </c>
      <c r="C319" s="884">
        <v>2627</v>
      </c>
      <c r="D319" s="884">
        <v>442</v>
      </c>
      <c r="E319" s="884">
        <v>105</v>
      </c>
      <c r="F319" s="884">
        <v>547</v>
      </c>
      <c r="G319" s="884">
        <v>18</v>
      </c>
      <c r="H319" s="884">
        <v>20</v>
      </c>
      <c r="I319" s="884">
        <v>89</v>
      </c>
      <c r="J319" s="884">
        <v>21</v>
      </c>
      <c r="K319" s="884">
        <v>435</v>
      </c>
      <c r="L319" s="884">
        <v>626</v>
      </c>
      <c r="M319" s="884">
        <v>935</v>
      </c>
      <c r="N319" s="884"/>
      <c r="Q319" s="921" t="s">
        <v>1301</v>
      </c>
      <c r="R319" s="921">
        <v>2518</v>
      </c>
      <c r="S319" s="922">
        <v>1</v>
      </c>
    </row>
    <row r="320" spans="1:20" s="894" customFormat="1">
      <c r="A320" s="882">
        <v>2521</v>
      </c>
      <c r="B320" s="878" t="s">
        <v>980</v>
      </c>
      <c r="C320" s="884">
        <v>3569</v>
      </c>
      <c r="D320" s="884">
        <v>670</v>
      </c>
      <c r="E320" s="884">
        <v>129</v>
      </c>
      <c r="F320" s="884">
        <v>799</v>
      </c>
      <c r="G320" s="884">
        <v>9</v>
      </c>
      <c r="H320" s="884">
        <v>12</v>
      </c>
      <c r="I320" s="884">
        <v>110</v>
      </c>
      <c r="J320" s="884">
        <v>33</v>
      </c>
      <c r="K320" s="884">
        <v>670</v>
      </c>
      <c r="L320" s="884">
        <v>1532</v>
      </c>
      <c r="M320" s="884">
        <v>1610</v>
      </c>
      <c r="N320" s="884"/>
      <c r="Q320" s="921" t="s">
        <v>1302</v>
      </c>
      <c r="R320" s="921">
        <v>2521</v>
      </c>
      <c r="S320" s="922">
        <v>1</v>
      </c>
    </row>
    <row r="321" spans="1:20" s="878" customFormat="1">
      <c r="A321" s="882">
        <v>2523</v>
      </c>
      <c r="B321" s="878" t="s">
        <v>981</v>
      </c>
      <c r="C321" s="884">
        <v>10985</v>
      </c>
      <c r="D321" s="884">
        <v>1490</v>
      </c>
      <c r="E321" s="884">
        <v>212</v>
      </c>
      <c r="F321" s="884">
        <v>1702</v>
      </c>
      <c r="G321" s="884">
        <v>7</v>
      </c>
      <c r="H321" s="884">
        <v>25</v>
      </c>
      <c r="I321" s="884">
        <v>412</v>
      </c>
      <c r="J321" s="884">
        <v>108</v>
      </c>
      <c r="K321" s="884">
        <v>651</v>
      </c>
      <c r="L321" s="884">
        <v>4855</v>
      </c>
      <c r="M321" s="884">
        <v>4902</v>
      </c>
      <c r="N321" s="884"/>
      <c r="Q321" s="921" t="s">
        <v>1303</v>
      </c>
      <c r="R321" s="921">
        <v>2523</v>
      </c>
      <c r="S321" s="922">
        <v>1</v>
      </c>
    </row>
    <row r="322" spans="1:20" s="894" customFormat="1">
      <c r="A322" s="882">
        <v>2560</v>
      </c>
      <c r="B322" s="878" t="s">
        <v>982</v>
      </c>
      <c r="C322" s="884">
        <v>4721</v>
      </c>
      <c r="D322" s="884">
        <v>598</v>
      </c>
      <c r="E322" s="884">
        <v>125</v>
      </c>
      <c r="F322" s="884">
        <v>723</v>
      </c>
      <c r="G322" s="884">
        <v>11</v>
      </c>
      <c r="H322" s="884">
        <v>57</v>
      </c>
      <c r="I322" s="884">
        <v>235</v>
      </c>
      <c r="J322" s="884">
        <v>59</v>
      </c>
      <c r="K322" s="884">
        <v>483</v>
      </c>
      <c r="L322" s="884">
        <v>1771</v>
      </c>
      <c r="M322" s="884">
        <v>2432</v>
      </c>
      <c r="N322" s="884"/>
      <c r="Q322" s="921" t="s">
        <v>1304</v>
      </c>
      <c r="R322" s="921">
        <v>2560</v>
      </c>
      <c r="S322" s="922">
        <v>1</v>
      </c>
    </row>
    <row r="323" spans="1:20" s="878" customFormat="1">
      <c r="A323" s="882">
        <v>2580</v>
      </c>
      <c r="B323" s="895" t="s">
        <v>983</v>
      </c>
      <c r="C323" s="884">
        <v>36117</v>
      </c>
      <c r="D323" s="884">
        <v>3424</v>
      </c>
      <c r="E323" s="884">
        <v>641</v>
      </c>
      <c r="F323" s="884">
        <v>4065</v>
      </c>
      <c r="G323" s="884">
        <v>37</v>
      </c>
      <c r="H323" s="884">
        <v>107</v>
      </c>
      <c r="I323" s="884">
        <v>1603</v>
      </c>
      <c r="J323" s="884">
        <v>362</v>
      </c>
      <c r="K323" s="884">
        <v>1780</v>
      </c>
      <c r="L323" s="884">
        <v>6797</v>
      </c>
      <c r="M323" s="884">
        <v>10501</v>
      </c>
      <c r="N323" s="884"/>
      <c r="Q323" s="921" t="s">
        <v>1305</v>
      </c>
      <c r="R323" s="921">
        <v>2580</v>
      </c>
      <c r="S323" s="922">
        <v>1</v>
      </c>
    </row>
    <row r="324" spans="1:20" s="878" customFormat="1">
      <c r="A324" s="882">
        <v>2581</v>
      </c>
      <c r="B324" s="878" t="s">
        <v>984</v>
      </c>
      <c r="C324" s="884">
        <v>22609</v>
      </c>
      <c r="D324" s="884">
        <v>2063</v>
      </c>
      <c r="E324" s="884">
        <v>482</v>
      </c>
      <c r="F324" s="884">
        <v>2545</v>
      </c>
      <c r="G324" s="884">
        <v>42</v>
      </c>
      <c r="H324" s="884">
        <v>41</v>
      </c>
      <c r="I324" s="884">
        <v>1246</v>
      </c>
      <c r="J324" s="884">
        <v>517</v>
      </c>
      <c r="K324" s="884">
        <v>1563</v>
      </c>
      <c r="L324" s="884">
        <v>5782</v>
      </c>
      <c r="M324" s="884">
        <v>8857</v>
      </c>
      <c r="N324" s="884"/>
      <c r="Q324" s="921" t="s">
        <v>1306</v>
      </c>
      <c r="R324" s="921">
        <v>2581</v>
      </c>
      <c r="S324" s="922">
        <v>1</v>
      </c>
    </row>
    <row r="325" spans="1:20" s="878" customFormat="1">
      <c r="A325" s="882">
        <v>2582</v>
      </c>
      <c r="B325" s="878" t="s">
        <v>985</v>
      </c>
      <c r="C325" s="884">
        <v>14512</v>
      </c>
      <c r="D325" s="884">
        <v>1489</v>
      </c>
      <c r="E325" s="884">
        <v>270</v>
      </c>
      <c r="F325" s="884">
        <v>1759</v>
      </c>
      <c r="G325" s="884">
        <v>16</v>
      </c>
      <c r="H325" s="884">
        <v>54</v>
      </c>
      <c r="I325" s="884">
        <v>737</v>
      </c>
      <c r="J325" s="884">
        <v>183</v>
      </c>
      <c r="K325" s="884">
        <v>980</v>
      </c>
      <c r="L325" s="884">
        <v>3671</v>
      </c>
      <c r="M325" s="884">
        <v>5786</v>
      </c>
      <c r="N325" s="884"/>
      <c r="Q325" s="921" t="s">
        <v>1307</v>
      </c>
      <c r="R325" s="921">
        <v>2582</v>
      </c>
      <c r="S325" s="922">
        <v>1</v>
      </c>
    </row>
    <row r="326" spans="1:20" s="894" customFormat="1">
      <c r="A326" s="882">
        <v>2583</v>
      </c>
      <c r="B326" s="878" t="s">
        <v>986</v>
      </c>
      <c r="C326" s="884">
        <v>5206</v>
      </c>
      <c r="D326" s="884">
        <v>608</v>
      </c>
      <c r="E326" s="884">
        <v>120</v>
      </c>
      <c r="F326" s="884">
        <v>728</v>
      </c>
      <c r="G326" s="884">
        <v>28</v>
      </c>
      <c r="H326" s="884">
        <v>7</v>
      </c>
      <c r="I326" s="884">
        <v>214</v>
      </c>
      <c r="J326" s="884">
        <v>76</v>
      </c>
      <c r="K326" s="884">
        <v>438</v>
      </c>
      <c r="L326" s="884">
        <v>871</v>
      </c>
      <c r="M326" s="884">
        <v>1271</v>
      </c>
      <c r="N326" s="884"/>
      <c r="Q326" s="921" t="s">
        <v>1308</v>
      </c>
      <c r="R326" s="921">
        <v>2583</v>
      </c>
      <c r="S326" s="922">
        <v>1</v>
      </c>
    </row>
    <row r="327" spans="1:20" s="878" customFormat="1">
      <c r="A327" s="882">
        <v>2584</v>
      </c>
      <c r="B327" s="878" t="s">
        <v>987</v>
      </c>
      <c r="C327" s="884">
        <v>12786</v>
      </c>
      <c r="D327" s="884">
        <v>2060</v>
      </c>
      <c r="E327" s="884">
        <v>285</v>
      </c>
      <c r="F327" s="884">
        <v>2345</v>
      </c>
      <c r="G327" s="884">
        <v>18</v>
      </c>
      <c r="H327" s="884">
        <v>35</v>
      </c>
      <c r="I327" s="884">
        <v>471</v>
      </c>
      <c r="J327" s="884">
        <v>86</v>
      </c>
      <c r="K327" s="884">
        <v>511</v>
      </c>
      <c r="L327" s="884">
        <v>7452</v>
      </c>
      <c r="M327" s="884">
        <v>6094</v>
      </c>
      <c r="N327" s="884"/>
      <c r="Q327" s="921" t="s">
        <v>1309</v>
      </c>
      <c r="R327" s="921">
        <v>2584</v>
      </c>
      <c r="S327" s="922">
        <v>1</v>
      </c>
    </row>
    <row r="328" spans="1:20" s="894" customFormat="1" ht="12">
      <c r="A328" s="882" t="s">
        <v>988</v>
      </c>
      <c r="B328" s="878" t="s">
        <v>696</v>
      </c>
      <c r="C328" s="884">
        <v>1</v>
      </c>
      <c r="D328" s="884">
        <v>0</v>
      </c>
      <c r="E328" s="884">
        <v>0</v>
      </c>
      <c r="F328" s="884">
        <v>0</v>
      </c>
      <c r="G328" s="884">
        <v>0</v>
      </c>
      <c r="H328" s="884">
        <v>0</v>
      </c>
      <c r="I328" s="884">
        <v>0</v>
      </c>
      <c r="J328" s="884">
        <v>0</v>
      </c>
      <c r="K328" s="884">
        <v>0</v>
      </c>
      <c r="L328" s="884">
        <v>0</v>
      </c>
      <c r="M328" s="884">
        <v>0</v>
      </c>
      <c r="N328" s="884"/>
      <c r="S328" s="924">
        <v>1</v>
      </c>
    </row>
    <row r="329" spans="1:20" s="894" customFormat="1" ht="12">
      <c r="A329" s="890"/>
      <c r="B329" s="891" t="s">
        <v>989</v>
      </c>
      <c r="C329" s="892">
        <v>133139</v>
      </c>
      <c r="D329" s="892">
        <v>15836</v>
      </c>
      <c r="E329" s="892">
        <v>2926</v>
      </c>
      <c r="F329" s="892">
        <v>18762</v>
      </c>
      <c r="G329" s="892">
        <v>221</v>
      </c>
      <c r="H329" s="892">
        <v>391</v>
      </c>
      <c r="I329" s="892">
        <v>5844</v>
      </c>
      <c r="J329" s="892">
        <v>1658</v>
      </c>
      <c r="K329" s="892">
        <v>9612</v>
      </c>
      <c r="L329" s="892">
        <v>42616</v>
      </c>
      <c r="M329" s="892">
        <v>51699</v>
      </c>
      <c r="N329" s="892"/>
      <c r="T329" s="1104">
        <v>1</v>
      </c>
    </row>
    <row r="330" spans="1:20" s="878" customFormat="1" ht="11.4">
      <c r="A330" s="882" t="s">
        <v>990</v>
      </c>
      <c r="B330" s="878" t="s">
        <v>696</v>
      </c>
      <c r="C330" s="884">
        <v>30</v>
      </c>
      <c r="D330" s="884">
        <v>6</v>
      </c>
      <c r="E330" s="884">
        <v>3</v>
      </c>
      <c r="F330" s="884">
        <v>9</v>
      </c>
      <c r="G330" s="884">
        <v>0</v>
      </c>
      <c r="H330" s="884">
        <v>0</v>
      </c>
      <c r="I330" s="884">
        <v>0</v>
      </c>
      <c r="J330" s="884">
        <v>0</v>
      </c>
      <c r="K330" s="884">
        <v>3</v>
      </c>
      <c r="L330" s="884">
        <v>4</v>
      </c>
      <c r="M330" s="884">
        <v>2</v>
      </c>
      <c r="N330" s="884"/>
    </row>
    <row r="331" spans="1:20" s="894" customFormat="1" ht="12">
      <c r="A331" s="896"/>
      <c r="B331" s="897" t="s">
        <v>991</v>
      </c>
      <c r="C331" s="898">
        <v>30</v>
      </c>
      <c r="D331" s="898">
        <v>6</v>
      </c>
      <c r="E331" s="898">
        <v>3</v>
      </c>
      <c r="F331" s="898">
        <v>9</v>
      </c>
      <c r="G331" s="898">
        <v>0</v>
      </c>
      <c r="H331" s="898">
        <v>0</v>
      </c>
      <c r="I331" s="898">
        <v>0</v>
      </c>
      <c r="J331" s="898">
        <v>0</v>
      </c>
      <c r="K331" s="898">
        <v>3</v>
      </c>
      <c r="L331" s="898">
        <v>4</v>
      </c>
      <c r="M331" s="898">
        <v>2</v>
      </c>
      <c r="N331" s="892"/>
    </row>
    <row r="332" spans="1:20" s="894" customFormat="1" ht="12">
      <c r="A332" s="890"/>
      <c r="B332" s="894" t="s">
        <v>625</v>
      </c>
      <c r="C332" s="892">
        <v>4335182</v>
      </c>
      <c r="D332" s="892">
        <v>447517</v>
      </c>
      <c r="E332" s="892">
        <v>78923</v>
      </c>
      <c r="F332" s="892">
        <v>526441</v>
      </c>
      <c r="G332" s="892">
        <v>8289</v>
      </c>
      <c r="H332" s="892">
        <v>13873</v>
      </c>
      <c r="I332" s="892">
        <v>277745</v>
      </c>
      <c r="J332" s="892">
        <v>78348</v>
      </c>
      <c r="K332" s="892">
        <v>319888</v>
      </c>
      <c r="L332" s="892">
        <v>214147</v>
      </c>
      <c r="M332" s="892">
        <v>965682</v>
      </c>
      <c r="N332" s="892"/>
    </row>
    <row r="333" spans="1:20" s="878" customFormat="1" ht="11.4">
      <c r="A333" s="882"/>
      <c r="C333" s="884"/>
      <c r="D333" s="884"/>
      <c r="E333" s="884"/>
      <c r="F333" s="884"/>
      <c r="G333" s="884"/>
      <c r="H333" s="884"/>
      <c r="I333" s="884"/>
      <c r="J333" s="884"/>
      <c r="K333" s="884"/>
      <c r="L333" s="884"/>
      <c r="M333" s="884"/>
    </row>
    <row r="334" spans="1:20" s="765" customFormat="1">
      <c r="A334" s="899"/>
      <c r="B334" s="878"/>
      <c r="C334" s="900"/>
      <c r="D334" s="900"/>
      <c r="E334" s="900"/>
      <c r="F334" s="900"/>
      <c r="G334" s="900"/>
      <c r="H334" s="900"/>
      <c r="I334" s="900"/>
      <c r="J334" s="900"/>
      <c r="K334" s="900"/>
      <c r="L334" s="900"/>
      <c r="M334" s="900"/>
    </row>
    <row r="335" spans="1:20" s="765" customFormat="1">
      <c r="A335" s="899"/>
      <c r="B335" s="878"/>
      <c r="C335" s="900">
        <f>SUM(C10:C331)-C37-C46-C57-C72-C87-C96-C109-C111-C117-C152-C159-C210-C228-C241-C253-C269-C280-C288-C297-C313-C329-C331</f>
        <v>4335182</v>
      </c>
      <c r="D335" s="900"/>
      <c r="E335" s="900"/>
      <c r="F335" s="900"/>
      <c r="G335" s="900"/>
      <c r="H335" s="900"/>
      <c r="I335" s="900"/>
      <c r="J335" s="900"/>
      <c r="K335" s="900"/>
      <c r="L335" s="900"/>
      <c r="M335" s="900"/>
    </row>
    <row r="336" spans="1:20" s="31" customFormat="1">
      <c r="A336" s="899"/>
      <c r="B336" s="878"/>
      <c r="C336" s="900"/>
      <c r="D336" s="900"/>
      <c r="E336" s="900"/>
      <c r="F336" s="900"/>
      <c r="G336" s="900"/>
      <c r="H336" s="900"/>
      <c r="I336" s="900"/>
      <c r="J336" s="900"/>
      <c r="K336" s="900"/>
      <c r="L336" s="900"/>
      <c r="M336" s="900"/>
      <c r="N336" s="765"/>
    </row>
    <row r="337" spans="1:14" s="765" customFormat="1">
      <c r="A337" s="899"/>
      <c r="B337" s="878"/>
      <c r="C337" s="900"/>
      <c r="D337" s="900"/>
      <c r="E337" s="900"/>
      <c r="F337" s="900"/>
      <c r="G337" s="900"/>
      <c r="H337" s="900"/>
      <c r="I337" s="900"/>
      <c r="J337" s="900"/>
      <c r="K337" s="900"/>
      <c r="L337" s="900"/>
      <c r="M337" s="900"/>
    </row>
    <row r="338" spans="1:14" s="765" customFormat="1">
      <c r="A338" s="899"/>
      <c r="B338" s="894" t="s">
        <v>3464</v>
      </c>
      <c r="C338" s="2998">
        <f>F364/C335</f>
        <v>1.1382329507734623</v>
      </c>
      <c r="D338" s="900"/>
      <c r="E338" s="2983"/>
      <c r="F338" s="900"/>
      <c r="G338" s="900"/>
      <c r="H338" s="900"/>
      <c r="I338" s="900"/>
      <c r="J338" s="900"/>
      <c r="K338" s="900"/>
      <c r="L338" s="900"/>
      <c r="M338" s="900"/>
    </row>
    <row r="339" spans="1:14" s="765" customFormat="1">
      <c r="A339" s="899"/>
      <c r="B339" s="878"/>
      <c r="C339" s="900"/>
      <c r="D339" s="900"/>
      <c r="E339" s="900"/>
      <c r="F339" s="900"/>
      <c r="G339" s="900"/>
      <c r="H339" s="900"/>
      <c r="I339" s="900"/>
      <c r="J339" s="900"/>
      <c r="K339" s="900"/>
      <c r="L339" s="900"/>
      <c r="M339" s="900"/>
    </row>
    <row r="340" spans="1:14" s="31" customFormat="1">
      <c r="A340" s="899"/>
      <c r="B340" s="878"/>
      <c r="C340" s="900"/>
      <c r="D340" s="900"/>
      <c r="E340" s="900"/>
      <c r="F340" s="900"/>
      <c r="G340" s="900"/>
      <c r="H340" s="900"/>
      <c r="I340" s="900"/>
      <c r="J340" s="900"/>
      <c r="K340" s="900"/>
      <c r="L340" s="900"/>
      <c r="M340" s="900"/>
      <c r="N340" s="765"/>
    </row>
    <row r="341" spans="1:14" s="765" customFormat="1">
      <c r="A341" s="899"/>
      <c r="B341" s="878"/>
      <c r="C341" s="900"/>
      <c r="D341" s="900"/>
      <c r="E341" s="900"/>
      <c r="F341" s="900"/>
      <c r="G341" s="900"/>
      <c r="H341" s="900"/>
      <c r="I341" s="900"/>
      <c r="J341" s="900"/>
      <c r="K341" s="900"/>
      <c r="L341" s="900"/>
      <c r="M341" s="900"/>
    </row>
    <row r="342" spans="1:14" s="31" customFormat="1">
      <c r="A342" s="2876" t="s">
        <v>3280</v>
      </c>
      <c r="B342" s="1138"/>
      <c r="C342" s="1138"/>
      <c r="D342" s="1138"/>
      <c r="E342" s="1139"/>
      <c r="F342" s="1139"/>
      <c r="G342" s="1139"/>
      <c r="H342" s="1139"/>
      <c r="I342" s="1139"/>
      <c r="J342" s="2131"/>
      <c r="K342" s="900"/>
      <c r="L342" s="900"/>
      <c r="M342" s="900"/>
      <c r="N342" s="765"/>
    </row>
    <row r="343" spans="1:14" s="765" customFormat="1" ht="13.8">
      <c r="A343" s="894" t="s">
        <v>3281</v>
      </c>
      <c r="B343" s="1138"/>
      <c r="C343" s="1138"/>
      <c r="D343" s="1138"/>
      <c r="E343" s="1139"/>
      <c r="F343" s="1139"/>
      <c r="G343" s="1139"/>
      <c r="H343" s="1139"/>
      <c r="I343" s="1139"/>
      <c r="J343" s="2131"/>
      <c r="K343" s="900"/>
      <c r="L343" s="900"/>
      <c r="M343" s="900"/>
    </row>
    <row r="344" spans="1:14" s="765" customFormat="1">
      <c r="A344" s="878" t="s">
        <v>3282</v>
      </c>
      <c r="B344" s="1138"/>
      <c r="C344" s="1138"/>
      <c r="D344" s="1138"/>
      <c r="E344" s="1139"/>
      <c r="F344" s="1139"/>
      <c r="G344" s="1139"/>
      <c r="H344" s="1139"/>
      <c r="I344" s="1139"/>
      <c r="J344" s="2131"/>
      <c r="K344" s="900"/>
      <c r="L344" s="900"/>
      <c r="M344" s="900"/>
    </row>
    <row r="345" spans="1:14" s="31" customFormat="1">
      <c r="A345" s="1140"/>
      <c r="B345" s="1487"/>
      <c r="C345" s="1487"/>
      <c r="D345" s="1487"/>
      <c r="E345" s="1487"/>
      <c r="F345" s="1487"/>
      <c r="G345" s="1487"/>
      <c r="H345" s="1140"/>
      <c r="I345" s="1140"/>
      <c r="J345" s="1140"/>
      <c r="K345" s="900"/>
      <c r="L345" s="900"/>
      <c r="M345" s="900"/>
      <c r="N345" s="765"/>
    </row>
    <row r="346" spans="1:14" s="765" customFormat="1">
      <c r="A346" s="1466"/>
      <c r="B346" s="2877" t="s">
        <v>3283</v>
      </c>
      <c r="C346" s="2878"/>
      <c r="D346" s="2879"/>
      <c r="E346" s="2877" t="s">
        <v>619</v>
      </c>
      <c r="F346" s="2880"/>
      <c r="G346" s="2212"/>
      <c r="H346" s="2877" t="s">
        <v>620</v>
      </c>
      <c r="I346" s="2878"/>
      <c r="J346" s="2881"/>
      <c r="K346" s="900"/>
      <c r="L346" s="900"/>
      <c r="M346" s="900"/>
    </row>
    <row r="347" spans="1:14" s="765" customFormat="1">
      <c r="A347" s="2167" t="s">
        <v>3284</v>
      </c>
      <c r="B347" s="2882" t="s">
        <v>621</v>
      </c>
      <c r="C347" s="2882" t="s">
        <v>622</v>
      </c>
      <c r="D347" s="2882"/>
      <c r="E347" s="2882" t="s">
        <v>621</v>
      </c>
      <c r="F347" s="2882" t="s">
        <v>622</v>
      </c>
      <c r="G347" s="2882"/>
      <c r="H347" s="2882" t="s">
        <v>621</v>
      </c>
      <c r="I347" s="2883" t="s">
        <v>622</v>
      </c>
      <c r="J347" s="2131"/>
      <c r="K347" s="900"/>
      <c r="L347" s="900"/>
      <c r="M347" s="900"/>
    </row>
    <row r="348" spans="1:14" s="765" customFormat="1">
      <c r="A348" s="2884" t="s">
        <v>3285</v>
      </c>
      <c r="B348" s="2885" t="s">
        <v>624</v>
      </c>
      <c r="C348" s="2885" t="s">
        <v>624</v>
      </c>
      <c r="D348" s="2885"/>
      <c r="E348" s="2885" t="s">
        <v>624</v>
      </c>
      <c r="F348" s="2885" t="s">
        <v>624</v>
      </c>
      <c r="G348" s="2885"/>
      <c r="H348" s="2885" t="s">
        <v>624</v>
      </c>
      <c r="I348" s="2885" t="s">
        <v>624</v>
      </c>
      <c r="J348" s="2886" t="s">
        <v>625</v>
      </c>
      <c r="K348" s="900"/>
      <c r="L348" s="900"/>
      <c r="M348" s="900"/>
    </row>
    <row r="349" spans="1:14" s="765" customFormat="1">
      <c r="A349" s="2887" t="s">
        <v>3286</v>
      </c>
      <c r="B349" s="2888">
        <v>29050860.800000001</v>
      </c>
      <c r="C349" s="2888">
        <v>6577936.7000000002</v>
      </c>
      <c r="D349" s="2888"/>
      <c r="E349" s="2888">
        <v>52633</v>
      </c>
      <c r="F349" s="2888">
        <v>13733</v>
      </c>
      <c r="G349" s="2888"/>
      <c r="H349" s="2888">
        <f>B349/E349</f>
        <v>551.95145251078225</v>
      </c>
      <c r="I349" s="2888">
        <f>C349/F349</f>
        <v>478.98759921357316</v>
      </c>
      <c r="J349" s="2888">
        <f>(B349+C349)/(E349+F349)</f>
        <v>536.85317029804423</v>
      </c>
      <c r="K349" s="900"/>
      <c r="L349" s="900"/>
      <c r="M349" s="900"/>
    </row>
    <row r="350" spans="1:14" s="31" customFormat="1">
      <c r="A350" s="2889" t="s">
        <v>3287</v>
      </c>
      <c r="B350" s="2888">
        <v>80375540.400000006</v>
      </c>
      <c r="C350" s="2888">
        <v>16629440.300000001</v>
      </c>
      <c r="D350" s="2888"/>
      <c r="E350" s="2888">
        <v>102729</v>
      </c>
      <c r="F350" s="2888">
        <v>23347</v>
      </c>
      <c r="G350" s="2888"/>
      <c r="H350" s="2888">
        <f>B350/E350</f>
        <v>782.40360949683156</v>
      </c>
      <c r="I350" s="2888">
        <f>C350/F350</f>
        <v>712.27311003555064</v>
      </c>
      <c r="J350" s="2888">
        <f>(B350+C350)/(E350+F350)</f>
        <v>769.4167065896761</v>
      </c>
      <c r="K350" s="900"/>
      <c r="L350" s="900"/>
      <c r="M350" s="900"/>
      <c r="N350" s="765"/>
    </row>
    <row r="351" spans="1:14" s="765" customFormat="1">
      <c r="A351" s="2889" t="s">
        <v>3288</v>
      </c>
      <c r="B351" s="2888">
        <v>232625687.80000001</v>
      </c>
      <c r="C351" s="2888">
        <v>37381181.200000003</v>
      </c>
      <c r="D351" s="2888"/>
      <c r="E351" s="2888">
        <v>273094</v>
      </c>
      <c r="F351" s="2888">
        <v>51258</v>
      </c>
      <c r="G351" s="2888"/>
      <c r="H351" s="2888">
        <f t="shared" ref="H351:I362" si="7">B351/E351</f>
        <v>851.81544742835808</v>
      </c>
      <c r="I351" s="2888">
        <f t="shared" si="7"/>
        <v>729.2750634047369</v>
      </c>
      <c r="J351" s="2888">
        <f t="shared" ref="J351:J362" si="8">(B351+C351)/(E351+F351)</f>
        <v>832.45014367107342</v>
      </c>
      <c r="K351" s="900"/>
      <c r="L351" s="900"/>
      <c r="M351" s="900"/>
    </row>
    <row r="352" spans="1:14" s="31" customFormat="1">
      <c r="A352" s="2889" t="s">
        <v>3289</v>
      </c>
      <c r="B352" s="2888">
        <v>333814219.30000001</v>
      </c>
      <c r="C352" s="2888">
        <v>71621748.299999997</v>
      </c>
      <c r="D352" s="2888"/>
      <c r="E352" s="2888">
        <v>358726</v>
      </c>
      <c r="F352" s="2888">
        <v>78518</v>
      </c>
      <c r="G352" s="2888"/>
      <c r="H352" s="2888">
        <f t="shared" si="7"/>
        <v>930.55485049870936</v>
      </c>
      <c r="I352" s="2888">
        <f t="shared" si="7"/>
        <v>912.16979928169337</v>
      </c>
      <c r="J352" s="2888">
        <f t="shared" si="8"/>
        <v>927.25335876535758</v>
      </c>
      <c r="K352" s="900"/>
      <c r="L352" s="900"/>
      <c r="M352" s="900"/>
      <c r="N352" s="765"/>
    </row>
    <row r="353" spans="1:14" s="765" customFormat="1">
      <c r="A353" s="2889" t="s">
        <v>3290</v>
      </c>
      <c r="B353" s="2888">
        <v>411935396</v>
      </c>
      <c r="C353" s="2888">
        <v>87428920.900000006</v>
      </c>
      <c r="D353" s="2888"/>
      <c r="E353" s="2888">
        <v>387416</v>
      </c>
      <c r="F353" s="2888">
        <v>87025</v>
      </c>
      <c r="G353" s="2888"/>
      <c r="H353" s="2888">
        <f t="shared" si="7"/>
        <v>1063.2895801928676</v>
      </c>
      <c r="I353" s="2888">
        <f t="shared" si="7"/>
        <v>1004.6414352197645</v>
      </c>
      <c r="J353" s="2888">
        <f t="shared" si="8"/>
        <v>1052.5319626676446</v>
      </c>
      <c r="K353" s="900"/>
      <c r="L353" s="900"/>
      <c r="M353" s="900"/>
    </row>
    <row r="354" spans="1:14" s="31" customFormat="1" ht="12" customHeight="1">
      <c r="A354" s="2889" t="s">
        <v>3291</v>
      </c>
      <c r="B354" s="2888">
        <v>775502478.70000005</v>
      </c>
      <c r="C354" s="2888">
        <v>221355988.30000001</v>
      </c>
      <c r="D354" s="2888"/>
      <c r="E354" s="2888">
        <v>652448</v>
      </c>
      <c r="F354" s="2888">
        <v>170178</v>
      </c>
      <c r="G354" s="2888"/>
      <c r="H354" s="2888">
        <f t="shared" si="7"/>
        <v>1188.6042699188288</v>
      </c>
      <c r="I354" s="2888">
        <f t="shared" si="7"/>
        <v>1300.7321057951087</v>
      </c>
      <c r="J354" s="2888">
        <f t="shared" si="8"/>
        <v>1211.8003406165135</v>
      </c>
      <c r="K354" s="900"/>
      <c r="L354" s="900"/>
      <c r="M354" s="900"/>
      <c r="N354" s="765"/>
    </row>
    <row r="355" spans="1:14" s="31" customFormat="1">
      <c r="A355" s="2889" t="s">
        <v>3292</v>
      </c>
      <c r="B355" s="2888">
        <v>729489351.5</v>
      </c>
      <c r="C355" s="2888">
        <v>196540912.90000001</v>
      </c>
      <c r="D355" s="2888"/>
      <c r="E355" s="2888">
        <v>600642</v>
      </c>
      <c r="F355" s="2888">
        <v>163598</v>
      </c>
      <c r="G355" s="2888"/>
      <c r="H355" s="2888">
        <f t="shared" si="7"/>
        <v>1214.5160536559215</v>
      </c>
      <c r="I355" s="2888">
        <f t="shared" si="7"/>
        <v>1201.3650099634469</v>
      </c>
      <c r="J355" s="2888">
        <f t="shared" si="8"/>
        <v>1211.7008588924946</v>
      </c>
      <c r="K355" s="754"/>
      <c r="L355" s="754"/>
      <c r="M355" s="754"/>
      <c r="N355" s="765"/>
    </row>
    <row r="356" spans="1:14">
      <c r="A356" s="2889" t="s">
        <v>3293</v>
      </c>
      <c r="B356" s="2888">
        <v>831788625.89999998</v>
      </c>
      <c r="C356" s="2888">
        <v>296034215.5</v>
      </c>
      <c r="D356" s="2888"/>
      <c r="E356" s="2888">
        <v>575612</v>
      </c>
      <c r="F356" s="2888">
        <v>183813</v>
      </c>
      <c r="G356" s="2888"/>
      <c r="H356" s="2888">
        <f t="shared" si="7"/>
        <v>1445.0508778482726</v>
      </c>
      <c r="I356" s="2888">
        <f t="shared" si="7"/>
        <v>1610.5183828129675</v>
      </c>
      <c r="J356" s="2888">
        <f t="shared" si="8"/>
        <v>1485.1010190604736</v>
      </c>
    </row>
    <row r="357" spans="1:14">
      <c r="A357" s="2889" t="s">
        <v>3294</v>
      </c>
      <c r="B357" s="2888">
        <v>661459571.10000002</v>
      </c>
      <c r="C357" s="2888">
        <v>380412592.30000001</v>
      </c>
      <c r="D357" s="2888"/>
      <c r="E357" s="2888">
        <v>406215</v>
      </c>
      <c r="F357" s="2888">
        <v>191916</v>
      </c>
      <c r="G357" s="2888"/>
      <c r="H357" s="2888">
        <f t="shared" si="7"/>
        <v>1628.3484634983938</v>
      </c>
      <c r="I357" s="2888">
        <f t="shared" si="7"/>
        <v>1982.1827898663998</v>
      </c>
      <c r="J357" s="2888">
        <f t="shared" si="8"/>
        <v>1741.8795604976169</v>
      </c>
    </row>
    <row r="358" spans="1:14">
      <c r="A358" s="2889" t="s">
        <v>3295</v>
      </c>
      <c r="B358" s="2888">
        <v>377528641.69999999</v>
      </c>
      <c r="C358" s="2888">
        <v>279903630.80000001</v>
      </c>
      <c r="D358" s="2888"/>
      <c r="E358" s="2888">
        <v>262664</v>
      </c>
      <c r="F358" s="2888">
        <v>160936</v>
      </c>
      <c r="G358" s="2888"/>
      <c r="H358" s="2888">
        <f t="shared" si="7"/>
        <v>1437.3063750647214</v>
      </c>
      <c r="I358" s="2888">
        <f t="shared" si="7"/>
        <v>1739.2232365660884</v>
      </c>
      <c r="J358" s="2888">
        <f t="shared" si="8"/>
        <v>1552.011974740321</v>
      </c>
    </row>
    <row r="359" spans="1:14">
      <c r="A359" s="2889" t="s">
        <v>3296</v>
      </c>
      <c r="B359" s="2888">
        <v>79149716.900000006</v>
      </c>
      <c r="C359" s="2888">
        <v>92097791.5</v>
      </c>
      <c r="D359" s="2888"/>
      <c r="E359" s="2888">
        <v>61409</v>
      </c>
      <c r="F359" s="2888">
        <v>46075</v>
      </c>
      <c r="G359" s="2888"/>
      <c r="H359" s="2888">
        <f t="shared" si="7"/>
        <v>1288.8944112426518</v>
      </c>
      <c r="I359" s="2888">
        <f t="shared" si="7"/>
        <v>1998.8668800868149</v>
      </c>
      <c r="J359" s="2888">
        <f t="shared" si="8"/>
        <v>1593.2372111197947</v>
      </c>
    </row>
    <row r="360" spans="1:14">
      <c r="A360" s="2889" t="s">
        <v>3297</v>
      </c>
      <c r="B360" s="2888">
        <v>10055103.6</v>
      </c>
      <c r="C360" s="2888">
        <v>18772967</v>
      </c>
      <c r="D360" s="2888"/>
      <c r="E360" s="2888">
        <v>9262</v>
      </c>
      <c r="F360" s="2888">
        <v>7134</v>
      </c>
      <c r="G360" s="2888"/>
      <c r="H360" s="2888">
        <f t="shared" si="7"/>
        <v>1085.6298423666594</v>
      </c>
      <c r="I360" s="2888">
        <f t="shared" si="7"/>
        <v>2631.478413232408</v>
      </c>
      <c r="J360" s="2888">
        <f t="shared" si="8"/>
        <v>1758.2380214686509</v>
      </c>
    </row>
    <row r="361" spans="1:14">
      <c r="A361" s="2889" t="s">
        <v>3298</v>
      </c>
      <c r="B361" s="2888">
        <v>9296450</v>
      </c>
      <c r="C361" s="2888">
        <v>4412737.9000000004</v>
      </c>
      <c r="D361" s="2888"/>
      <c r="E361" s="2888">
        <v>10399</v>
      </c>
      <c r="F361" s="2888">
        <v>3662</v>
      </c>
      <c r="G361" s="2888"/>
      <c r="H361" s="2888">
        <f t="shared" si="7"/>
        <v>893.97538224829316</v>
      </c>
      <c r="I361" s="2888">
        <f t="shared" si="7"/>
        <v>1205.0076187875479</v>
      </c>
      <c r="J361" s="2888">
        <f t="shared" si="8"/>
        <v>974.97958182206105</v>
      </c>
    </row>
    <row r="362" spans="1:14">
      <c r="A362" s="2890" t="s">
        <v>3299</v>
      </c>
      <c r="B362" s="2888">
        <v>45.6</v>
      </c>
      <c r="C362" s="2888">
        <v>2432.3000000000002</v>
      </c>
      <c r="D362" s="2888"/>
      <c r="E362" s="2888">
        <v>1</v>
      </c>
      <c r="F362" s="2888">
        <v>4</v>
      </c>
      <c r="G362" s="2888"/>
      <c r="H362" s="2888">
        <f t="shared" si="7"/>
        <v>45.6</v>
      </c>
      <c r="I362" s="2888">
        <f t="shared" si="7"/>
        <v>608.07500000000005</v>
      </c>
      <c r="J362" s="2888">
        <f t="shared" si="8"/>
        <v>495.58000000000004</v>
      </c>
    </row>
    <row r="363" spans="1:14">
      <c r="A363" s="2891" t="s">
        <v>625</v>
      </c>
      <c r="B363" s="2892">
        <f>SUM(B349:B362)</f>
        <v>4562071689.3000002</v>
      </c>
      <c r="C363" s="2892">
        <f>SUM(C349:C362)</f>
        <v>1709172495.9000001</v>
      </c>
      <c r="D363" s="2892"/>
      <c r="E363" s="2892">
        <f>SUM(E349:E362)</f>
        <v>3753250</v>
      </c>
      <c r="F363" s="2892">
        <f>SUM(F349:F362)</f>
        <v>1181197</v>
      </c>
      <c r="G363" s="1521"/>
      <c r="H363" s="1521">
        <f>B363/E363</f>
        <v>1215.4990179977353</v>
      </c>
      <c r="I363" s="1521">
        <f>C363/F363</f>
        <v>1446.9834379023991</v>
      </c>
      <c r="J363" s="1521">
        <f>(B363+C363)/(E363+F363)</f>
        <v>1270.9112460220974</v>
      </c>
    </row>
    <row r="364" spans="1:14">
      <c r="A364" s="2168"/>
      <c r="B364" s="1139"/>
      <c r="C364" s="1139"/>
      <c r="D364" s="1139"/>
      <c r="E364" s="1139"/>
      <c r="F364" s="2893">
        <f>F363+E363</f>
        <v>4934447</v>
      </c>
      <c r="G364" s="1139"/>
      <c r="H364" s="1139"/>
      <c r="I364" s="1139"/>
      <c r="J364" s="2131"/>
    </row>
    <row r="365" spans="1:14">
      <c r="A365" s="1139"/>
      <c r="B365" s="1139"/>
      <c r="C365" s="1139"/>
      <c r="D365" s="1139"/>
      <c r="E365" s="1139"/>
      <c r="F365" s="1139"/>
      <c r="G365" s="1139"/>
      <c r="H365" s="1139"/>
      <c r="I365" s="1139"/>
      <c r="J365" s="2131"/>
    </row>
    <row r="366" spans="1:14">
      <c r="A366" s="1139"/>
      <c r="B366" s="2893"/>
      <c r="C366" s="2893"/>
      <c r="D366" s="2893"/>
      <c r="E366" s="2893"/>
      <c r="F366" s="1139"/>
      <c r="G366" s="1139"/>
      <c r="H366" s="1139"/>
      <c r="I366" s="1139"/>
      <c r="J366" s="2131"/>
    </row>
    <row r="367" spans="1:14">
      <c r="A367" s="1139"/>
      <c r="B367" s="1139"/>
      <c r="C367" s="1139"/>
      <c r="D367" s="1139"/>
      <c r="E367" s="1139"/>
      <c r="F367" s="1139"/>
      <c r="G367" s="1139"/>
      <c r="H367" s="1139"/>
      <c r="I367" s="1139"/>
      <c r="J367" s="2131"/>
    </row>
    <row r="368" spans="1:14">
      <c r="A368" s="2876" t="s">
        <v>3300</v>
      </c>
      <c r="B368" s="1138"/>
      <c r="C368" s="1138"/>
      <c r="D368" s="1138"/>
      <c r="E368" s="1139"/>
      <c r="F368" s="1139"/>
      <c r="G368" s="1139"/>
      <c r="H368" s="1139"/>
      <c r="I368" s="1139"/>
      <c r="J368" s="2131"/>
    </row>
    <row r="369" spans="1:10">
      <c r="A369" s="894" t="s">
        <v>3301</v>
      </c>
      <c r="B369" s="1138"/>
      <c r="C369" s="1138"/>
      <c r="D369" s="1138"/>
      <c r="E369" s="1139"/>
      <c r="F369" s="1139"/>
      <c r="G369" s="1139"/>
      <c r="H369" s="1139"/>
      <c r="I369" s="1139"/>
      <c r="J369" s="2131"/>
    </row>
    <row r="370" spans="1:10">
      <c r="A370" s="878" t="s">
        <v>3302</v>
      </c>
      <c r="B370" s="1138"/>
      <c r="C370" s="1138"/>
      <c r="D370" s="1138"/>
      <c r="E370" s="1139"/>
      <c r="F370" s="1139"/>
      <c r="G370" s="1139"/>
      <c r="H370" s="1139"/>
      <c r="I370" s="1139"/>
      <c r="J370" s="2131"/>
    </row>
    <row r="371" spans="1:10">
      <c r="A371" s="1140"/>
      <c r="B371" s="1487"/>
      <c r="C371" s="1487"/>
      <c r="D371" s="1487"/>
      <c r="E371" s="1140"/>
      <c r="F371" s="1140"/>
      <c r="G371" s="1140"/>
      <c r="H371" s="1140"/>
      <c r="I371" s="1140"/>
      <c r="J371" s="2131"/>
    </row>
    <row r="372" spans="1:10">
      <c r="A372" s="2894" t="s">
        <v>3303</v>
      </c>
      <c r="B372" s="2881"/>
      <c r="C372" s="2895" t="s">
        <v>618</v>
      </c>
      <c r="D372" s="2895"/>
      <c r="E372" s="2878"/>
      <c r="F372" s="2895" t="s">
        <v>619</v>
      </c>
      <c r="G372" s="2895"/>
      <c r="H372" s="2878"/>
      <c r="I372" s="2895" t="s">
        <v>620</v>
      </c>
      <c r="J372" s="2167"/>
    </row>
    <row r="373" spans="1:10">
      <c r="A373" s="2896" t="s">
        <v>3304</v>
      </c>
      <c r="B373" s="2897"/>
      <c r="C373" s="2898">
        <v>4562071689.3000002</v>
      </c>
      <c r="D373" s="2898"/>
      <c r="E373" s="2898"/>
      <c r="F373" s="2898">
        <v>3753250</v>
      </c>
      <c r="G373" s="2898"/>
      <c r="H373" s="2899"/>
      <c r="I373" s="2898">
        <f>C373/F373</f>
        <v>1215.4990179977353</v>
      </c>
      <c r="J373" s="2900"/>
    </row>
    <row r="374" spans="1:10">
      <c r="A374" s="2901" t="s">
        <v>3305</v>
      </c>
      <c r="B374" s="2897"/>
      <c r="C374" s="2888">
        <v>1482792208.5999999</v>
      </c>
      <c r="D374" s="2888"/>
      <c r="E374" s="2888"/>
      <c r="F374" s="2888">
        <v>1268136</v>
      </c>
      <c r="G374" s="2888"/>
      <c r="H374" s="2902"/>
      <c r="I374" s="2888">
        <f t="shared" ref="I374:I380" si="9">C374/F374</f>
        <v>1169.2690757142766</v>
      </c>
      <c r="J374" s="2900"/>
    </row>
    <row r="375" spans="1:10">
      <c r="A375" s="2903" t="s">
        <v>3306</v>
      </c>
      <c r="B375" s="2904"/>
      <c r="C375" s="2888">
        <v>3079279480.6999998</v>
      </c>
      <c r="D375" s="2888"/>
      <c r="E375" s="2888"/>
      <c r="F375" s="2888">
        <v>2485114</v>
      </c>
      <c r="G375" s="2888"/>
      <c r="H375" s="2902"/>
      <c r="I375" s="2888">
        <f t="shared" si="9"/>
        <v>1239.0898287563466</v>
      </c>
      <c r="J375" s="2900"/>
    </row>
    <row r="376" spans="1:10">
      <c r="A376" s="2905" t="s">
        <v>3307</v>
      </c>
      <c r="B376" s="2904"/>
      <c r="C376" s="2888">
        <v>1709172495.9000001</v>
      </c>
      <c r="D376" s="2888"/>
      <c r="E376" s="2888"/>
      <c r="F376" s="2888">
        <v>1181197</v>
      </c>
      <c r="G376" s="2888"/>
      <c r="H376" s="2902"/>
      <c r="I376" s="2906">
        <f t="shared" si="9"/>
        <v>1446.9834379023991</v>
      </c>
      <c r="J376" s="2900"/>
    </row>
    <row r="377" spans="1:10">
      <c r="A377" s="2905" t="s">
        <v>3308</v>
      </c>
      <c r="B377" s="2904"/>
      <c r="C377" s="2907">
        <v>764708792.39999998</v>
      </c>
      <c r="D377" s="2888"/>
      <c r="E377" s="2888"/>
      <c r="F377" s="2908">
        <v>547784</v>
      </c>
      <c r="G377" s="2888"/>
      <c r="H377" s="2902"/>
      <c r="I377" s="2888">
        <f t="shared" si="9"/>
        <v>1396.0042505805206</v>
      </c>
      <c r="J377" s="2900"/>
    </row>
    <row r="378" spans="1:10">
      <c r="A378" s="2891" t="s">
        <v>625</v>
      </c>
      <c r="B378" s="2909"/>
      <c r="C378" s="2892">
        <f>C373+C376</f>
        <v>6271244185.2000008</v>
      </c>
      <c r="D378" s="2892"/>
      <c r="E378" s="2892"/>
      <c r="F378" s="2892">
        <f>F373+F376</f>
        <v>4934447</v>
      </c>
      <c r="G378" s="2892"/>
      <c r="H378" s="2892"/>
      <c r="I378" s="2892">
        <f t="shared" si="9"/>
        <v>1270.9112460220974</v>
      </c>
      <c r="J378" s="2900"/>
    </row>
    <row r="379" spans="1:10">
      <c r="A379" s="2896" t="s">
        <v>3309</v>
      </c>
      <c r="B379" s="2888"/>
      <c r="C379" s="2888">
        <v>529797413.19999999</v>
      </c>
      <c r="D379" s="2888"/>
      <c r="E379" s="2888"/>
      <c r="F379" s="2888">
        <v>279219</v>
      </c>
      <c r="G379" s="2902"/>
      <c r="H379" s="2898"/>
      <c r="I379" s="2898">
        <f t="shared" si="9"/>
        <v>1897.4260820359646</v>
      </c>
      <c r="J379" s="2900"/>
    </row>
    <row r="380" spans="1:10">
      <c r="A380" s="2910" t="s">
        <v>3310</v>
      </c>
      <c r="B380" s="2911"/>
      <c r="C380" s="2912">
        <v>105018616.2</v>
      </c>
      <c r="D380" s="2912"/>
      <c r="E380" s="2913"/>
      <c r="F380" s="2912">
        <v>15468</v>
      </c>
      <c r="G380" s="2912"/>
      <c r="H380" s="2913"/>
      <c r="I380" s="2914">
        <f t="shared" si="9"/>
        <v>6789.4114429790534</v>
      </c>
      <c r="J380" s="2900"/>
    </row>
    <row r="381" spans="1:10">
      <c r="A381" s="2915"/>
      <c r="B381" s="2131"/>
      <c r="C381" s="2131"/>
      <c r="D381" s="2131"/>
      <c r="E381" s="2131"/>
      <c r="F381" s="2131"/>
      <c r="G381" s="2131"/>
      <c r="H381" s="2131"/>
      <c r="I381" s="2131"/>
      <c r="J381" s="2131"/>
    </row>
    <row r="382" spans="1:10">
      <c r="A382" s="2131"/>
      <c r="B382" s="2131"/>
      <c r="C382" s="2131"/>
      <c r="D382" s="2131"/>
      <c r="E382" s="2131"/>
      <c r="F382" s="2131"/>
      <c r="G382" s="2131"/>
      <c r="H382" s="2131"/>
      <c r="I382" s="2131"/>
      <c r="J382" s="2131"/>
    </row>
    <row r="383" spans="1:10">
      <c r="A383" s="2131"/>
      <c r="B383" s="2131"/>
      <c r="C383" s="2131"/>
      <c r="D383" s="2131"/>
      <c r="E383" s="2131"/>
      <c r="F383" s="2131"/>
      <c r="G383" s="2131"/>
      <c r="H383" s="2131"/>
      <c r="I383" s="2131"/>
      <c r="J383" s="2131"/>
    </row>
    <row r="384" spans="1:10">
      <c r="A384" s="2131"/>
      <c r="B384" s="2131"/>
      <c r="C384" s="2131"/>
      <c r="D384" s="2131"/>
      <c r="E384" s="2131"/>
      <c r="F384" s="2131"/>
      <c r="G384" s="2131"/>
      <c r="H384" s="2131"/>
      <c r="I384" s="2131"/>
      <c r="J384" s="2131"/>
    </row>
  </sheetData>
  <pageMargins left="0.7" right="0.7" top="0.75" bottom="0.75" header="0.3" footer="0.3"/>
  <pageSetup paperSize="9" orientation="portrait"/>
  <drawing r:id="rId1"/>
  <legacyDrawing r:id="rId2"/>
  <oleObjects>
    <mc:AlternateContent xmlns:mc="http://schemas.openxmlformats.org/markup-compatibility/2006">
      <mc:Choice Requires="x14">
        <oleObject progId="Paint.Picture" shapeId="517121" r:id="rId3">
          <objectPr defaultSize="0" autoPict="0" r:id="rId4">
            <anchor moveWithCells="1">
              <from>
                <xdr:col>0</xdr:col>
                <xdr:colOff>38100</xdr:colOff>
                <xdr:row>332</xdr:row>
                <xdr:rowOff>121920</xdr:rowOff>
              </from>
              <to>
                <xdr:col>1</xdr:col>
                <xdr:colOff>1249680</xdr:colOff>
                <xdr:row>334</xdr:row>
                <xdr:rowOff>45720</xdr:rowOff>
              </to>
            </anchor>
          </objectPr>
        </oleObject>
      </mc:Choice>
      <mc:Fallback>
        <oleObject progId="Paint.Picture" shapeId="517121" r:id="rId3"/>
      </mc:Fallback>
    </mc:AlternateContent>
    <mc:AlternateContent xmlns:mc="http://schemas.openxmlformats.org/markup-compatibility/2006">
      <mc:Choice Requires="x14">
        <oleObject progId="Paint.Picture" shapeId="517122" r:id="rId5">
          <objectPr defaultSize="0" autoLine="0" autoPict="0" r:id="rId6">
            <anchor moveWithCells="1">
              <from>
                <xdr:col>0</xdr:col>
                <xdr:colOff>45720</xdr:colOff>
                <xdr:row>380</xdr:row>
                <xdr:rowOff>60960</xdr:rowOff>
              </from>
              <to>
                <xdr:col>1</xdr:col>
                <xdr:colOff>144780</xdr:colOff>
                <xdr:row>381</xdr:row>
                <xdr:rowOff>137160</xdr:rowOff>
              </to>
            </anchor>
          </objectPr>
        </oleObject>
      </mc:Choice>
      <mc:Fallback>
        <oleObject progId="Paint.Picture" shapeId="517122" r:id="rId5"/>
      </mc:Fallback>
    </mc:AlternateContent>
  </oleObjects>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100-000000000000}">
  <sheetPr>
    <tabColor rgb="FF00B0F0"/>
  </sheetPr>
  <dimension ref="A1:AU338"/>
  <sheetViews>
    <sheetView topLeftCell="A252" zoomScale="90" zoomScaleNormal="90" workbookViewId="0">
      <selection activeCell="M326" sqref="M326"/>
    </sheetView>
  </sheetViews>
  <sheetFormatPr defaultRowHeight="13.2"/>
  <cols>
    <col min="2" max="2" width="27.5546875" customWidth="1"/>
    <col min="3" max="3" width="9.5546875" bestFit="1" customWidth="1"/>
    <col min="4" max="4" width="16.109375" customWidth="1"/>
    <col min="5" max="5" width="20" customWidth="1"/>
    <col min="7" max="7" width="19.33203125" customWidth="1"/>
    <col min="9" max="9" width="9.5546875" bestFit="1" customWidth="1"/>
    <col min="10" max="10" width="9.33203125" bestFit="1" customWidth="1"/>
    <col min="11" max="11" width="12.33203125" customWidth="1"/>
    <col min="12" max="12" width="9.33203125" bestFit="1" customWidth="1"/>
    <col min="13" max="13" width="14.33203125" customWidth="1"/>
    <col min="15" max="15" width="18.88671875" customWidth="1"/>
    <col min="16" max="16" width="13.109375" customWidth="1"/>
    <col min="17" max="17" width="12.44140625" customWidth="1"/>
    <col min="18" max="18" width="15" customWidth="1"/>
    <col min="20" max="20" width="13.33203125" customWidth="1"/>
    <col min="22" max="22" width="19" customWidth="1"/>
    <col min="23" max="23" width="14" customWidth="1"/>
    <col min="25" max="25" width="17.44140625" customWidth="1"/>
    <col min="38" max="38" width="10.44140625" customWidth="1"/>
    <col min="39" max="39" width="9.109375" style="754"/>
    <col min="42" max="42" width="14.5546875" customWidth="1"/>
    <col min="52" max="52" width="12.44140625" bestFit="1" customWidth="1"/>
  </cols>
  <sheetData>
    <row r="1" spans="1:28" s="754" customFormat="1" ht="17.399999999999999">
      <c r="A1" s="1666" t="s">
        <v>2099</v>
      </c>
      <c r="B1" s="1667"/>
      <c r="C1" s="1667"/>
      <c r="D1" s="304"/>
    </row>
    <row r="2" spans="1:28" s="545" customFormat="1" ht="15" customHeight="1">
      <c r="A2" s="1664"/>
      <c r="B2" s="1665"/>
      <c r="C2" s="1665"/>
    </row>
    <row r="3" spans="1:28" s="545" customFormat="1" ht="15" customHeight="1">
      <c r="A3" s="1664"/>
      <c r="B3" s="1665"/>
      <c r="C3" s="1665"/>
    </row>
    <row r="4" spans="1:28" s="1663" customFormat="1" ht="15" customHeight="1">
      <c r="A4" s="1661" t="s">
        <v>383</v>
      </c>
      <c r="B4" s="1662"/>
      <c r="C4" s="1662"/>
    </row>
    <row r="5" spans="1:28" s="545" customFormat="1" ht="15" customHeight="1">
      <c r="A5" s="1664"/>
      <c r="B5" s="1665"/>
      <c r="C5" s="1665"/>
    </row>
    <row r="6" spans="1:28" s="545" customFormat="1" ht="15" customHeight="1">
      <c r="A6" s="1664"/>
      <c r="B6" s="1665"/>
      <c r="C6" s="1665"/>
    </row>
    <row r="7" spans="1:28" s="545" customFormat="1" ht="15" customHeight="1">
      <c r="A7"/>
      <c r="B7"/>
      <c r="C7"/>
      <c r="D7"/>
      <c r="E7"/>
      <c r="F7"/>
      <c r="G7"/>
      <c r="H7"/>
      <c r="I7"/>
      <c r="J7"/>
      <c r="K7"/>
      <c r="L7"/>
      <c r="M7"/>
      <c r="N7"/>
      <c r="O7"/>
      <c r="P7"/>
      <c r="Q7" s="754"/>
      <c r="R7"/>
      <c r="S7"/>
      <c r="T7"/>
      <c r="U7"/>
      <c r="V7"/>
      <c r="W7"/>
      <c r="X7"/>
      <c r="Y7"/>
      <c r="Z7"/>
      <c r="AA7"/>
      <c r="AB7"/>
    </row>
    <row r="8" spans="1:28" s="545" customFormat="1" ht="15" customHeight="1">
      <c r="A8"/>
      <c r="B8" s="1673"/>
      <c r="C8" s="1674" t="s">
        <v>625</v>
      </c>
      <c r="D8" s="1674"/>
      <c r="E8" s="1674" t="s">
        <v>1604</v>
      </c>
      <c r="F8" s="1674"/>
      <c r="G8" s="1674"/>
      <c r="H8" s="1674"/>
      <c r="I8" s="1674" t="s">
        <v>1605</v>
      </c>
      <c r="J8" s="1674"/>
      <c r="K8" s="1674" t="s">
        <v>1606</v>
      </c>
      <c r="L8" s="1674"/>
      <c r="M8" s="1674"/>
      <c r="N8" s="1674"/>
      <c r="O8" s="1674"/>
      <c r="P8" s="1674"/>
      <c r="Q8" s="1674"/>
      <c r="R8" s="1674"/>
      <c r="S8" s="1674"/>
      <c r="T8" s="1674"/>
      <c r="U8" s="1674"/>
      <c r="V8" s="1674"/>
      <c r="W8" s="1674"/>
      <c r="X8" s="1674"/>
      <c r="Y8" s="1674"/>
      <c r="Z8" s="1674"/>
      <c r="AA8" s="1675"/>
      <c r="AB8"/>
    </row>
    <row r="9" spans="1:28" s="545" customFormat="1" ht="15" customHeight="1">
      <c r="A9"/>
      <c r="B9" s="320"/>
      <c r="C9" s="1676" t="s">
        <v>124</v>
      </c>
      <c r="D9" s="1676"/>
      <c r="E9" s="1676" t="s">
        <v>1607</v>
      </c>
      <c r="F9" s="1676"/>
      <c r="G9" s="1676"/>
      <c r="H9" s="1676"/>
      <c r="I9" s="1676" t="s">
        <v>528</v>
      </c>
      <c r="J9" s="1676"/>
      <c r="K9" s="1676" t="s">
        <v>1608</v>
      </c>
      <c r="L9" s="1676"/>
      <c r="M9" s="1676"/>
      <c r="N9" s="1676"/>
      <c r="O9" s="1676"/>
      <c r="P9" s="1676"/>
      <c r="Q9" s="1676"/>
      <c r="R9" s="1676"/>
      <c r="S9" s="1676"/>
      <c r="T9" s="1676"/>
      <c r="U9" s="1676"/>
      <c r="V9" s="1676"/>
      <c r="W9" s="1676"/>
      <c r="X9" s="1676"/>
      <c r="Y9" s="1676"/>
      <c r="Z9" s="1676"/>
      <c r="AA9" s="1677"/>
      <c r="AB9"/>
    </row>
    <row r="10" spans="1:28" s="545" customFormat="1" ht="15" customHeight="1">
      <c r="A10"/>
      <c r="B10" s="320"/>
      <c r="C10" s="1676"/>
      <c r="D10" s="1676"/>
      <c r="E10" s="1678" t="s">
        <v>1609</v>
      </c>
      <c r="F10" s="1678"/>
      <c r="G10" s="1678"/>
      <c r="H10" s="1676"/>
      <c r="I10" s="1676" t="s">
        <v>1610</v>
      </c>
      <c r="J10" s="1676"/>
      <c r="K10" s="1676" t="s">
        <v>2138</v>
      </c>
      <c r="L10" s="1676"/>
      <c r="M10" s="1676"/>
      <c r="N10" s="1676"/>
      <c r="O10" s="1676"/>
      <c r="P10" s="1676"/>
      <c r="Q10" s="1676"/>
      <c r="R10" s="1676"/>
      <c r="S10" s="1676"/>
      <c r="T10" s="1676"/>
      <c r="U10" s="1676"/>
      <c r="V10" s="1676"/>
      <c r="W10" s="1676"/>
      <c r="X10" s="1676"/>
      <c r="Y10" s="1676"/>
      <c r="Z10" s="1676"/>
      <c r="AA10" s="1677"/>
      <c r="AB10"/>
    </row>
    <row r="11" spans="1:28" s="545" customFormat="1" ht="15" customHeight="1">
      <c r="A11"/>
      <c r="B11" s="320"/>
      <c r="C11" s="1676"/>
      <c r="D11" s="1676"/>
      <c r="E11" s="1676" t="s">
        <v>1611</v>
      </c>
      <c r="F11" s="1676"/>
      <c r="G11" s="1676" t="s">
        <v>1612</v>
      </c>
      <c r="H11" s="1676"/>
      <c r="I11" s="1676"/>
      <c r="J11" s="1676"/>
      <c r="K11" s="1676" t="s">
        <v>1613</v>
      </c>
      <c r="L11" s="1676"/>
      <c r="M11" s="1676"/>
      <c r="N11" s="1676" t="s">
        <v>625</v>
      </c>
      <c r="O11" s="1676"/>
      <c r="P11" s="1676" t="s">
        <v>1527</v>
      </c>
      <c r="Q11" s="1676"/>
      <c r="R11" s="1676"/>
      <c r="S11" s="1676"/>
      <c r="T11" s="1676"/>
      <c r="U11" s="1676"/>
      <c r="V11" s="1676" t="s">
        <v>1528</v>
      </c>
      <c r="W11" s="1676"/>
      <c r="X11" s="1676"/>
      <c r="Y11" s="1676"/>
      <c r="Z11" s="1676"/>
      <c r="AA11" s="1677"/>
      <c r="AB11"/>
    </row>
    <row r="12" spans="1:28" s="545" customFormat="1" ht="15" customHeight="1">
      <c r="A12"/>
      <c r="B12" s="320"/>
      <c r="C12" s="1676"/>
      <c r="D12" s="1676"/>
      <c r="E12" s="1676" t="s">
        <v>1003</v>
      </c>
      <c r="F12" s="1676"/>
      <c r="G12" s="1676" t="s">
        <v>1003</v>
      </c>
      <c r="H12" s="1676"/>
      <c r="I12" s="1676"/>
      <c r="J12" s="1676"/>
      <c r="K12" s="1676" t="s">
        <v>1614</v>
      </c>
      <c r="L12" s="1676"/>
      <c r="M12" s="1676"/>
      <c r="N12" s="1676" t="s">
        <v>124</v>
      </c>
      <c r="O12" s="1676"/>
      <c r="P12" s="1678" t="s">
        <v>1530</v>
      </c>
      <c r="Q12" s="1678"/>
      <c r="R12" s="1678"/>
      <c r="S12" s="1678"/>
      <c r="T12" s="1678"/>
      <c r="U12" s="1676"/>
      <c r="V12" s="1678" t="s">
        <v>1531</v>
      </c>
      <c r="W12" s="1678"/>
      <c r="X12" s="1678"/>
      <c r="Y12" s="1678"/>
      <c r="Z12" s="1678"/>
      <c r="AA12" s="1677"/>
      <c r="AB12"/>
    </row>
    <row r="13" spans="1:28" s="545" customFormat="1" ht="15" customHeight="1">
      <c r="A13"/>
      <c r="B13" s="320"/>
      <c r="C13" s="1676"/>
      <c r="D13" s="1676"/>
      <c r="E13" s="1676" t="s">
        <v>228</v>
      </c>
      <c r="F13" s="1676"/>
      <c r="G13" s="1676" t="s">
        <v>1615</v>
      </c>
      <c r="H13" s="1676"/>
      <c r="I13" s="1676"/>
      <c r="J13" s="1676"/>
      <c r="K13" s="1676" t="s">
        <v>2139</v>
      </c>
      <c r="L13" s="1676"/>
      <c r="M13" s="1676"/>
      <c r="N13" s="1676"/>
      <c r="O13" s="1676"/>
      <c r="P13" s="1676" t="s">
        <v>1532</v>
      </c>
      <c r="Q13" s="1676"/>
      <c r="R13" s="1676" t="s">
        <v>1533</v>
      </c>
      <c r="S13" s="1676"/>
      <c r="T13" s="1676" t="s">
        <v>1315</v>
      </c>
      <c r="U13" s="1676"/>
      <c r="V13" s="1676" t="s">
        <v>2140</v>
      </c>
      <c r="W13" s="1676"/>
      <c r="X13" s="1676" t="s">
        <v>2141</v>
      </c>
      <c r="Y13" s="1676"/>
      <c r="Z13" s="1676" t="s">
        <v>1315</v>
      </c>
      <c r="AA13" s="1677"/>
      <c r="AB13"/>
    </row>
    <row r="14" spans="1:28" s="545" customFormat="1" ht="15" customHeight="1">
      <c r="A14"/>
      <c r="B14" s="320"/>
      <c r="C14" s="1678"/>
      <c r="D14" s="1678"/>
      <c r="E14" s="1678" t="s">
        <v>2433</v>
      </c>
      <c r="F14" s="1678"/>
      <c r="G14" s="1678" t="s">
        <v>1616</v>
      </c>
      <c r="H14" s="1678"/>
      <c r="I14" s="1678"/>
      <c r="J14" s="1678"/>
      <c r="K14" s="1678"/>
      <c r="L14" s="1676"/>
      <c r="M14" s="1676"/>
      <c r="N14" s="1678"/>
      <c r="O14" s="1678"/>
      <c r="P14" s="1678" t="s">
        <v>1534</v>
      </c>
      <c r="Q14" s="1678"/>
      <c r="R14" s="1678" t="s">
        <v>1535</v>
      </c>
      <c r="S14" s="1678"/>
      <c r="T14" s="1678" t="s">
        <v>124</v>
      </c>
      <c r="U14" s="1678"/>
      <c r="V14" s="1678" t="s">
        <v>2142</v>
      </c>
      <c r="W14" s="1678"/>
      <c r="X14" s="1678" t="s">
        <v>2143</v>
      </c>
      <c r="Y14" s="1678"/>
      <c r="Z14" s="1678" t="s">
        <v>124</v>
      </c>
      <c r="AA14" s="1677"/>
      <c r="AB14"/>
    </row>
    <row r="15" spans="1:28" s="545" customFormat="1" ht="15" customHeight="1">
      <c r="A15"/>
      <c r="B15" s="1679"/>
      <c r="C15" s="1678"/>
      <c r="D15" s="1678"/>
      <c r="E15" s="1678"/>
      <c r="F15" s="1678"/>
      <c r="G15" s="1678"/>
      <c r="H15" s="1678"/>
      <c r="I15" s="1678"/>
      <c r="J15" s="1678"/>
      <c r="K15" s="1678"/>
      <c r="L15" s="1678"/>
      <c r="M15" s="1678"/>
      <c r="N15" s="1678">
        <v>2010</v>
      </c>
      <c r="O15" s="1678"/>
      <c r="P15" s="1678">
        <v>2010</v>
      </c>
      <c r="Q15" s="1678"/>
      <c r="R15" s="1678">
        <v>2010</v>
      </c>
      <c r="S15" s="1678"/>
      <c r="T15" s="1678">
        <v>2010</v>
      </c>
      <c r="U15" s="1678"/>
      <c r="V15" s="1678">
        <v>2010</v>
      </c>
      <c r="W15" s="1678"/>
      <c r="X15" s="1678">
        <v>2010</v>
      </c>
      <c r="Y15" s="1678"/>
      <c r="Z15" s="1678">
        <v>2010</v>
      </c>
      <c r="AA15" s="1680"/>
      <c r="AB15"/>
    </row>
    <row r="16" spans="1:28" s="545" customFormat="1" ht="15" customHeight="1">
      <c r="A16"/>
      <c r="B16" s="260"/>
      <c r="C16" s="729"/>
      <c r="D16" s="400"/>
      <c r="E16" s="400"/>
      <c r="F16" s="400"/>
      <c r="G16" s="400"/>
      <c r="H16" s="400"/>
      <c r="I16" s="400"/>
      <c r="J16" s="400"/>
      <c r="K16" s="400"/>
      <c r="L16" s="400"/>
      <c r="M16" s="400"/>
      <c r="N16" s="400"/>
      <c r="O16" s="400"/>
      <c r="P16" s="400"/>
      <c r="Q16" s="400"/>
      <c r="R16" s="400"/>
      <c r="S16" s="400"/>
      <c r="T16" s="400"/>
      <c r="U16" s="400"/>
      <c r="V16" s="400"/>
      <c r="W16" s="400"/>
      <c r="X16" s="400"/>
      <c r="Y16" s="400"/>
      <c r="Z16" s="400"/>
      <c r="AA16" s="401"/>
      <c r="AB16"/>
    </row>
    <row r="17" spans="1:28" s="545" customFormat="1" ht="15" customHeight="1">
      <c r="A17">
        <v>1</v>
      </c>
      <c r="B17" s="1668" t="s">
        <v>601</v>
      </c>
      <c r="C17" s="234">
        <f>SUMIF(Q262:Q302,A17:A20,E262:E302)</f>
        <v>23447</v>
      </c>
      <c r="D17" s="1681">
        <f>C17/C21</f>
        <v>6.339202915595353E-2</v>
      </c>
      <c r="E17" s="234">
        <f>SUMIF(Q$262:Q$302,A$17:A$20,G$262:G$302)</f>
        <v>475</v>
      </c>
      <c r="F17" s="1627">
        <f>E17/E21</f>
        <v>4.2380064417697916E-3</v>
      </c>
      <c r="G17" s="234">
        <f>SUMIF(Q$262:Q$302,A$17:A$20,I$262:I$302)</f>
        <v>12632</v>
      </c>
      <c r="H17" s="1627">
        <f>G17/G21</f>
        <v>0.10078106924310481</v>
      </c>
      <c r="I17" s="234">
        <f>SUMIF(Q$262:Q$302,A$17:A$20,K$262:K$302)</f>
        <v>94</v>
      </c>
      <c r="J17" s="1681">
        <f>I17/I21</f>
        <v>1.9199346405228759E-2</v>
      </c>
      <c r="K17" s="234">
        <f>SUMIF(Q$262:Q$302,A$17:A$20,M$262:M$302)</f>
        <v>10246</v>
      </c>
      <c r="L17" s="1681">
        <f>K17/K21</f>
        <v>8.0326133824624668E-2</v>
      </c>
      <c r="M17" s="234"/>
      <c r="N17" s="234">
        <f>SUMIF(Q262:Q302,A17:A20,E94:E134)</f>
        <v>405</v>
      </c>
      <c r="O17" s="1681">
        <f>N17/N21</f>
        <v>2.3061942669718814E-3</v>
      </c>
      <c r="P17" s="234">
        <f>SUMIF(Q$262:Q$302,A$17:A$20,G$94:G$134)</f>
        <v>1</v>
      </c>
      <c r="Q17" s="1681">
        <f>P17/P21</f>
        <v>1.2675395789233518E-5</v>
      </c>
      <c r="R17" s="234">
        <f>SUMIF(Q$262:Q$302,A$17:A$20,I$94:I$134)</f>
        <v>0</v>
      </c>
      <c r="S17" s="1681">
        <f>R17/R21</f>
        <v>0</v>
      </c>
      <c r="T17" s="234">
        <f>SUMIF(Q$262:Q$302,A$17:A$20,K$94:K$134)</f>
        <v>1</v>
      </c>
      <c r="U17" s="1627">
        <f>T17/T21</f>
        <v>5.8376775383681354E-6</v>
      </c>
      <c r="V17" s="234">
        <f>SUMIF(Q$262:Q$302,A$17:A$20,M$94:M$134)</f>
        <v>334</v>
      </c>
      <c r="W17" s="1681">
        <f>V17/V21</f>
        <v>0.16928535225544855</v>
      </c>
      <c r="X17" s="234">
        <f>SUMIF(Q$262:Q$302,A$17:A$20,O$94:O$134)</f>
        <v>70</v>
      </c>
      <c r="Y17" s="1681">
        <f>X17/X21</f>
        <v>2.9914529914529916E-2</v>
      </c>
      <c r="Z17" s="234">
        <f>SUMIF(Q$262:Q$302,A$17:A$20,Q$94:Q$134)</f>
        <v>404</v>
      </c>
      <c r="AA17" s="1669">
        <f>Z17/Z21</f>
        <v>9.3670299095757012E-2</v>
      </c>
      <c r="AB17"/>
    </row>
    <row r="18" spans="1:28" s="545" customFormat="1" ht="15" customHeight="1">
      <c r="A18">
        <v>2</v>
      </c>
      <c r="B18" s="1668" t="s">
        <v>602</v>
      </c>
      <c r="C18" s="234">
        <f>SUMIF(Q262:Q302,A17:A20,E262:E302)</f>
        <v>26631</v>
      </c>
      <c r="D18" s="1681">
        <f>C$18/C21</f>
        <v>7.2000389322821615E-2</v>
      </c>
      <c r="E18" s="234">
        <f>SUMIF(Q$262:Q$302,A$17:A$20,G$262:G$302)</f>
        <v>929</v>
      </c>
      <c r="F18" s="1627">
        <f>E$18/E21</f>
        <v>8.2886483882192337E-3</v>
      </c>
      <c r="G18" s="234">
        <f>SUMIF(Q$262:Q$302,A$17:A$20,I$262:I$302)</f>
        <v>17349</v>
      </c>
      <c r="H18" s="1627">
        <f>G$18/G21</f>
        <v>0.13841440550179113</v>
      </c>
      <c r="I18" s="234">
        <f>SUMIF(Q$262:Q$302,A$17:A$20,K$262:K$302)</f>
        <v>617</v>
      </c>
      <c r="J18" s="1681">
        <f>I$18/I21</f>
        <v>0.12602124183006536</v>
      </c>
      <c r="K18" s="234">
        <f>SUMIF(Q$262:Q$302,A$17:A$20,M$262:M$302)</f>
        <v>7736</v>
      </c>
      <c r="L18" s="1681">
        <f>K$18/K21</f>
        <v>6.0648347771549531E-2</v>
      </c>
      <c r="M18" s="234"/>
      <c r="N18" s="234">
        <f>SUMIF(Q262:Q302,A17:A20,E94:E134)</f>
        <v>301</v>
      </c>
      <c r="O18" s="1681">
        <f>N$18/N21</f>
        <v>1.7139863564408304E-3</v>
      </c>
      <c r="P18" s="234">
        <f>SUMIF(Q$262:Q$302,A$17:A$20,G$94:G$134)</f>
        <v>1</v>
      </c>
      <c r="Q18" s="1681">
        <f>P$18/P21</f>
        <v>1.2675395789233518E-5</v>
      </c>
      <c r="R18" s="234">
        <f>SUMIF(Q$262:Q$302,A$17:A$20,I$94:I$134)</f>
        <v>0</v>
      </c>
      <c r="S18" s="1681">
        <f>R$18/R21</f>
        <v>0</v>
      </c>
      <c r="T18" s="234">
        <f>SUMIF(Q$262:Q$302,A$17:A$20,K$94:K$134)</f>
        <v>1</v>
      </c>
      <c r="U18" s="1627">
        <f>T$18/T21</f>
        <v>5.8376775383681354E-6</v>
      </c>
      <c r="V18" s="234">
        <f>SUMIF(Q$262:Q$302,A$17:A$20,M$94:M$134)</f>
        <v>237</v>
      </c>
      <c r="W18" s="1681">
        <f>V$18/V21</f>
        <v>0.12012164216928535</v>
      </c>
      <c r="X18" s="234">
        <f>SUMIF(Q$262:Q$302,A$17:A$20,O$94:O$134)</f>
        <v>63</v>
      </c>
      <c r="Y18" s="1681">
        <f>X$18/X21</f>
        <v>2.6923076923076925E-2</v>
      </c>
      <c r="Z18" s="234">
        <f>SUMIF(Q$262:Q$302,A$17:A$20,Q$94:Q$134)</f>
        <v>300</v>
      </c>
      <c r="AA18" s="1669">
        <f>Z$18/Z21</f>
        <v>6.9557152793878974E-2</v>
      </c>
      <c r="AB18"/>
    </row>
    <row r="19" spans="1:28" s="545" customFormat="1" ht="15" customHeight="1">
      <c r="A19">
        <v>3</v>
      </c>
      <c r="B19" s="1668" t="s">
        <v>603</v>
      </c>
      <c r="C19" s="234">
        <f>SUMIF(Q262:Q302,A17:A20,E262:E302)</f>
        <v>273673</v>
      </c>
      <c r="D19" s="1681">
        <f>C19/C21</f>
        <v>0.73991072611409858</v>
      </c>
      <c r="E19" s="234">
        <f>SUMIF(Q$262:Q$302,A$17:A$20,G$262:G$302)</f>
        <v>105158</v>
      </c>
      <c r="F19" s="1627">
        <f>E19/E21</f>
        <v>0.93823217137605841</v>
      </c>
      <c r="G19" s="234">
        <f>SUMIF(Q$262:Q$302,A$17:A$20,I$262:I$302)</f>
        <v>78079</v>
      </c>
      <c r="H19" s="1627">
        <f>G19/G21</f>
        <v>0.62293263975873814</v>
      </c>
      <c r="I19" s="234">
        <f>SUMIF(Q$262:Q$302,A$17:A$20,K$262:K$302)</f>
        <v>3423</v>
      </c>
      <c r="J19" s="1681">
        <f>I19/I21</f>
        <v>0.69914215686274506</v>
      </c>
      <c r="K19" s="234">
        <f>SUMIF(Q$262:Q$302,A$17:A$20,M$262:M$302)</f>
        <v>87013</v>
      </c>
      <c r="L19" s="1681">
        <f>K19/K21</f>
        <v>0.68216063658813841</v>
      </c>
      <c r="M19" s="234"/>
      <c r="N19" s="234">
        <f>SUMIF(Q262:Q302,A17:A20,E94:E134)</f>
        <v>144825</v>
      </c>
      <c r="O19" s="1681">
        <f>N19/N21</f>
        <v>0.82467798694864869</v>
      </c>
      <c r="P19" s="234">
        <f>SUMIF(Q$262:Q$302,A$17:A$20,G$94:G$134)</f>
        <v>64906</v>
      </c>
      <c r="Q19" s="1681">
        <f>P19/P21</f>
        <v>0.82270923909599081</v>
      </c>
      <c r="R19" s="234">
        <f>SUMIF(Q$262:Q$302,A$17:A$20,I$94:I$134)</f>
        <v>76613</v>
      </c>
      <c r="S19" s="1681">
        <f>R19/R21</f>
        <v>0.82907324041208552</v>
      </c>
      <c r="T19" s="234">
        <f>SUMIF(Q$262:Q$302,A$17:A$20,K$94:K$134)</f>
        <v>141519</v>
      </c>
      <c r="U19" s="1627">
        <f>T19/T21</f>
        <v>0.82614228755232022</v>
      </c>
      <c r="V19" s="234">
        <f>SUMIF(Q$262:Q$302,A$17:A$20,M$94:M$134)</f>
        <v>1360</v>
      </c>
      <c r="W19" s="1681">
        <f>V19/V21</f>
        <v>0.6893056259503294</v>
      </c>
      <c r="X19" s="234">
        <f>SUMIF(Q$262:Q$302,A$17:A$20,O$94:O$134)</f>
        <v>1946</v>
      </c>
      <c r="Y19" s="1681">
        <f>X19/X21</f>
        <v>0.83162393162393167</v>
      </c>
      <c r="Z19" s="234">
        <f>SUMIF(Q$262:Q$302,A$17:A$20,Q$94:Q$134)</f>
        <v>3306</v>
      </c>
      <c r="AA19" s="1669">
        <f>Z19/Z21</f>
        <v>0.76651982378854622</v>
      </c>
      <c r="AB19"/>
    </row>
    <row r="20" spans="1:28" s="545" customFormat="1" ht="15" customHeight="1">
      <c r="A20">
        <v>4</v>
      </c>
      <c r="B20" s="1668" t="s">
        <v>604</v>
      </c>
      <c r="C20" s="234">
        <f>SUMIF(Q262:Q302,A17:A20,E262:E302)</f>
        <v>46122</v>
      </c>
      <c r="D20" s="1681">
        <f>C20/C21</f>
        <v>0.12469685540712623</v>
      </c>
      <c r="E20" s="234">
        <f>SUMIF(Q$262:Q$302,A$17:A$20,G$262:G$302)</f>
        <v>5519</v>
      </c>
      <c r="F20" s="1627">
        <f>E20/E21</f>
        <v>4.924117379395259E-2</v>
      </c>
      <c r="G20" s="234">
        <f>SUMIF(Q$262:Q$302,A$17:A$20,I$262:I$302)</f>
        <v>17281</v>
      </c>
      <c r="H20" s="1627">
        <f>G20/G21</f>
        <v>0.13787188549636592</v>
      </c>
      <c r="I20" s="234">
        <f>SUMIF(Q$262:Q$302,A$17:A$20,K$262:K$302)</f>
        <v>762</v>
      </c>
      <c r="J20" s="1681">
        <f>I20/I21</f>
        <v>0.15563725490196079</v>
      </c>
      <c r="K20" s="234">
        <f>SUMIF(Q$262:Q$302,A$17:A$20,M$262:M$302)</f>
        <v>22560</v>
      </c>
      <c r="L20" s="1681">
        <f>K20/K21</f>
        <v>0.17686488181568735</v>
      </c>
      <c r="M20" s="234"/>
      <c r="N20" s="234">
        <f>SUMIF(Q262:Q302,A17:A20,E94:E134)</f>
        <v>30083</v>
      </c>
      <c r="O20" s="1681">
        <f>N20/N21</f>
        <v>0.17130183242793856</v>
      </c>
      <c r="P20" s="234">
        <f>SUMIF(Q$262:Q$302,A$17:A$20,G$94:G$134)</f>
        <v>13985</v>
      </c>
      <c r="Q20" s="1681">
        <f>P20/P21</f>
        <v>0.17726541011243077</v>
      </c>
      <c r="R20" s="234">
        <f>SUMIF(Q$262:Q$302,A$17:A$20,I$94:I$134)</f>
        <v>15795</v>
      </c>
      <c r="S20" s="1681">
        <f>R20/R21</f>
        <v>0.17092675958791448</v>
      </c>
      <c r="T20" s="234">
        <f>SUMIF(Q$262:Q$302,A$17:A$20,K$94:K$134)</f>
        <v>29780</v>
      </c>
      <c r="U20" s="1627">
        <f>T20/T21</f>
        <v>0.17384603709260307</v>
      </c>
      <c r="V20" s="234">
        <f>SUMIF(Q$262:Q$302,A$17:A$20,M$94:M$134)</f>
        <v>42</v>
      </c>
      <c r="W20" s="1681">
        <f>V20/V21</f>
        <v>2.1287379624936646E-2</v>
      </c>
      <c r="X20" s="234">
        <f>SUMIF(Q$262:Q$302,A$17:A$20,O$94:O$134)</f>
        <v>261</v>
      </c>
      <c r="Y20" s="1681">
        <f>X20/X21</f>
        <v>0.11153846153846154</v>
      </c>
      <c r="Z20" s="234">
        <f>SUMIF(Q$262:Q$302,A$17:A$20,Q$94:Q$134)</f>
        <v>303</v>
      </c>
      <c r="AA20" s="1669">
        <f>Z20/Z21</f>
        <v>7.0252724321817756E-2</v>
      </c>
      <c r="AB20"/>
    </row>
    <row r="21" spans="1:28" s="545" customFormat="1" ht="15" customHeight="1">
      <c r="A21"/>
      <c r="B21" s="233"/>
      <c r="C21" s="234">
        <f t="shared" ref="C21:L21" si="0">SUM(C17:C20)</f>
        <v>369873</v>
      </c>
      <c r="D21" s="1682">
        <f t="shared" si="0"/>
        <v>1</v>
      </c>
      <c r="E21" s="234">
        <f t="shared" si="0"/>
        <v>112081</v>
      </c>
      <c r="F21" s="1682">
        <f t="shared" si="0"/>
        <v>1</v>
      </c>
      <c r="G21" s="234">
        <f t="shared" si="0"/>
        <v>125341</v>
      </c>
      <c r="H21" s="1682">
        <f t="shared" si="0"/>
        <v>1</v>
      </c>
      <c r="I21" s="234">
        <f t="shared" si="0"/>
        <v>4896</v>
      </c>
      <c r="J21" s="1682">
        <f t="shared" si="0"/>
        <v>0.99999999999999989</v>
      </c>
      <c r="K21" s="234">
        <f t="shared" si="0"/>
        <v>127555</v>
      </c>
      <c r="L21" s="1682">
        <f t="shared" si="0"/>
        <v>1</v>
      </c>
      <c r="M21" s="234"/>
      <c r="N21" s="234">
        <f t="shared" ref="N21:AA21" si="1">SUM(N17:N20)</f>
        <v>175614</v>
      </c>
      <c r="O21" s="1682">
        <f t="shared" si="1"/>
        <v>1</v>
      </c>
      <c r="P21" s="234">
        <f t="shared" si="1"/>
        <v>78893</v>
      </c>
      <c r="Q21" s="1682">
        <f t="shared" si="1"/>
        <v>1</v>
      </c>
      <c r="R21" s="234">
        <f t="shared" si="1"/>
        <v>92408</v>
      </c>
      <c r="S21" s="1682">
        <f t="shared" si="1"/>
        <v>1</v>
      </c>
      <c r="T21" s="234">
        <f t="shared" si="1"/>
        <v>171301</v>
      </c>
      <c r="U21" s="1682">
        <f t="shared" si="1"/>
        <v>1</v>
      </c>
      <c r="V21" s="234">
        <f t="shared" si="1"/>
        <v>1973</v>
      </c>
      <c r="W21" s="1682">
        <f t="shared" si="1"/>
        <v>1</v>
      </c>
      <c r="X21" s="234">
        <f t="shared" si="1"/>
        <v>2340</v>
      </c>
      <c r="Y21" s="1682">
        <f t="shared" si="1"/>
        <v>1</v>
      </c>
      <c r="Z21" s="234">
        <f t="shared" si="1"/>
        <v>4313</v>
      </c>
      <c r="AA21" s="701">
        <f t="shared" si="1"/>
        <v>0.99999999999999989</v>
      </c>
      <c r="AB21"/>
    </row>
    <row r="22" spans="1:28" s="545" customFormat="1" ht="15" customHeight="1">
      <c r="A22"/>
      <c r="B22" s="242"/>
      <c r="C22" s="404"/>
      <c r="D22" s="404"/>
      <c r="E22" s="404"/>
      <c r="F22" s="404"/>
      <c r="G22" s="404"/>
      <c r="H22" s="404"/>
      <c r="I22" s="404"/>
      <c r="J22" s="404"/>
      <c r="K22" s="404"/>
      <c r="L22" s="404"/>
      <c r="M22" s="404"/>
      <c r="N22" s="404"/>
      <c r="O22" s="404"/>
      <c r="P22" s="404"/>
      <c r="Q22" s="404"/>
      <c r="R22" s="404"/>
      <c r="S22" s="404"/>
      <c r="T22" s="404"/>
      <c r="U22" s="404"/>
      <c r="V22" s="404"/>
      <c r="W22" s="404"/>
      <c r="X22" s="404"/>
      <c r="Y22" s="404"/>
      <c r="Z22" s="404"/>
      <c r="AA22" s="405"/>
      <c r="AB22"/>
    </row>
    <row r="23" spans="1:28" s="545" customFormat="1" ht="15" customHeight="1">
      <c r="A23"/>
      <c r="B23"/>
      <c r="C23"/>
      <c r="D23"/>
      <c r="E23"/>
      <c r="F23"/>
      <c r="G23"/>
      <c r="H23"/>
      <c r="I23"/>
      <c r="J23"/>
      <c r="K23"/>
      <c r="L23"/>
      <c r="M23"/>
      <c r="N23"/>
      <c r="O23"/>
      <c r="P23"/>
      <c r="Q23"/>
      <c r="R23"/>
      <c r="S23"/>
      <c r="T23"/>
      <c r="U23"/>
      <c r="V23"/>
      <c r="W23"/>
      <c r="X23"/>
      <c r="Y23"/>
      <c r="Z23"/>
      <c r="AA23"/>
      <c r="AB23"/>
    </row>
    <row r="24" spans="1:28" s="545" customFormat="1" ht="15" customHeight="1">
      <c r="A24"/>
      <c r="B24"/>
      <c r="C24"/>
      <c r="D24"/>
      <c r="E24">
        <f>E21/(E21+G21)</f>
        <v>0.4720750393813547</v>
      </c>
      <c r="F24"/>
      <c r="G24"/>
      <c r="H24"/>
      <c r="I24"/>
      <c r="J24"/>
      <c r="K24"/>
      <c r="L24"/>
      <c r="M24"/>
      <c r="N24"/>
      <c r="O24"/>
      <c r="P24"/>
      <c r="Q24"/>
      <c r="R24"/>
      <c r="S24"/>
      <c r="T24"/>
      <c r="U24"/>
      <c r="V24"/>
      <c r="W24"/>
      <c r="X24"/>
      <c r="Y24"/>
      <c r="Z24"/>
      <c r="AA24"/>
      <c r="AB24"/>
    </row>
    <row r="25" spans="1:28" s="545" customFormat="1" ht="15" customHeight="1">
      <c r="A25"/>
      <c r="B25" s="37" t="s">
        <v>2100</v>
      </c>
      <c r="C25"/>
      <c r="D25"/>
      <c r="E25"/>
      <c r="F25"/>
      <c r="G25"/>
      <c r="H25"/>
      <c r="I25"/>
      <c r="J25"/>
      <c r="K25"/>
      <c r="L25"/>
      <c r="M25"/>
      <c r="N25"/>
      <c r="O25"/>
      <c r="P25"/>
      <c r="Q25"/>
      <c r="R25"/>
      <c r="S25"/>
      <c r="T25"/>
      <c r="U25"/>
      <c r="V25"/>
      <c r="W25"/>
      <c r="X25"/>
      <c r="Y25"/>
      <c r="Z25"/>
      <c r="AA25"/>
      <c r="AB25"/>
    </row>
    <row r="26" spans="1:28" s="545" customFormat="1" ht="15" customHeight="1">
      <c r="A26"/>
      <c r="B26"/>
      <c r="C26"/>
      <c r="D26"/>
      <c r="E26"/>
      <c r="F26"/>
      <c r="G26"/>
      <c r="H26"/>
      <c r="I26"/>
      <c r="J26"/>
      <c r="K26"/>
      <c r="L26"/>
      <c r="M26"/>
      <c r="N26"/>
      <c r="O26"/>
      <c r="P26"/>
      <c r="Q26"/>
      <c r="R26"/>
      <c r="S26"/>
      <c r="T26"/>
      <c r="U26"/>
      <c r="V26"/>
      <c r="W26"/>
      <c r="X26"/>
      <c r="Y26"/>
      <c r="Z26"/>
      <c r="AA26"/>
      <c r="AB26"/>
    </row>
    <row r="27" spans="1:28" s="545" customFormat="1" ht="15" customHeight="1">
      <c r="A27"/>
      <c r="B27" s="1035" t="s">
        <v>1423</v>
      </c>
      <c r="C27" s="629"/>
      <c r="D27" s="629"/>
      <c r="E27" s="629"/>
      <c r="F27" s="629"/>
      <c r="G27" s="629"/>
      <c r="H27" s="629"/>
      <c r="I27" s="629"/>
      <c r="J27" s="629"/>
      <c r="K27" s="629"/>
      <c r="L27"/>
      <c r="M27"/>
      <c r="N27"/>
      <c r="O27"/>
      <c r="P27"/>
      <c r="Q27"/>
      <c r="R27"/>
      <c r="S27"/>
      <c r="T27"/>
      <c r="U27"/>
      <c r="V27"/>
      <c r="W27"/>
      <c r="X27"/>
      <c r="Y27"/>
      <c r="Z27"/>
      <c r="AA27"/>
      <c r="AB27"/>
    </row>
    <row r="28" spans="1:28" s="545" customFormat="1" ht="15" customHeight="1">
      <c r="A28"/>
      <c r="B28" s="629"/>
      <c r="C28" s="629"/>
      <c r="D28" s="629"/>
      <c r="E28" s="629"/>
      <c r="F28" s="629"/>
      <c r="G28" s="629"/>
      <c r="H28" s="629"/>
      <c r="I28" s="629"/>
      <c r="J28" s="629"/>
      <c r="K28" s="629"/>
      <c r="L28"/>
      <c r="M28"/>
      <c r="N28"/>
      <c r="O28"/>
      <c r="P28"/>
      <c r="Q28"/>
      <c r="R28"/>
      <c r="S28"/>
      <c r="T28"/>
      <c r="U28"/>
      <c r="V28"/>
      <c r="W28"/>
      <c r="X28"/>
      <c r="Y28"/>
      <c r="Z28"/>
      <c r="AA28"/>
      <c r="AB28"/>
    </row>
    <row r="29" spans="1:28" s="545" customFormat="1" ht="15" customHeight="1">
      <c r="A29"/>
      <c r="B29" s="1035" t="s">
        <v>353</v>
      </c>
      <c r="C29" s="1035">
        <v>2008</v>
      </c>
      <c r="D29" s="1035">
        <v>2009</v>
      </c>
      <c r="E29" s="1035">
        <v>2010</v>
      </c>
      <c r="F29" s="1035">
        <v>2011</v>
      </c>
      <c r="G29" s="1035">
        <v>2012</v>
      </c>
      <c r="H29" s="1035">
        <v>2013</v>
      </c>
      <c r="I29" s="1035">
        <v>2014</v>
      </c>
      <c r="J29" s="1035">
        <v>2015</v>
      </c>
      <c r="K29" s="629"/>
      <c r="L29"/>
      <c r="M29"/>
      <c r="N29"/>
      <c r="O29"/>
      <c r="P29"/>
      <c r="Q29"/>
      <c r="R29"/>
      <c r="S29"/>
      <c r="T29"/>
      <c r="U29"/>
      <c r="V29"/>
      <c r="W29"/>
      <c r="X29"/>
      <c r="Y29"/>
      <c r="Z29"/>
      <c r="AA29"/>
      <c r="AB29"/>
    </row>
    <row r="30" spans="1:28" s="545" customFormat="1" ht="15" customHeight="1">
      <c r="A30"/>
      <c r="B30" s="1034" t="s">
        <v>1424</v>
      </c>
      <c r="C30" s="629">
        <v>1247</v>
      </c>
      <c r="D30" s="629">
        <v>1101</v>
      </c>
      <c r="E30" s="629">
        <v>1075</v>
      </c>
      <c r="F30" s="629">
        <v>1163</v>
      </c>
      <c r="G30" s="629">
        <v>1109</v>
      </c>
      <c r="H30" s="629">
        <v>1135</v>
      </c>
      <c r="I30" s="629">
        <v>1149</v>
      </c>
      <c r="J30" s="629">
        <v>1112</v>
      </c>
      <c r="K30" s="629"/>
      <c r="L30"/>
      <c r="M30"/>
      <c r="N30"/>
      <c r="O30"/>
      <c r="P30"/>
      <c r="Q30"/>
      <c r="R30"/>
      <c r="S30"/>
      <c r="T30"/>
      <c r="U30"/>
      <c r="V30"/>
      <c r="W30"/>
      <c r="X30"/>
      <c r="Y30"/>
      <c r="Z30"/>
      <c r="AA30"/>
      <c r="AB30"/>
    </row>
    <row r="31" spans="1:28" s="545" customFormat="1" ht="15" customHeight="1">
      <c r="A31"/>
      <c r="B31" s="1034" t="s">
        <v>1425</v>
      </c>
      <c r="C31" s="629">
        <v>241</v>
      </c>
      <c r="D31" s="629">
        <v>211</v>
      </c>
      <c r="E31" s="629">
        <v>199</v>
      </c>
      <c r="F31" s="629">
        <v>218</v>
      </c>
      <c r="G31" s="629">
        <v>214</v>
      </c>
      <c r="H31" s="629">
        <v>216</v>
      </c>
      <c r="I31" s="629">
        <v>213</v>
      </c>
      <c r="J31" s="629">
        <v>210</v>
      </c>
      <c r="K31" s="629"/>
      <c r="L31"/>
      <c r="M31"/>
      <c r="N31"/>
      <c r="O31"/>
      <c r="P31"/>
      <c r="Q31"/>
      <c r="R31"/>
      <c r="S31"/>
      <c r="T31"/>
      <c r="U31"/>
      <c r="V31"/>
      <c r="W31"/>
      <c r="X31"/>
      <c r="Y31"/>
      <c r="Z31"/>
      <c r="AA31"/>
      <c r="AB31"/>
    </row>
    <row r="32" spans="1:28" s="545" customFormat="1" ht="15" customHeight="1">
      <c r="A32"/>
      <c r="B32" s="1034" t="s">
        <v>1426</v>
      </c>
      <c r="C32" s="629">
        <v>1006</v>
      </c>
      <c r="D32" s="629">
        <v>890</v>
      </c>
      <c r="E32" s="629">
        <v>876</v>
      </c>
      <c r="F32" s="629">
        <v>945</v>
      </c>
      <c r="G32" s="629">
        <v>895</v>
      </c>
      <c r="H32" s="629">
        <v>919</v>
      </c>
      <c r="I32" s="629">
        <v>936</v>
      </c>
      <c r="J32" s="629">
        <v>902</v>
      </c>
      <c r="K32" s="629"/>
      <c r="L32"/>
      <c r="M32"/>
      <c r="N32"/>
      <c r="O32"/>
      <c r="P32"/>
      <c r="Q32"/>
      <c r="R32"/>
      <c r="S32"/>
      <c r="T32"/>
      <c r="U32"/>
      <c r="V32"/>
      <c r="W32"/>
      <c r="X32"/>
      <c r="Y32"/>
      <c r="Z32"/>
      <c r="AA32"/>
      <c r="AB32"/>
    </row>
    <row r="33" spans="1:36" s="545" customFormat="1" ht="15" customHeight="1">
      <c r="A33"/>
      <c r="B33" s="629"/>
      <c r="C33" s="629"/>
      <c r="D33" s="629"/>
      <c r="E33" s="629"/>
      <c r="F33" s="629"/>
      <c r="G33" s="629"/>
      <c r="H33" s="629"/>
      <c r="I33" s="629"/>
      <c r="J33" s="629"/>
      <c r="K33" s="629"/>
      <c r="L33"/>
      <c r="M33"/>
      <c r="N33"/>
      <c r="O33"/>
      <c r="P33"/>
      <c r="Q33"/>
      <c r="R33"/>
      <c r="S33"/>
      <c r="T33"/>
      <c r="U33"/>
      <c r="V33"/>
      <c r="W33"/>
      <c r="X33"/>
      <c r="Y33"/>
      <c r="Z33"/>
      <c r="AA33"/>
      <c r="AB33"/>
    </row>
    <row r="34" spans="1:36" s="545" customFormat="1" ht="15" customHeight="1">
      <c r="A34"/>
      <c r="B34" s="1042" t="s">
        <v>44</v>
      </c>
      <c r="C34" s="1036"/>
      <c r="D34" s="1036"/>
      <c r="E34" s="1036"/>
      <c r="F34" s="1036"/>
      <c r="G34" s="1036"/>
      <c r="H34" s="1036"/>
      <c r="I34" s="1036"/>
      <c r="J34" s="1036"/>
      <c r="K34" s="629"/>
      <c r="L34"/>
      <c r="M34"/>
      <c r="N34"/>
      <c r="O34"/>
      <c r="P34"/>
      <c r="Q34"/>
      <c r="R34"/>
      <c r="S34"/>
      <c r="T34"/>
      <c r="U34"/>
      <c r="V34"/>
      <c r="W34"/>
      <c r="X34"/>
      <c r="Y34"/>
      <c r="Z34"/>
      <c r="AA34"/>
      <c r="AB34"/>
    </row>
    <row r="35" spans="1:36" s="545" customFormat="1" ht="15" customHeight="1">
      <c r="A35"/>
      <c r="B35" s="1036" t="s">
        <v>353</v>
      </c>
      <c r="C35" s="1036">
        <v>2008</v>
      </c>
      <c r="D35" s="1036">
        <v>2009</v>
      </c>
      <c r="E35" s="1036">
        <v>2010</v>
      </c>
      <c r="F35" s="1036">
        <v>2011</v>
      </c>
      <c r="G35" s="1036">
        <v>2012</v>
      </c>
      <c r="H35" s="1036">
        <v>2013</v>
      </c>
      <c r="I35" s="1036">
        <v>2014</v>
      </c>
      <c r="J35" s="1036">
        <v>2015</v>
      </c>
      <c r="K35" s="629"/>
      <c r="L35"/>
      <c r="M35"/>
      <c r="N35"/>
      <c r="O35"/>
      <c r="P35"/>
      <c r="Q35"/>
      <c r="R35"/>
      <c r="S35"/>
      <c r="T35"/>
      <c r="U35"/>
      <c r="V35"/>
      <c r="W35"/>
      <c r="X35"/>
      <c r="Y35"/>
      <c r="Z35"/>
      <c r="AA35"/>
      <c r="AB35"/>
    </row>
    <row r="36" spans="1:36" s="545" customFormat="1" ht="15" customHeight="1">
      <c r="A36"/>
      <c r="B36" s="1037" t="s">
        <v>1424</v>
      </c>
      <c r="C36" s="1040">
        <v>43.096320000000006</v>
      </c>
      <c r="D36" s="1040">
        <v>38.050560000000004</v>
      </c>
      <c r="E36" s="1040">
        <v>37.152000000000001</v>
      </c>
      <c r="F36" s="1040">
        <v>40.193280000000001</v>
      </c>
      <c r="G36" s="1040">
        <v>38.327039999999997</v>
      </c>
      <c r="H36" s="1040">
        <v>39.2256</v>
      </c>
      <c r="I36" s="1040">
        <v>39.709440000000001</v>
      </c>
      <c r="J36" s="1040">
        <v>38.430720000000008</v>
      </c>
      <c r="K36" s="629"/>
      <c r="L36"/>
      <c r="M36"/>
      <c r="N36"/>
      <c r="O36"/>
      <c r="P36"/>
      <c r="Q36"/>
      <c r="R36"/>
      <c r="S36"/>
      <c r="T36"/>
      <c r="U36"/>
      <c r="V36"/>
      <c r="W36"/>
      <c r="X36"/>
      <c r="Y36"/>
      <c r="Z36"/>
      <c r="AA36"/>
      <c r="AB36"/>
    </row>
    <row r="37" spans="1:36" s="545" customFormat="1" ht="15" customHeight="1">
      <c r="A37"/>
      <c r="B37" s="1037" t="s">
        <v>1425</v>
      </c>
      <c r="C37" s="1039">
        <v>8.3289600000000004</v>
      </c>
      <c r="D37" s="1039">
        <v>7.29216</v>
      </c>
      <c r="E37" s="1039">
        <v>6.8774400000000009</v>
      </c>
      <c r="F37" s="1039">
        <v>7.5340800000000012</v>
      </c>
      <c r="G37" s="1039">
        <v>7.3958399999999997</v>
      </c>
      <c r="H37" s="1039">
        <v>7.4649600000000014</v>
      </c>
      <c r="I37" s="1039">
        <v>7.3612800000000007</v>
      </c>
      <c r="J37" s="1039">
        <v>7.2576000000000001</v>
      </c>
      <c r="K37" s="629"/>
      <c r="L37"/>
      <c r="M37"/>
      <c r="N37"/>
      <c r="O37"/>
      <c r="P37"/>
      <c r="Q37"/>
      <c r="R37"/>
      <c r="S37"/>
      <c r="T37"/>
      <c r="U37"/>
      <c r="V37"/>
      <c r="W37"/>
      <c r="X37"/>
      <c r="Y37"/>
      <c r="Z37"/>
      <c r="AA37"/>
      <c r="AB37"/>
    </row>
    <row r="38" spans="1:36" s="545" customFormat="1" ht="15" customHeight="1">
      <c r="A38"/>
      <c r="B38" s="1037" t="s">
        <v>1426</v>
      </c>
      <c r="C38" s="1040">
        <v>34.767360000000004</v>
      </c>
      <c r="D38" s="1040">
        <v>30.758400000000002</v>
      </c>
      <c r="E38" s="1040">
        <v>30.274560000000001</v>
      </c>
      <c r="F38" s="1040">
        <v>32.659199999999998</v>
      </c>
      <c r="G38" s="1040">
        <v>30.9312</v>
      </c>
      <c r="H38" s="1040">
        <v>31.760640000000002</v>
      </c>
      <c r="I38" s="1040">
        <v>32.34816</v>
      </c>
      <c r="J38" s="1040">
        <v>31.173120000000004</v>
      </c>
      <c r="K38" s="629"/>
      <c r="L38"/>
      <c r="M38"/>
      <c r="N38"/>
      <c r="O38"/>
      <c r="P38"/>
      <c r="Q38"/>
      <c r="R38"/>
      <c r="S38"/>
      <c r="T38"/>
      <c r="U38"/>
      <c r="V38"/>
      <c r="W38"/>
      <c r="X38"/>
      <c r="Y38"/>
      <c r="Z38"/>
      <c r="AA38"/>
      <c r="AB38"/>
    </row>
    <row r="39" spans="1:36" s="545" customFormat="1" ht="15" customHeight="1">
      <c r="A39"/>
      <c r="B39"/>
      <c r="C39"/>
      <c r="D39"/>
      <c r="E39"/>
      <c r="F39"/>
      <c r="G39"/>
      <c r="H39"/>
      <c r="I39"/>
      <c r="J39"/>
      <c r="K39"/>
      <c r="L39"/>
      <c r="M39"/>
      <c r="N39"/>
      <c r="O39"/>
      <c r="P39"/>
      <c r="Q39"/>
      <c r="R39"/>
      <c r="S39"/>
      <c r="T39"/>
      <c r="U39"/>
      <c r="V39"/>
      <c r="W39"/>
      <c r="X39"/>
      <c r="Y39"/>
      <c r="Z39"/>
      <c r="AA39"/>
      <c r="AB39"/>
    </row>
    <row r="40" spans="1:36" s="545" customFormat="1" ht="15" customHeight="1">
      <c r="A40"/>
      <c r="B40"/>
      <c r="C40"/>
      <c r="D40"/>
      <c r="E40"/>
      <c r="F40"/>
      <c r="G40"/>
      <c r="H40"/>
      <c r="I40"/>
      <c r="J40"/>
      <c r="K40"/>
      <c r="L40"/>
      <c r="M40"/>
      <c r="N40"/>
      <c r="O40"/>
      <c r="P40"/>
      <c r="Q40"/>
      <c r="R40"/>
      <c r="S40"/>
      <c r="T40"/>
      <c r="U40"/>
      <c r="V40"/>
      <c r="W40"/>
      <c r="X40"/>
      <c r="Y40"/>
      <c r="Z40"/>
      <c r="AA40"/>
      <c r="AB40"/>
    </row>
    <row r="41" spans="1:36" s="545" customFormat="1" ht="15" customHeight="1" thickBot="1">
      <c r="A41"/>
      <c r="B41"/>
      <c r="C41"/>
      <c r="D41"/>
      <c r="E41"/>
      <c r="F41"/>
      <c r="G41"/>
      <c r="H41"/>
      <c r="I41"/>
      <c r="J41"/>
      <c r="K41"/>
      <c r="L41"/>
      <c r="M41"/>
      <c r="N41"/>
      <c r="O41"/>
      <c r="P41"/>
      <c r="Q41"/>
      <c r="R41"/>
      <c r="S41"/>
      <c r="T41"/>
      <c r="U41"/>
      <c r="V41"/>
      <c r="W41"/>
      <c r="X41"/>
      <c r="Y41"/>
      <c r="Z41"/>
      <c r="AA41"/>
      <c r="AB41"/>
    </row>
    <row r="42" spans="1:36" s="545" customFormat="1" ht="15" customHeight="1">
      <c r="A42"/>
      <c r="B42" s="1151"/>
      <c r="C42" s="1152"/>
      <c r="D42" s="1152"/>
      <c r="E42" s="1152"/>
      <c r="F42" s="1152"/>
      <c r="G42" s="1152"/>
      <c r="H42" s="1131"/>
      <c r="I42" s="1151"/>
      <c r="J42" s="1152"/>
      <c r="K42" s="1152"/>
      <c r="L42" s="1152"/>
      <c r="M42" s="1152"/>
      <c r="N42" s="1152"/>
      <c r="O42" s="1131"/>
      <c r="P42" s="1151"/>
      <c r="Q42" s="1152"/>
      <c r="R42" s="1152"/>
      <c r="S42" s="1152"/>
      <c r="T42" s="1152"/>
      <c r="U42" s="1152"/>
      <c r="V42" s="1131"/>
      <c r="W42" s="1151"/>
      <c r="X42" s="1152"/>
      <c r="Y42" s="1152"/>
      <c r="Z42" s="1152"/>
      <c r="AA42" s="1152"/>
      <c r="AB42" s="1152"/>
      <c r="AC42" s="1131"/>
      <c r="AD42" s="1151"/>
      <c r="AE42" s="1152"/>
      <c r="AF42" s="1152"/>
      <c r="AG42" s="1152"/>
      <c r="AH42" s="1152"/>
      <c r="AI42" s="1152"/>
      <c r="AJ42" s="1131"/>
    </row>
    <row r="43" spans="1:36" s="545" customFormat="1" ht="15" customHeight="1">
      <c r="A43"/>
      <c r="B43" s="1125" t="s">
        <v>1619</v>
      </c>
      <c r="C43" s="1127"/>
      <c r="D43" s="1127"/>
      <c r="E43" s="1127"/>
      <c r="F43" s="1127"/>
      <c r="G43" s="1127"/>
      <c r="H43" s="1153"/>
      <c r="I43" s="1125"/>
      <c r="J43" s="1127" t="s">
        <v>1620</v>
      </c>
      <c r="K43" s="1127"/>
      <c r="L43" s="1127"/>
      <c r="M43" s="1127"/>
      <c r="N43" s="1127"/>
      <c r="O43" s="1153"/>
      <c r="P43" s="1125" t="s">
        <v>1619</v>
      </c>
      <c r="Q43" s="1127"/>
      <c r="R43" s="1127"/>
      <c r="S43" s="1127"/>
      <c r="T43" s="1127"/>
      <c r="U43" s="1127"/>
      <c r="V43" s="1153"/>
      <c r="W43" s="1125" t="s">
        <v>1620</v>
      </c>
      <c r="X43" s="1127"/>
      <c r="Y43" s="1127"/>
      <c r="Z43" s="1127"/>
      <c r="AA43" s="1127"/>
      <c r="AB43" s="1127"/>
      <c r="AC43" s="1153"/>
      <c r="AD43" s="1125" t="s">
        <v>1620</v>
      </c>
      <c r="AE43" s="1127"/>
      <c r="AF43" s="1127"/>
      <c r="AG43" s="1127"/>
      <c r="AH43" s="1127"/>
      <c r="AI43" s="1127"/>
      <c r="AJ43" s="1153"/>
    </row>
    <row r="44" spans="1:36" s="545" customFormat="1" ht="15" customHeight="1">
      <c r="A44"/>
      <c r="B44" s="308"/>
      <c r="C44" s="543"/>
      <c r="D44" s="543"/>
      <c r="E44" s="543"/>
      <c r="F44" s="543"/>
      <c r="G44" s="543"/>
      <c r="H44" s="547"/>
      <c r="I44" s="308"/>
      <c r="J44" s="543"/>
      <c r="K44" s="543"/>
      <c r="L44" s="543"/>
      <c r="M44" s="543"/>
      <c r="N44" s="543"/>
      <c r="O44" s="547"/>
      <c r="P44" s="308"/>
      <c r="Q44" s="543"/>
      <c r="R44" s="543"/>
      <c r="S44" s="543"/>
      <c r="T44" s="543"/>
      <c r="U44" s="543"/>
      <c r="V44" s="547"/>
      <c r="W44" s="308"/>
      <c r="X44" s="543"/>
      <c r="Y44" s="543"/>
      <c r="Z44" s="543"/>
      <c r="AA44" s="543"/>
      <c r="AB44" s="543"/>
      <c r="AC44" s="547"/>
      <c r="AD44" s="308"/>
      <c r="AE44" s="543"/>
      <c r="AF44" s="543"/>
      <c r="AG44" s="543"/>
      <c r="AH44" s="543"/>
      <c r="AI44" s="543"/>
      <c r="AJ44" s="547"/>
    </row>
    <row r="45" spans="1:36" s="545" customFormat="1" ht="15" customHeight="1">
      <c r="A45"/>
      <c r="B45" s="308"/>
      <c r="C45" s="543"/>
      <c r="D45" s="561" t="s">
        <v>44</v>
      </c>
      <c r="E45" s="543"/>
      <c r="F45" s="543"/>
      <c r="G45" s="543"/>
      <c r="H45" s="547"/>
      <c r="I45" s="308"/>
      <c r="J45" s="543"/>
      <c r="K45" s="467" t="s">
        <v>44</v>
      </c>
      <c r="L45" s="543"/>
      <c r="M45" s="543"/>
      <c r="N45" s="543"/>
      <c r="O45" s="547"/>
      <c r="P45" s="308"/>
      <c r="Q45" s="543"/>
      <c r="R45" s="561" t="s">
        <v>2449</v>
      </c>
      <c r="S45" s="543"/>
      <c r="T45" s="543" t="s">
        <v>2300</v>
      </c>
      <c r="U45" s="543"/>
      <c r="V45" s="547"/>
      <c r="W45" s="308"/>
      <c r="X45" s="543"/>
      <c r="Y45" s="561" t="s">
        <v>2449</v>
      </c>
      <c r="Z45" s="543"/>
      <c r="AA45" s="543" t="s">
        <v>2300</v>
      </c>
      <c r="AB45" s="543"/>
      <c r="AC45" s="547"/>
      <c r="AD45" s="308"/>
      <c r="AE45" s="543"/>
      <c r="AF45" s="561" t="s">
        <v>2460</v>
      </c>
      <c r="AG45" s="543"/>
      <c r="AH45" s="543" t="s">
        <v>2300</v>
      </c>
      <c r="AI45" s="543"/>
      <c r="AJ45" s="547"/>
    </row>
    <row r="46" spans="1:36" s="545" customFormat="1" ht="15" customHeight="1">
      <c r="A46"/>
      <c r="B46" s="308"/>
      <c r="C46" s="467" t="s">
        <v>1353</v>
      </c>
      <c r="D46" s="1147">
        <f>E37</f>
        <v>6.8774400000000009</v>
      </c>
      <c r="E46" s="543"/>
      <c r="F46" s="467"/>
      <c r="G46" s="543"/>
      <c r="H46" s="547"/>
      <c r="I46" s="308"/>
      <c r="J46" s="467" t="s">
        <v>1353</v>
      </c>
      <c r="K46" s="1150">
        <f>E38</f>
        <v>30.274560000000001</v>
      </c>
      <c r="L46" s="543"/>
      <c r="M46" s="543"/>
      <c r="N46" s="543"/>
      <c r="O46" s="547"/>
      <c r="P46" s="308"/>
      <c r="Q46" s="467" t="s">
        <v>1353</v>
      </c>
      <c r="R46" s="1147">
        <f>E196</f>
        <v>6147</v>
      </c>
      <c r="S46" s="543"/>
      <c r="T46" s="467">
        <f>(R46*1000)/G21</f>
        <v>49.042212843363302</v>
      </c>
      <c r="U46" s="543"/>
      <c r="V46" s="547"/>
      <c r="W46" s="308"/>
      <c r="X46" s="467" t="s">
        <v>1353</v>
      </c>
      <c r="Y46" s="1147">
        <f>E195</f>
        <v>20780</v>
      </c>
      <c r="Z46" s="543"/>
      <c r="AA46" s="467">
        <f>(Y46*1000)/E21</f>
        <v>185.40162917889739</v>
      </c>
      <c r="AB46" s="543"/>
      <c r="AC46" s="547"/>
      <c r="AD46" s="308"/>
      <c r="AE46" s="467" t="s">
        <v>1353</v>
      </c>
      <c r="AF46" s="1147">
        <f>L195</f>
        <v>0</v>
      </c>
      <c r="AG46" s="543"/>
      <c r="AH46" s="467">
        <f>(AF46*1000)/L21</f>
        <v>0</v>
      </c>
      <c r="AI46" s="543"/>
      <c r="AJ46" s="547"/>
    </row>
    <row r="47" spans="1:36" s="545" customFormat="1" ht="15" customHeight="1">
      <c r="A47"/>
      <c r="B47" s="308"/>
      <c r="C47" s="543"/>
      <c r="D47" s="543"/>
      <c r="E47" s="543"/>
      <c r="F47" s="467"/>
      <c r="G47" s="543"/>
      <c r="H47" s="547"/>
      <c r="I47" s="308"/>
      <c r="J47" s="543"/>
      <c r="K47" s="543"/>
      <c r="L47" s="543"/>
      <c r="M47" s="543"/>
      <c r="N47" s="543"/>
      <c r="O47" s="547"/>
      <c r="P47" s="308"/>
      <c r="Q47" s="543"/>
      <c r="R47" s="543"/>
      <c r="S47" s="543"/>
      <c r="T47" s="467"/>
      <c r="U47" s="543"/>
      <c r="V47" s="547"/>
      <c r="W47" s="308"/>
      <c r="X47" s="543"/>
      <c r="Y47" s="543"/>
      <c r="Z47" s="543"/>
      <c r="AA47" s="467"/>
      <c r="AB47" s="543"/>
      <c r="AC47" s="547"/>
      <c r="AD47" s="308"/>
      <c r="AE47" s="543"/>
      <c r="AF47" s="543"/>
      <c r="AG47" s="543"/>
      <c r="AH47" s="467"/>
      <c r="AI47" s="543"/>
      <c r="AJ47" s="547"/>
    </row>
    <row r="48" spans="1:36" s="545" customFormat="1" ht="15" customHeight="1">
      <c r="A48"/>
      <c r="B48" s="308"/>
      <c r="C48" s="543"/>
      <c r="D48" s="543"/>
      <c r="E48" s="543"/>
      <c r="F48" s="467"/>
      <c r="G48" s="543"/>
      <c r="H48" s="547"/>
      <c r="I48" s="308"/>
      <c r="J48" s="543"/>
      <c r="K48" s="543"/>
      <c r="L48" s="543"/>
      <c r="M48" s="543"/>
      <c r="N48" s="543"/>
      <c r="O48" s="547"/>
      <c r="P48" s="308"/>
      <c r="Q48" s="543"/>
      <c r="R48" s="543"/>
      <c r="S48" s="543"/>
      <c r="T48" s="467"/>
      <c r="U48" s="543"/>
      <c r="V48" s="547"/>
      <c r="W48" s="308"/>
      <c r="X48" s="543"/>
      <c r="Y48" s="543"/>
      <c r="Z48" s="543"/>
      <c r="AA48" s="467"/>
      <c r="AB48" s="543"/>
      <c r="AC48" s="547"/>
      <c r="AD48" s="308"/>
      <c r="AE48" s="543"/>
      <c r="AF48" s="543"/>
      <c r="AG48" s="543"/>
      <c r="AH48" s="467"/>
      <c r="AI48" s="543"/>
      <c r="AJ48" s="547"/>
    </row>
    <row r="49" spans="1:36" s="545" customFormat="1" ht="15" customHeight="1">
      <c r="A49"/>
      <c r="B49" s="308"/>
      <c r="C49" s="543"/>
      <c r="D49" s="543"/>
      <c r="E49" s="543"/>
      <c r="F49" s="543"/>
      <c r="G49" s="543"/>
      <c r="H49" s="547"/>
      <c r="I49" s="308"/>
      <c r="J49" s="543"/>
      <c r="K49" s="543"/>
      <c r="L49" s="543"/>
      <c r="M49" s="543"/>
      <c r="N49" s="543"/>
      <c r="O49" s="547"/>
      <c r="P49" s="308"/>
      <c r="Q49" s="543"/>
      <c r="R49" s="543"/>
      <c r="S49" s="543"/>
      <c r="T49" s="543"/>
      <c r="U49" s="543"/>
      <c r="V49" s="547"/>
      <c r="W49" s="308"/>
      <c r="X49" s="543"/>
      <c r="Y49" s="543"/>
      <c r="Z49" s="543"/>
      <c r="AA49" s="543"/>
      <c r="AB49" s="543"/>
      <c r="AC49" s="547"/>
      <c r="AD49" s="308"/>
      <c r="AE49" s="543"/>
      <c r="AF49" s="543"/>
      <c r="AG49" s="543"/>
      <c r="AH49" s="543"/>
      <c r="AI49" s="543"/>
      <c r="AJ49" s="547"/>
    </row>
    <row r="50" spans="1:36" s="545" customFormat="1" ht="15" customHeight="1">
      <c r="A50"/>
      <c r="B50" s="1108" t="s">
        <v>1621</v>
      </c>
      <c r="C50" s="543"/>
      <c r="D50" s="543"/>
      <c r="E50" s="543"/>
      <c r="F50" s="543"/>
      <c r="G50" s="543"/>
      <c r="H50" s="547"/>
      <c r="I50" s="1108" t="s">
        <v>1624</v>
      </c>
      <c r="J50" s="543"/>
      <c r="K50" s="543"/>
      <c r="L50" s="543"/>
      <c r="M50" s="543"/>
      <c r="N50" s="543"/>
      <c r="O50" s="547"/>
      <c r="P50" s="1108" t="s">
        <v>1621</v>
      </c>
      <c r="Q50" s="543"/>
      <c r="R50" s="543"/>
      <c r="S50" s="543"/>
      <c r="T50" s="543"/>
      <c r="U50" s="543"/>
      <c r="V50" s="547"/>
      <c r="W50" s="1108" t="s">
        <v>1621</v>
      </c>
      <c r="X50" s="543"/>
      <c r="Y50" s="543"/>
      <c r="Z50" s="543"/>
      <c r="AA50" s="543"/>
      <c r="AB50" s="543"/>
      <c r="AC50" s="547"/>
      <c r="AD50" s="1108" t="s">
        <v>1621</v>
      </c>
      <c r="AE50" s="543"/>
      <c r="AF50" s="543"/>
      <c r="AG50" s="543"/>
      <c r="AH50" s="543"/>
      <c r="AI50" s="543"/>
      <c r="AJ50" s="547"/>
    </row>
    <row r="51" spans="1:36" s="545" customFormat="1" ht="15" customHeight="1">
      <c r="A51"/>
      <c r="B51" s="308"/>
      <c r="C51" s="543"/>
      <c r="D51" s="543"/>
      <c r="E51" s="543"/>
      <c r="F51" s="543"/>
      <c r="G51" s="543"/>
      <c r="H51" s="547"/>
      <c r="I51" s="308"/>
      <c r="J51" s="543"/>
      <c r="K51" s="543"/>
      <c r="L51" s="543"/>
      <c r="M51" s="543"/>
      <c r="N51" s="543"/>
      <c r="O51" s="547"/>
      <c r="P51" s="308"/>
      <c r="Q51" s="543"/>
      <c r="R51" s="543"/>
      <c r="S51" s="543"/>
      <c r="T51" s="543"/>
      <c r="U51" s="543"/>
      <c r="V51" s="547"/>
      <c r="W51" s="308"/>
      <c r="X51" s="543"/>
      <c r="Y51" s="543"/>
      <c r="Z51" s="543"/>
      <c r="AA51" s="543"/>
      <c r="AB51" s="543"/>
      <c r="AC51" s="547"/>
      <c r="AD51" s="308"/>
      <c r="AE51" s="543"/>
      <c r="AF51" s="543"/>
      <c r="AG51" s="543"/>
      <c r="AH51" s="543"/>
      <c r="AI51" s="543"/>
      <c r="AJ51" s="547"/>
    </row>
    <row r="52" spans="1:36" s="545" customFormat="1" ht="15" customHeight="1">
      <c r="A52"/>
      <c r="B52" s="1670" t="s">
        <v>136</v>
      </c>
      <c r="C52" s="1671"/>
      <c r="D52" s="1671">
        <v>0.1</v>
      </c>
      <c r="E52" s="1792" t="s">
        <v>1623</v>
      </c>
      <c r="F52" s="543"/>
      <c r="G52" s="543"/>
      <c r="H52" s="547"/>
      <c r="I52" s="1670" t="s">
        <v>136</v>
      </c>
      <c r="J52" s="1671"/>
      <c r="K52" s="1671">
        <v>0.1</v>
      </c>
      <c r="L52" s="1792" t="s">
        <v>1623</v>
      </c>
      <c r="M52" s="543"/>
      <c r="N52" s="543"/>
      <c r="O52" s="547"/>
      <c r="P52" s="1670" t="s">
        <v>136</v>
      </c>
      <c r="Q52" s="1671"/>
      <c r="R52" s="1671">
        <v>0</v>
      </c>
      <c r="S52" s="1792" t="s">
        <v>1623</v>
      </c>
      <c r="T52" s="543"/>
      <c r="U52" s="543"/>
      <c r="V52" s="547"/>
      <c r="W52" s="1670" t="s">
        <v>136</v>
      </c>
      <c r="X52" s="1671"/>
      <c r="Y52" s="1671">
        <v>0</v>
      </c>
      <c r="Z52" s="1792" t="s">
        <v>1623</v>
      </c>
      <c r="AA52" s="543"/>
      <c r="AB52" s="543"/>
      <c r="AC52" s="547"/>
      <c r="AD52" s="1670" t="s">
        <v>136</v>
      </c>
      <c r="AE52" s="1671"/>
      <c r="AF52" s="1671">
        <v>0</v>
      </c>
      <c r="AG52" s="1792" t="s">
        <v>1623</v>
      </c>
      <c r="AH52" s="543"/>
      <c r="AI52" s="543"/>
      <c r="AJ52" s="547"/>
    </row>
    <row r="53" spans="1:36" s="545" customFormat="1" ht="15" customHeight="1">
      <c r="A53"/>
      <c r="B53" s="1670" t="s">
        <v>1622</v>
      </c>
      <c r="C53" s="1671"/>
      <c r="D53" s="1671">
        <v>0.9</v>
      </c>
      <c r="E53" s="1792" t="s">
        <v>1623</v>
      </c>
      <c r="F53" s="543"/>
      <c r="G53" s="543"/>
      <c r="H53" s="547"/>
      <c r="I53" s="1670" t="s">
        <v>1622</v>
      </c>
      <c r="J53" s="1671"/>
      <c r="K53" s="1671">
        <v>0.9</v>
      </c>
      <c r="L53" s="1792" t="s">
        <v>1623</v>
      </c>
      <c r="M53" s="543"/>
      <c r="N53" s="543"/>
      <c r="O53" s="547"/>
      <c r="P53" s="1670" t="s">
        <v>1622</v>
      </c>
      <c r="Q53" s="1671"/>
      <c r="R53" s="1671">
        <v>1</v>
      </c>
      <c r="S53" s="1792" t="s">
        <v>1623</v>
      </c>
      <c r="T53" s="543"/>
      <c r="U53" s="543"/>
      <c r="V53" s="547"/>
      <c r="W53" s="1670" t="s">
        <v>1622</v>
      </c>
      <c r="X53" s="1671"/>
      <c r="Y53" s="1671">
        <v>1</v>
      </c>
      <c r="Z53" s="1792" t="s">
        <v>1623</v>
      </c>
      <c r="AA53" s="543"/>
      <c r="AB53" s="543"/>
      <c r="AC53" s="547"/>
      <c r="AD53" s="1670" t="s">
        <v>1622</v>
      </c>
      <c r="AE53" s="1671"/>
      <c r="AF53" s="1671">
        <v>1</v>
      </c>
      <c r="AG53" s="1792" t="s">
        <v>1623</v>
      </c>
      <c r="AH53" s="543"/>
      <c r="AI53" s="543"/>
      <c r="AJ53" s="547"/>
    </row>
    <row r="54" spans="1:36" s="545" customFormat="1" ht="15" customHeight="1">
      <c r="A54"/>
      <c r="B54" s="308"/>
      <c r="C54" s="543"/>
      <c r="D54" s="543"/>
      <c r="E54" s="543"/>
      <c r="F54" s="543"/>
      <c r="G54" s="543"/>
      <c r="H54" s="547"/>
      <c r="I54" s="308"/>
      <c r="J54" s="543"/>
      <c r="K54" s="543"/>
      <c r="L54" s="543"/>
      <c r="M54" s="543"/>
      <c r="N54" s="543"/>
      <c r="O54" s="547"/>
      <c r="P54" s="308"/>
      <c r="Q54" s="543"/>
      <c r="R54" s="543"/>
      <c r="S54" s="543"/>
      <c r="T54" s="543"/>
      <c r="U54" s="543"/>
      <c r="V54" s="547"/>
      <c r="W54" s="308"/>
      <c r="X54" s="543"/>
      <c r="Y54" s="543"/>
      <c r="Z54" s="543"/>
      <c r="AA54" s="543"/>
      <c r="AB54" s="543"/>
      <c r="AC54" s="547"/>
      <c r="AD54" s="308"/>
      <c r="AE54" s="543"/>
      <c r="AF54" s="543"/>
      <c r="AG54" s="543"/>
      <c r="AH54" s="543"/>
      <c r="AI54" s="543"/>
      <c r="AJ54" s="547"/>
    </row>
    <row r="55" spans="1:36" s="545" customFormat="1" ht="15" customHeight="1">
      <c r="A55"/>
      <c r="B55" s="308"/>
      <c r="C55" s="543"/>
      <c r="D55" s="561" t="s">
        <v>44</v>
      </c>
      <c r="E55" s="543"/>
      <c r="F55" s="543"/>
      <c r="G55" s="543"/>
      <c r="H55" s="547"/>
      <c r="I55" s="308"/>
      <c r="J55" s="543"/>
      <c r="K55" s="561" t="s">
        <v>44</v>
      </c>
      <c r="L55" s="543"/>
      <c r="M55" s="543"/>
      <c r="N55" s="543"/>
      <c r="O55" s="547"/>
      <c r="P55" s="308"/>
      <c r="Q55" s="543"/>
      <c r="R55" s="561"/>
      <c r="S55" s="543"/>
      <c r="T55" s="543"/>
      <c r="U55" s="543"/>
      <c r="V55" s="547"/>
      <c r="W55" s="308"/>
      <c r="X55" s="543"/>
      <c r="Y55" s="561"/>
      <c r="Z55" s="543"/>
      <c r="AA55" s="543"/>
      <c r="AB55" s="543"/>
      <c r="AC55" s="547"/>
      <c r="AD55" s="308"/>
      <c r="AE55" s="543"/>
      <c r="AF55" s="561"/>
      <c r="AG55" s="543"/>
      <c r="AH55" s="543"/>
      <c r="AI55" s="543"/>
      <c r="AJ55" s="547"/>
    </row>
    <row r="56" spans="1:36" s="545" customFormat="1" ht="15" customHeight="1">
      <c r="A56"/>
      <c r="B56" s="1154" t="s">
        <v>136</v>
      </c>
      <c r="C56" s="1155" t="s">
        <v>601</v>
      </c>
      <c r="D56" s="1156">
        <f>D$52*AA17*D$46</f>
        <v>6.4421186181312318E-2</v>
      </c>
      <c r="E56" s="543"/>
      <c r="F56" s="543"/>
      <c r="G56" s="543"/>
      <c r="H56" s="547"/>
      <c r="I56" s="1154" t="s">
        <v>136</v>
      </c>
      <c r="J56" s="1155" t="s">
        <v>601</v>
      </c>
      <c r="K56" s="1156">
        <f>K$52*U17*K$46</f>
        <v>1.7673311889597843E-5</v>
      </c>
      <c r="L56" s="543"/>
      <c r="M56" s="543"/>
      <c r="N56" s="543"/>
      <c r="O56" s="547"/>
      <c r="P56" s="1154" t="s">
        <v>1622</v>
      </c>
      <c r="Q56" s="1155" t="s">
        <v>601</v>
      </c>
      <c r="R56" s="1156">
        <f>R$53*H17*R$46</f>
        <v>619.50123263736532</v>
      </c>
      <c r="S56" s="543"/>
      <c r="T56" s="543"/>
      <c r="U56" s="543"/>
      <c r="V56" s="547"/>
      <c r="W56" s="1154" t="s">
        <v>1622</v>
      </c>
      <c r="X56" s="1155" t="s">
        <v>601</v>
      </c>
      <c r="Y56" s="1156">
        <f>Y$53*F17*Y$46</f>
        <v>88.065773859976275</v>
      </c>
      <c r="Z56" s="543"/>
      <c r="AA56" s="543"/>
      <c r="AB56" s="543"/>
      <c r="AC56" s="547"/>
      <c r="AD56" s="1154" t="s">
        <v>1622</v>
      </c>
      <c r="AE56" s="1155" t="s">
        <v>601</v>
      </c>
      <c r="AF56" s="1156">
        <f>AF$53*M17*AF$46</f>
        <v>0</v>
      </c>
      <c r="AG56" s="543"/>
      <c r="AH56" s="543"/>
      <c r="AI56" s="543"/>
      <c r="AJ56" s="547"/>
    </row>
    <row r="57" spans="1:36" s="545" customFormat="1" ht="15" customHeight="1">
      <c r="A57"/>
      <c r="B57" s="1157"/>
      <c r="C57" s="1155" t="s">
        <v>602</v>
      </c>
      <c r="D57" s="1156">
        <f>D$52*AA18*D$46</f>
        <v>4.7837514491073506E-2</v>
      </c>
      <c r="E57" s="543"/>
      <c r="F57" s="543"/>
      <c r="G57" s="543"/>
      <c r="H57" s="547"/>
      <c r="I57" s="1157"/>
      <c r="J57" s="1155" t="s">
        <v>602</v>
      </c>
      <c r="K57" s="1156">
        <f>K$52*U18*K$46</f>
        <v>1.7673311889597843E-5</v>
      </c>
      <c r="L57" s="543"/>
      <c r="M57" s="543"/>
      <c r="N57" s="543"/>
      <c r="O57" s="547"/>
      <c r="P57" s="1157"/>
      <c r="Q57" s="1155" t="s">
        <v>602</v>
      </c>
      <c r="R57" s="1156">
        <f>R$53*H18*R$46</f>
        <v>850.83335061951004</v>
      </c>
      <c r="S57" s="543"/>
      <c r="T57" s="543"/>
      <c r="U57" s="543"/>
      <c r="V57" s="547"/>
      <c r="W57" s="1157"/>
      <c r="X57" s="1155" t="s">
        <v>602</v>
      </c>
      <c r="Y57" s="1156">
        <f>Y$53*F18*Y$46</f>
        <v>172.23811350719566</v>
      </c>
      <c r="Z57" s="543"/>
      <c r="AA57" s="543"/>
      <c r="AB57" s="543"/>
      <c r="AC57" s="547"/>
      <c r="AD57" s="1157"/>
      <c r="AE57" s="1155" t="s">
        <v>602</v>
      </c>
      <c r="AF57" s="1156">
        <f>AF$53*M18*AF$46</f>
        <v>0</v>
      </c>
      <c r="AG57" s="543"/>
      <c r="AH57" s="543"/>
      <c r="AI57" s="543"/>
      <c r="AJ57" s="547"/>
    </row>
    <row r="58" spans="1:36" s="545" customFormat="1" ht="15" customHeight="1">
      <c r="A58"/>
      <c r="B58" s="1157"/>
      <c r="C58" s="1155" t="s">
        <v>603</v>
      </c>
      <c r="D58" s="1156">
        <f>D$52*AA19*D$46</f>
        <v>0.52716940969162995</v>
      </c>
      <c r="E58" s="543"/>
      <c r="F58" s="543"/>
      <c r="G58" s="543"/>
      <c r="H58" s="547"/>
      <c r="I58" s="1157"/>
      <c r="J58" s="1155" t="s">
        <v>603</v>
      </c>
      <c r="K58" s="1156">
        <f>K$52*U19*K$46</f>
        <v>2.5011094253039974</v>
      </c>
      <c r="L58" s="543"/>
      <c r="M58" s="543"/>
      <c r="N58" s="543"/>
      <c r="O58" s="547"/>
      <c r="P58" s="1157"/>
      <c r="Q58" s="1155" t="s">
        <v>603</v>
      </c>
      <c r="R58" s="1156">
        <f>R$53*H19*R$46</f>
        <v>3829.1669365969633</v>
      </c>
      <c r="S58" s="543"/>
      <c r="T58" s="543"/>
      <c r="U58" s="543"/>
      <c r="V58" s="547"/>
      <c r="W58" s="1157"/>
      <c r="X58" s="1155" t="s">
        <v>603</v>
      </c>
      <c r="Y58" s="1156">
        <f>Y$53*F19*Y$46</f>
        <v>19496.464521194495</v>
      </c>
      <c r="Z58" s="543"/>
      <c r="AA58" s="543"/>
      <c r="AB58" s="543"/>
      <c r="AC58" s="547"/>
      <c r="AD58" s="1157"/>
      <c r="AE58" s="1155" t="s">
        <v>603</v>
      </c>
      <c r="AF58" s="1156">
        <f>AF$53*M19*AF$46</f>
        <v>0</v>
      </c>
      <c r="AG58" s="543"/>
      <c r="AH58" s="543"/>
      <c r="AI58" s="543"/>
      <c r="AJ58" s="547"/>
    </row>
    <row r="59" spans="1:36" s="545" customFormat="1" ht="15" customHeight="1">
      <c r="A59"/>
      <c r="B59" s="1157"/>
      <c r="C59" s="1155" t="s">
        <v>604</v>
      </c>
      <c r="D59" s="1156">
        <f>D$52*AA20*D$46</f>
        <v>4.8315889635984238E-2</v>
      </c>
      <c r="E59" s="543"/>
      <c r="F59" s="543"/>
      <c r="G59" s="543"/>
      <c r="H59" s="547"/>
      <c r="I59" s="1157"/>
      <c r="J59" s="1155" t="s">
        <v>604</v>
      </c>
      <c r="K59" s="1156">
        <f>K$52*U20*K$46</f>
        <v>0.52631122807222375</v>
      </c>
      <c r="L59" s="543"/>
      <c r="M59" s="543"/>
      <c r="N59" s="543"/>
      <c r="O59" s="547"/>
      <c r="P59" s="1157"/>
      <c r="Q59" s="1155" t="s">
        <v>604</v>
      </c>
      <c r="R59" s="1156">
        <f>R$53*H20*R$46</f>
        <v>847.49848014616134</v>
      </c>
      <c r="S59" s="543"/>
      <c r="T59" s="543"/>
      <c r="U59" s="543"/>
      <c r="V59" s="547"/>
      <c r="W59" s="1157"/>
      <c r="X59" s="1155" t="s">
        <v>604</v>
      </c>
      <c r="Y59" s="1156">
        <f>Y$53*F20*Y$46</f>
        <v>1023.2315914383348</v>
      </c>
      <c r="Z59" s="543"/>
      <c r="AA59" s="543"/>
      <c r="AB59" s="543"/>
      <c r="AC59" s="547"/>
      <c r="AD59" s="1157"/>
      <c r="AE59" s="1155" t="s">
        <v>604</v>
      </c>
      <c r="AF59" s="1156">
        <f>AF$53*M20*AF$46</f>
        <v>0</v>
      </c>
      <c r="AG59" s="543"/>
      <c r="AH59" s="543"/>
      <c r="AI59" s="543"/>
      <c r="AJ59" s="547"/>
    </row>
    <row r="60" spans="1:36" s="545" customFormat="1" ht="15" customHeight="1">
      <c r="A60"/>
      <c r="B60" s="308"/>
      <c r="C60" s="543"/>
      <c r="D60" s="3"/>
      <c r="E60" s="543"/>
      <c r="F60" s="543"/>
      <c r="G60" s="543"/>
      <c r="H60" s="547"/>
      <c r="I60" s="308"/>
      <c r="J60" s="543"/>
      <c r="K60" s="543"/>
      <c r="L60" s="543"/>
      <c r="M60" s="543"/>
      <c r="N60" s="543"/>
      <c r="O60" s="547"/>
      <c r="P60" s="308"/>
      <c r="Q60" s="543"/>
      <c r="R60" s="3"/>
      <c r="S60" s="543"/>
      <c r="T60" s="543"/>
      <c r="U60" s="543"/>
      <c r="V60" s="547"/>
      <c r="W60" s="308"/>
      <c r="X60" s="543"/>
      <c r="Y60" s="3"/>
      <c r="Z60" s="543"/>
      <c r="AA60" s="543"/>
      <c r="AB60" s="543"/>
      <c r="AC60" s="547"/>
      <c r="AD60" s="308"/>
      <c r="AE60" s="543"/>
      <c r="AF60" s="3"/>
      <c r="AG60" s="543"/>
      <c r="AH60" s="543"/>
      <c r="AI60" s="543"/>
      <c r="AJ60" s="547"/>
    </row>
    <row r="61" spans="1:36" s="545" customFormat="1" ht="15" customHeight="1">
      <c r="A61"/>
      <c r="B61" s="308"/>
      <c r="C61" s="543"/>
      <c r="D61" s="543"/>
      <c r="E61" s="543"/>
      <c r="F61" s="543"/>
      <c r="G61" s="543"/>
      <c r="H61" s="547"/>
      <c r="I61" s="308"/>
      <c r="J61" s="543"/>
      <c r="K61" s="543"/>
      <c r="L61" s="543"/>
      <c r="M61" s="543"/>
      <c r="N61" s="543"/>
      <c r="O61" s="547"/>
      <c r="P61" s="543" t="s">
        <v>2300</v>
      </c>
      <c r="Q61" s="543"/>
      <c r="R61" s="543"/>
      <c r="S61" s="543"/>
      <c r="T61" s="3"/>
      <c r="V61" s="547"/>
      <c r="W61" s="543" t="s">
        <v>2300</v>
      </c>
      <c r="X61" s="543"/>
      <c r="Y61" s="543"/>
      <c r="Z61" s="543"/>
      <c r="AA61" s="3"/>
      <c r="AC61" s="547"/>
      <c r="AD61" s="543" t="s">
        <v>2300</v>
      </c>
      <c r="AE61" s="543"/>
      <c r="AF61" s="543"/>
      <c r="AG61" s="543"/>
      <c r="AH61" s="3"/>
      <c r="AJ61" s="547"/>
    </row>
    <row r="62" spans="1:36" s="545" customFormat="1" ht="15" customHeight="1">
      <c r="A62"/>
      <c r="B62" s="1154" t="s">
        <v>1622</v>
      </c>
      <c r="C62" s="1155" t="s">
        <v>601</v>
      </c>
      <c r="D62" s="1156">
        <f>D$53*H17*D$46</f>
        <v>0.62380418116976899</v>
      </c>
      <c r="E62" s="543"/>
      <c r="F62" s="543"/>
      <c r="G62" s="543"/>
      <c r="H62" s="547"/>
      <c r="I62" s="1154" t="s">
        <v>1622</v>
      </c>
      <c r="J62" s="1155" t="s">
        <v>601</v>
      </c>
      <c r="K62" s="1156">
        <f>K$53*F17*K$46</f>
        <v>0.11547340227157146</v>
      </c>
      <c r="L62" s="543"/>
      <c r="M62" s="543"/>
      <c r="N62" s="543"/>
      <c r="O62" s="547"/>
      <c r="P62" s="1155" t="s">
        <v>1622</v>
      </c>
      <c r="Q62" s="1155" t="s">
        <v>601</v>
      </c>
      <c r="R62" s="2140">
        <f>(R56*1000)/G17</f>
        <v>49.042212843363309</v>
      </c>
      <c r="S62" s="543"/>
      <c r="T62" s="3"/>
      <c r="V62" s="547"/>
      <c r="W62" s="1155" t="s">
        <v>1622</v>
      </c>
      <c r="X62" s="1155" t="s">
        <v>601</v>
      </c>
      <c r="Y62" s="2140">
        <f>(Y56*1000)/E17</f>
        <v>185.40162917889742</v>
      </c>
      <c r="Z62" s="543"/>
      <c r="AA62" s="3"/>
      <c r="AC62" s="547"/>
      <c r="AD62" s="1155" t="s">
        <v>1622</v>
      </c>
      <c r="AE62" s="1155" t="s">
        <v>601</v>
      </c>
      <c r="AF62" s="2140">
        <f>(AF56*1000)/L17</f>
        <v>0</v>
      </c>
      <c r="AG62" s="543"/>
      <c r="AH62" s="3"/>
      <c r="AJ62" s="547"/>
    </row>
    <row r="63" spans="1:36" s="545" customFormat="1" ht="15" customHeight="1">
      <c r="A63"/>
      <c r="B63" s="1157"/>
      <c r="C63" s="1155" t="s">
        <v>602</v>
      </c>
      <c r="D63" s="1156">
        <f>D$53*H18*D$46</f>
        <v>0.85674309207681465</v>
      </c>
      <c r="E63" s="543"/>
      <c r="F63" s="543"/>
      <c r="G63" s="543"/>
      <c r="H63" s="547"/>
      <c r="I63" s="1157"/>
      <c r="J63" s="1155" t="s">
        <v>602</v>
      </c>
      <c r="K63" s="1156">
        <f>K$53*F18*K$46</f>
        <v>0.22584166465324185</v>
      </c>
      <c r="L63" s="543"/>
      <c r="M63" s="543"/>
      <c r="N63" s="543"/>
      <c r="O63" s="547"/>
      <c r="P63" s="2140"/>
      <c r="Q63" s="1155" t="s">
        <v>602</v>
      </c>
      <c r="R63" s="2140">
        <f>(R57*1000)/G18</f>
        <v>49.042212843363309</v>
      </c>
      <c r="S63" s="543"/>
      <c r="T63" s="3"/>
      <c r="V63" s="547"/>
      <c r="W63" s="2140"/>
      <c r="X63" s="1155" t="s">
        <v>602</v>
      </c>
      <c r="Y63" s="2140">
        <f>(Y57*1000)/E18</f>
        <v>185.40162917889739</v>
      </c>
      <c r="Z63" s="543"/>
      <c r="AA63" s="3"/>
      <c r="AC63" s="547"/>
      <c r="AD63" s="2140"/>
      <c r="AE63" s="1155" t="s">
        <v>602</v>
      </c>
      <c r="AF63" s="2140">
        <f>(AF57*1000)/L18</f>
        <v>0</v>
      </c>
      <c r="AG63" s="543"/>
      <c r="AH63" s="3"/>
      <c r="AJ63" s="547"/>
    </row>
    <row r="64" spans="1:36" s="545" customFormat="1" ht="15" customHeight="1">
      <c r="A64"/>
      <c r="B64" s="1157"/>
      <c r="C64" s="1155" t="s">
        <v>603</v>
      </c>
      <c r="D64" s="1156">
        <f>D$53*H19*D$46</f>
        <v>3.8557636685841032</v>
      </c>
      <c r="E64" s="543"/>
      <c r="F64" s="543"/>
      <c r="G64" s="543"/>
      <c r="H64" s="547"/>
      <c r="I64" s="1157"/>
      <c r="J64" s="1155" t="s">
        <v>603</v>
      </c>
      <c r="K64" s="1156">
        <f>K$53*F19*K$46</f>
        <v>25.56410954962929</v>
      </c>
      <c r="L64" s="543"/>
      <c r="M64" s="543"/>
      <c r="N64" s="543"/>
      <c r="O64" s="547"/>
      <c r="P64" s="2140"/>
      <c r="Q64" s="1155" t="s">
        <v>603</v>
      </c>
      <c r="R64" s="2140">
        <f>(R58*1000)/G19</f>
        <v>49.042212843363302</v>
      </c>
      <c r="S64" s="543"/>
      <c r="T64" s="3"/>
      <c r="V64" s="547"/>
      <c r="W64" s="2140"/>
      <c r="X64" s="1155" t="s">
        <v>603</v>
      </c>
      <c r="Y64" s="2140">
        <f>(Y58*1000)/E19</f>
        <v>185.40162917889742</v>
      </c>
      <c r="Z64" s="543"/>
      <c r="AA64" s="3"/>
      <c r="AC64" s="547"/>
      <c r="AD64" s="2140"/>
      <c r="AE64" s="1155" t="s">
        <v>603</v>
      </c>
      <c r="AF64" s="2140">
        <f>(AF58*1000)/L19</f>
        <v>0</v>
      </c>
      <c r="AG64" s="543"/>
      <c r="AH64" s="3"/>
      <c r="AJ64" s="547"/>
    </row>
    <row r="65" spans="1:36" s="545" customFormat="1" ht="15" customHeight="1">
      <c r="A65"/>
      <c r="B65" s="1157"/>
      <c r="C65" s="1155" t="s">
        <v>604</v>
      </c>
      <c r="D65" s="1156">
        <f>D$53*H20*D$46</f>
        <v>0.85338505816931431</v>
      </c>
      <c r="E65" s="543"/>
      <c r="F65" s="543"/>
      <c r="G65" s="543"/>
      <c r="H65" s="547"/>
      <c r="I65" s="1157"/>
      <c r="J65" s="1155" t="s">
        <v>604</v>
      </c>
      <c r="K65" s="1156">
        <f>K$53*F20*K$46</f>
        <v>1.3416793834459009</v>
      </c>
      <c r="L65" s="543"/>
      <c r="M65" s="543"/>
      <c r="N65" s="543"/>
      <c r="O65" s="547"/>
      <c r="P65" s="2140"/>
      <c r="Q65" s="1155" t="s">
        <v>604</v>
      </c>
      <c r="R65" s="2140">
        <f>(R59*1000)/G20</f>
        <v>49.042212843363309</v>
      </c>
      <c r="S65" s="543"/>
      <c r="T65" s="3"/>
      <c r="V65" s="547"/>
      <c r="W65" s="2140"/>
      <c r="X65" s="1155" t="s">
        <v>604</v>
      </c>
      <c r="Y65" s="2140">
        <f>(Y59*1000)/E20</f>
        <v>185.40162917889739</v>
      </c>
      <c r="Z65" s="543"/>
      <c r="AA65" s="3"/>
      <c r="AC65" s="547"/>
      <c r="AD65" s="2140"/>
      <c r="AE65" s="1155" t="s">
        <v>604</v>
      </c>
      <c r="AF65" s="2140">
        <f>(AF59*1000)/L20</f>
        <v>0</v>
      </c>
      <c r="AG65" s="543"/>
      <c r="AH65" s="3"/>
      <c r="AJ65" s="547"/>
    </row>
    <row r="66" spans="1:36" s="545" customFormat="1" ht="15" customHeight="1">
      <c r="A66"/>
      <c r="B66" s="308"/>
      <c r="C66" s="543"/>
      <c r="D66" s="543"/>
      <c r="E66" s="543"/>
      <c r="F66" s="543"/>
      <c r="G66" s="543"/>
      <c r="H66" s="547"/>
      <c r="I66" s="308"/>
      <c r="J66" s="543"/>
      <c r="K66" s="543"/>
      <c r="L66" s="543"/>
      <c r="M66" s="543"/>
      <c r="N66" s="543"/>
      <c r="O66" s="547"/>
      <c r="P66" s="308"/>
      <c r="Q66" s="543"/>
      <c r="R66" s="543"/>
      <c r="S66" s="543"/>
      <c r="T66" s="543"/>
      <c r="U66" s="543"/>
      <c r="V66" s="547"/>
      <c r="W66" s="308"/>
      <c r="X66" s="543"/>
      <c r="Y66" s="543"/>
      <c r="Z66" s="543"/>
      <c r="AA66" s="543"/>
      <c r="AB66" s="543"/>
      <c r="AC66" s="547"/>
      <c r="AD66" s="308"/>
      <c r="AE66" s="543"/>
      <c r="AF66" s="543"/>
      <c r="AG66" s="543"/>
      <c r="AH66" s="543"/>
      <c r="AI66" s="543"/>
      <c r="AJ66" s="547"/>
    </row>
    <row r="67" spans="1:36" s="545" customFormat="1" ht="15" customHeight="1">
      <c r="A67"/>
      <c r="B67" s="308"/>
      <c r="C67" s="543"/>
      <c r="D67" s="444">
        <f>SUM(D56:D66)</f>
        <v>6.8774400000000009</v>
      </c>
      <c r="E67" s="543"/>
      <c r="F67" s="543"/>
      <c r="G67" s="543"/>
      <c r="H67" s="547"/>
      <c r="I67" s="308"/>
      <c r="J67" s="543"/>
      <c r="K67" s="1672">
        <f>SUM(K56:K66)</f>
        <v>30.274560000000001</v>
      </c>
      <c r="L67" s="543">
        <f>K67+D67</f>
        <v>37.152000000000001</v>
      </c>
      <c r="M67" s="543"/>
      <c r="N67" s="543"/>
      <c r="O67" s="547"/>
      <c r="P67" s="308"/>
      <c r="Q67" s="543"/>
      <c r="R67" s="1672">
        <f>SUM(R56:R66)</f>
        <v>6343.1688513734516</v>
      </c>
      <c r="S67" s="543"/>
      <c r="T67" s="543"/>
      <c r="U67" s="543"/>
      <c r="V67" s="547"/>
      <c r="W67" s="308"/>
      <c r="X67" s="543"/>
      <c r="Y67" s="1672">
        <f>SUM(Y56:Y66)</f>
        <v>21521.606516715594</v>
      </c>
      <c r="Z67" s="543"/>
      <c r="AA67" s="543"/>
      <c r="AB67" s="543"/>
      <c r="AC67" s="547"/>
      <c r="AD67" s="308"/>
      <c r="AE67" s="543"/>
      <c r="AF67" s="1672">
        <f>SUM(AF56:AF66)</f>
        <v>0</v>
      </c>
      <c r="AG67" s="543"/>
      <c r="AH67" s="543"/>
      <c r="AI67" s="543"/>
      <c r="AJ67" s="547"/>
    </row>
    <row r="68" spans="1:36" s="545" customFormat="1" ht="15" customHeight="1">
      <c r="A68"/>
      <c r="B68" s="308"/>
      <c r="C68" s="543"/>
      <c r="D68" s="543"/>
      <c r="E68" s="543"/>
      <c r="F68" s="543"/>
      <c r="G68" s="543"/>
      <c r="H68" s="547"/>
      <c r="I68" s="308"/>
      <c r="J68" s="543"/>
      <c r="K68" s="543"/>
      <c r="L68" s="543"/>
      <c r="M68" s="543"/>
      <c r="N68" s="543"/>
      <c r="O68" s="547"/>
      <c r="P68" s="308"/>
      <c r="Q68" s="543"/>
      <c r="R68" s="543"/>
      <c r="S68" s="543"/>
      <c r="T68" s="543"/>
      <c r="U68" s="543"/>
      <c r="V68" s="547"/>
      <c r="W68" s="308"/>
      <c r="X68" s="543"/>
      <c r="Y68" s="543"/>
      <c r="Z68" s="543"/>
      <c r="AA68" s="543"/>
      <c r="AB68" s="543"/>
      <c r="AC68" s="547"/>
      <c r="AD68" s="308"/>
      <c r="AE68" s="543"/>
      <c r="AF68" s="543"/>
      <c r="AG68" s="543"/>
      <c r="AH68" s="543"/>
      <c r="AI68" s="543"/>
      <c r="AJ68" s="547"/>
    </row>
    <row r="69" spans="1:36" s="545" customFormat="1" ht="15" customHeight="1" thickBot="1">
      <c r="A69"/>
      <c r="B69" s="427"/>
      <c r="C69" s="390"/>
      <c r="D69" s="390"/>
      <c r="E69" s="390"/>
      <c r="F69" s="390"/>
      <c r="G69" s="390"/>
      <c r="H69" s="428"/>
      <c r="I69" s="427"/>
      <c r="J69" s="390"/>
      <c r="K69" s="390"/>
      <c r="L69" s="390"/>
      <c r="M69" s="390"/>
      <c r="N69" s="390"/>
      <c r="O69" s="428"/>
      <c r="P69" s="427"/>
      <c r="Q69" s="390"/>
      <c r="R69" s="390"/>
      <c r="S69" s="390"/>
      <c r="T69" s="390"/>
      <c r="U69" s="390"/>
      <c r="V69" s="428"/>
      <c r="W69" s="427"/>
      <c r="X69" s="390"/>
      <c r="Y69" s="390"/>
      <c r="Z69" s="390"/>
      <c r="AA69" s="390"/>
      <c r="AB69" s="390"/>
      <c r="AC69" s="428"/>
      <c r="AD69" s="427"/>
      <c r="AE69" s="390"/>
      <c r="AF69" s="390"/>
      <c r="AG69" s="390"/>
      <c r="AH69" s="390"/>
      <c r="AI69" s="390"/>
      <c r="AJ69" s="428"/>
    </row>
    <row r="70" spans="1:36" s="545" customFormat="1" ht="15" customHeight="1">
      <c r="A70"/>
      <c r="B70"/>
      <c r="C70"/>
      <c r="D70"/>
      <c r="E70"/>
      <c r="F70"/>
      <c r="G70"/>
      <c r="H70"/>
      <c r="I70"/>
      <c r="J70"/>
      <c r="K70"/>
      <c r="L70"/>
      <c r="M70"/>
      <c r="N70"/>
      <c r="O70"/>
      <c r="P70"/>
      <c r="Q70"/>
      <c r="R70"/>
      <c r="S70"/>
      <c r="T70"/>
      <c r="U70"/>
      <c r="V70"/>
      <c r="W70"/>
      <c r="X70"/>
      <c r="Y70"/>
      <c r="Z70"/>
      <c r="AA70"/>
      <c r="AB70"/>
    </row>
    <row r="71" spans="1:36" s="545" customFormat="1" ht="15" customHeight="1">
      <c r="A71"/>
      <c r="B71"/>
      <c r="C71"/>
      <c r="D71"/>
      <c r="E71"/>
      <c r="F71"/>
      <c r="G71"/>
      <c r="H71"/>
      <c r="I71"/>
      <c r="J71"/>
      <c r="K71"/>
      <c r="L71"/>
      <c r="M71"/>
      <c r="N71"/>
      <c r="O71"/>
      <c r="P71"/>
      <c r="Q71"/>
      <c r="R71"/>
      <c r="S71"/>
      <c r="T71"/>
      <c r="U71"/>
      <c r="V71"/>
      <c r="W71"/>
      <c r="X71"/>
      <c r="Y71"/>
      <c r="Z71"/>
      <c r="AA71"/>
      <c r="AB71"/>
    </row>
    <row r="72" spans="1:36" s="545" customFormat="1" ht="15" customHeight="1">
      <c r="A72"/>
      <c r="B72"/>
      <c r="C72"/>
      <c r="D72"/>
      <c r="E72"/>
      <c r="F72"/>
      <c r="G72"/>
      <c r="H72"/>
      <c r="I72"/>
      <c r="J72"/>
      <c r="K72"/>
      <c r="L72"/>
      <c r="M72"/>
      <c r="N72"/>
      <c r="O72"/>
      <c r="P72"/>
      <c r="Q72"/>
      <c r="R72"/>
      <c r="S72"/>
      <c r="T72"/>
      <c r="U72"/>
      <c r="V72"/>
      <c r="W72"/>
      <c r="X72"/>
      <c r="Y72"/>
      <c r="Z72"/>
      <c r="AA72"/>
      <c r="AB72"/>
    </row>
    <row r="73" spans="1:36" s="545" customFormat="1" ht="15" customHeight="1">
      <c r="A73"/>
      <c r="B73"/>
      <c r="C73"/>
      <c r="D73"/>
      <c r="E73"/>
      <c r="F73"/>
      <c r="G73"/>
      <c r="H73"/>
      <c r="I73"/>
      <c r="J73"/>
      <c r="K73"/>
      <c r="L73"/>
      <c r="M73"/>
      <c r="N73"/>
      <c r="O73"/>
      <c r="P73"/>
      <c r="Q73"/>
      <c r="R73"/>
      <c r="S73"/>
      <c r="T73"/>
      <c r="U73"/>
      <c r="V73"/>
      <c r="W73"/>
      <c r="X73"/>
      <c r="Y73"/>
      <c r="Z73"/>
      <c r="AA73"/>
      <c r="AB73"/>
    </row>
    <row r="74" spans="1:36" s="545" customFormat="1" ht="15" customHeight="1">
      <c r="A74"/>
      <c r="B74"/>
      <c r="C74"/>
      <c r="D74"/>
      <c r="E74"/>
      <c r="F74"/>
      <c r="G74"/>
      <c r="H74"/>
      <c r="I74"/>
      <c r="J74"/>
      <c r="K74"/>
      <c r="L74"/>
      <c r="M74"/>
      <c r="N74"/>
      <c r="O74"/>
      <c r="P74"/>
      <c r="Q74"/>
      <c r="R74"/>
      <c r="S74"/>
      <c r="T74"/>
      <c r="U74"/>
      <c r="V74"/>
      <c r="W74"/>
      <c r="X74"/>
      <c r="Y74"/>
      <c r="Z74"/>
      <c r="AA74"/>
      <c r="AB74"/>
    </row>
    <row r="75" spans="1:36" s="1663" customFormat="1" ht="15" customHeight="1">
      <c r="A75" s="1661" t="s">
        <v>2098</v>
      </c>
    </row>
    <row r="76" spans="1:36" s="545" customFormat="1" ht="15" customHeight="1">
      <c r="A76" s="765" t="s">
        <v>550</v>
      </c>
      <c r="B76"/>
      <c r="C76"/>
      <c r="D76"/>
      <c r="E76"/>
      <c r="F76"/>
      <c r="G76"/>
      <c r="H76"/>
      <c r="I76"/>
      <c r="J76"/>
      <c r="K76"/>
      <c r="L76"/>
      <c r="M76"/>
      <c r="N76"/>
      <c r="O76"/>
      <c r="P76"/>
      <c r="Q76"/>
      <c r="R76"/>
      <c r="S76"/>
      <c r="T76"/>
      <c r="U76"/>
      <c r="V76"/>
      <c r="W76"/>
      <c r="X76"/>
      <c r="Y76"/>
      <c r="Z76"/>
      <c r="AA76"/>
      <c r="AB76"/>
    </row>
    <row r="77" spans="1:36" s="545" customFormat="1" ht="15" customHeight="1">
      <c r="A77" s="603" t="s">
        <v>1337</v>
      </c>
      <c r="B77" s="1665"/>
      <c r="C77" s="1665"/>
    </row>
    <row r="78" spans="1:36" s="545" customFormat="1" ht="15" customHeight="1">
      <c r="A78" s="1664"/>
      <c r="B78" s="1665"/>
      <c r="C78" s="1665"/>
    </row>
    <row r="79" spans="1:36" s="754" customFormat="1" ht="15" customHeight="1"/>
    <row r="83" spans="1:20">
      <c r="A83" s="1673" t="s">
        <v>1523</v>
      </c>
      <c r="B83" s="1674" t="s">
        <v>1524</v>
      </c>
      <c r="C83" s="1674"/>
      <c r="D83" s="1674"/>
      <c r="E83" s="1674"/>
      <c r="F83" s="1674"/>
      <c r="G83" s="1674"/>
      <c r="H83" s="1674"/>
      <c r="I83" s="1674"/>
      <c r="J83" s="1674"/>
      <c r="K83" s="1674"/>
      <c r="L83" s="1674"/>
      <c r="M83" s="1674"/>
      <c r="N83" s="1674"/>
      <c r="O83" s="1674"/>
      <c r="P83" s="1674"/>
      <c r="Q83" s="1675"/>
      <c r="R83" s="1138"/>
    </row>
    <row r="84" spans="1:20" ht="15.6">
      <c r="A84" s="320"/>
      <c r="B84" s="1676" t="s">
        <v>2101</v>
      </c>
      <c r="C84" s="1676"/>
      <c r="D84" s="1676"/>
      <c r="E84" s="1676"/>
      <c r="F84" s="1676"/>
      <c r="G84" s="1676"/>
      <c r="H84" s="1676"/>
      <c r="I84" s="1676"/>
      <c r="J84" s="1676"/>
      <c r="K84" s="1676"/>
      <c r="L84" s="1676"/>
      <c r="M84" s="1676"/>
      <c r="N84" s="1676"/>
      <c r="O84" s="1676"/>
      <c r="P84" s="1676"/>
      <c r="Q84" s="1677"/>
      <c r="R84" s="1138"/>
    </row>
    <row r="85" spans="1:20">
      <c r="A85" s="471"/>
      <c r="B85" s="697" t="s">
        <v>1525</v>
      </c>
      <c r="C85" s="697"/>
      <c r="D85" s="697"/>
      <c r="E85" s="697"/>
      <c r="F85" s="697"/>
      <c r="G85" s="697"/>
      <c r="H85" s="697"/>
      <c r="I85" s="697"/>
      <c r="J85" s="697"/>
      <c r="K85" s="697"/>
      <c r="L85" s="697"/>
      <c r="M85" s="697"/>
      <c r="N85" s="697"/>
      <c r="O85" s="697"/>
      <c r="P85" s="697"/>
      <c r="Q85" s="612"/>
      <c r="R85" s="1139"/>
    </row>
    <row r="86" spans="1:20" ht="15.6">
      <c r="A86" s="471"/>
      <c r="B86" s="697" t="s">
        <v>2102</v>
      </c>
      <c r="C86" s="697"/>
      <c r="D86" s="697"/>
      <c r="E86" s="697"/>
      <c r="F86" s="697"/>
      <c r="G86" s="697"/>
      <c r="H86" s="697"/>
      <c r="I86" s="697"/>
      <c r="J86" s="697"/>
      <c r="K86" s="697"/>
      <c r="L86" s="697"/>
      <c r="M86" s="697"/>
      <c r="N86" s="697"/>
      <c r="O86" s="697"/>
      <c r="P86" s="697"/>
      <c r="Q86" s="612"/>
      <c r="R86" s="1139"/>
    </row>
    <row r="87" spans="1:20">
      <c r="A87" s="1688"/>
      <c r="B87" s="736"/>
      <c r="C87" s="736"/>
      <c r="D87" s="736"/>
      <c r="E87" s="736"/>
      <c r="F87" s="736"/>
      <c r="G87" s="736"/>
      <c r="H87" s="736"/>
      <c r="I87" s="736"/>
      <c r="J87" s="736"/>
      <c r="K87" s="736"/>
      <c r="L87" s="736"/>
      <c r="M87" s="736"/>
      <c r="N87" s="736"/>
      <c r="O87" s="736"/>
      <c r="P87" s="736"/>
      <c r="Q87" s="613"/>
      <c r="R87" s="1139"/>
    </row>
    <row r="88" spans="1:20">
      <c r="A88" s="471" t="s">
        <v>1526</v>
      </c>
      <c r="B88" s="697"/>
      <c r="C88" s="697" t="s">
        <v>625</v>
      </c>
      <c r="D88" s="697"/>
      <c r="E88" s="697" t="s">
        <v>625</v>
      </c>
      <c r="F88" s="697"/>
      <c r="G88" s="697" t="s">
        <v>1527</v>
      </c>
      <c r="H88" s="697"/>
      <c r="I88" s="697"/>
      <c r="J88" s="697"/>
      <c r="K88" s="697"/>
      <c r="L88" s="697"/>
      <c r="M88" s="697" t="s">
        <v>1528</v>
      </c>
      <c r="N88" s="697"/>
      <c r="O88" s="697"/>
      <c r="P88" s="697"/>
      <c r="Q88" s="612"/>
      <c r="R88" s="1139"/>
      <c r="T88" s="765"/>
    </row>
    <row r="89" spans="1:20">
      <c r="A89" s="471" t="s">
        <v>1529</v>
      </c>
      <c r="B89" s="697"/>
      <c r="C89" s="697" t="s">
        <v>124</v>
      </c>
      <c r="D89" s="697"/>
      <c r="E89" s="697" t="s">
        <v>124</v>
      </c>
      <c r="F89" s="697"/>
      <c r="G89" s="736" t="s">
        <v>1530</v>
      </c>
      <c r="H89" s="736"/>
      <c r="I89" s="736"/>
      <c r="J89" s="736"/>
      <c r="K89" s="736"/>
      <c r="L89" s="697"/>
      <c r="M89" s="736" t="s">
        <v>1531</v>
      </c>
      <c r="N89" s="736"/>
      <c r="O89" s="736"/>
      <c r="P89" s="736"/>
      <c r="Q89" s="613"/>
      <c r="R89" s="1139"/>
    </row>
    <row r="90" spans="1:20" ht="15.6">
      <c r="A90" s="471"/>
      <c r="B90" s="697"/>
      <c r="C90" s="697"/>
      <c r="D90" s="697"/>
      <c r="E90" s="697"/>
      <c r="F90" s="697"/>
      <c r="G90" s="697" t="s">
        <v>1532</v>
      </c>
      <c r="H90" s="697"/>
      <c r="I90" s="697" t="s">
        <v>1533</v>
      </c>
      <c r="J90" s="697"/>
      <c r="K90" s="697" t="s">
        <v>1315</v>
      </c>
      <c r="L90" s="697"/>
      <c r="M90" s="697" t="s">
        <v>2103</v>
      </c>
      <c r="N90" s="697"/>
      <c r="O90" s="697" t="s">
        <v>2104</v>
      </c>
      <c r="P90" s="697"/>
      <c r="Q90" s="612" t="s">
        <v>1315</v>
      </c>
      <c r="R90" s="1139"/>
    </row>
    <row r="91" spans="1:20" ht="15.6">
      <c r="A91" s="471"/>
      <c r="B91" s="697"/>
      <c r="C91" s="736"/>
      <c r="D91" s="736"/>
      <c r="E91" s="736"/>
      <c r="F91" s="736"/>
      <c r="G91" s="736" t="s">
        <v>1534</v>
      </c>
      <c r="H91" s="736"/>
      <c r="I91" s="736" t="s">
        <v>1535</v>
      </c>
      <c r="J91" s="736"/>
      <c r="K91" s="736" t="s">
        <v>124</v>
      </c>
      <c r="L91" s="736"/>
      <c r="M91" s="736" t="s">
        <v>2105</v>
      </c>
      <c r="N91" s="736"/>
      <c r="O91" s="736" t="s">
        <v>2106</v>
      </c>
      <c r="P91" s="736"/>
      <c r="Q91" s="613" t="s">
        <v>124</v>
      </c>
      <c r="R91" s="1139"/>
    </row>
    <row r="92" spans="1:20">
      <c r="A92" s="1688"/>
      <c r="B92" s="736"/>
      <c r="C92" s="736">
        <v>2009</v>
      </c>
      <c r="D92" s="736"/>
      <c r="E92" s="736">
        <v>2010</v>
      </c>
      <c r="F92" s="736"/>
      <c r="G92" s="736">
        <v>2010</v>
      </c>
      <c r="H92" s="736"/>
      <c r="I92" s="736">
        <v>2010</v>
      </c>
      <c r="J92" s="736"/>
      <c r="K92" s="736">
        <v>2010</v>
      </c>
      <c r="L92" s="736"/>
      <c r="M92" s="736">
        <v>2010</v>
      </c>
      <c r="N92" s="736"/>
      <c r="O92" s="736">
        <v>2010</v>
      </c>
      <c r="P92" s="736"/>
      <c r="Q92" s="613">
        <v>2010</v>
      </c>
      <c r="R92" s="1139"/>
    </row>
    <row r="93" spans="1:20">
      <c r="A93" s="471"/>
      <c r="B93" s="697"/>
      <c r="C93" s="697"/>
      <c r="D93" s="697"/>
      <c r="E93" s="697"/>
      <c r="F93" s="697"/>
      <c r="G93" s="697"/>
      <c r="H93" s="697"/>
      <c r="I93" s="697"/>
      <c r="J93" s="697"/>
      <c r="K93" s="697"/>
      <c r="L93" s="697"/>
      <c r="M93" s="697"/>
      <c r="N93" s="697"/>
      <c r="O93" s="697"/>
      <c r="P93" s="697"/>
      <c r="Q93" s="612"/>
      <c r="R93" s="1139"/>
    </row>
    <row r="94" spans="1:20">
      <c r="A94" s="471" t="s">
        <v>1296</v>
      </c>
      <c r="B94" s="697"/>
      <c r="C94" s="1684" t="s">
        <v>390</v>
      </c>
      <c r="D94" s="1684"/>
      <c r="E94" s="1684">
        <v>1</v>
      </c>
      <c r="F94" s="1684"/>
      <c r="G94" s="1684" t="s">
        <v>390</v>
      </c>
      <c r="H94" s="1684"/>
      <c r="I94" s="1684" t="s">
        <v>390</v>
      </c>
      <c r="J94" s="1684"/>
      <c r="K94" s="1684" t="s">
        <v>390</v>
      </c>
      <c r="L94" s="1684"/>
      <c r="M94" s="1684">
        <v>1</v>
      </c>
      <c r="N94" s="1684"/>
      <c r="O94" s="1684" t="s">
        <v>390</v>
      </c>
      <c r="P94" s="1684"/>
      <c r="Q94" s="1689">
        <v>1</v>
      </c>
      <c r="R94" s="1139"/>
    </row>
    <row r="95" spans="1:20">
      <c r="A95" s="471" t="s">
        <v>1251</v>
      </c>
      <c r="B95" s="697"/>
      <c r="C95" s="1684" t="s">
        <v>390</v>
      </c>
      <c r="D95" s="1684"/>
      <c r="E95" s="1684" t="s">
        <v>390</v>
      </c>
      <c r="F95" s="1684"/>
      <c r="G95" s="1684" t="s">
        <v>390</v>
      </c>
      <c r="H95" s="1684"/>
      <c r="I95" s="1684" t="s">
        <v>390</v>
      </c>
      <c r="J95" s="1684"/>
      <c r="K95" s="1684" t="s">
        <v>390</v>
      </c>
      <c r="L95" s="1684"/>
      <c r="M95" s="1684" t="s">
        <v>390</v>
      </c>
      <c r="N95" s="1684"/>
      <c r="O95" s="1684" t="s">
        <v>390</v>
      </c>
      <c r="P95" s="1684"/>
      <c r="Q95" s="1689" t="s">
        <v>390</v>
      </c>
      <c r="R95" s="1139"/>
    </row>
    <row r="96" spans="1:20" ht="15.6">
      <c r="A96" s="471" t="s">
        <v>1303</v>
      </c>
      <c r="B96" s="697"/>
      <c r="C96" s="1684">
        <v>16</v>
      </c>
      <c r="D96" s="1690"/>
      <c r="E96" s="1684">
        <v>18</v>
      </c>
      <c r="F96" s="1684"/>
      <c r="G96" s="1684" t="s">
        <v>390</v>
      </c>
      <c r="H96" s="1684"/>
      <c r="I96" s="1684" t="s">
        <v>390</v>
      </c>
      <c r="J96" s="1684"/>
      <c r="K96" s="1684" t="s">
        <v>390</v>
      </c>
      <c r="L96" s="1684"/>
      <c r="M96" s="1684">
        <v>16</v>
      </c>
      <c r="N96" s="1684"/>
      <c r="O96" s="1684">
        <v>2</v>
      </c>
      <c r="P96" s="1684"/>
      <c r="Q96" s="1689">
        <f>M96+O96</f>
        <v>18</v>
      </c>
      <c r="R96" s="1139"/>
    </row>
    <row r="97" spans="1:18" ht="15.6">
      <c r="A97" s="471" t="s">
        <v>1536</v>
      </c>
      <c r="B97" s="697"/>
      <c r="C97" s="1684">
        <v>42872</v>
      </c>
      <c r="D97" s="1690"/>
      <c r="E97" s="1684">
        <f>K97+Q97</f>
        <v>47857</v>
      </c>
      <c r="F97" s="1684"/>
      <c r="G97" s="1684">
        <v>22230</v>
      </c>
      <c r="H97" s="1684"/>
      <c r="I97" s="1684">
        <v>25276</v>
      </c>
      <c r="J97" s="1684"/>
      <c r="K97" s="1684">
        <f>G97+I97</f>
        <v>47506</v>
      </c>
      <c r="L97" s="1684"/>
      <c r="M97" s="1684">
        <v>113</v>
      </c>
      <c r="N97" s="1684"/>
      <c r="O97" s="1684">
        <v>238</v>
      </c>
      <c r="P97" s="1684"/>
      <c r="Q97" s="1689">
        <f t="shared" ref="Q97:Q129" si="2">M97+O97</f>
        <v>351</v>
      </c>
      <c r="R97" s="1139"/>
    </row>
    <row r="98" spans="1:18" ht="15.6">
      <c r="A98" s="471" t="s">
        <v>1537</v>
      </c>
      <c r="B98" s="697"/>
      <c r="C98" s="1684">
        <v>2</v>
      </c>
      <c r="D98" s="1690"/>
      <c r="E98" s="1684">
        <v>14</v>
      </c>
      <c r="F98" s="1684"/>
      <c r="G98" s="1684">
        <v>10</v>
      </c>
      <c r="H98" s="1684"/>
      <c r="I98" s="1684">
        <v>4</v>
      </c>
      <c r="J98" s="1684"/>
      <c r="K98" s="1684">
        <f>G98+I98</f>
        <v>14</v>
      </c>
      <c r="L98" s="1684"/>
      <c r="M98" s="1684" t="s">
        <v>390</v>
      </c>
      <c r="N98" s="1684"/>
      <c r="O98" s="1684" t="s">
        <v>390</v>
      </c>
      <c r="P98" s="1684"/>
      <c r="Q98" s="1689" t="s">
        <v>390</v>
      </c>
      <c r="R98" s="1139"/>
    </row>
    <row r="99" spans="1:18">
      <c r="A99" s="471" t="s">
        <v>1216</v>
      </c>
      <c r="B99" s="697"/>
      <c r="C99" s="1684" t="s">
        <v>390</v>
      </c>
      <c r="D99" s="1684"/>
      <c r="E99" s="1684" t="s">
        <v>390</v>
      </c>
      <c r="F99" s="1684"/>
      <c r="G99" s="1684" t="s">
        <v>390</v>
      </c>
      <c r="H99" s="1684"/>
      <c r="I99" s="1684" t="s">
        <v>390</v>
      </c>
      <c r="J99" s="1684"/>
      <c r="K99" s="1684" t="s">
        <v>390</v>
      </c>
      <c r="L99" s="1684"/>
      <c r="M99" s="1684" t="s">
        <v>390</v>
      </c>
      <c r="N99" s="1684"/>
      <c r="O99" s="1684" t="s">
        <v>390</v>
      </c>
      <c r="P99" s="1684"/>
      <c r="Q99" s="1689" t="s">
        <v>390</v>
      </c>
      <c r="R99" s="1139"/>
    </row>
    <row r="100" spans="1:18">
      <c r="A100" s="471" t="s">
        <v>1149</v>
      </c>
      <c r="B100" s="697"/>
      <c r="C100" s="1684">
        <v>10</v>
      </c>
      <c r="D100" s="1684"/>
      <c r="E100" s="1684">
        <v>14</v>
      </c>
      <c r="F100" s="1684"/>
      <c r="G100" s="1684" t="s">
        <v>390</v>
      </c>
      <c r="H100" s="1684"/>
      <c r="I100" s="1684" t="s">
        <v>390</v>
      </c>
      <c r="J100" s="1684"/>
      <c r="K100" s="1684" t="s">
        <v>390</v>
      </c>
      <c r="L100" s="1684"/>
      <c r="M100" s="1684">
        <v>6</v>
      </c>
      <c r="N100" s="1684"/>
      <c r="O100" s="1684">
        <v>8</v>
      </c>
      <c r="P100" s="1684"/>
      <c r="Q100" s="1689">
        <f t="shared" si="2"/>
        <v>14</v>
      </c>
      <c r="R100" s="1139"/>
    </row>
    <row r="101" spans="1:18">
      <c r="A101" s="471" t="s">
        <v>1538</v>
      </c>
      <c r="B101" s="697"/>
      <c r="C101" s="1684" t="s">
        <v>390</v>
      </c>
      <c r="D101" s="1684"/>
      <c r="E101" s="1684" t="s">
        <v>390</v>
      </c>
      <c r="F101" s="1684"/>
      <c r="G101" s="1684" t="s">
        <v>390</v>
      </c>
      <c r="H101" s="1684"/>
      <c r="I101" s="1684" t="s">
        <v>390</v>
      </c>
      <c r="J101" s="1684"/>
      <c r="K101" s="1684" t="s">
        <v>390</v>
      </c>
      <c r="L101" s="1684"/>
      <c r="M101" s="1684" t="s">
        <v>390</v>
      </c>
      <c r="N101" s="1684"/>
      <c r="O101" s="1684" t="s">
        <v>390</v>
      </c>
      <c r="P101" s="1684"/>
      <c r="Q101" s="1689" t="s">
        <v>390</v>
      </c>
      <c r="R101" s="1139"/>
    </row>
    <row r="102" spans="1:18" ht="15.6">
      <c r="A102" s="471" t="s">
        <v>1082</v>
      </c>
      <c r="B102" s="697"/>
      <c r="C102" s="1684">
        <v>1314</v>
      </c>
      <c r="D102" s="1690"/>
      <c r="E102" s="1684">
        <f>K102+Q102</f>
        <v>1346</v>
      </c>
      <c r="F102" s="1684"/>
      <c r="G102" s="1684">
        <v>476</v>
      </c>
      <c r="H102" s="1684"/>
      <c r="I102" s="1684">
        <v>779</v>
      </c>
      <c r="J102" s="1684"/>
      <c r="K102" s="1684">
        <f>G102+I102</f>
        <v>1255</v>
      </c>
      <c r="L102" s="1684"/>
      <c r="M102" s="1684">
        <v>82</v>
      </c>
      <c r="N102" s="1684"/>
      <c r="O102" s="1684">
        <v>9</v>
      </c>
      <c r="P102" s="1684"/>
      <c r="Q102" s="1689">
        <f t="shared" si="2"/>
        <v>91</v>
      </c>
      <c r="R102" s="1139"/>
    </row>
    <row r="103" spans="1:18">
      <c r="A103" s="471" t="s">
        <v>1103</v>
      </c>
      <c r="B103" s="697"/>
      <c r="C103" s="1684">
        <v>16</v>
      </c>
      <c r="D103" s="1684"/>
      <c r="E103" s="1684">
        <v>5</v>
      </c>
      <c r="F103" s="1684"/>
      <c r="G103" s="1684">
        <v>0</v>
      </c>
      <c r="H103" s="1684"/>
      <c r="I103" s="1684">
        <v>5</v>
      </c>
      <c r="J103" s="1684"/>
      <c r="K103" s="1684">
        <f>G103+I103</f>
        <v>5</v>
      </c>
      <c r="L103" s="1684"/>
      <c r="M103" s="1684" t="s">
        <v>390</v>
      </c>
      <c r="N103" s="1684"/>
      <c r="O103" s="1684" t="s">
        <v>390</v>
      </c>
      <c r="P103" s="1684"/>
      <c r="Q103" s="1689" t="s">
        <v>390</v>
      </c>
      <c r="R103" s="1141"/>
    </row>
    <row r="104" spans="1:18" ht="15.6">
      <c r="A104" s="471" t="s">
        <v>1213</v>
      </c>
      <c r="B104" s="697"/>
      <c r="C104" s="1684">
        <v>16</v>
      </c>
      <c r="D104" s="1690"/>
      <c r="E104" s="1684">
        <f>K104+Q104</f>
        <v>9</v>
      </c>
      <c r="F104" s="1684"/>
      <c r="G104" s="1684">
        <v>1</v>
      </c>
      <c r="H104" s="1684"/>
      <c r="I104" s="1684">
        <v>1</v>
      </c>
      <c r="J104" s="1684"/>
      <c r="K104" s="1684">
        <f>G104+I104</f>
        <v>2</v>
      </c>
      <c r="L104" s="1684"/>
      <c r="M104" s="1684">
        <v>3</v>
      </c>
      <c r="N104" s="1684"/>
      <c r="O104" s="1684">
        <v>4</v>
      </c>
      <c r="P104" s="1684"/>
      <c r="Q104" s="1689">
        <f t="shared" si="2"/>
        <v>7</v>
      </c>
      <c r="R104" s="1139"/>
    </row>
    <row r="105" spans="1:18" ht="15.6">
      <c r="A105" s="471" t="s">
        <v>1309</v>
      </c>
      <c r="B105" s="697"/>
      <c r="C105" s="1684">
        <v>64</v>
      </c>
      <c r="D105" s="1690"/>
      <c r="E105" s="1684">
        <v>58</v>
      </c>
      <c r="F105" s="1684"/>
      <c r="G105" s="1684" t="s">
        <v>390</v>
      </c>
      <c r="H105" s="1684"/>
      <c r="I105" s="1684" t="s">
        <v>390</v>
      </c>
      <c r="J105" s="1684"/>
      <c r="K105" s="1684" t="s">
        <v>390</v>
      </c>
      <c r="L105" s="1684"/>
      <c r="M105" s="1684">
        <v>43</v>
      </c>
      <c r="N105" s="1684"/>
      <c r="O105" s="1684">
        <v>15</v>
      </c>
      <c r="P105" s="1684"/>
      <c r="Q105" s="1689">
        <f t="shared" si="2"/>
        <v>58</v>
      </c>
      <c r="R105" s="1139"/>
    </row>
    <row r="106" spans="1:18" ht="15.6">
      <c r="A106" s="471" t="s">
        <v>1539</v>
      </c>
      <c r="B106" s="697"/>
      <c r="C106" s="1684" t="s">
        <v>390</v>
      </c>
      <c r="D106" s="1690"/>
      <c r="E106" s="1684">
        <v>2</v>
      </c>
      <c r="F106" s="1684"/>
      <c r="G106" s="1684" t="s">
        <v>390</v>
      </c>
      <c r="H106" s="1684"/>
      <c r="I106" s="1684" t="s">
        <v>390</v>
      </c>
      <c r="J106" s="1684"/>
      <c r="K106" s="1684" t="s">
        <v>390</v>
      </c>
      <c r="L106" s="1684"/>
      <c r="M106" s="1684">
        <v>2</v>
      </c>
      <c r="N106" s="1684"/>
      <c r="O106" s="1684" t="s">
        <v>390</v>
      </c>
      <c r="P106" s="1684"/>
      <c r="Q106" s="1689">
        <v>2</v>
      </c>
      <c r="R106" s="1141"/>
    </row>
    <row r="107" spans="1:18" ht="15.6">
      <c r="A107" s="471" t="s">
        <v>1144</v>
      </c>
      <c r="B107" s="697"/>
      <c r="C107" s="1684">
        <v>3</v>
      </c>
      <c r="D107" s="1690"/>
      <c r="E107" s="1684" t="s">
        <v>390</v>
      </c>
      <c r="F107" s="1684"/>
      <c r="G107" s="1684" t="s">
        <v>390</v>
      </c>
      <c r="H107" s="1684"/>
      <c r="I107" s="1684" t="s">
        <v>390</v>
      </c>
      <c r="J107" s="1684"/>
      <c r="K107" s="1684" t="s">
        <v>390</v>
      </c>
      <c r="L107" s="1684"/>
      <c r="M107" s="1684" t="s">
        <v>390</v>
      </c>
      <c r="N107" s="1684"/>
      <c r="O107" s="1684" t="s">
        <v>390</v>
      </c>
      <c r="P107" s="1684"/>
      <c r="Q107" s="1689" t="s">
        <v>390</v>
      </c>
      <c r="R107" s="1139"/>
    </row>
    <row r="108" spans="1:18" ht="15.6">
      <c r="A108" s="471" t="s">
        <v>1540</v>
      </c>
      <c r="B108" s="697"/>
      <c r="C108" s="1684" t="s">
        <v>390</v>
      </c>
      <c r="D108" s="1690"/>
      <c r="E108" s="1684" t="s">
        <v>390</v>
      </c>
      <c r="F108" s="1684"/>
      <c r="G108" s="1684" t="s">
        <v>390</v>
      </c>
      <c r="H108" s="1684"/>
      <c r="I108" s="1684" t="s">
        <v>390</v>
      </c>
      <c r="J108" s="1684"/>
      <c r="K108" s="1684" t="s">
        <v>390</v>
      </c>
      <c r="L108" s="1684"/>
      <c r="M108" s="1684" t="s">
        <v>390</v>
      </c>
      <c r="N108" s="1684"/>
      <c r="O108" s="1684" t="s">
        <v>390</v>
      </c>
      <c r="P108" s="1684"/>
      <c r="Q108" s="1689" t="s">
        <v>390</v>
      </c>
      <c r="R108" s="1139"/>
    </row>
    <row r="109" spans="1:18" ht="15.6">
      <c r="A109" s="471" t="s">
        <v>1541</v>
      </c>
      <c r="B109" s="697"/>
      <c r="C109" s="1684">
        <v>1093</v>
      </c>
      <c r="D109" s="1690"/>
      <c r="E109" s="1684">
        <f>K109+Q109</f>
        <v>298</v>
      </c>
      <c r="F109" s="1684"/>
      <c r="G109" s="1684">
        <v>1</v>
      </c>
      <c r="H109" s="1684"/>
      <c r="I109" s="1684" t="s">
        <v>390</v>
      </c>
      <c r="J109" s="1684"/>
      <c r="K109" s="1684">
        <v>1</v>
      </c>
      <c r="L109" s="1684"/>
      <c r="M109" s="1684">
        <v>250</v>
      </c>
      <c r="N109" s="1684"/>
      <c r="O109" s="1684">
        <v>47</v>
      </c>
      <c r="P109" s="1684"/>
      <c r="Q109" s="1689">
        <f t="shared" si="2"/>
        <v>297</v>
      </c>
      <c r="R109" s="1139"/>
    </row>
    <row r="110" spans="1:18" ht="15.6">
      <c r="A110" s="471" t="s">
        <v>1294</v>
      </c>
      <c r="B110" s="697"/>
      <c r="C110" s="1684">
        <v>6</v>
      </c>
      <c r="D110" s="1690"/>
      <c r="E110" s="1684">
        <v>5</v>
      </c>
      <c r="F110" s="1684"/>
      <c r="G110" s="1684" t="s">
        <v>390</v>
      </c>
      <c r="H110" s="1684"/>
      <c r="I110" s="1684" t="s">
        <v>390</v>
      </c>
      <c r="J110" s="1684"/>
      <c r="K110" s="1684" t="s">
        <v>390</v>
      </c>
      <c r="L110" s="1684"/>
      <c r="M110" s="1684">
        <v>5</v>
      </c>
      <c r="N110" s="1684"/>
      <c r="O110" s="1684">
        <v>0</v>
      </c>
      <c r="P110" s="1684"/>
      <c r="Q110" s="1689">
        <f t="shared" si="2"/>
        <v>5</v>
      </c>
      <c r="R110" s="1139"/>
    </row>
    <row r="111" spans="1:18" ht="15.6">
      <c r="A111" s="471" t="s">
        <v>1542</v>
      </c>
      <c r="B111" s="697"/>
      <c r="C111" s="1684">
        <v>24801</v>
      </c>
      <c r="D111" s="1690"/>
      <c r="E111" s="1684">
        <f>K111+Q111</f>
        <v>30037</v>
      </c>
      <c r="F111" s="1684"/>
      <c r="G111" s="1684">
        <v>13984</v>
      </c>
      <c r="H111" s="1684"/>
      <c r="I111" s="1684">
        <v>15790</v>
      </c>
      <c r="J111" s="1684"/>
      <c r="K111" s="1684">
        <f>G111+I111</f>
        <v>29774</v>
      </c>
      <c r="L111" s="1684"/>
      <c r="M111" s="1684">
        <v>27</v>
      </c>
      <c r="N111" s="1684"/>
      <c r="O111" s="1684">
        <v>236</v>
      </c>
      <c r="P111" s="1684"/>
      <c r="Q111" s="1689">
        <f t="shared" si="2"/>
        <v>263</v>
      </c>
      <c r="R111" s="1139"/>
    </row>
    <row r="112" spans="1:18" ht="15.6">
      <c r="A112" s="471" t="s">
        <v>1543</v>
      </c>
      <c r="B112" s="697"/>
      <c r="C112" s="1684">
        <v>1</v>
      </c>
      <c r="D112" s="1690"/>
      <c r="E112" s="1684">
        <v>2</v>
      </c>
      <c r="F112" s="1684"/>
      <c r="G112" s="1684" t="s">
        <v>390</v>
      </c>
      <c r="H112" s="1684"/>
      <c r="I112" s="1684" t="s">
        <v>390</v>
      </c>
      <c r="J112" s="1684"/>
      <c r="K112" s="1684" t="s">
        <v>390</v>
      </c>
      <c r="L112" s="1684"/>
      <c r="M112" s="1684">
        <v>1</v>
      </c>
      <c r="N112" s="1684"/>
      <c r="O112" s="1684">
        <v>1</v>
      </c>
      <c r="P112" s="1684"/>
      <c r="Q112" s="1689">
        <v>2</v>
      </c>
      <c r="R112" s="1139"/>
    </row>
    <row r="113" spans="1:18">
      <c r="A113" s="471" t="s">
        <v>1544</v>
      </c>
      <c r="B113" s="697"/>
      <c r="C113" s="1683">
        <v>212</v>
      </c>
      <c r="D113" s="1683"/>
      <c r="E113" s="1684">
        <f>K113+Q113</f>
        <v>149</v>
      </c>
      <c r="F113" s="1684"/>
      <c r="G113" s="1684">
        <v>115</v>
      </c>
      <c r="H113" s="1684"/>
      <c r="I113" s="1684">
        <v>11</v>
      </c>
      <c r="J113" s="1684"/>
      <c r="K113" s="1684">
        <f>G113+I113</f>
        <v>126</v>
      </c>
      <c r="L113" s="1684"/>
      <c r="M113" s="1684">
        <v>23</v>
      </c>
      <c r="N113" s="1684"/>
      <c r="O113" s="1684" t="s">
        <v>390</v>
      </c>
      <c r="P113" s="1684"/>
      <c r="Q113" s="1689">
        <v>23</v>
      </c>
      <c r="R113" s="1139"/>
    </row>
    <row r="114" spans="1:18" ht="15.6">
      <c r="A114" s="471" t="s">
        <v>1105</v>
      </c>
      <c r="B114" s="697"/>
      <c r="C114" s="1684">
        <v>8</v>
      </c>
      <c r="D114" s="1690"/>
      <c r="E114" s="1684">
        <v>10</v>
      </c>
      <c r="F114" s="1683"/>
      <c r="G114" s="1684" t="s">
        <v>390</v>
      </c>
      <c r="H114" s="1684"/>
      <c r="I114" s="1684" t="s">
        <v>390</v>
      </c>
      <c r="J114" s="1684"/>
      <c r="K114" s="1684" t="s">
        <v>390</v>
      </c>
      <c r="L114" s="1684"/>
      <c r="M114" s="1684">
        <v>6</v>
      </c>
      <c r="N114" s="1684"/>
      <c r="O114" s="1684">
        <v>4</v>
      </c>
      <c r="P114" s="1684"/>
      <c r="Q114" s="1689">
        <f t="shared" si="2"/>
        <v>10</v>
      </c>
      <c r="R114" s="1139"/>
    </row>
    <row r="115" spans="1:18">
      <c r="A115" s="471" t="s">
        <v>1302</v>
      </c>
      <c r="B115" s="697"/>
      <c r="C115" s="1684" t="s">
        <v>390</v>
      </c>
      <c r="D115" s="1684"/>
      <c r="E115" s="1684" t="s">
        <v>390</v>
      </c>
      <c r="F115" s="1684"/>
      <c r="G115" s="1684" t="s">
        <v>390</v>
      </c>
      <c r="H115" s="1684"/>
      <c r="I115" s="1684" t="s">
        <v>390</v>
      </c>
      <c r="J115" s="1684"/>
      <c r="K115" s="1684" t="s">
        <v>390</v>
      </c>
      <c r="L115" s="1684"/>
      <c r="M115" s="1684" t="s">
        <v>390</v>
      </c>
      <c r="N115" s="1684"/>
      <c r="O115" s="1684" t="s">
        <v>390</v>
      </c>
      <c r="P115" s="1684"/>
      <c r="Q115" s="1689" t="s">
        <v>390</v>
      </c>
      <c r="R115" s="1139"/>
    </row>
    <row r="116" spans="1:18" ht="15.6">
      <c r="A116" s="471" t="s">
        <v>1112</v>
      </c>
      <c r="B116" s="697"/>
      <c r="C116" s="1683">
        <v>17</v>
      </c>
      <c r="D116" s="1690"/>
      <c r="E116" s="1684">
        <v>10</v>
      </c>
      <c r="F116" s="1683"/>
      <c r="G116" s="1684">
        <v>1</v>
      </c>
      <c r="H116" s="1684"/>
      <c r="I116" s="1684" t="s">
        <v>390</v>
      </c>
      <c r="J116" s="1684"/>
      <c r="K116" s="1684">
        <v>1</v>
      </c>
      <c r="L116" s="1683"/>
      <c r="M116" s="1683">
        <v>4</v>
      </c>
      <c r="N116" s="1683"/>
      <c r="O116" s="1683">
        <v>5</v>
      </c>
      <c r="P116" s="1683"/>
      <c r="Q116" s="1689">
        <f t="shared" si="2"/>
        <v>9</v>
      </c>
      <c r="R116" s="1139"/>
    </row>
    <row r="117" spans="1:18" ht="15.6">
      <c r="A117" s="471" t="s">
        <v>1295</v>
      </c>
      <c r="B117" s="697"/>
      <c r="C117" s="1683">
        <v>113</v>
      </c>
      <c r="D117" s="1690"/>
      <c r="E117" s="1684">
        <v>27</v>
      </c>
      <c r="F117" s="1683"/>
      <c r="G117" s="1684" t="s">
        <v>390</v>
      </c>
      <c r="H117" s="1684"/>
      <c r="I117" s="1684" t="s">
        <v>390</v>
      </c>
      <c r="J117" s="1684"/>
      <c r="K117" s="1684" t="s">
        <v>390</v>
      </c>
      <c r="L117" s="1683"/>
      <c r="M117" s="1683">
        <v>21</v>
      </c>
      <c r="N117" s="1683"/>
      <c r="O117" s="1684">
        <v>6</v>
      </c>
      <c r="P117" s="1683"/>
      <c r="Q117" s="1689">
        <f t="shared" si="2"/>
        <v>27</v>
      </c>
      <c r="R117" s="1139"/>
    </row>
    <row r="118" spans="1:18" ht="15.6">
      <c r="A118" s="471" t="s">
        <v>1545</v>
      </c>
      <c r="B118" s="697"/>
      <c r="C118" s="1683">
        <v>64073</v>
      </c>
      <c r="D118" s="1690"/>
      <c r="E118" s="1684">
        <f>K118+Q118</f>
        <v>83488</v>
      </c>
      <c r="F118" s="1683"/>
      <c r="G118" s="1683">
        <v>38082</v>
      </c>
      <c r="H118" s="1683"/>
      <c r="I118" s="1683">
        <v>43236</v>
      </c>
      <c r="J118" s="1683"/>
      <c r="K118" s="1684">
        <f>G118+I118</f>
        <v>81318</v>
      </c>
      <c r="L118" s="1683"/>
      <c r="M118" s="1683">
        <v>946</v>
      </c>
      <c r="N118" s="1683"/>
      <c r="O118" s="1683">
        <v>1224</v>
      </c>
      <c r="P118" s="1683"/>
      <c r="Q118" s="1689">
        <f t="shared" si="2"/>
        <v>2170</v>
      </c>
      <c r="R118" s="1139"/>
    </row>
    <row r="119" spans="1:18" ht="15.6">
      <c r="A119" s="471" t="s">
        <v>1546</v>
      </c>
      <c r="B119" s="697"/>
      <c r="C119" s="1684">
        <v>219</v>
      </c>
      <c r="D119" s="1690"/>
      <c r="E119" s="1684">
        <f>K119+Q119</f>
        <v>251</v>
      </c>
      <c r="F119" s="1684"/>
      <c r="G119" s="1684">
        <v>53</v>
      </c>
      <c r="H119" s="1684"/>
      <c r="I119" s="1684">
        <v>1</v>
      </c>
      <c r="J119" s="1684"/>
      <c r="K119" s="1684">
        <v>54</v>
      </c>
      <c r="L119" s="1684"/>
      <c r="M119" s="1684">
        <v>127</v>
      </c>
      <c r="N119" s="1684"/>
      <c r="O119" s="1684">
        <v>70</v>
      </c>
      <c r="P119" s="1684"/>
      <c r="Q119" s="1689">
        <f t="shared" si="2"/>
        <v>197</v>
      </c>
      <c r="R119" s="1139"/>
    </row>
    <row r="120" spans="1:18">
      <c r="A120" s="471" t="s">
        <v>1547</v>
      </c>
      <c r="B120" s="697"/>
      <c r="C120" s="1683">
        <v>4</v>
      </c>
      <c r="D120" s="1683"/>
      <c r="E120" s="1684">
        <v>17</v>
      </c>
      <c r="F120" s="1683"/>
      <c r="G120" s="1683">
        <v>2</v>
      </c>
      <c r="H120" s="1683"/>
      <c r="I120" s="1683">
        <v>15</v>
      </c>
      <c r="J120" s="1683"/>
      <c r="K120" s="1684">
        <f>G120+I120</f>
        <v>17</v>
      </c>
      <c r="L120" s="1683"/>
      <c r="M120" s="1684" t="s">
        <v>390</v>
      </c>
      <c r="N120" s="1683"/>
      <c r="O120" s="1684" t="s">
        <v>390</v>
      </c>
      <c r="P120" s="1683"/>
      <c r="Q120" s="1689" t="s">
        <v>390</v>
      </c>
      <c r="R120" s="1139"/>
    </row>
    <row r="121" spans="1:18">
      <c r="A121" s="471" t="s">
        <v>1548</v>
      </c>
      <c r="B121" s="697"/>
      <c r="C121" s="1683">
        <v>4102</v>
      </c>
      <c r="D121" s="1683"/>
      <c r="E121" s="1684">
        <f>K121+Q121</f>
        <v>5290</v>
      </c>
      <c r="F121" s="1683"/>
      <c r="G121" s="1683">
        <v>2657</v>
      </c>
      <c r="H121" s="1683"/>
      <c r="I121" s="1683">
        <v>2617</v>
      </c>
      <c r="J121" s="1683"/>
      <c r="K121" s="1684">
        <f>G121+I121</f>
        <v>5274</v>
      </c>
      <c r="L121" s="1683"/>
      <c r="M121" s="1684" t="s">
        <v>390</v>
      </c>
      <c r="N121" s="1684"/>
      <c r="O121" s="1684">
        <v>16</v>
      </c>
      <c r="P121" s="1684"/>
      <c r="Q121" s="1689">
        <v>16</v>
      </c>
      <c r="R121" s="1139"/>
    </row>
    <row r="122" spans="1:18">
      <c r="A122" s="471" t="s">
        <v>1287</v>
      </c>
      <c r="B122" s="697"/>
      <c r="C122" s="1684">
        <v>4</v>
      </c>
      <c r="D122" s="1683"/>
      <c r="E122" s="1684">
        <v>3</v>
      </c>
      <c r="F122" s="1683"/>
      <c r="G122" s="1684" t="s">
        <v>390</v>
      </c>
      <c r="H122" s="1684"/>
      <c r="I122" s="1684" t="s">
        <v>390</v>
      </c>
      <c r="J122" s="1684"/>
      <c r="K122" s="1684" t="s">
        <v>390</v>
      </c>
      <c r="L122" s="1684"/>
      <c r="M122" s="1684">
        <v>3</v>
      </c>
      <c r="N122" s="1684"/>
      <c r="O122" s="1684" t="s">
        <v>390</v>
      </c>
      <c r="P122" s="1684"/>
      <c r="Q122" s="1689">
        <v>3</v>
      </c>
      <c r="R122" s="1139"/>
    </row>
    <row r="123" spans="1:18" ht="15.6">
      <c r="A123" s="471" t="s">
        <v>1549</v>
      </c>
      <c r="B123" s="697"/>
      <c r="C123" s="1683">
        <v>121</v>
      </c>
      <c r="D123" s="1690"/>
      <c r="E123" s="1684">
        <v>85</v>
      </c>
      <c r="F123" s="1683"/>
      <c r="G123" s="1684">
        <v>1</v>
      </c>
      <c r="H123" s="1683"/>
      <c r="I123" s="1684" t="s">
        <v>390</v>
      </c>
      <c r="J123" s="1683"/>
      <c r="K123" s="1684">
        <v>1</v>
      </c>
      <c r="L123" s="1683"/>
      <c r="M123" s="1683">
        <v>65</v>
      </c>
      <c r="N123" s="1683"/>
      <c r="O123" s="1683">
        <v>19</v>
      </c>
      <c r="P123" s="1683"/>
      <c r="Q123" s="1689">
        <f t="shared" si="2"/>
        <v>84</v>
      </c>
      <c r="R123" s="1139"/>
    </row>
    <row r="124" spans="1:18">
      <c r="A124" s="471" t="s">
        <v>1550</v>
      </c>
      <c r="B124" s="697"/>
      <c r="C124" s="1684" t="s">
        <v>390</v>
      </c>
      <c r="D124" s="1683"/>
      <c r="E124" s="1684" t="s">
        <v>390</v>
      </c>
      <c r="F124" s="1684"/>
      <c r="G124" s="1684" t="s">
        <v>390</v>
      </c>
      <c r="H124" s="1683"/>
      <c r="I124" s="1684" t="s">
        <v>390</v>
      </c>
      <c r="J124" s="1684"/>
      <c r="K124" s="1684" t="s">
        <v>390</v>
      </c>
      <c r="L124" s="1684"/>
      <c r="M124" s="1684" t="s">
        <v>390</v>
      </c>
      <c r="N124" s="1683"/>
      <c r="O124" s="1684" t="s">
        <v>390</v>
      </c>
      <c r="P124" s="1684"/>
      <c r="Q124" s="1689" t="s">
        <v>390</v>
      </c>
      <c r="R124" s="1139"/>
    </row>
    <row r="125" spans="1:18">
      <c r="A125" s="471" t="s">
        <v>1205</v>
      </c>
      <c r="B125" s="697"/>
      <c r="C125" s="1684" t="s">
        <v>390</v>
      </c>
      <c r="D125" s="1683"/>
      <c r="E125" s="1684" t="s">
        <v>390</v>
      </c>
      <c r="F125" s="1684"/>
      <c r="G125" s="1684" t="s">
        <v>390</v>
      </c>
      <c r="H125" s="1683"/>
      <c r="I125" s="1684" t="s">
        <v>390</v>
      </c>
      <c r="J125" s="1684"/>
      <c r="K125" s="1684" t="s">
        <v>390</v>
      </c>
      <c r="L125" s="1684"/>
      <c r="M125" s="1684" t="s">
        <v>390</v>
      </c>
      <c r="N125" s="1683"/>
      <c r="O125" s="1684" t="s">
        <v>390</v>
      </c>
      <c r="P125" s="1684"/>
      <c r="Q125" s="1689" t="s">
        <v>390</v>
      </c>
      <c r="R125" s="1139"/>
    </row>
    <row r="126" spans="1:18">
      <c r="A126" s="471" t="s">
        <v>1551</v>
      </c>
      <c r="B126" s="697"/>
      <c r="C126" s="1684" t="s">
        <v>390</v>
      </c>
      <c r="D126" s="1683"/>
      <c r="E126" s="1684">
        <v>2</v>
      </c>
      <c r="F126" s="1683"/>
      <c r="G126" s="1684">
        <v>2</v>
      </c>
      <c r="H126" s="1684"/>
      <c r="I126" s="1684" t="s">
        <v>390</v>
      </c>
      <c r="J126" s="1684"/>
      <c r="K126" s="1684">
        <v>2</v>
      </c>
      <c r="L126" s="1683"/>
      <c r="M126" s="1684" t="s">
        <v>390</v>
      </c>
      <c r="N126" s="1683"/>
      <c r="O126" s="1684" t="s">
        <v>390</v>
      </c>
      <c r="P126" s="1683"/>
      <c r="Q126" s="1689" t="s">
        <v>390</v>
      </c>
      <c r="R126" s="1139"/>
    </row>
    <row r="127" spans="1:18" ht="15.6">
      <c r="A127" s="471" t="s">
        <v>1293</v>
      </c>
      <c r="B127" s="697"/>
      <c r="C127" s="1683">
        <v>136</v>
      </c>
      <c r="D127" s="1690"/>
      <c r="E127" s="1684">
        <v>132</v>
      </c>
      <c r="F127" s="1683"/>
      <c r="G127" s="1684" t="s">
        <v>390</v>
      </c>
      <c r="H127" s="1684"/>
      <c r="I127" s="1684" t="s">
        <v>390</v>
      </c>
      <c r="J127" s="1684"/>
      <c r="K127" s="1684" t="s">
        <v>390</v>
      </c>
      <c r="L127" s="1683"/>
      <c r="M127" s="1683">
        <v>96</v>
      </c>
      <c r="N127" s="1683"/>
      <c r="O127" s="1683">
        <v>36</v>
      </c>
      <c r="P127" s="1683"/>
      <c r="Q127" s="1689">
        <f t="shared" si="2"/>
        <v>132</v>
      </c>
      <c r="R127" s="1139"/>
    </row>
    <row r="128" spans="1:18" ht="15.6">
      <c r="A128" s="471" t="s">
        <v>1291</v>
      </c>
      <c r="B128" s="697"/>
      <c r="C128" s="1684" t="s">
        <v>390</v>
      </c>
      <c r="D128" s="1690"/>
      <c r="E128" s="1684" t="s">
        <v>390</v>
      </c>
      <c r="F128" s="1684"/>
      <c r="G128" s="1684" t="s">
        <v>390</v>
      </c>
      <c r="H128" s="1683"/>
      <c r="I128" s="1684" t="s">
        <v>390</v>
      </c>
      <c r="J128" s="1684"/>
      <c r="K128" s="1684" t="s">
        <v>390</v>
      </c>
      <c r="L128" s="1684"/>
      <c r="M128" s="1684" t="s">
        <v>390</v>
      </c>
      <c r="N128" s="1683"/>
      <c r="O128" s="1684" t="s">
        <v>390</v>
      </c>
      <c r="P128" s="1684"/>
      <c r="Q128" s="1689" t="s">
        <v>390</v>
      </c>
      <c r="R128" s="1139"/>
    </row>
    <row r="129" spans="1:18" ht="15.6">
      <c r="A129" s="471" t="s">
        <v>1552</v>
      </c>
      <c r="B129" s="697"/>
      <c r="C129" s="1683">
        <v>81</v>
      </c>
      <c r="D129" s="1690"/>
      <c r="E129" s="1684">
        <v>77</v>
      </c>
      <c r="F129" s="1683"/>
      <c r="G129" s="1684" t="s">
        <v>390</v>
      </c>
      <c r="H129" s="1684"/>
      <c r="I129" s="1684" t="s">
        <v>390</v>
      </c>
      <c r="J129" s="1684"/>
      <c r="K129" s="1684" t="s">
        <v>390</v>
      </c>
      <c r="L129" s="1684"/>
      <c r="M129" s="1684">
        <v>59</v>
      </c>
      <c r="N129" s="1683"/>
      <c r="O129" s="1684">
        <v>18</v>
      </c>
      <c r="P129" s="1683"/>
      <c r="Q129" s="1689">
        <f t="shared" si="2"/>
        <v>77</v>
      </c>
      <c r="R129" s="1139"/>
    </row>
    <row r="130" spans="1:18" ht="15.6">
      <c r="A130" s="471" t="s">
        <v>1553</v>
      </c>
      <c r="B130" s="697"/>
      <c r="C130" s="1683">
        <v>10</v>
      </c>
      <c r="D130" s="1690"/>
      <c r="E130" s="1683">
        <v>3</v>
      </c>
      <c r="F130" s="697"/>
      <c r="G130" s="1684" t="s">
        <v>390</v>
      </c>
      <c r="H130" s="1684"/>
      <c r="I130" s="1684" t="s">
        <v>390</v>
      </c>
      <c r="J130" s="1684"/>
      <c r="K130" s="1684" t="s">
        <v>390</v>
      </c>
      <c r="L130" s="697"/>
      <c r="M130" s="1691" t="s">
        <v>390</v>
      </c>
      <c r="N130" s="697"/>
      <c r="O130" s="697">
        <v>3</v>
      </c>
      <c r="P130" s="697"/>
      <c r="Q130" s="612">
        <v>3</v>
      </c>
      <c r="R130" s="1139"/>
    </row>
    <row r="131" spans="1:18">
      <c r="A131" s="471" t="s">
        <v>1554</v>
      </c>
      <c r="B131" s="697"/>
      <c r="C131" s="1683">
        <v>76</v>
      </c>
      <c r="D131" s="1683"/>
      <c r="E131" s="1683">
        <v>77</v>
      </c>
      <c r="F131" s="1683"/>
      <c r="G131" s="1684" t="s">
        <v>390</v>
      </c>
      <c r="H131" s="1684"/>
      <c r="I131" s="1684" t="s">
        <v>390</v>
      </c>
      <c r="J131" s="1684"/>
      <c r="K131" s="1684" t="s">
        <v>390</v>
      </c>
      <c r="L131" s="1683"/>
      <c r="M131" s="1683">
        <v>69</v>
      </c>
      <c r="N131" s="1683"/>
      <c r="O131" s="1683">
        <v>8</v>
      </c>
      <c r="P131" s="1683"/>
      <c r="Q131" s="612">
        <f>M131+O131</f>
        <v>77</v>
      </c>
      <c r="R131" s="1139"/>
    </row>
    <row r="132" spans="1:18" ht="15.6">
      <c r="A132" s="471" t="s">
        <v>1146</v>
      </c>
      <c r="B132" s="697"/>
      <c r="C132" s="1683">
        <v>14</v>
      </c>
      <c r="D132" s="1690"/>
      <c r="E132" s="1683">
        <v>18</v>
      </c>
      <c r="F132" s="1683"/>
      <c r="G132" s="1684" t="s">
        <v>390</v>
      </c>
      <c r="H132" s="1684"/>
      <c r="I132" s="1684" t="s">
        <v>390</v>
      </c>
      <c r="J132" s="1684"/>
      <c r="K132" s="1684" t="s">
        <v>390</v>
      </c>
      <c r="L132" s="1683"/>
      <c r="M132" s="1683">
        <v>5</v>
      </c>
      <c r="N132" s="1683"/>
      <c r="O132" s="1683">
        <v>13</v>
      </c>
      <c r="P132" s="1683"/>
      <c r="Q132" s="612">
        <f>M132+O132</f>
        <v>18</v>
      </c>
      <c r="R132" s="1139"/>
    </row>
    <row r="133" spans="1:18">
      <c r="A133" s="471" t="s">
        <v>1225</v>
      </c>
      <c r="B133" s="697"/>
      <c r="C133" s="1683">
        <v>3413</v>
      </c>
      <c r="D133" s="1683"/>
      <c r="E133" s="1683">
        <f>K133+Q133</f>
        <v>6309</v>
      </c>
      <c r="F133" s="1683"/>
      <c r="G133" s="1683">
        <v>1278</v>
      </c>
      <c r="H133" s="1683"/>
      <c r="I133" s="1683">
        <v>4673</v>
      </c>
      <c r="J133" s="1683"/>
      <c r="K133" s="1684">
        <f>G133+I133</f>
        <v>5951</v>
      </c>
      <c r="L133" s="1683"/>
      <c r="M133" s="1684" t="s">
        <v>390</v>
      </c>
      <c r="N133" s="1683"/>
      <c r="O133" s="1684">
        <v>358</v>
      </c>
      <c r="P133" s="1683"/>
      <c r="Q133" s="1689">
        <v>358</v>
      </c>
      <c r="R133" s="1139"/>
    </row>
    <row r="134" spans="1:18" ht="15.6">
      <c r="A134" s="1688" t="s">
        <v>1272</v>
      </c>
      <c r="B134" s="736"/>
      <c r="C134" s="1685">
        <v>1</v>
      </c>
      <c r="D134" s="1686"/>
      <c r="E134" s="1685"/>
      <c r="F134" s="1685"/>
      <c r="G134" s="1687" t="s">
        <v>390</v>
      </c>
      <c r="H134" s="1687"/>
      <c r="I134" s="1687" t="s">
        <v>390</v>
      </c>
      <c r="J134" s="1687"/>
      <c r="K134" s="1687" t="s">
        <v>390</v>
      </c>
      <c r="L134" s="1685"/>
      <c r="M134" s="1685"/>
      <c r="N134" s="1685"/>
      <c r="O134" s="1687" t="s">
        <v>390</v>
      </c>
      <c r="P134" s="1685"/>
      <c r="Q134" s="613"/>
      <c r="R134" s="1139"/>
    </row>
    <row r="135" spans="1:18">
      <c r="A135" s="1688" t="s">
        <v>1555</v>
      </c>
      <c r="B135" s="736"/>
      <c r="C135" s="1687"/>
      <c r="D135" s="736"/>
      <c r="E135" s="1687"/>
      <c r="F135" s="736"/>
      <c r="G135" s="1685">
        <f>SUM(G94:G129)+SUM(G130:G134)</f>
        <v>78893</v>
      </c>
      <c r="H135" s="1685"/>
      <c r="I135" s="1685">
        <f>SUM(I94:I129)+SUM(I130:I134)</f>
        <v>92408</v>
      </c>
      <c r="J135" s="1685"/>
      <c r="K135" s="1685">
        <f>SUM(K94:K129)+SUM(K130:K134)</f>
        <v>171301</v>
      </c>
      <c r="L135" s="1685"/>
      <c r="M135" s="1685">
        <f>SUM(M94:M129)+SUM(M130:M134)</f>
        <v>1973</v>
      </c>
      <c r="N135" s="1685"/>
      <c r="O135" s="1685">
        <f>SUM(O94:O129)+SUM(O130:O134)</f>
        <v>2340</v>
      </c>
      <c r="P135" s="1685"/>
      <c r="Q135" s="1692"/>
      <c r="R135" s="1139"/>
    </row>
    <row r="136" spans="1:18">
      <c r="A136" s="471"/>
      <c r="B136" s="697"/>
      <c r="C136" s="697"/>
      <c r="D136" s="697"/>
      <c r="E136" s="697"/>
      <c r="F136" s="697"/>
      <c r="G136" s="697"/>
      <c r="H136" s="697"/>
      <c r="I136" s="697"/>
      <c r="J136" s="697"/>
      <c r="K136" s="697"/>
      <c r="L136" s="697"/>
      <c r="M136" s="697"/>
      <c r="N136" s="1683"/>
      <c r="O136" s="1683"/>
      <c r="P136" s="1683"/>
      <c r="Q136" s="1693"/>
      <c r="R136" s="1139"/>
    </row>
    <row r="137" spans="1:18" ht="15.6">
      <c r="A137" s="1694" t="s">
        <v>2107</v>
      </c>
      <c r="B137" s="697"/>
      <c r="C137" s="1683"/>
      <c r="D137" s="697"/>
      <c r="E137" s="1683"/>
      <c r="F137" s="697"/>
      <c r="G137" s="1683"/>
      <c r="H137" s="697"/>
      <c r="I137" s="1683"/>
      <c r="J137" s="697"/>
      <c r="K137" s="1683"/>
      <c r="L137" s="697"/>
      <c r="M137" s="1683"/>
      <c r="N137" s="697"/>
      <c r="O137" s="1683"/>
      <c r="P137" s="697"/>
      <c r="Q137" s="1693"/>
      <c r="R137" s="1139"/>
    </row>
    <row r="138" spans="1:18">
      <c r="A138" s="471" t="s">
        <v>1556</v>
      </c>
      <c r="B138" s="697"/>
      <c r="C138" s="1683"/>
      <c r="D138" s="697"/>
      <c r="E138" s="1683"/>
      <c r="F138" s="697"/>
      <c r="G138" s="697"/>
      <c r="H138" s="697"/>
      <c r="I138" s="697"/>
      <c r="J138" s="697"/>
      <c r="K138" s="697"/>
      <c r="L138" s="697"/>
      <c r="M138" s="697"/>
      <c r="N138" s="697"/>
      <c r="O138" s="697"/>
      <c r="P138" s="697"/>
      <c r="Q138" s="1693"/>
      <c r="R138" s="1139"/>
    </row>
    <row r="139" spans="1:18" ht="15.6">
      <c r="A139" s="1695" t="s">
        <v>2108</v>
      </c>
      <c r="B139" s="697"/>
      <c r="C139" s="697"/>
      <c r="D139" s="697"/>
      <c r="E139" s="697"/>
      <c r="F139" s="697"/>
      <c r="G139" s="697"/>
      <c r="H139" s="697"/>
      <c r="I139" s="697"/>
      <c r="J139" s="697"/>
      <c r="K139" s="697"/>
      <c r="L139" s="697"/>
      <c r="M139" s="697"/>
      <c r="N139" s="697"/>
      <c r="O139" s="697"/>
      <c r="P139" s="697"/>
      <c r="Q139" s="612"/>
      <c r="R139" s="1139"/>
    </row>
    <row r="140" spans="1:18">
      <c r="A140" s="1696" t="s">
        <v>1557</v>
      </c>
      <c r="B140" s="697"/>
      <c r="C140" s="697"/>
      <c r="D140" s="697"/>
      <c r="E140" s="697"/>
      <c r="F140" s="697"/>
      <c r="G140" s="697"/>
      <c r="H140" s="697"/>
      <c r="I140" s="697"/>
      <c r="J140" s="697"/>
      <c r="K140" s="697"/>
      <c r="L140" s="697"/>
      <c r="M140" s="697"/>
      <c r="N140" s="697"/>
      <c r="O140" s="697"/>
      <c r="P140" s="697"/>
      <c r="Q140" s="612"/>
      <c r="R140" s="1139"/>
    </row>
    <row r="141" spans="1:18">
      <c r="A141" s="471" t="s">
        <v>1558</v>
      </c>
      <c r="B141" s="697"/>
      <c r="C141" s="697"/>
      <c r="D141" s="697"/>
      <c r="E141" s="697"/>
      <c r="F141" s="697"/>
      <c r="G141" s="697"/>
      <c r="H141" s="697"/>
      <c r="I141" s="697"/>
      <c r="J141" s="697"/>
      <c r="K141" s="697"/>
      <c r="L141" s="697"/>
      <c r="M141" s="697"/>
      <c r="N141" s="697"/>
      <c r="O141" s="697"/>
      <c r="P141" s="697"/>
      <c r="Q141" s="612"/>
      <c r="R141" s="1139"/>
    </row>
    <row r="142" spans="1:18">
      <c r="A142" s="471" t="s">
        <v>1559</v>
      </c>
      <c r="B142" s="697"/>
      <c r="C142" s="697"/>
      <c r="D142" s="697"/>
      <c r="E142" s="697"/>
      <c r="F142" s="697"/>
      <c r="G142" s="697"/>
      <c r="H142" s="697"/>
      <c r="I142" s="697"/>
      <c r="J142" s="697"/>
      <c r="K142" s="697"/>
      <c r="L142" s="697"/>
      <c r="M142" s="697"/>
      <c r="N142" s="697"/>
      <c r="O142" s="697"/>
      <c r="P142" s="697"/>
      <c r="Q142" s="612"/>
      <c r="R142" s="1139"/>
    </row>
    <row r="143" spans="1:18" ht="15.6">
      <c r="A143" s="1694"/>
      <c r="B143" s="697"/>
      <c r="C143" s="697"/>
      <c r="D143" s="697"/>
      <c r="E143" s="697"/>
      <c r="F143" s="697"/>
      <c r="G143" s="697"/>
      <c r="H143" s="697"/>
      <c r="I143" s="697"/>
      <c r="J143" s="697"/>
      <c r="K143" s="697"/>
      <c r="L143" s="697"/>
      <c r="M143" s="697"/>
      <c r="N143" s="697"/>
      <c r="O143" s="697"/>
      <c r="P143" s="697"/>
      <c r="Q143" s="612"/>
      <c r="R143" s="1139"/>
    </row>
    <row r="144" spans="1:18">
      <c r="A144" s="471"/>
      <c r="B144" s="697"/>
      <c r="C144" s="697"/>
      <c r="D144" s="697"/>
      <c r="E144" s="697"/>
      <c r="F144" s="697"/>
      <c r="G144" s="697"/>
      <c r="H144" s="697"/>
      <c r="I144" s="697"/>
      <c r="J144" s="697"/>
      <c r="K144" s="697"/>
      <c r="L144" s="697"/>
      <c r="M144" s="697"/>
      <c r="N144" s="697"/>
      <c r="O144" s="697"/>
      <c r="P144" s="697"/>
      <c r="Q144" s="612"/>
      <c r="R144" s="1139"/>
    </row>
    <row r="145" spans="1:18">
      <c r="A145" s="1697"/>
      <c r="B145" s="1698"/>
      <c r="C145" s="1698"/>
      <c r="D145" s="1698"/>
      <c r="E145" s="1698"/>
      <c r="F145" s="1698"/>
      <c r="G145" s="1698"/>
      <c r="H145" s="1698"/>
      <c r="I145" s="1698"/>
      <c r="J145" s="1698"/>
      <c r="K145" s="1698"/>
      <c r="L145" s="1698"/>
      <c r="M145" s="1698"/>
      <c r="N145" s="1698"/>
      <c r="O145" s="1698"/>
      <c r="P145" s="1698"/>
      <c r="Q145" s="1699"/>
      <c r="R145" s="1139"/>
    </row>
    <row r="146" spans="1:18">
      <c r="A146" s="1139"/>
      <c r="B146" s="1139"/>
      <c r="C146" s="1139"/>
      <c r="D146" s="1139"/>
      <c r="E146" s="1139"/>
      <c r="F146" s="1139"/>
      <c r="G146" s="1139"/>
      <c r="H146" s="1139"/>
      <c r="I146" s="1139"/>
      <c r="J146" s="1139"/>
      <c r="K146" s="1139"/>
      <c r="L146" s="1139"/>
      <c r="M146" s="1139"/>
      <c r="N146" s="1139"/>
      <c r="O146" s="1139"/>
      <c r="P146" s="1139"/>
      <c r="Q146" s="1139"/>
      <c r="R146" s="1139"/>
    </row>
    <row r="147" spans="1:18">
      <c r="A147" s="1139"/>
      <c r="B147" s="1139"/>
      <c r="C147" s="1139"/>
      <c r="D147" s="1139"/>
      <c r="E147" s="1139"/>
      <c r="F147" s="1139"/>
      <c r="G147" s="1139"/>
      <c r="H147" s="1139"/>
      <c r="I147" s="1139"/>
      <c r="J147" s="1139"/>
      <c r="K147" s="1139"/>
      <c r="L147" s="1139"/>
      <c r="M147" s="1139"/>
      <c r="N147" s="1139"/>
      <c r="O147" s="1139"/>
      <c r="P147" s="1139"/>
      <c r="Q147" s="1139"/>
      <c r="R147" s="1139"/>
    </row>
    <row r="148" spans="1:18">
      <c r="A148" s="1673" t="s">
        <v>1560</v>
      </c>
      <c r="B148" s="1674"/>
      <c r="C148" s="1674"/>
      <c r="D148" s="1674" t="s">
        <v>1561</v>
      </c>
      <c r="E148" s="1674"/>
      <c r="F148" s="1674"/>
      <c r="G148" s="1674"/>
      <c r="H148" s="1674"/>
      <c r="I148" s="1674"/>
      <c r="J148" s="1674"/>
      <c r="K148" s="1674"/>
      <c r="L148" s="1674"/>
      <c r="M148" s="1675"/>
      <c r="N148" s="1139"/>
      <c r="O148" s="1139"/>
      <c r="P148" s="1139"/>
      <c r="Q148" s="1139"/>
      <c r="R148" s="1139"/>
    </row>
    <row r="149" spans="1:18">
      <c r="A149" s="471"/>
      <c r="B149" s="697"/>
      <c r="C149" s="697"/>
      <c r="D149" s="697" t="s">
        <v>1562</v>
      </c>
      <c r="E149" s="697"/>
      <c r="F149" s="697"/>
      <c r="G149" s="697"/>
      <c r="H149" s="697"/>
      <c r="I149" s="697"/>
      <c r="J149" s="697"/>
      <c r="K149" s="697"/>
      <c r="L149" s="697"/>
      <c r="M149" s="612"/>
    </row>
    <row r="150" spans="1:18">
      <c r="A150" s="1688"/>
      <c r="B150" s="736"/>
      <c r="C150" s="736"/>
      <c r="D150" s="736"/>
      <c r="E150" s="736"/>
      <c r="F150" s="736"/>
      <c r="G150" s="736"/>
      <c r="H150" s="697"/>
      <c r="I150" s="697"/>
      <c r="J150" s="697"/>
      <c r="K150" s="697"/>
      <c r="L150" s="697"/>
      <c r="M150" s="613"/>
    </row>
    <row r="151" spans="1:18">
      <c r="A151" s="1688"/>
      <c r="B151" s="736"/>
      <c r="C151" s="736"/>
      <c r="D151" s="736"/>
      <c r="E151" s="615">
        <v>2006</v>
      </c>
      <c r="F151" s="615"/>
      <c r="G151" s="615">
        <v>2007</v>
      </c>
      <c r="H151" s="615"/>
      <c r="I151" s="615">
        <v>2008</v>
      </c>
      <c r="J151" s="615"/>
      <c r="K151" s="615">
        <v>2009</v>
      </c>
      <c r="L151" s="615"/>
      <c r="M151" s="614">
        <v>2010</v>
      </c>
    </row>
    <row r="152" spans="1:18">
      <c r="A152" s="471"/>
      <c r="B152" s="697"/>
      <c r="C152" s="697"/>
      <c r="D152" s="697"/>
      <c r="E152" s="697"/>
      <c r="F152" s="697"/>
      <c r="G152" s="697"/>
      <c r="H152" s="697"/>
      <c r="I152" s="697"/>
      <c r="J152" s="697"/>
      <c r="K152" s="697"/>
      <c r="L152" s="697"/>
      <c r="M152" s="612"/>
    </row>
    <row r="153" spans="1:18">
      <c r="A153" s="471" t="s">
        <v>1563</v>
      </c>
      <c r="B153" s="697"/>
      <c r="C153" s="697"/>
      <c r="D153" s="697"/>
      <c r="E153" s="697"/>
      <c r="F153" s="697"/>
      <c r="G153" s="697"/>
      <c r="H153" s="697"/>
      <c r="I153" s="697"/>
      <c r="J153" s="697"/>
      <c r="K153" s="697"/>
      <c r="L153" s="697"/>
      <c r="M153" s="612"/>
    </row>
    <row r="154" spans="1:18">
      <c r="A154" s="471" t="s">
        <v>1564</v>
      </c>
      <c r="B154" s="697"/>
      <c r="C154" s="697"/>
      <c r="D154" s="697"/>
      <c r="E154" s="1683">
        <v>681533</v>
      </c>
      <c r="F154" s="1683"/>
      <c r="G154" s="1683">
        <v>701975</v>
      </c>
      <c r="H154" s="697"/>
      <c r="I154" s="1683">
        <v>726195</v>
      </c>
      <c r="J154" s="697"/>
      <c r="K154" s="1683">
        <v>643886</v>
      </c>
      <c r="L154" s="697"/>
      <c r="M154" s="1693">
        <v>654885</v>
      </c>
    </row>
    <row r="155" spans="1:18">
      <c r="A155" s="471"/>
      <c r="B155" s="697"/>
      <c r="C155" s="697"/>
      <c r="D155" s="697"/>
      <c r="E155" s="1683"/>
      <c r="F155" s="1683"/>
      <c r="G155" s="1683"/>
      <c r="H155" s="697"/>
      <c r="I155" s="1683"/>
      <c r="J155" s="697"/>
      <c r="K155" s="1683"/>
      <c r="L155" s="697"/>
      <c r="M155" s="1693"/>
    </row>
    <row r="156" spans="1:18">
      <c r="A156" s="471" t="s">
        <v>1565</v>
      </c>
      <c r="B156" s="697"/>
      <c r="C156" s="697"/>
      <c r="D156" s="697"/>
      <c r="E156" s="1683"/>
      <c r="F156" s="1683"/>
      <c r="G156" s="1683"/>
      <c r="H156" s="697"/>
      <c r="I156" s="1683"/>
      <c r="J156" s="697"/>
      <c r="K156" s="1683"/>
      <c r="L156" s="697"/>
      <c r="M156" s="1693"/>
    </row>
    <row r="157" spans="1:18">
      <c r="A157" s="471" t="s">
        <v>1566</v>
      </c>
      <c r="B157" s="697"/>
      <c r="C157" s="697"/>
      <c r="D157" s="697"/>
      <c r="E157" s="1683">
        <v>275212</v>
      </c>
      <c r="F157" s="1683"/>
      <c r="G157" s="1683">
        <v>295810</v>
      </c>
      <c r="H157" s="697"/>
      <c r="I157" s="1683">
        <v>310361</v>
      </c>
      <c r="J157" s="697"/>
      <c r="K157" s="1683">
        <v>270669</v>
      </c>
      <c r="L157" s="697"/>
      <c r="M157" s="1693">
        <v>275543</v>
      </c>
    </row>
    <row r="158" spans="1:18">
      <c r="A158" s="471"/>
      <c r="B158" s="697"/>
      <c r="C158" s="697"/>
      <c r="D158" s="697"/>
      <c r="E158" s="1683"/>
      <c r="F158" s="1683"/>
      <c r="G158" s="1683"/>
      <c r="H158" s="697"/>
      <c r="I158" s="1683"/>
      <c r="J158" s="697"/>
      <c r="K158" s="1683"/>
      <c r="L158" s="697"/>
      <c r="M158" s="1693"/>
    </row>
    <row r="159" spans="1:18">
      <c r="A159" s="471" t="s">
        <v>1567</v>
      </c>
      <c r="B159" s="697"/>
      <c r="C159" s="697"/>
      <c r="D159" s="697"/>
      <c r="E159" s="1683"/>
      <c r="F159" s="1683"/>
      <c r="G159" s="1683"/>
      <c r="H159" s="697"/>
      <c r="I159" s="1683"/>
      <c r="J159" s="697"/>
      <c r="K159" s="1683"/>
      <c r="L159" s="697"/>
      <c r="M159" s="1693"/>
    </row>
    <row r="160" spans="1:18">
      <c r="A160" s="471" t="s">
        <v>1568</v>
      </c>
      <c r="B160" s="697"/>
      <c r="C160" s="697"/>
      <c r="D160" s="697"/>
      <c r="E160" s="1683">
        <v>570180</v>
      </c>
      <c r="F160" s="1683"/>
      <c r="G160" s="1683">
        <v>565532</v>
      </c>
      <c r="H160" s="697"/>
      <c r="I160" s="1683">
        <v>572804</v>
      </c>
      <c r="J160" s="697"/>
      <c r="K160" s="1683">
        <v>520217</v>
      </c>
      <c r="L160" s="697"/>
      <c r="M160" s="1693">
        <v>523848</v>
      </c>
    </row>
    <row r="161" spans="1:13">
      <c r="A161" s="471"/>
      <c r="B161" s="697"/>
      <c r="C161" s="697"/>
      <c r="D161" s="697"/>
      <c r="E161" s="1683"/>
      <c r="F161" s="1683"/>
      <c r="G161" s="1683"/>
      <c r="H161" s="697"/>
      <c r="I161" s="1683"/>
      <c r="J161" s="697"/>
      <c r="K161" s="1683"/>
      <c r="L161" s="697"/>
      <c r="M161" s="1693"/>
    </row>
    <row r="162" spans="1:13">
      <c r="A162" s="471" t="s">
        <v>1569</v>
      </c>
      <c r="B162" s="697"/>
      <c r="C162" s="697"/>
      <c r="D162" s="697"/>
      <c r="E162" s="1683"/>
      <c r="F162" s="1683"/>
      <c r="G162" s="1683"/>
      <c r="H162" s="697"/>
      <c r="I162" s="1683"/>
      <c r="J162" s="697"/>
      <c r="K162" s="1683"/>
      <c r="L162" s="697"/>
      <c r="M162" s="1693"/>
    </row>
    <row r="163" spans="1:13">
      <c r="A163" s="471" t="s">
        <v>1570</v>
      </c>
      <c r="B163" s="697"/>
      <c r="C163" s="697"/>
      <c r="D163" s="697"/>
      <c r="E163" s="1683">
        <v>2502</v>
      </c>
      <c r="F163" s="1683"/>
      <c r="G163" s="1683">
        <v>2489</v>
      </c>
      <c r="H163" s="697"/>
      <c r="I163" s="1683">
        <v>2642</v>
      </c>
      <c r="J163" s="697"/>
      <c r="K163" s="1683">
        <v>2225</v>
      </c>
      <c r="L163" s="697"/>
      <c r="M163" s="1693">
        <v>2419</v>
      </c>
    </row>
    <row r="164" spans="1:13">
      <c r="A164" s="471"/>
      <c r="B164" s="697"/>
      <c r="C164" s="697"/>
      <c r="D164" s="697"/>
      <c r="E164" s="1683"/>
      <c r="F164" s="1683"/>
      <c r="G164" s="1683"/>
      <c r="H164" s="697"/>
      <c r="I164" s="1683"/>
      <c r="J164" s="697"/>
      <c r="K164" s="1683"/>
      <c r="L164" s="697"/>
      <c r="M164" s="1693"/>
    </row>
    <row r="165" spans="1:13">
      <c r="A165" s="471" t="s">
        <v>1571</v>
      </c>
      <c r="B165" s="697"/>
      <c r="C165" s="697"/>
      <c r="D165" s="697"/>
      <c r="E165" s="1683"/>
      <c r="F165" s="1683"/>
      <c r="G165" s="1683"/>
      <c r="H165" s="697"/>
      <c r="I165" s="1683"/>
      <c r="J165" s="697"/>
      <c r="K165" s="1683"/>
      <c r="L165" s="697"/>
      <c r="M165" s="1693"/>
    </row>
    <row r="166" spans="1:13">
      <c r="A166" s="471" t="s">
        <v>1572</v>
      </c>
      <c r="B166" s="697"/>
      <c r="C166" s="697"/>
      <c r="D166" s="697"/>
      <c r="E166" s="1683">
        <v>452</v>
      </c>
      <c r="F166" s="1683"/>
      <c r="G166" s="1683">
        <v>486</v>
      </c>
      <c r="H166" s="697"/>
      <c r="I166" s="1683">
        <v>513</v>
      </c>
      <c r="J166" s="697"/>
      <c r="K166" s="1683">
        <v>492</v>
      </c>
      <c r="L166" s="697"/>
      <c r="M166" s="1693">
        <v>2</v>
      </c>
    </row>
    <row r="167" spans="1:13">
      <c r="A167" s="471"/>
      <c r="B167" s="697"/>
      <c r="C167" s="697"/>
      <c r="D167" s="697"/>
      <c r="E167" s="1683"/>
      <c r="F167" s="1683"/>
      <c r="G167" s="1683"/>
      <c r="H167" s="697"/>
      <c r="I167" s="1683"/>
      <c r="J167" s="697"/>
      <c r="K167" s="1683"/>
      <c r="L167" s="697"/>
      <c r="M167" s="1693"/>
    </row>
    <row r="168" spans="1:13">
      <c r="A168" s="471" t="s">
        <v>1573</v>
      </c>
      <c r="B168" s="697"/>
      <c r="C168" s="697"/>
      <c r="D168" s="697"/>
      <c r="E168" s="1683"/>
      <c r="F168" s="1683"/>
      <c r="G168" s="1683"/>
      <c r="H168" s="697"/>
      <c r="I168" s="1683"/>
      <c r="J168" s="697"/>
      <c r="K168" s="1683"/>
      <c r="L168" s="697"/>
      <c r="M168" s="1693"/>
    </row>
    <row r="169" spans="1:13">
      <c r="A169" s="1688" t="s">
        <v>1574</v>
      </c>
      <c r="B169" s="736"/>
      <c r="C169" s="736"/>
      <c r="D169" s="736"/>
      <c r="E169" s="1685">
        <v>1868</v>
      </c>
      <c r="F169" s="1685"/>
      <c r="G169" s="1685">
        <v>1924</v>
      </c>
      <c r="H169" s="736"/>
      <c r="I169" s="1685">
        <v>1985</v>
      </c>
      <c r="J169" s="736"/>
      <c r="K169" s="1685">
        <v>1765</v>
      </c>
      <c r="L169" s="736"/>
      <c r="M169" s="1700">
        <v>1794</v>
      </c>
    </row>
    <row r="170" spans="1:13">
      <c r="A170" s="471"/>
      <c r="B170" s="697"/>
      <c r="C170" s="697"/>
      <c r="D170" s="697"/>
      <c r="E170" s="697"/>
      <c r="F170" s="697"/>
      <c r="G170" s="697"/>
      <c r="H170" s="697"/>
      <c r="I170" s="697"/>
      <c r="J170" s="697"/>
      <c r="K170" s="697"/>
      <c r="L170" s="697"/>
      <c r="M170" s="612"/>
    </row>
    <row r="171" spans="1:13" ht="15.6">
      <c r="A171" s="1694"/>
      <c r="B171" s="697"/>
      <c r="C171" s="697"/>
      <c r="D171" s="697"/>
      <c r="E171" s="697"/>
      <c r="F171" s="697"/>
      <c r="G171" s="697"/>
      <c r="H171" s="697"/>
      <c r="I171" s="697"/>
      <c r="J171" s="697"/>
      <c r="K171" s="697"/>
      <c r="L171" s="697"/>
      <c r="M171" s="612"/>
    </row>
    <row r="172" spans="1:13">
      <c r="A172" s="1688"/>
      <c r="B172" s="736"/>
      <c r="C172" s="736"/>
      <c r="D172" s="736"/>
      <c r="E172" s="736"/>
      <c r="F172" s="736"/>
      <c r="G172" s="736"/>
      <c r="H172" s="736"/>
      <c r="I172" s="736"/>
      <c r="J172" s="736"/>
      <c r="K172" s="736"/>
      <c r="L172" s="736"/>
      <c r="M172" s="613"/>
    </row>
    <row r="173" spans="1:13">
      <c r="A173" s="1139"/>
      <c r="B173" s="1139"/>
      <c r="C173" s="1139"/>
      <c r="D173" s="1139"/>
      <c r="E173" s="1139"/>
      <c r="F173" s="1139"/>
      <c r="G173" s="1139"/>
      <c r="H173" s="1139"/>
      <c r="I173" s="1139"/>
      <c r="J173" s="1139"/>
      <c r="K173" s="1139"/>
      <c r="L173" s="1139"/>
      <c r="M173" s="1139"/>
    </row>
    <row r="174" spans="1:13">
      <c r="A174" s="1139"/>
      <c r="B174" s="1139"/>
      <c r="C174" s="1139"/>
      <c r="D174" s="1139"/>
      <c r="E174" s="1139"/>
      <c r="F174" s="1139"/>
      <c r="G174" s="1139"/>
      <c r="H174" s="1139"/>
      <c r="I174" s="1139"/>
      <c r="J174" s="1139"/>
      <c r="K174" s="1139"/>
      <c r="L174" s="1139"/>
      <c r="M174" s="1139"/>
    </row>
    <row r="178" spans="1:15">
      <c r="A178" s="1710" t="s">
        <v>1575</v>
      </c>
      <c r="B178" s="1711"/>
      <c r="C178" s="1711"/>
      <c r="D178" s="1711" t="s">
        <v>1576</v>
      </c>
      <c r="E178" s="1711"/>
      <c r="F178" s="1711"/>
      <c r="G178" s="1711"/>
      <c r="H178" s="1711"/>
      <c r="I178" s="1711"/>
      <c r="J178" s="1711"/>
      <c r="K178" s="1711"/>
      <c r="L178" s="1711"/>
      <c r="M178" s="1712"/>
      <c r="N178" s="1135"/>
      <c r="O178" s="1135"/>
    </row>
    <row r="179" spans="1:15">
      <c r="A179" s="1713"/>
      <c r="B179" s="1702"/>
      <c r="C179" s="1702"/>
      <c r="D179" s="1714" t="s">
        <v>1577</v>
      </c>
      <c r="E179" s="1702"/>
      <c r="F179" s="1702"/>
      <c r="G179" s="1702"/>
      <c r="H179" s="1702"/>
      <c r="I179" s="1702"/>
      <c r="J179" s="1702"/>
      <c r="K179" s="1702"/>
      <c r="L179" s="1702"/>
      <c r="M179" s="1715"/>
      <c r="N179" s="1136"/>
      <c r="O179" s="1136"/>
    </row>
    <row r="180" spans="1:15">
      <c r="A180" s="1716"/>
      <c r="B180" s="1701"/>
      <c r="C180" s="1701"/>
      <c r="D180" s="1701"/>
      <c r="E180" s="1702"/>
      <c r="F180" s="1702"/>
      <c r="G180" s="1702"/>
      <c r="H180" s="1702"/>
      <c r="I180" s="1702"/>
      <c r="J180" s="1702"/>
      <c r="K180" s="1702"/>
      <c r="L180" s="1702"/>
      <c r="M180" s="1715"/>
      <c r="N180" s="1136"/>
      <c r="O180" s="1136"/>
    </row>
    <row r="181" spans="1:15">
      <c r="A181" s="1713"/>
      <c r="B181" s="1702"/>
      <c r="C181" s="1702"/>
      <c r="D181" s="1702"/>
      <c r="E181" s="1703">
        <v>2010</v>
      </c>
      <c r="F181" s="1703"/>
      <c r="G181" s="1703">
        <v>2011</v>
      </c>
      <c r="H181" s="1703"/>
      <c r="I181" s="1703">
        <v>2012</v>
      </c>
      <c r="J181" s="1703"/>
      <c r="K181" s="1703">
        <v>2013</v>
      </c>
      <c r="L181" s="1703"/>
      <c r="M181" s="1717">
        <v>2014</v>
      </c>
      <c r="N181" s="1137"/>
      <c r="O181" s="1137"/>
    </row>
    <row r="182" spans="1:15">
      <c r="A182" s="1713"/>
      <c r="B182" s="1702"/>
      <c r="C182" s="1702"/>
      <c r="D182" s="1702"/>
      <c r="E182" s="1702"/>
      <c r="F182" s="1702"/>
      <c r="G182" s="1702"/>
      <c r="H182" s="1702"/>
      <c r="I182" s="1702"/>
      <c r="J182" s="1702"/>
      <c r="K182" s="1702"/>
      <c r="L182" s="1702"/>
      <c r="M182" s="1715"/>
      <c r="N182" s="1137"/>
      <c r="O182" s="1137"/>
    </row>
    <row r="183" spans="1:15">
      <c r="A183" s="1718" t="s">
        <v>2109</v>
      </c>
      <c r="B183" s="1702"/>
      <c r="C183" s="1702"/>
      <c r="D183" s="1702"/>
      <c r="E183" s="1702"/>
      <c r="F183" s="1702"/>
      <c r="G183" s="1702"/>
      <c r="H183" s="1702"/>
      <c r="I183" s="1702"/>
      <c r="J183" s="1702"/>
      <c r="K183" s="1702"/>
      <c r="L183" s="1702"/>
      <c r="M183" s="1715"/>
      <c r="N183" s="1137"/>
      <c r="O183" s="1137"/>
    </row>
    <row r="184" spans="1:15">
      <c r="A184" s="1719" t="s">
        <v>1578</v>
      </c>
      <c r="B184" s="1702"/>
      <c r="C184" s="1702"/>
      <c r="D184" s="1702"/>
      <c r="E184" s="1702"/>
      <c r="F184" s="1702"/>
      <c r="G184" s="1702"/>
      <c r="H184" s="1702"/>
      <c r="I184" s="1702"/>
      <c r="J184" s="1702"/>
      <c r="K184" s="1702"/>
      <c r="L184" s="1702"/>
      <c r="M184" s="1715"/>
      <c r="N184" s="1137"/>
      <c r="O184" s="1137"/>
    </row>
    <row r="185" spans="1:15">
      <c r="A185" s="1718" t="s">
        <v>1579</v>
      </c>
      <c r="B185" s="1702"/>
      <c r="C185" s="1702"/>
      <c r="D185" s="1702"/>
      <c r="E185" s="1702"/>
      <c r="F185" s="1702"/>
      <c r="G185" s="1702"/>
      <c r="H185" s="1702"/>
      <c r="I185" s="1702"/>
      <c r="J185" s="1702"/>
      <c r="K185" s="1702"/>
      <c r="L185" s="1702"/>
      <c r="M185" s="1715"/>
      <c r="N185" s="1137"/>
      <c r="O185" s="1137"/>
    </row>
    <row r="186" spans="1:15">
      <c r="A186" s="1720" t="s">
        <v>2110</v>
      </c>
      <c r="B186" s="1702"/>
      <c r="C186" s="1702"/>
      <c r="D186" s="1702"/>
      <c r="E186" s="1702"/>
      <c r="F186" s="1702"/>
      <c r="G186" s="1702"/>
      <c r="H186" s="1702"/>
      <c r="I186" s="1702"/>
      <c r="J186" s="1702"/>
      <c r="K186" s="1702"/>
      <c r="L186" s="1702"/>
      <c r="M186" s="1715"/>
      <c r="N186" s="1137"/>
      <c r="O186" s="1137"/>
    </row>
    <row r="187" spans="1:15">
      <c r="A187" s="1713"/>
      <c r="B187" s="1702" t="s">
        <v>2111</v>
      </c>
      <c r="C187" s="1702"/>
      <c r="D187" s="1702"/>
      <c r="E187" s="1721">
        <v>112100</v>
      </c>
      <c r="F187" s="1702"/>
      <c r="G187" s="1721">
        <v>122400</v>
      </c>
      <c r="H187" s="1702"/>
      <c r="I187" s="1721">
        <v>119200</v>
      </c>
      <c r="J187" s="1721"/>
      <c r="K187" s="1721">
        <v>121700</v>
      </c>
      <c r="L187" s="1721"/>
      <c r="M187" s="1722">
        <v>123200</v>
      </c>
      <c r="N187" s="1137"/>
      <c r="O187" s="1137"/>
    </row>
    <row r="188" spans="1:15">
      <c r="A188" s="1713"/>
      <c r="B188" s="1702" t="s">
        <v>2112</v>
      </c>
      <c r="C188" s="1702"/>
      <c r="D188" s="1702"/>
      <c r="E188" s="1721">
        <v>125300</v>
      </c>
      <c r="F188" s="1702"/>
      <c r="G188" s="1721">
        <v>136100</v>
      </c>
      <c r="H188" s="1702"/>
      <c r="I188" s="1721">
        <v>130400</v>
      </c>
      <c r="J188" s="1721"/>
      <c r="K188" s="1721">
        <v>130100</v>
      </c>
      <c r="L188" s="1721"/>
      <c r="M188" s="1722">
        <v>129300</v>
      </c>
      <c r="N188" s="1137"/>
      <c r="O188" s="1137"/>
    </row>
    <row r="189" spans="1:15">
      <c r="A189" s="1713" t="s">
        <v>2113</v>
      </c>
      <c r="B189" s="1702"/>
      <c r="C189" s="1702"/>
      <c r="D189" s="1702"/>
      <c r="E189" s="1721">
        <v>4900</v>
      </c>
      <c r="F189" s="1702"/>
      <c r="G189" s="1721">
        <v>3600</v>
      </c>
      <c r="H189" s="1702"/>
      <c r="I189" s="1721">
        <v>3500</v>
      </c>
      <c r="J189" s="1721"/>
      <c r="K189" s="1721">
        <v>3300</v>
      </c>
      <c r="L189" s="1721"/>
      <c r="M189" s="1722">
        <v>3200</v>
      </c>
      <c r="N189" s="1137"/>
      <c r="O189" s="1137"/>
    </row>
    <row r="190" spans="1:15">
      <c r="A190" s="1713" t="s">
        <v>2114</v>
      </c>
      <c r="B190" s="1702"/>
      <c r="C190" s="1702"/>
      <c r="D190" s="1702"/>
      <c r="E190" s="1704">
        <v>127600</v>
      </c>
      <c r="F190" s="1701"/>
      <c r="G190" s="1704">
        <v>123000</v>
      </c>
      <c r="H190" s="1701"/>
      <c r="I190" s="1704">
        <v>115100</v>
      </c>
      <c r="J190" s="1704"/>
      <c r="K190" s="1704">
        <v>116900</v>
      </c>
      <c r="L190" s="1704"/>
      <c r="M190" s="1723">
        <v>106700</v>
      </c>
      <c r="N190" s="1137"/>
      <c r="O190" s="1137"/>
    </row>
    <row r="191" spans="1:15">
      <c r="A191" s="1713" t="s">
        <v>2115</v>
      </c>
      <c r="B191" s="1702"/>
      <c r="C191" s="1702"/>
      <c r="D191" s="1702"/>
      <c r="E191" s="1721">
        <v>369900</v>
      </c>
      <c r="F191" s="1721"/>
      <c r="G191" s="1721">
        <v>385100</v>
      </c>
      <c r="H191" s="1702"/>
      <c r="I191" s="1721">
        <v>368200</v>
      </c>
      <c r="J191" s="1721"/>
      <c r="K191" s="1721">
        <v>372000</v>
      </c>
      <c r="L191" s="1721"/>
      <c r="M191" s="1722">
        <v>362400</v>
      </c>
      <c r="N191" s="1137"/>
      <c r="O191" s="1137"/>
    </row>
    <row r="192" spans="1:15">
      <c r="A192" s="1713"/>
      <c r="B192" s="1702"/>
      <c r="C192" s="1702"/>
      <c r="D192" s="1702"/>
      <c r="E192" s="1702"/>
      <c r="F192" s="1702"/>
      <c r="G192" s="1721"/>
      <c r="H192" s="1702"/>
      <c r="I192" s="1721"/>
      <c r="J192" s="1702"/>
      <c r="K192" s="1721"/>
      <c r="L192" s="1721"/>
      <c r="M192" s="1715"/>
      <c r="N192" s="1137"/>
      <c r="O192" s="1137"/>
    </row>
    <row r="193" spans="1:20">
      <c r="A193" s="1720" t="s">
        <v>2116</v>
      </c>
      <c r="B193" s="1702"/>
      <c r="C193" s="1702"/>
      <c r="D193" s="1702"/>
      <c r="E193" s="1702"/>
      <c r="F193" s="1702"/>
      <c r="G193" s="1721"/>
      <c r="H193" s="1702"/>
      <c r="I193" s="1721"/>
      <c r="J193" s="1702"/>
      <c r="K193" s="1721"/>
      <c r="L193" s="1721"/>
      <c r="M193" s="1715"/>
      <c r="N193" s="1137"/>
      <c r="O193" s="1137"/>
    </row>
    <row r="194" spans="1:20">
      <c r="A194" s="1713"/>
      <c r="B194" s="1702" t="s">
        <v>1580</v>
      </c>
      <c r="C194" s="1702"/>
      <c r="D194" s="1702"/>
      <c r="E194" s="1702"/>
      <c r="F194" s="1702"/>
      <c r="G194" s="1721"/>
      <c r="H194" s="1702"/>
      <c r="I194" s="1721"/>
      <c r="J194" s="1702"/>
      <c r="K194" s="1721"/>
      <c r="L194" s="1721"/>
      <c r="M194" s="1715"/>
      <c r="N194" s="1137"/>
      <c r="O194" s="1137"/>
    </row>
    <row r="195" spans="1:20">
      <c r="A195" s="1720"/>
      <c r="B195" s="1714" t="s">
        <v>1581</v>
      </c>
      <c r="C195" s="1702"/>
      <c r="D195" s="1702"/>
      <c r="E195" s="1721">
        <v>20780</v>
      </c>
      <c r="F195" s="1702"/>
      <c r="G195" s="1721">
        <v>23084</v>
      </c>
      <c r="H195" s="1702"/>
      <c r="I195" s="1721">
        <v>23649</v>
      </c>
      <c r="J195" s="1721"/>
      <c r="K195" s="1721">
        <v>24743</v>
      </c>
      <c r="L195" s="1721"/>
      <c r="M195" s="1722">
        <v>25811</v>
      </c>
      <c r="N195" s="1137"/>
      <c r="O195" s="1137"/>
      <c r="P195" s="754"/>
      <c r="Q195" s="754"/>
      <c r="R195" s="754"/>
      <c r="S195" s="754"/>
      <c r="T195" s="754"/>
    </row>
    <row r="196" spans="1:20">
      <c r="A196" s="1713"/>
      <c r="B196" s="1702" t="s">
        <v>2117</v>
      </c>
      <c r="C196" s="1702"/>
      <c r="D196" s="1702"/>
      <c r="E196" s="1704">
        <v>6147</v>
      </c>
      <c r="F196" s="1701"/>
      <c r="G196" s="1704">
        <v>6974</v>
      </c>
      <c r="H196" s="1701"/>
      <c r="I196" s="1704">
        <v>7057</v>
      </c>
      <c r="J196" s="1704"/>
      <c r="K196" s="1704">
        <v>7102</v>
      </c>
      <c r="L196" s="1704"/>
      <c r="M196" s="1723">
        <v>7392</v>
      </c>
      <c r="N196" s="1137"/>
      <c r="O196" s="1137"/>
      <c r="P196" s="754"/>
      <c r="Q196" s="754"/>
      <c r="R196" s="754"/>
      <c r="S196" s="754"/>
      <c r="T196" s="754"/>
    </row>
    <row r="197" spans="1:20" ht="15.6">
      <c r="A197" s="1713" t="s">
        <v>2118</v>
      </c>
      <c r="B197" s="1702"/>
      <c r="C197" s="1702"/>
      <c r="D197" s="1702"/>
      <c r="E197" s="2139">
        <v>26927</v>
      </c>
      <c r="F197" s="1705"/>
      <c r="G197" s="1721">
        <v>30058</v>
      </c>
      <c r="H197" s="1705"/>
      <c r="I197" s="1721">
        <v>30706</v>
      </c>
      <c r="J197" s="1721">
        <v>0</v>
      </c>
      <c r="K197" s="1721">
        <v>31845</v>
      </c>
      <c r="L197" s="1721">
        <v>0</v>
      </c>
      <c r="M197" s="1722">
        <v>33203</v>
      </c>
      <c r="N197" s="1137"/>
      <c r="O197" s="1137"/>
      <c r="P197" s="754"/>
      <c r="Q197" s="754"/>
      <c r="R197" s="754"/>
      <c r="S197" s="754"/>
      <c r="T197" s="754"/>
    </row>
    <row r="198" spans="1:20">
      <c r="A198" s="1713"/>
      <c r="B198" s="1702"/>
      <c r="C198" s="1702"/>
      <c r="D198" s="1702"/>
      <c r="E198" s="1702"/>
      <c r="F198" s="1702"/>
      <c r="G198" s="1721"/>
      <c r="H198" s="1702"/>
      <c r="I198" s="1721"/>
      <c r="J198" s="1702"/>
      <c r="K198" s="1721"/>
      <c r="L198" s="1721"/>
      <c r="M198" s="1715"/>
      <c r="N198" s="1137"/>
      <c r="O198" s="1137"/>
      <c r="P198" s="754"/>
      <c r="Q198" s="754"/>
      <c r="R198" s="754"/>
      <c r="S198" s="754"/>
      <c r="T198" s="754"/>
    </row>
    <row r="199" spans="1:20">
      <c r="A199" s="1720" t="s">
        <v>2119</v>
      </c>
      <c r="B199" s="1702"/>
      <c r="C199" s="1702"/>
      <c r="D199" s="1702"/>
      <c r="E199" s="1702"/>
      <c r="F199" s="1702"/>
      <c r="G199" s="1721"/>
      <c r="H199" s="1702"/>
      <c r="I199" s="1721"/>
      <c r="J199" s="1702"/>
      <c r="K199" s="1721"/>
      <c r="L199" s="1721"/>
      <c r="M199" s="1715"/>
      <c r="N199" s="1137"/>
      <c r="O199" s="1137"/>
      <c r="P199" s="754"/>
      <c r="Q199" s="754"/>
      <c r="R199" s="754"/>
      <c r="S199" s="754"/>
      <c r="T199" s="754"/>
    </row>
    <row r="200" spans="1:20">
      <c r="A200" s="1713"/>
      <c r="B200" s="1702" t="s">
        <v>1582</v>
      </c>
      <c r="C200" s="1702"/>
      <c r="D200" s="1702"/>
      <c r="E200" s="1702"/>
      <c r="F200" s="1702"/>
      <c r="G200" s="1721"/>
      <c r="H200" s="1702"/>
      <c r="I200" s="1721"/>
      <c r="J200" s="1702"/>
      <c r="K200" s="1721"/>
      <c r="L200" s="1721"/>
      <c r="M200" s="1715"/>
      <c r="N200" s="1137"/>
      <c r="O200" s="1137"/>
      <c r="P200" s="754"/>
      <c r="Q200" s="754"/>
      <c r="R200" s="754"/>
      <c r="S200" s="754"/>
      <c r="T200" s="754"/>
    </row>
    <row r="201" spans="1:20">
      <c r="A201" s="1713"/>
      <c r="B201" s="1714" t="s">
        <v>1583</v>
      </c>
      <c r="C201" s="1702"/>
      <c r="D201" s="1702"/>
      <c r="E201" s="1721">
        <v>171300</v>
      </c>
      <c r="F201" s="1702"/>
      <c r="G201" s="1721">
        <v>150500</v>
      </c>
      <c r="H201" s="1702"/>
      <c r="I201" s="1721">
        <v>126800</v>
      </c>
      <c r="J201" s="1721"/>
      <c r="K201" s="1721">
        <v>116900</v>
      </c>
      <c r="L201" s="1721"/>
      <c r="M201" s="1722">
        <v>120500</v>
      </c>
      <c r="N201" s="1137"/>
      <c r="O201" s="1137"/>
      <c r="P201" s="754"/>
      <c r="Q201" s="754"/>
      <c r="R201" s="754"/>
      <c r="S201" s="754"/>
      <c r="T201" s="754"/>
    </row>
    <row r="202" spans="1:20">
      <c r="A202" s="1713"/>
      <c r="B202" s="1702" t="s">
        <v>2120</v>
      </c>
      <c r="C202" s="1702"/>
      <c r="D202" s="1702"/>
      <c r="E202" s="1704">
        <v>2300</v>
      </c>
      <c r="F202" s="1701"/>
      <c r="G202" s="1704">
        <v>2500</v>
      </c>
      <c r="H202" s="1701"/>
      <c r="I202" s="1704">
        <v>2500</v>
      </c>
      <c r="J202" s="1704"/>
      <c r="K202" s="1704">
        <v>3200</v>
      </c>
      <c r="L202" s="1704"/>
      <c r="M202" s="1723">
        <v>2400</v>
      </c>
      <c r="N202" s="1137"/>
      <c r="O202" s="1137"/>
    </row>
    <row r="203" spans="1:20" ht="15.6">
      <c r="A203" s="1713" t="s">
        <v>2121</v>
      </c>
      <c r="B203" s="1702"/>
      <c r="C203" s="1702"/>
      <c r="D203" s="1702"/>
      <c r="E203" s="1721">
        <v>173600</v>
      </c>
      <c r="F203" s="1705"/>
      <c r="G203" s="1721">
        <v>153000</v>
      </c>
      <c r="H203" s="1705"/>
      <c r="I203" s="1721">
        <v>129300</v>
      </c>
      <c r="J203" s="1721"/>
      <c r="K203" s="1721">
        <v>120100</v>
      </c>
      <c r="L203" s="1721"/>
      <c r="M203" s="1722">
        <v>122900</v>
      </c>
      <c r="N203" s="1137"/>
      <c r="O203" s="1137"/>
    </row>
    <row r="204" spans="1:20">
      <c r="A204" s="1713"/>
      <c r="B204" s="1702"/>
      <c r="C204" s="1702"/>
      <c r="D204" s="1702"/>
      <c r="E204" s="1702"/>
      <c r="F204" s="1702"/>
      <c r="G204" s="1721"/>
      <c r="H204" s="1702"/>
      <c r="I204" s="1721"/>
      <c r="J204" s="1702"/>
      <c r="K204" s="1721"/>
      <c r="L204" s="1721"/>
      <c r="M204" s="1715"/>
      <c r="N204" s="1137"/>
      <c r="O204" s="1137"/>
    </row>
    <row r="205" spans="1:20">
      <c r="A205" s="1720" t="s">
        <v>2122</v>
      </c>
      <c r="B205" s="1702"/>
      <c r="C205" s="1702"/>
      <c r="D205" s="1702"/>
      <c r="E205" s="1702"/>
      <c r="F205" s="1702"/>
      <c r="G205" s="1721"/>
      <c r="H205" s="1702"/>
      <c r="I205" s="1721"/>
      <c r="J205" s="1702"/>
      <c r="K205" s="1721"/>
      <c r="L205" s="1721"/>
      <c r="M205" s="1715"/>
      <c r="N205" s="1137"/>
      <c r="O205" s="1137"/>
    </row>
    <row r="206" spans="1:20">
      <c r="A206" s="1713"/>
      <c r="B206" s="1702" t="s">
        <v>1582</v>
      </c>
      <c r="C206" s="1702"/>
      <c r="D206" s="1702"/>
      <c r="E206" s="1702"/>
      <c r="F206" s="1702"/>
      <c r="G206" s="1721"/>
      <c r="H206" s="1702"/>
      <c r="I206" s="1721"/>
      <c r="J206" s="1702"/>
      <c r="K206" s="1721"/>
      <c r="L206" s="1721"/>
      <c r="M206" s="1715"/>
      <c r="N206" s="1137"/>
      <c r="O206" s="1137"/>
    </row>
    <row r="207" spans="1:20">
      <c r="A207" s="1713"/>
      <c r="B207" s="1714" t="s">
        <v>1583</v>
      </c>
      <c r="C207" s="1702"/>
      <c r="D207" s="1702"/>
      <c r="E207" s="1721">
        <v>8300</v>
      </c>
      <c r="F207" s="1702"/>
      <c r="G207" s="1721">
        <v>8400</v>
      </c>
      <c r="H207" s="1702"/>
      <c r="I207" s="1721">
        <v>8300</v>
      </c>
      <c r="J207" s="1721"/>
      <c r="K207" s="1721">
        <v>8700</v>
      </c>
      <c r="L207" s="1721"/>
      <c r="M207" s="1722">
        <v>9800</v>
      </c>
      <c r="N207" s="1137"/>
      <c r="O207" s="1137"/>
    </row>
    <row r="208" spans="1:20">
      <c r="A208" s="1713"/>
      <c r="B208" s="1702" t="s">
        <v>2120</v>
      </c>
      <c r="C208" s="1702"/>
      <c r="D208" s="1702"/>
      <c r="E208" s="1704">
        <v>14500</v>
      </c>
      <c r="F208" s="1701"/>
      <c r="G208" s="1704">
        <v>14100</v>
      </c>
      <c r="H208" s="1701"/>
      <c r="I208" s="1704">
        <v>13500</v>
      </c>
      <c r="J208" s="1704"/>
      <c r="K208" s="1704">
        <v>12100</v>
      </c>
      <c r="L208" s="1704"/>
      <c r="M208" s="1723">
        <v>12700</v>
      </c>
      <c r="N208" s="1137"/>
      <c r="O208" s="1137"/>
    </row>
    <row r="209" spans="1:15">
      <c r="A209" s="1713" t="s">
        <v>2123</v>
      </c>
      <c r="B209" s="1702"/>
      <c r="C209" s="1702"/>
      <c r="D209" s="1702"/>
      <c r="E209" s="1721">
        <v>22800</v>
      </c>
      <c r="F209" s="1721"/>
      <c r="G209" s="1721">
        <v>22500</v>
      </c>
      <c r="H209" s="1702"/>
      <c r="I209" s="1721">
        <v>21800</v>
      </c>
      <c r="J209" s="1721"/>
      <c r="K209" s="1721">
        <v>20800</v>
      </c>
      <c r="L209" s="1721"/>
      <c r="M209" s="1722">
        <v>22500</v>
      </c>
      <c r="N209" s="1137"/>
      <c r="O209" s="1137"/>
    </row>
    <row r="210" spans="1:15" ht="15.6">
      <c r="A210" s="1724"/>
      <c r="B210" s="1702"/>
      <c r="C210" s="1702"/>
      <c r="D210" s="1702"/>
      <c r="E210" s="1702"/>
      <c r="F210" s="1702"/>
      <c r="G210" s="1721"/>
      <c r="H210" s="1702"/>
      <c r="I210" s="1702"/>
      <c r="J210" s="1702"/>
      <c r="K210" s="1721"/>
      <c r="L210" s="1721"/>
      <c r="M210" s="1715"/>
      <c r="N210" s="1137"/>
      <c r="O210" s="1137"/>
    </row>
    <row r="211" spans="1:15">
      <c r="A211" s="1718" t="s">
        <v>2124</v>
      </c>
      <c r="B211" s="1702"/>
      <c r="C211" s="1702"/>
      <c r="D211" s="1702"/>
      <c r="E211" s="1702"/>
      <c r="F211" s="1702"/>
      <c r="G211" s="1721"/>
      <c r="H211" s="1702"/>
      <c r="I211" s="1702"/>
      <c r="J211" s="1702"/>
      <c r="K211" s="1721"/>
      <c r="L211" s="1721"/>
      <c r="M211" s="1715"/>
      <c r="N211" s="1137"/>
      <c r="O211" s="1137"/>
    </row>
    <row r="212" spans="1:15">
      <c r="A212" s="1713" t="s">
        <v>1584</v>
      </c>
      <c r="B212" s="1702"/>
      <c r="C212" s="1702"/>
      <c r="D212" s="1702"/>
      <c r="E212" s="1702"/>
      <c r="F212" s="1702"/>
      <c r="G212" s="1721"/>
      <c r="H212" s="1702"/>
      <c r="I212" s="1702"/>
      <c r="J212" s="1702"/>
      <c r="K212" s="1721"/>
      <c r="L212" s="1721"/>
      <c r="M212" s="1715"/>
      <c r="N212" s="1137"/>
      <c r="O212" s="1137"/>
    </row>
    <row r="213" spans="1:15">
      <c r="A213" s="1713" t="s">
        <v>1585</v>
      </c>
      <c r="B213" s="1702"/>
      <c r="C213" s="1702"/>
      <c r="D213" s="1702"/>
      <c r="E213" s="1702"/>
      <c r="F213" s="1702"/>
      <c r="G213" s="1721"/>
      <c r="H213" s="1702"/>
      <c r="I213" s="1702"/>
      <c r="J213" s="1702"/>
      <c r="K213" s="1721"/>
      <c r="L213" s="1721"/>
      <c r="M213" s="1715"/>
      <c r="N213" s="1137"/>
      <c r="O213" s="1137"/>
    </row>
    <row r="214" spans="1:15">
      <c r="A214" s="1720" t="s">
        <v>1586</v>
      </c>
      <c r="B214" s="1702"/>
      <c r="C214" s="1702"/>
      <c r="D214" s="1702"/>
      <c r="E214" s="1702"/>
      <c r="F214" s="1702"/>
      <c r="G214" s="1721"/>
      <c r="H214" s="1702"/>
      <c r="I214" s="1702"/>
      <c r="J214" s="1702"/>
      <c r="K214" s="1721"/>
      <c r="L214" s="1721"/>
      <c r="M214" s="1715"/>
      <c r="N214" s="1137"/>
      <c r="O214" s="1137"/>
    </row>
    <row r="215" spans="1:15" ht="15.6">
      <c r="A215" s="1720" t="s">
        <v>1587</v>
      </c>
      <c r="B215" s="1702"/>
      <c r="C215" s="1702"/>
      <c r="D215" s="1702"/>
      <c r="E215" s="1721">
        <v>2631</v>
      </c>
      <c r="F215" s="1706"/>
      <c r="G215" s="1721">
        <v>2473</v>
      </c>
      <c r="H215" s="1706"/>
      <c r="I215" s="1721">
        <v>2459</v>
      </c>
      <c r="J215" s="1721"/>
      <c r="K215" s="1721">
        <v>2470</v>
      </c>
      <c r="L215" s="1721"/>
      <c r="M215" s="1722">
        <v>2460</v>
      </c>
      <c r="N215" s="1144"/>
      <c r="O215" s="1144"/>
    </row>
    <row r="216" spans="1:15" ht="15.6">
      <c r="A216" s="1713" t="s">
        <v>2125</v>
      </c>
      <c r="B216" s="1702"/>
      <c r="C216" s="1702"/>
      <c r="D216" s="1702"/>
      <c r="E216" s="1721"/>
      <c r="F216" s="1721"/>
      <c r="G216" s="1721"/>
      <c r="H216" s="1702"/>
      <c r="I216" s="1702"/>
      <c r="J216" s="1702"/>
      <c r="K216" s="1721"/>
      <c r="L216" s="1721"/>
      <c r="M216" s="1722"/>
      <c r="N216" s="1137"/>
      <c r="O216" s="1137"/>
    </row>
    <row r="217" spans="1:15" ht="15.6">
      <c r="A217" s="1720" t="s">
        <v>2126</v>
      </c>
      <c r="B217" s="1702"/>
      <c r="C217" s="1702"/>
      <c r="D217" s="1702"/>
      <c r="E217" s="1721">
        <v>12705</v>
      </c>
      <c r="F217" s="1702"/>
      <c r="G217" s="1721">
        <v>12612</v>
      </c>
      <c r="H217" s="1702"/>
      <c r="I217" s="1721">
        <v>12479</v>
      </c>
      <c r="J217" s="1705" t="s">
        <v>1588</v>
      </c>
      <c r="K217" s="1721">
        <v>11277</v>
      </c>
      <c r="L217" s="1706" t="s">
        <v>1588</v>
      </c>
      <c r="M217" s="1722">
        <v>11038</v>
      </c>
      <c r="N217" s="1137"/>
      <c r="O217" s="1137"/>
    </row>
    <row r="218" spans="1:15">
      <c r="A218" s="1713" t="s">
        <v>1589</v>
      </c>
      <c r="B218" s="1702"/>
      <c r="C218" s="1702"/>
      <c r="D218" s="1702"/>
      <c r="E218" s="1721"/>
      <c r="F218" s="1721"/>
      <c r="G218" s="1721"/>
      <c r="H218" s="1702"/>
      <c r="I218" s="1702"/>
      <c r="J218" s="1702"/>
      <c r="K218" s="1721"/>
      <c r="L218" s="1721"/>
      <c r="M218" s="1715"/>
      <c r="N218" s="1137"/>
      <c r="O218" s="1137"/>
    </row>
    <row r="219" spans="1:15">
      <c r="A219" s="1713" t="s">
        <v>1590</v>
      </c>
      <c r="B219" s="1702"/>
      <c r="C219" s="1702"/>
      <c r="D219" s="1702"/>
      <c r="E219" s="1721"/>
      <c r="F219" s="1721"/>
      <c r="G219" s="1721"/>
      <c r="H219" s="1702"/>
      <c r="I219" s="1702"/>
      <c r="J219" s="1702"/>
      <c r="K219" s="1721"/>
      <c r="L219" s="1721"/>
      <c r="M219" s="1715"/>
      <c r="N219" s="1137"/>
      <c r="O219" s="1137"/>
    </row>
    <row r="220" spans="1:15">
      <c r="A220" s="1720" t="s">
        <v>1591</v>
      </c>
      <c r="B220" s="1702"/>
      <c r="C220" s="1702"/>
      <c r="D220" s="1702"/>
      <c r="E220" s="1721"/>
      <c r="F220" s="1721"/>
      <c r="G220" s="1721"/>
      <c r="H220" s="1702"/>
      <c r="I220" s="1702"/>
      <c r="J220" s="1702"/>
      <c r="K220" s="1721"/>
      <c r="L220" s="1721"/>
      <c r="M220" s="1715"/>
      <c r="N220" s="1137"/>
      <c r="O220" s="1137"/>
    </row>
    <row r="221" spans="1:15">
      <c r="A221" s="1720" t="s">
        <v>1592</v>
      </c>
      <c r="B221" s="1702"/>
      <c r="C221" s="1702"/>
      <c r="D221" s="1702"/>
      <c r="E221" s="1721"/>
      <c r="F221" s="1721"/>
      <c r="G221" s="1721"/>
      <c r="H221" s="1702"/>
      <c r="I221" s="1702"/>
      <c r="J221" s="1702"/>
      <c r="K221" s="1721"/>
      <c r="L221" s="1721"/>
      <c r="M221" s="1715"/>
      <c r="N221" s="1137"/>
      <c r="O221" s="1137"/>
    </row>
    <row r="222" spans="1:15">
      <c r="A222" s="1713"/>
      <c r="B222" s="1702" t="s">
        <v>1593</v>
      </c>
      <c r="C222" s="1702"/>
      <c r="D222" s="1702"/>
      <c r="E222" s="1721"/>
      <c r="F222" s="1721"/>
      <c r="G222" s="1721"/>
      <c r="H222" s="1702"/>
      <c r="I222" s="1702"/>
      <c r="J222" s="1702"/>
      <c r="K222" s="1721"/>
      <c r="L222" s="1721"/>
      <c r="M222" s="1715"/>
      <c r="N222" s="1137"/>
      <c r="O222" s="1137"/>
    </row>
    <row r="223" spans="1:15">
      <c r="A223" s="1713"/>
      <c r="B223" s="1714" t="s">
        <v>1594</v>
      </c>
      <c r="C223" s="1702"/>
      <c r="D223" s="1702"/>
      <c r="E223" s="1725" t="s">
        <v>390</v>
      </c>
      <c r="F223" s="1702"/>
      <c r="G223" s="1725" t="s">
        <v>390</v>
      </c>
      <c r="H223" s="1702"/>
      <c r="I223" s="1725" t="s">
        <v>390</v>
      </c>
      <c r="J223" s="1725"/>
      <c r="K223" s="1726" t="s">
        <v>390</v>
      </c>
      <c r="L223" s="1725"/>
      <c r="M223" s="1727" t="s">
        <v>390</v>
      </c>
      <c r="N223" s="1137"/>
      <c r="O223" s="1137"/>
    </row>
    <row r="224" spans="1:15" ht="15.6">
      <c r="A224" s="1713"/>
      <c r="B224" s="1702" t="s">
        <v>2127</v>
      </c>
      <c r="C224" s="1702"/>
      <c r="D224" s="1702"/>
      <c r="E224" s="1721">
        <v>1</v>
      </c>
      <c r="F224" s="1702"/>
      <c r="G224" s="1721">
        <v>2</v>
      </c>
      <c r="H224" s="1702"/>
      <c r="I224" s="1721">
        <v>1</v>
      </c>
      <c r="J224" s="1706"/>
      <c r="K224" s="1702">
        <v>2</v>
      </c>
      <c r="L224" s="1706"/>
      <c r="M224" s="1715">
        <v>1</v>
      </c>
      <c r="N224" s="1137"/>
      <c r="O224" s="1137"/>
    </row>
    <row r="225" spans="1:15">
      <c r="A225" s="1713"/>
      <c r="B225" s="1702" t="s">
        <v>2128</v>
      </c>
      <c r="C225" s="1702"/>
      <c r="D225" s="1702"/>
      <c r="E225" s="1721">
        <v>2</v>
      </c>
      <c r="F225" s="1702"/>
      <c r="G225" s="1725" t="s">
        <v>390</v>
      </c>
      <c r="H225" s="1702"/>
      <c r="I225" s="1725">
        <v>2</v>
      </c>
      <c r="J225" s="1725"/>
      <c r="K225" s="1702">
        <v>1</v>
      </c>
      <c r="L225" s="1725"/>
      <c r="M225" s="1715">
        <v>2</v>
      </c>
      <c r="N225" s="1137"/>
      <c r="O225" s="1137"/>
    </row>
    <row r="226" spans="1:15" ht="15.6">
      <c r="A226" s="1713"/>
      <c r="B226" s="1702" t="s">
        <v>2129</v>
      </c>
      <c r="C226" s="1702"/>
      <c r="D226" s="1702"/>
      <c r="E226" s="1704">
        <v>14</v>
      </c>
      <c r="F226" s="1701"/>
      <c r="G226" s="1704">
        <v>13</v>
      </c>
      <c r="H226" s="1701"/>
      <c r="I226" s="1704">
        <v>3</v>
      </c>
      <c r="J226" s="1707"/>
      <c r="K226" s="1701">
        <v>8</v>
      </c>
      <c r="L226" s="1707"/>
      <c r="M226" s="1728">
        <v>3</v>
      </c>
      <c r="N226" s="1137"/>
      <c r="O226" s="1137"/>
    </row>
    <row r="227" spans="1:15" ht="15.6">
      <c r="A227" s="1713"/>
      <c r="B227" s="1702" t="s">
        <v>2130</v>
      </c>
      <c r="C227" s="1702"/>
      <c r="D227" s="1702"/>
      <c r="E227" s="1721">
        <v>17</v>
      </c>
      <c r="F227" s="1702"/>
      <c r="G227" s="1702">
        <v>15</v>
      </c>
      <c r="H227" s="1702"/>
      <c r="I227" s="1702">
        <v>6</v>
      </c>
      <c r="J227" s="1702">
        <v>0</v>
      </c>
      <c r="K227" s="1702">
        <v>11</v>
      </c>
      <c r="L227" s="1706"/>
      <c r="M227" s="1715">
        <v>6</v>
      </c>
      <c r="N227" s="1137"/>
      <c r="O227" s="1137"/>
    </row>
    <row r="228" spans="1:15">
      <c r="A228" s="1713"/>
      <c r="B228" s="1702"/>
      <c r="C228" s="1702"/>
      <c r="D228" s="1702"/>
      <c r="E228" s="1702"/>
      <c r="F228" s="1702"/>
      <c r="G228" s="1721"/>
      <c r="H228" s="1702"/>
      <c r="I228" s="1702"/>
      <c r="J228" s="1702"/>
      <c r="K228" s="1702"/>
      <c r="L228" s="1702"/>
      <c r="M228" s="1715"/>
      <c r="N228" s="1137"/>
      <c r="O228" s="1137"/>
    </row>
    <row r="229" spans="1:15">
      <c r="A229" s="1719" t="s">
        <v>1595</v>
      </c>
      <c r="B229" s="1702"/>
      <c r="C229" s="1702"/>
      <c r="D229" s="1702"/>
      <c r="E229" s="1702"/>
      <c r="F229" s="1702"/>
      <c r="G229" s="1721"/>
      <c r="H229" s="1702"/>
      <c r="I229" s="1702"/>
      <c r="J229" s="1702"/>
      <c r="K229" s="1702"/>
      <c r="L229" s="1702"/>
      <c r="M229" s="1715"/>
      <c r="N229" s="1137"/>
      <c r="O229" s="1137"/>
    </row>
    <row r="230" spans="1:15">
      <c r="A230" s="1718" t="s">
        <v>1596</v>
      </c>
      <c r="B230" s="1702"/>
      <c r="C230" s="1702"/>
      <c r="D230" s="1702"/>
      <c r="E230" s="1702"/>
      <c r="F230" s="1702"/>
      <c r="G230" s="1721"/>
      <c r="H230" s="1702"/>
      <c r="I230" s="1702"/>
      <c r="J230" s="1702"/>
      <c r="K230" s="1702"/>
      <c r="L230" s="1702"/>
      <c r="M230" s="1715"/>
      <c r="N230" s="1137"/>
      <c r="O230" s="1137"/>
    </row>
    <row r="231" spans="1:15">
      <c r="A231" s="1713" t="s">
        <v>1597</v>
      </c>
      <c r="B231" s="1702"/>
      <c r="C231" s="1702"/>
      <c r="D231" s="1702"/>
      <c r="E231" s="1702"/>
      <c r="F231" s="1702"/>
      <c r="G231" s="1721"/>
      <c r="H231" s="1702"/>
      <c r="I231" s="1702"/>
      <c r="J231" s="1702"/>
      <c r="K231" s="1702"/>
      <c r="L231" s="1702"/>
      <c r="M231" s="1715"/>
      <c r="N231" s="1137"/>
      <c r="O231" s="1137"/>
    </row>
    <row r="232" spans="1:15" ht="15.6">
      <c r="A232" s="1716" t="s">
        <v>2131</v>
      </c>
      <c r="B232" s="1701"/>
      <c r="C232" s="1701"/>
      <c r="D232" s="1701"/>
      <c r="E232" s="1708">
        <v>2675</v>
      </c>
      <c r="F232" s="1707" t="s">
        <v>1588</v>
      </c>
      <c r="G232" s="1704">
        <v>2838</v>
      </c>
      <c r="H232" s="1707" t="s">
        <v>1588</v>
      </c>
      <c r="I232" s="1704">
        <v>2970</v>
      </c>
      <c r="J232" s="1707" t="s">
        <v>1588</v>
      </c>
      <c r="K232" s="1709">
        <v>3103</v>
      </c>
      <c r="L232" s="1701"/>
      <c r="M232" s="1729" t="s">
        <v>1598</v>
      </c>
      <c r="N232" s="1137"/>
      <c r="O232" s="1137"/>
    </row>
    <row r="233" spans="1:15">
      <c r="A233" s="1713"/>
      <c r="B233" s="1702"/>
      <c r="C233" s="1702"/>
      <c r="D233" s="1702"/>
      <c r="E233" s="1702"/>
      <c r="F233" s="1702"/>
      <c r="G233" s="1702"/>
      <c r="H233" s="1702"/>
      <c r="I233" s="1702"/>
      <c r="J233" s="1702"/>
      <c r="K233" s="1702"/>
      <c r="L233" s="1702"/>
      <c r="M233" s="1715"/>
      <c r="N233" s="1137"/>
      <c r="O233" s="1137"/>
    </row>
    <row r="234" spans="1:15" ht="15.6">
      <c r="A234" s="1724" t="s">
        <v>2132</v>
      </c>
      <c r="B234" s="1702"/>
      <c r="C234" s="1702"/>
      <c r="D234" s="1702"/>
      <c r="E234" s="1702"/>
      <c r="F234" s="1702"/>
      <c r="G234" s="1702"/>
      <c r="H234" s="1702"/>
      <c r="I234" s="1702"/>
      <c r="J234" s="1702"/>
      <c r="K234" s="1702"/>
      <c r="L234" s="1702"/>
      <c r="M234" s="1715"/>
      <c r="N234" s="1137"/>
      <c r="O234" s="1137"/>
    </row>
    <row r="235" spans="1:15" ht="15.6">
      <c r="A235" s="1724" t="s">
        <v>2133</v>
      </c>
      <c r="B235" s="1702"/>
      <c r="C235" s="1702"/>
      <c r="D235" s="1702"/>
      <c r="E235" s="1702"/>
      <c r="F235" s="1702"/>
      <c r="G235" s="1702"/>
      <c r="H235" s="1702"/>
      <c r="I235" s="1702"/>
      <c r="J235" s="1702"/>
      <c r="K235" s="1702"/>
      <c r="L235" s="1702"/>
      <c r="M235" s="1715"/>
      <c r="N235" s="1137"/>
      <c r="O235" s="1137"/>
    </row>
    <row r="236" spans="1:15" ht="15.6">
      <c r="A236" s="1730" t="s">
        <v>2134</v>
      </c>
      <c r="B236" s="1702"/>
      <c r="C236" s="1702"/>
      <c r="D236" s="1702"/>
      <c r="E236" s="1702"/>
      <c r="F236" s="1702"/>
      <c r="G236" s="1702"/>
      <c r="H236" s="1702"/>
      <c r="I236" s="1702"/>
      <c r="J236" s="1702"/>
      <c r="K236" s="1702"/>
      <c r="L236" s="1702"/>
      <c r="M236" s="1715"/>
      <c r="N236" s="1137"/>
      <c r="O236" s="1137"/>
    </row>
    <row r="237" spans="1:15" ht="15.6">
      <c r="A237" s="1724"/>
      <c r="B237" s="1702"/>
      <c r="C237" s="1702"/>
      <c r="D237" s="1702"/>
      <c r="E237" s="1702"/>
      <c r="F237" s="1702"/>
      <c r="G237" s="1702"/>
      <c r="H237" s="1702"/>
      <c r="I237" s="1702"/>
      <c r="J237" s="1702"/>
      <c r="K237" s="1702"/>
      <c r="L237" s="1702"/>
      <c r="M237" s="1715"/>
      <c r="N237" s="1137"/>
      <c r="O237" s="1137"/>
    </row>
    <row r="238" spans="1:15">
      <c r="A238" s="1713"/>
      <c r="B238" s="1702"/>
      <c r="C238" s="1702"/>
      <c r="D238" s="1702"/>
      <c r="E238" s="1702"/>
      <c r="F238" s="1702"/>
      <c r="G238" s="1702"/>
      <c r="H238" s="1702"/>
      <c r="I238" s="1702"/>
      <c r="J238" s="1702"/>
      <c r="K238" s="1702"/>
      <c r="L238" s="1702"/>
      <c r="M238" s="1715"/>
      <c r="N238" s="1137"/>
      <c r="O238" s="1137"/>
    </row>
    <row r="239" spans="1:15">
      <c r="A239" s="1716"/>
      <c r="B239" s="1701"/>
      <c r="C239" s="1701"/>
      <c r="D239" s="1701"/>
      <c r="E239" s="1701"/>
      <c r="F239" s="1701"/>
      <c r="G239" s="1701"/>
      <c r="H239" s="1701"/>
      <c r="I239" s="1701"/>
      <c r="J239" s="1701"/>
      <c r="K239" s="1701"/>
      <c r="L239" s="1701"/>
      <c r="M239" s="1728"/>
      <c r="N239" s="1137"/>
      <c r="O239" s="1137"/>
    </row>
    <row r="240" spans="1:15">
      <c r="A240" s="1136"/>
      <c r="B240" s="1136"/>
      <c r="C240" s="1136"/>
      <c r="D240" s="1136"/>
      <c r="E240" s="1136"/>
      <c r="F240" s="1136"/>
      <c r="G240" s="1136"/>
      <c r="H240" s="1136"/>
      <c r="I240" s="1136"/>
      <c r="J240" s="1136"/>
      <c r="K240" s="1136"/>
      <c r="L240" s="1136"/>
      <c r="M240" s="1136"/>
      <c r="N240" s="1137"/>
      <c r="O240" s="1137"/>
    </row>
    <row r="241" spans="1:47">
      <c r="A241" s="1136"/>
      <c r="B241" s="1136"/>
      <c r="C241" s="1136"/>
      <c r="D241" s="1136"/>
      <c r="E241" s="1136"/>
      <c r="F241" s="1136"/>
      <c r="G241" s="1136"/>
      <c r="H241" s="1136"/>
      <c r="I241" s="1136"/>
      <c r="J241" s="1136"/>
      <c r="K241" s="1136"/>
      <c r="L241" s="1136"/>
      <c r="M241" s="1136"/>
      <c r="N241" s="1137"/>
      <c r="O241" s="1137"/>
    </row>
    <row r="242" spans="1:47">
      <c r="A242" s="1136"/>
      <c r="B242" s="1136"/>
      <c r="C242" s="1136"/>
      <c r="D242" s="1136"/>
      <c r="E242" s="1136"/>
      <c r="F242" s="1136"/>
      <c r="G242" s="1136"/>
      <c r="H242" s="1136"/>
      <c r="I242" s="1136"/>
      <c r="J242" s="1136"/>
      <c r="K242" s="1136"/>
      <c r="L242" s="1136"/>
      <c r="M242" s="1136"/>
      <c r="N242" s="1137"/>
      <c r="O242" s="1137"/>
    </row>
    <row r="243" spans="1:47">
      <c r="A243" s="765"/>
      <c r="B243" s="765"/>
      <c r="C243" s="765"/>
      <c r="D243" s="765"/>
      <c r="E243" s="765"/>
      <c r="F243" s="765"/>
      <c r="G243" s="765"/>
      <c r="H243" s="765"/>
      <c r="I243" s="765"/>
      <c r="J243" s="765"/>
      <c r="K243" s="765"/>
      <c r="L243" s="765"/>
      <c r="M243" s="765"/>
    </row>
    <row r="244" spans="1:47">
      <c r="A244" s="765"/>
      <c r="B244" s="765"/>
      <c r="C244" s="765"/>
      <c r="D244" s="765"/>
      <c r="E244" s="765"/>
      <c r="F244" s="765"/>
      <c r="G244" s="765"/>
      <c r="H244" s="765"/>
      <c r="I244" s="765"/>
      <c r="J244" s="765"/>
      <c r="K244" s="765"/>
      <c r="L244" s="765"/>
      <c r="M244" s="765"/>
      <c r="N244" s="754"/>
      <c r="O244" s="754"/>
      <c r="P244" s="754"/>
      <c r="Q244" s="754"/>
      <c r="R244" s="754"/>
      <c r="S244" s="754"/>
      <c r="T244" s="754"/>
      <c r="U244" s="754"/>
      <c r="V244" s="754"/>
      <c r="W244" s="754"/>
      <c r="X244" s="754"/>
      <c r="Y244" s="754"/>
      <c r="Z244" s="754"/>
      <c r="AA244" s="754"/>
      <c r="AB244" s="754"/>
      <c r="AC244" s="754"/>
      <c r="AD244" s="754"/>
      <c r="AE244" s="754"/>
      <c r="AF244" s="754"/>
      <c r="AG244" s="754"/>
      <c r="AH244" s="754"/>
      <c r="AI244" s="754"/>
      <c r="AJ244" s="754"/>
      <c r="AK244" s="754"/>
      <c r="AL244" s="754"/>
      <c r="AN244" s="754"/>
      <c r="AO244" s="754"/>
      <c r="AP244" s="754"/>
      <c r="AQ244" s="754"/>
      <c r="AR244" s="754"/>
      <c r="AS244" s="754"/>
      <c r="AT244" s="754"/>
      <c r="AU244" s="754"/>
    </row>
    <row r="245" spans="1:47">
      <c r="A245" s="765"/>
      <c r="B245" s="765"/>
      <c r="C245" s="765"/>
      <c r="D245" s="765"/>
      <c r="E245" s="765"/>
      <c r="F245" s="765"/>
      <c r="G245" s="765"/>
      <c r="H245" s="765"/>
      <c r="I245" s="765"/>
      <c r="J245" s="765"/>
      <c r="K245" s="765"/>
      <c r="L245" s="765"/>
      <c r="M245" s="765"/>
      <c r="S245" s="754"/>
      <c r="AM245"/>
    </row>
    <row r="246" spans="1:47">
      <c r="A246" s="765"/>
      <c r="B246" s="765"/>
      <c r="C246" s="765"/>
      <c r="D246" s="765"/>
      <c r="E246" s="765"/>
      <c r="F246" s="765"/>
      <c r="G246" s="765"/>
      <c r="H246" s="765"/>
      <c r="I246" s="765"/>
      <c r="J246" s="765"/>
      <c r="K246" s="765"/>
      <c r="L246" s="765"/>
      <c r="M246" s="765"/>
      <c r="S246" s="754"/>
      <c r="AM246"/>
    </row>
    <row r="247" spans="1:47">
      <c r="A247" s="765"/>
      <c r="B247" s="765"/>
      <c r="C247" s="765"/>
      <c r="D247" s="765"/>
      <c r="E247" s="765"/>
      <c r="F247" s="765"/>
      <c r="G247" s="765"/>
      <c r="H247" s="765"/>
      <c r="I247" s="765"/>
      <c r="J247" s="765"/>
      <c r="K247" s="765"/>
      <c r="L247" s="765"/>
      <c r="M247" s="765"/>
      <c r="S247" s="754"/>
      <c r="AM247"/>
    </row>
    <row r="248" spans="1:47">
      <c r="A248" s="1673" t="s">
        <v>1599</v>
      </c>
      <c r="B248" s="1674" t="s">
        <v>1600</v>
      </c>
      <c r="C248" s="1674"/>
      <c r="D248" s="1674"/>
      <c r="E248" s="1674"/>
      <c r="F248" s="1674"/>
      <c r="G248" s="1674"/>
      <c r="H248" s="1674"/>
      <c r="I248" s="1674"/>
      <c r="J248" s="1674"/>
      <c r="K248" s="1674"/>
      <c r="L248" s="1674"/>
      <c r="M248" s="1675"/>
      <c r="S248" s="754"/>
      <c r="AM248"/>
    </row>
    <row r="249" spans="1:47">
      <c r="A249" s="320"/>
      <c r="B249" s="1676" t="s">
        <v>1601</v>
      </c>
      <c r="C249" s="1676"/>
      <c r="D249" s="1676"/>
      <c r="E249" s="1676"/>
      <c r="F249" s="1676"/>
      <c r="G249" s="1676"/>
      <c r="H249" s="1676"/>
      <c r="I249" s="1676"/>
      <c r="J249" s="1676"/>
      <c r="K249" s="1676"/>
      <c r="L249" s="1676"/>
      <c r="M249" s="1677"/>
      <c r="S249" s="754"/>
      <c r="AM249"/>
    </row>
    <row r="250" spans="1:47">
      <c r="A250" s="471"/>
      <c r="B250" s="697" t="s">
        <v>1602</v>
      </c>
      <c r="C250" s="697"/>
      <c r="D250" s="697"/>
      <c r="E250" s="697"/>
      <c r="F250" s="697"/>
      <c r="G250" s="697"/>
      <c r="H250" s="697"/>
      <c r="I250" s="697"/>
      <c r="J250" s="697"/>
      <c r="K250" s="697"/>
      <c r="L250" s="697"/>
      <c r="M250" s="612"/>
      <c r="S250" s="754"/>
    </row>
    <row r="251" spans="1:47">
      <c r="A251" s="471"/>
      <c r="B251" s="697" t="s">
        <v>1603</v>
      </c>
      <c r="C251" s="697"/>
      <c r="D251" s="697"/>
      <c r="E251" s="697"/>
      <c r="F251" s="697"/>
      <c r="G251" s="697"/>
      <c r="H251" s="697"/>
      <c r="I251" s="697"/>
      <c r="J251" s="697"/>
      <c r="K251" s="697"/>
      <c r="L251" s="697"/>
      <c r="M251" s="612"/>
      <c r="S251" s="754"/>
    </row>
    <row r="252" spans="1:47">
      <c r="A252" s="1688"/>
      <c r="B252" s="736"/>
      <c r="C252" s="736"/>
      <c r="D252" s="736"/>
      <c r="E252" s="736"/>
      <c r="F252" s="736"/>
      <c r="G252" s="736"/>
      <c r="H252" s="736"/>
      <c r="I252" s="736"/>
      <c r="J252" s="736"/>
      <c r="K252" s="736"/>
      <c r="L252" s="736"/>
      <c r="M252" s="613"/>
      <c r="S252" s="754"/>
    </row>
    <row r="253" spans="1:47">
      <c r="A253" s="471" t="s">
        <v>1526</v>
      </c>
      <c r="B253" s="697"/>
      <c r="C253" s="697" t="s">
        <v>625</v>
      </c>
      <c r="D253" s="697"/>
      <c r="E253" s="697" t="s">
        <v>625</v>
      </c>
      <c r="F253" s="697"/>
      <c r="G253" s="697" t="s">
        <v>1604</v>
      </c>
      <c r="H253" s="697"/>
      <c r="I253" s="697"/>
      <c r="J253" s="697"/>
      <c r="K253" s="697" t="s">
        <v>1605</v>
      </c>
      <c r="L253" s="697"/>
      <c r="M253" s="612" t="s">
        <v>1606</v>
      </c>
      <c r="S253" s="754"/>
    </row>
    <row r="254" spans="1:47">
      <c r="A254" s="471" t="s">
        <v>1529</v>
      </c>
      <c r="B254" s="697"/>
      <c r="C254" s="697" t="s">
        <v>124</v>
      </c>
      <c r="D254" s="697"/>
      <c r="E254" s="697" t="s">
        <v>124</v>
      </c>
      <c r="F254" s="697"/>
      <c r="G254" s="697" t="s">
        <v>1607</v>
      </c>
      <c r="H254" s="697"/>
      <c r="I254" s="697"/>
      <c r="J254" s="697"/>
      <c r="K254" s="697" t="s">
        <v>528</v>
      </c>
      <c r="L254" s="697"/>
      <c r="M254" s="612" t="s">
        <v>1608</v>
      </c>
      <c r="S254" s="754"/>
    </row>
    <row r="255" spans="1:47" ht="15.6">
      <c r="A255" s="471"/>
      <c r="B255" s="697"/>
      <c r="C255" s="697"/>
      <c r="D255" s="697"/>
      <c r="E255" s="697"/>
      <c r="F255" s="697"/>
      <c r="G255" s="736" t="s">
        <v>1609</v>
      </c>
      <c r="H255" s="736"/>
      <c r="I255" s="736"/>
      <c r="J255" s="697"/>
      <c r="K255" s="697" t="s">
        <v>1610</v>
      </c>
      <c r="L255" s="697"/>
      <c r="M255" s="612" t="s">
        <v>2135</v>
      </c>
      <c r="S255" s="754"/>
    </row>
    <row r="256" spans="1:47">
      <c r="A256" s="471"/>
      <c r="B256" s="697"/>
      <c r="C256" s="697"/>
      <c r="D256" s="697"/>
      <c r="E256" s="697"/>
      <c r="F256" s="697"/>
      <c r="G256" s="697" t="s">
        <v>1611</v>
      </c>
      <c r="H256" s="697"/>
      <c r="I256" s="697" t="s">
        <v>1612</v>
      </c>
      <c r="J256" s="697"/>
      <c r="K256" s="697"/>
      <c r="L256" s="697"/>
      <c r="M256" s="612" t="s">
        <v>1613</v>
      </c>
      <c r="S256" s="754"/>
    </row>
    <row r="257" spans="1:19">
      <c r="A257" s="471"/>
      <c r="B257" s="697"/>
      <c r="C257" s="697"/>
      <c r="D257" s="697"/>
      <c r="E257" s="697"/>
      <c r="F257" s="697"/>
      <c r="G257" s="697" t="s">
        <v>1003</v>
      </c>
      <c r="H257" s="697"/>
      <c r="I257" s="697" t="s">
        <v>1003</v>
      </c>
      <c r="J257" s="697"/>
      <c r="K257" s="697"/>
      <c r="L257" s="697"/>
      <c r="M257" s="612" t="s">
        <v>1614</v>
      </c>
      <c r="S257" s="545"/>
    </row>
    <row r="258" spans="1:19" ht="15.6">
      <c r="A258" s="471"/>
      <c r="B258" s="697"/>
      <c r="C258" s="697"/>
      <c r="D258" s="697"/>
      <c r="E258" s="697"/>
      <c r="F258" s="697"/>
      <c r="G258" s="697" t="s">
        <v>228</v>
      </c>
      <c r="H258" s="697"/>
      <c r="I258" s="697" t="s">
        <v>1615</v>
      </c>
      <c r="J258" s="697"/>
      <c r="K258" s="697"/>
      <c r="L258" s="697"/>
      <c r="M258" s="612" t="s">
        <v>2136</v>
      </c>
      <c r="S258" s="545"/>
    </row>
    <row r="259" spans="1:19">
      <c r="A259" s="471"/>
      <c r="B259" s="697"/>
      <c r="C259" s="736"/>
      <c r="D259" s="736"/>
      <c r="E259" s="736"/>
      <c r="F259" s="736"/>
      <c r="G259" s="736" t="s">
        <v>1616</v>
      </c>
      <c r="H259" s="736"/>
      <c r="I259" s="736" t="s">
        <v>1616</v>
      </c>
      <c r="J259" s="736"/>
      <c r="K259" s="736"/>
      <c r="L259" s="736"/>
      <c r="M259" s="613"/>
      <c r="S259" s="922"/>
    </row>
    <row r="260" spans="1:19">
      <c r="A260" s="1688"/>
      <c r="B260" s="736"/>
      <c r="C260" s="736">
        <v>2009</v>
      </c>
      <c r="D260" s="736"/>
      <c r="E260" s="615">
        <v>2010</v>
      </c>
      <c r="F260" s="736"/>
      <c r="G260" s="736">
        <v>2010</v>
      </c>
      <c r="H260" s="736"/>
      <c r="I260" s="736">
        <v>2010</v>
      </c>
      <c r="J260" s="736"/>
      <c r="K260" s="736">
        <v>2010</v>
      </c>
      <c r="L260" s="736"/>
      <c r="M260" s="613">
        <v>2010</v>
      </c>
      <c r="Q260" s="545"/>
      <c r="S260" s="922"/>
    </row>
    <row r="261" spans="1:19">
      <c r="A261" s="471"/>
      <c r="B261" s="697"/>
      <c r="C261" s="697"/>
      <c r="D261" s="697"/>
      <c r="E261" s="697"/>
      <c r="F261" s="697"/>
      <c r="G261" s="697"/>
      <c r="H261" s="697"/>
      <c r="I261" s="697"/>
      <c r="J261" s="697"/>
      <c r="K261" s="697"/>
      <c r="L261" s="697"/>
      <c r="M261" s="612"/>
      <c r="Q261" s="866" t="s">
        <v>2097</v>
      </c>
      <c r="S261" s="922"/>
    </row>
    <row r="262" spans="1:19">
      <c r="A262" s="471" t="s">
        <v>1296</v>
      </c>
      <c r="B262" s="697"/>
      <c r="C262" s="1683">
        <v>6957</v>
      </c>
      <c r="D262" s="1683"/>
      <c r="E262" s="1683">
        <f>G262+I262+K262+M262</f>
        <v>4915</v>
      </c>
      <c r="F262" s="1683"/>
      <c r="G262" s="1683">
        <v>88</v>
      </c>
      <c r="H262" s="1683"/>
      <c r="I262" s="1683">
        <v>650</v>
      </c>
      <c r="J262" s="1683"/>
      <c r="K262" s="1683">
        <v>3</v>
      </c>
      <c r="L262" s="1683"/>
      <c r="M262" s="1693">
        <v>4174</v>
      </c>
      <c r="O262" s="1660" t="s">
        <v>1296</v>
      </c>
      <c r="P262" s="921">
        <v>2505</v>
      </c>
      <c r="Q262" s="922">
        <v>1</v>
      </c>
      <c r="S262" s="922"/>
    </row>
    <row r="263" spans="1:19">
      <c r="A263" s="471" t="s">
        <v>1251</v>
      </c>
      <c r="B263" s="697"/>
      <c r="C263" s="1683">
        <v>4839</v>
      </c>
      <c r="D263" s="1683"/>
      <c r="E263" s="1683">
        <f t="shared" ref="E263:E293" si="3">G263+I263+K263+M263</f>
        <v>3821</v>
      </c>
      <c r="F263" s="1683"/>
      <c r="G263" s="1683">
        <v>82</v>
      </c>
      <c r="H263" s="1683"/>
      <c r="I263" s="1683">
        <v>1540</v>
      </c>
      <c r="J263" s="1683"/>
      <c r="K263" s="1683">
        <v>45</v>
      </c>
      <c r="L263" s="1683"/>
      <c r="M263" s="1693">
        <v>2154</v>
      </c>
      <c r="O263" s="921" t="s">
        <v>1251</v>
      </c>
      <c r="P263" s="921">
        <v>2081</v>
      </c>
      <c r="Q263" s="922">
        <v>3</v>
      </c>
      <c r="S263" s="922"/>
    </row>
    <row r="264" spans="1:19">
      <c r="A264" s="471" t="s">
        <v>1303</v>
      </c>
      <c r="B264" s="697"/>
      <c r="C264" s="1683">
        <v>1613</v>
      </c>
      <c r="D264" s="1683"/>
      <c r="E264" s="1683">
        <f t="shared" si="3"/>
        <v>1562</v>
      </c>
      <c r="F264" s="1683"/>
      <c r="G264" s="1683">
        <v>1</v>
      </c>
      <c r="H264" s="1683"/>
      <c r="I264" s="1683">
        <v>1107</v>
      </c>
      <c r="J264" s="1683"/>
      <c r="K264" s="1683">
        <v>1</v>
      </c>
      <c r="L264" s="1683"/>
      <c r="M264" s="1693">
        <v>453</v>
      </c>
      <c r="O264" s="921" t="s">
        <v>1303</v>
      </c>
      <c r="P264" s="921">
        <v>2523</v>
      </c>
      <c r="Q264" s="922">
        <v>1</v>
      </c>
      <c r="S264" s="922"/>
    </row>
    <row r="265" spans="1:19">
      <c r="A265" s="471" t="s">
        <v>1536</v>
      </c>
      <c r="B265" s="697"/>
      <c r="C265" s="1683">
        <v>28346</v>
      </c>
      <c r="D265" s="1683"/>
      <c r="E265" s="1683">
        <f t="shared" si="3"/>
        <v>30588</v>
      </c>
      <c r="F265" s="1683"/>
      <c r="G265" s="1683">
        <v>21932</v>
      </c>
      <c r="H265" s="1683"/>
      <c r="I265" s="1683">
        <v>8279</v>
      </c>
      <c r="J265" s="1683"/>
      <c r="K265" s="1683">
        <v>86</v>
      </c>
      <c r="L265" s="1683"/>
      <c r="M265" s="1693">
        <v>291</v>
      </c>
      <c r="O265" s="921" t="s">
        <v>1184</v>
      </c>
      <c r="P265" s="921">
        <v>1480</v>
      </c>
      <c r="Q265" s="922">
        <v>3</v>
      </c>
      <c r="S265" s="922"/>
    </row>
    <row r="266" spans="1:19">
      <c r="A266" s="471" t="s">
        <v>1537</v>
      </c>
      <c r="B266" s="697"/>
      <c r="C266" s="1683">
        <v>30297</v>
      </c>
      <c r="D266" s="1683"/>
      <c r="E266" s="1683">
        <f t="shared" si="3"/>
        <v>26990</v>
      </c>
      <c r="F266" s="1683"/>
      <c r="G266" s="1683">
        <v>2685</v>
      </c>
      <c r="H266" s="1683"/>
      <c r="I266" s="1683">
        <v>373</v>
      </c>
      <c r="J266" s="1683"/>
      <c r="K266" s="1683">
        <v>130</v>
      </c>
      <c r="L266" s="1683"/>
      <c r="M266" s="1693">
        <v>23802</v>
      </c>
      <c r="O266" s="921" t="s">
        <v>1184</v>
      </c>
      <c r="P266" s="921">
        <v>1480</v>
      </c>
      <c r="Q266" s="922">
        <v>3</v>
      </c>
      <c r="S266" s="922"/>
    </row>
    <row r="267" spans="1:19">
      <c r="A267" s="471" t="s">
        <v>1216</v>
      </c>
      <c r="B267" s="697"/>
      <c r="C267" s="1683">
        <v>712</v>
      </c>
      <c r="D267" s="1683"/>
      <c r="E267" s="1683">
        <f t="shared" si="3"/>
        <v>860</v>
      </c>
      <c r="F267" s="1683"/>
      <c r="G267" s="1683">
        <v>1</v>
      </c>
      <c r="H267" s="1683"/>
      <c r="I267" s="1683">
        <v>702</v>
      </c>
      <c r="J267" s="1683"/>
      <c r="K267" s="1683">
        <v>76</v>
      </c>
      <c r="L267" s="1683"/>
      <c r="M267" s="1693">
        <v>81</v>
      </c>
      <c r="O267" s="921" t="s">
        <v>1216</v>
      </c>
      <c r="P267" s="921">
        <v>1783</v>
      </c>
      <c r="Q267" s="922">
        <v>3</v>
      </c>
      <c r="S267" s="922"/>
    </row>
    <row r="268" spans="1:19" ht="15.6">
      <c r="A268" s="471" t="s">
        <v>1149</v>
      </c>
      <c r="B268" s="697"/>
      <c r="C268" s="1683">
        <v>4774</v>
      </c>
      <c r="D268" s="1731"/>
      <c r="E268" s="1683">
        <f t="shared" si="3"/>
        <v>5076</v>
      </c>
      <c r="F268" s="1683"/>
      <c r="G268" s="1683">
        <v>40</v>
      </c>
      <c r="H268" s="1683"/>
      <c r="I268" s="1683">
        <v>1834</v>
      </c>
      <c r="J268" s="1683"/>
      <c r="K268" s="1683">
        <v>1</v>
      </c>
      <c r="L268" s="1683"/>
      <c r="M268" s="1693">
        <v>3201</v>
      </c>
      <c r="O268" s="921" t="s">
        <v>1149</v>
      </c>
      <c r="P268" s="921">
        <v>1380</v>
      </c>
      <c r="Q268" s="922">
        <v>3</v>
      </c>
      <c r="S268" s="922"/>
    </row>
    <row r="269" spans="1:19">
      <c r="A269" s="471" t="s">
        <v>1538</v>
      </c>
      <c r="B269" s="697"/>
      <c r="C269" s="1683">
        <v>406</v>
      </c>
      <c r="D269" s="1683"/>
      <c r="E269" s="1683">
        <v>403</v>
      </c>
      <c r="F269" s="1683"/>
      <c r="G269" s="1684" t="s">
        <v>390</v>
      </c>
      <c r="H269" s="1683"/>
      <c r="I269" s="1683">
        <v>396</v>
      </c>
      <c r="J269" s="1683"/>
      <c r="K269" s="1683">
        <v>4</v>
      </c>
      <c r="L269" s="1683"/>
      <c r="M269" s="1693">
        <v>3</v>
      </c>
      <c r="O269" s="921" t="s">
        <v>1287</v>
      </c>
      <c r="P269" s="921">
        <v>2421</v>
      </c>
      <c r="Q269" s="922">
        <v>1</v>
      </c>
      <c r="S269" s="922"/>
    </row>
    <row r="270" spans="1:19" ht="15.6">
      <c r="A270" s="471" t="s">
        <v>1082</v>
      </c>
      <c r="B270" s="697"/>
      <c r="C270" s="1683">
        <v>6730</v>
      </c>
      <c r="D270" s="1731"/>
      <c r="E270" s="1683">
        <f t="shared" si="3"/>
        <v>6996</v>
      </c>
      <c r="F270" s="1683"/>
      <c r="G270" s="1683">
        <v>635</v>
      </c>
      <c r="H270" s="1683"/>
      <c r="I270" s="1683">
        <v>2802</v>
      </c>
      <c r="J270" s="1683"/>
      <c r="K270" s="1683">
        <v>139</v>
      </c>
      <c r="L270" s="1683"/>
      <c r="M270" s="1693">
        <v>3420</v>
      </c>
      <c r="O270" s="921" t="s">
        <v>1082</v>
      </c>
      <c r="P270" s="921">
        <v>680</v>
      </c>
      <c r="Q270" s="922">
        <v>3</v>
      </c>
      <c r="S270" s="922"/>
    </row>
    <row r="271" spans="1:19">
      <c r="A271" s="471" t="s">
        <v>1103</v>
      </c>
      <c r="B271" s="697"/>
      <c r="C271" s="1683">
        <v>5535</v>
      </c>
      <c r="D271" s="697"/>
      <c r="E271" s="1683">
        <f t="shared" si="3"/>
        <v>7569</v>
      </c>
      <c r="F271" s="1683"/>
      <c r="G271" s="1683">
        <v>98</v>
      </c>
      <c r="H271" s="1683"/>
      <c r="I271" s="1683">
        <v>1678</v>
      </c>
      <c r="J271" s="1683"/>
      <c r="K271" s="1683">
        <v>16</v>
      </c>
      <c r="L271" s="1683"/>
      <c r="M271" s="1693">
        <v>5777</v>
      </c>
      <c r="O271" s="921" t="s">
        <v>1103</v>
      </c>
      <c r="P271" s="921">
        <v>880</v>
      </c>
      <c r="Q271" s="922">
        <v>4</v>
      </c>
      <c r="S271" s="922"/>
    </row>
    <row r="272" spans="1:19">
      <c r="A272" s="471" t="s">
        <v>1213</v>
      </c>
      <c r="B272" s="697"/>
      <c r="C272" s="1683">
        <v>3690</v>
      </c>
      <c r="D272" s="697"/>
      <c r="E272" s="1683">
        <f t="shared" si="3"/>
        <v>3131</v>
      </c>
      <c r="F272" s="1683"/>
      <c r="G272" s="1683">
        <v>599</v>
      </c>
      <c r="H272" s="1683"/>
      <c r="I272" s="1683">
        <v>1128</v>
      </c>
      <c r="J272" s="1683"/>
      <c r="K272" s="1683">
        <v>32</v>
      </c>
      <c r="L272" s="1683"/>
      <c r="M272" s="1693">
        <v>1372</v>
      </c>
      <c r="O272" s="921" t="s">
        <v>1213</v>
      </c>
      <c r="P272" s="921">
        <v>1780</v>
      </c>
      <c r="Q272" s="922">
        <v>3</v>
      </c>
      <c r="S272" s="922"/>
    </row>
    <row r="273" spans="1:19" ht="15.6">
      <c r="A273" s="471" t="s">
        <v>1309</v>
      </c>
      <c r="B273" s="697"/>
      <c r="C273" s="1683">
        <v>2917</v>
      </c>
      <c r="D273" s="1734"/>
      <c r="E273" s="1683">
        <f t="shared" si="3"/>
        <v>2939</v>
      </c>
      <c r="F273" s="1683"/>
      <c r="G273" s="1683">
        <v>44</v>
      </c>
      <c r="H273" s="1683"/>
      <c r="I273" s="1683">
        <v>1307</v>
      </c>
      <c r="J273" s="1683"/>
      <c r="K273" s="1683">
        <v>14</v>
      </c>
      <c r="L273" s="1683"/>
      <c r="M273" s="1693">
        <v>1574</v>
      </c>
      <c r="O273" s="921" t="s">
        <v>1309</v>
      </c>
      <c r="P273" s="921">
        <v>2584</v>
      </c>
      <c r="Q273" s="922">
        <v>1</v>
      </c>
      <c r="S273" s="922"/>
    </row>
    <row r="274" spans="1:19" ht="15.6">
      <c r="A274" s="471" t="s">
        <v>1539</v>
      </c>
      <c r="B274" s="697"/>
      <c r="C274" s="1683">
        <v>1277</v>
      </c>
      <c r="D274" s="1732"/>
      <c r="E274" s="1683">
        <f t="shared" si="3"/>
        <v>1437</v>
      </c>
      <c r="F274" s="1683"/>
      <c r="G274" s="1683">
        <v>1</v>
      </c>
      <c r="H274" s="1683"/>
      <c r="I274" s="1683">
        <v>1340</v>
      </c>
      <c r="J274" s="1683"/>
      <c r="K274" s="1683">
        <v>24</v>
      </c>
      <c r="L274" s="1683"/>
      <c r="M274" s="1693">
        <v>72</v>
      </c>
      <c r="O274" s="921" t="s">
        <v>1270</v>
      </c>
      <c r="P274" s="921">
        <v>2282</v>
      </c>
      <c r="Q274" s="922">
        <v>2</v>
      </c>
      <c r="S274" s="922"/>
    </row>
    <row r="275" spans="1:19">
      <c r="A275" s="471" t="s">
        <v>1144</v>
      </c>
      <c r="B275" s="697"/>
      <c r="C275" s="1683">
        <v>3953</v>
      </c>
      <c r="D275" s="1683"/>
      <c r="E275" s="1683">
        <f t="shared" si="3"/>
        <v>4596</v>
      </c>
      <c r="F275" s="1683"/>
      <c r="G275" s="1683">
        <v>18</v>
      </c>
      <c r="H275" s="1683"/>
      <c r="I275" s="1683">
        <v>789</v>
      </c>
      <c r="J275" s="1683"/>
      <c r="K275" s="1683">
        <v>60</v>
      </c>
      <c r="L275" s="1683"/>
      <c r="M275" s="1693">
        <v>3729</v>
      </c>
      <c r="O275" s="921" t="s">
        <v>1144</v>
      </c>
      <c r="P275" s="921">
        <v>1290</v>
      </c>
      <c r="Q275" s="922">
        <v>4</v>
      </c>
      <c r="S275" s="922"/>
    </row>
    <row r="276" spans="1:19">
      <c r="A276" s="471" t="s">
        <v>1540</v>
      </c>
      <c r="B276" s="697"/>
      <c r="C276" s="1683">
        <v>9374</v>
      </c>
      <c r="D276" s="1683"/>
      <c r="E276" s="1683">
        <f t="shared" si="3"/>
        <v>9378</v>
      </c>
      <c r="F276" s="1683"/>
      <c r="G276" s="1683">
        <v>1372</v>
      </c>
      <c r="H276" s="1683"/>
      <c r="I276" s="1683">
        <v>693</v>
      </c>
      <c r="J276" s="1683"/>
      <c r="K276" s="1683">
        <v>1</v>
      </c>
      <c r="L276" s="1683"/>
      <c r="M276" s="1693">
        <v>7312</v>
      </c>
      <c r="O276" s="921" t="s">
        <v>1070</v>
      </c>
      <c r="P276" s="921">
        <v>580</v>
      </c>
      <c r="Q276" s="922">
        <v>3</v>
      </c>
      <c r="S276" s="922"/>
    </row>
    <row r="277" spans="1:19">
      <c r="A277" s="471" t="s">
        <v>1541</v>
      </c>
      <c r="B277" s="697"/>
      <c r="C277" s="1683">
        <v>8993</v>
      </c>
      <c r="D277" s="697"/>
      <c r="E277" s="1683">
        <f t="shared" si="3"/>
        <v>8842</v>
      </c>
      <c r="F277" s="1683"/>
      <c r="G277" s="1683">
        <v>284</v>
      </c>
      <c r="H277" s="1683"/>
      <c r="I277" s="1683">
        <v>6132</v>
      </c>
      <c r="J277" s="1683"/>
      <c r="K277" s="1683">
        <v>47</v>
      </c>
      <c r="L277" s="1683"/>
      <c r="M277" s="1693">
        <v>2379</v>
      </c>
      <c r="O277" s="921" t="s">
        <v>1305</v>
      </c>
      <c r="P277" s="921">
        <v>2580</v>
      </c>
      <c r="Q277" s="922">
        <v>1</v>
      </c>
      <c r="S277" s="922"/>
    </row>
    <row r="278" spans="1:19">
      <c r="A278" s="471" t="s">
        <v>1294</v>
      </c>
      <c r="B278" s="697"/>
      <c r="C278" s="1683">
        <v>2198</v>
      </c>
      <c r="D278" s="1683"/>
      <c r="E278" s="1683">
        <v>2475</v>
      </c>
      <c r="F278" s="1683"/>
      <c r="G278" s="1684" t="s">
        <v>390</v>
      </c>
      <c r="H278" s="1683"/>
      <c r="I278" s="1683">
        <v>1189</v>
      </c>
      <c r="J278" s="1683"/>
      <c r="K278" s="1683">
        <v>7</v>
      </c>
      <c r="L278" s="1683"/>
      <c r="M278" s="1693">
        <v>1279</v>
      </c>
      <c r="O278" s="921" t="s">
        <v>1294</v>
      </c>
      <c r="P278" s="921">
        <v>2481</v>
      </c>
      <c r="Q278" s="922">
        <v>2</v>
      </c>
      <c r="S278" s="922"/>
    </row>
    <row r="279" spans="1:19" ht="15.6">
      <c r="A279" s="471" t="s">
        <v>1617</v>
      </c>
      <c r="B279" s="697"/>
      <c r="C279" s="1683">
        <v>17395</v>
      </c>
      <c r="D279" s="1731"/>
      <c r="E279" s="1683">
        <f t="shared" si="3"/>
        <v>18461</v>
      </c>
      <c r="F279" s="1683"/>
      <c r="G279" s="1683">
        <v>4983</v>
      </c>
      <c r="H279" s="1683"/>
      <c r="I279" s="1683">
        <v>6980</v>
      </c>
      <c r="J279" s="1683"/>
      <c r="K279" s="1683">
        <v>479</v>
      </c>
      <c r="L279" s="1683"/>
      <c r="M279" s="1693">
        <v>6019</v>
      </c>
      <c r="O279" s="921" t="s">
        <v>1136</v>
      </c>
      <c r="P279" s="921">
        <v>1280</v>
      </c>
      <c r="Q279" s="922">
        <v>4</v>
      </c>
      <c r="S279" s="922"/>
    </row>
    <row r="280" spans="1:19">
      <c r="A280" s="471" t="s">
        <v>1543</v>
      </c>
      <c r="B280" s="697"/>
      <c r="C280" s="1683">
        <v>1699</v>
      </c>
      <c r="D280" s="1683"/>
      <c r="E280" s="1683">
        <f t="shared" si="3"/>
        <v>1534</v>
      </c>
      <c r="F280" s="1683"/>
      <c r="G280" s="1683">
        <v>3</v>
      </c>
      <c r="H280" s="1683"/>
      <c r="I280" s="1683">
        <v>915</v>
      </c>
      <c r="J280" s="1683"/>
      <c r="K280" s="1683">
        <v>13</v>
      </c>
      <c r="L280" s="1683"/>
      <c r="M280" s="1693">
        <v>603</v>
      </c>
      <c r="O280" s="921" t="s">
        <v>1249</v>
      </c>
      <c r="P280" s="921">
        <v>2062</v>
      </c>
      <c r="Q280" s="922">
        <v>3</v>
      </c>
      <c r="S280" s="922"/>
    </row>
    <row r="281" spans="1:19" ht="15.6">
      <c r="A281" s="471" t="s">
        <v>1544</v>
      </c>
      <c r="B281" s="697"/>
      <c r="C281" s="1683">
        <v>9077</v>
      </c>
      <c r="D281" s="1731"/>
      <c r="E281" s="1683">
        <f t="shared" si="3"/>
        <v>8308</v>
      </c>
      <c r="F281" s="1683"/>
      <c r="G281" s="1683">
        <v>1138</v>
      </c>
      <c r="H281" s="1683"/>
      <c r="I281" s="1683">
        <v>542</v>
      </c>
      <c r="J281" s="1683"/>
      <c r="K281" s="1683">
        <v>171</v>
      </c>
      <c r="L281" s="1683"/>
      <c r="M281" s="1693">
        <v>6457</v>
      </c>
      <c r="O281" s="921" t="s">
        <v>1071</v>
      </c>
      <c r="P281" s="921">
        <v>581</v>
      </c>
      <c r="Q281" s="922">
        <v>3</v>
      </c>
      <c r="S281" s="922"/>
    </row>
    <row r="282" spans="1:19">
      <c r="A282" s="471" t="s">
        <v>1105</v>
      </c>
      <c r="B282" s="697"/>
      <c r="C282" s="1683">
        <v>900</v>
      </c>
      <c r="D282" s="1683"/>
      <c r="E282" s="1683">
        <f t="shared" si="3"/>
        <v>834</v>
      </c>
      <c r="F282" s="1683"/>
      <c r="G282" s="1683">
        <v>7</v>
      </c>
      <c r="H282" s="1683"/>
      <c r="I282" s="1683">
        <v>660</v>
      </c>
      <c r="J282" s="1683"/>
      <c r="K282" s="1683">
        <v>89</v>
      </c>
      <c r="L282" s="1683"/>
      <c r="M282" s="1693">
        <v>78</v>
      </c>
      <c r="O282" s="921" t="s">
        <v>1105</v>
      </c>
      <c r="P282" s="921">
        <v>882</v>
      </c>
      <c r="Q282" s="922">
        <v>4</v>
      </c>
      <c r="S282" s="922"/>
    </row>
    <row r="283" spans="1:19">
      <c r="A283" s="471" t="s">
        <v>1302</v>
      </c>
      <c r="B283" s="697"/>
      <c r="C283" s="1683">
        <v>490</v>
      </c>
      <c r="D283" s="1683"/>
      <c r="E283" s="1683">
        <v>444</v>
      </c>
      <c r="F283" s="1683"/>
      <c r="G283" s="1684" t="s">
        <v>390</v>
      </c>
      <c r="H283" s="1683"/>
      <c r="I283" s="1683">
        <v>425</v>
      </c>
      <c r="J283" s="1683"/>
      <c r="K283" s="1683">
        <v>3</v>
      </c>
      <c r="L283" s="1683"/>
      <c r="M283" s="1693">
        <v>16</v>
      </c>
      <c r="O283" s="921" t="s">
        <v>1302</v>
      </c>
      <c r="P283" s="921">
        <v>2521</v>
      </c>
      <c r="Q283" s="922">
        <v>1</v>
      </c>
      <c r="S283" s="922"/>
    </row>
    <row r="284" spans="1:19" ht="15.6">
      <c r="A284" s="471" t="s">
        <v>1112</v>
      </c>
      <c r="B284" s="697"/>
      <c r="C284" s="1683">
        <v>4327</v>
      </c>
      <c r="D284" s="1731"/>
      <c r="E284" s="1683">
        <f t="shared" si="3"/>
        <v>4630</v>
      </c>
      <c r="F284" s="1683"/>
      <c r="G284" s="1683">
        <v>21</v>
      </c>
      <c r="H284" s="1683"/>
      <c r="I284" s="1683">
        <v>1811</v>
      </c>
      <c r="J284" s="1683"/>
      <c r="K284" s="1683">
        <v>9</v>
      </c>
      <c r="L284" s="1683"/>
      <c r="M284" s="1693">
        <v>2789</v>
      </c>
      <c r="O284" s="921" t="s">
        <v>1112</v>
      </c>
      <c r="P284" s="921">
        <v>1081</v>
      </c>
      <c r="Q284" s="922">
        <v>4</v>
      </c>
      <c r="S284" s="922"/>
    </row>
    <row r="285" spans="1:19">
      <c r="A285" s="471" t="s">
        <v>1295</v>
      </c>
      <c r="B285" s="697"/>
      <c r="C285" s="1683">
        <v>3275</v>
      </c>
      <c r="D285" s="697"/>
      <c r="E285" s="1683">
        <f t="shared" si="3"/>
        <v>3152</v>
      </c>
      <c r="F285" s="1683"/>
      <c r="G285" s="1683">
        <v>51</v>
      </c>
      <c r="H285" s="1683"/>
      <c r="I285" s="1683">
        <v>1524</v>
      </c>
      <c r="J285" s="1683"/>
      <c r="K285" s="1683">
        <v>20</v>
      </c>
      <c r="L285" s="1683"/>
      <c r="M285" s="1693">
        <v>1557</v>
      </c>
      <c r="O285" s="921" t="s">
        <v>1295</v>
      </c>
      <c r="P285" s="921">
        <v>2482</v>
      </c>
      <c r="Q285" s="922">
        <v>1</v>
      </c>
      <c r="S285" s="922"/>
    </row>
    <row r="286" spans="1:19" ht="15.6">
      <c r="A286" s="471" t="s">
        <v>1545</v>
      </c>
      <c r="B286" s="697"/>
      <c r="C286" s="1683">
        <v>96293</v>
      </c>
      <c r="D286" s="1731"/>
      <c r="E286" s="1683">
        <f t="shared" si="3"/>
        <v>95441</v>
      </c>
      <c r="F286" s="1683"/>
      <c r="G286" s="1683">
        <v>62481</v>
      </c>
      <c r="H286" s="1683"/>
      <c r="I286" s="1683">
        <v>32290</v>
      </c>
      <c r="J286" s="1683"/>
      <c r="K286" s="1683">
        <v>258</v>
      </c>
      <c r="L286" s="1683"/>
      <c r="M286" s="1693">
        <v>412</v>
      </c>
      <c r="O286" s="921" t="s">
        <v>1036</v>
      </c>
      <c r="P286" s="921">
        <v>180</v>
      </c>
      <c r="Q286" s="922">
        <v>3</v>
      </c>
      <c r="S286" s="922"/>
    </row>
    <row r="287" spans="1:19" ht="15.6">
      <c r="A287" s="471" t="s">
        <v>1546</v>
      </c>
      <c r="B287" s="697"/>
      <c r="C287" s="1683">
        <v>31951</v>
      </c>
      <c r="D287" s="1731"/>
      <c r="E287" s="1683">
        <f t="shared" si="3"/>
        <v>32421</v>
      </c>
      <c r="F287" s="1683"/>
      <c r="G287" s="1683">
        <v>2917</v>
      </c>
      <c r="H287" s="1683"/>
      <c r="I287" s="1683">
        <v>18666</v>
      </c>
      <c r="J287" s="1683"/>
      <c r="K287" s="1683">
        <v>556</v>
      </c>
      <c r="L287" s="1683"/>
      <c r="M287" s="1693">
        <v>10282</v>
      </c>
      <c r="O287" s="921" t="s">
        <v>1036</v>
      </c>
      <c r="P287" s="921">
        <v>180</v>
      </c>
      <c r="Q287" s="922">
        <v>3</v>
      </c>
      <c r="S287" s="545"/>
    </row>
    <row r="288" spans="1:19">
      <c r="A288" s="471" t="s">
        <v>1547</v>
      </c>
      <c r="B288" s="697"/>
      <c r="C288" s="1683">
        <v>16588</v>
      </c>
      <c r="D288" s="1683"/>
      <c r="E288" s="1683">
        <f t="shared" si="3"/>
        <v>15286</v>
      </c>
      <c r="F288" s="1683"/>
      <c r="G288" s="1683">
        <v>9125</v>
      </c>
      <c r="H288" s="1683"/>
      <c r="I288" s="1683">
        <v>92</v>
      </c>
      <c r="J288" s="1683"/>
      <c r="K288" s="1683">
        <v>848</v>
      </c>
      <c r="L288" s="1683"/>
      <c r="M288" s="1693">
        <v>5221</v>
      </c>
      <c r="O288" s="921" t="s">
        <v>1036</v>
      </c>
      <c r="P288" s="921">
        <v>180</v>
      </c>
      <c r="Q288" s="922">
        <v>3</v>
      </c>
      <c r="S288" s="922"/>
    </row>
    <row r="289" spans="1:19">
      <c r="A289" s="471" t="s">
        <v>1548</v>
      </c>
      <c r="B289" s="697"/>
      <c r="C289" s="1683">
        <v>15193</v>
      </c>
      <c r="D289" s="1683"/>
      <c r="E289" s="1683">
        <f t="shared" si="3"/>
        <v>14420</v>
      </c>
      <c r="F289" s="1683"/>
      <c r="G289" s="1683">
        <v>1147</v>
      </c>
      <c r="H289" s="1683"/>
      <c r="I289" s="1683">
        <v>64</v>
      </c>
      <c r="J289" s="1683"/>
      <c r="K289" s="1683">
        <v>87</v>
      </c>
      <c r="L289" s="1683"/>
      <c r="M289" s="1693">
        <v>13122</v>
      </c>
      <c r="O289" s="921" t="s">
        <v>1036</v>
      </c>
      <c r="P289" s="921">
        <v>180</v>
      </c>
      <c r="Q289" s="922">
        <v>3</v>
      </c>
      <c r="S289" s="922"/>
    </row>
    <row r="290" spans="1:19" ht="15.6">
      <c r="A290" s="471" t="s">
        <v>1287</v>
      </c>
      <c r="B290" s="697"/>
      <c r="C290" s="1683">
        <v>512</v>
      </c>
      <c r="D290" s="1732"/>
      <c r="E290" s="1683">
        <v>178</v>
      </c>
      <c r="F290" s="1683"/>
      <c r="G290" s="1683">
        <v>5</v>
      </c>
      <c r="H290" s="1683"/>
      <c r="I290" s="1683">
        <v>172</v>
      </c>
      <c r="J290" s="1683"/>
      <c r="K290" s="1683">
        <v>1</v>
      </c>
      <c r="L290" s="1683"/>
      <c r="M290" s="1689" t="s">
        <v>390</v>
      </c>
      <c r="O290" s="1146" t="s">
        <v>1287</v>
      </c>
      <c r="Q290" s="545">
        <v>1</v>
      </c>
      <c r="S290" s="922"/>
    </row>
    <row r="291" spans="1:19">
      <c r="A291" s="471" t="s">
        <v>1549</v>
      </c>
      <c r="B291" s="697"/>
      <c r="C291" s="1683">
        <v>6020</v>
      </c>
      <c r="D291" s="697"/>
      <c r="E291" s="1683">
        <f t="shared" si="3"/>
        <v>5287</v>
      </c>
      <c r="F291" s="1683"/>
      <c r="G291" s="1683">
        <v>94</v>
      </c>
      <c r="H291" s="1683"/>
      <c r="I291" s="1683">
        <v>3658</v>
      </c>
      <c r="J291" s="1683"/>
      <c r="K291" s="1683">
        <v>94</v>
      </c>
      <c r="L291" s="1683"/>
      <c r="M291" s="1693">
        <v>1441</v>
      </c>
      <c r="O291" s="921" t="s">
        <v>1269</v>
      </c>
      <c r="P291" s="921">
        <v>2281</v>
      </c>
      <c r="Q291" s="922">
        <v>2</v>
      </c>
      <c r="S291" s="922"/>
    </row>
    <row r="292" spans="1:19">
      <c r="A292" s="471" t="s">
        <v>1550</v>
      </c>
      <c r="B292" s="697"/>
      <c r="C292" s="1683">
        <v>510</v>
      </c>
      <c r="D292" s="1683"/>
      <c r="E292" s="1683">
        <f t="shared" si="3"/>
        <v>534</v>
      </c>
      <c r="F292" s="1683"/>
      <c r="G292" s="1683">
        <v>4</v>
      </c>
      <c r="H292" s="1683"/>
      <c r="I292" s="1683">
        <v>491</v>
      </c>
      <c r="J292" s="1683"/>
      <c r="K292" s="1683">
        <v>5</v>
      </c>
      <c r="L292" s="1683"/>
      <c r="M292" s="1693">
        <v>34</v>
      </c>
      <c r="O292" s="921" t="s">
        <v>1279</v>
      </c>
      <c r="P292" s="921">
        <v>2361</v>
      </c>
      <c r="Q292" s="922">
        <v>2</v>
      </c>
      <c r="S292" s="922"/>
    </row>
    <row r="293" spans="1:19">
      <c r="A293" s="471" t="s">
        <v>1205</v>
      </c>
      <c r="B293" s="697"/>
      <c r="C293" s="1683">
        <v>666</v>
      </c>
      <c r="D293" s="1683"/>
      <c r="E293" s="1683">
        <f t="shared" si="3"/>
        <v>668</v>
      </c>
      <c r="F293" s="1683"/>
      <c r="G293" s="1683">
        <v>16</v>
      </c>
      <c r="H293" s="1683"/>
      <c r="I293" s="1683">
        <v>444</v>
      </c>
      <c r="J293" s="1683"/>
      <c r="K293" s="1683">
        <v>45</v>
      </c>
      <c r="L293" s="1683"/>
      <c r="M293" s="1693">
        <v>163</v>
      </c>
      <c r="O293" s="921" t="s">
        <v>1205</v>
      </c>
      <c r="P293" s="921">
        <v>1737</v>
      </c>
      <c r="Q293" s="922">
        <v>3</v>
      </c>
      <c r="S293" s="922"/>
    </row>
    <row r="294" spans="1:19">
      <c r="A294" s="471" t="s">
        <v>1551</v>
      </c>
      <c r="B294" s="697"/>
      <c r="C294" s="1683">
        <v>3090</v>
      </c>
      <c r="D294" s="1683"/>
      <c r="E294" s="1683">
        <f>G294+I294+K294+M294</f>
        <v>4115</v>
      </c>
      <c r="F294" s="1683"/>
      <c r="G294" s="1683">
        <v>140</v>
      </c>
      <c r="H294" s="1683"/>
      <c r="I294" s="1683">
        <v>834</v>
      </c>
      <c r="J294" s="1683"/>
      <c r="K294" s="1683">
        <v>50</v>
      </c>
      <c r="L294" s="1683"/>
      <c r="M294" s="1693">
        <v>3091</v>
      </c>
      <c r="O294" s="921" t="s">
        <v>1191</v>
      </c>
      <c r="P294" s="921">
        <v>1488</v>
      </c>
      <c r="Q294" s="922">
        <v>3</v>
      </c>
      <c r="S294" s="922"/>
    </row>
    <row r="295" spans="1:19">
      <c r="A295" s="471" t="s">
        <v>1293</v>
      </c>
      <c r="B295" s="697"/>
      <c r="C295" s="1683">
        <v>10568</v>
      </c>
      <c r="D295" s="697"/>
      <c r="E295" s="1683">
        <f t="shared" ref="E295:E303" si="4">G295+I295+K295+M295</f>
        <v>10479</v>
      </c>
      <c r="F295" s="1683"/>
      <c r="G295" s="1683">
        <v>268</v>
      </c>
      <c r="H295" s="1683"/>
      <c r="I295" s="1683">
        <v>6393</v>
      </c>
      <c r="J295" s="1683"/>
      <c r="K295" s="1683">
        <v>356</v>
      </c>
      <c r="L295" s="1683"/>
      <c r="M295" s="1693">
        <v>3462</v>
      </c>
      <c r="O295" s="921" t="s">
        <v>1293</v>
      </c>
      <c r="P295" s="921">
        <v>2480</v>
      </c>
      <c r="Q295" s="922">
        <v>2</v>
      </c>
      <c r="S295" s="922"/>
    </row>
    <row r="296" spans="1:19">
      <c r="A296" s="471" t="s">
        <v>1291</v>
      </c>
      <c r="B296" s="697"/>
      <c r="C296" s="1683">
        <v>987</v>
      </c>
      <c r="D296" s="1683"/>
      <c r="E296" s="1683">
        <f t="shared" si="4"/>
        <v>1012</v>
      </c>
      <c r="F296" s="1683"/>
      <c r="G296" s="1683">
        <v>2</v>
      </c>
      <c r="H296" s="1683"/>
      <c r="I296" s="1683">
        <v>919</v>
      </c>
      <c r="J296" s="1683"/>
      <c r="K296" s="1683">
        <v>1</v>
      </c>
      <c r="L296" s="1683"/>
      <c r="M296" s="1693">
        <v>90</v>
      </c>
      <c r="O296" s="921" t="s">
        <v>1291</v>
      </c>
      <c r="P296" s="921">
        <v>2462</v>
      </c>
      <c r="Q296" s="922">
        <v>1</v>
      </c>
      <c r="S296" s="922"/>
    </row>
    <row r="297" spans="1:19">
      <c r="A297" s="471" t="s">
        <v>1552</v>
      </c>
      <c r="B297" s="697"/>
      <c r="C297" s="1683">
        <v>9975</v>
      </c>
      <c r="D297" s="697"/>
      <c r="E297" s="1683">
        <f t="shared" si="4"/>
        <v>10337</v>
      </c>
      <c r="F297" s="1683"/>
      <c r="G297" s="1683">
        <v>195</v>
      </c>
      <c r="H297" s="1683"/>
      <c r="I297" s="1683">
        <v>5320</v>
      </c>
      <c r="J297" s="1683"/>
      <c r="K297" s="1683">
        <v>767</v>
      </c>
      <c r="L297" s="1683"/>
      <c r="M297" s="1693">
        <v>4055</v>
      </c>
      <c r="O297" s="921" t="s">
        <v>1109</v>
      </c>
      <c r="P297" s="921">
        <v>980</v>
      </c>
      <c r="Q297" s="922">
        <v>3</v>
      </c>
      <c r="S297" s="922"/>
    </row>
    <row r="298" spans="1:19">
      <c r="A298" s="471" t="s">
        <v>1618</v>
      </c>
      <c r="B298" s="697"/>
      <c r="C298" s="1683">
        <v>4051</v>
      </c>
      <c r="D298" s="1683"/>
      <c r="E298" s="1683">
        <f t="shared" si="4"/>
        <v>3773</v>
      </c>
      <c r="F298" s="1683"/>
      <c r="G298" s="1683">
        <v>309</v>
      </c>
      <c r="H298" s="1683"/>
      <c r="I298" s="1683">
        <v>2370</v>
      </c>
      <c r="J298" s="1683"/>
      <c r="K298" s="1683">
        <v>44</v>
      </c>
      <c r="L298" s="1683"/>
      <c r="M298" s="1693">
        <v>1050</v>
      </c>
      <c r="O298" s="921" t="s">
        <v>1095</v>
      </c>
      <c r="P298" s="921">
        <v>780</v>
      </c>
      <c r="Q298" s="922">
        <v>4</v>
      </c>
      <c r="S298" s="922"/>
    </row>
    <row r="299" spans="1:19">
      <c r="A299" s="471" t="s">
        <v>1554</v>
      </c>
      <c r="B299" s="697"/>
      <c r="C299" s="1683">
        <v>4196</v>
      </c>
      <c r="D299" s="1683"/>
      <c r="E299" s="1683">
        <f t="shared" si="4"/>
        <v>4592</v>
      </c>
      <c r="F299" s="1683"/>
      <c r="G299" s="1683">
        <v>533</v>
      </c>
      <c r="H299" s="1683"/>
      <c r="I299" s="1683">
        <v>2893</v>
      </c>
      <c r="J299" s="1683"/>
      <c r="K299" s="1683">
        <v>107</v>
      </c>
      <c r="L299" s="1683"/>
      <c r="M299" s="1693">
        <v>1059</v>
      </c>
      <c r="O299" s="921" t="s">
        <v>1277</v>
      </c>
      <c r="P299" s="921">
        <v>2321</v>
      </c>
      <c r="Q299" s="922">
        <v>2</v>
      </c>
      <c r="S299" s="922"/>
    </row>
    <row r="300" spans="1:19" ht="15.6">
      <c r="A300" s="471" t="s">
        <v>1146</v>
      </c>
      <c r="B300" s="697"/>
      <c r="C300" s="1683">
        <v>6148</v>
      </c>
      <c r="D300" s="1731"/>
      <c r="E300" s="1683">
        <f t="shared" si="4"/>
        <v>6259</v>
      </c>
      <c r="F300" s="1683"/>
      <c r="G300" s="1683">
        <v>83</v>
      </c>
      <c r="H300" s="1683"/>
      <c r="I300" s="1683">
        <v>2993</v>
      </c>
      <c r="J300" s="1683"/>
      <c r="K300" s="1683">
        <v>65</v>
      </c>
      <c r="L300" s="1683"/>
      <c r="M300" s="1693">
        <v>3118</v>
      </c>
      <c r="O300" s="921" t="s">
        <v>1146</v>
      </c>
      <c r="P300" s="921">
        <v>1292</v>
      </c>
      <c r="Q300" s="922">
        <v>4</v>
      </c>
      <c r="S300" s="754"/>
    </row>
    <row r="301" spans="1:19">
      <c r="A301" s="471" t="s">
        <v>1225</v>
      </c>
      <c r="B301" s="697"/>
      <c r="C301" s="1683">
        <v>3881</v>
      </c>
      <c r="D301" s="1683"/>
      <c r="E301" s="1683">
        <f t="shared" si="4"/>
        <v>4303</v>
      </c>
      <c r="F301" s="1683"/>
      <c r="G301" s="1683">
        <v>650</v>
      </c>
      <c r="H301" s="1683"/>
      <c r="I301" s="1683">
        <v>1561</v>
      </c>
      <c r="J301" s="1683"/>
      <c r="K301" s="1683">
        <v>118</v>
      </c>
      <c r="L301" s="1683"/>
      <c r="M301" s="1693">
        <v>1974</v>
      </c>
      <c r="O301" s="921" t="s">
        <v>1225</v>
      </c>
      <c r="P301" s="921">
        <v>1880</v>
      </c>
      <c r="Q301" s="922">
        <v>3</v>
      </c>
      <c r="S301" s="754"/>
    </row>
    <row r="302" spans="1:19">
      <c r="A302" s="1688" t="s">
        <v>1272</v>
      </c>
      <c r="B302" s="736"/>
      <c r="C302" s="1685">
        <v>1983</v>
      </c>
      <c r="D302" s="736"/>
      <c r="E302" s="1685">
        <f t="shared" si="4"/>
        <v>1827</v>
      </c>
      <c r="F302" s="1685"/>
      <c r="G302" s="1685">
        <v>29</v>
      </c>
      <c r="H302" s="1685"/>
      <c r="I302" s="1685">
        <v>1385</v>
      </c>
      <c r="J302" s="1685"/>
      <c r="K302" s="1685">
        <v>24</v>
      </c>
      <c r="L302" s="1685"/>
      <c r="M302" s="1700">
        <v>389</v>
      </c>
      <c r="O302" s="921" t="s">
        <v>1272</v>
      </c>
      <c r="P302" s="921">
        <v>2284</v>
      </c>
      <c r="Q302" s="922">
        <v>2</v>
      </c>
      <c r="S302" s="754"/>
    </row>
    <row r="303" spans="1:19">
      <c r="A303" s="1688" t="s">
        <v>1555</v>
      </c>
      <c r="B303" s="736"/>
      <c r="C303" s="1733">
        <v>372386</v>
      </c>
      <c r="D303" s="1733"/>
      <c r="E303" s="1685">
        <f t="shared" si="4"/>
        <v>369873</v>
      </c>
      <c r="F303" s="1685"/>
      <c r="G303" s="1685">
        <v>112081</v>
      </c>
      <c r="H303" s="1685"/>
      <c r="I303" s="1685">
        <v>125341</v>
      </c>
      <c r="J303" s="1685"/>
      <c r="K303" s="1685">
        <v>4896</v>
      </c>
      <c r="L303" s="1685"/>
      <c r="M303" s="1700">
        <v>127555</v>
      </c>
      <c r="S303" s="754"/>
    </row>
    <row r="304" spans="1:19">
      <c r="A304" s="471"/>
      <c r="B304" s="697"/>
      <c r="C304" s="697"/>
      <c r="D304" s="697"/>
      <c r="E304" s="697"/>
      <c r="F304" s="697"/>
      <c r="G304" s="697"/>
      <c r="H304" s="697"/>
      <c r="I304" s="697"/>
      <c r="J304" s="697"/>
      <c r="K304" s="697"/>
      <c r="L304" s="697"/>
      <c r="M304" s="612"/>
      <c r="S304" s="754"/>
    </row>
    <row r="305" spans="1:19" ht="15.6">
      <c r="A305" s="1694" t="s">
        <v>2137</v>
      </c>
      <c r="B305" s="697"/>
      <c r="C305" s="697"/>
      <c r="D305" s="697"/>
      <c r="E305" s="697"/>
      <c r="F305" s="697"/>
      <c r="G305" s="697"/>
      <c r="H305" s="697"/>
      <c r="I305" s="697"/>
      <c r="J305" s="697"/>
      <c r="K305" s="697"/>
      <c r="L305" s="697"/>
      <c r="M305" s="612"/>
      <c r="S305" s="754"/>
    </row>
    <row r="306" spans="1:19">
      <c r="A306" s="471"/>
      <c r="B306" s="697"/>
      <c r="C306" s="697"/>
      <c r="D306" s="697"/>
      <c r="E306" s="697"/>
      <c r="F306" s="697"/>
      <c r="G306" s="697"/>
      <c r="H306" s="697"/>
      <c r="I306" s="697"/>
      <c r="J306" s="697"/>
      <c r="K306" s="697"/>
      <c r="L306" s="697"/>
      <c r="M306" s="612"/>
      <c r="S306" s="754"/>
    </row>
    <row r="307" spans="1:19">
      <c r="A307" s="1688"/>
      <c r="B307" s="736"/>
      <c r="C307" s="736"/>
      <c r="D307" s="736"/>
      <c r="E307" s="736"/>
      <c r="F307" s="736"/>
      <c r="G307" s="736"/>
      <c r="H307" s="736"/>
      <c r="I307" s="736"/>
      <c r="J307" s="736"/>
      <c r="K307" s="736"/>
      <c r="L307" s="736"/>
      <c r="M307" s="613"/>
      <c r="S307" s="754"/>
    </row>
    <row r="308" spans="1:19">
      <c r="A308" s="765"/>
      <c r="B308" s="765"/>
      <c r="C308" s="765"/>
      <c r="D308" s="765"/>
      <c r="E308" s="1643">
        <f>SUM(E262:E302)</f>
        <v>369873</v>
      </c>
      <c r="F308" s="765"/>
      <c r="G308" s="765"/>
      <c r="H308" s="765"/>
      <c r="I308" s="765"/>
      <c r="J308" s="765"/>
      <c r="K308" s="765"/>
      <c r="L308" s="765"/>
      <c r="M308" s="765"/>
      <c r="S308" s="754"/>
    </row>
    <row r="309" spans="1:19">
      <c r="S309" s="754"/>
    </row>
    <row r="310" spans="1:19">
      <c r="S310" s="754"/>
    </row>
    <row r="311" spans="1:19">
      <c r="S311" s="754"/>
    </row>
    <row r="312" spans="1:19">
      <c r="B312" s="31" t="s">
        <v>2434</v>
      </c>
      <c r="C312" s="31" t="s">
        <v>2435</v>
      </c>
      <c r="D312" s="31"/>
      <c r="E312" s="754"/>
      <c r="F312" s="754"/>
      <c r="G312" s="754"/>
      <c r="H312" s="754"/>
      <c r="I312" s="754"/>
      <c r="J312" s="2122"/>
      <c r="S312" s="754"/>
    </row>
    <row r="313" spans="1:19" ht="13.8">
      <c r="B313" s="31"/>
      <c r="C313" s="31" t="s">
        <v>2436</v>
      </c>
      <c r="D313" s="31"/>
      <c r="E313" s="754"/>
      <c r="F313" s="754"/>
      <c r="G313" s="754"/>
      <c r="H313" s="754"/>
      <c r="I313" s="754"/>
      <c r="J313" s="2122"/>
      <c r="S313" s="754"/>
    </row>
    <row r="314" spans="1:19">
      <c r="B314" s="765"/>
      <c r="C314" s="765" t="s">
        <v>2437</v>
      </c>
      <c r="D314" s="765"/>
      <c r="E314" s="754"/>
      <c r="F314" s="754"/>
      <c r="G314" s="754"/>
      <c r="H314" s="754"/>
      <c r="I314" s="754"/>
      <c r="J314" s="2122"/>
      <c r="S314" s="754"/>
    </row>
    <row r="315" spans="1:19" ht="13.8">
      <c r="B315" s="765"/>
      <c r="C315" s="765" t="s">
        <v>2438</v>
      </c>
      <c r="D315" s="765"/>
      <c r="E315" s="754"/>
      <c r="F315" s="754"/>
      <c r="G315" s="754"/>
      <c r="H315" s="754"/>
      <c r="I315" s="754"/>
      <c r="J315" s="2122"/>
      <c r="S315" s="754"/>
    </row>
    <row r="316" spans="1:19">
      <c r="B316" s="734"/>
      <c r="C316" s="734"/>
      <c r="D316" s="734"/>
      <c r="E316" s="543"/>
      <c r="F316" s="543"/>
      <c r="G316" s="543"/>
      <c r="H316" s="543"/>
      <c r="I316" s="543"/>
      <c r="J316" s="2123"/>
      <c r="S316" s="754"/>
    </row>
    <row r="317" spans="1:19">
      <c r="B317" s="878" t="s">
        <v>353</v>
      </c>
      <c r="C317" s="2124" t="s">
        <v>2439</v>
      </c>
      <c r="D317" s="2124"/>
      <c r="E317" s="2125" t="s">
        <v>2440</v>
      </c>
      <c r="F317" s="2125"/>
      <c r="G317" s="2125" t="s">
        <v>2441</v>
      </c>
      <c r="H317" s="765"/>
      <c r="I317" s="1032"/>
      <c r="J317" s="2122"/>
      <c r="S317" s="754"/>
    </row>
    <row r="318" spans="1:19">
      <c r="B318" s="878" t="s">
        <v>54</v>
      </c>
      <c r="C318" s="2126" t="s">
        <v>2442</v>
      </c>
      <c r="D318" s="2126"/>
      <c r="E318" s="2127" t="s">
        <v>2443</v>
      </c>
      <c r="F318" s="2127"/>
      <c r="G318" s="2127" t="s">
        <v>2444</v>
      </c>
      <c r="H318" s="467"/>
      <c r="I318" s="2128"/>
      <c r="J318" s="2123"/>
      <c r="S318" s="754"/>
    </row>
    <row r="319" spans="1:19">
      <c r="B319" s="878"/>
      <c r="C319" s="2124" t="s">
        <v>1612</v>
      </c>
      <c r="D319" s="2124"/>
      <c r="E319" s="852" t="s">
        <v>1612</v>
      </c>
      <c r="F319" s="852"/>
      <c r="G319" s="852" t="s">
        <v>1612</v>
      </c>
      <c r="H319" s="765"/>
      <c r="I319" s="1032"/>
      <c r="J319" s="2122"/>
      <c r="L319" s="765"/>
      <c r="S319" s="754"/>
    </row>
    <row r="320" spans="1:19">
      <c r="B320" s="2129"/>
      <c r="C320" s="2126" t="s">
        <v>1615</v>
      </c>
      <c r="D320" s="2126"/>
      <c r="E320" s="2127" t="s">
        <v>1615</v>
      </c>
      <c r="F320" s="2127"/>
      <c r="G320" s="2127" t="s">
        <v>1615</v>
      </c>
      <c r="H320" s="467"/>
      <c r="I320" s="2128"/>
      <c r="J320" s="2123"/>
      <c r="S320" s="754"/>
    </row>
    <row r="321" spans="2:39">
      <c r="B321" s="878"/>
      <c r="C321" s="878"/>
      <c r="D321" s="878"/>
      <c r="E321" s="765"/>
      <c r="F321" s="765"/>
      <c r="G321" s="765"/>
      <c r="H321" s="765"/>
      <c r="I321" s="1032"/>
      <c r="J321" s="2122"/>
      <c r="S321" s="754"/>
    </row>
    <row r="322" spans="2:39">
      <c r="B322" s="879">
        <v>2006</v>
      </c>
      <c r="C322" s="881">
        <v>3290032</v>
      </c>
      <c r="D322" s="880"/>
      <c r="E322" s="2130">
        <v>52429</v>
      </c>
      <c r="F322" s="2131"/>
      <c r="G322" s="2132" t="s">
        <v>1598</v>
      </c>
      <c r="H322" s="765"/>
      <c r="I322" s="1032"/>
      <c r="J322" s="2122"/>
      <c r="S322" s="754"/>
    </row>
    <row r="323" spans="2:39">
      <c r="B323" s="879">
        <v>2007</v>
      </c>
      <c r="C323" s="881">
        <v>3248234</v>
      </c>
      <c r="D323" s="880"/>
      <c r="E323" s="2130">
        <v>50323</v>
      </c>
      <c r="F323" s="2131"/>
      <c r="G323" s="2132" t="s">
        <v>1598</v>
      </c>
      <c r="H323" s="765"/>
      <c r="I323" s="1032"/>
      <c r="J323" s="2122">
        <f>C323/(E323*0.67)</f>
        <v>96.339853501603514</v>
      </c>
      <c r="S323" s="754"/>
      <c r="AM323"/>
    </row>
    <row r="324" spans="2:39">
      <c r="B324" s="879">
        <v>2008</v>
      </c>
      <c r="C324" s="881">
        <v>3233405</v>
      </c>
      <c r="D324" s="880"/>
      <c r="E324" s="2130">
        <v>50593</v>
      </c>
      <c r="F324" s="2131"/>
      <c r="G324" s="881">
        <v>8692</v>
      </c>
      <c r="H324" s="765"/>
      <c r="I324" s="1032"/>
      <c r="J324" s="2122">
        <f t="shared" ref="J324:J332" si="5">C324/(E324*0.67)</f>
        <v>95.388247622008933</v>
      </c>
      <c r="L324">
        <f>G324/(0.33*E324)</f>
        <v>0.52061340381859023</v>
      </c>
    </row>
    <row r="325" spans="2:39">
      <c r="B325" s="879">
        <v>2009</v>
      </c>
      <c r="C325" s="881">
        <v>2885628</v>
      </c>
      <c r="D325" s="880"/>
      <c r="E325" s="2130">
        <v>47864</v>
      </c>
      <c r="F325" s="2131"/>
      <c r="G325" s="881">
        <v>7051</v>
      </c>
      <c r="H325" s="765"/>
      <c r="I325" s="1032"/>
      <c r="J325" s="2122">
        <f t="shared" si="5"/>
        <v>89.982188339599006</v>
      </c>
      <c r="L325" s="754">
        <f t="shared" ref="L325:L332" si="6">G325/(0.33*E325)</f>
        <v>0.44640369937043844</v>
      </c>
    </row>
    <row r="326" spans="2:39">
      <c r="B326" s="2133">
        <v>2010</v>
      </c>
      <c r="C326" s="2422">
        <v>2979230</v>
      </c>
      <c r="D326" s="2423"/>
      <c r="E326" s="2422">
        <v>47254</v>
      </c>
      <c r="F326" s="2424"/>
      <c r="G326" s="2422">
        <v>6679</v>
      </c>
      <c r="H326" s="765"/>
      <c r="I326" s="1032"/>
      <c r="J326" s="2122">
        <f t="shared" si="5"/>
        <v>94.100223056217615</v>
      </c>
      <c r="L326" s="754">
        <f t="shared" si="6"/>
        <v>0.42831070257319881</v>
      </c>
      <c r="M326">
        <f>'SE km&amp;fuel data'!E190*1000000</f>
        <v>6679</v>
      </c>
    </row>
    <row r="327" spans="2:39">
      <c r="B327" s="2133">
        <v>2011</v>
      </c>
      <c r="C327" s="881">
        <v>3353628</v>
      </c>
      <c r="D327" s="880"/>
      <c r="E327" s="2130">
        <v>51099</v>
      </c>
      <c r="F327" s="467"/>
      <c r="G327" s="881">
        <v>6509</v>
      </c>
      <c r="H327" s="467"/>
      <c r="I327" s="1032"/>
      <c r="J327" s="2122">
        <f t="shared" si="5"/>
        <v>97.955242282102077</v>
      </c>
      <c r="L327" s="754">
        <f t="shared" si="6"/>
        <v>0.38600055625829122</v>
      </c>
    </row>
    <row r="328" spans="2:39">
      <c r="B328" s="2134">
        <v>2012</v>
      </c>
      <c r="C328" s="888">
        <v>3395870</v>
      </c>
      <c r="D328" s="467"/>
      <c r="E328" s="888">
        <v>49069</v>
      </c>
      <c r="F328" s="888"/>
      <c r="G328" s="888">
        <v>6267</v>
      </c>
      <c r="H328" s="467"/>
      <c r="I328" s="1032"/>
      <c r="J328" s="2122">
        <f t="shared" si="5"/>
        <v>103.29256122128358</v>
      </c>
      <c r="L328" s="754">
        <f t="shared" si="6"/>
        <v>0.38702457948825308</v>
      </c>
    </row>
    <row r="329" spans="2:39">
      <c r="B329" s="2134">
        <v>2013</v>
      </c>
      <c r="C329" s="888">
        <v>3418311</v>
      </c>
      <c r="D329" s="467"/>
      <c r="E329" s="888">
        <v>48967</v>
      </c>
      <c r="F329" s="888"/>
      <c r="G329" s="888">
        <v>5951</v>
      </c>
      <c r="H329" s="467"/>
      <c r="I329" s="1032"/>
      <c r="J329" s="2122">
        <f t="shared" si="5"/>
        <v>104.19173558555579</v>
      </c>
      <c r="L329" s="754">
        <f t="shared" si="6"/>
        <v>0.36827523298003417</v>
      </c>
    </row>
    <row r="330" spans="2:39">
      <c r="B330" s="2134">
        <v>2014</v>
      </c>
      <c r="C330" s="888">
        <v>3571717</v>
      </c>
      <c r="D330" s="467"/>
      <c r="E330" s="888">
        <v>49718</v>
      </c>
      <c r="F330" s="888"/>
      <c r="G330" s="888">
        <v>5892</v>
      </c>
      <c r="H330" s="467"/>
      <c r="I330" s="1032"/>
      <c r="J330" s="2122">
        <f t="shared" si="5"/>
        <v>107.22315651318209</v>
      </c>
      <c r="L330" s="754">
        <f t="shared" si="6"/>
        <v>0.35911632516483871</v>
      </c>
    </row>
    <row r="331" spans="2:39">
      <c r="B331" s="2134">
        <v>2015</v>
      </c>
      <c r="C331" s="888">
        <v>3622053</v>
      </c>
      <c r="D331" s="467"/>
      <c r="E331" s="888">
        <v>49549</v>
      </c>
      <c r="F331" s="888"/>
      <c r="G331" s="888">
        <v>5892</v>
      </c>
      <c r="H331" s="467"/>
      <c r="I331" s="2128"/>
      <c r="J331" s="2122">
        <f t="shared" si="5"/>
        <v>109.10511319565164</v>
      </c>
      <c r="L331" s="754">
        <f t="shared" si="6"/>
        <v>0.36034118659398684</v>
      </c>
    </row>
    <row r="332" spans="2:39">
      <c r="B332" s="2135">
        <v>2016</v>
      </c>
      <c r="C332" s="2136">
        <v>3742723</v>
      </c>
      <c r="D332" s="734"/>
      <c r="E332" s="2136">
        <v>50552</v>
      </c>
      <c r="F332" s="2136"/>
      <c r="G332" s="2136">
        <v>5716</v>
      </c>
      <c r="H332" s="467"/>
      <c r="I332" s="2128"/>
      <c r="J332" s="2122">
        <f t="shared" si="5"/>
        <v>110.5031201800776</v>
      </c>
      <c r="L332" s="754">
        <f t="shared" si="6"/>
        <v>0.34264148047974602</v>
      </c>
    </row>
    <row r="333" spans="2:39">
      <c r="B333" s="765"/>
      <c r="C333" s="765"/>
      <c r="D333" s="765"/>
      <c r="E333" s="765"/>
      <c r="F333" s="765"/>
      <c r="G333" s="765"/>
      <c r="H333" s="765"/>
      <c r="I333" s="754"/>
      <c r="J333" s="2122"/>
    </row>
    <row r="334" spans="2:39">
      <c r="B334" s="878" t="s">
        <v>2445</v>
      </c>
      <c r="C334" s="884"/>
      <c r="D334" s="878"/>
      <c r="E334" s="878"/>
      <c r="F334" s="878"/>
      <c r="G334" s="878"/>
      <c r="H334" s="878"/>
      <c r="I334" s="2137"/>
      <c r="J334" s="2122"/>
    </row>
    <row r="335" spans="2:39">
      <c r="B335" s="878" t="s">
        <v>2446</v>
      </c>
      <c r="C335" s="884"/>
      <c r="D335" s="878"/>
      <c r="E335" s="878"/>
      <c r="F335" s="878"/>
      <c r="G335" s="878"/>
      <c r="H335" s="878"/>
      <c r="I335" s="2137"/>
      <c r="J335" s="2122"/>
    </row>
    <row r="336" spans="2:39">
      <c r="B336" s="2138" t="s">
        <v>2447</v>
      </c>
      <c r="C336" s="884"/>
      <c r="D336" s="878"/>
      <c r="E336" s="878"/>
      <c r="F336" s="878"/>
      <c r="G336" s="878"/>
      <c r="H336" s="878"/>
      <c r="I336" s="2137"/>
      <c r="J336" s="2122"/>
    </row>
    <row r="337" spans="2:10">
      <c r="B337" s="2138" t="s">
        <v>2448</v>
      </c>
      <c r="C337" s="765"/>
      <c r="D337" s="765"/>
      <c r="E337" s="765"/>
      <c r="F337" s="765"/>
      <c r="G337" s="765"/>
      <c r="H337" s="765"/>
      <c r="I337" s="754"/>
      <c r="J337" s="2122"/>
    </row>
    <row r="338" spans="2:10">
      <c r="B338" s="704"/>
      <c r="C338" s="765"/>
      <c r="D338" s="765"/>
      <c r="E338" s="765"/>
      <c r="F338" s="765"/>
      <c r="G338" s="765"/>
      <c r="H338" s="765"/>
      <c r="I338" s="754"/>
      <c r="J338" s="2122"/>
    </row>
  </sheetData>
  <hyperlinks>
    <hyperlink ref="A77" r:id="rId1" xr:uid="{00000000-0004-0000-2100-000000000000}"/>
  </hyperlinks>
  <pageMargins left="0.7" right="0.7" top="0.75" bottom="0.75" header="0.3" footer="0.3"/>
  <drawing r:id="rId2"/>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200-000000000000}">
  <sheetPr>
    <tabColor rgb="FF00B0F0"/>
  </sheetPr>
  <dimension ref="A1:W321"/>
  <sheetViews>
    <sheetView topLeftCell="A285" zoomScale="70" zoomScaleNormal="70" workbookViewId="0">
      <selection activeCell="U282" sqref="U282"/>
    </sheetView>
  </sheetViews>
  <sheetFormatPr defaultRowHeight="13.2"/>
  <cols>
    <col min="2" max="2" width="27.6640625" customWidth="1"/>
  </cols>
  <sheetData>
    <row r="1" spans="1:15" ht="18">
      <c r="A1" s="1928" t="s">
        <v>2160</v>
      </c>
      <c r="B1" s="1929"/>
      <c r="C1" s="1929"/>
      <c r="D1" s="1929"/>
      <c r="E1" s="1929"/>
      <c r="F1" s="1929"/>
      <c r="G1" s="1929"/>
      <c r="H1" s="1929"/>
      <c r="I1" s="1929"/>
      <c r="J1" s="1929"/>
      <c r="K1" s="1929"/>
      <c r="L1" s="1929"/>
      <c r="M1" s="1929"/>
      <c r="N1" s="1929"/>
      <c r="O1" s="1929"/>
    </row>
    <row r="2" spans="1:15">
      <c r="A2" s="754"/>
      <c r="B2" s="754"/>
      <c r="C2" s="754"/>
      <c r="D2" s="754"/>
      <c r="E2" s="754"/>
      <c r="F2" s="754"/>
      <c r="G2" s="754"/>
      <c r="H2" s="754"/>
      <c r="I2" s="754"/>
      <c r="J2" s="754"/>
      <c r="K2" s="754"/>
      <c r="L2" s="754"/>
      <c r="M2" s="754"/>
      <c r="N2" s="754"/>
      <c r="O2" s="754"/>
    </row>
    <row r="3" spans="1:15">
      <c r="A3" s="754"/>
      <c r="B3" s="754"/>
      <c r="C3" s="754"/>
      <c r="D3" s="754"/>
      <c r="E3" s="754"/>
      <c r="F3" s="754"/>
      <c r="G3" s="754"/>
      <c r="H3" s="754"/>
      <c r="I3" s="754"/>
      <c r="J3" s="754"/>
      <c r="K3" s="754"/>
      <c r="L3" s="754"/>
      <c r="M3" s="754"/>
      <c r="N3" s="754"/>
      <c r="O3" s="754"/>
    </row>
    <row r="4" spans="1:15" ht="13.8">
      <c r="A4" s="754"/>
      <c r="B4" s="754"/>
      <c r="C4" s="1924">
        <v>2002</v>
      </c>
      <c r="D4" s="1924">
        <v>2003</v>
      </c>
      <c r="E4" s="1924">
        <v>2004</v>
      </c>
      <c r="F4" s="1924">
        <v>2005</v>
      </c>
      <c r="G4" s="1924">
        <v>2006</v>
      </c>
      <c r="H4" s="1924">
        <v>2007</v>
      </c>
      <c r="I4" s="1924">
        <v>2008</v>
      </c>
      <c r="J4" s="1924">
        <v>2009</v>
      </c>
      <c r="K4" s="1924">
        <v>2010</v>
      </c>
      <c r="L4" s="1924">
        <v>2011</v>
      </c>
      <c r="M4" s="1924">
        <v>2012</v>
      </c>
      <c r="N4" s="1924">
        <v>2013</v>
      </c>
      <c r="O4" s="1924">
        <v>2014</v>
      </c>
    </row>
    <row r="5" spans="1:15">
      <c r="A5" s="754"/>
      <c r="B5" s="754" t="s">
        <v>2147</v>
      </c>
      <c r="C5" s="754">
        <f>C17+C18</f>
        <v>0.23</v>
      </c>
      <c r="D5" s="754">
        <f t="shared" ref="D5:O5" si="0">D17+D18</f>
        <v>0.3</v>
      </c>
      <c r="E5" s="754">
        <f t="shared" si="0"/>
        <v>0.35</v>
      </c>
      <c r="F5" s="754">
        <f t="shared" si="0"/>
        <v>0.35</v>
      </c>
      <c r="G5" s="754">
        <f t="shared" si="0"/>
        <v>0.45</v>
      </c>
      <c r="H5" s="754">
        <f t="shared" si="0"/>
        <v>0.56000000000000005</v>
      </c>
      <c r="I5" s="754">
        <f t="shared" si="0"/>
        <v>0.60000000000000009</v>
      </c>
      <c r="J5" s="754">
        <f t="shared" si="0"/>
        <v>0.69</v>
      </c>
      <c r="K5" s="754">
        <f t="shared" si="0"/>
        <v>0.94</v>
      </c>
      <c r="L5" s="754">
        <f t="shared" si="0"/>
        <v>1.23</v>
      </c>
      <c r="M5" s="754">
        <f t="shared" si="0"/>
        <v>1.4300000000000002</v>
      </c>
      <c r="N5" s="754">
        <f t="shared" si="0"/>
        <v>1.5</v>
      </c>
      <c r="O5" s="754">
        <f t="shared" si="0"/>
        <v>1.62</v>
      </c>
    </row>
    <row r="6" spans="1:15">
      <c r="A6" s="754"/>
      <c r="B6" s="754"/>
      <c r="C6" s="754"/>
      <c r="D6" s="754">
        <f>D5/C5</f>
        <v>1.3043478260869563</v>
      </c>
      <c r="E6" s="754">
        <f t="shared" ref="E6:O6" si="1">E5/D5</f>
        <v>1.1666666666666667</v>
      </c>
      <c r="F6" s="754">
        <f t="shared" si="1"/>
        <v>1</v>
      </c>
      <c r="G6" s="754">
        <f t="shared" si="1"/>
        <v>1.2857142857142858</v>
      </c>
      <c r="H6" s="754">
        <f t="shared" si="1"/>
        <v>1.2444444444444445</v>
      </c>
      <c r="I6" s="754">
        <f t="shared" si="1"/>
        <v>1.0714285714285714</v>
      </c>
      <c r="J6" s="754">
        <f t="shared" si="1"/>
        <v>1.1499999999999997</v>
      </c>
      <c r="K6" s="754">
        <f t="shared" si="1"/>
        <v>1.3623188405797102</v>
      </c>
      <c r="L6" s="754">
        <f t="shared" si="1"/>
        <v>1.3085106382978724</v>
      </c>
      <c r="M6" s="754">
        <f t="shared" si="1"/>
        <v>1.1626016260162604</v>
      </c>
      <c r="N6" s="754">
        <f t="shared" si="1"/>
        <v>1.0489510489510487</v>
      </c>
      <c r="O6" s="754">
        <f t="shared" si="1"/>
        <v>1.08</v>
      </c>
    </row>
    <row r="7" spans="1:15">
      <c r="A7" s="754"/>
      <c r="B7" s="754"/>
      <c r="C7" s="754"/>
      <c r="D7" s="754"/>
      <c r="E7" s="754"/>
      <c r="F7" s="754"/>
      <c r="G7" s="754"/>
      <c r="H7" s="754"/>
      <c r="I7" s="754"/>
      <c r="J7" s="754"/>
      <c r="K7" s="754"/>
      <c r="L7" s="754"/>
      <c r="M7" s="754"/>
      <c r="N7" s="754"/>
      <c r="O7" s="754">
        <f>O5/E5</f>
        <v>4.628571428571429</v>
      </c>
    </row>
    <row r="8" spans="1:15">
      <c r="A8" s="754"/>
      <c r="B8" s="754"/>
      <c r="C8" s="754"/>
      <c r="D8" s="754"/>
      <c r="E8" s="754"/>
      <c r="F8" s="754"/>
      <c r="G8" s="754"/>
      <c r="H8" s="754"/>
      <c r="I8" s="754"/>
      <c r="J8" s="754"/>
      <c r="K8" s="754"/>
      <c r="L8" s="754"/>
      <c r="M8" s="754"/>
      <c r="N8" s="754"/>
      <c r="O8" s="754">
        <f>O7^(1/(O4-E4))</f>
        <v>1.1655870053522075</v>
      </c>
    </row>
    <row r="9" spans="1:15">
      <c r="A9" s="754"/>
      <c r="B9" s="754"/>
      <c r="C9" s="754"/>
      <c r="D9" s="754"/>
      <c r="E9" s="754"/>
      <c r="F9" s="754"/>
      <c r="G9" s="754"/>
      <c r="H9" s="754"/>
      <c r="I9" s="754"/>
      <c r="J9" s="754"/>
      <c r="K9" s="754"/>
      <c r="L9" s="754"/>
      <c r="M9" s="754"/>
      <c r="N9" s="754"/>
      <c r="O9" s="754">
        <f>O5/J5</f>
        <v>2.347826086956522</v>
      </c>
    </row>
    <row r="10" spans="1:15">
      <c r="A10" s="754"/>
      <c r="B10" s="754"/>
      <c r="C10" s="754"/>
      <c r="D10" s="754"/>
      <c r="E10" s="754"/>
      <c r="F10" s="754"/>
      <c r="G10" s="754"/>
      <c r="H10" s="754"/>
      <c r="I10" s="754"/>
      <c r="J10" s="754"/>
      <c r="K10" s="754"/>
      <c r="L10" s="754"/>
      <c r="M10" s="754"/>
      <c r="N10" s="754"/>
      <c r="O10" s="754">
        <f>O9^(1/(O4-J4))</f>
        <v>1.1861324427385767</v>
      </c>
    </row>
    <row r="11" spans="1:15">
      <c r="A11" s="754"/>
      <c r="B11" s="754"/>
      <c r="C11" s="754"/>
      <c r="D11" s="754"/>
      <c r="E11" s="754"/>
      <c r="F11" s="754"/>
      <c r="G11" s="754"/>
      <c r="H11" s="754"/>
      <c r="I11" s="754"/>
      <c r="J11" s="754"/>
      <c r="K11" s="754"/>
      <c r="L11" s="754"/>
      <c r="M11" s="754"/>
      <c r="N11" s="754"/>
      <c r="O11" s="754"/>
    </row>
    <row r="12" spans="1:15" ht="13.8">
      <c r="A12" s="754"/>
      <c r="B12" s="754"/>
      <c r="C12" s="1924">
        <v>2002</v>
      </c>
      <c r="D12" s="1924">
        <v>2003</v>
      </c>
      <c r="E12" s="1924">
        <v>2004</v>
      </c>
      <c r="F12" s="1924">
        <v>2005</v>
      </c>
      <c r="G12" s="1924">
        <v>2006</v>
      </c>
      <c r="H12" s="1924">
        <v>2007</v>
      </c>
      <c r="I12" s="1924">
        <v>2008</v>
      </c>
      <c r="J12" s="1924">
        <v>2009</v>
      </c>
      <c r="K12" s="1924">
        <v>2010</v>
      </c>
      <c r="L12" s="1924">
        <v>2011</v>
      </c>
      <c r="M12" s="1924">
        <v>2012</v>
      </c>
      <c r="N12" s="1924">
        <v>2013</v>
      </c>
      <c r="O12" s="1924">
        <v>2014</v>
      </c>
    </row>
    <row r="13" spans="1:15" ht="13.8">
      <c r="A13" s="754" t="s">
        <v>2148</v>
      </c>
      <c r="B13" s="1924" t="s">
        <v>626</v>
      </c>
      <c r="C13" s="754">
        <v>49.44</v>
      </c>
      <c r="D13" s="754">
        <v>49.03</v>
      </c>
      <c r="E13" s="754">
        <v>48.13</v>
      </c>
      <c r="F13" s="754">
        <v>47.46</v>
      </c>
      <c r="G13" s="754">
        <v>46.4</v>
      </c>
      <c r="H13" s="754">
        <v>44.09</v>
      </c>
      <c r="I13" s="754">
        <v>42.53</v>
      </c>
      <c r="J13" s="754">
        <v>42.23</v>
      </c>
      <c r="K13" s="754">
        <v>39.700000000000003</v>
      </c>
      <c r="L13" s="754">
        <v>36.89</v>
      </c>
      <c r="M13" s="754">
        <v>33.93</v>
      </c>
      <c r="N13" s="754">
        <v>32.18</v>
      </c>
      <c r="O13" s="754">
        <v>30.95</v>
      </c>
    </row>
    <row r="14" spans="1:15" ht="13.8">
      <c r="A14" s="754" t="s">
        <v>2148</v>
      </c>
      <c r="B14" s="1924" t="s">
        <v>61</v>
      </c>
      <c r="C14" s="754">
        <v>30.88</v>
      </c>
      <c r="D14" s="754">
        <v>32.24</v>
      </c>
      <c r="E14" s="754">
        <v>34.69</v>
      </c>
      <c r="F14" s="754">
        <v>36.93</v>
      </c>
      <c r="G14" s="754">
        <v>37.46</v>
      </c>
      <c r="H14" s="754">
        <v>39.85</v>
      </c>
      <c r="I14" s="754">
        <v>41.8</v>
      </c>
      <c r="J14" s="754">
        <v>39.94</v>
      </c>
      <c r="K14" s="754">
        <v>43.4</v>
      </c>
      <c r="L14" s="754">
        <v>44.49</v>
      </c>
      <c r="M14" s="754">
        <v>44.75</v>
      </c>
      <c r="N14" s="754">
        <v>45.03</v>
      </c>
      <c r="O14" s="754">
        <v>44.88</v>
      </c>
    </row>
    <row r="15" spans="1:15" ht="13.8">
      <c r="A15" s="754" t="s">
        <v>2148</v>
      </c>
      <c r="B15" s="1925" t="s">
        <v>1440</v>
      </c>
      <c r="C15" s="304">
        <v>0.45</v>
      </c>
      <c r="D15" s="304">
        <v>0.88</v>
      </c>
      <c r="E15" s="304">
        <v>1.54</v>
      </c>
      <c r="F15" s="304">
        <v>1.54</v>
      </c>
      <c r="G15" s="304">
        <v>1.89</v>
      </c>
      <c r="H15" s="304">
        <v>2.12</v>
      </c>
      <c r="I15" s="304">
        <v>2.4900000000000002</v>
      </c>
      <c r="J15" s="304">
        <v>2.2999999999999998</v>
      </c>
      <c r="K15" s="304">
        <v>2.36</v>
      </c>
      <c r="L15" s="304">
        <v>2.48</v>
      </c>
      <c r="M15" s="304">
        <v>2.4</v>
      </c>
      <c r="N15" s="304">
        <v>2.09</v>
      </c>
      <c r="O15" s="304">
        <v>1.93</v>
      </c>
    </row>
    <row r="16" spans="1:15" ht="13.8">
      <c r="A16" s="754" t="s">
        <v>2148</v>
      </c>
      <c r="B16" s="1925" t="s">
        <v>52</v>
      </c>
      <c r="C16" s="304">
        <v>0.04</v>
      </c>
      <c r="D16" s="304">
        <v>0.05</v>
      </c>
      <c r="E16" s="304">
        <v>0.09</v>
      </c>
      <c r="F16" s="304">
        <v>0.09</v>
      </c>
      <c r="G16" s="304">
        <v>0.61</v>
      </c>
      <c r="H16" s="304">
        <v>1.22</v>
      </c>
      <c r="I16" s="304">
        <v>1.54</v>
      </c>
      <c r="J16" s="304">
        <v>1.89</v>
      </c>
      <c r="K16" s="304">
        <v>2.06</v>
      </c>
      <c r="L16" s="304">
        <v>2.72</v>
      </c>
      <c r="M16" s="304">
        <v>3.93</v>
      </c>
      <c r="N16" s="304">
        <v>5.42</v>
      </c>
      <c r="O16" s="304">
        <v>7.51</v>
      </c>
    </row>
    <row r="17" spans="1:15" ht="13.8">
      <c r="A17" s="754" t="s">
        <v>2148</v>
      </c>
      <c r="B17" s="1924" t="s">
        <v>328</v>
      </c>
      <c r="C17" s="1926">
        <v>0.14000000000000001</v>
      </c>
      <c r="D17" s="754">
        <v>0.19</v>
      </c>
      <c r="E17" s="754">
        <v>0.22</v>
      </c>
      <c r="F17" s="754">
        <v>0.22</v>
      </c>
      <c r="G17" s="754">
        <v>0.22</v>
      </c>
      <c r="H17" s="754">
        <v>0.28000000000000003</v>
      </c>
      <c r="I17" s="754">
        <v>0.27</v>
      </c>
      <c r="J17" s="754">
        <v>0.28000000000000003</v>
      </c>
      <c r="K17" s="754">
        <v>0.37</v>
      </c>
      <c r="L17" s="754">
        <v>0.5</v>
      </c>
      <c r="M17" s="754">
        <v>0.62</v>
      </c>
      <c r="N17" s="754">
        <v>0.63</v>
      </c>
      <c r="O17" s="754">
        <v>0.65</v>
      </c>
    </row>
    <row r="18" spans="1:15" ht="13.8">
      <c r="A18" s="754" t="s">
        <v>2148</v>
      </c>
      <c r="B18" s="1925" t="s">
        <v>329</v>
      </c>
      <c r="C18" s="304">
        <v>0.09</v>
      </c>
      <c r="D18" s="304">
        <v>0.11</v>
      </c>
      <c r="E18" s="304">
        <v>0.13</v>
      </c>
      <c r="F18" s="304">
        <v>0.13</v>
      </c>
      <c r="G18" s="304">
        <v>0.23</v>
      </c>
      <c r="H18" s="304">
        <v>0.28000000000000003</v>
      </c>
      <c r="I18" s="304">
        <v>0.33</v>
      </c>
      <c r="J18" s="304">
        <v>0.41</v>
      </c>
      <c r="K18" s="304">
        <v>0.56999999999999995</v>
      </c>
      <c r="L18" s="304">
        <v>0.73</v>
      </c>
      <c r="M18" s="304">
        <v>0.81</v>
      </c>
      <c r="N18" s="304">
        <v>0.87</v>
      </c>
      <c r="O18" s="304">
        <v>0.97</v>
      </c>
    </row>
    <row r="19" spans="1:15" ht="13.8">
      <c r="A19" s="754" t="s">
        <v>2148</v>
      </c>
      <c r="B19" s="1924" t="s">
        <v>627</v>
      </c>
      <c r="C19" s="754">
        <v>2.72</v>
      </c>
      <c r="D19" s="754">
        <v>2.82</v>
      </c>
      <c r="E19" s="754">
        <v>2.76</v>
      </c>
      <c r="F19" s="754">
        <v>2.76</v>
      </c>
      <c r="G19" s="754">
        <v>2.92</v>
      </c>
      <c r="H19" s="754">
        <v>2.96</v>
      </c>
      <c r="I19" s="754">
        <v>2.99</v>
      </c>
      <c r="J19" s="754">
        <v>2.76</v>
      </c>
      <c r="K19" s="754">
        <v>3.04</v>
      </c>
      <c r="L19" s="754">
        <v>3.03</v>
      </c>
      <c r="M19" s="754">
        <v>3.04</v>
      </c>
      <c r="N19" s="754">
        <v>3.09</v>
      </c>
      <c r="O19" s="754">
        <v>3.08</v>
      </c>
    </row>
    <row r="20" spans="1:15" ht="13.8">
      <c r="A20" s="754" t="s">
        <v>2148</v>
      </c>
      <c r="B20" s="1924" t="s">
        <v>1424</v>
      </c>
      <c r="C20" s="754">
        <v>2.5299999999999998</v>
      </c>
      <c r="D20" s="754">
        <v>2.4500000000000002</v>
      </c>
      <c r="E20" s="754">
        <v>2.75</v>
      </c>
      <c r="F20" s="754">
        <v>2.75</v>
      </c>
      <c r="G20" s="754">
        <v>2.5299999999999998</v>
      </c>
      <c r="H20" s="754">
        <v>2.44</v>
      </c>
      <c r="I20" s="754">
        <v>2.5099999999999998</v>
      </c>
      <c r="J20" s="754">
        <v>2.17</v>
      </c>
      <c r="K20" s="754">
        <v>1.9</v>
      </c>
      <c r="L20" s="754">
        <v>2.1</v>
      </c>
      <c r="M20" s="754">
        <v>2.0499999999999998</v>
      </c>
      <c r="N20" s="754">
        <v>2.0499999999999998</v>
      </c>
      <c r="O20" s="754">
        <v>2.04</v>
      </c>
    </row>
    <row r="21" spans="1:15" ht="13.8">
      <c r="A21" s="754" t="s">
        <v>2148</v>
      </c>
      <c r="B21" s="1924" t="s">
        <v>2149</v>
      </c>
      <c r="C21" s="754">
        <v>1.1299999999999999</v>
      </c>
      <c r="D21" s="754">
        <v>1.05</v>
      </c>
      <c r="E21" s="754">
        <v>0.78</v>
      </c>
      <c r="F21" s="754">
        <v>0.78</v>
      </c>
      <c r="G21" s="754">
        <v>0.66</v>
      </c>
      <c r="H21" s="754">
        <v>0.63</v>
      </c>
      <c r="I21" s="754">
        <v>0.26</v>
      </c>
      <c r="J21" s="754">
        <v>0.2</v>
      </c>
      <c r="K21" s="754">
        <v>0.18</v>
      </c>
      <c r="L21" s="754">
        <v>0.19</v>
      </c>
      <c r="M21" s="754">
        <v>0.23</v>
      </c>
      <c r="N21" s="754">
        <v>0.26</v>
      </c>
      <c r="O21" s="754">
        <v>0.3</v>
      </c>
    </row>
    <row r="22" spans="1:15" ht="13.8">
      <c r="A22" s="754" t="s">
        <v>2148</v>
      </c>
      <c r="B22" s="1924" t="s">
        <v>2150</v>
      </c>
      <c r="C22" s="754">
        <v>0.52</v>
      </c>
      <c r="D22" s="754">
        <v>0.78</v>
      </c>
      <c r="E22" s="754">
        <v>0.79</v>
      </c>
      <c r="F22" s="754">
        <v>0.79</v>
      </c>
      <c r="G22" s="754">
        <v>0.62</v>
      </c>
      <c r="H22" s="754">
        <v>0.53</v>
      </c>
      <c r="I22" s="754">
        <v>0.45</v>
      </c>
      <c r="J22" s="754">
        <v>0.87</v>
      </c>
      <c r="K22" s="754">
        <v>1.72</v>
      </c>
      <c r="L22" s="754">
        <v>0.87</v>
      </c>
      <c r="M22" s="754">
        <v>0.53</v>
      </c>
      <c r="N22" s="754">
        <v>0.52</v>
      </c>
      <c r="O22" s="754">
        <v>0.54</v>
      </c>
    </row>
    <row r="23" spans="1:15" ht="13.8">
      <c r="A23" s="754"/>
      <c r="B23" s="754"/>
      <c r="C23" s="1924">
        <f t="shared" ref="C23:O23" si="2">SUM(C13:C22)</f>
        <v>87.94</v>
      </c>
      <c r="D23" s="1924">
        <f t="shared" si="2"/>
        <v>89.6</v>
      </c>
      <c r="E23" s="1924">
        <f t="shared" si="2"/>
        <v>91.88000000000001</v>
      </c>
      <c r="F23" s="1924">
        <f t="shared" si="2"/>
        <v>93.450000000000017</v>
      </c>
      <c r="G23" s="1924">
        <f t="shared" si="2"/>
        <v>93.54</v>
      </c>
      <c r="H23" s="1924">
        <f t="shared" si="2"/>
        <v>94.399999999999991</v>
      </c>
      <c r="I23" s="1924">
        <f t="shared" si="2"/>
        <v>95.17</v>
      </c>
      <c r="J23" s="1924">
        <f t="shared" si="2"/>
        <v>93.05</v>
      </c>
      <c r="K23" s="1924">
        <f t="shared" si="2"/>
        <v>95.300000000000011</v>
      </c>
      <c r="L23" s="1924">
        <f t="shared" si="2"/>
        <v>94</v>
      </c>
      <c r="M23" s="1924">
        <f t="shared" si="2"/>
        <v>92.290000000000035</v>
      </c>
      <c r="N23" s="1924">
        <f t="shared" si="2"/>
        <v>92.140000000000015</v>
      </c>
      <c r="O23" s="1924">
        <f t="shared" si="2"/>
        <v>92.850000000000023</v>
      </c>
    </row>
    <row r="24" spans="1:15">
      <c r="A24" s="754"/>
      <c r="B24" s="754"/>
      <c r="C24" s="754"/>
      <c r="D24" s="754"/>
      <c r="E24" s="754"/>
      <c r="F24" s="754"/>
      <c r="G24" s="754"/>
      <c r="H24" s="754"/>
      <c r="I24" s="754"/>
      <c r="J24" s="754"/>
      <c r="K24" s="754"/>
      <c r="L24" s="754"/>
      <c r="M24" s="754"/>
      <c r="N24" s="754"/>
      <c r="O24" s="754"/>
    </row>
    <row r="25" spans="1:15">
      <c r="A25" s="754"/>
      <c r="B25" s="754"/>
      <c r="C25" s="754"/>
      <c r="D25" s="754"/>
      <c r="E25" s="754"/>
      <c r="F25" s="754"/>
      <c r="G25" s="754"/>
      <c r="H25" s="754"/>
      <c r="I25" s="754"/>
      <c r="J25" s="754"/>
      <c r="K25" s="754"/>
      <c r="L25" s="754"/>
      <c r="M25" s="754"/>
      <c r="N25" s="754"/>
      <c r="O25" s="754"/>
    </row>
    <row r="26" spans="1:15">
      <c r="A26" s="754"/>
      <c r="B26" s="754"/>
      <c r="C26" s="754"/>
      <c r="D26" s="754"/>
      <c r="E26" s="754"/>
      <c r="F26" s="754"/>
      <c r="G26" s="754"/>
      <c r="H26" s="754"/>
      <c r="I26" s="754"/>
      <c r="J26" s="754"/>
      <c r="K26" s="754"/>
      <c r="L26" s="754"/>
      <c r="M26" s="754"/>
      <c r="N26" s="754"/>
      <c r="O26" s="754"/>
    </row>
    <row r="27" spans="1:15" ht="13.8">
      <c r="A27" s="11" t="s">
        <v>1444</v>
      </c>
      <c r="B27" s="1924" t="s">
        <v>2151</v>
      </c>
      <c r="C27" s="754">
        <v>4</v>
      </c>
      <c r="D27" s="754">
        <v>5</v>
      </c>
      <c r="E27" s="754">
        <v>9</v>
      </c>
      <c r="F27" s="754">
        <v>9</v>
      </c>
      <c r="G27" s="754">
        <v>56</v>
      </c>
      <c r="H27" s="754">
        <v>125</v>
      </c>
      <c r="I27" s="754">
        <v>160</v>
      </c>
      <c r="J27" s="754">
        <v>194</v>
      </c>
      <c r="K27" s="754">
        <v>207</v>
      </c>
      <c r="L27" s="754">
        <v>224</v>
      </c>
      <c r="M27" s="754">
        <v>252</v>
      </c>
      <c r="N27" s="754">
        <v>240</v>
      </c>
      <c r="O27" s="754">
        <v>256</v>
      </c>
    </row>
    <row r="28" spans="1:15" ht="13.8">
      <c r="A28" s="11" t="s">
        <v>1444</v>
      </c>
      <c r="B28" s="1924" t="s">
        <v>2152</v>
      </c>
      <c r="C28" s="754"/>
      <c r="D28" s="754"/>
      <c r="E28" s="754"/>
      <c r="F28" s="754"/>
      <c r="G28" s="754"/>
      <c r="H28" s="754"/>
      <c r="I28" s="754"/>
      <c r="J28" s="754"/>
      <c r="K28" s="754"/>
      <c r="L28" s="754">
        <v>45</v>
      </c>
      <c r="M28" s="754">
        <v>131</v>
      </c>
      <c r="N28" s="754">
        <v>289</v>
      </c>
      <c r="O28" s="754">
        <v>439</v>
      </c>
    </row>
    <row r="29" spans="1:15" ht="13.8">
      <c r="A29" s="11" t="s">
        <v>1444</v>
      </c>
      <c r="B29" s="1924" t="s">
        <v>2153</v>
      </c>
      <c r="C29" s="754">
        <v>1</v>
      </c>
      <c r="D29" s="754">
        <v>1</v>
      </c>
      <c r="E29" s="754">
        <v>1</v>
      </c>
      <c r="F29" s="754">
        <v>2</v>
      </c>
      <c r="G29" s="754">
        <v>9</v>
      </c>
      <c r="H29" s="754">
        <v>5</v>
      </c>
      <c r="I29" s="754">
        <v>5</v>
      </c>
      <c r="J29" s="754">
        <v>12</v>
      </c>
      <c r="K29" s="754">
        <v>18</v>
      </c>
      <c r="L29" s="754">
        <v>26</v>
      </c>
      <c r="M29" s="754">
        <v>42</v>
      </c>
      <c r="N29" s="754">
        <v>53</v>
      </c>
      <c r="O29" s="754">
        <v>112</v>
      </c>
    </row>
    <row r="30" spans="1:15">
      <c r="A30" s="754"/>
      <c r="B30" s="754"/>
      <c r="C30" s="754"/>
      <c r="D30" s="754"/>
      <c r="E30" s="754"/>
      <c r="F30" s="754"/>
      <c r="G30" s="754"/>
      <c r="H30" s="754"/>
      <c r="I30" s="754"/>
      <c r="J30" s="754"/>
      <c r="K30" s="754"/>
      <c r="L30" s="754"/>
      <c r="M30" s="754"/>
      <c r="N30" s="754"/>
      <c r="O30" s="754"/>
    </row>
    <row r="31" spans="1:15">
      <c r="A31" s="754"/>
      <c r="B31" s="754"/>
      <c r="C31" s="754"/>
      <c r="D31" s="754"/>
      <c r="E31" s="754"/>
      <c r="F31" s="754"/>
      <c r="G31" s="754"/>
      <c r="H31" s="754"/>
      <c r="I31" s="754"/>
      <c r="J31" s="754"/>
      <c r="K31" s="754"/>
      <c r="L31" s="754"/>
      <c r="M31" s="754"/>
      <c r="N31" s="754"/>
      <c r="O31" s="754"/>
    </row>
    <row r="32" spans="1:15">
      <c r="A32" s="754"/>
      <c r="B32" s="754"/>
      <c r="C32" s="754"/>
      <c r="D32" s="754"/>
      <c r="E32" s="754"/>
      <c r="F32" s="754"/>
      <c r="G32" s="754"/>
      <c r="H32" s="754"/>
      <c r="I32" s="754"/>
      <c r="J32" s="754"/>
      <c r="K32" s="754"/>
      <c r="L32" s="754"/>
      <c r="M32" s="754"/>
      <c r="N32" s="754"/>
      <c r="O32" s="754"/>
    </row>
    <row r="33" spans="1:15" ht="13.8">
      <c r="A33" s="11" t="s">
        <v>2154</v>
      </c>
      <c r="B33" s="1924" t="s">
        <v>1441</v>
      </c>
      <c r="C33" s="754">
        <v>33.01</v>
      </c>
      <c r="D33" s="754">
        <v>33.01</v>
      </c>
      <c r="E33" s="754">
        <v>33.01</v>
      </c>
      <c r="F33" s="754">
        <v>33.01</v>
      </c>
      <c r="G33" s="754">
        <v>33.01</v>
      </c>
      <c r="H33" s="754">
        <v>33.01</v>
      </c>
      <c r="I33" s="754">
        <v>33.01</v>
      </c>
      <c r="J33" s="754">
        <v>33.01</v>
      </c>
      <c r="K33" s="754">
        <v>33.01</v>
      </c>
      <c r="L33" s="754">
        <v>33.01</v>
      </c>
      <c r="M33" s="754">
        <v>33.01</v>
      </c>
      <c r="N33" s="754">
        <v>33.01</v>
      </c>
      <c r="O33" s="754">
        <v>33.01</v>
      </c>
    </row>
    <row r="34" spans="1:15" ht="13.8">
      <c r="A34" s="11" t="s">
        <v>2154</v>
      </c>
      <c r="B34" s="1924" t="s">
        <v>1442</v>
      </c>
      <c r="C34" s="754">
        <v>34</v>
      </c>
      <c r="D34" s="754">
        <v>34</v>
      </c>
      <c r="E34" s="754">
        <v>34</v>
      </c>
      <c r="F34" s="754">
        <v>34</v>
      </c>
      <c r="G34" s="754">
        <v>34</v>
      </c>
      <c r="H34" s="754">
        <v>34</v>
      </c>
      <c r="I34" s="754">
        <v>34</v>
      </c>
      <c r="J34" s="754">
        <v>34</v>
      </c>
      <c r="K34" s="754">
        <v>34</v>
      </c>
      <c r="L34" s="754">
        <v>34</v>
      </c>
      <c r="M34" s="754">
        <v>34</v>
      </c>
      <c r="N34" s="754">
        <v>33.979999999999997</v>
      </c>
      <c r="O34" s="754">
        <v>33.979999999999997</v>
      </c>
    </row>
    <row r="35" spans="1:15">
      <c r="A35" s="754"/>
      <c r="B35" s="754"/>
      <c r="C35" s="754"/>
      <c r="D35" s="754"/>
      <c r="E35" s="754"/>
      <c r="F35" s="754"/>
      <c r="G35" s="754"/>
      <c r="H35" s="754"/>
      <c r="I35" s="754"/>
      <c r="J35" s="754"/>
      <c r="K35" s="754"/>
      <c r="L35" s="754"/>
      <c r="M35" s="754"/>
      <c r="N35" s="754"/>
      <c r="O35" s="754"/>
    </row>
    <row r="36" spans="1:15">
      <c r="A36" s="754"/>
      <c r="B36" s="754"/>
      <c r="C36" s="754"/>
      <c r="D36" s="754"/>
      <c r="E36" s="754"/>
      <c r="F36" s="754"/>
      <c r="G36" s="754"/>
      <c r="H36" s="754"/>
      <c r="I36" s="754"/>
      <c r="J36" s="754"/>
      <c r="K36" s="754"/>
      <c r="L36" s="754"/>
      <c r="M36" s="754"/>
      <c r="N36" s="754"/>
      <c r="O36" s="754"/>
    </row>
    <row r="37" spans="1:15" ht="13.8">
      <c r="A37" s="754" t="s">
        <v>1435</v>
      </c>
      <c r="B37" s="1924" t="s">
        <v>2151</v>
      </c>
      <c r="C37" s="754">
        <f>C33*C27*1000</f>
        <v>132040</v>
      </c>
      <c r="D37" s="754">
        <f t="shared" ref="D37:O38" si="3">D33*D27*1000</f>
        <v>165049.99999999997</v>
      </c>
      <c r="E37" s="754">
        <f t="shared" si="3"/>
        <v>297090</v>
      </c>
      <c r="F37" s="754">
        <f t="shared" si="3"/>
        <v>297090</v>
      </c>
      <c r="G37" s="754">
        <f t="shared" si="3"/>
        <v>1848560</v>
      </c>
      <c r="H37" s="754">
        <f t="shared" si="3"/>
        <v>4126250</v>
      </c>
      <c r="I37" s="754">
        <f t="shared" si="3"/>
        <v>5281599.9999999991</v>
      </c>
      <c r="J37" s="754">
        <f t="shared" si="3"/>
        <v>6403940</v>
      </c>
      <c r="K37" s="754">
        <f t="shared" si="3"/>
        <v>6833070</v>
      </c>
      <c r="L37" s="754">
        <f t="shared" si="3"/>
        <v>7394240</v>
      </c>
      <c r="M37" s="754">
        <f t="shared" si="3"/>
        <v>8318519.9999999991</v>
      </c>
      <c r="N37" s="754">
        <f t="shared" si="3"/>
        <v>7922400</v>
      </c>
      <c r="O37" s="754">
        <f t="shared" si="3"/>
        <v>8450560</v>
      </c>
    </row>
    <row r="38" spans="1:15" ht="13.8">
      <c r="A38" s="754" t="s">
        <v>1435</v>
      </c>
      <c r="B38" s="1924" t="s">
        <v>2152</v>
      </c>
      <c r="C38" s="754">
        <f>C34*C28*1000</f>
        <v>0</v>
      </c>
      <c r="D38" s="754">
        <f t="shared" si="3"/>
        <v>0</v>
      </c>
      <c r="E38" s="754">
        <f t="shared" si="3"/>
        <v>0</v>
      </c>
      <c r="F38" s="754">
        <f t="shared" si="3"/>
        <v>0</v>
      </c>
      <c r="G38" s="754">
        <f t="shared" si="3"/>
        <v>0</v>
      </c>
      <c r="H38" s="754">
        <f t="shared" si="3"/>
        <v>0</v>
      </c>
      <c r="I38" s="754">
        <f t="shared" si="3"/>
        <v>0</v>
      </c>
      <c r="J38" s="754">
        <f t="shared" si="3"/>
        <v>0</v>
      </c>
      <c r="K38" s="754">
        <f t="shared" si="3"/>
        <v>0</v>
      </c>
      <c r="L38" s="754">
        <f t="shared" si="3"/>
        <v>1530000</v>
      </c>
      <c r="M38" s="754">
        <f t="shared" si="3"/>
        <v>4454000</v>
      </c>
      <c r="N38" s="754">
        <f t="shared" si="3"/>
        <v>9820220</v>
      </c>
      <c r="O38" s="754">
        <f t="shared" si="3"/>
        <v>14917220</v>
      </c>
    </row>
    <row r="39" spans="1:15" ht="13.8">
      <c r="A39" s="754" t="s">
        <v>1435</v>
      </c>
      <c r="B39" s="1924" t="s">
        <v>2153</v>
      </c>
      <c r="C39" s="754">
        <f>C33*C29*1000</f>
        <v>33010</v>
      </c>
      <c r="D39" s="754">
        <f t="shared" ref="D39:N39" si="4">D33*D29*1000</f>
        <v>33010</v>
      </c>
      <c r="E39" s="754">
        <f t="shared" si="4"/>
        <v>33010</v>
      </c>
      <c r="F39" s="754">
        <f t="shared" si="4"/>
        <v>66020</v>
      </c>
      <c r="G39" s="754">
        <f t="shared" si="4"/>
        <v>297090</v>
      </c>
      <c r="H39" s="754">
        <f t="shared" si="4"/>
        <v>165049.99999999997</v>
      </c>
      <c r="I39" s="754">
        <f t="shared" si="4"/>
        <v>165049.99999999997</v>
      </c>
      <c r="J39" s="754">
        <f t="shared" si="4"/>
        <v>396120</v>
      </c>
      <c r="K39" s="754">
        <f t="shared" si="4"/>
        <v>594180</v>
      </c>
      <c r="L39" s="754">
        <f t="shared" si="4"/>
        <v>858260</v>
      </c>
      <c r="M39" s="754">
        <f t="shared" si="4"/>
        <v>1386419.9999999998</v>
      </c>
      <c r="N39" s="754">
        <f t="shared" si="4"/>
        <v>1749530</v>
      </c>
      <c r="O39" s="754">
        <f>O33*O29*1000</f>
        <v>3697120</v>
      </c>
    </row>
    <row r="40" spans="1:15">
      <c r="A40" s="754"/>
      <c r="B40" s="754"/>
      <c r="C40" s="754">
        <f>SUM(C37:C39)</f>
        <v>165050</v>
      </c>
      <c r="D40" s="754">
        <f t="shared" ref="D40:N40" si="5">SUM(D37:D39)</f>
        <v>198059.99999999997</v>
      </c>
      <c r="E40" s="754">
        <f t="shared" si="5"/>
        <v>330100</v>
      </c>
      <c r="F40" s="754">
        <f t="shared" si="5"/>
        <v>363110</v>
      </c>
      <c r="G40" s="754">
        <f t="shared" si="5"/>
        <v>2145650</v>
      </c>
      <c r="H40" s="754">
        <f t="shared" si="5"/>
        <v>4291300</v>
      </c>
      <c r="I40" s="754">
        <f t="shared" si="5"/>
        <v>5446649.9999999991</v>
      </c>
      <c r="J40" s="754">
        <f t="shared" si="5"/>
        <v>6800060</v>
      </c>
      <c r="K40" s="754">
        <f t="shared" si="5"/>
        <v>7427250</v>
      </c>
      <c r="L40" s="754">
        <f t="shared" si="5"/>
        <v>9782500</v>
      </c>
      <c r="M40" s="754">
        <f t="shared" si="5"/>
        <v>14158940</v>
      </c>
      <c r="N40" s="754">
        <f t="shared" si="5"/>
        <v>19492150</v>
      </c>
      <c r="O40" s="754">
        <f>SUM(O37:O39)</f>
        <v>27064900</v>
      </c>
    </row>
    <row r="41" spans="1:15">
      <c r="A41" s="754"/>
      <c r="B41" s="754"/>
      <c r="C41" s="754"/>
      <c r="D41" s="754"/>
      <c r="E41" s="754"/>
      <c r="F41" s="754"/>
      <c r="G41" s="754"/>
      <c r="H41" s="754"/>
      <c r="I41" s="754"/>
      <c r="J41" s="754"/>
      <c r="K41" s="754"/>
      <c r="L41" s="754"/>
      <c r="M41" s="754"/>
      <c r="N41" s="754"/>
      <c r="O41" s="754"/>
    </row>
    <row r="42" spans="1:15">
      <c r="A42" s="754"/>
      <c r="B42" s="754"/>
      <c r="C42" s="754"/>
      <c r="D42" s="754"/>
      <c r="E42" s="754"/>
      <c r="F42" s="754"/>
      <c r="G42" s="754"/>
      <c r="H42" s="754"/>
      <c r="I42" s="754"/>
      <c r="J42" s="754"/>
      <c r="K42" s="754"/>
      <c r="L42" s="754"/>
      <c r="M42" s="754"/>
      <c r="N42" s="754"/>
      <c r="O42" s="754"/>
    </row>
    <row r="43" spans="1:15">
      <c r="A43" s="754"/>
      <c r="B43" s="754">
        <v>1</v>
      </c>
      <c r="C43" s="754" t="s">
        <v>2148</v>
      </c>
      <c r="D43" s="754"/>
      <c r="E43" s="754"/>
      <c r="F43" s="754"/>
      <c r="G43" s="754"/>
      <c r="H43" s="754"/>
      <c r="I43" s="754"/>
      <c r="J43" s="754"/>
      <c r="K43" s="754"/>
      <c r="L43" s="754"/>
      <c r="M43" s="754"/>
      <c r="N43" s="754"/>
      <c r="O43" s="754"/>
    </row>
    <row r="44" spans="1:15">
      <c r="A44" s="754"/>
      <c r="B44" s="754">
        <v>3600000</v>
      </c>
      <c r="C44" s="754" t="s">
        <v>1435</v>
      </c>
      <c r="D44" s="754"/>
      <c r="E44" s="754"/>
      <c r="F44" s="754"/>
      <c r="G44" s="754"/>
      <c r="H44" s="754"/>
      <c r="I44" s="754"/>
      <c r="J44" s="754"/>
      <c r="K44" s="754"/>
      <c r="L44" s="754"/>
      <c r="M44" s="754"/>
      <c r="N44" s="754"/>
      <c r="O44" s="754"/>
    </row>
    <row r="45" spans="1:15" ht="13.8">
      <c r="A45" s="754"/>
      <c r="B45" s="754"/>
      <c r="C45" s="1924">
        <v>2002</v>
      </c>
      <c r="D45" s="1924">
        <v>2003</v>
      </c>
      <c r="E45" s="1924">
        <v>2004</v>
      </c>
      <c r="F45" s="1924">
        <v>2005</v>
      </c>
      <c r="G45" s="1924">
        <v>2006</v>
      </c>
      <c r="H45" s="1924">
        <v>2007</v>
      </c>
      <c r="I45" s="1924">
        <v>2008</v>
      </c>
      <c r="J45" s="1924">
        <v>2009</v>
      </c>
      <c r="K45" s="1924">
        <v>2010</v>
      </c>
      <c r="L45" s="1924">
        <v>2011</v>
      </c>
      <c r="M45" s="1924">
        <v>2012</v>
      </c>
      <c r="N45" s="1924">
        <v>2013</v>
      </c>
      <c r="O45" s="1924">
        <v>2014</v>
      </c>
    </row>
    <row r="46" spans="1:15" ht="13.8">
      <c r="A46" s="754" t="s">
        <v>2148</v>
      </c>
      <c r="B46" s="1924" t="s">
        <v>2151</v>
      </c>
      <c r="C46" s="754">
        <f>C37/$B$44</f>
        <v>3.6677777777777774E-2</v>
      </c>
      <c r="D46" s="754">
        <f t="shared" ref="D46:O46" si="6">D37/$B$44</f>
        <v>4.5847222222222213E-2</v>
      </c>
      <c r="E46" s="754">
        <f t="shared" si="6"/>
        <v>8.2525000000000001E-2</v>
      </c>
      <c r="F46" s="754">
        <f t="shared" si="6"/>
        <v>8.2525000000000001E-2</v>
      </c>
      <c r="G46" s="754">
        <f t="shared" si="6"/>
        <v>0.51348888888888888</v>
      </c>
      <c r="H46" s="754">
        <f t="shared" si="6"/>
        <v>1.1461805555555555</v>
      </c>
      <c r="I46" s="754">
        <f t="shared" si="6"/>
        <v>1.4671111111111108</v>
      </c>
      <c r="J46" s="754">
        <f t="shared" si="6"/>
        <v>1.7788722222222222</v>
      </c>
      <c r="K46" s="754">
        <f t="shared" si="6"/>
        <v>1.898075</v>
      </c>
      <c r="L46" s="754">
        <f t="shared" si="6"/>
        <v>2.0539555555555555</v>
      </c>
      <c r="M46" s="754">
        <f t="shared" si="6"/>
        <v>2.3106999999999998</v>
      </c>
      <c r="N46" s="754">
        <f t="shared" si="6"/>
        <v>2.2006666666666668</v>
      </c>
      <c r="O46" s="754">
        <f t="shared" si="6"/>
        <v>2.3473777777777776</v>
      </c>
    </row>
    <row r="47" spans="1:15" ht="13.8">
      <c r="A47" s="754" t="s">
        <v>2148</v>
      </c>
      <c r="B47" s="1924" t="s">
        <v>2152</v>
      </c>
      <c r="C47" s="754">
        <f t="shared" ref="C47:O48" si="7">C38/$B$44</f>
        <v>0</v>
      </c>
      <c r="D47" s="754">
        <f t="shared" si="7"/>
        <v>0</v>
      </c>
      <c r="E47" s="754">
        <f t="shared" si="7"/>
        <v>0</v>
      </c>
      <c r="F47" s="754">
        <f t="shared" si="7"/>
        <v>0</v>
      </c>
      <c r="G47" s="754">
        <f t="shared" si="7"/>
        <v>0</v>
      </c>
      <c r="H47" s="754">
        <f t="shared" si="7"/>
        <v>0</v>
      </c>
      <c r="I47" s="754">
        <f t="shared" si="7"/>
        <v>0</v>
      </c>
      <c r="J47" s="754">
        <f t="shared" si="7"/>
        <v>0</v>
      </c>
      <c r="K47" s="754">
        <f t="shared" si="7"/>
        <v>0</v>
      </c>
      <c r="L47" s="754">
        <f t="shared" si="7"/>
        <v>0.42499999999999999</v>
      </c>
      <c r="M47" s="754">
        <f t="shared" si="7"/>
        <v>1.2372222222222222</v>
      </c>
      <c r="N47" s="754">
        <f t="shared" si="7"/>
        <v>2.7278388888888889</v>
      </c>
      <c r="O47" s="754">
        <f t="shared" si="7"/>
        <v>4.1436722222222224</v>
      </c>
    </row>
    <row r="48" spans="1:15" ht="13.8">
      <c r="A48" s="754" t="s">
        <v>2148</v>
      </c>
      <c r="B48" s="1924" t="s">
        <v>2153</v>
      </c>
      <c r="C48" s="754">
        <f t="shared" si="7"/>
        <v>9.1694444444444436E-3</v>
      </c>
      <c r="D48" s="754">
        <f t="shared" si="7"/>
        <v>9.1694444444444436E-3</v>
      </c>
      <c r="E48" s="754">
        <f t="shared" si="7"/>
        <v>9.1694444444444436E-3</v>
      </c>
      <c r="F48" s="754">
        <f t="shared" si="7"/>
        <v>1.8338888888888887E-2</v>
      </c>
      <c r="G48" s="754">
        <f t="shared" si="7"/>
        <v>8.2525000000000001E-2</v>
      </c>
      <c r="H48" s="754">
        <f t="shared" si="7"/>
        <v>4.5847222222222213E-2</v>
      </c>
      <c r="I48" s="754">
        <f t="shared" si="7"/>
        <v>4.5847222222222213E-2</v>
      </c>
      <c r="J48" s="754">
        <f t="shared" si="7"/>
        <v>0.11003333333333333</v>
      </c>
      <c r="K48" s="754">
        <f t="shared" si="7"/>
        <v>0.16505</v>
      </c>
      <c r="L48" s="754">
        <f t="shared" si="7"/>
        <v>0.23840555555555556</v>
      </c>
      <c r="M48" s="754">
        <f t="shared" si="7"/>
        <v>0.38511666666666661</v>
      </c>
      <c r="N48" s="754">
        <f t="shared" si="7"/>
        <v>0.48598055555555558</v>
      </c>
      <c r="O48" s="754">
        <f t="shared" si="7"/>
        <v>1.0269777777777778</v>
      </c>
    </row>
    <row r="49" spans="1:15" ht="13.8">
      <c r="A49" s="754"/>
      <c r="B49" s="754"/>
      <c r="C49" s="1927">
        <f>SUM(C46:C48)</f>
        <v>4.584722222222222E-2</v>
      </c>
      <c r="D49" s="1927">
        <f t="shared" ref="D49:O49" si="8">SUM(D46:D48)</f>
        <v>5.5016666666666658E-2</v>
      </c>
      <c r="E49" s="1927">
        <f t="shared" si="8"/>
        <v>9.169444444444444E-2</v>
      </c>
      <c r="F49" s="1927">
        <f t="shared" si="8"/>
        <v>0.10086388888888889</v>
      </c>
      <c r="G49" s="1927">
        <f t="shared" si="8"/>
        <v>0.59601388888888884</v>
      </c>
      <c r="H49" s="1927">
        <f t="shared" si="8"/>
        <v>1.1920277777777777</v>
      </c>
      <c r="I49" s="1927">
        <f t="shared" si="8"/>
        <v>1.512958333333333</v>
      </c>
      <c r="J49" s="1927">
        <f t="shared" si="8"/>
        <v>1.8889055555555556</v>
      </c>
      <c r="K49" s="1927">
        <f t="shared" si="8"/>
        <v>2.0631249999999999</v>
      </c>
      <c r="L49" s="1927">
        <f t="shared" si="8"/>
        <v>2.7173611111111109</v>
      </c>
      <c r="M49" s="1927">
        <f t="shared" si="8"/>
        <v>3.9330388888888885</v>
      </c>
      <c r="N49" s="1927">
        <f t="shared" si="8"/>
        <v>5.4144861111111116</v>
      </c>
      <c r="O49" s="1927">
        <f t="shared" si="8"/>
        <v>7.5180277777777773</v>
      </c>
    </row>
    <row r="50" spans="1:15">
      <c r="A50" s="754"/>
      <c r="B50" s="754"/>
      <c r="C50" s="12">
        <f>C49/C16</f>
        <v>1.1461805555555555</v>
      </c>
      <c r="D50" s="12">
        <f t="shared" ref="D50:O50" si="9">D49/D16</f>
        <v>1.1003333333333332</v>
      </c>
      <c r="E50" s="12">
        <f t="shared" si="9"/>
        <v>1.018827160493827</v>
      </c>
      <c r="F50" s="12">
        <f t="shared" si="9"/>
        <v>1.12070987654321</v>
      </c>
      <c r="G50" s="12">
        <f t="shared" si="9"/>
        <v>0.97707194899817851</v>
      </c>
      <c r="H50" s="12">
        <f t="shared" si="9"/>
        <v>0.97707194899817851</v>
      </c>
      <c r="I50" s="12">
        <f t="shared" si="9"/>
        <v>0.98244047619047592</v>
      </c>
      <c r="J50" s="12">
        <f t="shared" si="9"/>
        <v>0.99942092886537337</v>
      </c>
      <c r="K50" s="12">
        <f t="shared" si="9"/>
        <v>1.001516990291262</v>
      </c>
      <c r="L50" s="12">
        <f t="shared" si="9"/>
        <v>0.99902982026143772</v>
      </c>
      <c r="M50" s="12">
        <f t="shared" si="9"/>
        <v>1.0007732541702006</v>
      </c>
      <c r="N50" s="12">
        <f t="shared" si="9"/>
        <v>0.99898267732677337</v>
      </c>
      <c r="O50" s="12">
        <f t="shared" si="9"/>
        <v>1.0010689451102233</v>
      </c>
    </row>
    <row r="51" spans="1:15">
      <c r="A51" s="754"/>
      <c r="B51" s="754"/>
      <c r="C51" s="754"/>
      <c r="D51" s="754"/>
      <c r="E51" s="754"/>
      <c r="F51" s="754"/>
      <c r="G51" s="754"/>
      <c r="H51" s="754"/>
      <c r="I51" s="754"/>
      <c r="J51" s="754"/>
      <c r="K51" s="754"/>
      <c r="L51" s="754"/>
      <c r="M51" s="754"/>
      <c r="N51" s="754"/>
      <c r="O51" s="754"/>
    </row>
    <row r="52" spans="1:15">
      <c r="A52" s="754"/>
      <c r="B52" s="754"/>
      <c r="C52" s="754"/>
      <c r="D52" s="754"/>
      <c r="E52" s="754"/>
      <c r="F52" s="754"/>
      <c r="G52" s="754"/>
      <c r="H52" s="754"/>
      <c r="I52" s="754"/>
      <c r="J52" s="754"/>
      <c r="K52" s="754"/>
      <c r="L52" s="754"/>
      <c r="M52" s="754"/>
      <c r="N52" s="754"/>
      <c r="O52" s="754"/>
    </row>
    <row r="53" spans="1:15">
      <c r="A53" s="11" t="s">
        <v>1444</v>
      </c>
      <c r="B53" s="754" t="s">
        <v>2155</v>
      </c>
      <c r="C53" s="754">
        <v>58</v>
      </c>
      <c r="D53" s="754">
        <v>125</v>
      </c>
      <c r="E53" s="754">
        <v>235</v>
      </c>
      <c r="F53" s="754">
        <v>252</v>
      </c>
      <c r="G53" s="754">
        <v>248</v>
      </c>
      <c r="H53" s="754">
        <v>244</v>
      </c>
      <c r="I53" s="754">
        <v>228</v>
      </c>
      <c r="J53" s="754">
        <v>229</v>
      </c>
      <c r="K53" s="754">
        <v>216</v>
      </c>
      <c r="L53" s="754">
        <v>204</v>
      </c>
      <c r="M53" s="754">
        <v>191</v>
      </c>
      <c r="N53" s="754">
        <v>179</v>
      </c>
      <c r="O53" s="754">
        <v>171</v>
      </c>
    </row>
    <row r="54" spans="1:15">
      <c r="A54" s="11" t="s">
        <v>1444</v>
      </c>
      <c r="B54" s="754" t="s">
        <v>2156</v>
      </c>
      <c r="C54" s="754">
        <v>18</v>
      </c>
      <c r="D54" s="754">
        <v>25</v>
      </c>
      <c r="E54" s="754">
        <v>25</v>
      </c>
      <c r="F54" s="754">
        <v>33</v>
      </c>
      <c r="G54" s="754">
        <v>72</v>
      </c>
      <c r="H54" s="754">
        <v>115</v>
      </c>
      <c r="I54" s="754">
        <v>194</v>
      </c>
      <c r="J54" s="754">
        <v>160</v>
      </c>
      <c r="K54" s="754">
        <v>184</v>
      </c>
      <c r="L54" s="754">
        <v>216</v>
      </c>
      <c r="M54" s="754">
        <v>215</v>
      </c>
      <c r="N54" s="754">
        <v>176</v>
      </c>
      <c r="O54" s="754">
        <v>156</v>
      </c>
    </row>
    <row r="55" spans="1:15">
      <c r="A55" s="754"/>
      <c r="B55" s="754"/>
      <c r="C55" s="754"/>
      <c r="D55" s="754"/>
      <c r="E55" s="754"/>
      <c r="F55" s="754"/>
      <c r="G55" s="754"/>
      <c r="H55" s="754"/>
      <c r="I55" s="754"/>
      <c r="J55" s="754"/>
      <c r="K55" s="754"/>
      <c r="L55" s="754"/>
      <c r="M55" s="754"/>
      <c r="N55" s="754"/>
      <c r="O55" s="754"/>
    </row>
    <row r="56" spans="1:15">
      <c r="A56" s="754"/>
      <c r="B56" s="754"/>
      <c r="C56" s="754"/>
      <c r="D56" s="754"/>
      <c r="E56" s="754"/>
      <c r="F56" s="754"/>
      <c r="G56" s="754"/>
      <c r="H56" s="754"/>
      <c r="I56" s="754"/>
      <c r="J56" s="754"/>
      <c r="K56" s="754"/>
      <c r="L56" s="754"/>
      <c r="M56" s="754"/>
      <c r="N56" s="754"/>
      <c r="O56" s="754"/>
    </row>
    <row r="57" spans="1:15">
      <c r="A57" s="11" t="s">
        <v>2154</v>
      </c>
      <c r="B57" s="754"/>
      <c r="C57" s="754">
        <v>21.24</v>
      </c>
      <c r="D57" s="754">
        <v>21.24</v>
      </c>
      <c r="E57" s="754">
        <v>21.24</v>
      </c>
      <c r="F57" s="754">
        <v>21.24</v>
      </c>
      <c r="G57" s="754">
        <v>21.24</v>
      </c>
      <c r="H57" s="754">
        <v>21.24</v>
      </c>
      <c r="I57" s="754">
        <v>21.24</v>
      </c>
      <c r="J57" s="754">
        <v>21.24</v>
      </c>
      <c r="K57" s="754">
        <v>21.24</v>
      </c>
      <c r="L57" s="754">
        <v>21.24</v>
      </c>
      <c r="M57" s="754">
        <v>21.24</v>
      </c>
      <c r="N57" s="754">
        <v>21.24</v>
      </c>
      <c r="O57" s="754">
        <v>21.24</v>
      </c>
    </row>
    <row r="58" spans="1:15">
      <c r="A58" s="754"/>
      <c r="B58" s="754"/>
      <c r="C58" s="754"/>
      <c r="D58" s="754"/>
      <c r="E58" s="754"/>
      <c r="F58" s="754"/>
      <c r="G58" s="754"/>
      <c r="H58" s="754"/>
      <c r="I58" s="754"/>
      <c r="J58" s="754"/>
      <c r="K58" s="754"/>
      <c r="L58" s="754"/>
      <c r="M58" s="754"/>
      <c r="N58" s="754"/>
      <c r="O58" s="754"/>
    </row>
    <row r="59" spans="1:15">
      <c r="A59" s="754"/>
      <c r="B59" s="754"/>
      <c r="C59" s="754"/>
      <c r="D59" s="754"/>
      <c r="E59" s="754"/>
      <c r="F59" s="754"/>
      <c r="G59" s="754"/>
      <c r="H59" s="754"/>
      <c r="I59" s="754"/>
      <c r="J59" s="754"/>
      <c r="K59" s="754"/>
      <c r="L59" s="754"/>
      <c r="M59" s="754"/>
      <c r="N59" s="754"/>
      <c r="O59" s="754"/>
    </row>
    <row r="60" spans="1:15">
      <c r="A60" s="754" t="s">
        <v>1435</v>
      </c>
      <c r="B60" s="754" t="s">
        <v>2155</v>
      </c>
      <c r="C60" s="754">
        <f>C57*C53*1000</f>
        <v>1231919.9999999998</v>
      </c>
      <c r="D60" s="754">
        <f t="shared" ref="D60:O60" si="10">D57*D53*1000</f>
        <v>2655000</v>
      </c>
      <c r="E60" s="754">
        <f t="shared" si="10"/>
        <v>4991400</v>
      </c>
      <c r="F60" s="754">
        <f t="shared" si="10"/>
        <v>5352480</v>
      </c>
      <c r="G60" s="754">
        <f t="shared" si="10"/>
        <v>5267519.9999999991</v>
      </c>
      <c r="H60" s="754">
        <f t="shared" si="10"/>
        <v>5182559.9999999991</v>
      </c>
      <c r="I60" s="754">
        <f t="shared" si="10"/>
        <v>4842719.9999999991</v>
      </c>
      <c r="J60" s="754">
        <f t="shared" si="10"/>
        <v>4863960</v>
      </c>
      <c r="K60" s="754">
        <f t="shared" si="10"/>
        <v>4587839.9999999991</v>
      </c>
      <c r="L60" s="754">
        <f t="shared" si="10"/>
        <v>4332960</v>
      </c>
      <c r="M60" s="754">
        <f t="shared" si="10"/>
        <v>4056839.9999999995</v>
      </c>
      <c r="N60" s="754">
        <f t="shared" si="10"/>
        <v>3801959.9999999995</v>
      </c>
      <c r="O60" s="754">
        <f t="shared" si="10"/>
        <v>3632039.9999999995</v>
      </c>
    </row>
    <row r="61" spans="1:15">
      <c r="A61" s="754" t="s">
        <v>1435</v>
      </c>
      <c r="B61" s="754" t="s">
        <v>2156</v>
      </c>
      <c r="C61" s="754">
        <f>C57*C54*1000</f>
        <v>382320</v>
      </c>
      <c r="D61" s="754">
        <f t="shared" ref="D61:O61" si="11">D57*D54*1000</f>
        <v>531000</v>
      </c>
      <c r="E61" s="754">
        <f t="shared" si="11"/>
        <v>531000</v>
      </c>
      <c r="F61" s="754">
        <f t="shared" si="11"/>
        <v>700920</v>
      </c>
      <c r="G61" s="754">
        <f t="shared" si="11"/>
        <v>1529280</v>
      </c>
      <c r="H61" s="754">
        <f t="shared" si="11"/>
        <v>2442600</v>
      </c>
      <c r="I61" s="754">
        <f t="shared" si="11"/>
        <v>4120559.9999999995</v>
      </c>
      <c r="J61" s="754">
        <f t="shared" si="11"/>
        <v>3398399.9999999995</v>
      </c>
      <c r="K61" s="754">
        <f t="shared" si="11"/>
        <v>3908160</v>
      </c>
      <c r="L61" s="754">
        <f t="shared" si="11"/>
        <v>4587839.9999999991</v>
      </c>
      <c r="M61" s="754">
        <f t="shared" si="11"/>
        <v>4566599.9999999991</v>
      </c>
      <c r="N61" s="754">
        <f t="shared" si="11"/>
        <v>3738240</v>
      </c>
      <c r="O61" s="754">
        <f t="shared" si="11"/>
        <v>3313439.9999999995</v>
      </c>
    </row>
    <row r="62" spans="1:15">
      <c r="A62" s="754"/>
      <c r="B62" s="754"/>
      <c r="C62" s="754"/>
      <c r="D62" s="754"/>
      <c r="E62" s="754"/>
      <c r="F62" s="754"/>
      <c r="G62" s="754"/>
      <c r="H62" s="754"/>
      <c r="I62" s="754"/>
      <c r="J62" s="754"/>
      <c r="K62" s="754"/>
      <c r="L62" s="754"/>
      <c r="M62" s="754"/>
      <c r="N62" s="754"/>
      <c r="O62" s="754"/>
    </row>
    <row r="63" spans="1:15">
      <c r="A63" s="754"/>
      <c r="B63" s="754"/>
      <c r="C63" s="754"/>
      <c r="D63" s="754"/>
      <c r="E63" s="754"/>
      <c r="F63" s="754"/>
      <c r="G63" s="754"/>
      <c r="H63" s="754"/>
      <c r="I63" s="754"/>
      <c r="J63" s="754"/>
      <c r="K63" s="754"/>
      <c r="L63" s="754"/>
      <c r="M63" s="754"/>
      <c r="N63" s="754"/>
      <c r="O63" s="754"/>
    </row>
    <row r="64" spans="1:15">
      <c r="A64" s="754" t="s">
        <v>2148</v>
      </c>
      <c r="B64" s="754" t="s">
        <v>2155</v>
      </c>
      <c r="C64" s="754">
        <f>C60/$B$44</f>
        <v>0.34219999999999995</v>
      </c>
      <c r="D64" s="754">
        <f t="shared" ref="D64:O65" si="12">D60/$B$44</f>
        <v>0.73750000000000004</v>
      </c>
      <c r="E64" s="754">
        <f t="shared" si="12"/>
        <v>1.3865000000000001</v>
      </c>
      <c r="F64" s="754">
        <f t="shared" si="12"/>
        <v>1.4867999999999999</v>
      </c>
      <c r="G64" s="754">
        <f t="shared" si="12"/>
        <v>1.4631999999999998</v>
      </c>
      <c r="H64" s="754">
        <f t="shared" si="12"/>
        <v>1.4395999999999998</v>
      </c>
      <c r="I64" s="754">
        <f t="shared" si="12"/>
        <v>1.3451999999999997</v>
      </c>
      <c r="J64" s="754">
        <f t="shared" si="12"/>
        <v>1.3511</v>
      </c>
      <c r="K64" s="754">
        <f t="shared" si="12"/>
        <v>1.2743999999999998</v>
      </c>
      <c r="L64" s="754">
        <f t="shared" si="12"/>
        <v>1.2036</v>
      </c>
      <c r="M64" s="754">
        <f t="shared" si="12"/>
        <v>1.1268999999999998</v>
      </c>
      <c r="N64" s="754">
        <f t="shared" si="12"/>
        <v>1.0560999999999998</v>
      </c>
      <c r="O64" s="754">
        <f t="shared" si="12"/>
        <v>1.0088999999999999</v>
      </c>
    </row>
    <row r="65" spans="1:15">
      <c r="A65" s="754" t="s">
        <v>2148</v>
      </c>
      <c r="B65" s="754" t="s">
        <v>2156</v>
      </c>
      <c r="C65" s="754">
        <f>C61/$B$44</f>
        <v>0.1062</v>
      </c>
      <c r="D65" s="754">
        <f t="shared" si="12"/>
        <v>0.14749999999999999</v>
      </c>
      <c r="E65" s="754">
        <f t="shared" si="12"/>
        <v>0.14749999999999999</v>
      </c>
      <c r="F65" s="754">
        <f t="shared" si="12"/>
        <v>0.19470000000000001</v>
      </c>
      <c r="G65" s="754">
        <f t="shared" si="12"/>
        <v>0.42480000000000001</v>
      </c>
      <c r="H65" s="754">
        <f t="shared" si="12"/>
        <v>0.67849999999999999</v>
      </c>
      <c r="I65" s="754">
        <f t="shared" si="12"/>
        <v>1.1445999999999998</v>
      </c>
      <c r="J65" s="754">
        <f t="shared" si="12"/>
        <v>0.94399999999999984</v>
      </c>
      <c r="K65" s="754">
        <f t="shared" si="12"/>
        <v>1.0855999999999999</v>
      </c>
      <c r="L65" s="754">
        <f t="shared" si="12"/>
        <v>1.2743999999999998</v>
      </c>
      <c r="M65" s="754">
        <f t="shared" si="12"/>
        <v>1.2684999999999997</v>
      </c>
      <c r="N65" s="754">
        <f t="shared" si="12"/>
        <v>1.0384</v>
      </c>
      <c r="O65" s="754">
        <f t="shared" si="12"/>
        <v>0.92039999999999988</v>
      </c>
    </row>
    <row r="66" spans="1:15" ht="13.8">
      <c r="A66" s="754"/>
      <c r="B66" s="754"/>
      <c r="C66" s="1924">
        <f>SUM(C64:C65)</f>
        <v>0.44839999999999997</v>
      </c>
      <c r="D66" s="1924">
        <f t="shared" ref="D66:O66" si="13">SUM(D64:D65)</f>
        <v>0.88500000000000001</v>
      </c>
      <c r="E66" s="1924">
        <f t="shared" si="13"/>
        <v>1.534</v>
      </c>
      <c r="F66" s="1924">
        <f t="shared" si="13"/>
        <v>1.6815</v>
      </c>
      <c r="G66" s="1924">
        <f t="shared" si="13"/>
        <v>1.8879999999999999</v>
      </c>
      <c r="H66" s="1924">
        <f t="shared" si="13"/>
        <v>2.1180999999999996</v>
      </c>
      <c r="I66" s="1924">
        <f t="shared" si="13"/>
        <v>2.4897999999999998</v>
      </c>
      <c r="J66" s="1924">
        <f t="shared" si="13"/>
        <v>2.2950999999999997</v>
      </c>
      <c r="K66" s="1924">
        <f t="shared" si="13"/>
        <v>2.3599999999999994</v>
      </c>
      <c r="L66" s="1924">
        <f t="shared" si="13"/>
        <v>2.4779999999999998</v>
      </c>
      <c r="M66" s="1924">
        <f t="shared" si="13"/>
        <v>2.3953999999999995</v>
      </c>
      <c r="N66" s="1924">
        <f t="shared" si="13"/>
        <v>2.0945</v>
      </c>
      <c r="O66" s="1924">
        <f t="shared" si="13"/>
        <v>1.9292999999999998</v>
      </c>
    </row>
    <row r="67" spans="1:15">
      <c r="A67" s="754"/>
      <c r="B67" s="754"/>
      <c r="C67" s="754">
        <f>C66/C15</f>
        <v>0.99644444444444435</v>
      </c>
      <c r="D67" s="754">
        <f t="shared" ref="D67:O67" si="14">D66/D15</f>
        <v>1.0056818181818181</v>
      </c>
      <c r="E67" s="754">
        <f t="shared" si="14"/>
        <v>0.99610389610389605</v>
      </c>
      <c r="F67" s="754">
        <f t="shared" si="14"/>
        <v>1.0918831168831169</v>
      </c>
      <c r="G67" s="754">
        <f t="shared" si="14"/>
        <v>0.99894179894179891</v>
      </c>
      <c r="H67" s="754">
        <f t="shared" si="14"/>
        <v>0.99910377358490543</v>
      </c>
      <c r="I67" s="754">
        <f t="shared" si="14"/>
        <v>0.99991967871485932</v>
      </c>
      <c r="J67" s="754">
        <f t="shared" si="14"/>
        <v>0.99786956521739123</v>
      </c>
      <c r="K67" s="754">
        <f t="shared" si="14"/>
        <v>0.99999999999999978</v>
      </c>
      <c r="L67" s="754">
        <f t="shared" si="14"/>
        <v>0.99919354838709673</v>
      </c>
      <c r="M67" s="754">
        <f t="shared" si="14"/>
        <v>0.99808333333333321</v>
      </c>
      <c r="N67" s="754">
        <f t="shared" si="14"/>
        <v>1.0021531100478469</v>
      </c>
      <c r="O67" s="754">
        <f t="shared" si="14"/>
        <v>0.99963730569948184</v>
      </c>
    </row>
    <row r="68" spans="1:15">
      <c r="A68" s="754"/>
      <c r="B68" s="754"/>
      <c r="C68" s="754"/>
      <c r="D68" s="754"/>
      <c r="E68" s="754"/>
      <c r="F68" s="754"/>
      <c r="G68" s="754"/>
      <c r="H68" s="754"/>
      <c r="I68" s="754"/>
      <c r="J68" s="754"/>
      <c r="K68" s="754"/>
      <c r="L68" s="754"/>
      <c r="M68" s="754"/>
      <c r="N68" s="754"/>
      <c r="O68" s="754"/>
    </row>
    <row r="69" spans="1:15">
      <c r="A69" s="754"/>
      <c r="B69" s="754"/>
      <c r="C69" s="754"/>
      <c r="D69" s="754"/>
      <c r="E69" s="754"/>
      <c r="F69" s="754"/>
      <c r="G69" s="754"/>
      <c r="H69" s="754"/>
      <c r="I69" s="754"/>
      <c r="J69" s="754"/>
      <c r="K69" s="754"/>
      <c r="L69" s="754"/>
      <c r="M69" s="754"/>
      <c r="N69" s="754"/>
      <c r="O69" s="754"/>
    </row>
    <row r="70" spans="1:15">
      <c r="A70" s="754"/>
      <c r="B70" s="754"/>
      <c r="C70" s="754"/>
      <c r="D70" s="754"/>
      <c r="E70" s="754"/>
      <c r="F70" s="754"/>
      <c r="G70" s="754"/>
      <c r="H70" s="754"/>
      <c r="I70" s="754"/>
      <c r="J70" s="754"/>
      <c r="K70" s="754"/>
      <c r="L70" s="754"/>
      <c r="M70" s="754"/>
      <c r="N70" s="754"/>
      <c r="O70" s="754"/>
    </row>
    <row r="71" spans="1:15" ht="13.8">
      <c r="A71" s="754"/>
      <c r="B71" s="754"/>
      <c r="C71" s="1924">
        <v>2002</v>
      </c>
      <c r="D71" s="1924">
        <v>2003</v>
      </c>
      <c r="E71" s="1924">
        <v>2004</v>
      </c>
      <c r="F71" s="1924">
        <v>2005</v>
      </c>
      <c r="G71" s="1924">
        <v>2006</v>
      </c>
      <c r="H71" s="1924">
        <v>2007</v>
      </c>
      <c r="I71" s="1924">
        <v>2008</v>
      </c>
      <c r="J71" s="1924">
        <v>2009</v>
      </c>
      <c r="K71" s="1924">
        <v>2010</v>
      </c>
      <c r="L71" s="1924">
        <v>2011</v>
      </c>
      <c r="M71" s="1924">
        <v>2012</v>
      </c>
      <c r="N71" s="1924">
        <v>2013</v>
      </c>
      <c r="O71" s="1924">
        <v>2014</v>
      </c>
    </row>
    <row r="72" spans="1:15" ht="13.8">
      <c r="A72" s="754"/>
      <c r="B72" s="1924" t="s">
        <v>2151</v>
      </c>
      <c r="C72" s="754">
        <f>C46</f>
        <v>3.6677777777777774E-2</v>
      </c>
      <c r="D72" s="754">
        <f t="shared" ref="D72:O72" si="15">D46</f>
        <v>4.5847222222222213E-2</v>
      </c>
      <c r="E72" s="754">
        <f t="shared" si="15"/>
        <v>8.2525000000000001E-2</v>
      </c>
      <c r="F72" s="754">
        <f t="shared" si="15"/>
        <v>8.2525000000000001E-2</v>
      </c>
      <c r="G72" s="754">
        <f t="shared" si="15"/>
        <v>0.51348888888888888</v>
      </c>
      <c r="H72" s="754">
        <f t="shared" si="15"/>
        <v>1.1461805555555555</v>
      </c>
      <c r="I72" s="754">
        <f t="shared" si="15"/>
        <v>1.4671111111111108</v>
      </c>
      <c r="J72" s="754">
        <f t="shared" si="15"/>
        <v>1.7788722222222222</v>
      </c>
      <c r="K72" s="754">
        <f t="shared" si="15"/>
        <v>1.898075</v>
      </c>
      <c r="L72" s="754">
        <f t="shared" si="15"/>
        <v>2.0539555555555555</v>
      </c>
      <c r="M72" s="754">
        <f t="shared" si="15"/>
        <v>2.3106999999999998</v>
      </c>
      <c r="N72" s="754">
        <f t="shared" si="15"/>
        <v>2.2006666666666668</v>
      </c>
      <c r="O72" s="754">
        <f t="shared" si="15"/>
        <v>2.3473777777777776</v>
      </c>
    </row>
    <row r="73" spans="1:15" ht="13.8">
      <c r="A73" s="754"/>
      <c r="B73" s="1924" t="s">
        <v>2152</v>
      </c>
      <c r="C73" s="754">
        <f t="shared" ref="C73:O74" si="16">C47</f>
        <v>0</v>
      </c>
      <c r="D73" s="754">
        <f t="shared" si="16"/>
        <v>0</v>
      </c>
      <c r="E73" s="754">
        <f t="shared" si="16"/>
        <v>0</v>
      </c>
      <c r="F73" s="754">
        <f t="shared" si="16"/>
        <v>0</v>
      </c>
      <c r="G73" s="754">
        <f t="shared" si="16"/>
        <v>0</v>
      </c>
      <c r="H73" s="754">
        <f t="shared" si="16"/>
        <v>0</v>
      </c>
      <c r="I73" s="754">
        <f t="shared" si="16"/>
        <v>0</v>
      </c>
      <c r="J73" s="754">
        <f t="shared" si="16"/>
        <v>0</v>
      </c>
      <c r="K73" s="754">
        <f t="shared" si="16"/>
        <v>0</v>
      </c>
      <c r="L73" s="754">
        <f t="shared" si="16"/>
        <v>0.42499999999999999</v>
      </c>
      <c r="M73" s="754">
        <f t="shared" si="16"/>
        <v>1.2372222222222222</v>
      </c>
      <c r="N73" s="754">
        <f t="shared" si="16"/>
        <v>2.7278388888888889</v>
      </c>
      <c r="O73" s="754">
        <f t="shared" si="16"/>
        <v>4.1436722222222224</v>
      </c>
    </row>
    <row r="74" spans="1:15" ht="13.8">
      <c r="A74" s="754"/>
      <c r="B74" s="1924" t="s">
        <v>2157</v>
      </c>
      <c r="C74" s="754">
        <f t="shared" si="16"/>
        <v>9.1694444444444436E-3</v>
      </c>
      <c r="D74" s="754">
        <f t="shared" si="16"/>
        <v>9.1694444444444436E-3</v>
      </c>
      <c r="E74" s="754">
        <f t="shared" si="16"/>
        <v>9.1694444444444436E-3</v>
      </c>
      <c r="F74" s="754">
        <f t="shared" si="16"/>
        <v>1.8338888888888887E-2</v>
      </c>
      <c r="G74" s="754">
        <f t="shared" si="16"/>
        <v>8.2525000000000001E-2</v>
      </c>
      <c r="H74" s="754">
        <f t="shared" si="16"/>
        <v>4.5847222222222213E-2</v>
      </c>
      <c r="I74" s="754">
        <f t="shared" si="16"/>
        <v>4.5847222222222213E-2</v>
      </c>
      <c r="J74" s="754">
        <f t="shared" si="16"/>
        <v>0.11003333333333333</v>
      </c>
      <c r="K74" s="754">
        <f t="shared" si="16"/>
        <v>0.16505</v>
      </c>
      <c r="L74" s="754">
        <f t="shared" si="16"/>
        <v>0.23840555555555556</v>
      </c>
      <c r="M74" s="754">
        <f t="shared" si="16"/>
        <v>0.38511666666666661</v>
      </c>
      <c r="N74" s="754">
        <f t="shared" si="16"/>
        <v>0.48598055555555558</v>
      </c>
      <c r="O74" s="754">
        <f t="shared" si="16"/>
        <v>1.0269777777777778</v>
      </c>
    </row>
    <row r="75" spans="1:15" ht="13.8">
      <c r="A75" s="754"/>
      <c r="B75" s="1924" t="s">
        <v>2155</v>
      </c>
      <c r="C75" s="754">
        <f>C64</f>
        <v>0.34219999999999995</v>
      </c>
      <c r="D75" s="754">
        <f t="shared" ref="D75:O76" si="17">D64</f>
        <v>0.73750000000000004</v>
      </c>
      <c r="E75" s="754">
        <f t="shared" si="17"/>
        <v>1.3865000000000001</v>
      </c>
      <c r="F75" s="754">
        <f t="shared" si="17"/>
        <v>1.4867999999999999</v>
      </c>
      <c r="G75" s="754">
        <f t="shared" si="17"/>
        <v>1.4631999999999998</v>
      </c>
      <c r="H75" s="754">
        <f t="shared" si="17"/>
        <v>1.4395999999999998</v>
      </c>
      <c r="I75" s="754">
        <f t="shared" si="17"/>
        <v>1.3451999999999997</v>
      </c>
      <c r="J75" s="754">
        <f t="shared" si="17"/>
        <v>1.3511</v>
      </c>
      <c r="K75" s="754">
        <f t="shared" si="17"/>
        <v>1.2743999999999998</v>
      </c>
      <c r="L75" s="754">
        <f t="shared" si="17"/>
        <v>1.2036</v>
      </c>
      <c r="M75" s="754">
        <f t="shared" si="17"/>
        <v>1.1268999999999998</v>
      </c>
      <c r="N75" s="754">
        <f t="shared" si="17"/>
        <v>1.0560999999999998</v>
      </c>
      <c r="O75" s="754">
        <f t="shared" si="17"/>
        <v>1.0088999999999999</v>
      </c>
    </row>
    <row r="76" spans="1:15" ht="13.8">
      <c r="A76" s="754"/>
      <c r="B76" s="1924" t="s">
        <v>2156</v>
      </c>
      <c r="C76" s="754">
        <f>C65</f>
        <v>0.1062</v>
      </c>
      <c r="D76" s="754">
        <f t="shared" si="17"/>
        <v>0.14749999999999999</v>
      </c>
      <c r="E76" s="754">
        <f t="shared" si="17"/>
        <v>0.14749999999999999</v>
      </c>
      <c r="F76" s="754">
        <f t="shared" si="17"/>
        <v>0.19470000000000001</v>
      </c>
      <c r="G76" s="754">
        <f t="shared" si="17"/>
        <v>0.42480000000000001</v>
      </c>
      <c r="H76" s="754">
        <f t="shared" si="17"/>
        <v>0.67849999999999999</v>
      </c>
      <c r="I76" s="754">
        <f t="shared" si="17"/>
        <v>1.1445999999999998</v>
      </c>
      <c r="J76" s="754">
        <f t="shared" si="17"/>
        <v>0.94399999999999984</v>
      </c>
      <c r="K76" s="754">
        <f t="shared" si="17"/>
        <v>1.0855999999999999</v>
      </c>
      <c r="L76" s="754">
        <f t="shared" si="17"/>
        <v>1.2743999999999998</v>
      </c>
      <c r="M76" s="754">
        <f t="shared" si="17"/>
        <v>1.2684999999999997</v>
      </c>
      <c r="N76" s="754">
        <f t="shared" si="17"/>
        <v>1.0384</v>
      </c>
      <c r="O76" s="754">
        <f t="shared" si="17"/>
        <v>0.92039999999999988</v>
      </c>
    </row>
    <row r="77" spans="1:15" ht="13.8">
      <c r="A77" s="754"/>
      <c r="B77" s="1924" t="s">
        <v>329</v>
      </c>
      <c r="C77" s="754">
        <f>C18</f>
        <v>0.09</v>
      </c>
      <c r="D77" s="754">
        <f t="shared" ref="D77:O77" si="18">D18</f>
        <v>0.11</v>
      </c>
      <c r="E77" s="754">
        <f t="shared" si="18"/>
        <v>0.13</v>
      </c>
      <c r="F77" s="754">
        <f t="shared" si="18"/>
        <v>0.13</v>
      </c>
      <c r="G77" s="754">
        <f t="shared" si="18"/>
        <v>0.23</v>
      </c>
      <c r="H77" s="754">
        <f t="shared" si="18"/>
        <v>0.28000000000000003</v>
      </c>
      <c r="I77" s="754">
        <f t="shared" si="18"/>
        <v>0.33</v>
      </c>
      <c r="J77" s="754">
        <f t="shared" si="18"/>
        <v>0.41</v>
      </c>
      <c r="K77" s="754">
        <f t="shared" si="18"/>
        <v>0.56999999999999995</v>
      </c>
      <c r="L77" s="754">
        <f t="shared" si="18"/>
        <v>0.73</v>
      </c>
      <c r="M77" s="754">
        <f t="shared" si="18"/>
        <v>0.81</v>
      </c>
      <c r="N77" s="754">
        <f t="shared" si="18"/>
        <v>0.87</v>
      </c>
      <c r="O77" s="754">
        <f t="shared" si="18"/>
        <v>0.97</v>
      </c>
    </row>
    <row r="78" spans="1:15" ht="13.8">
      <c r="A78" s="754"/>
      <c r="B78" s="754"/>
      <c r="C78" s="1924">
        <f>SUM(C72:C77)</f>
        <v>0.58424722222222214</v>
      </c>
      <c r="D78" s="1924">
        <f t="shared" ref="D78:N78" si="19">SUM(D72:D77)</f>
        <v>1.0500166666666668</v>
      </c>
      <c r="E78" s="1924">
        <f t="shared" si="19"/>
        <v>1.7556944444444444</v>
      </c>
      <c r="F78" s="1924">
        <f t="shared" si="19"/>
        <v>1.9123638888888888</v>
      </c>
      <c r="G78" s="1924">
        <f t="shared" si="19"/>
        <v>2.7140138888888883</v>
      </c>
      <c r="H78" s="1924">
        <f t="shared" si="19"/>
        <v>3.5901277777777771</v>
      </c>
      <c r="I78" s="1924">
        <f t="shared" si="19"/>
        <v>4.3327583333333326</v>
      </c>
      <c r="J78" s="1924">
        <f t="shared" si="19"/>
        <v>4.5940055555555555</v>
      </c>
      <c r="K78" s="1924">
        <f t="shared" si="19"/>
        <v>4.9931249999999991</v>
      </c>
      <c r="L78" s="1924">
        <f t="shared" si="19"/>
        <v>5.9253611111111102</v>
      </c>
      <c r="M78" s="1924">
        <f t="shared" si="19"/>
        <v>7.1384388888888886</v>
      </c>
      <c r="N78" s="1924">
        <f t="shared" si="19"/>
        <v>8.3789861111111108</v>
      </c>
      <c r="O78" s="1924">
        <f>SUM(O72:O77)</f>
        <v>10.417327777777777</v>
      </c>
    </row>
    <row r="79" spans="1:15">
      <c r="A79" s="754"/>
      <c r="B79" s="754"/>
      <c r="C79" s="754"/>
      <c r="D79" s="754"/>
      <c r="E79" s="754"/>
      <c r="F79" s="754"/>
      <c r="G79" s="754"/>
      <c r="H79" s="754"/>
      <c r="I79" s="754"/>
      <c r="J79" s="754"/>
      <c r="K79" s="754"/>
      <c r="L79" s="754"/>
      <c r="M79" s="754"/>
      <c r="N79" s="754"/>
      <c r="O79" s="754"/>
    </row>
    <row r="80" spans="1:15" ht="13.8">
      <c r="A80" s="754"/>
      <c r="B80" s="754"/>
      <c r="C80" s="1924">
        <v>2002</v>
      </c>
      <c r="D80" s="1924">
        <v>2003</v>
      </c>
      <c r="E80" s="1924">
        <v>2004</v>
      </c>
      <c r="F80" s="1924">
        <v>2005</v>
      </c>
      <c r="G80" s="1924">
        <v>2006</v>
      </c>
      <c r="H80" s="1924">
        <v>2007</v>
      </c>
      <c r="I80" s="1924">
        <v>2008</v>
      </c>
      <c r="J80" s="1924">
        <v>2009</v>
      </c>
      <c r="K80" s="1924">
        <v>2010</v>
      </c>
      <c r="L80" s="1924">
        <v>2011</v>
      </c>
      <c r="M80" s="1924">
        <v>2012</v>
      </c>
      <c r="N80" s="1924">
        <v>2013</v>
      </c>
      <c r="O80" s="1924">
        <v>2014</v>
      </c>
    </row>
    <row r="81" spans="1:15">
      <c r="A81" s="754"/>
      <c r="B81" s="754" t="s">
        <v>2158</v>
      </c>
      <c r="C81" s="784">
        <f>C78/(C13+C14+C17+C78)*100</f>
        <v>0.72089906717280539</v>
      </c>
      <c r="D81" s="784">
        <f t="shared" ref="D81:N81" si="20">D78/(D13+D14+D17+D78)*100</f>
        <v>1.2725929639653852</v>
      </c>
      <c r="E81" s="784">
        <f t="shared" si="20"/>
        <v>2.0704995176314314</v>
      </c>
      <c r="F81" s="784">
        <f t="shared" si="20"/>
        <v>2.2102538614695346</v>
      </c>
      <c r="G81" s="784">
        <f t="shared" si="20"/>
        <v>3.1269597605697648</v>
      </c>
      <c r="H81" s="784">
        <f t="shared" si="20"/>
        <v>4.0885121894633381</v>
      </c>
      <c r="I81" s="784">
        <f t="shared" si="20"/>
        <v>4.871948666084891</v>
      </c>
      <c r="J81" s="784">
        <f t="shared" si="20"/>
        <v>5.2777965883284716</v>
      </c>
      <c r="K81" s="784">
        <f t="shared" si="20"/>
        <v>5.644300944602624</v>
      </c>
      <c r="L81" s="784">
        <f t="shared" si="20"/>
        <v>6.7482908060853024</v>
      </c>
      <c r="M81" s="784">
        <f t="shared" si="20"/>
        <v>8.258407926668939</v>
      </c>
      <c r="N81" s="784">
        <f t="shared" si="20"/>
        <v>9.7182610107628058</v>
      </c>
      <c r="O81" s="784">
        <f>O78/(O13+O14+O17+O78)*100</f>
        <v>11.988087601977787</v>
      </c>
    </row>
    <row r="82" spans="1:15">
      <c r="A82" s="754"/>
      <c r="B82" s="754"/>
      <c r="C82" s="754"/>
      <c r="D82" s="754"/>
      <c r="E82" s="754"/>
      <c r="F82" s="754"/>
      <c r="G82" s="754"/>
      <c r="H82" s="754"/>
      <c r="I82" s="754"/>
      <c r="J82" s="754"/>
      <c r="K82" s="754"/>
      <c r="L82" s="754"/>
      <c r="M82" s="754"/>
      <c r="N82" s="754"/>
      <c r="O82" s="754"/>
    </row>
    <row r="83" spans="1:15">
      <c r="A83" s="754"/>
      <c r="B83" s="754"/>
      <c r="C83" s="754"/>
      <c r="D83" s="754"/>
      <c r="E83" s="754"/>
      <c r="F83" s="754"/>
      <c r="G83" s="754"/>
      <c r="H83" s="754"/>
      <c r="I83" s="754"/>
      <c r="J83" s="754"/>
      <c r="K83" s="754"/>
      <c r="L83" s="754"/>
      <c r="M83" s="754"/>
      <c r="N83" s="754"/>
      <c r="O83" s="754"/>
    </row>
    <row r="84" spans="1:15">
      <c r="A84" s="754"/>
      <c r="B84" s="754"/>
      <c r="C84" s="754"/>
      <c r="D84" s="754"/>
      <c r="E84" s="754"/>
      <c r="F84" s="754"/>
      <c r="G84" s="754"/>
      <c r="H84" s="754"/>
      <c r="I84" s="754"/>
      <c r="J84" s="754"/>
      <c r="K84" s="754"/>
      <c r="L84" s="754"/>
      <c r="M84" s="754"/>
      <c r="N84" s="754"/>
      <c r="O84" s="754"/>
    </row>
    <row r="85" spans="1:15" ht="13.8">
      <c r="A85" s="754"/>
      <c r="B85" s="754"/>
      <c r="C85" s="754"/>
      <c r="D85" s="754"/>
      <c r="E85" s="754"/>
      <c r="F85" s="754"/>
      <c r="G85" s="1924">
        <v>2006</v>
      </c>
      <c r="H85" s="1924">
        <v>2007</v>
      </c>
      <c r="I85" s="1924">
        <v>2008</v>
      </c>
      <c r="J85" s="1924">
        <v>2009</v>
      </c>
      <c r="K85" s="1924">
        <v>2010</v>
      </c>
      <c r="L85" s="1924">
        <v>2011</v>
      </c>
      <c r="M85" s="1924">
        <v>2012</v>
      </c>
      <c r="N85" s="1924">
        <v>2013</v>
      </c>
      <c r="O85" s="1924">
        <v>2014</v>
      </c>
    </row>
    <row r="86" spans="1:15">
      <c r="A86" s="754"/>
      <c r="B86" s="754" t="s">
        <v>2065</v>
      </c>
      <c r="C86" s="754"/>
      <c r="D86" s="754"/>
      <c r="E86" s="754"/>
      <c r="F86" s="754"/>
      <c r="G86" s="754">
        <f>G19*1000</f>
        <v>2920</v>
      </c>
      <c r="H86" s="754">
        <f t="shared" ref="H86:O86" si="21">H19*1000</f>
        <v>2960</v>
      </c>
      <c r="I86" s="754">
        <f t="shared" si="21"/>
        <v>2990</v>
      </c>
      <c r="J86" s="754">
        <f t="shared" si="21"/>
        <v>2760</v>
      </c>
      <c r="K86" s="754">
        <f t="shared" si="21"/>
        <v>3040</v>
      </c>
      <c r="L86" s="754">
        <f t="shared" si="21"/>
        <v>3030</v>
      </c>
      <c r="M86" s="754">
        <f t="shared" si="21"/>
        <v>3040</v>
      </c>
      <c r="N86" s="754">
        <f t="shared" si="21"/>
        <v>3090</v>
      </c>
      <c r="O86" s="754">
        <f t="shared" si="21"/>
        <v>3080</v>
      </c>
    </row>
    <row r="87" spans="1:15">
      <c r="A87" s="754"/>
      <c r="B87" s="754" t="s">
        <v>2159</v>
      </c>
      <c r="C87" s="754" t="s">
        <v>1641</v>
      </c>
      <c r="D87" s="754"/>
      <c r="E87" s="754"/>
      <c r="F87" s="754"/>
      <c r="G87" s="754">
        <v>2885</v>
      </c>
      <c r="H87" s="754">
        <v>2421</v>
      </c>
      <c r="I87" s="754">
        <v>2361</v>
      </c>
      <c r="J87" s="754">
        <v>2442</v>
      </c>
      <c r="K87" s="754">
        <v>2405</v>
      </c>
      <c r="L87" s="754">
        <v>2640</v>
      </c>
      <c r="M87" s="754">
        <v>2685</v>
      </c>
      <c r="N87" s="754">
        <v>2750</v>
      </c>
      <c r="O87" s="754"/>
    </row>
    <row r="88" spans="1:15">
      <c r="G88">
        <f>G87/1000</f>
        <v>2.8849999999999998</v>
      </c>
      <c r="H88" s="754">
        <f t="shared" ref="H88:N88" si="22">H87/1000</f>
        <v>2.4209999999999998</v>
      </c>
      <c r="I88" s="754">
        <f t="shared" si="22"/>
        <v>2.3610000000000002</v>
      </c>
      <c r="J88" s="754">
        <f t="shared" si="22"/>
        <v>2.4420000000000002</v>
      </c>
      <c r="K88" s="754">
        <f t="shared" si="22"/>
        <v>2.4049999999999998</v>
      </c>
      <c r="L88" s="754">
        <f t="shared" si="22"/>
        <v>2.64</v>
      </c>
      <c r="M88" s="754">
        <f t="shared" si="22"/>
        <v>2.6850000000000001</v>
      </c>
      <c r="N88" s="754">
        <f t="shared" si="22"/>
        <v>2.75</v>
      </c>
    </row>
    <row r="93" spans="1:15" ht="13.8">
      <c r="A93" s="754"/>
      <c r="B93" s="754"/>
      <c r="C93" s="1924">
        <v>2002</v>
      </c>
      <c r="D93" s="1924">
        <v>2003</v>
      </c>
      <c r="E93" s="1924">
        <v>2004</v>
      </c>
      <c r="F93" s="1924">
        <v>2005</v>
      </c>
      <c r="G93" s="1924">
        <v>2006</v>
      </c>
      <c r="H93" s="1924">
        <v>2007</v>
      </c>
      <c r="I93" s="1924">
        <v>2008</v>
      </c>
      <c r="J93" s="1924">
        <v>2009</v>
      </c>
      <c r="K93" s="1924">
        <v>2010</v>
      </c>
      <c r="L93" s="1924">
        <v>2011</v>
      </c>
      <c r="M93" s="1924">
        <v>2012</v>
      </c>
      <c r="N93" s="1924">
        <v>2013</v>
      </c>
      <c r="O93" s="1924">
        <v>2014</v>
      </c>
    </row>
    <row r="94" spans="1:15" ht="13.8">
      <c r="A94" s="1933" t="s">
        <v>2148</v>
      </c>
      <c r="B94" s="1931" t="s">
        <v>626</v>
      </c>
      <c r="C94" s="1932">
        <v>49.44</v>
      </c>
      <c r="D94" s="1932">
        <v>49.03</v>
      </c>
      <c r="E94" s="1932">
        <v>48.13</v>
      </c>
      <c r="F94" s="1932">
        <v>47.46</v>
      </c>
      <c r="G94" s="1932">
        <v>46.4</v>
      </c>
      <c r="H94" s="1932">
        <v>44.09</v>
      </c>
      <c r="I94" s="1932">
        <v>42.53</v>
      </c>
      <c r="J94" s="1932">
        <v>42.23</v>
      </c>
      <c r="K94" s="1932">
        <v>39.700000000000003</v>
      </c>
      <c r="L94" s="1932">
        <v>36.89</v>
      </c>
      <c r="M94" s="1932">
        <v>33.93</v>
      </c>
      <c r="N94" s="1932">
        <v>32.18</v>
      </c>
      <c r="O94" s="1932">
        <v>30.95</v>
      </c>
    </row>
    <row r="95" spans="1:15" ht="13.8">
      <c r="A95" s="1933" t="s">
        <v>2148</v>
      </c>
      <c r="B95" s="1931" t="s">
        <v>61</v>
      </c>
      <c r="C95" s="1932">
        <v>30.88</v>
      </c>
      <c r="D95" s="1932">
        <v>32.24</v>
      </c>
      <c r="E95" s="1932">
        <v>34.69</v>
      </c>
      <c r="F95" s="1932">
        <v>36.93</v>
      </c>
      <c r="G95" s="1932">
        <v>37.46</v>
      </c>
      <c r="H95" s="1932">
        <v>39.85</v>
      </c>
      <c r="I95" s="1932">
        <v>41.8</v>
      </c>
      <c r="J95" s="1932">
        <v>39.94</v>
      </c>
      <c r="K95" s="1932">
        <v>43.4</v>
      </c>
      <c r="L95" s="1932">
        <v>44.49</v>
      </c>
      <c r="M95" s="1932">
        <v>44.75</v>
      </c>
      <c r="N95" s="1932">
        <v>45.03</v>
      </c>
      <c r="O95" s="1932">
        <v>44.88</v>
      </c>
    </row>
    <row r="96" spans="1:15" ht="13.8">
      <c r="A96" s="1933" t="s">
        <v>2148</v>
      </c>
      <c r="B96" s="1931" t="s">
        <v>1440</v>
      </c>
      <c r="C96" s="1932">
        <v>0.45</v>
      </c>
      <c r="D96" s="1932">
        <v>0.88</v>
      </c>
      <c r="E96" s="1932">
        <v>1.54</v>
      </c>
      <c r="F96" s="1932">
        <v>1.54</v>
      </c>
      <c r="G96" s="1932">
        <v>1.89</v>
      </c>
      <c r="H96" s="1932">
        <v>2.12</v>
      </c>
      <c r="I96" s="1932">
        <v>2.4900000000000002</v>
      </c>
      <c r="J96" s="1932">
        <v>2.2999999999999998</v>
      </c>
      <c r="K96" s="1932">
        <v>2.36</v>
      </c>
      <c r="L96" s="1932">
        <v>2.48</v>
      </c>
      <c r="M96" s="1932">
        <v>2.4</v>
      </c>
      <c r="N96" s="1932">
        <v>2.09</v>
      </c>
      <c r="O96" s="1932">
        <v>1.93</v>
      </c>
    </row>
    <row r="97" spans="1:15" s="754" customFormat="1">
      <c r="A97" s="754" t="s">
        <v>2148</v>
      </c>
      <c r="B97" s="704" t="s">
        <v>2161</v>
      </c>
      <c r="C97" s="726">
        <v>0.34219999999999995</v>
      </c>
      <c r="D97" s="726">
        <v>0.73750000000000004</v>
      </c>
      <c r="E97" s="726">
        <v>1.3865000000000001</v>
      </c>
      <c r="F97" s="726">
        <v>1.4867999999999999</v>
      </c>
      <c r="G97" s="726">
        <v>1.4631999999999998</v>
      </c>
      <c r="H97" s="726">
        <v>1.4395999999999998</v>
      </c>
      <c r="I97" s="726">
        <v>1.3451999999999997</v>
      </c>
      <c r="J97" s="726">
        <v>1.3511</v>
      </c>
      <c r="K97" s="726">
        <v>1.2743999999999998</v>
      </c>
      <c r="L97" s="726">
        <v>1.2036</v>
      </c>
      <c r="M97" s="726">
        <v>1.1268999999999998</v>
      </c>
      <c r="N97" s="726">
        <v>1.0560999999999998</v>
      </c>
      <c r="O97" s="726">
        <v>1.0088999999999999</v>
      </c>
    </row>
    <row r="98" spans="1:15" s="754" customFormat="1">
      <c r="A98" s="754" t="s">
        <v>2148</v>
      </c>
      <c r="B98" s="704" t="s">
        <v>2162</v>
      </c>
      <c r="C98" s="726">
        <v>0.1062</v>
      </c>
      <c r="D98" s="726">
        <v>0.14749999999999999</v>
      </c>
      <c r="E98" s="726">
        <v>0.14749999999999999</v>
      </c>
      <c r="F98" s="726">
        <v>0.19470000000000001</v>
      </c>
      <c r="G98" s="726">
        <v>0.42480000000000001</v>
      </c>
      <c r="H98" s="726">
        <v>0.67849999999999999</v>
      </c>
      <c r="I98" s="726">
        <v>1.1445999999999998</v>
      </c>
      <c r="J98" s="726">
        <v>0.94399999999999984</v>
      </c>
      <c r="K98" s="726">
        <v>1.0855999999999999</v>
      </c>
      <c r="L98" s="726">
        <v>1.2743999999999998</v>
      </c>
      <c r="M98" s="726">
        <v>1.2684999999999997</v>
      </c>
      <c r="N98" s="726">
        <v>1.0384</v>
      </c>
      <c r="O98" s="726">
        <v>0.92039999999999988</v>
      </c>
    </row>
    <row r="99" spans="1:15" ht="13.8">
      <c r="A99" s="1933" t="s">
        <v>2148</v>
      </c>
      <c r="B99" s="1931" t="s">
        <v>52</v>
      </c>
      <c r="C99" s="1932">
        <v>0.04</v>
      </c>
      <c r="D99" s="1932">
        <v>0.05</v>
      </c>
      <c r="E99" s="1932">
        <v>0.09</v>
      </c>
      <c r="F99" s="1932">
        <v>0.09</v>
      </c>
      <c r="G99" s="1932">
        <v>0.61</v>
      </c>
      <c r="H99" s="1932">
        <v>1.22</v>
      </c>
      <c r="I99" s="1932">
        <v>1.54</v>
      </c>
      <c r="J99" s="1932">
        <v>1.89</v>
      </c>
      <c r="K99" s="1932">
        <v>2.06</v>
      </c>
      <c r="L99" s="1932">
        <v>2.72</v>
      </c>
      <c r="M99" s="1932">
        <v>3.93</v>
      </c>
      <c r="N99" s="1932">
        <v>5.42</v>
      </c>
      <c r="O99" s="1932">
        <v>7.51</v>
      </c>
    </row>
    <row r="100" spans="1:15" s="754" customFormat="1">
      <c r="A100" s="754" t="s">
        <v>2148</v>
      </c>
      <c r="B100" s="704" t="s">
        <v>2151</v>
      </c>
      <c r="C100" s="726">
        <v>3.6677777777777774E-2</v>
      </c>
      <c r="D100" s="726">
        <v>4.5847222222222213E-2</v>
      </c>
      <c r="E100" s="726">
        <v>8.2525000000000001E-2</v>
      </c>
      <c r="F100" s="726">
        <v>8.2525000000000001E-2</v>
      </c>
      <c r="G100" s="726">
        <v>0.51348888888888888</v>
      </c>
      <c r="H100" s="726">
        <v>1.1461805555555555</v>
      </c>
      <c r="I100" s="726">
        <v>1.4671111111111108</v>
      </c>
      <c r="J100" s="726">
        <v>1.7788722222222222</v>
      </c>
      <c r="K100" s="726">
        <v>1.898075</v>
      </c>
      <c r="L100" s="726">
        <v>2.0539555555555555</v>
      </c>
      <c r="M100" s="726">
        <v>2.3106999999999998</v>
      </c>
      <c r="N100" s="726">
        <v>2.2006666666666668</v>
      </c>
      <c r="O100" s="726">
        <v>2.3473777777777776</v>
      </c>
    </row>
    <row r="101" spans="1:15" s="754" customFormat="1">
      <c r="A101" s="754" t="s">
        <v>2148</v>
      </c>
      <c r="B101" s="704" t="s">
        <v>2152</v>
      </c>
      <c r="C101" s="726">
        <v>0</v>
      </c>
      <c r="D101" s="726">
        <v>0</v>
      </c>
      <c r="E101" s="726">
        <v>0</v>
      </c>
      <c r="F101" s="726">
        <v>0</v>
      </c>
      <c r="G101" s="726">
        <v>0</v>
      </c>
      <c r="H101" s="726">
        <v>0</v>
      </c>
      <c r="I101" s="726">
        <v>0</v>
      </c>
      <c r="J101" s="726">
        <v>0</v>
      </c>
      <c r="K101" s="726">
        <v>0</v>
      </c>
      <c r="L101" s="726">
        <v>0.42499999999999999</v>
      </c>
      <c r="M101" s="726">
        <v>1.2372222222222222</v>
      </c>
      <c r="N101" s="726">
        <v>2.7278388888888889</v>
      </c>
      <c r="O101" s="726">
        <v>4.1436722222222224</v>
      </c>
    </row>
    <row r="102" spans="1:15" s="754" customFormat="1">
      <c r="A102" s="754" t="s">
        <v>2148</v>
      </c>
      <c r="B102" s="704" t="s">
        <v>2153</v>
      </c>
      <c r="C102" s="726">
        <v>9.1694444444444436E-3</v>
      </c>
      <c r="D102" s="726">
        <v>9.1694444444444436E-3</v>
      </c>
      <c r="E102" s="726">
        <v>9.1694444444444436E-3</v>
      </c>
      <c r="F102" s="726">
        <v>1.8338888888888887E-2</v>
      </c>
      <c r="G102" s="726">
        <v>8.2525000000000001E-2</v>
      </c>
      <c r="H102" s="726">
        <v>4.5847222222222213E-2</v>
      </c>
      <c r="I102" s="726">
        <v>4.5847222222222213E-2</v>
      </c>
      <c r="J102" s="726">
        <v>0.11003333333333333</v>
      </c>
      <c r="K102" s="726">
        <v>0.16505</v>
      </c>
      <c r="L102" s="726">
        <v>0.23840555555555556</v>
      </c>
      <c r="M102" s="726">
        <v>0.38511666666666661</v>
      </c>
      <c r="N102" s="726">
        <v>0.48598055555555558</v>
      </c>
      <c r="O102" s="726">
        <v>1.0269777777777778</v>
      </c>
    </row>
    <row r="103" spans="1:15" s="754" customFormat="1">
      <c r="A103" s="1933" t="s">
        <v>2148</v>
      </c>
      <c r="B103" s="1933" t="s">
        <v>2147</v>
      </c>
      <c r="C103" s="1933">
        <v>0.23</v>
      </c>
      <c r="D103" s="1933">
        <v>0.3</v>
      </c>
      <c r="E103" s="1933">
        <v>0.35</v>
      </c>
      <c r="F103" s="1933">
        <v>0.35</v>
      </c>
      <c r="G103" s="1933">
        <v>0.45</v>
      </c>
      <c r="H103" s="1933">
        <v>0.56000000000000005</v>
      </c>
      <c r="I103" s="1933">
        <v>0.60000000000000009</v>
      </c>
      <c r="J103" s="1933">
        <v>0.69</v>
      </c>
      <c r="K103" s="1933">
        <v>0.94</v>
      </c>
      <c r="L103" s="1933">
        <v>1.23</v>
      </c>
      <c r="M103" s="1933">
        <v>1.4300000000000002</v>
      </c>
      <c r="N103" s="1933">
        <v>1.5</v>
      </c>
      <c r="O103" s="1933">
        <v>1.62</v>
      </c>
    </row>
    <row r="104" spans="1:15" ht="13.8">
      <c r="A104" s="754" t="s">
        <v>2148</v>
      </c>
      <c r="B104" s="704" t="s">
        <v>328</v>
      </c>
      <c r="C104" s="1930">
        <v>0.14000000000000001</v>
      </c>
      <c r="D104" s="250">
        <v>0.19</v>
      </c>
      <c r="E104" s="250">
        <v>0.22</v>
      </c>
      <c r="F104" s="250">
        <v>0.22</v>
      </c>
      <c r="G104" s="250">
        <v>0.22</v>
      </c>
      <c r="H104" s="250">
        <v>0.28000000000000003</v>
      </c>
      <c r="I104" s="250">
        <v>0.27</v>
      </c>
      <c r="J104" s="250">
        <v>0.28000000000000003</v>
      </c>
      <c r="K104" s="250">
        <v>0.37</v>
      </c>
      <c r="L104" s="250">
        <v>0.5</v>
      </c>
      <c r="M104" s="250">
        <v>0.62</v>
      </c>
      <c r="N104" s="250">
        <v>0.63</v>
      </c>
      <c r="O104" s="250">
        <v>0.65</v>
      </c>
    </row>
    <row r="105" spans="1:15">
      <c r="A105" s="754" t="s">
        <v>2148</v>
      </c>
      <c r="B105" s="704" t="s">
        <v>329</v>
      </c>
      <c r="C105" s="1620">
        <v>0.09</v>
      </c>
      <c r="D105" s="1620">
        <v>0.11</v>
      </c>
      <c r="E105" s="1620">
        <v>0.13</v>
      </c>
      <c r="F105" s="1620">
        <v>0.13</v>
      </c>
      <c r="G105" s="1620">
        <v>0.23</v>
      </c>
      <c r="H105" s="1620">
        <v>0.28000000000000003</v>
      </c>
      <c r="I105" s="1620">
        <v>0.33</v>
      </c>
      <c r="J105" s="1620">
        <v>0.41</v>
      </c>
      <c r="K105" s="1620">
        <v>0.56999999999999995</v>
      </c>
      <c r="L105" s="1620">
        <v>0.73</v>
      </c>
      <c r="M105" s="1620">
        <v>0.81</v>
      </c>
      <c r="N105" s="1620">
        <v>0.87</v>
      </c>
      <c r="O105" s="1620">
        <v>0.97</v>
      </c>
    </row>
    <row r="106" spans="1:15" ht="13.8">
      <c r="A106" s="1933" t="s">
        <v>2148</v>
      </c>
      <c r="B106" s="1931" t="s">
        <v>627</v>
      </c>
      <c r="C106" s="1932">
        <v>2.72</v>
      </c>
      <c r="D106" s="1932">
        <v>2.82</v>
      </c>
      <c r="E106" s="1932">
        <v>2.76</v>
      </c>
      <c r="F106" s="1932">
        <v>2.76</v>
      </c>
      <c r="G106" s="1932">
        <v>2.92</v>
      </c>
      <c r="H106" s="1932">
        <v>2.96</v>
      </c>
      <c r="I106" s="1932">
        <v>2.99</v>
      </c>
      <c r="J106" s="1932">
        <v>2.76</v>
      </c>
      <c r="K106" s="1932">
        <v>3.04</v>
      </c>
      <c r="L106" s="1932">
        <v>3.03</v>
      </c>
      <c r="M106" s="1932">
        <v>3.04</v>
      </c>
      <c r="N106" s="1932">
        <v>3.09</v>
      </c>
      <c r="O106" s="1932">
        <v>3.08</v>
      </c>
    </row>
    <row r="107" spans="1:15" s="754" customFormat="1">
      <c r="A107" s="754" t="s">
        <v>2148</v>
      </c>
      <c r="B107" s="704" t="s">
        <v>2163</v>
      </c>
      <c r="C107" s="250"/>
      <c r="D107" s="250"/>
      <c r="E107" s="250"/>
      <c r="F107" s="250"/>
      <c r="G107" s="704">
        <v>2.8849999999999998</v>
      </c>
      <c r="H107" s="704">
        <v>2.4209999999999998</v>
      </c>
      <c r="I107" s="704">
        <v>2.3610000000000002</v>
      </c>
      <c r="J107" s="704">
        <v>2.4420000000000002</v>
      </c>
      <c r="K107" s="704">
        <v>2.4049999999999998</v>
      </c>
      <c r="L107" s="704">
        <v>2.64</v>
      </c>
      <c r="M107" s="704">
        <v>2.6850000000000001</v>
      </c>
      <c r="N107" s="704">
        <v>2.75</v>
      </c>
      <c r="O107" s="250"/>
    </row>
    <row r="108" spans="1:15" s="754" customFormat="1" ht="13.8">
      <c r="A108" s="754" t="s">
        <v>2148</v>
      </c>
      <c r="B108" s="1934" t="s">
        <v>2164</v>
      </c>
      <c r="C108" s="250"/>
      <c r="D108" s="250"/>
      <c r="E108" s="250"/>
      <c r="F108" s="250"/>
      <c r="G108" s="726">
        <f>G106-G107</f>
        <v>3.5000000000000142E-2</v>
      </c>
      <c r="H108" s="726">
        <f t="shared" ref="H108:N108" si="23">H106-H107</f>
        <v>0.53900000000000015</v>
      </c>
      <c r="I108" s="726">
        <f t="shared" si="23"/>
        <v>0.629</v>
      </c>
      <c r="J108" s="726">
        <f t="shared" si="23"/>
        <v>0.31799999999999962</v>
      </c>
      <c r="K108" s="726">
        <f t="shared" si="23"/>
        <v>0.63500000000000023</v>
      </c>
      <c r="L108" s="726">
        <f t="shared" si="23"/>
        <v>0.38999999999999968</v>
      </c>
      <c r="M108" s="726">
        <f t="shared" si="23"/>
        <v>0.35499999999999998</v>
      </c>
      <c r="N108" s="726">
        <f t="shared" si="23"/>
        <v>0.33999999999999986</v>
      </c>
      <c r="O108" s="250"/>
    </row>
    <row r="109" spans="1:15" ht="13.8">
      <c r="A109" s="1933" t="s">
        <v>2148</v>
      </c>
      <c r="B109" s="1931" t="s">
        <v>1424</v>
      </c>
      <c r="C109" s="1932">
        <v>2.5299999999999998</v>
      </c>
      <c r="D109" s="1932">
        <v>2.4500000000000002</v>
      </c>
      <c r="E109" s="1932">
        <v>2.75</v>
      </c>
      <c r="F109" s="1932">
        <v>2.75</v>
      </c>
      <c r="G109" s="1932">
        <v>2.5299999999999998</v>
      </c>
      <c r="H109" s="1932">
        <v>2.44</v>
      </c>
      <c r="I109" s="1932">
        <v>2.5099999999999998</v>
      </c>
      <c r="J109" s="1932">
        <v>2.17</v>
      </c>
      <c r="K109" s="1932">
        <v>1.9</v>
      </c>
      <c r="L109" s="1932">
        <v>2.1</v>
      </c>
      <c r="M109" s="1932">
        <v>2.0499999999999998</v>
      </c>
      <c r="N109" s="1932">
        <v>2.0499999999999998</v>
      </c>
      <c r="O109" s="1932">
        <v>2.04</v>
      </c>
    </row>
    <row r="110" spans="1:15" ht="13.8">
      <c r="A110" s="1933" t="s">
        <v>2148</v>
      </c>
      <c r="B110" s="1931" t="s">
        <v>2149</v>
      </c>
      <c r="C110" s="1932">
        <v>1.1299999999999999</v>
      </c>
      <c r="D110" s="1932">
        <v>1.05</v>
      </c>
      <c r="E110" s="1932">
        <v>0.78</v>
      </c>
      <c r="F110" s="1932">
        <v>0.78</v>
      </c>
      <c r="G110" s="1932">
        <v>0.66</v>
      </c>
      <c r="H110" s="1932">
        <v>0.63</v>
      </c>
      <c r="I110" s="1932">
        <v>0.26</v>
      </c>
      <c r="J110" s="1932">
        <v>0.2</v>
      </c>
      <c r="K110" s="1932">
        <v>0.18</v>
      </c>
      <c r="L110" s="1932">
        <v>0.19</v>
      </c>
      <c r="M110" s="1932">
        <v>0.23</v>
      </c>
      <c r="N110" s="1932">
        <v>0.26</v>
      </c>
      <c r="O110" s="1932">
        <v>0.3</v>
      </c>
    </row>
    <row r="111" spans="1:15" ht="13.8">
      <c r="A111" s="1933" t="s">
        <v>2148</v>
      </c>
      <c r="B111" s="1931" t="s">
        <v>2150</v>
      </c>
      <c r="C111" s="1932">
        <v>0.52</v>
      </c>
      <c r="D111" s="1932">
        <v>0.78</v>
      </c>
      <c r="E111" s="1932">
        <v>0.79</v>
      </c>
      <c r="F111" s="1932">
        <v>0.79</v>
      </c>
      <c r="G111" s="1932">
        <v>0.62</v>
      </c>
      <c r="H111" s="1932">
        <v>0.53</v>
      </c>
      <c r="I111" s="1932">
        <v>0.45</v>
      </c>
      <c r="J111" s="1932">
        <v>0.87</v>
      </c>
      <c r="K111" s="1932">
        <v>1.72</v>
      </c>
      <c r="L111" s="1932">
        <v>0.87</v>
      </c>
      <c r="M111" s="1932">
        <v>0.53</v>
      </c>
      <c r="N111" s="1932">
        <v>0.52</v>
      </c>
      <c r="O111" s="1932">
        <v>0.54</v>
      </c>
    </row>
    <row r="112" spans="1:15" ht="13.8">
      <c r="A112" s="754"/>
      <c r="B112" s="754"/>
      <c r="C112" s="1924"/>
      <c r="D112" s="1924"/>
      <c r="E112" s="1924"/>
      <c r="F112" s="1924"/>
      <c r="G112" s="1924"/>
      <c r="H112" s="1924"/>
      <c r="I112" s="1924"/>
      <c r="J112" s="1924"/>
      <c r="K112" s="1924"/>
      <c r="L112" s="1924"/>
      <c r="M112" s="1924"/>
      <c r="N112" s="1924"/>
      <c r="O112" s="1924"/>
    </row>
    <row r="113" spans="1:15" ht="13.8">
      <c r="C113" s="1924">
        <v>2002</v>
      </c>
      <c r="D113" s="1924">
        <v>2003</v>
      </c>
      <c r="E113" s="1924">
        <v>2004</v>
      </c>
      <c r="F113" s="1924">
        <v>2005</v>
      </c>
      <c r="G113" s="1924">
        <v>2006</v>
      </c>
      <c r="H113" s="1924">
        <v>2007</v>
      </c>
      <c r="I113" s="1924">
        <v>2008</v>
      </c>
      <c r="J113" s="1924">
        <v>2009</v>
      </c>
      <c r="K113" s="1924">
        <v>2010</v>
      </c>
      <c r="L113" s="1924">
        <v>2011</v>
      </c>
      <c r="M113" s="1924">
        <v>2012</v>
      </c>
      <c r="N113" s="1924">
        <v>2013</v>
      </c>
      <c r="O113" s="1924">
        <v>2014</v>
      </c>
    </row>
    <row r="114" spans="1:15" ht="13.8">
      <c r="A114" s="1935" t="s">
        <v>44</v>
      </c>
      <c r="B114" s="1931" t="s">
        <v>626</v>
      </c>
      <c r="C114" s="1932">
        <f>C94*3.6</f>
        <v>177.98400000000001</v>
      </c>
      <c r="D114" s="1932">
        <f t="shared" ref="D114:O114" si="24">D94*3.6</f>
        <v>176.50800000000001</v>
      </c>
      <c r="E114" s="1932">
        <f t="shared" si="24"/>
        <v>173.268</v>
      </c>
      <c r="F114" s="1932">
        <f t="shared" si="24"/>
        <v>170.85599999999999</v>
      </c>
      <c r="G114" s="1932">
        <f t="shared" si="24"/>
        <v>167.04</v>
      </c>
      <c r="H114" s="1932">
        <f t="shared" si="24"/>
        <v>158.72400000000002</v>
      </c>
      <c r="I114" s="1932">
        <f t="shared" si="24"/>
        <v>153.108</v>
      </c>
      <c r="J114" s="1932">
        <f t="shared" si="24"/>
        <v>152.02799999999999</v>
      </c>
      <c r="K114" s="1932">
        <f t="shared" si="24"/>
        <v>142.92000000000002</v>
      </c>
      <c r="L114" s="1932">
        <f t="shared" si="24"/>
        <v>132.804</v>
      </c>
      <c r="M114" s="1932">
        <f t="shared" si="24"/>
        <v>122.148</v>
      </c>
      <c r="N114" s="1932">
        <f t="shared" si="24"/>
        <v>115.848</v>
      </c>
      <c r="O114" s="1932">
        <f t="shared" si="24"/>
        <v>111.42</v>
      </c>
    </row>
    <row r="115" spans="1:15" ht="13.8">
      <c r="A115" s="1935" t="s">
        <v>44</v>
      </c>
      <c r="B115" s="1931" t="s">
        <v>61</v>
      </c>
      <c r="C115" s="1932">
        <f t="shared" ref="C115:O115" si="25">C95*3.6</f>
        <v>111.16799999999999</v>
      </c>
      <c r="D115" s="1932">
        <f t="shared" si="25"/>
        <v>116.06400000000001</v>
      </c>
      <c r="E115" s="1932">
        <f t="shared" si="25"/>
        <v>124.884</v>
      </c>
      <c r="F115" s="1932">
        <f t="shared" si="25"/>
        <v>132.94800000000001</v>
      </c>
      <c r="G115" s="1932">
        <f t="shared" si="25"/>
        <v>134.85599999999999</v>
      </c>
      <c r="H115" s="1932">
        <f t="shared" si="25"/>
        <v>143.46</v>
      </c>
      <c r="I115" s="1932">
        <f t="shared" si="25"/>
        <v>150.47999999999999</v>
      </c>
      <c r="J115" s="1932">
        <f t="shared" si="25"/>
        <v>143.78399999999999</v>
      </c>
      <c r="K115" s="1932">
        <f>K95*3.6</f>
        <v>156.24</v>
      </c>
      <c r="L115" s="1932">
        <f t="shared" si="25"/>
        <v>160.16400000000002</v>
      </c>
      <c r="M115" s="1932">
        <f t="shared" si="25"/>
        <v>161.1</v>
      </c>
      <c r="N115" s="1932">
        <f t="shared" si="25"/>
        <v>162.108</v>
      </c>
      <c r="O115" s="1932">
        <f t="shared" si="25"/>
        <v>161.56800000000001</v>
      </c>
    </row>
    <row r="116" spans="1:15" ht="13.8">
      <c r="A116" s="1935" t="s">
        <v>44</v>
      </c>
      <c r="B116" s="1931" t="s">
        <v>1440</v>
      </c>
      <c r="C116" s="1932">
        <f t="shared" ref="C116:O116" si="26">C96*3.6</f>
        <v>1.62</v>
      </c>
      <c r="D116" s="1932">
        <f t="shared" si="26"/>
        <v>3.1680000000000001</v>
      </c>
      <c r="E116" s="1932">
        <f t="shared" si="26"/>
        <v>5.5440000000000005</v>
      </c>
      <c r="F116" s="1932">
        <f t="shared" si="26"/>
        <v>5.5440000000000005</v>
      </c>
      <c r="G116" s="1932">
        <f t="shared" si="26"/>
        <v>6.8039999999999994</v>
      </c>
      <c r="H116" s="1932">
        <f t="shared" si="26"/>
        <v>7.6320000000000006</v>
      </c>
      <c r="I116" s="1932">
        <f t="shared" si="26"/>
        <v>8.9640000000000004</v>
      </c>
      <c r="J116" s="1932">
        <f t="shared" si="26"/>
        <v>8.2799999999999994</v>
      </c>
      <c r="K116" s="1932">
        <f t="shared" si="26"/>
        <v>8.4960000000000004</v>
      </c>
      <c r="L116" s="1932">
        <f t="shared" si="26"/>
        <v>8.9280000000000008</v>
      </c>
      <c r="M116" s="1932">
        <f t="shared" si="26"/>
        <v>8.64</v>
      </c>
      <c r="N116" s="1932">
        <f t="shared" si="26"/>
        <v>7.524</v>
      </c>
      <c r="O116" s="1932">
        <f t="shared" si="26"/>
        <v>6.9479999999999995</v>
      </c>
    </row>
    <row r="117" spans="1:15">
      <c r="A117" s="765" t="s">
        <v>44</v>
      </c>
      <c r="B117" s="704" t="s">
        <v>2161</v>
      </c>
      <c r="C117" s="1936">
        <f t="shared" ref="C117:O117" si="27">C97*3.6</f>
        <v>1.2319199999999999</v>
      </c>
      <c r="D117" s="1936">
        <f t="shared" si="27"/>
        <v>2.6550000000000002</v>
      </c>
      <c r="E117" s="1936">
        <f t="shared" si="27"/>
        <v>4.9914000000000005</v>
      </c>
      <c r="F117" s="1936">
        <f t="shared" si="27"/>
        <v>5.3524799999999999</v>
      </c>
      <c r="G117" s="1936">
        <f t="shared" si="27"/>
        <v>5.2675199999999993</v>
      </c>
      <c r="H117" s="1936">
        <f t="shared" si="27"/>
        <v>5.1825599999999996</v>
      </c>
      <c r="I117" s="1936">
        <f t="shared" si="27"/>
        <v>4.842719999999999</v>
      </c>
      <c r="J117" s="1936">
        <f t="shared" si="27"/>
        <v>4.8639599999999996</v>
      </c>
      <c r="K117" s="1936">
        <f t="shared" si="27"/>
        <v>4.587839999999999</v>
      </c>
      <c r="L117" s="1936">
        <f t="shared" si="27"/>
        <v>4.3329599999999999</v>
      </c>
      <c r="M117" s="1936">
        <f t="shared" si="27"/>
        <v>4.0568399999999993</v>
      </c>
      <c r="N117" s="1936">
        <f t="shared" si="27"/>
        <v>3.8019599999999993</v>
      </c>
      <c r="O117" s="1936">
        <f t="shared" si="27"/>
        <v>3.6320399999999999</v>
      </c>
    </row>
    <row r="118" spans="1:15">
      <c r="A118" s="765" t="s">
        <v>44</v>
      </c>
      <c r="B118" s="704" t="s">
        <v>2162</v>
      </c>
      <c r="C118" s="1936">
        <f t="shared" ref="C118:O118" si="28">C98*3.6</f>
        <v>0.38231999999999999</v>
      </c>
      <c r="D118" s="1936">
        <f t="shared" si="28"/>
        <v>0.53100000000000003</v>
      </c>
      <c r="E118" s="1936">
        <f t="shared" si="28"/>
        <v>0.53100000000000003</v>
      </c>
      <c r="F118" s="1936">
        <f t="shared" si="28"/>
        <v>0.7009200000000001</v>
      </c>
      <c r="G118" s="1936">
        <f t="shared" si="28"/>
        <v>1.52928</v>
      </c>
      <c r="H118" s="1936">
        <f t="shared" si="28"/>
        <v>2.4426000000000001</v>
      </c>
      <c r="I118" s="1936">
        <f t="shared" si="28"/>
        <v>4.1205599999999993</v>
      </c>
      <c r="J118" s="1936">
        <f t="shared" si="28"/>
        <v>3.3983999999999996</v>
      </c>
      <c r="K118" s="1936">
        <f t="shared" si="28"/>
        <v>3.9081599999999996</v>
      </c>
      <c r="L118" s="1936">
        <f t="shared" si="28"/>
        <v>4.587839999999999</v>
      </c>
      <c r="M118" s="1936">
        <f t="shared" si="28"/>
        <v>4.5665999999999993</v>
      </c>
      <c r="N118" s="1936">
        <f t="shared" si="28"/>
        <v>3.7382400000000002</v>
      </c>
      <c r="O118" s="1936">
        <f t="shared" si="28"/>
        <v>3.3134399999999995</v>
      </c>
    </row>
    <row r="119" spans="1:15" ht="13.8">
      <c r="A119" s="1935" t="s">
        <v>44</v>
      </c>
      <c r="B119" s="1931" t="s">
        <v>52</v>
      </c>
      <c r="C119" s="1932">
        <f t="shared" ref="C119:O119" si="29">C99*3.6</f>
        <v>0.14400000000000002</v>
      </c>
      <c r="D119" s="1932">
        <f t="shared" si="29"/>
        <v>0.18000000000000002</v>
      </c>
      <c r="E119" s="1932">
        <f t="shared" si="29"/>
        <v>0.32400000000000001</v>
      </c>
      <c r="F119" s="1932">
        <f t="shared" si="29"/>
        <v>0.32400000000000001</v>
      </c>
      <c r="G119" s="1932">
        <f t="shared" si="29"/>
        <v>2.1960000000000002</v>
      </c>
      <c r="H119" s="1932">
        <f t="shared" si="29"/>
        <v>4.3920000000000003</v>
      </c>
      <c r="I119" s="1932">
        <f t="shared" si="29"/>
        <v>5.5440000000000005</v>
      </c>
      <c r="J119" s="1932">
        <f t="shared" si="29"/>
        <v>6.8039999999999994</v>
      </c>
      <c r="K119" s="1932">
        <f t="shared" si="29"/>
        <v>7.4160000000000004</v>
      </c>
      <c r="L119" s="1932">
        <f t="shared" si="29"/>
        <v>9.7920000000000016</v>
      </c>
      <c r="M119" s="1932">
        <f t="shared" si="29"/>
        <v>14.148000000000001</v>
      </c>
      <c r="N119" s="1932">
        <f t="shared" si="29"/>
        <v>19.512</v>
      </c>
      <c r="O119" s="1932">
        <f t="shared" si="29"/>
        <v>27.036000000000001</v>
      </c>
    </row>
    <row r="120" spans="1:15">
      <c r="A120" s="765" t="s">
        <v>44</v>
      </c>
      <c r="B120" s="704" t="s">
        <v>2151</v>
      </c>
      <c r="C120" s="1936">
        <f t="shared" ref="C120:O120" si="30">C100*3.6</f>
        <v>0.13203999999999999</v>
      </c>
      <c r="D120" s="1936">
        <f t="shared" si="30"/>
        <v>0.16504999999999997</v>
      </c>
      <c r="E120" s="1936">
        <f t="shared" si="30"/>
        <v>0.29709000000000002</v>
      </c>
      <c r="F120" s="1936">
        <f t="shared" si="30"/>
        <v>0.29709000000000002</v>
      </c>
      <c r="G120" s="1936">
        <f t="shared" si="30"/>
        <v>1.84856</v>
      </c>
      <c r="H120" s="1936">
        <f t="shared" si="30"/>
        <v>4.1262499999999998</v>
      </c>
      <c r="I120" s="1936">
        <f t="shared" si="30"/>
        <v>5.2815999999999992</v>
      </c>
      <c r="J120" s="1936">
        <f t="shared" si="30"/>
        <v>6.4039400000000004</v>
      </c>
      <c r="K120" s="1936">
        <f t="shared" si="30"/>
        <v>6.8330700000000002</v>
      </c>
      <c r="L120" s="1936">
        <f t="shared" si="30"/>
        <v>7.3942399999999999</v>
      </c>
      <c r="M120" s="1936">
        <f t="shared" si="30"/>
        <v>8.3185199999999995</v>
      </c>
      <c r="N120" s="1936">
        <f t="shared" si="30"/>
        <v>7.9224000000000006</v>
      </c>
      <c r="O120" s="1936">
        <f t="shared" si="30"/>
        <v>8.4505599999999994</v>
      </c>
    </row>
    <row r="121" spans="1:15">
      <c r="A121" s="765" t="s">
        <v>44</v>
      </c>
      <c r="B121" s="704" t="s">
        <v>2152</v>
      </c>
      <c r="C121" s="1936">
        <f t="shared" ref="C121:O121" si="31">C101*3.6</f>
        <v>0</v>
      </c>
      <c r="D121" s="1936">
        <f t="shared" si="31"/>
        <v>0</v>
      </c>
      <c r="E121" s="1936">
        <f t="shared" si="31"/>
        <v>0</v>
      </c>
      <c r="F121" s="1936">
        <f t="shared" si="31"/>
        <v>0</v>
      </c>
      <c r="G121" s="1936">
        <f t="shared" si="31"/>
        <v>0</v>
      </c>
      <c r="H121" s="1936">
        <f t="shared" si="31"/>
        <v>0</v>
      </c>
      <c r="I121" s="1936">
        <f t="shared" si="31"/>
        <v>0</v>
      </c>
      <c r="J121" s="1936">
        <f t="shared" si="31"/>
        <v>0</v>
      </c>
      <c r="K121" s="1936">
        <f t="shared" si="31"/>
        <v>0</v>
      </c>
      <c r="L121" s="1936">
        <f t="shared" si="31"/>
        <v>1.53</v>
      </c>
      <c r="M121" s="1936">
        <f t="shared" si="31"/>
        <v>4.4539999999999997</v>
      </c>
      <c r="N121" s="1936">
        <f t="shared" si="31"/>
        <v>9.8202200000000008</v>
      </c>
      <c r="O121" s="1936">
        <f t="shared" si="31"/>
        <v>14.91722</v>
      </c>
    </row>
    <row r="122" spans="1:15">
      <c r="A122" s="765" t="s">
        <v>44</v>
      </c>
      <c r="B122" s="704" t="s">
        <v>2153</v>
      </c>
      <c r="C122" s="1936">
        <f t="shared" ref="C122:O122" si="32">C102*3.6</f>
        <v>3.3009999999999998E-2</v>
      </c>
      <c r="D122" s="1936">
        <f t="shared" si="32"/>
        <v>3.3009999999999998E-2</v>
      </c>
      <c r="E122" s="1936">
        <f t="shared" si="32"/>
        <v>3.3009999999999998E-2</v>
      </c>
      <c r="F122" s="1936">
        <f t="shared" si="32"/>
        <v>6.6019999999999995E-2</v>
      </c>
      <c r="G122" s="1936">
        <f t="shared" si="32"/>
        <v>0.29709000000000002</v>
      </c>
      <c r="H122" s="1936">
        <f t="shared" si="32"/>
        <v>0.16504999999999997</v>
      </c>
      <c r="I122" s="1936">
        <f t="shared" si="32"/>
        <v>0.16504999999999997</v>
      </c>
      <c r="J122" s="1936">
        <f t="shared" si="32"/>
        <v>0.39611999999999997</v>
      </c>
      <c r="K122" s="1936">
        <f t="shared" si="32"/>
        <v>0.59418000000000004</v>
      </c>
      <c r="L122" s="1936">
        <f t="shared" si="32"/>
        <v>0.85826000000000002</v>
      </c>
      <c r="M122" s="1936">
        <f t="shared" si="32"/>
        <v>1.3864199999999998</v>
      </c>
      <c r="N122" s="1936">
        <f t="shared" si="32"/>
        <v>1.74953</v>
      </c>
      <c r="O122" s="1936">
        <f t="shared" si="32"/>
        <v>3.69712</v>
      </c>
    </row>
    <row r="123" spans="1:15">
      <c r="A123" s="1935" t="s">
        <v>44</v>
      </c>
      <c r="B123" s="1933" t="s">
        <v>2147</v>
      </c>
      <c r="C123" s="1932">
        <f t="shared" ref="C123:O123" si="33">C103*3.6</f>
        <v>0.82800000000000007</v>
      </c>
      <c r="D123" s="1932">
        <f t="shared" si="33"/>
        <v>1.08</v>
      </c>
      <c r="E123" s="1932">
        <f t="shared" si="33"/>
        <v>1.26</v>
      </c>
      <c r="F123" s="1932">
        <f t="shared" si="33"/>
        <v>1.26</v>
      </c>
      <c r="G123" s="1932">
        <f t="shared" si="33"/>
        <v>1.62</v>
      </c>
      <c r="H123" s="1932">
        <f t="shared" si="33"/>
        <v>2.0160000000000005</v>
      </c>
      <c r="I123" s="1932">
        <f t="shared" si="33"/>
        <v>2.1600000000000006</v>
      </c>
      <c r="J123" s="1932">
        <f t="shared" si="33"/>
        <v>2.484</v>
      </c>
      <c r="K123" s="1932">
        <f t="shared" si="33"/>
        <v>3.3839999999999999</v>
      </c>
      <c r="L123" s="1932">
        <f t="shared" si="33"/>
        <v>4.4279999999999999</v>
      </c>
      <c r="M123" s="1932">
        <f t="shared" si="33"/>
        <v>5.1480000000000006</v>
      </c>
      <c r="N123" s="1932">
        <f t="shared" si="33"/>
        <v>5.4</v>
      </c>
      <c r="O123" s="1932">
        <f t="shared" si="33"/>
        <v>5.8320000000000007</v>
      </c>
    </row>
    <row r="124" spans="1:15">
      <c r="A124" s="765" t="s">
        <v>44</v>
      </c>
      <c r="B124" s="704" t="s">
        <v>328</v>
      </c>
      <c r="C124" s="1936">
        <f t="shared" ref="C124:O124" si="34">C104*3.6</f>
        <v>0.50400000000000011</v>
      </c>
      <c r="D124" s="1936">
        <f t="shared" si="34"/>
        <v>0.68400000000000005</v>
      </c>
      <c r="E124" s="1936">
        <f t="shared" si="34"/>
        <v>0.79200000000000004</v>
      </c>
      <c r="F124" s="1936">
        <f t="shared" si="34"/>
        <v>0.79200000000000004</v>
      </c>
      <c r="G124" s="1936">
        <f t="shared" si="34"/>
        <v>0.79200000000000004</v>
      </c>
      <c r="H124" s="1936">
        <f t="shared" si="34"/>
        <v>1.0080000000000002</v>
      </c>
      <c r="I124" s="1936">
        <f t="shared" si="34"/>
        <v>0.97200000000000009</v>
      </c>
      <c r="J124" s="1936">
        <f t="shared" si="34"/>
        <v>1.0080000000000002</v>
      </c>
      <c r="K124" s="1936">
        <f t="shared" si="34"/>
        <v>1.3320000000000001</v>
      </c>
      <c r="L124" s="1936">
        <f t="shared" si="34"/>
        <v>1.8</v>
      </c>
      <c r="M124" s="1936">
        <f t="shared" si="34"/>
        <v>2.2320000000000002</v>
      </c>
      <c r="N124" s="1936">
        <f t="shared" si="34"/>
        <v>2.2680000000000002</v>
      </c>
      <c r="O124" s="1936">
        <f t="shared" si="34"/>
        <v>2.3400000000000003</v>
      </c>
    </row>
    <row r="125" spans="1:15">
      <c r="A125" s="765" t="s">
        <v>44</v>
      </c>
      <c r="B125" s="704" t="s">
        <v>329</v>
      </c>
      <c r="C125" s="1936">
        <f t="shared" ref="C125:O125" si="35">C105*3.6</f>
        <v>0.32400000000000001</v>
      </c>
      <c r="D125" s="1936">
        <f t="shared" si="35"/>
        <v>0.39600000000000002</v>
      </c>
      <c r="E125" s="1936">
        <f t="shared" si="35"/>
        <v>0.46800000000000003</v>
      </c>
      <c r="F125" s="1936">
        <f t="shared" si="35"/>
        <v>0.46800000000000003</v>
      </c>
      <c r="G125" s="1936">
        <f t="shared" si="35"/>
        <v>0.82800000000000007</v>
      </c>
      <c r="H125" s="1936">
        <f t="shared" si="35"/>
        <v>1.0080000000000002</v>
      </c>
      <c r="I125" s="1936">
        <f t="shared" si="35"/>
        <v>1.1880000000000002</v>
      </c>
      <c r="J125" s="1936">
        <f t="shared" si="35"/>
        <v>1.476</v>
      </c>
      <c r="K125" s="1936">
        <f t="shared" si="35"/>
        <v>2.052</v>
      </c>
      <c r="L125" s="1936">
        <f t="shared" si="35"/>
        <v>2.6280000000000001</v>
      </c>
      <c r="M125" s="1936">
        <f t="shared" si="35"/>
        <v>2.9160000000000004</v>
      </c>
      <c r="N125" s="1936">
        <f t="shared" si="35"/>
        <v>3.1320000000000001</v>
      </c>
      <c r="O125" s="1936">
        <f t="shared" si="35"/>
        <v>3.492</v>
      </c>
    </row>
    <row r="126" spans="1:15" ht="13.8">
      <c r="A126" s="1935" t="s">
        <v>44</v>
      </c>
      <c r="B126" s="1931" t="s">
        <v>627</v>
      </c>
      <c r="C126" s="1932">
        <f t="shared" ref="C126:O126" si="36">C106*3.6</f>
        <v>9.7920000000000016</v>
      </c>
      <c r="D126" s="1932">
        <f t="shared" si="36"/>
        <v>10.151999999999999</v>
      </c>
      <c r="E126" s="1932">
        <f t="shared" si="36"/>
        <v>9.9359999999999999</v>
      </c>
      <c r="F126" s="1932">
        <f t="shared" si="36"/>
        <v>9.9359999999999999</v>
      </c>
      <c r="G126" s="1932">
        <f t="shared" si="36"/>
        <v>10.512</v>
      </c>
      <c r="H126" s="1932">
        <f t="shared" si="36"/>
        <v>10.656000000000001</v>
      </c>
      <c r="I126" s="1932">
        <f t="shared" si="36"/>
        <v>10.764000000000001</v>
      </c>
      <c r="J126" s="1932">
        <f t="shared" si="36"/>
        <v>9.9359999999999999</v>
      </c>
      <c r="K126" s="1932">
        <f t="shared" si="36"/>
        <v>10.944000000000001</v>
      </c>
      <c r="L126" s="1932">
        <f t="shared" si="36"/>
        <v>10.907999999999999</v>
      </c>
      <c r="M126" s="1932">
        <f t="shared" si="36"/>
        <v>10.944000000000001</v>
      </c>
      <c r="N126" s="1932">
        <f t="shared" si="36"/>
        <v>11.124000000000001</v>
      </c>
      <c r="O126" s="1932">
        <f t="shared" si="36"/>
        <v>11.088000000000001</v>
      </c>
    </row>
    <row r="127" spans="1:15">
      <c r="A127" s="765" t="s">
        <v>44</v>
      </c>
      <c r="B127" s="704" t="s">
        <v>2163</v>
      </c>
      <c r="C127" s="1936"/>
      <c r="D127" s="1936"/>
      <c r="E127" s="1936"/>
      <c r="F127" s="1936"/>
      <c r="G127" s="1936">
        <f t="shared" ref="G127:N127" si="37">G107*3.6</f>
        <v>10.385999999999999</v>
      </c>
      <c r="H127" s="1936">
        <f t="shared" si="37"/>
        <v>8.7156000000000002</v>
      </c>
      <c r="I127" s="1936">
        <f t="shared" si="37"/>
        <v>8.4996000000000009</v>
      </c>
      <c r="J127" s="1936">
        <f t="shared" si="37"/>
        <v>8.7912000000000017</v>
      </c>
      <c r="K127" s="1936">
        <f t="shared" si="37"/>
        <v>8.6579999999999995</v>
      </c>
      <c r="L127" s="1936">
        <f t="shared" si="37"/>
        <v>9.5040000000000013</v>
      </c>
      <c r="M127" s="1936">
        <f t="shared" si="37"/>
        <v>9.6660000000000004</v>
      </c>
      <c r="N127" s="1936">
        <f t="shared" si="37"/>
        <v>9.9</v>
      </c>
      <c r="O127" s="1620"/>
    </row>
    <row r="128" spans="1:15" ht="13.8">
      <c r="A128" s="765" t="s">
        <v>44</v>
      </c>
      <c r="B128" s="1934" t="s">
        <v>2164</v>
      </c>
      <c r="C128" s="1936"/>
      <c r="D128" s="1936"/>
      <c r="E128" s="1936"/>
      <c r="F128" s="1936"/>
      <c r="G128" s="1936">
        <f t="shared" ref="G128:N128" si="38">G108*3.6</f>
        <v>0.12600000000000053</v>
      </c>
      <c r="H128" s="1936">
        <f t="shared" si="38"/>
        <v>1.9404000000000006</v>
      </c>
      <c r="I128" s="1936">
        <f t="shared" si="38"/>
        <v>2.2644000000000002</v>
      </c>
      <c r="J128" s="1936">
        <f t="shared" si="38"/>
        <v>1.1447999999999987</v>
      </c>
      <c r="K128" s="1936">
        <f t="shared" si="38"/>
        <v>2.2860000000000009</v>
      </c>
      <c r="L128" s="1936">
        <f t="shared" si="38"/>
        <v>1.4039999999999988</v>
      </c>
      <c r="M128" s="1936">
        <f t="shared" si="38"/>
        <v>1.278</v>
      </c>
      <c r="N128" s="1936">
        <f t="shared" si="38"/>
        <v>1.2239999999999995</v>
      </c>
      <c r="O128" s="1620"/>
    </row>
    <row r="129" spans="1:23" ht="13.8">
      <c r="A129" s="1935" t="s">
        <v>44</v>
      </c>
      <c r="B129" s="1931" t="s">
        <v>1424</v>
      </c>
      <c r="C129" s="1932">
        <f t="shared" ref="C129:O129" si="39">C109*3.6</f>
        <v>9.1079999999999988</v>
      </c>
      <c r="D129" s="1932">
        <f t="shared" si="39"/>
        <v>8.82</v>
      </c>
      <c r="E129" s="1932">
        <f t="shared" si="39"/>
        <v>9.9</v>
      </c>
      <c r="F129" s="1932">
        <f t="shared" si="39"/>
        <v>9.9</v>
      </c>
      <c r="G129" s="1932">
        <f t="shared" si="39"/>
        <v>9.1079999999999988</v>
      </c>
      <c r="H129" s="1932">
        <f t="shared" si="39"/>
        <v>8.7840000000000007</v>
      </c>
      <c r="I129" s="1932">
        <f t="shared" si="39"/>
        <v>9.0359999999999996</v>
      </c>
      <c r="J129" s="1932">
        <f t="shared" si="39"/>
        <v>7.8120000000000003</v>
      </c>
      <c r="K129" s="1932">
        <f t="shared" si="39"/>
        <v>6.84</v>
      </c>
      <c r="L129" s="1932">
        <f t="shared" si="39"/>
        <v>7.5600000000000005</v>
      </c>
      <c r="M129" s="1932">
        <f t="shared" si="39"/>
        <v>7.38</v>
      </c>
      <c r="N129" s="1932">
        <f t="shared" si="39"/>
        <v>7.38</v>
      </c>
      <c r="O129" s="1932">
        <f t="shared" si="39"/>
        <v>7.3440000000000003</v>
      </c>
    </row>
    <row r="130" spans="1:23" ht="13.8">
      <c r="A130" s="1935" t="s">
        <v>44</v>
      </c>
      <c r="B130" s="1931" t="s">
        <v>2149</v>
      </c>
      <c r="C130" s="1932">
        <f t="shared" ref="C130:O130" si="40">C110*3.6</f>
        <v>4.0679999999999996</v>
      </c>
      <c r="D130" s="1932">
        <f t="shared" si="40"/>
        <v>3.7800000000000002</v>
      </c>
      <c r="E130" s="1932">
        <f t="shared" si="40"/>
        <v>2.8080000000000003</v>
      </c>
      <c r="F130" s="1932">
        <f t="shared" si="40"/>
        <v>2.8080000000000003</v>
      </c>
      <c r="G130" s="1932">
        <f t="shared" si="40"/>
        <v>2.3760000000000003</v>
      </c>
      <c r="H130" s="1932">
        <f t="shared" si="40"/>
        <v>2.2680000000000002</v>
      </c>
      <c r="I130" s="1932">
        <f t="shared" si="40"/>
        <v>0.93600000000000005</v>
      </c>
      <c r="J130" s="1932">
        <f t="shared" si="40"/>
        <v>0.72000000000000008</v>
      </c>
      <c r="K130" s="1932">
        <f t="shared" si="40"/>
        <v>0.64800000000000002</v>
      </c>
      <c r="L130" s="1932">
        <f t="shared" si="40"/>
        <v>0.68400000000000005</v>
      </c>
      <c r="M130" s="1932">
        <f t="shared" si="40"/>
        <v>0.82800000000000007</v>
      </c>
      <c r="N130" s="1932">
        <f t="shared" si="40"/>
        <v>0.93600000000000005</v>
      </c>
      <c r="O130" s="1932">
        <f t="shared" si="40"/>
        <v>1.08</v>
      </c>
    </row>
    <row r="131" spans="1:23" ht="13.8">
      <c r="A131" s="1935" t="s">
        <v>44</v>
      </c>
      <c r="B131" s="1931" t="s">
        <v>2150</v>
      </c>
      <c r="C131" s="1932">
        <f t="shared" ref="C131:O131" si="41">C111*3.6</f>
        <v>1.8720000000000001</v>
      </c>
      <c r="D131" s="1932">
        <f t="shared" si="41"/>
        <v>2.8080000000000003</v>
      </c>
      <c r="E131" s="1932">
        <f t="shared" si="41"/>
        <v>2.8440000000000003</v>
      </c>
      <c r="F131" s="1932">
        <f t="shared" si="41"/>
        <v>2.8440000000000003</v>
      </c>
      <c r="G131" s="1932">
        <f t="shared" si="41"/>
        <v>2.2320000000000002</v>
      </c>
      <c r="H131" s="1932">
        <f t="shared" si="41"/>
        <v>1.9080000000000001</v>
      </c>
      <c r="I131" s="1932">
        <f t="shared" si="41"/>
        <v>1.62</v>
      </c>
      <c r="J131" s="1932">
        <f t="shared" si="41"/>
        <v>3.1320000000000001</v>
      </c>
      <c r="K131" s="1932">
        <f t="shared" si="41"/>
        <v>6.1920000000000002</v>
      </c>
      <c r="L131" s="1932">
        <f t="shared" si="41"/>
        <v>3.1320000000000001</v>
      </c>
      <c r="M131" s="1932">
        <f t="shared" si="41"/>
        <v>1.9080000000000001</v>
      </c>
      <c r="N131" s="1932">
        <f t="shared" si="41"/>
        <v>1.8720000000000001</v>
      </c>
      <c r="O131" s="1932">
        <f t="shared" si="41"/>
        <v>1.9440000000000002</v>
      </c>
    </row>
    <row r="137" spans="1:23" ht="18">
      <c r="A137" s="1928" t="s">
        <v>3239</v>
      </c>
      <c r="B137" s="304"/>
      <c r="C137" s="304"/>
      <c r="D137" s="304"/>
      <c r="E137" s="304"/>
      <c r="F137" s="304"/>
      <c r="G137" s="304"/>
      <c r="H137" s="304"/>
      <c r="I137" s="304"/>
      <c r="J137" s="304"/>
      <c r="K137" s="304"/>
      <c r="L137" s="304"/>
      <c r="M137" s="304"/>
      <c r="N137" s="304"/>
      <c r="O137" s="304"/>
      <c r="P137" s="304"/>
      <c r="Q137" s="304"/>
      <c r="R137" s="304"/>
      <c r="S137" s="304"/>
      <c r="T137" s="304"/>
      <c r="U137" s="304"/>
      <c r="V137" s="304"/>
      <c r="W137" s="304"/>
    </row>
    <row r="138" spans="1:23">
      <c r="A138" s="754"/>
      <c r="B138" s="754"/>
      <c r="C138" s="754"/>
      <c r="D138" s="754"/>
      <c r="E138" s="754"/>
      <c r="F138" s="754"/>
      <c r="G138" s="754"/>
      <c r="H138" s="754"/>
      <c r="I138" s="754"/>
      <c r="J138" s="754"/>
      <c r="K138" s="754"/>
      <c r="L138" s="754"/>
      <c r="M138" s="754"/>
      <c r="N138" s="754"/>
      <c r="O138" s="754"/>
      <c r="P138" s="754"/>
      <c r="Q138" s="754"/>
      <c r="R138" s="754"/>
      <c r="S138" s="754"/>
      <c r="T138" s="754"/>
      <c r="U138" s="754"/>
      <c r="V138" s="754"/>
      <c r="W138" s="754"/>
    </row>
    <row r="139" spans="1:23">
      <c r="A139" s="754"/>
      <c r="B139" s="754"/>
      <c r="C139" s="754"/>
      <c r="D139" s="754"/>
      <c r="E139" s="754"/>
      <c r="F139" s="754"/>
      <c r="G139" s="754"/>
      <c r="H139" s="754"/>
      <c r="I139" s="754"/>
      <c r="J139" s="754"/>
      <c r="K139" s="754"/>
      <c r="L139" s="754"/>
      <c r="M139" s="754"/>
      <c r="N139" s="754"/>
      <c r="O139" s="754"/>
      <c r="P139" s="754"/>
      <c r="Q139" s="754"/>
      <c r="R139" s="754"/>
      <c r="S139" s="754"/>
      <c r="T139" s="754"/>
      <c r="U139" s="754"/>
      <c r="V139" s="754"/>
      <c r="W139" s="754"/>
    </row>
    <row r="140" spans="1:23">
      <c r="A140" s="754"/>
      <c r="B140" s="754"/>
      <c r="C140" s="754"/>
      <c r="D140" s="754"/>
      <c r="E140" s="754"/>
      <c r="F140" s="754"/>
      <c r="G140" s="754"/>
      <c r="H140" s="754"/>
      <c r="I140" s="754"/>
      <c r="J140" s="754"/>
      <c r="K140" s="754"/>
      <c r="L140" s="754"/>
      <c r="M140" s="754"/>
      <c r="N140" s="754"/>
      <c r="O140" s="754"/>
      <c r="P140" s="754"/>
      <c r="Q140" s="754"/>
      <c r="R140" s="754"/>
      <c r="S140" s="754"/>
      <c r="T140" s="754"/>
      <c r="U140" s="754"/>
      <c r="V140" s="754"/>
      <c r="W140" s="754"/>
    </row>
    <row r="141" spans="1:23">
      <c r="A141" s="754"/>
      <c r="B141" s="754"/>
      <c r="C141" s="754"/>
      <c r="D141" s="754"/>
      <c r="E141" s="754"/>
      <c r="F141" s="754"/>
      <c r="G141" s="754"/>
      <c r="H141" s="754"/>
      <c r="I141" s="754"/>
      <c r="J141" s="754"/>
      <c r="K141" s="754"/>
      <c r="L141" s="754"/>
      <c r="M141" s="754"/>
      <c r="N141" s="754"/>
      <c r="O141" s="754"/>
      <c r="P141" s="754"/>
      <c r="Q141" s="754"/>
      <c r="R141" s="754"/>
      <c r="S141" s="754"/>
      <c r="T141" s="754"/>
      <c r="U141" s="754"/>
      <c r="V141" s="754"/>
      <c r="W141" s="754"/>
    </row>
    <row r="142" spans="1:23">
      <c r="A142" s="754"/>
      <c r="B142" s="754"/>
      <c r="C142" s="754"/>
      <c r="D142" s="754"/>
      <c r="E142" s="754"/>
      <c r="F142" s="754"/>
      <c r="G142" s="754"/>
      <c r="H142" s="754"/>
      <c r="I142" s="754"/>
      <c r="J142" s="754"/>
      <c r="K142" s="754"/>
      <c r="L142" s="754"/>
      <c r="M142" s="754"/>
      <c r="N142" s="754"/>
      <c r="O142" s="754"/>
      <c r="P142" s="754"/>
      <c r="Q142" s="754"/>
      <c r="R142" s="754"/>
      <c r="S142" s="754"/>
      <c r="T142" s="754"/>
      <c r="U142" s="754"/>
      <c r="V142" s="754"/>
      <c r="W142" s="754"/>
    </row>
    <row r="143" spans="1:23">
      <c r="A143" s="754"/>
      <c r="B143" s="754"/>
      <c r="C143" s="754"/>
      <c r="D143" s="754"/>
      <c r="E143" s="754"/>
      <c r="F143" s="754"/>
      <c r="G143" s="754"/>
      <c r="H143" s="754"/>
      <c r="I143" s="754"/>
      <c r="J143" s="754"/>
      <c r="K143" s="754"/>
      <c r="L143" s="754"/>
      <c r="M143" s="754"/>
      <c r="N143" s="754"/>
      <c r="O143" s="754"/>
      <c r="P143" s="754"/>
      <c r="Q143" s="754"/>
      <c r="R143" s="754"/>
      <c r="S143" s="754"/>
      <c r="T143" s="754"/>
      <c r="U143" s="754"/>
      <c r="V143" s="754"/>
      <c r="W143" s="754"/>
    </row>
    <row r="144" spans="1:23">
      <c r="A144" s="754"/>
      <c r="B144" s="754"/>
      <c r="C144" s="754"/>
      <c r="D144" s="754"/>
      <c r="E144" s="754"/>
      <c r="F144" s="754"/>
      <c r="G144" s="754"/>
      <c r="H144" s="754"/>
      <c r="I144" s="754"/>
      <c r="J144" s="754"/>
      <c r="K144" s="754"/>
      <c r="L144" s="754"/>
      <c r="M144" s="754"/>
      <c r="N144" s="754"/>
      <c r="O144" s="754"/>
      <c r="P144" s="754"/>
      <c r="Q144" s="754"/>
      <c r="R144" s="754"/>
      <c r="S144" s="754"/>
      <c r="T144" s="754"/>
      <c r="U144" s="754"/>
      <c r="V144" s="754"/>
      <c r="W144" s="754"/>
    </row>
    <row r="145" spans="1:23">
      <c r="A145" s="754"/>
      <c r="B145" s="754"/>
      <c r="C145" s="754"/>
      <c r="D145" s="754"/>
      <c r="E145" s="754"/>
      <c r="F145" s="754"/>
      <c r="G145" s="754"/>
      <c r="H145" s="754"/>
      <c r="I145" s="754"/>
      <c r="J145" s="754"/>
      <c r="K145" s="754"/>
      <c r="L145" s="754"/>
      <c r="M145" s="754"/>
      <c r="N145" s="754"/>
      <c r="O145" s="754"/>
      <c r="P145" s="754"/>
      <c r="Q145" s="754"/>
      <c r="R145" s="754"/>
      <c r="S145" s="754"/>
      <c r="T145" s="754"/>
      <c r="U145" s="754"/>
      <c r="V145" s="754"/>
      <c r="W145" s="754"/>
    </row>
    <row r="146" spans="1:23">
      <c r="A146" s="754"/>
      <c r="B146" s="754"/>
      <c r="C146" s="754"/>
      <c r="D146" s="754"/>
      <c r="E146" s="754"/>
      <c r="F146" s="754"/>
      <c r="G146" s="754"/>
      <c r="H146" s="754"/>
      <c r="I146" s="754"/>
      <c r="J146" s="754"/>
      <c r="K146" s="754"/>
      <c r="L146" s="754"/>
      <c r="M146" s="754"/>
      <c r="N146" s="754"/>
      <c r="O146" s="754"/>
      <c r="P146" s="754"/>
      <c r="Q146" s="754"/>
      <c r="R146" s="754"/>
      <c r="S146" s="754"/>
      <c r="T146" s="754"/>
      <c r="U146" s="754"/>
      <c r="V146" s="754"/>
      <c r="W146" s="754"/>
    </row>
    <row r="147" spans="1:23">
      <c r="A147" s="754"/>
      <c r="B147" s="754"/>
      <c r="C147" s="754"/>
      <c r="D147" s="754"/>
      <c r="E147" s="754"/>
      <c r="F147" s="754"/>
      <c r="G147" s="754"/>
      <c r="H147" s="754"/>
      <c r="I147" s="754"/>
      <c r="J147" s="754"/>
      <c r="K147" s="754"/>
      <c r="L147" s="754"/>
      <c r="M147" s="754"/>
      <c r="N147" s="754"/>
      <c r="O147" s="754"/>
      <c r="P147" s="754"/>
      <c r="Q147" s="754"/>
      <c r="R147" s="754"/>
      <c r="S147" s="754"/>
      <c r="T147" s="754"/>
      <c r="U147" s="754"/>
      <c r="V147" s="754"/>
      <c r="W147" s="754"/>
    </row>
    <row r="148" spans="1:23">
      <c r="A148" s="754"/>
      <c r="B148" s="754"/>
      <c r="C148" s="754"/>
      <c r="D148" s="754"/>
      <c r="E148" s="754"/>
      <c r="F148" s="754"/>
      <c r="G148" s="754"/>
      <c r="H148" s="754"/>
      <c r="I148" s="754"/>
      <c r="J148" s="754"/>
      <c r="K148" s="754"/>
      <c r="L148" s="754"/>
      <c r="M148" s="754"/>
      <c r="N148" s="754"/>
      <c r="O148" s="754"/>
      <c r="P148" s="754"/>
      <c r="Q148" s="754"/>
      <c r="R148" s="754"/>
      <c r="S148" s="754"/>
      <c r="T148" s="754"/>
      <c r="U148" s="754"/>
      <c r="V148" s="754"/>
      <c r="W148" s="754"/>
    </row>
    <row r="149" spans="1:23">
      <c r="A149" s="754"/>
      <c r="B149" s="754"/>
      <c r="C149" s="754"/>
      <c r="D149" s="754"/>
      <c r="E149" s="754"/>
      <c r="F149" s="754"/>
      <c r="G149" s="754"/>
      <c r="H149" s="754"/>
      <c r="I149" s="754"/>
      <c r="J149" s="754"/>
      <c r="K149" s="754"/>
      <c r="L149" s="754"/>
      <c r="M149" s="754"/>
      <c r="N149" s="754"/>
      <c r="O149" s="754"/>
      <c r="P149" s="754"/>
      <c r="Q149" s="754"/>
      <c r="R149" s="754"/>
      <c r="S149" s="754"/>
      <c r="T149" s="754"/>
      <c r="U149" s="754"/>
      <c r="V149" s="754"/>
      <c r="W149" s="754"/>
    </row>
    <row r="150" spans="1:23">
      <c r="A150" s="754"/>
      <c r="B150" s="754"/>
      <c r="C150" s="754"/>
      <c r="D150" s="754"/>
      <c r="E150" s="754"/>
      <c r="F150" s="754"/>
      <c r="G150" s="754"/>
      <c r="H150" s="754"/>
      <c r="I150" s="754"/>
      <c r="J150" s="754"/>
      <c r="K150" s="754"/>
      <c r="L150" s="754"/>
      <c r="M150" s="754"/>
      <c r="N150" s="754"/>
      <c r="O150" s="754"/>
      <c r="P150" s="754"/>
      <c r="Q150" s="754"/>
      <c r="R150" s="754"/>
      <c r="S150" s="754"/>
      <c r="T150" s="754"/>
      <c r="U150" s="754"/>
      <c r="V150" s="754"/>
      <c r="W150" s="754"/>
    </row>
    <row r="151" spans="1:23">
      <c r="A151" s="754"/>
      <c r="B151" s="754"/>
      <c r="C151" s="754"/>
      <c r="D151" s="754"/>
      <c r="E151" s="754"/>
      <c r="F151" s="754"/>
      <c r="G151" s="754"/>
      <c r="H151" s="754"/>
      <c r="I151" s="754"/>
      <c r="J151" s="754"/>
      <c r="K151" s="754"/>
      <c r="L151" s="754"/>
      <c r="M151" s="754"/>
      <c r="N151" s="754"/>
      <c r="O151" s="754"/>
      <c r="P151" s="754"/>
      <c r="Q151" s="754"/>
      <c r="R151" s="754"/>
      <c r="S151" s="754"/>
      <c r="T151" s="754"/>
      <c r="U151" s="754"/>
      <c r="V151" s="754"/>
      <c r="W151" s="754"/>
    </row>
    <row r="152" spans="1:23">
      <c r="A152" s="754"/>
      <c r="B152" s="754"/>
      <c r="C152" s="754"/>
      <c r="D152" s="754"/>
      <c r="E152" s="754"/>
      <c r="F152" s="754"/>
      <c r="G152" s="754"/>
      <c r="H152" s="754"/>
      <c r="I152" s="754"/>
      <c r="J152" s="754"/>
      <c r="K152" s="754"/>
      <c r="L152" s="754"/>
      <c r="M152" s="754"/>
      <c r="N152" s="754"/>
      <c r="O152" s="754"/>
      <c r="P152" s="754"/>
      <c r="Q152" s="754"/>
      <c r="R152" s="754"/>
      <c r="S152" s="754"/>
      <c r="T152" s="754"/>
      <c r="U152" s="754"/>
      <c r="V152" s="754"/>
      <c r="W152" s="754"/>
    </row>
    <row r="153" spans="1:23">
      <c r="A153" s="754"/>
      <c r="B153" s="754"/>
      <c r="C153" s="754"/>
      <c r="D153" s="754"/>
      <c r="E153" s="754"/>
      <c r="F153" s="754"/>
      <c r="G153" s="754"/>
      <c r="H153" s="754"/>
      <c r="I153" s="754"/>
      <c r="J153" s="754"/>
      <c r="K153" s="754"/>
      <c r="L153" s="754"/>
      <c r="M153" s="754"/>
      <c r="N153" s="754"/>
      <c r="O153" s="754"/>
      <c r="P153" s="754"/>
      <c r="Q153" s="754"/>
      <c r="R153" s="754"/>
      <c r="S153" s="754"/>
      <c r="T153" s="754"/>
      <c r="U153" s="754"/>
      <c r="V153" s="754"/>
      <c r="W153" s="754"/>
    </row>
    <row r="154" spans="1:23">
      <c r="A154" s="754"/>
      <c r="B154" s="754"/>
      <c r="C154" s="754"/>
      <c r="D154" s="754"/>
      <c r="E154" s="754"/>
      <c r="F154" s="754"/>
      <c r="G154" s="754"/>
      <c r="H154" s="754"/>
      <c r="I154" s="754"/>
      <c r="J154" s="754"/>
      <c r="K154" s="754"/>
      <c r="L154" s="754"/>
      <c r="M154" s="754"/>
      <c r="N154" s="754"/>
      <c r="O154" s="754"/>
      <c r="P154" s="754"/>
      <c r="Q154" s="754"/>
      <c r="R154" s="754"/>
      <c r="S154" s="754"/>
      <c r="T154" s="754"/>
      <c r="U154" s="754"/>
      <c r="V154" s="754"/>
      <c r="W154" s="754"/>
    </row>
    <row r="155" spans="1:23">
      <c r="A155" s="754"/>
      <c r="B155" s="754"/>
      <c r="C155" s="754"/>
      <c r="D155" s="754"/>
      <c r="E155" s="754"/>
      <c r="F155" s="754"/>
      <c r="G155" s="754"/>
      <c r="H155" s="754"/>
      <c r="I155" s="754"/>
      <c r="J155" s="754"/>
      <c r="K155" s="754"/>
      <c r="L155" s="754"/>
      <c r="M155" s="754"/>
      <c r="N155" s="754"/>
      <c r="O155" s="754"/>
      <c r="P155" s="754"/>
      <c r="Q155" s="754"/>
      <c r="R155" s="754"/>
      <c r="S155" s="754"/>
      <c r="T155" s="754"/>
      <c r="U155" s="754"/>
      <c r="V155" s="754"/>
      <c r="W155" s="754"/>
    </row>
    <row r="156" spans="1:23">
      <c r="A156" s="754"/>
      <c r="B156" s="754"/>
      <c r="C156" s="754"/>
      <c r="D156" s="754"/>
      <c r="E156" s="754"/>
      <c r="F156" s="754"/>
      <c r="G156" s="754"/>
      <c r="H156" s="754"/>
      <c r="I156" s="754"/>
      <c r="J156" s="754"/>
      <c r="K156" s="754"/>
      <c r="L156" s="754"/>
      <c r="M156" s="754"/>
      <c r="N156" s="754"/>
      <c r="O156" s="754"/>
      <c r="P156" s="754"/>
      <c r="Q156" s="754"/>
      <c r="R156" s="754"/>
      <c r="S156" s="754"/>
      <c r="T156" s="754"/>
      <c r="U156" s="754"/>
      <c r="V156" s="754"/>
      <c r="W156" s="754"/>
    </row>
    <row r="157" spans="1:23">
      <c r="A157" s="754"/>
      <c r="B157" s="754"/>
      <c r="C157" s="754"/>
      <c r="D157" s="754"/>
      <c r="E157" s="754"/>
      <c r="F157" s="754"/>
      <c r="G157" s="754"/>
      <c r="H157" s="754"/>
      <c r="I157" s="754"/>
      <c r="J157" s="754"/>
      <c r="K157" s="754"/>
      <c r="L157" s="754"/>
      <c r="M157" s="754"/>
      <c r="N157" s="754"/>
      <c r="O157" s="754"/>
      <c r="P157" s="754"/>
      <c r="Q157" s="754"/>
      <c r="R157" s="754"/>
      <c r="S157" s="754"/>
      <c r="T157" s="754"/>
      <c r="U157" s="754"/>
      <c r="V157" s="754"/>
      <c r="W157" s="754"/>
    </row>
    <row r="158" spans="1:23">
      <c r="A158" s="754"/>
      <c r="B158" s="754"/>
      <c r="C158" s="754"/>
      <c r="D158" s="754"/>
      <c r="E158" s="754"/>
      <c r="F158" s="754"/>
      <c r="G158" s="754"/>
      <c r="H158" s="754"/>
      <c r="I158" s="754"/>
      <c r="J158" s="754"/>
      <c r="K158" s="754"/>
      <c r="L158" s="754"/>
      <c r="M158" s="754"/>
      <c r="N158" s="754"/>
      <c r="O158" s="754"/>
      <c r="P158" s="754"/>
      <c r="Q158" s="754"/>
      <c r="R158" s="754"/>
      <c r="S158" s="754"/>
      <c r="T158" s="754"/>
      <c r="U158" s="754"/>
      <c r="V158" s="754"/>
      <c r="W158" s="754"/>
    </row>
    <row r="159" spans="1:23">
      <c r="A159" s="754"/>
      <c r="B159" s="754"/>
      <c r="C159" s="754"/>
      <c r="D159" s="754"/>
      <c r="E159" s="754"/>
      <c r="F159" s="754"/>
      <c r="G159" s="754"/>
      <c r="H159" s="754"/>
      <c r="I159" s="754"/>
      <c r="J159" s="754"/>
      <c r="K159" s="754"/>
      <c r="L159" s="754"/>
      <c r="M159" s="754"/>
      <c r="N159" s="754"/>
      <c r="O159" s="754"/>
      <c r="P159" s="754"/>
      <c r="Q159" s="754"/>
      <c r="R159" s="754"/>
      <c r="S159" s="754"/>
      <c r="T159" s="754"/>
      <c r="U159" s="754"/>
      <c r="V159" s="754"/>
      <c r="W159" s="754"/>
    </row>
    <row r="160" spans="1:23">
      <c r="A160" s="754"/>
      <c r="B160" s="754"/>
      <c r="C160" s="754"/>
      <c r="D160" s="754"/>
      <c r="E160" s="754"/>
      <c r="F160" s="754"/>
      <c r="G160" s="754"/>
      <c r="H160" s="754"/>
      <c r="I160" s="754"/>
      <c r="J160" s="754"/>
      <c r="K160" s="754"/>
      <c r="L160" s="754"/>
      <c r="M160" s="754"/>
      <c r="N160" s="754"/>
      <c r="O160" s="754"/>
      <c r="P160" s="754"/>
      <c r="Q160" s="754"/>
      <c r="R160" s="754"/>
      <c r="S160" s="754"/>
      <c r="T160" s="754"/>
      <c r="U160" s="754"/>
      <c r="V160" s="754"/>
      <c r="W160" s="754"/>
    </row>
    <row r="161" spans="1:23">
      <c r="A161" s="754"/>
      <c r="B161" s="754"/>
      <c r="C161" s="754"/>
      <c r="D161" s="754"/>
      <c r="E161" s="754"/>
      <c r="F161" s="754"/>
      <c r="G161" s="754"/>
      <c r="H161" s="754"/>
      <c r="I161" s="754"/>
      <c r="J161" s="754"/>
      <c r="K161" s="754"/>
      <c r="L161" s="754"/>
      <c r="M161" s="754"/>
      <c r="N161" s="754"/>
      <c r="O161" s="754"/>
      <c r="P161" s="754"/>
      <c r="Q161" s="754"/>
      <c r="R161" s="754"/>
      <c r="S161" s="754"/>
      <c r="T161" s="754"/>
      <c r="U161" s="754"/>
      <c r="V161" s="754"/>
      <c r="W161" s="754"/>
    </row>
    <row r="162" spans="1:23">
      <c r="A162" s="754"/>
      <c r="B162" s="754"/>
      <c r="C162" s="754"/>
      <c r="D162" s="754"/>
      <c r="E162" s="754"/>
      <c r="F162" s="754"/>
      <c r="G162" s="754"/>
      <c r="H162" s="754"/>
      <c r="I162" s="754"/>
      <c r="J162" s="754"/>
      <c r="K162" s="754"/>
      <c r="L162" s="754"/>
      <c r="M162" s="754"/>
      <c r="N162" s="754"/>
      <c r="O162" s="754"/>
      <c r="P162" s="754"/>
      <c r="Q162" s="754"/>
      <c r="R162" s="754"/>
      <c r="S162" s="754"/>
      <c r="T162" s="754"/>
      <c r="U162" s="754"/>
      <c r="V162" s="754"/>
      <c r="W162" s="754"/>
    </row>
    <row r="163" spans="1:23">
      <c r="A163" s="754"/>
      <c r="B163" s="754"/>
      <c r="C163" s="754"/>
      <c r="D163" s="754"/>
      <c r="E163" s="754"/>
      <c r="F163" s="754"/>
      <c r="G163" s="754"/>
      <c r="H163" s="754"/>
      <c r="I163" s="754"/>
      <c r="J163" s="754"/>
      <c r="K163" s="754"/>
      <c r="L163" s="754"/>
      <c r="M163" s="754"/>
      <c r="N163" s="754"/>
      <c r="O163" s="754"/>
      <c r="P163" s="754"/>
      <c r="Q163" s="754"/>
      <c r="R163" s="754"/>
      <c r="S163" s="754"/>
      <c r="T163" s="754"/>
      <c r="U163" s="754"/>
      <c r="V163" s="754"/>
      <c r="W163" s="754"/>
    </row>
    <row r="164" spans="1:23">
      <c r="A164" s="754"/>
      <c r="B164" s="754"/>
      <c r="C164" s="754"/>
      <c r="D164" s="754"/>
      <c r="E164" s="754"/>
      <c r="F164" s="754"/>
      <c r="G164" s="754"/>
      <c r="H164" s="754"/>
      <c r="I164" s="754"/>
      <c r="J164" s="754"/>
      <c r="K164" s="754"/>
      <c r="L164" s="754"/>
      <c r="M164" s="754"/>
      <c r="N164" s="754"/>
      <c r="O164" s="754"/>
      <c r="P164" s="754"/>
      <c r="Q164" s="754"/>
      <c r="R164" s="754"/>
      <c r="S164" s="754"/>
      <c r="T164" s="754"/>
      <c r="U164" s="754"/>
      <c r="V164" s="754"/>
      <c r="W164" s="754"/>
    </row>
    <row r="165" spans="1:23">
      <c r="A165" s="754"/>
      <c r="B165" s="754"/>
      <c r="C165" s="754"/>
      <c r="D165" s="754"/>
      <c r="E165" s="754"/>
      <c r="F165" s="754"/>
      <c r="G165" s="754"/>
      <c r="H165" s="754"/>
      <c r="I165" s="754"/>
      <c r="J165" s="754"/>
      <c r="K165" s="754"/>
      <c r="L165" s="754"/>
      <c r="M165" s="754"/>
      <c r="N165" s="754"/>
      <c r="O165" s="754"/>
      <c r="P165" s="754"/>
      <c r="Q165" s="754"/>
      <c r="R165" s="754"/>
      <c r="S165" s="754"/>
      <c r="T165" s="754"/>
      <c r="U165" s="754"/>
      <c r="V165" s="754"/>
      <c r="W165" s="754"/>
    </row>
    <row r="166" spans="1:23">
      <c r="A166" s="754"/>
      <c r="B166" s="754"/>
      <c r="C166" s="754"/>
      <c r="D166" s="754"/>
      <c r="E166" s="754"/>
      <c r="F166" s="754"/>
      <c r="G166" s="754"/>
      <c r="H166" s="754"/>
      <c r="I166" s="754"/>
      <c r="J166" s="754"/>
      <c r="K166" s="754"/>
      <c r="L166" s="754"/>
      <c r="M166" s="754"/>
      <c r="N166" s="754"/>
      <c r="O166" s="754"/>
      <c r="P166" s="754"/>
      <c r="Q166" s="754"/>
      <c r="R166" s="754"/>
      <c r="S166" s="754"/>
      <c r="T166" s="754"/>
      <c r="U166" s="754"/>
      <c r="V166" s="754"/>
      <c r="W166" s="754"/>
    </row>
    <row r="167" spans="1:23">
      <c r="A167" s="754"/>
      <c r="B167" s="754"/>
      <c r="C167" s="754"/>
      <c r="D167" s="754"/>
      <c r="E167" s="754"/>
      <c r="F167" s="754"/>
      <c r="G167" s="754"/>
      <c r="H167" s="754"/>
      <c r="I167" s="754"/>
      <c r="J167" s="754"/>
      <c r="K167" s="754"/>
      <c r="L167" s="754"/>
      <c r="M167" s="754"/>
      <c r="N167" s="754"/>
      <c r="O167" s="754"/>
      <c r="P167" s="754"/>
      <c r="Q167" s="754"/>
      <c r="R167" s="754"/>
      <c r="S167" s="754"/>
      <c r="T167" s="754"/>
      <c r="U167" s="754"/>
      <c r="V167" s="754"/>
      <c r="W167" s="754"/>
    </row>
    <row r="168" spans="1:23">
      <c r="A168" s="754"/>
      <c r="B168" s="754"/>
      <c r="C168" s="754"/>
      <c r="D168" s="754"/>
      <c r="E168" s="754"/>
      <c r="F168" s="754"/>
      <c r="G168" s="754"/>
      <c r="H168" s="754"/>
      <c r="I168" s="754"/>
      <c r="J168" s="754"/>
      <c r="K168" s="754"/>
      <c r="L168" s="754"/>
      <c r="M168" s="754"/>
      <c r="N168" s="754"/>
      <c r="O168" s="754"/>
      <c r="P168" s="754"/>
      <c r="Q168" s="754"/>
      <c r="R168" s="754"/>
      <c r="S168" s="754"/>
      <c r="T168" s="754"/>
      <c r="U168" s="754"/>
      <c r="V168" s="754"/>
      <c r="W168" s="754"/>
    </row>
    <row r="169" spans="1:23">
      <c r="A169" s="754"/>
      <c r="B169" s="754"/>
      <c r="C169" s="754"/>
      <c r="D169" s="754"/>
      <c r="E169" s="754"/>
      <c r="F169" s="754"/>
      <c r="G169" s="754"/>
      <c r="H169" s="754"/>
      <c r="I169" s="754"/>
      <c r="J169" s="754"/>
      <c r="K169" s="754"/>
      <c r="L169" s="754"/>
      <c r="M169" s="754"/>
      <c r="N169" s="754"/>
      <c r="O169" s="754"/>
      <c r="P169" s="754"/>
      <c r="Q169" s="754"/>
      <c r="R169" s="754"/>
      <c r="S169" s="754"/>
      <c r="T169" s="754"/>
      <c r="U169" s="754"/>
      <c r="V169" s="754"/>
      <c r="W169" s="754"/>
    </row>
    <row r="170" spans="1:23">
      <c r="A170" s="754"/>
      <c r="B170" s="754"/>
      <c r="C170" s="754"/>
      <c r="D170" s="754"/>
      <c r="E170" s="754"/>
      <c r="F170" s="754"/>
      <c r="G170" s="754"/>
      <c r="H170" s="754"/>
      <c r="I170" s="754"/>
      <c r="J170" s="754"/>
      <c r="K170" s="754"/>
      <c r="L170" s="754"/>
      <c r="M170" s="754"/>
      <c r="N170" s="754"/>
      <c r="O170" s="754"/>
      <c r="P170" s="754"/>
      <c r="Q170" s="754"/>
      <c r="R170" s="754"/>
      <c r="S170" s="754"/>
      <c r="T170" s="754"/>
      <c r="U170" s="754"/>
      <c r="V170" s="754"/>
      <c r="W170" s="754"/>
    </row>
    <row r="171" spans="1:23">
      <c r="A171" s="754"/>
      <c r="B171" s="754"/>
      <c r="C171" s="754"/>
      <c r="D171" s="754"/>
      <c r="E171" s="754"/>
      <c r="F171" s="754"/>
      <c r="G171" s="754"/>
      <c r="H171" s="754"/>
      <c r="I171" s="754"/>
      <c r="J171" s="754"/>
      <c r="K171" s="754"/>
      <c r="L171" s="754"/>
      <c r="M171" s="754"/>
      <c r="N171" s="754"/>
      <c r="O171" s="754"/>
      <c r="P171" s="754"/>
      <c r="Q171" s="754"/>
      <c r="R171" s="754"/>
      <c r="S171" s="754"/>
      <c r="T171" s="754"/>
      <c r="U171" s="754"/>
      <c r="V171" s="754"/>
      <c r="W171" s="754"/>
    </row>
    <row r="172" spans="1:23">
      <c r="A172" s="754"/>
      <c r="B172" s="754"/>
      <c r="C172" s="754"/>
      <c r="D172" s="754"/>
      <c r="E172" s="754"/>
      <c r="F172" s="754"/>
      <c r="G172" s="754"/>
      <c r="H172" s="754"/>
      <c r="I172" s="754"/>
      <c r="J172" s="754"/>
      <c r="K172" s="754"/>
      <c r="L172" s="754"/>
      <c r="M172" s="754"/>
      <c r="N172" s="754"/>
      <c r="O172" s="754"/>
      <c r="P172" s="754"/>
      <c r="Q172" s="754"/>
      <c r="R172" s="754"/>
      <c r="S172" s="754"/>
      <c r="T172" s="754"/>
      <c r="U172" s="754"/>
      <c r="V172" s="754"/>
      <c r="W172" s="754"/>
    </row>
    <row r="173" spans="1:23">
      <c r="A173" s="754"/>
      <c r="B173" s="754"/>
      <c r="C173" s="754"/>
      <c r="D173" s="754"/>
      <c r="E173" s="754"/>
      <c r="F173" s="754"/>
      <c r="G173" s="754"/>
      <c r="H173" s="754"/>
      <c r="I173" s="754"/>
      <c r="J173" s="754"/>
      <c r="K173" s="754"/>
      <c r="L173" s="754"/>
      <c r="M173" s="754"/>
      <c r="N173" s="754"/>
      <c r="O173" s="754"/>
      <c r="P173" s="754"/>
      <c r="Q173" s="754"/>
      <c r="R173" s="754"/>
      <c r="S173" s="754"/>
      <c r="T173" s="754"/>
      <c r="U173" s="754"/>
      <c r="V173" s="754"/>
      <c r="W173" s="754"/>
    </row>
    <row r="174" spans="1:23">
      <c r="A174" s="754"/>
      <c r="B174" s="754"/>
      <c r="C174" s="754"/>
      <c r="D174" s="754"/>
      <c r="E174" s="754"/>
      <c r="F174" s="754"/>
      <c r="G174" s="754"/>
      <c r="H174" s="754"/>
      <c r="I174" s="754"/>
      <c r="J174" s="754"/>
      <c r="K174" s="754"/>
      <c r="L174" s="754"/>
      <c r="M174" s="754"/>
      <c r="N174" s="754"/>
      <c r="O174" s="754"/>
      <c r="P174" s="754"/>
      <c r="Q174" s="754"/>
      <c r="R174" s="754"/>
      <c r="S174" s="754"/>
      <c r="T174" s="754"/>
      <c r="U174" s="754"/>
      <c r="V174" s="754"/>
      <c r="W174" s="754"/>
    </row>
    <row r="175" spans="1:23">
      <c r="A175" s="754"/>
      <c r="B175" s="754"/>
      <c r="C175" s="754"/>
      <c r="D175" s="754"/>
      <c r="E175" s="754"/>
      <c r="F175" s="754"/>
      <c r="G175" s="754"/>
      <c r="H175" s="754"/>
      <c r="I175" s="754"/>
      <c r="J175" s="754"/>
      <c r="K175" s="754"/>
      <c r="L175" s="754"/>
      <c r="M175" s="754"/>
      <c r="N175" s="754"/>
      <c r="O175" s="754"/>
      <c r="P175" s="754"/>
      <c r="Q175" s="754"/>
      <c r="R175" s="754"/>
      <c r="S175" s="754"/>
      <c r="T175" s="754"/>
      <c r="U175" s="754"/>
      <c r="V175" s="754"/>
      <c r="W175" s="754"/>
    </row>
    <row r="176" spans="1:23">
      <c r="A176" s="754"/>
      <c r="B176" s="754"/>
      <c r="C176" s="754"/>
      <c r="D176" s="754"/>
      <c r="E176" s="754"/>
      <c r="F176" s="754"/>
      <c r="G176" s="754"/>
      <c r="H176" s="754"/>
      <c r="I176" s="754"/>
      <c r="J176" s="754"/>
      <c r="K176" s="754"/>
      <c r="L176" s="754"/>
      <c r="M176" s="754"/>
      <c r="N176" s="754"/>
      <c r="O176" s="754"/>
      <c r="P176" s="754"/>
      <c r="Q176" s="754"/>
      <c r="R176" s="754"/>
      <c r="S176" s="754"/>
      <c r="T176" s="754"/>
      <c r="U176" s="754"/>
      <c r="V176" s="754"/>
      <c r="W176" s="754"/>
    </row>
    <row r="177" spans="1:23">
      <c r="A177" s="754"/>
      <c r="B177" s="754"/>
      <c r="C177" s="754"/>
      <c r="D177" s="754"/>
      <c r="E177" s="754"/>
      <c r="F177" s="754"/>
      <c r="G177" s="754"/>
      <c r="H177" s="754"/>
      <c r="I177" s="754"/>
      <c r="J177" s="754"/>
      <c r="K177" s="754"/>
      <c r="L177" s="754"/>
      <c r="M177" s="754"/>
      <c r="N177" s="754"/>
      <c r="O177" s="754"/>
      <c r="P177" s="754"/>
      <c r="Q177" s="754"/>
      <c r="R177" s="754"/>
      <c r="S177" s="754"/>
      <c r="T177" s="754"/>
      <c r="U177" s="754"/>
      <c r="V177" s="754"/>
      <c r="W177" s="754"/>
    </row>
    <row r="178" spans="1:23">
      <c r="A178" s="754"/>
      <c r="B178" s="754"/>
      <c r="C178" s="754"/>
      <c r="D178" s="754"/>
      <c r="E178" s="754"/>
      <c r="F178" s="754"/>
      <c r="G178" s="754"/>
      <c r="H178" s="754"/>
      <c r="I178" s="754"/>
      <c r="J178" s="754"/>
      <c r="K178" s="754"/>
      <c r="L178" s="754"/>
      <c r="M178" s="754"/>
      <c r="N178" s="754"/>
      <c r="O178" s="754"/>
      <c r="P178" s="754"/>
      <c r="Q178" s="754"/>
      <c r="R178" s="754"/>
      <c r="S178" s="754"/>
      <c r="T178" s="754"/>
      <c r="U178" s="754"/>
      <c r="V178" s="754"/>
      <c r="W178" s="754"/>
    </row>
    <row r="179" spans="1:23">
      <c r="A179" s="754"/>
      <c r="B179" s="754"/>
      <c r="C179" s="754"/>
      <c r="D179" s="754"/>
      <c r="E179" s="754"/>
      <c r="F179" s="754"/>
      <c r="G179" s="754"/>
      <c r="H179" s="754"/>
      <c r="I179" s="754"/>
      <c r="J179" s="754"/>
      <c r="K179" s="754"/>
      <c r="L179" s="754"/>
      <c r="M179" s="754"/>
      <c r="N179" s="754"/>
      <c r="O179" s="754"/>
      <c r="P179" s="754"/>
      <c r="Q179" s="754"/>
      <c r="R179" s="754"/>
      <c r="S179" s="754"/>
      <c r="T179" s="754"/>
      <c r="U179" s="754"/>
      <c r="V179" s="754"/>
      <c r="W179" s="754"/>
    </row>
    <row r="180" spans="1:23">
      <c r="A180" s="754"/>
      <c r="B180" s="754"/>
      <c r="C180" s="754"/>
      <c r="D180" s="754"/>
      <c r="E180" s="754"/>
      <c r="F180" s="754"/>
      <c r="G180" s="754"/>
      <c r="H180" s="754"/>
      <c r="I180" s="754"/>
      <c r="J180" s="754"/>
      <c r="K180" s="754"/>
      <c r="L180" s="754"/>
      <c r="M180" s="754"/>
      <c r="N180" s="754"/>
      <c r="O180" s="754"/>
      <c r="P180" s="754"/>
      <c r="Q180" s="754"/>
      <c r="R180" s="754"/>
      <c r="S180" s="754"/>
      <c r="T180" s="754"/>
      <c r="U180" s="754"/>
      <c r="V180" s="754"/>
      <c r="W180" s="754"/>
    </row>
    <row r="181" spans="1:23">
      <c r="A181" s="754"/>
      <c r="B181" s="754"/>
      <c r="C181" s="754"/>
      <c r="D181" s="754"/>
      <c r="E181" s="754"/>
      <c r="F181" s="754"/>
      <c r="G181" s="754"/>
      <c r="H181" s="754"/>
      <c r="I181" s="754"/>
      <c r="J181" s="754"/>
      <c r="K181" s="754"/>
      <c r="L181" s="754"/>
      <c r="M181" s="754"/>
      <c r="N181" s="754"/>
      <c r="O181" s="754"/>
      <c r="P181" s="754"/>
      <c r="Q181" s="754"/>
      <c r="R181" s="754"/>
      <c r="S181" s="754"/>
      <c r="T181" s="754"/>
      <c r="U181" s="754"/>
      <c r="V181" s="754"/>
      <c r="W181" s="754"/>
    </row>
    <row r="182" spans="1:23">
      <c r="A182" s="754"/>
      <c r="B182" s="754"/>
      <c r="C182" s="754"/>
      <c r="D182" s="754"/>
      <c r="E182" s="754"/>
      <c r="F182" s="754"/>
      <c r="G182" s="754"/>
      <c r="H182" s="754"/>
      <c r="I182" s="754"/>
      <c r="J182" s="754"/>
      <c r="K182" s="754"/>
      <c r="L182" s="754"/>
      <c r="M182" s="754"/>
      <c r="N182" s="754"/>
      <c r="O182" s="754"/>
      <c r="P182" s="754"/>
      <c r="Q182" s="754"/>
      <c r="R182" s="754"/>
      <c r="S182" s="754"/>
      <c r="T182" s="754"/>
      <c r="U182" s="754"/>
      <c r="V182" s="754"/>
      <c r="W182" s="754"/>
    </row>
    <row r="183" spans="1:23">
      <c r="A183" s="754"/>
      <c r="B183" s="754"/>
      <c r="C183" s="754"/>
      <c r="D183" s="754"/>
      <c r="E183" s="754"/>
      <c r="F183" s="754"/>
      <c r="G183" s="754"/>
      <c r="H183" s="754"/>
      <c r="I183" s="754"/>
      <c r="J183" s="754"/>
      <c r="K183" s="754"/>
      <c r="L183" s="754"/>
      <c r="M183" s="754"/>
      <c r="N183" s="754"/>
      <c r="O183" s="754"/>
      <c r="P183" s="754"/>
      <c r="Q183" s="754"/>
      <c r="R183" s="754"/>
      <c r="S183" s="754"/>
      <c r="T183" s="754"/>
      <c r="U183" s="754"/>
      <c r="V183" s="754"/>
      <c r="W183" s="754"/>
    </row>
    <row r="184" spans="1:23">
      <c r="A184" s="754"/>
      <c r="B184" s="754"/>
      <c r="C184" s="754"/>
      <c r="D184" s="754"/>
      <c r="E184" s="754"/>
      <c r="F184" s="754"/>
      <c r="G184" s="754"/>
      <c r="H184" s="754"/>
      <c r="I184" s="754"/>
      <c r="J184" s="754"/>
      <c r="K184" s="754"/>
      <c r="L184" s="754"/>
      <c r="M184" s="754"/>
      <c r="N184" s="754"/>
      <c r="O184" s="754"/>
      <c r="P184" s="754"/>
      <c r="Q184" s="754"/>
      <c r="R184" s="754"/>
      <c r="S184" s="754"/>
      <c r="T184" s="754"/>
      <c r="U184" s="754"/>
      <c r="V184" s="754"/>
      <c r="W184" s="754"/>
    </row>
    <row r="185" spans="1:23">
      <c r="A185" s="754"/>
      <c r="B185" s="754"/>
      <c r="C185" s="754"/>
      <c r="D185" s="754"/>
      <c r="E185" s="754"/>
      <c r="F185" s="754"/>
      <c r="G185" s="754"/>
      <c r="H185" s="754"/>
      <c r="I185" s="754"/>
      <c r="J185" s="754"/>
      <c r="K185" s="754"/>
      <c r="L185" s="754"/>
      <c r="M185" s="754"/>
      <c r="N185" s="754"/>
      <c r="O185" s="754"/>
      <c r="P185" s="754"/>
      <c r="Q185" s="754"/>
      <c r="R185" s="754"/>
      <c r="S185" s="754"/>
      <c r="T185" s="754"/>
      <c r="U185" s="754"/>
      <c r="V185" s="754"/>
      <c r="W185" s="754"/>
    </row>
    <row r="186" spans="1:23">
      <c r="A186" s="754"/>
      <c r="B186" s="754"/>
      <c r="C186" s="754"/>
      <c r="D186" s="754"/>
      <c r="E186" s="754"/>
      <c r="F186" s="754"/>
      <c r="G186" s="754"/>
      <c r="H186" s="754"/>
      <c r="I186" s="754"/>
      <c r="J186" s="754"/>
      <c r="K186" s="754"/>
      <c r="L186" s="754"/>
      <c r="M186" s="754"/>
      <c r="N186" s="754"/>
      <c r="O186" s="754"/>
      <c r="P186" s="754"/>
      <c r="Q186" s="754"/>
      <c r="R186" s="754"/>
      <c r="S186" s="754"/>
      <c r="T186" s="754"/>
      <c r="U186" s="754"/>
      <c r="V186" s="754"/>
      <c r="W186" s="754"/>
    </row>
    <row r="187" spans="1:23">
      <c r="A187" s="754"/>
      <c r="B187" s="754"/>
      <c r="C187" s="754"/>
      <c r="D187" s="754"/>
      <c r="E187" s="754"/>
      <c r="F187" s="754"/>
      <c r="G187" s="754"/>
      <c r="H187" s="754"/>
      <c r="I187" s="754"/>
      <c r="J187" s="754"/>
      <c r="K187" s="754"/>
      <c r="L187" s="754"/>
      <c r="M187" s="754"/>
      <c r="N187" s="754"/>
      <c r="O187" s="754"/>
      <c r="P187" s="754"/>
      <c r="Q187" s="754"/>
      <c r="R187" s="754"/>
      <c r="S187" s="754"/>
      <c r="T187" s="754"/>
      <c r="U187" s="754"/>
      <c r="V187" s="754"/>
      <c r="W187" s="754"/>
    </row>
    <row r="188" spans="1:23">
      <c r="A188" s="754"/>
      <c r="B188" s="754"/>
      <c r="C188" s="754"/>
      <c r="D188" s="754"/>
      <c r="E188" s="754"/>
      <c r="F188" s="754"/>
      <c r="G188" s="754"/>
      <c r="H188" s="754"/>
      <c r="I188" s="754"/>
      <c r="J188" s="754"/>
      <c r="K188" s="754"/>
      <c r="L188" s="754"/>
      <c r="M188" s="754"/>
      <c r="N188" s="754"/>
      <c r="O188" s="754"/>
      <c r="P188" s="754"/>
      <c r="Q188" s="754"/>
      <c r="R188" s="754"/>
      <c r="S188" s="754"/>
      <c r="T188" s="754"/>
      <c r="U188" s="754"/>
      <c r="V188" s="754"/>
      <c r="W188" s="754"/>
    </row>
    <row r="189" spans="1:23">
      <c r="A189" s="754"/>
      <c r="B189" s="754"/>
      <c r="C189" s="754"/>
      <c r="D189" s="754"/>
      <c r="E189" s="754"/>
      <c r="F189" s="754"/>
      <c r="G189" s="754"/>
      <c r="H189" s="754"/>
      <c r="I189" s="754"/>
      <c r="J189" s="754"/>
      <c r="K189" s="754"/>
      <c r="L189" s="754"/>
      <c r="M189" s="754"/>
      <c r="N189" s="754"/>
      <c r="O189" s="754"/>
      <c r="P189" s="754"/>
      <c r="Q189" s="754"/>
      <c r="R189" s="754"/>
      <c r="S189" s="754"/>
      <c r="T189" s="754"/>
      <c r="U189" s="754"/>
      <c r="V189" s="754"/>
      <c r="W189" s="754"/>
    </row>
    <row r="190" spans="1:23">
      <c r="A190" s="754"/>
      <c r="B190" s="754"/>
      <c r="C190" s="754"/>
      <c r="D190" s="754"/>
      <c r="E190" s="754"/>
      <c r="F190" s="754"/>
      <c r="G190" s="754"/>
      <c r="H190" s="754"/>
      <c r="I190" s="754"/>
      <c r="J190" s="754"/>
      <c r="K190" s="754"/>
      <c r="L190" s="754"/>
      <c r="M190" s="754"/>
      <c r="N190" s="754"/>
      <c r="O190" s="754"/>
      <c r="P190" s="754"/>
      <c r="Q190" s="754"/>
      <c r="R190" s="754"/>
      <c r="S190" s="754"/>
      <c r="T190" s="754"/>
      <c r="U190" s="754"/>
      <c r="V190" s="754"/>
      <c r="W190" s="754"/>
    </row>
    <row r="191" spans="1:23">
      <c r="A191" s="754"/>
      <c r="B191" s="754"/>
      <c r="C191" s="754"/>
      <c r="D191" s="754"/>
      <c r="E191" s="754"/>
      <c r="F191" s="754"/>
      <c r="G191" s="754"/>
      <c r="H191" s="754"/>
      <c r="I191" s="754"/>
      <c r="J191" s="754"/>
      <c r="K191" s="754"/>
      <c r="L191" s="754"/>
      <c r="M191" s="754"/>
      <c r="N191" s="754"/>
      <c r="O191" s="754"/>
      <c r="P191" s="754"/>
      <c r="Q191" s="754"/>
      <c r="R191" s="754"/>
      <c r="S191" s="754"/>
      <c r="T191" s="754"/>
      <c r="U191" s="754"/>
      <c r="V191" s="754"/>
      <c r="W191" s="754"/>
    </row>
    <row r="192" spans="1:23">
      <c r="A192" s="754"/>
      <c r="B192" s="754"/>
      <c r="C192" s="754"/>
      <c r="D192" s="754"/>
      <c r="E192" s="754"/>
      <c r="F192" s="754"/>
      <c r="G192" s="754"/>
      <c r="H192" s="754"/>
      <c r="I192" s="754"/>
      <c r="J192" s="754"/>
      <c r="K192" s="754"/>
      <c r="L192" s="754"/>
      <c r="M192" s="754"/>
      <c r="N192" s="754"/>
      <c r="O192" s="754"/>
      <c r="P192" s="754"/>
      <c r="Q192" s="754"/>
      <c r="R192" s="754"/>
      <c r="S192" s="754"/>
      <c r="T192" s="754"/>
      <c r="U192" s="754"/>
      <c r="V192" s="754"/>
      <c r="W192" s="754"/>
    </row>
    <row r="193" spans="1:23">
      <c r="A193" s="754"/>
      <c r="B193" s="754"/>
      <c r="C193" s="754"/>
      <c r="D193" s="754"/>
      <c r="E193" s="754"/>
      <c r="F193" s="754"/>
      <c r="G193" s="754"/>
      <c r="H193" s="754"/>
      <c r="I193" s="754"/>
      <c r="J193" s="754"/>
      <c r="K193" s="754"/>
      <c r="L193" s="754"/>
      <c r="M193" s="754"/>
      <c r="N193" s="754"/>
      <c r="O193" s="754"/>
      <c r="P193" s="754"/>
      <c r="Q193" s="754"/>
      <c r="R193" s="754"/>
      <c r="S193" s="754"/>
      <c r="T193" s="754"/>
      <c r="U193" s="754"/>
      <c r="V193" s="754"/>
      <c r="W193" s="754"/>
    </row>
    <row r="194" spans="1:23">
      <c r="A194" s="754"/>
      <c r="B194" s="754"/>
      <c r="C194" s="754"/>
      <c r="D194" s="754"/>
      <c r="E194" s="754"/>
      <c r="F194" s="754"/>
      <c r="G194" s="754"/>
      <c r="H194" s="754"/>
      <c r="I194" s="754"/>
      <c r="J194" s="754"/>
      <c r="K194" s="754"/>
      <c r="L194" s="754"/>
      <c r="M194" s="754"/>
      <c r="N194" s="754"/>
      <c r="O194" s="754"/>
      <c r="P194" s="754"/>
      <c r="Q194" s="754"/>
      <c r="R194" s="754"/>
      <c r="S194" s="754"/>
      <c r="T194" s="754"/>
      <c r="U194" s="754"/>
      <c r="V194" s="754"/>
      <c r="W194" s="754"/>
    </row>
    <row r="195" spans="1:23">
      <c r="A195" s="754"/>
      <c r="B195" s="754"/>
      <c r="C195" s="754"/>
      <c r="D195" s="754"/>
      <c r="E195" s="754"/>
      <c r="F195" s="754"/>
      <c r="G195" s="754"/>
      <c r="H195" s="754"/>
      <c r="I195" s="754"/>
      <c r="J195" s="754"/>
      <c r="K195" s="754"/>
      <c r="L195" s="754"/>
      <c r="M195" s="754"/>
      <c r="N195" s="754"/>
      <c r="O195" s="754"/>
      <c r="P195" s="754"/>
      <c r="Q195" s="754"/>
      <c r="R195" s="754"/>
      <c r="S195" s="754"/>
      <c r="T195" s="754"/>
      <c r="U195" s="754"/>
      <c r="V195" s="754"/>
      <c r="W195" s="754"/>
    </row>
    <row r="196" spans="1:23">
      <c r="A196" s="754"/>
      <c r="B196" s="754"/>
      <c r="C196" s="754"/>
      <c r="D196" s="754"/>
      <c r="E196" s="754"/>
      <c r="F196" s="754"/>
      <c r="G196" s="754"/>
      <c r="H196" s="754"/>
      <c r="I196" s="754"/>
      <c r="J196" s="754"/>
      <c r="K196" s="754"/>
      <c r="L196" s="754"/>
      <c r="M196" s="754"/>
      <c r="N196" s="754"/>
      <c r="O196" s="754"/>
      <c r="P196" s="754"/>
      <c r="Q196" s="754"/>
      <c r="R196" s="754"/>
      <c r="S196" s="754"/>
      <c r="T196" s="754"/>
      <c r="U196" s="754"/>
      <c r="V196" s="754"/>
      <c r="W196" s="754"/>
    </row>
    <row r="197" spans="1:23">
      <c r="A197" s="754"/>
      <c r="B197" s="754"/>
      <c r="C197" s="754"/>
      <c r="D197" s="754"/>
      <c r="E197" s="754"/>
      <c r="F197" s="754"/>
      <c r="G197" s="754"/>
      <c r="H197" s="754"/>
      <c r="I197" s="754"/>
      <c r="J197" s="754"/>
      <c r="K197" s="754"/>
      <c r="L197" s="754"/>
      <c r="M197" s="754"/>
      <c r="N197" s="754"/>
      <c r="O197" s="754"/>
      <c r="P197" s="754"/>
      <c r="Q197" s="754"/>
      <c r="R197" s="754"/>
      <c r="S197" s="754"/>
      <c r="T197" s="754"/>
      <c r="U197" s="754"/>
      <c r="V197" s="754"/>
      <c r="W197" s="754"/>
    </row>
    <row r="198" spans="1:23">
      <c r="A198" s="754"/>
      <c r="B198" s="754"/>
      <c r="C198" s="754"/>
      <c r="D198" s="754"/>
      <c r="E198" s="754"/>
      <c r="F198" s="754"/>
      <c r="G198" s="754"/>
      <c r="H198" s="754"/>
      <c r="I198" s="754"/>
      <c r="J198" s="754"/>
      <c r="K198" s="754"/>
      <c r="L198" s="754"/>
      <c r="M198" s="754"/>
      <c r="N198" s="754"/>
      <c r="O198" s="754"/>
      <c r="P198" s="754"/>
      <c r="Q198" s="754"/>
      <c r="R198" s="754"/>
      <c r="S198" s="754"/>
      <c r="T198" s="754"/>
      <c r="U198" s="754"/>
      <c r="V198" s="754"/>
      <c r="W198" s="754"/>
    </row>
    <row r="199" spans="1:23">
      <c r="A199" s="754"/>
      <c r="B199" s="754"/>
      <c r="C199" s="754"/>
      <c r="D199" s="754"/>
      <c r="E199" s="754"/>
      <c r="F199" s="754"/>
      <c r="G199" s="754"/>
      <c r="H199" s="754"/>
      <c r="I199" s="754"/>
      <c r="J199" s="754"/>
      <c r="K199" s="754"/>
      <c r="L199" s="754"/>
      <c r="M199" s="754"/>
      <c r="N199" s="754"/>
      <c r="O199" s="754"/>
      <c r="P199" s="754"/>
      <c r="Q199" s="754"/>
      <c r="R199" s="754"/>
      <c r="S199" s="754"/>
      <c r="T199" s="754"/>
      <c r="U199" s="754"/>
      <c r="V199" s="754"/>
      <c r="W199" s="754"/>
    </row>
    <row r="200" spans="1:23">
      <c r="A200" s="754"/>
      <c r="B200" s="754"/>
      <c r="C200" s="754"/>
      <c r="D200" s="754"/>
      <c r="E200" s="754"/>
      <c r="F200" s="754"/>
      <c r="G200" s="754"/>
      <c r="H200" s="754"/>
      <c r="I200" s="754"/>
      <c r="J200" s="754"/>
      <c r="K200" s="754"/>
      <c r="L200" s="754"/>
      <c r="M200" s="754"/>
      <c r="N200" s="754"/>
      <c r="O200" s="754"/>
      <c r="P200" s="754"/>
      <c r="Q200" s="754"/>
      <c r="R200" s="754"/>
      <c r="S200" s="754"/>
      <c r="T200" s="754"/>
      <c r="U200" s="754"/>
      <c r="V200" s="754"/>
      <c r="W200" s="754"/>
    </row>
    <row r="201" spans="1:23">
      <c r="A201" s="754"/>
      <c r="B201" s="754"/>
      <c r="C201" s="754"/>
      <c r="D201" s="754"/>
      <c r="E201" s="754"/>
      <c r="F201" s="754"/>
      <c r="G201" s="754"/>
      <c r="H201" s="754"/>
      <c r="I201" s="754"/>
      <c r="J201" s="754"/>
      <c r="K201" s="754"/>
      <c r="L201" s="754"/>
      <c r="M201" s="754"/>
      <c r="N201" s="754"/>
      <c r="O201" s="754"/>
      <c r="P201" s="754"/>
      <c r="Q201" s="754"/>
      <c r="R201" s="754"/>
      <c r="S201" s="754"/>
      <c r="T201" s="754"/>
      <c r="U201" s="754"/>
      <c r="V201" s="754"/>
      <c r="W201" s="754"/>
    </row>
    <row r="202" spans="1:23">
      <c r="A202" s="754"/>
      <c r="B202" s="754"/>
      <c r="C202" s="754"/>
      <c r="D202" s="754"/>
      <c r="E202" s="754"/>
      <c r="F202" s="754"/>
      <c r="G202" s="754"/>
      <c r="H202" s="754"/>
      <c r="I202" s="754"/>
      <c r="J202" s="754"/>
      <c r="K202" s="754"/>
      <c r="L202" s="754"/>
      <c r="M202" s="754"/>
      <c r="N202" s="754"/>
      <c r="O202" s="754"/>
      <c r="P202" s="754"/>
      <c r="Q202" s="754"/>
      <c r="R202" s="754"/>
      <c r="S202" s="754"/>
      <c r="T202" s="754"/>
      <c r="U202" s="754"/>
      <c r="V202" s="754"/>
      <c r="W202" s="754"/>
    </row>
    <row r="203" spans="1:23">
      <c r="A203" s="754"/>
      <c r="B203" s="754"/>
      <c r="C203" s="754"/>
      <c r="D203" s="754"/>
      <c r="E203" s="754"/>
      <c r="F203" s="754"/>
      <c r="G203" s="754"/>
      <c r="H203" s="754"/>
      <c r="I203" s="754"/>
      <c r="J203" s="754"/>
      <c r="K203" s="754"/>
      <c r="L203" s="754"/>
      <c r="M203" s="754"/>
      <c r="N203" s="754"/>
      <c r="O203" s="754"/>
      <c r="P203" s="754"/>
      <c r="Q203" s="754"/>
      <c r="R203" s="754"/>
      <c r="S203" s="754"/>
      <c r="T203" s="754"/>
      <c r="U203" s="754"/>
      <c r="V203" s="754"/>
      <c r="W203" s="754"/>
    </row>
    <row r="204" spans="1:23">
      <c r="A204" s="754"/>
      <c r="B204" s="754"/>
      <c r="C204" s="754"/>
      <c r="D204" s="754"/>
      <c r="E204" s="754"/>
      <c r="F204" s="754"/>
      <c r="G204" s="754"/>
      <c r="H204" s="754"/>
      <c r="I204" s="754"/>
      <c r="J204" s="754"/>
      <c r="K204" s="754"/>
      <c r="L204" s="754"/>
      <c r="M204" s="754"/>
      <c r="N204" s="754"/>
      <c r="O204" s="754"/>
      <c r="P204" s="754"/>
      <c r="Q204" s="754"/>
      <c r="R204" s="754"/>
      <c r="S204" s="754"/>
      <c r="T204" s="754"/>
      <c r="U204" s="754"/>
      <c r="V204" s="754"/>
      <c r="W204" s="754"/>
    </row>
    <row r="205" spans="1:23">
      <c r="A205" s="754"/>
      <c r="B205" s="754"/>
      <c r="C205" s="754"/>
      <c r="D205" s="754"/>
      <c r="E205" s="754"/>
      <c r="F205" s="754"/>
      <c r="G205" s="754"/>
      <c r="H205" s="754"/>
      <c r="I205" s="754"/>
      <c r="J205" s="754"/>
      <c r="K205" s="754"/>
      <c r="L205" s="754"/>
      <c r="M205" s="754"/>
      <c r="N205" s="754"/>
      <c r="O205" s="754"/>
      <c r="P205" s="754"/>
      <c r="Q205" s="754"/>
      <c r="R205" s="754"/>
      <c r="S205" s="754"/>
      <c r="T205" s="754"/>
      <c r="U205" s="754"/>
      <c r="V205" s="754"/>
      <c r="W205" s="754"/>
    </row>
    <row r="206" spans="1:23">
      <c r="A206" s="754"/>
      <c r="B206" s="754"/>
      <c r="C206" s="754"/>
      <c r="D206" s="754"/>
      <c r="E206" s="754"/>
      <c r="F206" s="754"/>
      <c r="G206" s="754"/>
      <c r="H206" s="754"/>
      <c r="I206" s="754"/>
      <c r="J206" s="754"/>
      <c r="K206" s="754"/>
      <c r="L206" s="754"/>
      <c r="M206" s="754"/>
      <c r="N206" s="754"/>
      <c r="O206" s="754"/>
      <c r="P206" s="754"/>
      <c r="Q206" s="754"/>
      <c r="R206" s="754"/>
      <c r="S206" s="754"/>
      <c r="T206" s="754"/>
      <c r="U206" s="754"/>
      <c r="V206" s="754"/>
      <c r="W206" s="754"/>
    </row>
    <row r="207" spans="1:23">
      <c r="A207" s="754"/>
      <c r="B207" s="754"/>
      <c r="C207" s="754"/>
      <c r="D207" s="754"/>
      <c r="E207" s="754"/>
      <c r="F207" s="754"/>
      <c r="G207" s="754"/>
      <c r="H207" s="754"/>
      <c r="I207" s="754"/>
      <c r="J207" s="754"/>
      <c r="K207" s="754"/>
      <c r="L207" s="754"/>
      <c r="M207" s="754"/>
      <c r="N207" s="754"/>
      <c r="O207" s="754"/>
      <c r="P207" s="754"/>
      <c r="Q207" s="754"/>
      <c r="R207" s="754"/>
      <c r="S207" s="754"/>
      <c r="T207" s="754"/>
      <c r="U207" s="754"/>
      <c r="V207" s="754"/>
      <c r="W207" s="754"/>
    </row>
    <row r="208" spans="1:23">
      <c r="A208" s="754"/>
      <c r="B208" s="754"/>
      <c r="C208" s="754"/>
      <c r="D208" s="754"/>
      <c r="E208" s="754"/>
      <c r="F208" s="754"/>
      <c r="G208" s="754"/>
      <c r="H208" s="754"/>
      <c r="I208" s="754"/>
      <c r="J208" s="754"/>
      <c r="K208" s="754"/>
      <c r="L208" s="754"/>
      <c r="M208" s="754"/>
      <c r="N208" s="754"/>
      <c r="O208" s="754"/>
      <c r="P208" s="754"/>
      <c r="Q208" s="754"/>
      <c r="R208" s="754"/>
      <c r="S208" s="754"/>
      <c r="T208" s="754"/>
      <c r="U208" s="754"/>
      <c r="V208" s="754"/>
      <c r="W208" s="754"/>
    </row>
    <row r="209" spans="1:23">
      <c r="A209" s="754"/>
      <c r="B209" s="754"/>
      <c r="C209" s="754"/>
      <c r="D209" s="754"/>
      <c r="E209" s="754"/>
      <c r="F209" s="754"/>
      <c r="G209" s="754"/>
      <c r="H209" s="754"/>
      <c r="I209" s="754"/>
      <c r="J209" s="754"/>
      <c r="K209" s="754"/>
      <c r="L209" s="754"/>
      <c r="M209" s="754"/>
      <c r="N209" s="754"/>
      <c r="O209" s="754"/>
      <c r="P209" s="754"/>
      <c r="Q209" s="754"/>
      <c r="R209" s="754"/>
      <c r="S209" s="754"/>
      <c r="T209" s="754"/>
      <c r="U209" s="754"/>
      <c r="V209" s="754"/>
      <c r="W209" s="754"/>
    </row>
    <row r="210" spans="1:23">
      <c r="A210" s="754"/>
      <c r="B210" s="754"/>
      <c r="C210" s="754"/>
      <c r="D210" s="754"/>
      <c r="E210" s="754"/>
      <c r="F210" s="754"/>
      <c r="G210" s="754"/>
      <c r="H210" s="754"/>
      <c r="I210" s="754"/>
      <c r="J210" s="754"/>
      <c r="K210" s="754"/>
      <c r="L210" s="754"/>
      <c r="M210" s="754"/>
      <c r="N210" s="754"/>
      <c r="O210" s="754"/>
      <c r="P210" s="754"/>
      <c r="Q210" s="754"/>
      <c r="R210" s="754"/>
      <c r="S210" s="754"/>
      <c r="T210" s="754"/>
      <c r="U210" s="754"/>
      <c r="V210" s="754"/>
      <c r="W210" s="754"/>
    </row>
    <row r="211" spans="1:23">
      <c r="A211" s="754"/>
      <c r="B211" s="754"/>
      <c r="C211" s="754"/>
      <c r="D211" s="754"/>
      <c r="E211" s="754"/>
      <c r="F211" s="754"/>
      <c r="G211" s="754"/>
      <c r="H211" s="754"/>
      <c r="I211" s="754"/>
      <c r="J211" s="754"/>
      <c r="K211" s="754"/>
      <c r="L211" s="754"/>
      <c r="M211" s="754"/>
      <c r="N211" s="754"/>
      <c r="O211" s="754"/>
      <c r="P211" s="754"/>
      <c r="Q211" s="754"/>
      <c r="R211" s="754"/>
      <c r="S211" s="754"/>
      <c r="T211" s="754"/>
      <c r="U211" s="754"/>
      <c r="V211" s="754"/>
      <c r="W211" s="754"/>
    </row>
    <row r="212" spans="1:23">
      <c r="A212" s="754"/>
      <c r="B212" s="754"/>
      <c r="C212" s="754"/>
      <c r="D212" s="754"/>
      <c r="E212" s="754"/>
      <c r="F212" s="754"/>
      <c r="G212" s="754"/>
      <c r="H212" s="754"/>
      <c r="I212" s="754"/>
      <c r="J212" s="754"/>
      <c r="K212" s="754"/>
      <c r="L212" s="754"/>
      <c r="M212" s="754"/>
      <c r="N212" s="754"/>
      <c r="O212" s="754"/>
      <c r="P212" s="754"/>
      <c r="Q212" s="754"/>
      <c r="R212" s="754"/>
      <c r="S212" s="754"/>
      <c r="T212" s="754"/>
      <c r="U212" s="754"/>
      <c r="V212" s="754"/>
      <c r="W212" s="754"/>
    </row>
    <row r="213" spans="1:23">
      <c r="A213" s="754"/>
      <c r="B213" s="754"/>
      <c r="C213" s="754"/>
      <c r="D213" s="754"/>
      <c r="E213" s="754"/>
      <c r="F213" s="754"/>
      <c r="G213" s="754"/>
      <c r="H213" s="754"/>
      <c r="I213" s="754"/>
      <c r="J213" s="754"/>
      <c r="K213" s="754"/>
      <c r="L213" s="754"/>
      <c r="M213" s="754"/>
      <c r="N213" s="754"/>
      <c r="O213" s="754"/>
      <c r="P213" s="754"/>
      <c r="Q213" s="754"/>
      <c r="R213" s="754"/>
      <c r="S213" s="754"/>
      <c r="T213" s="754"/>
      <c r="U213" s="754"/>
      <c r="V213" s="754"/>
      <c r="W213" s="754"/>
    </row>
    <row r="214" spans="1:23">
      <c r="A214" s="754"/>
      <c r="B214" s="754"/>
      <c r="C214" s="754"/>
      <c r="D214" s="754"/>
      <c r="E214" s="754"/>
      <c r="F214" s="754"/>
      <c r="G214" s="754"/>
      <c r="H214" s="754"/>
      <c r="I214" s="754"/>
      <c r="J214" s="754"/>
      <c r="K214" s="754"/>
      <c r="L214" s="754"/>
      <c r="M214" s="754"/>
      <c r="N214" s="754"/>
      <c r="O214" s="754"/>
      <c r="P214" s="754"/>
      <c r="Q214" s="754"/>
      <c r="R214" s="754"/>
      <c r="S214" s="754"/>
      <c r="T214" s="754"/>
      <c r="U214" s="754"/>
      <c r="V214" s="754"/>
      <c r="W214" s="754"/>
    </row>
    <row r="215" spans="1:23">
      <c r="A215" s="754"/>
      <c r="B215" s="754"/>
      <c r="C215" s="754"/>
      <c r="D215" s="754"/>
      <c r="E215" s="754"/>
      <c r="F215" s="754"/>
      <c r="G215" s="754"/>
      <c r="H215" s="754"/>
      <c r="I215" s="754"/>
      <c r="J215" s="754"/>
      <c r="K215" s="754"/>
      <c r="L215" s="754"/>
      <c r="M215" s="754"/>
      <c r="N215" s="754"/>
      <c r="O215" s="754"/>
      <c r="P215" s="754"/>
      <c r="Q215" s="754"/>
      <c r="R215" s="754"/>
      <c r="S215" s="754"/>
      <c r="T215" s="754"/>
      <c r="U215" s="754"/>
      <c r="V215" s="754"/>
      <c r="W215" s="754"/>
    </row>
    <row r="216" spans="1:23">
      <c r="A216" s="754"/>
      <c r="B216" s="754"/>
      <c r="C216" s="754"/>
      <c r="D216" s="754"/>
      <c r="E216" s="754"/>
      <c r="F216" s="754"/>
      <c r="G216" s="754"/>
      <c r="H216" s="754"/>
      <c r="I216" s="754"/>
      <c r="J216" s="754"/>
      <c r="K216" s="754"/>
      <c r="L216" s="754"/>
      <c r="M216" s="754"/>
      <c r="N216" s="754"/>
      <c r="O216" s="754"/>
      <c r="P216" s="754"/>
      <c r="Q216" s="754"/>
      <c r="R216" s="754"/>
      <c r="S216" s="754"/>
      <c r="T216" s="754"/>
      <c r="U216" s="754"/>
      <c r="V216" s="754"/>
      <c r="W216" s="754"/>
    </row>
    <row r="217" spans="1:23">
      <c r="A217" s="754"/>
      <c r="B217" s="754"/>
      <c r="C217" s="754"/>
      <c r="D217" s="754"/>
      <c r="E217" s="754"/>
      <c r="F217" s="754"/>
      <c r="G217" s="754"/>
      <c r="H217" s="754"/>
      <c r="I217" s="754"/>
      <c r="J217" s="754"/>
      <c r="K217" s="754"/>
      <c r="L217" s="754"/>
      <c r="M217" s="754"/>
      <c r="N217" s="754"/>
      <c r="O217" s="754"/>
      <c r="P217" s="754"/>
      <c r="Q217" s="754"/>
      <c r="R217" s="754"/>
      <c r="S217" s="754"/>
      <c r="T217" s="754"/>
      <c r="U217" s="754"/>
      <c r="V217" s="754"/>
      <c r="W217" s="754"/>
    </row>
    <row r="218" spans="1:23">
      <c r="A218" s="754"/>
      <c r="B218" s="754"/>
      <c r="C218" s="754"/>
      <c r="D218" s="754"/>
      <c r="E218" s="754"/>
      <c r="F218" s="754"/>
      <c r="G218" s="754"/>
      <c r="H218" s="754"/>
      <c r="I218" s="754"/>
      <c r="J218" s="754"/>
      <c r="K218" s="754"/>
      <c r="L218" s="754"/>
      <c r="M218" s="754"/>
      <c r="N218" s="754"/>
      <c r="O218" s="754"/>
      <c r="P218" s="754"/>
      <c r="Q218" s="754"/>
      <c r="R218" s="754"/>
      <c r="S218" s="754"/>
      <c r="T218" s="754"/>
      <c r="U218" s="754"/>
      <c r="V218" s="754"/>
      <c r="W218" s="754"/>
    </row>
    <row r="219" spans="1:23">
      <c r="A219" s="754"/>
      <c r="B219" s="754"/>
      <c r="C219" s="754"/>
      <c r="D219" s="754"/>
      <c r="E219" s="754"/>
      <c r="F219" s="754"/>
      <c r="G219" s="754"/>
      <c r="H219" s="754"/>
      <c r="I219" s="754"/>
      <c r="J219" s="754"/>
      <c r="K219" s="754"/>
      <c r="L219" s="754"/>
      <c r="M219" s="754"/>
      <c r="N219" s="754"/>
      <c r="O219" s="754"/>
      <c r="P219" s="754"/>
      <c r="Q219" s="754"/>
      <c r="R219" s="754"/>
      <c r="S219" s="754"/>
      <c r="T219" s="754"/>
      <c r="U219" s="754"/>
      <c r="V219" s="754"/>
      <c r="W219" s="754"/>
    </row>
    <row r="220" spans="1:23">
      <c r="A220" s="754"/>
      <c r="B220" s="754"/>
      <c r="C220" s="754"/>
      <c r="D220" s="754"/>
      <c r="E220" s="754"/>
      <c r="F220" s="754"/>
      <c r="G220" s="754"/>
      <c r="H220" s="754"/>
      <c r="I220" s="754"/>
      <c r="J220" s="754"/>
      <c r="K220" s="754"/>
      <c r="L220" s="754"/>
      <c r="M220" s="754"/>
      <c r="N220" s="754"/>
      <c r="O220" s="754"/>
      <c r="P220" s="754"/>
      <c r="Q220" s="754"/>
      <c r="R220" s="754"/>
      <c r="S220" s="754"/>
      <c r="T220" s="754"/>
      <c r="U220" s="754"/>
      <c r="V220" s="754"/>
      <c r="W220" s="754"/>
    </row>
    <row r="221" spans="1:23">
      <c r="A221" s="754"/>
      <c r="B221" s="754"/>
      <c r="C221" s="754"/>
      <c r="D221" s="754"/>
      <c r="E221" s="754"/>
      <c r="F221" s="754"/>
      <c r="G221" s="754"/>
      <c r="H221" s="754"/>
      <c r="I221" s="754"/>
      <c r="J221" s="754"/>
      <c r="K221" s="754"/>
      <c r="L221" s="754"/>
      <c r="M221" s="754"/>
      <c r="N221" s="754"/>
      <c r="O221" s="754"/>
      <c r="P221" s="754"/>
      <c r="Q221" s="754"/>
      <c r="R221" s="754"/>
      <c r="S221" s="754"/>
      <c r="T221" s="754"/>
      <c r="U221" s="754"/>
      <c r="V221" s="754"/>
      <c r="W221" s="754"/>
    </row>
    <row r="222" spans="1:23">
      <c r="A222" s="754"/>
      <c r="B222" s="754"/>
      <c r="C222" s="754"/>
      <c r="D222" s="754"/>
      <c r="E222" s="754"/>
      <c r="F222" s="754"/>
      <c r="G222" s="754"/>
      <c r="H222" s="754"/>
      <c r="I222" s="754"/>
      <c r="J222" s="754"/>
      <c r="K222" s="754"/>
      <c r="L222" s="754"/>
      <c r="M222" s="754"/>
      <c r="N222" s="754"/>
      <c r="O222" s="754"/>
      <c r="P222" s="754"/>
      <c r="Q222" s="754"/>
      <c r="R222" s="754"/>
      <c r="S222" s="754"/>
      <c r="T222" s="754"/>
      <c r="U222" s="754"/>
      <c r="V222" s="754"/>
      <c r="W222" s="754"/>
    </row>
    <row r="223" spans="1:23">
      <c r="A223" s="754"/>
      <c r="B223" s="754"/>
      <c r="C223" s="754"/>
      <c r="D223" s="754"/>
      <c r="E223" s="754"/>
      <c r="F223" s="754"/>
      <c r="G223" s="754"/>
      <c r="H223" s="754"/>
      <c r="I223" s="754"/>
      <c r="J223" s="754"/>
      <c r="K223" s="754"/>
      <c r="L223" s="754"/>
      <c r="M223" s="754"/>
      <c r="N223" s="754"/>
      <c r="O223" s="754"/>
      <c r="P223" s="754"/>
      <c r="Q223" s="754"/>
      <c r="R223" s="754"/>
      <c r="S223" s="754"/>
      <c r="T223" s="754"/>
      <c r="U223" s="754"/>
      <c r="V223" s="754"/>
      <c r="W223" s="754"/>
    </row>
    <row r="224" spans="1:23">
      <c r="A224" s="754"/>
      <c r="B224" s="754"/>
      <c r="C224" s="754"/>
      <c r="D224" s="754"/>
      <c r="E224" s="754"/>
      <c r="F224" s="754"/>
      <c r="G224" s="754"/>
      <c r="H224" s="754"/>
      <c r="I224" s="754"/>
      <c r="J224" s="754"/>
      <c r="K224" s="754"/>
      <c r="L224" s="754"/>
      <c r="M224" s="754"/>
      <c r="N224" s="754"/>
      <c r="O224" s="754"/>
      <c r="P224" s="754"/>
      <c r="Q224" s="754"/>
      <c r="R224" s="754"/>
      <c r="S224" s="754"/>
      <c r="T224" s="754"/>
      <c r="U224" s="754"/>
      <c r="V224" s="754"/>
      <c r="W224" s="754"/>
    </row>
    <row r="225" spans="1:23">
      <c r="A225" s="754"/>
      <c r="B225" s="754"/>
      <c r="C225" s="754"/>
      <c r="D225" s="754"/>
      <c r="E225" s="754"/>
      <c r="F225" s="754"/>
      <c r="G225" s="754"/>
      <c r="H225" s="754"/>
      <c r="I225" s="754"/>
      <c r="J225" s="754"/>
      <c r="K225" s="754"/>
      <c r="L225" s="754"/>
      <c r="M225" s="754"/>
      <c r="N225" s="754"/>
      <c r="O225" s="754"/>
      <c r="P225" s="754"/>
      <c r="Q225" s="754"/>
      <c r="R225" s="754"/>
      <c r="S225" s="754"/>
      <c r="T225" s="754"/>
      <c r="U225" s="754"/>
      <c r="V225" s="754"/>
      <c r="W225" s="754"/>
    </row>
    <row r="226" spans="1:23">
      <c r="A226" s="754"/>
      <c r="B226" s="754"/>
      <c r="C226" s="754"/>
      <c r="D226" s="754"/>
      <c r="E226" s="754"/>
      <c r="F226" s="754"/>
      <c r="G226" s="754"/>
      <c r="H226" s="754"/>
      <c r="I226" s="754"/>
      <c r="J226" s="754"/>
      <c r="K226" s="754"/>
      <c r="L226" s="754"/>
      <c r="M226" s="754"/>
      <c r="N226" s="754"/>
      <c r="O226" s="754"/>
      <c r="P226" s="754"/>
      <c r="Q226" s="754"/>
      <c r="R226" s="754"/>
      <c r="S226" s="754"/>
      <c r="T226" s="754"/>
      <c r="U226" s="754"/>
      <c r="V226" s="754"/>
      <c r="W226" s="754"/>
    </row>
    <row r="227" spans="1:23">
      <c r="A227" s="754"/>
      <c r="B227" s="754"/>
      <c r="C227" s="754"/>
      <c r="D227" s="754"/>
      <c r="E227" s="754"/>
      <c r="F227" s="754"/>
      <c r="G227" s="754"/>
      <c r="H227" s="754"/>
      <c r="I227" s="754"/>
      <c r="J227" s="754"/>
      <c r="K227" s="754"/>
      <c r="L227" s="754"/>
      <c r="M227" s="754"/>
      <c r="N227" s="754"/>
      <c r="O227" s="754"/>
      <c r="P227" s="754"/>
      <c r="Q227" s="754"/>
      <c r="R227" s="754"/>
      <c r="S227" s="754"/>
      <c r="T227" s="754"/>
      <c r="U227" s="754"/>
      <c r="V227" s="754"/>
      <c r="W227" s="754"/>
    </row>
    <row r="228" spans="1:23">
      <c r="A228" s="754"/>
      <c r="B228" s="754"/>
      <c r="C228" s="754"/>
      <c r="D228" s="754"/>
      <c r="E228" s="754"/>
      <c r="F228" s="754"/>
      <c r="G228" s="754"/>
      <c r="H228" s="754"/>
      <c r="I228" s="754"/>
      <c r="J228" s="754"/>
      <c r="K228" s="754"/>
      <c r="L228" s="754"/>
      <c r="M228" s="754"/>
      <c r="N228" s="754"/>
      <c r="O228" s="754"/>
      <c r="P228" s="754"/>
      <c r="Q228" s="754"/>
      <c r="R228" s="754"/>
      <c r="S228" s="754"/>
      <c r="T228" s="754"/>
      <c r="U228" s="754"/>
      <c r="V228" s="754"/>
      <c r="W228" s="754"/>
    </row>
    <row r="229" spans="1:23">
      <c r="A229" s="754"/>
      <c r="B229" s="754"/>
      <c r="C229" s="754"/>
      <c r="D229" s="754"/>
      <c r="E229" s="754"/>
      <c r="F229" s="754"/>
      <c r="G229" s="754"/>
      <c r="H229" s="754"/>
      <c r="I229" s="754"/>
      <c r="J229" s="754"/>
      <c r="K229" s="754"/>
      <c r="L229" s="754"/>
      <c r="M229" s="754"/>
      <c r="N229" s="754"/>
      <c r="O229" s="754"/>
      <c r="P229" s="754"/>
      <c r="Q229" s="754"/>
      <c r="R229" s="754"/>
      <c r="S229" s="754"/>
      <c r="T229" s="754"/>
      <c r="U229" s="754"/>
      <c r="V229" s="754"/>
      <c r="W229" s="754"/>
    </row>
    <row r="230" spans="1:23">
      <c r="A230" s="754"/>
      <c r="B230" s="754"/>
      <c r="C230" s="754"/>
      <c r="D230" s="754"/>
      <c r="E230" s="754"/>
      <c r="F230" s="754"/>
      <c r="G230" s="754"/>
      <c r="H230" s="754"/>
      <c r="I230" s="754"/>
      <c r="J230" s="754"/>
      <c r="K230" s="754"/>
      <c r="L230" s="754"/>
      <c r="M230" s="754"/>
      <c r="N230" s="754"/>
      <c r="O230" s="754"/>
      <c r="P230" s="754"/>
      <c r="Q230" s="754"/>
      <c r="R230" s="754"/>
      <c r="S230" s="754"/>
      <c r="T230" s="754"/>
      <c r="U230" s="754"/>
      <c r="V230" s="754"/>
      <c r="W230" s="754"/>
    </row>
    <row r="231" spans="1:23">
      <c r="A231" s="754"/>
      <c r="B231" s="754"/>
      <c r="C231" s="754"/>
      <c r="D231" s="754"/>
      <c r="E231" s="754"/>
      <c r="F231" s="754"/>
      <c r="G231" s="754"/>
      <c r="H231" s="754"/>
      <c r="I231" s="754"/>
      <c r="J231" s="754"/>
      <c r="K231" s="754"/>
      <c r="L231" s="754"/>
      <c r="M231" s="754"/>
      <c r="N231" s="754"/>
      <c r="O231" s="754"/>
      <c r="P231" s="754"/>
      <c r="Q231" s="754"/>
      <c r="R231" s="754"/>
      <c r="S231" s="754"/>
      <c r="T231" s="754"/>
      <c r="U231" s="754"/>
      <c r="V231" s="754"/>
      <c r="W231" s="754"/>
    </row>
    <row r="232" spans="1:23">
      <c r="A232" s="754"/>
      <c r="B232" s="754"/>
      <c r="C232" s="754"/>
      <c r="D232" s="754"/>
      <c r="E232" s="754"/>
      <c r="F232" s="754"/>
      <c r="G232" s="754"/>
      <c r="H232" s="754"/>
      <c r="I232" s="754"/>
      <c r="J232" s="754"/>
      <c r="K232" s="754"/>
      <c r="L232" s="754"/>
      <c r="M232" s="754"/>
      <c r="N232" s="754"/>
      <c r="O232" s="754"/>
      <c r="P232" s="754"/>
      <c r="Q232" s="754"/>
      <c r="R232" s="754"/>
      <c r="S232" s="754"/>
      <c r="T232" s="754"/>
      <c r="U232" s="754"/>
      <c r="V232" s="754"/>
      <c r="W232" s="754"/>
    </row>
    <row r="233" spans="1:23">
      <c r="A233" s="754"/>
      <c r="B233" s="754"/>
      <c r="C233" s="754"/>
      <c r="D233" s="754"/>
      <c r="E233" s="754"/>
      <c r="F233" s="754"/>
      <c r="G233" s="754"/>
      <c r="H233" s="754"/>
      <c r="I233" s="754"/>
      <c r="J233" s="754"/>
      <c r="K233" s="754"/>
      <c r="L233" s="754"/>
      <c r="M233" s="754"/>
      <c r="N233" s="754"/>
      <c r="O233" s="754"/>
      <c r="P233" s="754"/>
      <c r="Q233" s="754"/>
      <c r="R233" s="754"/>
      <c r="S233" s="754"/>
      <c r="T233" s="754"/>
      <c r="U233" s="754"/>
      <c r="V233" s="754"/>
      <c r="W233" s="754"/>
    </row>
    <row r="234" spans="1:23">
      <c r="A234" s="754"/>
      <c r="B234" s="754"/>
      <c r="C234" s="754"/>
      <c r="D234" s="754"/>
      <c r="E234" s="754"/>
      <c r="F234" s="754"/>
      <c r="G234" s="754"/>
      <c r="H234" s="754"/>
      <c r="I234" s="754"/>
      <c r="J234" s="754"/>
      <c r="K234" s="754"/>
      <c r="L234" s="754"/>
      <c r="M234" s="754"/>
      <c r="N234" s="754"/>
      <c r="O234" s="754"/>
      <c r="P234" s="754"/>
      <c r="Q234" s="754"/>
      <c r="R234" s="754"/>
      <c r="S234" s="754"/>
      <c r="T234" s="754"/>
      <c r="U234" s="754"/>
      <c r="V234" s="754"/>
      <c r="W234" s="754"/>
    </row>
    <row r="235" spans="1:23">
      <c r="A235" s="754"/>
      <c r="B235" s="754"/>
      <c r="C235" s="754"/>
      <c r="D235" s="754"/>
      <c r="E235" s="754"/>
      <c r="F235" s="754"/>
      <c r="G235" s="754"/>
      <c r="H235" s="754"/>
      <c r="I235" s="754"/>
      <c r="J235" s="754"/>
      <c r="K235" s="754"/>
      <c r="L235" s="754"/>
      <c r="M235" s="754"/>
      <c r="N235" s="754"/>
      <c r="O235" s="754"/>
      <c r="P235" s="754"/>
      <c r="Q235" s="754"/>
      <c r="R235" s="754"/>
      <c r="S235" s="754"/>
      <c r="T235" s="754"/>
      <c r="U235" s="754"/>
      <c r="V235" s="754"/>
      <c r="W235" s="754"/>
    </row>
    <row r="236" spans="1:23">
      <c r="A236" s="754"/>
      <c r="B236" s="754"/>
      <c r="C236" s="754"/>
      <c r="D236" s="754"/>
      <c r="E236" s="754"/>
      <c r="F236" s="754"/>
      <c r="G236" s="754"/>
      <c r="H236" s="754"/>
      <c r="I236" s="754"/>
      <c r="J236" s="754"/>
      <c r="K236" s="754"/>
      <c r="L236" s="754"/>
      <c r="M236" s="754"/>
      <c r="N236" s="754"/>
      <c r="O236" s="754"/>
      <c r="P236" s="754"/>
      <c r="Q236" s="754"/>
      <c r="R236" s="754"/>
      <c r="S236" s="754"/>
      <c r="T236" s="754"/>
      <c r="U236" s="754"/>
      <c r="V236" s="754"/>
      <c r="W236" s="754"/>
    </row>
    <row r="237" spans="1:23">
      <c r="A237" s="754"/>
      <c r="B237" s="754"/>
      <c r="C237" s="754"/>
      <c r="D237" s="754"/>
      <c r="E237" s="754"/>
      <c r="F237" s="754"/>
      <c r="G237" s="754"/>
      <c r="H237" s="754"/>
      <c r="I237" s="754"/>
      <c r="J237" s="754"/>
      <c r="K237" s="754"/>
      <c r="L237" s="754"/>
      <c r="M237" s="754"/>
      <c r="N237" s="754"/>
      <c r="O237" s="754"/>
      <c r="P237" s="754"/>
      <c r="Q237" s="754"/>
      <c r="R237" s="754"/>
      <c r="S237" s="754"/>
      <c r="T237" s="754"/>
      <c r="U237" s="754"/>
      <c r="V237" s="754"/>
      <c r="W237" s="754"/>
    </row>
    <row r="238" spans="1:23">
      <c r="A238" s="754"/>
      <c r="B238" s="754"/>
      <c r="C238" s="754"/>
      <c r="D238" s="754"/>
      <c r="E238" s="754"/>
      <c r="F238" s="754"/>
      <c r="G238" s="754"/>
      <c r="H238" s="754"/>
      <c r="I238" s="754"/>
      <c r="J238" s="754"/>
      <c r="K238" s="754"/>
      <c r="L238" s="754"/>
      <c r="M238" s="754"/>
      <c r="N238" s="754"/>
      <c r="O238" s="754"/>
      <c r="P238" s="754"/>
      <c r="Q238" s="754"/>
      <c r="R238" s="754"/>
      <c r="S238" s="754"/>
      <c r="T238" s="754"/>
      <c r="U238" s="754"/>
      <c r="V238" s="754"/>
      <c r="W238" s="754"/>
    </row>
    <row r="239" spans="1:23">
      <c r="A239" s="754"/>
      <c r="B239" s="754"/>
      <c r="C239" s="754"/>
      <c r="D239" s="754"/>
      <c r="E239" s="754"/>
      <c r="F239" s="754"/>
      <c r="G239" s="754"/>
      <c r="H239" s="754"/>
      <c r="I239" s="754"/>
      <c r="J239" s="754"/>
      <c r="K239" s="754"/>
      <c r="L239" s="754"/>
      <c r="M239" s="754"/>
      <c r="N239" s="754"/>
      <c r="O239" s="754"/>
      <c r="P239" s="754"/>
      <c r="Q239" s="754"/>
      <c r="R239" s="754"/>
      <c r="S239" s="754"/>
      <c r="T239" s="754"/>
      <c r="U239" s="754"/>
      <c r="V239" s="754"/>
      <c r="W239" s="754"/>
    </row>
    <row r="240" spans="1:23">
      <c r="A240" s="754"/>
      <c r="B240" s="754"/>
      <c r="C240" s="754"/>
      <c r="D240" s="754"/>
      <c r="E240" s="754"/>
      <c r="F240" s="754"/>
      <c r="G240" s="754"/>
      <c r="H240" s="754"/>
      <c r="I240" s="754"/>
      <c r="J240" s="754"/>
      <c r="K240" s="754"/>
      <c r="L240" s="754"/>
      <c r="M240" s="754"/>
      <c r="N240" s="754"/>
      <c r="O240" s="754"/>
      <c r="P240" s="754"/>
      <c r="Q240" s="754"/>
      <c r="R240" s="754"/>
      <c r="S240" s="754"/>
      <c r="T240" s="754"/>
      <c r="U240" s="754"/>
      <c r="V240" s="754"/>
      <c r="W240" s="754"/>
    </row>
    <row r="241" spans="1:23">
      <c r="A241" s="754"/>
      <c r="B241" s="754"/>
      <c r="C241" s="754"/>
      <c r="D241" s="754"/>
      <c r="E241" s="754"/>
      <c r="F241" s="754"/>
      <c r="G241" s="754"/>
      <c r="H241" s="754"/>
      <c r="I241" s="754"/>
      <c r="J241" s="754"/>
      <c r="K241" s="754"/>
      <c r="L241" s="754"/>
      <c r="M241" s="754"/>
      <c r="N241" s="754"/>
      <c r="O241" s="754"/>
      <c r="P241" s="754"/>
      <c r="Q241" s="754"/>
      <c r="R241" s="754"/>
      <c r="S241" s="754"/>
      <c r="T241" s="754"/>
      <c r="U241" s="754"/>
      <c r="V241" s="754"/>
      <c r="W241" s="754"/>
    </row>
    <row r="242" spans="1:23">
      <c r="A242" s="754"/>
      <c r="B242" s="754"/>
      <c r="C242" s="754"/>
      <c r="D242" s="754"/>
      <c r="E242" s="754"/>
      <c r="F242" s="754"/>
      <c r="G242" s="754"/>
      <c r="H242" s="754"/>
      <c r="I242" s="754"/>
      <c r="J242" s="754"/>
      <c r="K242" s="754"/>
      <c r="L242" s="754"/>
      <c r="M242" s="754"/>
      <c r="N242" s="754"/>
      <c r="O242" s="754"/>
      <c r="P242" s="754"/>
      <c r="Q242" s="754"/>
      <c r="R242" s="754"/>
      <c r="S242" s="754"/>
      <c r="T242" s="754"/>
      <c r="U242" s="754"/>
      <c r="V242" s="754"/>
      <c r="W242" s="754"/>
    </row>
    <row r="243" spans="1:23">
      <c r="A243" s="754"/>
      <c r="B243" s="754"/>
      <c r="C243" s="754"/>
      <c r="D243" s="754"/>
      <c r="E243" s="754"/>
      <c r="F243" s="754"/>
      <c r="G243" s="754"/>
      <c r="H243" s="754"/>
      <c r="I243" s="754"/>
      <c r="J243" s="754"/>
      <c r="K243" s="754"/>
      <c r="L243" s="754"/>
      <c r="M243" s="754"/>
      <c r="N243" s="754"/>
      <c r="O243" s="754"/>
      <c r="P243" s="754"/>
      <c r="Q243" s="754"/>
      <c r="R243" s="754"/>
      <c r="S243" s="754"/>
      <c r="T243" s="754"/>
      <c r="U243" s="754"/>
      <c r="V243" s="754"/>
      <c r="W243" s="754"/>
    </row>
    <row r="244" spans="1:23">
      <c r="A244" s="754"/>
      <c r="B244" s="754"/>
      <c r="C244" s="754"/>
      <c r="D244" s="754"/>
      <c r="E244" s="754"/>
      <c r="F244" s="754"/>
      <c r="G244" s="754"/>
      <c r="H244" s="754"/>
      <c r="I244" s="754"/>
      <c r="J244" s="754"/>
      <c r="K244" s="754"/>
      <c r="L244" s="754"/>
      <c r="M244" s="754"/>
      <c r="N244" s="754"/>
      <c r="O244" s="754"/>
      <c r="P244" s="754"/>
      <c r="Q244" s="754"/>
      <c r="R244" s="754"/>
      <c r="S244" s="754"/>
      <c r="T244" s="754"/>
      <c r="U244" s="754"/>
      <c r="V244" s="754"/>
      <c r="W244" s="754"/>
    </row>
    <row r="245" spans="1:23">
      <c r="A245" s="754"/>
      <c r="B245" s="754"/>
      <c r="C245" s="754"/>
      <c r="D245" s="754"/>
      <c r="E245" s="754"/>
      <c r="F245" s="754"/>
      <c r="G245" s="754"/>
      <c r="H245" s="754"/>
      <c r="I245" s="754"/>
      <c r="J245" s="754"/>
      <c r="K245" s="754"/>
      <c r="L245" s="754"/>
      <c r="M245" s="754"/>
      <c r="N245" s="754"/>
      <c r="O245" s="754"/>
      <c r="P245" s="754"/>
      <c r="Q245" s="754"/>
      <c r="R245" s="754"/>
      <c r="S245" s="754"/>
      <c r="T245" s="754"/>
      <c r="U245" s="754"/>
      <c r="V245" s="754"/>
      <c r="W245" s="754"/>
    </row>
    <row r="246" spans="1:23">
      <c r="A246" s="754"/>
      <c r="B246" s="754"/>
      <c r="C246" s="754"/>
      <c r="D246" s="754"/>
      <c r="E246" s="754"/>
      <c r="F246" s="754"/>
      <c r="G246" s="754"/>
      <c r="H246" s="754"/>
      <c r="I246" s="754"/>
      <c r="J246" s="754"/>
      <c r="K246" s="754"/>
      <c r="L246" s="754"/>
      <c r="M246" s="754"/>
      <c r="N246" s="754"/>
      <c r="O246" s="754"/>
      <c r="P246" s="754"/>
      <c r="Q246" s="754"/>
      <c r="R246" s="754"/>
      <c r="S246" s="754"/>
      <c r="T246" s="754"/>
      <c r="U246" s="754"/>
      <c r="V246" s="754"/>
      <c r="W246" s="754"/>
    </row>
    <row r="247" spans="1:23">
      <c r="A247" s="754"/>
      <c r="B247" s="754"/>
      <c r="C247" s="754"/>
      <c r="D247" s="754"/>
      <c r="E247" s="754"/>
      <c r="F247" s="754"/>
      <c r="G247" s="754"/>
      <c r="H247" s="754"/>
      <c r="I247" s="754"/>
      <c r="J247" s="754"/>
      <c r="K247" s="754"/>
      <c r="L247" s="754"/>
      <c r="M247" s="754"/>
      <c r="N247" s="754"/>
      <c r="O247" s="754"/>
      <c r="P247" s="754"/>
      <c r="Q247" s="754"/>
      <c r="R247" s="754"/>
      <c r="S247" s="754"/>
      <c r="T247" s="754"/>
      <c r="U247" s="754"/>
      <c r="V247" s="754"/>
      <c r="W247" s="754"/>
    </row>
    <row r="248" spans="1:23">
      <c r="A248" s="754"/>
      <c r="B248" s="754"/>
      <c r="C248" s="754"/>
      <c r="D248" s="754"/>
      <c r="E248" s="754"/>
      <c r="F248" s="754"/>
      <c r="G248" s="754"/>
      <c r="H248" s="754"/>
      <c r="I248" s="754"/>
      <c r="J248" s="754"/>
      <c r="K248" s="754"/>
      <c r="L248" s="754"/>
      <c r="M248" s="754"/>
      <c r="N248" s="754"/>
      <c r="O248" s="754"/>
      <c r="P248" s="754"/>
      <c r="Q248" s="754"/>
      <c r="R248" s="754"/>
      <c r="S248" s="754"/>
      <c r="T248" s="754"/>
      <c r="U248" s="754"/>
      <c r="V248" s="754"/>
      <c r="W248" s="754"/>
    </row>
    <row r="249" spans="1:23">
      <c r="A249" s="754"/>
      <c r="B249" s="754"/>
      <c r="C249" s="754"/>
      <c r="D249" s="754"/>
      <c r="E249" s="754"/>
      <c r="F249" s="754"/>
      <c r="G249" s="754"/>
      <c r="H249" s="754"/>
      <c r="I249" s="754"/>
      <c r="J249" s="754"/>
      <c r="K249" s="754"/>
      <c r="L249" s="754"/>
      <c r="M249" s="754"/>
      <c r="N249" s="754"/>
      <c r="O249" s="754"/>
      <c r="P249" s="754"/>
      <c r="Q249" s="754"/>
      <c r="R249" s="754"/>
      <c r="S249" s="754"/>
      <c r="T249" s="754"/>
      <c r="U249" s="754"/>
      <c r="V249" s="754"/>
      <c r="W249" s="754"/>
    </row>
    <row r="250" spans="1:23">
      <c r="A250" s="754"/>
      <c r="B250" s="754"/>
      <c r="C250" s="754"/>
      <c r="D250" s="754"/>
      <c r="E250" s="754"/>
      <c r="F250" s="754"/>
      <c r="G250" s="754"/>
      <c r="H250" s="754"/>
      <c r="I250" s="754"/>
      <c r="J250" s="754"/>
      <c r="K250" s="754"/>
      <c r="L250" s="754"/>
      <c r="M250" s="754"/>
      <c r="N250" s="754"/>
      <c r="O250" s="754"/>
      <c r="P250" s="754"/>
      <c r="Q250" s="754"/>
      <c r="R250" s="754"/>
      <c r="S250" s="754"/>
      <c r="T250" s="754"/>
      <c r="U250" s="754"/>
      <c r="V250" s="754"/>
      <c r="W250" s="754"/>
    </row>
    <row r="251" spans="1:23">
      <c r="A251" s="754"/>
      <c r="B251" s="754"/>
      <c r="C251" s="754"/>
      <c r="D251" s="754"/>
      <c r="E251" s="754"/>
      <c r="F251" s="754"/>
      <c r="G251" s="754"/>
      <c r="H251" s="754"/>
      <c r="I251" s="754"/>
      <c r="J251" s="754"/>
      <c r="K251" s="754"/>
      <c r="L251" s="754"/>
      <c r="M251" s="754"/>
      <c r="N251" s="754"/>
      <c r="O251" s="754"/>
      <c r="P251" s="754"/>
      <c r="Q251" s="754"/>
      <c r="R251" s="754"/>
      <c r="S251" s="754"/>
      <c r="T251" s="754"/>
      <c r="U251" s="754"/>
      <c r="V251" s="754"/>
      <c r="W251" s="754"/>
    </row>
    <row r="252" spans="1:23">
      <c r="A252" s="754"/>
      <c r="B252" s="754"/>
      <c r="C252" s="754"/>
      <c r="D252" s="754"/>
      <c r="E252" s="754"/>
      <c r="F252" s="754"/>
      <c r="G252" s="754"/>
      <c r="H252" s="754"/>
      <c r="I252" s="754"/>
      <c r="J252" s="754"/>
      <c r="K252" s="754"/>
      <c r="L252" s="754"/>
      <c r="M252" s="754"/>
      <c r="N252" s="754"/>
      <c r="O252" s="754"/>
      <c r="P252" s="754"/>
      <c r="Q252" s="754"/>
      <c r="R252" s="754"/>
      <c r="S252" s="754"/>
      <c r="T252" s="754"/>
      <c r="U252" s="754"/>
      <c r="V252" s="754"/>
      <c r="W252" s="754"/>
    </row>
    <row r="253" spans="1:23">
      <c r="A253" s="754"/>
      <c r="B253" s="754"/>
      <c r="C253" s="754"/>
      <c r="D253" s="754"/>
      <c r="E253" s="754"/>
      <c r="F253" s="754"/>
      <c r="G253" s="754"/>
      <c r="H253" s="754"/>
      <c r="I253" s="754"/>
      <c r="J253" s="754"/>
      <c r="K253" s="754"/>
      <c r="L253" s="754"/>
      <c r="M253" s="754"/>
      <c r="N253" s="754"/>
      <c r="O253" s="754"/>
      <c r="P253" s="754"/>
      <c r="Q253" s="754"/>
      <c r="R253" s="754"/>
      <c r="S253" s="754"/>
      <c r="T253" s="754"/>
      <c r="U253" s="754"/>
      <c r="V253" s="754"/>
      <c r="W253" s="754"/>
    </row>
    <row r="254" spans="1:23">
      <c r="A254" s="754"/>
      <c r="B254" s="754"/>
      <c r="C254" s="754"/>
      <c r="D254" s="754"/>
      <c r="E254" s="754"/>
      <c r="F254" s="754"/>
      <c r="G254" s="754"/>
      <c r="H254" s="754"/>
      <c r="I254" s="754"/>
      <c r="J254" s="754"/>
      <c r="K254" s="754"/>
      <c r="L254" s="754"/>
      <c r="M254" s="754"/>
      <c r="N254" s="754"/>
      <c r="O254" s="754"/>
      <c r="P254" s="754"/>
      <c r="Q254" s="754"/>
      <c r="R254" s="754"/>
      <c r="S254" s="754"/>
      <c r="T254" s="754"/>
      <c r="U254" s="754"/>
      <c r="V254" s="754"/>
      <c r="W254" s="754"/>
    </row>
    <row r="255" spans="1:23">
      <c r="A255" s="754"/>
      <c r="B255" s="754"/>
      <c r="C255" s="754"/>
      <c r="D255" s="754"/>
      <c r="E255" s="754"/>
      <c r="F255" s="754"/>
      <c r="G255" s="754"/>
      <c r="H255" s="754"/>
      <c r="I255" s="754"/>
      <c r="J255" s="754"/>
      <c r="K255" s="754"/>
      <c r="L255" s="754"/>
      <c r="M255" s="754"/>
      <c r="N255" s="754"/>
      <c r="O255" s="754"/>
      <c r="P255" s="754"/>
      <c r="Q255" s="754"/>
      <c r="R255" s="754"/>
      <c r="S255" s="754"/>
      <c r="T255" s="754"/>
      <c r="U255" s="754"/>
      <c r="V255" s="754"/>
      <c r="W255" s="754"/>
    </row>
    <row r="256" spans="1:23">
      <c r="A256" s="754"/>
      <c r="B256" s="754"/>
      <c r="C256" s="754"/>
      <c r="D256" s="754"/>
      <c r="E256" s="754"/>
      <c r="F256" s="754"/>
      <c r="G256" s="754"/>
      <c r="H256" s="754"/>
      <c r="I256" s="754"/>
      <c r="J256" s="754"/>
      <c r="K256" s="754"/>
      <c r="L256" s="754"/>
      <c r="M256" s="754"/>
      <c r="N256" s="754"/>
      <c r="O256" s="754"/>
      <c r="P256" s="754"/>
      <c r="Q256" s="754"/>
      <c r="R256" s="754"/>
      <c r="S256" s="754"/>
      <c r="T256" s="754"/>
      <c r="U256" s="754"/>
      <c r="V256" s="754"/>
      <c r="W256" s="754"/>
    </row>
    <row r="257" spans="1:23">
      <c r="A257" s="754"/>
      <c r="B257" s="754"/>
      <c r="C257" s="754"/>
      <c r="D257" s="754"/>
      <c r="E257" s="754"/>
      <c r="F257" s="754"/>
      <c r="G257" s="754"/>
      <c r="H257" s="754"/>
      <c r="I257" s="754"/>
      <c r="J257" s="754"/>
      <c r="K257" s="754"/>
      <c r="L257" s="754"/>
      <c r="M257" s="754"/>
      <c r="N257" s="754"/>
      <c r="O257" s="754"/>
      <c r="P257" s="754"/>
      <c r="Q257" s="754"/>
      <c r="R257" s="754"/>
      <c r="S257" s="754"/>
      <c r="T257" s="754"/>
      <c r="U257" s="754"/>
      <c r="V257" s="754"/>
      <c r="W257" s="754"/>
    </row>
    <row r="258" spans="1:23">
      <c r="A258" s="754"/>
      <c r="B258" s="754"/>
      <c r="C258" s="754"/>
      <c r="D258" s="754"/>
      <c r="E258" s="754"/>
      <c r="F258" s="754"/>
      <c r="G258" s="754"/>
      <c r="H258" s="754"/>
      <c r="I258" s="754"/>
      <c r="J258" s="754"/>
      <c r="K258" s="754"/>
      <c r="L258" s="754"/>
      <c r="M258" s="754"/>
      <c r="N258" s="754"/>
      <c r="O258" s="754"/>
      <c r="P258" s="754"/>
      <c r="Q258" s="754"/>
      <c r="R258" s="754"/>
      <c r="S258" s="754"/>
      <c r="T258" s="754"/>
      <c r="U258" s="754"/>
      <c r="V258" s="754"/>
      <c r="W258" s="754"/>
    </row>
    <row r="259" spans="1:23">
      <c r="A259" s="754"/>
      <c r="B259" s="754"/>
      <c r="C259" s="754"/>
      <c r="D259" s="754"/>
      <c r="E259" s="754"/>
      <c r="F259" s="754"/>
      <c r="G259" s="754"/>
      <c r="H259" s="754"/>
      <c r="I259" s="754"/>
      <c r="J259" s="754"/>
      <c r="K259" s="754"/>
      <c r="L259" s="754"/>
      <c r="M259" s="754"/>
      <c r="N259" s="754"/>
      <c r="O259" s="754"/>
      <c r="P259" s="754"/>
      <c r="Q259" s="754"/>
      <c r="R259" s="754"/>
      <c r="S259" s="754"/>
      <c r="T259" s="754"/>
      <c r="U259" s="754"/>
      <c r="V259" s="754"/>
      <c r="W259" s="754"/>
    </row>
    <row r="260" spans="1:23">
      <c r="A260" s="754"/>
      <c r="B260" s="754"/>
      <c r="C260" s="754"/>
      <c r="D260" s="754"/>
      <c r="E260" s="754"/>
      <c r="F260" s="754"/>
      <c r="G260" s="754"/>
      <c r="H260" s="754"/>
      <c r="I260" s="754"/>
      <c r="J260" s="754"/>
      <c r="K260" s="754"/>
      <c r="L260" s="754"/>
      <c r="M260" s="754"/>
      <c r="N260" s="754"/>
      <c r="O260" s="754"/>
      <c r="P260" s="754"/>
      <c r="Q260" s="754"/>
      <c r="R260" s="754"/>
      <c r="S260" s="754"/>
      <c r="T260" s="754"/>
      <c r="U260" s="754"/>
      <c r="V260" s="754"/>
      <c r="W260" s="754"/>
    </row>
    <row r="261" spans="1:23">
      <c r="A261" s="754"/>
      <c r="B261" s="754"/>
      <c r="C261" s="754"/>
      <c r="D261" s="754"/>
      <c r="E261" s="754"/>
      <c r="F261" s="754"/>
      <c r="G261" s="754"/>
      <c r="H261" s="754"/>
      <c r="I261" s="754"/>
      <c r="J261" s="754"/>
      <c r="K261" s="754"/>
      <c r="L261" s="754"/>
      <c r="M261" s="754"/>
      <c r="N261" s="754"/>
      <c r="O261" s="754"/>
      <c r="P261" s="754"/>
      <c r="Q261" s="754"/>
      <c r="R261" s="754"/>
      <c r="S261" s="754"/>
      <c r="T261" s="754"/>
      <c r="U261" s="754"/>
      <c r="V261" s="754"/>
      <c r="W261" s="754"/>
    </row>
    <row r="262" spans="1:23">
      <c r="A262" s="754"/>
      <c r="B262" s="754"/>
      <c r="C262" s="754"/>
      <c r="D262" s="754"/>
      <c r="E262" s="754"/>
      <c r="F262" s="754"/>
      <c r="G262" s="754"/>
      <c r="H262" s="754"/>
      <c r="I262" s="754"/>
      <c r="J262" s="754"/>
      <c r="K262" s="754"/>
      <c r="L262" s="754"/>
      <c r="M262" s="754"/>
      <c r="N262" s="754"/>
      <c r="O262" s="754"/>
      <c r="P262" s="754"/>
      <c r="Q262" s="754"/>
      <c r="R262" s="754"/>
      <c r="S262" s="754"/>
      <c r="T262" s="754"/>
      <c r="U262" s="754"/>
      <c r="V262" s="754"/>
      <c r="W262" s="754"/>
    </row>
    <row r="263" spans="1:23">
      <c r="A263" s="754"/>
      <c r="B263" s="754"/>
      <c r="C263" s="754"/>
      <c r="D263" s="754"/>
      <c r="E263" s="754"/>
      <c r="F263" s="754"/>
      <c r="G263" s="754"/>
      <c r="H263" s="754"/>
      <c r="I263" s="754"/>
      <c r="J263" s="754"/>
      <c r="K263" s="754"/>
      <c r="L263" s="754"/>
      <c r="M263" s="754"/>
      <c r="N263" s="754"/>
      <c r="O263" s="754"/>
      <c r="P263" s="754"/>
      <c r="Q263" s="754"/>
      <c r="R263" s="754"/>
      <c r="S263" s="754"/>
      <c r="T263" s="754"/>
      <c r="U263" s="754"/>
      <c r="V263" s="754"/>
      <c r="W263" s="754"/>
    </row>
    <row r="264" spans="1:23">
      <c r="A264" s="754"/>
      <c r="B264" s="754"/>
      <c r="C264" s="754"/>
      <c r="D264" s="754"/>
      <c r="E264" s="754"/>
      <c r="F264" s="754"/>
      <c r="G264" s="754"/>
      <c r="H264" s="754"/>
      <c r="I264" s="754"/>
      <c r="J264" s="754"/>
      <c r="K264" s="754"/>
      <c r="L264" s="754"/>
      <c r="M264" s="754"/>
      <c r="N264" s="754"/>
      <c r="O264" s="754"/>
      <c r="P264" s="754"/>
      <c r="Q264" s="754"/>
      <c r="R264" s="754"/>
      <c r="S264" s="754"/>
      <c r="T264" s="754"/>
      <c r="U264" s="754"/>
      <c r="V264" s="754"/>
      <c r="W264" s="754"/>
    </row>
    <row r="265" spans="1:23">
      <c r="A265" s="754"/>
      <c r="B265" s="754"/>
      <c r="C265" s="754"/>
      <c r="D265" s="754"/>
      <c r="E265" s="754"/>
      <c r="F265" s="754"/>
      <c r="G265" s="754"/>
      <c r="H265" s="754"/>
      <c r="I265" s="754"/>
      <c r="J265" s="754"/>
      <c r="K265" s="754"/>
      <c r="L265" s="754"/>
      <c r="M265" s="754"/>
      <c r="N265" s="754"/>
      <c r="O265" s="754"/>
      <c r="P265" s="754"/>
      <c r="Q265" s="754"/>
      <c r="R265" s="754"/>
      <c r="S265" s="754"/>
      <c r="T265" s="754"/>
      <c r="U265" s="754"/>
      <c r="V265" s="754"/>
      <c r="W265" s="754"/>
    </row>
    <row r="266" spans="1:23">
      <c r="A266" s="754"/>
      <c r="B266" s="754"/>
      <c r="C266" s="754"/>
      <c r="D266" s="754"/>
      <c r="E266" s="754"/>
      <c r="F266" s="754"/>
      <c r="G266" s="754"/>
      <c r="H266" s="754"/>
      <c r="I266" s="754"/>
      <c r="J266" s="754"/>
      <c r="K266" s="754"/>
      <c r="L266" s="754"/>
      <c r="M266" s="754"/>
      <c r="N266" s="754"/>
      <c r="O266" s="754"/>
      <c r="P266" s="754"/>
      <c r="Q266" s="754"/>
      <c r="R266" s="754"/>
      <c r="S266" s="754"/>
      <c r="T266" s="754"/>
      <c r="U266" s="754"/>
      <c r="V266" s="754"/>
      <c r="W266" s="754"/>
    </row>
    <row r="267" spans="1:23">
      <c r="A267" s="754"/>
      <c r="B267" s="754"/>
      <c r="C267" s="754"/>
      <c r="D267" s="754"/>
      <c r="E267" s="754"/>
      <c r="F267" s="754"/>
      <c r="G267" s="754"/>
      <c r="H267" s="754"/>
      <c r="I267" s="754"/>
      <c r="J267" s="754"/>
      <c r="K267" s="754"/>
      <c r="L267" s="754"/>
      <c r="M267" s="754"/>
      <c r="N267" s="754"/>
      <c r="O267" s="754"/>
      <c r="P267" s="754"/>
      <c r="Q267" s="754"/>
      <c r="R267" s="754"/>
      <c r="S267" s="754"/>
      <c r="T267" s="754"/>
      <c r="U267" s="754"/>
      <c r="V267" s="754"/>
      <c r="W267" s="754"/>
    </row>
    <row r="268" spans="1:23">
      <c r="A268" s="754"/>
      <c r="B268" s="754"/>
      <c r="C268" s="754"/>
      <c r="D268" s="754"/>
      <c r="E268" s="754"/>
      <c r="F268" s="754"/>
      <c r="G268" s="754"/>
      <c r="H268" s="754"/>
      <c r="I268" s="754"/>
      <c r="J268" s="754"/>
      <c r="K268" s="754"/>
      <c r="L268" s="754"/>
      <c r="M268" s="754"/>
      <c r="N268" s="754"/>
      <c r="O268" s="754"/>
      <c r="P268" s="754"/>
      <c r="Q268" s="754"/>
      <c r="R268" s="754"/>
      <c r="S268" s="754"/>
      <c r="T268" s="754"/>
      <c r="U268" s="754"/>
      <c r="V268" s="754"/>
      <c r="W268" s="754"/>
    </row>
    <row r="269" spans="1:23">
      <c r="A269" s="754"/>
      <c r="B269" s="754"/>
      <c r="C269" s="754"/>
      <c r="D269" s="754"/>
      <c r="E269" s="754"/>
      <c r="F269" s="754"/>
      <c r="G269" s="754"/>
      <c r="H269" s="754"/>
      <c r="I269" s="754"/>
      <c r="J269" s="754"/>
      <c r="K269" s="754"/>
      <c r="L269" s="754"/>
      <c r="M269" s="754"/>
      <c r="N269" s="754"/>
      <c r="O269" s="754"/>
      <c r="P269" s="754"/>
      <c r="Q269" s="754"/>
      <c r="R269" s="754"/>
      <c r="S269" s="754"/>
      <c r="T269" s="754"/>
      <c r="U269" s="754"/>
      <c r="V269" s="754"/>
      <c r="W269" s="754"/>
    </row>
    <row r="270" spans="1:23">
      <c r="A270" s="754"/>
      <c r="B270" s="754"/>
      <c r="C270" s="754"/>
      <c r="D270" s="754"/>
      <c r="E270" s="754"/>
      <c r="F270" s="754"/>
      <c r="G270" s="754"/>
      <c r="H270" s="754"/>
      <c r="I270" s="754"/>
      <c r="J270" s="754"/>
      <c r="K270" s="754"/>
      <c r="L270" s="754"/>
      <c r="M270" s="754"/>
      <c r="N270" s="754"/>
      <c r="O270" s="754"/>
      <c r="P270" s="754"/>
      <c r="Q270" s="754"/>
      <c r="R270" s="754"/>
      <c r="S270" s="754"/>
      <c r="T270" s="754"/>
      <c r="U270" s="754"/>
      <c r="V270" s="754"/>
      <c r="W270" s="754"/>
    </row>
    <row r="271" spans="1:23">
      <c r="A271" s="754"/>
      <c r="B271" s="754"/>
      <c r="C271" s="754"/>
      <c r="D271" s="754"/>
      <c r="E271" s="754"/>
      <c r="F271" s="754"/>
      <c r="G271" s="754"/>
      <c r="H271" s="754"/>
      <c r="I271" s="754"/>
      <c r="J271" s="754"/>
      <c r="K271" s="754"/>
      <c r="L271" s="754"/>
      <c r="M271" s="754"/>
      <c r="N271" s="754"/>
      <c r="O271" s="754"/>
      <c r="P271" s="754"/>
      <c r="Q271" s="754"/>
      <c r="R271" s="754"/>
      <c r="S271" s="754"/>
      <c r="T271" s="754"/>
      <c r="U271" s="754"/>
      <c r="V271" s="754"/>
      <c r="W271" s="754"/>
    </row>
    <row r="272" spans="1:23">
      <c r="A272" s="754"/>
      <c r="B272" s="754"/>
      <c r="C272" s="754"/>
      <c r="D272" s="754"/>
      <c r="E272" s="754"/>
      <c r="F272" s="754"/>
      <c r="G272" s="754"/>
      <c r="H272" s="754"/>
      <c r="I272" s="754"/>
      <c r="J272" s="754"/>
      <c r="K272" s="754"/>
      <c r="L272" s="754"/>
      <c r="M272" s="754"/>
      <c r="N272" s="754"/>
      <c r="O272" s="754"/>
      <c r="P272" s="754"/>
      <c r="Q272" s="754"/>
      <c r="R272" s="754"/>
      <c r="S272" s="754"/>
      <c r="T272" s="754"/>
      <c r="U272" s="754"/>
      <c r="V272" s="754"/>
      <c r="W272" s="754"/>
    </row>
    <row r="273" spans="1:23">
      <c r="A273" s="754"/>
      <c r="B273" s="754"/>
      <c r="C273" s="754"/>
      <c r="D273" s="754"/>
      <c r="E273" s="754"/>
      <c r="F273" s="754"/>
      <c r="G273" s="754"/>
      <c r="H273" s="754"/>
      <c r="I273" s="754"/>
      <c r="J273" s="754"/>
      <c r="K273" s="754"/>
      <c r="L273" s="754"/>
      <c r="M273" s="754"/>
      <c r="N273" s="754"/>
      <c r="O273" s="754"/>
      <c r="P273" s="754"/>
      <c r="Q273" s="754"/>
      <c r="R273" s="754"/>
      <c r="S273" s="754"/>
      <c r="T273" s="754"/>
      <c r="U273" s="754"/>
      <c r="V273" s="754"/>
      <c r="W273" s="754"/>
    </row>
    <row r="274" spans="1:23">
      <c r="A274" s="754"/>
      <c r="B274" s="754"/>
      <c r="C274" s="754"/>
      <c r="D274" s="754"/>
      <c r="E274" s="754"/>
      <c r="F274" s="754"/>
      <c r="G274" s="754"/>
      <c r="H274" s="754"/>
      <c r="I274" s="754"/>
      <c r="J274" s="754"/>
      <c r="K274" s="754"/>
      <c r="L274" s="754"/>
      <c r="M274" s="754"/>
      <c r="N274" s="754"/>
      <c r="O274" s="754"/>
      <c r="P274" s="754"/>
      <c r="Q274" s="754"/>
      <c r="R274" s="754"/>
      <c r="S274" s="754"/>
      <c r="T274" s="754"/>
      <c r="U274" s="754"/>
      <c r="V274" s="754"/>
      <c r="W274" s="754"/>
    </row>
    <row r="275" spans="1:23">
      <c r="A275" s="754"/>
      <c r="B275" s="754"/>
      <c r="C275" s="754"/>
      <c r="D275" s="754"/>
      <c r="E275" s="754"/>
      <c r="F275" s="754"/>
      <c r="G275" s="754"/>
      <c r="H275" s="754"/>
      <c r="I275" s="754"/>
      <c r="J275" s="754"/>
      <c r="K275" s="754"/>
      <c r="L275" s="754"/>
      <c r="M275" s="754"/>
      <c r="N275" s="754"/>
      <c r="O275" s="754"/>
      <c r="P275" s="754"/>
      <c r="Q275" s="754"/>
      <c r="R275" s="754"/>
      <c r="S275" s="754"/>
      <c r="T275" s="754"/>
      <c r="U275" s="754"/>
      <c r="V275" s="754"/>
      <c r="W275" s="754"/>
    </row>
    <row r="276" spans="1:23">
      <c r="A276" s="754"/>
      <c r="B276" s="754"/>
      <c r="C276" s="754"/>
      <c r="D276" s="754"/>
      <c r="E276" s="754"/>
      <c r="F276" s="754"/>
      <c r="G276" s="754"/>
      <c r="H276" s="754"/>
      <c r="I276" s="754"/>
      <c r="J276" s="754"/>
      <c r="K276" s="754"/>
      <c r="L276" s="754"/>
      <c r="M276" s="754"/>
      <c r="N276" s="754"/>
      <c r="O276" s="754"/>
      <c r="P276" s="754"/>
      <c r="Q276" s="754"/>
      <c r="R276" s="754"/>
      <c r="S276" s="754"/>
      <c r="T276" s="754"/>
      <c r="U276" s="754"/>
      <c r="V276" s="754"/>
      <c r="W276" s="754"/>
    </row>
    <row r="277" spans="1:23">
      <c r="A277" s="754"/>
      <c r="B277" s="754"/>
      <c r="C277" s="754"/>
      <c r="D277" s="754"/>
      <c r="E277" s="754"/>
      <c r="F277" s="754"/>
      <c r="G277" s="754"/>
      <c r="H277" s="754"/>
      <c r="I277" s="754"/>
      <c r="J277" s="754"/>
      <c r="K277" s="754"/>
      <c r="L277" s="754"/>
      <c r="M277" s="754"/>
      <c r="N277" s="754"/>
      <c r="O277" s="754"/>
      <c r="P277" s="754"/>
      <c r="Q277" s="754"/>
      <c r="R277" s="754"/>
      <c r="S277" s="754"/>
      <c r="T277" s="754"/>
      <c r="U277" s="754"/>
      <c r="V277" s="754"/>
      <c r="W277" s="754"/>
    </row>
    <row r="278" spans="1:23">
      <c r="A278" s="754"/>
      <c r="B278" s="754"/>
      <c r="C278" s="754"/>
      <c r="D278" s="754"/>
      <c r="E278" s="754"/>
      <c r="F278" s="754"/>
      <c r="G278" s="754"/>
      <c r="H278" s="754"/>
      <c r="I278" s="754"/>
      <c r="J278" s="754"/>
      <c r="K278" s="754"/>
      <c r="L278" s="754"/>
      <c r="M278" s="754"/>
      <c r="N278" s="754"/>
      <c r="O278" s="754"/>
      <c r="P278" s="754"/>
      <c r="Q278" s="754"/>
      <c r="R278" s="754"/>
      <c r="S278" s="754"/>
      <c r="T278" s="754"/>
      <c r="U278" s="754"/>
      <c r="V278" s="754"/>
      <c r="W278" s="754"/>
    </row>
    <row r="279" spans="1:23">
      <c r="A279" s="754"/>
      <c r="B279" s="754"/>
      <c r="C279" s="754"/>
      <c r="D279" s="754"/>
      <c r="E279" s="754"/>
      <c r="F279" s="754"/>
      <c r="G279" s="754"/>
      <c r="H279" s="754"/>
      <c r="I279" s="754"/>
      <c r="J279" s="754"/>
      <c r="K279" s="754"/>
      <c r="L279" s="754"/>
      <c r="M279" s="754"/>
      <c r="N279" s="754"/>
      <c r="O279" s="754"/>
      <c r="P279" s="754"/>
      <c r="Q279" s="754"/>
      <c r="R279" s="754"/>
      <c r="S279" s="754"/>
      <c r="T279" s="754"/>
      <c r="U279" s="754"/>
      <c r="V279" s="754"/>
      <c r="W279" s="754"/>
    </row>
    <row r="280" spans="1:23">
      <c r="A280" s="754"/>
      <c r="B280" s="754"/>
      <c r="C280" s="754"/>
      <c r="D280" s="754"/>
      <c r="E280" s="754"/>
      <c r="F280" s="754"/>
      <c r="G280" s="754"/>
      <c r="H280" s="754"/>
      <c r="I280" s="754"/>
      <c r="J280" s="754"/>
      <c r="K280" s="754"/>
      <c r="L280" s="754"/>
      <c r="M280" s="754"/>
      <c r="N280" s="754"/>
      <c r="O280" s="754"/>
      <c r="P280" s="754"/>
      <c r="Q280" s="754"/>
      <c r="R280" s="754"/>
      <c r="S280" s="754"/>
      <c r="T280" s="754"/>
      <c r="U280" s="754"/>
      <c r="V280" s="754"/>
      <c r="W280" s="754"/>
    </row>
    <row r="281" spans="1:23">
      <c r="A281" s="754"/>
      <c r="B281" s="754"/>
      <c r="C281" s="754"/>
      <c r="D281" s="754"/>
      <c r="E281" s="754"/>
      <c r="F281" s="754"/>
      <c r="G281" s="754"/>
      <c r="H281" s="754"/>
      <c r="I281" s="754"/>
      <c r="J281" s="754"/>
      <c r="K281" s="754"/>
      <c r="L281" s="754"/>
      <c r="M281" s="754"/>
      <c r="N281" s="754"/>
      <c r="O281" s="754"/>
      <c r="P281" s="754"/>
      <c r="Q281" s="754"/>
      <c r="R281" s="754"/>
      <c r="S281" s="754"/>
      <c r="T281" s="754"/>
      <c r="U281" s="754"/>
      <c r="V281" s="754"/>
      <c r="W281" s="754"/>
    </row>
    <row r="282" spans="1:23">
      <c r="A282" s="754"/>
      <c r="B282" s="754"/>
      <c r="C282" s="754"/>
      <c r="D282" s="754"/>
      <c r="E282" s="754"/>
      <c r="F282" s="754"/>
      <c r="G282" s="754"/>
      <c r="H282" s="754"/>
      <c r="I282" s="754"/>
      <c r="J282" s="754"/>
      <c r="K282" s="754"/>
      <c r="L282" s="754"/>
      <c r="M282" s="754"/>
      <c r="N282" s="754"/>
      <c r="O282" s="754"/>
      <c r="P282" s="754"/>
      <c r="Q282" s="754"/>
      <c r="R282" s="754"/>
      <c r="S282" s="754"/>
      <c r="T282" s="754"/>
      <c r="U282" s="754"/>
      <c r="V282" s="754"/>
      <c r="W282" s="754"/>
    </row>
    <row r="283" spans="1:23">
      <c r="A283" s="754"/>
      <c r="B283" s="754"/>
      <c r="C283" s="754"/>
      <c r="D283" s="754"/>
      <c r="E283" s="754"/>
      <c r="F283" s="754"/>
      <c r="G283" s="754"/>
      <c r="H283" s="754"/>
      <c r="I283" s="754"/>
      <c r="J283" s="754"/>
      <c r="K283" s="754"/>
      <c r="L283" s="754"/>
      <c r="M283" s="754"/>
      <c r="N283" s="754"/>
      <c r="O283" s="754"/>
      <c r="P283" s="754"/>
      <c r="Q283" s="754"/>
      <c r="R283" s="754"/>
      <c r="S283" s="754"/>
      <c r="T283" s="754"/>
      <c r="U283" s="754"/>
      <c r="V283" s="754"/>
      <c r="W283" s="754"/>
    </row>
    <row r="284" spans="1:23">
      <c r="A284" s="754"/>
      <c r="B284" s="754"/>
      <c r="C284" s="754"/>
      <c r="D284" s="754"/>
      <c r="E284" s="754"/>
      <c r="F284" s="754"/>
      <c r="G284" s="754"/>
      <c r="H284" s="754"/>
      <c r="I284" s="754"/>
      <c r="J284" s="754"/>
      <c r="K284" s="754"/>
      <c r="L284" s="754"/>
      <c r="M284" s="754"/>
      <c r="N284" s="754"/>
      <c r="O284" s="754"/>
      <c r="P284" s="754"/>
      <c r="Q284" s="754"/>
      <c r="R284" s="754"/>
      <c r="S284" s="754"/>
      <c r="T284" s="754"/>
      <c r="U284" s="754"/>
      <c r="V284" s="754"/>
      <c r="W284" s="754"/>
    </row>
    <row r="285" spans="1:23">
      <c r="A285" s="754"/>
      <c r="B285" s="754"/>
      <c r="C285" s="754"/>
      <c r="D285" s="754"/>
      <c r="E285" s="754"/>
      <c r="F285" s="754"/>
      <c r="G285" s="754"/>
      <c r="H285" s="754"/>
      <c r="I285" s="754"/>
      <c r="J285" s="754"/>
      <c r="K285" s="754"/>
      <c r="L285" s="754"/>
      <c r="M285" s="754"/>
      <c r="N285" s="754"/>
      <c r="O285" s="754"/>
      <c r="P285" s="754"/>
      <c r="Q285" s="754"/>
      <c r="R285" s="754"/>
      <c r="S285" s="754"/>
      <c r="T285" s="754"/>
      <c r="U285" s="754"/>
      <c r="V285" s="754"/>
      <c r="W285" s="754"/>
    </row>
    <row r="286" spans="1:23">
      <c r="A286" s="754"/>
      <c r="B286" s="754"/>
      <c r="C286" s="754"/>
      <c r="D286" s="754"/>
      <c r="E286" s="754"/>
      <c r="F286" s="754"/>
      <c r="G286" s="754"/>
      <c r="H286" s="754"/>
      <c r="I286" s="754"/>
      <c r="J286" s="754"/>
      <c r="K286" s="754"/>
      <c r="L286" s="754"/>
      <c r="M286" s="754"/>
      <c r="N286" s="754"/>
      <c r="O286" s="754"/>
      <c r="P286" s="754"/>
      <c r="Q286" s="754"/>
      <c r="R286" s="754"/>
      <c r="S286" s="754"/>
      <c r="T286" s="754"/>
      <c r="U286" s="754"/>
      <c r="V286" s="754"/>
      <c r="W286" s="754"/>
    </row>
    <row r="287" spans="1:23">
      <c r="A287" s="754"/>
      <c r="B287" s="754"/>
      <c r="C287" s="754"/>
      <c r="D287" s="754"/>
      <c r="E287" s="754"/>
      <c r="F287" s="754"/>
      <c r="G287" s="754"/>
      <c r="H287" s="754"/>
      <c r="I287" s="754"/>
      <c r="J287" s="754"/>
      <c r="K287" s="754"/>
      <c r="L287" s="754"/>
      <c r="M287" s="754"/>
      <c r="N287" s="754"/>
      <c r="O287" s="754"/>
      <c r="P287" s="754"/>
      <c r="Q287" s="754"/>
      <c r="R287" s="754"/>
      <c r="S287" s="754"/>
      <c r="T287" s="754"/>
      <c r="U287" s="754"/>
      <c r="V287" s="754"/>
      <c r="W287" s="754"/>
    </row>
    <row r="288" spans="1:23">
      <c r="A288" s="754"/>
      <c r="B288" s="754"/>
      <c r="C288" s="754"/>
      <c r="D288" s="754"/>
      <c r="E288" s="754"/>
      <c r="F288" s="754"/>
      <c r="G288" s="754"/>
      <c r="H288" s="754"/>
      <c r="I288" s="754"/>
      <c r="J288" s="754"/>
      <c r="K288" s="754"/>
      <c r="L288" s="754"/>
      <c r="M288" s="754"/>
      <c r="N288" s="754"/>
      <c r="O288" s="754"/>
      <c r="P288" s="754"/>
      <c r="Q288" s="754"/>
      <c r="R288" s="754"/>
      <c r="S288" s="754"/>
      <c r="T288" s="754"/>
      <c r="U288" s="754"/>
      <c r="V288" s="754"/>
      <c r="W288" s="754"/>
    </row>
    <row r="289" spans="1:23">
      <c r="A289" s="754"/>
      <c r="B289" s="754"/>
      <c r="C289" s="754"/>
      <c r="D289" s="754"/>
      <c r="E289" s="754"/>
      <c r="F289" s="754"/>
      <c r="G289" s="754"/>
      <c r="H289" s="754"/>
      <c r="I289" s="754"/>
      <c r="J289" s="754"/>
      <c r="K289" s="754"/>
      <c r="L289" s="754"/>
      <c r="M289" s="754"/>
      <c r="N289" s="754"/>
      <c r="O289" s="754"/>
      <c r="P289" s="754"/>
      <c r="Q289" s="754"/>
      <c r="R289" s="754"/>
      <c r="S289" s="754"/>
      <c r="T289" s="754"/>
      <c r="U289" s="754"/>
      <c r="V289" s="754"/>
      <c r="W289" s="754"/>
    </row>
    <row r="290" spans="1:23">
      <c r="A290" s="754"/>
      <c r="B290" s="754"/>
      <c r="C290" s="754"/>
      <c r="D290" s="754"/>
      <c r="E290" s="754"/>
      <c r="F290" s="754"/>
      <c r="G290" s="754"/>
      <c r="H290" s="754"/>
      <c r="I290" s="754"/>
      <c r="J290" s="754"/>
      <c r="K290" s="754"/>
      <c r="L290" s="754"/>
      <c r="M290" s="754"/>
      <c r="N290" s="754"/>
      <c r="O290" s="754"/>
      <c r="P290" s="754"/>
      <c r="Q290" s="754"/>
      <c r="R290" s="754"/>
      <c r="S290" s="754"/>
      <c r="T290" s="754"/>
      <c r="U290" s="754"/>
      <c r="V290" s="754"/>
      <c r="W290" s="754"/>
    </row>
    <row r="291" spans="1:23">
      <c r="A291" s="754"/>
      <c r="B291" s="754"/>
      <c r="C291" s="754"/>
      <c r="D291" s="754"/>
      <c r="E291" s="754"/>
      <c r="F291" s="754"/>
      <c r="G291" s="754"/>
      <c r="H291" s="754"/>
      <c r="I291" s="754"/>
      <c r="J291" s="754"/>
      <c r="K291" s="754"/>
      <c r="L291" s="754"/>
      <c r="M291" s="754"/>
      <c r="N291" s="754"/>
      <c r="O291" s="754"/>
      <c r="P291" s="754"/>
      <c r="Q291" s="754"/>
      <c r="R291" s="754"/>
      <c r="S291" s="754"/>
      <c r="T291" s="754"/>
      <c r="U291" s="754"/>
      <c r="V291" s="754"/>
      <c r="W291" s="754"/>
    </row>
    <row r="292" spans="1:23">
      <c r="A292" s="754"/>
      <c r="B292" s="754"/>
      <c r="C292" s="754"/>
      <c r="D292" s="754"/>
      <c r="E292" s="754"/>
      <c r="F292" s="754"/>
      <c r="G292" s="754"/>
      <c r="H292" s="754"/>
      <c r="I292" s="754"/>
      <c r="J292" s="754"/>
      <c r="K292" s="754"/>
      <c r="L292" s="754"/>
      <c r="M292" s="754"/>
      <c r="N292" s="754"/>
      <c r="O292" s="754"/>
      <c r="P292" s="754"/>
      <c r="Q292" s="754"/>
      <c r="R292" s="754"/>
      <c r="S292" s="754"/>
      <c r="T292" s="754"/>
      <c r="U292" s="754"/>
      <c r="V292" s="754"/>
      <c r="W292" s="754"/>
    </row>
    <row r="293" spans="1:23">
      <c r="A293" s="754"/>
      <c r="B293" s="754"/>
      <c r="C293" s="754"/>
      <c r="D293" s="754"/>
      <c r="E293" s="754"/>
      <c r="F293" s="754"/>
      <c r="G293" s="754"/>
      <c r="H293" s="754"/>
      <c r="I293" s="754"/>
      <c r="J293" s="754"/>
      <c r="K293" s="754"/>
      <c r="L293" s="754"/>
      <c r="M293" s="754"/>
      <c r="N293" s="754"/>
      <c r="O293" s="754"/>
      <c r="P293" s="754"/>
      <c r="Q293" s="754"/>
      <c r="R293" s="754"/>
      <c r="S293" s="754"/>
      <c r="T293" s="754"/>
      <c r="U293" s="754"/>
      <c r="V293" s="754"/>
      <c r="W293" s="754"/>
    </row>
    <row r="294" spans="1:23">
      <c r="A294" s="754"/>
      <c r="B294" s="754"/>
      <c r="C294" s="754"/>
      <c r="D294" s="754"/>
      <c r="E294" s="754"/>
      <c r="F294" s="754"/>
      <c r="G294" s="754"/>
      <c r="H294" s="754"/>
      <c r="I294" s="754"/>
      <c r="J294" s="754"/>
      <c r="K294" s="754"/>
      <c r="L294" s="754"/>
      <c r="M294" s="754"/>
      <c r="N294" s="754"/>
      <c r="O294" s="754"/>
      <c r="P294" s="754"/>
      <c r="Q294" s="754"/>
      <c r="R294" s="754"/>
      <c r="S294" s="754"/>
      <c r="T294" s="754"/>
      <c r="U294" s="754"/>
      <c r="V294" s="754"/>
      <c r="W294" s="754"/>
    </row>
    <row r="295" spans="1:23">
      <c r="A295" s="754"/>
      <c r="B295" s="754"/>
      <c r="C295" s="754"/>
      <c r="D295" s="754"/>
      <c r="E295" s="754"/>
      <c r="F295" s="754"/>
      <c r="G295" s="754"/>
      <c r="H295" s="754"/>
      <c r="I295" s="754"/>
      <c r="J295" s="754"/>
      <c r="K295" s="754"/>
      <c r="L295" s="754"/>
      <c r="M295" s="754"/>
      <c r="N295" s="754"/>
      <c r="O295" s="754"/>
      <c r="P295" s="754"/>
      <c r="Q295" s="754"/>
      <c r="R295" s="754"/>
      <c r="S295" s="754"/>
      <c r="T295" s="754"/>
      <c r="U295" s="754"/>
      <c r="V295" s="754"/>
      <c r="W295" s="754"/>
    </row>
    <row r="296" spans="1:23">
      <c r="A296" s="754"/>
      <c r="B296" s="754"/>
      <c r="C296" s="754"/>
      <c r="D296" s="754"/>
      <c r="E296" s="754"/>
      <c r="F296" s="754"/>
      <c r="G296" s="754"/>
      <c r="H296" s="754"/>
      <c r="I296" s="754"/>
      <c r="J296" s="754"/>
      <c r="K296" s="754"/>
      <c r="L296" s="754"/>
      <c r="M296" s="754"/>
      <c r="N296" s="754"/>
      <c r="O296" s="754"/>
      <c r="P296" s="754"/>
      <c r="Q296" s="754"/>
      <c r="R296" s="754"/>
      <c r="S296" s="754"/>
      <c r="T296" s="754"/>
      <c r="U296" s="754"/>
      <c r="V296" s="754"/>
      <c r="W296" s="754"/>
    </row>
    <row r="297" spans="1:23">
      <c r="A297" s="754"/>
      <c r="B297" s="754"/>
      <c r="C297" s="754"/>
      <c r="D297" s="754"/>
      <c r="E297" s="754"/>
      <c r="F297" s="754"/>
      <c r="G297" s="754"/>
      <c r="H297" s="754"/>
      <c r="I297" s="754"/>
      <c r="J297" s="754"/>
      <c r="K297" s="754"/>
      <c r="L297" s="754"/>
      <c r="M297" s="754"/>
      <c r="N297" s="754"/>
      <c r="O297" s="754"/>
      <c r="P297" s="754"/>
      <c r="Q297" s="754"/>
      <c r="R297" s="754"/>
      <c r="S297" s="754"/>
      <c r="T297" s="754"/>
      <c r="U297" s="754"/>
      <c r="V297" s="754"/>
      <c r="W297" s="754"/>
    </row>
    <row r="298" spans="1:23">
      <c r="A298" s="754"/>
      <c r="B298" s="754"/>
      <c r="C298" s="754"/>
      <c r="D298" s="754"/>
      <c r="E298" s="754"/>
      <c r="F298" s="754"/>
      <c r="G298" s="754"/>
      <c r="H298" s="754"/>
      <c r="I298" s="754"/>
      <c r="J298" s="754"/>
      <c r="K298" s="754"/>
      <c r="L298" s="754"/>
      <c r="M298" s="754"/>
      <c r="N298" s="754"/>
      <c r="O298" s="754"/>
      <c r="P298" s="754"/>
      <c r="Q298" s="754"/>
      <c r="R298" s="754"/>
      <c r="S298" s="754"/>
      <c r="T298" s="754"/>
      <c r="U298" s="754"/>
      <c r="V298" s="754"/>
      <c r="W298" s="754"/>
    </row>
    <row r="299" spans="1:23">
      <c r="A299" s="754"/>
      <c r="B299" s="754"/>
      <c r="C299" s="754"/>
      <c r="D299" s="754"/>
      <c r="E299" s="754"/>
      <c r="F299" s="754"/>
      <c r="G299" s="754"/>
      <c r="H299" s="754"/>
      <c r="I299" s="754"/>
      <c r="J299" s="754"/>
      <c r="K299" s="754"/>
      <c r="L299" s="754"/>
      <c r="M299" s="754"/>
      <c r="N299" s="754"/>
      <c r="O299" s="754"/>
      <c r="P299" s="754"/>
      <c r="Q299" s="754"/>
      <c r="R299" s="754"/>
      <c r="S299" s="754"/>
      <c r="T299" s="754"/>
      <c r="U299" s="754"/>
      <c r="V299" s="754"/>
      <c r="W299" s="754"/>
    </row>
    <row r="300" spans="1:23">
      <c r="A300" s="754"/>
      <c r="B300" s="754"/>
      <c r="C300" s="754"/>
      <c r="D300" s="754"/>
      <c r="E300" s="754"/>
      <c r="F300" s="754"/>
      <c r="G300" s="754"/>
      <c r="H300" s="754"/>
      <c r="I300" s="754"/>
      <c r="J300" s="754"/>
      <c r="K300" s="754"/>
      <c r="L300" s="754"/>
      <c r="M300" s="754"/>
      <c r="N300" s="754"/>
      <c r="O300" s="754"/>
      <c r="P300" s="754"/>
      <c r="Q300" s="754"/>
      <c r="R300" s="754"/>
      <c r="S300" s="754"/>
      <c r="T300" s="754"/>
      <c r="U300" s="754"/>
      <c r="V300" s="754"/>
      <c r="W300" s="754"/>
    </row>
    <row r="301" spans="1:23">
      <c r="A301" s="754"/>
      <c r="B301" s="754"/>
      <c r="C301" s="754"/>
      <c r="D301" s="754"/>
      <c r="E301" s="754"/>
      <c r="F301" s="754"/>
      <c r="G301" s="754"/>
      <c r="H301" s="754"/>
      <c r="I301" s="754"/>
      <c r="J301" s="754"/>
      <c r="K301" s="754"/>
      <c r="L301" s="754"/>
      <c r="M301" s="754"/>
      <c r="N301" s="754"/>
      <c r="O301" s="754"/>
      <c r="P301" s="754"/>
      <c r="Q301" s="754"/>
      <c r="R301" s="754"/>
      <c r="S301" s="754"/>
      <c r="T301" s="754"/>
      <c r="U301" s="754"/>
      <c r="V301" s="754"/>
      <c r="W301" s="754"/>
    </row>
    <row r="302" spans="1:23">
      <c r="A302" s="754"/>
      <c r="B302" s="754"/>
      <c r="C302" s="754"/>
      <c r="D302" s="754"/>
      <c r="E302" s="754"/>
      <c r="F302" s="754"/>
      <c r="G302" s="754"/>
      <c r="H302" s="754"/>
      <c r="I302" s="754"/>
      <c r="J302" s="754"/>
      <c r="K302" s="754"/>
      <c r="L302" s="754"/>
      <c r="M302" s="754"/>
      <c r="N302" s="754"/>
      <c r="O302" s="754"/>
      <c r="P302" s="754"/>
      <c r="Q302" s="754"/>
      <c r="R302" s="754"/>
      <c r="S302" s="754"/>
      <c r="T302" s="754"/>
      <c r="U302" s="754"/>
      <c r="V302" s="754"/>
      <c r="W302" s="754"/>
    </row>
    <row r="303" spans="1:23">
      <c r="A303" s="754"/>
      <c r="B303" s="754"/>
      <c r="C303" s="754"/>
      <c r="D303" s="754"/>
      <c r="E303" s="754"/>
      <c r="F303" s="754"/>
      <c r="G303" s="754"/>
      <c r="H303" s="754"/>
      <c r="I303" s="754"/>
      <c r="J303" s="754"/>
      <c r="K303" s="754"/>
      <c r="L303" s="754"/>
      <c r="M303" s="754"/>
      <c r="N303" s="754"/>
      <c r="O303" s="754"/>
      <c r="P303" s="754"/>
      <c r="Q303" s="754"/>
      <c r="R303" s="754"/>
      <c r="S303" s="754"/>
      <c r="T303" s="754"/>
      <c r="U303" s="754"/>
      <c r="V303" s="754"/>
      <c r="W303" s="754"/>
    </row>
    <row r="304" spans="1:23">
      <c r="A304" s="754"/>
      <c r="B304" s="754"/>
      <c r="C304" s="754"/>
      <c r="D304" s="754"/>
      <c r="E304" s="754"/>
      <c r="F304" s="754"/>
      <c r="G304" s="754"/>
      <c r="H304" s="754"/>
      <c r="I304" s="754"/>
      <c r="J304" s="754"/>
      <c r="K304" s="754"/>
      <c r="L304" s="754"/>
      <c r="M304" s="754"/>
      <c r="N304" s="754"/>
      <c r="O304" s="754"/>
      <c r="P304" s="754"/>
      <c r="Q304" s="754"/>
      <c r="R304" s="754"/>
      <c r="S304" s="754"/>
      <c r="T304" s="754"/>
      <c r="U304" s="754"/>
      <c r="V304" s="754"/>
      <c r="W304" s="754"/>
    </row>
    <row r="305" spans="1:23">
      <c r="A305" s="754"/>
      <c r="B305" s="754"/>
      <c r="C305" s="754"/>
      <c r="D305" s="754"/>
      <c r="E305" s="754"/>
      <c r="F305" s="754"/>
      <c r="G305" s="754"/>
      <c r="H305" s="754"/>
      <c r="I305" s="754"/>
      <c r="J305" s="754"/>
      <c r="K305" s="754"/>
      <c r="L305" s="754"/>
      <c r="M305" s="754"/>
      <c r="N305" s="754"/>
      <c r="O305" s="754"/>
      <c r="P305" s="754"/>
      <c r="Q305" s="754"/>
      <c r="R305" s="754"/>
      <c r="S305" s="754"/>
      <c r="T305" s="754"/>
      <c r="U305" s="754"/>
      <c r="V305" s="754"/>
      <c r="W305" s="754"/>
    </row>
    <row r="306" spans="1:23">
      <c r="A306" s="754"/>
      <c r="B306" s="754"/>
      <c r="C306" s="754"/>
      <c r="D306" s="754"/>
      <c r="E306" s="754"/>
      <c r="F306" s="754"/>
      <c r="G306" s="754"/>
      <c r="H306" s="754"/>
      <c r="I306" s="754"/>
      <c r="J306" s="754"/>
      <c r="K306" s="754"/>
      <c r="L306" s="754"/>
      <c r="M306" s="754"/>
      <c r="N306" s="754"/>
      <c r="O306" s="754"/>
      <c r="P306" s="754"/>
      <c r="Q306" s="754"/>
      <c r="R306" s="754"/>
      <c r="S306" s="754"/>
      <c r="T306" s="754"/>
      <c r="U306" s="754"/>
      <c r="V306" s="754"/>
      <c r="W306" s="754"/>
    </row>
    <row r="307" spans="1:23">
      <c r="A307" s="754"/>
      <c r="B307" s="754"/>
      <c r="C307" s="754"/>
      <c r="D307" s="754"/>
      <c r="E307" s="754"/>
      <c r="F307" s="754"/>
      <c r="G307" s="754"/>
      <c r="H307" s="754"/>
      <c r="I307" s="754"/>
      <c r="J307" s="754"/>
      <c r="K307" s="754"/>
      <c r="L307" s="754"/>
      <c r="M307" s="754"/>
      <c r="N307" s="754"/>
      <c r="O307" s="754"/>
      <c r="P307" s="754"/>
      <c r="Q307" s="754"/>
      <c r="R307" s="754"/>
      <c r="S307" s="754"/>
      <c r="T307" s="754"/>
      <c r="U307" s="754"/>
      <c r="V307" s="754"/>
      <c r="W307" s="754"/>
    </row>
    <row r="308" spans="1:23">
      <c r="A308" s="754"/>
      <c r="B308" s="754"/>
      <c r="C308" s="754"/>
      <c r="D308" s="754"/>
      <c r="E308" s="754"/>
      <c r="F308" s="754"/>
      <c r="G308" s="754"/>
      <c r="H308" s="754"/>
      <c r="I308" s="754"/>
      <c r="J308" s="754"/>
      <c r="K308" s="754"/>
      <c r="L308" s="754"/>
      <c r="M308" s="754"/>
      <c r="N308" s="754"/>
      <c r="O308" s="754"/>
      <c r="P308" s="754"/>
      <c r="Q308" s="754"/>
      <c r="R308" s="754"/>
      <c r="S308" s="754"/>
      <c r="T308" s="754"/>
      <c r="U308" s="754"/>
      <c r="V308" s="754"/>
      <c r="W308" s="754"/>
    </row>
    <row r="309" spans="1:23">
      <c r="A309" s="754"/>
      <c r="B309" s="754"/>
      <c r="C309" s="754"/>
      <c r="D309" s="754"/>
      <c r="E309" s="754"/>
      <c r="F309" s="754"/>
      <c r="G309" s="754"/>
      <c r="H309" s="754"/>
      <c r="I309" s="754"/>
      <c r="J309" s="754"/>
      <c r="K309" s="754"/>
      <c r="L309" s="754"/>
      <c r="M309" s="754"/>
      <c r="N309" s="754"/>
      <c r="O309" s="754"/>
      <c r="P309" s="754"/>
      <c r="Q309" s="754"/>
      <c r="R309" s="754"/>
      <c r="S309" s="754"/>
      <c r="T309" s="754"/>
      <c r="U309" s="754"/>
      <c r="V309" s="754"/>
      <c r="W309" s="754"/>
    </row>
    <row r="310" spans="1:23">
      <c r="A310" s="754"/>
      <c r="B310" s="754"/>
      <c r="C310" s="754"/>
      <c r="D310" s="754"/>
      <c r="E310" s="754"/>
      <c r="F310" s="754"/>
      <c r="G310" s="754"/>
      <c r="H310" s="754"/>
      <c r="I310" s="754"/>
      <c r="J310" s="754"/>
      <c r="K310" s="754"/>
      <c r="L310" s="754"/>
      <c r="M310" s="754"/>
      <c r="N310" s="754"/>
      <c r="O310" s="754"/>
      <c r="P310" s="754"/>
      <c r="Q310" s="754"/>
      <c r="R310" s="754"/>
      <c r="S310" s="754"/>
      <c r="T310" s="754"/>
      <c r="U310" s="754"/>
      <c r="V310" s="754"/>
      <c r="W310" s="754"/>
    </row>
    <row r="311" spans="1:23">
      <c r="A311" s="754"/>
      <c r="B311" s="754"/>
      <c r="C311" s="754"/>
      <c r="D311" s="754"/>
      <c r="E311" s="754"/>
      <c r="F311" s="754"/>
      <c r="G311" s="754"/>
      <c r="H311" s="754"/>
      <c r="I311" s="754"/>
      <c r="J311" s="754"/>
      <c r="K311" s="754"/>
      <c r="L311" s="754"/>
      <c r="M311" s="754"/>
      <c r="N311" s="754"/>
      <c r="O311" s="754"/>
      <c r="P311" s="754"/>
      <c r="Q311" s="754"/>
      <c r="R311" s="754"/>
      <c r="S311" s="754"/>
      <c r="T311" s="754"/>
      <c r="U311" s="754"/>
      <c r="V311" s="754"/>
      <c r="W311" s="754"/>
    </row>
    <row r="312" spans="1:23">
      <c r="A312" s="754"/>
      <c r="B312" s="754"/>
      <c r="C312" s="754"/>
      <c r="D312" s="754"/>
      <c r="E312" s="754"/>
      <c r="F312" s="754"/>
      <c r="G312" s="754"/>
      <c r="H312" s="754"/>
      <c r="I312" s="754"/>
      <c r="J312" s="754"/>
      <c r="K312" s="754"/>
      <c r="L312" s="754"/>
      <c r="M312" s="754"/>
      <c r="N312" s="754"/>
      <c r="O312" s="754"/>
      <c r="P312" s="754"/>
      <c r="Q312" s="754"/>
      <c r="R312" s="754"/>
      <c r="S312" s="754"/>
      <c r="T312" s="754"/>
      <c r="U312" s="754"/>
      <c r="V312" s="754"/>
      <c r="W312" s="754"/>
    </row>
    <row r="313" spans="1:23">
      <c r="A313" s="754"/>
      <c r="B313" s="754"/>
      <c r="C313" s="754"/>
      <c r="D313" s="754"/>
      <c r="E313" s="754"/>
      <c r="F313" s="754"/>
      <c r="G313" s="754"/>
      <c r="H313" s="754"/>
      <c r="I313" s="754"/>
      <c r="J313" s="754"/>
      <c r="K313" s="754"/>
      <c r="L313" s="754"/>
      <c r="M313" s="754"/>
      <c r="N313" s="754"/>
      <c r="O313" s="754"/>
      <c r="P313" s="754"/>
      <c r="Q313" s="754"/>
      <c r="R313" s="754"/>
      <c r="S313" s="754"/>
      <c r="T313" s="754"/>
      <c r="U313" s="754"/>
      <c r="V313" s="754"/>
      <c r="W313" s="754"/>
    </row>
    <row r="314" spans="1:23">
      <c r="A314" s="754"/>
      <c r="B314" s="754"/>
      <c r="C314" s="754"/>
      <c r="D314" s="754"/>
      <c r="E314" s="754"/>
      <c r="F314" s="754"/>
      <c r="G314" s="754"/>
      <c r="H314" s="754"/>
      <c r="I314" s="754"/>
      <c r="J314" s="754"/>
      <c r="K314" s="754"/>
      <c r="L314" s="754"/>
      <c r="M314" s="754"/>
      <c r="N314" s="754"/>
      <c r="O314" s="754"/>
      <c r="P314" s="754"/>
      <c r="Q314" s="754"/>
      <c r="R314" s="754"/>
      <c r="S314" s="754"/>
      <c r="T314" s="754"/>
      <c r="U314" s="754"/>
      <c r="V314" s="754"/>
      <c r="W314" s="754"/>
    </row>
    <row r="315" spans="1:23">
      <c r="A315" s="754"/>
      <c r="B315" s="754"/>
      <c r="C315" s="754"/>
      <c r="D315" s="754"/>
      <c r="E315" s="754"/>
      <c r="F315" s="754"/>
      <c r="G315" s="754"/>
      <c r="H315" s="754"/>
      <c r="I315" s="754"/>
      <c r="J315" s="754"/>
      <c r="K315" s="754"/>
      <c r="L315" s="754"/>
      <c r="M315" s="754"/>
      <c r="N315" s="754"/>
      <c r="O315" s="754"/>
      <c r="P315" s="754"/>
      <c r="Q315" s="754"/>
      <c r="R315" s="754"/>
      <c r="S315" s="754"/>
      <c r="T315" s="754"/>
      <c r="U315" s="754"/>
      <c r="V315" s="754"/>
      <c r="W315" s="754"/>
    </row>
    <row r="316" spans="1:23">
      <c r="A316" s="754"/>
      <c r="B316" s="754"/>
      <c r="C316" s="754"/>
      <c r="D316" s="754"/>
      <c r="E316" s="754"/>
      <c r="F316" s="754"/>
      <c r="G316" s="754"/>
      <c r="H316" s="754"/>
      <c r="I316" s="754"/>
      <c r="J316" s="754"/>
      <c r="K316" s="754"/>
      <c r="L316" s="754"/>
      <c r="M316" s="754"/>
      <c r="N316" s="754"/>
      <c r="O316" s="754"/>
      <c r="P316" s="754"/>
      <c r="Q316" s="754"/>
      <c r="R316" s="754"/>
      <c r="S316" s="754"/>
      <c r="T316" s="754"/>
      <c r="U316" s="754"/>
      <c r="V316" s="754"/>
      <c r="W316" s="754"/>
    </row>
    <row r="317" spans="1:23">
      <c r="A317" s="754"/>
      <c r="B317" s="754"/>
      <c r="C317" s="754"/>
      <c r="D317" s="754"/>
      <c r="E317" s="754"/>
      <c r="F317" s="754"/>
      <c r="G317" s="754"/>
      <c r="H317" s="754"/>
      <c r="I317" s="754"/>
      <c r="J317" s="754"/>
      <c r="K317" s="754"/>
      <c r="L317" s="754"/>
      <c r="M317" s="754"/>
      <c r="N317" s="754"/>
      <c r="O317" s="754"/>
      <c r="P317" s="754"/>
      <c r="Q317" s="754"/>
      <c r="R317" s="754"/>
      <c r="S317" s="754"/>
      <c r="T317" s="754"/>
      <c r="U317" s="754"/>
      <c r="V317" s="754"/>
      <c r="W317" s="754"/>
    </row>
    <row r="318" spans="1:23">
      <c r="A318" s="754"/>
      <c r="B318" s="754"/>
      <c r="C318" s="754"/>
      <c r="D318" s="754"/>
      <c r="E318" s="754"/>
      <c r="F318" s="754"/>
      <c r="G318" s="754"/>
      <c r="H318" s="754"/>
      <c r="I318" s="754"/>
      <c r="J318" s="754"/>
      <c r="K318" s="754"/>
      <c r="L318" s="754"/>
      <c r="M318" s="754"/>
      <c r="N318" s="754"/>
      <c r="O318" s="754"/>
      <c r="P318" s="754"/>
      <c r="Q318" s="754"/>
      <c r="R318" s="754"/>
      <c r="S318" s="754"/>
      <c r="T318" s="754"/>
      <c r="U318" s="754"/>
      <c r="V318" s="754"/>
      <c r="W318" s="754"/>
    </row>
    <row r="319" spans="1:23">
      <c r="A319" s="754"/>
      <c r="B319" s="754"/>
      <c r="C319" s="754"/>
      <c r="D319" s="754"/>
      <c r="E319" s="754"/>
      <c r="F319" s="754"/>
      <c r="G319" s="754"/>
      <c r="H319" s="754"/>
      <c r="I319" s="754"/>
      <c r="J319" s="754"/>
      <c r="K319" s="754"/>
      <c r="L319" s="754"/>
      <c r="M319" s="754"/>
      <c r="N319" s="754"/>
      <c r="O319" s="754"/>
      <c r="P319" s="754"/>
      <c r="Q319" s="754"/>
      <c r="R319" s="754"/>
      <c r="S319" s="754"/>
      <c r="T319" s="754"/>
      <c r="U319" s="754"/>
      <c r="V319" s="754"/>
      <c r="W319" s="754"/>
    </row>
    <row r="320" spans="1:23">
      <c r="A320" s="754"/>
      <c r="B320" s="754"/>
      <c r="C320" s="754"/>
      <c r="D320" s="754"/>
      <c r="E320" s="754"/>
      <c r="F320" s="754"/>
      <c r="G320" s="754"/>
      <c r="H320" s="754"/>
      <c r="I320" s="754"/>
      <c r="J320" s="754"/>
      <c r="K320" s="754"/>
      <c r="L320" s="754"/>
      <c r="M320" s="754"/>
      <c r="N320" s="754"/>
      <c r="O320" s="754"/>
      <c r="P320" s="754"/>
      <c r="Q320" s="754"/>
      <c r="R320" s="754"/>
      <c r="S320" s="754"/>
      <c r="T320" s="754"/>
      <c r="U320" s="754"/>
      <c r="V320" s="754"/>
      <c r="W320" s="754"/>
    </row>
    <row r="321" spans="1:23">
      <c r="A321" s="754"/>
      <c r="B321" s="754"/>
      <c r="C321" s="754"/>
      <c r="D321" s="754"/>
      <c r="E321" s="754"/>
      <c r="F321" s="754"/>
      <c r="G321" s="754"/>
      <c r="H321" s="754"/>
      <c r="I321" s="754"/>
      <c r="J321" s="754"/>
      <c r="K321" s="754"/>
      <c r="L321" s="754"/>
      <c r="M321" s="754"/>
      <c r="N321" s="754"/>
      <c r="O321" s="754"/>
      <c r="P321" s="754"/>
      <c r="Q321" s="754"/>
      <c r="R321" s="754"/>
      <c r="S321" s="754"/>
      <c r="T321" s="754"/>
      <c r="U321" s="754"/>
      <c r="V321" s="754"/>
      <c r="W321" s="754"/>
    </row>
  </sheetData>
  <pageMargins left="0.7" right="0.7" top="0.75" bottom="0.75" header="0.3" footer="0.3"/>
  <drawing r:id="rId1"/>
</worksheet>
</file>

<file path=xl/worksheets/sheet3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300-000000000000}">
  <dimension ref="A1:O410"/>
  <sheetViews>
    <sheetView topLeftCell="A28" workbookViewId="0">
      <selection activeCell="F20" sqref="F20"/>
    </sheetView>
  </sheetViews>
  <sheetFormatPr defaultRowHeight="13.2"/>
  <sheetData>
    <row r="1" spans="1:11">
      <c r="A1" s="754"/>
      <c r="B1" s="754"/>
      <c r="C1" s="754"/>
      <c r="D1" s="754"/>
      <c r="E1" s="754"/>
      <c r="F1" s="754"/>
      <c r="G1" s="754"/>
      <c r="H1" s="754"/>
    </row>
    <row r="2" spans="1:11" ht="22.8">
      <c r="A2" s="2980" t="s">
        <v>3454</v>
      </c>
      <c r="B2" s="754"/>
      <c r="C2" s="754"/>
      <c r="D2" s="754"/>
      <c r="E2" s="754"/>
      <c r="F2" s="754"/>
      <c r="G2" s="754"/>
      <c r="H2" s="754"/>
    </row>
    <row r="3" spans="1:11">
      <c r="A3" s="765" t="s">
        <v>3455</v>
      </c>
      <c r="B3" s="754"/>
      <c r="C3" s="754"/>
      <c r="D3" s="754"/>
      <c r="E3" s="754"/>
      <c r="F3" s="754"/>
      <c r="G3" s="754"/>
      <c r="H3" s="754"/>
      <c r="I3" s="2917"/>
      <c r="J3" s="2131"/>
      <c r="K3" s="1139"/>
    </row>
    <row r="4" spans="1:11">
      <c r="A4" s="765" t="s">
        <v>3456</v>
      </c>
      <c r="B4" s="765"/>
      <c r="C4" s="765"/>
      <c r="D4" s="765"/>
      <c r="E4" s="765"/>
      <c r="F4" s="765"/>
      <c r="G4" s="765"/>
      <c r="H4" s="765"/>
      <c r="I4" s="1139"/>
      <c r="J4" s="2131"/>
      <c r="K4" s="1139"/>
    </row>
    <row r="5" spans="1:11" s="754" customFormat="1">
      <c r="A5" s="765"/>
      <c r="B5" s="765"/>
      <c r="C5" s="765"/>
      <c r="D5" s="765"/>
      <c r="E5" s="765"/>
      <c r="F5" s="765"/>
      <c r="G5" s="765"/>
      <c r="H5" s="765"/>
      <c r="I5" s="1139"/>
      <c r="J5" s="2131"/>
      <c r="K5" s="1139"/>
    </row>
    <row r="6" spans="1:11" s="754" customFormat="1">
      <c r="A6" s="765"/>
      <c r="B6" s="765"/>
      <c r="C6" s="765"/>
      <c r="D6" s="765"/>
      <c r="E6" s="765"/>
      <c r="F6" s="765"/>
      <c r="G6" s="765"/>
      <c r="H6" s="765"/>
      <c r="I6" s="1139"/>
      <c r="J6" s="2131"/>
      <c r="K6" s="1139"/>
    </row>
    <row r="7" spans="1:11" s="754" customFormat="1" ht="22.8">
      <c r="A7" s="2980" t="s">
        <v>3457</v>
      </c>
      <c r="B7" s="765"/>
      <c r="C7" s="765"/>
      <c r="D7" s="765"/>
      <c r="E7" s="765"/>
      <c r="F7" s="765"/>
      <c r="G7" s="765"/>
      <c r="H7" s="765"/>
      <c r="I7" s="1139"/>
      <c r="J7" s="2131"/>
      <c r="K7" s="1139"/>
    </row>
    <row r="8" spans="1:11" s="754" customFormat="1" ht="15.6">
      <c r="A8" s="2981" t="s">
        <v>655</v>
      </c>
      <c r="B8" s="765"/>
      <c r="C8" s="765"/>
      <c r="D8" s="765"/>
      <c r="E8" s="765"/>
      <c r="F8" s="765"/>
      <c r="G8" s="765"/>
      <c r="H8" s="765"/>
      <c r="I8" s="1139"/>
      <c r="J8" s="2131"/>
      <c r="K8" s="1139"/>
    </row>
    <row r="9" spans="1:11" s="754" customFormat="1" ht="13.8">
      <c r="A9" s="2982" t="s">
        <v>3280</v>
      </c>
      <c r="B9" s="765"/>
      <c r="C9" s="765"/>
      <c r="D9" s="765"/>
      <c r="E9" s="765"/>
      <c r="F9" s="765"/>
      <c r="G9" s="765"/>
      <c r="H9" s="765"/>
      <c r="I9" s="1139"/>
      <c r="J9" s="2131"/>
      <c r="K9" s="1139"/>
    </row>
    <row r="10" spans="1:11" s="754" customFormat="1" ht="13.8">
      <c r="A10" s="2982" t="s">
        <v>3300</v>
      </c>
      <c r="B10" s="765"/>
      <c r="C10" s="765"/>
      <c r="D10" s="765"/>
      <c r="E10" s="765"/>
      <c r="F10" s="765"/>
      <c r="G10" s="765"/>
      <c r="H10" s="765"/>
      <c r="I10" s="1139"/>
      <c r="J10" s="2131"/>
      <c r="K10" s="1139"/>
    </row>
    <row r="11" spans="1:11" s="754" customFormat="1" ht="13.8">
      <c r="A11" s="2982" t="s">
        <v>3313</v>
      </c>
      <c r="B11" s="765"/>
      <c r="C11" s="765"/>
      <c r="D11" s="765"/>
      <c r="E11" s="765"/>
      <c r="F11" s="765"/>
      <c r="G11" s="765"/>
      <c r="H11" s="765"/>
      <c r="I11" s="1139"/>
      <c r="J11" s="2131"/>
      <c r="K11" s="1139"/>
    </row>
    <row r="12" spans="1:11" s="754" customFormat="1" ht="13.8">
      <c r="A12" s="2982" t="s">
        <v>3319</v>
      </c>
      <c r="B12" s="765"/>
      <c r="C12" s="765"/>
      <c r="D12" s="765"/>
      <c r="E12" s="765"/>
      <c r="F12" s="765"/>
      <c r="G12" s="765"/>
      <c r="H12" s="765"/>
      <c r="I12" s="1139"/>
      <c r="J12" s="2131"/>
      <c r="K12" s="1139"/>
    </row>
    <row r="13" spans="1:11" s="754" customFormat="1" ht="15.6">
      <c r="A13" s="2981" t="s">
        <v>1319</v>
      </c>
      <c r="B13" s="765"/>
      <c r="C13" s="765"/>
      <c r="D13" s="765"/>
      <c r="E13" s="765"/>
      <c r="F13" s="765"/>
      <c r="G13" s="765"/>
      <c r="H13" s="765"/>
      <c r="I13" s="1139"/>
      <c r="J13" s="2131"/>
      <c r="K13" s="1139"/>
    </row>
    <row r="14" spans="1:11" s="754" customFormat="1" ht="13.8">
      <c r="A14" s="2982" t="s">
        <v>3320</v>
      </c>
      <c r="B14" s="765"/>
      <c r="C14" s="765"/>
      <c r="D14" s="765"/>
      <c r="E14" s="765"/>
      <c r="F14" s="765"/>
      <c r="G14" s="765"/>
      <c r="H14" s="765"/>
      <c r="I14" s="1139"/>
      <c r="J14" s="2131"/>
      <c r="K14" s="1139"/>
    </row>
    <row r="15" spans="1:11" s="754" customFormat="1" ht="13.8">
      <c r="A15" s="2982" t="s">
        <v>3325</v>
      </c>
      <c r="B15" s="765"/>
      <c r="C15" s="765"/>
      <c r="D15" s="765"/>
      <c r="E15" s="765"/>
      <c r="F15" s="765"/>
      <c r="G15" s="765"/>
      <c r="H15" s="765"/>
      <c r="I15" s="1139"/>
      <c r="J15" s="2131"/>
      <c r="K15" s="1139"/>
    </row>
    <row r="16" spans="1:11" s="754" customFormat="1" ht="13.8">
      <c r="A16" s="2982" t="s">
        <v>3458</v>
      </c>
      <c r="B16" s="765"/>
      <c r="C16" s="765"/>
      <c r="D16" s="765"/>
      <c r="E16" s="765"/>
      <c r="F16" s="765"/>
      <c r="G16" s="765"/>
      <c r="H16" s="765"/>
      <c r="I16" s="1139"/>
      <c r="J16" s="2131"/>
      <c r="K16" s="1139"/>
    </row>
    <row r="17" spans="1:15" s="754" customFormat="1" ht="13.8">
      <c r="A17" s="2982" t="s">
        <v>3459</v>
      </c>
      <c r="B17" s="765"/>
      <c r="C17" s="765"/>
      <c r="D17" s="765"/>
      <c r="E17" s="765"/>
      <c r="F17" s="765"/>
      <c r="G17" s="765"/>
      <c r="H17" s="765"/>
      <c r="I17" s="1139"/>
      <c r="J17" s="2131"/>
      <c r="K17" s="1139"/>
    </row>
    <row r="18" spans="1:15" s="754" customFormat="1" ht="15.6">
      <c r="A18" s="2981" t="s">
        <v>657</v>
      </c>
      <c r="B18" s="765"/>
      <c r="C18" s="765"/>
      <c r="D18" s="765"/>
      <c r="E18" s="765"/>
      <c r="F18" s="765"/>
      <c r="G18" s="765"/>
      <c r="H18" s="765"/>
      <c r="I18" s="1139"/>
      <c r="J18" s="2131"/>
      <c r="K18" s="1139"/>
    </row>
    <row r="19" spans="1:15" s="754" customFormat="1" ht="13.8">
      <c r="A19" s="2982" t="s">
        <v>3382</v>
      </c>
      <c r="B19" s="765"/>
      <c r="C19" s="765"/>
      <c r="D19" s="765"/>
      <c r="E19" s="765"/>
      <c r="F19" s="765"/>
      <c r="G19" s="765"/>
      <c r="H19" s="765"/>
      <c r="I19" s="1139"/>
      <c r="J19" s="2131"/>
      <c r="K19" s="1139"/>
    </row>
    <row r="20" spans="1:15" s="754" customFormat="1" ht="13.8">
      <c r="A20" s="2982" t="s">
        <v>3391</v>
      </c>
      <c r="B20" s="765"/>
      <c r="C20" s="765"/>
      <c r="D20" s="765"/>
      <c r="E20" s="765"/>
      <c r="F20" s="765"/>
      <c r="G20" s="765"/>
      <c r="H20" s="765"/>
      <c r="I20" s="1139"/>
      <c r="J20" s="2131"/>
      <c r="K20" s="1139"/>
    </row>
    <row r="21" spans="1:15" s="754" customFormat="1" ht="13.8">
      <c r="A21" s="2982" t="s">
        <v>992</v>
      </c>
      <c r="B21" s="765"/>
      <c r="C21" s="765"/>
      <c r="D21" s="765"/>
      <c r="E21" s="765"/>
      <c r="F21" s="765"/>
      <c r="G21" s="765"/>
      <c r="H21" s="765"/>
      <c r="I21" s="1139"/>
      <c r="J21" s="2131"/>
      <c r="K21" s="1139"/>
    </row>
    <row r="22" spans="1:15" s="754" customFormat="1" ht="15.6">
      <c r="A22" s="2981" t="s">
        <v>658</v>
      </c>
      <c r="B22" s="765"/>
      <c r="C22" s="765"/>
      <c r="D22" s="765"/>
      <c r="E22" s="765"/>
      <c r="F22" s="765"/>
      <c r="G22" s="765"/>
      <c r="H22" s="765"/>
      <c r="I22" s="1139"/>
      <c r="J22" s="2131"/>
      <c r="K22" s="1139"/>
    </row>
    <row r="23" spans="1:15" s="754" customFormat="1" ht="13.8">
      <c r="A23" s="2982" t="s">
        <v>3411</v>
      </c>
      <c r="B23" s="765"/>
      <c r="C23" s="765"/>
      <c r="D23" s="765"/>
      <c r="E23" s="765"/>
      <c r="F23" s="765"/>
      <c r="G23" s="765"/>
      <c r="H23" s="765"/>
      <c r="I23" s="1139"/>
      <c r="J23" s="2131"/>
      <c r="K23" s="1139"/>
      <c r="O23" s="2982"/>
    </row>
    <row r="24" spans="1:15" s="754" customFormat="1" ht="13.8">
      <c r="A24" s="2982" t="s">
        <v>3418</v>
      </c>
      <c r="B24" s="765"/>
      <c r="C24" s="765"/>
      <c r="D24" s="765"/>
      <c r="E24" s="765"/>
      <c r="F24" s="765"/>
      <c r="G24" s="765"/>
      <c r="H24" s="765"/>
      <c r="I24" s="1139"/>
      <c r="J24" s="2131"/>
      <c r="K24" s="1139"/>
      <c r="O24" s="2982"/>
    </row>
    <row r="25" spans="1:15" s="754" customFormat="1" ht="13.8">
      <c r="A25" s="2982" t="s">
        <v>3426</v>
      </c>
      <c r="B25" s="765"/>
      <c r="C25" s="765"/>
      <c r="D25" s="765"/>
      <c r="E25" s="765"/>
      <c r="F25" s="765"/>
      <c r="G25" s="765"/>
      <c r="H25" s="765"/>
      <c r="I25" s="1139"/>
      <c r="J25" s="2131"/>
      <c r="K25" s="1139"/>
      <c r="O25" s="2982"/>
    </row>
    <row r="26" spans="1:15" s="754" customFormat="1" ht="15.6">
      <c r="A26" s="2981" t="s">
        <v>3460</v>
      </c>
      <c r="B26" s="765"/>
      <c r="C26" s="765"/>
      <c r="D26" s="765"/>
      <c r="E26" s="765"/>
      <c r="F26" s="765"/>
      <c r="G26" s="765"/>
      <c r="H26" s="765"/>
      <c r="I26" s="1139"/>
      <c r="J26" s="2131"/>
      <c r="K26" s="1139"/>
      <c r="O26" s="2982"/>
    </row>
    <row r="27" spans="1:15" s="754" customFormat="1" ht="13.8">
      <c r="A27" s="2982" t="s">
        <v>3461</v>
      </c>
      <c r="B27" s="765"/>
      <c r="C27" s="765"/>
      <c r="D27" s="765"/>
      <c r="E27" s="765"/>
      <c r="F27" s="765"/>
      <c r="G27" s="765"/>
      <c r="H27" s="765"/>
      <c r="I27" s="1139"/>
      <c r="J27" s="2131"/>
      <c r="K27" s="1139"/>
      <c r="O27" s="2982"/>
    </row>
    <row r="28" spans="1:15">
      <c r="A28" s="754"/>
      <c r="B28" s="754"/>
      <c r="C28" s="754"/>
      <c r="D28" s="754"/>
      <c r="E28" s="754"/>
      <c r="F28" s="754"/>
      <c r="G28" s="754"/>
      <c r="H28" s="754"/>
      <c r="I28" s="1139"/>
      <c r="J28" s="2131"/>
      <c r="K28" s="1139"/>
    </row>
    <row r="29" spans="1:15">
      <c r="A29" s="878" t="s">
        <v>3282</v>
      </c>
      <c r="B29" s="1138"/>
      <c r="C29" s="1138"/>
      <c r="D29" s="1138"/>
      <c r="E29" s="1139"/>
      <c r="F29" s="1139"/>
      <c r="G29" s="1139"/>
      <c r="H29" s="1139"/>
      <c r="I29" s="1139"/>
      <c r="J29" s="2131"/>
      <c r="K29" s="1139"/>
    </row>
    <row r="30" spans="1:15">
      <c r="A30" s="1140"/>
      <c r="B30" s="1487"/>
      <c r="C30" s="1487"/>
      <c r="D30" s="1487"/>
      <c r="E30" s="1487"/>
      <c r="F30" s="1487"/>
      <c r="G30" s="1487"/>
      <c r="H30" s="1140"/>
      <c r="I30" s="1140"/>
      <c r="J30" s="1140"/>
      <c r="K30" s="1139"/>
    </row>
    <row r="31" spans="1:15">
      <c r="A31" s="1466"/>
      <c r="B31" s="2877" t="s">
        <v>3283</v>
      </c>
      <c r="C31" s="2878"/>
      <c r="D31" s="2879"/>
      <c r="E31" s="2877" t="s">
        <v>619</v>
      </c>
      <c r="F31" s="2880"/>
      <c r="G31" s="2212"/>
      <c r="H31" s="2877" t="s">
        <v>620</v>
      </c>
      <c r="I31" s="2878"/>
      <c r="J31" s="2881"/>
      <c r="K31" s="1466"/>
    </row>
    <row r="32" spans="1:15">
      <c r="A32" s="2167" t="s">
        <v>3284</v>
      </c>
      <c r="B32" s="2882" t="s">
        <v>621</v>
      </c>
      <c r="C32" s="2882" t="s">
        <v>622</v>
      </c>
      <c r="D32" s="2882"/>
      <c r="E32" s="2882" t="s">
        <v>621</v>
      </c>
      <c r="F32" s="2882" t="s">
        <v>622</v>
      </c>
      <c r="G32" s="2882"/>
      <c r="H32" s="2882" t="s">
        <v>621</v>
      </c>
      <c r="I32" s="2883" t="s">
        <v>622</v>
      </c>
      <c r="J32" s="2131"/>
      <c r="K32" s="1139"/>
    </row>
    <row r="33" spans="1:11">
      <c r="A33" s="2884" t="s">
        <v>3285</v>
      </c>
      <c r="B33" s="2885" t="s">
        <v>624</v>
      </c>
      <c r="C33" s="2885" t="s">
        <v>624</v>
      </c>
      <c r="D33" s="2885"/>
      <c r="E33" s="2885" t="s">
        <v>624</v>
      </c>
      <c r="F33" s="2885" t="s">
        <v>624</v>
      </c>
      <c r="G33" s="2885"/>
      <c r="H33" s="2885" t="s">
        <v>624</v>
      </c>
      <c r="I33" s="2885" t="s">
        <v>624</v>
      </c>
      <c r="J33" s="2886" t="s">
        <v>625</v>
      </c>
      <c r="K33" s="1466"/>
    </row>
    <row r="34" spans="1:11">
      <c r="A34" s="2887" t="s">
        <v>3286</v>
      </c>
      <c r="B34" s="2888">
        <v>29050860.800000001</v>
      </c>
      <c r="C34" s="2888">
        <v>6577936.7000000002</v>
      </c>
      <c r="D34" s="2888"/>
      <c r="E34" s="2888">
        <v>52633</v>
      </c>
      <c r="F34" s="2888">
        <v>13733</v>
      </c>
      <c r="G34" s="2888"/>
      <c r="H34" s="2888">
        <f>B34/E34</f>
        <v>551.95145251078225</v>
      </c>
      <c r="I34" s="2888">
        <f>C34/F34</f>
        <v>478.98759921357316</v>
      </c>
      <c r="J34" s="2888">
        <f>(B34+C34)/(E34+F34)</f>
        <v>536.85317029804423</v>
      </c>
      <c r="K34" s="2918"/>
    </row>
    <row r="35" spans="1:11">
      <c r="A35" s="2889" t="s">
        <v>3287</v>
      </c>
      <c r="B35" s="2888">
        <v>80375540.400000006</v>
      </c>
      <c r="C35" s="2888">
        <v>16629440.300000001</v>
      </c>
      <c r="D35" s="2888"/>
      <c r="E35" s="2888">
        <v>102729</v>
      </c>
      <c r="F35" s="2888">
        <v>23347</v>
      </c>
      <c r="G35" s="2888"/>
      <c r="H35" s="2888">
        <f>B35/E35</f>
        <v>782.40360949683156</v>
      </c>
      <c r="I35" s="2888">
        <f>C35/F35</f>
        <v>712.27311003555064</v>
      </c>
      <c r="J35" s="2888">
        <f>(B35+C35)/(E35+F35)</f>
        <v>769.4167065896761</v>
      </c>
      <c r="K35" s="2918"/>
    </row>
    <row r="36" spans="1:11">
      <c r="A36" s="2889" t="s">
        <v>3288</v>
      </c>
      <c r="B36" s="2888">
        <v>232625687.80000001</v>
      </c>
      <c r="C36" s="2888">
        <v>37381181.200000003</v>
      </c>
      <c r="D36" s="2888"/>
      <c r="E36" s="2888">
        <v>273094</v>
      </c>
      <c r="F36" s="2888">
        <v>51258</v>
      </c>
      <c r="G36" s="2888"/>
      <c r="H36" s="2888">
        <f t="shared" ref="H36:I47" si="0">B36/E36</f>
        <v>851.81544742835808</v>
      </c>
      <c r="I36" s="2888">
        <f t="shared" si="0"/>
        <v>729.2750634047369</v>
      </c>
      <c r="J36" s="2888">
        <f t="shared" ref="J36:J47" si="1">(B36+C36)/(E36+F36)</f>
        <v>832.45014367107342</v>
      </c>
      <c r="K36" s="2918"/>
    </row>
    <row r="37" spans="1:11">
      <c r="A37" s="2889" t="s">
        <v>3289</v>
      </c>
      <c r="B37" s="2888">
        <v>333814219.30000001</v>
      </c>
      <c r="C37" s="2888">
        <v>71621748.299999997</v>
      </c>
      <c r="D37" s="2888"/>
      <c r="E37" s="2888">
        <v>358726</v>
      </c>
      <c r="F37" s="2888">
        <v>78518</v>
      </c>
      <c r="G37" s="2888"/>
      <c r="H37" s="2888">
        <f t="shared" si="0"/>
        <v>930.55485049870936</v>
      </c>
      <c r="I37" s="2888">
        <f t="shared" si="0"/>
        <v>912.16979928169337</v>
      </c>
      <c r="J37" s="2888">
        <f t="shared" si="1"/>
        <v>927.25335876535758</v>
      </c>
      <c r="K37" s="2918"/>
    </row>
    <row r="38" spans="1:11">
      <c r="A38" s="2889" t="s">
        <v>3290</v>
      </c>
      <c r="B38" s="2888">
        <v>411935396</v>
      </c>
      <c r="C38" s="2888">
        <v>87428920.900000006</v>
      </c>
      <c r="D38" s="2888"/>
      <c r="E38" s="2888">
        <v>387416</v>
      </c>
      <c r="F38" s="2888">
        <v>87025</v>
      </c>
      <c r="G38" s="2888"/>
      <c r="H38" s="2888">
        <f t="shared" si="0"/>
        <v>1063.2895801928676</v>
      </c>
      <c r="I38" s="2888">
        <f t="shared" si="0"/>
        <v>1004.6414352197645</v>
      </c>
      <c r="J38" s="2888">
        <f t="shared" si="1"/>
        <v>1052.5319626676446</v>
      </c>
      <c r="K38" s="2918"/>
    </row>
    <row r="39" spans="1:11">
      <c r="A39" s="2889" t="s">
        <v>3291</v>
      </c>
      <c r="B39" s="2888">
        <v>775502478.70000005</v>
      </c>
      <c r="C39" s="2888">
        <v>221355988.30000001</v>
      </c>
      <c r="D39" s="2888"/>
      <c r="E39" s="2888">
        <v>652448</v>
      </c>
      <c r="F39" s="2888">
        <v>170178</v>
      </c>
      <c r="G39" s="2888"/>
      <c r="H39" s="2888">
        <f t="shared" si="0"/>
        <v>1188.6042699188288</v>
      </c>
      <c r="I39" s="2888">
        <f t="shared" si="0"/>
        <v>1300.7321057951087</v>
      </c>
      <c r="J39" s="2888">
        <f t="shared" si="1"/>
        <v>1211.8003406165135</v>
      </c>
      <c r="K39" s="2918"/>
    </row>
    <row r="40" spans="1:11">
      <c r="A40" s="2889" t="s">
        <v>3292</v>
      </c>
      <c r="B40" s="2888">
        <v>729489351.5</v>
      </c>
      <c r="C40" s="2888">
        <v>196540912.90000001</v>
      </c>
      <c r="D40" s="2888"/>
      <c r="E40" s="2888">
        <v>600642</v>
      </c>
      <c r="F40" s="2888">
        <v>163598</v>
      </c>
      <c r="G40" s="2888"/>
      <c r="H40" s="2888">
        <f t="shared" si="0"/>
        <v>1214.5160536559215</v>
      </c>
      <c r="I40" s="2888">
        <f t="shared" si="0"/>
        <v>1201.3650099634469</v>
      </c>
      <c r="J40" s="2888">
        <f t="shared" si="1"/>
        <v>1211.7008588924946</v>
      </c>
      <c r="K40" s="2918"/>
    </row>
    <row r="41" spans="1:11">
      <c r="A41" s="2889" t="s">
        <v>3293</v>
      </c>
      <c r="B41" s="2888">
        <v>831788625.89999998</v>
      </c>
      <c r="C41" s="2888">
        <v>296034215.5</v>
      </c>
      <c r="D41" s="2888"/>
      <c r="E41" s="2888">
        <v>575612</v>
      </c>
      <c r="F41" s="2888">
        <v>183813</v>
      </c>
      <c r="G41" s="2888"/>
      <c r="H41" s="2888">
        <f t="shared" si="0"/>
        <v>1445.0508778482726</v>
      </c>
      <c r="I41" s="2888">
        <f t="shared" si="0"/>
        <v>1610.5183828129675</v>
      </c>
      <c r="J41" s="2888">
        <f t="shared" si="1"/>
        <v>1485.1010190604736</v>
      </c>
      <c r="K41" s="2918"/>
    </row>
    <row r="42" spans="1:11">
      <c r="A42" s="2889" t="s">
        <v>3294</v>
      </c>
      <c r="B42" s="2888">
        <v>661459571.10000002</v>
      </c>
      <c r="C42" s="2888">
        <v>380412592.30000001</v>
      </c>
      <c r="D42" s="2888"/>
      <c r="E42" s="2888">
        <v>406215</v>
      </c>
      <c r="F42" s="2888">
        <v>191916</v>
      </c>
      <c r="G42" s="2888"/>
      <c r="H42" s="2888">
        <f t="shared" si="0"/>
        <v>1628.3484634983938</v>
      </c>
      <c r="I42" s="2888">
        <f t="shared" si="0"/>
        <v>1982.1827898663998</v>
      </c>
      <c r="J42" s="2888">
        <f t="shared" si="1"/>
        <v>1741.8795604976169</v>
      </c>
      <c r="K42" s="2918"/>
    </row>
    <row r="43" spans="1:11">
      <c r="A43" s="2889" t="s">
        <v>3295</v>
      </c>
      <c r="B43" s="2888">
        <v>377528641.69999999</v>
      </c>
      <c r="C43" s="2888">
        <v>279903630.80000001</v>
      </c>
      <c r="D43" s="2888"/>
      <c r="E43" s="2888">
        <v>262664</v>
      </c>
      <c r="F43" s="2888">
        <v>160936</v>
      </c>
      <c r="G43" s="2888"/>
      <c r="H43" s="2888">
        <f t="shared" si="0"/>
        <v>1437.3063750647214</v>
      </c>
      <c r="I43" s="2888">
        <f t="shared" si="0"/>
        <v>1739.2232365660884</v>
      </c>
      <c r="J43" s="2888">
        <f t="shared" si="1"/>
        <v>1552.011974740321</v>
      </c>
      <c r="K43" s="2918"/>
    </row>
    <row r="44" spans="1:11">
      <c r="A44" s="2889" t="s">
        <v>3296</v>
      </c>
      <c r="B44" s="2888">
        <v>79149716.900000006</v>
      </c>
      <c r="C44" s="2888">
        <v>92097791.5</v>
      </c>
      <c r="D44" s="2888"/>
      <c r="E44" s="2888">
        <v>61409</v>
      </c>
      <c r="F44" s="2888">
        <v>46075</v>
      </c>
      <c r="G44" s="2888"/>
      <c r="H44" s="2888">
        <f t="shared" si="0"/>
        <v>1288.8944112426518</v>
      </c>
      <c r="I44" s="2888">
        <f t="shared" si="0"/>
        <v>1998.8668800868149</v>
      </c>
      <c r="J44" s="2888">
        <f t="shared" si="1"/>
        <v>1593.2372111197947</v>
      </c>
      <c r="K44" s="2918"/>
    </row>
    <row r="45" spans="1:11">
      <c r="A45" s="2889" t="s">
        <v>3297</v>
      </c>
      <c r="B45" s="2888">
        <v>10055103.6</v>
      </c>
      <c r="C45" s="2888">
        <v>18772967</v>
      </c>
      <c r="D45" s="2888"/>
      <c r="E45" s="2888">
        <v>9262</v>
      </c>
      <c r="F45" s="2888">
        <v>7134</v>
      </c>
      <c r="G45" s="2888"/>
      <c r="H45" s="2888">
        <f t="shared" si="0"/>
        <v>1085.6298423666594</v>
      </c>
      <c r="I45" s="2888">
        <f t="shared" si="0"/>
        <v>2631.478413232408</v>
      </c>
      <c r="J45" s="2888">
        <f t="shared" si="1"/>
        <v>1758.2380214686509</v>
      </c>
      <c r="K45" s="2918"/>
    </row>
    <row r="46" spans="1:11">
      <c r="A46" s="2889" t="s">
        <v>3298</v>
      </c>
      <c r="B46" s="2888">
        <v>9296450</v>
      </c>
      <c r="C46" s="2888">
        <v>4412737.9000000004</v>
      </c>
      <c r="D46" s="2888"/>
      <c r="E46" s="2888">
        <v>10399</v>
      </c>
      <c r="F46" s="2888">
        <v>3662</v>
      </c>
      <c r="G46" s="2888"/>
      <c r="H46" s="2888">
        <f t="shared" si="0"/>
        <v>893.97538224829316</v>
      </c>
      <c r="I46" s="2888">
        <f t="shared" si="0"/>
        <v>1205.0076187875479</v>
      </c>
      <c r="J46" s="2888">
        <f t="shared" si="1"/>
        <v>974.97958182206105</v>
      </c>
      <c r="K46" s="2918"/>
    </row>
    <row r="47" spans="1:11">
      <c r="A47" s="2890" t="s">
        <v>3299</v>
      </c>
      <c r="B47" s="2888">
        <v>45.6</v>
      </c>
      <c r="C47" s="2888">
        <v>2432.3000000000002</v>
      </c>
      <c r="D47" s="2888"/>
      <c r="E47" s="2888">
        <v>1</v>
      </c>
      <c r="F47" s="2888">
        <v>4</v>
      </c>
      <c r="G47" s="2888"/>
      <c r="H47" s="2888">
        <f t="shared" si="0"/>
        <v>45.6</v>
      </c>
      <c r="I47" s="2888">
        <f t="shared" si="0"/>
        <v>608.07500000000005</v>
      </c>
      <c r="J47" s="2888">
        <f t="shared" si="1"/>
        <v>495.58000000000004</v>
      </c>
      <c r="K47" s="2919"/>
    </row>
    <row r="48" spans="1:11">
      <c r="A48" s="2891" t="s">
        <v>625</v>
      </c>
      <c r="B48" s="2892">
        <f>SUM(B34:B47)</f>
        <v>4562071689.3000002</v>
      </c>
      <c r="C48" s="2892">
        <f>SUM(C34:C47)</f>
        <v>1709172495.9000001</v>
      </c>
      <c r="D48" s="2892"/>
      <c r="E48" s="2892">
        <f>SUM(E34:E47)</f>
        <v>3753250</v>
      </c>
      <c r="F48" s="2892">
        <f>SUM(F34:F47)</f>
        <v>1181197</v>
      </c>
      <c r="G48" s="1521"/>
      <c r="H48" s="1521">
        <f>B48/E48</f>
        <v>1215.4990179977353</v>
      </c>
      <c r="I48" s="1521">
        <f>C48/F48</f>
        <v>1446.9834379023991</v>
      </c>
      <c r="J48" s="1521">
        <f>(B48+C48)/(E48+F48)</f>
        <v>1270.9112460220974</v>
      </c>
      <c r="K48" s="2918"/>
    </row>
    <row r="49" spans="1:11">
      <c r="A49" s="2168"/>
      <c r="B49" s="1139"/>
      <c r="C49" s="1139"/>
      <c r="D49" s="1139"/>
      <c r="E49" s="1139"/>
      <c r="F49" s="1139"/>
      <c r="G49" s="1139"/>
      <c r="H49" s="1139"/>
      <c r="I49" s="1139"/>
      <c r="J49" s="2131"/>
      <c r="K49" s="1139"/>
    </row>
    <row r="50" spans="1:11">
      <c r="A50" s="1139"/>
      <c r="B50" s="1139"/>
      <c r="C50" s="1139"/>
      <c r="D50" s="1139"/>
      <c r="E50" s="1139"/>
      <c r="F50" s="1139"/>
      <c r="G50" s="1139"/>
      <c r="H50" s="1139"/>
      <c r="I50" s="1139"/>
      <c r="J50" s="2131"/>
      <c r="K50" s="1139"/>
    </row>
    <row r="51" spans="1:11">
      <c r="A51" s="1139"/>
      <c r="B51" s="2893"/>
      <c r="C51" s="2893"/>
      <c r="D51" s="2893"/>
      <c r="E51" s="2893"/>
      <c r="F51" s="1139"/>
      <c r="G51" s="1139"/>
      <c r="H51" s="1139"/>
      <c r="I51" s="1139"/>
      <c r="J51" s="2131"/>
      <c r="K51" s="1139"/>
    </row>
    <row r="52" spans="1:11">
      <c r="A52" s="1139"/>
      <c r="B52" s="1139"/>
      <c r="C52" s="1139"/>
      <c r="D52" s="1139"/>
      <c r="E52" s="1139"/>
      <c r="F52" s="1139"/>
      <c r="G52" s="1139"/>
      <c r="H52" s="1139"/>
      <c r="I52" s="1139"/>
      <c r="J52" s="2131"/>
      <c r="K52" s="1139"/>
    </row>
    <row r="53" spans="1:11">
      <c r="A53" s="2876" t="s">
        <v>3300</v>
      </c>
      <c r="B53" s="1138"/>
      <c r="C53" s="1138"/>
      <c r="D53" s="1138"/>
      <c r="E53" s="1139"/>
      <c r="F53" s="1139"/>
      <c r="G53" s="1139"/>
      <c r="H53" s="1139"/>
      <c r="I53" s="1139"/>
      <c r="J53" s="2131"/>
      <c r="K53" s="1139"/>
    </row>
    <row r="54" spans="1:11">
      <c r="A54" s="894" t="s">
        <v>3301</v>
      </c>
      <c r="B54" s="1138"/>
      <c r="C54" s="1138"/>
      <c r="D54" s="1138"/>
      <c r="E54" s="1139"/>
      <c r="F54" s="1139"/>
      <c r="G54" s="1139"/>
      <c r="H54" s="1139"/>
      <c r="I54" s="1139"/>
      <c r="J54" s="2131"/>
      <c r="K54" s="1139"/>
    </row>
    <row r="55" spans="1:11">
      <c r="A55" s="878" t="s">
        <v>3302</v>
      </c>
      <c r="B55" s="1138"/>
      <c r="C55" s="1138"/>
      <c r="D55" s="1138"/>
      <c r="E55" s="1139"/>
      <c r="F55" s="1139"/>
      <c r="G55" s="1139"/>
      <c r="H55" s="1139"/>
      <c r="I55" s="1139"/>
      <c r="J55" s="2131"/>
      <c r="K55" s="1139"/>
    </row>
    <row r="56" spans="1:11">
      <c r="A56" s="1140"/>
      <c r="B56" s="1487"/>
      <c r="C56" s="1487"/>
      <c r="D56" s="1487"/>
      <c r="E56" s="1140"/>
      <c r="F56" s="1140"/>
      <c r="G56" s="1140"/>
      <c r="H56" s="1140"/>
      <c r="I56" s="1140"/>
      <c r="J56" s="2131"/>
      <c r="K56" s="1139"/>
    </row>
    <row r="57" spans="1:11">
      <c r="A57" s="2894" t="s">
        <v>3303</v>
      </c>
      <c r="B57" s="2881"/>
      <c r="C57" s="2895" t="s">
        <v>618</v>
      </c>
      <c r="D57" s="2895"/>
      <c r="E57" s="2878"/>
      <c r="F57" s="2895" t="s">
        <v>619</v>
      </c>
      <c r="G57" s="2895"/>
      <c r="H57" s="2878"/>
      <c r="I57" s="2895" t="s">
        <v>620</v>
      </c>
      <c r="J57" s="2167"/>
      <c r="K57" s="1466"/>
    </row>
    <row r="58" spans="1:11">
      <c r="A58" s="2896" t="s">
        <v>3304</v>
      </c>
      <c r="B58" s="2897"/>
      <c r="C58" s="2898">
        <v>4562071689.3000002</v>
      </c>
      <c r="D58" s="2898"/>
      <c r="E58" s="2898"/>
      <c r="F58" s="2898">
        <v>3753250</v>
      </c>
      <c r="G58" s="2898"/>
      <c r="H58" s="2899"/>
      <c r="I58" s="2898">
        <f>C58/F58</f>
        <v>1215.4990179977353</v>
      </c>
      <c r="J58" s="2900"/>
      <c r="K58" s="2131"/>
    </row>
    <row r="59" spans="1:11">
      <c r="A59" s="2901" t="s">
        <v>3305</v>
      </c>
      <c r="B59" s="2897"/>
      <c r="C59" s="2888">
        <v>1482792208.5999999</v>
      </c>
      <c r="D59" s="2888"/>
      <c r="E59" s="2888"/>
      <c r="F59" s="2888">
        <v>1268136</v>
      </c>
      <c r="G59" s="2888"/>
      <c r="H59" s="2902"/>
      <c r="I59" s="2888">
        <f t="shared" ref="I59:I65" si="2">C59/F59</f>
        <v>1169.2690757142766</v>
      </c>
      <c r="J59" s="2900"/>
      <c r="K59" s="2131"/>
    </row>
    <row r="60" spans="1:11">
      <c r="A60" s="2903" t="s">
        <v>3306</v>
      </c>
      <c r="B60" s="2904"/>
      <c r="C60" s="2888">
        <v>3079279480.6999998</v>
      </c>
      <c r="D60" s="2888"/>
      <c r="E60" s="2888"/>
      <c r="F60" s="2888">
        <v>2485114</v>
      </c>
      <c r="G60" s="2888"/>
      <c r="H60" s="2902"/>
      <c r="I60" s="2888">
        <f t="shared" si="2"/>
        <v>1239.0898287563466</v>
      </c>
      <c r="J60" s="2900"/>
      <c r="K60" s="2131"/>
    </row>
    <row r="61" spans="1:11">
      <c r="A61" s="2905" t="s">
        <v>3307</v>
      </c>
      <c r="B61" s="2904"/>
      <c r="C61" s="2888">
        <v>1709172495.9000001</v>
      </c>
      <c r="D61" s="2888"/>
      <c r="E61" s="2888"/>
      <c r="F61" s="2888">
        <v>1181197</v>
      </c>
      <c r="G61" s="2888"/>
      <c r="H61" s="2902"/>
      <c r="I61" s="2906">
        <f t="shared" si="2"/>
        <v>1446.9834379023991</v>
      </c>
      <c r="J61" s="2900"/>
      <c r="K61" s="1139"/>
    </row>
    <row r="62" spans="1:11">
      <c r="A62" s="2905" t="s">
        <v>3308</v>
      </c>
      <c r="B62" s="2904"/>
      <c r="C62" s="2907">
        <v>764708792.39999998</v>
      </c>
      <c r="D62" s="2888"/>
      <c r="E62" s="2888"/>
      <c r="F62" s="2908">
        <v>547784</v>
      </c>
      <c r="G62" s="2888"/>
      <c r="H62" s="2902"/>
      <c r="I62" s="2888">
        <f t="shared" si="2"/>
        <v>1396.0042505805206</v>
      </c>
      <c r="J62" s="2900"/>
      <c r="K62" s="1139"/>
    </row>
    <row r="63" spans="1:11">
      <c r="A63" s="2891" t="s">
        <v>625</v>
      </c>
      <c r="B63" s="2909"/>
      <c r="C63" s="2892">
        <f>C58+C61</f>
        <v>6271244185.2000008</v>
      </c>
      <c r="D63" s="2892"/>
      <c r="E63" s="2892"/>
      <c r="F63" s="2892">
        <f>F58+F61</f>
        <v>4934447</v>
      </c>
      <c r="G63" s="2892"/>
      <c r="H63" s="2892"/>
      <c r="I63" s="2892">
        <f t="shared" si="2"/>
        <v>1270.9112460220974</v>
      </c>
      <c r="J63" s="2900"/>
      <c r="K63" s="2920"/>
    </row>
    <row r="64" spans="1:11">
      <c r="A64" s="2896" t="s">
        <v>3309</v>
      </c>
      <c r="B64" s="2888"/>
      <c r="C64" s="2888">
        <v>529797413.19999999</v>
      </c>
      <c r="D64" s="2888"/>
      <c r="E64" s="2888"/>
      <c r="F64" s="2888">
        <v>279219</v>
      </c>
      <c r="G64" s="2902"/>
      <c r="H64" s="2898"/>
      <c r="I64" s="2898">
        <f t="shared" si="2"/>
        <v>1897.4260820359646</v>
      </c>
      <c r="J64" s="2900"/>
      <c r="K64" s="1139"/>
    </row>
    <row r="65" spans="1:11">
      <c r="A65" s="2910" t="s">
        <v>3310</v>
      </c>
      <c r="B65" s="2911"/>
      <c r="C65" s="2912">
        <v>105018616.2</v>
      </c>
      <c r="D65" s="2912"/>
      <c r="E65" s="2913"/>
      <c r="F65" s="2912">
        <v>15468</v>
      </c>
      <c r="G65" s="2912"/>
      <c r="H65" s="2913"/>
      <c r="I65" s="2914">
        <f t="shared" si="2"/>
        <v>6789.4114429790534</v>
      </c>
      <c r="J65" s="2900"/>
      <c r="K65" s="1139"/>
    </row>
    <row r="66" spans="1:11">
      <c r="A66" s="2915"/>
      <c r="B66" s="2131"/>
      <c r="C66" s="2131"/>
      <c r="D66" s="2131"/>
      <c r="E66" s="2131"/>
      <c r="F66" s="2131"/>
      <c r="G66" s="2131"/>
      <c r="H66" s="2131"/>
      <c r="I66" s="2131"/>
      <c r="J66" s="2131"/>
      <c r="K66" s="1139"/>
    </row>
    <row r="67" spans="1:11">
      <c r="A67" s="2131"/>
      <c r="B67" s="2131"/>
      <c r="C67" s="2131"/>
      <c r="D67" s="2131"/>
      <c r="E67" s="2131"/>
      <c r="F67" s="2131"/>
      <c r="G67" s="2131"/>
      <c r="H67" s="2131"/>
      <c r="I67" s="2131"/>
      <c r="J67" s="2131"/>
      <c r="K67" s="1139"/>
    </row>
    <row r="68" spans="1:11">
      <c r="A68" s="2131"/>
      <c r="B68" s="2131"/>
      <c r="C68" s="2131"/>
      <c r="D68" s="2131"/>
      <c r="E68" s="2131"/>
      <c r="F68" s="2131"/>
      <c r="G68" s="2131"/>
      <c r="H68" s="2131"/>
      <c r="I68" s="2131"/>
      <c r="J68" s="2131"/>
      <c r="K68" s="1139"/>
    </row>
    <row r="70" spans="1:11">
      <c r="A70" s="2855"/>
      <c r="B70" s="2131"/>
      <c r="C70" s="2131"/>
      <c r="D70" s="2131"/>
      <c r="E70" s="2131"/>
      <c r="F70" s="2131"/>
      <c r="G70" s="2131"/>
      <c r="H70" s="2131"/>
      <c r="I70" s="2921"/>
      <c r="J70" s="2921"/>
      <c r="K70" s="2131"/>
    </row>
    <row r="71" spans="1:11">
      <c r="A71" s="2922" t="s">
        <v>3313</v>
      </c>
      <c r="B71" s="1469"/>
      <c r="C71" s="1469"/>
      <c r="D71" s="1469"/>
      <c r="E71" s="1469"/>
      <c r="F71" s="1469"/>
      <c r="G71" s="1469"/>
      <c r="H71" s="2131"/>
      <c r="I71" s="2131"/>
      <c r="J71" s="2131"/>
      <c r="K71" s="2131"/>
    </row>
    <row r="72" spans="1:11">
      <c r="A72" s="1015" t="s">
        <v>3314</v>
      </c>
      <c r="B72" s="1469"/>
      <c r="C72" s="1469"/>
      <c r="D72" s="1469"/>
      <c r="E72" s="1469"/>
      <c r="F72" s="1469"/>
      <c r="G72" s="1469"/>
      <c r="H72" s="2131"/>
      <c r="I72" s="2131"/>
      <c r="J72" s="2131"/>
      <c r="K72" s="2131"/>
    </row>
    <row r="73" spans="1:11">
      <c r="A73" s="880" t="s">
        <v>3315</v>
      </c>
      <c r="B73" s="1469"/>
      <c r="C73" s="1469"/>
      <c r="D73" s="1469"/>
      <c r="E73" s="1469"/>
      <c r="F73" s="1469"/>
      <c r="G73" s="1469"/>
      <c r="H73" s="2131"/>
      <c r="I73" s="2131"/>
      <c r="J73" s="2131"/>
      <c r="K73" s="2131"/>
    </row>
    <row r="74" spans="1:11">
      <c r="A74" s="1140"/>
      <c r="B74" s="1487"/>
      <c r="C74" s="1487"/>
      <c r="D74" s="1487"/>
      <c r="E74" s="1487"/>
      <c r="F74" s="1487"/>
      <c r="G74" s="1487"/>
      <c r="H74" s="1140"/>
      <c r="I74" s="1140"/>
      <c r="J74" s="1140"/>
      <c r="K74" s="1140"/>
    </row>
    <row r="75" spans="1:11">
      <c r="A75" s="2855"/>
      <c r="B75" s="2877" t="s">
        <v>618</v>
      </c>
      <c r="C75" s="2877"/>
      <c r="D75" s="2855"/>
      <c r="E75" s="2877" t="s">
        <v>619</v>
      </c>
      <c r="F75" s="2877"/>
      <c r="G75" s="2923"/>
      <c r="H75" s="2877" t="s">
        <v>620</v>
      </c>
      <c r="I75" s="2877"/>
      <c r="J75" s="2877"/>
      <c r="K75" s="2924"/>
    </row>
    <row r="76" spans="1:11">
      <c r="A76" s="2131" t="s">
        <v>3316</v>
      </c>
      <c r="B76" s="2925" t="s">
        <v>621</v>
      </c>
      <c r="C76" s="2925" t="s">
        <v>622</v>
      </c>
      <c r="D76" s="2925"/>
      <c r="E76" s="2925" t="s">
        <v>621</v>
      </c>
      <c r="F76" s="2925" t="s">
        <v>622</v>
      </c>
      <c r="G76" s="2925"/>
      <c r="H76" s="2925" t="s">
        <v>621</v>
      </c>
      <c r="I76" s="2925" t="s">
        <v>622</v>
      </c>
      <c r="J76" s="2925"/>
      <c r="K76" s="2167"/>
    </row>
    <row r="77" spans="1:11">
      <c r="A77" s="756" t="s">
        <v>3317</v>
      </c>
      <c r="B77" s="2848" t="s">
        <v>624</v>
      </c>
      <c r="C77" s="2848" t="s">
        <v>624</v>
      </c>
      <c r="D77" s="2848"/>
      <c r="E77" s="2848" t="s">
        <v>624</v>
      </c>
      <c r="F77" s="2848" t="s">
        <v>624</v>
      </c>
      <c r="G77" s="2848"/>
      <c r="H77" s="2848" t="s">
        <v>624</v>
      </c>
      <c r="I77" s="2848" t="s">
        <v>624</v>
      </c>
      <c r="J77" s="2848"/>
      <c r="K77" s="2886" t="s">
        <v>625</v>
      </c>
    </row>
    <row r="78" spans="1:11">
      <c r="A78" s="2926" t="s">
        <v>3318</v>
      </c>
      <c r="B78" s="2888">
        <v>339641784.39999998</v>
      </c>
      <c r="C78" s="2888">
        <v>90544792.599999994</v>
      </c>
      <c r="D78" s="2888"/>
      <c r="E78" s="2888">
        <v>555463</v>
      </c>
      <c r="F78" s="2888">
        <v>179007</v>
      </c>
      <c r="G78" s="2927"/>
      <c r="H78" s="2927">
        <f>B78/E78</f>
        <v>611.45708066963948</v>
      </c>
      <c r="I78" s="2927">
        <f>C78/F78</f>
        <v>505.81704961258492</v>
      </c>
      <c r="J78" s="2927"/>
      <c r="K78" s="2927">
        <f>(B78+C78)/(E78+F78)</f>
        <v>585.7102087219356</v>
      </c>
    </row>
    <row r="79" spans="1:11">
      <c r="A79" s="2903">
        <v>1993</v>
      </c>
      <c r="B79" s="2888">
        <v>61809290.399999999</v>
      </c>
      <c r="C79" s="2888">
        <v>15616615</v>
      </c>
      <c r="D79" s="2888"/>
      <c r="E79" s="2888">
        <v>69199</v>
      </c>
      <c r="F79" s="2888">
        <v>19866</v>
      </c>
      <c r="G79" s="2888"/>
      <c r="H79" s="2888">
        <f>B79/E79</f>
        <v>893.21074582002632</v>
      </c>
      <c r="I79" s="2888">
        <f>C79/F79</f>
        <v>786.09760394644115</v>
      </c>
      <c r="J79" s="2888"/>
      <c r="K79" s="2888">
        <f>(B79+C79)/(E79+F79)</f>
        <v>869.31909728849723</v>
      </c>
    </row>
    <row r="80" spans="1:11">
      <c r="A80" s="2903">
        <v>1994</v>
      </c>
      <c r="B80" s="2888">
        <v>84259921.900000006</v>
      </c>
      <c r="C80" s="2888">
        <v>19674628</v>
      </c>
      <c r="D80" s="2888"/>
      <c r="E80" s="2888">
        <v>90533</v>
      </c>
      <c r="F80" s="2888">
        <v>24044</v>
      </c>
      <c r="G80" s="2888"/>
      <c r="H80" s="2888">
        <f t="shared" ref="H80:I99" si="3">B80/E80</f>
        <v>930.70948604376315</v>
      </c>
      <c r="I80" s="2888">
        <f t="shared" si="3"/>
        <v>818.27599401097984</v>
      </c>
      <c r="J80" s="2888"/>
      <c r="K80" s="2888">
        <f t="shared" ref="K80:K98" si="4">(B80+C80)/(E80+F80)</f>
        <v>907.11530150030114</v>
      </c>
    </row>
    <row r="81" spans="1:11">
      <c r="A81" s="2903">
        <v>1995</v>
      </c>
      <c r="B81" s="2888">
        <v>118051947.2</v>
      </c>
      <c r="C81" s="2888">
        <v>26101522.699999999</v>
      </c>
      <c r="D81" s="2888"/>
      <c r="E81" s="2888">
        <v>117872</v>
      </c>
      <c r="F81" s="2888">
        <v>28839</v>
      </c>
      <c r="G81" s="2888"/>
      <c r="H81" s="2888">
        <f t="shared" si="3"/>
        <v>1001.5266322790824</v>
      </c>
      <c r="I81" s="2888">
        <f t="shared" si="3"/>
        <v>905.0772460903637</v>
      </c>
      <c r="J81" s="2888"/>
      <c r="K81" s="2888">
        <f t="shared" si="4"/>
        <v>982.56756412266293</v>
      </c>
    </row>
    <row r="82" spans="1:11">
      <c r="A82" s="2903">
        <v>1996</v>
      </c>
      <c r="B82" s="2888">
        <v>137130609.59999999</v>
      </c>
      <c r="C82" s="2888">
        <v>29050036.5</v>
      </c>
      <c r="D82" s="2888"/>
      <c r="E82" s="2888">
        <v>127779</v>
      </c>
      <c r="F82" s="2888">
        <v>28969</v>
      </c>
      <c r="G82" s="2888"/>
      <c r="H82" s="2888">
        <f t="shared" si="3"/>
        <v>1073.1858098748621</v>
      </c>
      <c r="I82" s="2888">
        <f t="shared" si="3"/>
        <v>1002.7973523421589</v>
      </c>
      <c r="J82" s="2888"/>
      <c r="K82" s="2888">
        <f t="shared" si="4"/>
        <v>1060.1771384642866</v>
      </c>
    </row>
    <row r="83" spans="1:11">
      <c r="A83" s="2903">
        <v>1997</v>
      </c>
      <c r="B83" s="2888">
        <v>200498055.09999999</v>
      </c>
      <c r="C83" s="2888">
        <v>40858320.899999999</v>
      </c>
      <c r="D83" s="2888"/>
      <c r="E83" s="2888">
        <v>179503</v>
      </c>
      <c r="F83" s="2888">
        <v>37739</v>
      </c>
      <c r="G83" s="2888"/>
      <c r="H83" s="2888">
        <f t="shared" si="3"/>
        <v>1116.9621404656189</v>
      </c>
      <c r="I83" s="2888">
        <f t="shared" si="3"/>
        <v>1082.6551021489706</v>
      </c>
      <c r="J83" s="2888"/>
      <c r="K83" s="2888">
        <f t="shared" si="4"/>
        <v>1111.002366024986</v>
      </c>
    </row>
    <row r="84" spans="1:11">
      <c r="A84" s="2903">
        <v>1998</v>
      </c>
      <c r="B84" s="2888">
        <v>266573394.30000001</v>
      </c>
      <c r="C84" s="2888">
        <v>52801537</v>
      </c>
      <c r="D84" s="2888"/>
      <c r="E84" s="2888">
        <v>227974</v>
      </c>
      <c r="F84" s="2888">
        <v>44484</v>
      </c>
      <c r="G84" s="2888"/>
      <c r="H84" s="2888">
        <f t="shared" si="3"/>
        <v>1169.314896874205</v>
      </c>
      <c r="I84" s="2888">
        <f t="shared" si="3"/>
        <v>1186.9781719269849</v>
      </c>
      <c r="J84" s="2888"/>
      <c r="K84" s="2888">
        <f t="shared" si="4"/>
        <v>1172.198765681316</v>
      </c>
    </row>
    <row r="85" spans="1:11">
      <c r="A85" s="2903">
        <v>1999</v>
      </c>
      <c r="B85" s="2888">
        <v>375575170.19999999</v>
      </c>
      <c r="C85" s="2888">
        <v>68602275.900000006</v>
      </c>
      <c r="D85" s="2888"/>
      <c r="E85" s="2888">
        <v>306271</v>
      </c>
      <c r="F85" s="2888">
        <v>54328</v>
      </c>
      <c r="G85" s="2888"/>
      <c r="H85" s="2888">
        <f t="shared" si="3"/>
        <v>1226.2838146608722</v>
      </c>
      <c r="I85" s="2888">
        <f t="shared" si="3"/>
        <v>1262.7425250331321</v>
      </c>
      <c r="J85" s="2888"/>
      <c r="K85" s="2888">
        <f t="shared" si="4"/>
        <v>1231.7766996026057</v>
      </c>
    </row>
    <row r="86" spans="1:11">
      <c r="A86" s="2903">
        <v>2000</v>
      </c>
      <c r="B86" s="2888">
        <v>319680546.80000001</v>
      </c>
      <c r="C86" s="2888">
        <v>59401637</v>
      </c>
      <c r="D86" s="2888"/>
      <c r="E86" s="2888">
        <v>250992</v>
      </c>
      <c r="F86" s="2888">
        <v>44028</v>
      </c>
      <c r="G86" s="2888"/>
      <c r="H86" s="2888">
        <f>B86/E86</f>
        <v>1273.6682714986932</v>
      </c>
      <c r="I86" s="2888">
        <f t="shared" si="3"/>
        <v>1349.1786363223403</v>
      </c>
      <c r="J86" s="2888"/>
      <c r="K86" s="2888">
        <f t="shared" si="4"/>
        <v>1284.9372374754255</v>
      </c>
    </row>
    <row r="87" spans="1:11">
      <c r="A87" s="2903">
        <v>2001</v>
      </c>
      <c r="B87" s="2888">
        <v>265559501</v>
      </c>
      <c r="C87" s="2888">
        <v>51646680.700000003</v>
      </c>
      <c r="D87" s="2888"/>
      <c r="E87" s="2888">
        <v>197712</v>
      </c>
      <c r="F87" s="2888">
        <v>36475</v>
      </c>
      <c r="G87" s="2888"/>
      <c r="H87" s="2888">
        <f t="shared" si="3"/>
        <v>1343.1632930727524</v>
      </c>
      <c r="I87" s="2888">
        <f t="shared" si="3"/>
        <v>1415.9473803975327</v>
      </c>
      <c r="J87" s="2888"/>
      <c r="K87" s="2888">
        <f t="shared" si="4"/>
        <v>1354.499531143915</v>
      </c>
    </row>
    <row r="88" spans="1:11">
      <c r="A88" s="2903">
        <v>2002</v>
      </c>
      <c r="B88" s="2888">
        <v>290799849.30000001</v>
      </c>
      <c r="C88" s="2888">
        <v>60432703.299999997</v>
      </c>
      <c r="D88" s="2888"/>
      <c r="E88" s="2888">
        <v>210835</v>
      </c>
      <c r="F88" s="2888">
        <v>39728</v>
      </c>
      <c r="G88" s="2888"/>
      <c r="H88" s="2888">
        <f t="shared" si="3"/>
        <v>1379.2769193919416</v>
      </c>
      <c r="I88" s="2888">
        <f t="shared" si="3"/>
        <v>1521.1614805678614</v>
      </c>
      <c r="J88" s="2888"/>
      <c r="K88" s="2888">
        <f t="shared" si="4"/>
        <v>1401.7734166656689</v>
      </c>
    </row>
    <row r="89" spans="1:11">
      <c r="A89" s="2903">
        <v>2003</v>
      </c>
      <c r="B89" s="2888">
        <v>308052691.5</v>
      </c>
      <c r="C89" s="2888">
        <v>66954560.600000001</v>
      </c>
      <c r="D89" s="2888"/>
      <c r="E89" s="2888">
        <v>217076</v>
      </c>
      <c r="F89" s="2888">
        <v>41685</v>
      </c>
      <c r="G89" s="2888"/>
      <c r="H89" s="2888">
        <f t="shared" si="3"/>
        <v>1419.1006444747461</v>
      </c>
      <c r="I89" s="2888">
        <f t="shared" si="3"/>
        <v>1606.2027252009116</v>
      </c>
      <c r="J89" s="2888"/>
      <c r="K89" s="2888">
        <f t="shared" si="4"/>
        <v>1449.2417794799062</v>
      </c>
    </row>
    <row r="90" spans="1:11">
      <c r="A90" s="2903">
        <v>2004</v>
      </c>
      <c r="B90" s="2888">
        <v>314872858.30000001</v>
      </c>
      <c r="C90" s="2888">
        <v>75638278.299999997</v>
      </c>
      <c r="D90" s="2888"/>
      <c r="E90" s="2888">
        <v>215613</v>
      </c>
      <c r="F90" s="2888">
        <v>44455</v>
      </c>
      <c r="G90" s="2888"/>
      <c r="H90" s="2888">
        <f t="shared" si="3"/>
        <v>1460.3611948259149</v>
      </c>
      <c r="I90" s="2888">
        <f t="shared" si="3"/>
        <v>1701.4571656731525</v>
      </c>
      <c r="J90" s="2888"/>
      <c r="K90" s="2888">
        <f t="shared" si="4"/>
        <v>1501.5731908577757</v>
      </c>
    </row>
    <row r="91" spans="1:11">
      <c r="A91" s="2903">
        <v>2005</v>
      </c>
      <c r="B91" s="2888">
        <v>334554092.69999999</v>
      </c>
      <c r="C91" s="2888">
        <v>93411096.200000003</v>
      </c>
      <c r="D91" s="2888"/>
      <c r="E91" s="2888">
        <v>224187</v>
      </c>
      <c r="F91" s="2888">
        <v>51136</v>
      </c>
      <c r="G91" s="2888"/>
      <c r="H91" s="2888">
        <f t="shared" si="3"/>
        <v>1492.299253301931</v>
      </c>
      <c r="I91" s="2888">
        <f t="shared" si="3"/>
        <v>1826.7188712453067</v>
      </c>
      <c r="J91" s="2888"/>
      <c r="K91" s="2888">
        <f t="shared" si="4"/>
        <v>1554.4113237906022</v>
      </c>
    </row>
    <row r="92" spans="1:11">
      <c r="A92" s="2903">
        <v>2006</v>
      </c>
      <c r="B92" s="2888">
        <v>358173175</v>
      </c>
      <c r="C92" s="2888">
        <v>135223801</v>
      </c>
      <c r="D92" s="2888"/>
      <c r="E92" s="2888">
        <v>216016</v>
      </c>
      <c r="F92" s="2888">
        <v>63380</v>
      </c>
      <c r="G92" s="2888"/>
      <c r="H92" s="2888">
        <f t="shared" si="3"/>
        <v>1658.0863223094586</v>
      </c>
      <c r="I92" s="2888">
        <f t="shared" si="3"/>
        <v>2133.540564846955</v>
      </c>
      <c r="J92" s="2888"/>
      <c r="K92" s="2888">
        <f t="shared" si="4"/>
        <v>1765.9414451173245</v>
      </c>
    </row>
    <row r="93" spans="1:11">
      <c r="A93" s="2903">
        <v>2007</v>
      </c>
      <c r="B93" s="2888">
        <v>348867466.89999998</v>
      </c>
      <c r="C93" s="2888">
        <v>219499094.40000001</v>
      </c>
      <c r="D93" s="2888"/>
      <c r="E93" s="2888">
        <v>209877</v>
      </c>
      <c r="F93" s="2888">
        <v>94352</v>
      </c>
      <c r="G93" s="2888"/>
      <c r="H93" s="2888">
        <f t="shared" si="3"/>
        <v>1662.2472538677414</v>
      </c>
      <c r="I93" s="2888">
        <f t="shared" si="3"/>
        <v>2326.3851789045279</v>
      </c>
      <c r="J93" s="2888"/>
      <c r="K93" s="2888">
        <f t="shared" si="4"/>
        <v>1868.2195362703751</v>
      </c>
    </row>
    <row r="94" spans="1:11">
      <c r="A94" s="2903">
        <v>2008</v>
      </c>
      <c r="B94" s="2888">
        <v>227600136.19999999</v>
      </c>
      <c r="C94" s="2888">
        <v>247692134.90000001</v>
      </c>
      <c r="D94" s="2888"/>
      <c r="E94" s="2888">
        <v>141391</v>
      </c>
      <c r="F94" s="2888">
        <v>106928</v>
      </c>
      <c r="G94" s="2888"/>
      <c r="H94" s="2888">
        <f t="shared" si="3"/>
        <v>1609.7215254153375</v>
      </c>
      <c r="I94" s="2888">
        <f t="shared" si="3"/>
        <v>2316.4384903860541</v>
      </c>
      <c r="J94" s="2888"/>
      <c r="K94" s="2888">
        <f t="shared" si="4"/>
        <v>1914.039083195406</v>
      </c>
    </row>
    <row r="95" spans="1:11">
      <c r="A95" s="2903">
        <v>2009</v>
      </c>
      <c r="B95" s="2888">
        <v>142119749.30000001</v>
      </c>
      <c r="C95" s="2888">
        <v>223735165.90000001</v>
      </c>
      <c r="D95" s="2888"/>
      <c r="E95" s="2888">
        <v>95993</v>
      </c>
      <c r="F95" s="2888">
        <v>101418</v>
      </c>
      <c r="G95" s="2888"/>
      <c r="H95" s="2888">
        <f t="shared" si="3"/>
        <v>1480.5220099382248</v>
      </c>
      <c r="I95" s="2888">
        <f t="shared" si="3"/>
        <v>2206.0695921828474</v>
      </c>
      <c r="J95" s="2888"/>
      <c r="K95" s="2888">
        <f t="shared" si="4"/>
        <v>1853.2650926240181</v>
      </c>
    </row>
    <row r="96" spans="1:11">
      <c r="A96" s="2903">
        <v>2010</v>
      </c>
      <c r="B96" s="2888">
        <v>67887959.599999994</v>
      </c>
      <c r="C96" s="2888">
        <v>131789959.8</v>
      </c>
      <c r="D96" s="2888"/>
      <c r="E96" s="2888">
        <v>98457</v>
      </c>
      <c r="F96" s="2888">
        <v>139418</v>
      </c>
      <c r="G96" s="2888"/>
      <c r="H96" s="2888">
        <f t="shared" si="3"/>
        <v>689.51887219801529</v>
      </c>
      <c r="I96" s="2888">
        <f t="shared" si="3"/>
        <v>945.28654693081239</v>
      </c>
      <c r="J96" s="2888"/>
      <c r="K96" s="2888">
        <f t="shared" si="4"/>
        <v>839.42372842879649</v>
      </c>
    </row>
    <row r="97" spans="1:11">
      <c r="A97" s="2903">
        <v>2011</v>
      </c>
      <c r="B97" s="2888">
        <v>39599.4</v>
      </c>
      <c r="C97" s="2888">
        <v>330834.5</v>
      </c>
      <c r="D97" s="2888"/>
      <c r="E97" s="2888">
        <v>185</v>
      </c>
      <c r="F97" s="2888">
        <v>760</v>
      </c>
      <c r="G97" s="2888"/>
      <c r="H97" s="2888">
        <f t="shared" si="3"/>
        <v>214.05081081081082</v>
      </c>
      <c r="I97" s="2888">
        <f t="shared" si="3"/>
        <v>435.30855263157895</v>
      </c>
      <c r="J97" s="2888"/>
      <c r="K97" s="2888">
        <f t="shared" si="4"/>
        <v>391.993544973545</v>
      </c>
    </row>
    <row r="98" spans="1:11">
      <c r="A98" s="2903" t="s">
        <v>3299</v>
      </c>
      <c r="B98" s="2888">
        <v>323890.2</v>
      </c>
      <c r="C98" s="2888">
        <v>166820.70000000001</v>
      </c>
      <c r="D98" s="2888"/>
      <c r="E98" s="2888">
        <v>322</v>
      </c>
      <c r="F98" s="2888">
        <v>158</v>
      </c>
      <c r="G98" s="2888"/>
      <c r="H98" s="2888">
        <f t="shared" si="3"/>
        <v>1005.8701863354038</v>
      </c>
      <c r="I98" s="2888">
        <f t="shared" si="3"/>
        <v>1055.8272151898734</v>
      </c>
      <c r="J98" s="2888"/>
      <c r="K98" s="2888">
        <f t="shared" si="4"/>
        <v>1022.314375</v>
      </c>
    </row>
    <row r="99" spans="1:11">
      <c r="A99" s="2891" t="s">
        <v>2639</v>
      </c>
      <c r="B99" s="2892">
        <f>SUM(B78:B98)</f>
        <v>4562071689.3000002</v>
      </c>
      <c r="C99" s="2892">
        <f>SUM(C78:C98)</f>
        <v>1709172495.9000003</v>
      </c>
      <c r="D99" s="2892"/>
      <c r="E99" s="2892">
        <f>SUM(E78:E98)</f>
        <v>3753250</v>
      </c>
      <c r="F99" s="2892">
        <f>SUM(F78:F98)</f>
        <v>1181197</v>
      </c>
      <c r="G99" s="2892"/>
      <c r="H99" s="2892">
        <f t="shared" si="3"/>
        <v>1215.4990179977353</v>
      </c>
      <c r="I99" s="2892">
        <f t="shared" si="3"/>
        <v>1446.9834379023994</v>
      </c>
      <c r="J99" s="2892"/>
      <c r="K99" s="2892">
        <f>(B99+C99)/(E99+F99)</f>
        <v>1270.9112460220974</v>
      </c>
    </row>
    <row r="100" spans="1:11">
      <c r="A100" s="2915"/>
      <c r="B100" s="2131"/>
      <c r="C100" s="2131"/>
      <c r="D100" s="2131"/>
      <c r="E100" s="2131"/>
      <c r="F100" s="2131"/>
      <c r="G100" s="2131"/>
      <c r="H100" s="2131"/>
      <c r="I100" s="2131"/>
      <c r="J100" s="2131"/>
      <c r="K100" s="2131"/>
    </row>
    <row r="101" spans="1:11">
      <c r="A101" s="2855"/>
      <c r="B101" s="2131"/>
      <c r="C101" s="2907"/>
      <c r="D101" s="2907"/>
      <c r="E101" s="2131"/>
      <c r="F101" s="2882"/>
      <c r="G101" s="2882"/>
      <c r="H101" s="2882"/>
      <c r="I101" s="2131"/>
      <c r="J101" s="2131"/>
      <c r="K101" s="2131"/>
    </row>
    <row r="102" spans="1:11">
      <c r="A102" s="2131"/>
      <c r="B102" s="2131"/>
      <c r="C102" s="2131"/>
      <c r="D102" s="2131"/>
      <c r="E102" s="2131"/>
      <c r="F102" s="2131"/>
      <c r="G102" s="2131"/>
      <c r="H102" s="2131"/>
      <c r="I102" s="2131"/>
      <c r="J102" s="2131"/>
      <c r="K102" s="2131"/>
    </row>
    <row r="103" spans="1:11">
      <c r="A103" s="2876" t="s">
        <v>3319</v>
      </c>
      <c r="B103" s="1138"/>
      <c r="C103" s="1138"/>
      <c r="D103" s="1138"/>
      <c r="E103" s="1139"/>
      <c r="F103" s="1139"/>
      <c r="G103" s="1139"/>
      <c r="H103" s="1139"/>
      <c r="I103" s="1139"/>
      <c r="J103" s="1139"/>
      <c r="K103" s="1139"/>
    </row>
    <row r="104" spans="1:11">
      <c r="A104" s="894" t="s">
        <v>635</v>
      </c>
      <c r="B104" s="1138"/>
      <c r="C104" s="1138"/>
      <c r="D104" s="1138"/>
      <c r="E104" s="1139"/>
      <c r="F104" s="1139"/>
      <c r="G104" s="1139"/>
      <c r="H104" s="1139"/>
      <c r="I104" s="1139"/>
      <c r="J104" s="1139"/>
      <c r="K104" s="1139"/>
    </row>
    <row r="105" spans="1:11">
      <c r="A105" s="878" t="s">
        <v>636</v>
      </c>
      <c r="B105" s="1138"/>
      <c r="C105" s="1138"/>
      <c r="D105" s="1138"/>
      <c r="E105" s="1139"/>
      <c r="F105" s="1139"/>
      <c r="G105" s="1139"/>
      <c r="H105" s="1139"/>
      <c r="I105" s="1139"/>
      <c r="J105" s="1139"/>
      <c r="K105" s="1139"/>
    </row>
    <row r="106" spans="1:11">
      <c r="A106" s="1140"/>
      <c r="B106" s="1487"/>
      <c r="C106" s="1487"/>
      <c r="D106" s="1487"/>
      <c r="E106" s="1140"/>
      <c r="F106" s="1140"/>
      <c r="G106" s="1140"/>
      <c r="H106" s="1140"/>
      <c r="I106" s="1140"/>
      <c r="J106" s="1140"/>
      <c r="K106" s="1140"/>
    </row>
    <row r="107" spans="1:11">
      <c r="A107" s="2131"/>
      <c r="B107" s="2877" t="s">
        <v>618</v>
      </c>
      <c r="C107" s="2877"/>
      <c r="D107" s="2855"/>
      <c r="E107" s="2877" t="s">
        <v>619</v>
      </c>
      <c r="F107" s="2877"/>
      <c r="G107" s="2923"/>
      <c r="H107" s="2877" t="s">
        <v>620</v>
      </c>
      <c r="I107" s="2877"/>
      <c r="J107" s="2877"/>
      <c r="K107" s="2924"/>
    </row>
    <row r="108" spans="1:11">
      <c r="A108" s="2168"/>
      <c r="B108" s="2925" t="s">
        <v>621</v>
      </c>
      <c r="C108" s="2925" t="s">
        <v>622</v>
      </c>
      <c r="D108" s="2925"/>
      <c r="E108" s="2925" t="s">
        <v>621</v>
      </c>
      <c r="F108" s="2925" t="s">
        <v>622</v>
      </c>
      <c r="G108" s="2925"/>
      <c r="H108" s="2925" t="s">
        <v>621</v>
      </c>
      <c r="I108" s="2925" t="s">
        <v>622</v>
      </c>
      <c r="J108" s="2925"/>
      <c r="K108" s="2167"/>
    </row>
    <row r="109" spans="1:11">
      <c r="A109" s="1140" t="s">
        <v>623</v>
      </c>
      <c r="B109" s="2848" t="s">
        <v>624</v>
      </c>
      <c r="C109" s="2848" t="s">
        <v>624</v>
      </c>
      <c r="D109" s="2848"/>
      <c r="E109" s="2848" t="s">
        <v>624</v>
      </c>
      <c r="F109" s="2848" t="s">
        <v>624</v>
      </c>
      <c r="G109" s="2848"/>
      <c r="H109" s="2848" t="s">
        <v>624</v>
      </c>
      <c r="I109" s="2848" t="s">
        <v>624</v>
      </c>
      <c r="J109" s="2848"/>
      <c r="K109" s="2886" t="s">
        <v>625</v>
      </c>
    </row>
    <row r="110" spans="1:11">
      <c r="A110" s="2896" t="s">
        <v>626</v>
      </c>
      <c r="B110" s="2928">
        <v>3678425940.5</v>
      </c>
      <c r="C110" s="2928">
        <v>805780888</v>
      </c>
      <c r="D110" s="2928"/>
      <c r="E110" s="2928">
        <v>3260518</v>
      </c>
      <c r="F110" s="2928">
        <v>737992</v>
      </c>
      <c r="G110" s="2929"/>
      <c r="H110" s="2930">
        <f>B110/E110</f>
        <v>1128.1722537645858</v>
      </c>
      <c r="I110" s="2929">
        <f>C110/F110</f>
        <v>1091.8558575160707</v>
      </c>
      <c r="J110" s="2930"/>
      <c r="K110" s="2929">
        <f t="shared" ref="K110:K117" si="5">(B110+C110)/(E110+F110)</f>
        <v>1121.4694544968002</v>
      </c>
    </row>
    <row r="111" spans="1:11">
      <c r="A111" s="2905" t="s">
        <v>61</v>
      </c>
      <c r="B111" s="2928">
        <v>644207853.79999995</v>
      </c>
      <c r="C111" s="2928">
        <v>659893032.79999995</v>
      </c>
      <c r="D111" s="2928"/>
      <c r="E111" s="2928">
        <v>356787</v>
      </c>
      <c r="F111" s="2928">
        <v>315874</v>
      </c>
      <c r="G111" s="2928"/>
      <c r="H111" s="2928">
        <f>B111/E111</f>
        <v>1805.5810716197618</v>
      </c>
      <c r="I111" s="2928">
        <f>C111/F111</f>
        <v>2089.1020875412346</v>
      </c>
      <c r="J111" s="2928"/>
      <c r="K111" s="2928">
        <f t="shared" si="5"/>
        <v>1938.7193349993531</v>
      </c>
    </row>
    <row r="112" spans="1:11">
      <c r="A112" s="2905" t="s">
        <v>627</v>
      </c>
      <c r="B112" s="2928">
        <v>49783.9</v>
      </c>
      <c r="C112" s="2928">
        <v>103109.5</v>
      </c>
      <c r="D112" s="2928"/>
      <c r="E112" s="2928">
        <v>100</v>
      </c>
      <c r="F112" s="2928">
        <v>128</v>
      </c>
      <c r="G112" s="2928"/>
      <c r="H112" s="2928">
        <f t="shared" ref="H112:I117" si="6">B112/E112</f>
        <v>497.839</v>
      </c>
      <c r="I112" s="2928">
        <f t="shared" si="6"/>
        <v>805.54296875</v>
      </c>
      <c r="J112" s="2928"/>
      <c r="K112" s="2928">
        <f t="shared" si="5"/>
        <v>670.58508771929826</v>
      </c>
    </row>
    <row r="113" spans="1:12" ht="21">
      <c r="A113" s="2931" t="s">
        <v>637</v>
      </c>
      <c r="B113" s="2928">
        <v>212939204.40000001</v>
      </c>
      <c r="C113" s="2928">
        <v>172413695.5</v>
      </c>
      <c r="D113" s="2928"/>
      <c r="E113" s="2928">
        <v>120814</v>
      </c>
      <c r="F113" s="2928">
        <v>95715</v>
      </c>
      <c r="G113" s="2928"/>
      <c r="H113" s="2928">
        <f t="shared" si="6"/>
        <v>1762.5374906881652</v>
      </c>
      <c r="I113" s="2928">
        <f>C113/F113</f>
        <v>1801.3236744501908</v>
      </c>
      <c r="J113" s="2928"/>
      <c r="K113" s="2928">
        <f t="shared" si="5"/>
        <v>1779.6826286548221</v>
      </c>
    </row>
    <row r="114" spans="1:12" ht="21">
      <c r="A114" s="2931" t="s">
        <v>638</v>
      </c>
      <c r="B114" s="2928">
        <v>12526934.5</v>
      </c>
      <c r="C114" s="2928">
        <v>25794457.899999999</v>
      </c>
      <c r="D114" s="2928"/>
      <c r="E114" s="2928">
        <v>7863</v>
      </c>
      <c r="F114" s="2928">
        <v>12465</v>
      </c>
      <c r="G114" s="2928"/>
      <c r="H114" s="2928">
        <f t="shared" si="6"/>
        <v>1593.1494976472084</v>
      </c>
      <c r="I114" s="2928">
        <f t="shared" si="6"/>
        <v>2069.3508142799838</v>
      </c>
      <c r="J114" s="2928"/>
      <c r="K114" s="2928">
        <f t="shared" si="5"/>
        <v>1885.1531090121998</v>
      </c>
    </row>
    <row r="115" spans="1:12">
      <c r="A115" s="2905" t="s">
        <v>205</v>
      </c>
      <c r="B115" s="2928">
        <v>13775709.6</v>
      </c>
      <c r="C115" s="2928">
        <v>45120148.100000001</v>
      </c>
      <c r="D115" s="2928"/>
      <c r="E115" s="2928">
        <v>7001</v>
      </c>
      <c r="F115" s="2928">
        <v>18946</v>
      </c>
      <c r="G115" s="2928"/>
      <c r="H115" s="2928">
        <f t="shared" si="6"/>
        <v>1967.6774175117839</v>
      </c>
      <c r="I115" s="2928">
        <f t="shared" si="6"/>
        <v>2381.5131478940148</v>
      </c>
      <c r="J115" s="2928"/>
      <c r="K115" s="2928">
        <f t="shared" si="5"/>
        <v>2269.8523027710335</v>
      </c>
    </row>
    <row r="116" spans="1:12">
      <c r="A116" s="2905" t="s">
        <v>632</v>
      </c>
      <c r="B116" s="2928">
        <v>146262.6</v>
      </c>
      <c r="C116" s="2928">
        <v>67164.100000000006</v>
      </c>
      <c r="D116" s="2928"/>
      <c r="E116" s="2928">
        <v>167</v>
      </c>
      <c r="F116" s="2928">
        <v>77</v>
      </c>
      <c r="G116" s="2928"/>
      <c r="H116" s="2928">
        <f t="shared" si="6"/>
        <v>875.82395209580841</v>
      </c>
      <c r="I116" s="2928">
        <f t="shared" si="6"/>
        <v>872.26103896103905</v>
      </c>
      <c r="J116" s="2928"/>
      <c r="K116" s="2928">
        <f t="shared" si="5"/>
        <v>874.69959016393443</v>
      </c>
    </row>
    <row r="117" spans="1:12">
      <c r="A117" s="2891" t="s">
        <v>625</v>
      </c>
      <c r="B117" s="2892">
        <f>SUM(B110:B116)</f>
        <v>4562071689.3000002</v>
      </c>
      <c r="C117" s="2892">
        <f>SUM(C110:C116)</f>
        <v>1709172495.8999999</v>
      </c>
      <c r="D117" s="2892"/>
      <c r="E117" s="2892">
        <f>SUM(E110:E116)</f>
        <v>3753250</v>
      </c>
      <c r="F117" s="2892">
        <f>SUM(F110:F116)</f>
        <v>1181197</v>
      </c>
      <c r="G117" s="2892"/>
      <c r="H117" s="2932">
        <f t="shared" si="6"/>
        <v>1215.4990179977353</v>
      </c>
      <c r="I117" s="2932">
        <f t="shared" si="6"/>
        <v>1446.9834379023989</v>
      </c>
      <c r="J117" s="2892"/>
      <c r="K117" s="2932">
        <f t="shared" si="5"/>
        <v>1270.9112460220972</v>
      </c>
    </row>
    <row r="118" spans="1:12">
      <c r="A118" s="2131"/>
      <c r="B118" s="2933"/>
      <c r="C118" s="2933"/>
      <c r="D118" s="2933"/>
      <c r="E118" s="2131"/>
      <c r="F118" s="2908"/>
      <c r="G118" s="1142"/>
      <c r="H118" s="2908"/>
      <c r="I118" s="2908"/>
      <c r="J118" s="1142"/>
      <c r="K118" s="1142"/>
    </row>
    <row r="119" spans="1:12">
      <c r="A119" s="2131"/>
      <c r="B119" s="2131"/>
      <c r="C119" s="2934"/>
      <c r="D119" s="2934"/>
      <c r="E119" s="2131"/>
      <c r="F119" s="1142"/>
      <c r="G119" s="1142"/>
      <c r="H119" s="2935"/>
      <c r="I119" s="2908"/>
      <c r="J119" s="1142"/>
      <c r="K119" s="1142"/>
    </row>
    <row r="123" spans="1:12">
      <c r="A123" s="1139"/>
      <c r="B123" s="1139"/>
      <c r="C123" s="1139"/>
      <c r="D123" s="1139"/>
      <c r="E123" s="1139"/>
      <c r="F123" s="1139"/>
      <c r="G123" s="1139"/>
      <c r="H123" s="1139"/>
      <c r="I123" s="1139"/>
      <c r="J123" s="1139"/>
      <c r="K123" s="1139"/>
      <c r="L123" s="1139"/>
    </row>
    <row r="124" spans="1:12">
      <c r="A124" s="2876" t="s">
        <v>3320</v>
      </c>
      <c r="B124" s="1138"/>
      <c r="C124" s="1138"/>
      <c r="D124" s="1138"/>
      <c r="E124" s="1138"/>
      <c r="F124" s="1138"/>
      <c r="G124" s="1138"/>
      <c r="H124" s="1138"/>
      <c r="I124" s="1138"/>
      <c r="J124" s="1139"/>
      <c r="K124" s="1139"/>
      <c r="L124" s="1139"/>
    </row>
    <row r="125" spans="1:12" ht="13.8">
      <c r="A125" s="894" t="s">
        <v>3321</v>
      </c>
      <c r="B125" s="1138"/>
      <c r="C125" s="1138"/>
      <c r="D125" s="1138"/>
      <c r="E125" s="1138"/>
      <c r="F125" s="1138"/>
      <c r="G125" s="1138"/>
      <c r="H125" s="1138"/>
      <c r="I125" s="1138"/>
      <c r="J125" s="1139"/>
      <c r="K125" s="1139"/>
      <c r="L125" s="1139"/>
    </row>
    <row r="126" spans="1:12">
      <c r="A126" s="878" t="s">
        <v>3322</v>
      </c>
      <c r="B126" s="1138"/>
      <c r="C126" s="1138"/>
      <c r="D126" s="1138"/>
      <c r="E126" s="1138"/>
      <c r="F126" s="1138"/>
      <c r="G126" s="1138"/>
      <c r="H126" s="1138"/>
      <c r="I126" s="1138"/>
      <c r="J126" s="1139"/>
      <c r="K126" s="1139"/>
      <c r="L126" s="1139"/>
    </row>
    <row r="127" spans="1:12">
      <c r="A127" s="1140"/>
      <c r="B127" s="1487"/>
      <c r="C127" s="1487"/>
      <c r="D127" s="1487"/>
      <c r="E127" s="1487"/>
      <c r="F127" s="1487"/>
      <c r="G127" s="1487"/>
      <c r="H127" s="1487"/>
      <c r="I127" s="1487"/>
      <c r="J127" s="1140"/>
      <c r="K127" s="1140"/>
      <c r="L127" s="1140"/>
    </row>
    <row r="128" spans="1:12">
      <c r="A128" s="1143"/>
      <c r="B128" s="2923" t="s">
        <v>3283</v>
      </c>
      <c r="C128" s="2923"/>
      <c r="D128" s="2923"/>
      <c r="E128" s="2855"/>
      <c r="F128" s="2855" t="s">
        <v>3323</v>
      </c>
      <c r="G128" s="2855"/>
      <c r="H128" s="2855"/>
      <c r="I128" s="2855"/>
      <c r="J128" s="2923" t="s">
        <v>620</v>
      </c>
      <c r="K128" s="2923"/>
      <c r="L128" s="2923"/>
    </row>
    <row r="129" spans="1:12">
      <c r="A129" s="2131" t="s">
        <v>3316</v>
      </c>
      <c r="B129" s="2923" t="s">
        <v>3324</v>
      </c>
      <c r="C129" s="2846"/>
      <c r="D129" s="2846"/>
      <c r="E129" s="2879"/>
      <c r="F129" s="2936"/>
      <c r="G129" s="2936"/>
      <c r="H129" s="2936"/>
      <c r="I129" s="2847"/>
      <c r="J129" s="2936"/>
      <c r="K129" s="2936"/>
      <c r="L129" s="2936"/>
    </row>
    <row r="130" spans="1:12">
      <c r="A130" s="756" t="s">
        <v>3317</v>
      </c>
      <c r="B130" s="2937">
        <v>-3500</v>
      </c>
      <c r="C130" s="2848" t="s">
        <v>667</v>
      </c>
      <c r="D130" s="2848" t="s">
        <v>625</v>
      </c>
      <c r="E130" s="2848"/>
      <c r="F130" s="2937">
        <v>-3500</v>
      </c>
      <c r="G130" s="2848" t="s">
        <v>667</v>
      </c>
      <c r="H130" s="2848" t="s">
        <v>625</v>
      </c>
      <c r="I130" s="2848"/>
      <c r="J130" s="2937">
        <v>-3500</v>
      </c>
      <c r="K130" s="2848" t="s">
        <v>667</v>
      </c>
      <c r="L130" s="2848" t="s">
        <v>625</v>
      </c>
    </row>
    <row r="131" spans="1:12">
      <c r="A131" s="2938" t="s">
        <v>3318</v>
      </c>
      <c r="B131" s="2888">
        <v>32507764</v>
      </c>
      <c r="C131" s="2888">
        <v>14066521.6</v>
      </c>
      <c r="D131" s="2888">
        <v>46574285.600000001</v>
      </c>
      <c r="E131" s="2882"/>
      <c r="F131" s="1142">
        <v>66395</v>
      </c>
      <c r="G131" s="2882">
        <v>23122</v>
      </c>
      <c r="H131" s="2882">
        <v>89517</v>
      </c>
      <c r="I131" s="2882"/>
      <c r="J131" s="2898">
        <f t="shared" ref="J131:L132" si="7">B131/F131</f>
        <v>489.61162738157992</v>
      </c>
      <c r="K131" s="2898">
        <f t="shared" si="7"/>
        <v>608.36093763515271</v>
      </c>
      <c r="L131" s="2898">
        <f t="shared" si="7"/>
        <v>520.28425438743477</v>
      </c>
    </row>
    <row r="132" spans="1:12">
      <c r="A132" s="2903">
        <v>1993</v>
      </c>
      <c r="B132" s="2888">
        <v>3449938.3</v>
      </c>
      <c r="C132" s="2888">
        <v>707468</v>
      </c>
      <c r="D132" s="2888">
        <v>4157406.3</v>
      </c>
      <c r="E132" s="2888"/>
      <c r="F132" s="2888">
        <v>3837</v>
      </c>
      <c r="G132" s="2888">
        <v>639</v>
      </c>
      <c r="H132" s="2888">
        <v>4476</v>
      </c>
      <c r="I132" s="2888"/>
      <c r="J132" s="2888">
        <f t="shared" si="7"/>
        <v>899.12387281730514</v>
      </c>
      <c r="K132" s="2888">
        <f t="shared" si="7"/>
        <v>1107.1486697965572</v>
      </c>
      <c r="L132" s="2888">
        <f t="shared" si="7"/>
        <v>928.82178284182305</v>
      </c>
    </row>
    <row r="133" spans="1:12">
      <c r="A133" s="2903">
        <v>1994</v>
      </c>
      <c r="B133" s="2888">
        <v>3579848.4</v>
      </c>
      <c r="C133" s="2888">
        <v>606069.19999999995</v>
      </c>
      <c r="D133" s="2888">
        <v>4185917.6</v>
      </c>
      <c r="E133" s="2888"/>
      <c r="F133" s="2888">
        <v>4299</v>
      </c>
      <c r="G133" s="2888">
        <v>544</v>
      </c>
      <c r="H133" s="2888">
        <v>4843</v>
      </c>
      <c r="I133" s="2888"/>
      <c r="J133" s="2898">
        <f>B133/F133</f>
        <v>832.71653872993716</v>
      </c>
      <c r="K133" s="2898">
        <f>C133/G133</f>
        <v>1114.097794117647</v>
      </c>
      <c r="L133" s="2898">
        <f>D133/H133</f>
        <v>864.32327069997939</v>
      </c>
    </row>
    <row r="134" spans="1:12">
      <c r="A134" s="2903">
        <v>1995</v>
      </c>
      <c r="B134" s="2888">
        <v>7022280.7999999998</v>
      </c>
      <c r="C134" s="2888">
        <v>2135640.6</v>
      </c>
      <c r="D134" s="2888">
        <v>9157921.4000000004</v>
      </c>
      <c r="E134" s="2888"/>
      <c r="F134" s="2888">
        <v>8059</v>
      </c>
      <c r="G134" s="2888">
        <v>1359</v>
      </c>
      <c r="H134" s="2888">
        <v>9418</v>
      </c>
      <c r="I134" s="2888"/>
      <c r="J134" s="2888">
        <f t="shared" ref="J134:L151" si="8">B134/F134</f>
        <v>871.35882863878896</v>
      </c>
      <c r="K134" s="2888">
        <f t="shared" si="8"/>
        <v>1571.4794701986755</v>
      </c>
      <c r="L134" s="2888">
        <f t="shared" si="8"/>
        <v>972.38494372478237</v>
      </c>
    </row>
    <row r="135" spans="1:12">
      <c r="A135" s="2903">
        <v>1996</v>
      </c>
      <c r="B135" s="2888">
        <v>10831602.699999999</v>
      </c>
      <c r="C135" s="2888">
        <v>4274961.2</v>
      </c>
      <c r="D135" s="2888">
        <v>15106563.9</v>
      </c>
      <c r="E135" s="2888"/>
      <c r="F135" s="2888">
        <v>11187</v>
      </c>
      <c r="G135" s="2888">
        <v>2246</v>
      </c>
      <c r="H135" s="2888">
        <v>13433</v>
      </c>
      <c r="I135" s="2888"/>
      <c r="J135" s="2888">
        <f t="shared" si="8"/>
        <v>968.23122374184311</v>
      </c>
      <c r="K135" s="2888">
        <f t="shared" si="8"/>
        <v>1903.3665182546752</v>
      </c>
      <c r="L135" s="2888">
        <f t="shared" si="8"/>
        <v>1124.5860120598527</v>
      </c>
    </row>
    <row r="136" spans="1:12">
      <c r="A136" s="2903">
        <v>1997</v>
      </c>
      <c r="B136" s="2888">
        <v>17412664.100000001</v>
      </c>
      <c r="C136" s="2888">
        <v>5464468.5</v>
      </c>
      <c r="D136" s="2888">
        <v>22877132.600000001</v>
      </c>
      <c r="E136" s="2888"/>
      <c r="F136" s="2888">
        <v>16510</v>
      </c>
      <c r="G136" s="2888">
        <v>2532</v>
      </c>
      <c r="H136" s="2888">
        <v>19042</v>
      </c>
      <c r="I136" s="2888"/>
      <c r="J136" s="2888">
        <f t="shared" si="8"/>
        <v>1054.6737795275592</v>
      </c>
      <c r="K136" s="2888">
        <f t="shared" si="8"/>
        <v>2158.1629146919431</v>
      </c>
      <c r="L136" s="2888">
        <f t="shared" si="8"/>
        <v>1201.4038756433149</v>
      </c>
    </row>
    <row r="137" spans="1:12">
      <c r="A137" s="2903">
        <v>1998</v>
      </c>
      <c r="B137" s="2888">
        <v>28427533.100000001</v>
      </c>
      <c r="C137" s="2888">
        <v>7101510</v>
      </c>
      <c r="D137" s="2888">
        <v>35529043.100000001</v>
      </c>
      <c r="E137" s="2888"/>
      <c r="F137" s="2888">
        <v>24879</v>
      </c>
      <c r="G137" s="2888">
        <v>2988</v>
      </c>
      <c r="H137" s="2888">
        <v>27867</v>
      </c>
      <c r="I137" s="2888"/>
      <c r="J137" s="2888">
        <f t="shared" si="8"/>
        <v>1142.6316612404037</v>
      </c>
      <c r="K137" s="2888">
        <f t="shared" si="8"/>
        <v>2376.6767068273093</v>
      </c>
      <c r="L137" s="2888">
        <f t="shared" si="8"/>
        <v>1274.9504108802528</v>
      </c>
    </row>
    <row r="138" spans="1:12">
      <c r="A138" s="2903">
        <v>1999</v>
      </c>
      <c r="B138" s="2888">
        <v>31945450.5</v>
      </c>
      <c r="C138" s="2888">
        <v>11962505.4</v>
      </c>
      <c r="D138" s="2888">
        <v>43907955.899999999</v>
      </c>
      <c r="E138" s="2888"/>
      <c r="F138" s="2888">
        <v>26270</v>
      </c>
      <c r="G138" s="2888">
        <v>4094</v>
      </c>
      <c r="H138" s="2888">
        <v>30364</v>
      </c>
      <c r="I138" s="2888"/>
      <c r="J138" s="2888">
        <f t="shared" si="8"/>
        <v>1216.0430338789495</v>
      </c>
      <c r="K138" s="2888">
        <f t="shared" si="8"/>
        <v>2921.9602833414756</v>
      </c>
      <c r="L138" s="2888">
        <f t="shared" si="8"/>
        <v>1446.0530858911868</v>
      </c>
    </row>
    <row r="139" spans="1:12">
      <c r="A139" s="2903">
        <v>2000</v>
      </c>
      <c r="B139" s="2888">
        <v>34704344.899999999</v>
      </c>
      <c r="C139" s="2888">
        <v>15876619</v>
      </c>
      <c r="D139" s="2888">
        <v>50580963.899999999</v>
      </c>
      <c r="E139" s="2888"/>
      <c r="F139" s="2888">
        <v>27119</v>
      </c>
      <c r="G139" s="2888">
        <v>4775</v>
      </c>
      <c r="H139" s="2888">
        <v>31894</v>
      </c>
      <c r="I139" s="2888"/>
      <c r="J139" s="2888">
        <f t="shared" si="8"/>
        <v>1279.7059220472731</v>
      </c>
      <c r="K139" s="2888">
        <f t="shared" si="8"/>
        <v>3324.9463874345552</v>
      </c>
      <c r="L139" s="2888">
        <f t="shared" si="8"/>
        <v>1585.9084435944064</v>
      </c>
    </row>
    <row r="140" spans="1:12">
      <c r="A140" s="2903">
        <v>2001</v>
      </c>
      <c r="B140" s="2888">
        <v>43763399.799999997</v>
      </c>
      <c r="C140" s="2888">
        <v>17499309.899999999</v>
      </c>
      <c r="D140" s="2888">
        <v>61262709.700000003</v>
      </c>
      <c r="E140" s="2888"/>
      <c r="F140" s="2888">
        <v>31680</v>
      </c>
      <c r="G140" s="2888">
        <v>4588</v>
      </c>
      <c r="H140" s="2888">
        <v>36268</v>
      </c>
      <c r="I140" s="2888"/>
      <c r="J140" s="2888">
        <f t="shared" si="8"/>
        <v>1381.4204482323232</v>
      </c>
      <c r="K140" s="2888">
        <f t="shared" si="8"/>
        <v>3814.1477550130771</v>
      </c>
      <c r="L140" s="2888">
        <f t="shared" si="8"/>
        <v>1689.167026028455</v>
      </c>
    </row>
    <row r="141" spans="1:12">
      <c r="A141" s="2903">
        <v>2002</v>
      </c>
      <c r="B141" s="2888">
        <v>40636236.399999999</v>
      </c>
      <c r="C141" s="2888">
        <v>17393010.399999999</v>
      </c>
      <c r="D141" s="2888">
        <v>58029246.799999997</v>
      </c>
      <c r="E141" s="2888"/>
      <c r="F141" s="2888">
        <v>27125</v>
      </c>
      <c r="G141" s="2888">
        <v>4279</v>
      </c>
      <c r="H141" s="2888">
        <v>31404</v>
      </c>
      <c r="I141" s="2888"/>
      <c r="J141" s="2888">
        <f t="shared" si="8"/>
        <v>1498.1100976958526</v>
      </c>
      <c r="K141" s="2888">
        <f t="shared" si="8"/>
        <v>4064.7371815844822</v>
      </c>
      <c r="L141" s="2888">
        <f t="shared" si="8"/>
        <v>1847.8297923831358</v>
      </c>
    </row>
    <row r="142" spans="1:12">
      <c r="A142" s="2903">
        <v>2003</v>
      </c>
      <c r="B142" s="2888">
        <v>41175455.100000001</v>
      </c>
      <c r="C142" s="2888">
        <v>23408635.399999999</v>
      </c>
      <c r="D142" s="2888">
        <v>64584090.5</v>
      </c>
      <c r="E142" s="2888"/>
      <c r="F142" s="2888">
        <v>25648</v>
      </c>
      <c r="G142" s="2888">
        <v>4776</v>
      </c>
      <c r="H142" s="2888">
        <v>30424</v>
      </c>
      <c r="I142" s="2888"/>
      <c r="J142" s="2888">
        <f t="shared" si="8"/>
        <v>1605.4060784466626</v>
      </c>
      <c r="K142" s="2888">
        <f t="shared" si="8"/>
        <v>4901.3055695142375</v>
      </c>
      <c r="L142" s="2888">
        <f t="shared" si="8"/>
        <v>2122.8007658427559</v>
      </c>
    </row>
    <row r="143" spans="1:12">
      <c r="A143" s="2903">
        <v>2004</v>
      </c>
      <c r="B143" s="2888">
        <v>72413871.400000006</v>
      </c>
      <c r="C143" s="2888">
        <v>28724762.300000001</v>
      </c>
      <c r="D143" s="2888">
        <v>101138633.7</v>
      </c>
      <c r="E143" s="2888"/>
      <c r="F143" s="2888">
        <v>41833</v>
      </c>
      <c r="G143" s="2888">
        <v>4864</v>
      </c>
      <c r="H143" s="2888">
        <v>46697</v>
      </c>
      <c r="I143" s="2888"/>
      <c r="J143" s="2888">
        <f t="shared" si="8"/>
        <v>1731.022671096981</v>
      </c>
      <c r="K143" s="2888">
        <f t="shared" si="8"/>
        <v>5905.5843544407899</v>
      </c>
      <c r="L143" s="2888">
        <f t="shared" si="8"/>
        <v>2165.8486348159413</v>
      </c>
    </row>
    <row r="144" spans="1:12">
      <c r="A144" s="2903">
        <v>2005</v>
      </c>
      <c r="B144" s="2888">
        <v>40769771.600000001</v>
      </c>
      <c r="C144" s="2888">
        <v>40086100.899999999</v>
      </c>
      <c r="D144" s="2888">
        <v>80855872.5</v>
      </c>
      <c r="E144" s="2888"/>
      <c r="F144" s="2888">
        <v>21799</v>
      </c>
      <c r="G144" s="2888">
        <v>5769</v>
      </c>
      <c r="H144" s="2888">
        <v>27568</v>
      </c>
      <c r="I144" s="2888"/>
      <c r="J144" s="2888">
        <f t="shared" si="8"/>
        <v>1870.258800862425</v>
      </c>
      <c r="K144" s="2888">
        <f t="shared" si="8"/>
        <v>6948.5354307505631</v>
      </c>
      <c r="L144" s="2888">
        <f t="shared" si="8"/>
        <v>2932.9611324724319</v>
      </c>
    </row>
    <row r="145" spans="1:12">
      <c r="A145" s="2903">
        <v>2006</v>
      </c>
      <c r="B145" s="2888">
        <v>74271601.700000003</v>
      </c>
      <c r="C145" s="2888">
        <v>48339865.299999997</v>
      </c>
      <c r="D145" s="2888">
        <v>122611467</v>
      </c>
      <c r="E145" s="2888"/>
      <c r="F145" s="2888">
        <v>37130</v>
      </c>
      <c r="G145" s="2888">
        <v>6345</v>
      </c>
      <c r="H145" s="2888">
        <v>43475</v>
      </c>
      <c r="I145" s="2888"/>
      <c r="J145" s="2888">
        <f t="shared" si="8"/>
        <v>2000.3124616213306</v>
      </c>
      <c r="K145" s="2888">
        <f t="shared" si="8"/>
        <v>7618.5760914105595</v>
      </c>
      <c r="L145" s="2888">
        <f t="shared" si="8"/>
        <v>2820.2752616446232</v>
      </c>
    </row>
    <row r="146" spans="1:12">
      <c r="A146" s="2903">
        <v>2007</v>
      </c>
      <c r="B146" s="2888">
        <v>94778015.200000003</v>
      </c>
      <c r="C146" s="2888">
        <v>54339039.299999997</v>
      </c>
      <c r="D146" s="2888">
        <v>149117054.5</v>
      </c>
      <c r="E146" s="2888"/>
      <c r="F146" s="2888">
        <v>43553</v>
      </c>
      <c r="G146" s="2888">
        <v>6884</v>
      </c>
      <c r="H146" s="2888">
        <v>50437</v>
      </c>
      <c r="I146" s="2888"/>
      <c r="J146" s="2888">
        <f t="shared" si="8"/>
        <v>2176.1535416618831</v>
      </c>
      <c r="K146" s="2888">
        <f t="shared" si="8"/>
        <v>7893.5269174898312</v>
      </c>
      <c r="L146" s="2888">
        <f t="shared" si="8"/>
        <v>2956.5012689097289</v>
      </c>
    </row>
    <row r="147" spans="1:12">
      <c r="A147" s="2903">
        <v>2008</v>
      </c>
      <c r="B147" s="2888">
        <v>93250334.5</v>
      </c>
      <c r="C147" s="2888">
        <v>61822031</v>
      </c>
      <c r="D147" s="2888">
        <v>155072365.5</v>
      </c>
      <c r="E147" s="2888"/>
      <c r="F147" s="2888">
        <v>45249</v>
      </c>
      <c r="G147" s="2888">
        <v>7300</v>
      </c>
      <c r="H147" s="2888">
        <v>52549</v>
      </c>
      <c r="I147" s="2888"/>
      <c r="J147" s="2888">
        <f t="shared" si="8"/>
        <v>2060.8264160533936</v>
      </c>
      <c r="K147" s="2888">
        <f t="shared" si="8"/>
        <v>8468.7713698630141</v>
      </c>
      <c r="L147" s="2888">
        <f t="shared" si="8"/>
        <v>2951.0050714571162</v>
      </c>
    </row>
    <row r="148" spans="1:12">
      <c r="A148" s="2903">
        <v>2009</v>
      </c>
      <c r="B148" s="2888">
        <v>43600319.899999999</v>
      </c>
      <c r="C148" s="2888">
        <v>43639397.399999999</v>
      </c>
      <c r="D148" s="2888">
        <v>87239717.299999997</v>
      </c>
      <c r="E148" s="2888"/>
      <c r="F148" s="2888">
        <v>21964</v>
      </c>
      <c r="G148" s="2888">
        <v>5290</v>
      </c>
      <c r="H148" s="2888">
        <v>27254</v>
      </c>
      <c r="I148" s="2888"/>
      <c r="J148" s="2888">
        <f t="shared" si="8"/>
        <v>1985.0810371517027</v>
      </c>
      <c r="K148" s="2888">
        <f t="shared" si="8"/>
        <v>8249.4134971644617</v>
      </c>
      <c r="L148" s="2888">
        <f t="shared" si="8"/>
        <v>3200.9876458501503</v>
      </c>
    </row>
    <row r="149" spans="1:12">
      <c r="A149" s="2903">
        <v>2010</v>
      </c>
      <c r="B149" s="2888">
        <v>41505074.899999999</v>
      </c>
      <c r="C149" s="2888">
        <v>18120401.100000001</v>
      </c>
      <c r="D149" s="2888">
        <v>59625476</v>
      </c>
      <c r="E149" s="2888"/>
      <c r="F149" s="2888">
        <v>35823</v>
      </c>
      <c r="G149" s="2888">
        <v>3871</v>
      </c>
      <c r="H149" s="2888">
        <v>39694</v>
      </c>
      <c r="I149" s="2888"/>
      <c r="J149" s="2888">
        <f t="shared" si="8"/>
        <v>1158.6152723110849</v>
      </c>
      <c r="K149" s="2888">
        <f t="shared" si="8"/>
        <v>4681.0646086282622</v>
      </c>
      <c r="L149" s="2888">
        <f t="shared" si="8"/>
        <v>1502.1281805814481</v>
      </c>
    </row>
    <row r="150" spans="1:12">
      <c r="A150" s="2903">
        <v>2011</v>
      </c>
      <c r="B150" s="2888">
        <v>1679983.6</v>
      </c>
      <c r="C150" s="2888">
        <v>722872.4</v>
      </c>
      <c r="D150" s="2888">
        <v>2402856</v>
      </c>
      <c r="E150" s="2888"/>
      <c r="F150" s="2888">
        <v>5187</v>
      </c>
      <c r="G150" s="2888">
        <v>952</v>
      </c>
      <c r="H150" s="2888">
        <v>6139</v>
      </c>
      <c r="I150" s="2888"/>
      <c r="J150" s="2888">
        <f t="shared" si="8"/>
        <v>323.88347792558318</v>
      </c>
      <c r="K150" s="2888">
        <f t="shared" si="8"/>
        <v>759.31974789915967</v>
      </c>
      <c r="L150" s="2888">
        <f t="shared" si="8"/>
        <v>391.40837269913669</v>
      </c>
    </row>
    <row r="151" spans="1:12">
      <c r="A151" s="2903" t="s">
        <v>3299</v>
      </c>
      <c r="B151" s="2888">
        <v>23.3</v>
      </c>
      <c r="C151" s="2939">
        <v>0</v>
      </c>
      <c r="D151" s="2888">
        <v>23.3</v>
      </c>
      <c r="E151" s="2888"/>
      <c r="F151" s="2888">
        <v>1</v>
      </c>
      <c r="G151" s="2939">
        <v>0</v>
      </c>
      <c r="H151" s="2888">
        <v>1</v>
      </c>
      <c r="I151" s="2888"/>
      <c r="J151" s="2888">
        <f t="shared" si="8"/>
        <v>23.3</v>
      </c>
      <c r="K151" s="2939" t="s">
        <v>390</v>
      </c>
      <c r="L151" s="2888">
        <f t="shared" si="8"/>
        <v>23.3</v>
      </c>
    </row>
    <row r="152" spans="1:12">
      <c r="A152" s="2940" t="s">
        <v>2639</v>
      </c>
      <c r="B152" s="2941">
        <f>SUM(B131:B151)</f>
        <v>757725514.19999993</v>
      </c>
      <c r="C152" s="2941">
        <f>SUM(C131:C151)</f>
        <v>416291188.89999998</v>
      </c>
      <c r="D152" s="2941">
        <f>SUM(D131:D151)</f>
        <v>1174016703.0999999</v>
      </c>
      <c r="E152" s="2941"/>
      <c r="F152" s="2941">
        <f>SUM(F131:F151)</f>
        <v>525547</v>
      </c>
      <c r="G152" s="2941">
        <f>SUM(G131:G151)</f>
        <v>97217</v>
      </c>
      <c r="H152" s="2941">
        <f>SUM(H131:H151)</f>
        <v>622764</v>
      </c>
      <c r="I152" s="2941"/>
      <c r="J152" s="2892">
        <f>B152/F152</f>
        <v>1441.7844915868609</v>
      </c>
      <c r="K152" s="2892">
        <f>C152/G152</f>
        <v>4282.0822376744809</v>
      </c>
      <c r="L152" s="2892">
        <f>D152/H152</f>
        <v>1885.1711131343493</v>
      </c>
    </row>
    <row r="153" spans="1:12">
      <c r="A153" s="1143"/>
      <c r="B153" s="1139"/>
      <c r="C153" s="1139"/>
      <c r="D153" s="1139"/>
      <c r="E153" s="1139"/>
      <c r="F153" s="2883"/>
      <c r="G153" s="2883"/>
      <c r="H153" s="2883"/>
      <c r="I153" s="2883"/>
      <c r="J153" s="1139"/>
      <c r="K153" s="2131"/>
      <c r="L153" s="2131"/>
    </row>
    <row r="154" spans="1:12">
      <c r="A154" s="1143"/>
      <c r="B154" s="1139"/>
      <c r="C154" s="1139"/>
      <c r="D154" s="1139"/>
      <c r="E154" s="1139"/>
      <c r="F154" s="1139"/>
      <c r="G154" s="1139"/>
      <c r="H154" s="1139"/>
      <c r="I154" s="1139"/>
      <c r="J154" s="1139"/>
      <c r="K154" s="2131"/>
      <c r="L154" s="2131"/>
    </row>
    <row r="155" spans="1:12">
      <c r="A155" s="1143"/>
      <c r="B155" s="1139"/>
      <c r="C155" s="1139"/>
      <c r="D155" s="1139"/>
      <c r="E155" s="1139"/>
      <c r="F155" s="1139"/>
      <c r="G155" s="1139"/>
      <c r="H155" s="1139"/>
      <c r="I155" s="1139"/>
      <c r="J155" s="1139"/>
      <c r="K155" s="2131"/>
      <c r="L155" s="2131"/>
    </row>
    <row r="156" spans="1:12">
      <c r="A156" s="2876" t="s">
        <v>3325</v>
      </c>
      <c r="B156" s="1138"/>
      <c r="C156" s="1138"/>
      <c r="D156" s="1138"/>
      <c r="E156" s="1138"/>
      <c r="F156" s="1139"/>
      <c r="G156" s="1139"/>
      <c r="H156" s="1139"/>
      <c r="I156" s="1139"/>
      <c r="J156" s="1139"/>
      <c r="K156" s="2131"/>
      <c r="L156" s="2131"/>
    </row>
    <row r="157" spans="1:12">
      <c r="A157" s="894" t="s">
        <v>3326</v>
      </c>
      <c r="B157" s="1138"/>
      <c r="C157" s="1138"/>
      <c r="D157" s="1138"/>
      <c r="E157" s="1138"/>
      <c r="F157" s="1139"/>
      <c r="G157" s="1139"/>
      <c r="H157" s="1139"/>
      <c r="I157" s="1139"/>
      <c r="J157" s="1139"/>
      <c r="K157" s="2131"/>
      <c r="L157" s="2131"/>
    </row>
    <row r="158" spans="1:12" ht="13.8">
      <c r="A158" s="878" t="s">
        <v>3327</v>
      </c>
      <c r="B158" s="1138"/>
      <c r="C158" s="1138"/>
      <c r="D158" s="1138"/>
      <c r="E158" s="1138"/>
      <c r="F158" s="1139"/>
      <c r="G158" s="1139"/>
      <c r="H158" s="1139"/>
      <c r="I158" s="1139"/>
      <c r="J158" s="2131"/>
      <c r="K158" s="2131"/>
      <c r="L158" s="2131"/>
    </row>
    <row r="159" spans="1:12">
      <c r="A159" s="1487"/>
      <c r="B159" s="1487"/>
      <c r="C159" s="1487"/>
      <c r="D159" s="1487"/>
      <c r="E159" s="1469"/>
      <c r="F159" s="2131"/>
      <c r="G159" s="2131"/>
      <c r="H159" s="2131"/>
      <c r="I159" s="2131"/>
      <c r="J159" s="2131"/>
      <c r="K159" s="2131"/>
      <c r="L159" s="2131"/>
    </row>
    <row r="160" spans="1:12">
      <c r="A160" s="2877" t="s">
        <v>3328</v>
      </c>
      <c r="B160" s="2895" t="s">
        <v>3283</v>
      </c>
      <c r="C160" s="2895" t="s">
        <v>3323</v>
      </c>
      <c r="D160" s="2895" t="s">
        <v>620</v>
      </c>
      <c r="E160" s="2882"/>
      <c r="F160" s="2131"/>
      <c r="G160" s="2907"/>
      <c r="H160" s="2907"/>
      <c r="I160" s="2907"/>
      <c r="J160" s="2131"/>
      <c r="K160" s="2131"/>
      <c r="L160" s="2907"/>
    </row>
    <row r="161" spans="1:12">
      <c r="A161" s="2896" t="s">
        <v>3329</v>
      </c>
      <c r="B161" s="2888">
        <v>32248102.600000001</v>
      </c>
      <c r="C161" s="2888">
        <v>32373</v>
      </c>
      <c r="D161" s="2927">
        <f>B161/C161</f>
        <v>996.14192691440405</v>
      </c>
      <c r="E161" s="1142"/>
      <c r="F161" s="2131"/>
      <c r="G161" s="2907"/>
      <c r="H161" s="2907"/>
      <c r="I161" s="2907"/>
      <c r="J161" s="2131"/>
      <c r="K161" s="2131"/>
      <c r="L161" s="2907"/>
    </row>
    <row r="162" spans="1:12">
      <c r="A162" s="2905" t="s">
        <v>3330</v>
      </c>
      <c r="B162" s="2888">
        <v>131950088.09999999</v>
      </c>
      <c r="C162" s="2888">
        <v>98174</v>
      </c>
      <c r="D162" s="2888">
        <f>B162/C162</f>
        <v>1344.0431081549086</v>
      </c>
      <c r="E162" s="1142"/>
      <c r="F162" s="2131"/>
      <c r="G162" s="2907"/>
      <c r="H162" s="2907"/>
      <c r="I162" s="2907"/>
      <c r="J162" s="2131"/>
      <c r="K162" s="2131"/>
      <c r="L162" s="2907"/>
    </row>
    <row r="163" spans="1:12">
      <c r="A163" s="2905" t="s">
        <v>3331</v>
      </c>
      <c r="B163" s="2888">
        <v>168080759.19999999</v>
      </c>
      <c r="C163" s="2888">
        <v>110062</v>
      </c>
      <c r="D163" s="2888">
        <f t="shared" ref="D163:D176" si="9">B163/C163</f>
        <v>1527.1461467173046</v>
      </c>
      <c r="E163" s="1142"/>
      <c r="F163" s="2131"/>
      <c r="G163" s="2907"/>
      <c r="H163" s="2907"/>
      <c r="I163" s="2907"/>
      <c r="J163" s="2131"/>
      <c r="K163" s="2131"/>
      <c r="L163" s="2907"/>
    </row>
    <row r="164" spans="1:12">
      <c r="A164" s="2905" t="s">
        <v>3332</v>
      </c>
      <c r="B164" s="2888">
        <v>281293599</v>
      </c>
      <c r="C164" s="2888">
        <v>177035</v>
      </c>
      <c r="D164" s="2888">
        <f t="shared" si="9"/>
        <v>1588.9151806140028</v>
      </c>
      <c r="E164" s="1142"/>
      <c r="F164" s="2131"/>
      <c r="G164" s="2907"/>
      <c r="H164" s="2907"/>
      <c r="I164" s="2907"/>
      <c r="J164" s="2131"/>
      <c r="K164" s="2131"/>
      <c r="L164" s="2907"/>
    </row>
    <row r="165" spans="1:12">
      <c r="A165" s="2905" t="s">
        <v>3333</v>
      </c>
      <c r="B165" s="2888">
        <v>144152965.30000001</v>
      </c>
      <c r="C165" s="2888">
        <v>107903</v>
      </c>
      <c r="D165" s="2888">
        <f t="shared" si="9"/>
        <v>1335.9495593264321</v>
      </c>
      <c r="E165" s="1142"/>
      <c r="F165" s="2131"/>
      <c r="G165" s="2907"/>
      <c r="H165" s="2907"/>
      <c r="I165" s="2907"/>
      <c r="J165" s="2131"/>
      <c r="K165" s="2131"/>
      <c r="L165" s="2907"/>
    </row>
    <row r="166" spans="1:12">
      <c r="A166" s="2905" t="s">
        <v>3334</v>
      </c>
      <c r="B166" s="2888">
        <v>8824931.4000000004</v>
      </c>
      <c r="C166" s="2888">
        <v>8286</v>
      </c>
      <c r="D166" s="2888">
        <f t="shared" si="9"/>
        <v>1065.0412020275164</v>
      </c>
      <c r="E166" s="1142"/>
      <c r="F166" s="2131"/>
      <c r="G166" s="2907"/>
      <c r="H166" s="2907"/>
      <c r="I166" s="2907"/>
      <c r="J166" s="2131"/>
      <c r="K166" s="2131"/>
      <c r="L166" s="2907"/>
    </row>
    <row r="167" spans="1:12">
      <c r="A167" s="2905" t="s">
        <v>3335</v>
      </c>
      <c r="B167" s="2888">
        <v>8173695.4000000004</v>
      </c>
      <c r="C167" s="2888">
        <v>6562</v>
      </c>
      <c r="D167" s="2888">
        <f t="shared" si="9"/>
        <v>1245.6103931728132</v>
      </c>
      <c r="E167" s="1142"/>
      <c r="F167" s="2131"/>
      <c r="G167" s="2907"/>
      <c r="H167" s="2907"/>
      <c r="I167" s="2907"/>
      <c r="J167" s="2131"/>
      <c r="K167" s="2131"/>
      <c r="L167" s="2907"/>
    </row>
    <row r="168" spans="1:12">
      <c r="A168" s="2905" t="s">
        <v>3336</v>
      </c>
      <c r="B168" s="2888">
        <v>13022885.5</v>
      </c>
      <c r="C168" s="2888">
        <v>7125</v>
      </c>
      <c r="D168" s="2888">
        <f t="shared" si="9"/>
        <v>1827.7734035087719</v>
      </c>
      <c r="E168" s="1142"/>
      <c r="F168" s="2131"/>
      <c r="G168" s="2907"/>
      <c r="H168" s="2907"/>
      <c r="I168" s="2907"/>
      <c r="J168" s="2131"/>
      <c r="K168" s="2131"/>
      <c r="L168" s="2907"/>
    </row>
    <row r="169" spans="1:12">
      <c r="A169" s="2905" t="s">
        <v>3337</v>
      </c>
      <c r="B169" s="2888">
        <v>10824177.6</v>
      </c>
      <c r="C169" s="2888">
        <v>6847</v>
      </c>
      <c r="D169" s="2888">
        <f t="shared" si="9"/>
        <v>1580.8642617204614</v>
      </c>
      <c r="E169" s="1142"/>
      <c r="F169" s="2131"/>
      <c r="G169" s="2907"/>
      <c r="H169" s="2907"/>
      <c r="I169" s="2907"/>
      <c r="J169" s="2131"/>
      <c r="K169" s="2131"/>
      <c r="L169" s="2907"/>
    </row>
    <row r="170" spans="1:12">
      <c r="A170" s="2905" t="s">
        <v>3338</v>
      </c>
      <c r="B170" s="2888">
        <v>56217370.700000003</v>
      </c>
      <c r="C170" s="2888">
        <v>15496</v>
      </c>
      <c r="D170" s="2888">
        <f t="shared" si="9"/>
        <v>3627.8633647392876</v>
      </c>
      <c r="E170" s="1142"/>
      <c r="F170" s="2131"/>
      <c r="G170" s="2907"/>
      <c r="H170" s="2907"/>
      <c r="I170" s="2907"/>
      <c r="J170" s="2131"/>
      <c r="K170" s="2131"/>
      <c r="L170" s="2907"/>
    </row>
    <row r="171" spans="1:12">
      <c r="A171" s="2905" t="s">
        <v>3339</v>
      </c>
      <c r="B171" s="2888">
        <v>7480823.4000000004</v>
      </c>
      <c r="C171" s="2888">
        <v>2895</v>
      </c>
      <c r="D171" s="2888">
        <f t="shared" si="9"/>
        <v>2584.0495336787567</v>
      </c>
      <c r="E171" s="1142"/>
      <c r="F171" s="2131"/>
      <c r="G171" s="2907"/>
      <c r="H171" s="2907"/>
      <c r="I171" s="2907"/>
      <c r="J171" s="2131"/>
      <c r="K171" s="2131"/>
      <c r="L171" s="2907"/>
    </row>
    <row r="172" spans="1:12">
      <c r="A172" s="2905" t="s">
        <v>3340</v>
      </c>
      <c r="B172" s="2888">
        <v>1380935.4</v>
      </c>
      <c r="C172" s="2888">
        <v>1040</v>
      </c>
      <c r="D172" s="2888">
        <f t="shared" si="9"/>
        <v>1327.8225</v>
      </c>
      <c r="E172" s="1142"/>
      <c r="F172" s="2131"/>
      <c r="G172" s="2907"/>
      <c r="H172" s="2907"/>
      <c r="I172" s="2907"/>
      <c r="J172" s="2131"/>
      <c r="K172" s="2131"/>
      <c r="L172" s="2907"/>
    </row>
    <row r="173" spans="1:12">
      <c r="A173" s="2905" t="s">
        <v>3341</v>
      </c>
      <c r="B173" s="2888">
        <v>46050972.200000003</v>
      </c>
      <c r="C173" s="2888">
        <v>10656</v>
      </c>
      <c r="D173" s="2888">
        <f t="shared" si="9"/>
        <v>4321.6002439939939</v>
      </c>
      <c r="E173" s="1142"/>
      <c r="F173" s="2131"/>
      <c r="G173" s="2907"/>
      <c r="H173" s="2907"/>
      <c r="I173" s="2907"/>
      <c r="J173" s="2131"/>
      <c r="K173" s="2131"/>
      <c r="L173" s="2907"/>
    </row>
    <row r="174" spans="1:12">
      <c r="A174" s="2905" t="s">
        <v>3342</v>
      </c>
      <c r="B174" s="2888">
        <v>185294659</v>
      </c>
      <c r="C174" s="2888">
        <v>25233</v>
      </c>
      <c r="D174" s="2888">
        <f t="shared" si="9"/>
        <v>7343.3463718146868</v>
      </c>
      <c r="E174" s="1142"/>
      <c r="F174" s="2131"/>
      <c r="G174" s="2907"/>
      <c r="H174" s="2907"/>
      <c r="I174" s="2907"/>
      <c r="J174" s="2131"/>
      <c r="K174" s="2131"/>
      <c r="L174" s="2907"/>
    </row>
    <row r="175" spans="1:12">
      <c r="A175" s="2905" t="s">
        <v>3343</v>
      </c>
      <c r="B175" s="2888">
        <v>52504428.600000001</v>
      </c>
      <c r="C175" s="2888">
        <v>7334</v>
      </c>
      <c r="D175" s="2888">
        <f t="shared" si="9"/>
        <v>7159.0439869102811</v>
      </c>
      <c r="E175" s="1142"/>
      <c r="F175" s="2131"/>
      <c r="G175" s="2907"/>
      <c r="H175" s="2907"/>
      <c r="I175" s="2907"/>
      <c r="J175" s="2131"/>
      <c r="K175" s="2131"/>
      <c r="L175" s="2907"/>
    </row>
    <row r="176" spans="1:12">
      <c r="A176" s="2905" t="s">
        <v>3344</v>
      </c>
      <c r="B176" s="2888">
        <v>26516309.699999999</v>
      </c>
      <c r="C176" s="2888">
        <v>5743</v>
      </c>
      <c r="D176" s="2888">
        <f t="shared" si="9"/>
        <v>4617.1530036566255</v>
      </c>
      <c r="E176" s="1142"/>
      <c r="F176" s="2131"/>
      <c r="G176" s="2907"/>
      <c r="H176" s="2907"/>
      <c r="I176" s="2907"/>
      <c r="J176" s="2131"/>
      <c r="K176" s="2131"/>
      <c r="L176" s="2907"/>
    </row>
    <row r="177" spans="1:12">
      <c r="A177" s="2940" t="s">
        <v>2639</v>
      </c>
      <c r="B177" s="2942">
        <f>SUM(B161:B176)</f>
        <v>1174016703.1000001</v>
      </c>
      <c r="C177" s="2942">
        <f>SUM(C161:C176)</f>
        <v>622764</v>
      </c>
      <c r="D177" s="2892">
        <f>B177/C177</f>
        <v>1885.1711131343498</v>
      </c>
      <c r="E177" s="1512"/>
      <c r="F177" s="2131"/>
      <c r="G177" s="2131"/>
      <c r="H177" s="2907"/>
      <c r="I177" s="2131"/>
      <c r="J177" s="2131"/>
      <c r="K177" s="2131"/>
      <c r="L177" s="2907"/>
    </row>
    <row r="178" spans="1:12">
      <c r="A178" s="2168"/>
      <c r="B178" s="2943"/>
      <c r="C178" s="2943"/>
      <c r="D178" s="2943"/>
      <c r="E178" s="2943"/>
      <c r="F178" s="1139"/>
      <c r="G178" s="1139"/>
      <c r="H178" s="1139"/>
      <c r="I178" s="1139"/>
      <c r="J178" s="1139"/>
      <c r="K178" s="2131"/>
      <c r="L178" s="1139"/>
    </row>
    <row r="179" spans="1:12">
      <c r="A179" s="1138"/>
      <c r="B179" s="2943"/>
      <c r="C179" s="2943"/>
      <c r="D179" s="2943"/>
      <c r="E179" s="2943"/>
      <c r="F179" s="1139"/>
      <c r="G179" s="1139"/>
      <c r="H179" s="1139"/>
      <c r="I179" s="1139"/>
      <c r="J179" s="1139"/>
      <c r="K179" s="2131"/>
      <c r="L179" s="1139"/>
    </row>
    <row r="180" spans="1:12">
      <c r="A180" s="1143"/>
      <c r="B180" s="1139"/>
      <c r="C180" s="1139"/>
      <c r="D180" s="1139"/>
      <c r="E180" s="1139"/>
      <c r="F180" s="1139"/>
      <c r="G180" s="1139"/>
      <c r="H180" s="1139"/>
      <c r="I180" s="1139"/>
      <c r="J180" s="1139"/>
      <c r="K180" s="2131"/>
      <c r="L180" s="2131"/>
    </row>
    <row r="181" spans="1:12">
      <c r="A181" s="1143"/>
      <c r="B181" s="1139"/>
      <c r="C181" s="1139"/>
      <c r="D181" s="1139"/>
      <c r="E181" s="1139"/>
      <c r="F181" s="1139"/>
      <c r="G181" s="1139"/>
      <c r="H181" s="1139"/>
      <c r="I181" s="1139"/>
      <c r="J181" s="1139"/>
      <c r="K181" s="2131"/>
      <c r="L181" s="2131"/>
    </row>
    <row r="182" spans="1:12">
      <c r="A182" s="1143"/>
      <c r="B182" s="1139"/>
      <c r="C182" s="1139"/>
      <c r="D182" s="1139"/>
      <c r="E182" s="1139"/>
      <c r="F182" s="1139"/>
      <c r="G182" s="1139"/>
      <c r="H182" s="1139"/>
      <c r="I182" s="1139"/>
      <c r="J182" s="1139"/>
      <c r="K182" s="2131"/>
      <c r="L182" s="2131"/>
    </row>
    <row r="185" spans="1:12">
      <c r="A185" s="1139"/>
      <c r="B185" s="1139"/>
      <c r="C185" s="1139"/>
      <c r="D185" s="1139"/>
      <c r="E185" s="2917"/>
    </row>
    <row r="186" spans="1:12">
      <c r="A186" s="2876" t="s">
        <v>3345</v>
      </c>
      <c r="B186" s="1139"/>
      <c r="C186" s="1138"/>
      <c r="D186" s="1139"/>
      <c r="E186" s="1469"/>
    </row>
    <row r="187" spans="1:12" ht="13.8">
      <c r="A187" s="894" t="s">
        <v>3346</v>
      </c>
      <c r="B187" s="1139"/>
      <c r="C187" s="1139"/>
      <c r="D187" s="1139"/>
      <c r="E187" s="2131"/>
    </row>
    <row r="188" spans="1:12" ht="13.8">
      <c r="A188" s="878" t="s">
        <v>3347</v>
      </c>
      <c r="B188" s="1139"/>
      <c r="C188" s="1139"/>
      <c r="D188" s="1139"/>
      <c r="E188" s="2131"/>
    </row>
    <row r="189" spans="1:12">
      <c r="A189" s="1140"/>
      <c r="B189" s="1140"/>
      <c r="C189" s="1140"/>
      <c r="D189" s="1140"/>
      <c r="E189" s="2131"/>
    </row>
    <row r="190" spans="1:12">
      <c r="A190" s="2877" t="s">
        <v>3348</v>
      </c>
      <c r="B190" s="2895" t="s">
        <v>618</v>
      </c>
      <c r="C190" s="2895" t="s">
        <v>3323</v>
      </c>
      <c r="D190" s="2895" t="s">
        <v>620</v>
      </c>
      <c r="E190" s="2907"/>
    </row>
    <row r="191" spans="1:12">
      <c r="A191" s="2926" t="s">
        <v>3349</v>
      </c>
      <c r="B191" s="2906">
        <v>129239620.90000001</v>
      </c>
      <c r="C191" s="2888">
        <v>109597</v>
      </c>
      <c r="D191" s="2927">
        <f>B191/C191</f>
        <v>1179.2258994315539</v>
      </c>
      <c r="E191" s="2935"/>
    </row>
    <row r="192" spans="1:12">
      <c r="A192" s="2903" t="s">
        <v>3350</v>
      </c>
      <c r="B192" s="2906">
        <v>510733192.60000002</v>
      </c>
      <c r="C192" s="2888">
        <v>339306</v>
      </c>
      <c r="D192" s="2888">
        <f t="shared" ref="D192:D214" si="10">B192/C192</f>
        <v>1505.2288866097269</v>
      </c>
      <c r="E192" s="2935"/>
    </row>
    <row r="193" spans="1:5">
      <c r="A193" s="2903" t="s">
        <v>3351</v>
      </c>
      <c r="B193" s="2906">
        <v>117829964.09999999</v>
      </c>
      <c r="C193" s="2888">
        <v>78523</v>
      </c>
      <c r="D193" s="2888">
        <f t="shared" si="10"/>
        <v>1500.5789908689173</v>
      </c>
      <c r="E193" s="2935"/>
    </row>
    <row r="194" spans="1:5">
      <c r="A194" s="2903" t="s">
        <v>3352</v>
      </c>
      <c r="B194" s="2906">
        <v>8663877.8000000007</v>
      </c>
      <c r="C194" s="2888">
        <v>6878</v>
      </c>
      <c r="D194" s="2888">
        <f t="shared" si="10"/>
        <v>1259.6507414946207</v>
      </c>
      <c r="E194" s="2935"/>
    </row>
    <row r="195" spans="1:5">
      <c r="A195" s="2903" t="s">
        <v>3353</v>
      </c>
      <c r="B195" s="2906">
        <v>3316107.5</v>
      </c>
      <c r="C195" s="2888">
        <v>2601</v>
      </c>
      <c r="D195" s="2888">
        <f t="shared" si="10"/>
        <v>1274.935601691657</v>
      </c>
      <c r="E195" s="2935"/>
    </row>
    <row r="196" spans="1:5">
      <c r="A196" s="2903" t="s">
        <v>3354</v>
      </c>
      <c r="B196" s="2906">
        <v>3088182.2</v>
      </c>
      <c r="C196" s="2888">
        <v>2267</v>
      </c>
      <c r="D196" s="2888">
        <f t="shared" si="10"/>
        <v>1362.2329951477725</v>
      </c>
      <c r="E196" s="2935"/>
    </row>
    <row r="197" spans="1:5">
      <c r="A197" s="2903" t="s">
        <v>3355</v>
      </c>
      <c r="B197" s="2906">
        <v>2529095.7999999998</v>
      </c>
      <c r="C197" s="2888">
        <v>1892</v>
      </c>
      <c r="D197" s="2888">
        <f t="shared" si="10"/>
        <v>1336.7313953488372</v>
      </c>
      <c r="E197" s="2935"/>
    </row>
    <row r="198" spans="1:5">
      <c r="A198" s="2903" t="s">
        <v>3356</v>
      </c>
      <c r="B198" s="2906">
        <v>2264198.1</v>
      </c>
      <c r="C198" s="2888">
        <v>1499</v>
      </c>
      <c r="D198" s="2888">
        <f t="shared" si="10"/>
        <v>1510.4723815877253</v>
      </c>
      <c r="E198" s="2935"/>
    </row>
    <row r="199" spans="1:5">
      <c r="A199" s="2903" t="s">
        <v>3357</v>
      </c>
      <c r="B199" s="2906">
        <v>8684306.1999999993</v>
      </c>
      <c r="C199" s="2888">
        <v>4688</v>
      </c>
      <c r="D199" s="2888">
        <f t="shared" si="10"/>
        <v>1852.4543941979521</v>
      </c>
      <c r="E199" s="2935"/>
    </row>
    <row r="200" spans="1:5">
      <c r="A200" s="2903" t="s">
        <v>3358</v>
      </c>
      <c r="B200" s="2906">
        <v>5652969.7000000002</v>
      </c>
      <c r="C200" s="2888">
        <v>3605</v>
      </c>
      <c r="D200" s="2888">
        <f t="shared" si="10"/>
        <v>1568.0914563106796</v>
      </c>
      <c r="E200" s="2935"/>
    </row>
    <row r="201" spans="1:5">
      <c r="A201" s="2903" t="s">
        <v>3359</v>
      </c>
      <c r="B201" s="2906">
        <v>6359021.7999999998</v>
      </c>
      <c r="C201" s="2888">
        <v>3542</v>
      </c>
      <c r="D201" s="2888">
        <f t="shared" si="10"/>
        <v>1795.3195369847542</v>
      </c>
      <c r="E201" s="2935"/>
    </row>
    <row r="202" spans="1:5">
      <c r="A202" s="2903" t="s">
        <v>3360</v>
      </c>
      <c r="B202" s="2906">
        <v>9671824.9000000004</v>
      </c>
      <c r="C202" s="2888">
        <v>4623</v>
      </c>
      <c r="D202" s="2888">
        <f t="shared" si="10"/>
        <v>2092.1100800346098</v>
      </c>
      <c r="E202" s="2935"/>
    </row>
    <row r="203" spans="1:5">
      <c r="A203" s="2903" t="s">
        <v>3361</v>
      </c>
      <c r="B203" s="2906">
        <v>12006574.1</v>
      </c>
      <c r="C203" s="2888">
        <v>4751</v>
      </c>
      <c r="D203" s="2888">
        <f t="shared" si="10"/>
        <v>2527.1677752052201</v>
      </c>
      <c r="E203" s="2935"/>
    </row>
    <row r="204" spans="1:5">
      <c r="A204" s="2903" t="s">
        <v>3362</v>
      </c>
      <c r="B204" s="2906">
        <v>15359867.5</v>
      </c>
      <c r="C204" s="2888">
        <v>4543</v>
      </c>
      <c r="D204" s="2888">
        <f t="shared" si="10"/>
        <v>3380.9965881576049</v>
      </c>
      <c r="E204" s="2935"/>
    </row>
    <row r="205" spans="1:5">
      <c r="A205" s="2903" t="s">
        <v>3363</v>
      </c>
      <c r="B205" s="2906">
        <v>17406522.600000001</v>
      </c>
      <c r="C205" s="2888">
        <v>3698</v>
      </c>
      <c r="D205" s="2888">
        <f t="shared" si="10"/>
        <v>4707.0098972417527</v>
      </c>
      <c r="E205" s="2935"/>
    </row>
    <row r="206" spans="1:5">
      <c r="A206" s="2903" t="s">
        <v>3364</v>
      </c>
      <c r="B206" s="2906">
        <v>16822095.100000001</v>
      </c>
      <c r="C206" s="2888">
        <v>3437</v>
      </c>
      <c r="D206" s="2888">
        <f t="shared" si="10"/>
        <v>4894.412307244691</v>
      </c>
      <c r="E206" s="2935"/>
    </row>
    <row r="207" spans="1:5">
      <c r="A207" s="2903" t="s">
        <v>3365</v>
      </c>
      <c r="B207" s="2906">
        <v>29191359.5</v>
      </c>
      <c r="C207" s="2888">
        <v>4984</v>
      </c>
      <c r="D207" s="2888">
        <f t="shared" si="10"/>
        <v>5857.0143459069022</v>
      </c>
      <c r="E207" s="2935"/>
    </row>
    <row r="208" spans="1:5">
      <c r="A208" s="2903" t="s">
        <v>3366</v>
      </c>
      <c r="B208" s="2906">
        <v>64574318.700000003</v>
      </c>
      <c r="C208" s="2888">
        <v>9437</v>
      </c>
      <c r="D208" s="2888">
        <f t="shared" si="10"/>
        <v>6842.6744410299889</v>
      </c>
      <c r="E208" s="2935"/>
    </row>
    <row r="209" spans="1:5">
      <c r="A209" s="2903" t="s">
        <v>3367</v>
      </c>
      <c r="B209" s="2906">
        <v>59778850</v>
      </c>
      <c r="C209" s="2888">
        <v>9552</v>
      </c>
      <c r="D209" s="2888">
        <f t="shared" si="10"/>
        <v>6258.2548157453939</v>
      </c>
      <c r="E209" s="2935"/>
    </row>
    <row r="210" spans="1:5">
      <c r="A210" s="2903" t="s">
        <v>3368</v>
      </c>
      <c r="B210" s="2906">
        <v>30111897.699999999</v>
      </c>
      <c r="C210" s="2888">
        <v>5481</v>
      </c>
      <c r="D210" s="2888">
        <f t="shared" si="10"/>
        <v>5493.8693121693123</v>
      </c>
      <c r="E210" s="2935"/>
    </row>
    <row r="211" spans="1:5">
      <c r="A211" s="2903" t="s">
        <v>3369</v>
      </c>
      <c r="B211" s="2906">
        <v>41004614.899999999</v>
      </c>
      <c r="C211" s="2888">
        <v>6318</v>
      </c>
      <c r="D211" s="2888">
        <f t="shared" si="10"/>
        <v>6490.1258151313705</v>
      </c>
      <c r="E211" s="2935"/>
    </row>
    <row r="212" spans="1:5">
      <c r="A212" s="2903" t="s">
        <v>3370</v>
      </c>
      <c r="B212" s="2906">
        <v>79472798.5</v>
      </c>
      <c r="C212" s="2888">
        <v>11337</v>
      </c>
      <c r="D212" s="2888">
        <f t="shared" si="10"/>
        <v>7010.0377965952193</v>
      </c>
      <c r="E212" s="2935"/>
    </row>
    <row r="213" spans="1:5">
      <c r="A213" s="2903" t="s">
        <v>3299</v>
      </c>
      <c r="B213" s="2935">
        <v>255442.9</v>
      </c>
      <c r="C213" s="2893">
        <v>205</v>
      </c>
      <c r="D213" s="2888">
        <f t="shared" si="10"/>
        <v>1246.0629268292682</v>
      </c>
      <c r="E213" s="2935"/>
    </row>
    <row r="214" spans="1:5">
      <c r="A214" s="2940" t="s">
        <v>2639</v>
      </c>
      <c r="B214" s="2942">
        <f>SUM(B191:B213)</f>
        <v>1174016703.1000004</v>
      </c>
      <c r="C214" s="2942">
        <f>SUM(C191:C213)</f>
        <v>622764</v>
      </c>
      <c r="D214" s="2892">
        <f t="shared" si="10"/>
        <v>1885.17111313435</v>
      </c>
      <c r="E214" s="2944"/>
    </row>
    <row r="215" spans="1:5">
      <c r="A215" s="2168"/>
      <c r="B215" s="1139"/>
      <c r="C215" s="2883"/>
      <c r="D215" s="1139"/>
      <c r="E215" s="2131"/>
    </row>
    <row r="216" spans="1:5">
      <c r="A216" s="1139"/>
      <c r="B216" s="1139"/>
      <c r="C216" s="1139"/>
      <c r="D216" s="1139"/>
      <c r="E216" s="2131"/>
    </row>
    <row r="217" spans="1:5">
      <c r="A217" s="1139"/>
      <c r="B217" s="1139"/>
      <c r="C217" s="1139"/>
      <c r="D217" s="2917"/>
      <c r="E217" s="2917"/>
    </row>
    <row r="218" spans="1:5">
      <c r="A218" s="2876" t="s">
        <v>3371</v>
      </c>
      <c r="B218" s="1138"/>
      <c r="C218" s="1138"/>
      <c r="D218" s="1138"/>
      <c r="E218" s="1138"/>
    </row>
    <row r="219" spans="1:5">
      <c r="A219" s="894" t="s">
        <v>3372</v>
      </c>
      <c r="B219" s="1138"/>
      <c r="C219" s="1138"/>
      <c r="D219" s="1138"/>
      <c r="E219" s="1138"/>
    </row>
    <row r="220" spans="1:5">
      <c r="A220" s="878" t="s">
        <v>3373</v>
      </c>
      <c r="B220" s="1138"/>
      <c r="C220" s="1138"/>
      <c r="D220" s="1138"/>
      <c r="E220" s="1138"/>
    </row>
    <row r="221" spans="1:5">
      <c r="A221" s="1140"/>
      <c r="B221" s="1487"/>
      <c r="C221" s="1487"/>
      <c r="D221" s="1487"/>
      <c r="E221" s="1469"/>
    </row>
    <row r="222" spans="1:5">
      <c r="A222" s="2924" t="s">
        <v>3374</v>
      </c>
      <c r="B222" s="2895" t="s">
        <v>618</v>
      </c>
      <c r="C222" s="2895" t="s">
        <v>3323</v>
      </c>
      <c r="D222" s="2895" t="s">
        <v>620</v>
      </c>
      <c r="E222" s="1142"/>
    </row>
    <row r="223" spans="1:5">
      <c r="A223" s="2896" t="s">
        <v>3375</v>
      </c>
      <c r="B223" s="2945">
        <v>272881991.5</v>
      </c>
      <c r="C223" s="2945">
        <v>184398</v>
      </c>
      <c r="D223" s="2928">
        <f>B223/C223</f>
        <v>1479.8533145695724</v>
      </c>
      <c r="E223" s="2918"/>
    </row>
    <row r="224" spans="1:5">
      <c r="A224" s="2905" t="s">
        <v>3376</v>
      </c>
      <c r="B224" s="2945">
        <v>674782837.10000002</v>
      </c>
      <c r="C224" s="2945">
        <v>388125</v>
      </c>
      <c r="D224" s="2928">
        <f t="shared" ref="D224:D232" si="11">B224/C224</f>
        <v>1738.5709168438004</v>
      </c>
      <c r="E224" s="2918"/>
    </row>
    <row r="225" spans="1:5">
      <c r="A225" s="2905" t="s">
        <v>3377</v>
      </c>
      <c r="B225" s="2945">
        <v>49648208.5</v>
      </c>
      <c r="C225" s="2945">
        <v>8151</v>
      </c>
      <c r="D225" s="2928">
        <f t="shared" si="11"/>
        <v>6091.0573549257761</v>
      </c>
      <c r="E225" s="2918"/>
    </row>
    <row r="226" spans="1:5">
      <c r="A226" s="2905" t="s">
        <v>3378</v>
      </c>
      <c r="B226" s="2945">
        <v>27000955.600000001</v>
      </c>
      <c r="C226" s="2945">
        <v>2253</v>
      </c>
      <c r="D226" s="2928">
        <f t="shared" si="11"/>
        <v>11984.445450510431</v>
      </c>
      <c r="E226" s="2918"/>
    </row>
    <row r="227" spans="1:5">
      <c r="A227" s="2905" t="s">
        <v>3379</v>
      </c>
      <c r="B227" s="2945">
        <v>15122654.199999999</v>
      </c>
      <c r="C227" s="2945">
        <v>2662</v>
      </c>
      <c r="D227" s="2928">
        <f t="shared" si="11"/>
        <v>5680.9369646882042</v>
      </c>
      <c r="E227" s="2918"/>
    </row>
    <row r="228" spans="1:5">
      <c r="A228" s="2905" t="s">
        <v>3380</v>
      </c>
      <c r="B228" s="2945">
        <v>5287090.5</v>
      </c>
      <c r="C228" s="2945">
        <v>692</v>
      </c>
      <c r="D228" s="2928">
        <f t="shared" si="11"/>
        <v>7640.3041907514453</v>
      </c>
      <c r="E228" s="2918"/>
    </row>
    <row r="229" spans="1:5">
      <c r="A229" s="2905" t="s">
        <v>668</v>
      </c>
      <c r="B229" s="2945">
        <v>81901389.700000003</v>
      </c>
      <c r="C229" s="2945">
        <v>10898</v>
      </c>
      <c r="D229" s="2928">
        <f t="shared" si="11"/>
        <v>7515.267911543403</v>
      </c>
      <c r="E229" s="2918"/>
    </row>
    <row r="230" spans="1:5" ht="41.4">
      <c r="A230" s="2931" t="s">
        <v>3381</v>
      </c>
      <c r="B230" s="2945">
        <v>5526735.4000000004</v>
      </c>
      <c r="C230" s="2945">
        <v>1766</v>
      </c>
      <c r="D230" s="2928">
        <f t="shared" si="11"/>
        <v>3129.5217440543602</v>
      </c>
      <c r="E230" s="2918"/>
    </row>
    <row r="231" spans="1:5">
      <c r="A231" s="2905" t="s">
        <v>632</v>
      </c>
      <c r="B231" s="2945">
        <v>96800139.599999994</v>
      </c>
      <c r="C231" s="2945">
        <v>32662</v>
      </c>
      <c r="D231" s="2928">
        <f t="shared" si="11"/>
        <v>2963.6929643010226</v>
      </c>
      <c r="E231" s="2918"/>
    </row>
    <row r="232" spans="1:5">
      <c r="A232" s="2940" t="s">
        <v>2639</v>
      </c>
      <c r="B232" s="2942">
        <f>B223+B224+B226+B227+B229+B230+B231</f>
        <v>1174016703.1000001</v>
      </c>
      <c r="C232" s="2942">
        <f>C223+C224+C226+C227+C229+C230+C231</f>
        <v>622764</v>
      </c>
      <c r="D232" s="2932">
        <f t="shared" si="11"/>
        <v>1885.1711131343498</v>
      </c>
      <c r="E232" s="2944"/>
    </row>
    <row r="233" spans="1:5">
      <c r="A233" s="2168"/>
      <c r="B233" s="2944"/>
      <c r="C233" s="1139"/>
      <c r="D233" s="1139"/>
      <c r="E233" s="1139"/>
    </row>
    <row r="234" spans="1:5">
      <c r="A234" s="1138"/>
      <c r="B234" s="1138"/>
      <c r="C234" s="1138"/>
      <c r="D234" s="1138"/>
      <c r="E234" s="1138"/>
    </row>
    <row r="235" spans="1:5">
      <c r="A235" s="1138"/>
      <c r="B235" s="1138"/>
      <c r="C235" s="1138"/>
      <c r="D235" s="1138"/>
      <c r="E235" s="1138"/>
    </row>
    <row r="238" spans="1:5">
      <c r="A238" s="1143"/>
      <c r="B238" s="1139"/>
      <c r="C238" s="1139"/>
      <c r="D238" s="2917"/>
      <c r="E238" s="2131"/>
    </row>
    <row r="239" spans="1:5">
      <c r="A239" s="2876" t="s">
        <v>3382</v>
      </c>
      <c r="B239" s="1138"/>
      <c r="C239" s="1138"/>
      <c r="D239" s="1139"/>
      <c r="E239" s="2131"/>
    </row>
    <row r="240" spans="1:5" ht="13.8">
      <c r="A240" s="894" t="s">
        <v>3383</v>
      </c>
      <c r="B240" s="1138"/>
      <c r="C240" s="1138"/>
      <c r="D240" s="1139"/>
      <c r="E240" s="2131"/>
    </row>
    <row r="241" spans="1:5" ht="13.8">
      <c r="A241" s="878" t="s">
        <v>3384</v>
      </c>
      <c r="B241" s="1138"/>
      <c r="C241" s="1138"/>
      <c r="D241" s="1139"/>
      <c r="E241" s="2131"/>
    </row>
    <row r="242" spans="1:5">
      <c r="A242" s="1140"/>
      <c r="B242" s="1487"/>
      <c r="C242" s="1487"/>
      <c r="D242" s="1140"/>
      <c r="E242" s="2131"/>
    </row>
    <row r="243" spans="1:5">
      <c r="A243" s="2131" t="s">
        <v>3316</v>
      </c>
      <c r="B243" s="2882" t="s">
        <v>3385</v>
      </c>
      <c r="C243" s="2882" t="s">
        <v>3386</v>
      </c>
      <c r="D243" s="2882" t="s">
        <v>3387</v>
      </c>
      <c r="E243" s="2131"/>
    </row>
    <row r="244" spans="1:5">
      <c r="A244" s="756" t="s">
        <v>3388</v>
      </c>
      <c r="B244" s="2848" t="s">
        <v>3389</v>
      </c>
      <c r="C244" s="2848"/>
      <c r="D244" s="2848" t="s">
        <v>3390</v>
      </c>
      <c r="E244" s="2131"/>
    </row>
    <row r="245" spans="1:5">
      <c r="A245" s="2946" t="s">
        <v>3318</v>
      </c>
      <c r="B245" s="2888">
        <v>1108509</v>
      </c>
      <c r="C245" s="2888">
        <v>936</v>
      </c>
      <c r="D245" s="2888">
        <f t="shared" ref="D245:D264" si="12">B245/C245</f>
        <v>1184.3044871794871</v>
      </c>
      <c r="E245" s="2947"/>
    </row>
    <row r="246" spans="1:5">
      <c r="A246" s="2903">
        <v>1993</v>
      </c>
      <c r="B246" s="2888">
        <v>156074.29999999999</v>
      </c>
      <c r="C246" s="2888">
        <v>84</v>
      </c>
      <c r="D246" s="2888">
        <f t="shared" si="12"/>
        <v>1858.0273809523808</v>
      </c>
      <c r="E246" s="2947"/>
    </row>
    <row r="247" spans="1:5">
      <c r="A247" s="2903">
        <v>1994</v>
      </c>
      <c r="B247" s="2888">
        <v>143661.29999999999</v>
      </c>
      <c r="C247" s="2888">
        <v>68</v>
      </c>
      <c r="D247" s="2888">
        <f t="shared" si="12"/>
        <v>2112.6661764705882</v>
      </c>
      <c r="E247" s="2947"/>
    </row>
    <row r="248" spans="1:5">
      <c r="A248" s="2903">
        <v>1995</v>
      </c>
      <c r="B248" s="2888">
        <v>828949.9</v>
      </c>
      <c r="C248" s="2888">
        <v>282</v>
      </c>
      <c r="D248" s="2888">
        <f t="shared" si="12"/>
        <v>2939.5386524822698</v>
      </c>
      <c r="E248" s="2947"/>
    </row>
    <row r="249" spans="1:5">
      <c r="A249" s="2903">
        <v>1996</v>
      </c>
      <c r="B249" s="2888">
        <v>1138654.1000000001</v>
      </c>
      <c r="C249" s="2888">
        <v>361</v>
      </c>
      <c r="D249" s="2888">
        <f t="shared" si="12"/>
        <v>3154.1664819944599</v>
      </c>
      <c r="E249" s="2947"/>
    </row>
    <row r="250" spans="1:5">
      <c r="A250" s="2903">
        <v>1997</v>
      </c>
      <c r="B250" s="2888">
        <v>2230104</v>
      </c>
      <c r="C250" s="2888">
        <v>584</v>
      </c>
      <c r="D250" s="2888">
        <f t="shared" si="12"/>
        <v>3818.6712328767121</v>
      </c>
      <c r="E250" s="2935"/>
    </row>
    <row r="251" spans="1:5">
      <c r="A251" s="2903">
        <v>1998</v>
      </c>
      <c r="B251" s="2888">
        <v>2569943.2999999998</v>
      </c>
      <c r="C251" s="2888">
        <v>622</v>
      </c>
      <c r="D251" s="2888">
        <f t="shared" si="12"/>
        <v>4131.7416398713822</v>
      </c>
      <c r="E251" s="2947"/>
    </row>
    <row r="252" spans="1:5">
      <c r="A252" s="2903">
        <v>1999</v>
      </c>
      <c r="B252" s="2888">
        <v>4186517.7</v>
      </c>
      <c r="C252" s="2888">
        <v>852</v>
      </c>
      <c r="D252" s="2888">
        <f t="shared" si="12"/>
        <v>4913.753169014085</v>
      </c>
      <c r="E252" s="2947"/>
    </row>
    <row r="253" spans="1:5">
      <c r="A253" s="2903">
        <v>2000</v>
      </c>
      <c r="B253" s="2888">
        <v>4191565.1</v>
      </c>
      <c r="C253" s="2888">
        <v>917</v>
      </c>
      <c r="D253" s="2888">
        <f t="shared" si="12"/>
        <v>4570.9543075245365</v>
      </c>
      <c r="E253" s="2947"/>
    </row>
    <row r="254" spans="1:5">
      <c r="A254" s="2903">
        <v>2001</v>
      </c>
      <c r="B254" s="2888">
        <v>6249172.5999999996</v>
      </c>
      <c r="C254" s="2888">
        <v>1162</v>
      </c>
      <c r="D254" s="2888">
        <f t="shared" si="12"/>
        <v>5377.9454388984504</v>
      </c>
      <c r="E254" s="2935"/>
    </row>
    <row r="255" spans="1:5">
      <c r="A255" s="2903">
        <v>2002</v>
      </c>
      <c r="B255" s="2888">
        <v>5452015.5</v>
      </c>
      <c r="C255" s="2888">
        <v>965</v>
      </c>
      <c r="D255" s="2888">
        <f t="shared" si="12"/>
        <v>5649.7569948186529</v>
      </c>
      <c r="E255" s="2935"/>
    </row>
    <row r="256" spans="1:5">
      <c r="A256" s="2903">
        <v>2003</v>
      </c>
      <c r="B256" s="2888">
        <v>7490540.2999999998</v>
      </c>
      <c r="C256" s="2888">
        <v>1192</v>
      </c>
      <c r="D256" s="2888">
        <f t="shared" si="12"/>
        <v>6284.0103187919458</v>
      </c>
      <c r="E256" s="2935"/>
    </row>
    <row r="257" spans="1:5">
      <c r="A257" s="2903">
        <v>2004</v>
      </c>
      <c r="B257" s="2888">
        <v>7377030.5</v>
      </c>
      <c r="C257" s="2888">
        <v>1087</v>
      </c>
      <c r="D257" s="2888">
        <f t="shared" si="12"/>
        <v>6786.5965961361544</v>
      </c>
      <c r="E257" s="2935"/>
    </row>
    <row r="258" spans="1:5">
      <c r="A258" s="2903">
        <v>2005</v>
      </c>
      <c r="B258" s="2888">
        <v>9755357</v>
      </c>
      <c r="C258" s="2888">
        <v>1300</v>
      </c>
      <c r="D258" s="2888">
        <f t="shared" si="12"/>
        <v>7504.1207692307689</v>
      </c>
      <c r="E258" s="2935"/>
    </row>
    <row r="259" spans="1:5">
      <c r="A259" s="2903">
        <v>2006</v>
      </c>
      <c r="B259" s="2888">
        <v>9099930.0999999996</v>
      </c>
      <c r="C259" s="2888">
        <v>1253</v>
      </c>
      <c r="D259" s="2888">
        <f t="shared" si="12"/>
        <v>7262.5140462889067</v>
      </c>
      <c r="E259" s="2935"/>
    </row>
    <row r="260" spans="1:5">
      <c r="A260" s="2903">
        <v>2007</v>
      </c>
      <c r="B260" s="2888">
        <v>7829480.5</v>
      </c>
      <c r="C260" s="2888">
        <v>1068</v>
      </c>
      <c r="D260" s="2888">
        <f t="shared" si="12"/>
        <v>7330.9742509363296</v>
      </c>
      <c r="E260" s="2935"/>
    </row>
    <row r="261" spans="1:5">
      <c r="A261" s="2903">
        <v>2008</v>
      </c>
      <c r="B261" s="2888">
        <v>8706086.8000000007</v>
      </c>
      <c r="C261" s="2888">
        <v>1174</v>
      </c>
      <c r="D261" s="2888">
        <f t="shared" si="12"/>
        <v>7415.7468483816019</v>
      </c>
      <c r="E261" s="2935"/>
    </row>
    <row r="262" spans="1:5">
      <c r="A262" s="2903">
        <v>2009</v>
      </c>
      <c r="B262" s="2888">
        <v>8928581</v>
      </c>
      <c r="C262" s="2888">
        <v>1246</v>
      </c>
      <c r="D262" s="2888">
        <f t="shared" si="12"/>
        <v>7165.795345104334</v>
      </c>
      <c r="E262" s="2947"/>
    </row>
    <row r="263" spans="1:5">
      <c r="A263" s="2903">
        <v>2010</v>
      </c>
      <c r="B263" s="2888">
        <v>6074055.2000000002</v>
      </c>
      <c r="C263" s="2888">
        <v>1613</v>
      </c>
      <c r="D263" s="2888">
        <f t="shared" si="12"/>
        <v>3765.6882827030381</v>
      </c>
      <c r="E263" s="2947"/>
    </row>
    <row r="264" spans="1:5">
      <c r="A264" s="2903">
        <v>2011</v>
      </c>
      <c r="B264" s="2906">
        <v>94251.199999999997</v>
      </c>
      <c r="C264" s="2906">
        <v>144</v>
      </c>
      <c r="D264" s="2888">
        <f t="shared" si="12"/>
        <v>654.52222222222224</v>
      </c>
      <c r="E264" s="2947"/>
    </row>
    <row r="265" spans="1:5">
      <c r="A265" s="2891" t="s">
        <v>2639</v>
      </c>
      <c r="B265" s="2942">
        <f>SUM(B245:B264)</f>
        <v>93610479.399999991</v>
      </c>
      <c r="C265" s="2892">
        <f>SUM(C245:C264)</f>
        <v>16910</v>
      </c>
      <c r="D265" s="2892">
        <f>B265/C265</f>
        <v>5535.8059964518034</v>
      </c>
      <c r="E265" s="2948"/>
    </row>
    <row r="266" spans="1:5">
      <c r="A266" s="1143"/>
      <c r="B266" s="1139"/>
      <c r="C266" s="1139"/>
      <c r="D266" s="1139"/>
      <c r="E266" s="2131"/>
    </row>
    <row r="267" spans="1:5">
      <c r="A267" s="1143"/>
      <c r="B267" s="1139"/>
      <c r="C267" s="1139"/>
      <c r="D267" s="1139"/>
      <c r="E267" s="2131"/>
    </row>
    <row r="268" spans="1:5">
      <c r="A268" s="1143"/>
      <c r="B268" s="1139"/>
      <c r="C268" s="2883"/>
      <c r="D268" s="1139"/>
      <c r="E268" s="2131"/>
    </row>
    <row r="269" spans="1:5">
      <c r="A269" s="2876" t="s">
        <v>3391</v>
      </c>
      <c r="B269" s="2949"/>
      <c r="C269" s="2949"/>
      <c r="D269" s="1138"/>
      <c r="E269" s="1138"/>
    </row>
    <row r="270" spans="1:5">
      <c r="A270" s="894" t="s">
        <v>3392</v>
      </c>
      <c r="B270" s="1138"/>
      <c r="C270" s="1138"/>
      <c r="D270" s="1138"/>
      <c r="E270" s="1138"/>
    </row>
    <row r="271" spans="1:5">
      <c r="A271" s="880" t="s">
        <v>3393</v>
      </c>
      <c r="B271" s="1469"/>
      <c r="C271" s="1469"/>
      <c r="D271" s="1469"/>
      <c r="E271" s="1469"/>
    </row>
    <row r="272" spans="1:5">
      <c r="A272" s="1140"/>
      <c r="B272" s="1487"/>
      <c r="C272" s="1487"/>
      <c r="D272" s="1487"/>
      <c r="E272" s="1469"/>
    </row>
    <row r="273" spans="1:5">
      <c r="A273" s="2924" t="s">
        <v>2472</v>
      </c>
      <c r="B273" s="2877" t="s">
        <v>618</v>
      </c>
      <c r="C273" s="2895" t="s">
        <v>3386</v>
      </c>
      <c r="D273" s="2895" t="s">
        <v>620</v>
      </c>
      <c r="E273" s="2882"/>
    </row>
    <row r="274" spans="1:5">
      <c r="A274" s="2950" t="s">
        <v>3394</v>
      </c>
      <c r="B274" s="2951">
        <v>2456.6999999999998</v>
      </c>
      <c r="C274" s="2951">
        <v>1</v>
      </c>
      <c r="D274" s="2951">
        <f>B274/C274</f>
        <v>2456.6999999999998</v>
      </c>
      <c r="E274" s="2952"/>
    </row>
    <row r="275" spans="1:5">
      <c r="A275" s="2903" t="s">
        <v>3395</v>
      </c>
      <c r="B275" s="2951">
        <v>458147.9</v>
      </c>
      <c r="C275" s="2951">
        <v>234</v>
      </c>
      <c r="D275" s="2951">
        <f t="shared" ref="D275:D285" si="13">B275/C275</f>
        <v>1957.8970085470087</v>
      </c>
      <c r="E275" s="2952"/>
    </row>
    <row r="276" spans="1:5">
      <c r="A276" s="2903" t="s">
        <v>3396</v>
      </c>
      <c r="B276" s="2951">
        <v>6767492.7000000002</v>
      </c>
      <c r="C276" s="2951">
        <v>2233</v>
      </c>
      <c r="D276" s="2951">
        <f t="shared" si="13"/>
        <v>3030.6729511867443</v>
      </c>
      <c r="E276" s="2952"/>
    </row>
    <row r="277" spans="1:5">
      <c r="A277" s="2903" t="s">
        <v>3397</v>
      </c>
      <c r="B277" s="2951">
        <v>2536187.4</v>
      </c>
      <c r="C277" s="2951">
        <v>811</v>
      </c>
      <c r="D277" s="2951">
        <f t="shared" si="13"/>
        <v>3127.2347718865599</v>
      </c>
      <c r="E277" s="2952"/>
    </row>
    <row r="278" spans="1:5">
      <c r="A278" s="2903" t="s">
        <v>3398</v>
      </c>
      <c r="B278" s="2951">
        <v>2235398.6</v>
      </c>
      <c r="C278" s="2951">
        <v>528</v>
      </c>
      <c r="D278" s="2951">
        <f t="shared" si="13"/>
        <v>4233.7094696969698</v>
      </c>
      <c r="E278" s="2952"/>
    </row>
    <row r="279" spans="1:5">
      <c r="A279" s="2903" t="s">
        <v>3399</v>
      </c>
      <c r="B279" s="2951">
        <v>9507738.1999999993</v>
      </c>
      <c r="C279" s="2951">
        <v>1750</v>
      </c>
      <c r="D279" s="2951">
        <f t="shared" si="13"/>
        <v>5432.9932571428571</v>
      </c>
      <c r="E279" s="2952"/>
    </row>
    <row r="280" spans="1:5">
      <c r="A280" s="2903" t="s">
        <v>3400</v>
      </c>
      <c r="B280" s="2951">
        <v>14576879.6</v>
      </c>
      <c r="C280" s="2951">
        <v>2056</v>
      </c>
      <c r="D280" s="2951">
        <f t="shared" si="13"/>
        <v>7089.9219844357976</v>
      </c>
      <c r="E280" s="2952"/>
    </row>
    <row r="281" spans="1:5">
      <c r="A281" s="2903" t="s">
        <v>3401</v>
      </c>
      <c r="B281" s="2951">
        <v>8651563.6999999993</v>
      </c>
      <c r="C281" s="2951">
        <v>1345</v>
      </c>
      <c r="D281" s="2951">
        <f t="shared" si="13"/>
        <v>6432.3893680297397</v>
      </c>
      <c r="E281" s="2952"/>
    </row>
    <row r="282" spans="1:5">
      <c r="A282" s="2903" t="s">
        <v>3402</v>
      </c>
      <c r="B282" s="2951">
        <v>15008714.5</v>
      </c>
      <c r="C282" s="2951">
        <v>2660</v>
      </c>
      <c r="D282" s="2951">
        <f t="shared" si="13"/>
        <v>5642.3738721804511</v>
      </c>
      <c r="E282" s="2953"/>
    </row>
    <row r="283" spans="1:5">
      <c r="A283" s="2903" t="s">
        <v>3403</v>
      </c>
      <c r="B283" s="2951">
        <v>33861732.399999999</v>
      </c>
      <c r="C283" s="2951">
        <v>5289</v>
      </c>
      <c r="D283" s="2951">
        <f t="shared" si="13"/>
        <v>6402.2938929854408</v>
      </c>
      <c r="E283" s="2952"/>
    </row>
    <row r="284" spans="1:5">
      <c r="A284" s="2903" t="s">
        <v>3404</v>
      </c>
      <c r="B284" s="2951">
        <v>4167.7</v>
      </c>
      <c r="C284" s="2951">
        <v>3</v>
      </c>
      <c r="D284" s="2951">
        <f t="shared" si="13"/>
        <v>1389.2333333333333</v>
      </c>
      <c r="E284" s="2952"/>
    </row>
    <row r="285" spans="1:5">
      <c r="A285" s="2891" t="s">
        <v>625</v>
      </c>
      <c r="B285" s="2942">
        <f>SUM(B274:B284)</f>
        <v>93610479.399999991</v>
      </c>
      <c r="C285" s="2892">
        <f>SUM(C274:C284)</f>
        <v>16910</v>
      </c>
      <c r="D285" s="2954">
        <f t="shared" si="13"/>
        <v>5535.8059964518034</v>
      </c>
      <c r="E285" s="2955"/>
    </row>
    <row r="286" spans="1:5">
      <c r="A286" s="2168"/>
      <c r="B286" s="2918"/>
      <c r="C286" s="2918"/>
      <c r="D286" s="2918"/>
      <c r="E286" s="2935"/>
    </row>
    <row r="287" spans="1:5">
      <c r="A287" s="1143"/>
      <c r="B287" s="1139"/>
      <c r="C287" s="1139"/>
      <c r="D287" s="1139"/>
      <c r="E287" s="2131"/>
    </row>
    <row r="288" spans="1:5">
      <c r="A288" s="1143"/>
      <c r="B288" s="1139"/>
      <c r="C288" s="1139"/>
      <c r="D288" s="1139"/>
      <c r="E288" s="2131"/>
    </row>
    <row r="289" spans="1:5">
      <c r="A289" s="2876" t="s">
        <v>992</v>
      </c>
      <c r="B289" s="2949"/>
      <c r="C289" s="2949"/>
      <c r="D289" s="1138"/>
      <c r="E289" s="1138"/>
    </row>
    <row r="290" spans="1:5" ht="13.8">
      <c r="A290" s="894" t="s">
        <v>3405</v>
      </c>
      <c r="B290" s="1138"/>
      <c r="C290" s="1138"/>
      <c r="D290" s="1138"/>
      <c r="E290" s="1138"/>
    </row>
    <row r="291" spans="1:5">
      <c r="A291" s="880" t="s">
        <v>3406</v>
      </c>
      <c r="B291" s="1469"/>
      <c r="C291" s="1469"/>
      <c r="D291" s="1469"/>
      <c r="E291" s="1469"/>
    </row>
    <row r="292" spans="1:5">
      <c r="A292" s="1140"/>
      <c r="B292" s="1487"/>
      <c r="C292" s="1487"/>
      <c r="D292" s="1487"/>
      <c r="E292" s="1469"/>
    </row>
    <row r="293" spans="1:5">
      <c r="A293" s="2924" t="s">
        <v>623</v>
      </c>
      <c r="B293" s="2877" t="s">
        <v>3283</v>
      </c>
      <c r="C293" s="2895" t="s">
        <v>3407</v>
      </c>
      <c r="D293" s="2895" t="s">
        <v>3408</v>
      </c>
      <c r="E293" s="1138"/>
    </row>
    <row r="294" spans="1:5">
      <c r="A294" s="2896" t="s">
        <v>626</v>
      </c>
      <c r="B294" s="2928">
        <v>90419.7</v>
      </c>
      <c r="C294" s="2929">
        <v>95</v>
      </c>
      <c r="D294" s="2930">
        <f>B294/C294</f>
        <v>951.78631578947363</v>
      </c>
      <c r="E294" s="2935"/>
    </row>
    <row r="295" spans="1:5">
      <c r="A295" s="2905" t="s">
        <v>61</v>
      </c>
      <c r="B295" s="2928">
        <v>82222149.5</v>
      </c>
      <c r="C295" s="2928">
        <v>14670</v>
      </c>
      <c r="D295" s="2928">
        <f t="shared" ref="D295:D301" si="14">B295/C295</f>
        <v>5604.7818336741648</v>
      </c>
      <c r="E295" s="2935"/>
    </row>
    <row r="296" spans="1:5">
      <c r="A296" s="2905" t="s">
        <v>627</v>
      </c>
      <c r="B296" s="2928">
        <v>18383.599999999999</v>
      </c>
      <c r="C296" s="2928">
        <v>9</v>
      </c>
      <c r="D296" s="2928">
        <f t="shared" si="14"/>
        <v>2042.622222222222</v>
      </c>
      <c r="E296" s="2935"/>
    </row>
    <row r="297" spans="1:5" ht="21">
      <c r="A297" s="2931" t="s">
        <v>3409</v>
      </c>
      <c r="B297" s="2928">
        <v>3444804.2</v>
      </c>
      <c r="C297" s="2928">
        <v>680</v>
      </c>
      <c r="D297" s="2928">
        <f t="shared" si="14"/>
        <v>5065.8885294117654</v>
      </c>
      <c r="E297" s="2935"/>
    </row>
    <row r="298" spans="1:5" ht="21">
      <c r="A298" s="2931" t="s">
        <v>3410</v>
      </c>
      <c r="B298" s="2928">
        <v>5796.2</v>
      </c>
      <c r="C298" s="2928">
        <v>2</v>
      </c>
      <c r="D298" s="2928">
        <f t="shared" si="14"/>
        <v>2898.1</v>
      </c>
      <c r="E298" s="2935"/>
    </row>
    <row r="299" spans="1:5">
      <c r="A299" s="2905" t="s">
        <v>205</v>
      </c>
      <c r="B299" s="2928">
        <v>7324199.2000000002</v>
      </c>
      <c r="C299" s="2928">
        <v>1359</v>
      </c>
      <c r="D299" s="2928">
        <f t="shared" si="14"/>
        <v>5389.4033848417957</v>
      </c>
      <c r="E299" s="2935"/>
    </row>
    <row r="300" spans="1:5">
      <c r="A300" s="2905" t="s">
        <v>632</v>
      </c>
      <c r="B300" s="2928">
        <v>504727</v>
      </c>
      <c r="C300" s="2928">
        <v>95</v>
      </c>
      <c r="D300" s="2928">
        <f t="shared" si="14"/>
        <v>5312.9157894736845</v>
      </c>
      <c r="E300" s="2935"/>
    </row>
    <row r="301" spans="1:5">
      <c r="A301" s="2891" t="s">
        <v>625</v>
      </c>
      <c r="B301" s="2892">
        <f>SUM(B294:B300)</f>
        <v>93610479.400000006</v>
      </c>
      <c r="C301" s="2892">
        <f>SUM(C294:C300)</f>
        <v>16910</v>
      </c>
      <c r="D301" s="2892">
        <f t="shared" si="14"/>
        <v>5535.8059964518043</v>
      </c>
      <c r="E301" s="2935"/>
    </row>
    <row r="302" spans="1:5">
      <c r="A302" s="2131"/>
      <c r="B302" s="2933"/>
      <c r="C302" s="2933"/>
      <c r="D302" s="2933"/>
      <c r="E302" s="2131"/>
    </row>
    <row r="303" spans="1:5">
      <c r="A303" s="2131"/>
      <c r="B303" s="2131"/>
      <c r="C303" s="2934"/>
      <c r="D303" s="2934"/>
      <c r="E303" s="2131"/>
    </row>
    <row r="304" spans="1:5">
      <c r="A304" s="1143"/>
      <c r="B304" s="1139"/>
      <c r="C304" s="1139"/>
      <c r="D304" s="1139"/>
      <c r="E304" s="2131"/>
    </row>
    <row r="308" spans="1:11">
      <c r="A308" s="1139"/>
      <c r="B308" s="2883"/>
      <c r="C308" s="2883"/>
      <c r="D308" s="2883"/>
      <c r="E308" s="2883"/>
      <c r="F308" s="2883"/>
      <c r="G308" s="2883"/>
      <c r="H308" s="2883"/>
      <c r="I308" s="2883"/>
      <c r="J308" s="2883"/>
      <c r="K308" s="2883"/>
    </row>
    <row r="309" spans="1:11">
      <c r="A309" s="2956" t="s">
        <v>3411</v>
      </c>
      <c r="B309" s="2949"/>
      <c r="C309" s="2949"/>
      <c r="D309" s="2949"/>
      <c r="E309" s="1143"/>
      <c r="F309" s="1143"/>
      <c r="G309" s="1143"/>
      <c r="H309" s="1143"/>
      <c r="I309" s="1143"/>
      <c r="J309" s="1143"/>
      <c r="K309" s="1139"/>
    </row>
    <row r="310" spans="1:11">
      <c r="A310" s="2957" t="s">
        <v>3412</v>
      </c>
      <c r="B310" s="2949"/>
      <c r="C310" s="2949"/>
      <c r="D310" s="2949"/>
      <c r="E310" s="1143"/>
      <c r="F310" s="1143"/>
      <c r="G310" s="1143"/>
      <c r="H310" s="1143"/>
      <c r="I310" s="1143"/>
      <c r="J310" s="1143"/>
      <c r="K310" s="1139"/>
    </row>
    <row r="311" spans="1:11">
      <c r="A311" s="878" t="s">
        <v>3413</v>
      </c>
      <c r="B311" s="2949"/>
      <c r="C311" s="2949"/>
      <c r="D311" s="2949"/>
      <c r="E311" s="1143"/>
      <c r="F311" s="1143"/>
      <c r="G311" s="1143"/>
      <c r="H311" s="1143"/>
      <c r="I311" s="1143"/>
      <c r="J311" s="1143"/>
      <c r="K311" s="1139"/>
    </row>
    <row r="312" spans="1:11">
      <c r="A312" s="2958"/>
      <c r="B312" s="2959"/>
      <c r="C312" s="2959"/>
      <c r="D312" s="2959"/>
      <c r="E312" s="2958"/>
      <c r="F312" s="2958"/>
      <c r="G312" s="2958"/>
      <c r="H312" s="2958"/>
      <c r="I312" s="2958"/>
      <c r="J312" s="2958"/>
      <c r="K312" s="1139"/>
    </row>
    <row r="313" spans="1:11">
      <c r="A313" s="2855" t="s">
        <v>3316</v>
      </c>
      <c r="B313" s="2877" t="s">
        <v>3283</v>
      </c>
      <c r="C313" s="2878"/>
      <c r="D313" s="2879"/>
      <c r="E313" s="2877" t="s">
        <v>3414</v>
      </c>
      <c r="F313" s="2880"/>
      <c r="G313" s="2212"/>
      <c r="H313" s="2877" t="s">
        <v>620</v>
      </c>
      <c r="I313" s="2878"/>
      <c r="J313" s="2881"/>
      <c r="K313" s="2915"/>
    </row>
    <row r="314" spans="1:11">
      <c r="A314" s="2855" t="s">
        <v>3415</v>
      </c>
      <c r="B314" s="2882" t="s">
        <v>621</v>
      </c>
      <c r="C314" s="2882" t="s">
        <v>622</v>
      </c>
      <c r="D314" s="2882"/>
      <c r="E314" s="2882" t="s">
        <v>621</v>
      </c>
      <c r="F314" s="2882" t="s">
        <v>622</v>
      </c>
      <c r="G314" s="2882"/>
      <c r="H314" s="2882" t="s">
        <v>621</v>
      </c>
      <c r="I314" s="2883" t="s">
        <v>622</v>
      </c>
      <c r="J314" s="2131"/>
      <c r="K314" s="2131"/>
    </row>
    <row r="315" spans="1:11">
      <c r="A315" s="2960" t="s">
        <v>3416</v>
      </c>
      <c r="B315" s="2885" t="s">
        <v>624</v>
      </c>
      <c r="C315" s="2885" t="s">
        <v>624</v>
      </c>
      <c r="D315" s="2885"/>
      <c r="E315" s="2885" t="s">
        <v>624</v>
      </c>
      <c r="F315" s="2885" t="s">
        <v>624</v>
      </c>
      <c r="G315" s="2885"/>
      <c r="H315" s="2885" t="s">
        <v>624</v>
      </c>
      <c r="I315" s="2885" t="s">
        <v>624</v>
      </c>
      <c r="J315" s="2886" t="s">
        <v>625</v>
      </c>
      <c r="K315" s="2131"/>
    </row>
    <row r="316" spans="1:11">
      <c r="A316" s="2946" t="s">
        <v>3417</v>
      </c>
      <c r="B316" s="2888">
        <v>9673764.0999999996</v>
      </c>
      <c r="C316" s="2888">
        <v>2143358.7999999998</v>
      </c>
      <c r="D316" s="2888"/>
      <c r="E316" s="2888">
        <v>77933</v>
      </c>
      <c r="F316" s="2888">
        <v>17738</v>
      </c>
      <c r="G316" s="2888"/>
      <c r="H316" s="2888">
        <v>124.12924050145638</v>
      </c>
      <c r="I316" s="2888">
        <v>120.83429924455969</v>
      </c>
      <c r="J316" s="2888">
        <v>123.51833784532408</v>
      </c>
      <c r="K316" s="2961"/>
    </row>
    <row r="317" spans="1:11">
      <c r="A317" s="2903">
        <v>1992</v>
      </c>
      <c r="B317" s="2888">
        <v>689100.80000000005</v>
      </c>
      <c r="C317" s="2888">
        <v>137463.1</v>
      </c>
      <c r="D317" s="2888"/>
      <c r="E317" s="2888">
        <v>4408</v>
      </c>
      <c r="F317" s="2888">
        <v>981</v>
      </c>
      <c r="G317" s="2888"/>
      <c r="H317" s="2888">
        <v>156.3295825771325</v>
      </c>
      <c r="I317" s="2888">
        <v>140.12548419979612</v>
      </c>
      <c r="J317" s="2888">
        <v>153.37982928187049</v>
      </c>
      <c r="K317" s="2961"/>
    </row>
    <row r="318" spans="1:11">
      <c r="A318" s="2903">
        <v>1993</v>
      </c>
      <c r="B318" s="2888">
        <v>747978.2</v>
      </c>
      <c r="C318" s="2888">
        <v>152789.70000000001</v>
      </c>
      <c r="D318" s="2888"/>
      <c r="E318" s="2888">
        <v>4638</v>
      </c>
      <c r="F318" s="2888">
        <v>1050</v>
      </c>
      <c r="G318" s="2888"/>
      <c r="H318" s="2888">
        <v>161.2717119448038</v>
      </c>
      <c r="I318" s="2888">
        <v>145.51400000000001</v>
      </c>
      <c r="J318" s="2888">
        <v>158.36285161744024</v>
      </c>
      <c r="K318" s="2961"/>
    </row>
    <row r="319" spans="1:11">
      <c r="A319" s="2903">
        <v>1994</v>
      </c>
      <c r="B319" s="2888">
        <v>784171.4</v>
      </c>
      <c r="C319" s="2888">
        <v>159912.29999999999</v>
      </c>
      <c r="D319" s="2888"/>
      <c r="E319" s="2888">
        <v>4806</v>
      </c>
      <c r="F319" s="2888">
        <v>1031</v>
      </c>
      <c r="G319" s="2888"/>
      <c r="H319" s="2888">
        <v>163.16508531002913</v>
      </c>
      <c r="I319" s="2888">
        <v>155.10407371483996</v>
      </c>
      <c r="J319" s="2888">
        <v>161.741254068871</v>
      </c>
      <c r="K319" s="2961"/>
    </row>
    <row r="320" spans="1:11">
      <c r="A320" s="2903">
        <v>1995</v>
      </c>
      <c r="B320" s="2888">
        <v>1058457.2</v>
      </c>
      <c r="C320" s="2888">
        <v>210751</v>
      </c>
      <c r="D320" s="2888"/>
      <c r="E320" s="2888">
        <v>5988</v>
      </c>
      <c r="F320" s="2888">
        <v>1315</v>
      </c>
      <c r="G320" s="2888"/>
      <c r="H320" s="2888">
        <v>176.7630594522378</v>
      </c>
      <c r="I320" s="2888">
        <v>160.26692015209125</v>
      </c>
      <c r="J320" s="2888">
        <v>173.7927153224702</v>
      </c>
      <c r="K320" s="2961"/>
    </row>
    <row r="321" spans="1:11">
      <c r="A321" s="2903">
        <v>1996</v>
      </c>
      <c r="B321" s="2888">
        <v>1341873.1000000001</v>
      </c>
      <c r="C321" s="2888">
        <v>287702.40000000002</v>
      </c>
      <c r="D321" s="2888"/>
      <c r="E321" s="2888">
        <v>7391</v>
      </c>
      <c r="F321" s="2888">
        <v>1614</v>
      </c>
      <c r="G321" s="2888"/>
      <c r="H321" s="2888">
        <v>181.55501285347046</v>
      </c>
      <c r="I321" s="2888">
        <v>178.25427509293681</v>
      </c>
      <c r="J321" s="2888">
        <v>180.9634092171016</v>
      </c>
      <c r="K321" s="2961"/>
    </row>
    <row r="322" spans="1:11">
      <c r="A322" s="2903">
        <v>1997</v>
      </c>
      <c r="B322" s="2888">
        <v>1784952.8</v>
      </c>
      <c r="C322" s="2888">
        <v>349248.1</v>
      </c>
      <c r="D322" s="2888"/>
      <c r="E322" s="2888">
        <v>9411</v>
      </c>
      <c r="F322" s="2888">
        <v>1987</v>
      </c>
      <c r="G322" s="2888"/>
      <c r="H322" s="2888">
        <v>189.66664541493998</v>
      </c>
      <c r="I322" s="2888">
        <v>175.76653246099647</v>
      </c>
      <c r="J322" s="2888">
        <v>187.24345499210386</v>
      </c>
      <c r="K322" s="2961"/>
    </row>
    <row r="323" spans="1:11">
      <c r="A323" s="2903">
        <v>1998</v>
      </c>
      <c r="B323" s="2888">
        <v>2377688.9</v>
      </c>
      <c r="C323" s="2888">
        <v>488810.8</v>
      </c>
      <c r="D323" s="2888"/>
      <c r="E323" s="2888">
        <v>12717</v>
      </c>
      <c r="F323" s="2888">
        <v>2739</v>
      </c>
      <c r="G323" s="2888"/>
      <c r="H323" s="2888">
        <v>186.96932452622474</v>
      </c>
      <c r="I323" s="2888">
        <v>178.46323475721064</v>
      </c>
      <c r="J323" s="2888">
        <v>185.46193711180126</v>
      </c>
      <c r="K323" s="2961"/>
    </row>
    <row r="324" spans="1:11">
      <c r="A324" s="2903">
        <v>1999</v>
      </c>
      <c r="B324" s="2888">
        <v>2555594.1</v>
      </c>
      <c r="C324" s="2888">
        <v>524253.4</v>
      </c>
      <c r="D324" s="2888"/>
      <c r="E324" s="2888">
        <v>12924</v>
      </c>
      <c r="F324" s="2888">
        <v>2712</v>
      </c>
      <c r="G324" s="2888"/>
      <c r="H324" s="2888">
        <v>197.74018105849584</v>
      </c>
      <c r="I324" s="2888">
        <v>193.30877581120944</v>
      </c>
      <c r="J324" s="2888">
        <v>196.97157201330265</v>
      </c>
      <c r="K324" s="2961"/>
    </row>
    <row r="325" spans="1:11">
      <c r="A325" s="2903">
        <v>2000</v>
      </c>
      <c r="B325" s="2888">
        <v>2849447.7</v>
      </c>
      <c r="C325" s="2888">
        <v>566743.19999999995</v>
      </c>
      <c r="D325" s="2888"/>
      <c r="E325" s="2888">
        <v>13390</v>
      </c>
      <c r="F325" s="2888">
        <v>2790</v>
      </c>
      <c r="G325" s="2888"/>
      <c r="H325" s="2888">
        <v>212.80415982076178</v>
      </c>
      <c r="I325" s="2888">
        <v>203.13376344086021</v>
      </c>
      <c r="J325" s="2888">
        <v>211.13664400494437</v>
      </c>
      <c r="K325" s="2961"/>
    </row>
    <row r="326" spans="1:11">
      <c r="A326" s="2903">
        <v>2001</v>
      </c>
      <c r="B326" s="2888">
        <v>3059782.9</v>
      </c>
      <c r="C326" s="2888">
        <v>672611.4</v>
      </c>
      <c r="D326" s="2888"/>
      <c r="E326" s="2888">
        <v>12849</v>
      </c>
      <c r="F326" s="2888">
        <v>2813</v>
      </c>
      <c r="G326" s="2888"/>
      <c r="H326" s="2888">
        <v>238.13393260175889</v>
      </c>
      <c r="I326" s="2888">
        <v>239.10821187344473</v>
      </c>
      <c r="J326" s="2888">
        <v>238.30891967820202</v>
      </c>
      <c r="K326" s="2961"/>
    </row>
    <row r="327" spans="1:11">
      <c r="A327" s="2903">
        <v>2002</v>
      </c>
      <c r="B327" s="2888">
        <v>3112493.5</v>
      </c>
      <c r="C327" s="2888">
        <v>716138.8</v>
      </c>
      <c r="D327" s="2888"/>
      <c r="E327" s="2888">
        <v>11739</v>
      </c>
      <c r="F327" s="2888">
        <v>2674</v>
      </c>
      <c r="G327" s="2888"/>
      <c r="H327" s="2888">
        <v>265.14128119942075</v>
      </c>
      <c r="I327" s="2888">
        <v>267.81555721765147</v>
      </c>
      <c r="J327" s="2888">
        <v>265.6374314854645</v>
      </c>
      <c r="K327" s="2961"/>
    </row>
    <row r="328" spans="1:11">
      <c r="A328" s="2903">
        <v>2003</v>
      </c>
      <c r="B328" s="2888">
        <v>3781305</v>
      </c>
      <c r="C328" s="2888">
        <v>907323.6</v>
      </c>
      <c r="D328" s="2888"/>
      <c r="E328" s="2888">
        <v>11861</v>
      </c>
      <c r="F328" s="2888">
        <v>2757</v>
      </c>
      <c r="G328" s="2888"/>
      <c r="H328" s="2888">
        <v>318.80153444060363</v>
      </c>
      <c r="I328" s="2888">
        <v>329.09815016322091</v>
      </c>
      <c r="J328" s="2888">
        <v>320.74350800383087</v>
      </c>
      <c r="K328" s="2961"/>
    </row>
    <row r="329" spans="1:11">
      <c r="A329" s="2903">
        <v>2004</v>
      </c>
      <c r="B329" s="2888">
        <v>4174199.3</v>
      </c>
      <c r="C329" s="2888">
        <v>945528.2</v>
      </c>
      <c r="D329" s="2888"/>
      <c r="E329" s="2888">
        <v>12318</v>
      </c>
      <c r="F329" s="2888">
        <v>2869</v>
      </c>
      <c r="G329" s="2888"/>
      <c r="H329" s="2888">
        <v>338.86988959246628</v>
      </c>
      <c r="I329" s="2888">
        <v>329.56716626002088</v>
      </c>
      <c r="J329" s="2888">
        <v>337.11249753078289</v>
      </c>
      <c r="K329" s="2961"/>
    </row>
    <row r="330" spans="1:11">
      <c r="A330" s="2903">
        <v>2005</v>
      </c>
      <c r="B330" s="2888">
        <v>5893336.2999999998</v>
      </c>
      <c r="C330" s="2888">
        <v>1388655.8</v>
      </c>
      <c r="D330" s="2888"/>
      <c r="E330" s="2888">
        <v>13358</v>
      </c>
      <c r="F330" s="2888">
        <v>3203</v>
      </c>
      <c r="G330" s="2888"/>
      <c r="H330" s="2888">
        <v>441.18403204072467</v>
      </c>
      <c r="I330" s="2888">
        <v>433.54848579456763</v>
      </c>
      <c r="J330" s="2888">
        <v>439.70727009238573</v>
      </c>
      <c r="K330" s="2961"/>
    </row>
    <row r="331" spans="1:11">
      <c r="A331" s="2903">
        <v>2006</v>
      </c>
      <c r="B331" s="2888">
        <v>6512994</v>
      </c>
      <c r="C331" s="2888">
        <v>1649679.9</v>
      </c>
      <c r="D331" s="2888"/>
      <c r="E331" s="2888">
        <v>14459</v>
      </c>
      <c r="F331" s="2888">
        <v>3688</v>
      </c>
      <c r="G331" s="2888"/>
      <c r="H331" s="2888">
        <v>450.44567397468705</v>
      </c>
      <c r="I331" s="2888">
        <v>447.31016811279824</v>
      </c>
      <c r="J331" s="2888">
        <v>449.80844767730207</v>
      </c>
      <c r="K331" s="2961"/>
    </row>
    <row r="332" spans="1:11">
      <c r="A332" s="2903">
        <v>2007</v>
      </c>
      <c r="B332" s="2888">
        <v>7766327</v>
      </c>
      <c r="C332" s="2888">
        <v>2164834.4</v>
      </c>
      <c r="D332" s="2888"/>
      <c r="E332" s="2888">
        <v>17190</v>
      </c>
      <c r="F332" s="2888">
        <v>5915</v>
      </c>
      <c r="G332" s="2888"/>
      <c r="H332" s="2888">
        <v>451.7933100639907</v>
      </c>
      <c r="I332" s="2888">
        <v>365.99060016906168</v>
      </c>
      <c r="J332" s="2888">
        <v>429.82737069898292</v>
      </c>
      <c r="K332" s="2961"/>
    </row>
    <row r="333" spans="1:11">
      <c r="A333" s="2903">
        <v>2008</v>
      </c>
      <c r="B333" s="2888">
        <v>5855983</v>
      </c>
      <c r="C333" s="2888">
        <v>1930604.4</v>
      </c>
      <c r="D333" s="2888"/>
      <c r="E333" s="2888">
        <v>13823</v>
      </c>
      <c r="F333" s="2888">
        <v>4341</v>
      </c>
      <c r="G333" s="2888"/>
      <c r="H333" s="2888">
        <v>423.64052665846776</v>
      </c>
      <c r="I333" s="2888">
        <v>444.73724948168621</v>
      </c>
      <c r="J333" s="2888">
        <v>428.68241576745214</v>
      </c>
      <c r="K333" s="2961"/>
    </row>
    <row r="334" spans="1:11">
      <c r="A334" s="2962">
        <v>2009</v>
      </c>
      <c r="B334" s="2888">
        <v>1770058.5</v>
      </c>
      <c r="C334" s="2888">
        <v>762018.8</v>
      </c>
      <c r="D334" s="2888"/>
      <c r="E334" s="2888">
        <v>6394</v>
      </c>
      <c r="F334" s="2888">
        <v>2568</v>
      </c>
      <c r="G334" s="2888"/>
      <c r="H334" s="2888">
        <v>276.83116984673131</v>
      </c>
      <c r="I334" s="2888">
        <v>296.736292834891</v>
      </c>
      <c r="J334" s="2888">
        <v>282.53484713233649</v>
      </c>
      <c r="K334" s="2961"/>
    </row>
    <row r="335" spans="1:11">
      <c r="A335" s="2962">
        <v>2010</v>
      </c>
      <c r="B335" s="2888">
        <v>1549.8</v>
      </c>
      <c r="C335" s="2888">
        <v>1479.1</v>
      </c>
      <c r="D335" s="2888"/>
      <c r="E335" s="2888">
        <v>72</v>
      </c>
      <c r="F335" s="2888">
        <v>107</v>
      </c>
      <c r="G335" s="2888"/>
      <c r="H335" s="2888">
        <v>21.524999999999999</v>
      </c>
      <c r="I335" s="2888">
        <v>13.823364485981308</v>
      </c>
      <c r="J335" s="2888">
        <v>16.921229050279329</v>
      </c>
      <c r="K335" s="2961"/>
    </row>
    <row r="336" spans="1:11">
      <c r="A336" s="2891" t="s">
        <v>625</v>
      </c>
      <c r="B336" s="2963">
        <f>SUM(B316:B335)</f>
        <v>65791057.599999994</v>
      </c>
      <c r="C336" s="2963">
        <f>SUM(C316:C335)</f>
        <v>16159907.200000001</v>
      </c>
      <c r="D336" s="2963"/>
      <c r="E336" s="2963">
        <f>SUM(E316:E335)</f>
        <v>267669</v>
      </c>
      <c r="F336" s="2963">
        <f>SUM(F316:F335)</f>
        <v>64892</v>
      </c>
      <c r="G336" s="2963"/>
      <c r="H336" s="2892">
        <v>245.79259309072023</v>
      </c>
      <c r="I336" s="2892">
        <v>249.02772606792826</v>
      </c>
      <c r="J336" s="2892">
        <v>246.42385848009843</v>
      </c>
      <c r="K336" s="2961"/>
    </row>
    <row r="337" spans="1:11">
      <c r="A337" s="2964"/>
      <c r="B337" s="1143"/>
      <c r="C337" s="1143"/>
      <c r="D337" s="1143"/>
      <c r="E337" s="1143"/>
      <c r="F337" s="1143"/>
      <c r="G337" s="1143"/>
      <c r="H337" s="1143"/>
      <c r="I337" s="1143"/>
      <c r="J337" s="1143"/>
      <c r="K337" s="1139"/>
    </row>
    <row r="338" spans="1:11">
      <c r="A338" s="1139"/>
      <c r="B338" s="2883"/>
      <c r="C338" s="2883"/>
      <c r="D338" s="2883"/>
      <c r="E338" s="2883"/>
      <c r="F338" s="2883"/>
      <c r="G338" s="2883"/>
      <c r="H338" s="2883"/>
      <c r="I338" s="2883"/>
      <c r="J338" s="2883"/>
      <c r="K338" s="2883"/>
    </row>
    <row r="339" spans="1:11">
      <c r="A339" s="1139"/>
      <c r="B339" s="2883"/>
      <c r="C339" s="2883"/>
      <c r="D339" s="2883"/>
      <c r="E339" s="2883"/>
      <c r="F339" s="2883"/>
      <c r="G339" s="2883"/>
      <c r="H339" s="2883"/>
      <c r="I339" s="2883"/>
      <c r="J339" s="2883"/>
      <c r="K339" s="2883"/>
    </row>
    <row r="340" spans="1:11">
      <c r="A340" s="2876" t="s">
        <v>3418</v>
      </c>
      <c r="B340" s="2917"/>
      <c r="C340" s="2917"/>
      <c r="D340" s="2917"/>
      <c r="E340" s="2917"/>
      <c r="F340" s="2883"/>
      <c r="G340" s="2883"/>
      <c r="H340" s="2883"/>
      <c r="I340" s="2883"/>
      <c r="J340" s="2883"/>
      <c r="K340" s="2883"/>
    </row>
    <row r="341" spans="1:11" ht="13.8">
      <c r="A341" s="894" t="s">
        <v>3419</v>
      </c>
      <c r="B341" s="2917"/>
      <c r="C341" s="2917"/>
      <c r="D341" s="2917"/>
      <c r="E341" s="2917"/>
      <c r="F341" s="2883"/>
      <c r="G341" s="2883"/>
      <c r="H341" s="2883"/>
      <c r="I341" s="2883"/>
      <c r="J341" s="2883"/>
      <c r="K341" s="2883"/>
    </row>
    <row r="342" spans="1:11">
      <c r="A342" s="878" t="s">
        <v>3420</v>
      </c>
      <c r="B342" s="2917"/>
      <c r="C342" s="2917"/>
      <c r="D342" s="2917"/>
      <c r="E342" s="2917"/>
      <c r="F342" s="2883"/>
      <c r="G342" s="2883"/>
      <c r="H342" s="2883"/>
      <c r="I342" s="2883"/>
      <c r="J342" s="2883"/>
      <c r="K342" s="2883"/>
    </row>
    <row r="343" spans="1:11">
      <c r="A343" s="1140"/>
      <c r="B343" s="2164"/>
      <c r="C343" s="2164"/>
      <c r="D343" s="2164"/>
      <c r="E343" s="2848"/>
      <c r="F343" s="2848"/>
      <c r="G343" s="2848"/>
      <c r="H343" s="2848"/>
      <c r="I343" s="2848"/>
      <c r="J343" s="2848"/>
      <c r="K343" s="1139"/>
    </row>
    <row r="344" spans="1:11">
      <c r="A344" s="2131" t="s">
        <v>3421</v>
      </c>
      <c r="B344" s="2877" t="s">
        <v>3283</v>
      </c>
      <c r="C344" s="2878"/>
      <c r="D344" s="2879"/>
      <c r="E344" s="2877" t="s">
        <v>3414</v>
      </c>
      <c r="F344" s="2880"/>
      <c r="G344" s="2212"/>
      <c r="H344" s="2877" t="s">
        <v>620</v>
      </c>
      <c r="I344" s="2878"/>
      <c r="J344" s="2881"/>
      <c r="K344" s="2131"/>
    </row>
    <row r="345" spans="1:11">
      <c r="A345" s="2131"/>
      <c r="B345" s="2882" t="s">
        <v>621</v>
      </c>
      <c r="C345" s="2882" t="s">
        <v>622</v>
      </c>
      <c r="D345" s="2882"/>
      <c r="E345" s="2882" t="s">
        <v>621</v>
      </c>
      <c r="F345" s="2882" t="s">
        <v>622</v>
      </c>
      <c r="G345" s="2882"/>
      <c r="H345" s="2882" t="s">
        <v>621</v>
      </c>
      <c r="I345" s="2883" t="s">
        <v>622</v>
      </c>
      <c r="J345" s="2131"/>
      <c r="K345" s="2882"/>
    </row>
    <row r="346" spans="1:11">
      <c r="A346" s="2965"/>
      <c r="B346" s="2885" t="s">
        <v>624</v>
      </c>
      <c r="C346" s="2885" t="s">
        <v>624</v>
      </c>
      <c r="D346" s="2885"/>
      <c r="E346" s="2885" t="s">
        <v>624</v>
      </c>
      <c r="F346" s="2885" t="s">
        <v>624</v>
      </c>
      <c r="G346" s="2885"/>
      <c r="H346" s="2885" t="s">
        <v>624</v>
      </c>
      <c r="I346" s="2885" t="s">
        <v>624</v>
      </c>
      <c r="J346" s="2886" t="s">
        <v>625</v>
      </c>
      <c r="K346" s="2882"/>
    </row>
    <row r="347" spans="1:11">
      <c r="A347" s="2926" t="s">
        <v>3422</v>
      </c>
      <c r="B347" s="2888">
        <v>4302935.9000000004</v>
      </c>
      <c r="C347" s="2888">
        <v>1002186.3</v>
      </c>
      <c r="D347" s="2888"/>
      <c r="E347" s="2888">
        <v>18807</v>
      </c>
      <c r="F347" s="2888">
        <v>4384</v>
      </c>
      <c r="G347" s="2888"/>
      <c r="H347" s="2888">
        <v>228.79437975221992</v>
      </c>
      <c r="I347" s="2888">
        <v>228.60088959854016</v>
      </c>
      <c r="J347" s="2888">
        <v>228.75780259583459</v>
      </c>
      <c r="K347" s="2900"/>
    </row>
    <row r="348" spans="1:11">
      <c r="A348" s="2903" t="s">
        <v>3423</v>
      </c>
      <c r="B348" s="2888">
        <v>15534951.199999999</v>
      </c>
      <c r="C348" s="2888">
        <v>4409820.2</v>
      </c>
      <c r="D348" s="2888"/>
      <c r="E348" s="2888">
        <v>74925</v>
      </c>
      <c r="F348" s="2888">
        <v>19169</v>
      </c>
      <c r="G348" s="2888"/>
      <c r="H348" s="2888">
        <v>207.340022689356</v>
      </c>
      <c r="I348" s="2888">
        <v>230.04956961761178</v>
      </c>
      <c r="J348" s="2888">
        <v>211.96645269623991</v>
      </c>
      <c r="K348" s="2900"/>
    </row>
    <row r="349" spans="1:11">
      <c r="A349" s="2903" t="s">
        <v>3424</v>
      </c>
      <c r="B349" s="2888">
        <v>22815909.300000001</v>
      </c>
      <c r="C349" s="2888">
        <v>5305357.4000000004</v>
      </c>
      <c r="D349" s="2888"/>
      <c r="E349" s="2888">
        <v>96572</v>
      </c>
      <c r="F349" s="2888">
        <v>22818</v>
      </c>
      <c r="G349" s="2888"/>
      <c r="H349" s="2888">
        <v>236.25801785196538</v>
      </c>
      <c r="I349" s="2888">
        <v>232.50755543868877</v>
      </c>
      <c r="J349" s="2888">
        <v>235.54122372057964</v>
      </c>
      <c r="K349" s="2900"/>
    </row>
    <row r="350" spans="1:11">
      <c r="A350" s="2903" t="s">
        <v>3425</v>
      </c>
      <c r="B350" s="2888">
        <v>22886292.899999999</v>
      </c>
      <c r="C350" s="2888">
        <v>5371446</v>
      </c>
      <c r="D350" s="2888"/>
      <c r="E350" s="2888">
        <v>76288</v>
      </c>
      <c r="F350" s="2888">
        <v>18237</v>
      </c>
      <c r="G350" s="2888"/>
      <c r="H350" s="2888">
        <v>299.99859610947982</v>
      </c>
      <c r="I350" s="2888">
        <v>294.53561441026483</v>
      </c>
      <c r="J350" s="2888">
        <v>298.94460618883892</v>
      </c>
      <c r="K350" s="2900"/>
    </row>
    <row r="351" spans="1:11">
      <c r="A351" s="2962" t="s">
        <v>3299</v>
      </c>
      <c r="B351" s="2888">
        <v>250968.3</v>
      </c>
      <c r="C351" s="2888">
        <v>71097.3</v>
      </c>
      <c r="D351" s="2888"/>
      <c r="E351" s="2888">
        <v>1077</v>
      </c>
      <c r="F351" s="2888">
        <v>284</v>
      </c>
      <c r="G351" s="2888"/>
      <c r="H351" s="2888">
        <v>233.02534818941504</v>
      </c>
      <c r="I351" s="2888">
        <v>250.34260563380283</v>
      </c>
      <c r="J351" s="2888">
        <v>236.63894195444524</v>
      </c>
      <c r="K351" s="2900"/>
    </row>
    <row r="352" spans="1:11">
      <c r="A352" s="2940" t="s">
        <v>625</v>
      </c>
      <c r="B352" s="1521">
        <f>SUM(B347:B351)</f>
        <v>65791057.600000001</v>
      </c>
      <c r="C352" s="1521">
        <f>SUM(C347:C351)</f>
        <v>16159907.200000001</v>
      </c>
      <c r="D352" s="1521"/>
      <c r="E352" s="1521">
        <f>SUM(E347:E351)</f>
        <v>267669</v>
      </c>
      <c r="F352" s="1521">
        <f>SUM(F347:F351)</f>
        <v>64892</v>
      </c>
      <c r="G352" s="2937"/>
      <c r="H352" s="2892">
        <v>245.79259309072026</v>
      </c>
      <c r="I352" s="2892">
        <v>249.02772606792826</v>
      </c>
      <c r="J352" s="2892">
        <v>246.42385848009835</v>
      </c>
      <c r="K352" s="2900"/>
    </row>
    <row r="353" spans="1:11">
      <c r="A353" s="2168"/>
      <c r="B353" s="2883"/>
      <c r="C353" s="2883"/>
      <c r="D353" s="2883"/>
      <c r="E353" s="2908"/>
      <c r="F353" s="2883"/>
      <c r="G353" s="2883"/>
      <c r="H353" s="2883"/>
      <c r="I353" s="2883"/>
      <c r="J353" s="2883"/>
      <c r="K353" s="2883"/>
    </row>
    <row r="354" spans="1:11">
      <c r="A354" s="1139"/>
      <c r="B354" s="2883"/>
      <c r="C354" s="2883"/>
      <c r="D354" s="2883"/>
      <c r="E354" s="2883"/>
      <c r="F354" s="2883"/>
      <c r="G354" s="2883"/>
      <c r="H354" s="2883"/>
      <c r="I354" s="2883"/>
      <c r="J354" s="2883"/>
      <c r="K354" s="2883"/>
    </row>
    <row r="355" spans="1:11">
      <c r="A355" s="1139"/>
      <c r="B355" s="2883"/>
      <c r="C355" s="2883"/>
      <c r="D355" s="2883"/>
      <c r="E355" s="2883"/>
      <c r="F355" s="2883"/>
      <c r="G355" s="2883"/>
      <c r="H355" s="2883"/>
      <c r="I355" s="2883"/>
      <c r="J355" s="2883"/>
      <c r="K355" s="2883"/>
    </row>
    <row r="356" spans="1:11">
      <c r="A356" s="2876" t="s">
        <v>3426</v>
      </c>
      <c r="B356" s="1138"/>
      <c r="C356" s="1138"/>
      <c r="D356" s="1138"/>
      <c r="E356" s="1139"/>
      <c r="F356" s="1139"/>
      <c r="G356" s="1139"/>
      <c r="H356" s="1139"/>
      <c r="I356" s="1139"/>
      <c r="J356" s="2131"/>
      <c r="K356" s="1139"/>
    </row>
    <row r="357" spans="1:11">
      <c r="A357" s="894" t="s">
        <v>3427</v>
      </c>
      <c r="B357" s="1138"/>
      <c r="C357" s="1138"/>
      <c r="D357" s="1138"/>
      <c r="E357" s="1139"/>
      <c r="F357" s="1139"/>
      <c r="G357" s="1139"/>
      <c r="H357" s="1139"/>
      <c r="I357" s="1139"/>
      <c r="J357" s="2131"/>
      <c r="K357" s="2883"/>
    </row>
    <row r="358" spans="1:11">
      <c r="A358" s="878" t="s">
        <v>3428</v>
      </c>
      <c r="B358" s="1138"/>
      <c r="C358" s="1138"/>
      <c r="D358" s="1138"/>
      <c r="E358" s="1139"/>
      <c r="F358" s="1139"/>
      <c r="G358" s="1139"/>
      <c r="H358" s="1139"/>
      <c r="I358" s="1139"/>
      <c r="J358" s="2131"/>
      <c r="K358" s="1139"/>
    </row>
    <row r="359" spans="1:11">
      <c r="A359" s="1140"/>
      <c r="B359" s="1487"/>
      <c r="C359" s="1487"/>
      <c r="D359" s="1487"/>
      <c r="E359" s="1140"/>
      <c r="F359" s="1140"/>
      <c r="G359" s="1140"/>
      <c r="H359" s="1140"/>
      <c r="I359" s="1140"/>
      <c r="J359" s="2131"/>
      <c r="K359" s="1139"/>
    </row>
    <row r="360" spans="1:11">
      <c r="A360" s="2894" t="s">
        <v>3303</v>
      </c>
      <c r="B360" s="2894"/>
      <c r="C360" s="2966" t="s">
        <v>618</v>
      </c>
      <c r="D360" s="2966"/>
      <c r="E360" s="2846"/>
      <c r="F360" s="2966" t="s">
        <v>3414</v>
      </c>
      <c r="G360" s="2966"/>
      <c r="H360" s="2846"/>
      <c r="I360" s="2966" t="s">
        <v>620</v>
      </c>
      <c r="J360" s="2167"/>
      <c r="K360" s="1466"/>
    </row>
    <row r="361" spans="1:11">
      <c r="A361" s="2896" t="s">
        <v>3304</v>
      </c>
      <c r="B361" s="2967"/>
      <c r="C361" s="2927">
        <v>65791057.600000001</v>
      </c>
      <c r="D361" s="2927"/>
      <c r="E361" s="2927"/>
      <c r="F361" s="2927">
        <v>267669</v>
      </c>
      <c r="G361" s="2927"/>
      <c r="H361" s="2927"/>
      <c r="I361" s="2927">
        <f>C361/F361</f>
        <v>245.79259309072026</v>
      </c>
      <c r="J361" s="2900"/>
      <c r="K361" s="2893"/>
    </row>
    <row r="362" spans="1:11">
      <c r="A362" s="2901" t="s">
        <v>3305</v>
      </c>
      <c r="B362" s="2897"/>
      <c r="C362" s="2898">
        <v>6823063.7999999998</v>
      </c>
      <c r="D362" s="2898"/>
      <c r="E362" s="2898"/>
      <c r="F362" s="2898">
        <v>30590</v>
      </c>
      <c r="G362" s="2898"/>
      <c r="H362" s="2899"/>
      <c r="I362" s="2898">
        <f>C362/F362</f>
        <v>223.04883295194509</v>
      </c>
      <c r="J362" s="2900"/>
      <c r="K362" s="2893"/>
    </row>
    <row r="363" spans="1:11">
      <c r="A363" s="2903" t="s">
        <v>3306</v>
      </c>
      <c r="B363" s="2904"/>
      <c r="C363" s="2888">
        <v>58967993.799999997</v>
      </c>
      <c r="D363" s="2888"/>
      <c r="E363" s="2888"/>
      <c r="F363" s="2888">
        <v>237079</v>
      </c>
      <c r="G363" s="2888"/>
      <c r="H363" s="2902"/>
      <c r="I363" s="2888">
        <f>C363/F363</f>
        <v>248.72719135815487</v>
      </c>
      <c r="J363" s="2900"/>
      <c r="K363" s="2893"/>
    </row>
    <row r="364" spans="1:11">
      <c r="A364" s="2905" t="s">
        <v>3307</v>
      </c>
      <c r="B364" s="2904"/>
      <c r="C364" s="2888">
        <v>16159907.199999999</v>
      </c>
      <c r="D364" s="2888"/>
      <c r="E364" s="2888"/>
      <c r="F364" s="2888">
        <v>64892</v>
      </c>
      <c r="G364" s="2888"/>
      <c r="H364" s="2902"/>
      <c r="I364" s="2888">
        <f>C364/F364</f>
        <v>249.02772606792823</v>
      </c>
      <c r="J364" s="2900"/>
      <c r="K364" s="2893"/>
    </row>
    <row r="365" spans="1:11">
      <c r="A365" s="2891" t="s">
        <v>625</v>
      </c>
      <c r="B365" s="2909"/>
      <c r="C365" s="2892">
        <v>81950964.799999997</v>
      </c>
      <c r="D365" s="2892"/>
      <c r="E365" s="2892"/>
      <c r="F365" s="2892">
        <v>332561</v>
      </c>
      <c r="G365" s="2892"/>
      <c r="H365" s="2892"/>
      <c r="I365" s="2892">
        <f>C365/F365</f>
        <v>246.42385848009837</v>
      </c>
      <c r="J365" s="2900"/>
      <c r="K365" s="2893"/>
    </row>
    <row r="366" spans="1:11">
      <c r="A366" s="2915"/>
      <c r="B366" s="2131"/>
      <c r="C366" s="2131"/>
      <c r="D366" s="2131"/>
      <c r="E366" s="2131"/>
      <c r="F366" s="2131"/>
      <c r="G366" s="2131"/>
      <c r="H366" s="2131"/>
      <c r="I366" s="2131"/>
      <c r="J366" s="2131"/>
      <c r="K366" s="1139"/>
    </row>
    <row r="367" spans="1:11">
      <c r="A367" s="2131"/>
      <c r="B367" s="2131"/>
      <c r="C367" s="2131"/>
      <c r="D367" s="2131"/>
      <c r="E367" s="2131"/>
      <c r="F367" s="2131"/>
      <c r="G367" s="2131"/>
      <c r="H367" s="2131"/>
      <c r="I367" s="2131"/>
      <c r="J367" s="2131"/>
      <c r="K367" s="1139"/>
    </row>
    <row r="368" spans="1:11">
      <c r="A368" s="1139"/>
      <c r="B368" s="2883"/>
      <c r="C368" s="2883"/>
      <c r="D368" s="2883"/>
      <c r="E368" s="2883"/>
      <c r="F368" s="2883"/>
      <c r="G368" s="2883"/>
      <c r="H368" s="2883"/>
      <c r="I368" s="2883"/>
      <c r="J368" s="2883"/>
      <c r="K368" s="2883"/>
    </row>
    <row r="369" spans="1:11">
      <c r="A369" s="1139"/>
      <c r="B369" s="2883"/>
      <c r="C369" s="2883"/>
      <c r="D369" s="2883"/>
      <c r="E369" s="2883"/>
      <c r="F369" s="2883"/>
      <c r="G369" s="2883"/>
      <c r="H369" s="2883"/>
      <c r="I369" s="2883"/>
      <c r="J369" s="2883"/>
      <c r="K369" s="2883"/>
    </row>
    <row r="370" spans="1:11">
      <c r="A370" s="1139"/>
      <c r="B370" s="2883"/>
      <c r="C370" s="2883"/>
      <c r="D370" s="2883"/>
      <c r="E370" s="2883"/>
      <c r="F370" s="2883"/>
      <c r="G370" s="2883"/>
      <c r="H370" s="2883"/>
      <c r="I370" s="2883"/>
      <c r="J370" s="2883"/>
      <c r="K370" s="2883"/>
    </row>
    <row r="371" spans="1:11">
      <c r="A371" s="1139"/>
      <c r="B371" s="2883"/>
      <c r="C371" s="2883"/>
      <c r="D371" s="2883"/>
      <c r="E371" s="2883"/>
      <c r="F371" s="2883"/>
      <c r="G371" s="2883"/>
      <c r="H371" s="2883"/>
      <c r="I371" s="2883"/>
      <c r="J371" s="2883"/>
      <c r="K371" s="2883"/>
    </row>
    <row r="376" spans="1:11">
      <c r="A376" s="1139"/>
      <c r="B376" s="1139"/>
      <c r="C376" s="1139"/>
      <c r="D376" s="1139"/>
      <c r="E376" s="1139"/>
      <c r="F376" s="2883"/>
      <c r="G376" s="2917"/>
      <c r="H376" s="2131"/>
    </row>
    <row r="377" spans="1:11">
      <c r="A377" s="2876" t="s">
        <v>3429</v>
      </c>
      <c r="B377" s="1139"/>
      <c r="C377" s="1139"/>
      <c r="D377" s="1139"/>
      <c r="E377" s="1139"/>
      <c r="F377" s="2883"/>
      <c r="G377" s="1139"/>
      <c r="H377" s="2131"/>
    </row>
    <row r="378" spans="1:11">
      <c r="A378" s="894" t="s">
        <v>3430</v>
      </c>
      <c r="B378" s="1139"/>
      <c r="C378" s="1139"/>
      <c r="D378" s="1139"/>
      <c r="E378" s="1139"/>
      <c r="F378" s="2883"/>
      <c r="G378" s="1139"/>
      <c r="H378" s="2131"/>
    </row>
    <row r="379" spans="1:11">
      <c r="A379" s="878" t="s">
        <v>3431</v>
      </c>
      <c r="B379" s="1139"/>
      <c r="C379" s="1139"/>
      <c r="D379" s="1139"/>
      <c r="E379" s="1139"/>
      <c r="F379" s="2883"/>
      <c r="G379" s="1139"/>
      <c r="H379" s="2131"/>
    </row>
    <row r="380" spans="1:11">
      <c r="A380" s="1140"/>
      <c r="B380" s="1140"/>
      <c r="C380" s="1140"/>
      <c r="D380" s="1140"/>
      <c r="E380" s="1140"/>
      <c r="F380" s="2848"/>
      <c r="G380" s="1140"/>
      <c r="H380" s="2131"/>
    </row>
    <row r="381" spans="1:11">
      <c r="A381" s="1139"/>
      <c r="B381" s="2882" t="s">
        <v>655</v>
      </c>
      <c r="C381" s="2877" t="s">
        <v>3432</v>
      </c>
      <c r="D381" s="2895"/>
      <c r="E381" s="2895"/>
      <c r="F381" s="2882" t="s">
        <v>657</v>
      </c>
      <c r="G381" s="2882" t="s">
        <v>3433</v>
      </c>
      <c r="H381" s="2882"/>
    </row>
    <row r="382" spans="1:11">
      <c r="A382" s="1140" t="s">
        <v>1478</v>
      </c>
      <c r="B382" s="2848"/>
      <c r="C382" s="2937">
        <v>-3500</v>
      </c>
      <c r="D382" s="2848" t="s">
        <v>667</v>
      </c>
      <c r="E382" s="2848" t="s">
        <v>625</v>
      </c>
      <c r="F382" s="2848"/>
      <c r="G382" s="2848"/>
      <c r="H382" s="2131"/>
    </row>
    <row r="383" spans="1:11">
      <c r="A383" s="2968" t="s">
        <v>3434</v>
      </c>
      <c r="B383" s="2969">
        <v>1338.3522679718446</v>
      </c>
      <c r="C383" s="2969">
        <v>1580.5030536286743</v>
      </c>
      <c r="D383" s="2969">
        <v>3199.5862045012504</v>
      </c>
      <c r="E383" s="2969">
        <v>1767.2355289932864</v>
      </c>
      <c r="F383" s="2969">
        <v>5902.8761679644049</v>
      </c>
      <c r="G383" s="2970">
        <v>264.51374036360636</v>
      </c>
      <c r="H383" s="2971"/>
    </row>
    <row r="384" spans="1:11">
      <c r="A384" s="2972" t="s">
        <v>3435</v>
      </c>
      <c r="B384" s="2969">
        <v>1297.3738082181983</v>
      </c>
      <c r="C384" s="2969">
        <v>1449.6012014176729</v>
      </c>
      <c r="D384" s="2969">
        <v>3510.5666666666666</v>
      </c>
      <c r="E384" s="2969">
        <v>1745.9782749575684</v>
      </c>
      <c r="F384" s="2969">
        <v>6762.7505660377356</v>
      </c>
      <c r="G384" s="2969">
        <v>247.36501010472165</v>
      </c>
      <c r="H384" s="2971"/>
    </row>
    <row r="385" spans="1:8">
      <c r="A385" s="2972" t="s">
        <v>3436</v>
      </c>
      <c r="B385" s="2969">
        <v>1242.4873058992962</v>
      </c>
      <c r="C385" s="2969">
        <v>1405.8003255597635</v>
      </c>
      <c r="D385" s="2969">
        <v>3982.661400097229</v>
      </c>
      <c r="E385" s="2969">
        <v>1715.6321720832359</v>
      </c>
      <c r="F385" s="2969">
        <v>4662.8438356164388</v>
      </c>
      <c r="G385" s="2969">
        <v>243.24025961984239</v>
      </c>
      <c r="H385" s="2971"/>
    </row>
    <row r="386" spans="1:8">
      <c r="A386" s="2972" t="s">
        <v>3437</v>
      </c>
      <c r="B386" s="2969">
        <v>1244.9579000210661</v>
      </c>
      <c r="C386" s="2969">
        <v>1418.6721502930627</v>
      </c>
      <c r="D386" s="2969">
        <v>3965.0588445929816</v>
      </c>
      <c r="E386" s="2969">
        <v>1812.9944992791395</v>
      </c>
      <c r="F386" s="2969">
        <v>5789.6186629526464</v>
      </c>
      <c r="G386" s="2969">
        <v>231.62300830513689</v>
      </c>
      <c r="H386" s="2971"/>
    </row>
    <row r="387" spans="1:8">
      <c r="A387" s="2972" t="s">
        <v>3438</v>
      </c>
      <c r="B387" s="2969">
        <v>1286.9188384194697</v>
      </c>
      <c r="C387" s="2969">
        <v>1421.3952445723255</v>
      </c>
      <c r="D387" s="2969">
        <v>5069.923442205235</v>
      </c>
      <c r="E387" s="2969">
        <v>2093.5826903379993</v>
      </c>
      <c r="F387" s="2969">
        <v>4501.2838010204077</v>
      </c>
      <c r="G387" s="2969">
        <v>246.56857754010693</v>
      </c>
      <c r="H387" s="2971"/>
    </row>
    <row r="388" spans="1:8">
      <c r="A388" s="2972" t="s">
        <v>3439</v>
      </c>
      <c r="B388" s="2969">
        <v>1288.5079853542886</v>
      </c>
      <c r="C388" s="2969">
        <v>1413.5569620253164</v>
      </c>
      <c r="D388" s="2969">
        <v>6105.1033414832928</v>
      </c>
      <c r="E388" s="2969">
        <v>2285.8902560994093</v>
      </c>
      <c r="F388" s="2969">
        <v>5321.0990506329117</v>
      </c>
      <c r="G388" s="2969">
        <v>240.02672799284528</v>
      </c>
      <c r="H388" s="2907"/>
    </row>
    <row r="389" spans="1:8">
      <c r="A389" s="2972" t="s">
        <v>3440</v>
      </c>
      <c r="B389" s="2969">
        <v>1246.8429139670004</v>
      </c>
      <c r="C389" s="2969">
        <v>1337.8547007360087</v>
      </c>
      <c r="D389" s="2969">
        <v>4874.2115863141526</v>
      </c>
      <c r="E389" s="2969">
        <v>1873.7042299988218</v>
      </c>
      <c r="F389" s="2969">
        <v>5780.8259181532003</v>
      </c>
      <c r="G389" s="2969">
        <v>226.83029414546488</v>
      </c>
      <c r="H389" s="2907"/>
    </row>
    <row r="390" spans="1:8">
      <c r="A390" s="2972" t="s">
        <v>3441</v>
      </c>
      <c r="B390" s="2969">
        <v>1083.1804336755206</v>
      </c>
      <c r="C390" s="2969">
        <v>1188.8589105058365</v>
      </c>
      <c r="D390" s="2969">
        <v>2775.8784260515604</v>
      </c>
      <c r="E390" s="2969">
        <v>1387.8776927003573</v>
      </c>
      <c r="F390" s="2969">
        <v>3889.0033333333336</v>
      </c>
      <c r="G390" s="2969">
        <v>233.79708104395604</v>
      </c>
      <c r="H390" s="2971"/>
    </row>
    <row r="391" spans="1:8">
      <c r="A391" s="2972" t="s">
        <v>3442</v>
      </c>
      <c r="B391" s="2969">
        <v>1211.6827957602006</v>
      </c>
      <c r="C391" s="2969">
        <v>1319.9376752181961</v>
      </c>
      <c r="D391" s="2969">
        <v>3796.5384785819792</v>
      </c>
      <c r="E391" s="2969">
        <v>1696.0387842081652</v>
      </c>
      <c r="F391" s="2969">
        <v>3558.4428571428571</v>
      </c>
      <c r="G391" s="2969">
        <v>237.31194267515923</v>
      </c>
      <c r="H391" s="2907"/>
    </row>
    <row r="392" spans="1:8">
      <c r="A392" s="2972" t="s">
        <v>3443</v>
      </c>
      <c r="B392" s="2969">
        <v>1261.323456022076</v>
      </c>
      <c r="C392" s="2969">
        <v>1461.8637784804996</v>
      </c>
      <c r="D392" s="2969">
        <v>5225.70171416626</v>
      </c>
      <c r="E392" s="2969">
        <v>2172.435739844243</v>
      </c>
      <c r="F392" s="2969">
        <v>5465.9669652855546</v>
      </c>
      <c r="G392" s="2969">
        <v>232.30592261904761</v>
      </c>
      <c r="H392" s="2907"/>
    </row>
    <row r="393" spans="1:8">
      <c r="A393" s="2972" t="s">
        <v>3444</v>
      </c>
      <c r="B393" s="2969">
        <v>1277.5142059888972</v>
      </c>
      <c r="C393" s="2969">
        <v>1434.7604240088106</v>
      </c>
      <c r="D393" s="2969">
        <v>5431.9032069157829</v>
      </c>
      <c r="E393" s="2969">
        <v>2093.9048192771083</v>
      </c>
      <c r="F393" s="2969">
        <v>4426.4638743455498</v>
      </c>
      <c r="G393" s="2969">
        <v>231.56920570896682</v>
      </c>
      <c r="H393" s="2907"/>
    </row>
    <row r="394" spans="1:8">
      <c r="A394" s="2972" t="s">
        <v>1497</v>
      </c>
      <c r="B394" s="2969">
        <v>1283.3791885544661</v>
      </c>
      <c r="C394" s="2969">
        <v>1421.4973731225589</v>
      </c>
      <c r="D394" s="2969">
        <v>4205.0576830547152</v>
      </c>
      <c r="E394" s="2969">
        <v>1884.9190568130468</v>
      </c>
      <c r="F394" s="2969">
        <v>5515.7814180107525</v>
      </c>
      <c r="G394" s="2969">
        <v>247.11506974575968</v>
      </c>
      <c r="H394" s="2907"/>
    </row>
    <row r="395" spans="1:8">
      <c r="A395" s="2972" t="s">
        <v>3445</v>
      </c>
      <c r="B395" s="2969">
        <v>1261.6281135308559</v>
      </c>
      <c r="C395" s="2969">
        <v>1386.9908907647725</v>
      </c>
      <c r="D395" s="2969">
        <v>4161.7286645962731</v>
      </c>
      <c r="E395" s="2969">
        <v>1854.9209018539857</v>
      </c>
      <c r="F395" s="2969">
        <v>5565.0068661971827</v>
      </c>
      <c r="G395" s="2969">
        <v>238.75254462432545</v>
      </c>
      <c r="H395" s="2907"/>
    </row>
    <row r="396" spans="1:8">
      <c r="A396" s="2972" t="s">
        <v>3446</v>
      </c>
      <c r="B396" s="2969">
        <v>1227.7482478602158</v>
      </c>
      <c r="C396" s="2969">
        <v>1385.44090657482</v>
      </c>
      <c r="D396" s="2969">
        <v>4672.0104307692309</v>
      </c>
      <c r="E396" s="2969">
        <v>1932.9497975293455</v>
      </c>
      <c r="F396" s="2969">
        <v>4720.728909952607</v>
      </c>
      <c r="G396" s="2969">
        <v>237.62543892071704</v>
      </c>
      <c r="H396" s="2907"/>
    </row>
    <row r="397" spans="1:8">
      <c r="A397" s="2972" t="s">
        <v>3447</v>
      </c>
      <c r="B397" s="2969">
        <v>1230.0993205795573</v>
      </c>
      <c r="C397" s="2969">
        <v>1415.1357671200192</v>
      </c>
      <c r="D397" s="2969">
        <v>3459.5116259826227</v>
      </c>
      <c r="E397" s="2969">
        <v>1744.7726217478321</v>
      </c>
      <c r="F397" s="2969">
        <v>4620.4931693989074</v>
      </c>
      <c r="G397" s="2969">
        <v>244.50245973968671</v>
      </c>
      <c r="H397" s="2907"/>
    </row>
    <row r="398" spans="1:8">
      <c r="A398" s="2972" t="s">
        <v>3448</v>
      </c>
      <c r="B398" s="2969">
        <v>1217.1045758643879</v>
      </c>
      <c r="C398" s="2969">
        <v>1342.7914026013157</v>
      </c>
      <c r="D398" s="2969">
        <v>3769.6233741496599</v>
      </c>
      <c r="E398" s="2969">
        <v>1720.890753773105</v>
      </c>
      <c r="F398" s="2969">
        <v>5669.604835589942</v>
      </c>
      <c r="G398" s="2969">
        <v>236.65005082038621</v>
      </c>
      <c r="H398" s="2907"/>
    </row>
    <row r="399" spans="1:8">
      <c r="A399" s="2972" t="s">
        <v>3449</v>
      </c>
      <c r="B399" s="2969">
        <v>1225.4011527846446</v>
      </c>
      <c r="C399" s="2969">
        <v>1379.2742405028393</v>
      </c>
      <c r="D399" s="2969">
        <v>4628.0016252683226</v>
      </c>
      <c r="E399" s="2969">
        <v>1874.3719132629219</v>
      </c>
      <c r="F399" s="2969">
        <v>5326.4293929712458</v>
      </c>
      <c r="G399" s="2969">
        <v>251.00490822349803</v>
      </c>
      <c r="H399" s="2907"/>
    </row>
    <row r="400" spans="1:8">
      <c r="A400" s="2972" t="s">
        <v>3450</v>
      </c>
      <c r="B400" s="2969">
        <v>1224.163049208227</v>
      </c>
      <c r="C400" s="2969">
        <v>1367.7859801240579</v>
      </c>
      <c r="D400" s="2969">
        <v>4101.9090629800303</v>
      </c>
      <c r="E400" s="2969">
        <v>1855.4871328364754</v>
      </c>
      <c r="F400" s="2969">
        <v>5444.8985148514848</v>
      </c>
      <c r="G400" s="2969">
        <v>258.41215491559086</v>
      </c>
      <c r="H400" s="2907"/>
    </row>
    <row r="401" spans="1:8">
      <c r="A401" s="2972" t="s">
        <v>3451</v>
      </c>
      <c r="B401" s="2969">
        <v>1266.9726996119284</v>
      </c>
      <c r="C401" s="2969">
        <v>1413.4335846211834</v>
      </c>
      <c r="D401" s="2969">
        <v>3958.6987659963438</v>
      </c>
      <c r="E401" s="2969">
        <v>1848.5148515625001</v>
      </c>
      <c r="F401" s="2969">
        <v>6249.3483357452969</v>
      </c>
      <c r="G401" s="2969">
        <v>261.18253309622605</v>
      </c>
      <c r="H401" s="2907"/>
    </row>
    <row r="402" spans="1:8">
      <c r="A402" s="2972" t="s">
        <v>1504</v>
      </c>
      <c r="B402" s="2969">
        <v>1227.979453685919</v>
      </c>
      <c r="C402" s="2969">
        <v>1350.0470817893065</v>
      </c>
      <c r="D402" s="2969">
        <v>4606.8028313627883</v>
      </c>
      <c r="E402" s="2969">
        <v>1921.2144385026736</v>
      </c>
      <c r="F402" s="2969">
        <v>6141.194706994329</v>
      </c>
      <c r="G402" s="2969">
        <v>245.78872806582729</v>
      </c>
      <c r="H402" s="2907"/>
    </row>
    <row r="403" spans="1:8">
      <c r="A403" s="2972" t="s">
        <v>1505</v>
      </c>
      <c r="B403" s="2969">
        <v>1230.6304956471424</v>
      </c>
      <c r="C403" s="2969">
        <v>1367.7981114308134</v>
      </c>
      <c r="D403" s="2969">
        <v>3680.4363440280399</v>
      </c>
      <c r="E403" s="2969">
        <v>1743.6119567122325</v>
      </c>
      <c r="F403" s="2969">
        <v>4871.9308488612842</v>
      </c>
      <c r="G403" s="2969">
        <v>264.55580786026201</v>
      </c>
      <c r="H403" s="2907"/>
    </row>
    <row r="404" spans="1:8">
      <c r="A404" s="2973" t="s">
        <v>3452</v>
      </c>
      <c r="B404" s="2969">
        <v>609.3214511041009</v>
      </c>
      <c r="C404" s="2969">
        <v>1680.1208333333334</v>
      </c>
      <c r="D404" s="2969">
        <v>2216.9749999999999</v>
      </c>
      <c r="E404" s="2969">
        <v>1814.3343749999999</v>
      </c>
      <c r="F404" s="2974" t="s">
        <v>390</v>
      </c>
      <c r="G404" s="2975">
        <v>298.29333333333329</v>
      </c>
      <c r="H404" s="2976"/>
    </row>
    <row r="405" spans="1:8">
      <c r="A405" s="2954" t="s">
        <v>625</v>
      </c>
      <c r="B405" s="2977">
        <v>1270.9112460220972</v>
      </c>
      <c r="C405" s="2977">
        <v>1441.7844915868611</v>
      </c>
      <c r="D405" s="2977">
        <v>4282.0822376744809</v>
      </c>
      <c r="E405" s="2977">
        <v>1885.1711131343498</v>
      </c>
      <c r="F405" s="2978">
        <v>5535.8059964518043</v>
      </c>
      <c r="G405" s="2979">
        <v>245.07011364285651</v>
      </c>
      <c r="H405" s="2907"/>
    </row>
    <row r="406" spans="1:8">
      <c r="A406" s="1139" t="s">
        <v>3453</v>
      </c>
      <c r="B406" s="1139"/>
      <c r="C406" s="1139"/>
      <c r="D406" s="1139"/>
      <c r="E406" s="1139"/>
      <c r="F406" s="2883"/>
      <c r="G406" s="1139"/>
      <c r="H406" s="2131"/>
    </row>
    <row r="407" spans="1:8">
      <c r="A407" s="1139"/>
      <c r="B407" s="1139"/>
      <c r="C407" s="1139"/>
      <c r="D407" s="1139"/>
      <c r="E407" s="1139"/>
      <c r="F407" s="2883"/>
      <c r="G407" s="1139"/>
      <c r="H407" s="2131"/>
    </row>
    <row r="408" spans="1:8">
      <c r="A408" s="1139"/>
      <c r="B408" s="1139"/>
      <c r="C408" s="1139"/>
      <c r="D408" s="1139"/>
      <c r="E408" s="1139"/>
      <c r="F408" s="2883"/>
      <c r="G408" s="1139"/>
      <c r="H408" s="2131"/>
    </row>
    <row r="409" spans="1:8">
      <c r="A409" s="1139"/>
      <c r="B409" s="1139"/>
      <c r="C409" s="1139"/>
      <c r="D409" s="1139"/>
      <c r="E409" s="1139"/>
      <c r="F409" s="2883"/>
      <c r="G409" s="1139"/>
      <c r="H409" s="2131"/>
    </row>
    <row r="410" spans="1:8">
      <c r="A410" s="1139"/>
      <c r="B410" s="1139"/>
      <c r="C410" s="1139"/>
      <c r="D410" s="1139"/>
      <c r="E410" s="1139"/>
      <c r="F410" s="2883"/>
      <c r="G410" s="1139"/>
      <c r="H410" s="2131"/>
    </row>
  </sheetData>
  <pageMargins left="0.7" right="0.7" top="0.75" bottom="0.75" header="0.3" footer="0.3"/>
  <drawing r:id="rId1"/>
  <legacyDrawing r:id="rId2"/>
  <oleObjects>
    <mc:AlternateContent xmlns:mc="http://schemas.openxmlformats.org/markup-compatibility/2006">
      <mc:Choice Requires="x14">
        <oleObject progId="Paint.Picture" shapeId="645121" r:id="rId3">
          <objectPr defaultSize="0" autoLine="0" autoPict="0" r:id="rId4">
            <anchor moveWithCells="1">
              <from>
                <xdr:col>0</xdr:col>
                <xdr:colOff>45720</xdr:colOff>
                <xdr:row>65</xdr:row>
                <xdr:rowOff>60960</xdr:rowOff>
              </from>
              <to>
                <xdr:col>1</xdr:col>
                <xdr:colOff>144780</xdr:colOff>
                <xdr:row>66</xdr:row>
                <xdr:rowOff>137160</xdr:rowOff>
              </to>
            </anchor>
          </objectPr>
        </oleObject>
      </mc:Choice>
      <mc:Fallback>
        <oleObject progId="Paint.Picture" shapeId="645121" r:id="rId3"/>
      </mc:Fallback>
    </mc:AlternateContent>
    <mc:AlternateContent xmlns:mc="http://schemas.openxmlformats.org/markup-compatibility/2006">
      <mc:Choice Requires="x14">
        <oleObject progId="Paint.Picture" shapeId="645122" r:id="rId5">
          <objectPr defaultSize="0" autoLine="0" autoPict="0" r:id="rId4">
            <anchor moveWithCells="1">
              <from>
                <xdr:col>0</xdr:col>
                <xdr:colOff>7620</xdr:colOff>
                <xdr:row>99</xdr:row>
                <xdr:rowOff>45720</xdr:rowOff>
              </from>
              <to>
                <xdr:col>1</xdr:col>
                <xdr:colOff>289560</xdr:colOff>
                <xdr:row>100</xdr:row>
                <xdr:rowOff>121920</xdr:rowOff>
              </to>
            </anchor>
          </objectPr>
        </oleObject>
      </mc:Choice>
      <mc:Fallback>
        <oleObject progId="Paint.Picture" shapeId="645122" r:id="rId5"/>
      </mc:Fallback>
    </mc:AlternateContent>
    <mc:AlternateContent xmlns:mc="http://schemas.openxmlformats.org/markup-compatibility/2006">
      <mc:Choice Requires="x14">
        <oleObject progId="Paint.Picture" shapeId="645123" r:id="rId6">
          <objectPr defaultSize="0" autoLine="0" autoPict="0" r:id="rId4">
            <anchor moveWithCells="1">
              <from>
                <xdr:col>0</xdr:col>
                <xdr:colOff>45720</xdr:colOff>
                <xdr:row>117</xdr:row>
                <xdr:rowOff>60960</xdr:rowOff>
              </from>
              <to>
                <xdr:col>1</xdr:col>
                <xdr:colOff>327660</xdr:colOff>
                <xdr:row>118</xdr:row>
                <xdr:rowOff>137160</xdr:rowOff>
              </to>
            </anchor>
          </objectPr>
        </oleObject>
      </mc:Choice>
      <mc:Fallback>
        <oleObject progId="Paint.Picture" shapeId="645123" r:id="rId6"/>
      </mc:Fallback>
    </mc:AlternateContent>
    <mc:AlternateContent xmlns:mc="http://schemas.openxmlformats.org/markup-compatibility/2006">
      <mc:Choice Requires="x14">
        <oleObject progId="Paint.Picture" shapeId="645124" r:id="rId7">
          <objectPr defaultSize="0" autoLine="0" autoPict="0" r:id="rId4">
            <anchor moveWithCells="1">
              <from>
                <xdr:col>0</xdr:col>
                <xdr:colOff>22860</xdr:colOff>
                <xdr:row>152</xdr:row>
                <xdr:rowOff>45720</xdr:rowOff>
              </from>
              <to>
                <xdr:col>1</xdr:col>
                <xdr:colOff>312420</xdr:colOff>
                <xdr:row>153</xdr:row>
                <xdr:rowOff>121920</xdr:rowOff>
              </to>
            </anchor>
          </objectPr>
        </oleObject>
      </mc:Choice>
      <mc:Fallback>
        <oleObject progId="Paint.Picture" shapeId="645124" r:id="rId7"/>
      </mc:Fallback>
    </mc:AlternateContent>
    <mc:AlternateContent xmlns:mc="http://schemas.openxmlformats.org/markup-compatibility/2006">
      <mc:Choice Requires="x14">
        <oleObject progId="Paint.Picture" shapeId="645125" r:id="rId8">
          <objectPr defaultSize="0" autoLine="0" autoPict="0" r:id="rId4">
            <anchor moveWithCells="1">
              <from>
                <xdr:col>0</xdr:col>
                <xdr:colOff>30480</xdr:colOff>
                <xdr:row>177</xdr:row>
                <xdr:rowOff>68580</xdr:rowOff>
              </from>
              <to>
                <xdr:col>1</xdr:col>
                <xdr:colOff>327660</xdr:colOff>
                <xdr:row>178</xdr:row>
                <xdr:rowOff>144780</xdr:rowOff>
              </to>
            </anchor>
          </objectPr>
        </oleObject>
      </mc:Choice>
      <mc:Fallback>
        <oleObject progId="Paint.Picture" shapeId="645125" r:id="rId8"/>
      </mc:Fallback>
    </mc:AlternateContent>
    <mc:AlternateContent xmlns:mc="http://schemas.openxmlformats.org/markup-compatibility/2006">
      <mc:Choice Requires="x14">
        <oleObject progId="Paint.Picture" shapeId="645126" r:id="rId9">
          <objectPr defaultSize="0" autoLine="0" autoPict="0" r:id="rId4">
            <anchor moveWithCells="1">
              <from>
                <xdr:col>0</xdr:col>
                <xdr:colOff>30480</xdr:colOff>
                <xdr:row>214</xdr:row>
                <xdr:rowOff>45720</xdr:rowOff>
              </from>
              <to>
                <xdr:col>1</xdr:col>
                <xdr:colOff>0</xdr:colOff>
                <xdr:row>215</xdr:row>
                <xdr:rowOff>121920</xdr:rowOff>
              </to>
            </anchor>
          </objectPr>
        </oleObject>
      </mc:Choice>
      <mc:Fallback>
        <oleObject progId="Paint.Picture" shapeId="645126" r:id="rId9"/>
      </mc:Fallback>
    </mc:AlternateContent>
    <mc:AlternateContent xmlns:mc="http://schemas.openxmlformats.org/markup-compatibility/2006">
      <mc:Choice Requires="x14">
        <oleObject progId="Paint.Picture" shapeId="645127" r:id="rId10">
          <objectPr defaultSize="0" autoLine="0" autoPict="0" r:id="rId4">
            <anchor moveWithCells="1">
              <from>
                <xdr:col>0</xdr:col>
                <xdr:colOff>38100</xdr:colOff>
                <xdr:row>232</xdr:row>
                <xdr:rowOff>38100</xdr:rowOff>
              </from>
              <to>
                <xdr:col>1</xdr:col>
                <xdr:colOff>0</xdr:colOff>
                <xdr:row>233</xdr:row>
                <xdr:rowOff>114300</xdr:rowOff>
              </to>
            </anchor>
          </objectPr>
        </oleObject>
      </mc:Choice>
      <mc:Fallback>
        <oleObject progId="Paint.Picture" shapeId="645127" r:id="rId10"/>
      </mc:Fallback>
    </mc:AlternateContent>
    <mc:AlternateContent xmlns:mc="http://schemas.openxmlformats.org/markup-compatibility/2006">
      <mc:Choice Requires="x14">
        <oleObject progId="Paint.Picture" shapeId="645128" r:id="rId11">
          <objectPr defaultSize="0" autoLine="0" autoPict="0" r:id="rId4">
            <anchor moveWithCells="1">
              <from>
                <xdr:col>0</xdr:col>
                <xdr:colOff>38100</xdr:colOff>
                <xdr:row>265</xdr:row>
                <xdr:rowOff>60960</xdr:rowOff>
              </from>
              <to>
                <xdr:col>1</xdr:col>
                <xdr:colOff>0</xdr:colOff>
                <xdr:row>266</xdr:row>
                <xdr:rowOff>137160</xdr:rowOff>
              </to>
            </anchor>
          </objectPr>
        </oleObject>
      </mc:Choice>
      <mc:Fallback>
        <oleObject progId="Paint.Picture" shapeId="645128" r:id="rId11"/>
      </mc:Fallback>
    </mc:AlternateContent>
    <mc:AlternateContent xmlns:mc="http://schemas.openxmlformats.org/markup-compatibility/2006">
      <mc:Choice Requires="x14">
        <oleObject progId="Paint.Picture" shapeId="645129" r:id="rId12">
          <objectPr defaultSize="0" autoLine="0" autoPict="0" r:id="rId4">
            <anchor moveWithCells="1">
              <from>
                <xdr:col>0</xdr:col>
                <xdr:colOff>22860</xdr:colOff>
                <xdr:row>285</xdr:row>
                <xdr:rowOff>30480</xdr:rowOff>
              </from>
              <to>
                <xdr:col>1</xdr:col>
                <xdr:colOff>0</xdr:colOff>
                <xdr:row>286</xdr:row>
                <xdr:rowOff>106680</xdr:rowOff>
              </to>
            </anchor>
          </objectPr>
        </oleObject>
      </mc:Choice>
      <mc:Fallback>
        <oleObject progId="Paint.Picture" shapeId="645129" r:id="rId12"/>
      </mc:Fallback>
    </mc:AlternateContent>
    <mc:AlternateContent xmlns:mc="http://schemas.openxmlformats.org/markup-compatibility/2006">
      <mc:Choice Requires="x14">
        <oleObject progId="Paint.Picture" shapeId="645130" r:id="rId13">
          <objectPr defaultSize="0" autoLine="0" autoPict="0" r:id="rId4">
            <anchor moveWithCells="1">
              <from>
                <xdr:col>0</xdr:col>
                <xdr:colOff>45720</xdr:colOff>
                <xdr:row>301</xdr:row>
                <xdr:rowOff>60960</xdr:rowOff>
              </from>
              <to>
                <xdr:col>1</xdr:col>
                <xdr:colOff>0</xdr:colOff>
                <xdr:row>302</xdr:row>
                <xdr:rowOff>137160</xdr:rowOff>
              </to>
            </anchor>
          </objectPr>
        </oleObject>
      </mc:Choice>
      <mc:Fallback>
        <oleObject progId="Paint.Picture" shapeId="645130" r:id="rId13"/>
      </mc:Fallback>
    </mc:AlternateContent>
    <mc:AlternateContent xmlns:mc="http://schemas.openxmlformats.org/markup-compatibility/2006">
      <mc:Choice Requires="x14">
        <oleObject progId="Word.Document.8" shapeId="645131" r:id="rId14">
          <objectPr defaultSize="0" autoLine="0" autoPict="0" r:id="rId15">
            <anchor moveWithCells="1" sizeWithCells="1">
              <from>
                <xdr:col>0</xdr:col>
                <xdr:colOff>0</xdr:colOff>
                <xdr:row>337</xdr:row>
                <xdr:rowOff>0</xdr:rowOff>
              </from>
              <to>
                <xdr:col>0</xdr:col>
                <xdr:colOff>7620</xdr:colOff>
                <xdr:row>337</xdr:row>
                <xdr:rowOff>0</xdr:rowOff>
              </to>
            </anchor>
          </objectPr>
        </oleObject>
      </mc:Choice>
      <mc:Fallback>
        <oleObject progId="Word.Document.8" shapeId="645131" r:id="rId14"/>
      </mc:Fallback>
    </mc:AlternateContent>
    <mc:AlternateContent xmlns:mc="http://schemas.openxmlformats.org/markup-compatibility/2006">
      <mc:Choice Requires="x14">
        <oleObject progId="Paint.Picture" shapeId="645132" r:id="rId16">
          <objectPr defaultSize="0" autoLine="0" autoPict="0" r:id="rId4">
            <anchor moveWithCells="1">
              <from>
                <xdr:col>0</xdr:col>
                <xdr:colOff>83820</xdr:colOff>
                <xdr:row>336</xdr:row>
                <xdr:rowOff>38100</xdr:rowOff>
              </from>
              <to>
                <xdr:col>1</xdr:col>
                <xdr:colOff>327660</xdr:colOff>
                <xdr:row>337</xdr:row>
                <xdr:rowOff>114300</xdr:rowOff>
              </to>
            </anchor>
          </objectPr>
        </oleObject>
      </mc:Choice>
      <mc:Fallback>
        <oleObject progId="Paint.Picture" shapeId="645132" r:id="rId16"/>
      </mc:Fallback>
    </mc:AlternateContent>
    <mc:AlternateContent xmlns:mc="http://schemas.openxmlformats.org/markup-compatibility/2006">
      <mc:Choice Requires="x14">
        <oleObject progId="Paint.Picture" shapeId="645133" r:id="rId17">
          <objectPr defaultSize="0" autoLine="0" autoPict="0" r:id="rId4">
            <anchor moveWithCells="1">
              <from>
                <xdr:col>0</xdr:col>
                <xdr:colOff>30480</xdr:colOff>
                <xdr:row>336</xdr:row>
                <xdr:rowOff>45720</xdr:rowOff>
              </from>
              <to>
                <xdr:col>1</xdr:col>
                <xdr:colOff>266700</xdr:colOff>
                <xdr:row>337</xdr:row>
                <xdr:rowOff>121920</xdr:rowOff>
              </to>
            </anchor>
          </objectPr>
        </oleObject>
      </mc:Choice>
      <mc:Fallback>
        <oleObject progId="Paint.Picture" shapeId="645133" r:id="rId17"/>
      </mc:Fallback>
    </mc:AlternateContent>
    <mc:AlternateContent xmlns:mc="http://schemas.openxmlformats.org/markup-compatibility/2006">
      <mc:Choice Requires="x14">
        <oleObject progId="Paint.Picture" shapeId="645134" r:id="rId18">
          <objectPr defaultSize="0" autoLine="0" autoPict="0" r:id="rId4">
            <anchor moveWithCells="1">
              <from>
                <xdr:col>0</xdr:col>
                <xdr:colOff>45720</xdr:colOff>
                <xdr:row>352</xdr:row>
                <xdr:rowOff>45720</xdr:rowOff>
              </from>
              <to>
                <xdr:col>1</xdr:col>
                <xdr:colOff>289560</xdr:colOff>
                <xdr:row>353</xdr:row>
                <xdr:rowOff>121920</xdr:rowOff>
              </to>
            </anchor>
          </objectPr>
        </oleObject>
      </mc:Choice>
      <mc:Fallback>
        <oleObject progId="Paint.Picture" shapeId="645134" r:id="rId18"/>
      </mc:Fallback>
    </mc:AlternateContent>
    <mc:AlternateContent xmlns:mc="http://schemas.openxmlformats.org/markup-compatibility/2006">
      <mc:Choice Requires="x14">
        <oleObject progId="Paint.Picture" shapeId="645135" r:id="rId19">
          <objectPr defaultSize="0" autoLine="0" autoPict="0" r:id="rId4">
            <anchor moveWithCells="1">
              <from>
                <xdr:col>0</xdr:col>
                <xdr:colOff>60960</xdr:colOff>
                <xdr:row>365</xdr:row>
                <xdr:rowOff>60960</xdr:rowOff>
              </from>
              <to>
                <xdr:col>1</xdr:col>
                <xdr:colOff>297180</xdr:colOff>
                <xdr:row>366</xdr:row>
                <xdr:rowOff>137160</xdr:rowOff>
              </to>
            </anchor>
          </objectPr>
        </oleObject>
      </mc:Choice>
      <mc:Fallback>
        <oleObject progId="Paint.Picture" shapeId="645135" r:id="rId19"/>
      </mc:Fallback>
    </mc:AlternateContent>
    <mc:AlternateContent xmlns:mc="http://schemas.openxmlformats.org/markup-compatibility/2006">
      <mc:Choice Requires="x14">
        <oleObject progId="Word.Document.8" shapeId="645136" r:id="rId20">
          <objectPr defaultSize="0" autoLine="0" autoPict="0" r:id="rId15">
            <anchor moveWithCells="1" sizeWithCells="1">
              <from>
                <xdr:col>0</xdr:col>
                <xdr:colOff>0</xdr:colOff>
                <xdr:row>337</xdr:row>
                <xdr:rowOff>0</xdr:rowOff>
              </from>
              <to>
                <xdr:col>0</xdr:col>
                <xdr:colOff>7620</xdr:colOff>
                <xdr:row>337</xdr:row>
                <xdr:rowOff>0</xdr:rowOff>
              </to>
            </anchor>
          </objectPr>
        </oleObject>
      </mc:Choice>
      <mc:Fallback>
        <oleObject progId="Word.Document.8" shapeId="645136" r:id="rId20"/>
      </mc:Fallback>
    </mc:AlternateContent>
    <mc:AlternateContent xmlns:mc="http://schemas.openxmlformats.org/markup-compatibility/2006">
      <mc:Choice Requires="x14">
        <oleObject progId="Paint.Picture" shapeId="645137" r:id="rId21">
          <objectPr defaultSize="0" autoLine="0" autoPict="0" r:id="rId4">
            <anchor moveWithCells="1">
              <from>
                <xdr:col>0</xdr:col>
                <xdr:colOff>83820</xdr:colOff>
                <xdr:row>336</xdr:row>
                <xdr:rowOff>38100</xdr:rowOff>
              </from>
              <to>
                <xdr:col>1</xdr:col>
                <xdr:colOff>327660</xdr:colOff>
                <xdr:row>337</xdr:row>
                <xdr:rowOff>114300</xdr:rowOff>
              </to>
            </anchor>
          </objectPr>
        </oleObject>
      </mc:Choice>
      <mc:Fallback>
        <oleObject progId="Paint.Picture" shapeId="645137" r:id="rId21"/>
      </mc:Fallback>
    </mc:AlternateContent>
    <mc:AlternateContent xmlns:mc="http://schemas.openxmlformats.org/markup-compatibility/2006">
      <mc:Choice Requires="x14">
        <oleObject progId="Paint.Picture" shapeId="645138" r:id="rId22">
          <objectPr defaultSize="0" autoLine="0" autoPict="0" r:id="rId4">
            <anchor moveWithCells="1">
              <from>
                <xdr:col>0</xdr:col>
                <xdr:colOff>30480</xdr:colOff>
                <xdr:row>336</xdr:row>
                <xdr:rowOff>45720</xdr:rowOff>
              </from>
              <to>
                <xdr:col>1</xdr:col>
                <xdr:colOff>266700</xdr:colOff>
                <xdr:row>337</xdr:row>
                <xdr:rowOff>121920</xdr:rowOff>
              </to>
            </anchor>
          </objectPr>
        </oleObject>
      </mc:Choice>
      <mc:Fallback>
        <oleObject progId="Paint.Picture" shapeId="645138" r:id="rId22"/>
      </mc:Fallback>
    </mc:AlternateContent>
    <mc:AlternateContent xmlns:mc="http://schemas.openxmlformats.org/markup-compatibility/2006">
      <mc:Choice Requires="x14">
        <oleObject progId="Paint.Picture" shapeId="645139" r:id="rId23">
          <objectPr defaultSize="0" autoLine="0" autoPict="0" r:id="rId4">
            <anchor moveWithCells="1">
              <from>
                <xdr:col>0</xdr:col>
                <xdr:colOff>45720</xdr:colOff>
                <xdr:row>352</xdr:row>
                <xdr:rowOff>45720</xdr:rowOff>
              </from>
              <to>
                <xdr:col>1</xdr:col>
                <xdr:colOff>289560</xdr:colOff>
                <xdr:row>353</xdr:row>
                <xdr:rowOff>121920</xdr:rowOff>
              </to>
            </anchor>
          </objectPr>
        </oleObject>
      </mc:Choice>
      <mc:Fallback>
        <oleObject progId="Paint.Picture" shapeId="645139" r:id="rId23"/>
      </mc:Fallback>
    </mc:AlternateContent>
    <mc:AlternateContent xmlns:mc="http://schemas.openxmlformats.org/markup-compatibility/2006">
      <mc:Choice Requires="x14">
        <oleObject progId="Paint.Picture" shapeId="645140" r:id="rId24">
          <objectPr defaultSize="0" autoLine="0" autoPict="0" r:id="rId4">
            <anchor moveWithCells="1">
              <from>
                <xdr:col>0</xdr:col>
                <xdr:colOff>45720</xdr:colOff>
                <xdr:row>365</xdr:row>
                <xdr:rowOff>60960</xdr:rowOff>
              </from>
              <to>
                <xdr:col>1</xdr:col>
                <xdr:colOff>289560</xdr:colOff>
                <xdr:row>366</xdr:row>
                <xdr:rowOff>137160</xdr:rowOff>
              </to>
            </anchor>
          </objectPr>
        </oleObject>
      </mc:Choice>
      <mc:Fallback>
        <oleObject progId="Paint.Picture" shapeId="645140" r:id="rId24"/>
      </mc:Fallback>
    </mc:AlternateContent>
    <mc:AlternateContent xmlns:mc="http://schemas.openxmlformats.org/markup-compatibility/2006">
      <mc:Choice Requires="x14">
        <oleObject progId="Word.Document.8" shapeId="645141" r:id="rId25">
          <objectPr defaultSize="0" autoLine="0" autoPict="0" r:id="rId15">
            <anchor moveWithCells="1" sizeWithCells="1">
              <from>
                <xdr:col>0</xdr:col>
                <xdr:colOff>0</xdr:colOff>
                <xdr:row>337</xdr:row>
                <xdr:rowOff>0</xdr:rowOff>
              </from>
              <to>
                <xdr:col>0</xdr:col>
                <xdr:colOff>7620</xdr:colOff>
                <xdr:row>337</xdr:row>
                <xdr:rowOff>0</xdr:rowOff>
              </to>
            </anchor>
          </objectPr>
        </oleObject>
      </mc:Choice>
      <mc:Fallback>
        <oleObject progId="Word.Document.8" shapeId="645141" r:id="rId25"/>
      </mc:Fallback>
    </mc:AlternateContent>
    <mc:AlternateContent xmlns:mc="http://schemas.openxmlformats.org/markup-compatibility/2006">
      <mc:Choice Requires="x14">
        <oleObject progId="Paint.Picture" shapeId="645142" r:id="rId26">
          <objectPr defaultSize="0" autoLine="0" autoPict="0" r:id="rId4">
            <anchor moveWithCells="1">
              <from>
                <xdr:col>0</xdr:col>
                <xdr:colOff>83820</xdr:colOff>
                <xdr:row>336</xdr:row>
                <xdr:rowOff>38100</xdr:rowOff>
              </from>
              <to>
                <xdr:col>1</xdr:col>
                <xdr:colOff>327660</xdr:colOff>
                <xdr:row>337</xdr:row>
                <xdr:rowOff>114300</xdr:rowOff>
              </to>
            </anchor>
          </objectPr>
        </oleObject>
      </mc:Choice>
      <mc:Fallback>
        <oleObject progId="Paint.Picture" shapeId="645142" r:id="rId26"/>
      </mc:Fallback>
    </mc:AlternateContent>
    <mc:AlternateContent xmlns:mc="http://schemas.openxmlformats.org/markup-compatibility/2006">
      <mc:Choice Requires="x14">
        <oleObject progId="Paint.Picture" shapeId="645143" r:id="rId27">
          <objectPr defaultSize="0" autoLine="0" autoPict="0" r:id="rId4">
            <anchor moveWithCells="1">
              <from>
                <xdr:col>0</xdr:col>
                <xdr:colOff>30480</xdr:colOff>
                <xdr:row>336</xdr:row>
                <xdr:rowOff>45720</xdr:rowOff>
              </from>
              <to>
                <xdr:col>1</xdr:col>
                <xdr:colOff>266700</xdr:colOff>
                <xdr:row>337</xdr:row>
                <xdr:rowOff>121920</xdr:rowOff>
              </to>
            </anchor>
          </objectPr>
        </oleObject>
      </mc:Choice>
      <mc:Fallback>
        <oleObject progId="Paint.Picture" shapeId="645143" r:id="rId27"/>
      </mc:Fallback>
    </mc:AlternateContent>
    <mc:AlternateContent xmlns:mc="http://schemas.openxmlformats.org/markup-compatibility/2006">
      <mc:Choice Requires="x14">
        <oleObject progId="Paint.Picture" shapeId="645144" r:id="rId28">
          <objectPr defaultSize="0" autoLine="0" autoPict="0" r:id="rId4">
            <anchor moveWithCells="1">
              <from>
                <xdr:col>0</xdr:col>
                <xdr:colOff>45720</xdr:colOff>
                <xdr:row>352</xdr:row>
                <xdr:rowOff>45720</xdr:rowOff>
              </from>
              <to>
                <xdr:col>1</xdr:col>
                <xdr:colOff>289560</xdr:colOff>
                <xdr:row>353</xdr:row>
                <xdr:rowOff>121920</xdr:rowOff>
              </to>
            </anchor>
          </objectPr>
        </oleObject>
      </mc:Choice>
      <mc:Fallback>
        <oleObject progId="Paint.Picture" shapeId="645144" r:id="rId28"/>
      </mc:Fallback>
    </mc:AlternateContent>
    <mc:AlternateContent xmlns:mc="http://schemas.openxmlformats.org/markup-compatibility/2006">
      <mc:Choice Requires="x14">
        <oleObject progId="Paint.Picture" shapeId="645145" r:id="rId29">
          <objectPr defaultSize="0" autoLine="0" autoPict="0" r:id="rId4">
            <anchor moveWithCells="1">
              <from>
                <xdr:col>0</xdr:col>
                <xdr:colOff>60960</xdr:colOff>
                <xdr:row>365</xdr:row>
                <xdr:rowOff>60960</xdr:rowOff>
              </from>
              <to>
                <xdr:col>1</xdr:col>
                <xdr:colOff>297180</xdr:colOff>
                <xdr:row>366</xdr:row>
                <xdr:rowOff>137160</xdr:rowOff>
              </to>
            </anchor>
          </objectPr>
        </oleObject>
      </mc:Choice>
      <mc:Fallback>
        <oleObject progId="Paint.Picture" shapeId="645145" r:id="rId29"/>
      </mc:Fallback>
    </mc:AlternateContent>
    <mc:AlternateContent xmlns:mc="http://schemas.openxmlformats.org/markup-compatibility/2006">
      <mc:Choice Requires="x14">
        <oleObject progId="Word.Document.8" shapeId="645146" r:id="rId30">
          <objectPr defaultSize="0" autoLine="0" autoPict="0" r:id="rId15">
            <anchor moveWithCells="1" sizeWithCells="1">
              <from>
                <xdr:col>0</xdr:col>
                <xdr:colOff>0</xdr:colOff>
                <xdr:row>337</xdr:row>
                <xdr:rowOff>0</xdr:rowOff>
              </from>
              <to>
                <xdr:col>0</xdr:col>
                <xdr:colOff>7620</xdr:colOff>
                <xdr:row>337</xdr:row>
                <xdr:rowOff>0</xdr:rowOff>
              </to>
            </anchor>
          </objectPr>
        </oleObject>
      </mc:Choice>
      <mc:Fallback>
        <oleObject progId="Word.Document.8" shapeId="645146" r:id="rId30"/>
      </mc:Fallback>
    </mc:AlternateContent>
    <mc:AlternateContent xmlns:mc="http://schemas.openxmlformats.org/markup-compatibility/2006">
      <mc:Choice Requires="x14">
        <oleObject progId="Paint.Picture" shapeId="645147" r:id="rId31">
          <objectPr defaultSize="0" autoLine="0" autoPict="0" r:id="rId4">
            <anchor moveWithCells="1">
              <from>
                <xdr:col>0</xdr:col>
                <xdr:colOff>83820</xdr:colOff>
                <xdr:row>336</xdr:row>
                <xdr:rowOff>38100</xdr:rowOff>
              </from>
              <to>
                <xdr:col>1</xdr:col>
                <xdr:colOff>327660</xdr:colOff>
                <xdr:row>337</xdr:row>
                <xdr:rowOff>114300</xdr:rowOff>
              </to>
            </anchor>
          </objectPr>
        </oleObject>
      </mc:Choice>
      <mc:Fallback>
        <oleObject progId="Paint.Picture" shapeId="645147" r:id="rId31"/>
      </mc:Fallback>
    </mc:AlternateContent>
    <mc:AlternateContent xmlns:mc="http://schemas.openxmlformats.org/markup-compatibility/2006">
      <mc:Choice Requires="x14">
        <oleObject progId="Paint.Picture" shapeId="645148" r:id="rId32">
          <objectPr defaultSize="0" autoLine="0" autoPict="0" r:id="rId4">
            <anchor moveWithCells="1">
              <from>
                <xdr:col>0</xdr:col>
                <xdr:colOff>30480</xdr:colOff>
                <xdr:row>336</xdr:row>
                <xdr:rowOff>45720</xdr:rowOff>
              </from>
              <to>
                <xdr:col>1</xdr:col>
                <xdr:colOff>266700</xdr:colOff>
                <xdr:row>337</xdr:row>
                <xdr:rowOff>121920</xdr:rowOff>
              </to>
            </anchor>
          </objectPr>
        </oleObject>
      </mc:Choice>
      <mc:Fallback>
        <oleObject progId="Paint.Picture" shapeId="645148" r:id="rId32"/>
      </mc:Fallback>
    </mc:AlternateContent>
    <mc:AlternateContent xmlns:mc="http://schemas.openxmlformats.org/markup-compatibility/2006">
      <mc:Choice Requires="x14">
        <oleObject progId="Paint.Picture" shapeId="645149" r:id="rId33">
          <objectPr defaultSize="0" autoLine="0" autoPict="0" r:id="rId4">
            <anchor moveWithCells="1">
              <from>
                <xdr:col>0</xdr:col>
                <xdr:colOff>45720</xdr:colOff>
                <xdr:row>352</xdr:row>
                <xdr:rowOff>45720</xdr:rowOff>
              </from>
              <to>
                <xdr:col>1</xdr:col>
                <xdr:colOff>289560</xdr:colOff>
                <xdr:row>353</xdr:row>
                <xdr:rowOff>121920</xdr:rowOff>
              </to>
            </anchor>
          </objectPr>
        </oleObject>
      </mc:Choice>
      <mc:Fallback>
        <oleObject progId="Paint.Picture" shapeId="645149" r:id="rId33"/>
      </mc:Fallback>
    </mc:AlternateContent>
    <mc:AlternateContent xmlns:mc="http://schemas.openxmlformats.org/markup-compatibility/2006">
      <mc:Choice Requires="x14">
        <oleObject progId="Paint.Picture" shapeId="645150" r:id="rId34">
          <objectPr defaultSize="0" autoLine="0" autoPict="0" r:id="rId4">
            <anchor moveWithCells="1">
              <from>
                <xdr:col>0</xdr:col>
                <xdr:colOff>45720</xdr:colOff>
                <xdr:row>365</xdr:row>
                <xdr:rowOff>60960</xdr:rowOff>
              </from>
              <to>
                <xdr:col>1</xdr:col>
                <xdr:colOff>289560</xdr:colOff>
                <xdr:row>366</xdr:row>
                <xdr:rowOff>137160</xdr:rowOff>
              </to>
            </anchor>
          </objectPr>
        </oleObject>
      </mc:Choice>
      <mc:Fallback>
        <oleObject progId="Paint.Picture" shapeId="645150" r:id="rId34"/>
      </mc:Fallback>
    </mc:AlternateContent>
    <mc:AlternateContent xmlns:mc="http://schemas.openxmlformats.org/markup-compatibility/2006">
      <mc:Choice Requires="x14">
        <oleObject progId="Paint.Picture" shapeId="645151" r:id="rId35">
          <objectPr defaultSize="0" autoLine="0" autoPict="0" r:id="rId4">
            <anchor moveWithCells="1">
              <from>
                <xdr:col>0</xdr:col>
                <xdr:colOff>45720</xdr:colOff>
                <xdr:row>406</xdr:row>
                <xdr:rowOff>45720</xdr:rowOff>
              </from>
              <to>
                <xdr:col>1</xdr:col>
                <xdr:colOff>7620</xdr:colOff>
                <xdr:row>407</xdr:row>
                <xdr:rowOff>121920</xdr:rowOff>
              </to>
            </anchor>
          </objectPr>
        </oleObject>
      </mc:Choice>
      <mc:Fallback>
        <oleObject progId="Paint.Picture" shapeId="645151" r:id="rId35"/>
      </mc:Fallback>
    </mc:AlternateContent>
  </oleObjects>
</worksheet>
</file>

<file path=xl/worksheets/sheet3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400-000000000000}">
  <sheetPr codeName="Sheet17"/>
  <dimension ref="A1:AH192"/>
  <sheetViews>
    <sheetView zoomScaleNormal="100" workbookViewId="0">
      <selection activeCell="E17" sqref="E17"/>
    </sheetView>
  </sheetViews>
  <sheetFormatPr defaultColWidth="27.44140625" defaultRowHeight="13.2"/>
  <cols>
    <col min="1" max="1" width="49" customWidth="1"/>
    <col min="2" max="2" width="14.5546875" bestFit="1" customWidth="1"/>
    <col min="3" max="3" width="10.6640625" bestFit="1" customWidth="1"/>
    <col min="4" max="4" width="7.109375" bestFit="1" customWidth="1"/>
    <col min="5" max="5" width="5.5546875" customWidth="1"/>
    <col min="6" max="6" width="9.33203125" bestFit="1" customWidth="1"/>
    <col min="7" max="7" width="9.33203125" customWidth="1"/>
    <col min="8" max="8" width="11.33203125" bestFit="1" customWidth="1"/>
    <col min="9" max="9" width="11.33203125" customWidth="1"/>
    <col min="10" max="10" width="10.109375" bestFit="1" customWidth="1"/>
    <col min="11" max="12" width="9.109375" customWidth="1"/>
    <col min="13" max="13" width="0" hidden="1" customWidth="1"/>
    <col min="14" max="14" width="14.88671875" customWidth="1"/>
    <col min="15" max="15" width="16.88671875" customWidth="1"/>
    <col min="16" max="16" width="9.109375" customWidth="1"/>
    <col min="17" max="17" width="11.5546875" bestFit="1" customWidth="1"/>
    <col min="18" max="18" width="9.109375" customWidth="1"/>
    <col min="19" max="19" width="11.5546875" bestFit="1" customWidth="1"/>
    <col min="20" max="20" width="9.109375" customWidth="1"/>
    <col min="21" max="21" width="13.44140625" bestFit="1" customWidth="1"/>
    <col min="22" max="22" width="9.109375" customWidth="1"/>
    <col min="23" max="23" width="12.44140625" bestFit="1" customWidth="1"/>
    <col min="24" max="25" width="9.109375" customWidth="1"/>
    <col min="26" max="26" width="13.88671875" bestFit="1" customWidth="1"/>
    <col min="27" max="27" width="9.109375" customWidth="1"/>
    <col min="28" max="28" width="10.109375" bestFit="1" customWidth="1"/>
    <col min="29" max="29" width="9.109375" customWidth="1"/>
    <col min="30" max="30" width="10.109375" bestFit="1" customWidth="1"/>
    <col min="31" max="31" width="9.109375" customWidth="1"/>
    <col min="32" max="32" width="10.109375" bestFit="1" customWidth="1"/>
    <col min="33" max="255" width="9.109375" customWidth="1"/>
  </cols>
  <sheetData>
    <row r="1" spans="1:33" ht="13.8" thickBot="1">
      <c r="A1" t="s">
        <v>571</v>
      </c>
    </row>
    <row r="2" spans="1:33">
      <c r="A2" s="68" t="s">
        <v>356</v>
      </c>
      <c r="B2" s="69"/>
      <c r="C2" s="69"/>
      <c r="D2" s="70"/>
      <c r="E2" s="70"/>
      <c r="F2" s="70"/>
      <c r="G2" s="70"/>
      <c r="H2" s="70"/>
      <c r="I2" s="70"/>
      <c r="J2" s="71"/>
    </row>
    <row r="3" spans="1:33" ht="13.8" thickBot="1">
      <c r="A3" s="72"/>
      <c r="B3" s="1"/>
      <c r="C3" s="1"/>
      <c r="D3" s="73"/>
      <c r="E3" s="73"/>
      <c r="F3" s="73"/>
      <c r="G3" s="73"/>
      <c r="H3" s="73"/>
      <c r="I3" s="73"/>
      <c r="J3" s="74"/>
    </row>
    <row r="4" spans="1:33" ht="14.4" thickTop="1" thickBot="1">
      <c r="A4" s="75" t="s">
        <v>90</v>
      </c>
      <c r="B4" s="76" t="s">
        <v>91</v>
      </c>
      <c r="C4" s="76" t="s">
        <v>92</v>
      </c>
      <c r="D4" s="77" t="s">
        <v>93</v>
      </c>
      <c r="E4" s="77" t="s">
        <v>94</v>
      </c>
      <c r="F4" s="77" t="s">
        <v>95</v>
      </c>
      <c r="G4" s="77" t="s">
        <v>94</v>
      </c>
      <c r="H4" s="77" t="s">
        <v>96</v>
      </c>
      <c r="I4" s="78" t="s">
        <v>94</v>
      </c>
      <c r="J4" s="79" t="s">
        <v>97</v>
      </c>
      <c r="K4" s="80" t="s">
        <v>94</v>
      </c>
      <c r="N4" s="81"/>
      <c r="O4" s="82"/>
      <c r="P4" s="82"/>
      <c r="Q4" s="83" t="s">
        <v>93</v>
      </c>
      <c r="R4" s="83" t="s">
        <v>94</v>
      </c>
      <c r="S4" s="83" t="s">
        <v>95</v>
      </c>
      <c r="T4" s="83" t="s">
        <v>94</v>
      </c>
      <c r="U4" s="83" t="s">
        <v>96</v>
      </c>
      <c r="V4" s="84" t="s">
        <v>94</v>
      </c>
      <c r="W4" s="85" t="s">
        <v>97</v>
      </c>
      <c r="X4" s="86" t="s">
        <v>94</v>
      </c>
      <c r="AB4" s="577" t="s">
        <v>557</v>
      </c>
      <c r="AC4" s="27"/>
      <c r="AD4" s="27"/>
    </row>
    <row r="5" spans="1:33">
      <c r="A5" s="87" t="s">
        <v>346</v>
      </c>
      <c r="B5" s="88" t="s">
        <v>99</v>
      </c>
      <c r="C5" s="313" t="s">
        <v>361</v>
      </c>
      <c r="D5" s="89"/>
      <c r="E5" s="90">
        <f>D5/$L$24</f>
        <v>0</v>
      </c>
      <c r="F5" s="91"/>
      <c r="G5" s="90">
        <f>F5/$L$24</f>
        <v>0</v>
      </c>
      <c r="H5" s="91"/>
      <c r="I5" s="90">
        <f>H5/$L$24</f>
        <v>0</v>
      </c>
      <c r="J5" s="91"/>
      <c r="K5" s="92">
        <f>J5/$L$24</f>
        <v>0</v>
      </c>
      <c r="N5" s="93" t="s">
        <v>346</v>
      </c>
      <c r="O5" s="94" t="s">
        <v>99</v>
      </c>
      <c r="P5" s="314" t="s">
        <v>361</v>
      </c>
      <c r="Q5" s="96">
        <f t="shared" ref="Q5:X8" si="0">D5+D9+D17</f>
        <v>0</v>
      </c>
      <c r="R5" s="97">
        <f t="shared" si="0"/>
        <v>0</v>
      </c>
      <c r="S5" s="96">
        <f t="shared" si="0"/>
        <v>0</v>
      </c>
      <c r="T5" s="97">
        <f t="shared" si="0"/>
        <v>0</v>
      </c>
      <c r="U5" s="96">
        <f t="shared" si="0"/>
        <v>0</v>
      </c>
      <c r="V5" s="97">
        <f t="shared" si="0"/>
        <v>0</v>
      </c>
      <c r="W5" s="96">
        <f t="shared" si="0"/>
        <v>0</v>
      </c>
      <c r="X5" s="98">
        <f t="shared" si="0"/>
        <v>0</v>
      </c>
      <c r="AB5" s="257"/>
      <c r="AC5" s="255" t="s">
        <v>120</v>
      </c>
      <c r="AD5" s="256" t="s">
        <v>121</v>
      </c>
      <c r="AE5" s="255" t="s">
        <v>124</v>
      </c>
      <c r="AF5" s="754"/>
    </row>
    <row r="6" spans="1:33">
      <c r="A6" s="99" t="s">
        <v>346</v>
      </c>
      <c r="B6" s="100" t="s">
        <v>100</v>
      </c>
      <c r="C6" s="101" t="s">
        <v>361</v>
      </c>
      <c r="D6" s="102">
        <v>0.50065246901044158</v>
      </c>
      <c r="E6" s="103">
        <f t="shared" ref="E6:E23" si="1">D6/$L$24</f>
        <v>2.4524425178628203E-3</v>
      </c>
      <c r="F6" s="104"/>
      <c r="G6" s="103">
        <f t="shared" ref="G6:G24" si="2">F6/$L$24</f>
        <v>0</v>
      </c>
      <c r="H6" s="104"/>
      <c r="I6" s="103">
        <f t="shared" ref="I6:I24" si="3">H6/$L$24</f>
        <v>0</v>
      </c>
      <c r="J6" s="104"/>
      <c r="K6" s="105">
        <f t="shared" ref="K6:K24" si="4">J6/$L$24</f>
        <v>0</v>
      </c>
      <c r="N6" s="106" t="s">
        <v>346</v>
      </c>
      <c r="O6" s="100" t="s">
        <v>100</v>
      </c>
      <c r="P6" s="107" t="s">
        <v>361</v>
      </c>
      <c r="Q6" s="108">
        <f t="shared" si="0"/>
        <v>0.50065246901044158</v>
      </c>
      <c r="R6" s="109">
        <f t="shared" si="0"/>
        <v>2.4524425178628203E-3</v>
      </c>
      <c r="S6" s="108">
        <f t="shared" si="0"/>
        <v>0</v>
      </c>
      <c r="T6" s="109">
        <f t="shared" si="0"/>
        <v>0</v>
      </c>
      <c r="U6" s="108">
        <f t="shared" si="0"/>
        <v>0</v>
      </c>
      <c r="V6" s="109">
        <f t="shared" si="0"/>
        <v>0</v>
      </c>
      <c r="W6" s="108">
        <f t="shared" si="0"/>
        <v>0</v>
      </c>
      <c r="X6" s="110">
        <f t="shared" si="0"/>
        <v>0</v>
      </c>
      <c r="AB6" s="302" t="s">
        <v>342</v>
      </c>
      <c r="AC6" s="255"/>
      <c r="AD6" s="256"/>
      <c r="AE6" s="253"/>
    </row>
    <row r="7" spans="1:33">
      <c r="A7" s="99" t="s">
        <v>346</v>
      </c>
      <c r="B7" s="100" t="s">
        <v>101</v>
      </c>
      <c r="C7" s="101" t="s">
        <v>361</v>
      </c>
      <c r="D7" s="102"/>
      <c r="E7" s="103">
        <f t="shared" si="1"/>
        <v>0</v>
      </c>
      <c r="F7" s="111"/>
      <c r="G7" s="103">
        <f t="shared" si="2"/>
        <v>0</v>
      </c>
      <c r="H7" s="111"/>
      <c r="I7" s="103">
        <f t="shared" si="3"/>
        <v>0</v>
      </c>
      <c r="J7" s="111"/>
      <c r="K7" s="105">
        <f t="shared" si="4"/>
        <v>0</v>
      </c>
      <c r="N7" s="106" t="s">
        <v>346</v>
      </c>
      <c r="O7" s="100" t="s">
        <v>101</v>
      </c>
      <c r="P7" s="107" t="s">
        <v>361</v>
      </c>
      <c r="Q7" s="108">
        <f t="shared" si="0"/>
        <v>0</v>
      </c>
      <c r="R7" s="109">
        <f t="shared" si="0"/>
        <v>0</v>
      </c>
      <c r="S7" s="108">
        <f t="shared" si="0"/>
        <v>0</v>
      </c>
      <c r="T7" s="109">
        <f t="shared" si="0"/>
        <v>0</v>
      </c>
      <c r="U7" s="108">
        <f t="shared" si="0"/>
        <v>0</v>
      </c>
      <c r="V7" s="109">
        <f t="shared" si="0"/>
        <v>0</v>
      </c>
      <c r="W7" s="108">
        <f t="shared" si="0"/>
        <v>0</v>
      </c>
      <c r="X7" s="110">
        <f t="shared" si="0"/>
        <v>0</v>
      </c>
      <c r="AB7" s="257" t="s">
        <v>340</v>
      </c>
      <c r="AC7" s="298">
        <f>'DK TransData'!Q13+'DK TransData'!U13</f>
        <v>114.38030021815342</v>
      </c>
      <c r="AD7" s="299">
        <f>'DK TransData'!S13+'DK TransData'!W13</f>
        <v>221.66873833792764</v>
      </c>
      <c r="AE7" s="578">
        <f>AC7+AD7</f>
        <v>336.04903855608109</v>
      </c>
      <c r="AF7" s="3"/>
    </row>
    <row r="8" spans="1:33">
      <c r="A8" s="99" t="s">
        <v>346</v>
      </c>
      <c r="B8" s="100" t="s">
        <v>102</v>
      </c>
      <c r="C8" s="101" t="s">
        <v>361</v>
      </c>
      <c r="D8" s="102">
        <v>30.709202327521751</v>
      </c>
      <c r="E8" s="103">
        <f>D8/$L$24</f>
        <v>0.15042880668605174</v>
      </c>
      <c r="F8" s="111">
        <v>18.39140605862703</v>
      </c>
      <c r="G8" s="103">
        <f>F8/$L$24</f>
        <v>9.0090170274414683E-2</v>
      </c>
      <c r="H8" s="104"/>
      <c r="I8" s="103">
        <f t="shared" si="3"/>
        <v>0</v>
      </c>
      <c r="J8" s="111">
        <v>35.214014705040434</v>
      </c>
      <c r="K8" s="105">
        <f t="shared" si="4"/>
        <v>0.17249559771068781</v>
      </c>
      <c r="N8" s="106" t="s">
        <v>346</v>
      </c>
      <c r="O8" s="100" t="s">
        <v>102</v>
      </c>
      <c r="P8" s="107" t="s">
        <v>361</v>
      </c>
      <c r="Q8" s="108">
        <f t="shared" si="0"/>
        <v>30.709202327521751</v>
      </c>
      <c r="R8" s="109">
        <f t="shared" si="0"/>
        <v>0.15042880668605174</v>
      </c>
      <c r="S8" s="108">
        <f t="shared" si="0"/>
        <v>29.237707489942036</v>
      </c>
      <c r="T8" s="109">
        <f t="shared" si="0"/>
        <v>0.14322069980978089</v>
      </c>
      <c r="U8" s="108">
        <f t="shared" si="0"/>
        <v>3.1486607295803064</v>
      </c>
      <c r="V8" s="109">
        <f t="shared" si="0"/>
        <v>1.5423691933069571E-2</v>
      </c>
      <c r="W8" s="108">
        <f t="shared" si="0"/>
        <v>62.894385683875697</v>
      </c>
      <c r="X8" s="110">
        <f t="shared" si="0"/>
        <v>0.30808769582395185</v>
      </c>
      <c r="AB8" s="257" t="s">
        <v>113</v>
      </c>
      <c r="AC8" s="298">
        <f>'DK TransData'!Q14+'DK TransData'!U14</f>
        <v>2054.5282000579514</v>
      </c>
      <c r="AD8" s="299">
        <f>'DK TransData'!S14+'DK TransData'!W14</f>
        <v>2963.4891675493518</v>
      </c>
      <c r="AE8" s="578">
        <f>AC8+AD8</f>
        <v>5018.0173676073027</v>
      </c>
    </row>
    <row r="9" spans="1:33">
      <c r="A9" s="99" t="s">
        <v>358</v>
      </c>
      <c r="B9" s="112" t="s">
        <v>99</v>
      </c>
      <c r="C9" s="1" t="s">
        <v>361</v>
      </c>
      <c r="D9" s="102"/>
      <c r="E9" s="103">
        <f t="shared" si="1"/>
        <v>0</v>
      </c>
      <c r="F9" s="111"/>
      <c r="G9" s="103">
        <f t="shared" si="2"/>
        <v>0</v>
      </c>
      <c r="H9" s="104"/>
      <c r="I9" s="103">
        <f t="shared" si="3"/>
        <v>0</v>
      </c>
      <c r="J9" s="111"/>
      <c r="K9" s="105">
        <f t="shared" si="4"/>
        <v>0</v>
      </c>
      <c r="N9" s="106" t="s">
        <v>347</v>
      </c>
      <c r="O9" s="112" t="s">
        <v>99</v>
      </c>
      <c r="P9" s="113" t="s">
        <v>361</v>
      </c>
      <c r="Q9" s="108">
        <f t="shared" ref="Q9:X12" si="5">D13+D21</f>
        <v>0.40128855725511281</v>
      </c>
      <c r="R9" s="109">
        <f t="shared" si="5"/>
        <v>1.9657091109316835E-3</v>
      </c>
      <c r="S9" s="108">
        <f t="shared" si="5"/>
        <v>0.66620842308378525</v>
      </c>
      <c r="T9" s="109">
        <f t="shared" si="5"/>
        <v>3.2634171679176158E-3</v>
      </c>
      <c r="U9" s="108">
        <f t="shared" si="5"/>
        <v>0.6091470200979483</v>
      </c>
      <c r="V9" s="109">
        <f t="shared" si="5"/>
        <v>2.9839022958787998E-3</v>
      </c>
      <c r="W9" s="108">
        <f t="shared" si="5"/>
        <v>0.57146012868700657</v>
      </c>
      <c r="X9" s="110">
        <f t="shared" si="5"/>
        <v>2.7992933294135906E-3</v>
      </c>
      <c r="AB9" s="257" t="s">
        <v>341</v>
      </c>
      <c r="AC9" s="298">
        <f>'DK TransData'!Q15+'DK TransData'!U15</f>
        <v>2609.5722170175313</v>
      </c>
      <c r="AD9" s="299">
        <f>'DK TransData'!S15+'DK TransData'!W15</f>
        <v>3206.2096485715656</v>
      </c>
      <c r="AE9" s="578">
        <f>AC9+AD9</f>
        <v>5815.7818655890969</v>
      </c>
    </row>
    <row r="10" spans="1:33">
      <c r="A10" s="99" t="s">
        <v>358</v>
      </c>
      <c r="B10" s="100" t="s">
        <v>100</v>
      </c>
      <c r="C10" s="101" t="s">
        <v>361</v>
      </c>
      <c r="D10" s="102"/>
      <c r="E10" s="103">
        <f t="shared" si="1"/>
        <v>0</v>
      </c>
      <c r="F10" s="111"/>
      <c r="G10" s="103">
        <f t="shared" si="2"/>
        <v>0</v>
      </c>
      <c r="H10" s="111"/>
      <c r="I10" s="103">
        <f t="shared" si="3"/>
        <v>0</v>
      </c>
      <c r="J10" s="111"/>
      <c r="K10" s="105">
        <f t="shared" si="4"/>
        <v>0</v>
      </c>
      <c r="N10" s="106" t="s">
        <v>347</v>
      </c>
      <c r="O10" s="100" t="s">
        <v>100</v>
      </c>
      <c r="P10" s="107" t="s">
        <v>361</v>
      </c>
      <c r="Q10" s="108">
        <f t="shared" si="5"/>
        <v>0.35925645836604381</v>
      </c>
      <c r="R10" s="109">
        <f t="shared" si="5"/>
        <v>1.7598151768933445E-3</v>
      </c>
      <c r="S10" s="108">
        <f t="shared" si="5"/>
        <v>0.27018246833685089</v>
      </c>
      <c r="T10" s="109">
        <f t="shared" si="5"/>
        <v>1.3234868775142282E-3</v>
      </c>
      <c r="U10" s="108">
        <f t="shared" si="5"/>
        <v>0.68232881301176673</v>
      </c>
      <c r="V10" s="109">
        <f t="shared" si="5"/>
        <v>3.3423827820132589E-3</v>
      </c>
      <c r="W10" s="108">
        <f t="shared" si="5"/>
        <v>2.5183057602805246</v>
      </c>
      <c r="X10" s="110">
        <f t="shared" si="5"/>
        <v>1.2335902650590955E-2</v>
      </c>
      <c r="AB10" s="257" t="s">
        <v>115</v>
      </c>
      <c r="AC10" s="298">
        <f>'DK TransData'!Q16+'DK TransData'!U16</f>
        <v>4130.8025589280851</v>
      </c>
      <c r="AD10" s="299">
        <f>'DK TransData'!S16+'DK TransData'!W16</f>
        <v>6109.5133535061013</v>
      </c>
      <c r="AE10" s="578">
        <f>AC10+AD10</f>
        <v>10240.315912434187</v>
      </c>
    </row>
    <row r="11" spans="1:33">
      <c r="A11" s="99" t="s">
        <v>358</v>
      </c>
      <c r="B11" s="100" t="s">
        <v>101</v>
      </c>
      <c r="C11" s="101" t="s">
        <v>361</v>
      </c>
      <c r="D11" s="102"/>
      <c r="E11" s="103">
        <f t="shared" si="1"/>
        <v>0</v>
      </c>
      <c r="F11" s="111"/>
      <c r="G11" s="103">
        <f t="shared" si="2"/>
        <v>0</v>
      </c>
      <c r="H11" s="111"/>
      <c r="I11" s="103">
        <f t="shared" si="3"/>
        <v>0</v>
      </c>
      <c r="J11" s="111"/>
      <c r="K11" s="105">
        <f t="shared" si="4"/>
        <v>0</v>
      </c>
      <c r="N11" s="106" t="s">
        <v>347</v>
      </c>
      <c r="O11" s="100" t="s">
        <v>101</v>
      </c>
      <c r="P11" s="107" t="s">
        <v>361</v>
      </c>
      <c r="Q11" s="108">
        <f t="shared" si="5"/>
        <v>0</v>
      </c>
      <c r="R11" s="109">
        <f t="shared" si="5"/>
        <v>0</v>
      </c>
      <c r="S11" s="108">
        <f t="shared" si="5"/>
        <v>0</v>
      </c>
      <c r="T11" s="109">
        <f t="shared" si="5"/>
        <v>0</v>
      </c>
      <c r="U11" s="108">
        <f t="shared" si="5"/>
        <v>0</v>
      </c>
      <c r="V11" s="109">
        <f t="shared" si="5"/>
        <v>0</v>
      </c>
      <c r="W11" s="108">
        <f t="shared" si="5"/>
        <v>0</v>
      </c>
      <c r="X11" s="110">
        <f t="shared" si="5"/>
        <v>0</v>
      </c>
      <c r="AB11" s="302" t="s">
        <v>343</v>
      </c>
      <c r="AC11" s="255"/>
      <c r="AD11" s="256"/>
      <c r="AE11" s="253"/>
    </row>
    <row r="12" spans="1:33" ht="13.8" thickBot="1">
      <c r="A12" s="99" t="s">
        <v>358</v>
      </c>
      <c r="B12" s="100" t="s">
        <v>102</v>
      </c>
      <c r="C12" s="101" t="s">
        <v>361</v>
      </c>
      <c r="D12" s="114"/>
      <c r="E12" s="103">
        <f t="shared" si="1"/>
        <v>0</v>
      </c>
      <c r="F12" s="111">
        <v>10.846301431315005</v>
      </c>
      <c r="G12" s="103">
        <f t="shared" si="2"/>
        <v>5.3130529535366205E-2</v>
      </c>
      <c r="H12" s="111">
        <v>3.1486607295803064</v>
      </c>
      <c r="I12" s="103">
        <f t="shared" si="3"/>
        <v>1.5423691933069571E-2</v>
      </c>
      <c r="J12" s="111">
        <v>27.68037097883526</v>
      </c>
      <c r="K12" s="105">
        <f t="shared" si="4"/>
        <v>0.13559209811326403</v>
      </c>
      <c r="N12" s="106" t="s">
        <v>347</v>
      </c>
      <c r="O12" s="115" t="s">
        <v>102</v>
      </c>
      <c r="P12" s="116" t="s">
        <v>361</v>
      </c>
      <c r="Q12" s="108">
        <f t="shared" si="5"/>
        <v>30.450697301123597</v>
      </c>
      <c r="R12" s="109">
        <f t="shared" si="5"/>
        <v>0.14916252167386923</v>
      </c>
      <c r="S12" s="117">
        <f t="shared" si="5"/>
        <v>0</v>
      </c>
      <c r="T12" s="118">
        <f t="shared" si="5"/>
        <v>0</v>
      </c>
      <c r="U12" s="117">
        <f t="shared" si="5"/>
        <v>30.521442180387382</v>
      </c>
      <c r="V12" s="118">
        <f t="shared" si="5"/>
        <v>0.14950906495601962</v>
      </c>
      <c r="W12" s="117">
        <f t="shared" si="5"/>
        <v>10.603499742269815</v>
      </c>
      <c r="X12" s="119">
        <f t="shared" si="5"/>
        <v>5.1941167208240817E-2</v>
      </c>
      <c r="Y12" s="120">
        <f>SUM(R5:R12,T5:T12,V5:V12,X5:X12)</f>
        <v>1</v>
      </c>
      <c r="Z12" s="121">
        <f>SUM(Q5:Q12,S5:S12,U5:U12,W5:W12)</f>
        <v>204.14442555283003</v>
      </c>
      <c r="AB12" s="257" t="s">
        <v>340</v>
      </c>
      <c r="AC12" s="298">
        <f>'DK TransData'!U17+'DK TransData'!Q17</f>
        <v>623.70182765743573</v>
      </c>
      <c r="AD12" s="299">
        <f>'DK TransData'!W17+'DK TransData'!S17</f>
        <v>851.28529415403625</v>
      </c>
      <c r="AE12" s="578">
        <f>AC12+AD12</f>
        <v>1474.987121811472</v>
      </c>
    </row>
    <row r="13" spans="1:33">
      <c r="A13" s="99" t="s">
        <v>347</v>
      </c>
      <c r="B13" s="112" t="s">
        <v>99</v>
      </c>
      <c r="C13" s="1" t="s">
        <v>361</v>
      </c>
      <c r="D13" s="102">
        <v>0.40128855725511281</v>
      </c>
      <c r="E13" s="103">
        <f t="shared" si="1"/>
        <v>1.9657091109316835E-3</v>
      </c>
      <c r="F13" s="111">
        <v>0.66620842308378525</v>
      </c>
      <c r="G13" s="103">
        <f t="shared" si="2"/>
        <v>3.2634171679176158E-3</v>
      </c>
      <c r="H13" s="111">
        <v>0.6091470200979483</v>
      </c>
      <c r="I13" s="103">
        <f t="shared" si="3"/>
        <v>2.9839022958787998E-3</v>
      </c>
      <c r="J13" s="111">
        <v>0.57146012868700657</v>
      </c>
      <c r="K13" s="105">
        <f t="shared" si="4"/>
        <v>2.7992933294135906E-3</v>
      </c>
      <c r="N13" s="93" t="s">
        <v>346</v>
      </c>
      <c r="O13" s="94" t="s">
        <v>99</v>
      </c>
      <c r="P13" s="122" t="s">
        <v>362</v>
      </c>
      <c r="Q13" s="123">
        <f>D25+D29+D37</f>
        <v>71.379259694191305</v>
      </c>
      <c r="R13" s="124">
        <f t="shared" ref="R13:X16" si="6">E25+E29+E37</f>
        <v>1.3607317468341061E-3</v>
      </c>
      <c r="S13" s="123">
        <f>F25+F29+F37</f>
        <v>89.149981026795018</v>
      </c>
      <c r="T13" s="124">
        <f t="shared" si="6"/>
        <v>1.6995022073994707E-3</v>
      </c>
      <c r="U13" s="123">
        <f>H25+H29+H37</f>
        <v>43.001040523962118</v>
      </c>
      <c r="V13" s="124">
        <f t="shared" si="6"/>
        <v>8.1974625736580455E-4</v>
      </c>
      <c r="W13" s="125">
        <f t="shared" si="6"/>
        <v>132.51875731113262</v>
      </c>
      <c r="X13" s="126">
        <f t="shared" si="6"/>
        <v>2.5262587605533369E-3</v>
      </c>
      <c r="AB13" s="257" t="s">
        <v>113</v>
      </c>
      <c r="AC13" s="298">
        <f>'DK TransData'!U18+'DK TransData'!Q18</f>
        <v>3640.8160518043255</v>
      </c>
      <c r="AD13" s="299">
        <f>'DK TransData'!W18+'DK TransData'!S18</f>
        <v>5337.4209673482947</v>
      </c>
      <c r="AE13" s="578">
        <f>AC13+AD13</f>
        <v>8978.2370191526206</v>
      </c>
    </row>
    <row r="14" spans="1:33">
      <c r="A14" s="99" t="s">
        <v>347</v>
      </c>
      <c r="B14" s="100" t="s">
        <v>100</v>
      </c>
      <c r="C14" s="101" t="s">
        <v>361</v>
      </c>
      <c r="D14" s="102">
        <v>0.35925645836604381</v>
      </c>
      <c r="E14" s="103">
        <f>D14/$L$24</f>
        <v>1.7598151768933445E-3</v>
      </c>
      <c r="F14" s="111">
        <v>0.27018246833685089</v>
      </c>
      <c r="G14" s="103">
        <f t="shared" si="2"/>
        <v>1.3234868775142282E-3</v>
      </c>
      <c r="H14" s="111">
        <v>0.68232881301176673</v>
      </c>
      <c r="I14" s="103">
        <f t="shared" si="3"/>
        <v>3.3423827820132589E-3</v>
      </c>
      <c r="J14" s="111">
        <v>1.3404781314395759</v>
      </c>
      <c r="K14" s="105">
        <f t="shared" si="4"/>
        <v>6.5663224837490203E-3</v>
      </c>
      <c r="N14" s="106" t="s">
        <v>346</v>
      </c>
      <c r="O14" s="100" t="s">
        <v>100</v>
      </c>
      <c r="P14" s="127" t="s">
        <v>362</v>
      </c>
      <c r="Q14" s="128">
        <f>D26+D30+D38</f>
        <v>1437.9422427886063</v>
      </c>
      <c r="R14" s="129">
        <f t="shared" si="6"/>
        <v>2.7412075556108924E-2</v>
      </c>
      <c r="S14" s="128">
        <f>F26+F30+F38</f>
        <v>1184.3517590066306</v>
      </c>
      <c r="T14" s="129">
        <f t="shared" si="6"/>
        <v>2.2577777421671497E-2</v>
      </c>
      <c r="U14" s="128">
        <f>H26+H30+H38</f>
        <v>616.58595726934516</v>
      </c>
      <c r="V14" s="129">
        <f t="shared" si="6"/>
        <v>1.1754227913024606E-2</v>
      </c>
      <c r="W14" s="130">
        <f t="shared" si="6"/>
        <v>1779.1374085427212</v>
      </c>
      <c r="X14" s="131">
        <f t="shared" si="6"/>
        <v>3.3916417235989517E-2</v>
      </c>
      <c r="Z14" s="121"/>
      <c r="AB14" s="257" t="s">
        <v>341</v>
      </c>
      <c r="AC14" s="298">
        <f>'DK TransData'!U19+'DK TransData'!Q19</f>
        <v>2623.099935521308</v>
      </c>
      <c r="AD14" s="299">
        <f>'DK TransData'!W19+'DK TransData'!S19</f>
        <v>3815.1384279409308</v>
      </c>
      <c r="AE14" s="578">
        <f>AC14+AD14</f>
        <v>6438.2383634622383</v>
      </c>
    </row>
    <row r="15" spans="1:33">
      <c r="A15" s="99" t="s">
        <v>347</v>
      </c>
      <c r="B15" s="100" t="s">
        <v>101</v>
      </c>
      <c r="C15" s="101" t="s">
        <v>361</v>
      </c>
      <c r="D15" s="102"/>
      <c r="E15" s="103">
        <f t="shared" si="1"/>
        <v>0</v>
      </c>
      <c r="F15" s="111"/>
      <c r="G15" s="103">
        <f t="shared" si="2"/>
        <v>0</v>
      </c>
      <c r="H15" s="111"/>
      <c r="I15" s="103">
        <f t="shared" si="3"/>
        <v>0</v>
      </c>
      <c r="J15" s="111"/>
      <c r="K15" s="105">
        <f t="shared" si="4"/>
        <v>0</v>
      </c>
      <c r="N15" s="106" t="s">
        <v>346</v>
      </c>
      <c r="O15" s="100" t="s">
        <v>101</v>
      </c>
      <c r="P15" s="127" t="s">
        <v>362</v>
      </c>
      <c r="Q15" s="128">
        <f>D27+D31+D39</f>
        <v>1846.3254368960497</v>
      </c>
      <c r="R15" s="129">
        <f t="shared" si="6"/>
        <v>3.5197249841696754E-2</v>
      </c>
      <c r="S15" s="128">
        <f>F27+F31+F39</f>
        <v>1313.6428475239231</v>
      </c>
      <c r="T15" s="129">
        <f t="shared" si="6"/>
        <v>2.5042505824318901E-2</v>
      </c>
      <c r="U15" s="128">
        <f t="shared" si="6"/>
        <v>763.24678012148149</v>
      </c>
      <c r="V15" s="129">
        <f t="shared" si="6"/>
        <v>1.4550082598639328E-2</v>
      </c>
      <c r="W15" s="130">
        <f t="shared" si="6"/>
        <v>1892.5668010476427</v>
      </c>
      <c r="X15" s="131">
        <f t="shared" si="6"/>
        <v>3.607876770119213E-2</v>
      </c>
      <c r="Z15" s="121"/>
      <c r="AB15" s="259" t="s">
        <v>115</v>
      </c>
      <c r="AC15" s="300">
        <f>'DK TransData'!U20+'DK TransData'!Q20</f>
        <v>5117.0669548521028</v>
      </c>
      <c r="AD15" s="301">
        <f>'DK TransData'!W20+'DK TransData'!S20</f>
        <v>9037.8319430534357</v>
      </c>
      <c r="AE15" s="578">
        <f>AC15+AD15</f>
        <v>14154.898897905539</v>
      </c>
    </row>
    <row r="16" spans="1:33">
      <c r="A16" s="99" t="s">
        <v>347</v>
      </c>
      <c r="B16" s="100" t="s">
        <v>102</v>
      </c>
      <c r="C16" s="101" t="s">
        <v>361</v>
      </c>
      <c r="D16" s="102">
        <v>30.450697301123597</v>
      </c>
      <c r="E16" s="103">
        <f t="shared" si="1"/>
        <v>0.14916252167386923</v>
      </c>
      <c r="F16" s="104"/>
      <c r="G16" s="103">
        <f t="shared" si="2"/>
        <v>0</v>
      </c>
      <c r="H16" s="111">
        <v>30.521442180387382</v>
      </c>
      <c r="I16" s="103">
        <f t="shared" si="3"/>
        <v>0.14950906495601962</v>
      </c>
      <c r="J16" s="111">
        <v>10.603499742269815</v>
      </c>
      <c r="K16" s="105">
        <f t="shared" si="4"/>
        <v>5.1941167208240817E-2</v>
      </c>
      <c r="N16" s="106" t="s">
        <v>346</v>
      </c>
      <c r="O16" s="100" t="s">
        <v>102</v>
      </c>
      <c r="P16" s="127" t="s">
        <v>362</v>
      </c>
      <c r="Q16" s="128">
        <f>D28+D32+D40</f>
        <v>1874.9189468108798</v>
      </c>
      <c r="R16" s="129">
        <f t="shared" si="6"/>
        <v>3.5742339505854349E-2</v>
      </c>
      <c r="S16" s="128">
        <f t="shared" si="6"/>
        <v>2419.6029774349117</v>
      </c>
      <c r="T16" s="129">
        <f t="shared" si="6"/>
        <v>4.6125871860197266E-2</v>
      </c>
      <c r="U16" s="128">
        <f t="shared" si="6"/>
        <v>2255.8836121172053</v>
      </c>
      <c r="V16" s="129">
        <f t="shared" si="6"/>
        <v>4.3004823268298478E-2</v>
      </c>
      <c r="W16" s="130">
        <f t="shared" si="6"/>
        <v>3689.9103760711896</v>
      </c>
      <c r="X16" s="131">
        <f t="shared" si="6"/>
        <v>7.0342256465028022E-2</v>
      </c>
      <c r="Z16" s="121"/>
      <c r="AB16" s="579" t="s">
        <v>124</v>
      </c>
      <c r="AC16" s="258"/>
      <c r="AD16" s="254"/>
      <c r="AE16" s="253"/>
      <c r="AG16" s="580" t="s">
        <v>644</v>
      </c>
    </row>
    <row r="17" spans="1:34">
      <c r="A17" s="99" t="s">
        <v>357</v>
      </c>
      <c r="B17" s="112" t="s">
        <v>99</v>
      </c>
      <c r="C17" s="1" t="s">
        <v>361</v>
      </c>
      <c r="D17" s="114"/>
      <c r="E17" s="103">
        <f t="shared" si="1"/>
        <v>0</v>
      </c>
      <c r="F17" s="111"/>
      <c r="G17" s="103">
        <f t="shared" si="2"/>
        <v>0</v>
      </c>
      <c r="H17" s="104"/>
      <c r="I17" s="103">
        <f t="shared" si="3"/>
        <v>0</v>
      </c>
      <c r="J17" s="104"/>
      <c r="K17" s="105">
        <f t="shared" si="4"/>
        <v>0</v>
      </c>
      <c r="N17" s="106" t="s">
        <v>347</v>
      </c>
      <c r="O17" s="112" t="s">
        <v>99</v>
      </c>
      <c r="P17" s="132" t="s">
        <v>362</v>
      </c>
      <c r="Q17" s="128">
        <f>D33+D41</f>
        <v>420.31701965636523</v>
      </c>
      <c r="R17" s="129">
        <f>E33+E41</f>
        <v>8.012673637012439E-3</v>
      </c>
      <c r="S17" s="128">
        <f t="shared" ref="Q17:X20" si="7">F33+F41</f>
        <v>323.84071001677592</v>
      </c>
      <c r="T17" s="129">
        <f t="shared" si="7"/>
        <v>6.1735066590076259E-3</v>
      </c>
      <c r="U17" s="128">
        <f t="shared" si="7"/>
        <v>203.38480800107047</v>
      </c>
      <c r="V17" s="129">
        <f t="shared" si="7"/>
        <v>3.8772069962128989E-3</v>
      </c>
      <c r="W17" s="130">
        <f t="shared" si="7"/>
        <v>527.44458413726034</v>
      </c>
      <c r="X17" s="131">
        <f t="shared" si="7"/>
        <v>1.005488980140948E-2</v>
      </c>
      <c r="Z17" s="121"/>
      <c r="AB17" s="257" t="s">
        <v>340</v>
      </c>
      <c r="AC17" s="298">
        <f>AC7+AC12</f>
        <v>738.08212787558909</v>
      </c>
      <c r="AD17" s="299">
        <f>AD7+AD12</f>
        <v>1072.954032491964</v>
      </c>
      <c r="AE17" s="578">
        <f>AC17+AD17</f>
        <v>1811.0361603675531</v>
      </c>
      <c r="AG17">
        <v>25</v>
      </c>
      <c r="AH17">
        <f>(AE17+AE18)/$AE$21</f>
        <v>0.30134078401849002</v>
      </c>
    </row>
    <row r="18" spans="1:34">
      <c r="A18" s="99" t="s">
        <v>357</v>
      </c>
      <c r="B18" s="100" t="s">
        <v>100</v>
      </c>
      <c r="C18" s="101" t="s">
        <v>361</v>
      </c>
      <c r="D18" s="102"/>
      <c r="E18" s="103">
        <f t="shared" si="1"/>
        <v>0</v>
      </c>
      <c r="F18" s="111"/>
      <c r="G18" s="103">
        <f t="shared" si="2"/>
        <v>0</v>
      </c>
      <c r="H18" s="111"/>
      <c r="I18" s="103">
        <f t="shared" si="3"/>
        <v>0</v>
      </c>
      <c r="J18" s="111"/>
      <c r="K18" s="105">
        <f t="shared" si="4"/>
        <v>0</v>
      </c>
      <c r="N18" s="106" t="s">
        <v>347</v>
      </c>
      <c r="O18" s="100" t="s">
        <v>100</v>
      </c>
      <c r="P18" s="127" t="s">
        <v>362</v>
      </c>
      <c r="Q18" s="128">
        <f>D34+D42</f>
        <v>2399.2436759700595</v>
      </c>
      <c r="R18" s="129">
        <f t="shared" si="7"/>
        <v>4.5737754247808446E-2</v>
      </c>
      <c r="S18" s="128">
        <f t="shared" si="7"/>
        <v>1995.6761791012282</v>
      </c>
      <c r="T18" s="129">
        <f t="shared" si="7"/>
        <v>3.8044383549758462E-2</v>
      </c>
      <c r="U18" s="128">
        <f t="shared" si="7"/>
        <v>1241.572375834266</v>
      </c>
      <c r="V18" s="129">
        <f t="shared" si="7"/>
        <v>2.3668597223170919E-2</v>
      </c>
      <c r="W18" s="130">
        <f t="shared" si="7"/>
        <v>3341.7447882470669</v>
      </c>
      <c r="X18" s="131">
        <f t="shared" si="7"/>
        <v>6.3705034805162652E-2</v>
      </c>
      <c r="Z18" s="121"/>
      <c r="AB18" s="257" t="s">
        <v>113</v>
      </c>
      <c r="AC18" s="298">
        <f t="shared" ref="AC18:AD20" si="8">AC8+AC13</f>
        <v>5695.3442518622769</v>
      </c>
      <c r="AD18" s="299">
        <f t="shared" si="8"/>
        <v>8300.9101348976474</v>
      </c>
      <c r="AE18" s="578">
        <f>AC18+AD18</f>
        <v>13996.254386759923</v>
      </c>
      <c r="AG18" s="852" t="s">
        <v>645</v>
      </c>
      <c r="AH18" s="754">
        <f>(AE19)/$AE$21</f>
        <v>0.23360335233869647</v>
      </c>
    </row>
    <row r="19" spans="1:34">
      <c r="A19" s="99" t="s">
        <v>357</v>
      </c>
      <c r="B19" s="100" t="s">
        <v>101</v>
      </c>
      <c r="C19" s="101" t="s">
        <v>361</v>
      </c>
      <c r="D19" s="102"/>
      <c r="E19" s="103">
        <f t="shared" si="1"/>
        <v>0</v>
      </c>
      <c r="F19" s="111"/>
      <c r="G19" s="103">
        <f t="shared" si="2"/>
        <v>0</v>
      </c>
      <c r="H19" s="111"/>
      <c r="I19" s="103">
        <f t="shared" si="3"/>
        <v>0</v>
      </c>
      <c r="J19" s="111"/>
      <c r="K19" s="105">
        <f t="shared" si="4"/>
        <v>0</v>
      </c>
      <c r="N19" s="106" t="s">
        <v>347</v>
      </c>
      <c r="O19" s="100" t="s">
        <v>101</v>
      </c>
      <c r="P19" s="127" t="s">
        <v>362</v>
      </c>
      <c r="Q19" s="128">
        <f>D35+D43</f>
        <v>1743.4235933802397</v>
      </c>
      <c r="R19" s="129">
        <f t="shared" si="7"/>
        <v>3.3235590308106591E-2</v>
      </c>
      <c r="S19" s="128">
        <f t="shared" si="7"/>
        <v>1442.7224525976048</v>
      </c>
      <c r="T19" s="129">
        <f t="shared" si="7"/>
        <v>2.7503202632398305E-2</v>
      </c>
      <c r="U19" s="128">
        <f t="shared" si="7"/>
        <v>879.67634214106829</v>
      </c>
      <c r="V19" s="129">
        <f t="shared" si="7"/>
        <v>1.676962651081771E-2</v>
      </c>
      <c r="W19" s="130">
        <f t="shared" si="7"/>
        <v>2372.415975343326</v>
      </c>
      <c r="X19" s="131">
        <f t="shared" si="7"/>
        <v>4.5226326921526887E-2</v>
      </c>
      <c r="Z19" s="121"/>
      <c r="AB19" s="257" t="s">
        <v>341</v>
      </c>
      <c r="AC19" s="298">
        <f t="shared" si="8"/>
        <v>5232.6721525388393</v>
      </c>
      <c r="AD19" s="299">
        <f t="shared" si="8"/>
        <v>7021.3480765124968</v>
      </c>
      <c r="AE19" s="578">
        <f>AC19+AD19</f>
        <v>12254.020229051337</v>
      </c>
      <c r="AG19">
        <v>50</v>
      </c>
      <c r="AH19" s="754">
        <f>(AE20)/$AE$21</f>
        <v>0.46505586364281359</v>
      </c>
    </row>
    <row r="20" spans="1:34">
      <c r="A20" s="99" t="s">
        <v>357</v>
      </c>
      <c r="B20" s="100" t="s">
        <v>102</v>
      </c>
      <c r="C20" s="101" t="s">
        <v>361</v>
      </c>
      <c r="D20" s="114"/>
      <c r="E20" s="103">
        <f t="shared" si="1"/>
        <v>0</v>
      </c>
      <c r="F20" s="111"/>
      <c r="G20" s="103">
        <f t="shared" si="2"/>
        <v>0</v>
      </c>
      <c r="H20" s="104"/>
      <c r="I20" s="103">
        <f t="shared" si="3"/>
        <v>0</v>
      </c>
      <c r="J20" s="111"/>
      <c r="K20" s="105">
        <f t="shared" si="4"/>
        <v>0</v>
      </c>
      <c r="N20" s="106" t="s">
        <v>347</v>
      </c>
      <c r="O20" s="133" t="s">
        <v>102</v>
      </c>
      <c r="P20" s="134" t="s">
        <v>362</v>
      </c>
      <c r="Q20" s="128">
        <f t="shared" si="7"/>
        <v>2996.7192675791957</v>
      </c>
      <c r="R20" s="129">
        <f t="shared" si="7"/>
        <v>5.71276735176941E-2</v>
      </c>
      <c r="S20" s="128">
        <f t="shared" si="7"/>
        <v>3573.764754500904</v>
      </c>
      <c r="T20" s="129">
        <f t="shared" si="7"/>
        <v>6.8128125424673058E-2</v>
      </c>
      <c r="U20" s="128">
        <f t="shared" si="7"/>
        <v>2120.347687272907</v>
      </c>
      <c r="V20" s="129">
        <f t="shared" si="7"/>
        <v>4.0421047020655965E-2</v>
      </c>
      <c r="W20" s="130">
        <f t="shared" si="7"/>
        <v>5464.0671885525317</v>
      </c>
      <c r="X20" s="131">
        <f t="shared" si="7"/>
        <v>0.10416372658041262</v>
      </c>
      <c r="Z20" s="121"/>
      <c r="AB20" s="259" t="s">
        <v>115</v>
      </c>
      <c r="AC20" s="300">
        <f t="shared" si="8"/>
        <v>9247.8695137801878</v>
      </c>
      <c r="AD20" s="301">
        <f t="shared" si="8"/>
        <v>15147.345296559537</v>
      </c>
      <c r="AE20" s="578">
        <f>AC20+AD20</f>
        <v>24395.214810339727</v>
      </c>
      <c r="AH20" s="853"/>
    </row>
    <row r="21" spans="1:34" ht="13.8" thickBot="1">
      <c r="A21" s="99" t="s">
        <v>359</v>
      </c>
      <c r="B21" s="112" t="s">
        <v>99</v>
      </c>
      <c r="C21" s="1" t="s">
        <v>361</v>
      </c>
      <c r="D21" s="102"/>
      <c r="E21" s="103">
        <f t="shared" si="1"/>
        <v>0</v>
      </c>
      <c r="F21" s="111"/>
      <c r="G21" s="103">
        <f t="shared" si="2"/>
        <v>0</v>
      </c>
      <c r="H21" s="111"/>
      <c r="I21" s="103">
        <f t="shared" si="3"/>
        <v>0</v>
      </c>
      <c r="J21" s="111"/>
      <c r="K21" s="105">
        <f t="shared" si="4"/>
        <v>0</v>
      </c>
      <c r="N21" s="135" t="s">
        <v>107</v>
      </c>
      <c r="O21" s="136"/>
      <c r="P21" s="137" t="s">
        <v>362</v>
      </c>
      <c r="Q21" s="138">
        <f>SUM(Q13:Q20)</f>
        <v>12790.269442775587</v>
      </c>
      <c r="R21" s="139">
        <f t="shared" ref="R21:X21" si="9">SUM(R13:R20)</f>
        <v>0.24382608836111569</v>
      </c>
      <c r="S21" s="138">
        <f t="shared" si="9"/>
        <v>12342.751661208775</v>
      </c>
      <c r="T21" s="139">
        <f t="shared" si="9"/>
        <v>0.23529487557942458</v>
      </c>
      <c r="U21" s="138">
        <f t="shared" si="9"/>
        <v>8123.6986032813065</v>
      </c>
      <c r="V21" s="139">
        <f t="shared" si="9"/>
        <v>0.15486535778818569</v>
      </c>
      <c r="W21" s="140">
        <f t="shared" si="9"/>
        <v>19199.805879252875</v>
      </c>
      <c r="X21" s="141">
        <f t="shared" si="9"/>
        <v>0.36601367827127462</v>
      </c>
      <c r="Y21" s="120">
        <f>SUM(R13:R20,T13:T20,V13:V20,X13:X20)</f>
        <v>1.0000000000000004</v>
      </c>
      <c r="Z21" s="121">
        <f>SUM(Q13:Q20,S13:S20,U13:U20,W13:W20)</f>
        <v>52456.525586518539</v>
      </c>
      <c r="AB21" s="580" t="s">
        <v>124</v>
      </c>
      <c r="AC21" s="578">
        <f>SUM(AC17:AC20)</f>
        <v>20913.968046056892</v>
      </c>
      <c r="AD21" s="578">
        <f>SUM(AD17:AD20)</f>
        <v>31542.557540461647</v>
      </c>
      <c r="AE21" s="578">
        <f>SUM(AE17:AE20)</f>
        <v>52456.525586518539</v>
      </c>
    </row>
    <row r="22" spans="1:34">
      <c r="A22" s="99" t="s">
        <v>359</v>
      </c>
      <c r="B22" s="100" t="s">
        <v>100</v>
      </c>
      <c r="C22" s="101" t="s">
        <v>361</v>
      </c>
      <c r="D22" s="114"/>
      <c r="E22" s="103">
        <f t="shared" si="1"/>
        <v>0</v>
      </c>
      <c r="F22" s="104"/>
      <c r="G22" s="103">
        <f t="shared" si="2"/>
        <v>0</v>
      </c>
      <c r="H22" s="104"/>
      <c r="I22" s="103">
        <f t="shared" si="3"/>
        <v>0</v>
      </c>
      <c r="J22" s="111">
        <v>1.1778276288409484</v>
      </c>
      <c r="K22" s="105">
        <f t="shared" si="4"/>
        <v>5.7695801668419359E-3</v>
      </c>
      <c r="N22" s="93" t="s">
        <v>346</v>
      </c>
      <c r="O22" s="94" t="s">
        <v>99</v>
      </c>
      <c r="P22" s="122" t="s">
        <v>363</v>
      </c>
      <c r="Q22" s="123">
        <f t="shared" ref="Q22:X25" si="10">D45+D49+D57</f>
        <v>35.203703851879339</v>
      </c>
      <c r="R22" s="124">
        <f t="shared" si="10"/>
        <v>4.1035910912861177E-3</v>
      </c>
      <c r="S22" s="123">
        <f t="shared" si="10"/>
        <v>14.96790721066383</v>
      </c>
      <c r="T22" s="124">
        <f t="shared" si="10"/>
        <v>1.7447644413585853E-3</v>
      </c>
      <c r="U22" s="123">
        <f t="shared" si="10"/>
        <v>5.0721108828005113</v>
      </c>
      <c r="V22" s="124">
        <f t="shared" si="10"/>
        <v>5.912408853412281E-4</v>
      </c>
      <c r="W22" s="125">
        <f t="shared" si="10"/>
        <v>13.622283674891097</v>
      </c>
      <c r="X22" s="126">
        <f t="shared" si="10"/>
        <v>1.5879091065661038E-3</v>
      </c>
      <c r="Z22" s="121"/>
    </row>
    <row r="23" spans="1:34">
      <c r="A23" s="99" t="s">
        <v>359</v>
      </c>
      <c r="B23" s="100" t="s">
        <v>101</v>
      </c>
      <c r="C23" s="101" t="s">
        <v>361</v>
      </c>
      <c r="D23" s="102"/>
      <c r="E23" s="103">
        <f t="shared" si="1"/>
        <v>0</v>
      </c>
      <c r="F23" s="111"/>
      <c r="G23" s="103">
        <f t="shared" si="2"/>
        <v>0</v>
      </c>
      <c r="H23" s="111"/>
      <c r="I23" s="103">
        <f t="shared" si="3"/>
        <v>0</v>
      </c>
      <c r="J23" s="111"/>
      <c r="K23" s="105">
        <f t="shared" si="4"/>
        <v>0</v>
      </c>
      <c r="L23" s="120">
        <f>SUM(E5:E24,G5:G24,I5:I24,K5:K24)</f>
        <v>1</v>
      </c>
      <c r="N23" s="106" t="s">
        <v>346</v>
      </c>
      <c r="O23" s="100" t="s">
        <v>100</v>
      </c>
      <c r="P23" s="127" t="s">
        <v>363</v>
      </c>
      <c r="Q23" s="128">
        <f t="shared" si="10"/>
        <v>750.38419848384433</v>
      </c>
      <c r="R23" s="129">
        <f t="shared" si="10"/>
        <v>8.7470054994676111E-2</v>
      </c>
      <c r="S23" s="128">
        <f t="shared" si="10"/>
        <v>286.53299966645665</v>
      </c>
      <c r="T23" s="129">
        <f t="shared" si="10"/>
        <v>3.3400299858731747E-2</v>
      </c>
      <c r="U23" s="128">
        <f t="shared" si="10"/>
        <v>116.9116541751027</v>
      </c>
      <c r="V23" s="129">
        <f t="shared" si="10"/>
        <v>1.3628043928532911E-2</v>
      </c>
      <c r="W23" s="130">
        <f t="shared" si="10"/>
        <v>326.34769812611171</v>
      </c>
      <c r="X23" s="131">
        <f t="shared" si="10"/>
        <v>3.8041380882158249E-2</v>
      </c>
      <c r="Z23" s="121"/>
    </row>
    <row r="24" spans="1:34">
      <c r="A24" s="99" t="s">
        <v>359</v>
      </c>
      <c r="B24" s="143" t="s">
        <v>102</v>
      </c>
      <c r="C24" s="144" t="s">
        <v>361</v>
      </c>
      <c r="D24" s="114"/>
      <c r="E24" s="103">
        <f>D24/$L$24</f>
        <v>0</v>
      </c>
      <c r="F24" s="111"/>
      <c r="G24" s="103">
        <f t="shared" si="2"/>
        <v>0</v>
      </c>
      <c r="H24" s="104"/>
      <c r="I24" s="103">
        <f t="shared" si="3"/>
        <v>0</v>
      </c>
      <c r="J24" s="111"/>
      <c r="K24" s="105">
        <f t="shared" si="4"/>
        <v>0</v>
      </c>
      <c r="L24">
        <v>204.14442555283006</v>
      </c>
      <c r="N24" s="106" t="s">
        <v>346</v>
      </c>
      <c r="O24" s="100" t="s">
        <v>101</v>
      </c>
      <c r="P24" s="127" t="s">
        <v>363</v>
      </c>
      <c r="Q24" s="128">
        <f>D47+D51+D59</f>
        <v>654.22093795882461</v>
      </c>
      <c r="R24" s="129">
        <f t="shared" si="10"/>
        <v>7.6260589625354466E-2</v>
      </c>
      <c r="S24" s="128">
        <f t="shared" si="10"/>
        <v>150.12253110996835</v>
      </c>
      <c r="T24" s="129">
        <f t="shared" si="10"/>
        <v>1.7499337111123378E-2</v>
      </c>
      <c r="U24" s="128">
        <f t="shared" si="10"/>
        <v>144.88450760320609</v>
      </c>
      <c r="V24" s="129">
        <f t="shared" si="10"/>
        <v>1.6888756284493989E-2</v>
      </c>
      <c r="W24" s="130">
        <f t="shared" si="10"/>
        <v>206.66417538340539</v>
      </c>
      <c r="X24" s="131">
        <f t="shared" si="10"/>
        <v>2.4090228475946586E-2</v>
      </c>
      <c r="Z24" s="121"/>
    </row>
    <row r="25" spans="1:34">
      <c r="A25" s="87" t="s">
        <v>346</v>
      </c>
      <c r="B25" s="88" t="s">
        <v>99</v>
      </c>
      <c r="C25" s="145" t="s">
        <v>362</v>
      </c>
      <c r="D25" s="146">
        <v>53.273504808240048</v>
      </c>
      <c r="E25" s="147">
        <f>D25/$L$44</f>
        <v>1.0155744059025425E-3</v>
      </c>
      <c r="F25" s="148">
        <v>68.825229068011225</v>
      </c>
      <c r="G25" s="147">
        <f>F25/$L$44</f>
        <v>1.3120432262425617E-3</v>
      </c>
      <c r="H25" s="148">
        <v>33.239956146421193</v>
      </c>
      <c r="I25" s="147">
        <f>H25/$L$44</f>
        <v>6.3366675117659658E-4</v>
      </c>
      <c r="J25" s="148">
        <v>103.55072853028773</v>
      </c>
      <c r="K25" s="149">
        <f>J25/$L$44</f>
        <v>1.9740294915166971E-3</v>
      </c>
      <c r="N25" s="106" t="s">
        <v>346</v>
      </c>
      <c r="O25" s="100" t="s">
        <v>102</v>
      </c>
      <c r="P25" s="127" t="s">
        <v>363</v>
      </c>
      <c r="Q25" s="128">
        <f t="shared" si="10"/>
        <v>585.42753361352948</v>
      </c>
      <c r="R25" s="129">
        <f t="shared" si="10"/>
        <v>6.8241547015565951E-2</v>
      </c>
      <c r="S25" s="128">
        <f t="shared" si="10"/>
        <v>326.31182797502817</v>
      </c>
      <c r="T25" s="129">
        <f t="shared" si="10"/>
        <v>3.8037199605294628E-2</v>
      </c>
      <c r="U25" s="128">
        <f t="shared" si="10"/>
        <v>556.33272727617305</v>
      </c>
      <c r="V25" s="129">
        <f t="shared" si="10"/>
        <v>6.4850051944734158E-2</v>
      </c>
      <c r="W25" s="130">
        <f t="shared" si="10"/>
        <v>556.67950170674703</v>
      </c>
      <c r="X25" s="131">
        <f t="shared" si="10"/>
        <v>6.4890474409085547E-2</v>
      </c>
      <c r="Z25" s="121"/>
    </row>
    <row r="26" spans="1:34">
      <c r="A26" s="99" t="s">
        <v>346</v>
      </c>
      <c r="B26" s="100" t="s">
        <v>100</v>
      </c>
      <c r="C26" s="150" t="s">
        <v>362</v>
      </c>
      <c r="D26" s="102">
        <v>1256.3685434104082</v>
      </c>
      <c r="E26" s="151">
        <f t="shared" ref="E26:E44" si="11">D26/$L$44</f>
        <v>2.3950662560337375E-2</v>
      </c>
      <c r="F26" s="111">
        <v>1024.1673457827983</v>
      </c>
      <c r="G26" s="151">
        <f t="shared" ref="G26:G44" si="12">F26/$L$44</f>
        <v>1.9524117053722916E-2</v>
      </c>
      <c r="H26" s="111">
        <v>508.12236124594153</v>
      </c>
      <c r="I26" s="151">
        <f t="shared" ref="I26:I44" si="13">H26/$L$44</f>
        <v>9.6865424380399804E-3</v>
      </c>
      <c r="J26" s="111">
        <v>1517.2483537170497</v>
      </c>
      <c r="K26" s="152">
        <f t="shared" ref="K26:K44" si="14">J26/$L$44</f>
        <v>2.8923920079582766E-2</v>
      </c>
      <c r="N26" s="106" t="s">
        <v>347</v>
      </c>
      <c r="O26" s="112" t="s">
        <v>99</v>
      </c>
      <c r="P26" s="132" t="s">
        <v>363</v>
      </c>
      <c r="Q26" s="128">
        <f t="shared" ref="Q26:X29" si="15">D53+D61</f>
        <v>72.492492632490553</v>
      </c>
      <c r="R26" s="129">
        <f t="shared" si="15"/>
        <v>8.4502343333947762E-3</v>
      </c>
      <c r="S26" s="128">
        <f t="shared" si="15"/>
        <v>26.867763415344669</v>
      </c>
      <c r="T26" s="129">
        <f t="shared" si="15"/>
        <v>3.1318952987983845E-3</v>
      </c>
      <c r="U26" s="128">
        <f t="shared" si="15"/>
        <v>5.5075856527571601</v>
      </c>
      <c r="V26" s="129">
        <f t="shared" si="15"/>
        <v>6.4200288453292891E-4</v>
      </c>
      <c r="W26" s="130">
        <f t="shared" si="15"/>
        <v>17.71198144144293</v>
      </c>
      <c r="X26" s="131">
        <f t="shared" si="15"/>
        <v>2.0646330158310918E-3</v>
      </c>
      <c r="Z26" s="121"/>
      <c r="AB26" s="184" t="s">
        <v>558</v>
      </c>
    </row>
    <row r="27" spans="1:34">
      <c r="A27" s="99" t="s">
        <v>346</v>
      </c>
      <c r="B27" s="100" t="s">
        <v>101</v>
      </c>
      <c r="C27" s="150" t="s">
        <v>362</v>
      </c>
      <c r="D27" s="102">
        <v>1602.7886686477225</v>
      </c>
      <c r="E27" s="151">
        <f t="shared" si="11"/>
        <v>3.0554609759736822E-2</v>
      </c>
      <c r="F27" s="111">
        <v>1126.5889946792929</v>
      </c>
      <c r="G27" s="151">
        <f t="shared" si="12"/>
        <v>2.1476622442734367E-2</v>
      </c>
      <c r="H27" s="111">
        <v>630.50701302913421</v>
      </c>
      <c r="I27" s="151">
        <f t="shared" si="13"/>
        <v>1.2019610639084655E-2</v>
      </c>
      <c r="J27" s="111">
        <v>1586.5120131041217</v>
      </c>
      <c r="K27" s="152">
        <f t="shared" si="14"/>
        <v>3.0244321280627484E-2</v>
      </c>
      <c r="N27" s="106" t="s">
        <v>347</v>
      </c>
      <c r="O27" s="100" t="s">
        <v>100</v>
      </c>
      <c r="P27" s="127" t="s">
        <v>363</v>
      </c>
      <c r="Q27" s="128">
        <f>D54+D62</f>
        <v>629.81370784207115</v>
      </c>
      <c r="R27" s="129">
        <f t="shared" si="15"/>
        <v>7.3415511377579901E-2</v>
      </c>
      <c r="S27" s="128">
        <f t="shared" si="15"/>
        <v>158.98960299421699</v>
      </c>
      <c r="T27" s="129">
        <f t="shared" si="15"/>
        <v>1.8532945317325064E-2</v>
      </c>
      <c r="U27" s="128">
        <f t="shared" si="15"/>
        <v>67.946682060452787</v>
      </c>
      <c r="V27" s="129">
        <f t="shared" si="15"/>
        <v>7.9203427104969065E-3</v>
      </c>
      <c r="W27" s="130">
        <f t="shared" si="15"/>
        <v>150.96073138263384</v>
      </c>
      <c r="X27" s="131">
        <f t="shared" si="15"/>
        <v>1.7597043624792967E-2</v>
      </c>
      <c r="Z27" s="121"/>
      <c r="AB27" s="193"/>
      <c r="AC27" s="194" t="s">
        <v>120</v>
      </c>
      <c r="AD27" s="194" t="s">
        <v>94</v>
      </c>
      <c r="AE27" s="194" t="s">
        <v>121</v>
      </c>
      <c r="AF27" s="195" t="s">
        <v>94</v>
      </c>
      <c r="AG27" s="200" t="s">
        <v>124</v>
      </c>
    </row>
    <row r="28" spans="1:34">
      <c r="A28" s="99" t="s">
        <v>346</v>
      </c>
      <c r="B28" s="100" t="s">
        <v>102</v>
      </c>
      <c r="C28" s="150" t="s">
        <v>362</v>
      </c>
      <c r="D28" s="102">
        <v>1107.3006386922386</v>
      </c>
      <c r="E28" s="151">
        <f t="shared" si="11"/>
        <v>2.110892069788203E-2</v>
      </c>
      <c r="F28" s="111">
        <v>1505.9077210571638</v>
      </c>
      <c r="G28" s="151">
        <f t="shared" si="12"/>
        <v>2.8707729004533746E-2</v>
      </c>
      <c r="H28" s="111">
        <v>1767.5917790886947</v>
      </c>
      <c r="I28" s="151">
        <f t="shared" si="13"/>
        <v>3.3696318223999405E-2</v>
      </c>
      <c r="J28" s="111">
        <v>2065.800392967853</v>
      </c>
      <c r="K28" s="152">
        <f t="shared" si="14"/>
        <v>3.9381189849500259E-2</v>
      </c>
      <c r="N28" s="106" t="s">
        <v>347</v>
      </c>
      <c r="O28" s="100" t="s">
        <v>101</v>
      </c>
      <c r="P28" s="127" t="s">
        <v>363</v>
      </c>
      <c r="Q28" s="128">
        <f t="shared" si="15"/>
        <v>355.12867923593882</v>
      </c>
      <c r="R28" s="129">
        <f>E55+E63</f>
        <v>4.1396294279273861E-2</v>
      </c>
      <c r="S28" s="128">
        <f t="shared" si="15"/>
        <v>94.092513097215658</v>
      </c>
      <c r="T28" s="129">
        <f t="shared" si="15"/>
        <v>1.096808449835439E-2</v>
      </c>
      <c r="U28" s="128">
        <f t="shared" si="15"/>
        <v>71.797369067323714</v>
      </c>
      <c r="V28" s="129">
        <f t="shared" si="15"/>
        <v>8.3692058461264009E-3</v>
      </c>
      <c r="W28" s="130">
        <f t="shared" si="15"/>
        <v>99.208438198739415</v>
      </c>
      <c r="X28" s="131">
        <f t="shared" si="15"/>
        <v>1.1564432676904905E-2</v>
      </c>
      <c r="Z28" s="121"/>
      <c r="AB28" s="196" t="s">
        <v>122</v>
      </c>
      <c r="AC28" s="198">
        <f>Q22+U22+Q23+U23+Q24+U24+Q26+U26+Q27+U27+Q28+U28</f>
        <v>2909.3636294466924</v>
      </c>
      <c r="AD28" s="103">
        <f>AC28/AG28</f>
        <v>0.6529895199943494</v>
      </c>
      <c r="AE28" s="198">
        <f>S22+W22+S23+W23+S24+W24+S26+W26+S27+W27+S28+W28</f>
        <v>1546.0886257010907</v>
      </c>
      <c r="AF28" s="105">
        <f>AE28/AG28</f>
        <v>0.3470104800056506</v>
      </c>
      <c r="AG28" s="201">
        <f>AC28+AE28</f>
        <v>4455.452255147783</v>
      </c>
    </row>
    <row r="29" spans="1:34">
      <c r="A29" s="99" t="s">
        <v>358</v>
      </c>
      <c r="B29" s="112" t="s">
        <v>99</v>
      </c>
      <c r="C29" s="153" t="s">
        <v>362</v>
      </c>
      <c r="D29" s="102">
        <v>5.1840580257346343</v>
      </c>
      <c r="E29" s="151">
        <f t="shared" si="11"/>
        <v>9.8825798463994226E-5</v>
      </c>
      <c r="F29" s="111">
        <v>4.804371154625021</v>
      </c>
      <c r="G29" s="151">
        <f t="shared" si="12"/>
        <v>9.1587673810019935E-5</v>
      </c>
      <c r="H29" s="111">
        <v>2.5653123192614697</v>
      </c>
      <c r="I29" s="151">
        <f t="shared" si="13"/>
        <v>4.890358807752916E-5</v>
      </c>
      <c r="J29" s="111">
        <v>7.4835746757739301</v>
      </c>
      <c r="K29" s="152">
        <f t="shared" si="14"/>
        <v>1.4266241601211256E-4</v>
      </c>
      <c r="N29" s="106" t="s">
        <v>347</v>
      </c>
      <c r="O29" s="133" t="s">
        <v>102</v>
      </c>
      <c r="P29" s="134" t="s">
        <v>363</v>
      </c>
      <c r="Q29" s="128">
        <f t="shared" si="15"/>
        <v>786.73216448348978</v>
      </c>
      <c r="R29" s="129">
        <f t="shared" si="15"/>
        <v>9.1707029322437184E-2</v>
      </c>
      <c r="S29" s="128">
        <f t="shared" si="15"/>
        <v>471.52399027405653</v>
      </c>
      <c r="T29" s="129">
        <f t="shared" si="15"/>
        <v>5.4964149623506278E-2</v>
      </c>
      <c r="U29" s="128">
        <f t="shared" si="15"/>
        <v>293.29991992682835</v>
      </c>
      <c r="V29" s="129">
        <f t="shared" si="15"/>
        <v>3.4189099634253733E-2</v>
      </c>
      <c r="W29" s="130">
        <f t="shared" si="15"/>
        <v>546.99538653559796</v>
      </c>
      <c r="X29" s="131">
        <f t="shared" si="15"/>
        <v>6.3761625896141511E-2</v>
      </c>
      <c r="AB29" s="196" t="s">
        <v>123</v>
      </c>
      <c r="AC29" s="198">
        <f>Q25+U25+Q29+U29</f>
        <v>2221.7923453000208</v>
      </c>
      <c r="AD29" s="103">
        <f>AC29/AG29</f>
        <v>0.5388379940530249</v>
      </c>
      <c r="AE29" s="198">
        <f>S25+W25+S29+W29</f>
        <v>1901.5107064914296</v>
      </c>
      <c r="AF29" s="105">
        <f>AE29/AG29</f>
        <v>0.46116200594697515</v>
      </c>
      <c r="AG29" s="201">
        <f>AC29+AE29</f>
        <v>4123.3030517914503</v>
      </c>
    </row>
    <row r="30" spans="1:34" ht="13.8" thickBot="1">
      <c r="A30" s="99" t="s">
        <v>358</v>
      </c>
      <c r="B30" s="100" t="s">
        <v>100</v>
      </c>
      <c r="C30" s="150" t="s">
        <v>362</v>
      </c>
      <c r="D30" s="102">
        <v>101.92550061870968</v>
      </c>
      <c r="E30" s="151">
        <f t="shared" si="11"/>
        <v>1.9430471133777274E-3</v>
      </c>
      <c r="F30" s="111">
        <v>60.878256362641096</v>
      </c>
      <c r="G30" s="151">
        <f t="shared" si="12"/>
        <v>1.1605468658466966E-3</v>
      </c>
      <c r="H30" s="111">
        <v>52.658759101898568</v>
      </c>
      <c r="I30" s="151">
        <f t="shared" si="13"/>
        <v>1.0038552594385328E-3</v>
      </c>
      <c r="J30" s="111">
        <v>105.83578383614615</v>
      </c>
      <c r="K30" s="152">
        <f t="shared" si="14"/>
        <v>2.0175904266016864E-3</v>
      </c>
      <c r="N30" s="135" t="s">
        <v>107</v>
      </c>
      <c r="O30" s="136"/>
      <c r="P30" s="137" t="s">
        <v>363</v>
      </c>
      <c r="Q30" s="138">
        <f t="shared" ref="Q30:X30" si="16">SUM(Q22:Q29)</f>
        <v>3869.4034181020675</v>
      </c>
      <c r="R30" s="139">
        <f t="shared" si="16"/>
        <v>0.4510448520395684</v>
      </c>
      <c r="S30" s="138">
        <f t="shared" si="16"/>
        <v>1529.4091357429509</v>
      </c>
      <c r="T30" s="139">
        <f t="shared" si="16"/>
        <v>0.17827867575449247</v>
      </c>
      <c r="U30" s="138">
        <f t="shared" si="16"/>
        <v>1261.7525566446443</v>
      </c>
      <c r="V30" s="139">
        <f t="shared" si="16"/>
        <v>0.14707874411851227</v>
      </c>
      <c r="W30" s="140">
        <f t="shared" si="16"/>
        <v>1918.1901964495696</v>
      </c>
      <c r="X30" s="141">
        <f t="shared" si="16"/>
        <v>0.22359772808742698</v>
      </c>
      <c r="Y30" s="120">
        <f>SUM(R22:R29,T22:T29,V22:V29,X22:X29)</f>
        <v>1</v>
      </c>
      <c r="Z30" s="121">
        <f>SUM(Q22:Q29,S22:S29,U22:U29,W22:W29)</f>
        <v>8578.7553069392325</v>
      </c>
      <c r="AB30" s="197" t="s">
        <v>124</v>
      </c>
      <c r="AC30" s="199">
        <f>SUM(AC28:AC29)</f>
        <v>5131.1559747467127</v>
      </c>
      <c r="AD30" s="203">
        <f>AC30/AG30</f>
        <v>0.59812359615808064</v>
      </c>
      <c r="AE30" s="199">
        <f>SUM(AE28:AE29)</f>
        <v>3447.5993321925203</v>
      </c>
      <c r="AF30" s="204">
        <f>AE30/AG30</f>
        <v>0.40187640384191942</v>
      </c>
      <c r="AG30" s="202">
        <f>AC30+AE30</f>
        <v>8578.7553069392325</v>
      </c>
    </row>
    <row r="31" spans="1:34">
      <c r="A31" s="99" t="s">
        <v>358</v>
      </c>
      <c r="B31" s="100" t="s">
        <v>101</v>
      </c>
      <c r="C31" s="150" t="s">
        <v>362</v>
      </c>
      <c r="D31" s="102">
        <v>193.40784623839062</v>
      </c>
      <c r="E31" s="151">
        <f t="shared" si="11"/>
        <v>3.6870121319681351E-3</v>
      </c>
      <c r="F31" s="111">
        <v>106.83021658718138</v>
      </c>
      <c r="G31" s="151">
        <f t="shared" si="12"/>
        <v>2.0365477010287751E-3</v>
      </c>
      <c r="H31" s="111">
        <v>83.031852520889487</v>
      </c>
      <c r="I31" s="151">
        <f t="shared" si="13"/>
        <v>1.5828698449336291E-3</v>
      </c>
      <c r="J31" s="111">
        <v>153.8018701119415</v>
      </c>
      <c r="K31" s="152">
        <f t="shared" si="14"/>
        <v>2.9319873627213517E-3</v>
      </c>
      <c r="N31" s="93" t="s">
        <v>346</v>
      </c>
      <c r="O31" s="94" t="s">
        <v>99</v>
      </c>
      <c r="P31" s="122" t="s">
        <v>360</v>
      </c>
      <c r="Q31" s="123">
        <f t="shared" ref="Q31:X34" si="17">D65+D69+D77</f>
        <v>216.60153844158751</v>
      </c>
      <c r="R31" s="124">
        <f t="shared" si="17"/>
        <v>6.6681047080246109E-2</v>
      </c>
      <c r="S31" s="123">
        <f t="shared" si="17"/>
        <v>117.31128161944481</v>
      </c>
      <c r="T31" s="124">
        <f t="shared" si="17"/>
        <v>3.6114420742305781E-2</v>
      </c>
      <c r="U31" s="123">
        <f t="shared" si="17"/>
        <v>50.315670309787777</v>
      </c>
      <c r="V31" s="124">
        <f t="shared" si="17"/>
        <v>1.5489740308127562E-2</v>
      </c>
      <c r="W31" s="125">
        <f t="shared" si="17"/>
        <v>184.23137534073516</v>
      </c>
      <c r="X31" s="126">
        <f t="shared" si="17"/>
        <v>5.6715852995046792E-2</v>
      </c>
      <c r="Z31" s="121"/>
    </row>
    <row r="32" spans="1:34">
      <c r="A32" s="99" t="s">
        <v>358</v>
      </c>
      <c r="B32" s="100" t="s">
        <v>102</v>
      </c>
      <c r="C32" s="150" t="s">
        <v>362</v>
      </c>
      <c r="D32" s="102">
        <v>736.77430813409865</v>
      </c>
      <c r="E32" s="151">
        <f t="shared" si="11"/>
        <v>1.4045427139830475E-2</v>
      </c>
      <c r="F32" s="111">
        <v>826.90892107802688</v>
      </c>
      <c r="G32" s="151">
        <f t="shared" si="12"/>
        <v>1.5763699784389556E-2</v>
      </c>
      <c r="H32" s="111">
        <v>404.44526142973575</v>
      </c>
      <c r="I32" s="151">
        <f t="shared" si="13"/>
        <v>7.7101038795005421E-3</v>
      </c>
      <c r="J32" s="111">
        <v>1384.8357326029941</v>
      </c>
      <c r="K32" s="152">
        <f t="shared" si="14"/>
        <v>2.6399684636355353E-2</v>
      </c>
      <c r="N32" s="106" t="s">
        <v>346</v>
      </c>
      <c r="O32" s="100" t="s">
        <v>100</v>
      </c>
      <c r="P32" s="127" t="s">
        <v>360</v>
      </c>
      <c r="Q32" s="128">
        <f t="shared" si="17"/>
        <v>379.52280172493022</v>
      </c>
      <c r="R32" s="129">
        <f t="shared" si="17"/>
        <v>0.11683655615711011</v>
      </c>
      <c r="S32" s="128">
        <f t="shared" si="17"/>
        <v>108.41064348590625</v>
      </c>
      <c r="T32" s="129">
        <f t="shared" si="17"/>
        <v>3.337434846628741E-2</v>
      </c>
      <c r="U32" s="128">
        <f t="shared" si="17"/>
        <v>29.374828157786784</v>
      </c>
      <c r="V32" s="129">
        <f t="shared" si="17"/>
        <v>9.0430765794941408E-3</v>
      </c>
      <c r="W32" s="130">
        <f t="shared" si="17"/>
        <v>167.20283623438817</v>
      </c>
      <c r="X32" s="131">
        <f t="shared" si="17"/>
        <v>5.1473596517887237E-2</v>
      </c>
      <c r="Z32" s="121"/>
    </row>
    <row r="33" spans="1:26">
      <c r="A33" s="99" t="s">
        <v>347</v>
      </c>
      <c r="B33" s="112" t="s">
        <v>99</v>
      </c>
      <c r="C33" s="153" t="s">
        <v>362</v>
      </c>
      <c r="D33" s="102">
        <v>164.76853461962349</v>
      </c>
      <c r="E33" s="151">
        <f t="shared" si="11"/>
        <v>3.1410493313718348E-3</v>
      </c>
      <c r="F33" s="111">
        <v>123.38957523369371</v>
      </c>
      <c r="G33" s="151">
        <f t="shared" si="12"/>
        <v>2.3522254639259835E-3</v>
      </c>
      <c r="H33" s="111">
        <v>74.832442489031394</v>
      </c>
      <c r="I33" s="151">
        <f t="shared" si="13"/>
        <v>1.4265611695080235E-3</v>
      </c>
      <c r="J33" s="111">
        <v>218.48871777191206</v>
      </c>
      <c r="K33" s="152">
        <f t="shared" si="14"/>
        <v>4.1651389475185598E-3</v>
      </c>
      <c r="N33" s="106" t="s">
        <v>346</v>
      </c>
      <c r="O33" s="100" t="s">
        <v>101</v>
      </c>
      <c r="P33" s="127" t="s">
        <v>360</v>
      </c>
      <c r="Q33" s="128">
        <f t="shared" si="17"/>
        <v>16.73680172363661</v>
      </c>
      <c r="R33" s="129">
        <f t="shared" si="17"/>
        <v>5.1524447690269948E-3</v>
      </c>
      <c r="S33" s="128">
        <f t="shared" si="17"/>
        <v>4.1068786900102117</v>
      </c>
      <c r="T33" s="129">
        <f t="shared" si="17"/>
        <v>1.2643076002679535E-3</v>
      </c>
      <c r="U33" s="128">
        <f t="shared" si="17"/>
        <v>2.3184961904712851</v>
      </c>
      <c r="V33" s="129">
        <f t="shared" si="17"/>
        <v>7.1375187242208368E-4</v>
      </c>
      <c r="W33" s="130">
        <f t="shared" si="17"/>
        <v>9.5261337729650695</v>
      </c>
      <c r="X33" s="131">
        <f t="shared" si="17"/>
        <v>2.9326318694597297E-3</v>
      </c>
      <c r="Z33" s="121"/>
    </row>
    <row r="34" spans="1:26">
      <c r="A34" s="99" t="s">
        <v>347</v>
      </c>
      <c r="B34" s="100" t="s">
        <v>100</v>
      </c>
      <c r="C34" s="150" t="s">
        <v>362</v>
      </c>
      <c r="D34" s="102">
        <v>1349.6089522054913</v>
      </c>
      <c r="E34" s="151">
        <f t="shared" si="11"/>
        <v>2.5728142249519192E-2</v>
      </c>
      <c r="F34" s="111">
        <v>1062.3633826963287</v>
      </c>
      <c r="G34" s="151">
        <f t="shared" si="12"/>
        <v>2.0252263580517418E-2</v>
      </c>
      <c r="H34" s="111">
        <v>638.8171689867313</v>
      </c>
      <c r="I34" s="151">
        <f t="shared" si="13"/>
        <v>1.2178030508961298E-2</v>
      </c>
      <c r="J34" s="111">
        <v>1896.7719411677999</v>
      </c>
      <c r="K34" s="152">
        <f t="shared" si="14"/>
        <v>3.6158931991013839E-2</v>
      </c>
      <c r="N34" s="106" t="s">
        <v>346</v>
      </c>
      <c r="O34" s="100" t="s">
        <v>102</v>
      </c>
      <c r="P34" s="127" t="s">
        <v>360</v>
      </c>
      <c r="Q34" s="128">
        <f t="shared" si="17"/>
        <v>0</v>
      </c>
      <c r="R34" s="129">
        <f t="shared" si="17"/>
        <v>0</v>
      </c>
      <c r="S34" s="128">
        <f t="shared" si="17"/>
        <v>1.9061081746127726</v>
      </c>
      <c r="T34" s="129">
        <f t="shared" si="17"/>
        <v>5.8679772011717532E-4</v>
      </c>
      <c r="U34" s="128">
        <f t="shared" si="17"/>
        <v>0</v>
      </c>
      <c r="V34" s="129">
        <f t="shared" si="17"/>
        <v>0</v>
      </c>
      <c r="W34" s="130">
        <f t="shared" si="17"/>
        <v>0</v>
      </c>
      <c r="X34" s="131">
        <f t="shared" si="17"/>
        <v>0</v>
      </c>
      <c r="Z34" s="121"/>
    </row>
    <row r="35" spans="1:26">
      <c r="A35" s="99" t="s">
        <v>347</v>
      </c>
      <c r="B35" s="100" t="s">
        <v>101</v>
      </c>
      <c r="C35" s="150" t="s">
        <v>362</v>
      </c>
      <c r="D35" s="102">
        <v>1292.7165656927286</v>
      </c>
      <c r="E35" s="151">
        <f t="shared" si="11"/>
        <v>2.4643579635494597E-2</v>
      </c>
      <c r="F35" s="111">
        <v>956.28513864472268</v>
      </c>
      <c r="G35" s="151">
        <f t="shared" si="12"/>
        <v>1.8230051036595741E-2</v>
      </c>
      <c r="H35" s="111">
        <v>590.95270361002497</v>
      </c>
      <c r="I35" s="151">
        <f t="shared" si="13"/>
        <v>1.126557081321264E-2</v>
      </c>
      <c r="J35" s="111">
        <v>1677.3541852070268</v>
      </c>
      <c r="K35" s="152">
        <f t="shared" si="14"/>
        <v>3.1976082412101502E-2</v>
      </c>
      <c r="N35" s="106" t="s">
        <v>347</v>
      </c>
      <c r="O35" s="112" t="s">
        <v>99</v>
      </c>
      <c r="P35" s="132" t="s">
        <v>360</v>
      </c>
      <c r="Q35" s="128">
        <f t="shared" ref="Q35:X38" si="18">D73+D81</f>
        <v>473.86675414781877</v>
      </c>
      <c r="R35" s="129">
        <f t="shared" si="18"/>
        <v>0.14588045666912636</v>
      </c>
      <c r="S35" s="128">
        <f t="shared" si="18"/>
        <v>247.40372297137503</v>
      </c>
      <c r="T35" s="129">
        <f t="shared" si="18"/>
        <v>7.6163537055076488E-2</v>
      </c>
      <c r="U35" s="128">
        <f t="shared" si="18"/>
        <v>135.43792711074423</v>
      </c>
      <c r="V35" s="129">
        <f t="shared" si="18"/>
        <v>4.1694730605793782E-2</v>
      </c>
      <c r="W35" s="130">
        <f t="shared" si="18"/>
        <v>383.64247544758155</v>
      </c>
      <c r="X35" s="131">
        <f t="shared" si="18"/>
        <v>0.11810480272374033</v>
      </c>
      <c r="Z35" s="121"/>
    </row>
    <row r="36" spans="1:26">
      <c r="A36" s="99" t="s">
        <v>347</v>
      </c>
      <c r="B36" s="100" t="s">
        <v>102</v>
      </c>
      <c r="C36" s="150" t="s">
        <v>362</v>
      </c>
      <c r="D36" s="102">
        <v>2684.7965005462302</v>
      </c>
      <c r="E36" s="151">
        <f t="shared" si="11"/>
        <v>5.1181363434337553E-2</v>
      </c>
      <c r="F36" s="111">
        <v>2831.4934321401925</v>
      </c>
      <c r="G36" s="151">
        <f t="shared" si="12"/>
        <v>5.3977906475527145E-2</v>
      </c>
      <c r="H36" s="111">
        <v>1665.1885876981498</v>
      </c>
      <c r="I36" s="151">
        <f t="shared" si="13"/>
        <v>3.1744164697901929E-2</v>
      </c>
      <c r="J36" s="111">
        <v>4328.0159537680975</v>
      </c>
      <c r="K36" s="152">
        <f t="shared" si="14"/>
        <v>8.2506721620930451E-2</v>
      </c>
      <c r="N36" s="106" t="s">
        <v>347</v>
      </c>
      <c r="O36" s="100" t="s">
        <v>100</v>
      </c>
      <c r="P36" s="127" t="s">
        <v>360</v>
      </c>
      <c r="Q36" s="128">
        <f t="shared" si="18"/>
        <v>250.21546333792142</v>
      </c>
      <c r="R36" s="129">
        <f t="shared" si="18"/>
        <v>7.7029134747078426E-2</v>
      </c>
      <c r="S36" s="128">
        <f t="shared" si="18"/>
        <v>108.01916384876547</v>
      </c>
      <c r="T36" s="129">
        <f t="shared" si="18"/>
        <v>3.3253830983803419E-2</v>
      </c>
      <c r="U36" s="128">
        <f t="shared" si="18"/>
        <v>65.768331881667763</v>
      </c>
      <c r="V36" s="129">
        <f t="shared" si="18"/>
        <v>2.0246860969426624E-2</v>
      </c>
      <c r="W36" s="130">
        <f t="shared" si="18"/>
        <v>200.66382989010194</v>
      </c>
      <c r="X36" s="131">
        <f t="shared" si="18"/>
        <v>6.1774604116271274E-2</v>
      </c>
      <c r="Z36" s="121"/>
    </row>
    <row r="37" spans="1:26">
      <c r="A37" s="99" t="s">
        <v>357</v>
      </c>
      <c r="B37" s="112" t="s">
        <v>99</v>
      </c>
      <c r="C37" s="153" t="s">
        <v>362</v>
      </c>
      <c r="D37" s="102">
        <v>12.921696860216619</v>
      </c>
      <c r="E37" s="151">
        <f t="shared" si="11"/>
        <v>2.4633154246756931E-4</v>
      </c>
      <c r="F37" s="111">
        <v>15.520380804158773</v>
      </c>
      <c r="G37" s="151">
        <f t="shared" si="12"/>
        <v>2.9587130734688922E-4</v>
      </c>
      <c r="H37" s="111">
        <v>7.1957720582794487</v>
      </c>
      <c r="I37" s="151">
        <f t="shared" si="13"/>
        <v>1.3717591811167885E-4</v>
      </c>
      <c r="J37" s="111">
        <v>21.484454105070981</v>
      </c>
      <c r="K37" s="152">
        <f t="shared" si="14"/>
        <v>4.095668530245273E-4</v>
      </c>
      <c r="N37" s="106" t="s">
        <v>347</v>
      </c>
      <c r="O37" s="100" t="s">
        <v>101</v>
      </c>
      <c r="P37" s="127" t="s">
        <v>360</v>
      </c>
      <c r="Q37" s="128">
        <f t="shared" si="18"/>
        <v>18.820377194547092</v>
      </c>
      <c r="R37" s="129">
        <f t="shared" si="18"/>
        <v>5.7938760121780926E-3</v>
      </c>
      <c r="S37" s="128">
        <f t="shared" si="18"/>
        <v>19.712254547851234</v>
      </c>
      <c r="T37" s="129">
        <f t="shared" si="18"/>
        <v>6.0684415402595879E-3</v>
      </c>
      <c r="U37" s="128">
        <f t="shared" si="18"/>
        <v>7.0333015832763088</v>
      </c>
      <c r="V37" s="129">
        <f t="shared" si="18"/>
        <v>2.1652104476187384E-3</v>
      </c>
      <c r="W37" s="130">
        <f t="shared" si="18"/>
        <v>26.759454524762553</v>
      </c>
      <c r="X37" s="131">
        <f t="shared" si="18"/>
        <v>8.2379306252646708E-3</v>
      </c>
    </row>
    <row r="38" spans="1:26">
      <c r="A38" s="99" t="s">
        <v>357</v>
      </c>
      <c r="B38" s="100" t="s">
        <v>100</v>
      </c>
      <c r="C38" s="150" t="s">
        <v>362</v>
      </c>
      <c r="D38" s="102">
        <v>79.648198759488338</v>
      </c>
      <c r="E38" s="151">
        <f t="shared" si="11"/>
        <v>1.5183658823938234E-3</v>
      </c>
      <c r="F38" s="111">
        <v>99.306156861191099</v>
      </c>
      <c r="G38" s="151">
        <f t="shared" si="12"/>
        <v>1.8931135021018834E-3</v>
      </c>
      <c r="H38" s="111">
        <v>55.804836921505093</v>
      </c>
      <c r="I38" s="151">
        <f t="shared" si="13"/>
        <v>1.0638302155460925E-3</v>
      </c>
      <c r="J38" s="111">
        <v>156.05327098952526</v>
      </c>
      <c r="K38" s="152">
        <f t="shared" si="14"/>
        <v>2.9749067298050608E-3</v>
      </c>
      <c r="N38" s="106" t="s">
        <v>347</v>
      </c>
      <c r="O38" s="133" t="s">
        <v>102</v>
      </c>
      <c r="P38" s="134" t="s">
        <v>360</v>
      </c>
      <c r="Q38" s="128">
        <f t="shared" si="18"/>
        <v>12.967963249876917</v>
      </c>
      <c r="R38" s="129">
        <f t="shared" si="18"/>
        <v>3.9922032605190314E-3</v>
      </c>
      <c r="S38" s="128">
        <f t="shared" si="18"/>
        <v>4.9015121687843095</v>
      </c>
      <c r="T38" s="129">
        <f t="shared" si="18"/>
        <v>1.5089364832893211E-3</v>
      </c>
      <c r="U38" s="128">
        <f t="shared" si="18"/>
        <v>0</v>
      </c>
      <c r="V38" s="129">
        <f t="shared" si="18"/>
        <v>0</v>
      </c>
      <c r="W38" s="130">
        <f t="shared" si="18"/>
        <v>5.5444675606423175</v>
      </c>
      <c r="X38" s="131">
        <f t="shared" si="18"/>
        <v>1.706871082754522E-3</v>
      </c>
    </row>
    <row r="39" spans="1:26" ht="13.8" thickBot="1">
      <c r="A39" s="99" t="s">
        <v>357</v>
      </c>
      <c r="B39" s="100" t="s">
        <v>101</v>
      </c>
      <c r="C39" s="150" t="s">
        <v>362</v>
      </c>
      <c r="D39" s="102">
        <v>50.128922009936623</v>
      </c>
      <c r="E39" s="151">
        <f t="shared" si="11"/>
        <v>9.556279499917913E-4</v>
      </c>
      <c r="F39" s="111">
        <v>80.223636257448845</v>
      </c>
      <c r="G39" s="151">
        <f t="shared" si="12"/>
        <v>1.5293356805557588E-3</v>
      </c>
      <c r="H39" s="111">
        <v>49.707914571457792</v>
      </c>
      <c r="I39" s="151">
        <f t="shared" si="13"/>
        <v>9.4760211462104321E-4</v>
      </c>
      <c r="J39" s="111">
        <v>152.25291783157937</v>
      </c>
      <c r="K39" s="152">
        <f t="shared" si="14"/>
        <v>2.9024590578432983E-3</v>
      </c>
      <c r="N39" s="154" t="s">
        <v>107</v>
      </c>
      <c r="O39" s="155"/>
      <c r="P39" s="156" t="s">
        <v>360</v>
      </c>
      <c r="Q39" s="157">
        <f t="shared" ref="Q39:X39" si="19">SUM(Q31:Q38)</f>
        <v>1368.7316998203185</v>
      </c>
      <c r="R39" s="158">
        <f t="shared" si="19"/>
        <v>0.42136571869528511</v>
      </c>
      <c r="S39" s="157">
        <f t="shared" si="19"/>
        <v>611.77156550675011</v>
      </c>
      <c r="T39" s="158">
        <f t="shared" si="19"/>
        <v>0.18833462059140713</v>
      </c>
      <c r="U39" s="157">
        <f t="shared" si="19"/>
        <v>290.24855523373412</v>
      </c>
      <c r="V39" s="158">
        <f t="shared" si="19"/>
        <v>8.9353370782882927E-2</v>
      </c>
      <c r="W39" s="159">
        <f t="shared" si="19"/>
        <v>977.57057277117678</v>
      </c>
      <c r="X39" s="160">
        <f t="shared" si="19"/>
        <v>0.30094628993042455</v>
      </c>
      <c r="Y39" s="120">
        <f>SUM(R31:R38,T31:T38,V31:V38,X31:X38)</f>
        <v>0.99999999999999944</v>
      </c>
      <c r="Z39" s="121">
        <f>SUM(Q31:Q38,S31:S38,U31:U38,W31:W38)</f>
        <v>3248.3223933319796</v>
      </c>
    </row>
    <row r="40" spans="1:26" ht="14.4" thickTop="1" thickBot="1">
      <c r="A40" s="99" t="s">
        <v>357</v>
      </c>
      <c r="B40" s="100" t="s">
        <v>102</v>
      </c>
      <c r="C40" s="150" t="s">
        <v>362</v>
      </c>
      <c r="D40" s="102">
        <v>30.843999984542474</v>
      </c>
      <c r="E40" s="151">
        <f t="shared" si="11"/>
        <v>5.8799166814184659E-4</v>
      </c>
      <c r="F40" s="111">
        <v>86.786335299720875</v>
      </c>
      <c r="G40" s="151">
        <f t="shared" si="12"/>
        <v>1.6544430712739627E-3</v>
      </c>
      <c r="H40" s="111">
        <v>83.846571598774943</v>
      </c>
      <c r="I40" s="151">
        <f t="shared" si="13"/>
        <v>1.5984011647985276E-3</v>
      </c>
      <c r="J40" s="111">
        <v>239.2742505003423</v>
      </c>
      <c r="K40" s="152">
        <f t="shared" si="14"/>
        <v>4.5613819791724174E-3</v>
      </c>
      <c r="Z40" s="121">
        <f>SUM(Z12:Z39)</f>
        <v>64487.747712342585</v>
      </c>
    </row>
    <row r="41" spans="1:26" ht="14.4" thickTop="1" thickBot="1">
      <c r="A41" s="99" t="s">
        <v>359</v>
      </c>
      <c r="B41" s="112" t="s">
        <v>99</v>
      </c>
      <c r="C41" s="153" t="s">
        <v>362</v>
      </c>
      <c r="D41" s="102">
        <v>255.54848503674177</v>
      </c>
      <c r="E41" s="151">
        <f t="shared" si="11"/>
        <v>4.8716243056406037E-3</v>
      </c>
      <c r="F41" s="111">
        <v>200.45113478308218</v>
      </c>
      <c r="G41" s="151">
        <f t="shared" si="12"/>
        <v>3.8212811950816424E-3</v>
      </c>
      <c r="H41" s="111">
        <v>128.55236551203907</v>
      </c>
      <c r="I41" s="151">
        <f t="shared" si="13"/>
        <v>2.4506458267048751E-3</v>
      </c>
      <c r="J41" s="111">
        <v>308.95586636534824</v>
      </c>
      <c r="K41" s="152">
        <f t="shared" si="14"/>
        <v>5.8897508538909198E-3</v>
      </c>
      <c r="N41" s="81">
        <v>2010</v>
      </c>
      <c r="O41" s="82"/>
      <c r="P41" s="82"/>
      <c r="Q41" s="83" t="s">
        <v>93</v>
      </c>
      <c r="R41" s="83" t="s">
        <v>94</v>
      </c>
      <c r="S41" s="83" t="s">
        <v>95</v>
      </c>
      <c r="T41" s="83" t="s">
        <v>94</v>
      </c>
      <c r="U41" s="83" t="s">
        <v>96</v>
      </c>
      <c r="V41" s="84" t="s">
        <v>94</v>
      </c>
      <c r="W41" s="85" t="s">
        <v>97</v>
      </c>
      <c r="X41" s="86" t="s">
        <v>94</v>
      </c>
      <c r="Y41" s="161" t="s">
        <v>108</v>
      </c>
    </row>
    <row r="42" spans="1:26">
      <c r="A42" s="99" t="s">
        <v>359</v>
      </c>
      <c r="B42" s="100" t="s">
        <v>100</v>
      </c>
      <c r="C42" s="150" t="s">
        <v>362</v>
      </c>
      <c r="D42" s="102">
        <v>1049.634723764568</v>
      </c>
      <c r="E42" s="151">
        <f t="shared" si="11"/>
        <v>2.0009611998289257E-2</v>
      </c>
      <c r="F42" s="111">
        <v>933.31279640489947</v>
      </c>
      <c r="G42" s="151">
        <f t="shared" si="12"/>
        <v>1.779211996924104E-2</v>
      </c>
      <c r="H42" s="111">
        <v>602.75520684753474</v>
      </c>
      <c r="I42" s="151">
        <f t="shared" si="13"/>
        <v>1.1490566714209619E-2</v>
      </c>
      <c r="J42" s="111">
        <v>1444.972847079267</v>
      </c>
      <c r="K42" s="152">
        <f t="shared" si="14"/>
        <v>2.7546102814148821E-2</v>
      </c>
      <c r="N42" s="93" t="s">
        <v>346</v>
      </c>
      <c r="O42" s="94" t="s">
        <v>99</v>
      </c>
      <c r="P42" s="95" t="s">
        <v>361</v>
      </c>
      <c r="Q42" s="96"/>
      <c r="R42" s="97"/>
      <c r="S42" s="96"/>
      <c r="T42" s="97"/>
      <c r="U42" s="96"/>
      <c r="V42" s="97"/>
      <c r="W42" s="96"/>
      <c r="X42" s="98"/>
    </row>
    <row r="43" spans="1:26">
      <c r="A43" s="99" t="s">
        <v>359</v>
      </c>
      <c r="B43" s="100" t="s">
        <v>101</v>
      </c>
      <c r="C43" s="150" t="s">
        <v>362</v>
      </c>
      <c r="D43" s="102">
        <v>450.70702768751107</v>
      </c>
      <c r="E43" s="151">
        <f t="shared" si="11"/>
        <v>8.5920106726119928E-3</v>
      </c>
      <c r="F43" s="111">
        <v>486.43731395288205</v>
      </c>
      <c r="G43" s="151">
        <f t="shared" si="12"/>
        <v>9.2731515958025638E-3</v>
      </c>
      <c r="H43" s="111">
        <v>288.72363853104326</v>
      </c>
      <c r="I43" s="151">
        <f t="shared" si="13"/>
        <v>5.5040556976050691E-3</v>
      </c>
      <c r="J43" s="111">
        <v>695.0617901362989</v>
      </c>
      <c r="K43" s="152">
        <f t="shared" si="14"/>
        <v>1.3250244509425383E-2</v>
      </c>
      <c r="L43" s="120">
        <f>SUM(E25:E44,G25:G44,I25:I44,K25:K44)</f>
        <v>1.0000000000000004</v>
      </c>
      <c r="N43" s="106" t="s">
        <v>346</v>
      </c>
      <c r="O43" s="100" t="s">
        <v>100</v>
      </c>
      <c r="P43" s="107" t="s">
        <v>361</v>
      </c>
      <c r="Q43" s="108"/>
      <c r="R43" s="109"/>
      <c r="S43" s="108"/>
      <c r="T43" s="109"/>
      <c r="U43" s="108"/>
      <c r="V43" s="109"/>
      <c r="W43" s="108"/>
      <c r="X43" s="110"/>
    </row>
    <row r="44" spans="1:26">
      <c r="A44" s="142" t="s">
        <v>359</v>
      </c>
      <c r="B44" s="143" t="s">
        <v>102</v>
      </c>
      <c r="C44" s="162" t="s">
        <v>362</v>
      </c>
      <c r="D44" s="102">
        <v>311.92276703296579</v>
      </c>
      <c r="E44" s="151">
        <f t="shared" si="11"/>
        <v>5.9463100833565489E-3</v>
      </c>
      <c r="F44" s="111">
        <v>742.27132236071168</v>
      </c>
      <c r="G44" s="151">
        <f t="shared" si="12"/>
        <v>1.4150218949145916E-2</v>
      </c>
      <c r="H44" s="111">
        <v>455.15909957475719</v>
      </c>
      <c r="I44" s="151">
        <f t="shared" si="13"/>
        <v>8.6768823227540356E-3</v>
      </c>
      <c r="J44" s="111">
        <v>1136.0512347844344</v>
      </c>
      <c r="K44" s="152">
        <f t="shared" si="14"/>
        <v>2.1657004959482168E-2</v>
      </c>
      <c r="L44">
        <v>52456.525586518503</v>
      </c>
      <c r="N44" s="106" t="s">
        <v>346</v>
      </c>
      <c r="O44" s="100" t="s">
        <v>101</v>
      </c>
      <c r="P44" s="107" t="s">
        <v>361</v>
      </c>
      <c r="Q44" s="108"/>
      <c r="R44" s="109"/>
      <c r="S44" s="108"/>
      <c r="T44" s="109"/>
      <c r="U44" s="108"/>
      <c r="V44" s="109"/>
      <c r="W44" s="108"/>
      <c r="X44" s="110"/>
    </row>
    <row r="45" spans="1:26">
      <c r="A45" s="87" t="s">
        <v>346</v>
      </c>
      <c r="B45" s="88" t="s">
        <v>99</v>
      </c>
      <c r="C45" s="145" t="s">
        <v>363</v>
      </c>
      <c r="D45" s="146">
        <v>19.336601170717362</v>
      </c>
      <c r="E45" s="147">
        <f>D45/$L$64</f>
        <v>2.2540101073959136E-3</v>
      </c>
      <c r="F45" s="148">
        <v>5.6458830579576897</v>
      </c>
      <c r="G45" s="147">
        <f>F45/$L$64</f>
        <v>6.5812380187494279E-4</v>
      </c>
      <c r="H45" s="148">
        <v>1.0769549980451809</v>
      </c>
      <c r="I45" s="147">
        <f>H45/$L$64</f>
        <v>1.255374421478192E-4</v>
      </c>
      <c r="J45" s="148">
        <v>4.3024136741355203</v>
      </c>
      <c r="K45" s="149">
        <f>J45/$L$64</f>
        <v>5.015195701706703E-4</v>
      </c>
      <c r="N45" s="106" t="s">
        <v>346</v>
      </c>
      <c r="O45" s="100" t="s">
        <v>102</v>
      </c>
      <c r="P45" s="107" t="s">
        <v>361</v>
      </c>
      <c r="Q45" s="108"/>
      <c r="R45" s="109"/>
      <c r="S45" s="108"/>
      <c r="T45" s="109"/>
      <c r="U45" s="108"/>
      <c r="V45" s="109"/>
      <c r="W45" s="108"/>
      <c r="X45" s="110"/>
    </row>
    <row r="46" spans="1:26">
      <c r="A46" s="99" t="s">
        <v>346</v>
      </c>
      <c r="B46" s="100" t="s">
        <v>100</v>
      </c>
      <c r="C46" s="150" t="s">
        <v>363</v>
      </c>
      <c r="D46" s="102">
        <v>527.836238544195</v>
      </c>
      <c r="E46" s="151">
        <f t="shared" ref="E46:E64" si="20">D46/$L$64</f>
        <v>6.1528300978259141E-2</v>
      </c>
      <c r="F46" s="111">
        <v>118.94265519197542</v>
      </c>
      <c r="G46" s="151">
        <f t="shared" ref="G46:G64" si="21">F46/$L$64</f>
        <v>1.3864791678550897E-2</v>
      </c>
      <c r="H46" s="111">
        <v>33.553001197283372</v>
      </c>
      <c r="I46" s="151">
        <f t="shared" ref="I46:I64" si="22">H46/$L$64</f>
        <v>3.9111735906656332E-3</v>
      </c>
      <c r="J46" s="111">
        <v>106.81994345683545</v>
      </c>
      <c r="K46" s="152">
        <f t="shared" ref="K46:K64" si="23">J46/$L$64</f>
        <v>1.2451683214513686E-2</v>
      </c>
      <c r="N46" s="106" t="s">
        <v>347</v>
      </c>
      <c r="O46" s="112" t="s">
        <v>99</v>
      </c>
      <c r="P46" s="113" t="s">
        <v>361</v>
      </c>
      <c r="Q46" s="108"/>
      <c r="R46" s="109"/>
      <c r="S46" s="108"/>
      <c r="T46" s="109"/>
      <c r="U46" s="108"/>
      <c r="V46" s="109"/>
      <c r="W46" s="108"/>
      <c r="X46" s="110"/>
    </row>
    <row r="47" spans="1:26">
      <c r="A47" s="99" t="s">
        <v>346</v>
      </c>
      <c r="B47" s="100" t="s">
        <v>101</v>
      </c>
      <c r="C47" s="150" t="s">
        <v>363</v>
      </c>
      <c r="D47" s="102">
        <v>486.39315981066267</v>
      </c>
      <c r="E47" s="151">
        <f t="shared" si="20"/>
        <v>5.6697404507764219E-2</v>
      </c>
      <c r="F47" s="111">
        <v>77.373452233722233</v>
      </c>
      <c r="G47" s="151">
        <f t="shared" si="21"/>
        <v>9.0191932821694961E-3</v>
      </c>
      <c r="H47" s="111">
        <v>70.962430638825353</v>
      </c>
      <c r="I47" s="151">
        <f t="shared" si="22"/>
        <v>8.271879555933349E-3</v>
      </c>
      <c r="J47" s="111">
        <v>69.427369667238807</v>
      </c>
      <c r="K47" s="152">
        <f t="shared" si="23"/>
        <v>8.092942062478457E-3</v>
      </c>
      <c r="N47" s="106" t="s">
        <v>347</v>
      </c>
      <c r="O47" s="100" t="s">
        <v>100</v>
      </c>
      <c r="P47" s="107" t="s">
        <v>361</v>
      </c>
      <c r="Q47" s="108"/>
      <c r="R47" s="109"/>
      <c r="S47" s="108"/>
      <c r="T47" s="109"/>
      <c r="U47" s="108"/>
      <c r="V47" s="109"/>
      <c r="W47" s="108"/>
      <c r="X47" s="110"/>
    </row>
    <row r="48" spans="1:26">
      <c r="A48" s="99" t="s">
        <v>346</v>
      </c>
      <c r="B48" s="100" t="s">
        <v>102</v>
      </c>
      <c r="C48" s="150" t="s">
        <v>363</v>
      </c>
      <c r="D48" s="102">
        <v>278.98260002532345</v>
      </c>
      <c r="E48" s="151">
        <f t="shared" si="20"/>
        <v>3.2520172221214706E-2</v>
      </c>
      <c r="F48" s="111">
        <v>198.67824017115066</v>
      </c>
      <c r="G48" s="151">
        <f t="shared" si="21"/>
        <v>2.3159331751826828E-2</v>
      </c>
      <c r="H48" s="111">
        <v>387.9245066259158</v>
      </c>
      <c r="I48" s="151">
        <f t="shared" si="22"/>
        <v>4.5219206370431059E-2</v>
      </c>
      <c r="J48" s="111">
        <v>285.00904811512163</v>
      </c>
      <c r="K48" s="152">
        <f t="shared" si="23"/>
        <v>3.3222657357365341E-2</v>
      </c>
      <c r="N48" s="106" t="s">
        <v>347</v>
      </c>
      <c r="O48" s="100" t="s">
        <v>101</v>
      </c>
      <c r="P48" s="107" t="s">
        <v>361</v>
      </c>
      <c r="Q48" s="108"/>
      <c r="R48" s="109"/>
      <c r="S48" s="108"/>
      <c r="T48" s="109"/>
      <c r="U48" s="108"/>
      <c r="V48" s="109"/>
      <c r="W48" s="108"/>
      <c r="X48" s="110"/>
    </row>
    <row r="49" spans="1:27" ht="13.8" thickBot="1">
      <c r="A49" s="99" t="s">
        <v>358</v>
      </c>
      <c r="B49" s="112" t="s">
        <v>99</v>
      </c>
      <c r="C49" s="153" t="s">
        <v>363</v>
      </c>
      <c r="D49" s="102">
        <v>0.76355313241099199</v>
      </c>
      <c r="E49" s="151">
        <f t="shared" si="20"/>
        <v>8.9005118469035342E-5</v>
      </c>
      <c r="F49" s="104"/>
      <c r="G49" s="151">
        <f t="shared" si="21"/>
        <v>0</v>
      </c>
      <c r="H49" s="111">
        <v>9.461739763844304E-2</v>
      </c>
      <c r="I49" s="151">
        <f t="shared" si="22"/>
        <v>1.1029268728752339E-5</v>
      </c>
      <c r="J49" s="104"/>
      <c r="K49" s="152">
        <f t="shared" si="23"/>
        <v>0</v>
      </c>
      <c r="N49" s="106" t="s">
        <v>347</v>
      </c>
      <c r="O49" s="115" t="s">
        <v>102</v>
      </c>
      <c r="P49" s="116" t="s">
        <v>361</v>
      </c>
      <c r="Q49" s="108"/>
      <c r="R49" s="109"/>
      <c r="S49" s="117"/>
      <c r="T49" s="118"/>
      <c r="U49" s="117"/>
      <c r="V49" s="118"/>
      <c r="W49" s="117"/>
      <c r="X49" s="119"/>
    </row>
    <row r="50" spans="1:27">
      <c r="A50" s="99" t="s">
        <v>358</v>
      </c>
      <c r="B50" s="100" t="s">
        <v>100</v>
      </c>
      <c r="C50" s="150" t="s">
        <v>363</v>
      </c>
      <c r="D50" s="102">
        <v>17.632124799441808</v>
      </c>
      <c r="E50" s="151">
        <f t="shared" si="20"/>
        <v>2.0553243645006908E-3</v>
      </c>
      <c r="F50" s="111">
        <v>2.057570521865554</v>
      </c>
      <c r="G50" s="151">
        <f t="shared" si="21"/>
        <v>2.3984487821924639E-4</v>
      </c>
      <c r="H50" s="111">
        <v>1.7978351889236368</v>
      </c>
      <c r="I50" s="151">
        <f t="shared" si="22"/>
        <v>2.0956830269647551E-4</v>
      </c>
      <c r="J50" s="111">
        <v>2.7501397815652715</v>
      </c>
      <c r="K50" s="152">
        <f t="shared" si="23"/>
        <v>3.2057561769371402E-4</v>
      </c>
      <c r="N50" s="93" t="s">
        <v>346</v>
      </c>
      <c r="O50" s="94" t="s">
        <v>99</v>
      </c>
      <c r="P50" s="122" t="s">
        <v>362</v>
      </c>
      <c r="Q50" s="123">
        <v>215.36845597385309</v>
      </c>
      <c r="R50" s="124">
        <f>Q50/$Z$50</f>
        <v>0.21240727246502528</v>
      </c>
      <c r="S50" s="123">
        <v>268.98701171877809</v>
      </c>
      <c r="T50" s="124">
        <f>S50/Z50</f>
        <v>0.26528860612085148</v>
      </c>
      <c r="U50" s="123">
        <v>129.74451882229951</v>
      </c>
      <c r="V50" s="124">
        <f>U50/Z50</f>
        <v>0.12796061166765085</v>
      </c>
      <c r="W50" s="123">
        <v>399.8410780939347</v>
      </c>
      <c r="X50" s="124">
        <f>W50/Z50</f>
        <v>0.39434350974647236</v>
      </c>
      <c r="Z50" s="121">
        <f>Q50+S50+U50+W50</f>
        <v>1013.9410646088654</v>
      </c>
    </row>
    <row r="51" spans="1:27">
      <c r="A51" s="99" t="s">
        <v>358</v>
      </c>
      <c r="B51" s="100" t="s">
        <v>101</v>
      </c>
      <c r="C51" s="150" t="s">
        <v>363</v>
      </c>
      <c r="D51" s="102">
        <v>29.762593033148047</v>
      </c>
      <c r="E51" s="151">
        <f t="shared" si="20"/>
        <v>3.4693369805143541E-3</v>
      </c>
      <c r="F51" s="111">
        <v>1.5572459502016751</v>
      </c>
      <c r="G51" s="151">
        <f t="shared" si="21"/>
        <v>1.8152353045226049E-4</v>
      </c>
      <c r="H51" s="111">
        <v>3.5269581514783201</v>
      </c>
      <c r="I51" s="151">
        <f t="shared" si="22"/>
        <v>4.1112702545850841E-4</v>
      </c>
      <c r="J51" s="111">
        <v>1.5820185573946097</v>
      </c>
      <c r="K51" s="152">
        <f t="shared" si="23"/>
        <v>1.8441119961947597E-4</v>
      </c>
      <c r="N51" s="106" t="s">
        <v>346</v>
      </c>
      <c r="O51" s="100" t="s">
        <v>100</v>
      </c>
      <c r="P51" s="127" t="s">
        <v>362</v>
      </c>
      <c r="Q51" s="128">
        <v>4338.6188360001061</v>
      </c>
      <c r="R51" s="129">
        <f t="shared" ref="R51:R57" si="24">Q51/Z51</f>
        <v>0.28655585213214352</v>
      </c>
      <c r="S51" s="128">
        <v>3573.4751349337994</v>
      </c>
      <c r="T51" s="129">
        <f t="shared" ref="T51:T57" si="25">S51/Z51</f>
        <v>0.23601986048353485</v>
      </c>
      <c r="U51" s="128">
        <v>1860.3886641747486</v>
      </c>
      <c r="V51" s="129">
        <f t="shared" ref="V51:V57" si="26">U51/Z51</f>
        <v>0.12287441674665753</v>
      </c>
      <c r="W51" s="128">
        <v>5368.087008534073</v>
      </c>
      <c r="X51" s="129">
        <f t="shared" ref="X51:X57" si="27">W51/Z51</f>
        <v>0.35454987063766408</v>
      </c>
      <c r="Z51" s="121">
        <f t="shared" ref="Z51:Z57" si="28">Q51+S51+U51+W51</f>
        <v>15140.569643642728</v>
      </c>
    </row>
    <row r="52" spans="1:27">
      <c r="A52" s="99" t="s">
        <v>358</v>
      </c>
      <c r="B52" s="100" t="s">
        <v>102</v>
      </c>
      <c r="C52" s="150" t="s">
        <v>363</v>
      </c>
      <c r="D52" s="102">
        <v>170.61233735804083</v>
      </c>
      <c r="E52" s="151">
        <f t="shared" si="20"/>
        <v>1.9887772905707538E-2</v>
      </c>
      <c r="F52" s="111">
        <v>64.107967444921641</v>
      </c>
      <c r="G52" s="151">
        <f t="shared" si="21"/>
        <v>7.472875160929887E-3</v>
      </c>
      <c r="H52" s="111">
        <v>69.706942200288736</v>
      </c>
      <c r="I52" s="151">
        <f t="shared" si="22"/>
        <v>8.1255310014383773E-3</v>
      </c>
      <c r="J52" s="111">
        <v>126.62047819977916</v>
      </c>
      <c r="K52" s="152">
        <f t="shared" si="23"/>
        <v>1.4759772679068917E-2</v>
      </c>
      <c r="N52" s="106" t="s">
        <v>346</v>
      </c>
      <c r="O52" s="100" t="s">
        <v>101</v>
      </c>
      <c r="P52" s="127" t="s">
        <v>362</v>
      </c>
      <c r="Q52" s="128">
        <v>5570.8095078760125</v>
      </c>
      <c r="R52" s="129">
        <f t="shared" si="24"/>
        <v>0.31746813748645131</v>
      </c>
      <c r="S52" s="128">
        <v>3963.5775571842514</v>
      </c>
      <c r="T52" s="129">
        <f t="shared" si="25"/>
        <v>0.22587553623640949</v>
      </c>
      <c r="U52" s="128">
        <v>2302.8997676079184</v>
      </c>
      <c r="V52" s="129">
        <f t="shared" si="26"/>
        <v>0.13123717459856449</v>
      </c>
      <c r="W52" s="128">
        <v>5710.3308652299575</v>
      </c>
      <c r="X52" s="129">
        <f t="shared" si="27"/>
        <v>0.32541915167857477</v>
      </c>
      <c r="Z52" s="121">
        <f t="shared" si="28"/>
        <v>17547.617697898138</v>
      </c>
      <c r="AA52">
        <v>2070</v>
      </c>
    </row>
    <row r="53" spans="1:27">
      <c r="A53" s="99" t="s">
        <v>347</v>
      </c>
      <c r="B53" s="112" t="s">
        <v>99</v>
      </c>
      <c r="C53" s="153" t="s">
        <v>363</v>
      </c>
      <c r="D53" s="102">
        <v>40.891845121312002</v>
      </c>
      <c r="E53" s="151">
        <f t="shared" si="20"/>
        <v>4.7666408072316938E-3</v>
      </c>
      <c r="F53" s="111">
        <v>14.649318559876885</v>
      </c>
      <c r="G53" s="151">
        <f t="shared" si="21"/>
        <v>1.7076275095557582E-3</v>
      </c>
      <c r="H53" s="111">
        <v>3.1017861533750737</v>
      </c>
      <c r="I53" s="151">
        <f t="shared" si="22"/>
        <v>3.6156598974982805E-4</v>
      </c>
      <c r="J53" s="111">
        <v>8.4683491282401615</v>
      </c>
      <c r="K53" s="152">
        <f t="shared" si="23"/>
        <v>9.8713028000579927E-4</v>
      </c>
      <c r="N53" s="106" t="s">
        <v>346</v>
      </c>
      <c r="O53" s="100" t="s">
        <v>102</v>
      </c>
      <c r="P53" s="127" t="s">
        <v>362</v>
      </c>
      <c r="Q53" s="128">
        <v>2828.5415145853794</v>
      </c>
      <c r="R53" s="129">
        <f t="shared" si="24"/>
        <v>0.1830919048634311</v>
      </c>
      <c r="S53" s="128">
        <v>3650.2631125095654</v>
      </c>
      <c r="T53" s="129">
        <f t="shared" si="25"/>
        <v>0.23628206376884683</v>
      </c>
      <c r="U53" s="128">
        <v>3403.2726906940602</v>
      </c>
      <c r="V53" s="129">
        <f t="shared" si="26"/>
        <v>0.22029433773405607</v>
      </c>
      <c r="W53" s="128">
        <v>5566.6751363142957</v>
      </c>
      <c r="X53" s="129">
        <f t="shared" si="27"/>
        <v>0.36033169363366596</v>
      </c>
      <c r="Z53" s="121">
        <f t="shared" si="28"/>
        <v>15448.752454103302</v>
      </c>
    </row>
    <row r="54" spans="1:27">
      <c r="A54" s="99" t="s">
        <v>347</v>
      </c>
      <c r="B54" s="100" t="s">
        <v>100</v>
      </c>
      <c r="C54" s="150" t="s">
        <v>363</v>
      </c>
      <c r="D54" s="102">
        <v>453.06721546145849</v>
      </c>
      <c r="E54" s="151">
        <f t="shared" si="20"/>
        <v>5.2812698258799723E-2</v>
      </c>
      <c r="F54" s="111">
        <v>100.07981086285116</v>
      </c>
      <c r="G54" s="151">
        <f t="shared" si="21"/>
        <v>1.1666005997618096E-2</v>
      </c>
      <c r="H54" s="111">
        <v>43.182928011779758</v>
      </c>
      <c r="I54" s="151">
        <f t="shared" si="22"/>
        <v>5.0337055279860597E-3</v>
      </c>
      <c r="J54" s="111">
        <v>104.98293210244677</v>
      </c>
      <c r="K54" s="152">
        <f t="shared" si="23"/>
        <v>1.2237548262686497E-2</v>
      </c>
      <c r="N54" s="106" t="s">
        <v>347</v>
      </c>
      <c r="O54" s="112" t="s">
        <v>99</v>
      </c>
      <c r="P54" s="132" t="s">
        <v>362</v>
      </c>
      <c r="Q54" s="128">
        <v>795.19436151204229</v>
      </c>
      <c r="R54" s="129">
        <f t="shared" si="24"/>
        <v>0.28496317929892323</v>
      </c>
      <c r="S54" s="128">
        <v>612.67161354525172</v>
      </c>
      <c r="T54" s="129">
        <f t="shared" si="25"/>
        <v>0.21955494066894515</v>
      </c>
      <c r="U54" s="128">
        <v>384.78206919121442</v>
      </c>
      <c r="V54" s="129">
        <f t="shared" si="26"/>
        <v>0.13788920933173168</v>
      </c>
      <c r="W54" s="128">
        <v>997.8681321515736</v>
      </c>
      <c r="X54" s="129">
        <f t="shared" si="27"/>
        <v>0.35759267070039991</v>
      </c>
      <c r="Z54" s="121">
        <f t="shared" si="28"/>
        <v>2790.5161764000823</v>
      </c>
    </row>
    <row r="55" spans="1:27">
      <c r="A55" s="99" t="s">
        <v>347</v>
      </c>
      <c r="B55" s="100" t="s">
        <v>101</v>
      </c>
      <c r="C55" s="150" t="s">
        <v>363</v>
      </c>
      <c r="D55" s="102">
        <v>297.66731000553449</v>
      </c>
      <c r="E55" s="151">
        <f t="shared" si="20"/>
        <v>3.4698193310719057E-2</v>
      </c>
      <c r="F55" s="111">
        <v>73.831610427683543</v>
      </c>
      <c r="G55" s="151">
        <f t="shared" si="21"/>
        <v>8.6063313133505747E-3</v>
      </c>
      <c r="H55" s="111">
        <v>58.820633985334482</v>
      </c>
      <c r="I55" s="151">
        <f t="shared" si="22"/>
        <v>6.8565464197067509E-3</v>
      </c>
      <c r="J55" s="111">
        <v>77.226489117477072</v>
      </c>
      <c r="K55" s="152">
        <f t="shared" si="23"/>
        <v>9.0020622286556742E-3</v>
      </c>
      <c r="N55" s="106" t="s">
        <v>347</v>
      </c>
      <c r="O55" s="100" t="s">
        <v>100</v>
      </c>
      <c r="P55" s="127" t="s">
        <v>362</v>
      </c>
      <c r="Q55" s="128">
        <v>4539.1096572406532</v>
      </c>
      <c r="R55" s="129">
        <f t="shared" si="24"/>
        <v>0.26722881907126395</v>
      </c>
      <c r="S55" s="128">
        <v>3775.6035820834045</v>
      </c>
      <c r="T55" s="129">
        <f t="shared" si="25"/>
        <v>0.22227929323362675</v>
      </c>
      <c r="U55" s="128">
        <v>2348.9207110378006</v>
      </c>
      <c r="V55" s="129">
        <f t="shared" si="26"/>
        <v>0.13828687894802844</v>
      </c>
      <c r="W55" s="128">
        <v>6322.2198696566129</v>
      </c>
      <c r="X55" s="129">
        <f t="shared" si="27"/>
        <v>0.37220500874708096</v>
      </c>
      <c r="Z55" s="121">
        <f t="shared" si="28"/>
        <v>16985.85382001847</v>
      </c>
    </row>
    <row r="56" spans="1:27">
      <c r="A56" s="99" t="s">
        <v>347</v>
      </c>
      <c r="B56" s="100" t="s">
        <v>102</v>
      </c>
      <c r="C56" s="150" t="s">
        <v>363</v>
      </c>
      <c r="D56" s="102">
        <v>702.44223964049183</v>
      </c>
      <c r="E56" s="151">
        <f t="shared" si="20"/>
        <v>8.1881603392079075E-2</v>
      </c>
      <c r="F56" s="111">
        <v>441.58166803829073</v>
      </c>
      <c r="G56" s="151">
        <f t="shared" si="21"/>
        <v>5.1473862144208918E-2</v>
      </c>
      <c r="H56" s="111">
        <v>246.65364910260544</v>
      </c>
      <c r="I56" s="151">
        <f t="shared" si="22"/>
        <v>2.8751682531741037E-2</v>
      </c>
      <c r="J56" s="111">
        <v>504.1899030468457</v>
      </c>
      <c r="K56" s="152">
        <f t="shared" si="23"/>
        <v>5.8771917953996625E-2</v>
      </c>
      <c r="N56" s="106" t="s">
        <v>347</v>
      </c>
      <c r="O56" s="100" t="s">
        <v>101</v>
      </c>
      <c r="P56" s="127" t="s">
        <v>362</v>
      </c>
      <c r="Q56" s="128">
        <v>3298.3689604491024</v>
      </c>
      <c r="R56" s="129">
        <f t="shared" si="24"/>
        <v>0.27079202336999114</v>
      </c>
      <c r="S56" s="128">
        <v>2729.4749103197928</v>
      </c>
      <c r="T56" s="129">
        <f t="shared" si="25"/>
        <v>0.22408652354116379</v>
      </c>
      <c r="U56" s="128">
        <v>1664.2525391858048</v>
      </c>
      <c r="V56" s="129">
        <f t="shared" si="26"/>
        <v>0.13663308074042974</v>
      </c>
      <c r="W56" s="128">
        <v>4488.354547946833</v>
      </c>
      <c r="X56" s="129">
        <f t="shared" si="27"/>
        <v>0.36848837234841542</v>
      </c>
      <c r="Z56" s="121">
        <f t="shared" si="28"/>
        <v>12180.450957901532</v>
      </c>
    </row>
    <row r="57" spans="1:27">
      <c r="A57" s="99" t="s">
        <v>357</v>
      </c>
      <c r="B57" s="112" t="s">
        <v>99</v>
      </c>
      <c r="C57" s="153" t="s">
        <v>363</v>
      </c>
      <c r="D57" s="102">
        <v>15.103549548750985</v>
      </c>
      <c r="E57" s="151">
        <f t="shared" si="20"/>
        <v>1.7605758654211689E-3</v>
      </c>
      <c r="F57" s="111">
        <v>9.32202415270614</v>
      </c>
      <c r="G57" s="151">
        <f t="shared" si="21"/>
        <v>1.0866406394836425E-3</v>
      </c>
      <c r="H57" s="111">
        <v>3.9005384871168873</v>
      </c>
      <c r="I57" s="151">
        <f t="shared" si="22"/>
        <v>4.5467417446465661E-4</v>
      </c>
      <c r="J57" s="111">
        <v>9.3198700007555768</v>
      </c>
      <c r="K57" s="152">
        <f t="shared" si="23"/>
        <v>1.0863895363954334E-3</v>
      </c>
      <c r="N57" s="106" t="s">
        <v>347</v>
      </c>
      <c r="O57" s="133" t="s">
        <v>102</v>
      </c>
      <c r="P57" s="134" t="s">
        <v>362</v>
      </c>
      <c r="Q57" s="128">
        <v>2357.2966017164599</v>
      </c>
      <c r="R57" s="129">
        <f t="shared" si="24"/>
        <v>0.20620770481609738</v>
      </c>
      <c r="S57" s="128">
        <v>2919.8554776162796</v>
      </c>
      <c r="T57" s="129">
        <f t="shared" si="25"/>
        <v>0.25541830247222497</v>
      </c>
      <c r="U57" s="128">
        <v>1702.4911860215593</v>
      </c>
      <c r="V57" s="129">
        <f t="shared" si="26"/>
        <v>0.1489277164712802</v>
      </c>
      <c r="W57" s="128">
        <v>4452.0178542860749</v>
      </c>
      <c r="X57" s="129">
        <f t="shared" si="27"/>
        <v>0.38944627624039729</v>
      </c>
      <c r="Z57" s="121">
        <f t="shared" si="28"/>
        <v>11431.661119640376</v>
      </c>
    </row>
    <row r="58" spans="1:27" ht="15" thickBot="1">
      <c r="A58" s="99" t="s">
        <v>357</v>
      </c>
      <c r="B58" s="100" t="s">
        <v>100</v>
      </c>
      <c r="C58" s="150" t="s">
        <v>363</v>
      </c>
      <c r="D58" s="102">
        <v>204.91583514020755</v>
      </c>
      <c r="E58" s="151">
        <f t="shared" si="20"/>
        <v>2.3886429651916292E-2</v>
      </c>
      <c r="F58" s="111">
        <v>165.53277395261566</v>
      </c>
      <c r="G58" s="151">
        <f t="shared" si="21"/>
        <v>1.9295663301961599E-2</v>
      </c>
      <c r="H58" s="111">
        <v>81.56081778889569</v>
      </c>
      <c r="I58" s="151">
        <f t="shared" si="22"/>
        <v>9.5073020351708025E-3</v>
      </c>
      <c r="J58" s="111">
        <v>216.77761488771102</v>
      </c>
      <c r="K58" s="152">
        <f t="shared" si="23"/>
        <v>2.5269122049950851E-2</v>
      </c>
      <c r="N58" s="135" t="s">
        <v>107</v>
      </c>
      <c r="O58" s="136"/>
      <c r="P58" s="137" t="s">
        <v>362</v>
      </c>
      <c r="Q58" s="138">
        <f>SUM(Q50:Q57)</f>
        <v>23943.307895353602</v>
      </c>
      <c r="R58" s="139">
        <f>Q58/$Z$58</f>
        <v>0.25474708358987763</v>
      </c>
      <c r="S58" s="138">
        <f>SUM(S50:S57)</f>
        <v>21493.908399911121</v>
      </c>
      <c r="T58" s="139">
        <f>S58/$Z$58</f>
        <v>0.22868646653823049</v>
      </c>
      <c r="U58" s="138">
        <f>SUM(U50:U57)</f>
        <v>13796.752146735407</v>
      </c>
      <c r="V58" s="139">
        <f>U58/$Z$58</f>
        <v>0.14679184629602837</v>
      </c>
      <c r="W58" s="138">
        <f>SUM(W50:W57)</f>
        <v>33305.394492213352</v>
      </c>
      <c r="X58" s="139">
        <f>W58/$Z$58</f>
        <v>0.35435588732282913</v>
      </c>
      <c r="Y58" s="120">
        <f>1-R58-T58-V58-X58</f>
        <v>1.5418716253034315E-2</v>
      </c>
      <c r="Z58" s="163">
        <v>93988.545650636006</v>
      </c>
    </row>
    <row r="59" spans="1:27">
      <c r="A59" s="99" t="s">
        <v>357</v>
      </c>
      <c r="B59" s="100" t="s">
        <v>101</v>
      </c>
      <c r="C59" s="150" t="s">
        <v>363</v>
      </c>
      <c r="D59" s="102">
        <v>138.06518511501392</v>
      </c>
      <c r="E59" s="151">
        <f t="shared" si="20"/>
        <v>1.6093848137075897E-2</v>
      </c>
      <c r="F59" s="111">
        <v>71.191832926044441</v>
      </c>
      <c r="G59" s="151">
        <f t="shared" si="21"/>
        <v>8.2986202985016241E-3</v>
      </c>
      <c r="H59" s="111">
        <v>70.39511881290241</v>
      </c>
      <c r="I59" s="151">
        <f t="shared" si="22"/>
        <v>8.2057497031021286E-3</v>
      </c>
      <c r="J59" s="111">
        <v>135.65478715877197</v>
      </c>
      <c r="K59" s="152">
        <f t="shared" si="23"/>
        <v>1.5812875213848651E-2</v>
      </c>
      <c r="N59" s="93" t="s">
        <v>346</v>
      </c>
      <c r="O59" s="94" t="s">
        <v>99</v>
      </c>
      <c r="P59" s="122" t="s">
        <v>363</v>
      </c>
      <c r="Q59" s="123"/>
      <c r="R59" s="124"/>
      <c r="S59" s="123"/>
      <c r="T59" s="124"/>
      <c r="U59" s="123"/>
      <c r="V59" s="124"/>
      <c r="W59" s="125"/>
      <c r="X59" s="126"/>
    </row>
    <row r="60" spans="1:27">
      <c r="A60" s="99" t="s">
        <v>357</v>
      </c>
      <c r="B60" s="100" t="s">
        <v>102</v>
      </c>
      <c r="C60" s="150" t="s">
        <v>363</v>
      </c>
      <c r="D60" s="102">
        <v>135.83259623016525</v>
      </c>
      <c r="E60" s="151">
        <f t="shared" si="20"/>
        <v>1.5833601888643706E-2</v>
      </c>
      <c r="F60" s="111">
        <v>63.525620358955862</v>
      </c>
      <c r="G60" s="151">
        <f t="shared" si="21"/>
        <v>7.4049926925379133E-3</v>
      </c>
      <c r="H60" s="111">
        <v>98.701278449968527</v>
      </c>
      <c r="I60" s="151">
        <f t="shared" si="22"/>
        <v>1.1505314572864722E-2</v>
      </c>
      <c r="J60" s="111">
        <v>145.04997539184626</v>
      </c>
      <c r="K60" s="152">
        <f t="shared" si="23"/>
        <v>1.6908044372651289E-2</v>
      </c>
      <c r="N60" s="106" t="s">
        <v>346</v>
      </c>
      <c r="O60" s="100" t="s">
        <v>100</v>
      </c>
      <c r="P60" s="127" t="s">
        <v>363</v>
      </c>
      <c r="Q60" s="128"/>
      <c r="R60" s="129"/>
      <c r="S60" s="128"/>
      <c r="T60" s="129"/>
      <c r="U60" s="128"/>
      <c r="V60" s="129"/>
      <c r="W60" s="130"/>
      <c r="X60" s="131"/>
    </row>
    <row r="61" spans="1:27">
      <c r="A61" s="99" t="s">
        <v>359</v>
      </c>
      <c r="B61" s="112" t="s">
        <v>99</v>
      </c>
      <c r="C61" s="153" t="s">
        <v>363</v>
      </c>
      <c r="D61" s="102">
        <v>31.600647511178543</v>
      </c>
      <c r="E61" s="151">
        <f t="shared" si="20"/>
        <v>3.6835935261630825E-3</v>
      </c>
      <c r="F61" s="111">
        <v>12.218444855467785</v>
      </c>
      <c r="G61" s="151">
        <f t="shared" si="21"/>
        <v>1.424267789242626E-3</v>
      </c>
      <c r="H61" s="111">
        <v>2.4057994993820864</v>
      </c>
      <c r="I61" s="151">
        <f t="shared" si="22"/>
        <v>2.8043689478310092E-4</v>
      </c>
      <c r="J61" s="111">
        <v>9.2436323132027702</v>
      </c>
      <c r="K61" s="152">
        <f t="shared" si="23"/>
        <v>1.0775027358252926E-3</v>
      </c>
      <c r="N61" s="106" t="s">
        <v>346</v>
      </c>
      <c r="O61" s="100" t="s">
        <v>101</v>
      </c>
      <c r="P61" s="127" t="s">
        <v>363</v>
      </c>
      <c r="Q61" s="128"/>
      <c r="R61" s="129"/>
      <c r="S61" s="128"/>
      <c r="T61" s="129"/>
      <c r="U61" s="128"/>
      <c r="V61" s="129"/>
      <c r="W61" s="130"/>
      <c r="X61" s="131"/>
    </row>
    <row r="62" spans="1:27">
      <c r="A62" s="99" t="s">
        <v>359</v>
      </c>
      <c r="B62" s="100" t="s">
        <v>100</v>
      </c>
      <c r="C62" s="150" t="s">
        <v>363</v>
      </c>
      <c r="D62" s="102">
        <v>176.74649238061272</v>
      </c>
      <c r="E62" s="151">
        <f t="shared" si="20"/>
        <v>2.0602813118780181E-2</v>
      </c>
      <c r="F62" s="111">
        <v>58.909792131365826</v>
      </c>
      <c r="G62" s="151">
        <f t="shared" si="21"/>
        <v>6.8669393197069674E-3</v>
      </c>
      <c r="H62" s="111">
        <v>24.763754048673036</v>
      </c>
      <c r="I62" s="151">
        <f t="shared" si="22"/>
        <v>2.8866371825108463E-3</v>
      </c>
      <c r="J62" s="111">
        <v>45.977799280187078</v>
      </c>
      <c r="K62" s="152">
        <f t="shared" si="23"/>
        <v>5.3594953621064695E-3</v>
      </c>
      <c r="N62" s="106" t="s">
        <v>346</v>
      </c>
      <c r="O62" s="100" t="s">
        <v>102</v>
      </c>
      <c r="P62" s="127" t="s">
        <v>363</v>
      </c>
      <c r="Q62" s="128"/>
      <c r="R62" s="129"/>
      <c r="S62" s="128"/>
      <c r="T62" s="129"/>
      <c r="U62" s="128"/>
      <c r="V62" s="129"/>
      <c r="W62" s="130"/>
      <c r="X62" s="131"/>
    </row>
    <row r="63" spans="1:27">
      <c r="A63" s="99" t="s">
        <v>359</v>
      </c>
      <c r="B63" s="100" t="s">
        <v>101</v>
      </c>
      <c r="C63" s="150" t="s">
        <v>363</v>
      </c>
      <c r="D63" s="102">
        <v>57.46136923040433</v>
      </c>
      <c r="E63" s="151">
        <f t="shared" si="20"/>
        <v>6.6981009685548034E-3</v>
      </c>
      <c r="F63" s="111">
        <v>20.260902669532118</v>
      </c>
      <c r="G63" s="151">
        <f t="shared" si="21"/>
        <v>2.3617531850038155E-3</v>
      </c>
      <c r="H63" s="111">
        <v>12.976735081989229</v>
      </c>
      <c r="I63" s="151">
        <f t="shared" si="22"/>
        <v>1.5126594264196502E-3</v>
      </c>
      <c r="J63" s="111">
        <v>21.981949081262343</v>
      </c>
      <c r="K63" s="152">
        <f t="shared" si="23"/>
        <v>2.5623704482492303E-3</v>
      </c>
      <c r="L63" s="120">
        <f>SUM(E45:E64,G45:G64,I45:I64,K45:K64)</f>
        <v>1</v>
      </c>
      <c r="N63" s="106" t="s">
        <v>347</v>
      </c>
      <c r="O63" s="112" t="s">
        <v>99</v>
      </c>
      <c r="P63" s="132" t="s">
        <v>363</v>
      </c>
      <c r="Q63" s="128"/>
      <c r="R63" s="129"/>
      <c r="S63" s="128"/>
      <c r="T63" s="129"/>
      <c r="U63" s="128"/>
      <c r="V63" s="129"/>
      <c r="W63" s="130"/>
      <c r="X63" s="131"/>
    </row>
    <row r="64" spans="1:27">
      <c r="A64" s="142" t="s">
        <v>359</v>
      </c>
      <c r="B64" s="143" t="s">
        <v>102</v>
      </c>
      <c r="C64" s="162" t="s">
        <v>363</v>
      </c>
      <c r="D64" s="102">
        <v>84.289924842997976</v>
      </c>
      <c r="E64" s="151">
        <f t="shared" si="20"/>
        <v>9.8254259303581087E-3</v>
      </c>
      <c r="F64" s="111">
        <v>29.942322235765786</v>
      </c>
      <c r="G64" s="151">
        <f t="shared" si="21"/>
        <v>3.4902874792973604E-3</v>
      </c>
      <c r="H64" s="111">
        <v>46.646270824222938</v>
      </c>
      <c r="I64" s="151">
        <f t="shared" si="22"/>
        <v>5.4374171025126962E-3</v>
      </c>
      <c r="J64" s="111">
        <v>42.805483488752223</v>
      </c>
      <c r="K64" s="152">
        <f t="shared" si="23"/>
        <v>4.9897079421448798E-3</v>
      </c>
      <c r="L64">
        <v>8578.7553069392325</v>
      </c>
      <c r="N64" s="106" t="s">
        <v>347</v>
      </c>
      <c r="O64" s="100" t="s">
        <v>100</v>
      </c>
      <c r="P64" s="127" t="s">
        <v>363</v>
      </c>
      <c r="Q64" s="128"/>
      <c r="R64" s="129"/>
      <c r="S64" s="128"/>
      <c r="T64" s="129"/>
      <c r="U64" s="128"/>
      <c r="V64" s="129"/>
      <c r="W64" s="130"/>
      <c r="X64" s="131"/>
    </row>
    <row r="65" spans="1:24">
      <c r="A65" s="87" t="s">
        <v>98</v>
      </c>
      <c r="B65" s="88" t="s">
        <v>99</v>
      </c>
      <c r="C65" s="150" t="s">
        <v>360</v>
      </c>
      <c r="D65" s="146">
        <v>132.1038436457404</v>
      </c>
      <c r="E65" s="147">
        <f>D65/$L$84</f>
        <v>4.0668328955561064E-2</v>
      </c>
      <c r="F65" s="148">
        <v>65.160114142700237</v>
      </c>
      <c r="G65" s="147">
        <f>F65/$L$84</f>
        <v>2.0059620398658145E-2</v>
      </c>
      <c r="H65" s="148">
        <v>31.580303881883477</v>
      </c>
      <c r="I65" s="147">
        <f>H65/$L$84</f>
        <v>9.7220349638663314E-3</v>
      </c>
      <c r="J65" s="148">
        <v>109.18745744311244</v>
      </c>
      <c r="K65" s="149">
        <f>J65/$L$84</f>
        <v>3.3613491587918688E-2</v>
      </c>
      <c r="N65" s="106" t="s">
        <v>347</v>
      </c>
      <c r="O65" s="100" t="s">
        <v>101</v>
      </c>
      <c r="P65" s="127" t="s">
        <v>363</v>
      </c>
      <c r="Q65" s="128"/>
      <c r="R65" s="129"/>
      <c r="S65" s="128"/>
      <c r="T65" s="129"/>
      <c r="U65" s="128"/>
      <c r="V65" s="129"/>
      <c r="W65" s="130"/>
      <c r="X65" s="131"/>
    </row>
    <row r="66" spans="1:24">
      <c r="A66" s="99" t="s">
        <v>98</v>
      </c>
      <c r="B66" s="100" t="s">
        <v>100</v>
      </c>
      <c r="C66" s="150" t="s">
        <v>360</v>
      </c>
      <c r="D66" s="102">
        <v>320.66245310684047</v>
      </c>
      <c r="E66" s="151">
        <f t="shared" ref="E66:E84" si="29">D66/$L$84</f>
        <v>9.8716326238147689E-2</v>
      </c>
      <c r="F66" s="111">
        <v>85.647153404328662</v>
      </c>
      <c r="G66" s="151">
        <f t="shared" ref="G66:G84" si="30">F66/$L$84</f>
        <v>2.6366580355491047E-2</v>
      </c>
      <c r="H66" s="111">
        <v>19.743068397301048</v>
      </c>
      <c r="I66" s="151">
        <f t="shared" ref="I66:I84" si="31">H66/$L$84</f>
        <v>6.0779276212942377E-3</v>
      </c>
      <c r="J66" s="111">
        <v>121.68852266301539</v>
      </c>
      <c r="K66" s="152">
        <f t="shared" ref="K66:K84" si="32">J66/$L$84</f>
        <v>3.7461959721982172E-2</v>
      </c>
      <c r="N66" s="106" t="s">
        <v>347</v>
      </c>
      <c r="O66" s="133" t="s">
        <v>102</v>
      </c>
      <c r="P66" s="134" t="s">
        <v>363</v>
      </c>
      <c r="Q66" s="128"/>
      <c r="R66" s="129"/>
      <c r="S66" s="128"/>
      <c r="T66" s="129"/>
      <c r="U66" s="128"/>
      <c r="V66" s="129"/>
      <c r="W66" s="130"/>
      <c r="X66" s="131"/>
    </row>
    <row r="67" spans="1:24" ht="13.8" thickBot="1">
      <c r="A67" s="99" t="s">
        <v>98</v>
      </c>
      <c r="B67" s="100" t="s">
        <v>101</v>
      </c>
      <c r="C67" s="150" t="s">
        <v>360</v>
      </c>
      <c r="D67" s="102">
        <v>16.73680172363661</v>
      </c>
      <c r="E67" s="151">
        <f t="shared" si="29"/>
        <v>5.1524447690269948E-3</v>
      </c>
      <c r="F67" s="111">
        <v>0.87903404351858083</v>
      </c>
      <c r="G67" s="151">
        <f t="shared" si="30"/>
        <v>2.706116995415926E-4</v>
      </c>
      <c r="H67" s="104"/>
      <c r="I67" s="151">
        <f t="shared" si="31"/>
        <v>0</v>
      </c>
      <c r="J67" s="111">
        <v>7.909406563593679</v>
      </c>
      <c r="K67" s="152">
        <f t="shared" si="32"/>
        <v>2.4349204314909677E-3</v>
      </c>
      <c r="N67" s="135" t="s">
        <v>107</v>
      </c>
      <c r="O67" s="136"/>
      <c r="P67" s="137" t="s">
        <v>363</v>
      </c>
      <c r="Q67" s="138"/>
      <c r="R67" s="139"/>
      <c r="S67" s="138"/>
      <c r="T67" s="139"/>
      <c r="U67" s="138"/>
      <c r="V67" s="139"/>
      <c r="W67" s="140"/>
      <c r="X67" s="141"/>
    </row>
    <row r="68" spans="1:24">
      <c r="A68" s="99" t="s">
        <v>98</v>
      </c>
      <c r="B68" s="100" t="s">
        <v>102</v>
      </c>
      <c r="C68" s="150" t="s">
        <v>360</v>
      </c>
      <c r="D68" s="114"/>
      <c r="E68" s="151">
        <f t="shared" si="29"/>
        <v>0</v>
      </c>
      <c r="F68" s="111">
        <v>1.9061081746127726</v>
      </c>
      <c r="G68" s="151">
        <f t="shared" si="30"/>
        <v>5.8679772011717532E-4</v>
      </c>
      <c r="H68" s="104"/>
      <c r="I68" s="151">
        <f t="shared" si="31"/>
        <v>0</v>
      </c>
      <c r="J68" s="104"/>
      <c r="K68" s="152">
        <f t="shared" si="32"/>
        <v>0</v>
      </c>
      <c r="N68" s="93" t="s">
        <v>346</v>
      </c>
      <c r="O68" s="94" t="s">
        <v>99</v>
      </c>
      <c r="P68" s="150" t="s">
        <v>360</v>
      </c>
      <c r="Q68" s="123"/>
      <c r="R68" s="124"/>
      <c r="S68" s="123"/>
      <c r="T68" s="124"/>
      <c r="U68" s="123"/>
      <c r="V68" s="124"/>
      <c r="W68" s="125"/>
      <c r="X68" s="126"/>
    </row>
    <row r="69" spans="1:24">
      <c r="A69" s="99" t="s">
        <v>103</v>
      </c>
      <c r="B69" s="112" t="s">
        <v>99</v>
      </c>
      <c r="C69" s="150" t="s">
        <v>360</v>
      </c>
      <c r="D69" s="102">
        <v>5.3097137504293359</v>
      </c>
      <c r="E69" s="151">
        <f t="shared" si="29"/>
        <v>1.6346018367292892E-3</v>
      </c>
      <c r="F69" s="111">
        <v>2.4003801159518612</v>
      </c>
      <c r="G69" s="151">
        <f t="shared" si="30"/>
        <v>7.3895993848371096E-4</v>
      </c>
      <c r="H69" s="111">
        <v>1.4887619476908849</v>
      </c>
      <c r="I69" s="151">
        <f t="shared" si="31"/>
        <v>4.5831717650531017E-4</v>
      </c>
      <c r="J69" s="111">
        <v>2.4503721057675629</v>
      </c>
      <c r="K69" s="152">
        <f t="shared" si="32"/>
        <v>7.5435003335801382E-4</v>
      </c>
      <c r="N69" s="106" t="s">
        <v>346</v>
      </c>
      <c r="O69" s="100" t="s">
        <v>100</v>
      </c>
      <c r="P69" s="150" t="s">
        <v>360</v>
      </c>
      <c r="Q69" s="128"/>
      <c r="R69" s="129"/>
      <c r="S69" s="128"/>
      <c r="T69" s="129"/>
      <c r="U69" s="128"/>
      <c r="V69" s="129"/>
      <c r="W69" s="130"/>
      <c r="X69" s="131"/>
    </row>
    <row r="70" spans="1:24">
      <c r="A70" s="99" t="s">
        <v>103</v>
      </c>
      <c r="B70" s="100" t="s">
        <v>100</v>
      </c>
      <c r="C70" s="150" t="s">
        <v>360</v>
      </c>
      <c r="D70" s="102">
        <v>8.5315452982455451</v>
      </c>
      <c r="E70" s="151">
        <f t="shared" si="29"/>
        <v>2.6264465977141748E-3</v>
      </c>
      <c r="F70" s="111">
        <v>0.72543803630266135</v>
      </c>
      <c r="G70" s="151">
        <f t="shared" si="30"/>
        <v>2.2332698188819251E-4</v>
      </c>
      <c r="H70" s="111">
        <v>0.56694618150522658</v>
      </c>
      <c r="I70" s="151">
        <f t="shared" si="31"/>
        <v>1.7453507160158419E-4</v>
      </c>
      <c r="J70" s="111">
        <v>2.8595741836810245</v>
      </c>
      <c r="K70" s="152">
        <f t="shared" si="32"/>
        <v>8.8032339079120898E-4</v>
      </c>
      <c r="N70" s="106" t="s">
        <v>346</v>
      </c>
      <c r="O70" s="100" t="s">
        <v>101</v>
      </c>
      <c r="P70" s="150" t="s">
        <v>360</v>
      </c>
      <c r="Q70" s="128"/>
      <c r="R70" s="129"/>
      <c r="S70" s="128"/>
      <c r="T70" s="129"/>
      <c r="U70" s="128"/>
      <c r="V70" s="129"/>
      <c r="W70" s="130"/>
      <c r="X70" s="131"/>
    </row>
    <row r="71" spans="1:24">
      <c r="A71" s="99" t="s">
        <v>103</v>
      </c>
      <c r="B71" s="100" t="s">
        <v>101</v>
      </c>
      <c r="C71" s="150" t="s">
        <v>360</v>
      </c>
      <c r="D71" s="114"/>
      <c r="E71" s="151">
        <f t="shared" si="29"/>
        <v>0</v>
      </c>
      <c r="F71" s="104"/>
      <c r="G71" s="151">
        <f t="shared" si="30"/>
        <v>0</v>
      </c>
      <c r="H71" s="111">
        <v>2.3184961904712851</v>
      </c>
      <c r="I71" s="151">
        <f t="shared" si="31"/>
        <v>7.1375187242208368E-4</v>
      </c>
      <c r="J71" s="104"/>
      <c r="K71" s="152">
        <f t="shared" si="32"/>
        <v>0</v>
      </c>
      <c r="N71" s="106" t="s">
        <v>346</v>
      </c>
      <c r="O71" s="100" t="s">
        <v>102</v>
      </c>
      <c r="P71" s="150" t="s">
        <v>360</v>
      </c>
      <c r="Q71" s="128"/>
      <c r="R71" s="129"/>
      <c r="S71" s="128"/>
      <c r="T71" s="129"/>
      <c r="U71" s="128"/>
      <c r="V71" s="129"/>
      <c r="W71" s="130"/>
      <c r="X71" s="131"/>
    </row>
    <row r="72" spans="1:24">
      <c r="A72" s="99" t="s">
        <v>103</v>
      </c>
      <c r="B72" s="100" t="s">
        <v>102</v>
      </c>
      <c r="C72" s="150" t="s">
        <v>360</v>
      </c>
      <c r="D72" s="164"/>
      <c r="E72" s="151">
        <f t="shared" si="29"/>
        <v>0</v>
      </c>
      <c r="F72" s="165"/>
      <c r="G72" s="151">
        <f t="shared" si="30"/>
        <v>0</v>
      </c>
      <c r="H72" s="165"/>
      <c r="I72" s="151">
        <f t="shared" si="31"/>
        <v>0</v>
      </c>
      <c r="J72" s="165"/>
      <c r="K72" s="152">
        <f t="shared" si="32"/>
        <v>0</v>
      </c>
      <c r="N72" s="106" t="s">
        <v>347</v>
      </c>
      <c r="O72" s="112" t="s">
        <v>99</v>
      </c>
      <c r="P72" s="150" t="s">
        <v>360</v>
      </c>
      <c r="Q72" s="128"/>
      <c r="R72" s="129"/>
      <c r="S72" s="128"/>
      <c r="T72" s="129"/>
      <c r="U72" s="128"/>
      <c r="V72" s="129"/>
      <c r="W72" s="130"/>
      <c r="X72" s="131"/>
    </row>
    <row r="73" spans="1:24">
      <c r="A73" s="99" t="s">
        <v>104</v>
      </c>
      <c r="B73" s="112" t="s">
        <v>99</v>
      </c>
      <c r="C73" s="150" t="s">
        <v>360</v>
      </c>
      <c r="D73" s="102">
        <v>305.22921568035002</v>
      </c>
      <c r="E73" s="151">
        <f t="shared" si="29"/>
        <v>9.3965185323634043E-2</v>
      </c>
      <c r="F73" s="111">
        <v>176.17984663400273</v>
      </c>
      <c r="G73" s="151">
        <f t="shared" si="30"/>
        <v>5.4237180088915218E-2</v>
      </c>
      <c r="H73" s="111">
        <v>93.722889861250991</v>
      </c>
      <c r="I73" s="151">
        <f t="shared" si="31"/>
        <v>2.8852705646964537E-2</v>
      </c>
      <c r="J73" s="111">
        <v>266.17661789968321</v>
      </c>
      <c r="K73" s="152">
        <f t="shared" si="32"/>
        <v>8.1942795593836187E-2</v>
      </c>
      <c r="N73" s="106" t="s">
        <v>347</v>
      </c>
      <c r="O73" s="100" t="s">
        <v>100</v>
      </c>
      <c r="P73" s="150" t="s">
        <v>360</v>
      </c>
      <c r="Q73" s="128"/>
      <c r="R73" s="129"/>
      <c r="S73" s="128"/>
      <c r="T73" s="129"/>
      <c r="U73" s="128"/>
      <c r="V73" s="129"/>
      <c r="W73" s="130"/>
      <c r="X73" s="131"/>
    </row>
    <row r="74" spans="1:24">
      <c r="A74" s="99" t="s">
        <v>104</v>
      </c>
      <c r="B74" s="100" t="s">
        <v>100</v>
      </c>
      <c r="C74" s="150" t="s">
        <v>360</v>
      </c>
      <c r="D74" s="102">
        <v>200.42933959929027</v>
      </c>
      <c r="E74" s="151">
        <f t="shared" si="29"/>
        <v>6.1702415995014283E-2</v>
      </c>
      <c r="F74" s="111">
        <v>84.619340523151791</v>
      </c>
      <c r="G74" s="151">
        <f t="shared" si="30"/>
        <v>2.6050166909803909E-2</v>
      </c>
      <c r="H74" s="111">
        <v>53.362418864949383</v>
      </c>
      <c r="I74" s="151">
        <f t="shared" si="31"/>
        <v>1.6427685556855288E-2</v>
      </c>
      <c r="J74" s="111">
        <v>164.171972224369</v>
      </c>
      <c r="K74" s="152">
        <f t="shared" si="32"/>
        <v>5.0540541345703342E-2</v>
      </c>
      <c r="N74" s="106" t="s">
        <v>347</v>
      </c>
      <c r="O74" s="100" t="s">
        <v>101</v>
      </c>
      <c r="P74" s="150" t="s">
        <v>360</v>
      </c>
      <c r="Q74" s="128"/>
      <c r="R74" s="129"/>
      <c r="S74" s="128"/>
      <c r="T74" s="129"/>
      <c r="U74" s="128"/>
      <c r="V74" s="129"/>
      <c r="W74" s="130"/>
      <c r="X74" s="131"/>
    </row>
    <row r="75" spans="1:24">
      <c r="A75" s="99" t="s">
        <v>104</v>
      </c>
      <c r="B75" s="100" t="s">
        <v>101</v>
      </c>
      <c r="C75" s="150" t="s">
        <v>360</v>
      </c>
      <c r="D75" s="102">
        <v>18.820377194547092</v>
      </c>
      <c r="E75" s="151">
        <f t="shared" si="29"/>
        <v>5.7938760121780926E-3</v>
      </c>
      <c r="F75" s="111">
        <v>15.86478896613062</v>
      </c>
      <c r="G75" s="151">
        <f t="shared" si="30"/>
        <v>4.8839945809249696E-3</v>
      </c>
      <c r="H75" s="111">
        <v>7.0333015832763088</v>
      </c>
      <c r="I75" s="151">
        <f t="shared" si="31"/>
        <v>2.1652104476187384E-3</v>
      </c>
      <c r="J75" s="111">
        <v>24.656768577495818</v>
      </c>
      <c r="K75" s="152">
        <f t="shared" si="32"/>
        <v>7.5906161987215909E-3</v>
      </c>
      <c r="N75" s="106" t="s">
        <v>347</v>
      </c>
      <c r="O75" s="133" t="s">
        <v>102</v>
      </c>
      <c r="P75" s="150" t="s">
        <v>360</v>
      </c>
      <c r="Q75" s="128"/>
      <c r="R75" s="129"/>
      <c r="S75" s="128"/>
      <c r="T75" s="129"/>
      <c r="U75" s="128"/>
      <c r="V75" s="129"/>
      <c r="W75" s="130"/>
      <c r="X75" s="131"/>
    </row>
    <row r="76" spans="1:24" ht="13.8" thickBot="1">
      <c r="A76" s="99" t="s">
        <v>104</v>
      </c>
      <c r="B76" s="100" t="s">
        <v>102</v>
      </c>
      <c r="C76" s="150" t="s">
        <v>360</v>
      </c>
      <c r="D76" s="102">
        <v>12.967963249876917</v>
      </c>
      <c r="E76" s="151">
        <f t="shared" si="29"/>
        <v>3.9922032605190314E-3</v>
      </c>
      <c r="F76" s="111">
        <v>4.9015121687843095</v>
      </c>
      <c r="G76" s="151">
        <f t="shared" si="30"/>
        <v>1.5089364832893211E-3</v>
      </c>
      <c r="H76" s="104"/>
      <c r="I76" s="151">
        <f t="shared" si="31"/>
        <v>0</v>
      </c>
      <c r="J76" s="111">
        <v>5.5444675606423175</v>
      </c>
      <c r="K76" s="152">
        <f t="shared" si="32"/>
        <v>1.706871082754522E-3</v>
      </c>
      <c r="N76" s="154" t="s">
        <v>107</v>
      </c>
      <c r="O76" s="155"/>
      <c r="P76" s="155" t="s">
        <v>360</v>
      </c>
      <c r="Q76" s="157"/>
      <c r="R76" s="158"/>
      <c r="S76" s="157"/>
      <c r="T76" s="158"/>
      <c r="U76" s="157"/>
      <c r="V76" s="158"/>
      <c r="W76" s="159"/>
      <c r="X76" s="160"/>
    </row>
    <row r="77" spans="1:24" ht="13.8" thickTop="1">
      <c r="A77" s="99" t="s">
        <v>105</v>
      </c>
      <c r="B77" s="112" t="s">
        <v>99</v>
      </c>
      <c r="C77" s="150" t="s">
        <v>360</v>
      </c>
      <c r="D77" s="102">
        <v>79.187981045417786</v>
      </c>
      <c r="E77" s="151">
        <f t="shared" si="29"/>
        <v>2.4378116287955758E-2</v>
      </c>
      <c r="F77" s="111">
        <v>49.750787360792714</v>
      </c>
      <c r="G77" s="151">
        <f t="shared" si="30"/>
        <v>1.531584040516392E-2</v>
      </c>
      <c r="H77" s="111">
        <v>17.24660448021341</v>
      </c>
      <c r="I77" s="151">
        <f t="shared" si="31"/>
        <v>5.3093881677559202E-3</v>
      </c>
      <c r="J77" s="111">
        <v>72.593545791855178</v>
      </c>
      <c r="K77" s="152">
        <f t="shared" si="32"/>
        <v>2.2348011373770089E-2</v>
      </c>
    </row>
    <row r="78" spans="1:24">
      <c r="A78" s="99" t="s">
        <v>105</v>
      </c>
      <c r="B78" s="100" t="s">
        <v>100</v>
      </c>
      <c r="C78" s="150" t="s">
        <v>360</v>
      </c>
      <c r="D78" s="102">
        <v>50.328803319844226</v>
      </c>
      <c r="E78" s="151">
        <f t="shared" si="29"/>
        <v>1.5493783321248247E-2</v>
      </c>
      <c r="F78" s="111">
        <v>22.038052045274924</v>
      </c>
      <c r="G78" s="151">
        <f t="shared" si="30"/>
        <v>6.7844411289081745E-3</v>
      </c>
      <c r="H78" s="111">
        <v>9.0648135789805089</v>
      </c>
      <c r="I78" s="151">
        <f t="shared" si="31"/>
        <v>2.7906138865983181E-3</v>
      </c>
      <c r="J78" s="111">
        <v>42.65473938769177</v>
      </c>
      <c r="K78" s="152">
        <f t="shared" si="32"/>
        <v>1.3131313405113859E-2</v>
      </c>
    </row>
    <row r="79" spans="1:24">
      <c r="A79" s="99" t="s">
        <v>105</v>
      </c>
      <c r="B79" s="100" t="s">
        <v>101</v>
      </c>
      <c r="C79" s="150" t="s">
        <v>360</v>
      </c>
      <c r="D79" s="114"/>
      <c r="E79" s="151">
        <f t="shared" si="29"/>
        <v>0</v>
      </c>
      <c r="F79" s="111">
        <v>3.2278446464916306</v>
      </c>
      <c r="G79" s="151">
        <f t="shared" si="30"/>
        <v>9.9369590072636085E-4</v>
      </c>
      <c r="H79" s="104"/>
      <c r="I79" s="151">
        <f t="shared" si="31"/>
        <v>0</v>
      </c>
      <c r="J79" s="111">
        <v>1.6167272093713905</v>
      </c>
      <c r="K79" s="152">
        <f t="shared" si="32"/>
        <v>4.9771143796876203E-4</v>
      </c>
    </row>
    <row r="80" spans="1:24">
      <c r="A80" s="99" t="s">
        <v>105</v>
      </c>
      <c r="B80" s="100" t="s">
        <v>102</v>
      </c>
      <c r="C80" s="150" t="s">
        <v>360</v>
      </c>
      <c r="D80" s="102"/>
      <c r="E80" s="151">
        <f t="shared" si="29"/>
        <v>0</v>
      </c>
      <c r="F80" s="111"/>
      <c r="G80" s="151">
        <f t="shared" si="30"/>
        <v>0</v>
      </c>
      <c r="H80" s="111"/>
      <c r="I80" s="151">
        <f t="shared" si="31"/>
        <v>0</v>
      </c>
      <c r="J80" s="111"/>
      <c r="K80" s="152">
        <f t="shared" si="32"/>
        <v>0</v>
      </c>
    </row>
    <row r="81" spans="1:12">
      <c r="A81" s="99" t="s">
        <v>106</v>
      </c>
      <c r="B81" s="112" t="s">
        <v>99</v>
      </c>
      <c r="C81" s="150" t="s">
        <v>360</v>
      </c>
      <c r="D81" s="102">
        <v>168.63753846746874</v>
      </c>
      <c r="E81" s="151">
        <f t="shared" si="29"/>
        <v>5.19152713454923E-2</v>
      </c>
      <c r="F81" s="111">
        <v>71.223876337372303</v>
      </c>
      <c r="G81" s="151">
        <f t="shared" si="30"/>
        <v>2.1926356966161267E-2</v>
      </c>
      <c r="H81" s="111">
        <v>41.715037249493243</v>
      </c>
      <c r="I81" s="151">
        <f t="shared" si="31"/>
        <v>1.2842024958829246E-2</v>
      </c>
      <c r="J81" s="111">
        <v>117.46585754789832</v>
      </c>
      <c r="K81" s="152">
        <f t="shared" si="32"/>
        <v>3.6162007129904132E-2</v>
      </c>
    </row>
    <row r="82" spans="1:12">
      <c r="A82" s="99" t="s">
        <v>106</v>
      </c>
      <c r="B82" s="100" t="s">
        <v>100</v>
      </c>
      <c r="C82" s="150" t="s">
        <v>360</v>
      </c>
      <c r="D82" s="102">
        <v>49.786123738631147</v>
      </c>
      <c r="E82" s="151">
        <f t="shared" si="29"/>
        <v>1.5326718752064145E-2</v>
      </c>
      <c r="F82" s="111">
        <v>23.399823325613685</v>
      </c>
      <c r="G82" s="151">
        <f t="shared" si="30"/>
        <v>7.2036640739995073E-3</v>
      </c>
      <c r="H82" s="111">
        <v>12.405913016718376</v>
      </c>
      <c r="I82" s="151">
        <f t="shared" si="31"/>
        <v>3.8191754125713358E-3</v>
      </c>
      <c r="J82" s="111">
        <v>36.49185766573293</v>
      </c>
      <c r="K82" s="152">
        <f t="shared" si="32"/>
        <v>1.1234062770567934E-2</v>
      </c>
    </row>
    <row r="83" spans="1:12">
      <c r="A83" s="99" t="s">
        <v>106</v>
      </c>
      <c r="B83" s="100" t="s">
        <v>101</v>
      </c>
      <c r="C83" s="150" t="s">
        <v>360</v>
      </c>
      <c r="D83" s="114"/>
      <c r="E83" s="151">
        <f t="shared" si="29"/>
        <v>0</v>
      </c>
      <c r="F83" s="111">
        <v>3.8474655817206131</v>
      </c>
      <c r="G83" s="151">
        <f t="shared" si="30"/>
        <v>1.1844469593346178E-3</v>
      </c>
      <c r="H83" s="104"/>
      <c r="I83" s="151">
        <f t="shared" si="31"/>
        <v>0</v>
      </c>
      <c r="J83" s="111">
        <v>2.1026859472667345</v>
      </c>
      <c r="K83" s="152">
        <f t="shared" si="32"/>
        <v>6.4731442654307947E-4</v>
      </c>
    </row>
    <row r="84" spans="1:12">
      <c r="A84" s="142" t="s">
        <v>106</v>
      </c>
      <c r="B84" s="143" t="s">
        <v>102</v>
      </c>
      <c r="C84" s="143" t="s">
        <v>360</v>
      </c>
      <c r="D84" s="166"/>
      <c r="E84" s="167">
        <f t="shared" si="29"/>
        <v>0</v>
      </c>
      <c r="F84" s="168"/>
      <c r="G84" s="167">
        <f t="shared" si="30"/>
        <v>0</v>
      </c>
      <c r="H84" s="168"/>
      <c r="I84" s="167">
        <f t="shared" si="31"/>
        <v>0</v>
      </c>
      <c r="J84" s="168"/>
      <c r="K84" s="169">
        <f t="shared" si="32"/>
        <v>0</v>
      </c>
      <c r="L84">
        <v>3248.3223933319805</v>
      </c>
    </row>
    <row r="85" spans="1:12">
      <c r="A85" s="72"/>
      <c r="B85" s="1"/>
      <c r="C85" s="1"/>
      <c r="D85" s="73"/>
      <c r="E85" s="73"/>
      <c r="F85" s="73"/>
      <c r="G85" s="73"/>
      <c r="H85" s="73"/>
      <c r="I85" s="73"/>
      <c r="J85" s="74"/>
      <c r="K85" s="170"/>
    </row>
    <row r="86" spans="1:12">
      <c r="A86" s="171" t="s">
        <v>109</v>
      </c>
      <c r="B86" s="172"/>
      <c r="C86" s="173"/>
      <c r="D86" s="174"/>
      <c r="E86" s="174"/>
      <c r="F86" s="174"/>
      <c r="G86" s="174"/>
      <c r="H86" s="174"/>
      <c r="I86" s="174"/>
      <c r="J86" s="175"/>
    </row>
    <row r="87" spans="1:12" ht="13.8" thickBot="1">
      <c r="A87" s="176" t="s">
        <v>110</v>
      </c>
      <c r="B87" s="177"/>
      <c r="C87" s="177"/>
      <c r="D87" s="178"/>
      <c r="E87" s="178"/>
      <c r="F87" s="178"/>
      <c r="G87" s="178"/>
      <c r="H87" s="178"/>
      <c r="I87" s="178"/>
      <c r="J87" s="179"/>
    </row>
    <row r="90" spans="1:12">
      <c r="A90" s="184" t="s">
        <v>118</v>
      </c>
    </row>
    <row r="91" spans="1:12">
      <c r="B91" s="185" t="s">
        <v>117</v>
      </c>
      <c r="C91" s="214" t="s">
        <v>119</v>
      </c>
    </row>
    <row r="92" spans="1:12" ht="12.75" customHeight="1">
      <c r="A92" t="s">
        <v>135</v>
      </c>
    </row>
    <row r="93" spans="1:12" ht="12.75" customHeight="1">
      <c r="A93" s="188" t="s">
        <v>111</v>
      </c>
      <c r="B93" s="189">
        <v>7250</v>
      </c>
      <c r="C93" s="207">
        <f>SUM(C94:C97)</f>
        <v>1</v>
      </c>
    </row>
    <row r="94" spans="1:12" ht="15.6">
      <c r="A94" s="180" t="s">
        <v>112</v>
      </c>
      <c r="B94" s="186">
        <f>B93*C94</f>
        <v>161.67500000000001</v>
      </c>
      <c r="C94" s="191">
        <v>2.23E-2</v>
      </c>
    </row>
    <row r="95" spans="1:12" ht="15.6">
      <c r="A95" s="180" t="s">
        <v>113</v>
      </c>
      <c r="B95" s="186">
        <f>B93*C95</f>
        <v>2102.5</v>
      </c>
      <c r="C95" s="191">
        <v>0.28999999999999998</v>
      </c>
    </row>
    <row r="96" spans="1:12" ht="15.6">
      <c r="A96" s="180" t="s">
        <v>114</v>
      </c>
      <c r="B96" s="186">
        <f>B93*C96</f>
        <v>1500.75</v>
      </c>
      <c r="C96" s="191">
        <v>0.20699999999999999</v>
      </c>
    </row>
    <row r="97" spans="1:7" ht="15.6">
      <c r="A97" s="180" t="s">
        <v>115</v>
      </c>
      <c r="B97" s="186">
        <f>B93*C97</f>
        <v>3485.0750000000003</v>
      </c>
      <c r="C97" s="191">
        <v>0.48070000000000002</v>
      </c>
    </row>
    <row r="98" spans="1:7" ht="15.6">
      <c r="A98" s="182" t="s">
        <v>116</v>
      </c>
      <c r="B98" s="187">
        <v>1924.5700497687842</v>
      </c>
      <c r="C98" s="192"/>
    </row>
    <row r="99" spans="1:7" ht="15.6">
      <c r="A99" s="205" t="s">
        <v>125</v>
      </c>
      <c r="B99" s="206">
        <v>6389</v>
      </c>
      <c r="C99" s="207">
        <f>SUM(C100:C101)</f>
        <v>1</v>
      </c>
    </row>
    <row r="100" spans="1:7" ht="15.6">
      <c r="A100" s="180" t="s">
        <v>126</v>
      </c>
      <c r="B100" s="181">
        <f>B99*C100</f>
        <v>3577.84</v>
      </c>
      <c r="C100" s="191">
        <v>0.56000000000000005</v>
      </c>
    </row>
    <row r="101" spans="1:7" ht="15.6">
      <c r="A101" s="180" t="s">
        <v>127</v>
      </c>
      <c r="B101" s="181">
        <f>B99*C101</f>
        <v>2811.16</v>
      </c>
      <c r="C101" s="191">
        <v>0.44</v>
      </c>
    </row>
    <row r="102" spans="1:7" ht="15.6">
      <c r="A102" s="182" t="s">
        <v>128</v>
      </c>
      <c r="B102" s="183">
        <v>1076.925</v>
      </c>
      <c r="C102" s="192"/>
    </row>
    <row r="103" spans="1:7" ht="15.6">
      <c r="A103" s="208" t="s">
        <v>129</v>
      </c>
      <c r="B103" s="209">
        <v>379</v>
      </c>
      <c r="C103" s="190"/>
    </row>
    <row r="104" spans="1:7" ht="15.6">
      <c r="A104" s="205" t="s">
        <v>130</v>
      </c>
      <c r="B104" s="206">
        <v>13362</v>
      </c>
      <c r="C104" s="191">
        <f>SUM(C105:C106)</f>
        <v>1</v>
      </c>
    </row>
    <row r="105" spans="1:7" ht="15.6">
      <c r="A105" s="180" t="s">
        <v>131</v>
      </c>
      <c r="B105" s="181">
        <f>0.25*B104</f>
        <v>3340.5</v>
      </c>
      <c r="C105" s="191">
        <v>0.75</v>
      </c>
    </row>
    <row r="106" spans="1:7" ht="15.6">
      <c r="A106" s="180" t="s">
        <v>132</v>
      </c>
      <c r="B106" s="181">
        <f>0.75*B104</f>
        <v>10021.5</v>
      </c>
      <c r="C106" s="191">
        <v>0.25</v>
      </c>
    </row>
    <row r="107" spans="1:7" ht="12.75" customHeight="1">
      <c r="A107" s="210" t="s">
        <v>133</v>
      </c>
      <c r="B107" s="211">
        <v>187</v>
      </c>
      <c r="C107" s="190"/>
    </row>
    <row r="108" spans="1:7" ht="12.75" customHeight="1">
      <c r="A108" s="212" t="s">
        <v>134</v>
      </c>
      <c r="B108" s="213">
        <v>1501.3989999999999</v>
      </c>
      <c r="C108" s="192"/>
    </row>
    <row r="109" spans="1:7" ht="12.75" customHeight="1">
      <c r="B109" s="4" t="s">
        <v>117</v>
      </c>
      <c r="C109" s="4" t="s">
        <v>119</v>
      </c>
    </row>
    <row r="110" spans="1:7" ht="12.75" customHeight="1">
      <c r="A110" s="31" t="s">
        <v>136</v>
      </c>
      <c r="F110" t="s">
        <v>149</v>
      </c>
      <c r="G110" t="s">
        <v>150</v>
      </c>
    </row>
    <row r="111" spans="1:7" ht="12.75" customHeight="1">
      <c r="A111" s="219" t="s">
        <v>137</v>
      </c>
      <c r="B111" s="217">
        <v>10002.18</v>
      </c>
      <c r="C111" s="225">
        <f>SUM(C112:C114)</f>
        <v>1.0000500000000001</v>
      </c>
      <c r="F111" s="228">
        <v>0.5</v>
      </c>
      <c r="G111" s="228">
        <v>0.5</v>
      </c>
    </row>
    <row r="112" spans="1:7" ht="12.75" customHeight="1">
      <c r="A112" s="180" t="s">
        <v>138</v>
      </c>
      <c r="B112" s="181">
        <f>B111*C112</f>
        <v>1212.264216</v>
      </c>
      <c r="C112" s="191">
        <v>0.1212</v>
      </c>
      <c r="F112" s="228">
        <v>0.5</v>
      </c>
      <c r="G112" s="228">
        <v>0.5</v>
      </c>
    </row>
    <row r="113" spans="1:7" ht="12.75" customHeight="1">
      <c r="A113" s="180" t="s">
        <v>139</v>
      </c>
      <c r="B113" s="181">
        <f>B111*C113</f>
        <v>4540.9897200000005</v>
      </c>
      <c r="C113" s="191">
        <v>0.45400000000000001</v>
      </c>
      <c r="F113" s="228">
        <v>0.5</v>
      </c>
      <c r="G113" s="228">
        <v>0.5</v>
      </c>
    </row>
    <row r="114" spans="1:7" ht="15.6">
      <c r="A114" s="224" t="s">
        <v>140</v>
      </c>
      <c r="B114" s="186">
        <f>B111*C114</f>
        <v>4249.4261729999998</v>
      </c>
      <c r="C114" s="191">
        <v>0.42485000000000001</v>
      </c>
      <c r="F114" s="228">
        <v>0.5</v>
      </c>
      <c r="G114" s="228">
        <v>0.5</v>
      </c>
    </row>
    <row r="115" spans="1:7" ht="15.6">
      <c r="A115" s="223" t="s">
        <v>141</v>
      </c>
      <c r="B115" s="216">
        <v>9748.1895000000004</v>
      </c>
      <c r="C115" s="227">
        <f>SUM(C116:C118)</f>
        <v>1</v>
      </c>
      <c r="F115" s="228">
        <v>0.5</v>
      </c>
      <c r="G115" s="228">
        <v>0.5</v>
      </c>
    </row>
    <row r="116" spans="1:7" ht="15.6">
      <c r="A116" s="180" t="s">
        <v>138</v>
      </c>
      <c r="B116" s="181">
        <f>B115*C116</f>
        <v>12.155992306500002</v>
      </c>
      <c r="C116" s="191">
        <v>1.2470000000000001E-3</v>
      </c>
      <c r="F116" s="228">
        <v>0.5</v>
      </c>
      <c r="G116" s="228">
        <v>0.5</v>
      </c>
    </row>
    <row r="117" spans="1:7" ht="15.6">
      <c r="A117" s="180" t="s">
        <v>139</v>
      </c>
      <c r="B117" s="181">
        <f>B115*C117</f>
        <v>269.10851933700002</v>
      </c>
      <c r="C117" s="191">
        <v>2.7605999999999999E-2</v>
      </c>
      <c r="F117" s="228">
        <v>0.5</v>
      </c>
      <c r="G117" s="228">
        <v>0.5</v>
      </c>
    </row>
    <row r="118" spans="1:7" ht="15.6">
      <c r="A118" s="220" t="s">
        <v>140</v>
      </c>
      <c r="B118" s="215">
        <f>B115*C118</f>
        <v>9466.9249883565008</v>
      </c>
      <c r="C118" s="226">
        <v>0.97114699999999998</v>
      </c>
      <c r="F118" s="228">
        <v>0.5</v>
      </c>
      <c r="G118" s="228">
        <v>0.5</v>
      </c>
    </row>
    <row r="119" spans="1:7" ht="15.6">
      <c r="A119" s="219" t="s">
        <v>142</v>
      </c>
      <c r="B119" s="217">
        <v>3663</v>
      </c>
      <c r="C119" s="225">
        <f>SUM(C120:C121)</f>
        <v>1</v>
      </c>
      <c r="F119" s="228">
        <v>0.5</v>
      </c>
      <c r="G119" s="228">
        <v>0.5</v>
      </c>
    </row>
    <row r="120" spans="1:7" ht="15.6">
      <c r="A120" s="180" t="s">
        <v>138</v>
      </c>
      <c r="B120" s="216">
        <f>B119*C120</f>
        <v>1240.6581000000001</v>
      </c>
      <c r="C120" s="191">
        <v>0.3387</v>
      </c>
      <c r="F120" s="228">
        <v>0.5</v>
      </c>
      <c r="G120" s="228">
        <v>0.5</v>
      </c>
    </row>
    <row r="121" spans="1:7" ht="15.6">
      <c r="A121" s="220" t="s">
        <v>143</v>
      </c>
      <c r="B121" s="218">
        <f>B119*C121</f>
        <v>2422.3418999999999</v>
      </c>
      <c r="C121" s="226">
        <v>0.6613</v>
      </c>
      <c r="F121" s="228">
        <v>0.5</v>
      </c>
      <c r="G121" s="228">
        <v>0.5</v>
      </c>
    </row>
    <row r="122" spans="1:7" ht="15.6">
      <c r="A122" s="219" t="s">
        <v>144</v>
      </c>
      <c r="B122" s="217">
        <v>123</v>
      </c>
      <c r="C122" s="225">
        <f>SUM(C123:C124)</f>
        <v>1</v>
      </c>
      <c r="F122" s="228">
        <v>0.5</v>
      </c>
      <c r="G122" s="228">
        <v>0.5</v>
      </c>
    </row>
    <row r="123" spans="1:7" ht="15.6">
      <c r="A123" s="180" t="s">
        <v>126</v>
      </c>
      <c r="B123" s="216">
        <f>B122*C123</f>
        <v>20.91</v>
      </c>
      <c r="C123" s="191">
        <v>0.17</v>
      </c>
      <c r="F123" s="228">
        <v>0.5</v>
      </c>
      <c r="G123" s="228">
        <v>0.5</v>
      </c>
    </row>
    <row r="124" spans="1:7" ht="15.6">
      <c r="A124" s="180" t="s">
        <v>127</v>
      </c>
      <c r="B124" s="216">
        <f>B122*C124</f>
        <v>102.08999999999999</v>
      </c>
      <c r="C124" s="191">
        <v>0.83</v>
      </c>
      <c r="F124" s="228">
        <v>0.5</v>
      </c>
      <c r="G124" s="228">
        <v>0.5</v>
      </c>
    </row>
    <row r="125" spans="1:7" ht="15.6">
      <c r="A125" s="221" t="s">
        <v>128</v>
      </c>
      <c r="B125" s="218">
        <v>438.44036697247708</v>
      </c>
      <c r="C125" s="192"/>
      <c r="F125" s="228">
        <v>0.5</v>
      </c>
      <c r="G125" s="228">
        <v>0.5</v>
      </c>
    </row>
    <row r="126" spans="1:7" ht="15.6">
      <c r="A126" s="222" t="s">
        <v>145</v>
      </c>
      <c r="B126" s="217">
        <v>1.3570000000000002</v>
      </c>
      <c r="C126" s="190"/>
      <c r="F126" s="228">
        <v>0.5</v>
      </c>
      <c r="G126" s="228">
        <v>0.5</v>
      </c>
    </row>
    <row r="127" spans="1:7" ht="15.6">
      <c r="A127" s="221" t="s">
        <v>146</v>
      </c>
      <c r="B127" s="218">
        <v>631.8048</v>
      </c>
      <c r="C127" s="192"/>
      <c r="F127" s="228">
        <v>0.5</v>
      </c>
      <c r="G127" s="228">
        <v>0.5</v>
      </c>
    </row>
    <row r="128" spans="1:7" ht="15.6">
      <c r="A128" s="222" t="s">
        <v>147</v>
      </c>
      <c r="B128" s="217">
        <v>2073</v>
      </c>
      <c r="C128" s="190"/>
      <c r="F128" s="228">
        <v>0.5</v>
      </c>
      <c r="G128" s="228">
        <v>0.5</v>
      </c>
    </row>
    <row r="129" spans="1:7" ht="15.6">
      <c r="A129" s="221" t="s">
        <v>148</v>
      </c>
      <c r="B129" s="218">
        <v>48140.793353094996</v>
      </c>
      <c r="C129" s="192"/>
      <c r="F129" s="228">
        <v>0.5</v>
      </c>
      <c r="G129" s="228">
        <v>0.5</v>
      </c>
    </row>
    <row r="130" spans="1:7">
      <c r="B130" s="38" t="s">
        <v>387</v>
      </c>
    </row>
    <row r="133" spans="1:7">
      <c r="A133" s="3169" t="s">
        <v>223</v>
      </c>
      <c r="B133" s="3140"/>
      <c r="C133" s="3140"/>
      <c r="D133" s="3170"/>
      <c r="F133" s="184" t="s">
        <v>120</v>
      </c>
      <c r="G133" s="184" t="s">
        <v>121</v>
      </c>
    </row>
    <row r="134" spans="1:7">
      <c r="A134" s="233"/>
      <c r="B134" s="234">
        <v>2010</v>
      </c>
      <c r="C134" s="234">
        <v>2011</v>
      </c>
      <c r="D134" s="235">
        <v>2012</v>
      </c>
    </row>
    <row r="135" spans="1:7">
      <c r="A135" s="233" t="s">
        <v>208</v>
      </c>
      <c r="B135" s="234">
        <v>69776</v>
      </c>
      <c r="C135" s="234">
        <v>71105</v>
      </c>
      <c r="D135" s="235">
        <v>71322</v>
      </c>
    </row>
    <row r="136" spans="1:7">
      <c r="A136" s="233" t="s">
        <v>209</v>
      </c>
      <c r="B136" s="234">
        <v>2620</v>
      </c>
      <c r="C136" s="234">
        <v>2940</v>
      </c>
      <c r="D136" s="235">
        <v>3050</v>
      </c>
    </row>
    <row r="137" spans="1:7">
      <c r="A137" s="233" t="s">
        <v>210</v>
      </c>
      <c r="B137" s="234">
        <v>67156</v>
      </c>
      <c r="C137" s="234">
        <v>68165</v>
      </c>
      <c r="D137" s="235">
        <v>68272</v>
      </c>
    </row>
    <row r="138" spans="1:7">
      <c r="A138" s="233" t="s">
        <v>211</v>
      </c>
      <c r="B138" s="234">
        <v>50861</v>
      </c>
      <c r="C138" s="234">
        <v>52543</v>
      </c>
      <c r="D138" s="235">
        <v>53425</v>
      </c>
    </row>
    <row r="139" spans="1:7">
      <c r="A139" s="233" t="s">
        <v>212</v>
      </c>
      <c r="B139" s="234">
        <v>8505</v>
      </c>
      <c r="C139" s="234">
        <v>7967</v>
      </c>
      <c r="D139" s="235">
        <v>7512</v>
      </c>
    </row>
    <row r="140" spans="1:7">
      <c r="A140" s="233" t="s">
        <v>213</v>
      </c>
      <c r="B140" s="234">
        <v>393</v>
      </c>
      <c r="C140" s="234">
        <v>376</v>
      </c>
      <c r="D140" s="235">
        <v>347</v>
      </c>
    </row>
    <row r="141" spans="1:7">
      <c r="A141" s="233" t="s">
        <v>214</v>
      </c>
      <c r="B141" s="234">
        <v>466</v>
      </c>
      <c r="C141" s="234">
        <v>468</v>
      </c>
      <c r="D141" s="235">
        <v>468</v>
      </c>
    </row>
    <row r="142" spans="1:7">
      <c r="A142" s="233" t="s">
        <v>215</v>
      </c>
      <c r="B142" s="234">
        <v>78</v>
      </c>
      <c r="C142" s="234">
        <v>74</v>
      </c>
      <c r="D142" s="235">
        <v>70</v>
      </c>
    </row>
    <row r="143" spans="1:7">
      <c r="A143" s="233" t="s">
        <v>216</v>
      </c>
      <c r="B143" s="234">
        <v>6853</v>
      </c>
      <c r="C143" s="234">
        <v>6737</v>
      </c>
      <c r="D143" s="235">
        <v>6450</v>
      </c>
    </row>
    <row r="144" spans="1:7">
      <c r="A144" s="233" t="s">
        <v>217</v>
      </c>
      <c r="B144" s="234">
        <v>3049</v>
      </c>
      <c r="C144" s="234" t="s">
        <v>218</v>
      </c>
      <c r="D144" s="235" t="s">
        <v>218</v>
      </c>
      <c r="F144" s="267">
        <f>AD28</f>
        <v>0.6529895199943494</v>
      </c>
      <c r="G144" s="228">
        <f>AF28</f>
        <v>0.3470104800056506</v>
      </c>
    </row>
    <row r="145" spans="1:7">
      <c r="A145" s="233" t="s">
        <v>219</v>
      </c>
      <c r="B145" s="234">
        <v>3835</v>
      </c>
      <c r="C145" s="234" t="s">
        <v>218</v>
      </c>
      <c r="D145" s="235" t="s">
        <v>218</v>
      </c>
      <c r="F145" s="267">
        <f>AD29</f>
        <v>0.5388379940530249</v>
      </c>
      <c r="G145" s="267">
        <f>AF29</f>
        <v>0.46116200594697515</v>
      </c>
    </row>
    <row r="146" spans="1:7">
      <c r="A146" s="233" t="s">
        <v>220</v>
      </c>
      <c r="B146" s="234">
        <v>6577</v>
      </c>
      <c r="C146" s="234">
        <v>6890</v>
      </c>
      <c r="D146" s="235">
        <v>7026</v>
      </c>
    </row>
    <row r="147" spans="1:7">
      <c r="A147" s="233" t="s">
        <v>221</v>
      </c>
      <c r="B147" s="234">
        <v>184</v>
      </c>
      <c r="C147" s="234">
        <v>176</v>
      </c>
      <c r="D147" s="235">
        <v>176</v>
      </c>
    </row>
    <row r="148" spans="1:7">
      <c r="A148" s="233" t="s">
        <v>222</v>
      </c>
      <c r="B148" s="234">
        <v>470</v>
      </c>
      <c r="C148" s="234">
        <v>459</v>
      </c>
      <c r="D148" s="235">
        <v>367</v>
      </c>
    </row>
    <row r="149" spans="1:7">
      <c r="A149" s="233"/>
      <c r="B149" s="234"/>
      <c r="C149" s="234"/>
      <c r="D149" s="235"/>
    </row>
    <row r="150" spans="1:7">
      <c r="A150" s="3171" t="s">
        <v>224</v>
      </c>
      <c r="B150" s="3172"/>
      <c r="C150" s="3172"/>
      <c r="D150" s="3173"/>
    </row>
    <row r="151" spans="1:7">
      <c r="A151" s="233"/>
      <c r="B151" s="234"/>
      <c r="C151" s="234"/>
      <c r="D151" s="235"/>
    </row>
    <row r="152" spans="1:7">
      <c r="A152" s="3171" t="s">
        <v>225</v>
      </c>
      <c r="B152" s="3172"/>
      <c r="C152" s="3172"/>
      <c r="D152" s="3173"/>
    </row>
    <row r="153" spans="1:7">
      <c r="A153" s="233"/>
      <c r="B153" s="234"/>
      <c r="C153" s="234"/>
      <c r="D153" s="235"/>
    </row>
    <row r="154" spans="1:7">
      <c r="A154" s="242" t="s">
        <v>226</v>
      </c>
      <c r="B154" s="248"/>
      <c r="C154" s="248"/>
      <c r="D154" s="244"/>
    </row>
    <row r="157" spans="1:7">
      <c r="A157" s="3166" t="s">
        <v>253</v>
      </c>
      <c r="B157" s="3167"/>
      <c r="C157" s="3167"/>
      <c r="D157" s="3168"/>
    </row>
    <row r="158" spans="1:7">
      <c r="A158" s="233"/>
      <c r="B158" s="234">
        <v>2010</v>
      </c>
      <c r="C158" s="234">
        <v>2011</v>
      </c>
      <c r="D158" s="235">
        <v>2012</v>
      </c>
    </row>
    <row r="159" spans="1:7">
      <c r="A159" s="233" t="s">
        <v>236</v>
      </c>
      <c r="B159" s="234">
        <v>47925</v>
      </c>
      <c r="C159" s="234">
        <v>48959</v>
      </c>
      <c r="D159" s="235">
        <v>49097</v>
      </c>
    </row>
    <row r="160" spans="1:7">
      <c r="A160" s="233" t="s">
        <v>209</v>
      </c>
      <c r="B160" s="234">
        <v>2620</v>
      </c>
      <c r="C160" s="234">
        <v>2940</v>
      </c>
      <c r="D160" s="235">
        <v>3050</v>
      </c>
    </row>
    <row r="161" spans="1:4">
      <c r="A161" s="233" t="s">
        <v>210</v>
      </c>
      <c r="B161" s="234">
        <v>45305</v>
      </c>
      <c r="C161" s="234">
        <v>46019</v>
      </c>
      <c r="D161" s="235">
        <v>46047</v>
      </c>
    </row>
    <row r="162" spans="1:4">
      <c r="A162" s="233" t="s">
        <v>237</v>
      </c>
      <c r="B162" s="234">
        <v>33255</v>
      </c>
      <c r="C162" s="234">
        <v>34359</v>
      </c>
      <c r="D162" s="235">
        <v>34892</v>
      </c>
    </row>
    <row r="163" spans="1:4">
      <c r="A163" s="233" t="s">
        <v>238</v>
      </c>
      <c r="B163" s="234">
        <v>22587</v>
      </c>
      <c r="C163" s="234">
        <v>22139</v>
      </c>
      <c r="D163" s="235">
        <v>21554</v>
      </c>
    </row>
    <row r="164" spans="1:4">
      <c r="A164" s="233" t="s">
        <v>239</v>
      </c>
      <c r="B164" s="234">
        <v>10668</v>
      </c>
      <c r="C164" s="234">
        <v>12220</v>
      </c>
      <c r="D164" s="235">
        <v>13338</v>
      </c>
    </row>
    <row r="165" spans="1:4">
      <c r="A165" s="233" t="s">
        <v>213</v>
      </c>
      <c r="B165" s="234">
        <v>491</v>
      </c>
      <c r="C165" s="234">
        <v>471</v>
      </c>
      <c r="D165" s="235">
        <v>433</v>
      </c>
    </row>
    <row r="166" spans="1:4">
      <c r="A166" s="233" t="s">
        <v>214</v>
      </c>
      <c r="B166" s="234">
        <v>444</v>
      </c>
      <c r="C166" s="234">
        <v>446</v>
      </c>
      <c r="D166" s="235">
        <v>446</v>
      </c>
    </row>
    <row r="167" spans="1:4">
      <c r="A167" s="233" t="s">
        <v>215</v>
      </c>
      <c r="B167" s="234">
        <v>78</v>
      </c>
      <c r="C167" s="234">
        <v>74</v>
      </c>
      <c r="D167" s="235">
        <v>70</v>
      </c>
    </row>
    <row r="168" spans="1:4">
      <c r="A168" s="233" t="s">
        <v>240</v>
      </c>
      <c r="B168" s="234">
        <v>8373</v>
      </c>
      <c r="C168" s="234">
        <v>7969</v>
      </c>
      <c r="D168" s="235">
        <v>7659</v>
      </c>
    </row>
    <row r="169" spans="1:4">
      <c r="A169" s="233" t="s">
        <v>241</v>
      </c>
      <c r="B169" s="234">
        <v>1344</v>
      </c>
      <c r="C169" s="234">
        <v>1385</v>
      </c>
      <c r="D169" s="235">
        <v>1451</v>
      </c>
    </row>
    <row r="170" spans="1:4">
      <c r="A170" s="233" t="s">
        <v>242</v>
      </c>
      <c r="B170" s="234">
        <v>371</v>
      </c>
      <c r="C170" s="234">
        <v>344</v>
      </c>
      <c r="D170" s="235">
        <v>321</v>
      </c>
    </row>
    <row r="171" spans="1:4">
      <c r="A171" s="233" t="s">
        <v>243</v>
      </c>
      <c r="B171" s="234">
        <v>973</v>
      </c>
      <c r="C171" s="234">
        <v>1040</v>
      </c>
      <c r="D171" s="235">
        <v>1131</v>
      </c>
    </row>
    <row r="172" spans="1:4">
      <c r="A172" s="233" t="s">
        <v>244</v>
      </c>
      <c r="B172" s="234">
        <v>7029</v>
      </c>
      <c r="C172" s="234">
        <v>6584</v>
      </c>
      <c r="D172" s="235">
        <v>6208</v>
      </c>
    </row>
    <row r="173" spans="1:4">
      <c r="A173" s="233" t="s">
        <v>245</v>
      </c>
      <c r="B173" s="234">
        <v>587</v>
      </c>
      <c r="C173" s="234">
        <v>496</v>
      </c>
      <c r="D173" s="235">
        <v>403</v>
      </c>
    </row>
    <row r="174" spans="1:4">
      <c r="A174" s="233" t="s">
        <v>246</v>
      </c>
      <c r="B174" s="234">
        <v>6442</v>
      </c>
      <c r="C174" s="234">
        <v>6088</v>
      </c>
      <c r="D174" s="235">
        <v>5805</v>
      </c>
    </row>
    <row r="175" spans="1:4">
      <c r="A175" s="233" t="s">
        <v>247</v>
      </c>
      <c r="B175" s="234">
        <v>1092</v>
      </c>
      <c r="C175" s="234">
        <v>1078</v>
      </c>
      <c r="D175" s="235">
        <v>1010</v>
      </c>
    </row>
    <row r="176" spans="1:4">
      <c r="A176" s="233" t="s">
        <v>248</v>
      </c>
      <c r="B176" s="234">
        <v>987</v>
      </c>
      <c r="C176" s="234">
        <v>1045</v>
      </c>
      <c r="D176" s="235">
        <v>974</v>
      </c>
    </row>
    <row r="177" spans="1:4">
      <c r="A177" s="233" t="s">
        <v>216</v>
      </c>
      <c r="B177" s="234">
        <v>585</v>
      </c>
      <c r="C177" s="234">
        <v>578</v>
      </c>
      <c r="D177" s="235">
        <v>563</v>
      </c>
    </row>
    <row r="178" spans="1:4">
      <c r="A178" s="233" t="s">
        <v>249</v>
      </c>
      <c r="B178" s="234" t="s">
        <v>218</v>
      </c>
      <c r="C178" s="234" t="s">
        <v>218</v>
      </c>
      <c r="D178" s="235" t="s">
        <v>218</v>
      </c>
    </row>
    <row r="179" spans="1:4">
      <c r="A179" s="233" t="s">
        <v>250</v>
      </c>
      <c r="B179" s="234" t="s">
        <v>218</v>
      </c>
      <c r="C179" s="234" t="s">
        <v>218</v>
      </c>
      <c r="D179" s="235" t="s">
        <v>218</v>
      </c>
    </row>
    <row r="180" spans="1:4">
      <c r="A180" s="233"/>
      <c r="B180" s="234"/>
      <c r="C180" s="234"/>
      <c r="D180" s="235"/>
    </row>
    <row r="181" spans="1:4">
      <c r="A181" s="3171" t="s">
        <v>251</v>
      </c>
      <c r="B181" s="3172"/>
      <c r="C181" s="3172"/>
      <c r="D181" s="3173"/>
    </row>
    <row r="182" spans="1:4">
      <c r="A182" s="233"/>
      <c r="B182" s="234"/>
      <c r="C182" s="234"/>
      <c r="D182" s="235"/>
    </row>
    <row r="183" spans="1:4">
      <c r="A183" s="3171" t="s">
        <v>225</v>
      </c>
      <c r="B183" s="3172"/>
      <c r="C183" s="3172"/>
      <c r="D183" s="3173"/>
    </row>
    <row r="184" spans="1:4">
      <c r="A184" s="233"/>
      <c r="B184" s="234"/>
      <c r="C184" s="234"/>
      <c r="D184" s="235"/>
    </row>
    <row r="185" spans="1:4">
      <c r="A185" s="265" t="s">
        <v>252</v>
      </c>
      <c r="B185" s="248"/>
      <c r="C185" s="248"/>
      <c r="D185" s="244"/>
    </row>
    <row r="188" spans="1:4">
      <c r="A188" s="3166" t="s">
        <v>312</v>
      </c>
      <c r="B188" s="3167"/>
      <c r="C188" s="3168"/>
    </row>
    <row r="189" spans="1:4">
      <c r="A189" s="264" t="s">
        <v>311</v>
      </c>
      <c r="B189" s="262" t="s">
        <v>313</v>
      </c>
      <c r="C189" s="263" t="s">
        <v>314</v>
      </c>
    </row>
    <row r="190" spans="1:4">
      <c r="A190" s="261" t="s">
        <v>318</v>
      </c>
      <c r="B190" s="285" t="s">
        <v>315</v>
      </c>
      <c r="C190" s="235">
        <v>18000</v>
      </c>
    </row>
    <row r="191" spans="1:4">
      <c r="A191" s="261" t="s">
        <v>319</v>
      </c>
      <c r="B191" s="285" t="s">
        <v>316</v>
      </c>
      <c r="C191" s="235">
        <v>60000</v>
      </c>
    </row>
    <row r="192" spans="1:4">
      <c r="A192" s="287" t="s">
        <v>319</v>
      </c>
      <c r="B192" s="286" t="s">
        <v>317</v>
      </c>
      <c r="C192" s="244">
        <v>100000</v>
      </c>
    </row>
  </sheetData>
  <mergeCells count="7">
    <mergeCell ref="A188:C188"/>
    <mergeCell ref="A133:D133"/>
    <mergeCell ref="A150:D150"/>
    <mergeCell ref="A152:D152"/>
    <mergeCell ref="A157:D157"/>
    <mergeCell ref="A181:D181"/>
    <mergeCell ref="A183:D183"/>
  </mergeCells>
  <pageMargins left="0.7" right="0.7" top="0.75" bottom="0.75" header="0.3" footer="0.3"/>
  <pageSetup paperSize="9" orientation="portrait"/>
  <legacy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37</vt:i4>
      </vt:variant>
    </vt:vector>
  </HeadingPairs>
  <TitlesOfParts>
    <vt:vector size="37" baseType="lpstr">
      <vt:lpstr>LOG</vt:lpstr>
      <vt:lpstr>TRA_BAL</vt:lpstr>
      <vt:lpstr>Commodities</vt:lpstr>
      <vt:lpstr>Processes</vt:lpstr>
      <vt:lpstr>TRA_Fuel</vt:lpstr>
      <vt:lpstr>Cars</vt:lpstr>
      <vt:lpstr>Moto-Mopeds</vt:lpstr>
      <vt:lpstr>WALK</vt:lpstr>
      <vt:lpstr>BIKE</vt:lpstr>
      <vt:lpstr>BUS</vt:lpstr>
      <vt:lpstr>TRAIN</vt:lpstr>
      <vt:lpstr>NAVI-AVI</vt:lpstr>
      <vt:lpstr>Freight NAVI_AVI</vt:lpstr>
      <vt:lpstr>Freight_Road</vt:lpstr>
      <vt:lpstr>Freight_Rail</vt:lpstr>
      <vt:lpstr>Emis</vt:lpstr>
      <vt:lpstr>Dem</vt:lpstr>
      <vt:lpstr>SE NAVI Data</vt:lpstr>
      <vt:lpstr>SE Driving patterns</vt:lpstr>
      <vt:lpstr>Eurostat data 2010</vt:lpstr>
      <vt:lpstr>SE Assumptions</vt:lpstr>
      <vt:lpstr>SE Roadfreight data</vt:lpstr>
      <vt:lpstr>EnergyEffRoadTransport_ksa</vt:lpstr>
      <vt:lpstr>SE km&amp;fuel data</vt:lpstr>
      <vt:lpstr>SE Rail data</vt:lpstr>
      <vt:lpstr>SE CarData</vt:lpstr>
      <vt:lpstr>CarMoreData</vt:lpstr>
      <vt:lpstr>SE car fuel use</vt:lpstr>
      <vt:lpstr>SE Public transp data</vt:lpstr>
      <vt:lpstr>SE_Moto-Moped</vt:lpstr>
      <vt:lpstr>SE Bicycle - Walk</vt:lpstr>
      <vt:lpstr>SE BUS data</vt:lpstr>
      <vt:lpstr>SE stock data</vt:lpstr>
      <vt:lpstr>SE Avi data</vt:lpstr>
      <vt:lpstr>SE Energy data</vt:lpstr>
      <vt:lpstr>SE Av drive dist</vt:lpstr>
      <vt:lpstr>DK TransData</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Maurizio Gargiulo - Politecnico di Torino</dc:creator>
  <cp:lastModifiedBy>Mikkel Bosack</cp:lastModifiedBy>
  <cp:lastPrinted>2017-05-17T12:04:43Z</cp:lastPrinted>
  <dcterms:created xsi:type="dcterms:W3CDTF">2000-12-13T15:53:11Z</dcterms:created>
  <dcterms:modified xsi:type="dcterms:W3CDTF">2021-03-04T09:31:41Z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SaveCode">
    <vt:r8>129340052604675</vt:r8>
  </property>
</Properties>
</file>